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sbreit\Desktop\"/>
    </mc:Choice>
  </mc:AlternateContent>
  <bookViews>
    <workbookView xWindow="120" yWindow="2310" windowWidth="15600" windowHeight="10380" tabRatio="756" firstSheet="1" activeTab="1"/>
  </bookViews>
  <sheets>
    <sheet name="START - Guidance" sheetId="9" r:id="rId1"/>
    <sheet name="A-Info, Phases, Recip." sheetId="1" r:id="rId2"/>
    <sheet name="B-Studies or Concept only" sheetId="11" r:id="rId3"/>
    <sheet name="C-Design&amp;Const" sheetId="21" r:id="rId4"/>
    <sheet name="PSC Transmittal Guidance" sheetId="10" r:id="rId5"/>
    <sheet name="00 - Concept." sheetId="2" r:id="rId6"/>
    <sheet name="01 - SD" sheetId="5" r:id="rId7"/>
    <sheet name="02 - DD" sheetId="6" r:id="rId8"/>
    <sheet name="03 - 50% CD" sheetId="7" r:id="rId9"/>
    <sheet name="04 - 95% CD" sheetId="8" r:id="rId10"/>
    <sheet name="05-BID" sheetId="14" r:id="rId11"/>
    <sheet name="06-CONST" sheetId="15" r:id="rId12"/>
    <sheet name="07-CLOSEOUT" sheetId="17" r:id="rId13"/>
    <sheet name="08-POST CONST" sheetId="19" r:id="rId14"/>
    <sheet name="Sheet1" sheetId="22" r:id="rId15"/>
  </sheets>
  <definedNames>
    <definedName name="_00_apply">'C-Design&amp;Const'!$G$14</definedName>
    <definedName name="_01_apply">'C-Design&amp;Const'!$I$14</definedName>
    <definedName name="_02_apply">'C-Design&amp;Const'!$K$14</definedName>
    <definedName name="_03_apply">'C-Design&amp;Const'!$M$14</definedName>
    <definedName name="_04_apply">'C-Design&amp;Const'!$O$14</definedName>
    <definedName name="_05_apply">'C-Design&amp;Const'!$Q$14</definedName>
    <definedName name="_06_apply">'C-Design&amp;Const'!$S$14</definedName>
    <definedName name="_07_apply">'C-Design&amp;Const'!$U$14</definedName>
    <definedName name="_08_apply">'C-Design&amp;Const'!$W$14</definedName>
    <definedName name="_50CD_placeholder">'A-Info, Phases, Recip.'!$M$13</definedName>
    <definedName name="_95CD_placeholder">'A-Info, Phases, Recip.'!$N$13</definedName>
    <definedName name="_xlnm._FilterDatabase" localSheetId="3" hidden="1">'C-Design&amp;Const'!$B$22:$B$23</definedName>
    <definedName name="Applies_BIM_50CD" localSheetId="8">'C-Design&amp;Const'!$M$382</definedName>
    <definedName name="Applies_BIM_95CD" localSheetId="9">'C-Design&amp;Const'!$O$382</definedName>
    <definedName name="Applies_BIM_Bid" localSheetId="10">'C-Design&amp;Const'!$Q$382</definedName>
    <definedName name="Applies_BIM_CLOSEOUT" localSheetId="12">'C-Design&amp;Const'!$U$382</definedName>
    <definedName name="Applies_BIM_Concept" localSheetId="5">'C-Design&amp;Const'!$G$382</definedName>
    <definedName name="Applies_BIM_CONST" localSheetId="11">'C-Design&amp;Const'!$S$382</definedName>
    <definedName name="Applies_BIM_DD" localSheetId="7">'C-Design&amp;Const'!$K$385</definedName>
    <definedName name="Applies_BIM_Feas_Concept_Onlyl" localSheetId="2">'B-Studies or Concept only'!$D$405</definedName>
    <definedName name="Applies_BIM_POST_CONST" localSheetId="13">'C-Design&amp;Const'!$W$382</definedName>
    <definedName name="Applies_BIM_SD" localSheetId="6">'C-Design&amp;Const'!$I$382</definedName>
    <definedName name="Applies_BOD_PS_50CD" localSheetId="8">'C-Design&amp;Const'!$M$39</definedName>
    <definedName name="Applies_BOD_PS_95CD" localSheetId="9">'C-Design&amp;Const'!$O$39</definedName>
    <definedName name="Applies_BOD_PS_Bid" localSheetId="10">'C-Design&amp;Const'!$Q$39</definedName>
    <definedName name="Applies_BOD_PS_CLOSEOUT" localSheetId="12">'C-Design&amp;Const'!$U$39</definedName>
    <definedName name="Applies_BOD_PS_Concept" localSheetId="5">'C-Design&amp;Const'!$G$39</definedName>
    <definedName name="Applies_BOD_PS_Const" localSheetId="11">'C-Design&amp;Const'!$S$39</definedName>
    <definedName name="Applies_BOD_PS_DD" localSheetId="7">'C-Design&amp;Const'!$K$39</definedName>
    <definedName name="Applies_BOD_PS_Feas_Concept_Only" localSheetId="2">'B-Studies or Concept only'!$D$39</definedName>
    <definedName name="Applies_BOD_PS_POST_CONST" localSheetId="13">'C-Design&amp;Const'!$W$39</definedName>
    <definedName name="Applies_BOD_PS_SD" localSheetId="6">'C-Design&amp;Const'!$I$39</definedName>
    <definedName name="Applies_BOT_Presentation_SD" localSheetId="6">'C-Design&amp;Const'!$I$422</definedName>
    <definedName name="Applies_Cost_Est_50CD" localSheetId="8">'C-Design&amp;Const'!$M$27</definedName>
    <definedName name="Applies_Cost_est_95CD" localSheetId="9">'C-Design&amp;Const'!$O$27</definedName>
    <definedName name="Applies_Cost_est_BID" localSheetId="10">'C-Design&amp;Const'!$Q$27</definedName>
    <definedName name="Applies_Cost_est_CLOSEOUT" localSheetId="12">'C-Design&amp;Const'!$U$27</definedName>
    <definedName name="Applies_Cost_Est_Concept" localSheetId="5">'C-Design&amp;Const'!$G$27</definedName>
    <definedName name="Applies_Cost_est_CONST" localSheetId="11">'C-Design&amp;Const'!$S$27</definedName>
    <definedName name="Applies_Cost_Est_DD" localSheetId="7">'C-Design&amp;Const'!$K$27</definedName>
    <definedName name="Applies_Cost_Est_Feas_Concept_Only" localSheetId="2">'B-Studies or Concept only'!$D$27</definedName>
    <definedName name="Applies_Cost_est_POST_CONST" localSheetId="13">'C-Design&amp;Const'!$W$27</definedName>
    <definedName name="Applies_Cost_Est_SD" localSheetId="6">'C-Design&amp;Const'!$I$27</definedName>
    <definedName name="Applies_Drawings_50CD" localSheetId="8">'C-Design&amp;Const'!$M$206</definedName>
    <definedName name="Applies_Drawings_95CD">'C-Design&amp;Const'!$O$206</definedName>
    <definedName name="Applies_Drawings_Bid" localSheetId="10">'C-Design&amp;Const'!$Q$206</definedName>
    <definedName name="Applies_Drawings_CLOSEOUT" localSheetId="12">'C-Design&amp;Const'!$U$206</definedName>
    <definedName name="Applies_Drawings_Concept" localSheetId="5">'C-Design&amp;Const'!$G$206</definedName>
    <definedName name="Applies_Drawings_CONST" localSheetId="11">'C-Design&amp;Const'!$S$206</definedName>
    <definedName name="Applies_Drawings_DD" localSheetId="7">'C-Design&amp;Const'!$K$206</definedName>
    <definedName name="Applies_Drawings_Feas_Concept_Only" localSheetId="2">'B-Studies or Concept only'!$D$303</definedName>
    <definedName name="Applies_Drawings_POST_CONST" localSheetId="13">'C-Design&amp;Const'!$W$206</definedName>
    <definedName name="Applies_Drawings_SD" localSheetId="6">'C-Design&amp;Const'!$I$206</definedName>
    <definedName name="Applies_FFE_Binder_50CD" localSheetId="8">'C-Design&amp;Const'!$M$174</definedName>
    <definedName name="Applies_FFE_Binder_95CD" localSheetId="9">'C-Design&amp;Const'!$O$174</definedName>
    <definedName name="Applies_FFE_Binder_BID" localSheetId="10">'C-Design&amp;Const'!$Q$174</definedName>
    <definedName name="Applies_FFE_Binder_CLOSEOUT">'C-Design&amp;Const'!$U$174</definedName>
    <definedName name="Applies_FFE_Binder_Concept" localSheetId="5">'C-Design&amp;Const'!$G$174</definedName>
    <definedName name="Applies_FFE_Binder_Const" localSheetId="11">'C-Design&amp;Const'!$S$174</definedName>
    <definedName name="Applies_FFE_Binder_DD" localSheetId="7">'C-Design&amp;Const'!$K$174</definedName>
    <definedName name="Applies_FFE_Binder_Feas_Concept_Only" localSheetId="2">'B-Studies or Concept only'!$D$263</definedName>
    <definedName name="Applies_FFE_Binder_POST_CONST" localSheetId="13">'C-Design&amp;Const'!$W$174</definedName>
    <definedName name="Applies_FFE_Binder_SD" localSheetId="6">'C-Design&amp;Const'!$I$174</definedName>
    <definedName name="Applies_FinishesBinder_50CD" localSheetId="8">'C-Design&amp;Const'!$M$168</definedName>
    <definedName name="Applies_FinishesBinder_95CD" localSheetId="9">'C-Design&amp;Const'!$O$168</definedName>
    <definedName name="Applies_FinishesBinder_BID" localSheetId="10">'C-Design&amp;Const'!$Q$168</definedName>
    <definedName name="Applies_FinishesBinder_CLOSEOUT" localSheetId="12">'C-Design&amp;Const'!$U$168</definedName>
    <definedName name="Applies_FinishesBinder_Concept" localSheetId="5">'C-Design&amp;Const'!$G$168</definedName>
    <definedName name="Applies_FinishesBinder_Const" localSheetId="11">'C-Design&amp;Const'!$S$168</definedName>
    <definedName name="Applies_FinishesBinder_DD" localSheetId="7">'C-Design&amp;Const'!$K$168</definedName>
    <definedName name="Applies_FinishesBinder_Feas_Concept_Only" localSheetId="2">'B-Studies or Concept only'!$D$262</definedName>
    <definedName name="Applies_FinishesBinder_POST_CONST" localSheetId="13">'C-Design&amp;Const'!$W$168</definedName>
    <definedName name="Applies_FinishesBinder_SD" localSheetId="6">'C-Design&amp;Const'!$I$168</definedName>
    <definedName name="Applies_Info_Calcs_50CD" localSheetId="8">'C-Design&amp;Const'!$M$126</definedName>
    <definedName name="Applies_Info_Calcs_95CD" localSheetId="9">'C-Design&amp;Const'!$O$126</definedName>
    <definedName name="Applies_Info_Calcs_BID" localSheetId="10">'C-Design&amp;Const'!$Q$126</definedName>
    <definedName name="Applies_Info_Calcs_CLOSEOUT" localSheetId="12">'C-Design&amp;Const'!$U$126</definedName>
    <definedName name="Applies_Info_Calcs_Concept" localSheetId="5">'C-Design&amp;Const'!$G$126</definedName>
    <definedName name="Applies_Info_Calcs_Const" localSheetId="11">'C-Design&amp;Const'!$S$126</definedName>
    <definedName name="Applies_Info_Calcs_DD" localSheetId="7">'C-Design&amp;Const'!$K$126</definedName>
    <definedName name="Applies_Info_Calcs_Feas_Concept_Only" localSheetId="2">'B-Studies or Concept only'!$D$222</definedName>
    <definedName name="Applies_Info_Calcs_POST_CONST" localSheetId="13">'C-Design&amp;Const'!$W$126</definedName>
    <definedName name="Applies_Info_Calcs_SD" localSheetId="6">'C-Design&amp;Const'!$I$126</definedName>
    <definedName name="Applies_ISHPO_50CD" localSheetId="8">'C-Design&amp;Const'!$M$443</definedName>
    <definedName name="Applies_ISHPO_95CD" localSheetId="9">'C-Design&amp;Const'!$O$443</definedName>
    <definedName name="Applies_ISHPO_Bid" localSheetId="10">'C-Design&amp;Const'!$Q$443</definedName>
    <definedName name="Applies_ISHPO_CLOSEOUT" localSheetId="12">'C-Design&amp;Const'!$U$443</definedName>
    <definedName name="Applies_ISHPO_Concept" localSheetId="5">'C-Design&amp;Const'!$G$443</definedName>
    <definedName name="Applies_ISHPO_CONST" localSheetId="11">'C-Design&amp;Const'!$S$443</definedName>
    <definedName name="Applies_ISHPO_DD" localSheetId="7">'C-Design&amp;Const'!$K$443</definedName>
    <definedName name="Applies_ISHPO_Feas_Concept_Only" localSheetId="2">'B-Studies or Concept only'!$D$462</definedName>
    <definedName name="Applies_ISHPO_POST_CONST" localSheetId="13">'C-Design&amp;Const'!$W$443</definedName>
    <definedName name="Applies_ISHPO_SD" localSheetId="6">'C-Design&amp;Const'!$I$443</definedName>
    <definedName name="Applies_Lev_1" localSheetId="5">'00 - Concept.'!$D$25:$D$543</definedName>
    <definedName name="Applies_Lev_1" localSheetId="6">'01 - SD'!$D$25:$D$536</definedName>
    <definedName name="Applies_Lev_1" localSheetId="7">'02 - DD'!$D$25:$D$505</definedName>
    <definedName name="Applies_Lev_1" localSheetId="8">'03 - 50% CD'!$D$25:$D$498</definedName>
    <definedName name="Applies_Lev_1" localSheetId="9">'04 - 95% CD'!$D$25:$D$502</definedName>
    <definedName name="Applies_Lev_1" localSheetId="10">'05-BID'!$D$25:$D$610</definedName>
    <definedName name="Applies_Lev_1" localSheetId="11">'06-CONST'!$D$25:$D$604</definedName>
    <definedName name="Applies_Lev_1" localSheetId="12">'07-CLOSEOUT'!$D$25:$D$611</definedName>
    <definedName name="Applies_Lev_1" localSheetId="13">'08-POST CONST'!$D$25:$D$610</definedName>
    <definedName name="Applies_Lev_1" localSheetId="2">'B-Studies or Concept only'!$D$25:$D$558</definedName>
    <definedName name="Applies_Lev2" localSheetId="5">'00 - Concept.'!$E$39:$E$543</definedName>
    <definedName name="Applies_Lev2" localSheetId="6">'01 - SD'!$E$126:$E$503</definedName>
    <definedName name="Applies_Lev2" localSheetId="7">'02 - DD'!$E$186:$E$505</definedName>
    <definedName name="Applies_Lev2" localSheetId="8">'03 - 50% CD'!$E$180:$E$498</definedName>
    <definedName name="Applies_Lev2" localSheetId="9">'04 - 95% CD'!$E$180:$E$502</definedName>
    <definedName name="Applies_Lev2" localSheetId="10">'05-BID'!$E$180:$E$610</definedName>
    <definedName name="Applies_Lev2" localSheetId="11">'06-CONST'!$E$180:$E$604</definedName>
    <definedName name="Applies_Lev2" localSheetId="12">'07-CLOSEOUT'!$E$180:$E$611</definedName>
    <definedName name="Applies_Lev2" localSheetId="13">'08-POST CONST'!$E$180:$E$610</definedName>
    <definedName name="Applies_Lev2" localSheetId="2">'B-Studies or Concept only'!$E$39:$E$558</definedName>
    <definedName name="Applies_Lev3" localSheetId="5">'00 - Concept.'!$F$39:$F$84</definedName>
    <definedName name="Applies_Lev3" localSheetId="6">'01 - SD'!$F$126:$F$503</definedName>
    <definedName name="Applies_Lev3" localSheetId="7">'02 - DD'!$F$186:$F$505</definedName>
    <definedName name="Applies_Lev3" localSheetId="8">'03 - 50% CD'!$F$180:$F$498</definedName>
    <definedName name="Applies_Lev3" localSheetId="9">'04 - 95% CD'!$F$180:$F$502</definedName>
    <definedName name="Applies_Lev3" localSheetId="10">'05-BID'!$F$180:$F$610</definedName>
    <definedName name="Applies_Lev3" localSheetId="11">'06-CONST'!$F$180:$F$604</definedName>
    <definedName name="Applies_Lev3" localSheetId="12">'07-CLOSEOUT'!$F$180:$F$611</definedName>
    <definedName name="Applies_Lev3" localSheetId="13">'08-POST CONST'!$F$180:$F$610</definedName>
    <definedName name="Applies_Lev3" localSheetId="2">'B-Studies or Concept only'!$F$39:$F$126</definedName>
    <definedName name="Applies_MLD_50CD" localSheetId="8">'C-Design&amp;Const'!$M$25</definedName>
    <definedName name="Applies_MLD_95CD" localSheetId="9">'C-Design&amp;Const'!$O$25</definedName>
    <definedName name="Applies_MLD_Bid" localSheetId="10">'C-Design&amp;Const'!$Q$25</definedName>
    <definedName name="Applies_MLD_CLOSEOUT" localSheetId="12">'C-Design&amp;Const'!$U$25</definedName>
    <definedName name="Applies_MLD_Concept" localSheetId="5">'C-Design&amp;Const'!$G$25</definedName>
    <definedName name="Applies_MLD_CONST" localSheetId="11">'C-Design&amp;Const'!$S$25</definedName>
    <definedName name="Applies_MLD_DD" localSheetId="7">'C-Design&amp;Const'!$K$25</definedName>
    <definedName name="Applies_MLD_Feas_Concept_Only" localSheetId="2">'B-Studies or Concept only'!$D$25</definedName>
    <definedName name="Applies_MLD_POST_CONST" localSheetId="13">'C-Design&amp;Const'!$W$25</definedName>
    <definedName name="Applies_MLD_SD" localSheetId="6">'C-Design&amp;Const'!$I$25</definedName>
    <definedName name="Applies_Presentation_50CD" localSheetId="8">'C-Design&amp;Const'!$M$385</definedName>
    <definedName name="Applies_Presentation_95CD" localSheetId="9">'C-Design&amp;Const'!$O$385</definedName>
    <definedName name="Applies_Presentation_BID" localSheetId="10">'C-Design&amp;Const'!$Q$385</definedName>
    <definedName name="Applies_Presentation_CLOSEOUT" localSheetId="12">'C-Design&amp;Const'!$U$382</definedName>
    <definedName name="Applies_Presentation_Concept" localSheetId="5">'C-Design&amp;Const'!$G$385</definedName>
    <definedName name="Applies_Presentation_CONST" localSheetId="11">'C-Design&amp;Const'!$S$385</definedName>
    <definedName name="Applies_Presentation_DD" localSheetId="7">'C-Design&amp;Const'!$K$385</definedName>
    <definedName name="Applies_Presentation_Feas_Concept_Only" localSheetId="2">'B-Studies or Concept only'!$D$407</definedName>
    <definedName name="Applies_Presentation_POST_CONST" localSheetId="13">'C-Design&amp;Const'!$W$385</definedName>
    <definedName name="Applies_Presentation_SD" localSheetId="6">'C-Design&amp;Const'!$I$385</definedName>
    <definedName name="Applies_ProjectManual_50CD" localSheetId="8">'C-Design&amp;Const'!$M$180</definedName>
    <definedName name="Applies_ProjectManual_95CD" localSheetId="9">'C-Design&amp;Const'!$O$180</definedName>
    <definedName name="Applies_ProjectManual_BID" localSheetId="10">'C-Design&amp;Const'!$Q$180</definedName>
    <definedName name="Applies_ProjectManual_CLOSEOUT" localSheetId="12">'C-Design&amp;Const'!$U$180</definedName>
    <definedName name="Applies_ProjectManual_Concept" localSheetId="5">'C-Design&amp;Const'!$G$180</definedName>
    <definedName name="Applies_ProjectManual_CONST" localSheetId="11">'C-Design&amp;Const'!$S$180</definedName>
    <definedName name="Applies_ProjectManual_DD" localSheetId="7">'C-Design&amp;Const'!$K$180</definedName>
    <definedName name="Applies_ProjectManual_Feas_Conept_Only" localSheetId="2">'B-Studies or Concept only'!$D$265</definedName>
    <definedName name="Applies_ProjectManual_POST_CONST" localSheetId="13">'C-Design&amp;Const'!$W$180</definedName>
    <definedName name="Applies_ProjectManual_SD" localSheetId="6">'C-Design&amp;Const'!$I$180</definedName>
    <definedName name="Applies_Responses_50CD" localSheetId="8">'C-Design&amp;Const'!$M$37</definedName>
    <definedName name="Applies_Responses_95CD" localSheetId="9">'C-Design&amp;Const'!$O$37</definedName>
    <definedName name="Applies_Responses_BID" localSheetId="10">'C-Design&amp;Const'!$Q$37</definedName>
    <definedName name="Applies_Responses_CLOSEOUT" localSheetId="12">'C-Design&amp;Const'!$U$37</definedName>
    <definedName name="Applies_Responses_Concept" localSheetId="5">'C-Design&amp;Const'!$G$37</definedName>
    <definedName name="Applies_Responses_CONST" localSheetId="11">'C-Design&amp;Const'!$S$37</definedName>
    <definedName name="Applies_Responses_DD" localSheetId="7">'C-Design&amp;Const'!$K$37</definedName>
    <definedName name="Applies_Responses_Feas_Concept_Only" localSheetId="2">'B-Studies or Concept only'!$D$37</definedName>
    <definedName name="Applies_Responses_POST_CONST" localSheetId="13">'C-Design&amp;Const'!$W$37</definedName>
    <definedName name="Applies_Responses_SD" localSheetId="6">'C-Design&amp;Const'!$I$37</definedName>
    <definedName name="Applies_Rpt_Type1_Feas_Concept_Only" localSheetId="2">'B-Studies or Concept only'!$E$41</definedName>
    <definedName name="Applies_Rpt_Type2_Feas_Concept_Only" localSheetId="2">'B-Studies or Concept only'!$E$155</definedName>
    <definedName name="Applies_Rpt_Type3_Feas_Concept_Only" localSheetId="2">'B-Studies or Concept only'!$E$179</definedName>
    <definedName name="Applies_Rpt_Type4_Feas_Concept_Only" localSheetId="2">'B-Studies or Concept only'!$E$199</definedName>
    <definedName name="Applies_Schedule_50CD" localSheetId="8">'C-Design&amp;Const'!$M$32</definedName>
    <definedName name="Applies_Schedule_95CD" localSheetId="9">'C-Design&amp;Const'!$O$32</definedName>
    <definedName name="Applies_Schedule_BID" localSheetId="10">'C-Design&amp;Const'!$Q$32</definedName>
    <definedName name="Applies_Schedule_CLOSEOUT" localSheetId="12">'C-Design&amp;Const'!$U$32</definedName>
    <definedName name="Applies_Schedule_Concept" localSheetId="5">'C-Design&amp;Const'!$G$32</definedName>
    <definedName name="Applies_Schedule_CONST" localSheetId="11">'C-Design&amp;Const'!$S$32</definedName>
    <definedName name="Applies_Schedule_DD" localSheetId="7">'C-Design&amp;Const'!$K$32</definedName>
    <definedName name="Applies_Schedule_Feas_Concept_Only" localSheetId="2">'B-Studies or Concept only'!$D$32</definedName>
    <definedName name="Applies_Schedule_POST_CONST" localSheetId="13">'C-Design&amp;Const'!$W$32</definedName>
    <definedName name="Applies_Schedule_SD" localSheetId="6">'C-Design&amp;Const'!$I$32</definedName>
    <definedName name="bid_apply">'A-Info, Phases, Recip.'!$O$12</definedName>
    <definedName name="Bid_Award_Item_10">'PSC Transmittal Guidance'!$H$96</definedName>
    <definedName name="Bid_Award_Item_11">'PSC Transmittal Guidance'!$H$97</definedName>
    <definedName name="Bid_Award_Item_12">'PSC Transmittal Guidance'!$H$98</definedName>
    <definedName name="Bid_Award_Item_13">'PSC Transmittal Guidance'!$H$99</definedName>
    <definedName name="Bid_placeholder">'A-Info, Phases, Recip.'!$O$13</definedName>
    <definedName name="Bldg_No_or_Utility">'A-Info, Phases, Recip.'!$C$8</definedName>
    <definedName name="BOT_project">'A-Info, Phases, Recip.'!$K$8</definedName>
    <definedName name="CD50_apply">'A-Info, Phases, Recip.'!$M$12</definedName>
    <definedName name="CD95_apply">'A-Info, Phases, Recip.'!$N$12</definedName>
    <definedName name="CDB_Project">'A-Info, Phases, Recip.'!$O$8</definedName>
    <definedName name="Choice_50CD" localSheetId="3">'C-Design&amp;Const'!$M$23:$M$564</definedName>
    <definedName name="Choice_95CD" localSheetId="3">'C-Design&amp;Const'!$O$23:$O$564</definedName>
    <definedName name="Choice_Bid" localSheetId="3">'C-Design&amp;Const'!$Q$23:$Q$564</definedName>
    <definedName name="Choice_Closeout" localSheetId="3">'C-Design&amp;Const'!$U$23:$U$564</definedName>
    <definedName name="Choice_Concept" localSheetId="3">'C-Design&amp;Const'!$G$23:$G$564</definedName>
    <definedName name="Choice_Const" localSheetId="3">'C-Design&amp;Const'!$S$23:$S$564</definedName>
    <definedName name="Choice_DD">'C-Design&amp;Const'!$K$23:$K$564</definedName>
    <definedName name="Choice_Post_Const" localSheetId="3">'C-Design&amp;Const'!$W$23:$W$564</definedName>
    <definedName name="Choice_SD" localSheetId="3">'C-Design&amp;Const'!$I$23:$I$564</definedName>
    <definedName name="CITES_CCME_applies" localSheetId="1">'A-Info, Phases, Recip.'!$C$24</definedName>
    <definedName name="CITES_Plant_Design_Applies" localSheetId="1">'A-Info, Phases, Recip.'!$C$22</definedName>
    <definedName name="Close_Out_apply">'A-Info, Phases, Recip.'!$Q$12</definedName>
    <definedName name="Close_Out_Item_30">'PSC Transmittal Guidance'!$H$109</definedName>
    <definedName name="Close_Out_Item_31">'PSC Transmittal Guidance'!$H$110</definedName>
    <definedName name="Close_Out_Item_32" localSheetId="4">'PSC Transmittal Guidance'!$H$111</definedName>
    <definedName name="Close_Out_Item_33">'PSC Transmittal Guidance'!$H$112</definedName>
    <definedName name="Close_Out_placeholder">'A-Info, Phases, Recip.'!$Q$13</definedName>
    <definedName name="Code_Compl_applies" localSheetId="1">'A-Info, Phases, Recip.'!$C$20</definedName>
    <definedName name="Const_apply">'A-Info, Phases, Recip.'!$P$12</definedName>
    <definedName name="Const_Delivery_Method">'A-Info, Phases, Recip.'!$E$6</definedName>
    <definedName name="Const_Item_20">'PSC Transmittal Guidance'!$H$100</definedName>
    <definedName name="Const_Item_21">'PSC Transmittal Guidance'!$H$101</definedName>
    <definedName name="Const_Item_22">'PSC Transmittal Guidance'!$H$102</definedName>
    <definedName name="Const_Item_23">'PSC Transmittal Guidance'!$H$103</definedName>
    <definedName name="Const_Item_24">'PSC Transmittal Guidance'!$H$104</definedName>
    <definedName name="Const_Item_25">'PSC Transmittal Guidance'!$H$105</definedName>
    <definedName name="Const_Item_26">'PSC Transmittal Guidance'!$H$106</definedName>
    <definedName name="Const_Item_27">'PSC Transmittal Guidance'!$H$107</definedName>
    <definedName name="Const_Item_28">'PSC Transmittal Guidance'!$H$108</definedName>
    <definedName name="Const_placeholder">'A-Info, Phases, Recip.'!$P$13</definedName>
    <definedName name="Const_Type">'A-Info, Phases, Recip.'!$E$8</definedName>
    <definedName name="Construction">'A-Info, Phases, Recip.'!$O$11</definedName>
    <definedName name="Date_edited_TAB_C">'C-Design&amp;Const'!$I$17</definedName>
    <definedName name="DD_apply">'A-Info, Phases, Recip.'!$L$12</definedName>
    <definedName name="DD_placeholder">'A-Info, Phases, Recip.'!$L$13</definedName>
    <definedName name="Design">'A-Info, Phases, Recip.'!$K$11</definedName>
    <definedName name="Edit_by_Entity_TAB_C">'C-Design&amp;Const'!$P$17</definedName>
    <definedName name="Editor_Name_TAB_C">'C-Design&amp;Const'!$Z$17</definedName>
    <definedName name="Feas_Concpt_Percent" localSheetId="1">'A-Info, Phases, Recip.'!$C$127:$C$129</definedName>
    <definedName name="Feasibility_Concept">'A-Info, Phases, Recip.'!$F$11</definedName>
    <definedName name="Form_Update">'A-Info, Phases, Recip.'!$U$1</definedName>
    <definedName name="ISHPO_Project">'A-Info, Phases, Recip.'!$M$8</definedName>
    <definedName name="Item_00">'PSC Transmittal Guidance'!$H$83</definedName>
    <definedName name="Item_01">'PSC Transmittal Guidance'!$H$84</definedName>
    <definedName name="Item_02">'PSC Transmittal Guidance'!$H$85</definedName>
    <definedName name="Item_03">'PSC Transmittal Guidance'!$H$86</definedName>
    <definedName name="Item_04a">'PSC Transmittal Guidance'!$H$87</definedName>
    <definedName name="Item_04b">'PSC Transmittal Guidance'!$H$88</definedName>
    <definedName name="Item_05a">'PSC Transmittal Guidance'!$H$89</definedName>
    <definedName name="Item_05b">'PSC Transmittal Guidance'!$H$90</definedName>
    <definedName name="Item_06">'PSC Transmittal Guidance'!$H$91</definedName>
    <definedName name="Item_07a">'PSC Transmittal Guidance'!$H$92</definedName>
    <definedName name="Item_07b">'PSC Transmittal Guidance'!$H$93</definedName>
    <definedName name="Item_08">'PSC Transmittal Guidance'!$H$94</definedName>
    <definedName name="Item_09">'PSC Transmittal Guidance'!$H$95</definedName>
    <definedName name="Item_apply_50CD" localSheetId="3">'C-Design&amp;Const'!$M$23:$M$567</definedName>
    <definedName name="Item_apply_95CD">'C-Design&amp;Const'!$O$23:$O$567</definedName>
    <definedName name="Item_Apply_Bid" localSheetId="3">'C-Design&amp;Const'!$Q$23:$Q$567</definedName>
    <definedName name="Item_apply_closeout" localSheetId="3">'C-Design&amp;Const'!$U$23:$U$567</definedName>
    <definedName name="Item_apply_concept" localSheetId="3">'C-Design&amp;Const'!$G$23:$G$567</definedName>
    <definedName name="Item_apply_Const" localSheetId="3">'C-Design&amp;Const'!$S$23:$S$567</definedName>
    <definedName name="Item_apply_DD">'C-Design&amp;Const'!$K$23:$K$567</definedName>
    <definedName name="Item_apply_SD" localSheetId="3">'C-Design&amp;Const'!$I$23:$I$567</definedName>
    <definedName name="LEED_Goal">'A-Info, Phases, Recip.'!$E$10</definedName>
    <definedName name="Parking_Applies" localSheetId="1">'A-Info, Phases, Recip.'!$C$28</definedName>
    <definedName name="Phase_dropdown" localSheetId="4">'PSC Transmittal Guidance'!$F$13</definedName>
    <definedName name="Planner_Name">'A-Info, Phases, Recip.'!$G$8</definedName>
    <definedName name="PM_Name">'A-Info, Phases, Recip.'!$Q$8</definedName>
    <definedName name="PM_Planner_Applies" localSheetId="1">'A-Info, Phases, Recip.'!$C$16</definedName>
    <definedName name="Post_Const_Apply">'A-Info, Phases, Recip.'!$R$12</definedName>
    <definedName name="Post_Const_Item_40">'PSC Transmittal Guidance'!$H$113</definedName>
    <definedName name="Post_Const_Item_41">'PSC Transmittal Guidance'!$H$114</definedName>
    <definedName name="Post_Const_Item_42">'PSC Transmittal Guidance'!$H$115</definedName>
    <definedName name="Post_Const_Item_43">'PSC Transmittal Guidance'!$H$116</definedName>
    <definedName name="Post_Const_placeholder">'A-Info, Phases, Recip.'!$R$13</definedName>
    <definedName name="_xlnm.Print_Area" localSheetId="5">'00 - Concept.'!$C$15:$H$451</definedName>
    <definedName name="_xlnm.Print_Area" localSheetId="6">'01 - SD'!$C$15:$H$454</definedName>
    <definedName name="_xlnm.Print_Area" localSheetId="7">'02 - DD'!$C$15:$H$454</definedName>
    <definedName name="_xlnm.Print_Area" localSheetId="8">'03 - 50% CD'!$C$15:$H$455</definedName>
    <definedName name="_xlnm.Print_Area" localSheetId="9">'04 - 95% CD'!$C$15:$H$455</definedName>
    <definedName name="_xlnm.Print_Area" localSheetId="10">'05-BID'!$C$15:$H$564</definedName>
    <definedName name="_xlnm.Print_Area" localSheetId="11">'06-CONST'!$C$15:$H$564</definedName>
    <definedName name="_xlnm.Print_Area" localSheetId="12">'07-CLOSEOUT'!$C$15:$H$564</definedName>
    <definedName name="_xlnm.Print_Area" localSheetId="13">'08-POST CONST'!$C$15:$H$564</definedName>
    <definedName name="_xlnm.Print_Area" localSheetId="1">'A-Info, Phases, Recip.'!$C$4:$S$71</definedName>
    <definedName name="_xlnm.Print_Area" localSheetId="2">'B-Studies or Concept only'!$C$15:$H$463</definedName>
    <definedName name="_xlnm.Print_Area" localSheetId="3">'C-Design&amp;Const'!$G$17:$AB$564</definedName>
    <definedName name="_xlnm.Print_Area" localSheetId="4">'PSC Transmittal Guidance'!$E$3:$J$72</definedName>
    <definedName name="_xlnm.Print_Area" localSheetId="0">'START - Guidance'!$B$3:$D$35</definedName>
    <definedName name="_xlnm.Print_Titles" localSheetId="5">'00 - Concept.'!$15:$24</definedName>
    <definedName name="_xlnm.Print_Titles" localSheetId="6">'01 - SD'!$15:$24</definedName>
    <definedName name="_xlnm.Print_Titles" localSheetId="7">'02 - DD'!$15:$24</definedName>
    <definedName name="_xlnm.Print_Titles" localSheetId="8">'03 - 50% CD'!$15:$24</definedName>
    <definedName name="_xlnm.Print_Titles" localSheetId="9">'04 - 95% CD'!$15:$24</definedName>
    <definedName name="_xlnm.Print_Titles" localSheetId="10">'05-BID'!$15:$24</definedName>
    <definedName name="_xlnm.Print_Titles" localSheetId="11">'06-CONST'!$15:$24</definedName>
    <definedName name="_xlnm.Print_Titles" localSheetId="12">'07-CLOSEOUT'!$15:$24</definedName>
    <definedName name="_xlnm.Print_Titles" localSheetId="13">'08-POST CONST'!$15:$24</definedName>
    <definedName name="_xlnm.Print_Titles" localSheetId="2">'B-Studies or Concept only'!$15:$24</definedName>
    <definedName name="_xlnm.Print_Titles" localSheetId="3">'C-Design&amp;Const'!$17:$23</definedName>
    <definedName name="_xlnm.Print_Titles" localSheetId="0">'START - Guidance'!$5:$10</definedName>
    <definedName name="Proj_College_Applies" localSheetId="1">'A-Info, Phases, Recip.'!$C$32</definedName>
    <definedName name="Proj_Department_Applies" localSheetId="1">'A-Info, Phases, Recip.'!$C$30</definedName>
    <definedName name="Proj_email_only_recipients" localSheetId="1">'A-Info, Phases, Recip.'!$C$36</definedName>
    <definedName name="Proj_Other_Recipient_Applies" localSheetId="1">'A-Info, Phases, Recip.'!$C$34</definedName>
    <definedName name="Project_Name">'A-Info, Phases, Recip.'!$G$6</definedName>
    <definedName name="Project_No">'A-Info, Phases, Recip.'!$S$6</definedName>
    <definedName name="Public_Safety_Applies" localSheetId="1">'A-Info, Phases, Recip.'!$C$26</definedName>
    <definedName name="Quality_assurance_applies" localSheetId="1">'A-Info, Phases, Recip.'!$C$18</definedName>
    <definedName name="SD_apply">'A-Info, Phases, Recip.'!$K$12</definedName>
    <definedName name="SD_placeholder">'A-Info, Phases, Recip.'!$K$13</definedName>
  </definedNames>
  <calcPr calcId="162913"/>
</workbook>
</file>

<file path=xl/calcChain.xml><?xml version="1.0" encoding="utf-8"?>
<calcChain xmlns="http://schemas.openxmlformats.org/spreadsheetml/2006/main">
  <c r="AH30" i="21" l="1"/>
  <c r="AG30" i="21"/>
  <c r="AF30" i="21"/>
  <c r="AE30" i="21"/>
  <c r="AH29" i="21"/>
  <c r="AG29" i="21"/>
  <c r="AF29" i="21"/>
  <c r="AE29" i="21"/>
  <c r="AH28" i="21"/>
  <c r="AG28" i="21"/>
  <c r="AF28" i="21"/>
  <c r="AE28" i="21"/>
  <c r="AH35" i="21"/>
  <c r="AG35" i="21"/>
  <c r="AF35" i="21"/>
  <c r="AE35" i="21"/>
  <c r="AH34" i="21"/>
  <c r="AG34" i="21"/>
  <c r="AF34" i="21"/>
  <c r="AE34" i="21"/>
  <c r="AH33" i="21"/>
  <c r="AG33" i="21"/>
  <c r="AF33" i="21"/>
  <c r="AE33" i="21"/>
  <c r="D27" i="15" l="1"/>
  <c r="D32" i="8"/>
  <c r="E34" i="8"/>
  <c r="E35" i="2"/>
  <c r="D32" i="2"/>
  <c r="AU112" i="10" l="1"/>
  <c r="AU110" i="10"/>
  <c r="AU109" i="10"/>
  <c r="AU94" i="10"/>
  <c r="AU91" i="10"/>
  <c r="AU92" i="10"/>
  <c r="AU93" i="10" l="1"/>
  <c r="AU111" i="10"/>
  <c r="E36" i="21" l="1"/>
  <c r="E38" i="21"/>
  <c r="E30" i="19"/>
  <c r="K30" i="19" s="1"/>
  <c r="E29" i="19"/>
  <c r="H29" i="19" s="1"/>
  <c r="E28" i="19"/>
  <c r="K28" i="19" s="1"/>
  <c r="E35" i="19"/>
  <c r="H35" i="19" s="1"/>
  <c r="E34" i="19"/>
  <c r="H34" i="19" s="1"/>
  <c r="E33" i="19"/>
  <c r="H33" i="19" s="1"/>
  <c r="J30" i="17"/>
  <c r="E30" i="17"/>
  <c r="H30" i="17" s="1"/>
  <c r="J29" i="17"/>
  <c r="E29" i="17"/>
  <c r="H29" i="17" s="1"/>
  <c r="J28" i="17"/>
  <c r="E28" i="17"/>
  <c r="H28" i="17" s="1"/>
  <c r="J35" i="17"/>
  <c r="E35" i="17"/>
  <c r="K35" i="17" s="1"/>
  <c r="J34" i="17"/>
  <c r="E34" i="17"/>
  <c r="K34" i="17" s="1"/>
  <c r="J33" i="17"/>
  <c r="E33" i="17"/>
  <c r="K33" i="17" s="1"/>
  <c r="K30" i="15"/>
  <c r="J30" i="15"/>
  <c r="E30" i="15"/>
  <c r="H30" i="15" s="1"/>
  <c r="J29" i="15"/>
  <c r="E29" i="15"/>
  <c r="H29" i="15" s="1"/>
  <c r="J28" i="15"/>
  <c r="E28" i="15"/>
  <c r="H28" i="15" s="1"/>
  <c r="K35" i="15"/>
  <c r="J35" i="15"/>
  <c r="E35" i="15"/>
  <c r="H35" i="15" s="1"/>
  <c r="J34" i="15"/>
  <c r="E34" i="15"/>
  <c r="H34" i="15" s="1"/>
  <c r="J33" i="15"/>
  <c r="E33" i="15"/>
  <c r="K33" i="15" s="1"/>
  <c r="K30" i="14"/>
  <c r="J30" i="14"/>
  <c r="E30" i="14"/>
  <c r="H30" i="14" s="1"/>
  <c r="J29" i="14"/>
  <c r="E29" i="14"/>
  <c r="H29" i="14" s="1"/>
  <c r="J28" i="14"/>
  <c r="E28" i="14"/>
  <c r="H28" i="14" s="1"/>
  <c r="J35" i="14"/>
  <c r="E35" i="14"/>
  <c r="H35" i="14" s="1"/>
  <c r="J34" i="14"/>
  <c r="E34" i="14"/>
  <c r="H34" i="14" s="1"/>
  <c r="J33" i="14"/>
  <c r="E33" i="14"/>
  <c r="H33" i="14" s="1"/>
  <c r="J30" i="8"/>
  <c r="E30" i="8"/>
  <c r="H30" i="8" s="1"/>
  <c r="J29" i="8"/>
  <c r="E29" i="8"/>
  <c r="H29" i="8" s="1"/>
  <c r="J28" i="8"/>
  <c r="E28" i="8"/>
  <c r="H28" i="8" s="1"/>
  <c r="J35" i="8"/>
  <c r="E35" i="8"/>
  <c r="H35" i="8" s="1"/>
  <c r="J34" i="8"/>
  <c r="H34" i="8"/>
  <c r="J33" i="8"/>
  <c r="E33" i="8"/>
  <c r="H33" i="8" s="1"/>
  <c r="J30" i="7"/>
  <c r="E30" i="7"/>
  <c r="H30" i="7" s="1"/>
  <c r="J29" i="7"/>
  <c r="E29" i="7"/>
  <c r="H29" i="7" s="1"/>
  <c r="J28" i="7"/>
  <c r="E28" i="7"/>
  <c r="H28" i="7" s="1"/>
  <c r="J35" i="7"/>
  <c r="E35" i="7"/>
  <c r="H35" i="7" s="1"/>
  <c r="J34" i="7"/>
  <c r="E34" i="7"/>
  <c r="H34" i="7" s="1"/>
  <c r="J33" i="7"/>
  <c r="E33" i="7"/>
  <c r="H33" i="7" s="1"/>
  <c r="J28" i="2"/>
  <c r="J29" i="2"/>
  <c r="J30" i="2"/>
  <c r="J31" i="2"/>
  <c r="J32" i="2"/>
  <c r="J33" i="2"/>
  <c r="J34" i="2"/>
  <c r="J35" i="2"/>
  <c r="J28" i="5"/>
  <c r="J29" i="5"/>
  <c r="J30" i="5"/>
  <c r="J31" i="5"/>
  <c r="J33" i="5"/>
  <c r="J34" i="5"/>
  <c r="J35" i="5"/>
  <c r="K28" i="6"/>
  <c r="J33" i="6"/>
  <c r="J34" i="6"/>
  <c r="J35" i="6"/>
  <c r="J28" i="6"/>
  <c r="J29" i="6"/>
  <c r="J30" i="6"/>
  <c r="E30" i="6"/>
  <c r="H30" i="6" s="1"/>
  <c r="E29" i="6"/>
  <c r="H29" i="6" s="1"/>
  <c r="E28" i="6"/>
  <c r="H28" i="6" s="1"/>
  <c r="E35" i="6"/>
  <c r="H35" i="6" s="1"/>
  <c r="E34" i="6"/>
  <c r="E33" i="6"/>
  <c r="E30" i="5"/>
  <c r="H30" i="5" s="1"/>
  <c r="E29" i="5"/>
  <c r="E28" i="5"/>
  <c r="E35" i="5"/>
  <c r="H35" i="5" s="1"/>
  <c r="E34" i="5"/>
  <c r="H34" i="5" s="1"/>
  <c r="E33" i="5"/>
  <c r="H33" i="5" s="1"/>
  <c r="H35" i="2"/>
  <c r="E34" i="2"/>
  <c r="H34" i="2" s="1"/>
  <c r="E33" i="2"/>
  <c r="H33" i="2" s="1"/>
  <c r="E30" i="2"/>
  <c r="H30" i="2" s="1"/>
  <c r="E29" i="2"/>
  <c r="H29" i="2" s="1"/>
  <c r="E28" i="2"/>
  <c r="H28" i="2" s="1"/>
  <c r="H28" i="5" l="1"/>
  <c r="H29" i="5"/>
  <c r="H33" i="6"/>
  <c r="H34" i="6"/>
  <c r="K34" i="19"/>
  <c r="H33" i="15"/>
  <c r="K30" i="6"/>
  <c r="K33" i="8"/>
  <c r="K35" i="19"/>
  <c r="K29" i="15"/>
  <c r="K35" i="6"/>
  <c r="K33" i="6"/>
  <c r="K28" i="8"/>
  <c r="K29" i="7"/>
  <c r="K33" i="14"/>
  <c r="K28" i="14"/>
  <c r="K30" i="17"/>
  <c r="K35" i="7"/>
  <c r="K29" i="8"/>
  <c r="K28" i="17"/>
  <c r="H30" i="19"/>
  <c r="K29" i="6"/>
  <c r="K34" i="8"/>
  <c r="K30" i="7"/>
  <c r="K29" i="14"/>
  <c r="K28" i="15"/>
  <c r="K35" i="8"/>
  <c r="K33" i="7"/>
  <c r="K28" i="7"/>
  <c r="K30" i="8"/>
  <c r="K35" i="14"/>
  <c r="K29" i="17"/>
  <c r="K34" i="15"/>
  <c r="K34" i="6"/>
  <c r="K34" i="7"/>
  <c r="K34" i="14"/>
  <c r="H28" i="19"/>
  <c r="K29" i="19"/>
  <c r="K33" i="19"/>
  <c r="H34" i="17"/>
  <c r="H33" i="17"/>
  <c r="H35" i="17"/>
  <c r="E204" i="15" l="1"/>
  <c r="E203" i="15"/>
  <c r="E202" i="15"/>
  <c r="E201" i="15"/>
  <c r="E200" i="15"/>
  <c r="E199" i="15"/>
  <c r="E198" i="15"/>
  <c r="E197" i="15"/>
  <c r="E204" i="14"/>
  <c r="E203" i="14"/>
  <c r="E202" i="14"/>
  <c r="E201" i="14"/>
  <c r="E200" i="14"/>
  <c r="E199" i="14"/>
  <c r="E198" i="14"/>
  <c r="E197" i="14"/>
  <c r="H36" i="10" l="1"/>
  <c r="J36" i="10" s="1"/>
  <c r="W36" i="10" l="1"/>
  <c r="F36" i="10"/>
  <c r="C35" i="10"/>
  <c r="C36" i="10"/>
  <c r="A36" i="1"/>
  <c r="F69" i="10" l="1"/>
  <c r="E130" i="1" l="1"/>
  <c r="E129" i="1"/>
  <c r="E128" i="1"/>
  <c r="E127" i="1"/>
  <c r="E126" i="1"/>
  <c r="AU95" i="10" l="1"/>
  <c r="BC83" i="10" l="1"/>
  <c r="BC84" i="10"/>
  <c r="BC85" i="10"/>
  <c r="BC87" i="10"/>
  <c r="BC88" i="10"/>
  <c r="BC89" i="10"/>
  <c r="BC90" i="10"/>
  <c r="BC91" i="10"/>
  <c r="BC92" i="10"/>
  <c r="BC93" i="10"/>
  <c r="AY83" i="10" l="1"/>
  <c r="AZ83" i="10"/>
  <c r="BA83" i="10"/>
  <c r="BB83" i="10"/>
  <c r="AY84" i="10"/>
  <c r="AZ84" i="10"/>
  <c r="BA84" i="10"/>
  <c r="BB84" i="10"/>
  <c r="BB85" i="10"/>
  <c r="BB87" i="10"/>
  <c r="BB88" i="10"/>
  <c r="BB89" i="10"/>
  <c r="BB90" i="10"/>
  <c r="AY91" i="10"/>
  <c r="AZ91" i="10"/>
  <c r="BA91" i="10"/>
  <c r="BB91" i="10"/>
  <c r="AY92" i="10"/>
  <c r="AZ92" i="10"/>
  <c r="BA92" i="10"/>
  <c r="BB92" i="10"/>
  <c r="AY93" i="10"/>
  <c r="AZ93" i="10"/>
  <c r="BA93" i="10"/>
  <c r="BB93" i="10"/>
  <c r="AX93" i="10"/>
  <c r="AX92" i="10"/>
  <c r="AX91" i="10"/>
  <c r="AX90" i="10"/>
  <c r="AX89" i="10"/>
  <c r="AX84" i="10"/>
  <c r="AX83" i="10"/>
  <c r="AU78" i="10"/>
  <c r="AT78" i="10"/>
  <c r="AH145" i="21" l="1"/>
  <c r="AG145" i="21"/>
  <c r="AF145" i="21"/>
  <c r="AH144" i="21"/>
  <c r="AG144" i="21"/>
  <c r="AF144" i="21"/>
  <c r="AH143" i="21"/>
  <c r="AG143" i="21"/>
  <c r="AF143" i="21"/>
  <c r="AH141" i="21"/>
  <c r="AG141" i="21"/>
  <c r="AF141" i="21"/>
  <c r="AH139" i="21"/>
  <c r="AG139" i="21"/>
  <c r="AF139" i="21"/>
  <c r="C16" i="11" l="1"/>
  <c r="E5" i="10" l="1"/>
  <c r="G19" i="21" l="1"/>
  <c r="F228" i="2" l="1"/>
  <c r="H228" i="2" s="1"/>
  <c r="F228" i="19" l="1"/>
  <c r="K228" i="19" s="1"/>
  <c r="J228" i="17"/>
  <c r="F228" i="17"/>
  <c r="J228" i="15"/>
  <c r="F228" i="15"/>
  <c r="K228" i="15" s="1"/>
  <c r="J228" i="14"/>
  <c r="F228" i="14"/>
  <c r="H228" i="14" s="1"/>
  <c r="L228" i="14" s="1"/>
  <c r="J228" i="8"/>
  <c r="F228" i="8"/>
  <c r="J228" i="7"/>
  <c r="F228" i="7"/>
  <c r="J228" i="6"/>
  <c r="F228" i="6"/>
  <c r="F228" i="5"/>
  <c r="H228" i="5" s="1"/>
  <c r="L228" i="5" s="1"/>
  <c r="K228" i="5"/>
  <c r="J228" i="5"/>
  <c r="H228" i="17" l="1"/>
  <c r="L228" i="17" s="1"/>
  <c r="K228" i="7"/>
  <c r="K228" i="6"/>
  <c r="K228" i="14"/>
  <c r="K228" i="8"/>
  <c r="H228" i="8"/>
  <c r="L228" i="8" s="1"/>
  <c r="H228" i="7"/>
  <c r="L228" i="7" s="1"/>
  <c r="H228" i="6"/>
  <c r="L228" i="6" s="1"/>
  <c r="H228" i="15"/>
  <c r="L228" i="15" s="1"/>
  <c r="K228" i="17"/>
  <c r="H228" i="19"/>
  <c r="L228" i="19" s="1"/>
  <c r="AG39" i="21" l="1"/>
  <c r="AZ87" i="10" s="1"/>
  <c r="AF39" i="21"/>
  <c r="AY87" i="10" s="1"/>
  <c r="AG174" i="21"/>
  <c r="AZ90" i="10" s="1"/>
  <c r="AF174" i="21"/>
  <c r="AY90" i="10" s="1"/>
  <c r="AG168" i="21"/>
  <c r="AZ89" i="10" s="1"/>
  <c r="AF168" i="21"/>
  <c r="AY89" i="10" s="1"/>
  <c r="AG126" i="21"/>
  <c r="AZ88" i="10" s="1"/>
  <c r="AF126" i="21"/>
  <c r="AY88" i="10" s="1"/>
  <c r="S11" i="1" l="1"/>
  <c r="T505" i="21" l="1"/>
  <c r="R459" i="21"/>
  <c r="X559" i="21"/>
  <c r="X557" i="21"/>
  <c r="V553" i="21"/>
  <c r="V551" i="21"/>
  <c r="V549" i="21"/>
  <c r="V548" i="21"/>
  <c r="V547" i="21"/>
  <c r="V546" i="21"/>
  <c r="T507" i="21"/>
  <c r="T506" i="21"/>
  <c r="T478" i="21"/>
  <c r="T477" i="21"/>
  <c r="T475" i="21"/>
  <c r="T474" i="21"/>
  <c r="T473" i="21"/>
  <c r="T489" i="21"/>
  <c r="T521" i="21"/>
  <c r="V541" i="21" l="1"/>
  <c r="V540" i="21"/>
  <c r="V539" i="21"/>
  <c r="V538" i="21"/>
  <c r="V537" i="21"/>
  <c r="V536" i="21"/>
  <c r="V535" i="21"/>
  <c r="V534" i="21"/>
  <c r="V533" i="21"/>
  <c r="V532" i="21"/>
  <c r="V531" i="21"/>
  <c r="V530" i="21"/>
  <c r="V529" i="21"/>
  <c r="V527" i="21"/>
  <c r="H263" i="11"/>
  <c r="H262" i="11"/>
  <c r="AU100" i="10" l="1"/>
  <c r="AU108" i="10"/>
  <c r="AU107" i="10"/>
  <c r="AU105" i="10"/>
  <c r="AU104" i="10"/>
  <c r="AU103" i="10"/>
  <c r="AH82" i="21" l="1"/>
  <c r="AG82" i="21"/>
  <c r="AF82" i="21"/>
  <c r="AF58" i="21"/>
  <c r="AG58" i="21"/>
  <c r="AH58" i="21"/>
  <c r="AF59" i="21"/>
  <c r="AG59" i="21"/>
  <c r="AH59" i="21"/>
  <c r="AF60" i="21"/>
  <c r="AG60" i="21"/>
  <c r="AH60" i="21"/>
  <c r="AF61" i="21"/>
  <c r="AG61" i="21"/>
  <c r="AH61" i="21"/>
  <c r="AF62" i="21"/>
  <c r="AG62" i="21"/>
  <c r="AH62" i="21"/>
  <c r="AF63" i="21"/>
  <c r="AG63" i="21"/>
  <c r="AH63" i="21"/>
  <c r="AF64" i="21"/>
  <c r="AG64" i="21"/>
  <c r="AH64" i="21"/>
  <c r="AF65" i="21"/>
  <c r="AG65" i="21"/>
  <c r="AH65" i="21"/>
  <c r="AF66" i="21"/>
  <c r="AG66" i="21"/>
  <c r="AH66" i="21"/>
  <c r="AF67" i="21"/>
  <c r="AG67" i="21"/>
  <c r="AH67" i="21"/>
  <c r="AF68" i="21"/>
  <c r="AG68" i="21"/>
  <c r="AH68" i="21"/>
  <c r="AF69" i="21"/>
  <c r="AG69" i="21"/>
  <c r="AH69" i="21"/>
  <c r="AF70" i="21"/>
  <c r="AG70" i="21"/>
  <c r="AH70" i="21"/>
  <c r="AF71" i="21"/>
  <c r="AG71" i="21"/>
  <c r="AH71" i="21"/>
  <c r="AF72" i="21"/>
  <c r="AG72" i="21"/>
  <c r="AH72" i="21"/>
  <c r="AF73" i="21"/>
  <c r="AG73" i="21"/>
  <c r="AH73" i="21"/>
  <c r="AF74" i="21"/>
  <c r="AG74" i="21"/>
  <c r="AH74" i="21"/>
  <c r="AF75" i="21"/>
  <c r="AG75" i="21"/>
  <c r="AH75" i="21"/>
  <c r="AF76" i="21"/>
  <c r="AG76" i="21"/>
  <c r="AH76" i="21"/>
  <c r="AF77" i="21"/>
  <c r="AG77" i="21"/>
  <c r="AH77" i="21"/>
  <c r="AF78" i="21"/>
  <c r="AG78" i="21"/>
  <c r="AH78" i="21"/>
  <c r="AF79" i="21"/>
  <c r="AG79" i="21"/>
  <c r="AH79" i="21"/>
  <c r="AF80" i="21"/>
  <c r="AG80" i="21"/>
  <c r="AH80" i="21"/>
  <c r="AF81" i="21"/>
  <c r="AG81" i="21"/>
  <c r="AH81" i="21"/>
  <c r="AF83" i="21"/>
  <c r="AG83" i="21"/>
  <c r="AH83" i="21"/>
  <c r="AF84" i="21"/>
  <c r="AG84" i="21"/>
  <c r="AH84" i="21"/>
  <c r="AF85" i="21"/>
  <c r="AG85" i="21"/>
  <c r="AH85" i="21"/>
  <c r="AF86" i="21"/>
  <c r="AG86" i="21"/>
  <c r="AH86" i="21"/>
  <c r="AF87" i="21"/>
  <c r="AG87" i="21"/>
  <c r="AH87" i="21"/>
  <c r="AF88" i="21"/>
  <c r="AG88" i="21"/>
  <c r="AH88" i="21"/>
  <c r="AF89" i="21"/>
  <c r="AG89" i="21"/>
  <c r="AH89" i="21"/>
  <c r="AF90" i="21"/>
  <c r="AG90" i="21"/>
  <c r="AH90" i="21"/>
  <c r="AF91" i="21"/>
  <c r="AG91" i="21"/>
  <c r="AH91" i="21"/>
  <c r="AF92" i="21"/>
  <c r="AG92" i="21"/>
  <c r="AH92" i="21"/>
  <c r="AF93" i="21"/>
  <c r="AG93" i="21"/>
  <c r="AH93" i="21"/>
  <c r="AF94" i="21"/>
  <c r="AG94" i="21"/>
  <c r="AH94" i="21"/>
  <c r="AF95" i="21"/>
  <c r="AG95" i="21"/>
  <c r="AH95" i="21"/>
  <c r="AF96" i="21"/>
  <c r="AG96" i="21"/>
  <c r="AH96" i="21"/>
  <c r="AF97" i="21"/>
  <c r="AG97" i="21"/>
  <c r="AH97" i="21"/>
  <c r="AF98" i="21"/>
  <c r="AG98" i="21"/>
  <c r="AH98" i="21"/>
  <c r="AF99" i="21"/>
  <c r="AG99" i="21"/>
  <c r="AH99" i="21"/>
  <c r="AF100" i="21"/>
  <c r="AG100" i="21"/>
  <c r="AH100" i="21"/>
  <c r="AF101" i="21"/>
  <c r="AG101" i="21"/>
  <c r="AH101" i="21"/>
  <c r="AF102" i="21"/>
  <c r="AG102" i="21"/>
  <c r="AH102" i="21"/>
  <c r="AF103" i="21"/>
  <c r="AG103" i="21"/>
  <c r="AH103" i="21"/>
  <c r="AF104" i="21"/>
  <c r="AG104" i="21"/>
  <c r="AH104" i="21"/>
  <c r="AF105" i="21"/>
  <c r="AG105" i="21"/>
  <c r="AH105" i="21"/>
  <c r="AF106" i="21"/>
  <c r="AG106" i="21"/>
  <c r="AH106" i="21"/>
  <c r="AF107" i="21"/>
  <c r="AG107" i="21"/>
  <c r="AH107" i="21"/>
  <c r="AF108" i="21"/>
  <c r="AG108" i="21"/>
  <c r="AH108" i="21"/>
  <c r="AF109" i="21"/>
  <c r="AG109" i="21"/>
  <c r="AH109" i="21"/>
  <c r="AF110" i="21"/>
  <c r="AG110" i="21"/>
  <c r="AH110" i="21"/>
  <c r="AF111" i="21"/>
  <c r="AG111" i="21"/>
  <c r="AH111" i="21"/>
  <c r="AF112" i="21"/>
  <c r="AG112" i="21"/>
  <c r="AH112" i="21"/>
  <c r="AF113" i="21"/>
  <c r="AG113" i="21"/>
  <c r="AH113" i="21"/>
  <c r="AF114" i="21"/>
  <c r="AG114" i="21"/>
  <c r="AH114" i="21"/>
  <c r="AF115" i="21"/>
  <c r="AG115" i="21"/>
  <c r="AH115" i="21"/>
  <c r="AF116" i="21"/>
  <c r="AG116" i="21"/>
  <c r="AH116" i="21"/>
  <c r="AF117" i="21"/>
  <c r="AG117" i="21"/>
  <c r="AH117" i="21"/>
  <c r="AF118" i="21"/>
  <c r="AG118" i="21"/>
  <c r="AH118" i="21"/>
  <c r="AF119" i="21"/>
  <c r="AG119" i="21"/>
  <c r="AH119" i="21"/>
  <c r="AF120" i="21"/>
  <c r="AG120" i="21"/>
  <c r="AH120" i="21"/>
  <c r="AF121" i="21"/>
  <c r="AG121" i="21"/>
  <c r="AH121" i="21"/>
  <c r="AF122" i="21"/>
  <c r="AG122" i="21"/>
  <c r="AH122" i="21"/>
  <c r="AF123" i="21"/>
  <c r="AG123" i="21"/>
  <c r="AH123" i="21"/>
  <c r="AF124" i="21"/>
  <c r="AG124" i="21"/>
  <c r="AH124" i="21"/>
  <c r="E161" i="1" l="1"/>
  <c r="C571" i="19"/>
  <c r="C571" i="17"/>
  <c r="C571" i="15"/>
  <c r="C571" i="14"/>
  <c r="C462" i="8"/>
  <c r="C462" i="7"/>
  <c r="C463" i="6"/>
  <c r="C462" i="5"/>
  <c r="C454" i="2"/>
  <c r="E120" i="10"/>
  <c r="G579" i="21"/>
  <c r="C469" i="11"/>
  <c r="U11" i="1"/>
  <c r="O10" i="1" l="1"/>
  <c r="H108" i="10" l="1"/>
  <c r="H107" i="10"/>
  <c r="H106" i="10"/>
  <c r="G523" i="19"/>
  <c r="D523" i="19"/>
  <c r="H523" i="19" s="1"/>
  <c r="G521" i="19"/>
  <c r="D521" i="19"/>
  <c r="H521" i="19" s="1"/>
  <c r="G519" i="19"/>
  <c r="D519" i="19"/>
  <c r="H519" i="19" s="1"/>
  <c r="G523" i="17"/>
  <c r="D523" i="17"/>
  <c r="H523" i="17" s="1"/>
  <c r="G521" i="17"/>
  <c r="D521" i="17"/>
  <c r="H521" i="17" s="1"/>
  <c r="G519" i="17"/>
  <c r="D519" i="17"/>
  <c r="H519" i="17" s="1"/>
  <c r="G523" i="15"/>
  <c r="D523" i="15"/>
  <c r="G521" i="15"/>
  <c r="D521" i="15"/>
  <c r="G519" i="15"/>
  <c r="D519" i="15"/>
  <c r="G523" i="14"/>
  <c r="D523" i="14"/>
  <c r="H523" i="14" s="1"/>
  <c r="G521" i="14"/>
  <c r="D521" i="14"/>
  <c r="H521" i="14" s="1"/>
  <c r="G519" i="14"/>
  <c r="D519" i="14"/>
  <c r="H519" i="14" s="1"/>
  <c r="H39" i="11" l="1"/>
  <c r="F10" i="1" l="1"/>
  <c r="K10" i="1"/>
  <c r="I22" i="21"/>
  <c r="G20" i="21"/>
  <c r="O14" i="21"/>
  <c r="R80" i="10" s="1"/>
  <c r="M14" i="21"/>
  <c r="Q80" i="10" s="1"/>
  <c r="K14" i="21"/>
  <c r="P80" i="10" s="1"/>
  <c r="I14" i="21"/>
  <c r="E145" i="1"/>
  <c r="E144" i="1"/>
  <c r="E143" i="1"/>
  <c r="E142" i="1"/>
  <c r="E140" i="1"/>
  <c r="E139" i="1"/>
  <c r="E138" i="1"/>
  <c r="E137" i="1"/>
  <c r="E136" i="1"/>
  <c r="E135" i="1"/>
  <c r="E134" i="1"/>
  <c r="E133" i="1"/>
  <c r="E132" i="1"/>
  <c r="E131" i="1"/>
  <c r="W22" i="21"/>
  <c r="U22" i="21"/>
  <c r="S22" i="21"/>
  <c r="Q22" i="21"/>
  <c r="Q14" i="21"/>
  <c r="S80" i="10" s="1"/>
  <c r="S14" i="21"/>
  <c r="T80" i="10" s="1"/>
  <c r="U14" i="21"/>
  <c r="U80" i="10" s="1"/>
  <c r="W14" i="21"/>
  <c r="V80" i="10" s="1"/>
  <c r="Z14" i="21"/>
  <c r="H462" i="11"/>
  <c r="H32" i="10" l="1"/>
  <c r="J32" i="10" s="1"/>
  <c r="H30" i="10"/>
  <c r="J30" i="10" s="1"/>
  <c r="H34" i="10"/>
  <c r="J34" i="10" s="1"/>
  <c r="O80" i="10"/>
  <c r="F63" i="10"/>
  <c r="F61" i="10"/>
  <c r="F62" i="10"/>
  <c r="F60" i="10"/>
  <c r="F59" i="10"/>
  <c r="F58" i="10"/>
  <c r="F57" i="10"/>
  <c r="F56" i="10"/>
  <c r="F55" i="10"/>
  <c r="H60" i="10"/>
  <c r="H59" i="10"/>
  <c r="H83" i="10" l="1"/>
  <c r="G561" i="19"/>
  <c r="G559" i="19"/>
  <c r="G557" i="19"/>
  <c r="G553" i="19"/>
  <c r="G551" i="19"/>
  <c r="G546" i="19"/>
  <c r="G527" i="19"/>
  <c r="G502" i="19"/>
  <c r="G495" i="19"/>
  <c r="G487" i="19"/>
  <c r="G485" i="19"/>
  <c r="G480" i="19"/>
  <c r="G472" i="19"/>
  <c r="G468" i="19"/>
  <c r="G463" i="19"/>
  <c r="G461" i="19"/>
  <c r="G459" i="19"/>
  <c r="G561" i="17"/>
  <c r="G563" i="17"/>
  <c r="G559" i="17"/>
  <c r="G557" i="17"/>
  <c r="G553" i="17"/>
  <c r="G551" i="17"/>
  <c r="G546" i="17"/>
  <c r="G527" i="17"/>
  <c r="G502" i="17"/>
  <c r="G495" i="17"/>
  <c r="G487" i="17"/>
  <c r="G485" i="17"/>
  <c r="G480" i="17"/>
  <c r="G472" i="17"/>
  <c r="G468" i="17"/>
  <c r="G463" i="17"/>
  <c r="G461" i="17"/>
  <c r="G459" i="17"/>
  <c r="G563" i="15"/>
  <c r="G561" i="15"/>
  <c r="G559" i="15"/>
  <c r="G557" i="15"/>
  <c r="G553" i="15"/>
  <c r="G551" i="15"/>
  <c r="G547" i="15"/>
  <c r="G546" i="15"/>
  <c r="G527" i="15"/>
  <c r="G559" i="14"/>
  <c r="G561" i="14"/>
  <c r="G563" i="14"/>
  <c r="G557" i="14"/>
  <c r="G553" i="14"/>
  <c r="G551" i="14"/>
  <c r="G546" i="14"/>
  <c r="G527" i="14"/>
  <c r="L526" i="14"/>
  <c r="L525" i="14"/>
  <c r="G502" i="14"/>
  <c r="G495" i="14"/>
  <c r="G487" i="14"/>
  <c r="G485" i="14"/>
  <c r="G480" i="14"/>
  <c r="G472" i="14"/>
  <c r="H112" i="10"/>
  <c r="H111" i="10"/>
  <c r="H110" i="10"/>
  <c r="H109" i="10"/>
  <c r="V22" i="21"/>
  <c r="Q13" i="1"/>
  <c r="F3" i="19" l="1"/>
  <c r="F3" i="17"/>
  <c r="F3" i="15"/>
  <c r="F3" i="14"/>
  <c r="F3" i="7"/>
  <c r="F3" i="6"/>
  <c r="F3" i="5"/>
  <c r="F3" i="2"/>
  <c r="H407" i="11" l="1"/>
  <c r="D443" i="19" l="1"/>
  <c r="G443" i="19"/>
  <c r="E444" i="19"/>
  <c r="H444" i="19" s="1"/>
  <c r="L444" i="19" s="1"/>
  <c r="E445" i="19"/>
  <c r="E446" i="19"/>
  <c r="H446" i="19" s="1"/>
  <c r="L446" i="19" s="1"/>
  <c r="E447" i="19"/>
  <c r="E448" i="19"/>
  <c r="E449" i="19"/>
  <c r="E450" i="19"/>
  <c r="H450" i="19" s="1"/>
  <c r="L450" i="19" s="1"/>
  <c r="E451" i="19"/>
  <c r="E452" i="19"/>
  <c r="E453" i="19"/>
  <c r="E454" i="19"/>
  <c r="H454" i="19" s="1"/>
  <c r="L454" i="19" s="1"/>
  <c r="L455" i="19"/>
  <c r="H255" i="19"/>
  <c r="F82" i="15"/>
  <c r="H452" i="19" l="1"/>
  <c r="L452" i="19" s="1"/>
  <c r="H443" i="19"/>
  <c r="L443" i="19" s="1"/>
  <c r="H448" i="19"/>
  <c r="L448" i="19" s="1"/>
  <c r="H453" i="19"/>
  <c r="L453" i="19" s="1"/>
  <c r="H451" i="19"/>
  <c r="L451" i="19" s="1"/>
  <c r="H449" i="19"/>
  <c r="L449" i="19" s="1"/>
  <c r="H447" i="19"/>
  <c r="L447" i="19" s="1"/>
  <c r="H445" i="19"/>
  <c r="L445" i="19" s="1"/>
  <c r="F369" i="19"/>
  <c r="H369" i="19" s="1"/>
  <c r="L369" i="19" s="1"/>
  <c r="F368" i="19"/>
  <c r="H368" i="19" s="1"/>
  <c r="L368" i="19" s="1"/>
  <c r="F362" i="19"/>
  <c r="H362" i="19" s="1"/>
  <c r="L362" i="19" s="1"/>
  <c r="F361" i="19"/>
  <c r="H361" i="19" s="1"/>
  <c r="L361" i="19" s="1"/>
  <c r="F354" i="19"/>
  <c r="F353" i="19"/>
  <c r="H353" i="19" s="1"/>
  <c r="L353" i="19" s="1"/>
  <c r="F344" i="19"/>
  <c r="H344" i="19" s="1"/>
  <c r="L344" i="19" s="1"/>
  <c r="F343" i="19"/>
  <c r="H343" i="19" s="1"/>
  <c r="L343" i="19" s="1"/>
  <c r="F336" i="19"/>
  <c r="H336" i="19" s="1"/>
  <c r="L336" i="19" s="1"/>
  <c r="F335" i="19"/>
  <c r="F320" i="19"/>
  <c r="H320" i="19" s="1"/>
  <c r="L320" i="19" s="1"/>
  <c r="F313" i="19"/>
  <c r="H313" i="19" s="1"/>
  <c r="L313" i="19" s="1"/>
  <c r="F303" i="19"/>
  <c r="H303" i="19" s="1"/>
  <c r="L303" i="19" s="1"/>
  <c r="F293" i="19"/>
  <c r="H293" i="19" s="1"/>
  <c r="L293" i="19" s="1"/>
  <c r="F283" i="19"/>
  <c r="H283" i="19" s="1"/>
  <c r="L283" i="19" s="1"/>
  <c r="F274" i="19"/>
  <c r="H274" i="19" s="1"/>
  <c r="L274" i="19" s="1"/>
  <c r="F273" i="19"/>
  <c r="H273" i="19" s="1"/>
  <c r="L273" i="19" s="1"/>
  <c r="F259" i="19"/>
  <c r="H259" i="19" s="1"/>
  <c r="L259" i="19" s="1"/>
  <c r="F258" i="19"/>
  <c r="H258" i="19" s="1"/>
  <c r="L258" i="19" s="1"/>
  <c r="F236" i="19"/>
  <c r="H236" i="19" s="1"/>
  <c r="L236" i="19" s="1"/>
  <c r="F234" i="19"/>
  <c r="H234" i="19" s="1"/>
  <c r="L234" i="19" s="1"/>
  <c r="F221" i="19"/>
  <c r="H221" i="19" s="1"/>
  <c r="L221" i="19" s="1"/>
  <c r="F121" i="19"/>
  <c r="H121" i="19" s="1"/>
  <c r="F118" i="19"/>
  <c r="H118" i="19" s="1"/>
  <c r="F115" i="19"/>
  <c r="H115" i="19" s="1"/>
  <c r="F110" i="19"/>
  <c r="H110" i="19" s="1"/>
  <c r="F101" i="19"/>
  <c r="H101" i="19" s="1"/>
  <c r="F96" i="19"/>
  <c r="H96" i="19" s="1"/>
  <c r="F91" i="19"/>
  <c r="H91" i="19" s="1"/>
  <c r="F83" i="19"/>
  <c r="H83" i="19" s="1"/>
  <c r="F66" i="19"/>
  <c r="H66" i="19" s="1"/>
  <c r="J369" i="17"/>
  <c r="F369" i="17"/>
  <c r="J368" i="17"/>
  <c r="F368" i="17"/>
  <c r="J362" i="17"/>
  <c r="F362" i="17"/>
  <c r="J361" i="17"/>
  <c r="F361" i="17"/>
  <c r="J354" i="17"/>
  <c r="F354" i="17"/>
  <c r="J353" i="17"/>
  <c r="F353" i="17"/>
  <c r="J344" i="17"/>
  <c r="F344" i="17"/>
  <c r="J343" i="17"/>
  <c r="F343" i="17"/>
  <c r="J336" i="17"/>
  <c r="F336" i="17"/>
  <c r="J335" i="17"/>
  <c r="F335" i="17"/>
  <c r="J320" i="17"/>
  <c r="F320" i="17"/>
  <c r="J313" i="17"/>
  <c r="F313" i="17"/>
  <c r="J303" i="17"/>
  <c r="F303" i="17"/>
  <c r="J293" i="17"/>
  <c r="F293" i="17"/>
  <c r="J283" i="17"/>
  <c r="F283" i="17"/>
  <c r="J274" i="17"/>
  <c r="F274" i="17"/>
  <c r="J259" i="17"/>
  <c r="F259" i="17"/>
  <c r="J258" i="17"/>
  <c r="F258" i="17"/>
  <c r="J236" i="17"/>
  <c r="F236" i="17"/>
  <c r="J234" i="17"/>
  <c r="F234" i="17"/>
  <c r="J221" i="17"/>
  <c r="F221" i="17"/>
  <c r="J121" i="17"/>
  <c r="F121" i="17"/>
  <c r="J118" i="17"/>
  <c r="F118" i="17"/>
  <c r="J115" i="17"/>
  <c r="F115" i="17"/>
  <c r="J111" i="17"/>
  <c r="F111" i="17"/>
  <c r="J101" i="17"/>
  <c r="F101" i="17"/>
  <c r="J96" i="17"/>
  <c r="F96" i="17"/>
  <c r="J91" i="17"/>
  <c r="F91" i="17"/>
  <c r="J83" i="17"/>
  <c r="F83" i="17"/>
  <c r="J66" i="17"/>
  <c r="F66" i="17"/>
  <c r="J565" i="15"/>
  <c r="J564" i="15"/>
  <c r="J563" i="15"/>
  <c r="J562" i="15"/>
  <c r="J561" i="15"/>
  <c r="J560" i="15"/>
  <c r="J559" i="15"/>
  <c r="J558" i="15"/>
  <c r="J557" i="15"/>
  <c r="J556" i="15"/>
  <c r="J555" i="15"/>
  <c r="J554" i="15"/>
  <c r="J553" i="15"/>
  <c r="J552" i="15"/>
  <c r="J551" i="15"/>
  <c r="J550" i="15"/>
  <c r="J549" i="15"/>
  <c r="J548" i="15"/>
  <c r="J547" i="15"/>
  <c r="H547" i="15" s="1"/>
  <c r="J546" i="15"/>
  <c r="J545" i="15"/>
  <c r="J544" i="15"/>
  <c r="J543" i="15"/>
  <c r="J542" i="15"/>
  <c r="J541" i="15"/>
  <c r="J540" i="15"/>
  <c r="J539" i="15"/>
  <c r="J538" i="15"/>
  <c r="J537" i="15"/>
  <c r="J536" i="15"/>
  <c r="J535" i="15"/>
  <c r="J534" i="15"/>
  <c r="J533" i="15"/>
  <c r="J532" i="15"/>
  <c r="J531" i="15"/>
  <c r="J530" i="15"/>
  <c r="J529" i="15"/>
  <c r="J528" i="15"/>
  <c r="J527" i="15"/>
  <c r="J524" i="15"/>
  <c r="J523" i="15"/>
  <c r="H523" i="15" s="1"/>
  <c r="J522" i="15"/>
  <c r="J521" i="15"/>
  <c r="H521" i="15" s="1"/>
  <c r="J526" i="15"/>
  <c r="J525" i="15"/>
  <c r="J520" i="15"/>
  <c r="J519" i="15"/>
  <c r="H519" i="15" s="1"/>
  <c r="J518" i="15"/>
  <c r="J517" i="15"/>
  <c r="J516" i="15"/>
  <c r="J515" i="15"/>
  <c r="J514" i="15"/>
  <c r="J513" i="15"/>
  <c r="J512" i="15"/>
  <c r="J511" i="15"/>
  <c r="J510" i="15"/>
  <c r="J509" i="15"/>
  <c r="J508" i="15"/>
  <c r="J507" i="15"/>
  <c r="J506" i="15"/>
  <c r="J505" i="15"/>
  <c r="J504" i="15"/>
  <c r="J503" i="15"/>
  <c r="J502" i="15"/>
  <c r="J501" i="15"/>
  <c r="J500" i="15"/>
  <c r="J499" i="15"/>
  <c r="J498" i="15"/>
  <c r="J497" i="15"/>
  <c r="J496" i="15"/>
  <c r="J495" i="15"/>
  <c r="J494" i="15"/>
  <c r="J493" i="15"/>
  <c r="J492" i="15"/>
  <c r="J491" i="15"/>
  <c r="J490" i="15"/>
  <c r="J489" i="15"/>
  <c r="J488" i="15"/>
  <c r="J487" i="15"/>
  <c r="J486" i="15"/>
  <c r="J485" i="15"/>
  <c r="J484" i="15"/>
  <c r="J483" i="15"/>
  <c r="J482" i="15"/>
  <c r="J481" i="15"/>
  <c r="J480" i="15"/>
  <c r="J479" i="15"/>
  <c r="J478" i="15"/>
  <c r="J477" i="15"/>
  <c r="J476" i="15"/>
  <c r="J475" i="15"/>
  <c r="J474" i="15"/>
  <c r="J473" i="15"/>
  <c r="J472" i="15"/>
  <c r="J471" i="15"/>
  <c r="J470" i="15"/>
  <c r="J469" i="15"/>
  <c r="J468" i="15"/>
  <c r="J467" i="15"/>
  <c r="J466" i="15"/>
  <c r="J465" i="15"/>
  <c r="J464" i="15"/>
  <c r="J463" i="15"/>
  <c r="J462" i="15"/>
  <c r="J461" i="15"/>
  <c r="J460" i="15"/>
  <c r="J459" i="15"/>
  <c r="J458" i="15"/>
  <c r="J457" i="15"/>
  <c r="J456" i="15"/>
  <c r="J455" i="15"/>
  <c r="J454" i="15"/>
  <c r="J453" i="15"/>
  <c r="J452" i="15"/>
  <c r="J451" i="15"/>
  <c r="J450" i="15"/>
  <c r="J449" i="15"/>
  <c r="J448" i="15"/>
  <c r="J447" i="15"/>
  <c r="J446" i="15"/>
  <c r="J445" i="15"/>
  <c r="J444" i="15"/>
  <c r="J443" i="15"/>
  <c r="J442" i="15"/>
  <c r="J441" i="15"/>
  <c r="J440" i="15"/>
  <c r="J439" i="15"/>
  <c r="J438" i="15"/>
  <c r="J437" i="15"/>
  <c r="J436" i="15"/>
  <c r="J435" i="15"/>
  <c r="J434" i="15"/>
  <c r="J433" i="15"/>
  <c r="J432" i="15"/>
  <c r="J431" i="15"/>
  <c r="J430" i="15"/>
  <c r="J429" i="15"/>
  <c r="J428" i="15"/>
  <c r="J427" i="15"/>
  <c r="J426" i="15"/>
  <c r="J425" i="15"/>
  <c r="J424" i="15"/>
  <c r="J423" i="15"/>
  <c r="J422" i="15"/>
  <c r="J421" i="15"/>
  <c r="J420" i="15"/>
  <c r="J419" i="15"/>
  <c r="J418" i="15"/>
  <c r="J417" i="15"/>
  <c r="J416" i="15"/>
  <c r="J415" i="15"/>
  <c r="J414" i="15"/>
  <c r="J413" i="15"/>
  <c r="J412" i="15"/>
  <c r="J411" i="15"/>
  <c r="J410" i="15"/>
  <c r="J409" i="15"/>
  <c r="J408" i="15"/>
  <c r="J407" i="15"/>
  <c r="J406" i="15"/>
  <c r="J405" i="15"/>
  <c r="J404" i="15"/>
  <c r="J403" i="15"/>
  <c r="J402" i="15"/>
  <c r="J401" i="15"/>
  <c r="J400" i="15"/>
  <c r="J399" i="15"/>
  <c r="J398" i="15"/>
  <c r="J397" i="15"/>
  <c r="J396" i="15"/>
  <c r="J395" i="15"/>
  <c r="J394" i="15"/>
  <c r="J393" i="15"/>
  <c r="J392" i="15"/>
  <c r="J391" i="15"/>
  <c r="J390" i="15"/>
  <c r="J389" i="15"/>
  <c r="J388" i="15"/>
  <c r="J387" i="15"/>
  <c r="J386" i="15"/>
  <c r="J385" i="15"/>
  <c r="J384" i="15"/>
  <c r="J383" i="15"/>
  <c r="J382" i="15"/>
  <c r="J381" i="15"/>
  <c r="J369" i="15"/>
  <c r="J368" i="15"/>
  <c r="J367" i="15"/>
  <c r="J366" i="15"/>
  <c r="J365" i="15"/>
  <c r="J364" i="15"/>
  <c r="J363" i="15"/>
  <c r="J362" i="15"/>
  <c r="J361" i="15"/>
  <c r="J360" i="15"/>
  <c r="J359" i="15"/>
  <c r="J358" i="15"/>
  <c r="J357" i="15"/>
  <c r="J356" i="15"/>
  <c r="J355" i="15"/>
  <c r="J354" i="15"/>
  <c r="J353" i="15"/>
  <c r="J352" i="15"/>
  <c r="J351" i="15"/>
  <c r="J350" i="15"/>
  <c r="J349" i="15"/>
  <c r="J348" i="15"/>
  <c r="J347" i="15"/>
  <c r="J346" i="15"/>
  <c r="J345" i="15"/>
  <c r="J344" i="15"/>
  <c r="J343" i="15"/>
  <c r="J342" i="15"/>
  <c r="J341" i="15"/>
  <c r="J340" i="15"/>
  <c r="J339" i="15"/>
  <c r="J338" i="15"/>
  <c r="J337" i="15"/>
  <c r="J336" i="15"/>
  <c r="J335" i="15"/>
  <c r="J334" i="15"/>
  <c r="J333" i="15"/>
  <c r="J332" i="15"/>
  <c r="J331" i="15"/>
  <c r="J330" i="15"/>
  <c r="J329" i="15"/>
  <c r="J328" i="15"/>
  <c r="J327" i="15"/>
  <c r="J326" i="15"/>
  <c r="J325" i="15"/>
  <c r="J324" i="15"/>
  <c r="J323" i="15"/>
  <c r="J322" i="15"/>
  <c r="J321" i="15"/>
  <c r="J320" i="15"/>
  <c r="J319" i="15"/>
  <c r="J318" i="15"/>
  <c r="J317" i="15"/>
  <c r="J316" i="15"/>
  <c r="J315" i="15"/>
  <c r="J314" i="15"/>
  <c r="J313" i="15"/>
  <c r="J312" i="15"/>
  <c r="J311" i="15"/>
  <c r="J310" i="15"/>
  <c r="J309" i="15"/>
  <c r="J308" i="15"/>
  <c r="J307" i="15"/>
  <c r="J306" i="15"/>
  <c r="J305" i="15"/>
  <c r="J304" i="15"/>
  <c r="J303" i="15"/>
  <c r="J302" i="15"/>
  <c r="J301" i="15"/>
  <c r="J300" i="15"/>
  <c r="J299" i="15"/>
  <c r="J298" i="15"/>
  <c r="J297" i="15"/>
  <c r="J296" i="15"/>
  <c r="J295" i="15"/>
  <c r="J294" i="15"/>
  <c r="J293" i="15"/>
  <c r="J292" i="15"/>
  <c r="J291" i="15"/>
  <c r="J290" i="15"/>
  <c r="J289" i="15"/>
  <c r="J288" i="15"/>
  <c r="J287" i="15"/>
  <c r="J286" i="15"/>
  <c r="J285" i="15"/>
  <c r="J284" i="15"/>
  <c r="J283" i="15"/>
  <c r="J282" i="15"/>
  <c r="J281" i="15"/>
  <c r="J280" i="15"/>
  <c r="J279" i="15"/>
  <c r="J278" i="15"/>
  <c r="J277" i="15"/>
  <c r="J276" i="15"/>
  <c r="J275" i="15"/>
  <c r="J274" i="15"/>
  <c r="J273" i="15"/>
  <c r="J272" i="15"/>
  <c r="J271" i="15"/>
  <c r="J270" i="15"/>
  <c r="J269" i="15"/>
  <c r="J268" i="15"/>
  <c r="J267" i="15"/>
  <c r="J266" i="15"/>
  <c r="J265" i="15"/>
  <c r="J264" i="15"/>
  <c r="J263" i="15"/>
  <c r="J262" i="15"/>
  <c r="J261" i="15"/>
  <c r="J260" i="15"/>
  <c r="J259" i="15"/>
  <c r="J258" i="15"/>
  <c r="J257" i="15"/>
  <c r="J256" i="15"/>
  <c r="J255" i="15"/>
  <c r="J254" i="15"/>
  <c r="J253" i="15"/>
  <c r="J252" i="15"/>
  <c r="J251" i="15"/>
  <c r="J250" i="15"/>
  <c r="J249" i="15"/>
  <c r="J248" i="15"/>
  <c r="J247" i="15"/>
  <c r="J246" i="15"/>
  <c r="J245" i="15"/>
  <c r="J244" i="15"/>
  <c r="J243" i="15"/>
  <c r="J242" i="15"/>
  <c r="J241" i="15"/>
  <c r="J240" i="15"/>
  <c r="J239" i="15"/>
  <c r="J238" i="15"/>
  <c r="J237" i="15"/>
  <c r="J236" i="15"/>
  <c r="J235" i="15"/>
  <c r="J234" i="15"/>
  <c r="J233" i="15"/>
  <c r="J232" i="15"/>
  <c r="J231" i="15"/>
  <c r="J230" i="15"/>
  <c r="J229" i="15"/>
  <c r="J227" i="15"/>
  <c r="J226" i="15"/>
  <c r="J225" i="15"/>
  <c r="J224" i="15"/>
  <c r="J223" i="15"/>
  <c r="J222" i="15"/>
  <c r="J221" i="15"/>
  <c r="J220" i="15"/>
  <c r="J219" i="15"/>
  <c r="J218" i="15"/>
  <c r="J217" i="15"/>
  <c r="J216" i="15"/>
  <c r="J215" i="15"/>
  <c r="J214" i="15"/>
  <c r="J213" i="15"/>
  <c r="J212" i="15"/>
  <c r="J211" i="15"/>
  <c r="J210" i="15"/>
  <c r="J209" i="15"/>
  <c r="J208" i="15"/>
  <c r="J207" i="15"/>
  <c r="J206" i="15"/>
  <c r="J205" i="15"/>
  <c r="J204" i="15"/>
  <c r="J203" i="15"/>
  <c r="J202" i="15"/>
  <c r="J201" i="15"/>
  <c r="J200" i="15"/>
  <c r="J199" i="15"/>
  <c r="J198" i="15"/>
  <c r="J197" i="15"/>
  <c r="J190" i="15"/>
  <c r="J187" i="15"/>
  <c r="J196" i="15"/>
  <c r="J195" i="15"/>
  <c r="J194" i="15"/>
  <c r="J193" i="15"/>
  <c r="J192" i="15"/>
  <c r="J191" i="15"/>
  <c r="J189" i="15"/>
  <c r="J188" i="15"/>
  <c r="J186" i="15"/>
  <c r="J185" i="15"/>
  <c r="J184" i="15"/>
  <c r="J183" i="15"/>
  <c r="J182" i="15"/>
  <c r="J181" i="15"/>
  <c r="J180" i="15"/>
  <c r="J179" i="15"/>
  <c r="J178" i="15"/>
  <c r="J177" i="15"/>
  <c r="J176" i="15"/>
  <c r="J175" i="15"/>
  <c r="J174" i="15"/>
  <c r="J173" i="15"/>
  <c r="J172" i="15"/>
  <c r="J171" i="15"/>
  <c r="J170" i="15"/>
  <c r="J169" i="15"/>
  <c r="J168" i="15"/>
  <c r="J167" i="15"/>
  <c r="J166" i="15"/>
  <c r="J165" i="15"/>
  <c r="J164" i="15"/>
  <c r="J163" i="15"/>
  <c r="J162" i="15"/>
  <c r="J161" i="15"/>
  <c r="J160" i="15"/>
  <c r="J145" i="15"/>
  <c r="J159" i="15"/>
  <c r="J158" i="15"/>
  <c r="J157" i="15"/>
  <c r="J156" i="15"/>
  <c r="J155" i="15"/>
  <c r="J154" i="15"/>
  <c r="J153" i="15"/>
  <c r="J152" i="15"/>
  <c r="J151" i="15"/>
  <c r="J150" i="15"/>
  <c r="J149" i="15"/>
  <c r="J148" i="15"/>
  <c r="J147" i="15"/>
  <c r="J146" i="15"/>
  <c r="J144" i="15"/>
  <c r="J143" i="15"/>
  <c r="J142" i="15"/>
  <c r="J141" i="15"/>
  <c r="J140" i="15"/>
  <c r="J139" i="15"/>
  <c r="J138" i="15"/>
  <c r="J137" i="15"/>
  <c r="J136" i="15"/>
  <c r="J135" i="15"/>
  <c r="J134" i="15"/>
  <c r="J133" i="15"/>
  <c r="J132" i="15"/>
  <c r="J131" i="15"/>
  <c r="J130" i="15"/>
  <c r="J129" i="15"/>
  <c r="J128" i="15"/>
  <c r="J127" i="15"/>
  <c r="J126" i="15"/>
  <c r="J125" i="15"/>
  <c r="J124" i="15"/>
  <c r="J123" i="15"/>
  <c r="J122" i="15"/>
  <c r="J121" i="15"/>
  <c r="J120" i="15"/>
  <c r="J119" i="15"/>
  <c r="J118" i="15"/>
  <c r="J117" i="15"/>
  <c r="J116" i="15"/>
  <c r="J115" i="15"/>
  <c r="J114" i="15"/>
  <c r="J113" i="15"/>
  <c r="J112" i="15"/>
  <c r="J111" i="15"/>
  <c r="J110" i="15"/>
  <c r="J109" i="15"/>
  <c r="J108" i="15"/>
  <c r="J107" i="15"/>
  <c r="J106" i="15"/>
  <c r="J105" i="15"/>
  <c r="J104" i="15"/>
  <c r="J103" i="15"/>
  <c r="J102" i="15"/>
  <c r="J101" i="15"/>
  <c r="J100" i="15"/>
  <c r="J99" i="15"/>
  <c r="J98" i="15"/>
  <c r="J97" i="15"/>
  <c r="J96" i="15"/>
  <c r="J95" i="15"/>
  <c r="J94" i="15"/>
  <c r="J93" i="15"/>
  <c r="J92" i="15"/>
  <c r="J91" i="15"/>
  <c r="J90" i="15"/>
  <c r="J89" i="15"/>
  <c r="J88" i="15"/>
  <c r="J87" i="15"/>
  <c r="J86" i="15"/>
  <c r="J85" i="15"/>
  <c r="J84" i="15"/>
  <c r="J83" i="15"/>
  <c r="J82" i="15"/>
  <c r="J81" i="15"/>
  <c r="J80" i="15"/>
  <c r="J79" i="15"/>
  <c r="J78" i="15"/>
  <c r="J77" i="15"/>
  <c r="J76" i="15"/>
  <c r="J75" i="15"/>
  <c r="J74" i="15"/>
  <c r="J73" i="15"/>
  <c r="J72" i="15"/>
  <c r="J71" i="15"/>
  <c r="J70" i="15"/>
  <c r="J69" i="15"/>
  <c r="J68" i="15"/>
  <c r="J67" i="15"/>
  <c r="J66" i="15"/>
  <c r="J65" i="15"/>
  <c r="J64" i="15"/>
  <c r="J63" i="15"/>
  <c r="J62" i="15"/>
  <c r="J61" i="15"/>
  <c r="J60" i="15"/>
  <c r="J59" i="15"/>
  <c r="J58" i="15"/>
  <c r="J57" i="15"/>
  <c r="J56" i="15"/>
  <c r="J55" i="15"/>
  <c r="J54" i="15"/>
  <c r="J53" i="15"/>
  <c r="J52" i="15"/>
  <c r="J51" i="15"/>
  <c r="J50" i="15"/>
  <c r="J49" i="15"/>
  <c r="J48" i="15"/>
  <c r="J47" i="15"/>
  <c r="J46" i="15"/>
  <c r="J45" i="15"/>
  <c r="J44" i="15"/>
  <c r="J43" i="15"/>
  <c r="J42" i="15"/>
  <c r="J41" i="15"/>
  <c r="J40" i="15"/>
  <c r="J39" i="15"/>
  <c r="J38" i="15"/>
  <c r="J37" i="15"/>
  <c r="J36" i="15"/>
  <c r="J32" i="15"/>
  <c r="J31" i="15"/>
  <c r="J27" i="15"/>
  <c r="J26" i="15"/>
  <c r="J25" i="15"/>
  <c r="AJ22" i="21"/>
  <c r="AJ380" i="21"/>
  <c r="J380" i="15" s="1"/>
  <c r="AJ379" i="21"/>
  <c r="J379" i="15" s="1"/>
  <c r="AJ378" i="21"/>
  <c r="J378" i="15" s="1"/>
  <c r="AJ377" i="21"/>
  <c r="J377" i="15" s="1"/>
  <c r="AJ376" i="21"/>
  <c r="J376" i="15" s="1"/>
  <c r="AJ375" i="21"/>
  <c r="J375" i="15" s="1"/>
  <c r="AJ374" i="21"/>
  <c r="J374" i="15" s="1"/>
  <c r="AJ373" i="21"/>
  <c r="J373" i="15" s="1"/>
  <c r="AJ372" i="21"/>
  <c r="J372" i="15" s="1"/>
  <c r="AJ371" i="21"/>
  <c r="J371" i="15" s="1"/>
  <c r="AJ370" i="21"/>
  <c r="J370" i="15" s="1"/>
  <c r="F369" i="15"/>
  <c r="F368" i="15"/>
  <c r="F362" i="15"/>
  <c r="F361" i="15"/>
  <c r="F354" i="15"/>
  <c r="F353" i="15"/>
  <c r="F344" i="15"/>
  <c r="F343" i="15"/>
  <c r="F336" i="15"/>
  <c r="F335" i="15"/>
  <c r="F320" i="15"/>
  <c r="F313" i="15"/>
  <c r="F303" i="15"/>
  <c r="F293" i="15"/>
  <c r="F283" i="15"/>
  <c r="F274" i="15"/>
  <c r="F259" i="15"/>
  <c r="F258" i="15"/>
  <c r="F236" i="15"/>
  <c r="F234" i="15"/>
  <c r="F221" i="15"/>
  <c r="F121" i="15"/>
  <c r="H121" i="15" s="1"/>
  <c r="L121" i="15" s="1"/>
  <c r="F118" i="15"/>
  <c r="H118" i="15" s="1"/>
  <c r="L118" i="15" s="1"/>
  <c r="F115" i="15"/>
  <c r="H115" i="15" s="1"/>
  <c r="L115" i="15" s="1"/>
  <c r="F110" i="15"/>
  <c r="H110" i="15" s="1"/>
  <c r="L110" i="15" s="1"/>
  <c r="F101" i="15"/>
  <c r="H101" i="15" s="1"/>
  <c r="L101" i="15" s="1"/>
  <c r="F96" i="15"/>
  <c r="H96" i="15" s="1"/>
  <c r="L96" i="15" s="1"/>
  <c r="F91" i="15"/>
  <c r="H91" i="15" s="1"/>
  <c r="L91" i="15" s="1"/>
  <c r="F83" i="15"/>
  <c r="H83" i="15" s="1"/>
  <c r="L83" i="15" s="1"/>
  <c r="F66" i="15"/>
  <c r="H66" i="15" s="1"/>
  <c r="L66" i="15" s="1"/>
  <c r="H344" i="17" l="1"/>
  <c r="L344" i="17" s="1"/>
  <c r="H362" i="17"/>
  <c r="L362" i="17" s="1"/>
  <c r="H369" i="17"/>
  <c r="L369" i="17" s="1"/>
  <c r="H343" i="17"/>
  <c r="L343" i="17" s="1"/>
  <c r="H361" i="17"/>
  <c r="L361" i="17" s="1"/>
  <c r="H335" i="17"/>
  <c r="L335" i="17" s="1"/>
  <c r="H353" i="17"/>
  <c r="L353" i="17" s="1"/>
  <c r="H368" i="17"/>
  <c r="L368" i="17" s="1"/>
  <c r="H335" i="19"/>
  <c r="L335" i="19" s="1"/>
  <c r="H354" i="19"/>
  <c r="L354" i="19" s="1"/>
  <c r="H354" i="17"/>
  <c r="L354" i="17" s="1"/>
  <c r="H336" i="17"/>
  <c r="L336" i="17" s="1"/>
  <c r="H320" i="17"/>
  <c r="L320" i="17" s="1"/>
  <c r="H259" i="17"/>
  <c r="L259" i="17" s="1"/>
  <c r="H303" i="17"/>
  <c r="L303" i="17" s="1"/>
  <c r="H258" i="17"/>
  <c r="L258" i="17" s="1"/>
  <c r="H293" i="17"/>
  <c r="L293" i="17" s="1"/>
  <c r="H283" i="17"/>
  <c r="L283" i="17" s="1"/>
  <c r="H234" i="17"/>
  <c r="L234" i="17" s="1"/>
  <c r="H274" i="17"/>
  <c r="L274" i="17" s="1"/>
  <c r="H313" i="17"/>
  <c r="L313" i="17" s="1"/>
  <c r="H236" i="17"/>
  <c r="L236" i="17" s="1"/>
  <c r="H83" i="17"/>
  <c r="L83" i="17" s="1"/>
  <c r="H111" i="17"/>
  <c r="L111" i="17" s="1"/>
  <c r="H121" i="17"/>
  <c r="L121" i="17" s="1"/>
  <c r="H91" i="17"/>
  <c r="L91" i="17" s="1"/>
  <c r="H115" i="17"/>
  <c r="L115" i="17" s="1"/>
  <c r="H221" i="17"/>
  <c r="L221" i="17" s="1"/>
  <c r="H101" i="17"/>
  <c r="L101" i="17" s="1"/>
  <c r="H118" i="17"/>
  <c r="L118" i="17" s="1"/>
  <c r="H66" i="17"/>
  <c r="L66" i="17" s="1"/>
  <c r="H96" i="17"/>
  <c r="L96" i="17" s="1"/>
  <c r="H335" i="15"/>
  <c r="L335" i="15" s="1"/>
  <c r="H259" i="15"/>
  <c r="L259" i="15" s="1"/>
  <c r="H274" i="15"/>
  <c r="L274" i="15" s="1"/>
  <c r="H221" i="15"/>
  <c r="L221" i="15" s="1"/>
  <c r="G424" i="6"/>
  <c r="G423" i="6"/>
  <c r="G422" i="6"/>
  <c r="G424" i="5"/>
  <c r="G423" i="5"/>
  <c r="G422" i="5"/>
  <c r="G403" i="5"/>
  <c r="G385" i="5"/>
  <c r="J369" i="14"/>
  <c r="H369" i="15" s="1"/>
  <c r="L369" i="15" s="1"/>
  <c r="F369" i="14"/>
  <c r="J368" i="14"/>
  <c r="H368" i="15" s="1"/>
  <c r="L368" i="15" s="1"/>
  <c r="F368" i="14"/>
  <c r="J362" i="14"/>
  <c r="H362" i="15" s="1"/>
  <c r="L362" i="15" s="1"/>
  <c r="F362" i="14"/>
  <c r="J361" i="14"/>
  <c r="H361" i="15" s="1"/>
  <c r="L361" i="15" s="1"/>
  <c r="F361" i="14"/>
  <c r="J354" i="14"/>
  <c r="H354" i="15" s="1"/>
  <c r="L354" i="15" s="1"/>
  <c r="F354" i="14"/>
  <c r="J353" i="14"/>
  <c r="H353" i="15" s="1"/>
  <c r="L353" i="15" s="1"/>
  <c r="F353" i="14"/>
  <c r="J344" i="14"/>
  <c r="H344" i="15" s="1"/>
  <c r="L344" i="15" s="1"/>
  <c r="F344" i="14"/>
  <c r="J343" i="14"/>
  <c r="H343" i="15" s="1"/>
  <c r="L343" i="15" s="1"/>
  <c r="F343" i="14"/>
  <c r="J336" i="14"/>
  <c r="H336" i="15" s="1"/>
  <c r="L336" i="15" s="1"/>
  <c r="F336" i="14"/>
  <c r="J335" i="14"/>
  <c r="F335" i="14"/>
  <c r="J320" i="14"/>
  <c r="H320" i="15" s="1"/>
  <c r="L320" i="15" s="1"/>
  <c r="F320" i="14"/>
  <c r="J313" i="14"/>
  <c r="H313" i="15" s="1"/>
  <c r="L313" i="15" s="1"/>
  <c r="F313" i="14"/>
  <c r="J303" i="14"/>
  <c r="H303" i="15" s="1"/>
  <c r="L303" i="15" s="1"/>
  <c r="F303" i="14"/>
  <c r="J293" i="14"/>
  <c r="H293" i="15" s="1"/>
  <c r="L293" i="15" s="1"/>
  <c r="F293" i="14"/>
  <c r="J283" i="14"/>
  <c r="H283" i="15" s="1"/>
  <c r="L283" i="15" s="1"/>
  <c r="F283" i="14"/>
  <c r="J274" i="14"/>
  <c r="F274" i="14"/>
  <c r="J259" i="14"/>
  <c r="F259" i="14"/>
  <c r="J258" i="14"/>
  <c r="H258" i="15" s="1"/>
  <c r="L258" i="15" s="1"/>
  <c r="F258" i="14"/>
  <c r="J236" i="14"/>
  <c r="H236" i="15" s="1"/>
  <c r="L236" i="15" s="1"/>
  <c r="F236" i="14"/>
  <c r="J234" i="14"/>
  <c r="H234" i="15" s="1"/>
  <c r="L234" i="15" s="1"/>
  <c r="F234" i="14"/>
  <c r="J221" i="14"/>
  <c r="F221" i="14"/>
  <c r="J121" i="14"/>
  <c r="F121" i="14"/>
  <c r="J118" i="14"/>
  <c r="F118" i="14"/>
  <c r="J115" i="14"/>
  <c r="F115" i="14"/>
  <c r="J110" i="14"/>
  <c r="F110" i="14"/>
  <c r="J101" i="14"/>
  <c r="F101" i="14"/>
  <c r="J96" i="14"/>
  <c r="F96" i="14"/>
  <c r="J91" i="14"/>
  <c r="F91" i="14"/>
  <c r="J83" i="14"/>
  <c r="F83" i="14"/>
  <c r="J66" i="14"/>
  <c r="F66" i="14"/>
  <c r="H369" i="14" l="1"/>
  <c r="L369" i="14" s="1"/>
  <c r="H353" i="14"/>
  <c r="L353" i="14" s="1"/>
  <c r="H361" i="14"/>
  <c r="L361" i="14" s="1"/>
  <c r="H368" i="14"/>
  <c r="L368" i="14" s="1"/>
  <c r="H362" i="14"/>
  <c r="L362" i="14" s="1"/>
  <c r="H274" i="14"/>
  <c r="L274" i="14" s="1"/>
  <c r="H313" i="14"/>
  <c r="L313" i="14" s="1"/>
  <c r="H343" i="14"/>
  <c r="L343" i="14" s="1"/>
  <c r="H354" i="14"/>
  <c r="L354" i="14" s="1"/>
  <c r="H335" i="14"/>
  <c r="L335" i="14" s="1"/>
  <c r="H344" i="14"/>
  <c r="L344" i="14" s="1"/>
  <c r="H336" i="14"/>
  <c r="L336" i="14" s="1"/>
  <c r="H320" i="14"/>
  <c r="L320" i="14" s="1"/>
  <c r="H118" i="14"/>
  <c r="L118" i="14" s="1"/>
  <c r="H283" i="14"/>
  <c r="L283" i="14" s="1"/>
  <c r="H293" i="14"/>
  <c r="L293" i="14" s="1"/>
  <c r="H303" i="14"/>
  <c r="L303" i="14" s="1"/>
  <c r="H258" i="14"/>
  <c r="L258" i="14" s="1"/>
  <c r="H236" i="14"/>
  <c r="L236" i="14" s="1"/>
  <c r="H121" i="14"/>
  <c r="L121" i="14" s="1"/>
  <c r="H259" i="14"/>
  <c r="L259" i="14" s="1"/>
  <c r="H234" i="14"/>
  <c r="L234" i="14" s="1"/>
  <c r="H221" i="14"/>
  <c r="L221" i="14" s="1"/>
  <c r="H115" i="14"/>
  <c r="L115" i="14" s="1"/>
  <c r="H96" i="14"/>
  <c r="L96" i="14" s="1"/>
  <c r="H101" i="14"/>
  <c r="L101" i="14" s="1"/>
  <c r="H110" i="14"/>
  <c r="L110" i="14" s="1"/>
  <c r="H83" i="14"/>
  <c r="L83" i="14" s="1"/>
  <c r="H91" i="14"/>
  <c r="L91" i="14" s="1"/>
  <c r="H66" i="14"/>
  <c r="L66" i="14" s="1"/>
  <c r="J258" i="7"/>
  <c r="F258" i="7"/>
  <c r="J234" i="7"/>
  <c r="F234" i="7"/>
  <c r="J221" i="7"/>
  <c r="F221" i="7"/>
  <c r="K221" i="7" s="1"/>
  <c r="F115" i="7"/>
  <c r="J258" i="6"/>
  <c r="F258" i="6"/>
  <c r="J234" i="6"/>
  <c r="F234" i="6"/>
  <c r="J221" i="6"/>
  <c r="F221" i="6"/>
  <c r="K258" i="5"/>
  <c r="J258" i="5"/>
  <c r="F258" i="5"/>
  <c r="K234" i="5"/>
  <c r="J234" i="5"/>
  <c r="F234" i="5"/>
  <c r="K221" i="5"/>
  <c r="J221" i="5"/>
  <c r="F221" i="5"/>
  <c r="J258" i="2"/>
  <c r="F258" i="2"/>
  <c r="H258" i="2" s="1"/>
  <c r="L258" i="2" s="1"/>
  <c r="J234" i="2"/>
  <c r="F234" i="2"/>
  <c r="H234" i="2" s="1"/>
  <c r="L234" i="2" s="1"/>
  <c r="J221" i="2"/>
  <c r="F221" i="2"/>
  <c r="H221" i="2" s="1"/>
  <c r="L221" i="2" s="1"/>
  <c r="J221" i="8"/>
  <c r="F221" i="8"/>
  <c r="J234" i="8"/>
  <c r="F234" i="8"/>
  <c r="J258" i="8"/>
  <c r="F258" i="8"/>
  <c r="J369" i="8"/>
  <c r="F369" i="8"/>
  <c r="J368" i="8"/>
  <c r="F368" i="8"/>
  <c r="J362" i="8"/>
  <c r="F362" i="8"/>
  <c r="J361" i="8"/>
  <c r="F361" i="8"/>
  <c r="J354" i="8"/>
  <c r="F354" i="8"/>
  <c r="J353" i="8"/>
  <c r="F353" i="8"/>
  <c r="J344" i="8"/>
  <c r="F344" i="8"/>
  <c r="J343" i="8"/>
  <c r="F343" i="8"/>
  <c r="J335" i="8"/>
  <c r="F335" i="8"/>
  <c r="J336" i="8"/>
  <c r="F336" i="8"/>
  <c r="J320" i="8"/>
  <c r="F320" i="8"/>
  <c r="J313" i="8"/>
  <c r="F313" i="8"/>
  <c r="J303" i="8"/>
  <c r="F303" i="8"/>
  <c r="J293" i="8"/>
  <c r="F293" i="8"/>
  <c r="J283" i="8"/>
  <c r="F283" i="8"/>
  <c r="J274" i="8"/>
  <c r="F274" i="8"/>
  <c r="J259" i="8"/>
  <c r="F259" i="8"/>
  <c r="J236" i="8"/>
  <c r="F236" i="8"/>
  <c r="F121" i="8"/>
  <c r="F118" i="8"/>
  <c r="F115" i="8"/>
  <c r="F110" i="8"/>
  <c r="A110" i="19" s="1"/>
  <c r="K110" i="19" s="1"/>
  <c r="F101" i="8"/>
  <c r="F96" i="8"/>
  <c r="F91" i="8"/>
  <c r="F83" i="8"/>
  <c r="F66" i="8"/>
  <c r="F66" i="6"/>
  <c r="K258" i="7" l="1"/>
  <c r="H221" i="5"/>
  <c r="L221" i="5" s="1"/>
  <c r="H258" i="5"/>
  <c r="L258" i="5" s="1"/>
  <c r="H234" i="7"/>
  <c r="L234" i="7" s="1"/>
  <c r="A101" i="17"/>
  <c r="K101" i="17" s="1"/>
  <c r="A101" i="19"/>
  <c r="K101" i="19" s="1"/>
  <c r="A91" i="19"/>
  <c r="K91" i="19" s="1"/>
  <c r="A91" i="17"/>
  <c r="K91" i="17" s="1"/>
  <c r="A115" i="19"/>
  <c r="K115" i="19" s="1"/>
  <c r="A115" i="17"/>
  <c r="K115" i="17" s="1"/>
  <c r="A96" i="17"/>
  <c r="K96" i="17" s="1"/>
  <c r="A96" i="19"/>
  <c r="K96" i="19" s="1"/>
  <c r="A118" i="17"/>
  <c r="K118" i="17" s="1"/>
  <c r="A118" i="19"/>
  <c r="K118" i="19" s="1"/>
  <c r="A259" i="19"/>
  <c r="K259" i="19" s="1"/>
  <c r="A259" i="17"/>
  <c r="K259" i="17" s="1"/>
  <c r="A283" i="19"/>
  <c r="K283" i="19" s="1"/>
  <c r="A283" i="17"/>
  <c r="K283" i="17" s="1"/>
  <c r="A303" i="19"/>
  <c r="K303" i="19" s="1"/>
  <c r="A303" i="17"/>
  <c r="K303" i="17" s="1"/>
  <c r="A320" i="19"/>
  <c r="K320" i="19" s="1"/>
  <c r="A320" i="17"/>
  <c r="K320" i="17" s="1"/>
  <c r="A335" i="19"/>
  <c r="K335" i="19" s="1"/>
  <c r="A335" i="17"/>
  <c r="K335" i="17" s="1"/>
  <c r="A344" i="17"/>
  <c r="K344" i="17" s="1"/>
  <c r="A344" i="19"/>
  <c r="K344" i="19" s="1"/>
  <c r="A354" i="19"/>
  <c r="K354" i="19" s="1"/>
  <c r="A354" i="17"/>
  <c r="K354" i="17" s="1"/>
  <c r="A362" i="17"/>
  <c r="K362" i="17" s="1"/>
  <c r="A362" i="19"/>
  <c r="K362" i="19" s="1"/>
  <c r="A369" i="17"/>
  <c r="K369" i="17" s="1"/>
  <c r="A369" i="19"/>
  <c r="K369" i="19" s="1"/>
  <c r="A234" i="19"/>
  <c r="K234" i="19" s="1"/>
  <c r="A234" i="17"/>
  <c r="K234" i="17" s="1"/>
  <c r="K221" i="6"/>
  <c r="A66" i="17"/>
  <c r="K66" i="17" s="1"/>
  <c r="A66" i="19"/>
  <c r="K66" i="19" s="1"/>
  <c r="A121" i="17"/>
  <c r="K121" i="17" s="1"/>
  <c r="A121" i="19"/>
  <c r="K121" i="19" s="1"/>
  <c r="A83" i="19"/>
  <c r="K83" i="19" s="1"/>
  <c r="A83" i="17"/>
  <c r="K83" i="17" s="1"/>
  <c r="A236" i="17"/>
  <c r="K236" i="17" s="1"/>
  <c r="A236" i="19"/>
  <c r="K236" i="19" s="1"/>
  <c r="A274" i="19"/>
  <c r="K274" i="19" s="1"/>
  <c r="A274" i="17"/>
  <c r="K274" i="17" s="1"/>
  <c r="A293" i="19"/>
  <c r="K293" i="19" s="1"/>
  <c r="A293" i="17"/>
  <c r="K293" i="17" s="1"/>
  <c r="A313" i="19"/>
  <c r="K313" i="19" s="1"/>
  <c r="A313" i="17"/>
  <c r="K313" i="17" s="1"/>
  <c r="A336" i="19"/>
  <c r="K336" i="19" s="1"/>
  <c r="A336" i="17"/>
  <c r="K336" i="17" s="1"/>
  <c r="A343" i="19"/>
  <c r="K343" i="19" s="1"/>
  <c r="A343" i="17"/>
  <c r="K343" i="17" s="1"/>
  <c r="A353" i="19"/>
  <c r="K353" i="19" s="1"/>
  <c r="A353" i="17"/>
  <c r="K353" i="17" s="1"/>
  <c r="A361" i="19"/>
  <c r="K361" i="19" s="1"/>
  <c r="A361" i="17"/>
  <c r="K361" i="17" s="1"/>
  <c r="A368" i="17"/>
  <c r="K368" i="17" s="1"/>
  <c r="A368" i="19"/>
  <c r="K368" i="19" s="1"/>
  <c r="A258" i="19"/>
  <c r="K258" i="19" s="1"/>
  <c r="A258" i="17"/>
  <c r="K258" i="17" s="1"/>
  <c r="A221" i="19"/>
  <c r="K221" i="19" s="1"/>
  <c r="A221" i="17"/>
  <c r="K221" i="17" s="1"/>
  <c r="H234" i="5"/>
  <c r="L234" i="5" s="1"/>
  <c r="A83" i="15"/>
  <c r="K83" i="15" s="1"/>
  <c r="A83" i="14"/>
  <c r="A110" i="15"/>
  <c r="K110" i="15" s="1"/>
  <c r="A110" i="14"/>
  <c r="A274" i="15"/>
  <c r="K274" i="15" s="1"/>
  <c r="A274" i="14"/>
  <c r="A336" i="15"/>
  <c r="K336" i="15" s="1"/>
  <c r="A336" i="14"/>
  <c r="K234" i="6"/>
  <c r="H258" i="7"/>
  <c r="L258" i="7" s="1"/>
  <c r="A234" i="6"/>
  <c r="A258" i="6"/>
  <c r="K234" i="7"/>
  <c r="A96" i="15"/>
  <c r="K96" i="15" s="1"/>
  <c r="A96" i="14"/>
  <c r="A118" i="15"/>
  <c r="K118" i="15" s="1"/>
  <c r="A118" i="14"/>
  <c r="A236" i="15"/>
  <c r="K236" i="15" s="1"/>
  <c r="A236" i="14"/>
  <c r="A293" i="15"/>
  <c r="K293" i="15" s="1"/>
  <c r="A293" i="14"/>
  <c r="A313" i="15"/>
  <c r="K313" i="15" s="1"/>
  <c r="A313" i="14"/>
  <c r="A343" i="15"/>
  <c r="K343" i="15" s="1"/>
  <c r="A343" i="14"/>
  <c r="A353" i="15"/>
  <c r="K353" i="15" s="1"/>
  <c r="A353" i="14"/>
  <c r="H361" i="8"/>
  <c r="L361" i="8" s="1"/>
  <c r="A361" i="15"/>
  <c r="K361" i="15" s="1"/>
  <c r="A361" i="14"/>
  <c r="A368" i="15"/>
  <c r="K368" i="15" s="1"/>
  <c r="A368" i="14"/>
  <c r="H258" i="8"/>
  <c r="L258" i="8" s="1"/>
  <c r="A258" i="15"/>
  <c r="K258" i="15" s="1"/>
  <c r="A258" i="14"/>
  <c r="H221" i="8"/>
  <c r="L221" i="8" s="1"/>
  <c r="A221" i="15"/>
  <c r="K221" i="15" s="1"/>
  <c r="A221" i="14"/>
  <c r="K258" i="6"/>
  <c r="A66" i="15"/>
  <c r="K66" i="15" s="1"/>
  <c r="A66" i="14"/>
  <c r="A91" i="15"/>
  <c r="K91" i="15" s="1"/>
  <c r="A91" i="14"/>
  <c r="A101" i="15"/>
  <c r="K101" i="15" s="1"/>
  <c r="A101" i="14"/>
  <c r="A115" i="15"/>
  <c r="K115" i="15" s="1"/>
  <c r="A115" i="14"/>
  <c r="A121" i="15"/>
  <c r="K121" i="15" s="1"/>
  <c r="A121" i="14"/>
  <c r="A259" i="15"/>
  <c r="K259" i="15" s="1"/>
  <c r="A259" i="14"/>
  <c r="A283" i="15"/>
  <c r="K283" i="15" s="1"/>
  <c r="A283" i="14"/>
  <c r="A303" i="15"/>
  <c r="K303" i="15" s="1"/>
  <c r="A303" i="14"/>
  <c r="A320" i="15"/>
  <c r="K320" i="15" s="1"/>
  <c r="A320" i="14"/>
  <c r="A335" i="15"/>
  <c r="K335" i="15" s="1"/>
  <c r="A335" i="14"/>
  <c r="A344" i="15"/>
  <c r="K344" i="15" s="1"/>
  <c r="A344" i="14"/>
  <c r="A354" i="15"/>
  <c r="K354" i="15" s="1"/>
  <c r="A354" i="14"/>
  <c r="A362" i="15"/>
  <c r="K362" i="15" s="1"/>
  <c r="A362" i="14"/>
  <c r="A369" i="15"/>
  <c r="K369" i="15" s="1"/>
  <c r="A369" i="14"/>
  <c r="H234" i="8"/>
  <c r="L234" i="8" s="1"/>
  <c r="A234" i="15"/>
  <c r="K234" i="15" s="1"/>
  <c r="A234" i="14"/>
  <c r="A221" i="6"/>
  <c r="H234" i="6"/>
  <c r="L234" i="6" s="1"/>
  <c r="H258" i="6"/>
  <c r="L258" i="6" s="1"/>
  <c r="A221" i="7"/>
  <c r="A234" i="7"/>
  <c r="A258" i="7"/>
  <c r="H221" i="7"/>
  <c r="L221" i="7" s="1"/>
  <c r="H221" i="6"/>
  <c r="L221" i="6" s="1"/>
  <c r="H354" i="8"/>
  <c r="L354" i="8" s="1"/>
  <c r="H369" i="8"/>
  <c r="L369" i="8" s="1"/>
  <c r="H344" i="8"/>
  <c r="L344" i="8" s="1"/>
  <c r="H362" i="8"/>
  <c r="L362" i="8" s="1"/>
  <c r="H368" i="8"/>
  <c r="L368" i="8" s="1"/>
  <c r="H353" i="8"/>
  <c r="L353" i="8" s="1"/>
  <c r="H335" i="8"/>
  <c r="L335" i="8" s="1"/>
  <c r="H343" i="8"/>
  <c r="L343" i="8" s="1"/>
  <c r="H336" i="8"/>
  <c r="L336" i="8" s="1"/>
  <c r="H293" i="8"/>
  <c r="L293" i="8" s="1"/>
  <c r="H313" i="8"/>
  <c r="L313" i="8" s="1"/>
  <c r="H320" i="8"/>
  <c r="L320" i="8" s="1"/>
  <c r="H303" i="8"/>
  <c r="L303" i="8" s="1"/>
  <c r="H283" i="8"/>
  <c r="L283" i="8" s="1"/>
  <c r="H274" i="8"/>
  <c r="L274" i="8" s="1"/>
  <c r="H259" i="8"/>
  <c r="L259" i="8" s="1"/>
  <c r="H236" i="8"/>
  <c r="L236" i="8" s="1"/>
  <c r="K369" i="5"/>
  <c r="J369" i="5"/>
  <c r="F369" i="5"/>
  <c r="H369" i="5" s="1"/>
  <c r="L369" i="5" s="1"/>
  <c r="K368" i="5"/>
  <c r="J368" i="5"/>
  <c r="F368" i="5"/>
  <c r="H368" i="5" s="1"/>
  <c r="L368" i="5" s="1"/>
  <c r="K362" i="5"/>
  <c r="J362" i="5"/>
  <c r="F362" i="5"/>
  <c r="H362" i="5" s="1"/>
  <c r="L362" i="5" s="1"/>
  <c r="K361" i="5"/>
  <c r="J361" i="5"/>
  <c r="F361" i="5"/>
  <c r="H361" i="5" s="1"/>
  <c r="L361" i="5" s="1"/>
  <c r="K353" i="5"/>
  <c r="J353" i="5"/>
  <c r="F353" i="5"/>
  <c r="H353" i="5" s="1"/>
  <c r="L353" i="5" s="1"/>
  <c r="J369" i="7"/>
  <c r="F369" i="7"/>
  <c r="A369" i="8" s="1"/>
  <c r="K369" i="14" s="1"/>
  <c r="J368" i="7"/>
  <c r="F368" i="7"/>
  <c r="J362" i="7"/>
  <c r="F362" i="7"/>
  <c r="K362" i="8" s="1"/>
  <c r="J361" i="7"/>
  <c r="F361" i="7"/>
  <c r="K361" i="8" s="1"/>
  <c r="J354" i="7"/>
  <c r="F354" i="7"/>
  <c r="J353" i="7"/>
  <c r="F353" i="7"/>
  <c r="A353" i="8" s="1"/>
  <c r="K353" i="14" s="1"/>
  <c r="J344" i="7"/>
  <c r="F344" i="7"/>
  <c r="A344" i="8" s="1"/>
  <c r="K344" i="14" s="1"/>
  <c r="J343" i="7"/>
  <c r="F343" i="7"/>
  <c r="A343" i="8" s="1"/>
  <c r="K343" i="14" s="1"/>
  <c r="F121" i="7"/>
  <c r="K121" i="8" s="1"/>
  <c r="F118" i="7"/>
  <c r="K118" i="8" s="1"/>
  <c r="K115" i="8"/>
  <c r="F110" i="7"/>
  <c r="F101" i="7"/>
  <c r="F96" i="7"/>
  <c r="A96" i="8" s="1"/>
  <c r="K96" i="14" s="1"/>
  <c r="F91" i="7"/>
  <c r="K91" i="8" s="1"/>
  <c r="F83" i="7"/>
  <c r="F66" i="7"/>
  <c r="K66" i="8" s="1"/>
  <c r="A66" i="7"/>
  <c r="J336" i="7"/>
  <c r="F336" i="7"/>
  <c r="A336" i="8" s="1"/>
  <c r="K336" i="14" s="1"/>
  <c r="J335" i="7"/>
  <c r="F335" i="7"/>
  <c r="A335" i="8" s="1"/>
  <c r="K335" i="14" s="1"/>
  <c r="J320" i="7"/>
  <c r="F320" i="7"/>
  <c r="J313" i="7"/>
  <c r="F313" i="7"/>
  <c r="A313" i="8" s="1"/>
  <c r="K313" i="14" s="1"/>
  <c r="J303" i="7"/>
  <c r="F303" i="7"/>
  <c r="A303" i="8" s="1"/>
  <c r="K303" i="14" s="1"/>
  <c r="J293" i="7"/>
  <c r="F293" i="7"/>
  <c r="A293" i="8" s="1"/>
  <c r="K293" i="14" s="1"/>
  <c r="J283" i="7"/>
  <c r="F283" i="7"/>
  <c r="A283" i="8" s="1"/>
  <c r="K283" i="14" s="1"/>
  <c r="J274" i="7"/>
  <c r="F274" i="7"/>
  <c r="K274" i="8" s="1"/>
  <c r="J259" i="7"/>
  <c r="F259" i="7"/>
  <c r="A259" i="8" s="1"/>
  <c r="K259" i="14" s="1"/>
  <c r="J236" i="7"/>
  <c r="F236" i="7"/>
  <c r="A236" i="8" s="1"/>
  <c r="K236" i="14" s="1"/>
  <c r="J369" i="6"/>
  <c r="F369" i="6"/>
  <c r="J368" i="6"/>
  <c r="F368" i="6"/>
  <c r="J362" i="6"/>
  <c r="F362" i="6"/>
  <c r="A362" i="7" s="1"/>
  <c r="J361" i="6"/>
  <c r="F361" i="6"/>
  <c r="J354" i="6"/>
  <c r="F354" i="6"/>
  <c r="A354" i="7" s="1"/>
  <c r="J353" i="6"/>
  <c r="F353" i="6"/>
  <c r="J344" i="6"/>
  <c r="F344" i="6"/>
  <c r="A344" i="7" s="1"/>
  <c r="J343" i="6"/>
  <c r="F343" i="6"/>
  <c r="A343" i="7" s="1"/>
  <c r="J336" i="6"/>
  <c r="F336" i="6"/>
  <c r="A336" i="7" s="1"/>
  <c r="J335" i="6"/>
  <c r="F335" i="6"/>
  <c r="A335" i="7" s="1"/>
  <c r="J320" i="6"/>
  <c r="F320" i="6"/>
  <c r="A320" i="7" s="1"/>
  <c r="J313" i="6"/>
  <c r="F313" i="6"/>
  <c r="A313" i="7" s="1"/>
  <c r="J303" i="6"/>
  <c r="F303" i="6"/>
  <c r="A303" i="7" s="1"/>
  <c r="J293" i="6"/>
  <c r="F293" i="6"/>
  <c r="A293" i="7" s="1"/>
  <c r="J283" i="6"/>
  <c r="F283" i="6"/>
  <c r="A283" i="7" s="1"/>
  <c r="J274" i="6"/>
  <c r="F274" i="6"/>
  <c r="A274" i="7" s="1"/>
  <c r="J259" i="6"/>
  <c r="F259" i="6"/>
  <c r="A259" i="7" s="1"/>
  <c r="J236" i="6"/>
  <c r="F236" i="6"/>
  <c r="A236" i="7" s="1"/>
  <c r="F121" i="6"/>
  <c r="A121" i="7" s="1"/>
  <c r="F118" i="6"/>
  <c r="F115" i="6"/>
  <c r="A115" i="7" s="1"/>
  <c r="F110" i="6"/>
  <c r="A110" i="7" s="1"/>
  <c r="F101" i="6"/>
  <c r="A101" i="7" s="1"/>
  <c r="F96" i="6"/>
  <c r="A96" i="7" s="1"/>
  <c r="F91" i="6"/>
  <c r="A91" i="7" s="1"/>
  <c r="F83" i="6"/>
  <c r="A83" i="7" s="1"/>
  <c r="H369" i="6" l="1"/>
  <c r="L369" i="6" s="1"/>
  <c r="A369" i="7"/>
  <c r="H353" i="6"/>
  <c r="L353" i="6" s="1"/>
  <c r="H361" i="6"/>
  <c r="L361" i="6" s="1"/>
  <c r="H368" i="6"/>
  <c r="L368" i="6" s="1"/>
  <c r="K368" i="7"/>
  <c r="K336" i="8"/>
  <c r="K236" i="8"/>
  <c r="K369" i="8"/>
  <c r="K259" i="8"/>
  <c r="H369" i="7"/>
  <c r="L369" i="7" s="1"/>
  <c r="K335" i="8"/>
  <c r="K369" i="7"/>
  <c r="K320" i="7"/>
  <c r="A320" i="8"/>
  <c r="K320" i="14" s="1"/>
  <c r="K83" i="7"/>
  <c r="A83" i="8"/>
  <c r="K83" i="14" s="1"/>
  <c r="K110" i="7"/>
  <c r="A110" i="8"/>
  <c r="K110" i="14" s="1"/>
  <c r="K320" i="8"/>
  <c r="K66" i="7"/>
  <c r="A66" i="8"/>
  <c r="K66" i="14" s="1"/>
  <c r="K101" i="7"/>
  <c r="A101" i="8"/>
  <c r="K101" i="14" s="1"/>
  <c r="A353" i="7"/>
  <c r="A368" i="7"/>
  <c r="K283" i="8"/>
  <c r="K118" i="7"/>
  <c r="A118" i="8"/>
  <c r="K118" i="14" s="1"/>
  <c r="H368" i="7"/>
  <c r="L368" i="7" s="1"/>
  <c r="A368" i="8"/>
  <c r="K368" i="14" s="1"/>
  <c r="K293" i="8"/>
  <c r="K368" i="8"/>
  <c r="K110" i="8"/>
  <c r="K313" i="8"/>
  <c r="H361" i="7"/>
  <c r="L361" i="7" s="1"/>
  <c r="A361" i="8"/>
  <c r="K361" i="14" s="1"/>
  <c r="K274" i="7"/>
  <c r="A274" i="8"/>
  <c r="K274" i="14" s="1"/>
  <c r="A118" i="7"/>
  <c r="K121" i="7"/>
  <c r="A121" i="8"/>
  <c r="K121" i="14" s="1"/>
  <c r="H354" i="7"/>
  <c r="L354" i="7" s="1"/>
  <c r="A354" i="8"/>
  <c r="K354" i="14" s="1"/>
  <c r="H362" i="6"/>
  <c r="L362" i="6" s="1"/>
  <c r="K91" i="7"/>
  <c r="A91" i="8"/>
  <c r="K91" i="14" s="1"/>
  <c r="K115" i="7"/>
  <c r="A115" i="8"/>
  <c r="K115" i="14" s="1"/>
  <c r="A361" i="7"/>
  <c r="K362" i="7"/>
  <c r="A362" i="8"/>
  <c r="K362" i="14" s="1"/>
  <c r="K303" i="8"/>
  <c r="K344" i="8"/>
  <c r="K354" i="8"/>
  <c r="K101" i="8"/>
  <c r="K343" i="8"/>
  <c r="K353" i="8"/>
  <c r="K83" i="8"/>
  <c r="K96" i="8"/>
  <c r="K361" i="7"/>
  <c r="H362" i="7"/>
  <c r="L362" i="7" s="1"/>
  <c r="H353" i="7"/>
  <c r="L353" i="7" s="1"/>
  <c r="K353" i="7"/>
  <c r="K354" i="7"/>
  <c r="H344" i="7"/>
  <c r="L344" i="7" s="1"/>
  <c r="H343" i="7"/>
  <c r="L343" i="7" s="1"/>
  <c r="K344" i="7"/>
  <c r="K343" i="7"/>
  <c r="K96" i="7"/>
  <c r="H303" i="7"/>
  <c r="L303" i="7" s="1"/>
  <c r="H336" i="7"/>
  <c r="L336" i="7" s="1"/>
  <c r="H283" i="7"/>
  <c r="L283" i="7" s="1"/>
  <c r="K336" i="7"/>
  <c r="H236" i="7"/>
  <c r="L236" i="7" s="1"/>
  <c r="H293" i="7"/>
  <c r="L293" i="7" s="1"/>
  <c r="H335" i="7"/>
  <c r="L335" i="7" s="1"/>
  <c r="K335" i="7"/>
  <c r="H313" i="7"/>
  <c r="L313" i="7" s="1"/>
  <c r="H320" i="7"/>
  <c r="L320" i="7" s="1"/>
  <c r="H259" i="7"/>
  <c r="L259" i="7" s="1"/>
  <c r="K283" i="7"/>
  <c r="K293" i="7"/>
  <c r="K303" i="7"/>
  <c r="K313" i="7"/>
  <c r="H274" i="7"/>
  <c r="L274" i="7" s="1"/>
  <c r="K236" i="7"/>
  <c r="K259" i="7"/>
  <c r="H354" i="6"/>
  <c r="L354" i="6" s="1"/>
  <c r="H344" i="6"/>
  <c r="L344" i="6" s="1"/>
  <c r="H336" i="6"/>
  <c r="L336" i="6" s="1"/>
  <c r="H343" i="6"/>
  <c r="L343" i="6" s="1"/>
  <c r="H283" i="6"/>
  <c r="L283" i="6" s="1"/>
  <c r="H293" i="6"/>
  <c r="L293" i="6" s="1"/>
  <c r="H320" i="6"/>
  <c r="L320" i="6" s="1"/>
  <c r="H335" i="6"/>
  <c r="L335" i="6" s="1"/>
  <c r="H303" i="6"/>
  <c r="L303" i="6" s="1"/>
  <c r="H313" i="6"/>
  <c r="L313" i="6" s="1"/>
  <c r="H236" i="6"/>
  <c r="L236" i="6" s="1"/>
  <c r="H259" i="6"/>
  <c r="L259" i="6" s="1"/>
  <c r="H274" i="6"/>
  <c r="L274" i="6" s="1"/>
  <c r="F368" i="2"/>
  <c r="H368" i="2" s="1"/>
  <c r="L368" i="2" s="1"/>
  <c r="F361" i="2"/>
  <c r="H361" i="2" s="1"/>
  <c r="L361" i="2" s="1"/>
  <c r="F353" i="2"/>
  <c r="H353" i="2" s="1"/>
  <c r="L353" i="2" s="1"/>
  <c r="L361" i="21"/>
  <c r="K354" i="5"/>
  <c r="J354" i="5"/>
  <c r="F354" i="5"/>
  <c r="K353" i="6" s="1"/>
  <c r="K344" i="5"/>
  <c r="J344" i="5"/>
  <c r="F344" i="5"/>
  <c r="K343" i="5"/>
  <c r="J343" i="5"/>
  <c r="F343" i="5"/>
  <c r="K343" i="6" s="1"/>
  <c r="K336" i="5"/>
  <c r="J336" i="5"/>
  <c r="F336" i="5"/>
  <c r="K335" i="5"/>
  <c r="J335" i="5"/>
  <c r="F335" i="5"/>
  <c r="K320" i="5"/>
  <c r="J320" i="5"/>
  <c r="F320" i="5"/>
  <c r="K320" i="6" s="1"/>
  <c r="K313" i="5"/>
  <c r="J313" i="5"/>
  <c r="F313" i="5"/>
  <c r="K303" i="5"/>
  <c r="J303" i="5"/>
  <c r="F303" i="5"/>
  <c r="K303" i="6" s="1"/>
  <c r="K293" i="5"/>
  <c r="J293" i="5"/>
  <c r="F293" i="5"/>
  <c r="K283" i="5"/>
  <c r="J283" i="5"/>
  <c r="F283" i="5"/>
  <c r="K283" i="6" s="1"/>
  <c r="K274" i="5"/>
  <c r="J274" i="5"/>
  <c r="F274" i="5"/>
  <c r="K259" i="5"/>
  <c r="J259" i="5"/>
  <c r="F259" i="5"/>
  <c r="K259" i="6" s="1"/>
  <c r="K236" i="5"/>
  <c r="J236" i="5"/>
  <c r="F236" i="5"/>
  <c r="K121" i="5"/>
  <c r="F121" i="5"/>
  <c r="A121" i="6" s="1"/>
  <c r="K118" i="5"/>
  <c r="F118" i="5"/>
  <c r="A118" i="6" s="1"/>
  <c r="K115" i="5"/>
  <c r="F115" i="5"/>
  <c r="A115" i="6" s="1"/>
  <c r="K110" i="5"/>
  <c r="F110" i="5"/>
  <c r="A110" i="6" s="1"/>
  <c r="K101" i="5"/>
  <c r="F101" i="5"/>
  <c r="A101" i="6" s="1"/>
  <c r="K96" i="5"/>
  <c r="F96" i="5"/>
  <c r="A96" i="6" s="1"/>
  <c r="K91" i="5"/>
  <c r="F91" i="5"/>
  <c r="A91" i="6" s="1"/>
  <c r="K83" i="5"/>
  <c r="F83" i="5"/>
  <c r="A83" i="6" s="1"/>
  <c r="K66" i="5"/>
  <c r="F66" i="5"/>
  <c r="A66" i="6" s="1"/>
  <c r="F369" i="2"/>
  <c r="H369" i="2" s="1"/>
  <c r="L369" i="2" s="1"/>
  <c r="F362" i="2"/>
  <c r="H362" i="2" s="1"/>
  <c r="L362" i="2" s="1"/>
  <c r="F354" i="2"/>
  <c r="H354" i="2" s="1"/>
  <c r="L354" i="2" s="1"/>
  <c r="F343" i="2"/>
  <c r="H343" i="2" s="1"/>
  <c r="L343" i="2" s="1"/>
  <c r="F344" i="2"/>
  <c r="H344" i="2" s="1"/>
  <c r="L344" i="2" s="1"/>
  <c r="F336" i="2"/>
  <c r="H336" i="2" s="1"/>
  <c r="L336" i="2" s="1"/>
  <c r="F335" i="2"/>
  <c r="H335" i="2" s="1"/>
  <c r="L335" i="2" s="1"/>
  <c r="F320" i="2"/>
  <c r="H320" i="2" s="1"/>
  <c r="L320" i="2" s="1"/>
  <c r="F313" i="2"/>
  <c r="H313" i="2" s="1"/>
  <c r="L313" i="2" s="1"/>
  <c r="F303" i="2"/>
  <c r="H303" i="2" s="1"/>
  <c r="L303" i="2" s="1"/>
  <c r="F293" i="2"/>
  <c r="H293" i="2" s="1"/>
  <c r="L293" i="2" s="1"/>
  <c r="F283" i="2"/>
  <c r="H283" i="2" s="1"/>
  <c r="F274" i="2"/>
  <c r="H274" i="2" s="1"/>
  <c r="F259" i="2"/>
  <c r="H259" i="2" s="1"/>
  <c r="D206" i="2"/>
  <c r="F207" i="2"/>
  <c r="F236" i="2"/>
  <c r="H236" i="2" s="1"/>
  <c r="F121" i="2"/>
  <c r="H121" i="2" s="1"/>
  <c r="F118" i="2"/>
  <c r="H118" i="2" s="1"/>
  <c r="F115" i="2"/>
  <c r="H115" i="2" s="1"/>
  <c r="F110" i="2"/>
  <c r="H110" i="2" s="1"/>
  <c r="L354" i="21"/>
  <c r="J121" i="8"/>
  <c r="H121" i="8" s="1"/>
  <c r="J121" i="7"/>
  <c r="H121" i="7" s="1"/>
  <c r="L121" i="7" s="1"/>
  <c r="J121" i="6"/>
  <c r="H121" i="6" s="1"/>
  <c r="L121" i="6" s="1"/>
  <c r="AE121" i="21"/>
  <c r="J121" i="5" s="1"/>
  <c r="J118" i="8"/>
  <c r="H118" i="8" s="1"/>
  <c r="J118" i="7"/>
  <c r="H118" i="7" s="1"/>
  <c r="L118" i="7" s="1"/>
  <c r="J118" i="6"/>
  <c r="H118" i="6" s="1"/>
  <c r="L118" i="6" s="1"/>
  <c r="AE118" i="21"/>
  <c r="J118" i="5" s="1"/>
  <c r="J115" i="8"/>
  <c r="H115" i="8" s="1"/>
  <c r="J115" i="7"/>
  <c r="H115" i="7" s="1"/>
  <c r="L115" i="7" s="1"/>
  <c r="J115" i="6"/>
  <c r="H115" i="6" s="1"/>
  <c r="L115" i="6" s="1"/>
  <c r="AE115" i="21"/>
  <c r="J115" i="5" s="1"/>
  <c r="J110" i="8"/>
  <c r="H110" i="8" s="1"/>
  <c r="J110" i="7"/>
  <c r="H110" i="7" s="1"/>
  <c r="L110" i="7" s="1"/>
  <c r="J110" i="6"/>
  <c r="H110" i="6" s="1"/>
  <c r="L110" i="6" s="1"/>
  <c r="AE110" i="21"/>
  <c r="J110" i="5" s="1"/>
  <c r="F101" i="2"/>
  <c r="H101" i="2" s="1"/>
  <c r="F96" i="2"/>
  <c r="H96" i="2" s="1"/>
  <c r="F91" i="2"/>
  <c r="H91" i="2" s="1"/>
  <c r="F83" i="2"/>
  <c r="H83" i="2" s="1"/>
  <c r="F66" i="2"/>
  <c r="H66" i="2" s="1"/>
  <c r="L110" i="8" l="1"/>
  <c r="L110" i="19"/>
  <c r="L115" i="8"/>
  <c r="L115" i="19"/>
  <c r="L118" i="8"/>
  <c r="L118" i="19"/>
  <c r="L121" i="8"/>
  <c r="L121" i="19"/>
  <c r="K101" i="6"/>
  <c r="K118" i="6"/>
  <c r="K121" i="6"/>
  <c r="K66" i="6"/>
  <c r="H336" i="5"/>
  <c r="L336" i="5" s="1"/>
  <c r="A336" i="6"/>
  <c r="H236" i="5"/>
  <c r="L236" i="5" s="1"/>
  <c r="A236" i="6"/>
  <c r="H293" i="5"/>
  <c r="L293" i="5" s="1"/>
  <c r="A293" i="6"/>
  <c r="H354" i="5"/>
  <c r="L354" i="5" s="1"/>
  <c r="A353" i="6"/>
  <c r="K336" i="6"/>
  <c r="H274" i="5"/>
  <c r="L274" i="5" s="1"/>
  <c r="A274" i="6"/>
  <c r="H313" i="5"/>
  <c r="L313" i="5" s="1"/>
  <c r="A313" i="6"/>
  <c r="H343" i="5"/>
  <c r="L343" i="5" s="1"/>
  <c r="A343" i="6"/>
  <c r="K96" i="6"/>
  <c r="K236" i="6"/>
  <c r="K110" i="6"/>
  <c r="K274" i="6"/>
  <c r="K83" i="6"/>
  <c r="H259" i="5"/>
  <c r="L259" i="5" s="1"/>
  <c r="A259" i="6"/>
  <c r="H303" i="5"/>
  <c r="L303" i="5" s="1"/>
  <c r="A303" i="6"/>
  <c r="H335" i="5"/>
  <c r="L335" i="5" s="1"/>
  <c r="A335" i="6"/>
  <c r="H283" i="5"/>
  <c r="L283" i="5" s="1"/>
  <c r="A283" i="6"/>
  <c r="H320" i="5"/>
  <c r="L320" i="5" s="1"/>
  <c r="A320" i="6"/>
  <c r="H344" i="5"/>
  <c r="L344" i="5" s="1"/>
  <c r="A344" i="6"/>
  <c r="K115" i="6"/>
  <c r="K293" i="6"/>
  <c r="K344" i="6"/>
  <c r="K313" i="6"/>
  <c r="K335" i="6"/>
  <c r="K91" i="6"/>
  <c r="H121" i="5"/>
  <c r="L121" i="5" s="1"/>
  <c r="H110" i="5"/>
  <c r="L110" i="5" s="1"/>
  <c r="H118" i="5"/>
  <c r="L118" i="5" s="1"/>
  <c r="H115" i="5"/>
  <c r="L115" i="5" s="1"/>
  <c r="L16" i="15"/>
  <c r="L21" i="15"/>
  <c r="L362" i="21" l="1"/>
  <c r="L283" i="21"/>
  <c r="J101" i="8"/>
  <c r="H101" i="8" s="1"/>
  <c r="J101" i="7"/>
  <c r="H101" i="7" s="1"/>
  <c r="L101" i="7" s="1"/>
  <c r="J101" i="6"/>
  <c r="H101" i="6" s="1"/>
  <c r="L101" i="6" s="1"/>
  <c r="AE101" i="21"/>
  <c r="J101" i="5" s="1"/>
  <c r="H101" i="5" s="1"/>
  <c r="L101" i="5" s="1"/>
  <c r="J96" i="8"/>
  <c r="H96" i="8" s="1"/>
  <c r="J96" i="7"/>
  <c r="H96" i="7" s="1"/>
  <c r="L96" i="7" s="1"/>
  <c r="J96" i="6"/>
  <c r="H96" i="6" s="1"/>
  <c r="L96" i="6" s="1"/>
  <c r="AE96" i="21"/>
  <c r="J96" i="5" s="1"/>
  <c r="H96" i="5" s="1"/>
  <c r="L96" i="5" s="1"/>
  <c r="J91" i="8"/>
  <c r="H91" i="8" s="1"/>
  <c r="J91" i="7"/>
  <c r="H91" i="7" s="1"/>
  <c r="L91" i="7" s="1"/>
  <c r="J91" i="6"/>
  <c r="H91" i="6" s="1"/>
  <c r="L91" i="6" s="1"/>
  <c r="AE91" i="21"/>
  <c r="J91" i="5" s="1"/>
  <c r="H91" i="5" s="1"/>
  <c r="L91" i="5" s="1"/>
  <c r="J83" i="8"/>
  <c r="H83" i="8" s="1"/>
  <c r="J83" i="7"/>
  <c r="H83" i="7" s="1"/>
  <c r="L83" i="7" s="1"/>
  <c r="J83" i="6"/>
  <c r="H83" i="6" s="1"/>
  <c r="L83" i="6" s="1"/>
  <c r="AE83" i="21"/>
  <c r="J83" i="5" s="1"/>
  <c r="H83" i="5" s="1"/>
  <c r="L83" i="5" s="1"/>
  <c r="J66" i="8"/>
  <c r="H66" i="8" s="1"/>
  <c r="J66" i="7"/>
  <c r="H66" i="7" s="1"/>
  <c r="L66" i="7" s="1"/>
  <c r="J66" i="6"/>
  <c r="H66" i="6" s="1"/>
  <c r="L66" i="6" s="1"/>
  <c r="AE66" i="21"/>
  <c r="J66" i="5" s="1"/>
  <c r="H66" i="5" s="1"/>
  <c r="L66" i="5" s="1"/>
  <c r="L66" i="8" l="1"/>
  <c r="L66" i="19"/>
  <c r="L91" i="8"/>
  <c r="L91" i="19"/>
  <c r="L96" i="8"/>
  <c r="L96" i="19"/>
  <c r="L101" i="8"/>
  <c r="L101" i="19"/>
  <c r="L83" i="8"/>
  <c r="L83" i="19"/>
  <c r="F124" i="14" l="1"/>
  <c r="E332" i="14"/>
  <c r="E167" i="14"/>
  <c r="E166" i="14"/>
  <c r="E165" i="14"/>
  <c r="E164" i="14"/>
  <c r="E163" i="14"/>
  <c r="E162" i="14"/>
  <c r="E161" i="14"/>
  <c r="E160" i="14"/>
  <c r="E145" i="14"/>
  <c r="J22" i="21" l="1"/>
  <c r="J396" i="21" l="1"/>
  <c r="J429" i="21"/>
  <c r="J428" i="21"/>
  <c r="J436" i="21"/>
  <c r="J435" i="21"/>
  <c r="E441" i="7" l="1"/>
  <c r="E440" i="7"/>
  <c r="E439" i="7"/>
  <c r="E438" i="7"/>
  <c r="E437" i="7"/>
  <c r="E436" i="7"/>
  <c r="E435" i="7"/>
  <c r="E434" i="7"/>
  <c r="E433" i="7"/>
  <c r="E432" i="7"/>
  <c r="E431" i="7"/>
  <c r="E430" i="7"/>
  <c r="E429" i="7"/>
  <c r="E428" i="7"/>
  <c r="E427" i="7"/>
  <c r="E426" i="7"/>
  <c r="E425" i="7"/>
  <c r="E424" i="7"/>
  <c r="E423" i="7"/>
  <c r="E422" i="7"/>
  <c r="E421" i="7"/>
  <c r="E420" i="7"/>
  <c r="E419" i="7"/>
  <c r="E418" i="7"/>
  <c r="E417" i="7"/>
  <c r="E416" i="7"/>
  <c r="E415" i="7"/>
  <c r="E414" i="7"/>
  <c r="E413" i="7"/>
  <c r="E412" i="7"/>
  <c r="E411" i="7"/>
  <c r="E410" i="7"/>
  <c r="E409" i="7"/>
  <c r="E408" i="7"/>
  <c r="E407" i="7"/>
  <c r="E406" i="7"/>
  <c r="E405" i="7"/>
  <c r="E404" i="7"/>
  <c r="E403" i="7"/>
  <c r="E402" i="7"/>
  <c r="E401" i="7"/>
  <c r="E400" i="7"/>
  <c r="E399" i="7"/>
  <c r="E398" i="7"/>
  <c r="E397" i="7"/>
  <c r="E396" i="7"/>
  <c r="E395" i="7"/>
  <c r="E394" i="7"/>
  <c r="E393" i="7"/>
  <c r="E392" i="7"/>
  <c r="E391" i="7"/>
  <c r="E390" i="7"/>
  <c r="E389" i="7"/>
  <c r="E388" i="7"/>
  <c r="E387" i="7"/>
  <c r="G403" i="6"/>
  <c r="J408" i="21" l="1"/>
  <c r="J407" i="21"/>
  <c r="J416" i="21"/>
  <c r="J414" i="21"/>
  <c r="J413" i="21"/>
  <c r="J412" i="21"/>
  <c r="J411" i="21"/>
  <c r="J410" i="21"/>
  <c r="J409" i="21"/>
  <c r="J406" i="21"/>
  <c r="J405" i="21"/>
  <c r="F28" i="10" l="1"/>
  <c r="F26" i="10"/>
  <c r="C52" i="1" l="1"/>
  <c r="J57" i="1" l="1"/>
  <c r="A27" i="1" l="1"/>
  <c r="C27" i="10" s="1"/>
  <c r="A26" i="1"/>
  <c r="C26" i="10" s="1"/>
  <c r="A29" i="1"/>
  <c r="C29" i="10" s="1"/>
  <c r="A28" i="1"/>
  <c r="C28" i="10" s="1"/>
  <c r="J61" i="1" l="1"/>
  <c r="F3" i="8" l="1"/>
  <c r="E190" i="15"/>
  <c r="E187" i="15"/>
  <c r="E190" i="14"/>
  <c r="E187" i="14"/>
  <c r="E183" i="7"/>
  <c r="J183" i="7"/>
  <c r="H183" i="7" l="1"/>
  <c r="L183" i="7" s="1"/>
  <c r="E473" i="14" l="1"/>
  <c r="F9" i="10" l="1"/>
  <c r="AI371" i="21" l="1"/>
  <c r="AH371" i="21"/>
  <c r="AG371" i="21"/>
  <c r="AF371" i="21"/>
  <c r="AE371" i="21"/>
  <c r="AD371" i="21"/>
  <c r="AI370" i="21"/>
  <c r="AH370" i="21"/>
  <c r="AG370" i="21"/>
  <c r="AF370" i="21"/>
  <c r="AE370" i="21"/>
  <c r="AD370" i="21"/>
  <c r="AH380" i="21"/>
  <c r="AH379" i="21"/>
  <c r="AH378" i="21"/>
  <c r="AH377" i="21"/>
  <c r="AH376" i="21"/>
  <c r="AH375" i="21"/>
  <c r="AH374" i="21"/>
  <c r="AH373" i="21"/>
  <c r="AH372" i="21"/>
  <c r="AI380" i="21"/>
  <c r="AG380" i="21"/>
  <c r="AF380" i="21"/>
  <c r="AE380" i="21"/>
  <c r="AD380" i="21"/>
  <c r="AI379" i="21"/>
  <c r="AG379" i="21"/>
  <c r="AF379" i="21"/>
  <c r="AE379" i="21"/>
  <c r="AD379" i="21"/>
  <c r="AI378" i="21"/>
  <c r="AG378" i="21"/>
  <c r="AF378" i="21"/>
  <c r="AE378" i="21"/>
  <c r="AD378" i="21"/>
  <c r="AI377" i="21"/>
  <c r="AG377" i="21"/>
  <c r="AF377" i="21"/>
  <c r="AE377" i="21"/>
  <c r="AD377" i="21"/>
  <c r="AI376" i="21"/>
  <c r="AG376" i="21"/>
  <c r="AF376" i="21"/>
  <c r="AE376" i="21"/>
  <c r="AD376" i="21"/>
  <c r="AI375" i="21"/>
  <c r="AG375" i="21"/>
  <c r="AF375" i="21"/>
  <c r="AE375" i="21"/>
  <c r="AD375" i="21"/>
  <c r="AI374" i="21"/>
  <c r="AG374" i="21"/>
  <c r="AF374" i="21"/>
  <c r="AE374" i="21"/>
  <c r="AD374" i="21"/>
  <c r="AI373" i="21"/>
  <c r="AG373" i="21"/>
  <c r="AF373" i="21"/>
  <c r="AE373" i="21"/>
  <c r="AD373" i="21"/>
  <c r="AI372" i="21"/>
  <c r="AG372" i="21"/>
  <c r="AF372" i="21"/>
  <c r="AE372" i="21"/>
  <c r="AD372" i="21"/>
  <c r="AH138" i="21"/>
  <c r="AG138" i="21"/>
  <c r="Z80" i="10" l="1"/>
  <c r="X80" i="10"/>
  <c r="Y80" i="10"/>
  <c r="Z94" i="10" l="1"/>
  <c r="Z92" i="10"/>
  <c r="Z90" i="10"/>
  <c r="Z88" i="10"/>
  <c r="Z86" i="10"/>
  <c r="Z84" i="10"/>
  <c r="Z95" i="10"/>
  <c r="Z93" i="10"/>
  <c r="Z91" i="10"/>
  <c r="Z89" i="10"/>
  <c r="Z87" i="10"/>
  <c r="Z85" i="10"/>
  <c r="Z83" i="10"/>
  <c r="Y94" i="10"/>
  <c r="Y92" i="10"/>
  <c r="Y90" i="10"/>
  <c r="Y88" i="10"/>
  <c r="Y86" i="10"/>
  <c r="Y84" i="10"/>
  <c r="Y95" i="10"/>
  <c r="Y93" i="10"/>
  <c r="Y91" i="10"/>
  <c r="Y89" i="10"/>
  <c r="Y87" i="10"/>
  <c r="Y85" i="10"/>
  <c r="Y83" i="10"/>
  <c r="X94" i="10"/>
  <c r="X90" i="10"/>
  <c r="X86" i="10"/>
  <c r="X95" i="10"/>
  <c r="X91" i="10"/>
  <c r="X87" i="10"/>
  <c r="X83" i="10"/>
  <c r="X92" i="10"/>
  <c r="X88" i="10"/>
  <c r="X84" i="10"/>
  <c r="X93" i="10"/>
  <c r="X89" i="10"/>
  <c r="X85" i="10"/>
  <c r="F60" i="19"/>
  <c r="H60" i="19" s="1"/>
  <c r="J60" i="17"/>
  <c r="F60" i="17"/>
  <c r="F60" i="15"/>
  <c r="H60" i="15" s="1"/>
  <c r="L60" i="15" s="1"/>
  <c r="J60" i="14"/>
  <c r="F60" i="14"/>
  <c r="F60" i="8"/>
  <c r="A60" i="17" s="1"/>
  <c r="F60" i="7"/>
  <c r="A60" i="8" s="1"/>
  <c r="F60" i="6"/>
  <c r="A60" i="7" s="1"/>
  <c r="K60" i="5"/>
  <c r="F60" i="5"/>
  <c r="A60" i="6" s="1"/>
  <c r="J60" i="2"/>
  <c r="F60" i="2"/>
  <c r="J60" i="8"/>
  <c r="J60" i="7"/>
  <c r="J60" i="6"/>
  <c r="AE60" i="21"/>
  <c r="J60" i="5" s="1"/>
  <c r="L60" i="21"/>
  <c r="K138" i="11"/>
  <c r="K139" i="11"/>
  <c r="K72" i="11"/>
  <c r="K126" i="11"/>
  <c r="K125" i="11"/>
  <c r="K124" i="11"/>
  <c r="K123" i="11"/>
  <c r="K122" i="11"/>
  <c r="K121" i="11"/>
  <c r="K120" i="11"/>
  <c r="K119" i="11"/>
  <c r="K118" i="11"/>
  <c r="K117" i="11"/>
  <c r="K116" i="11"/>
  <c r="K115" i="11"/>
  <c r="K114" i="11"/>
  <c r="K113" i="11"/>
  <c r="K112" i="11"/>
  <c r="K111" i="11"/>
  <c r="K110" i="11"/>
  <c r="K109" i="11"/>
  <c r="K108" i="11"/>
  <c r="K107" i="11"/>
  <c r="K106" i="11"/>
  <c r="K105" i="11"/>
  <c r="K104" i="11"/>
  <c r="K103" i="11"/>
  <c r="K102" i="11"/>
  <c r="K101" i="11"/>
  <c r="K100" i="11"/>
  <c r="K99" i="11"/>
  <c r="K98" i="11"/>
  <c r="K97" i="11"/>
  <c r="K96" i="11"/>
  <c r="K95" i="11"/>
  <c r="K94" i="11"/>
  <c r="K93" i="11"/>
  <c r="K92" i="11"/>
  <c r="K91" i="11"/>
  <c r="K90" i="11"/>
  <c r="K89" i="11"/>
  <c r="K88" i="11"/>
  <c r="K87" i="11"/>
  <c r="K86" i="11"/>
  <c r="K85" i="11"/>
  <c r="K62" i="11"/>
  <c r="K60" i="17" l="1"/>
  <c r="K60" i="14"/>
  <c r="H60" i="7"/>
  <c r="L60" i="7" s="1"/>
  <c r="A60" i="19"/>
  <c r="K60" i="19" s="1"/>
  <c r="A60" i="15"/>
  <c r="K60" i="15" s="1"/>
  <c r="A60" i="14"/>
  <c r="K60" i="8"/>
  <c r="H60" i="14"/>
  <c r="L60" i="14" s="1"/>
  <c r="K60" i="7"/>
  <c r="K60" i="6"/>
  <c r="H60" i="2"/>
  <c r="L60" i="2" s="1"/>
  <c r="H60" i="17"/>
  <c r="L60" i="17" s="1"/>
  <c r="H60" i="6"/>
  <c r="L60" i="6" s="1"/>
  <c r="H60" i="8"/>
  <c r="H60" i="5"/>
  <c r="L60" i="5" s="1"/>
  <c r="W80" i="10"/>
  <c r="AB80" i="10"/>
  <c r="AB92" i="10" s="1"/>
  <c r="N80" i="10"/>
  <c r="W89" i="10" l="1"/>
  <c r="W92" i="10"/>
  <c r="W88" i="10"/>
  <c r="W84" i="10"/>
  <c r="W95" i="10"/>
  <c r="W91" i="10"/>
  <c r="W87" i="10"/>
  <c r="W83" i="10"/>
  <c r="W94" i="10"/>
  <c r="W90" i="10"/>
  <c r="W86" i="10"/>
  <c r="W93" i="10"/>
  <c r="W85" i="10"/>
  <c r="L60" i="8"/>
  <c r="L60" i="19"/>
  <c r="P141" i="21"/>
  <c r="P140" i="21"/>
  <c r="P139" i="21"/>
  <c r="N141" i="21"/>
  <c r="N140" i="21"/>
  <c r="N139" i="21"/>
  <c r="L141" i="21"/>
  <c r="L140" i="21"/>
  <c r="L139" i="21"/>
  <c r="J141" i="21"/>
  <c r="J140" i="21"/>
  <c r="H141" i="21"/>
  <c r="H140" i="21"/>
  <c r="H139" i="21"/>
  <c r="J139" i="21"/>
  <c r="F12" i="10" l="1"/>
  <c r="O13" i="1"/>
  <c r="C16" i="2" l="1"/>
  <c r="C17" i="2"/>
  <c r="L449" i="21" l="1"/>
  <c r="L448" i="21"/>
  <c r="L447" i="21"/>
  <c r="L446" i="21"/>
  <c r="L445" i="21"/>
  <c r="L444" i="21"/>
  <c r="L443" i="21"/>
  <c r="J449" i="21"/>
  <c r="J448" i="21"/>
  <c r="J447" i="21"/>
  <c r="J446" i="21"/>
  <c r="J445" i="21"/>
  <c r="J444" i="21"/>
  <c r="J443" i="21"/>
  <c r="G22" i="21" l="1"/>
  <c r="L371" i="21"/>
  <c r="L365" i="21"/>
  <c r="L363" i="21"/>
  <c r="L356" i="21"/>
  <c r="L355" i="21"/>
  <c r="L347" i="21"/>
  <c r="L328" i="21"/>
  <c r="L340" i="21" s="1"/>
  <c r="L353" i="21" s="1"/>
  <c r="L323" i="21"/>
  <c r="L322" i="21"/>
  <c r="L332" i="21" s="1"/>
  <c r="L346" i="21" s="1"/>
  <c r="L358" i="21" s="1"/>
  <c r="L312" i="21"/>
  <c r="L324" i="21" s="1"/>
  <c r="L335" i="21" s="1"/>
  <c r="L302" i="21"/>
  <c r="L299" i="21"/>
  <c r="L292" i="21"/>
  <c r="L284" i="21"/>
  <c r="L295" i="21" s="1"/>
  <c r="L306" i="21" s="1"/>
  <c r="L282" i="21"/>
  <c r="L269" i="21"/>
  <c r="L268" i="21"/>
  <c r="L279" i="21" s="1"/>
  <c r="L266" i="21"/>
  <c r="L277" i="21" s="1"/>
  <c r="L253" i="21"/>
  <c r="L265" i="21" s="1"/>
  <c r="L276" i="21" s="1"/>
  <c r="L287" i="21" s="1"/>
  <c r="L298" i="21" s="1"/>
  <c r="L309" i="21" s="1"/>
  <c r="L245" i="21"/>
  <c r="L255" i="21" s="1"/>
  <c r="L267" i="21" s="1"/>
  <c r="L278" i="21" s="1"/>
  <c r="L289" i="21" s="1"/>
  <c r="L244" i="21"/>
  <c r="L241" i="21"/>
  <c r="L251" i="21" s="1"/>
  <c r="L263" i="21" s="1"/>
  <c r="L231" i="21"/>
  <c r="L227" i="21"/>
  <c r="L240" i="21" s="1"/>
  <c r="L250" i="21" s="1"/>
  <c r="L262" i="21" s="1"/>
  <c r="L225" i="21"/>
  <c r="L238" i="21" s="1"/>
  <c r="L248" i="21" s="1"/>
  <c r="L260" i="21" s="1"/>
  <c r="L270" i="21" s="1"/>
  <c r="L223" i="21"/>
  <c r="L215" i="21"/>
  <c r="L226" i="21" s="1"/>
  <c r="L239" i="21" s="1"/>
  <c r="L249" i="21" s="1"/>
  <c r="L261" i="21" s="1"/>
  <c r="L213" i="21"/>
  <c r="L224" i="21" s="1"/>
  <c r="L237" i="21" s="1"/>
  <c r="L247" i="21" s="1"/>
  <c r="L211" i="21"/>
  <c r="L222" i="21" s="1"/>
  <c r="L234" i="21" s="1"/>
  <c r="L210" i="21"/>
  <c r="L209" i="21"/>
  <c r="L208" i="21"/>
  <c r="L218" i="21" s="1"/>
  <c r="L230" i="21" s="1"/>
  <c r="L242" i="21" s="1"/>
  <c r="L252" i="21" s="1"/>
  <c r="L264" i="21" s="1"/>
  <c r="L275" i="21" s="1"/>
  <c r="L286" i="21" s="1"/>
  <c r="L297" i="21" s="1"/>
  <c r="L308" i="21" s="1"/>
  <c r="L319" i="21" s="1"/>
  <c r="L330" i="21" s="1"/>
  <c r="L343" i="21" s="1"/>
  <c r="L207" i="21"/>
  <c r="L217" i="21" s="1"/>
  <c r="L206" i="21"/>
  <c r="L184" i="21"/>
  <c r="L177" i="21"/>
  <c r="L189" i="21" s="1"/>
  <c r="L176" i="21"/>
  <c r="L188" i="21" s="1"/>
  <c r="L175" i="21"/>
  <c r="L186" i="21" s="1"/>
  <c r="L174" i="21"/>
  <c r="L170" i="21"/>
  <c r="L180" i="21" s="1"/>
  <c r="L169" i="21"/>
  <c r="L135" i="21"/>
  <c r="L145" i="21" s="1"/>
  <c r="L156" i="21" s="1"/>
  <c r="L134" i="21"/>
  <c r="L144" i="21" s="1"/>
  <c r="L155" i="21" s="1"/>
  <c r="L133" i="21"/>
  <c r="L143" i="21" s="1"/>
  <c r="L154" i="21" s="1"/>
  <c r="L132" i="21"/>
  <c r="L142" i="21" s="1"/>
  <c r="L153" i="21" s="1"/>
  <c r="L130" i="21"/>
  <c r="L128" i="21"/>
  <c r="L138" i="21" s="1"/>
  <c r="L149" i="21" s="1"/>
  <c r="L159" i="21" s="1"/>
  <c r="L168" i="21" s="1"/>
  <c r="L126" i="21"/>
  <c r="L136" i="21" s="1"/>
  <c r="L147" i="21" s="1"/>
  <c r="L157" i="21" s="1"/>
  <c r="L120" i="21"/>
  <c r="L131" i="21" s="1"/>
  <c r="L111" i="21"/>
  <c r="L115" i="21" s="1"/>
  <c r="L106" i="21"/>
  <c r="L110" i="21" s="1"/>
  <c r="L100" i="21"/>
  <c r="L112" i="21" s="1"/>
  <c r="L93" i="21"/>
  <c r="L105" i="21" s="1"/>
  <c r="L117" i="21" s="1"/>
  <c r="L92" i="21"/>
  <c r="L85" i="21"/>
  <c r="L97" i="21" s="1"/>
  <c r="L101" i="21" s="1"/>
  <c r="L84" i="21"/>
  <c r="L95" i="21" s="1"/>
  <c r="L76" i="21"/>
  <c r="L87" i="21" s="1"/>
  <c r="L91" i="21" s="1"/>
  <c r="L69" i="21"/>
  <c r="L79" i="21" s="1"/>
  <c r="L90" i="21" s="1"/>
  <c r="L103" i="21" s="1"/>
  <c r="L114" i="21" s="1"/>
  <c r="L67" i="21"/>
  <c r="L77" i="21" s="1"/>
  <c r="L64" i="21"/>
  <c r="L75" i="21" s="1"/>
  <c r="L86" i="21" s="1"/>
  <c r="L98" i="21" s="1"/>
  <c r="L109" i="21" s="1"/>
  <c r="L63" i="21"/>
  <c r="L62" i="21"/>
  <c r="L66" i="21" s="1"/>
  <c r="L61" i="21"/>
  <c r="L72" i="21" s="1"/>
  <c r="L82" i="21" s="1"/>
  <c r="L48" i="21"/>
  <c r="L58" i="21" s="1"/>
  <c r="L70" i="21" s="1"/>
  <c r="L46" i="21"/>
  <c r="L56" i="21" s="1"/>
  <c r="L68" i="21" s="1"/>
  <c r="L78" i="21" s="1"/>
  <c r="L44" i="21"/>
  <c r="L42" i="21"/>
  <c r="L40" i="21"/>
  <c r="L37" i="21"/>
  <c r="L47" i="21" s="1"/>
  <c r="L45" i="21"/>
  <c r="L367" i="21" l="1"/>
  <c r="L368" i="21"/>
  <c r="L259" i="21"/>
  <c r="L258" i="21"/>
  <c r="L294" i="21"/>
  <c r="L305" i="21" s="1"/>
  <c r="L316" i="21" s="1"/>
  <c r="L327" i="21" s="1"/>
  <c r="L293" i="21"/>
  <c r="L313" i="21"/>
  <c r="L314" i="21"/>
  <c r="L325" i="21" s="1"/>
  <c r="L127" i="21"/>
  <c r="L137" i="21" s="1"/>
  <c r="L148" i="21" s="1"/>
  <c r="L158" i="21" s="1"/>
  <c r="L118" i="21"/>
  <c r="L129" i="21"/>
  <c r="L121" i="21"/>
  <c r="L304" i="21"/>
  <c r="L315" i="21" s="1"/>
  <c r="L326" i="21" s="1"/>
  <c r="L338" i="21" s="1"/>
  <c r="L350" i="21" s="1"/>
  <c r="L364" i="21" s="1"/>
  <c r="L303" i="21"/>
  <c r="L370" i="21"/>
  <c r="L369" i="21"/>
  <c r="L321" i="21"/>
  <c r="L331" i="21" s="1"/>
  <c r="L320" i="21"/>
  <c r="L273" i="21"/>
  <c r="L285" i="21" s="1"/>
  <c r="L296" i="21" s="1"/>
  <c r="L307" i="21" s="1"/>
  <c r="L274" i="21"/>
  <c r="L236" i="21"/>
  <c r="L104" i="21"/>
  <c r="L96" i="21"/>
  <c r="L89" i="21"/>
  <c r="L102" i="21" s="1"/>
  <c r="L83" i="21"/>
  <c r="L337" i="21" l="1"/>
  <c r="L336" i="21"/>
  <c r="L345" i="21"/>
  <c r="L344" i="21"/>
  <c r="F220" i="5"/>
  <c r="H220" i="5" s="1"/>
  <c r="L220" i="5" s="1"/>
  <c r="J220" i="5"/>
  <c r="K220" i="5"/>
  <c r="F222" i="5"/>
  <c r="J222" i="5"/>
  <c r="K222" i="5"/>
  <c r="F223" i="5"/>
  <c r="J223" i="5"/>
  <c r="K223" i="5"/>
  <c r="F224" i="5"/>
  <c r="J224" i="5"/>
  <c r="K224" i="5"/>
  <c r="F225" i="5"/>
  <c r="H225" i="5" s="1"/>
  <c r="L225" i="5" s="1"/>
  <c r="J225" i="5"/>
  <c r="K225" i="5"/>
  <c r="F226" i="5"/>
  <c r="J226" i="5"/>
  <c r="K226" i="5"/>
  <c r="F227" i="5"/>
  <c r="H227" i="5" s="1"/>
  <c r="L227" i="5" s="1"/>
  <c r="J227" i="5"/>
  <c r="K227" i="5"/>
  <c r="F229" i="5"/>
  <c r="H229" i="5" s="1"/>
  <c r="L229" i="5" s="1"/>
  <c r="J229" i="5"/>
  <c r="K229" i="5"/>
  <c r="F230" i="5"/>
  <c r="J230" i="5"/>
  <c r="K230" i="5"/>
  <c r="J230" i="2"/>
  <c r="F230" i="2"/>
  <c r="H230" i="2" s="1"/>
  <c r="L230" i="2" s="1"/>
  <c r="J229" i="2"/>
  <c r="F229" i="2"/>
  <c r="H229" i="2" s="1"/>
  <c r="L229" i="2" s="1"/>
  <c r="J227" i="2"/>
  <c r="F227" i="2"/>
  <c r="H227" i="2" s="1"/>
  <c r="L227" i="2" s="1"/>
  <c r="J226" i="2"/>
  <c r="F226" i="2"/>
  <c r="H226" i="2" s="1"/>
  <c r="L226" i="2" s="1"/>
  <c r="J225" i="2"/>
  <c r="F225" i="2"/>
  <c r="H225" i="2" s="1"/>
  <c r="L225" i="2" s="1"/>
  <c r="J224" i="2"/>
  <c r="F224" i="2"/>
  <c r="H224" i="2" s="1"/>
  <c r="L224" i="2" s="1"/>
  <c r="J223" i="2"/>
  <c r="F223" i="2"/>
  <c r="H223" i="2" s="1"/>
  <c r="L223" i="2" s="1"/>
  <c r="J222" i="2"/>
  <c r="F222" i="2"/>
  <c r="H222" i="2" s="1"/>
  <c r="L222" i="2" s="1"/>
  <c r="J220" i="2"/>
  <c r="F220" i="2"/>
  <c r="H220" i="2" s="1"/>
  <c r="L220" i="2" s="1"/>
  <c r="H224" i="5" l="1"/>
  <c r="L224" i="5" s="1"/>
  <c r="H230" i="5"/>
  <c r="L230" i="5" s="1"/>
  <c r="H223" i="5"/>
  <c r="L223" i="5" s="1"/>
  <c r="H226" i="5"/>
  <c r="L226" i="5" s="1"/>
  <c r="H222" i="5"/>
  <c r="L222" i="5" s="1"/>
  <c r="W13" i="10"/>
  <c r="L21" i="5" l="1"/>
  <c r="L16" i="5"/>
  <c r="F133" i="1" l="1"/>
  <c r="F135" i="1"/>
  <c r="R13" i="1"/>
  <c r="C16" i="19" s="1"/>
  <c r="F124" i="15" l="1"/>
  <c r="H124" i="15" s="1"/>
  <c r="F123" i="15"/>
  <c r="H123" i="15" s="1"/>
  <c r="F122" i="15"/>
  <c r="H122" i="15" s="1"/>
  <c r="F120" i="15"/>
  <c r="H120" i="15" s="1"/>
  <c r="F119" i="15"/>
  <c r="H119" i="15" s="1"/>
  <c r="F117" i="15"/>
  <c r="H117" i="15" s="1"/>
  <c r="F116" i="15"/>
  <c r="H116" i="15" s="1"/>
  <c r="F114" i="15"/>
  <c r="H114" i="15" s="1"/>
  <c r="F113" i="15"/>
  <c r="H113" i="15" s="1"/>
  <c r="F112" i="15"/>
  <c r="H112" i="15" s="1"/>
  <c r="F111" i="15"/>
  <c r="H111" i="15" s="1"/>
  <c r="F109" i="15"/>
  <c r="H109" i="15" s="1"/>
  <c r="F108" i="15"/>
  <c r="H108" i="15" s="1"/>
  <c r="F107" i="15"/>
  <c r="H107" i="15" s="1"/>
  <c r="F106" i="15"/>
  <c r="H106" i="15" s="1"/>
  <c r="F105" i="15"/>
  <c r="H105" i="15" s="1"/>
  <c r="F104" i="15"/>
  <c r="H104" i="15" s="1"/>
  <c r="F103" i="15"/>
  <c r="H103" i="15" s="1"/>
  <c r="F102" i="15"/>
  <c r="H102" i="15" s="1"/>
  <c r="F100" i="15"/>
  <c r="H100" i="15" s="1"/>
  <c r="F99" i="15"/>
  <c r="H99" i="15" s="1"/>
  <c r="F98" i="15"/>
  <c r="H98" i="15" s="1"/>
  <c r="F97" i="15"/>
  <c r="H97" i="15" s="1"/>
  <c r="F95" i="15"/>
  <c r="H95" i="15" s="1"/>
  <c r="F94" i="15"/>
  <c r="H94" i="15" s="1"/>
  <c r="F93" i="15"/>
  <c r="H93" i="15" s="1"/>
  <c r="F92" i="15"/>
  <c r="H92" i="15" s="1"/>
  <c r="F90" i="15"/>
  <c r="H90" i="15" s="1"/>
  <c r="F89" i="15"/>
  <c r="H89" i="15" s="1"/>
  <c r="F88" i="15"/>
  <c r="H88" i="15" s="1"/>
  <c r="F87" i="15"/>
  <c r="H87" i="15" s="1"/>
  <c r="F86" i="15"/>
  <c r="H86" i="15" s="1"/>
  <c r="F85" i="15"/>
  <c r="H85" i="15" s="1"/>
  <c r="F84" i="15"/>
  <c r="H84" i="15" s="1"/>
  <c r="H82" i="15"/>
  <c r="F81" i="15"/>
  <c r="H81" i="15" s="1"/>
  <c r="F80" i="15"/>
  <c r="H80" i="15" s="1"/>
  <c r="F79" i="15"/>
  <c r="H79" i="15" s="1"/>
  <c r="F78" i="15"/>
  <c r="H78" i="15" s="1"/>
  <c r="F77" i="15"/>
  <c r="H77" i="15" s="1"/>
  <c r="F76" i="15"/>
  <c r="H76" i="15" s="1"/>
  <c r="F75" i="15"/>
  <c r="H75" i="15" s="1"/>
  <c r="F74" i="15"/>
  <c r="H74" i="15" s="1"/>
  <c r="F73" i="15"/>
  <c r="H73" i="15" s="1"/>
  <c r="F72" i="15"/>
  <c r="H72" i="15" s="1"/>
  <c r="F123" i="14"/>
  <c r="F122" i="14"/>
  <c r="F120" i="14"/>
  <c r="F119" i="14"/>
  <c r="F117" i="14"/>
  <c r="F116" i="14"/>
  <c r="F114" i="14"/>
  <c r="F113" i="14"/>
  <c r="F112" i="14"/>
  <c r="F111" i="14"/>
  <c r="F109" i="14"/>
  <c r="F108" i="14"/>
  <c r="F107" i="14"/>
  <c r="F106" i="14"/>
  <c r="F105" i="14"/>
  <c r="F104" i="14"/>
  <c r="F103" i="14"/>
  <c r="F102" i="14"/>
  <c r="F100" i="14"/>
  <c r="F99" i="14"/>
  <c r="F98" i="14"/>
  <c r="F124" i="8"/>
  <c r="F123" i="8"/>
  <c r="F122" i="8"/>
  <c r="F120" i="8"/>
  <c r="F119" i="8"/>
  <c r="F117" i="8"/>
  <c r="F116" i="8"/>
  <c r="F114" i="8"/>
  <c r="F113" i="8"/>
  <c r="F112" i="8"/>
  <c r="F111" i="8"/>
  <c r="A111" i="17" s="1"/>
  <c r="K111" i="17" s="1"/>
  <c r="F109" i="8"/>
  <c r="F108" i="8"/>
  <c r="F107" i="8"/>
  <c r="F106" i="8"/>
  <c r="F105" i="8"/>
  <c r="F104" i="8"/>
  <c r="F103" i="8"/>
  <c r="F102" i="8"/>
  <c r="F100" i="8"/>
  <c r="F99" i="8"/>
  <c r="F98" i="8"/>
  <c r="F97" i="8"/>
  <c r="F95" i="8"/>
  <c r="F94" i="8"/>
  <c r="F93" i="8"/>
  <c r="F92" i="8"/>
  <c r="F90" i="8"/>
  <c r="F89" i="8"/>
  <c r="F123" i="7"/>
  <c r="F122" i="7"/>
  <c r="F120" i="7"/>
  <c r="F119" i="7"/>
  <c r="F117" i="7"/>
  <c r="F116" i="7"/>
  <c r="F114" i="7"/>
  <c r="F113" i="7"/>
  <c r="F112" i="7"/>
  <c r="F111" i="7"/>
  <c r="F109" i="7"/>
  <c r="F108" i="7"/>
  <c r="F107" i="7"/>
  <c r="F106" i="7"/>
  <c r="F105" i="7"/>
  <c r="F104" i="7"/>
  <c r="F103" i="7"/>
  <c r="F102" i="7"/>
  <c r="F100" i="7"/>
  <c r="F99" i="7"/>
  <c r="F98" i="7"/>
  <c r="F97" i="7"/>
  <c r="F380" i="17" l="1"/>
  <c r="G379" i="15"/>
  <c r="G378" i="15"/>
  <c r="G377" i="15"/>
  <c r="G376" i="15"/>
  <c r="G375" i="15"/>
  <c r="G374" i="15"/>
  <c r="G373" i="15"/>
  <c r="F380" i="15"/>
  <c r="F380" i="14"/>
  <c r="F380" i="8"/>
  <c r="F380" i="7"/>
  <c r="F380" i="6"/>
  <c r="H380" i="6" s="1"/>
  <c r="K216" i="11"/>
  <c r="K215" i="11"/>
  <c r="K214" i="11"/>
  <c r="K153" i="11"/>
  <c r="K172" i="11"/>
  <c r="K154" i="11"/>
  <c r="K173" i="11"/>
  <c r="E564" i="21" l="1"/>
  <c r="E562" i="21"/>
  <c r="E560" i="21"/>
  <c r="E558" i="21"/>
  <c r="E556" i="21"/>
  <c r="E555" i="21"/>
  <c r="E554" i="21"/>
  <c r="E552" i="21"/>
  <c r="E550" i="21"/>
  <c r="E545" i="21"/>
  <c r="E524" i="21"/>
  <c r="E520" i="21"/>
  <c r="E526" i="21"/>
  <c r="E525" i="21"/>
  <c r="E522" i="21"/>
  <c r="E518" i="21"/>
  <c r="E501" i="21"/>
  <c r="E494" i="21"/>
  <c r="E486" i="21"/>
  <c r="E484" i="21"/>
  <c r="E479" i="21"/>
  <c r="E471" i="21"/>
  <c r="E470" i="21"/>
  <c r="E469" i="21"/>
  <c r="E467" i="21"/>
  <c r="E462" i="21"/>
  <c r="E460" i="21"/>
  <c r="E458" i="21"/>
  <c r="E457" i="21"/>
  <c r="E456" i="21"/>
  <c r="E455" i="21"/>
  <c r="E384" i="21"/>
  <c r="E383" i="21"/>
  <c r="E381" i="21"/>
  <c r="E205" i="21"/>
  <c r="E179" i="21"/>
  <c r="E173" i="21"/>
  <c r="E167" i="21"/>
  <c r="E125" i="21"/>
  <c r="J564" i="17" l="1"/>
  <c r="J563" i="17"/>
  <c r="J562" i="17"/>
  <c r="J561" i="17"/>
  <c r="J560" i="17"/>
  <c r="J559" i="17"/>
  <c r="J558" i="17"/>
  <c r="J557" i="17"/>
  <c r="J556" i="17"/>
  <c r="J555" i="17"/>
  <c r="J554" i="17"/>
  <c r="J553" i="17"/>
  <c r="J552" i="17"/>
  <c r="J551" i="17"/>
  <c r="J550" i="17"/>
  <c r="J549" i="17"/>
  <c r="J548" i="17"/>
  <c r="J547" i="17"/>
  <c r="J546" i="17"/>
  <c r="J545" i="17"/>
  <c r="J544" i="17"/>
  <c r="J543" i="17"/>
  <c r="J542" i="17"/>
  <c r="J541" i="17"/>
  <c r="J540" i="17"/>
  <c r="J539" i="17"/>
  <c r="J538" i="17"/>
  <c r="J537" i="17"/>
  <c r="J536" i="17"/>
  <c r="J535" i="17"/>
  <c r="J534" i="17"/>
  <c r="J533" i="17"/>
  <c r="J532" i="17"/>
  <c r="J531" i="17"/>
  <c r="J530" i="17"/>
  <c r="J529" i="17"/>
  <c r="J528" i="17"/>
  <c r="J527" i="17"/>
  <c r="J524" i="17"/>
  <c r="J523" i="17"/>
  <c r="J522" i="17"/>
  <c r="J521" i="17"/>
  <c r="J526" i="17"/>
  <c r="J525" i="17"/>
  <c r="J520" i="17"/>
  <c r="J519" i="17"/>
  <c r="J518" i="17"/>
  <c r="J517" i="17"/>
  <c r="J516" i="17"/>
  <c r="J515" i="17"/>
  <c r="J514" i="17"/>
  <c r="J513" i="17"/>
  <c r="J512" i="17"/>
  <c r="J511" i="17"/>
  <c r="J510" i="17"/>
  <c r="J509" i="17"/>
  <c r="J508" i="17"/>
  <c r="J507" i="17"/>
  <c r="J506" i="17"/>
  <c r="J505" i="17"/>
  <c r="J504" i="17"/>
  <c r="J503" i="17"/>
  <c r="J502" i="17"/>
  <c r="J501" i="17"/>
  <c r="J500" i="17"/>
  <c r="J499" i="17"/>
  <c r="J498" i="17"/>
  <c r="J497" i="17"/>
  <c r="J496" i="17"/>
  <c r="J495" i="17"/>
  <c r="J494" i="17"/>
  <c r="J493" i="17"/>
  <c r="J492" i="17"/>
  <c r="J491" i="17"/>
  <c r="J490" i="17"/>
  <c r="J489" i="17"/>
  <c r="J488" i="17"/>
  <c r="J487" i="17"/>
  <c r="J486" i="17"/>
  <c r="J485" i="17"/>
  <c r="J484" i="17"/>
  <c r="J483" i="17"/>
  <c r="J482" i="17"/>
  <c r="J481" i="17"/>
  <c r="J480" i="17"/>
  <c r="J479" i="17"/>
  <c r="J478" i="17"/>
  <c r="J477" i="17"/>
  <c r="J476" i="17"/>
  <c r="J475" i="17"/>
  <c r="J474" i="17"/>
  <c r="J473" i="17"/>
  <c r="J472" i="17"/>
  <c r="J471" i="17"/>
  <c r="J470" i="17"/>
  <c r="J469" i="17"/>
  <c r="J468" i="17"/>
  <c r="J467" i="17"/>
  <c r="J466" i="17"/>
  <c r="J465" i="17"/>
  <c r="J464" i="17"/>
  <c r="J463" i="17"/>
  <c r="J462" i="17"/>
  <c r="J461" i="17"/>
  <c r="J460" i="17"/>
  <c r="J459" i="17"/>
  <c r="J458" i="17"/>
  <c r="J457" i="17"/>
  <c r="J456" i="17"/>
  <c r="J455" i="17"/>
  <c r="J454" i="17"/>
  <c r="J453" i="17"/>
  <c r="J452" i="17"/>
  <c r="J451" i="17"/>
  <c r="J450" i="17"/>
  <c r="J449" i="17"/>
  <c r="J448" i="17"/>
  <c r="J447" i="17"/>
  <c r="J446" i="17"/>
  <c r="J445" i="17"/>
  <c r="J444" i="17"/>
  <c r="J443" i="17"/>
  <c r="J442" i="17"/>
  <c r="J441" i="17"/>
  <c r="J440" i="17"/>
  <c r="J439" i="17"/>
  <c r="J438" i="17"/>
  <c r="J437" i="17"/>
  <c r="J436" i="17"/>
  <c r="J435" i="17"/>
  <c r="J434" i="17"/>
  <c r="J433" i="17"/>
  <c r="J432" i="17"/>
  <c r="J431" i="17"/>
  <c r="J430" i="17"/>
  <c r="J429" i="17"/>
  <c r="J428" i="17"/>
  <c r="J427" i="17"/>
  <c r="J426" i="17"/>
  <c r="J425" i="17"/>
  <c r="J424" i="17"/>
  <c r="J423" i="17"/>
  <c r="J422" i="17"/>
  <c r="J421" i="17"/>
  <c r="J420" i="17"/>
  <c r="J419" i="17"/>
  <c r="J418" i="17"/>
  <c r="J417" i="17"/>
  <c r="J416" i="17"/>
  <c r="J415" i="17"/>
  <c r="J414" i="17"/>
  <c r="J413" i="17"/>
  <c r="J412" i="17"/>
  <c r="J411" i="17"/>
  <c r="J410" i="17"/>
  <c r="J409" i="17"/>
  <c r="J408" i="17"/>
  <c r="J407" i="17"/>
  <c r="J406" i="17"/>
  <c r="J405" i="17"/>
  <c r="J404" i="17"/>
  <c r="J403" i="17"/>
  <c r="J402" i="17"/>
  <c r="J401" i="17"/>
  <c r="J400" i="17"/>
  <c r="J399" i="17"/>
  <c r="J398" i="17"/>
  <c r="J397" i="17"/>
  <c r="J396" i="17"/>
  <c r="J395" i="17"/>
  <c r="J394" i="17"/>
  <c r="J393" i="17"/>
  <c r="J392" i="17"/>
  <c r="J391" i="17"/>
  <c r="J390" i="17"/>
  <c r="J389" i="17"/>
  <c r="J388" i="17"/>
  <c r="J387" i="17"/>
  <c r="J386" i="17"/>
  <c r="J385" i="17"/>
  <c r="E549" i="19"/>
  <c r="H549" i="19" s="1"/>
  <c r="L549" i="19" s="1"/>
  <c r="E548" i="19"/>
  <c r="H548" i="19" s="1"/>
  <c r="L548" i="19" s="1"/>
  <c r="E544" i="19"/>
  <c r="H544" i="19" s="1"/>
  <c r="L544" i="19" s="1"/>
  <c r="E543" i="19"/>
  <c r="H543" i="19" s="1"/>
  <c r="L543" i="19" s="1"/>
  <c r="E542" i="19"/>
  <c r="H542" i="19" s="1"/>
  <c r="L542" i="19" s="1"/>
  <c r="E517" i="19"/>
  <c r="H517" i="19" s="1"/>
  <c r="L517" i="19" s="1"/>
  <c r="E516" i="19"/>
  <c r="H516" i="19" s="1"/>
  <c r="L516" i="19" s="1"/>
  <c r="E515" i="19"/>
  <c r="H515" i="19" s="1"/>
  <c r="L515" i="19" s="1"/>
  <c r="E549" i="17"/>
  <c r="E548" i="17"/>
  <c r="H548" i="17" s="1"/>
  <c r="L548" i="17" s="1"/>
  <c r="E544" i="17"/>
  <c r="E543" i="17"/>
  <c r="E542" i="17"/>
  <c r="E517" i="17"/>
  <c r="H517" i="17" s="1"/>
  <c r="L517" i="17" s="1"/>
  <c r="E516" i="17"/>
  <c r="H516" i="17" s="1"/>
  <c r="L516" i="17" s="1"/>
  <c r="E515" i="17"/>
  <c r="H515" i="17" s="1"/>
  <c r="L515" i="17" s="1"/>
  <c r="E549" i="15"/>
  <c r="H549" i="15" s="1"/>
  <c r="L549" i="15" s="1"/>
  <c r="E548" i="15"/>
  <c r="H548" i="15" s="1"/>
  <c r="L548" i="15" s="1"/>
  <c r="E544" i="15"/>
  <c r="H544" i="15" s="1"/>
  <c r="L544" i="15" s="1"/>
  <c r="E543" i="15"/>
  <c r="H543" i="15" s="1"/>
  <c r="L543" i="15" s="1"/>
  <c r="E542" i="15"/>
  <c r="H542" i="15" s="1"/>
  <c r="L542" i="15" s="1"/>
  <c r="E517" i="15"/>
  <c r="H517" i="15" s="1"/>
  <c r="L517" i="15" s="1"/>
  <c r="E516" i="15"/>
  <c r="H516" i="15" s="1"/>
  <c r="L516" i="15" s="1"/>
  <c r="E515" i="15"/>
  <c r="H515" i="15" s="1"/>
  <c r="L515" i="15" s="1"/>
  <c r="E549" i="14"/>
  <c r="H549" i="14" s="1"/>
  <c r="L549" i="14" s="1"/>
  <c r="E548" i="14"/>
  <c r="H548" i="14" s="1"/>
  <c r="L548" i="14" s="1"/>
  <c r="E544" i="14"/>
  <c r="H544" i="14" s="1"/>
  <c r="L544" i="14" s="1"/>
  <c r="E543" i="14"/>
  <c r="H543" i="14" s="1"/>
  <c r="L543" i="14" s="1"/>
  <c r="E542" i="14"/>
  <c r="H542" i="14" s="1"/>
  <c r="L542" i="14" s="1"/>
  <c r="E517" i="14"/>
  <c r="H517" i="14" s="1"/>
  <c r="L517" i="14" s="1"/>
  <c r="E516" i="14"/>
  <c r="H516" i="14" s="1"/>
  <c r="L516" i="14" s="1"/>
  <c r="E515" i="14"/>
  <c r="H515" i="14" s="1"/>
  <c r="L515" i="14" s="1"/>
  <c r="H544" i="17" l="1"/>
  <c r="L544" i="17" s="1"/>
  <c r="H543" i="17"/>
  <c r="L543" i="17" s="1"/>
  <c r="H542" i="17"/>
  <c r="L542" i="17" s="1"/>
  <c r="H549" i="17"/>
  <c r="L549" i="17" s="1"/>
  <c r="E26" i="21"/>
  <c r="F441" i="21"/>
  <c r="F440" i="21"/>
  <c r="F439" i="21"/>
  <c r="F438" i="21"/>
  <c r="F437" i="21"/>
  <c r="F436" i="21"/>
  <c r="F435" i="21"/>
  <c r="F433" i="21"/>
  <c r="F432" i="21"/>
  <c r="F431" i="21"/>
  <c r="F434" i="21"/>
  <c r="F430" i="21"/>
  <c r="F429" i="21"/>
  <c r="F428" i="21"/>
  <c r="F427" i="21"/>
  <c r="F426" i="21"/>
  <c r="F425" i="21"/>
  <c r="J422" i="21"/>
  <c r="C16" i="17" l="1"/>
  <c r="C16" i="14"/>
  <c r="AA80" i="10"/>
  <c r="AA95" i="10" l="1"/>
  <c r="AA91" i="10"/>
  <c r="AA87" i="10"/>
  <c r="AA83" i="10"/>
  <c r="AA94" i="10"/>
  <c r="AA90" i="10"/>
  <c r="AA86" i="10"/>
  <c r="AA93" i="10"/>
  <c r="AA89" i="10"/>
  <c r="AA85" i="10"/>
  <c r="AA92" i="10"/>
  <c r="AA88" i="10"/>
  <c r="AA84" i="10"/>
  <c r="K595" i="21"/>
  <c r="K37" i="11" l="1"/>
  <c r="K32" i="11"/>
  <c r="K27" i="11"/>
  <c r="AO81" i="10"/>
  <c r="J13" i="1"/>
  <c r="I7" i="21"/>
  <c r="Q7" i="21"/>
  <c r="V14" i="21"/>
  <c r="W564" i="21"/>
  <c r="M564" i="21"/>
  <c r="K7" i="21"/>
  <c r="L21" i="19"/>
  <c r="L16" i="19"/>
  <c r="L21" i="17"/>
  <c r="L16" i="17"/>
  <c r="L21" i="14"/>
  <c r="L16" i="14"/>
  <c r="L21" i="8"/>
  <c r="L16" i="8"/>
  <c r="L21" i="7"/>
  <c r="L16" i="7"/>
  <c r="L21" i="6"/>
  <c r="L16" i="6"/>
  <c r="L21" i="2"/>
  <c r="L16" i="2"/>
  <c r="C18" i="11"/>
  <c r="K18" i="11" s="1"/>
  <c r="K16" i="11"/>
  <c r="J124" i="8"/>
  <c r="H124" i="8" s="1"/>
  <c r="J124" i="7"/>
  <c r="J124" i="6"/>
  <c r="G380" i="5"/>
  <c r="K380" i="6" s="1"/>
  <c r="J380" i="5"/>
  <c r="G379" i="5"/>
  <c r="K379" i="5" s="1"/>
  <c r="J379" i="5"/>
  <c r="G378" i="5"/>
  <c r="K378" i="5" s="1"/>
  <c r="J378" i="5"/>
  <c r="G377" i="5"/>
  <c r="J377" i="5"/>
  <c r="G376" i="5"/>
  <c r="K376" i="5" s="1"/>
  <c r="J376" i="5"/>
  <c r="G375" i="5"/>
  <c r="J375" i="5"/>
  <c r="G374" i="5"/>
  <c r="J374" i="5"/>
  <c r="G373" i="5"/>
  <c r="J373" i="5"/>
  <c r="G373" i="6"/>
  <c r="J39" i="7"/>
  <c r="J39" i="6"/>
  <c r="H254" i="11"/>
  <c r="H253" i="11"/>
  <c r="H252" i="11"/>
  <c r="H251" i="11"/>
  <c r="H250" i="11"/>
  <c r="H249" i="11"/>
  <c r="H248" i="11"/>
  <c r="H246" i="11"/>
  <c r="H245" i="11"/>
  <c r="H244" i="11"/>
  <c r="H243" i="11"/>
  <c r="H242" i="11"/>
  <c r="H241" i="11"/>
  <c r="H240" i="11"/>
  <c r="H239" i="11"/>
  <c r="H238" i="11"/>
  <c r="H237" i="11"/>
  <c r="H236" i="11"/>
  <c r="H235" i="11"/>
  <c r="H234" i="11"/>
  <c r="H233" i="11"/>
  <c r="H232" i="11"/>
  <c r="H231" i="11"/>
  <c r="H230" i="11"/>
  <c r="H229" i="11"/>
  <c r="H228" i="11"/>
  <c r="H227" i="11"/>
  <c r="H226" i="11"/>
  <c r="H225" i="11"/>
  <c r="H224" i="11"/>
  <c r="H223" i="11"/>
  <c r="H222" i="11"/>
  <c r="G382" i="19"/>
  <c r="G385" i="19"/>
  <c r="G206" i="19"/>
  <c r="G180" i="19"/>
  <c r="G174" i="19"/>
  <c r="G168" i="19"/>
  <c r="G126" i="19"/>
  <c r="G39" i="19"/>
  <c r="G37" i="19"/>
  <c r="G32" i="19"/>
  <c r="G27" i="19"/>
  <c r="G25" i="19"/>
  <c r="F315" i="19"/>
  <c r="H315" i="19" s="1"/>
  <c r="F314" i="19"/>
  <c r="H314" i="19" s="1"/>
  <c r="F312" i="19"/>
  <c r="H312" i="19" s="1"/>
  <c r="F311" i="19"/>
  <c r="H311" i="19" s="1"/>
  <c r="F310" i="19"/>
  <c r="H310" i="19" s="1"/>
  <c r="E309" i="19"/>
  <c r="H309" i="19" s="1"/>
  <c r="E134" i="19"/>
  <c r="H134" i="19" s="1"/>
  <c r="G443" i="17"/>
  <c r="G385" i="17"/>
  <c r="G382" i="17"/>
  <c r="G206" i="17"/>
  <c r="G180" i="17"/>
  <c r="G174" i="17"/>
  <c r="G168" i="17"/>
  <c r="G39" i="17"/>
  <c r="G37" i="17"/>
  <c r="G32" i="17"/>
  <c r="G31" i="17"/>
  <c r="G27" i="17"/>
  <c r="G25" i="17"/>
  <c r="J315" i="17"/>
  <c r="F315" i="17"/>
  <c r="J314" i="17"/>
  <c r="F314" i="17"/>
  <c r="J312" i="17"/>
  <c r="F312" i="17"/>
  <c r="J311" i="17"/>
  <c r="F311" i="17"/>
  <c r="J310" i="17"/>
  <c r="F310" i="17"/>
  <c r="J309" i="17"/>
  <c r="H309" i="17" s="1"/>
  <c r="L309" i="17" s="1"/>
  <c r="E309" i="17"/>
  <c r="J134" i="17"/>
  <c r="E134" i="17"/>
  <c r="G502" i="15"/>
  <c r="G495" i="15"/>
  <c r="G487" i="15"/>
  <c r="G485" i="15"/>
  <c r="G480" i="15"/>
  <c r="G472" i="15"/>
  <c r="G443" i="15"/>
  <c r="G385" i="15"/>
  <c r="G382" i="15"/>
  <c r="G206" i="15"/>
  <c r="G168" i="15"/>
  <c r="G180" i="15"/>
  <c r="G174" i="15"/>
  <c r="G126" i="15"/>
  <c r="G39" i="15"/>
  <c r="G37" i="15"/>
  <c r="G32" i="15"/>
  <c r="G27" i="15"/>
  <c r="G25" i="15"/>
  <c r="F315" i="15"/>
  <c r="F314" i="15"/>
  <c r="F312" i="15"/>
  <c r="F311" i="15"/>
  <c r="F310" i="15"/>
  <c r="H310" i="15" s="1"/>
  <c r="L310" i="15" s="1"/>
  <c r="E309" i="15"/>
  <c r="E134" i="15"/>
  <c r="G468" i="14"/>
  <c r="G463" i="14"/>
  <c r="G461" i="14"/>
  <c r="G459" i="14"/>
  <c r="G443" i="14"/>
  <c r="G385" i="14"/>
  <c r="G382" i="14"/>
  <c r="G206" i="14"/>
  <c r="G180" i="14"/>
  <c r="G174" i="14"/>
  <c r="G168" i="14"/>
  <c r="G126" i="14"/>
  <c r="G39" i="14"/>
  <c r="G37" i="14"/>
  <c r="G32" i="14"/>
  <c r="G27" i="14"/>
  <c r="G25" i="14"/>
  <c r="J315" i="14"/>
  <c r="F315" i="14"/>
  <c r="J314" i="14"/>
  <c r="F314" i="14"/>
  <c r="J312" i="14"/>
  <c r="F312" i="14"/>
  <c r="J311" i="14"/>
  <c r="F311" i="14"/>
  <c r="J310" i="14"/>
  <c r="F310" i="14"/>
  <c r="J309" i="14"/>
  <c r="H309" i="14" s="1"/>
  <c r="L309" i="14" s="1"/>
  <c r="E309" i="14"/>
  <c r="J134" i="14"/>
  <c r="E134" i="14"/>
  <c r="G382" i="8"/>
  <c r="G385" i="8"/>
  <c r="G443" i="8"/>
  <c r="G206" i="8"/>
  <c r="G180" i="8"/>
  <c r="G174" i="8"/>
  <c r="G168" i="8"/>
  <c r="G126" i="8"/>
  <c r="G39" i="8"/>
  <c r="G37" i="8"/>
  <c r="G32" i="8"/>
  <c r="G27" i="8"/>
  <c r="G25" i="8"/>
  <c r="G443" i="7"/>
  <c r="G385" i="7"/>
  <c r="G382" i="7"/>
  <c r="G206" i="7"/>
  <c r="G180" i="7"/>
  <c r="G174" i="7"/>
  <c r="G168" i="7"/>
  <c r="G126" i="7"/>
  <c r="G39" i="7"/>
  <c r="G37" i="7"/>
  <c r="G32" i="7"/>
  <c r="G27" i="7"/>
  <c r="G25" i="7"/>
  <c r="J134" i="8"/>
  <c r="E134" i="8"/>
  <c r="A134" i="15" s="1"/>
  <c r="E135" i="8"/>
  <c r="A135" i="14" s="1"/>
  <c r="R92" i="10"/>
  <c r="J315" i="8"/>
  <c r="F315" i="8"/>
  <c r="J314" i="8"/>
  <c r="F314" i="8"/>
  <c r="A314" i="17" s="1"/>
  <c r="J312" i="8"/>
  <c r="F312" i="8"/>
  <c r="A312" i="15" s="1"/>
  <c r="J311" i="8"/>
  <c r="F311" i="8"/>
  <c r="A310" i="19" s="1"/>
  <c r="J310" i="8"/>
  <c r="F310" i="8"/>
  <c r="J309" i="8"/>
  <c r="H309" i="8" s="1"/>
  <c r="E309" i="8"/>
  <c r="A309" i="14" s="1"/>
  <c r="J315" i="7"/>
  <c r="F315" i="7"/>
  <c r="J314" i="7"/>
  <c r="F314" i="7"/>
  <c r="A314" i="8" s="1"/>
  <c r="J312" i="7"/>
  <c r="F312" i="7"/>
  <c r="A312" i="8" s="1"/>
  <c r="J311" i="7"/>
  <c r="F311" i="7"/>
  <c r="A311" i="8" s="1"/>
  <c r="J310" i="7"/>
  <c r="F310" i="7"/>
  <c r="A310" i="8" s="1"/>
  <c r="J309" i="7"/>
  <c r="H309" i="7" s="1"/>
  <c r="L309" i="7" s="1"/>
  <c r="E309" i="7"/>
  <c r="A309" i="8" s="1"/>
  <c r="G443" i="6"/>
  <c r="G385" i="6"/>
  <c r="G382" i="6"/>
  <c r="G206" i="6"/>
  <c r="G180" i="6"/>
  <c r="G174" i="6"/>
  <c r="G168" i="6"/>
  <c r="G126" i="6"/>
  <c r="G39" i="6"/>
  <c r="G37" i="6"/>
  <c r="G32" i="6"/>
  <c r="G27" i="6"/>
  <c r="G25" i="6"/>
  <c r="J134" i="7"/>
  <c r="E134" i="7"/>
  <c r="A134" i="8" s="1"/>
  <c r="G443" i="5"/>
  <c r="K443" i="5" s="1"/>
  <c r="K385" i="5"/>
  <c r="G382" i="5"/>
  <c r="K382" i="5" s="1"/>
  <c r="G206" i="5"/>
  <c r="K206" i="5" s="1"/>
  <c r="G180" i="5"/>
  <c r="K180" i="5" s="1"/>
  <c r="G174" i="5"/>
  <c r="K174" i="5" s="1"/>
  <c r="G168" i="5"/>
  <c r="K168" i="5" s="1"/>
  <c r="G126" i="5"/>
  <c r="K126" i="5" s="1"/>
  <c r="G39" i="5"/>
  <c r="K39" i="5" s="1"/>
  <c r="G37" i="5"/>
  <c r="K37" i="5" s="1"/>
  <c r="G32" i="5"/>
  <c r="K32" i="5" s="1"/>
  <c r="G27" i="5"/>
  <c r="K27" i="5" s="1"/>
  <c r="G25" i="5"/>
  <c r="G443" i="2"/>
  <c r="G385" i="2"/>
  <c r="G382" i="2"/>
  <c r="G206" i="2"/>
  <c r="G180" i="2"/>
  <c r="G174" i="2"/>
  <c r="G168" i="2"/>
  <c r="G126" i="2"/>
  <c r="G39" i="2"/>
  <c r="G37" i="2"/>
  <c r="G32" i="2"/>
  <c r="G27" i="2"/>
  <c r="G25" i="2"/>
  <c r="E134" i="5"/>
  <c r="H134" i="5" s="1"/>
  <c r="L134" i="5" s="1"/>
  <c r="J134" i="6"/>
  <c r="E134" i="6"/>
  <c r="A134" i="7" s="1"/>
  <c r="K134" i="5"/>
  <c r="J134" i="5"/>
  <c r="J134" i="2"/>
  <c r="E134" i="2"/>
  <c r="H134" i="2" s="1"/>
  <c r="L134" i="2" s="1"/>
  <c r="J315" i="6"/>
  <c r="F315" i="6"/>
  <c r="J314" i="6"/>
  <c r="F314" i="6"/>
  <c r="J312" i="6"/>
  <c r="F312" i="6"/>
  <c r="A312" i="7" s="1"/>
  <c r="J311" i="6"/>
  <c r="F311" i="6"/>
  <c r="J310" i="6"/>
  <c r="F310" i="6"/>
  <c r="A310" i="7" s="1"/>
  <c r="J309" i="6"/>
  <c r="H309" i="6" s="1"/>
  <c r="L309" i="6" s="1"/>
  <c r="E309" i="6"/>
  <c r="K315" i="5"/>
  <c r="J315" i="5"/>
  <c r="F315" i="5"/>
  <c r="H315" i="5" s="1"/>
  <c r="L315" i="5" s="1"/>
  <c r="K314" i="5"/>
  <c r="J314" i="5"/>
  <c r="F314" i="5"/>
  <c r="K312" i="5"/>
  <c r="J312" i="5"/>
  <c r="F312" i="5"/>
  <c r="A312" i="6" s="1"/>
  <c r="K311" i="5"/>
  <c r="J311" i="5"/>
  <c r="F311" i="5"/>
  <c r="H311" i="5" s="1"/>
  <c r="L311" i="5" s="1"/>
  <c r="K310" i="5"/>
  <c r="J310" i="5"/>
  <c r="F310" i="5"/>
  <c r="K309" i="5"/>
  <c r="J309" i="5"/>
  <c r="H309" i="5" s="1"/>
  <c r="L309" i="5" s="1"/>
  <c r="E309" i="5"/>
  <c r="A309" i="6" s="1"/>
  <c r="J315" i="2"/>
  <c r="F315" i="2"/>
  <c r="H315" i="2" s="1"/>
  <c r="L315" i="2" s="1"/>
  <c r="J314" i="2"/>
  <c r="F314" i="2"/>
  <c r="H314" i="2" s="1"/>
  <c r="L314" i="2" s="1"/>
  <c r="J312" i="2"/>
  <c r="F312" i="2"/>
  <c r="H312" i="2" s="1"/>
  <c r="L312" i="2" s="1"/>
  <c r="J311" i="2"/>
  <c r="F311" i="2"/>
  <c r="H311" i="2" s="1"/>
  <c r="L311" i="2" s="1"/>
  <c r="J310" i="2"/>
  <c r="F310" i="2"/>
  <c r="H310" i="2" s="1"/>
  <c r="L310" i="2" s="1"/>
  <c r="J309" i="2"/>
  <c r="H309" i="2" s="1"/>
  <c r="L309" i="2" s="1"/>
  <c r="E309" i="2"/>
  <c r="F217" i="19"/>
  <c r="H217" i="19" s="1"/>
  <c r="F216" i="19"/>
  <c r="H216" i="19" s="1"/>
  <c r="F215" i="19"/>
  <c r="H215" i="19" s="1"/>
  <c r="F214" i="19"/>
  <c r="H214" i="19" s="1"/>
  <c r="F213" i="19"/>
  <c r="H213" i="19" s="1"/>
  <c r="F212" i="19"/>
  <c r="H212" i="19" s="1"/>
  <c r="E211" i="19"/>
  <c r="H211" i="19" s="1"/>
  <c r="J217" i="17"/>
  <c r="F217" i="17"/>
  <c r="J216" i="17"/>
  <c r="F216" i="17"/>
  <c r="J215" i="17"/>
  <c r="F215" i="17"/>
  <c r="J214" i="17"/>
  <c r="F214" i="17"/>
  <c r="J213" i="17"/>
  <c r="F213" i="17"/>
  <c r="J212" i="17"/>
  <c r="F212" i="17"/>
  <c r="J211" i="17"/>
  <c r="H211" i="17" s="1"/>
  <c r="L211" i="17" s="1"/>
  <c r="E211" i="17"/>
  <c r="E218" i="17"/>
  <c r="J218" i="17"/>
  <c r="H218" i="17" s="1"/>
  <c r="L218" i="17" s="1"/>
  <c r="F219" i="17"/>
  <c r="J219" i="17"/>
  <c r="F220" i="17"/>
  <c r="J220" i="17"/>
  <c r="F222" i="17"/>
  <c r="J222" i="17"/>
  <c r="F223" i="17"/>
  <c r="J223" i="17"/>
  <c r="F225" i="17"/>
  <c r="J225" i="17"/>
  <c r="F226" i="17"/>
  <c r="J226" i="17"/>
  <c r="F217" i="15"/>
  <c r="F216" i="15"/>
  <c r="F215" i="15"/>
  <c r="F214" i="15"/>
  <c r="F213" i="15"/>
  <c r="F212" i="15"/>
  <c r="E211" i="15"/>
  <c r="J217" i="14"/>
  <c r="F217" i="14"/>
  <c r="J216" i="14"/>
  <c r="F216" i="14"/>
  <c r="J215" i="14"/>
  <c r="F215" i="14"/>
  <c r="J214" i="14"/>
  <c r="F214" i="14"/>
  <c r="J213" i="14"/>
  <c r="F213" i="14"/>
  <c r="J212" i="14"/>
  <c r="F212" i="14"/>
  <c r="J211" i="14"/>
  <c r="H211" i="14" s="1"/>
  <c r="L211" i="14" s="1"/>
  <c r="E211" i="14"/>
  <c r="J217" i="8"/>
  <c r="F217" i="8"/>
  <c r="J216" i="8"/>
  <c r="F216" i="8"/>
  <c r="A216" i="19" s="1"/>
  <c r="J215" i="8"/>
  <c r="F215" i="8"/>
  <c r="J214" i="8"/>
  <c r="F214" i="8"/>
  <c r="J213" i="8"/>
  <c r="F213" i="8"/>
  <c r="J212" i="8"/>
  <c r="F212" i="8"/>
  <c r="J211" i="8"/>
  <c r="H211" i="8" s="1"/>
  <c r="E211" i="8"/>
  <c r="A211" i="19" s="1"/>
  <c r="J217" i="7"/>
  <c r="F217" i="7"/>
  <c r="J216" i="7"/>
  <c r="F216" i="7"/>
  <c r="A216" i="8" s="1"/>
  <c r="J215" i="7"/>
  <c r="F215" i="7"/>
  <c r="A215" i="8" s="1"/>
  <c r="J214" i="7"/>
  <c r="F214" i="7"/>
  <c r="J213" i="7"/>
  <c r="F213" i="7"/>
  <c r="J212" i="7"/>
  <c r="F212" i="7"/>
  <c r="J211" i="7"/>
  <c r="H211" i="7" s="1"/>
  <c r="L211" i="7" s="1"/>
  <c r="E211" i="7"/>
  <c r="J217" i="6"/>
  <c r="F217" i="6"/>
  <c r="J216" i="6"/>
  <c r="F216" i="6"/>
  <c r="H216" i="6" s="1"/>
  <c r="L216" i="6" s="1"/>
  <c r="J215" i="6"/>
  <c r="F215" i="6"/>
  <c r="J214" i="6"/>
  <c r="F214" i="6"/>
  <c r="J213" i="6"/>
  <c r="F213" i="6"/>
  <c r="A213" i="7" s="1"/>
  <c r="J212" i="6"/>
  <c r="F212" i="6"/>
  <c r="A212" i="7" s="1"/>
  <c r="J211" i="6"/>
  <c r="H211" i="6" s="1"/>
  <c r="L211" i="6" s="1"/>
  <c r="E211" i="6"/>
  <c r="A211" i="7" s="1"/>
  <c r="K217" i="5"/>
  <c r="J217" i="5"/>
  <c r="F217" i="5"/>
  <c r="K216" i="5"/>
  <c r="J216" i="5"/>
  <c r="F216" i="5"/>
  <c r="A216" i="6" s="1"/>
  <c r="K215" i="5"/>
  <c r="J215" i="5"/>
  <c r="F215" i="5"/>
  <c r="K214" i="5"/>
  <c r="J214" i="5"/>
  <c r="F214" i="5"/>
  <c r="H214" i="5" s="1"/>
  <c r="L214" i="5" s="1"/>
  <c r="K213" i="5"/>
  <c r="J213" i="5"/>
  <c r="F213" i="5"/>
  <c r="K212" i="5"/>
  <c r="J212" i="5"/>
  <c r="F212" i="5"/>
  <c r="K211" i="5"/>
  <c r="J211" i="5"/>
  <c r="H211" i="5" s="1"/>
  <c r="L211" i="5" s="1"/>
  <c r="E211" i="5"/>
  <c r="A211" i="6" s="1"/>
  <c r="F217" i="2"/>
  <c r="H217" i="2" s="1"/>
  <c r="L217" i="2" s="1"/>
  <c r="F216" i="2"/>
  <c r="H216" i="2" s="1"/>
  <c r="L216" i="2" s="1"/>
  <c r="F215" i="2"/>
  <c r="H215" i="2" s="1"/>
  <c r="L215" i="2" s="1"/>
  <c r="F214" i="2"/>
  <c r="H214" i="2" s="1"/>
  <c r="L214" i="2" s="1"/>
  <c r="F213" i="2"/>
  <c r="H213" i="2" s="1"/>
  <c r="L213" i="2" s="1"/>
  <c r="F212" i="2"/>
  <c r="H212" i="2" s="1"/>
  <c r="L212" i="2" s="1"/>
  <c r="J217" i="2"/>
  <c r="J215" i="2"/>
  <c r="J216" i="2"/>
  <c r="J214" i="2"/>
  <c r="J213" i="2"/>
  <c r="J212" i="2"/>
  <c r="J211" i="2"/>
  <c r="H211" i="2" s="1"/>
  <c r="L211" i="2" s="1"/>
  <c r="E211" i="2"/>
  <c r="A443" i="5"/>
  <c r="A382" i="5"/>
  <c r="A422" i="5"/>
  <c r="A206" i="5"/>
  <c r="A180" i="5"/>
  <c r="A174" i="5"/>
  <c r="A168" i="5"/>
  <c r="A39" i="5"/>
  <c r="A37" i="5"/>
  <c r="A32" i="5"/>
  <c r="A27" i="5"/>
  <c r="A25" i="5"/>
  <c r="C18" i="17"/>
  <c r="L18" i="17" s="1"/>
  <c r="C15" i="14"/>
  <c r="L15" i="14" s="1"/>
  <c r="C18" i="14"/>
  <c r="L18" i="14" s="1"/>
  <c r="C18" i="6"/>
  <c r="L18" i="6" s="1"/>
  <c r="L151" i="21"/>
  <c r="AL19" i="21"/>
  <c r="E449" i="2"/>
  <c r="H449" i="2" s="1"/>
  <c r="L449" i="2" s="1"/>
  <c r="E448" i="2"/>
  <c r="H448" i="2" s="1"/>
  <c r="L448" i="2" s="1"/>
  <c r="E447" i="2"/>
  <c r="H447" i="2" s="1"/>
  <c r="L447" i="2" s="1"/>
  <c r="E446" i="2"/>
  <c r="H446" i="2" s="1"/>
  <c r="L446" i="2" s="1"/>
  <c r="E445" i="2"/>
  <c r="H445" i="2" s="1"/>
  <c r="L445" i="2" s="1"/>
  <c r="E444" i="2"/>
  <c r="H444" i="2" s="1"/>
  <c r="L444" i="2" s="1"/>
  <c r="L450" i="2"/>
  <c r="L116" i="10"/>
  <c r="L115" i="10"/>
  <c r="L114" i="10"/>
  <c r="L113" i="10"/>
  <c r="L112" i="10"/>
  <c r="L111" i="10"/>
  <c r="L110" i="10"/>
  <c r="L109" i="10"/>
  <c r="L108" i="10"/>
  <c r="L107" i="10"/>
  <c r="L106" i="10"/>
  <c r="L105" i="10"/>
  <c r="L104" i="10"/>
  <c r="L103" i="10"/>
  <c r="L102" i="10"/>
  <c r="L101" i="10"/>
  <c r="L100" i="10"/>
  <c r="L99" i="10"/>
  <c r="L98" i="10"/>
  <c r="L97" i="10"/>
  <c r="L96" i="10"/>
  <c r="L95" i="10"/>
  <c r="L94" i="10"/>
  <c r="L93" i="10"/>
  <c r="L92" i="10"/>
  <c r="L91" i="10"/>
  <c r="L90" i="10"/>
  <c r="L89" i="10"/>
  <c r="L88" i="10"/>
  <c r="L87" i="10"/>
  <c r="L86" i="10"/>
  <c r="L85" i="10"/>
  <c r="L84" i="10"/>
  <c r="L83" i="10"/>
  <c r="I78" i="10"/>
  <c r="J78" i="10"/>
  <c r="K78" i="10"/>
  <c r="M78" i="10"/>
  <c r="N78" i="10"/>
  <c r="O78" i="10"/>
  <c r="P78" i="10"/>
  <c r="Q78" i="10"/>
  <c r="R78" i="10"/>
  <c r="S78" i="10"/>
  <c r="T78" i="10"/>
  <c r="U78" i="10"/>
  <c r="V78" i="10"/>
  <c r="W78" i="10"/>
  <c r="X78" i="10"/>
  <c r="Y78" i="10"/>
  <c r="Z78" i="10"/>
  <c r="AA78" i="10"/>
  <c r="AB78" i="10"/>
  <c r="AC78" i="10"/>
  <c r="AD78" i="10"/>
  <c r="AE78" i="10"/>
  <c r="AF78" i="10"/>
  <c r="AG78" i="10"/>
  <c r="AH78" i="10"/>
  <c r="AI78" i="10"/>
  <c r="AJ78" i="10"/>
  <c r="AK78" i="10"/>
  <c r="AL78" i="10"/>
  <c r="AM78" i="10"/>
  <c r="AN78" i="10"/>
  <c r="AO78" i="10"/>
  <c r="AP78" i="10"/>
  <c r="AQ78" i="10"/>
  <c r="AR78" i="10"/>
  <c r="AS78" i="10"/>
  <c r="H78" i="10"/>
  <c r="C18" i="19"/>
  <c r="L18" i="19" s="1"/>
  <c r="C18" i="15"/>
  <c r="L18" i="15" s="1"/>
  <c r="C18" i="8"/>
  <c r="L18" i="8" s="1"/>
  <c r="C18" i="7"/>
  <c r="L18" i="7" s="1"/>
  <c r="C18" i="5"/>
  <c r="L18" i="5" s="1"/>
  <c r="C18" i="2"/>
  <c r="L18" i="2" s="1"/>
  <c r="J126" i="7"/>
  <c r="J126" i="6"/>
  <c r="AE126" i="21"/>
  <c r="AH54" i="21"/>
  <c r="J54" i="8" s="1"/>
  <c r="AG54" i="21"/>
  <c r="J54" i="7" s="1"/>
  <c r="AF54" i="21"/>
  <c r="J54" i="6" s="1"/>
  <c r="AE54" i="21"/>
  <c r="J54" i="5" s="1"/>
  <c r="AH53" i="21"/>
  <c r="J53" i="8" s="1"/>
  <c r="AG53" i="21"/>
  <c r="J53" i="7" s="1"/>
  <c r="AF53" i="21"/>
  <c r="J53" i="6" s="1"/>
  <c r="AE53" i="21"/>
  <c r="J53" i="5" s="1"/>
  <c r="AG56" i="21"/>
  <c r="J56" i="7" s="1"/>
  <c r="AF56" i="21"/>
  <c r="J56" i="6" s="1"/>
  <c r="H56" i="6" s="1"/>
  <c r="L56" i="6" s="1"/>
  <c r="AE56" i="21"/>
  <c r="J56" i="5" s="1"/>
  <c r="AH32" i="21"/>
  <c r="AG32" i="21"/>
  <c r="AF32" i="21"/>
  <c r="AE32" i="21"/>
  <c r="J32" i="5" s="1"/>
  <c r="AE39" i="21"/>
  <c r="D382" i="8"/>
  <c r="AH52" i="21"/>
  <c r="J52" i="8" s="1"/>
  <c r="AG52" i="21"/>
  <c r="J52" i="7" s="1"/>
  <c r="AF52" i="21"/>
  <c r="J52" i="6" s="1"/>
  <c r="AE52" i="21"/>
  <c r="J52" i="5" s="1"/>
  <c r="U13" i="1"/>
  <c r="U71" i="1"/>
  <c r="V54" i="1"/>
  <c r="J60" i="1"/>
  <c r="J59" i="1"/>
  <c r="J58" i="1"/>
  <c r="J56" i="1"/>
  <c r="J55" i="1"/>
  <c r="Y21" i="21"/>
  <c r="C5" i="1"/>
  <c r="C19" i="11"/>
  <c r="K148" i="11"/>
  <c r="K143" i="11"/>
  <c r="K142" i="11"/>
  <c r="K141" i="11"/>
  <c r="K137" i="11"/>
  <c r="K136" i="11"/>
  <c r="K135" i="11"/>
  <c r="K219" i="11"/>
  <c r="K218" i="11"/>
  <c r="K217" i="11"/>
  <c r="K220" i="11"/>
  <c r="K198" i="11"/>
  <c r="K197" i="11"/>
  <c r="K196" i="11"/>
  <c r="K195" i="11"/>
  <c r="K194" i="11"/>
  <c r="K176" i="11"/>
  <c r="K178" i="11"/>
  <c r="K177" i="11"/>
  <c r="K175" i="11"/>
  <c r="K174" i="11"/>
  <c r="K152" i="11"/>
  <c r="K151" i="11"/>
  <c r="K150" i="11"/>
  <c r="K149" i="11"/>
  <c r="K147" i="11"/>
  <c r="K146" i="11"/>
  <c r="K145" i="11"/>
  <c r="K144" i="11"/>
  <c r="K140" i="11"/>
  <c r="K132" i="11"/>
  <c r="K134" i="11"/>
  <c r="AF244" i="21"/>
  <c r="J244" i="6" s="1"/>
  <c r="AG244" i="21"/>
  <c r="J244" i="7" s="1"/>
  <c r="AE244" i="21"/>
  <c r="J244" i="5" s="1"/>
  <c r="AD244" i="21"/>
  <c r="J244" i="2" s="1"/>
  <c r="AG242" i="21"/>
  <c r="J242" i="7" s="1"/>
  <c r="AF242" i="21"/>
  <c r="J242" i="6" s="1"/>
  <c r="H22" i="21"/>
  <c r="L22" i="21"/>
  <c r="L39" i="21" s="1"/>
  <c r="L49" i="21" s="1"/>
  <c r="L59" i="21" s="1"/>
  <c r="L71" i="21" s="1"/>
  <c r="N22" i="21"/>
  <c r="P22" i="21"/>
  <c r="R22" i="21"/>
  <c r="T22" i="21"/>
  <c r="F372" i="8"/>
  <c r="A372" i="15" s="1"/>
  <c r="F371" i="8"/>
  <c r="A371" i="17" s="1"/>
  <c r="F370" i="8"/>
  <c r="E367" i="8"/>
  <c r="A367" i="14" s="1"/>
  <c r="F366" i="8"/>
  <c r="A366" i="19" s="1"/>
  <c r="F365" i="8"/>
  <c r="A365" i="17" s="1"/>
  <c r="F364" i="8"/>
  <c r="F363" i="8"/>
  <c r="A363" i="17" s="1"/>
  <c r="F360" i="8"/>
  <c r="A359" i="19" s="1"/>
  <c r="F359" i="8"/>
  <c r="A359" i="15" s="1"/>
  <c r="E358" i="8"/>
  <c r="F339" i="8"/>
  <c r="A339" i="19" s="1"/>
  <c r="F338" i="8"/>
  <c r="A338" i="19" s="1"/>
  <c r="F337" i="8"/>
  <c r="A334" i="19" s="1"/>
  <c r="F334" i="8"/>
  <c r="F333" i="8"/>
  <c r="A333" i="14" s="1"/>
  <c r="E332" i="8"/>
  <c r="A332" i="19" s="1"/>
  <c r="F331" i="8"/>
  <c r="A331" i="14" s="1"/>
  <c r="F330" i="8"/>
  <c r="F329" i="8"/>
  <c r="A329" i="14" s="1"/>
  <c r="F328" i="8"/>
  <c r="A328" i="19" s="1"/>
  <c r="F327" i="8"/>
  <c r="A327" i="15" s="1"/>
  <c r="F326" i="8"/>
  <c r="F325" i="8"/>
  <c r="A325" i="15" s="1"/>
  <c r="F324" i="8"/>
  <c r="A324" i="17" s="1"/>
  <c r="F323" i="8"/>
  <c r="A323" i="14" s="1"/>
  <c r="F322" i="8"/>
  <c r="F321" i="8"/>
  <c r="A321" i="15" s="1"/>
  <c r="F319" i="8"/>
  <c r="A319" i="19" s="1"/>
  <c r="F318" i="8"/>
  <c r="A318" i="14" s="1"/>
  <c r="F317" i="8"/>
  <c r="E316" i="8"/>
  <c r="A316" i="14" s="1"/>
  <c r="F308" i="8"/>
  <c r="A308" i="14" s="1"/>
  <c r="F307" i="8"/>
  <c r="A307" i="19" s="1"/>
  <c r="F306" i="8"/>
  <c r="F305" i="8"/>
  <c r="A305" i="14" s="1"/>
  <c r="F304" i="8"/>
  <c r="A304" i="19" s="1"/>
  <c r="F302" i="8"/>
  <c r="A302" i="15" s="1"/>
  <c r="F301" i="8"/>
  <c r="F300" i="8"/>
  <c r="A300" i="15" s="1"/>
  <c r="E299" i="8"/>
  <c r="A299" i="17" s="1"/>
  <c r="F298" i="8"/>
  <c r="A298" i="19" s="1"/>
  <c r="F297" i="8"/>
  <c r="F296" i="8"/>
  <c r="A296" i="14" s="1"/>
  <c r="F295" i="8"/>
  <c r="A295" i="19" s="1"/>
  <c r="F294" i="8"/>
  <c r="A294" i="19" s="1"/>
  <c r="F292" i="8"/>
  <c r="F291" i="8"/>
  <c r="A291" i="14" s="1"/>
  <c r="F290" i="8"/>
  <c r="A290" i="14" s="1"/>
  <c r="E289" i="8"/>
  <c r="A289" i="14" s="1"/>
  <c r="F288" i="8"/>
  <c r="F287" i="8"/>
  <c r="A287" i="14" s="1"/>
  <c r="F286" i="8"/>
  <c r="A286" i="19" s="1"/>
  <c r="F285" i="8"/>
  <c r="A285" i="15" s="1"/>
  <c r="F284" i="8"/>
  <c r="F282" i="8"/>
  <c r="A282" i="14" s="1"/>
  <c r="F281" i="8"/>
  <c r="A280" i="19" s="1"/>
  <c r="F280" i="8"/>
  <c r="A280" i="14" s="1"/>
  <c r="E279" i="8"/>
  <c r="F278" i="8"/>
  <c r="A278" i="15" s="1"/>
  <c r="F277" i="8"/>
  <c r="A277" i="19" s="1"/>
  <c r="F276" i="8"/>
  <c r="A276" i="17" s="1"/>
  <c r="F275" i="8"/>
  <c r="F273" i="8"/>
  <c r="F272" i="8"/>
  <c r="A272" i="14" s="1"/>
  <c r="F271" i="8"/>
  <c r="A271" i="15" s="1"/>
  <c r="E270" i="8"/>
  <c r="F269" i="8"/>
  <c r="A269" i="17" s="1"/>
  <c r="F268" i="8"/>
  <c r="A268" i="19" s="1"/>
  <c r="F267" i="8"/>
  <c r="A267" i="15" s="1"/>
  <c r="F266" i="8"/>
  <c r="F265" i="8"/>
  <c r="A265" i="15" s="1"/>
  <c r="F264" i="8"/>
  <c r="A264" i="17" s="1"/>
  <c r="F263" i="8"/>
  <c r="A263" i="17" s="1"/>
  <c r="F262" i="8"/>
  <c r="F261" i="8"/>
  <c r="A261" i="15" s="1"/>
  <c r="F260" i="8"/>
  <c r="A260" i="19" s="1"/>
  <c r="F257" i="8"/>
  <c r="A256" i="19" s="1"/>
  <c r="F256" i="8"/>
  <c r="E255" i="8"/>
  <c r="A255" i="17" s="1"/>
  <c r="F254" i="8"/>
  <c r="A254" i="14" s="1"/>
  <c r="F253" i="8"/>
  <c r="A253" i="14" s="1"/>
  <c r="F252" i="8"/>
  <c r="F251" i="8"/>
  <c r="A251" i="14" s="1"/>
  <c r="F250" i="8"/>
  <c r="A250" i="17" s="1"/>
  <c r="F249" i="8"/>
  <c r="A249" i="14" s="1"/>
  <c r="F248" i="8"/>
  <c r="F247" i="8"/>
  <c r="A247" i="17" s="1"/>
  <c r="F246" i="8"/>
  <c r="A246" i="17" s="1"/>
  <c r="F245" i="8"/>
  <c r="A245" i="17" s="1"/>
  <c r="F244" i="8"/>
  <c r="F243" i="8"/>
  <c r="A243" i="14" s="1"/>
  <c r="F242" i="8"/>
  <c r="F237" i="8"/>
  <c r="A237" i="19" s="1"/>
  <c r="F241" i="8"/>
  <c r="F240" i="8"/>
  <c r="A240" i="14" s="1"/>
  <c r="F239" i="8"/>
  <c r="A239" i="14" s="1"/>
  <c r="F238" i="8"/>
  <c r="A238" i="15" s="1"/>
  <c r="F235" i="8"/>
  <c r="F233" i="8"/>
  <c r="A233" i="15" s="1"/>
  <c r="F232" i="8"/>
  <c r="A232" i="17" s="1"/>
  <c r="E231" i="8"/>
  <c r="A231" i="17" s="1"/>
  <c r="F230" i="8"/>
  <c r="A230" i="19" s="1"/>
  <c r="F229" i="8"/>
  <c r="A229" i="19" s="1"/>
  <c r="F227" i="8"/>
  <c r="F224" i="8"/>
  <c r="F226" i="8"/>
  <c r="A226" i="19" s="1"/>
  <c r="F225" i="8"/>
  <c r="F223" i="8"/>
  <c r="F222" i="8"/>
  <c r="F220" i="8"/>
  <c r="A220" i="19" s="1"/>
  <c r="F219" i="8"/>
  <c r="E218" i="8"/>
  <c r="A218" i="15" s="1"/>
  <c r="F210" i="8"/>
  <c r="A210" i="19" s="1"/>
  <c r="F209" i="8"/>
  <c r="F208" i="8"/>
  <c r="A208" i="19" s="1"/>
  <c r="F207" i="8"/>
  <c r="A207" i="17" s="1"/>
  <c r="D206" i="8"/>
  <c r="AH50" i="21"/>
  <c r="J50" i="8" s="1"/>
  <c r="AG50" i="21"/>
  <c r="J50" i="7" s="1"/>
  <c r="AF50" i="21"/>
  <c r="J50" i="6" s="1"/>
  <c r="AE50" i="21"/>
  <c r="J50" i="5" s="1"/>
  <c r="AH49" i="21"/>
  <c r="J49" i="8" s="1"/>
  <c r="AG49" i="21"/>
  <c r="J49" i="7" s="1"/>
  <c r="AF49" i="21"/>
  <c r="J49" i="6" s="1"/>
  <c r="AE49" i="21"/>
  <c r="J49" i="5" s="1"/>
  <c r="AH47" i="21"/>
  <c r="J47" i="8" s="1"/>
  <c r="AG47" i="21"/>
  <c r="J47" i="7" s="1"/>
  <c r="AF47" i="21"/>
  <c r="J47" i="6" s="1"/>
  <c r="AE47" i="21"/>
  <c r="J47" i="5" s="1"/>
  <c r="AH46" i="21"/>
  <c r="J46" i="8" s="1"/>
  <c r="AG46" i="21"/>
  <c r="J46" i="7" s="1"/>
  <c r="AF46" i="21"/>
  <c r="J46" i="6" s="1"/>
  <c r="AE46" i="21"/>
  <c r="J46" i="5" s="1"/>
  <c r="AH45" i="21"/>
  <c r="J45" i="8" s="1"/>
  <c r="AG45" i="21"/>
  <c r="J45" i="7" s="1"/>
  <c r="AF45" i="21"/>
  <c r="J45" i="6" s="1"/>
  <c r="AE45" i="21"/>
  <c r="J45" i="5" s="1"/>
  <c r="AH44" i="21"/>
  <c r="J44" i="8" s="1"/>
  <c r="AG44" i="21"/>
  <c r="J44" i="7" s="1"/>
  <c r="AF44" i="21"/>
  <c r="J44" i="6" s="1"/>
  <c r="AE44" i="21"/>
  <c r="J44" i="5" s="1"/>
  <c r="AH43" i="21"/>
  <c r="J43" i="8" s="1"/>
  <c r="AG43" i="21"/>
  <c r="J43" i="7" s="1"/>
  <c r="AF43" i="21"/>
  <c r="J43" i="6" s="1"/>
  <c r="AE43" i="21"/>
  <c r="J43" i="5" s="1"/>
  <c r="AH42" i="21"/>
  <c r="J42" i="8" s="1"/>
  <c r="AG42" i="21"/>
  <c r="J42" i="7" s="1"/>
  <c r="AF42" i="21"/>
  <c r="J42" i="6" s="1"/>
  <c r="AE42" i="21"/>
  <c r="J42" i="5" s="1"/>
  <c r="AH41" i="21"/>
  <c r="J41" i="8" s="1"/>
  <c r="AG41" i="21"/>
  <c r="J41" i="7" s="1"/>
  <c r="AF41" i="21"/>
  <c r="J41" i="6" s="1"/>
  <c r="AE41" i="21"/>
  <c r="J41" i="5" s="1"/>
  <c r="AH40" i="21"/>
  <c r="J40" i="8" s="1"/>
  <c r="AG40" i="21"/>
  <c r="J40" i="7" s="1"/>
  <c r="AF40" i="21"/>
  <c r="J40" i="6" s="1"/>
  <c r="AE40" i="21"/>
  <c r="J40" i="5" s="1"/>
  <c r="AE123" i="21"/>
  <c r="J123" i="5" s="1"/>
  <c r="AE124" i="21"/>
  <c r="J124" i="5" s="1"/>
  <c r="AE59" i="21"/>
  <c r="J59" i="5" s="1"/>
  <c r="AE61" i="21"/>
  <c r="J61" i="5" s="1"/>
  <c r="AE62" i="21"/>
  <c r="J62" i="5" s="1"/>
  <c r="AE63" i="21"/>
  <c r="J63" i="5" s="1"/>
  <c r="AE64" i="21"/>
  <c r="J64" i="5" s="1"/>
  <c r="AE65" i="21"/>
  <c r="J65" i="5" s="1"/>
  <c r="AE67" i="21"/>
  <c r="J67" i="5" s="1"/>
  <c r="AE68" i="21"/>
  <c r="J68" i="5" s="1"/>
  <c r="AE69" i="21"/>
  <c r="J69" i="5" s="1"/>
  <c r="AE70" i="21"/>
  <c r="J70" i="5" s="1"/>
  <c r="AE71" i="21"/>
  <c r="J71" i="5" s="1"/>
  <c r="AE72" i="21"/>
  <c r="J72" i="5" s="1"/>
  <c r="AE73" i="21"/>
  <c r="J73" i="5" s="1"/>
  <c r="AE74" i="21"/>
  <c r="J74" i="5" s="1"/>
  <c r="AE75" i="21"/>
  <c r="J75" i="5" s="1"/>
  <c r="AE76" i="21"/>
  <c r="J76" i="5" s="1"/>
  <c r="AE77" i="21"/>
  <c r="J77" i="5" s="1"/>
  <c r="AE78" i="21"/>
  <c r="J78" i="5" s="1"/>
  <c r="AE79" i="21"/>
  <c r="J79" i="5" s="1"/>
  <c r="AE80" i="21"/>
  <c r="J80" i="5" s="1"/>
  <c r="AE81" i="21"/>
  <c r="J81" i="5" s="1"/>
  <c r="AE82" i="21"/>
  <c r="J82" i="5" s="1"/>
  <c r="AE84" i="21"/>
  <c r="J84" i="5" s="1"/>
  <c r="AE85" i="21"/>
  <c r="J85" i="5" s="1"/>
  <c r="AE86" i="21"/>
  <c r="J86" i="5" s="1"/>
  <c r="AE87" i="21"/>
  <c r="J87" i="5" s="1"/>
  <c r="AE88" i="21"/>
  <c r="J88" i="5" s="1"/>
  <c r="AE89" i="21"/>
  <c r="J89" i="5" s="1"/>
  <c r="AE90" i="21"/>
  <c r="J90" i="5" s="1"/>
  <c r="AE92" i="21"/>
  <c r="J92" i="5" s="1"/>
  <c r="AE93" i="21"/>
  <c r="J93" i="5" s="1"/>
  <c r="AE94" i="21"/>
  <c r="J94" i="5" s="1"/>
  <c r="AE95" i="21"/>
  <c r="J95" i="5" s="1"/>
  <c r="AE97" i="21"/>
  <c r="J97" i="5" s="1"/>
  <c r="AE98" i="21"/>
  <c r="J98" i="5" s="1"/>
  <c r="AE99" i="21"/>
  <c r="J99" i="5" s="1"/>
  <c r="AE100" i="21"/>
  <c r="J100" i="5" s="1"/>
  <c r="AE102" i="21"/>
  <c r="J102" i="5" s="1"/>
  <c r="AE103" i="21"/>
  <c r="J103" i="5" s="1"/>
  <c r="AE104" i="21"/>
  <c r="J104" i="5" s="1"/>
  <c r="AE105" i="21"/>
  <c r="J105" i="5" s="1"/>
  <c r="AE106" i="21"/>
  <c r="J106" i="5" s="1"/>
  <c r="AE107" i="21"/>
  <c r="J107" i="5" s="1"/>
  <c r="AE108" i="21"/>
  <c r="J108" i="5" s="1"/>
  <c r="AE117" i="21"/>
  <c r="J117" i="5" s="1"/>
  <c r="AE119" i="21"/>
  <c r="J119" i="5" s="1"/>
  <c r="AE120" i="21"/>
  <c r="J120" i="5" s="1"/>
  <c r="AE122" i="21"/>
  <c r="J122" i="5" s="1"/>
  <c r="AE109" i="21"/>
  <c r="J109" i="5" s="1"/>
  <c r="AE111" i="21"/>
  <c r="J111" i="5" s="1"/>
  <c r="AE112" i="21"/>
  <c r="J112" i="5" s="1"/>
  <c r="AE113" i="21"/>
  <c r="J113" i="5" s="1"/>
  <c r="AE114" i="21"/>
  <c r="J114" i="5" s="1"/>
  <c r="AE116" i="21"/>
  <c r="J116" i="5" s="1"/>
  <c r="AE58" i="21"/>
  <c r="J58" i="5" s="1"/>
  <c r="AH130" i="21"/>
  <c r="J130" i="8" s="1"/>
  <c r="J123" i="6"/>
  <c r="J116" i="6"/>
  <c r="J114" i="6"/>
  <c r="J113" i="6"/>
  <c r="J112" i="6"/>
  <c r="J111" i="6"/>
  <c r="J109" i="6"/>
  <c r="J122" i="6"/>
  <c r="J120" i="6"/>
  <c r="J119" i="6"/>
  <c r="J117" i="6"/>
  <c r="J108" i="6"/>
  <c r="J107" i="6"/>
  <c r="J106" i="6"/>
  <c r="J105" i="6"/>
  <c r="J104" i="6"/>
  <c r="J103" i="6"/>
  <c r="J102" i="6"/>
  <c r="J100" i="6"/>
  <c r="J99" i="6"/>
  <c r="J98" i="6"/>
  <c r="J97" i="6"/>
  <c r="J95" i="6"/>
  <c r="J94" i="6"/>
  <c r="J93" i="6"/>
  <c r="J92" i="6"/>
  <c r="J90" i="6"/>
  <c r="J89" i="6"/>
  <c r="J88" i="6"/>
  <c r="J87" i="6"/>
  <c r="J86" i="6"/>
  <c r="J85" i="6"/>
  <c r="J84" i="6"/>
  <c r="J82" i="6"/>
  <c r="J81" i="6"/>
  <c r="J80" i="6"/>
  <c r="J79" i="6"/>
  <c r="J78" i="6"/>
  <c r="J77" i="6"/>
  <c r="J76" i="6"/>
  <c r="J75" i="6"/>
  <c r="J74" i="6"/>
  <c r="J73" i="6"/>
  <c r="J72" i="6"/>
  <c r="J71" i="6"/>
  <c r="J70" i="6"/>
  <c r="J69" i="6"/>
  <c r="J68" i="6"/>
  <c r="J67" i="6"/>
  <c r="J65" i="6"/>
  <c r="J64" i="6"/>
  <c r="J63" i="6"/>
  <c r="J62" i="6"/>
  <c r="J61" i="6"/>
  <c r="J59" i="6"/>
  <c r="J58" i="6"/>
  <c r="J123" i="8"/>
  <c r="H123" i="8" s="1"/>
  <c r="J122" i="8"/>
  <c r="H122" i="8" s="1"/>
  <c r="L122" i="8" s="1"/>
  <c r="J114" i="8"/>
  <c r="H114" i="8" s="1"/>
  <c r="J113" i="8"/>
  <c r="H113" i="8" s="1"/>
  <c r="J112" i="8"/>
  <c r="H112" i="8" s="1"/>
  <c r="L112" i="8" s="1"/>
  <c r="J111" i="8"/>
  <c r="H111" i="8" s="1"/>
  <c r="L111" i="8" s="1"/>
  <c r="J109" i="8"/>
  <c r="H109" i="8" s="1"/>
  <c r="J120" i="8"/>
  <c r="H120" i="8" s="1"/>
  <c r="J119" i="8"/>
  <c r="H119" i="8" s="1"/>
  <c r="J117" i="8"/>
  <c r="H117" i="8" s="1"/>
  <c r="L117" i="8" s="1"/>
  <c r="J116" i="8"/>
  <c r="H116" i="8" s="1"/>
  <c r="L116" i="8" s="1"/>
  <c r="J108" i="8"/>
  <c r="H108" i="8" s="1"/>
  <c r="J107" i="8"/>
  <c r="H107" i="8" s="1"/>
  <c r="J106" i="8"/>
  <c r="H106" i="8" s="1"/>
  <c r="L106" i="8" s="1"/>
  <c r="J105" i="8"/>
  <c r="H105" i="8" s="1"/>
  <c r="L105" i="8" s="1"/>
  <c r="J104" i="8"/>
  <c r="H104" i="8" s="1"/>
  <c r="J103" i="8"/>
  <c r="H103" i="8" s="1"/>
  <c r="J102" i="8"/>
  <c r="H102" i="8" s="1"/>
  <c r="L102" i="8" s="1"/>
  <c r="J100" i="8"/>
  <c r="H100" i="8" s="1"/>
  <c r="J99" i="8"/>
  <c r="H99" i="8" s="1"/>
  <c r="J98" i="8"/>
  <c r="H98" i="8" s="1"/>
  <c r="J97" i="8"/>
  <c r="H97" i="8" s="1"/>
  <c r="L97" i="8" s="1"/>
  <c r="J95" i="8"/>
  <c r="H95" i="8" s="1"/>
  <c r="J94" i="8"/>
  <c r="H94" i="8" s="1"/>
  <c r="L94" i="8" s="1"/>
  <c r="J93" i="8"/>
  <c r="H93" i="8" s="1"/>
  <c r="J92" i="8"/>
  <c r="H92" i="8" s="1"/>
  <c r="L92" i="8" s="1"/>
  <c r="J90" i="8"/>
  <c r="H90" i="8" s="1"/>
  <c r="J89" i="8"/>
  <c r="H89" i="8" s="1"/>
  <c r="L89" i="8" s="1"/>
  <c r="J88" i="8"/>
  <c r="J87" i="8"/>
  <c r="J86" i="8"/>
  <c r="J85" i="8"/>
  <c r="J84" i="8"/>
  <c r="J82" i="8"/>
  <c r="J81" i="8"/>
  <c r="J80" i="8"/>
  <c r="J79" i="8"/>
  <c r="J78" i="8"/>
  <c r="J77" i="8"/>
  <c r="J76" i="8"/>
  <c r="J75" i="8"/>
  <c r="J74" i="8"/>
  <c r="J73" i="8"/>
  <c r="J72" i="8"/>
  <c r="J71" i="8"/>
  <c r="J70" i="8"/>
  <c r="J69" i="8"/>
  <c r="J68" i="8"/>
  <c r="J67" i="8"/>
  <c r="J65" i="8"/>
  <c r="J64" i="8"/>
  <c r="J63" i="8"/>
  <c r="J62" i="8"/>
  <c r="J61" i="8"/>
  <c r="J59" i="8"/>
  <c r="J58" i="8"/>
  <c r="J123" i="7"/>
  <c r="H123" i="7" s="1"/>
  <c r="L123" i="7" s="1"/>
  <c r="J122" i="7"/>
  <c r="H122" i="7" s="1"/>
  <c r="L122" i="7" s="1"/>
  <c r="J114" i="7"/>
  <c r="H114" i="7" s="1"/>
  <c r="L114" i="7" s="1"/>
  <c r="J113" i="7"/>
  <c r="H113" i="7" s="1"/>
  <c r="L113" i="7" s="1"/>
  <c r="J112" i="7"/>
  <c r="H112" i="7" s="1"/>
  <c r="L112" i="7" s="1"/>
  <c r="J111" i="7"/>
  <c r="H111" i="7" s="1"/>
  <c r="L111" i="7" s="1"/>
  <c r="J109" i="7"/>
  <c r="H109" i="7" s="1"/>
  <c r="L109" i="7" s="1"/>
  <c r="J120" i="7"/>
  <c r="H120" i="7" s="1"/>
  <c r="L120" i="7" s="1"/>
  <c r="J119" i="7"/>
  <c r="H119" i="7" s="1"/>
  <c r="L119" i="7" s="1"/>
  <c r="J117" i="7"/>
  <c r="H117" i="7" s="1"/>
  <c r="L117" i="7" s="1"/>
  <c r="J116" i="7"/>
  <c r="H116" i="7" s="1"/>
  <c r="L116" i="7" s="1"/>
  <c r="J108" i="7"/>
  <c r="H108" i="7" s="1"/>
  <c r="L108" i="7" s="1"/>
  <c r="J107" i="7"/>
  <c r="H107" i="7" s="1"/>
  <c r="L107" i="7" s="1"/>
  <c r="J106" i="7"/>
  <c r="H106" i="7" s="1"/>
  <c r="L106" i="7" s="1"/>
  <c r="J105" i="7"/>
  <c r="H105" i="7" s="1"/>
  <c r="L105" i="7" s="1"/>
  <c r="J104" i="7"/>
  <c r="H104" i="7" s="1"/>
  <c r="L104" i="7" s="1"/>
  <c r="J103" i="7"/>
  <c r="H103" i="7" s="1"/>
  <c r="L103" i="7" s="1"/>
  <c r="J102" i="7"/>
  <c r="H102" i="7" s="1"/>
  <c r="L102" i="7" s="1"/>
  <c r="J100" i="7"/>
  <c r="H100" i="7" s="1"/>
  <c r="L100" i="7" s="1"/>
  <c r="J99" i="7"/>
  <c r="H99" i="7" s="1"/>
  <c r="L99" i="7" s="1"/>
  <c r="J98" i="7"/>
  <c r="H98" i="7" s="1"/>
  <c r="L98" i="7" s="1"/>
  <c r="J97" i="7"/>
  <c r="H97" i="7" s="1"/>
  <c r="L97" i="7" s="1"/>
  <c r="J95" i="7"/>
  <c r="J94" i="7"/>
  <c r="J93" i="7"/>
  <c r="J92" i="7"/>
  <c r="J90" i="7"/>
  <c r="J89" i="7"/>
  <c r="J88" i="7"/>
  <c r="J87" i="7"/>
  <c r="J86" i="7"/>
  <c r="J85" i="7"/>
  <c r="J84" i="7"/>
  <c r="J82" i="7"/>
  <c r="J81" i="7"/>
  <c r="J80" i="7"/>
  <c r="J79" i="7"/>
  <c r="J78" i="7"/>
  <c r="J77" i="7"/>
  <c r="J76" i="7"/>
  <c r="J75" i="7"/>
  <c r="J74" i="7"/>
  <c r="J73" i="7"/>
  <c r="J72" i="7"/>
  <c r="J71" i="7"/>
  <c r="J70" i="7"/>
  <c r="J69" i="7"/>
  <c r="J68" i="7"/>
  <c r="J67" i="7"/>
  <c r="J65" i="7"/>
  <c r="J64" i="7"/>
  <c r="J63" i="7"/>
  <c r="J62" i="7"/>
  <c r="J61" i="7"/>
  <c r="J59" i="7"/>
  <c r="J58" i="7"/>
  <c r="J137" i="8"/>
  <c r="J135" i="8"/>
  <c r="AH129" i="21"/>
  <c r="J129" i="8" s="1"/>
  <c r="AH127" i="21"/>
  <c r="J127" i="8" s="1"/>
  <c r="J138" i="7"/>
  <c r="J137" i="7"/>
  <c r="AG127" i="21"/>
  <c r="J127" i="7" s="1"/>
  <c r="H85" i="10"/>
  <c r="AT85" i="10" s="1"/>
  <c r="H84" i="10"/>
  <c r="AT84" i="10" s="1"/>
  <c r="AT116" i="10"/>
  <c r="H115" i="10"/>
  <c r="AT115" i="10" s="1"/>
  <c r="H114" i="10"/>
  <c r="AT114" i="10" s="1"/>
  <c r="H113" i="10"/>
  <c r="AT113" i="10" s="1"/>
  <c r="AT112" i="10"/>
  <c r="AT111" i="10"/>
  <c r="AT110" i="10"/>
  <c r="AT109" i="10"/>
  <c r="AT108" i="10"/>
  <c r="AT106" i="10"/>
  <c r="H105" i="10"/>
  <c r="AT105" i="10" s="1"/>
  <c r="H104" i="10"/>
  <c r="AT104" i="10" s="1"/>
  <c r="H103" i="10"/>
  <c r="AT103" i="10" s="1"/>
  <c r="H102" i="10"/>
  <c r="AT102" i="10" s="1"/>
  <c r="H101" i="10"/>
  <c r="AT101" i="10" s="1"/>
  <c r="H100" i="10"/>
  <c r="AT100" i="10" s="1"/>
  <c r="H99" i="10"/>
  <c r="AT99" i="10" s="1"/>
  <c r="H98" i="10"/>
  <c r="AT98" i="10" s="1"/>
  <c r="H97" i="10"/>
  <c r="AT97" i="10" s="1"/>
  <c r="H96" i="10"/>
  <c r="AT96" i="10" s="1"/>
  <c r="J116" i="10"/>
  <c r="I116" i="10"/>
  <c r="J115" i="10"/>
  <c r="I115" i="10"/>
  <c r="J114" i="10"/>
  <c r="I114" i="10"/>
  <c r="J113" i="10"/>
  <c r="I113" i="10"/>
  <c r="J112" i="10"/>
  <c r="I112" i="10"/>
  <c r="J111" i="10"/>
  <c r="I111" i="10"/>
  <c r="J110" i="10"/>
  <c r="I110" i="10"/>
  <c r="J109" i="10"/>
  <c r="I109" i="10"/>
  <c r="J108" i="10"/>
  <c r="I108" i="10"/>
  <c r="J107" i="10"/>
  <c r="I107" i="10"/>
  <c r="J106" i="10"/>
  <c r="I106" i="10"/>
  <c r="J105" i="10"/>
  <c r="I105" i="10"/>
  <c r="J104" i="10"/>
  <c r="I104" i="10"/>
  <c r="J103" i="10"/>
  <c r="I103" i="10"/>
  <c r="J102" i="10"/>
  <c r="I102" i="10"/>
  <c r="J101" i="10"/>
  <c r="I101" i="10"/>
  <c r="J100" i="10"/>
  <c r="I100" i="10"/>
  <c r="J99" i="10"/>
  <c r="I99" i="10"/>
  <c r="J98" i="10"/>
  <c r="I98" i="10"/>
  <c r="J97" i="10"/>
  <c r="I97" i="10"/>
  <c r="J96" i="10"/>
  <c r="I96" i="10"/>
  <c r="H95" i="10"/>
  <c r="AT95" i="10" s="1"/>
  <c r="H94" i="10"/>
  <c r="AT94" i="10" s="1"/>
  <c r="H93" i="10"/>
  <c r="H92" i="10"/>
  <c r="F51" i="10" s="1"/>
  <c r="H91" i="10"/>
  <c r="AT91" i="10" s="1"/>
  <c r="H90" i="10"/>
  <c r="AT90" i="10" s="1"/>
  <c r="H89" i="10"/>
  <c r="AT89" i="10" s="1"/>
  <c r="H88" i="10"/>
  <c r="AT88" i="10" s="1"/>
  <c r="H87" i="10"/>
  <c r="AT87" i="10" s="1"/>
  <c r="H86" i="10"/>
  <c r="AT86" i="10" s="1"/>
  <c r="F42" i="10"/>
  <c r="C21" i="19"/>
  <c r="F21" i="19"/>
  <c r="H21" i="19"/>
  <c r="H21" i="17"/>
  <c r="F21" i="17"/>
  <c r="C21" i="17"/>
  <c r="H21" i="15"/>
  <c r="F21" i="15"/>
  <c r="C21" i="15"/>
  <c r="H21" i="14"/>
  <c r="F21" i="14"/>
  <c r="C21" i="14"/>
  <c r="H21" i="8"/>
  <c r="F21" i="8"/>
  <c r="C21" i="8"/>
  <c r="H21" i="7"/>
  <c r="F21" i="7"/>
  <c r="C21" i="7"/>
  <c r="H21" i="6"/>
  <c r="F21" i="6"/>
  <c r="C21" i="6"/>
  <c r="H21" i="5"/>
  <c r="F21" i="5"/>
  <c r="C21" i="5"/>
  <c r="H21" i="2"/>
  <c r="F21" i="2"/>
  <c r="C21" i="2"/>
  <c r="AL17" i="21"/>
  <c r="H204" i="15"/>
  <c r="L204" i="15" s="1"/>
  <c r="H203" i="15"/>
  <c r="L203" i="15" s="1"/>
  <c r="H202" i="15"/>
  <c r="L202" i="15" s="1"/>
  <c r="H201" i="15"/>
  <c r="L201" i="15" s="1"/>
  <c r="H200" i="15"/>
  <c r="L200" i="15" s="1"/>
  <c r="H199" i="15"/>
  <c r="L199" i="15" s="1"/>
  <c r="H198" i="15"/>
  <c r="L198" i="15" s="1"/>
  <c r="H197" i="15"/>
  <c r="L197" i="15" s="1"/>
  <c r="H204" i="14"/>
  <c r="L204" i="14" s="1"/>
  <c r="H203" i="14"/>
  <c r="L203" i="14" s="1"/>
  <c r="H202" i="14"/>
  <c r="L202" i="14" s="1"/>
  <c r="H201" i="14"/>
  <c r="L201" i="14" s="1"/>
  <c r="H200" i="14"/>
  <c r="L200" i="14" s="1"/>
  <c r="H199" i="14"/>
  <c r="L199" i="14" s="1"/>
  <c r="H166" i="14"/>
  <c r="L166" i="14" s="1"/>
  <c r="H165" i="14"/>
  <c r="L165" i="14" s="1"/>
  <c r="H164" i="14"/>
  <c r="L164" i="14" s="1"/>
  <c r="H163" i="14"/>
  <c r="L163" i="14" s="1"/>
  <c r="H162" i="14"/>
  <c r="L162" i="14" s="1"/>
  <c r="J26" i="17"/>
  <c r="J27" i="17"/>
  <c r="J31" i="17"/>
  <c r="J32" i="17"/>
  <c r="J36" i="17"/>
  <c r="J37" i="17"/>
  <c r="J38" i="17"/>
  <c r="J39" i="17"/>
  <c r="J40" i="17"/>
  <c r="J41" i="17"/>
  <c r="J42" i="17"/>
  <c r="J43" i="17"/>
  <c r="J44" i="17"/>
  <c r="J45" i="17"/>
  <c r="J46" i="17"/>
  <c r="J47" i="17"/>
  <c r="J48" i="17"/>
  <c r="J49" i="17"/>
  <c r="J50" i="17"/>
  <c r="J51" i="17"/>
  <c r="J52" i="17"/>
  <c r="J53" i="17"/>
  <c r="J54" i="17"/>
  <c r="J55" i="17"/>
  <c r="J56" i="17"/>
  <c r="J57" i="17"/>
  <c r="H57" i="17" s="1"/>
  <c r="L57" i="17" s="1"/>
  <c r="J58" i="17"/>
  <c r="J59" i="17"/>
  <c r="J61" i="17"/>
  <c r="J62" i="17"/>
  <c r="J63" i="17"/>
  <c r="J64" i="17"/>
  <c r="J65" i="17"/>
  <c r="J67" i="17"/>
  <c r="J68" i="17"/>
  <c r="J69" i="17"/>
  <c r="J70" i="17"/>
  <c r="J71" i="17"/>
  <c r="J72" i="17"/>
  <c r="J73" i="17"/>
  <c r="J74" i="17"/>
  <c r="J75" i="17"/>
  <c r="J76" i="17"/>
  <c r="J77" i="17"/>
  <c r="J78" i="17"/>
  <c r="J79" i="17"/>
  <c r="J80" i="17"/>
  <c r="J81" i="17"/>
  <c r="J82" i="17"/>
  <c r="J84" i="17"/>
  <c r="J85" i="17"/>
  <c r="J86" i="17"/>
  <c r="J87" i="17"/>
  <c r="J88" i="17"/>
  <c r="J89" i="17"/>
  <c r="J90" i="17"/>
  <c r="J92" i="17"/>
  <c r="J93" i="17"/>
  <c r="J94" i="17"/>
  <c r="J95" i="17"/>
  <c r="J97" i="17"/>
  <c r="J98" i="17"/>
  <c r="J99" i="17"/>
  <c r="J100" i="17"/>
  <c r="J102" i="17"/>
  <c r="J103" i="17"/>
  <c r="J104" i="17"/>
  <c r="J105" i="17"/>
  <c r="J106" i="17"/>
  <c r="J107" i="17"/>
  <c r="J108" i="17"/>
  <c r="J117" i="17"/>
  <c r="J119" i="17"/>
  <c r="J120" i="17"/>
  <c r="J122" i="17"/>
  <c r="J109" i="17"/>
  <c r="J110" i="17"/>
  <c r="J112" i="17"/>
  <c r="J113" i="17"/>
  <c r="J114" i="17"/>
  <c r="J116" i="17"/>
  <c r="J123" i="17"/>
  <c r="J124" i="17"/>
  <c r="J125" i="17"/>
  <c r="H125" i="17" s="1"/>
  <c r="L125" i="17" s="1"/>
  <c r="J126" i="17"/>
  <c r="J127" i="17"/>
  <c r="J128" i="17"/>
  <c r="J129" i="17"/>
  <c r="J130" i="17"/>
  <c r="J131" i="17"/>
  <c r="J132" i="17"/>
  <c r="J133" i="17"/>
  <c r="J135" i="17"/>
  <c r="J136" i="17"/>
  <c r="J137" i="17"/>
  <c r="J138" i="17"/>
  <c r="J139" i="17"/>
  <c r="J140" i="17"/>
  <c r="J141" i="17"/>
  <c r="J142" i="17"/>
  <c r="J143" i="17"/>
  <c r="J144" i="17"/>
  <c r="J146" i="17"/>
  <c r="J147" i="17"/>
  <c r="J148" i="17"/>
  <c r="J149" i="17"/>
  <c r="J150" i="17"/>
  <c r="J151" i="17"/>
  <c r="J152" i="17"/>
  <c r="J153" i="17"/>
  <c r="J154" i="17"/>
  <c r="J155" i="17"/>
  <c r="J156" i="17"/>
  <c r="J157" i="17"/>
  <c r="J158" i="17"/>
  <c r="J159" i="17"/>
  <c r="J145" i="17"/>
  <c r="J160" i="17"/>
  <c r="J161" i="17"/>
  <c r="J162" i="17"/>
  <c r="J163" i="17"/>
  <c r="J164" i="17"/>
  <c r="J165" i="17"/>
  <c r="J166" i="17"/>
  <c r="J167" i="17"/>
  <c r="J168" i="17"/>
  <c r="J169" i="17"/>
  <c r="J170" i="17"/>
  <c r="J171" i="17"/>
  <c r="J172" i="17"/>
  <c r="J173" i="17"/>
  <c r="H173" i="17" s="1"/>
  <c r="L173" i="17" s="1"/>
  <c r="J174" i="17"/>
  <c r="J175" i="17"/>
  <c r="J176" i="17"/>
  <c r="J177" i="17"/>
  <c r="J178" i="17"/>
  <c r="J179" i="17"/>
  <c r="H179" i="17" s="1"/>
  <c r="L179" i="17" s="1"/>
  <c r="J180" i="17"/>
  <c r="J181" i="17"/>
  <c r="J183" i="17"/>
  <c r="J184" i="17"/>
  <c r="J185" i="17"/>
  <c r="J186" i="17"/>
  <c r="J188" i="17"/>
  <c r="J189" i="17"/>
  <c r="J191" i="17"/>
  <c r="J192" i="17"/>
  <c r="J193" i="17"/>
  <c r="J194" i="17"/>
  <c r="J195" i="17"/>
  <c r="J196" i="17"/>
  <c r="J182" i="17"/>
  <c r="J187" i="17"/>
  <c r="J190" i="17"/>
  <c r="J197" i="17"/>
  <c r="J198" i="17"/>
  <c r="J199" i="17"/>
  <c r="J200" i="17"/>
  <c r="J201" i="17"/>
  <c r="J202" i="17"/>
  <c r="J203" i="17"/>
  <c r="J204" i="17"/>
  <c r="J205" i="17"/>
  <c r="H205" i="17" s="1"/>
  <c r="L205" i="17" s="1"/>
  <c r="J206" i="17"/>
  <c r="J207" i="17"/>
  <c r="J208" i="17"/>
  <c r="J209" i="17"/>
  <c r="J210" i="17"/>
  <c r="J224" i="17"/>
  <c r="J227" i="17"/>
  <c r="J229" i="17"/>
  <c r="J230" i="17"/>
  <c r="J231" i="17"/>
  <c r="H231" i="17" s="1"/>
  <c r="L231" i="17" s="1"/>
  <c r="J232" i="17"/>
  <c r="J233" i="17"/>
  <c r="J235" i="17"/>
  <c r="J238" i="17"/>
  <c r="J239" i="17"/>
  <c r="J240" i="17"/>
  <c r="J241" i="17"/>
  <c r="J237" i="17"/>
  <c r="J242" i="17"/>
  <c r="J243" i="17"/>
  <c r="J244" i="17"/>
  <c r="J245" i="17"/>
  <c r="J246" i="17"/>
  <c r="J247" i="17"/>
  <c r="J248" i="17"/>
  <c r="J249" i="17"/>
  <c r="J250" i="17"/>
  <c r="J251" i="17"/>
  <c r="J252" i="17"/>
  <c r="J253" i="17"/>
  <c r="J254" i="17"/>
  <c r="J255" i="17"/>
  <c r="H255" i="17" s="1"/>
  <c r="L255" i="17" s="1"/>
  <c r="J256" i="17"/>
  <c r="J257" i="17"/>
  <c r="J260" i="17"/>
  <c r="J261" i="17"/>
  <c r="J262" i="17"/>
  <c r="J263" i="17"/>
  <c r="J264" i="17"/>
  <c r="J265" i="17"/>
  <c r="J266" i="17"/>
  <c r="J267" i="17"/>
  <c r="J268" i="17"/>
  <c r="J269" i="17"/>
  <c r="J270" i="17"/>
  <c r="H270" i="17" s="1"/>
  <c r="L270" i="17" s="1"/>
  <c r="J271" i="17"/>
  <c r="J272" i="17"/>
  <c r="J273" i="17"/>
  <c r="J275" i="17"/>
  <c r="J276" i="17"/>
  <c r="J277" i="17"/>
  <c r="J278" i="17"/>
  <c r="J279" i="17"/>
  <c r="H279" i="17" s="1"/>
  <c r="L279" i="17" s="1"/>
  <c r="J280" i="17"/>
  <c r="J281" i="17"/>
  <c r="J282" i="17"/>
  <c r="J284" i="17"/>
  <c r="J285" i="17"/>
  <c r="J286" i="17"/>
  <c r="J287" i="17"/>
  <c r="J288" i="17"/>
  <c r="J289" i="17"/>
  <c r="H289" i="17" s="1"/>
  <c r="L289" i="17" s="1"/>
  <c r="J290" i="17"/>
  <c r="J291" i="17"/>
  <c r="J292" i="17"/>
  <c r="J294" i="17"/>
  <c r="J295" i="17"/>
  <c r="J296" i="17"/>
  <c r="J297" i="17"/>
  <c r="J298" i="17"/>
  <c r="J299" i="17"/>
  <c r="H299" i="17" s="1"/>
  <c r="L299" i="17" s="1"/>
  <c r="J300" i="17"/>
  <c r="J301" i="17"/>
  <c r="J302" i="17"/>
  <c r="J304" i="17"/>
  <c r="J305" i="17"/>
  <c r="J306" i="17"/>
  <c r="J307" i="17"/>
  <c r="J308" i="17"/>
  <c r="J316" i="17"/>
  <c r="H316" i="17" s="1"/>
  <c r="L316" i="17" s="1"/>
  <c r="J317" i="17"/>
  <c r="J318" i="17"/>
  <c r="J319" i="17"/>
  <c r="J321" i="17"/>
  <c r="J322" i="17"/>
  <c r="J323" i="17"/>
  <c r="J324" i="17"/>
  <c r="J325" i="17"/>
  <c r="J326" i="17"/>
  <c r="J327" i="17"/>
  <c r="J328" i="17"/>
  <c r="J329" i="17"/>
  <c r="J330" i="17"/>
  <c r="J331" i="17"/>
  <c r="J332" i="17"/>
  <c r="H332" i="17" s="1"/>
  <c r="L332" i="17" s="1"/>
  <c r="J333" i="17"/>
  <c r="J334" i="17"/>
  <c r="J337" i="17"/>
  <c r="J338" i="17"/>
  <c r="J339" i="17"/>
  <c r="J358" i="17"/>
  <c r="H358" i="17" s="1"/>
  <c r="L358" i="17" s="1"/>
  <c r="J359" i="17"/>
  <c r="J360" i="17"/>
  <c r="J363" i="17"/>
  <c r="J364" i="17"/>
  <c r="J365" i="17"/>
  <c r="J366" i="17"/>
  <c r="J367" i="17"/>
  <c r="H367" i="17" s="1"/>
  <c r="L367" i="17" s="1"/>
  <c r="J370" i="17"/>
  <c r="J371" i="17"/>
  <c r="J372" i="17"/>
  <c r="J373" i="17"/>
  <c r="J374" i="17"/>
  <c r="J375" i="17"/>
  <c r="J376" i="17"/>
  <c r="J377" i="17"/>
  <c r="J378" i="17"/>
  <c r="J379" i="17"/>
  <c r="J380" i="17"/>
  <c r="H380" i="17" s="1"/>
  <c r="L380" i="17" s="1"/>
  <c r="J340" i="17"/>
  <c r="H340" i="17" s="1"/>
  <c r="L340" i="17" s="1"/>
  <c r="J341" i="17"/>
  <c r="J342" i="17"/>
  <c r="J345" i="17"/>
  <c r="J346" i="17"/>
  <c r="J347" i="17"/>
  <c r="J348" i="17"/>
  <c r="J349" i="17"/>
  <c r="J350" i="17"/>
  <c r="H350" i="17" s="1"/>
  <c r="L350" i="17" s="1"/>
  <c r="J351" i="17"/>
  <c r="J352" i="17"/>
  <c r="J355" i="17"/>
  <c r="J356" i="17"/>
  <c r="J357" i="17"/>
  <c r="J381" i="17"/>
  <c r="J382" i="17"/>
  <c r="J383" i="17"/>
  <c r="J384" i="17"/>
  <c r="J25" i="17"/>
  <c r="J26" i="14"/>
  <c r="J27" i="14"/>
  <c r="J31" i="14"/>
  <c r="J32" i="14"/>
  <c r="J36" i="14"/>
  <c r="J37" i="14"/>
  <c r="J38" i="14"/>
  <c r="J39" i="14"/>
  <c r="J40" i="14"/>
  <c r="J41" i="14"/>
  <c r="J42" i="14"/>
  <c r="J43" i="14"/>
  <c r="J44" i="14"/>
  <c r="J45" i="14"/>
  <c r="J46" i="14"/>
  <c r="J47" i="14"/>
  <c r="J48" i="14"/>
  <c r="J49" i="14"/>
  <c r="J50" i="14"/>
  <c r="J51" i="14"/>
  <c r="J52" i="14"/>
  <c r="J53" i="14"/>
  <c r="J54" i="14"/>
  <c r="J55" i="14"/>
  <c r="J56" i="14"/>
  <c r="J57" i="14"/>
  <c r="H57" i="15" s="1"/>
  <c r="L57" i="15" s="1"/>
  <c r="J58" i="14"/>
  <c r="J59" i="14"/>
  <c r="J61" i="14"/>
  <c r="J62" i="14"/>
  <c r="J63" i="14"/>
  <c r="J64" i="14"/>
  <c r="J65" i="14"/>
  <c r="J67" i="14"/>
  <c r="J68" i="14"/>
  <c r="J69" i="14"/>
  <c r="J70" i="14"/>
  <c r="J71" i="14"/>
  <c r="J72" i="14"/>
  <c r="J73" i="14"/>
  <c r="J74" i="14"/>
  <c r="J75" i="14"/>
  <c r="J76" i="14"/>
  <c r="J77" i="14"/>
  <c r="J78" i="14"/>
  <c r="J79" i="14"/>
  <c r="J80" i="14"/>
  <c r="J81" i="14"/>
  <c r="J82" i="14"/>
  <c r="J84" i="14"/>
  <c r="J85" i="14"/>
  <c r="J86" i="14"/>
  <c r="J87" i="14"/>
  <c r="J88" i="14"/>
  <c r="J89" i="14"/>
  <c r="J90" i="14"/>
  <c r="J92" i="14"/>
  <c r="J93" i="14"/>
  <c r="J94" i="14"/>
  <c r="J95" i="14"/>
  <c r="J97" i="14"/>
  <c r="J98" i="14"/>
  <c r="J99" i="14"/>
  <c r="J100" i="14"/>
  <c r="J102" i="14"/>
  <c r="J103" i="14"/>
  <c r="J104" i="14"/>
  <c r="J105" i="14"/>
  <c r="J106" i="14"/>
  <c r="J107" i="14"/>
  <c r="J108" i="14"/>
  <c r="J116" i="14"/>
  <c r="J117" i="14"/>
  <c r="J119" i="14"/>
  <c r="J120" i="14"/>
  <c r="J109" i="14"/>
  <c r="J111" i="14"/>
  <c r="J112" i="14"/>
  <c r="J113" i="14"/>
  <c r="J114" i="14"/>
  <c r="J122" i="14"/>
  <c r="J123" i="14"/>
  <c r="J124" i="14"/>
  <c r="J125" i="14"/>
  <c r="J126" i="14"/>
  <c r="J127" i="14"/>
  <c r="J128" i="14"/>
  <c r="J129" i="14"/>
  <c r="J130" i="14"/>
  <c r="J131" i="14"/>
  <c r="J132" i="14"/>
  <c r="J133" i="14"/>
  <c r="J135" i="14"/>
  <c r="J136" i="14"/>
  <c r="J137" i="14"/>
  <c r="J138" i="14"/>
  <c r="J139" i="14"/>
  <c r="J140" i="14"/>
  <c r="J141" i="14"/>
  <c r="J142" i="14"/>
  <c r="J143" i="14"/>
  <c r="J144" i="14"/>
  <c r="J146" i="14"/>
  <c r="J147" i="14"/>
  <c r="J148" i="14"/>
  <c r="J149" i="14"/>
  <c r="J150" i="14"/>
  <c r="J151" i="14"/>
  <c r="J152" i="14"/>
  <c r="J153" i="14"/>
  <c r="J154" i="14"/>
  <c r="J155" i="14"/>
  <c r="J156" i="14"/>
  <c r="J157" i="14"/>
  <c r="J158" i="14"/>
  <c r="J159" i="14"/>
  <c r="J145" i="14"/>
  <c r="J160" i="14"/>
  <c r="J161" i="14"/>
  <c r="H161" i="14" s="1"/>
  <c r="L161" i="14" s="1"/>
  <c r="J162" i="14"/>
  <c r="J163" i="14"/>
  <c r="J164" i="14"/>
  <c r="J165" i="14"/>
  <c r="J166" i="14"/>
  <c r="J167" i="14"/>
  <c r="H167" i="14" s="1"/>
  <c r="L167" i="14" s="1"/>
  <c r="J168" i="14"/>
  <c r="J169" i="14"/>
  <c r="J170" i="14"/>
  <c r="J171" i="14"/>
  <c r="J172" i="14"/>
  <c r="J173" i="14"/>
  <c r="J174" i="14"/>
  <c r="J175" i="14"/>
  <c r="J176" i="14"/>
  <c r="J177" i="14"/>
  <c r="J178" i="14"/>
  <c r="J179" i="14"/>
  <c r="J180" i="14"/>
  <c r="J181" i="14"/>
  <c r="J183" i="14"/>
  <c r="J184" i="14"/>
  <c r="J185" i="14"/>
  <c r="J186" i="14"/>
  <c r="J188" i="14"/>
  <c r="J189" i="14"/>
  <c r="J191" i="14"/>
  <c r="J192" i="14"/>
  <c r="J193" i="14"/>
  <c r="J194" i="14"/>
  <c r="J195" i="14"/>
  <c r="J196" i="14"/>
  <c r="J182" i="14"/>
  <c r="J187" i="14"/>
  <c r="J190" i="14"/>
  <c r="H190" i="15" s="1"/>
  <c r="L190" i="15" s="1"/>
  <c r="J197" i="14"/>
  <c r="H197" i="14" s="1"/>
  <c r="L197" i="14" s="1"/>
  <c r="J198" i="14"/>
  <c r="H198" i="14" s="1"/>
  <c r="L198" i="14" s="1"/>
  <c r="J199" i="14"/>
  <c r="J200" i="14"/>
  <c r="J201" i="14"/>
  <c r="J202" i="14"/>
  <c r="J203" i="14"/>
  <c r="J204" i="14"/>
  <c r="J205" i="14"/>
  <c r="J206" i="14"/>
  <c r="J207" i="14"/>
  <c r="J208" i="14"/>
  <c r="J209" i="14"/>
  <c r="J210" i="14"/>
  <c r="J218" i="14"/>
  <c r="H218" i="15" s="1"/>
  <c r="L218" i="15" s="1"/>
  <c r="J222" i="14"/>
  <c r="J223" i="14"/>
  <c r="J225" i="14"/>
  <c r="J226" i="14"/>
  <c r="J224" i="14"/>
  <c r="J227" i="14"/>
  <c r="J229" i="14"/>
  <c r="J230" i="14"/>
  <c r="J219" i="14"/>
  <c r="J220" i="14"/>
  <c r="J231" i="14"/>
  <c r="H231" i="14" s="1"/>
  <c r="L231" i="14" s="1"/>
  <c r="J232" i="14"/>
  <c r="J233" i="14"/>
  <c r="J235" i="14"/>
  <c r="J238" i="14"/>
  <c r="J239" i="14"/>
  <c r="J240" i="14"/>
  <c r="J241" i="14"/>
  <c r="J237" i="14"/>
  <c r="J242" i="14"/>
  <c r="J243" i="14"/>
  <c r="J244" i="14"/>
  <c r="J245" i="14"/>
  <c r="J246" i="14"/>
  <c r="J247" i="14"/>
  <c r="J248" i="14"/>
  <c r="J249" i="14"/>
  <c r="J250" i="14"/>
  <c r="J251" i="14"/>
  <c r="J252" i="14"/>
  <c r="J253" i="14"/>
  <c r="J254" i="14"/>
  <c r="J255" i="14"/>
  <c r="H255" i="14" s="1"/>
  <c r="L255" i="14" s="1"/>
  <c r="J256" i="14"/>
  <c r="J257" i="14"/>
  <c r="J260" i="14"/>
  <c r="J261" i="14"/>
  <c r="J262" i="14"/>
  <c r="J263" i="14"/>
  <c r="J264" i="14"/>
  <c r="J265" i="14"/>
  <c r="J266" i="14"/>
  <c r="J267" i="14"/>
  <c r="J268" i="14"/>
  <c r="J269" i="14"/>
  <c r="J270" i="14"/>
  <c r="H270" i="15" s="1"/>
  <c r="L270" i="15" s="1"/>
  <c r="J271" i="14"/>
  <c r="J272" i="14"/>
  <c r="J273" i="14"/>
  <c r="J275" i="14"/>
  <c r="J276" i="14"/>
  <c r="J277" i="14"/>
  <c r="J278" i="14"/>
  <c r="J279" i="14"/>
  <c r="J280" i="14"/>
  <c r="J281" i="14"/>
  <c r="J282" i="14"/>
  <c r="J284" i="14"/>
  <c r="J285" i="14"/>
  <c r="J286" i="14"/>
  <c r="J287" i="14"/>
  <c r="J288" i="14"/>
  <c r="J289" i="14"/>
  <c r="J290" i="14"/>
  <c r="J291" i="14"/>
  <c r="J292" i="14"/>
  <c r="J294" i="14"/>
  <c r="J295" i="14"/>
  <c r="J296" i="14"/>
  <c r="J297" i="14"/>
  <c r="J298" i="14"/>
  <c r="J299" i="14"/>
  <c r="J300" i="14"/>
  <c r="J301" i="14"/>
  <c r="J302" i="14"/>
  <c r="J304" i="14"/>
  <c r="J305" i="14"/>
  <c r="J306" i="14"/>
  <c r="J307" i="14"/>
  <c r="J308" i="14"/>
  <c r="J316" i="14"/>
  <c r="H316" i="15" s="1"/>
  <c r="L316" i="15" s="1"/>
  <c r="J317" i="14"/>
  <c r="J318" i="14"/>
  <c r="J319" i="14"/>
  <c r="J321" i="14"/>
  <c r="J322" i="14"/>
  <c r="J323" i="14"/>
  <c r="J324" i="14"/>
  <c r="J325" i="14"/>
  <c r="J326" i="14"/>
  <c r="J327" i="14"/>
  <c r="J328" i="14"/>
  <c r="J329" i="14"/>
  <c r="J330" i="14"/>
  <c r="J331" i="14"/>
  <c r="J332" i="14"/>
  <c r="J333" i="14"/>
  <c r="J334" i="14"/>
  <c r="J337" i="14"/>
  <c r="J338" i="14"/>
  <c r="J339" i="14"/>
  <c r="J358" i="14"/>
  <c r="J359" i="14"/>
  <c r="J360" i="14"/>
  <c r="J363" i="14"/>
  <c r="J364" i="14"/>
  <c r="J365" i="14"/>
  <c r="J366" i="14"/>
  <c r="J367" i="14"/>
  <c r="J370" i="14"/>
  <c r="J371" i="14"/>
  <c r="J372" i="14"/>
  <c r="J373" i="14"/>
  <c r="H373" i="15" s="1"/>
  <c r="L373" i="15" s="1"/>
  <c r="J374" i="14"/>
  <c r="H374" i="15" s="1"/>
  <c r="L374" i="15" s="1"/>
  <c r="J375" i="14"/>
  <c r="H375" i="15" s="1"/>
  <c r="L375" i="15" s="1"/>
  <c r="J376" i="14"/>
  <c r="H376" i="15" s="1"/>
  <c r="L376" i="15" s="1"/>
  <c r="J377" i="14"/>
  <c r="H377" i="15" s="1"/>
  <c r="L377" i="15" s="1"/>
  <c r="J378" i="14"/>
  <c r="H378" i="15" s="1"/>
  <c r="L378" i="15" s="1"/>
  <c r="J379" i="14"/>
  <c r="H379" i="15" s="1"/>
  <c r="L379" i="15" s="1"/>
  <c r="J380" i="14"/>
  <c r="J340" i="14"/>
  <c r="J341" i="14"/>
  <c r="J342" i="14"/>
  <c r="J345" i="14"/>
  <c r="J346" i="14"/>
  <c r="J347" i="14"/>
  <c r="J348" i="14"/>
  <c r="J349" i="14"/>
  <c r="J350" i="14"/>
  <c r="H350" i="15" s="1"/>
  <c r="L350" i="15" s="1"/>
  <c r="J351" i="14"/>
  <c r="J352" i="14"/>
  <c r="J355" i="14"/>
  <c r="J356" i="14"/>
  <c r="J357" i="14"/>
  <c r="J381" i="14"/>
  <c r="J382" i="14"/>
  <c r="J383" i="14"/>
  <c r="J384" i="14"/>
  <c r="J385" i="14"/>
  <c r="J386" i="14"/>
  <c r="H386" i="14" s="1"/>
  <c r="J387" i="14"/>
  <c r="H387" i="14" s="1"/>
  <c r="L387" i="14" s="1"/>
  <c r="J388" i="14"/>
  <c r="H388" i="14" s="1"/>
  <c r="J389" i="14"/>
  <c r="H389" i="14" s="1"/>
  <c r="L389" i="14" s="1"/>
  <c r="J390" i="14"/>
  <c r="H390" i="14" s="1"/>
  <c r="J391" i="14"/>
  <c r="H391" i="14" s="1"/>
  <c r="J392" i="14"/>
  <c r="H392" i="14" s="1"/>
  <c r="J393" i="14"/>
  <c r="H393" i="14" s="1"/>
  <c r="L393" i="14" s="1"/>
  <c r="J394" i="14"/>
  <c r="H394" i="14" s="1"/>
  <c r="J395" i="14"/>
  <c r="H395" i="14" s="1"/>
  <c r="L395" i="14" s="1"/>
  <c r="J396" i="14"/>
  <c r="H396" i="14" s="1"/>
  <c r="J397" i="14"/>
  <c r="H397" i="14" s="1"/>
  <c r="L397" i="14" s="1"/>
  <c r="J398" i="14"/>
  <c r="H398" i="14" s="1"/>
  <c r="J399" i="14"/>
  <c r="H399" i="14" s="1"/>
  <c r="J400" i="14"/>
  <c r="H400" i="14" s="1"/>
  <c r="J401" i="14"/>
  <c r="H401" i="14" s="1"/>
  <c r="L401" i="14" s="1"/>
  <c r="J402" i="14"/>
  <c r="H402" i="14" s="1"/>
  <c r="J403" i="14"/>
  <c r="H403" i="14" s="1"/>
  <c r="L403" i="14" s="1"/>
  <c r="J404" i="14"/>
  <c r="H404" i="14" s="1"/>
  <c r="J405" i="14"/>
  <c r="H405" i="14" s="1"/>
  <c r="L405" i="14" s="1"/>
  <c r="J406" i="14"/>
  <c r="H406" i="14" s="1"/>
  <c r="J407" i="14"/>
  <c r="H407" i="14" s="1"/>
  <c r="J408" i="14"/>
  <c r="H408" i="14" s="1"/>
  <c r="J409" i="14"/>
  <c r="H409" i="14" s="1"/>
  <c r="L409" i="14" s="1"/>
  <c r="J410" i="14"/>
  <c r="H410" i="14" s="1"/>
  <c r="J411" i="14"/>
  <c r="H411" i="14" s="1"/>
  <c r="L411" i="14" s="1"/>
  <c r="J412" i="14"/>
  <c r="H412" i="14" s="1"/>
  <c r="J413" i="14"/>
  <c r="H413" i="14" s="1"/>
  <c r="L413" i="14" s="1"/>
  <c r="J414" i="14"/>
  <c r="H414" i="14" s="1"/>
  <c r="J415" i="14"/>
  <c r="H415" i="14" s="1"/>
  <c r="J416" i="14"/>
  <c r="H416" i="14" s="1"/>
  <c r="J417" i="14"/>
  <c r="H417" i="14" s="1"/>
  <c r="L417" i="14" s="1"/>
  <c r="J418" i="14"/>
  <c r="H418" i="14" s="1"/>
  <c r="J419" i="14"/>
  <c r="H419" i="14" s="1"/>
  <c r="L419" i="14" s="1"/>
  <c r="J420" i="14"/>
  <c r="H420" i="14" s="1"/>
  <c r="J421" i="14"/>
  <c r="H421" i="14" s="1"/>
  <c r="L421" i="14" s="1"/>
  <c r="J422" i="14"/>
  <c r="H422" i="14" s="1"/>
  <c r="J423" i="14"/>
  <c r="H423" i="14" s="1"/>
  <c r="J424" i="14"/>
  <c r="H424" i="14" s="1"/>
  <c r="J425" i="14"/>
  <c r="H425" i="14" s="1"/>
  <c r="L425" i="14" s="1"/>
  <c r="J426" i="14"/>
  <c r="H426" i="14" s="1"/>
  <c r="J427" i="14"/>
  <c r="H427" i="14" s="1"/>
  <c r="L427" i="14" s="1"/>
  <c r="J428" i="14"/>
  <c r="H428" i="14" s="1"/>
  <c r="J429" i="14"/>
  <c r="H429" i="14" s="1"/>
  <c r="L429" i="14" s="1"/>
  <c r="J430" i="14"/>
  <c r="H430" i="14" s="1"/>
  <c r="J431" i="14"/>
  <c r="H431" i="14" s="1"/>
  <c r="J432" i="14"/>
  <c r="H432" i="14" s="1"/>
  <c r="J433" i="14"/>
  <c r="H433" i="14" s="1"/>
  <c r="L433" i="14" s="1"/>
  <c r="J434" i="14"/>
  <c r="H434" i="14" s="1"/>
  <c r="J435" i="14"/>
  <c r="H435" i="14" s="1"/>
  <c r="L435" i="14" s="1"/>
  <c r="J436" i="14"/>
  <c r="H436" i="14" s="1"/>
  <c r="J437" i="14"/>
  <c r="H437" i="14" s="1"/>
  <c r="L437" i="14" s="1"/>
  <c r="J438" i="14"/>
  <c r="H438" i="14" s="1"/>
  <c r="J439" i="14"/>
  <c r="H439" i="14" s="1"/>
  <c r="J440" i="14"/>
  <c r="H440" i="14" s="1"/>
  <c r="J441" i="14"/>
  <c r="J442" i="14"/>
  <c r="J443" i="14"/>
  <c r="J444" i="14"/>
  <c r="H444" i="14" s="1"/>
  <c r="J445" i="14"/>
  <c r="H445" i="14" s="1"/>
  <c r="L445" i="14" s="1"/>
  <c r="J446" i="14"/>
  <c r="H446" i="14" s="1"/>
  <c r="J447" i="14"/>
  <c r="H447" i="14" s="1"/>
  <c r="J448" i="14"/>
  <c r="H448" i="14" s="1"/>
  <c r="J449" i="14"/>
  <c r="H449" i="14" s="1"/>
  <c r="L449" i="14" s="1"/>
  <c r="J450" i="14"/>
  <c r="H450" i="14" s="1"/>
  <c r="J451" i="14"/>
  <c r="H451" i="14" s="1"/>
  <c r="L451" i="14" s="1"/>
  <c r="J452" i="14"/>
  <c r="H452" i="14" s="1"/>
  <c r="J453" i="14"/>
  <c r="H453" i="14" s="1"/>
  <c r="L453" i="14" s="1"/>
  <c r="J454" i="14"/>
  <c r="H454" i="14" s="1"/>
  <c r="J455" i="14"/>
  <c r="J456" i="14"/>
  <c r="J457" i="14"/>
  <c r="J458" i="14"/>
  <c r="J459" i="14"/>
  <c r="J460" i="14"/>
  <c r="J461" i="14"/>
  <c r="J462" i="14"/>
  <c r="J463" i="14"/>
  <c r="J464" i="14"/>
  <c r="J465" i="14"/>
  <c r="J466" i="14"/>
  <c r="J467" i="14"/>
  <c r="J468" i="14"/>
  <c r="J469" i="14"/>
  <c r="J25" i="14"/>
  <c r="J138" i="8"/>
  <c r="J139" i="8"/>
  <c r="J140" i="8"/>
  <c r="J141" i="8"/>
  <c r="J142" i="8"/>
  <c r="J143" i="8"/>
  <c r="J144" i="8"/>
  <c r="J146" i="8"/>
  <c r="J147" i="8"/>
  <c r="J148" i="8"/>
  <c r="J149" i="8"/>
  <c r="J150" i="8"/>
  <c r="J151" i="8"/>
  <c r="J152" i="8"/>
  <c r="J153" i="8"/>
  <c r="J154" i="8"/>
  <c r="J155" i="8"/>
  <c r="J156" i="8"/>
  <c r="J157" i="8"/>
  <c r="J158" i="8"/>
  <c r="J159" i="8"/>
  <c r="J145" i="8"/>
  <c r="J160" i="8"/>
  <c r="J161" i="8"/>
  <c r="J162" i="8"/>
  <c r="J163" i="8"/>
  <c r="J164" i="8"/>
  <c r="J165" i="8"/>
  <c r="J166" i="8"/>
  <c r="J167" i="8"/>
  <c r="H167" i="8" s="1"/>
  <c r="L167" i="8" s="1"/>
  <c r="J169" i="8"/>
  <c r="J170" i="8"/>
  <c r="J171" i="8"/>
  <c r="J172" i="8"/>
  <c r="J173" i="8"/>
  <c r="J175" i="8"/>
  <c r="J176" i="8"/>
  <c r="J177" i="8"/>
  <c r="J178" i="8"/>
  <c r="J179" i="8"/>
  <c r="J180" i="8"/>
  <c r="J181" i="8"/>
  <c r="J183" i="8"/>
  <c r="J184" i="8"/>
  <c r="J185" i="8"/>
  <c r="J186" i="8"/>
  <c r="J188" i="8"/>
  <c r="J189" i="8"/>
  <c r="J191" i="8"/>
  <c r="J192" i="8"/>
  <c r="J193" i="8"/>
  <c r="J194" i="8"/>
  <c r="J195" i="8"/>
  <c r="J196" i="8"/>
  <c r="J182" i="8"/>
  <c r="J187" i="8"/>
  <c r="J190" i="8"/>
  <c r="J197" i="8"/>
  <c r="J198" i="8"/>
  <c r="J199" i="8"/>
  <c r="J200" i="8"/>
  <c r="J201" i="8"/>
  <c r="J202" i="8"/>
  <c r="J203" i="8"/>
  <c r="J204" i="8"/>
  <c r="J205" i="8"/>
  <c r="H205" i="8" s="1"/>
  <c r="L205" i="8" s="1"/>
  <c r="J206" i="8"/>
  <c r="J207" i="8"/>
  <c r="J208" i="8"/>
  <c r="J209" i="8"/>
  <c r="J210" i="8"/>
  <c r="J218" i="8"/>
  <c r="H218" i="8" s="1"/>
  <c r="J222" i="8"/>
  <c r="J223" i="8"/>
  <c r="J225" i="8"/>
  <c r="J226" i="8"/>
  <c r="J224" i="8"/>
  <c r="J227" i="8"/>
  <c r="J229" i="8"/>
  <c r="J230" i="8"/>
  <c r="J219" i="8"/>
  <c r="J220" i="8"/>
  <c r="J231" i="8"/>
  <c r="H231" i="8" s="1"/>
  <c r="J232" i="8"/>
  <c r="J233" i="8"/>
  <c r="J235" i="8"/>
  <c r="J238" i="8"/>
  <c r="J239" i="8"/>
  <c r="J240" i="8"/>
  <c r="J241" i="8"/>
  <c r="J237" i="8"/>
  <c r="J242" i="8"/>
  <c r="J243" i="8"/>
  <c r="J244" i="8"/>
  <c r="J245" i="8"/>
  <c r="J246" i="8"/>
  <c r="J247" i="8"/>
  <c r="J248" i="8"/>
  <c r="J249" i="8"/>
  <c r="J250" i="8"/>
  <c r="J251" i="8"/>
  <c r="J252" i="8"/>
  <c r="J253" i="8"/>
  <c r="J254" i="8"/>
  <c r="J255" i="8"/>
  <c r="H255" i="8" s="1"/>
  <c r="J256" i="8"/>
  <c r="J257" i="8"/>
  <c r="J260" i="8"/>
  <c r="J261" i="8"/>
  <c r="J262" i="8"/>
  <c r="J263" i="8"/>
  <c r="J264" i="8"/>
  <c r="J265" i="8"/>
  <c r="J266" i="8"/>
  <c r="J267" i="8"/>
  <c r="J268" i="8"/>
  <c r="J269" i="8"/>
  <c r="J270" i="8"/>
  <c r="H270" i="8" s="1"/>
  <c r="J271" i="8"/>
  <c r="J272" i="8"/>
  <c r="J273" i="8"/>
  <c r="J275" i="8"/>
  <c r="J276" i="8"/>
  <c r="J277" i="8"/>
  <c r="J278" i="8"/>
  <c r="J279" i="8"/>
  <c r="H279" i="8" s="1"/>
  <c r="J280" i="8"/>
  <c r="J281" i="8"/>
  <c r="J282" i="8"/>
  <c r="J284" i="8"/>
  <c r="J285" i="8"/>
  <c r="J286" i="8"/>
  <c r="J287" i="8"/>
  <c r="J288" i="8"/>
  <c r="J289" i="8"/>
  <c r="H289" i="8" s="1"/>
  <c r="L289" i="8" s="1"/>
  <c r="J290" i="8"/>
  <c r="J291" i="8"/>
  <c r="J292" i="8"/>
  <c r="J294" i="8"/>
  <c r="J295" i="8"/>
  <c r="J296" i="8"/>
  <c r="J297" i="8"/>
  <c r="J298" i="8"/>
  <c r="J299" i="8"/>
  <c r="H299" i="8" s="1"/>
  <c r="J300" i="8"/>
  <c r="J301" i="8"/>
  <c r="J302" i="8"/>
  <c r="J304" i="8"/>
  <c r="J305" i="8"/>
  <c r="J306" i="8"/>
  <c r="J307" i="8"/>
  <c r="J308" i="8"/>
  <c r="J316" i="8"/>
  <c r="H316" i="8" s="1"/>
  <c r="J317" i="8"/>
  <c r="J318" i="8"/>
  <c r="J319" i="8"/>
  <c r="J321" i="8"/>
  <c r="J322" i="8"/>
  <c r="J323" i="8"/>
  <c r="J324" i="8"/>
  <c r="J325" i="8"/>
  <c r="J326" i="8"/>
  <c r="J327" i="8"/>
  <c r="J328" i="8"/>
  <c r="J329" i="8"/>
  <c r="J330" i="8"/>
  <c r="J331" i="8"/>
  <c r="J332" i="8"/>
  <c r="H332" i="8" s="1"/>
  <c r="J333" i="8"/>
  <c r="J334" i="8"/>
  <c r="J337" i="8"/>
  <c r="J338" i="8"/>
  <c r="J339" i="8"/>
  <c r="J358" i="8"/>
  <c r="H358" i="8" s="1"/>
  <c r="J359" i="8"/>
  <c r="J360" i="8"/>
  <c r="J363" i="8"/>
  <c r="J364" i="8"/>
  <c r="J365" i="8"/>
  <c r="J366" i="8"/>
  <c r="J367" i="8"/>
  <c r="H367" i="8" s="1"/>
  <c r="L367" i="8" s="1"/>
  <c r="J370" i="8"/>
  <c r="J371" i="8"/>
  <c r="J372" i="8"/>
  <c r="J373" i="8"/>
  <c r="J374" i="8"/>
  <c r="J375" i="8"/>
  <c r="J376" i="8"/>
  <c r="J377" i="8"/>
  <c r="J378" i="8"/>
  <c r="J379" i="8"/>
  <c r="J380" i="8"/>
  <c r="H380" i="8" s="1"/>
  <c r="L380" i="8" s="1"/>
  <c r="J340" i="8"/>
  <c r="H340" i="8" s="1"/>
  <c r="L340" i="8" s="1"/>
  <c r="J341" i="8"/>
  <c r="J342" i="8"/>
  <c r="J345" i="8"/>
  <c r="J346" i="8"/>
  <c r="J347" i="8"/>
  <c r="J348" i="8"/>
  <c r="J349" i="8"/>
  <c r="J350" i="8"/>
  <c r="H350" i="8" s="1"/>
  <c r="J351" i="8"/>
  <c r="J352" i="8"/>
  <c r="J355" i="8"/>
  <c r="J356" i="8"/>
  <c r="J357"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H444" i="8" s="1"/>
  <c r="J445" i="8"/>
  <c r="H445" i="8" s="1"/>
  <c r="J446" i="8"/>
  <c r="H446" i="8" s="1"/>
  <c r="L446" i="8" s="1"/>
  <c r="J447" i="8"/>
  <c r="H447" i="8" s="1"/>
  <c r="L447" i="8" s="1"/>
  <c r="J448" i="8"/>
  <c r="H448" i="8" s="1"/>
  <c r="L448" i="8" s="1"/>
  <c r="J449" i="8"/>
  <c r="H449" i="8" s="1"/>
  <c r="J450" i="8"/>
  <c r="H450" i="8" s="1"/>
  <c r="L450" i="8" s="1"/>
  <c r="J451" i="8"/>
  <c r="H451" i="8" s="1"/>
  <c r="J452" i="8"/>
  <c r="H452" i="8" s="1"/>
  <c r="L452" i="8" s="1"/>
  <c r="J453" i="8"/>
  <c r="H453" i="8" s="1"/>
  <c r="J454" i="8"/>
  <c r="H454" i="8" s="1"/>
  <c r="J455" i="8"/>
  <c r="J26" i="8"/>
  <c r="J27" i="8"/>
  <c r="J31" i="8"/>
  <c r="J36" i="8"/>
  <c r="J37" i="8"/>
  <c r="J38" i="8"/>
  <c r="J48" i="8"/>
  <c r="J51" i="8"/>
  <c r="J55" i="8"/>
  <c r="J56" i="8"/>
  <c r="J57" i="8"/>
  <c r="H57" i="8" s="1"/>
  <c r="J125" i="8"/>
  <c r="H125" i="8" s="1"/>
  <c r="L125" i="8" s="1"/>
  <c r="J128" i="8"/>
  <c r="J131" i="8"/>
  <c r="J132" i="8"/>
  <c r="J133" i="8"/>
  <c r="J136" i="8"/>
  <c r="J25" i="8"/>
  <c r="J181" i="7"/>
  <c r="J184" i="7"/>
  <c r="J185" i="7"/>
  <c r="J186" i="7"/>
  <c r="J188" i="7"/>
  <c r="J189" i="7"/>
  <c r="J191" i="7"/>
  <c r="J192" i="7"/>
  <c r="J193" i="7"/>
  <c r="J194" i="7"/>
  <c r="J195" i="7"/>
  <c r="J196" i="7"/>
  <c r="J182" i="7"/>
  <c r="J187" i="7"/>
  <c r="J190" i="7"/>
  <c r="J197" i="7"/>
  <c r="J198" i="7"/>
  <c r="J199" i="7"/>
  <c r="J200" i="7"/>
  <c r="J201" i="7"/>
  <c r="J202" i="7"/>
  <c r="J203" i="7"/>
  <c r="J204" i="7"/>
  <c r="J205" i="7"/>
  <c r="J206" i="7"/>
  <c r="J207" i="7"/>
  <c r="J208" i="7"/>
  <c r="J209" i="7"/>
  <c r="J210" i="7"/>
  <c r="J218" i="7"/>
  <c r="H218" i="7" s="1"/>
  <c r="L218" i="7" s="1"/>
  <c r="J222" i="7"/>
  <c r="J223" i="7"/>
  <c r="J225" i="7"/>
  <c r="J226" i="7"/>
  <c r="J224" i="7"/>
  <c r="J227" i="7"/>
  <c r="J229" i="7"/>
  <c r="J230" i="7"/>
  <c r="J219" i="7"/>
  <c r="J220" i="7"/>
  <c r="J231" i="7"/>
  <c r="H231" i="7" s="1"/>
  <c r="L231" i="7" s="1"/>
  <c r="J232" i="7"/>
  <c r="J233" i="7"/>
  <c r="J235" i="7"/>
  <c r="J238" i="7"/>
  <c r="J239" i="7"/>
  <c r="J240" i="7"/>
  <c r="J241" i="7"/>
  <c r="J237" i="7"/>
  <c r="J243" i="7"/>
  <c r="J245" i="7"/>
  <c r="J246" i="7"/>
  <c r="J247" i="7"/>
  <c r="J248" i="7"/>
  <c r="J249" i="7"/>
  <c r="J250" i="7"/>
  <c r="J251" i="7"/>
  <c r="J252" i="7"/>
  <c r="J253" i="7"/>
  <c r="J254" i="7"/>
  <c r="J255" i="7"/>
  <c r="H255" i="7" s="1"/>
  <c r="L255" i="7" s="1"/>
  <c r="J256" i="7"/>
  <c r="J257" i="7"/>
  <c r="J260" i="7"/>
  <c r="J261" i="7"/>
  <c r="J262" i="7"/>
  <c r="J263" i="7"/>
  <c r="J264" i="7"/>
  <c r="J265" i="7"/>
  <c r="J266" i="7"/>
  <c r="J267" i="7"/>
  <c r="J268" i="7"/>
  <c r="J269" i="7"/>
  <c r="J270" i="7"/>
  <c r="H270" i="7" s="1"/>
  <c r="L270" i="7" s="1"/>
  <c r="J271" i="7"/>
  <c r="J272" i="7"/>
  <c r="J273" i="7"/>
  <c r="J275" i="7"/>
  <c r="J276" i="7"/>
  <c r="J277" i="7"/>
  <c r="J278" i="7"/>
  <c r="J279" i="7"/>
  <c r="H279" i="7" s="1"/>
  <c r="L279" i="7" s="1"/>
  <c r="J280" i="7"/>
  <c r="J281" i="7"/>
  <c r="J282" i="7"/>
  <c r="J284" i="7"/>
  <c r="J285" i="7"/>
  <c r="J286" i="7"/>
  <c r="J287" i="7"/>
  <c r="J288" i="7"/>
  <c r="J289" i="7"/>
  <c r="H289" i="7" s="1"/>
  <c r="L289" i="7" s="1"/>
  <c r="J290" i="7"/>
  <c r="J291" i="7"/>
  <c r="J292" i="7"/>
  <c r="J294" i="7"/>
  <c r="J295" i="7"/>
  <c r="J296" i="7"/>
  <c r="J297" i="7"/>
  <c r="J298" i="7"/>
  <c r="J299" i="7"/>
  <c r="H299" i="7" s="1"/>
  <c r="L299" i="7" s="1"/>
  <c r="J300" i="7"/>
  <c r="J301" i="7"/>
  <c r="J302" i="7"/>
  <c r="J304" i="7"/>
  <c r="J305" i="7"/>
  <c r="J306" i="7"/>
  <c r="J307" i="7"/>
  <c r="J308" i="7"/>
  <c r="J316" i="7"/>
  <c r="H316" i="7" s="1"/>
  <c r="L316" i="7" s="1"/>
  <c r="J317" i="7"/>
  <c r="J318" i="7"/>
  <c r="J319" i="7"/>
  <c r="J321" i="7"/>
  <c r="J322" i="7"/>
  <c r="J323" i="7"/>
  <c r="J324" i="7"/>
  <c r="J325" i="7"/>
  <c r="J326" i="7"/>
  <c r="J327" i="7"/>
  <c r="J328" i="7"/>
  <c r="J329" i="7"/>
  <c r="J330" i="7"/>
  <c r="J331" i="7"/>
  <c r="J332" i="7"/>
  <c r="H332" i="7" s="1"/>
  <c r="L332" i="7" s="1"/>
  <c r="J333" i="7"/>
  <c r="J334" i="7"/>
  <c r="J337" i="7"/>
  <c r="J338" i="7"/>
  <c r="J339" i="7"/>
  <c r="J358" i="7"/>
  <c r="H358" i="7" s="1"/>
  <c r="L358" i="7" s="1"/>
  <c r="J359" i="7"/>
  <c r="J360" i="7"/>
  <c r="J363" i="7"/>
  <c r="J364" i="7"/>
  <c r="J365" i="7"/>
  <c r="J366" i="7"/>
  <c r="J367" i="7"/>
  <c r="H367" i="7" s="1"/>
  <c r="L367" i="7" s="1"/>
  <c r="J370" i="7"/>
  <c r="J371" i="7"/>
  <c r="J372" i="7"/>
  <c r="H372" i="7" s="1"/>
  <c r="L372" i="7" s="1"/>
  <c r="J373" i="7"/>
  <c r="J374" i="7"/>
  <c r="J375" i="7"/>
  <c r="J376" i="7"/>
  <c r="J377" i="7"/>
  <c r="J378" i="7"/>
  <c r="J379" i="7"/>
  <c r="J380" i="7"/>
  <c r="H380" i="7" s="1"/>
  <c r="L380" i="7" s="1"/>
  <c r="J340" i="7"/>
  <c r="H340" i="7" s="1"/>
  <c r="L340" i="7" s="1"/>
  <c r="J341" i="7"/>
  <c r="J342" i="7"/>
  <c r="J345" i="7"/>
  <c r="J346" i="7"/>
  <c r="J347" i="7"/>
  <c r="J348" i="7"/>
  <c r="J349" i="7"/>
  <c r="J350" i="7"/>
  <c r="H350" i="7" s="1"/>
  <c r="L350" i="7" s="1"/>
  <c r="J351" i="7"/>
  <c r="J352" i="7"/>
  <c r="J355" i="7"/>
  <c r="J356" i="7"/>
  <c r="J357" i="7"/>
  <c r="J381" i="7"/>
  <c r="J382" i="7"/>
  <c r="J383" i="7"/>
  <c r="J384" i="7"/>
  <c r="J385" i="7"/>
  <c r="J386" i="7"/>
  <c r="H386" i="7" s="1"/>
  <c r="L386" i="7" s="1"/>
  <c r="J387" i="7"/>
  <c r="H387" i="7" s="1"/>
  <c r="L387" i="7" s="1"/>
  <c r="J388" i="7"/>
  <c r="H388" i="7" s="1"/>
  <c r="L388" i="7" s="1"/>
  <c r="J389" i="7"/>
  <c r="H389" i="7" s="1"/>
  <c r="L389" i="7" s="1"/>
  <c r="J390" i="7"/>
  <c r="H390" i="7" s="1"/>
  <c r="L390" i="7" s="1"/>
  <c r="J391" i="7"/>
  <c r="H391" i="7" s="1"/>
  <c r="L391" i="7" s="1"/>
  <c r="J392" i="7"/>
  <c r="H392" i="7" s="1"/>
  <c r="L392" i="7" s="1"/>
  <c r="J393" i="7"/>
  <c r="H393" i="7" s="1"/>
  <c r="L393" i="7" s="1"/>
  <c r="J394" i="7"/>
  <c r="H394" i="7" s="1"/>
  <c r="L394" i="7" s="1"/>
  <c r="J395" i="7"/>
  <c r="H395" i="7" s="1"/>
  <c r="L395" i="7" s="1"/>
  <c r="J396" i="7"/>
  <c r="H396" i="7" s="1"/>
  <c r="L396" i="7" s="1"/>
  <c r="J397" i="7"/>
  <c r="H397" i="7" s="1"/>
  <c r="L397" i="7" s="1"/>
  <c r="J398" i="7"/>
  <c r="H398" i="7" s="1"/>
  <c r="L398" i="7" s="1"/>
  <c r="J399" i="7"/>
  <c r="H399" i="7" s="1"/>
  <c r="L399" i="7" s="1"/>
  <c r="J400" i="7"/>
  <c r="H400" i="7" s="1"/>
  <c r="L400" i="7" s="1"/>
  <c r="J401" i="7"/>
  <c r="H401" i="7" s="1"/>
  <c r="L401" i="7" s="1"/>
  <c r="J402" i="7"/>
  <c r="H402" i="7" s="1"/>
  <c r="L402" i="7" s="1"/>
  <c r="J403" i="7"/>
  <c r="H403" i="7" s="1"/>
  <c r="L403" i="7" s="1"/>
  <c r="J404" i="7"/>
  <c r="H404" i="7" s="1"/>
  <c r="L404" i="7" s="1"/>
  <c r="J405" i="7"/>
  <c r="H405" i="7" s="1"/>
  <c r="L405" i="7" s="1"/>
  <c r="J406" i="7"/>
  <c r="H406" i="7" s="1"/>
  <c r="L406" i="7" s="1"/>
  <c r="J407" i="7"/>
  <c r="H407" i="7" s="1"/>
  <c r="L407" i="7" s="1"/>
  <c r="J408" i="7"/>
  <c r="H408" i="7" s="1"/>
  <c r="L408" i="7" s="1"/>
  <c r="J409" i="7"/>
  <c r="H409" i="7" s="1"/>
  <c r="L409" i="7" s="1"/>
  <c r="J410" i="7"/>
  <c r="H410" i="7" s="1"/>
  <c r="L410" i="7" s="1"/>
  <c r="J411" i="7"/>
  <c r="H411" i="7" s="1"/>
  <c r="L411" i="7" s="1"/>
  <c r="J412" i="7"/>
  <c r="H412" i="7" s="1"/>
  <c r="L412" i="7" s="1"/>
  <c r="J413" i="7"/>
  <c r="H413" i="7" s="1"/>
  <c r="L413" i="7" s="1"/>
  <c r="J414" i="7"/>
  <c r="H414" i="7" s="1"/>
  <c r="L414" i="7" s="1"/>
  <c r="J415" i="7"/>
  <c r="H415" i="7" s="1"/>
  <c r="L415" i="7" s="1"/>
  <c r="J416" i="7"/>
  <c r="H416" i="7" s="1"/>
  <c r="L416" i="7" s="1"/>
  <c r="J417" i="7"/>
  <c r="H417" i="7" s="1"/>
  <c r="L417" i="7" s="1"/>
  <c r="J418" i="7"/>
  <c r="H418" i="7" s="1"/>
  <c r="L418" i="7" s="1"/>
  <c r="J419" i="7"/>
  <c r="H419" i="7" s="1"/>
  <c r="L419" i="7" s="1"/>
  <c r="J420" i="7"/>
  <c r="H420" i="7" s="1"/>
  <c r="L420" i="7" s="1"/>
  <c r="J421" i="7"/>
  <c r="H421" i="7" s="1"/>
  <c r="L421" i="7" s="1"/>
  <c r="J422" i="7"/>
  <c r="H422" i="7" s="1"/>
  <c r="L422" i="7" s="1"/>
  <c r="J423" i="7"/>
  <c r="H423" i="7" s="1"/>
  <c r="L423" i="7" s="1"/>
  <c r="J424" i="7"/>
  <c r="H424" i="7" s="1"/>
  <c r="L424" i="7" s="1"/>
  <c r="J425" i="7"/>
  <c r="H425" i="7" s="1"/>
  <c r="L425" i="7" s="1"/>
  <c r="J426" i="7"/>
  <c r="H426" i="7" s="1"/>
  <c r="L426" i="7" s="1"/>
  <c r="J427" i="7"/>
  <c r="H427" i="7" s="1"/>
  <c r="L427" i="7" s="1"/>
  <c r="J428" i="7"/>
  <c r="H428" i="7" s="1"/>
  <c r="L428" i="7" s="1"/>
  <c r="J429" i="7"/>
  <c r="H429" i="7" s="1"/>
  <c r="L429" i="7" s="1"/>
  <c r="J430" i="7"/>
  <c r="H430" i="7" s="1"/>
  <c r="L430" i="7" s="1"/>
  <c r="J431" i="7"/>
  <c r="H431" i="7" s="1"/>
  <c r="L431" i="7" s="1"/>
  <c r="J432" i="7"/>
  <c r="H432" i="7" s="1"/>
  <c r="L432" i="7" s="1"/>
  <c r="J433" i="7"/>
  <c r="H433" i="7" s="1"/>
  <c r="L433" i="7" s="1"/>
  <c r="J434" i="7"/>
  <c r="H434" i="7" s="1"/>
  <c r="L434" i="7" s="1"/>
  <c r="J435" i="7"/>
  <c r="H435" i="7" s="1"/>
  <c r="L435" i="7" s="1"/>
  <c r="J436" i="7"/>
  <c r="H436" i="7" s="1"/>
  <c r="L436" i="7" s="1"/>
  <c r="J437" i="7"/>
  <c r="H437" i="7" s="1"/>
  <c r="L437" i="7" s="1"/>
  <c r="J438" i="7"/>
  <c r="H438" i="7" s="1"/>
  <c r="L438" i="7" s="1"/>
  <c r="J439" i="7"/>
  <c r="H439" i="7" s="1"/>
  <c r="L439" i="7" s="1"/>
  <c r="J440" i="7"/>
  <c r="H440" i="7" s="1"/>
  <c r="L440" i="7" s="1"/>
  <c r="J441" i="7"/>
  <c r="H441" i="7" s="1"/>
  <c r="L441" i="7" s="1"/>
  <c r="J442" i="7"/>
  <c r="H442" i="7" s="1"/>
  <c r="L442" i="7" s="1"/>
  <c r="J443" i="7"/>
  <c r="J444" i="7"/>
  <c r="H444" i="7" s="1"/>
  <c r="L444" i="7" s="1"/>
  <c r="J445" i="7"/>
  <c r="H445" i="7" s="1"/>
  <c r="L445" i="7" s="1"/>
  <c r="J446" i="7"/>
  <c r="H446" i="7" s="1"/>
  <c r="L446" i="7" s="1"/>
  <c r="J447" i="7"/>
  <c r="H447" i="7" s="1"/>
  <c r="L447" i="7" s="1"/>
  <c r="J448" i="7"/>
  <c r="H448" i="7" s="1"/>
  <c r="L448" i="7" s="1"/>
  <c r="J449" i="7"/>
  <c r="H449" i="7" s="1"/>
  <c r="L449" i="7" s="1"/>
  <c r="J450" i="7"/>
  <c r="H450" i="7" s="1"/>
  <c r="L450" i="7" s="1"/>
  <c r="J451" i="7"/>
  <c r="H451" i="7" s="1"/>
  <c r="L451" i="7" s="1"/>
  <c r="J452" i="7"/>
  <c r="H452" i="7" s="1"/>
  <c r="L452" i="7" s="1"/>
  <c r="J453" i="7"/>
  <c r="H453" i="7" s="1"/>
  <c r="L453" i="7" s="1"/>
  <c r="J454" i="7"/>
  <c r="H454" i="7" s="1"/>
  <c r="L454" i="7" s="1"/>
  <c r="J455" i="7"/>
  <c r="J26" i="7"/>
  <c r="J27" i="7"/>
  <c r="J31" i="7"/>
  <c r="J36" i="7"/>
  <c r="J37" i="7"/>
  <c r="J38" i="7"/>
  <c r="J48" i="7"/>
  <c r="J51" i="7"/>
  <c r="J55" i="7"/>
  <c r="J57" i="7"/>
  <c r="H57" i="7" s="1"/>
  <c r="L57" i="7" s="1"/>
  <c r="J125" i="7"/>
  <c r="J128" i="7"/>
  <c r="J129" i="7"/>
  <c r="J130" i="7"/>
  <c r="J131" i="7"/>
  <c r="J132" i="7"/>
  <c r="J133" i="7"/>
  <c r="J135" i="7"/>
  <c r="J136" i="7"/>
  <c r="J139" i="7"/>
  <c r="J140" i="7"/>
  <c r="J141" i="7"/>
  <c r="J142" i="7"/>
  <c r="J143" i="7"/>
  <c r="J144" i="7"/>
  <c r="J146" i="7"/>
  <c r="J147" i="7"/>
  <c r="J148" i="7"/>
  <c r="J149" i="7"/>
  <c r="J150" i="7"/>
  <c r="J151" i="7"/>
  <c r="J152" i="7"/>
  <c r="J153" i="7"/>
  <c r="J154" i="7"/>
  <c r="J155" i="7"/>
  <c r="J156" i="7"/>
  <c r="J157" i="7"/>
  <c r="J158" i="7"/>
  <c r="J159" i="7"/>
  <c r="J145" i="7"/>
  <c r="J160" i="7"/>
  <c r="J161" i="7"/>
  <c r="J162" i="7"/>
  <c r="J163" i="7"/>
  <c r="J164" i="7"/>
  <c r="J165" i="7"/>
  <c r="J166" i="7"/>
  <c r="J167" i="7"/>
  <c r="H167" i="7" s="1"/>
  <c r="L167" i="7" s="1"/>
  <c r="J168" i="7"/>
  <c r="J169" i="7"/>
  <c r="J170" i="7"/>
  <c r="J171" i="7"/>
  <c r="J172" i="7"/>
  <c r="J173" i="7"/>
  <c r="J174" i="7"/>
  <c r="J175" i="7"/>
  <c r="J176" i="7"/>
  <c r="J177" i="7"/>
  <c r="J178" i="7"/>
  <c r="J179" i="7"/>
  <c r="J180" i="7"/>
  <c r="J25" i="7"/>
  <c r="J26" i="6"/>
  <c r="J27" i="6"/>
  <c r="J31" i="6"/>
  <c r="J36" i="6"/>
  <c r="J37" i="6"/>
  <c r="J38" i="6"/>
  <c r="J48" i="6"/>
  <c r="J51" i="6"/>
  <c r="J55" i="6"/>
  <c r="J57" i="6"/>
  <c r="H57" i="6" s="1"/>
  <c r="L57" i="6" s="1"/>
  <c r="J125" i="6"/>
  <c r="J127" i="6"/>
  <c r="J128" i="6"/>
  <c r="J129" i="6"/>
  <c r="J130" i="6"/>
  <c r="J131" i="6"/>
  <c r="J132" i="6"/>
  <c r="J133" i="6"/>
  <c r="J135" i="6"/>
  <c r="J136" i="6"/>
  <c r="J137" i="6"/>
  <c r="J138" i="6"/>
  <c r="J139" i="6"/>
  <c r="J140" i="6"/>
  <c r="J141" i="6"/>
  <c r="J142" i="6"/>
  <c r="J143" i="6"/>
  <c r="J144" i="6"/>
  <c r="J146" i="6"/>
  <c r="J147" i="6"/>
  <c r="J148" i="6"/>
  <c r="J149" i="6"/>
  <c r="J150" i="6"/>
  <c r="J151" i="6"/>
  <c r="J152" i="6"/>
  <c r="J153" i="6"/>
  <c r="J154" i="6"/>
  <c r="J155" i="6"/>
  <c r="J156" i="6"/>
  <c r="J157" i="6"/>
  <c r="J158" i="6"/>
  <c r="J159" i="6"/>
  <c r="J145" i="6"/>
  <c r="J160" i="6"/>
  <c r="J161" i="6"/>
  <c r="J162" i="6"/>
  <c r="J163" i="6"/>
  <c r="J164" i="6"/>
  <c r="J165" i="6"/>
  <c r="J166" i="6"/>
  <c r="J167" i="6"/>
  <c r="H167" i="6" s="1"/>
  <c r="L167" i="6" s="1"/>
  <c r="J168" i="6"/>
  <c r="J169" i="6"/>
  <c r="J170" i="6"/>
  <c r="J171" i="6"/>
  <c r="J172" i="6"/>
  <c r="J173" i="6"/>
  <c r="J174" i="6"/>
  <c r="J175" i="6"/>
  <c r="J176" i="6"/>
  <c r="J177" i="6"/>
  <c r="J178" i="6"/>
  <c r="J179" i="6"/>
  <c r="J180" i="6"/>
  <c r="J181" i="6"/>
  <c r="J183" i="6"/>
  <c r="J184" i="6"/>
  <c r="J185" i="6"/>
  <c r="J186" i="6"/>
  <c r="J188" i="6"/>
  <c r="J189" i="6"/>
  <c r="J191" i="6"/>
  <c r="J192" i="6"/>
  <c r="J193" i="6"/>
  <c r="J194" i="6"/>
  <c r="J195" i="6"/>
  <c r="J196" i="6"/>
  <c r="J182" i="6"/>
  <c r="J187" i="6"/>
  <c r="J190" i="6"/>
  <c r="J197" i="6"/>
  <c r="J198" i="6"/>
  <c r="J199" i="6"/>
  <c r="J200" i="6"/>
  <c r="J201" i="6"/>
  <c r="J202" i="6"/>
  <c r="J203" i="6"/>
  <c r="J204" i="6"/>
  <c r="J205" i="6"/>
  <c r="J206" i="6"/>
  <c r="J207" i="6"/>
  <c r="J208" i="6"/>
  <c r="J209" i="6"/>
  <c r="J210" i="6"/>
  <c r="J218" i="6"/>
  <c r="H218" i="6" s="1"/>
  <c r="L218" i="6" s="1"/>
  <c r="J222" i="6"/>
  <c r="J223" i="6"/>
  <c r="J225" i="6"/>
  <c r="J226" i="6"/>
  <c r="J224" i="6"/>
  <c r="J227" i="6"/>
  <c r="J229" i="6"/>
  <c r="J230" i="6"/>
  <c r="J219" i="6"/>
  <c r="J220" i="6"/>
  <c r="J231" i="6"/>
  <c r="H231" i="6" s="1"/>
  <c r="L231" i="6" s="1"/>
  <c r="J232" i="6"/>
  <c r="J233" i="6"/>
  <c r="J235" i="6"/>
  <c r="J238" i="6"/>
  <c r="J239" i="6"/>
  <c r="J240" i="6"/>
  <c r="J241" i="6"/>
  <c r="J237" i="6"/>
  <c r="J243" i="6"/>
  <c r="J245" i="6"/>
  <c r="J246" i="6"/>
  <c r="J247" i="6"/>
  <c r="J248" i="6"/>
  <c r="J249" i="6"/>
  <c r="J250" i="6"/>
  <c r="J251" i="6"/>
  <c r="J252" i="6"/>
  <c r="J253" i="6"/>
  <c r="J254" i="6"/>
  <c r="J255" i="6"/>
  <c r="H255" i="6" s="1"/>
  <c r="L255" i="6" s="1"/>
  <c r="J256" i="6"/>
  <c r="J257" i="6"/>
  <c r="J260" i="6"/>
  <c r="J261" i="6"/>
  <c r="J262" i="6"/>
  <c r="J263" i="6"/>
  <c r="J264" i="6"/>
  <c r="J265" i="6"/>
  <c r="J266" i="6"/>
  <c r="J267" i="6"/>
  <c r="J268" i="6"/>
  <c r="J269" i="6"/>
  <c r="J270" i="6"/>
  <c r="H270" i="6" s="1"/>
  <c r="L270" i="6" s="1"/>
  <c r="J271" i="6"/>
  <c r="J272" i="6"/>
  <c r="J273" i="6"/>
  <c r="J275" i="6"/>
  <c r="J276" i="6"/>
  <c r="J277" i="6"/>
  <c r="J278" i="6"/>
  <c r="J279" i="6"/>
  <c r="H279" i="6" s="1"/>
  <c r="L279" i="6" s="1"/>
  <c r="J280" i="6"/>
  <c r="J281" i="6"/>
  <c r="J282" i="6"/>
  <c r="J284" i="6"/>
  <c r="J285" i="6"/>
  <c r="J286" i="6"/>
  <c r="J287" i="6"/>
  <c r="J288" i="6"/>
  <c r="J289" i="6"/>
  <c r="H289" i="6" s="1"/>
  <c r="L289" i="6" s="1"/>
  <c r="J290" i="6"/>
  <c r="J291" i="6"/>
  <c r="J292" i="6"/>
  <c r="J294" i="6"/>
  <c r="J295" i="6"/>
  <c r="J296" i="6"/>
  <c r="J297" i="6"/>
  <c r="J298" i="6"/>
  <c r="J299" i="6"/>
  <c r="H299" i="6" s="1"/>
  <c r="L299" i="6" s="1"/>
  <c r="J300" i="6"/>
  <c r="J301" i="6"/>
  <c r="J302" i="6"/>
  <c r="J304" i="6"/>
  <c r="J305" i="6"/>
  <c r="J306" i="6"/>
  <c r="J307" i="6"/>
  <c r="J308" i="6"/>
  <c r="J316" i="6"/>
  <c r="H316" i="6" s="1"/>
  <c r="L316" i="6" s="1"/>
  <c r="J317" i="6"/>
  <c r="J318" i="6"/>
  <c r="J319" i="6"/>
  <c r="J321" i="6"/>
  <c r="J322" i="6"/>
  <c r="J323" i="6"/>
  <c r="J324" i="6"/>
  <c r="J325" i="6"/>
  <c r="J326" i="6"/>
  <c r="J327" i="6"/>
  <c r="J328" i="6"/>
  <c r="J329" i="6"/>
  <c r="J330" i="6"/>
  <c r="J331" i="6"/>
  <c r="J332" i="6"/>
  <c r="H332" i="6" s="1"/>
  <c r="L332" i="6" s="1"/>
  <c r="J333" i="6"/>
  <c r="J334" i="6"/>
  <c r="J337" i="6"/>
  <c r="J338" i="6"/>
  <c r="J339" i="6"/>
  <c r="J358" i="6"/>
  <c r="H358" i="6" s="1"/>
  <c r="L358" i="6" s="1"/>
  <c r="J359" i="6"/>
  <c r="J360" i="6"/>
  <c r="J363" i="6"/>
  <c r="J364" i="6"/>
  <c r="J365" i="6"/>
  <c r="J366" i="6"/>
  <c r="J367" i="6"/>
  <c r="H367" i="6" s="1"/>
  <c r="L367" i="6" s="1"/>
  <c r="J370" i="6"/>
  <c r="J371" i="6"/>
  <c r="J372" i="6"/>
  <c r="J373" i="6"/>
  <c r="J374" i="6"/>
  <c r="J375" i="6"/>
  <c r="J376" i="6"/>
  <c r="J377" i="6"/>
  <c r="J378" i="6"/>
  <c r="J379" i="6"/>
  <c r="J380" i="6"/>
  <c r="J340" i="6"/>
  <c r="H340" i="6" s="1"/>
  <c r="L340" i="6" s="1"/>
  <c r="J341" i="6"/>
  <c r="J342" i="6"/>
  <c r="J345" i="6"/>
  <c r="J346" i="6"/>
  <c r="J347" i="6"/>
  <c r="J348" i="6"/>
  <c r="J349" i="6"/>
  <c r="J350" i="6"/>
  <c r="H350" i="6" s="1"/>
  <c r="L350" i="6" s="1"/>
  <c r="J351" i="6"/>
  <c r="J352" i="6"/>
  <c r="J355" i="6"/>
  <c r="J356" i="6"/>
  <c r="J357" i="6"/>
  <c r="J381" i="6"/>
  <c r="J382" i="6"/>
  <c r="J383" i="6"/>
  <c r="J384" i="6"/>
  <c r="J385" i="6"/>
  <c r="J386" i="6"/>
  <c r="J387" i="6"/>
  <c r="J388" i="6"/>
  <c r="J389" i="6"/>
  <c r="J390" i="6"/>
  <c r="J391" i="6"/>
  <c r="J395" i="6"/>
  <c r="J392" i="6"/>
  <c r="J393" i="6"/>
  <c r="H393" i="6" s="1"/>
  <c r="L393" i="6" s="1"/>
  <c r="J394" i="6"/>
  <c r="H394" i="6" s="1"/>
  <c r="L394" i="6" s="1"/>
  <c r="J396" i="6"/>
  <c r="J397" i="6"/>
  <c r="J398" i="6"/>
  <c r="J399" i="6"/>
  <c r="J400" i="6"/>
  <c r="J401" i="6"/>
  <c r="J402" i="6"/>
  <c r="J403" i="6"/>
  <c r="J404" i="6"/>
  <c r="J405" i="6"/>
  <c r="J406" i="6"/>
  <c r="J407" i="6"/>
  <c r="J408" i="6"/>
  <c r="J409" i="6"/>
  <c r="J410" i="6"/>
  <c r="J411" i="6"/>
  <c r="J412" i="6"/>
  <c r="J413" i="6"/>
  <c r="J414" i="6"/>
  <c r="J415" i="6"/>
  <c r="J416" i="6"/>
  <c r="J417" i="6"/>
  <c r="J418" i="6"/>
  <c r="J419" i="6"/>
  <c r="J420" i="6"/>
  <c r="J421" i="6"/>
  <c r="H421" i="6" s="1"/>
  <c r="L421" i="6" s="1"/>
  <c r="J422" i="6"/>
  <c r="J423" i="6"/>
  <c r="J424" i="6"/>
  <c r="J425" i="6"/>
  <c r="J426" i="6"/>
  <c r="J427" i="6"/>
  <c r="J428" i="6"/>
  <c r="J429" i="6"/>
  <c r="J430" i="6"/>
  <c r="J434" i="6"/>
  <c r="J431" i="6"/>
  <c r="J432" i="6"/>
  <c r="H432" i="6" s="1"/>
  <c r="L432" i="6" s="1"/>
  <c r="J433" i="6"/>
  <c r="H433" i="6" s="1"/>
  <c r="L433" i="6" s="1"/>
  <c r="J435" i="6"/>
  <c r="J436" i="6"/>
  <c r="J437" i="6"/>
  <c r="J438" i="6"/>
  <c r="J439" i="6"/>
  <c r="J440" i="6"/>
  <c r="J441" i="6"/>
  <c r="J442" i="6"/>
  <c r="H442" i="6" s="1"/>
  <c r="L442" i="6" s="1"/>
  <c r="J443" i="6"/>
  <c r="J444" i="6"/>
  <c r="H444" i="6" s="1"/>
  <c r="L444" i="6" s="1"/>
  <c r="J445" i="6"/>
  <c r="H445" i="6" s="1"/>
  <c r="L445" i="6" s="1"/>
  <c r="J446" i="6"/>
  <c r="H446" i="6" s="1"/>
  <c r="L446" i="6" s="1"/>
  <c r="J447" i="6"/>
  <c r="H447" i="6" s="1"/>
  <c r="L447" i="6" s="1"/>
  <c r="J448" i="6"/>
  <c r="H448" i="6" s="1"/>
  <c r="L448" i="6" s="1"/>
  <c r="J449" i="6"/>
  <c r="H449" i="6" s="1"/>
  <c r="L449" i="6" s="1"/>
  <c r="J450" i="6"/>
  <c r="H450" i="6" s="1"/>
  <c r="L450" i="6" s="1"/>
  <c r="J451" i="6"/>
  <c r="H451" i="6" s="1"/>
  <c r="L451" i="6" s="1"/>
  <c r="J452" i="6"/>
  <c r="H452" i="6" s="1"/>
  <c r="L452" i="6" s="1"/>
  <c r="J453" i="6"/>
  <c r="H453" i="6" s="1"/>
  <c r="L453" i="6" s="1"/>
  <c r="J454" i="6"/>
  <c r="H454" i="6" s="1"/>
  <c r="L454" i="6" s="1"/>
  <c r="J455" i="6"/>
  <c r="J25" i="6"/>
  <c r="J26" i="5"/>
  <c r="J27" i="5"/>
  <c r="J36" i="5"/>
  <c r="J37" i="5"/>
  <c r="J38" i="5"/>
  <c r="J48" i="5"/>
  <c r="J51" i="5"/>
  <c r="J55" i="5"/>
  <c r="J57" i="5"/>
  <c r="H57" i="5" s="1"/>
  <c r="L57" i="5" s="1"/>
  <c r="J125" i="5"/>
  <c r="J127" i="5"/>
  <c r="J128" i="5"/>
  <c r="J129" i="5"/>
  <c r="J130" i="5"/>
  <c r="J131" i="5"/>
  <c r="J132" i="5"/>
  <c r="J133" i="5"/>
  <c r="J135" i="5"/>
  <c r="J136" i="5"/>
  <c r="J137" i="5"/>
  <c r="J138" i="5"/>
  <c r="J139" i="5"/>
  <c r="J140" i="5"/>
  <c r="J141" i="5"/>
  <c r="J142" i="5"/>
  <c r="J143" i="5"/>
  <c r="J144" i="5"/>
  <c r="J146" i="5"/>
  <c r="J147" i="5"/>
  <c r="J148" i="5"/>
  <c r="J149" i="5"/>
  <c r="J150" i="5"/>
  <c r="J151" i="5"/>
  <c r="J152" i="5"/>
  <c r="J153" i="5"/>
  <c r="J154" i="5"/>
  <c r="J155" i="5"/>
  <c r="J156" i="5"/>
  <c r="J157" i="5"/>
  <c r="J158" i="5"/>
  <c r="J159" i="5"/>
  <c r="J145" i="5"/>
  <c r="J160" i="5"/>
  <c r="J161" i="5"/>
  <c r="J162" i="5"/>
  <c r="J163" i="5"/>
  <c r="J164" i="5"/>
  <c r="J165" i="5"/>
  <c r="J166" i="5"/>
  <c r="J167" i="5"/>
  <c r="H167" i="5" s="1"/>
  <c r="L167" i="5" s="1"/>
  <c r="J168" i="5"/>
  <c r="J169" i="5"/>
  <c r="J170" i="5"/>
  <c r="J171" i="5"/>
  <c r="J172" i="5"/>
  <c r="J173" i="5"/>
  <c r="J174" i="5"/>
  <c r="J175" i="5"/>
  <c r="J176" i="5"/>
  <c r="J177" i="5"/>
  <c r="J178" i="5"/>
  <c r="J179" i="5"/>
  <c r="J180" i="5"/>
  <c r="H180" i="5" s="1"/>
  <c r="J181" i="5"/>
  <c r="J183" i="5"/>
  <c r="J184" i="5"/>
  <c r="J185" i="5"/>
  <c r="J186" i="5"/>
  <c r="J188" i="5"/>
  <c r="J189" i="5"/>
  <c r="J191" i="5"/>
  <c r="J192" i="5"/>
  <c r="J193" i="5"/>
  <c r="J194" i="5"/>
  <c r="J195" i="5"/>
  <c r="J196" i="5"/>
  <c r="J182" i="5"/>
  <c r="J187" i="5"/>
  <c r="J190" i="5"/>
  <c r="J197" i="5"/>
  <c r="J198" i="5"/>
  <c r="J199" i="5"/>
  <c r="J200" i="5"/>
  <c r="J201" i="5"/>
  <c r="J202" i="5"/>
  <c r="J203" i="5"/>
  <c r="J204" i="5"/>
  <c r="J205" i="5"/>
  <c r="J206" i="5"/>
  <c r="J207" i="5"/>
  <c r="J208" i="5"/>
  <c r="J209" i="5"/>
  <c r="J210" i="5"/>
  <c r="J218" i="5"/>
  <c r="H218" i="5" s="1"/>
  <c r="L218" i="5" s="1"/>
  <c r="J219" i="5"/>
  <c r="J231" i="5"/>
  <c r="H231" i="5" s="1"/>
  <c r="L231" i="5" s="1"/>
  <c r="J232" i="5"/>
  <c r="J233" i="5"/>
  <c r="J235" i="5"/>
  <c r="J238" i="5"/>
  <c r="J239" i="5"/>
  <c r="J240" i="5"/>
  <c r="J241" i="5"/>
  <c r="J237" i="5"/>
  <c r="J242" i="5"/>
  <c r="J243" i="5"/>
  <c r="J245" i="5"/>
  <c r="J246" i="5"/>
  <c r="J247" i="5"/>
  <c r="J248" i="5"/>
  <c r="J249" i="5"/>
  <c r="J250" i="5"/>
  <c r="J251" i="5"/>
  <c r="J252" i="5"/>
  <c r="J253" i="5"/>
  <c r="J254" i="5"/>
  <c r="J255" i="5"/>
  <c r="H255" i="5" s="1"/>
  <c r="L255" i="5" s="1"/>
  <c r="J256" i="5"/>
  <c r="J257" i="5"/>
  <c r="J260" i="5"/>
  <c r="J261" i="5"/>
  <c r="J262" i="5"/>
  <c r="J263" i="5"/>
  <c r="J264" i="5"/>
  <c r="J265" i="5"/>
  <c r="J266" i="5"/>
  <c r="J267" i="5"/>
  <c r="J268" i="5"/>
  <c r="J269" i="5"/>
  <c r="J270" i="5"/>
  <c r="H270" i="5" s="1"/>
  <c r="L270" i="5" s="1"/>
  <c r="J271" i="5"/>
  <c r="J272" i="5"/>
  <c r="J273" i="5"/>
  <c r="J275" i="5"/>
  <c r="J276" i="5"/>
  <c r="J277" i="5"/>
  <c r="J278" i="5"/>
  <c r="J279" i="5"/>
  <c r="H279" i="5" s="1"/>
  <c r="L279" i="5" s="1"/>
  <c r="J280" i="5"/>
  <c r="J281" i="5"/>
  <c r="J282" i="5"/>
  <c r="J284" i="5"/>
  <c r="J285" i="5"/>
  <c r="J286" i="5"/>
  <c r="J287" i="5"/>
  <c r="J288" i="5"/>
  <c r="J289" i="5"/>
  <c r="H289" i="5" s="1"/>
  <c r="L289" i="5" s="1"/>
  <c r="J290" i="5"/>
  <c r="J291" i="5"/>
  <c r="J292" i="5"/>
  <c r="J294" i="5"/>
  <c r="J295" i="5"/>
  <c r="J296" i="5"/>
  <c r="J297" i="5"/>
  <c r="J298" i="5"/>
  <c r="J299" i="5"/>
  <c r="H299" i="5" s="1"/>
  <c r="L299" i="5" s="1"/>
  <c r="J300" i="5"/>
  <c r="J301" i="5"/>
  <c r="J302" i="5"/>
  <c r="J304" i="5"/>
  <c r="J305" i="5"/>
  <c r="J306" i="5"/>
  <c r="J307" i="5"/>
  <c r="J308" i="5"/>
  <c r="J316" i="5"/>
  <c r="H316" i="5" s="1"/>
  <c r="L316" i="5" s="1"/>
  <c r="J317" i="5"/>
  <c r="J318" i="5"/>
  <c r="J319" i="5"/>
  <c r="J321" i="5"/>
  <c r="J322" i="5"/>
  <c r="J323" i="5"/>
  <c r="J324" i="5"/>
  <c r="J325" i="5"/>
  <c r="J326" i="5"/>
  <c r="J327" i="5"/>
  <c r="J328" i="5"/>
  <c r="J329" i="5"/>
  <c r="J330" i="5"/>
  <c r="J331" i="5"/>
  <c r="J332" i="5"/>
  <c r="H332" i="5" s="1"/>
  <c r="L332" i="5" s="1"/>
  <c r="J333" i="5"/>
  <c r="J334" i="5"/>
  <c r="J337" i="5"/>
  <c r="J338" i="5"/>
  <c r="J339" i="5"/>
  <c r="J358" i="5"/>
  <c r="H358" i="5" s="1"/>
  <c r="L358" i="5" s="1"/>
  <c r="J359" i="5"/>
  <c r="J360" i="5"/>
  <c r="J363" i="5"/>
  <c r="J364" i="5"/>
  <c r="J365" i="5"/>
  <c r="J366" i="5"/>
  <c r="J367" i="5"/>
  <c r="H367" i="5" s="1"/>
  <c r="L367" i="5" s="1"/>
  <c r="J370" i="5"/>
  <c r="J371" i="5"/>
  <c r="J372" i="5"/>
  <c r="J340" i="5"/>
  <c r="H340" i="5" s="1"/>
  <c r="L340" i="5" s="1"/>
  <c r="J341" i="5"/>
  <c r="J342" i="5"/>
  <c r="J345" i="5"/>
  <c r="J346" i="5"/>
  <c r="J347" i="5"/>
  <c r="J348" i="5"/>
  <c r="J349" i="5"/>
  <c r="J350" i="5"/>
  <c r="H350" i="5" s="1"/>
  <c r="L350" i="5" s="1"/>
  <c r="J351" i="5"/>
  <c r="J352" i="5"/>
  <c r="J355" i="5"/>
  <c r="J356" i="5"/>
  <c r="J357" i="5"/>
  <c r="J381" i="5"/>
  <c r="J382" i="5"/>
  <c r="J383" i="5"/>
  <c r="J384" i="5"/>
  <c r="J385" i="5"/>
  <c r="J386" i="5"/>
  <c r="J387" i="5"/>
  <c r="J388" i="5"/>
  <c r="J389" i="5"/>
  <c r="J390" i="5"/>
  <c r="J391" i="5"/>
  <c r="J395" i="5"/>
  <c r="J392" i="5"/>
  <c r="J393" i="5"/>
  <c r="H393" i="5" s="1"/>
  <c r="L393" i="5" s="1"/>
  <c r="J394" i="5"/>
  <c r="H394" i="5" s="1"/>
  <c r="L394" i="5" s="1"/>
  <c r="J396" i="5"/>
  <c r="J397" i="5"/>
  <c r="J398" i="5"/>
  <c r="J399" i="5"/>
  <c r="J400" i="5"/>
  <c r="J401" i="5"/>
  <c r="J402" i="5"/>
  <c r="H402" i="5" s="1"/>
  <c r="L402" i="5" s="1"/>
  <c r="J403" i="5"/>
  <c r="J404" i="5"/>
  <c r="J405" i="5"/>
  <c r="J406" i="5"/>
  <c r="J407" i="5"/>
  <c r="J408" i="5"/>
  <c r="J409" i="5"/>
  <c r="J413" i="5"/>
  <c r="J410" i="5"/>
  <c r="J411" i="5"/>
  <c r="H411" i="5" s="1"/>
  <c r="L411" i="5" s="1"/>
  <c r="J412" i="5"/>
  <c r="H412" i="5" s="1"/>
  <c r="L412" i="5" s="1"/>
  <c r="J414" i="5"/>
  <c r="J415" i="5"/>
  <c r="J416" i="5"/>
  <c r="J417" i="5"/>
  <c r="J418" i="5"/>
  <c r="J419" i="5"/>
  <c r="J420" i="5"/>
  <c r="J421" i="5"/>
  <c r="H421" i="5" s="1"/>
  <c r="J422" i="5"/>
  <c r="J423" i="5"/>
  <c r="J424" i="5"/>
  <c r="J425" i="5"/>
  <c r="J426" i="5"/>
  <c r="J427" i="5"/>
  <c r="J428" i="5"/>
  <c r="J429" i="5"/>
  <c r="J430" i="5"/>
  <c r="J434" i="5"/>
  <c r="J431" i="5"/>
  <c r="J432" i="5"/>
  <c r="H432" i="5" s="1"/>
  <c r="L432" i="5" s="1"/>
  <c r="J433" i="5"/>
  <c r="H433" i="5" s="1"/>
  <c r="L433" i="5" s="1"/>
  <c r="J435" i="5"/>
  <c r="J436" i="5"/>
  <c r="J437" i="5"/>
  <c r="J438" i="5"/>
  <c r="J439" i="5"/>
  <c r="J440" i="5"/>
  <c r="J441" i="5"/>
  <c r="J442" i="5"/>
  <c r="H442" i="5" s="1"/>
  <c r="L442" i="5" s="1"/>
  <c r="J443" i="5"/>
  <c r="J444" i="5"/>
  <c r="J445" i="5"/>
  <c r="J446" i="5"/>
  <c r="J447" i="5"/>
  <c r="J448" i="5"/>
  <c r="J449" i="5"/>
  <c r="J450" i="5"/>
  <c r="J451" i="5"/>
  <c r="J452" i="5"/>
  <c r="J453" i="5"/>
  <c r="J454" i="5"/>
  <c r="J455" i="5"/>
  <c r="J25" i="5"/>
  <c r="J49" i="2"/>
  <c r="J50" i="2"/>
  <c r="J51" i="2"/>
  <c r="J52" i="2"/>
  <c r="J53" i="2"/>
  <c r="J54" i="2"/>
  <c r="J55" i="2"/>
  <c r="J56" i="2"/>
  <c r="J57" i="2"/>
  <c r="H57" i="2" s="1"/>
  <c r="L57" i="2" s="1"/>
  <c r="J58" i="2"/>
  <c r="J59" i="2"/>
  <c r="J61" i="2"/>
  <c r="J62" i="2"/>
  <c r="J63" i="2"/>
  <c r="J64" i="2"/>
  <c r="J65" i="2"/>
  <c r="J67" i="2"/>
  <c r="J68" i="2"/>
  <c r="J69" i="2"/>
  <c r="J70" i="2"/>
  <c r="J71" i="2"/>
  <c r="J72" i="2"/>
  <c r="J73" i="2"/>
  <c r="J74" i="2"/>
  <c r="J75" i="2"/>
  <c r="J76" i="2"/>
  <c r="J77" i="2"/>
  <c r="J78" i="2"/>
  <c r="J79" i="2"/>
  <c r="J80" i="2"/>
  <c r="J81" i="2"/>
  <c r="J82" i="2"/>
  <c r="J84" i="2"/>
  <c r="J85" i="2"/>
  <c r="J86" i="2"/>
  <c r="J87" i="2"/>
  <c r="J88" i="2"/>
  <c r="J89" i="2"/>
  <c r="J90" i="2"/>
  <c r="J92" i="2"/>
  <c r="J93" i="2"/>
  <c r="J94" i="2"/>
  <c r="J95" i="2"/>
  <c r="J97" i="2"/>
  <c r="J98" i="2"/>
  <c r="J99" i="2"/>
  <c r="J100" i="2"/>
  <c r="J102" i="2"/>
  <c r="J103" i="2"/>
  <c r="J104" i="2"/>
  <c r="J105" i="2"/>
  <c r="J106" i="2"/>
  <c r="J107" i="2"/>
  <c r="J108" i="2"/>
  <c r="J117" i="2"/>
  <c r="J119" i="2"/>
  <c r="J120" i="2"/>
  <c r="J122" i="2"/>
  <c r="J109" i="2"/>
  <c r="J111" i="2"/>
  <c r="J112" i="2"/>
  <c r="J113" i="2"/>
  <c r="J114" i="2"/>
  <c r="J116" i="2"/>
  <c r="J123" i="2"/>
  <c r="J124" i="2"/>
  <c r="J125" i="2"/>
  <c r="J126" i="2"/>
  <c r="J127" i="2"/>
  <c r="J128" i="2"/>
  <c r="J129" i="2"/>
  <c r="J130" i="2"/>
  <c r="J131" i="2"/>
  <c r="J132" i="2"/>
  <c r="J133" i="2"/>
  <c r="J135" i="2"/>
  <c r="J136" i="2"/>
  <c r="J137" i="2"/>
  <c r="J138" i="2"/>
  <c r="J139" i="2"/>
  <c r="J140" i="2"/>
  <c r="J141" i="2"/>
  <c r="J142" i="2"/>
  <c r="J143" i="2"/>
  <c r="J144" i="2"/>
  <c r="J145" i="2"/>
  <c r="J147" i="2"/>
  <c r="J148" i="2"/>
  <c r="J149" i="2"/>
  <c r="J150" i="2"/>
  <c r="J151" i="2"/>
  <c r="J152" i="2"/>
  <c r="J153" i="2"/>
  <c r="J154" i="2"/>
  <c r="J155" i="2"/>
  <c r="J156" i="2"/>
  <c r="J157" i="2"/>
  <c r="J158" i="2"/>
  <c r="J159" i="2"/>
  <c r="J146" i="2"/>
  <c r="J160" i="2"/>
  <c r="J161" i="2"/>
  <c r="J162" i="2"/>
  <c r="J163" i="2"/>
  <c r="J164" i="2"/>
  <c r="J165" i="2"/>
  <c r="J166" i="2"/>
  <c r="J167" i="2"/>
  <c r="J168" i="2"/>
  <c r="J169" i="2"/>
  <c r="J170" i="2"/>
  <c r="J171" i="2"/>
  <c r="J172" i="2"/>
  <c r="J173" i="2"/>
  <c r="J174" i="2"/>
  <c r="J175" i="2"/>
  <c r="J176" i="2"/>
  <c r="J177" i="2"/>
  <c r="J178" i="2"/>
  <c r="J179" i="2"/>
  <c r="J180" i="2"/>
  <c r="J181" i="2"/>
  <c r="J183" i="2"/>
  <c r="J184" i="2"/>
  <c r="J185" i="2"/>
  <c r="J186" i="2"/>
  <c r="J188" i="2"/>
  <c r="J189" i="2"/>
  <c r="J191" i="2"/>
  <c r="J192" i="2"/>
  <c r="J193" i="2"/>
  <c r="J194" i="2"/>
  <c r="J195" i="2"/>
  <c r="J196" i="2"/>
  <c r="J182" i="2"/>
  <c r="J187" i="2"/>
  <c r="J190" i="2"/>
  <c r="J197" i="2"/>
  <c r="J198" i="2"/>
  <c r="J199" i="2"/>
  <c r="J200" i="2"/>
  <c r="J201" i="2"/>
  <c r="J202" i="2"/>
  <c r="J203" i="2"/>
  <c r="J204" i="2"/>
  <c r="J205" i="2"/>
  <c r="J206" i="2"/>
  <c r="H206" i="2" s="1"/>
  <c r="L206" i="2" s="1"/>
  <c r="J207" i="2"/>
  <c r="J208" i="2"/>
  <c r="J209" i="2"/>
  <c r="J210" i="2"/>
  <c r="J218" i="2"/>
  <c r="H218" i="2" s="1"/>
  <c r="L218" i="2" s="1"/>
  <c r="J219" i="2"/>
  <c r="J231" i="2"/>
  <c r="H231" i="2" s="1"/>
  <c r="L231" i="2" s="1"/>
  <c r="J232" i="2"/>
  <c r="J233" i="2"/>
  <c r="J235" i="2"/>
  <c r="J238" i="2"/>
  <c r="J239" i="2"/>
  <c r="J240" i="2"/>
  <c r="J241" i="2"/>
  <c r="J237" i="2"/>
  <c r="J242" i="2"/>
  <c r="J243" i="2"/>
  <c r="J245" i="2"/>
  <c r="J246" i="2"/>
  <c r="J247" i="2"/>
  <c r="J248" i="2"/>
  <c r="J249" i="2"/>
  <c r="J250" i="2"/>
  <c r="J251" i="2"/>
  <c r="J252" i="2"/>
  <c r="J253" i="2"/>
  <c r="J254" i="2"/>
  <c r="J255" i="2"/>
  <c r="H255" i="2" s="1"/>
  <c r="L255" i="2" s="1"/>
  <c r="J256" i="2"/>
  <c r="J257" i="2"/>
  <c r="J260" i="2"/>
  <c r="J261" i="2"/>
  <c r="J262" i="2"/>
  <c r="J263" i="2"/>
  <c r="J264" i="2"/>
  <c r="J265" i="2"/>
  <c r="J266" i="2"/>
  <c r="J267" i="2"/>
  <c r="J268" i="2"/>
  <c r="J269" i="2"/>
  <c r="J270" i="2"/>
  <c r="H270" i="2" s="1"/>
  <c r="L270" i="2" s="1"/>
  <c r="J271" i="2"/>
  <c r="J272" i="2"/>
  <c r="J273" i="2"/>
  <c r="J275" i="2"/>
  <c r="J276" i="2"/>
  <c r="J277" i="2"/>
  <c r="J278" i="2"/>
  <c r="J279" i="2"/>
  <c r="H279" i="2" s="1"/>
  <c r="L279" i="2" s="1"/>
  <c r="J280" i="2"/>
  <c r="J281" i="2"/>
  <c r="J282" i="2"/>
  <c r="J284" i="2"/>
  <c r="J285" i="2"/>
  <c r="J286" i="2"/>
  <c r="J287" i="2"/>
  <c r="J288" i="2"/>
  <c r="J289" i="2"/>
  <c r="H289" i="2" s="1"/>
  <c r="L289" i="2" s="1"/>
  <c r="J290" i="2"/>
  <c r="J291" i="2"/>
  <c r="J292" i="2"/>
  <c r="J294" i="2"/>
  <c r="J295" i="2"/>
  <c r="J296" i="2"/>
  <c r="J297" i="2"/>
  <c r="J298" i="2"/>
  <c r="J299" i="2"/>
  <c r="H299" i="2" s="1"/>
  <c r="L299" i="2" s="1"/>
  <c r="J300" i="2"/>
  <c r="J301" i="2"/>
  <c r="J302" i="2"/>
  <c r="J304" i="2"/>
  <c r="J305" i="2"/>
  <c r="J306" i="2"/>
  <c r="J307" i="2"/>
  <c r="J308" i="2"/>
  <c r="J316" i="2"/>
  <c r="H316" i="2" s="1"/>
  <c r="L316" i="2" s="1"/>
  <c r="J317" i="2"/>
  <c r="J318" i="2"/>
  <c r="J319" i="2"/>
  <c r="J321" i="2"/>
  <c r="J322" i="2"/>
  <c r="J323" i="2"/>
  <c r="J324" i="2"/>
  <c r="J325" i="2"/>
  <c r="J326" i="2"/>
  <c r="J327" i="2"/>
  <c r="J328" i="2"/>
  <c r="J329" i="2"/>
  <c r="J330" i="2"/>
  <c r="J331" i="2"/>
  <c r="J332" i="2"/>
  <c r="H332" i="2" s="1"/>
  <c r="L332" i="2" s="1"/>
  <c r="J333" i="2"/>
  <c r="J334" i="2"/>
  <c r="J337" i="2"/>
  <c r="J338" i="2"/>
  <c r="J339" i="2"/>
  <c r="J358" i="2"/>
  <c r="H358" i="2" s="1"/>
  <c r="L358" i="2" s="1"/>
  <c r="J359" i="2"/>
  <c r="J360" i="2"/>
  <c r="J363" i="2"/>
  <c r="J364" i="2"/>
  <c r="J365" i="2"/>
  <c r="J366" i="2"/>
  <c r="J367" i="2"/>
  <c r="H367" i="2" s="1"/>
  <c r="L367" i="2" s="1"/>
  <c r="J370" i="2"/>
  <c r="J371" i="2"/>
  <c r="J372" i="2"/>
  <c r="J373" i="2"/>
  <c r="J374" i="2"/>
  <c r="J375" i="2"/>
  <c r="J376" i="2"/>
  <c r="J377" i="2"/>
  <c r="J378" i="2"/>
  <c r="J379" i="2"/>
  <c r="J380" i="2"/>
  <c r="J340" i="2"/>
  <c r="H340" i="2" s="1"/>
  <c r="L340" i="2" s="1"/>
  <c r="J341" i="2"/>
  <c r="J342" i="2"/>
  <c r="J345" i="2"/>
  <c r="J346" i="2"/>
  <c r="J347" i="2"/>
  <c r="J348" i="2"/>
  <c r="J349" i="2"/>
  <c r="J350" i="2"/>
  <c r="H350" i="2" s="1"/>
  <c r="L350" i="2" s="1"/>
  <c r="J351" i="2"/>
  <c r="J352" i="2"/>
  <c r="J355" i="2"/>
  <c r="J356" i="2"/>
  <c r="J357" i="2"/>
  <c r="J381" i="2"/>
  <c r="J382" i="2"/>
  <c r="J383" i="2"/>
  <c r="J384" i="2"/>
  <c r="J385" i="2"/>
  <c r="J386" i="2"/>
  <c r="J387" i="2"/>
  <c r="J388" i="2"/>
  <c r="J389" i="2"/>
  <c r="J390" i="2"/>
  <c r="J391" i="2"/>
  <c r="J395" i="2"/>
  <c r="J392" i="2"/>
  <c r="J393" i="2"/>
  <c r="H393" i="2" s="1"/>
  <c r="L393" i="2" s="1"/>
  <c r="J394" i="2"/>
  <c r="H394" i="2" s="1"/>
  <c r="L394" i="2" s="1"/>
  <c r="J396" i="2"/>
  <c r="J397" i="2"/>
  <c r="J398" i="2"/>
  <c r="J399" i="2"/>
  <c r="J400" i="2"/>
  <c r="J401" i="2"/>
  <c r="J402" i="2"/>
  <c r="J403" i="2"/>
  <c r="J404" i="2"/>
  <c r="J405" i="2"/>
  <c r="J406" i="2"/>
  <c r="J407" i="2"/>
  <c r="J408" i="2"/>
  <c r="J409" i="2"/>
  <c r="J410" i="2"/>
  <c r="J411" i="2"/>
  <c r="J412" i="2"/>
  <c r="J413" i="2"/>
  <c r="J414" i="2"/>
  <c r="J415" i="2"/>
  <c r="J416" i="2"/>
  <c r="J417" i="2"/>
  <c r="J418" i="2"/>
  <c r="J419" i="2"/>
  <c r="J420" i="2"/>
  <c r="J421" i="2"/>
  <c r="J422" i="2"/>
  <c r="J423" i="2"/>
  <c r="J424" i="2"/>
  <c r="J425" i="2"/>
  <c r="J426" i="2"/>
  <c r="J427" i="2"/>
  <c r="J428" i="2"/>
  <c r="J429" i="2"/>
  <c r="J430" i="2"/>
  <c r="J431" i="2"/>
  <c r="J432" i="2"/>
  <c r="J433" i="2"/>
  <c r="J434" i="2"/>
  <c r="J435" i="2"/>
  <c r="J436" i="2"/>
  <c r="J437" i="2"/>
  <c r="J438" i="2"/>
  <c r="J439" i="2"/>
  <c r="J440" i="2"/>
  <c r="J441" i="2"/>
  <c r="J442" i="2"/>
  <c r="J443" i="2"/>
  <c r="J444" i="2"/>
  <c r="J445" i="2"/>
  <c r="J446" i="2"/>
  <c r="J447" i="2"/>
  <c r="J448" i="2"/>
  <c r="J26" i="2"/>
  <c r="J27" i="2"/>
  <c r="J36" i="2"/>
  <c r="J37" i="2"/>
  <c r="J38" i="2"/>
  <c r="J39" i="2"/>
  <c r="J40" i="2"/>
  <c r="J41" i="2"/>
  <c r="J42" i="2"/>
  <c r="J43" i="2"/>
  <c r="J44" i="2"/>
  <c r="J45" i="2"/>
  <c r="J46" i="2"/>
  <c r="J47" i="2"/>
  <c r="J48" i="2"/>
  <c r="J25" i="2"/>
  <c r="AI22" i="21"/>
  <c r="AK22" i="21"/>
  <c r="AH22" i="21"/>
  <c r="AG22" i="21"/>
  <c r="AF22" i="21"/>
  <c r="AE22" i="21"/>
  <c r="AD22" i="21"/>
  <c r="L455" i="2"/>
  <c r="L454" i="2"/>
  <c r="L442" i="2"/>
  <c r="L441" i="2"/>
  <c r="L440" i="2"/>
  <c r="L439" i="2"/>
  <c r="L438" i="2"/>
  <c r="L437" i="2"/>
  <c r="L436" i="2"/>
  <c r="L435" i="2"/>
  <c r="L434" i="2"/>
  <c r="L433" i="2"/>
  <c r="L432" i="2"/>
  <c r="L431" i="2"/>
  <c r="L430" i="2"/>
  <c r="L429" i="2"/>
  <c r="L428" i="2"/>
  <c r="L427" i="2"/>
  <c r="L426" i="2"/>
  <c r="L425" i="2"/>
  <c r="L424" i="2"/>
  <c r="L423" i="2"/>
  <c r="L422" i="2"/>
  <c r="L421" i="2"/>
  <c r="L420" i="2"/>
  <c r="L419" i="2"/>
  <c r="L418" i="2"/>
  <c r="L417" i="2"/>
  <c r="L416" i="2"/>
  <c r="L415" i="2"/>
  <c r="L414" i="2"/>
  <c r="L413" i="2"/>
  <c r="L412" i="2"/>
  <c r="L411" i="2"/>
  <c r="L410" i="2"/>
  <c r="L409" i="2"/>
  <c r="L408" i="2"/>
  <c r="L407" i="2"/>
  <c r="L406" i="2"/>
  <c r="L405" i="2"/>
  <c r="L404" i="2"/>
  <c r="L384" i="2"/>
  <c r="L383" i="2"/>
  <c r="L381" i="2"/>
  <c r="L205" i="2"/>
  <c r="L179" i="2"/>
  <c r="L173" i="2"/>
  <c r="L167" i="2"/>
  <c r="L125" i="2"/>
  <c r="L38" i="2"/>
  <c r="L36" i="2"/>
  <c r="L26" i="2"/>
  <c r="L125" i="5"/>
  <c r="L173" i="5"/>
  <c r="L179" i="5"/>
  <c r="L205" i="5"/>
  <c r="L381" i="5"/>
  <c r="L383" i="5"/>
  <c r="L384" i="5"/>
  <c r="L421" i="5"/>
  <c r="L455" i="5"/>
  <c r="L26" i="5"/>
  <c r="L36" i="5"/>
  <c r="L38" i="5"/>
  <c r="F140" i="1"/>
  <c r="F139" i="1"/>
  <c r="E172" i="19"/>
  <c r="E171" i="19"/>
  <c r="E170" i="19"/>
  <c r="E169" i="19"/>
  <c r="E172" i="17"/>
  <c r="E171" i="17"/>
  <c r="E170" i="17"/>
  <c r="E169" i="17"/>
  <c r="E172" i="15"/>
  <c r="H172" i="15" s="1"/>
  <c r="L172" i="15" s="1"/>
  <c r="E171" i="15"/>
  <c r="H171" i="15" s="1"/>
  <c r="L171" i="15" s="1"/>
  <c r="E170" i="15"/>
  <c r="H170" i="15" s="1"/>
  <c r="L170" i="15" s="1"/>
  <c r="E169" i="15"/>
  <c r="H169" i="15" s="1"/>
  <c r="L169" i="15" s="1"/>
  <c r="E172" i="14"/>
  <c r="E171" i="14"/>
  <c r="E170" i="14"/>
  <c r="E169" i="14"/>
  <c r="A173" i="14"/>
  <c r="L173" i="14"/>
  <c r="D174" i="14"/>
  <c r="E175" i="14"/>
  <c r="E176" i="14"/>
  <c r="E172" i="8"/>
  <c r="A172" i="15" s="1"/>
  <c r="E171" i="8"/>
  <c r="E170" i="8"/>
  <c r="E169" i="8"/>
  <c r="A169" i="15" s="1"/>
  <c r="E172" i="7"/>
  <c r="A172" i="8" s="1"/>
  <c r="E171" i="7"/>
  <c r="E170" i="7"/>
  <c r="A170" i="8" s="1"/>
  <c r="E169" i="7"/>
  <c r="A169" i="8" s="1"/>
  <c r="E172" i="6"/>
  <c r="A172" i="7" s="1"/>
  <c r="E171" i="6"/>
  <c r="E170" i="6"/>
  <c r="E169" i="6"/>
  <c r="A169" i="7" s="1"/>
  <c r="E172" i="2"/>
  <c r="H172" i="2" s="1"/>
  <c r="L172" i="2" s="1"/>
  <c r="E171" i="2"/>
  <c r="H171" i="2" s="1"/>
  <c r="L171" i="2" s="1"/>
  <c r="E170" i="2"/>
  <c r="H170" i="2" s="1"/>
  <c r="L170" i="2" s="1"/>
  <c r="E169" i="2"/>
  <c r="H169" i="2" s="1"/>
  <c r="L169" i="2" s="1"/>
  <c r="E172" i="5"/>
  <c r="A172" i="6" s="1"/>
  <c r="E171" i="5"/>
  <c r="E170" i="5"/>
  <c r="A170" i="6" s="1"/>
  <c r="E169" i="5"/>
  <c r="K172" i="5"/>
  <c r="K171" i="5"/>
  <c r="K170" i="5"/>
  <c r="K169" i="5"/>
  <c r="L457" i="19"/>
  <c r="L458" i="19"/>
  <c r="L460" i="19"/>
  <c r="L462" i="19"/>
  <c r="L467" i="19"/>
  <c r="L469" i="19"/>
  <c r="L470" i="19"/>
  <c r="L471" i="19"/>
  <c r="L479" i="19"/>
  <c r="L484" i="19"/>
  <c r="L486" i="19"/>
  <c r="L494" i="19"/>
  <c r="L501" i="19"/>
  <c r="L503" i="19"/>
  <c r="L518" i="19"/>
  <c r="L520" i="19"/>
  <c r="L525" i="19"/>
  <c r="L526" i="19"/>
  <c r="L522" i="19"/>
  <c r="L524" i="19"/>
  <c r="L528" i="19"/>
  <c r="L545" i="19"/>
  <c r="L550" i="19"/>
  <c r="L552" i="19"/>
  <c r="L554" i="19"/>
  <c r="L556" i="19"/>
  <c r="L558" i="19"/>
  <c r="L560" i="19"/>
  <c r="L562" i="19"/>
  <c r="L564" i="19"/>
  <c r="L26" i="19"/>
  <c r="L36" i="19"/>
  <c r="L38" i="19"/>
  <c r="L125" i="19"/>
  <c r="L167" i="19"/>
  <c r="L173" i="19"/>
  <c r="L179" i="19"/>
  <c r="L205" i="19"/>
  <c r="L381" i="19"/>
  <c r="L383" i="19"/>
  <c r="L384" i="19"/>
  <c r="L441" i="19"/>
  <c r="L442" i="19"/>
  <c r="L456" i="19"/>
  <c r="L26" i="17"/>
  <c r="L36" i="17"/>
  <c r="L38" i="17"/>
  <c r="L162" i="17"/>
  <c r="L163" i="17"/>
  <c r="L164" i="17"/>
  <c r="L165" i="17"/>
  <c r="L166" i="17"/>
  <c r="L167" i="17"/>
  <c r="L381" i="17"/>
  <c r="L383" i="17"/>
  <c r="L384" i="17"/>
  <c r="L441" i="17"/>
  <c r="L442" i="17"/>
  <c r="L455" i="17"/>
  <c r="L456" i="17"/>
  <c r="L457" i="17"/>
  <c r="L458" i="17"/>
  <c r="L460" i="17"/>
  <c r="L462" i="17"/>
  <c r="L467" i="17"/>
  <c r="L469" i="17"/>
  <c r="L470" i="17"/>
  <c r="L471" i="17"/>
  <c r="L479" i="17"/>
  <c r="L484" i="17"/>
  <c r="L486" i="17"/>
  <c r="L494" i="17"/>
  <c r="L501" i="17"/>
  <c r="L503" i="17"/>
  <c r="L518" i="17"/>
  <c r="L520" i="17"/>
  <c r="L555" i="17"/>
  <c r="L556" i="17"/>
  <c r="L558" i="17"/>
  <c r="L560" i="17"/>
  <c r="L562" i="17"/>
  <c r="L564" i="17"/>
  <c r="L565" i="17"/>
  <c r="L522" i="17"/>
  <c r="L524" i="17"/>
  <c r="L528" i="17"/>
  <c r="L545" i="17"/>
  <c r="L550" i="17"/>
  <c r="L552" i="17"/>
  <c r="L554" i="17"/>
  <c r="L526" i="17"/>
  <c r="L565" i="15"/>
  <c r="L564" i="15"/>
  <c r="L562" i="15"/>
  <c r="L560" i="15"/>
  <c r="L558" i="15"/>
  <c r="L556" i="15"/>
  <c r="L555" i="15"/>
  <c r="L554" i="15"/>
  <c r="L552" i="15"/>
  <c r="L550" i="15"/>
  <c r="L545" i="15"/>
  <c r="L528" i="15"/>
  <c r="L524" i="15"/>
  <c r="L522" i="15"/>
  <c r="L526" i="15"/>
  <c r="L525" i="15"/>
  <c r="L520" i="15"/>
  <c r="L518" i="15"/>
  <c r="L503" i="15"/>
  <c r="L501" i="15"/>
  <c r="L494" i="15"/>
  <c r="L486" i="15"/>
  <c r="L484" i="15"/>
  <c r="L479" i="15"/>
  <c r="L471" i="15"/>
  <c r="L470" i="15"/>
  <c r="L469" i="15"/>
  <c r="L467" i="15"/>
  <c r="L462" i="15"/>
  <c r="L460" i="15"/>
  <c r="L458" i="15"/>
  <c r="L457" i="15"/>
  <c r="L26" i="15"/>
  <c r="L36" i="15"/>
  <c r="L38" i="15"/>
  <c r="L125" i="15"/>
  <c r="L167" i="15"/>
  <c r="L173" i="15"/>
  <c r="L179" i="15"/>
  <c r="L381" i="15"/>
  <c r="L383" i="15"/>
  <c r="L384" i="15"/>
  <c r="L441" i="15"/>
  <c r="L442" i="15"/>
  <c r="L455" i="15"/>
  <c r="L456" i="15"/>
  <c r="L565" i="14"/>
  <c r="L564" i="14"/>
  <c r="L562" i="14"/>
  <c r="L560" i="14"/>
  <c r="L558" i="14"/>
  <c r="L556" i="14"/>
  <c r="L555" i="14"/>
  <c r="L554" i="14"/>
  <c r="L552" i="14"/>
  <c r="L550" i="14"/>
  <c r="L545" i="14"/>
  <c r="L528" i="14"/>
  <c r="L524" i="14"/>
  <c r="L522" i="14"/>
  <c r="L520" i="14"/>
  <c r="L518" i="14"/>
  <c r="L503" i="14"/>
  <c r="L501" i="14"/>
  <c r="L494" i="14"/>
  <c r="L486" i="14"/>
  <c r="L484" i="14"/>
  <c r="L479" i="14"/>
  <c r="L471" i="14"/>
  <c r="L470" i="14"/>
  <c r="L469" i="14"/>
  <c r="L467" i="14"/>
  <c r="L462" i="14"/>
  <c r="L460" i="14"/>
  <c r="L458" i="14"/>
  <c r="L26" i="14"/>
  <c r="L36" i="14"/>
  <c r="L38" i="14"/>
  <c r="L125" i="14"/>
  <c r="L179" i="14"/>
  <c r="L381" i="14"/>
  <c r="L383" i="14"/>
  <c r="L384" i="14"/>
  <c r="L386" i="14"/>
  <c r="L388" i="14"/>
  <c r="L390" i="14"/>
  <c r="L391" i="14"/>
  <c r="L392" i="14"/>
  <c r="L394" i="14"/>
  <c r="L396" i="14"/>
  <c r="L398" i="14"/>
  <c r="L399" i="14"/>
  <c r="L400" i="14"/>
  <c r="L402" i="14"/>
  <c r="L404" i="14"/>
  <c r="L406" i="14"/>
  <c r="L407" i="14"/>
  <c r="L408" i="14"/>
  <c r="L410" i="14"/>
  <c r="L412" i="14"/>
  <c r="L414" i="14"/>
  <c r="L415" i="14"/>
  <c r="L416" i="14"/>
  <c r="L418" i="14"/>
  <c r="L420" i="14"/>
  <c r="L422" i="14"/>
  <c r="L423" i="14"/>
  <c r="L424" i="14"/>
  <c r="L426" i="14"/>
  <c r="L428" i="14"/>
  <c r="L430" i="14"/>
  <c r="L431" i="14"/>
  <c r="L432" i="14"/>
  <c r="L434" i="14"/>
  <c r="L436" i="14"/>
  <c r="L438" i="14"/>
  <c r="L439" i="14"/>
  <c r="L440" i="14"/>
  <c r="L441" i="14"/>
  <c r="L442" i="14"/>
  <c r="L444" i="14"/>
  <c r="L446" i="14"/>
  <c r="L447" i="14"/>
  <c r="L448" i="14"/>
  <c r="L450" i="14"/>
  <c r="L452" i="14"/>
  <c r="L454" i="14"/>
  <c r="L455" i="14"/>
  <c r="L456" i="14"/>
  <c r="L26" i="8"/>
  <c r="L36" i="8"/>
  <c r="L38" i="8"/>
  <c r="L173" i="8"/>
  <c r="L179" i="8"/>
  <c r="L381" i="8"/>
  <c r="L383" i="8"/>
  <c r="L384" i="8"/>
  <c r="L386" i="8"/>
  <c r="L387" i="8"/>
  <c r="L388" i="8"/>
  <c r="L389" i="8"/>
  <c r="L390" i="8"/>
  <c r="L391" i="8"/>
  <c r="L392" i="8"/>
  <c r="L393" i="8"/>
  <c r="L394" i="8"/>
  <c r="L395" i="8"/>
  <c r="L396" i="8"/>
  <c r="L397" i="8"/>
  <c r="L398" i="8"/>
  <c r="L399" i="8"/>
  <c r="L400" i="8"/>
  <c r="L401" i="8"/>
  <c r="L402" i="8"/>
  <c r="L403" i="8"/>
  <c r="L404" i="8"/>
  <c r="L405" i="8"/>
  <c r="L406" i="8"/>
  <c r="L407" i="8"/>
  <c r="L408" i="8"/>
  <c r="L409" i="8"/>
  <c r="L410" i="8"/>
  <c r="L411" i="8"/>
  <c r="L412" i="8"/>
  <c r="L413" i="8"/>
  <c r="L414" i="8"/>
  <c r="L415" i="8"/>
  <c r="L416" i="8"/>
  <c r="L417" i="8"/>
  <c r="L418" i="8"/>
  <c r="L419" i="8"/>
  <c r="L420" i="8"/>
  <c r="L421" i="8"/>
  <c r="L422" i="8"/>
  <c r="L423" i="8"/>
  <c r="L424" i="8"/>
  <c r="L425" i="8"/>
  <c r="L426" i="8"/>
  <c r="L427" i="8"/>
  <c r="L428" i="8"/>
  <c r="L429" i="8"/>
  <c r="L430" i="8"/>
  <c r="L431" i="8"/>
  <c r="L432" i="8"/>
  <c r="L433" i="8"/>
  <c r="L434" i="8"/>
  <c r="L435" i="8"/>
  <c r="L436" i="8"/>
  <c r="L437" i="8"/>
  <c r="L438" i="8"/>
  <c r="L439" i="8"/>
  <c r="L440" i="8"/>
  <c r="L441" i="8"/>
  <c r="L442" i="8"/>
  <c r="L455" i="8"/>
  <c r="K26" i="5"/>
  <c r="K31" i="5"/>
  <c r="K36" i="5"/>
  <c r="K38" i="5"/>
  <c r="K40" i="5"/>
  <c r="K41" i="5"/>
  <c r="K42" i="5"/>
  <c r="K43" i="5"/>
  <c r="K44" i="5"/>
  <c r="K45" i="5"/>
  <c r="K46" i="5"/>
  <c r="K47" i="5"/>
  <c r="K48" i="5"/>
  <c r="K49" i="5"/>
  <c r="K50" i="5"/>
  <c r="K51" i="5"/>
  <c r="K52" i="5"/>
  <c r="K53" i="5"/>
  <c r="K54" i="5"/>
  <c r="K55" i="5"/>
  <c r="K56" i="5"/>
  <c r="K57" i="5"/>
  <c r="K58" i="5"/>
  <c r="K59" i="5"/>
  <c r="K61" i="5"/>
  <c r="K62" i="5"/>
  <c r="K63" i="5"/>
  <c r="K64" i="5"/>
  <c r="K65" i="5"/>
  <c r="K67" i="5"/>
  <c r="K68" i="5"/>
  <c r="K69" i="5"/>
  <c r="K70" i="5"/>
  <c r="K71" i="5"/>
  <c r="K72" i="5"/>
  <c r="K73" i="5"/>
  <c r="K74" i="5"/>
  <c r="K75" i="5"/>
  <c r="K76" i="5"/>
  <c r="K77" i="5"/>
  <c r="K78" i="5"/>
  <c r="K79" i="5"/>
  <c r="K80" i="5"/>
  <c r="K81" i="5"/>
  <c r="K82" i="5"/>
  <c r="K84" i="5"/>
  <c r="K85" i="5"/>
  <c r="K86" i="5"/>
  <c r="K87" i="5"/>
  <c r="K88" i="5"/>
  <c r="K89" i="5"/>
  <c r="K90" i="5"/>
  <c r="K92" i="5"/>
  <c r="K93" i="5"/>
  <c r="K94" i="5"/>
  <c r="K95" i="5"/>
  <c r="K97" i="5"/>
  <c r="K98" i="5"/>
  <c r="K99" i="5"/>
  <c r="K100" i="5"/>
  <c r="K102" i="5"/>
  <c r="K103" i="5"/>
  <c r="K104" i="5"/>
  <c r="K105" i="5"/>
  <c r="K106" i="5"/>
  <c r="K107" i="5"/>
  <c r="K108" i="5"/>
  <c r="K117" i="5"/>
  <c r="K119" i="5"/>
  <c r="K120" i="5"/>
  <c r="K122" i="5"/>
  <c r="K109" i="5"/>
  <c r="K111" i="5"/>
  <c r="K112" i="5"/>
  <c r="K113" i="5"/>
  <c r="K114" i="5"/>
  <c r="K116" i="5"/>
  <c r="K123" i="5"/>
  <c r="K124" i="5"/>
  <c r="K125" i="5"/>
  <c r="K127" i="5"/>
  <c r="K128" i="5"/>
  <c r="K129" i="5"/>
  <c r="K130" i="5"/>
  <c r="K131" i="5"/>
  <c r="K132" i="5"/>
  <c r="K133" i="5"/>
  <c r="K135" i="5"/>
  <c r="K136" i="5"/>
  <c r="K137" i="5"/>
  <c r="K138" i="5"/>
  <c r="K139" i="5"/>
  <c r="K140" i="5"/>
  <c r="K141" i="5"/>
  <c r="K142" i="5"/>
  <c r="K143" i="5"/>
  <c r="K144" i="5"/>
  <c r="K146" i="5"/>
  <c r="K147" i="5"/>
  <c r="K148" i="5"/>
  <c r="K149" i="5"/>
  <c r="K150" i="5"/>
  <c r="K151" i="5"/>
  <c r="K152" i="5"/>
  <c r="K153" i="5"/>
  <c r="K154" i="5"/>
  <c r="K155" i="5"/>
  <c r="K156" i="5"/>
  <c r="K157" i="5"/>
  <c r="K158" i="5"/>
  <c r="K159" i="5"/>
  <c r="K145" i="5"/>
  <c r="K160" i="5"/>
  <c r="K161" i="5"/>
  <c r="K162" i="5"/>
  <c r="K163" i="5"/>
  <c r="K164" i="5"/>
  <c r="K165" i="5"/>
  <c r="K166" i="5"/>
  <c r="K167" i="5"/>
  <c r="K173" i="5"/>
  <c r="K175" i="5"/>
  <c r="K176" i="5"/>
  <c r="K177" i="5"/>
  <c r="K178" i="5"/>
  <c r="K179" i="5"/>
  <c r="K181" i="5"/>
  <c r="K183" i="5"/>
  <c r="K184" i="5"/>
  <c r="K185" i="5"/>
  <c r="K186" i="5"/>
  <c r="K188" i="5"/>
  <c r="K189" i="5"/>
  <c r="K191" i="5"/>
  <c r="K192" i="5"/>
  <c r="K193" i="5"/>
  <c r="K194" i="5"/>
  <c r="K195" i="5"/>
  <c r="K196" i="5"/>
  <c r="K182" i="5"/>
  <c r="K187" i="5"/>
  <c r="K190" i="5"/>
  <c r="K197" i="5"/>
  <c r="K198" i="5"/>
  <c r="K199" i="5"/>
  <c r="K200" i="5"/>
  <c r="K201" i="5"/>
  <c r="K202" i="5"/>
  <c r="K203" i="5"/>
  <c r="K204" i="5"/>
  <c r="K205" i="5"/>
  <c r="K207" i="5"/>
  <c r="K208" i="5"/>
  <c r="K209" i="5"/>
  <c r="K210" i="5"/>
  <c r="K218" i="5"/>
  <c r="K219" i="5"/>
  <c r="K231" i="5"/>
  <c r="K232" i="5"/>
  <c r="K233" i="5"/>
  <c r="K235" i="5"/>
  <c r="K238" i="5"/>
  <c r="K239" i="5"/>
  <c r="K240" i="5"/>
  <c r="K241" i="5"/>
  <c r="K237" i="5"/>
  <c r="K242" i="5"/>
  <c r="K243" i="5"/>
  <c r="K244" i="5"/>
  <c r="K245" i="5"/>
  <c r="K246" i="5"/>
  <c r="K247" i="5"/>
  <c r="K248" i="5"/>
  <c r="K249" i="5"/>
  <c r="K250" i="5"/>
  <c r="K251" i="5"/>
  <c r="K252" i="5"/>
  <c r="K253" i="5"/>
  <c r="K254" i="5"/>
  <c r="K255" i="5"/>
  <c r="K256" i="5"/>
  <c r="K257" i="5"/>
  <c r="K260" i="5"/>
  <c r="K261" i="5"/>
  <c r="K262" i="5"/>
  <c r="K263" i="5"/>
  <c r="K264" i="5"/>
  <c r="K265" i="5"/>
  <c r="K266" i="5"/>
  <c r="K267" i="5"/>
  <c r="K268" i="5"/>
  <c r="K269" i="5"/>
  <c r="K270" i="5"/>
  <c r="K271" i="5"/>
  <c r="K272" i="5"/>
  <c r="K273" i="5"/>
  <c r="K275" i="5"/>
  <c r="K276" i="5"/>
  <c r="K277" i="5"/>
  <c r="K278" i="5"/>
  <c r="K279" i="5"/>
  <c r="K280" i="5"/>
  <c r="K281" i="5"/>
  <c r="K282" i="5"/>
  <c r="K284" i="5"/>
  <c r="K285" i="5"/>
  <c r="K286" i="5"/>
  <c r="K287" i="5"/>
  <c r="K288" i="5"/>
  <c r="K289" i="5"/>
  <c r="K290" i="5"/>
  <c r="K291" i="5"/>
  <c r="K292" i="5"/>
  <c r="K294" i="5"/>
  <c r="K295" i="5"/>
  <c r="K296" i="5"/>
  <c r="K297" i="5"/>
  <c r="K298" i="5"/>
  <c r="K299" i="5"/>
  <c r="K300" i="5"/>
  <c r="K301" i="5"/>
  <c r="K302" i="5"/>
  <c r="K304" i="5"/>
  <c r="K305" i="5"/>
  <c r="K306" i="5"/>
  <c r="K307" i="5"/>
  <c r="K308" i="5"/>
  <c r="K316" i="5"/>
  <c r="K317" i="5"/>
  <c r="K318" i="5"/>
  <c r="K319" i="5"/>
  <c r="K321" i="5"/>
  <c r="K322" i="5"/>
  <c r="K323" i="5"/>
  <c r="K324" i="5"/>
  <c r="K325" i="5"/>
  <c r="K326" i="5"/>
  <c r="K327" i="5"/>
  <c r="K328" i="5"/>
  <c r="K329" i="5"/>
  <c r="K330" i="5"/>
  <c r="K331" i="5"/>
  <c r="K332" i="5"/>
  <c r="K333" i="5"/>
  <c r="K334" i="5"/>
  <c r="K337" i="5"/>
  <c r="K338" i="5"/>
  <c r="K339" i="5"/>
  <c r="K358" i="5"/>
  <c r="K359" i="5"/>
  <c r="K360" i="5"/>
  <c r="K363" i="5"/>
  <c r="K364" i="5"/>
  <c r="K365" i="5"/>
  <c r="K366" i="5"/>
  <c r="K367" i="5"/>
  <c r="K370" i="5"/>
  <c r="K371" i="5"/>
  <c r="K372" i="5"/>
  <c r="K340" i="5"/>
  <c r="K341" i="5"/>
  <c r="K342" i="5"/>
  <c r="K345" i="5"/>
  <c r="K346" i="5"/>
  <c r="K347" i="5"/>
  <c r="K348" i="5"/>
  <c r="K349" i="5"/>
  <c r="K350" i="5"/>
  <c r="K351" i="5"/>
  <c r="K352" i="5"/>
  <c r="K355" i="5"/>
  <c r="K356" i="5"/>
  <c r="K357" i="5"/>
  <c r="K381" i="5"/>
  <c r="K383" i="5"/>
  <c r="K384" i="5"/>
  <c r="K386" i="5"/>
  <c r="K387" i="5"/>
  <c r="K388" i="5"/>
  <c r="K389" i="5"/>
  <c r="K390" i="5"/>
  <c r="K391" i="5"/>
  <c r="K395" i="5"/>
  <c r="K392" i="5"/>
  <c r="K393" i="5"/>
  <c r="K394" i="5"/>
  <c r="K396" i="5"/>
  <c r="K397" i="5"/>
  <c r="K398" i="5"/>
  <c r="K399" i="5"/>
  <c r="K400" i="5"/>
  <c r="K401" i="5"/>
  <c r="K402" i="5"/>
  <c r="K403" i="5"/>
  <c r="K404" i="5"/>
  <c r="K405" i="5"/>
  <c r="K406" i="5"/>
  <c r="K407" i="5"/>
  <c r="K408" i="5"/>
  <c r="K409" i="5"/>
  <c r="K413" i="5"/>
  <c r="K410" i="5"/>
  <c r="K411" i="5"/>
  <c r="K412" i="5"/>
  <c r="K414" i="5"/>
  <c r="K415" i="5"/>
  <c r="K416" i="5"/>
  <c r="K417" i="5"/>
  <c r="K418" i="5"/>
  <c r="K419" i="5"/>
  <c r="K420" i="5"/>
  <c r="K421" i="5"/>
  <c r="K422" i="5"/>
  <c r="K423" i="5"/>
  <c r="K424" i="5"/>
  <c r="K425" i="5"/>
  <c r="K426" i="5"/>
  <c r="K427" i="5"/>
  <c r="K428" i="5"/>
  <c r="K429" i="5"/>
  <c r="K430" i="5"/>
  <c r="K434" i="5"/>
  <c r="K431" i="5"/>
  <c r="K432" i="5"/>
  <c r="K433" i="5"/>
  <c r="K435" i="5"/>
  <c r="K436" i="5"/>
  <c r="K437" i="5"/>
  <c r="K438" i="5"/>
  <c r="K439" i="5"/>
  <c r="K440" i="5"/>
  <c r="K441" i="5"/>
  <c r="K442" i="5"/>
  <c r="K444" i="5"/>
  <c r="K445" i="5"/>
  <c r="K446" i="5"/>
  <c r="K447" i="5"/>
  <c r="K448" i="5"/>
  <c r="K449" i="5"/>
  <c r="K450" i="5"/>
  <c r="K451" i="5"/>
  <c r="K452" i="5"/>
  <c r="K453" i="5"/>
  <c r="K454" i="5"/>
  <c r="L26" i="6"/>
  <c r="L36" i="6"/>
  <c r="L38" i="6"/>
  <c r="L125" i="6"/>
  <c r="L173" i="6"/>
  <c r="L179" i="6"/>
  <c r="L205" i="6"/>
  <c r="L381" i="6"/>
  <c r="L383" i="6"/>
  <c r="L384" i="6"/>
  <c r="L125" i="7"/>
  <c r="L173" i="7"/>
  <c r="L179" i="7"/>
  <c r="L205" i="7"/>
  <c r="L381" i="7"/>
  <c r="L383" i="7"/>
  <c r="L384" i="7"/>
  <c r="L455" i="7"/>
  <c r="L26" i="7"/>
  <c r="L36" i="7"/>
  <c r="L38" i="7"/>
  <c r="E541" i="19"/>
  <c r="H541" i="19" s="1"/>
  <c r="L541" i="19" s="1"/>
  <c r="E540" i="19"/>
  <c r="H540" i="19" s="1"/>
  <c r="L540" i="19" s="1"/>
  <c r="E539" i="19"/>
  <c r="H539" i="19" s="1"/>
  <c r="L539" i="19" s="1"/>
  <c r="E538" i="19"/>
  <c r="H538" i="19" s="1"/>
  <c r="L538" i="19" s="1"/>
  <c r="E537" i="19"/>
  <c r="H537" i="19" s="1"/>
  <c r="L537" i="19" s="1"/>
  <c r="H547" i="19"/>
  <c r="L547" i="19" s="1"/>
  <c r="E541" i="17"/>
  <c r="H541" i="17" s="1"/>
  <c r="L541" i="17" s="1"/>
  <c r="E540" i="17"/>
  <c r="H540" i="17" s="1"/>
  <c r="L540" i="17" s="1"/>
  <c r="E539" i="17"/>
  <c r="H539" i="17" s="1"/>
  <c r="L539" i="17" s="1"/>
  <c r="E538" i="17"/>
  <c r="H538" i="17" s="1"/>
  <c r="L538" i="17" s="1"/>
  <c r="E537" i="17"/>
  <c r="H537" i="17" s="1"/>
  <c r="L537" i="17" s="1"/>
  <c r="H547" i="17"/>
  <c r="L547" i="17" s="1"/>
  <c r="E541" i="15"/>
  <c r="H541" i="15" s="1"/>
  <c r="L541" i="15" s="1"/>
  <c r="E540" i="15"/>
  <c r="H540" i="15" s="1"/>
  <c r="L540" i="15" s="1"/>
  <c r="E539" i="15"/>
  <c r="H539" i="15" s="1"/>
  <c r="L539" i="15" s="1"/>
  <c r="E538" i="15"/>
  <c r="H538" i="15" s="1"/>
  <c r="L538" i="15" s="1"/>
  <c r="E537" i="15"/>
  <c r="H537" i="15" s="1"/>
  <c r="L537" i="15" s="1"/>
  <c r="L547" i="15"/>
  <c r="E541" i="14"/>
  <c r="H541" i="14" s="1"/>
  <c r="L541" i="14" s="1"/>
  <c r="E540" i="14"/>
  <c r="H540" i="14" s="1"/>
  <c r="L540" i="14" s="1"/>
  <c r="E539" i="14"/>
  <c r="H539" i="14" s="1"/>
  <c r="L539" i="14" s="1"/>
  <c r="E538" i="14"/>
  <c r="H538" i="14" s="1"/>
  <c r="L538" i="14" s="1"/>
  <c r="E537" i="14"/>
  <c r="H537" i="14" s="1"/>
  <c r="L537" i="14" s="1"/>
  <c r="E178" i="19"/>
  <c r="E177" i="19"/>
  <c r="E176" i="19"/>
  <c r="E175" i="19"/>
  <c r="D382" i="19"/>
  <c r="D206" i="19"/>
  <c r="D180" i="19"/>
  <c r="D174" i="19"/>
  <c r="D168" i="19"/>
  <c r="D126" i="19"/>
  <c r="D39" i="19"/>
  <c r="D37" i="19"/>
  <c r="D32" i="19"/>
  <c r="D27" i="19"/>
  <c r="E40" i="19"/>
  <c r="H40" i="19" s="1"/>
  <c r="E41" i="19"/>
  <c r="H41" i="19" s="1"/>
  <c r="E42" i="19"/>
  <c r="H42" i="19" s="1"/>
  <c r="E43" i="19"/>
  <c r="H43" i="19" s="1"/>
  <c r="E44" i="19"/>
  <c r="H44" i="19" s="1"/>
  <c r="E45" i="19"/>
  <c r="H45" i="19" s="1"/>
  <c r="E46" i="19"/>
  <c r="H46" i="19" s="1"/>
  <c r="E47" i="19"/>
  <c r="H47" i="19" s="1"/>
  <c r="E48" i="19"/>
  <c r="H48" i="19" s="1"/>
  <c r="E49" i="19"/>
  <c r="H49" i="19" s="1"/>
  <c r="E50" i="19"/>
  <c r="H50" i="19" s="1"/>
  <c r="E51" i="19"/>
  <c r="H51" i="19" s="1"/>
  <c r="E52" i="19"/>
  <c r="H52" i="19" s="1"/>
  <c r="E53" i="19"/>
  <c r="H53" i="19" s="1"/>
  <c r="E54" i="19"/>
  <c r="H54" i="19" s="1"/>
  <c r="E55" i="19"/>
  <c r="H55" i="19" s="1"/>
  <c r="E56" i="19"/>
  <c r="H56" i="19" s="1"/>
  <c r="F58" i="19"/>
  <c r="H58" i="19" s="1"/>
  <c r="F59" i="19"/>
  <c r="H59" i="19" s="1"/>
  <c r="F61" i="19"/>
  <c r="H61" i="19" s="1"/>
  <c r="F62" i="19"/>
  <c r="H62" i="19" s="1"/>
  <c r="F63" i="19"/>
  <c r="H63" i="19" s="1"/>
  <c r="F64" i="19"/>
  <c r="H64" i="19" s="1"/>
  <c r="F65" i="19"/>
  <c r="H65" i="19" s="1"/>
  <c r="F67" i="19"/>
  <c r="H67" i="19" s="1"/>
  <c r="F68" i="19"/>
  <c r="H68" i="19" s="1"/>
  <c r="F69" i="19"/>
  <c r="H69" i="19" s="1"/>
  <c r="F70" i="19"/>
  <c r="H70" i="19" s="1"/>
  <c r="F71" i="19"/>
  <c r="H71" i="19" s="1"/>
  <c r="F72" i="19"/>
  <c r="H72" i="19" s="1"/>
  <c r="F73" i="19"/>
  <c r="H73" i="19" s="1"/>
  <c r="F74" i="19"/>
  <c r="H74" i="19" s="1"/>
  <c r="F75" i="19"/>
  <c r="H75" i="19" s="1"/>
  <c r="F76" i="19"/>
  <c r="H76" i="19" s="1"/>
  <c r="F77" i="19"/>
  <c r="H77" i="19" s="1"/>
  <c r="F78" i="19"/>
  <c r="H78" i="19" s="1"/>
  <c r="F79" i="19"/>
  <c r="H79" i="19" s="1"/>
  <c r="F80" i="19"/>
  <c r="H80" i="19" s="1"/>
  <c r="F81" i="19"/>
  <c r="H81" i="19" s="1"/>
  <c r="F82" i="19"/>
  <c r="H82" i="19" s="1"/>
  <c r="F84" i="19"/>
  <c r="H84" i="19" s="1"/>
  <c r="F85" i="19"/>
  <c r="H85" i="19" s="1"/>
  <c r="F86" i="19"/>
  <c r="H86" i="19" s="1"/>
  <c r="F87" i="19"/>
  <c r="H87" i="19" s="1"/>
  <c r="F88" i="19"/>
  <c r="H88" i="19" s="1"/>
  <c r="F89" i="19"/>
  <c r="H89" i="19" s="1"/>
  <c r="F90" i="19"/>
  <c r="H90" i="19" s="1"/>
  <c r="F92" i="19"/>
  <c r="H92" i="19" s="1"/>
  <c r="F93" i="19"/>
  <c r="H93" i="19" s="1"/>
  <c r="F94" i="19"/>
  <c r="H94" i="19" s="1"/>
  <c r="F95" i="19"/>
  <c r="H95" i="19" s="1"/>
  <c r="F97" i="19"/>
  <c r="H97" i="19" s="1"/>
  <c r="F98" i="19"/>
  <c r="H98" i="19" s="1"/>
  <c r="F99" i="19"/>
  <c r="H99" i="19" s="1"/>
  <c r="F100" i="19"/>
  <c r="H100" i="19" s="1"/>
  <c r="F102" i="19"/>
  <c r="H102" i="19" s="1"/>
  <c r="F103" i="19"/>
  <c r="H103" i="19" s="1"/>
  <c r="F104" i="19"/>
  <c r="H104" i="19" s="1"/>
  <c r="F105" i="19"/>
  <c r="H105" i="19" s="1"/>
  <c r="F106" i="19"/>
  <c r="H106" i="19" s="1"/>
  <c r="F107" i="19"/>
  <c r="H107" i="19" s="1"/>
  <c r="F108" i="19"/>
  <c r="H108" i="19" s="1"/>
  <c r="F116" i="19"/>
  <c r="H116" i="19" s="1"/>
  <c r="F117" i="19"/>
  <c r="H117" i="19" s="1"/>
  <c r="F119" i="19"/>
  <c r="H119" i="19" s="1"/>
  <c r="F120" i="19"/>
  <c r="H120" i="19" s="1"/>
  <c r="F109" i="19"/>
  <c r="H109" i="19" s="1"/>
  <c r="F111" i="19"/>
  <c r="H111" i="19" s="1"/>
  <c r="F112" i="19"/>
  <c r="H112" i="19" s="1"/>
  <c r="F113" i="19"/>
  <c r="H113" i="19" s="1"/>
  <c r="F114" i="19"/>
  <c r="H114" i="19" s="1"/>
  <c r="F122" i="19"/>
  <c r="H122" i="19" s="1"/>
  <c r="F123" i="19"/>
  <c r="H123" i="19" s="1"/>
  <c r="F124" i="19"/>
  <c r="H124" i="19" s="1"/>
  <c r="E127" i="19"/>
  <c r="H127" i="19" s="1"/>
  <c r="E128" i="19"/>
  <c r="H128" i="19" s="1"/>
  <c r="E129" i="19"/>
  <c r="H129" i="19" s="1"/>
  <c r="E130" i="19"/>
  <c r="H130" i="19" s="1"/>
  <c r="E131" i="19"/>
  <c r="H131" i="19" s="1"/>
  <c r="E132" i="19"/>
  <c r="H132" i="19" s="1"/>
  <c r="E133" i="19"/>
  <c r="H133" i="19" s="1"/>
  <c r="E135" i="19"/>
  <c r="H135" i="19" s="1"/>
  <c r="E136" i="19"/>
  <c r="H136" i="19" s="1"/>
  <c r="E137" i="19"/>
  <c r="H137" i="19" s="1"/>
  <c r="E138" i="19"/>
  <c r="H138" i="19" s="1"/>
  <c r="E139" i="19"/>
  <c r="H139" i="19" s="1"/>
  <c r="E140" i="19"/>
  <c r="H140" i="19" s="1"/>
  <c r="E141" i="19"/>
  <c r="H141" i="19" s="1"/>
  <c r="E142" i="19"/>
  <c r="H142" i="19" s="1"/>
  <c r="E143" i="19"/>
  <c r="H143" i="19" s="1"/>
  <c r="E144" i="19"/>
  <c r="H144" i="19" s="1"/>
  <c r="E146" i="19"/>
  <c r="H146" i="19" s="1"/>
  <c r="E147" i="19"/>
  <c r="H147" i="19" s="1"/>
  <c r="E148" i="19"/>
  <c r="H148" i="19" s="1"/>
  <c r="E149" i="19"/>
  <c r="H149" i="19" s="1"/>
  <c r="E150" i="19"/>
  <c r="H150" i="19" s="1"/>
  <c r="E151" i="19"/>
  <c r="H151" i="19" s="1"/>
  <c r="E152" i="19"/>
  <c r="H152" i="19" s="1"/>
  <c r="E153" i="19"/>
  <c r="H153" i="19" s="1"/>
  <c r="E154" i="19"/>
  <c r="H154" i="19" s="1"/>
  <c r="E155" i="19"/>
  <c r="H155" i="19" s="1"/>
  <c r="E156" i="19"/>
  <c r="H156" i="19" s="1"/>
  <c r="E157" i="19"/>
  <c r="H157" i="19" s="1"/>
  <c r="E158" i="19"/>
  <c r="H158" i="19" s="1"/>
  <c r="E159" i="19"/>
  <c r="H159" i="19" s="1"/>
  <c r="E145" i="19"/>
  <c r="H145" i="19" s="1"/>
  <c r="E160" i="19"/>
  <c r="H160" i="19" s="1"/>
  <c r="E161" i="19"/>
  <c r="H161" i="19" s="1"/>
  <c r="E162" i="19"/>
  <c r="H162" i="19" s="1"/>
  <c r="E163" i="19"/>
  <c r="H163" i="19" s="1"/>
  <c r="E164" i="19"/>
  <c r="H164" i="19" s="1"/>
  <c r="E165" i="19"/>
  <c r="H165" i="19" s="1"/>
  <c r="E166" i="19"/>
  <c r="H166" i="19" s="1"/>
  <c r="E181" i="19"/>
  <c r="E182" i="19"/>
  <c r="E183" i="19"/>
  <c r="E184" i="19"/>
  <c r="E185" i="19"/>
  <c r="E187" i="19"/>
  <c r="E188" i="19"/>
  <c r="E190" i="19"/>
  <c r="E191" i="19"/>
  <c r="E192" i="19"/>
  <c r="E193" i="19"/>
  <c r="E194" i="19"/>
  <c r="E195" i="19"/>
  <c r="E196" i="19"/>
  <c r="E186" i="19"/>
  <c r="E189" i="19"/>
  <c r="E197" i="19"/>
  <c r="E198" i="19"/>
  <c r="E199" i="19"/>
  <c r="E200" i="19"/>
  <c r="E201" i="19"/>
  <c r="E202" i="19"/>
  <c r="E203" i="19"/>
  <c r="E204" i="19"/>
  <c r="F207" i="19"/>
  <c r="H207" i="19" s="1"/>
  <c r="F208" i="19"/>
  <c r="H208" i="19" s="1"/>
  <c r="F209" i="19"/>
  <c r="H209" i="19" s="1"/>
  <c r="F210" i="19"/>
  <c r="H210" i="19" s="1"/>
  <c r="E218" i="19"/>
  <c r="H218" i="19" s="1"/>
  <c r="F222" i="19"/>
  <c r="H222" i="19" s="1"/>
  <c r="F223" i="19"/>
  <c r="H223" i="19" s="1"/>
  <c r="F225" i="19"/>
  <c r="H225" i="19" s="1"/>
  <c r="F226" i="19"/>
  <c r="H226" i="19" s="1"/>
  <c r="F224" i="19"/>
  <c r="H224" i="19" s="1"/>
  <c r="F227" i="19"/>
  <c r="H227" i="19" s="1"/>
  <c r="F229" i="19"/>
  <c r="H229" i="19" s="1"/>
  <c r="F230" i="19"/>
  <c r="H230" i="19" s="1"/>
  <c r="F219" i="19"/>
  <c r="H219" i="19" s="1"/>
  <c r="F220" i="19"/>
  <c r="H220" i="19" s="1"/>
  <c r="E231" i="19"/>
  <c r="H231" i="19" s="1"/>
  <c r="F232" i="19"/>
  <c r="H232" i="19" s="1"/>
  <c r="F233" i="19"/>
  <c r="H233" i="19" s="1"/>
  <c r="F235" i="19"/>
  <c r="H235" i="19" s="1"/>
  <c r="F238" i="19"/>
  <c r="H238" i="19" s="1"/>
  <c r="F239" i="19"/>
  <c r="H239" i="19" s="1"/>
  <c r="F240" i="19"/>
  <c r="H240" i="19" s="1"/>
  <c r="F241" i="19"/>
  <c r="H241" i="19" s="1"/>
  <c r="F237" i="19"/>
  <c r="H237" i="19" s="1"/>
  <c r="F242" i="19"/>
  <c r="H242" i="19" s="1"/>
  <c r="F243" i="19"/>
  <c r="H243" i="19" s="1"/>
  <c r="F244" i="19"/>
  <c r="H244" i="19" s="1"/>
  <c r="F245" i="19"/>
  <c r="H245" i="19" s="1"/>
  <c r="F246" i="19"/>
  <c r="H246" i="19" s="1"/>
  <c r="F247" i="19"/>
  <c r="H247" i="19" s="1"/>
  <c r="F248" i="19"/>
  <c r="H248" i="19" s="1"/>
  <c r="F249" i="19"/>
  <c r="H249" i="19" s="1"/>
  <c r="F250" i="19"/>
  <c r="H250" i="19" s="1"/>
  <c r="F251" i="19"/>
  <c r="H251" i="19" s="1"/>
  <c r="F252" i="19"/>
  <c r="H252" i="19" s="1"/>
  <c r="F253" i="19"/>
  <c r="H253" i="19" s="1"/>
  <c r="F254" i="19"/>
  <c r="H254" i="19" s="1"/>
  <c r="F255" i="19"/>
  <c r="F256" i="19"/>
  <c r="H256" i="19" s="1"/>
  <c r="F257" i="19"/>
  <c r="H257" i="19" s="1"/>
  <c r="F260" i="19"/>
  <c r="H260" i="19" s="1"/>
  <c r="F261" i="19"/>
  <c r="H261" i="19" s="1"/>
  <c r="F262" i="19"/>
  <c r="H262" i="19" s="1"/>
  <c r="F263" i="19"/>
  <c r="H263" i="19" s="1"/>
  <c r="F264" i="19"/>
  <c r="H264" i="19" s="1"/>
  <c r="F265" i="19"/>
  <c r="H265" i="19" s="1"/>
  <c r="F266" i="19"/>
  <c r="H266" i="19" s="1"/>
  <c r="F267" i="19"/>
  <c r="H267" i="19" s="1"/>
  <c r="F268" i="19"/>
  <c r="H268" i="19" s="1"/>
  <c r="F269" i="19"/>
  <c r="H269" i="19" s="1"/>
  <c r="E270" i="19"/>
  <c r="H270" i="19" s="1"/>
  <c r="F271" i="19"/>
  <c r="H271" i="19" s="1"/>
  <c r="F272" i="19"/>
  <c r="H272" i="19" s="1"/>
  <c r="F275" i="19"/>
  <c r="H275" i="19" s="1"/>
  <c r="F276" i="19"/>
  <c r="H276" i="19" s="1"/>
  <c r="F277" i="19"/>
  <c r="H277" i="19" s="1"/>
  <c r="F278" i="19"/>
  <c r="H278" i="19" s="1"/>
  <c r="E279" i="19"/>
  <c r="H279" i="19" s="1"/>
  <c r="F280" i="19"/>
  <c r="H280" i="19" s="1"/>
  <c r="F281" i="19"/>
  <c r="H281" i="19" s="1"/>
  <c r="F282" i="19"/>
  <c r="H282" i="19" s="1"/>
  <c r="F284" i="19"/>
  <c r="H284" i="19" s="1"/>
  <c r="F285" i="19"/>
  <c r="H285" i="19" s="1"/>
  <c r="F286" i="19"/>
  <c r="H286" i="19" s="1"/>
  <c r="F287" i="19"/>
  <c r="H287" i="19" s="1"/>
  <c r="F288" i="19"/>
  <c r="H288" i="19" s="1"/>
  <c r="E289" i="19"/>
  <c r="H289" i="19" s="1"/>
  <c r="F290" i="19"/>
  <c r="H290" i="19" s="1"/>
  <c r="F291" i="19"/>
  <c r="H291" i="19" s="1"/>
  <c r="F292" i="19"/>
  <c r="H292" i="19" s="1"/>
  <c r="F294" i="19"/>
  <c r="H294" i="19" s="1"/>
  <c r="F295" i="19"/>
  <c r="H295" i="19" s="1"/>
  <c r="F296" i="19"/>
  <c r="H296" i="19" s="1"/>
  <c r="F297" i="19"/>
  <c r="H297" i="19" s="1"/>
  <c r="F298" i="19"/>
  <c r="H298" i="19" s="1"/>
  <c r="E299" i="19"/>
  <c r="H299" i="19" s="1"/>
  <c r="F300" i="19"/>
  <c r="H300" i="19" s="1"/>
  <c r="F301" i="19"/>
  <c r="H301" i="19" s="1"/>
  <c r="F302" i="19"/>
  <c r="H302" i="19" s="1"/>
  <c r="F304" i="19"/>
  <c r="H304" i="19" s="1"/>
  <c r="F305" i="19"/>
  <c r="H305" i="19" s="1"/>
  <c r="F306" i="19"/>
  <c r="H306" i="19" s="1"/>
  <c r="F307" i="19"/>
  <c r="H307" i="19" s="1"/>
  <c r="F308" i="19"/>
  <c r="H308" i="19" s="1"/>
  <c r="E316" i="19"/>
  <c r="H316" i="19" s="1"/>
  <c r="F317" i="19"/>
  <c r="H317" i="19" s="1"/>
  <c r="F318" i="19"/>
  <c r="H318" i="19" s="1"/>
  <c r="F319" i="19"/>
  <c r="H319" i="19" s="1"/>
  <c r="F321" i="19"/>
  <c r="H321" i="19" s="1"/>
  <c r="F322" i="19"/>
  <c r="H322" i="19" s="1"/>
  <c r="F323" i="19"/>
  <c r="H323" i="19" s="1"/>
  <c r="F324" i="19"/>
  <c r="H324" i="19" s="1"/>
  <c r="F325" i="19"/>
  <c r="H325" i="19" s="1"/>
  <c r="F326" i="19"/>
  <c r="H326" i="19" s="1"/>
  <c r="F327" i="19"/>
  <c r="H327" i="19" s="1"/>
  <c r="F328" i="19"/>
  <c r="H328" i="19" s="1"/>
  <c r="F329" i="19"/>
  <c r="H329" i="19" s="1"/>
  <c r="F330" i="19"/>
  <c r="H330" i="19" s="1"/>
  <c r="F331" i="19"/>
  <c r="H331" i="19" s="1"/>
  <c r="E332" i="19"/>
  <c r="H332" i="19" s="1"/>
  <c r="F333" i="19"/>
  <c r="H333" i="19" s="1"/>
  <c r="F334" i="19"/>
  <c r="H334" i="19" s="1"/>
  <c r="F337" i="19"/>
  <c r="H337" i="19" s="1"/>
  <c r="F338" i="19"/>
  <c r="H338" i="19" s="1"/>
  <c r="F339" i="19"/>
  <c r="H339" i="19" s="1"/>
  <c r="E358" i="19"/>
  <c r="H358" i="19" s="1"/>
  <c r="F359" i="19"/>
  <c r="H359" i="19" s="1"/>
  <c r="F360" i="19"/>
  <c r="H360" i="19" s="1"/>
  <c r="F363" i="19"/>
  <c r="H363" i="19" s="1"/>
  <c r="F364" i="19"/>
  <c r="H364" i="19" s="1"/>
  <c r="F365" i="19"/>
  <c r="H365" i="19" s="1"/>
  <c r="F366" i="19"/>
  <c r="H366" i="19" s="1"/>
  <c r="E367" i="19"/>
  <c r="H367" i="19" s="1"/>
  <c r="F370" i="19"/>
  <c r="H370" i="19" s="1"/>
  <c r="F371" i="19"/>
  <c r="H371" i="19" s="1"/>
  <c r="F372" i="19"/>
  <c r="H372" i="19" s="1"/>
  <c r="E340" i="19"/>
  <c r="H340" i="19" s="1"/>
  <c r="F341" i="19"/>
  <c r="H341" i="19" s="1"/>
  <c r="F342" i="19"/>
  <c r="H342" i="19" s="1"/>
  <c r="F345" i="19"/>
  <c r="H345" i="19" s="1"/>
  <c r="F346" i="19"/>
  <c r="H346" i="19" s="1"/>
  <c r="F347" i="19"/>
  <c r="H347" i="19" s="1"/>
  <c r="F348" i="19"/>
  <c r="H348" i="19" s="1"/>
  <c r="F349" i="19"/>
  <c r="H349" i="19" s="1"/>
  <c r="E350" i="19"/>
  <c r="H350" i="19" s="1"/>
  <c r="F351" i="19"/>
  <c r="H351" i="19" s="1"/>
  <c r="F352" i="19"/>
  <c r="H352" i="19" s="1"/>
  <c r="F355" i="19"/>
  <c r="H355" i="19" s="1"/>
  <c r="F356" i="19"/>
  <c r="H356" i="19" s="1"/>
  <c r="F357" i="19"/>
  <c r="H357" i="19" s="1"/>
  <c r="D385" i="19"/>
  <c r="E386" i="19"/>
  <c r="H386" i="19" s="1"/>
  <c r="L386" i="19" s="1"/>
  <c r="E387" i="19"/>
  <c r="H387" i="19" s="1"/>
  <c r="L387" i="19" s="1"/>
  <c r="E388" i="19"/>
  <c r="H388" i="19" s="1"/>
  <c r="L388" i="19" s="1"/>
  <c r="E389" i="19"/>
  <c r="H389" i="19" s="1"/>
  <c r="L389" i="19" s="1"/>
  <c r="E390" i="19"/>
  <c r="H390" i="19" s="1"/>
  <c r="L390" i="19" s="1"/>
  <c r="E391" i="19"/>
  <c r="H391" i="19" s="1"/>
  <c r="L391" i="19" s="1"/>
  <c r="E392" i="19"/>
  <c r="H392" i="19" s="1"/>
  <c r="L392" i="19" s="1"/>
  <c r="E393" i="19"/>
  <c r="H393" i="19" s="1"/>
  <c r="L393" i="19" s="1"/>
  <c r="E394" i="19"/>
  <c r="H394" i="19" s="1"/>
  <c r="L394" i="19" s="1"/>
  <c r="E395" i="19"/>
  <c r="H395" i="19" s="1"/>
  <c r="L395" i="19" s="1"/>
  <c r="E396" i="19"/>
  <c r="H396" i="19" s="1"/>
  <c r="L396" i="19" s="1"/>
  <c r="E397" i="19"/>
  <c r="H397" i="19" s="1"/>
  <c r="L397" i="19" s="1"/>
  <c r="E398" i="19"/>
  <c r="H398" i="19" s="1"/>
  <c r="L398" i="19" s="1"/>
  <c r="E399" i="19"/>
  <c r="H399" i="19" s="1"/>
  <c r="L399" i="19" s="1"/>
  <c r="E400" i="19"/>
  <c r="H400" i="19" s="1"/>
  <c r="L400" i="19" s="1"/>
  <c r="E401" i="19"/>
  <c r="H401" i="19" s="1"/>
  <c r="L401" i="19" s="1"/>
  <c r="E402" i="19"/>
  <c r="H402" i="19" s="1"/>
  <c r="L402" i="19" s="1"/>
  <c r="E403" i="19"/>
  <c r="H403" i="19" s="1"/>
  <c r="L403" i="19" s="1"/>
  <c r="E404" i="19"/>
  <c r="H404" i="19" s="1"/>
  <c r="L404" i="19" s="1"/>
  <c r="E405" i="19"/>
  <c r="H405" i="19" s="1"/>
  <c r="L405" i="19" s="1"/>
  <c r="E406" i="19"/>
  <c r="H406" i="19" s="1"/>
  <c r="L406" i="19" s="1"/>
  <c r="E407" i="19"/>
  <c r="H407" i="19" s="1"/>
  <c r="L407" i="19" s="1"/>
  <c r="E408" i="19"/>
  <c r="H408" i="19" s="1"/>
  <c r="L408" i="19" s="1"/>
  <c r="E409" i="19"/>
  <c r="H409" i="19" s="1"/>
  <c r="L409" i="19" s="1"/>
  <c r="E410" i="19"/>
  <c r="H410" i="19" s="1"/>
  <c r="L410" i="19" s="1"/>
  <c r="E411" i="19"/>
  <c r="H411" i="19" s="1"/>
  <c r="L411" i="19" s="1"/>
  <c r="E412" i="19"/>
  <c r="H412" i="19" s="1"/>
  <c r="L412" i="19" s="1"/>
  <c r="E413" i="19"/>
  <c r="H413" i="19" s="1"/>
  <c r="L413" i="19" s="1"/>
  <c r="E414" i="19"/>
  <c r="H414" i="19" s="1"/>
  <c r="L414" i="19" s="1"/>
  <c r="E415" i="19"/>
  <c r="H415" i="19" s="1"/>
  <c r="L415" i="19" s="1"/>
  <c r="E416" i="19"/>
  <c r="H416" i="19" s="1"/>
  <c r="L416" i="19" s="1"/>
  <c r="E417" i="19"/>
  <c r="H417" i="19" s="1"/>
  <c r="L417" i="19" s="1"/>
  <c r="E418" i="19"/>
  <c r="H418" i="19" s="1"/>
  <c r="L418" i="19" s="1"/>
  <c r="E419" i="19"/>
  <c r="H419" i="19" s="1"/>
  <c r="L419" i="19" s="1"/>
  <c r="E420" i="19"/>
  <c r="H420" i="19" s="1"/>
  <c r="L420" i="19" s="1"/>
  <c r="E421" i="19"/>
  <c r="H421" i="19" s="1"/>
  <c r="L421" i="19" s="1"/>
  <c r="E422" i="19"/>
  <c r="H422" i="19" s="1"/>
  <c r="L422" i="19" s="1"/>
  <c r="E423" i="19"/>
  <c r="H423" i="19" s="1"/>
  <c r="L423" i="19" s="1"/>
  <c r="E424" i="19"/>
  <c r="H424" i="19" s="1"/>
  <c r="L424" i="19" s="1"/>
  <c r="E425" i="19"/>
  <c r="H425" i="19" s="1"/>
  <c r="L425" i="19" s="1"/>
  <c r="E426" i="19"/>
  <c r="H426" i="19" s="1"/>
  <c r="L426" i="19" s="1"/>
  <c r="E427" i="19"/>
  <c r="H427" i="19" s="1"/>
  <c r="L427" i="19" s="1"/>
  <c r="E428" i="19"/>
  <c r="H428" i="19" s="1"/>
  <c r="L428" i="19" s="1"/>
  <c r="E429" i="19"/>
  <c r="H429" i="19" s="1"/>
  <c r="L429" i="19" s="1"/>
  <c r="E430" i="19"/>
  <c r="H430" i="19" s="1"/>
  <c r="L430" i="19" s="1"/>
  <c r="E431" i="19"/>
  <c r="H431" i="19" s="1"/>
  <c r="L431" i="19" s="1"/>
  <c r="E432" i="19"/>
  <c r="H432" i="19" s="1"/>
  <c r="L432" i="19" s="1"/>
  <c r="E433" i="19"/>
  <c r="H433" i="19" s="1"/>
  <c r="L433" i="19" s="1"/>
  <c r="E434" i="19"/>
  <c r="H434" i="19" s="1"/>
  <c r="L434" i="19" s="1"/>
  <c r="E435" i="19"/>
  <c r="H435" i="19" s="1"/>
  <c r="L435" i="19" s="1"/>
  <c r="E436" i="19"/>
  <c r="H436" i="19" s="1"/>
  <c r="L436" i="19" s="1"/>
  <c r="E437" i="19"/>
  <c r="H437" i="19" s="1"/>
  <c r="L437" i="19" s="1"/>
  <c r="E438" i="19"/>
  <c r="H438" i="19" s="1"/>
  <c r="L438" i="19" s="1"/>
  <c r="E439" i="19"/>
  <c r="H439" i="19" s="1"/>
  <c r="L439" i="19" s="1"/>
  <c r="E440" i="19"/>
  <c r="H440" i="19" s="1"/>
  <c r="L440" i="19" s="1"/>
  <c r="D25" i="19"/>
  <c r="A572" i="17"/>
  <c r="K572" i="17" s="1"/>
  <c r="H440" i="17"/>
  <c r="L440" i="17" s="1"/>
  <c r="H439" i="17"/>
  <c r="L439" i="17" s="1"/>
  <c r="H438" i="17"/>
  <c r="L438" i="17" s="1"/>
  <c r="H437" i="17"/>
  <c r="L437" i="17" s="1"/>
  <c r="H436" i="17"/>
  <c r="L436" i="17" s="1"/>
  <c r="H435" i="17"/>
  <c r="L435" i="17" s="1"/>
  <c r="H434" i="17"/>
  <c r="L434" i="17" s="1"/>
  <c r="H433" i="17"/>
  <c r="L433" i="17" s="1"/>
  <c r="H432" i="17"/>
  <c r="L432" i="17" s="1"/>
  <c r="H431" i="17"/>
  <c r="L431" i="17" s="1"/>
  <c r="H430" i="17"/>
  <c r="L430" i="17" s="1"/>
  <c r="H429" i="17"/>
  <c r="L429" i="17" s="1"/>
  <c r="H428" i="17"/>
  <c r="L428" i="17" s="1"/>
  <c r="H427" i="17"/>
  <c r="L427" i="17" s="1"/>
  <c r="H426" i="17"/>
  <c r="L426" i="17" s="1"/>
  <c r="H425" i="17"/>
  <c r="L425" i="17" s="1"/>
  <c r="H424" i="17"/>
  <c r="L424" i="17" s="1"/>
  <c r="H423" i="17"/>
  <c r="L423" i="17" s="1"/>
  <c r="H422" i="17"/>
  <c r="L422" i="17" s="1"/>
  <c r="H421" i="17"/>
  <c r="L421" i="17" s="1"/>
  <c r="H420" i="17"/>
  <c r="L420" i="17" s="1"/>
  <c r="H419" i="17"/>
  <c r="L419" i="17" s="1"/>
  <c r="H418" i="17"/>
  <c r="L418" i="17" s="1"/>
  <c r="H417" i="17"/>
  <c r="L417" i="17" s="1"/>
  <c r="H416" i="17"/>
  <c r="L416" i="17" s="1"/>
  <c r="H415" i="17"/>
  <c r="L415" i="17" s="1"/>
  <c r="H414" i="17"/>
  <c r="L414" i="17" s="1"/>
  <c r="H413" i="17"/>
  <c r="L413" i="17" s="1"/>
  <c r="H412" i="17"/>
  <c r="L412" i="17" s="1"/>
  <c r="H411" i="17"/>
  <c r="L411" i="17" s="1"/>
  <c r="H410" i="17"/>
  <c r="L410" i="17" s="1"/>
  <c r="H409" i="17"/>
  <c r="L409" i="17" s="1"/>
  <c r="H408" i="17"/>
  <c r="L408" i="17" s="1"/>
  <c r="H407" i="17"/>
  <c r="L407" i="17" s="1"/>
  <c r="H406" i="17"/>
  <c r="L406" i="17" s="1"/>
  <c r="H405" i="17"/>
  <c r="L405" i="17" s="1"/>
  <c r="H404" i="17"/>
  <c r="L404" i="17" s="1"/>
  <c r="H403" i="17"/>
  <c r="L403" i="17" s="1"/>
  <c r="H402" i="17"/>
  <c r="L402" i="17" s="1"/>
  <c r="H401" i="17"/>
  <c r="L401" i="17" s="1"/>
  <c r="H400" i="17"/>
  <c r="L400" i="17" s="1"/>
  <c r="H399" i="17"/>
  <c r="L399" i="17" s="1"/>
  <c r="H398" i="17"/>
  <c r="L398" i="17" s="1"/>
  <c r="H397" i="17"/>
  <c r="L397" i="17" s="1"/>
  <c r="H396" i="17"/>
  <c r="L396" i="17" s="1"/>
  <c r="H395" i="17"/>
  <c r="L395" i="17" s="1"/>
  <c r="H394" i="17"/>
  <c r="L394" i="17" s="1"/>
  <c r="H393" i="17"/>
  <c r="L393" i="17" s="1"/>
  <c r="H392" i="17"/>
  <c r="L392" i="17" s="1"/>
  <c r="H391" i="17"/>
  <c r="L391" i="17" s="1"/>
  <c r="H390" i="17"/>
  <c r="L390" i="17" s="1"/>
  <c r="H389" i="17"/>
  <c r="L389" i="17" s="1"/>
  <c r="H388" i="17"/>
  <c r="L388" i="17" s="1"/>
  <c r="H387" i="17"/>
  <c r="L387" i="17" s="1"/>
  <c r="H386" i="17"/>
  <c r="L386" i="17" s="1"/>
  <c r="H440" i="15"/>
  <c r="L440" i="15" s="1"/>
  <c r="H439" i="15"/>
  <c r="L439" i="15" s="1"/>
  <c r="H438" i="15"/>
  <c r="L438" i="15" s="1"/>
  <c r="H437" i="15"/>
  <c r="L437" i="15" s="1"/>
  <c r="H436" i="15"/>
  <c r="L436" i="15" s="1"/>
  <c r="H435" i="15"/>
  <c r="L435" i="15" s="1"/>
  <c r="H434" i="15"/>
  <c r="L434" i="15" s="1"/>
  <c r="H433" i="15"/>
  <c r="L433" i="15" s="1"/>
  <c r="H432" i="15"/>
  <c r="L432" i="15" s="1"/>
  <c r="H431" i="15"/>
  <c r="L431" i="15" s="1"/>
  <c r="H430" i="15"/>
  <c r="L430" i="15" s="1"/>
  <c r="H429" i="15"/>
  <c r="L429" i="15" s="1"/>
  <c r="H428" i="15"/>
  <c r="L428" i="15" s="1"/>
  <c r="H427" i="15"/>
  <c r="L427" i="15" s="1"/>
  <c r="H426" i="15"/>
  <c r="L426" i="15" s="1"/>
  <c r="H425" i="15"/>
  <c r="L425" i="15" s="1"/>
  <c r="H424" i="15"/>
  <c r="L424" i="15" s="1"/>
  <c r="H423" i="15"/>
  <c r="L423" i="15" s="1"/>
  <c r="H422" i="15"/>
  <c r="L422" i="15" s="1"/>
  <c r="H421" i="15"/>
  <c r="L421" i="15" s="1"/>
  <c r="H420" i="15"/>
  <c r="L420" i="15" s="1"/>
  <c r="H419" i="15"/>
  <c r="L419" i="15" s="1"/>
  <c r="H418" i="15"/>
  <c r="L418" i="15" s="1"/>
  <c r="H417" i="15"/>
  <c r="L417" i="15" s="1"/>
  <c r="H416" i="15"/>
  <c r="L416" i="15" s="1"/>
  <c r="H415" i="15"/>
  <c r="L415" i="15" s="1"/>
  <c r="H414" i="15"/>
  <c r="L414" i="15" s="1"/>
  <c r="H413" i="15"/>
  <c r="L413" i="15" s="1"/>
  <c r="H412" i="15"/>
  <c r="L412" i="15" s="1"/>
  <c r="H411" i="15"/>
  <c r="L411" i="15" s="1"/>
  <c r="H410" i="15"/>
  <c r="L410" i="15" s="1"/>
  <c r="H409" i="15"/>
  <c r="L409" i="15" s="1"/>
  <c r="H408" i="15"/>
  <c r="L408" i="15" s="1"/>
  <c r="H407" i="15"/>
  <c r="L407" i="15" s="1"/>
  <c r="H406" i="15"/>
  <c r="L406" i="15" s="1"/>
  <c r="H405" i="15"/>
  <c r="L405" i="15" s="1"/>
  <c r="H404" i="15"/>
  <c r="L404" i="15" s="1"/>
  <c r="H403" i="15"/>
  <c r="L403" i="15" s="1"/>
  <c r="H402" i="15"/>
  <c r="L402" i="15" s="1"/>
  <c r="H401" i="15"/>
  <c r="L401" i="15" s="1"/>
  <c r="H400" i="15"/>
  <c r="L400" i="15" s="1"/>
  <c r="H399" i="15"/>
  <c r="L399" i="15" s="1"/>
  <c r="H398" i="15"/>
  <c r="L398" i="15" s="1"/>
  <c r="H397" i="15"/>
  <c r="L397" i="15" s="1"/>
  <c r="H396" i="15"/>
  <c r="L396" i="15" s="1"/>
  <c r="H395" i="15"/>
  <c r="L395" i="15" s="1"/>
  <c r="H394" i="15"/>
  <c r="L394" i="15" s="1"/>
  <c r="H393" i="15"/>
  <c r="L393" i="15" s="1"/>
  <c r="H392" i="15"/>
  <c r="L392" i="15" s="1"/>
  <c r="H391" i="15"/>
  <c r="L391" i="15" s="1"/>
  <c r="H390" i="15"/>
  <c r="L390" i="15" s="1"/>
  <c r="H389" i="15"/>
  <c r="L389" i="15" s="1"/>
  <c r="H388" i="15"/>
  <c r="L388" i="15" s="1"/>
  <c r="H387" i="15"/>
  <c r="L387" i="15" s="1"/>
  <c r="H386" i="15"/>
  <c r="L386" i="15" s="1"/>
  <c r="F138" i="1"/>
  <c r="F137" i="1"/>
  <c r="F136" i="1"/>
  <c r="C384" i="5"/>
  <c r="N13" i="1"/>
  <c r="M13" i="1"/>
  <c r="AL20" i="21"/>
  <c r="F70" i="10"/>
  <c r="J454" i="21"/>
  <c r="J453" i="21"/>
  <c r="J452" i="21"/>
  <c r="J451" i="21"/>
  <c r="J450" i="21"/>
  <c r="J437" i="21"/>
  <c r="J433" i="21"/>
  <c r="J432" i="21"/>
  <c r="J431" i="21"/>
  <c r="J434" i="21"/>
  <c r="J430" i="21"/>
  <c r="J427" i="21"/>
  <c r="J426" i="21"/>
  <c r="J425" i="21"/>
  <c r="J404" i="21"/>
  <c r="J403" i="21"/>
  <c r="A403" i="5" s="1"/>
  <c r="J394" i="21"/>
  <c r="J393" i="21"/>
  <c r="J392" i="21"/>
  <c r="J395" i="21"/>
  <c r="J391" i="21"/>
  <c r="J390" i="21"/>
  <c r="J389" i="21"/>
  <c r="J388" i="21"/>
  <c r="J387" i="21"/>
  <c r="J386" i="21"/>
  <c r="J385" i="21"/>
  <c r="A385" i="5" s="1"/>
  <c r="V382" i="21"/>
  <c r="D563" i="17"/>
  <c r="D561" i="17"/>
  <c r="D559" i="17"/>
  <c r="D557" i="17"/>
  <c r="D553" i="17"/>
  <c r="H553" i="17" s="1"/>
  <c r="D551" i="17"/>
  <c r="H551" i="17" s="1"/>
  <c r="E547" i="17"/>
  <c r="E536" i="17"/>
  <c r="H536" i="17" s="1"/>
  <c r="L536" i="17" s="1"/>
  <c r="E535" i="17"/>
  <c r="H535" i="17" s="1"/>
  <c r="L535" i="17" s="1"/>
  <c r="E534" i="17"/>
  <c r="H534" i="17" s="1"/>
  <c r="L534" i="17" s="1"/>
  <c r="E533" i="17"/>
  <c r="H533" i="17" s="1"/>
  <c r="L533" i="17" s="1"/>
  <c r="E532" i="17"/>
  <c r="H532" i="17" s="1"/>
  <c r="L532" i="17" s="1"/>
  <c r="E531" i="17"/>
  <c r="H531" i="17" s="1"/>
  <c r="L531" i="17" s="1"/>
  <c r="E530" i="17"/>
  <c r="H530" i="17" s="1"/>
  <c r="L530" i="17" s="1"/>
  <c r="E529" i="17"/>
  <c r="H529" i="17" s="1"/>
  <c r="L529" i="17" s="1"/>
  <c r="D527" i="17"/>
  <c r="H527" i="17" s="1"/>
  <c r="L519" i="17"/>
  <c r="E514" i="17"/>
  <c r="H514" i="17" s="1"/>
  <c r="L514" i="17" s="1"/>
  <c r="E513" i="17"/>
  <c r="H513" i="17" s="1"/>
  <c r="L513" i="17" s="1"/>
  <c r="E512" i="17"/>
  <c r="H512" i="17" s="1"/>
  <c r="L512" i="17" s="1"/>
  <c r="E511" i="17"/>
  <c r="H511" i="17" s="1"/>
  <c r="L511" i="17" s="1"/>
  <c r="E510" i="17"/>
  <c r="H510" i="17" s="1"/>
  <c r="L510" i="17" s="1"/>
  <c r="E509" i="17"/>
  <c r="H509" i="17" s="1"/>
  <c r="L509" i="17" s="1"/>
  <c r="E508" i="17"/>
  <c r="H508" i="17" s="1"/>
  <c r="L508" i="17" s="1"/>
  <c r="E507" i="17"/>
  <c r="H507" i="17" s="1"/>
  <c r="L507" i="17" s="1"/>
  <c r="E506" i="17"/>
  <c r="H506" i="17" s="1"/>
  <c r="L506" i="17" s="1"/>
  <c r="E505" i="17"/>
  <c r="H505" i="17" s="1"/>
  <c r="L505" i="17" s="1"/>
  <c r="E504" i="17"/>
  <c r="H504" i="17" s="1"/>
  <c r="L504" i="17" s="1"/>
  <c r="D502" i="17"/>
  <c r="H502" i="17" s="1"/>
  <c r="L502" i="17" s="1"/>
  <c r="E500" i="17"/>
  <c r="H500" i="17" s="1"/>
  <c r="L500" i="17" s="1"/>
  <c r="E499" i="17"/>
  <c r="H499" i="17" s="1"/>
  <c r="L499" i="17" s="1"/>
  <c r="E498" i="17"/>
  <c r="H498" i="17" s="1"/>
  <c r="L498" i="17" s="1"/>
  <c r="E497" i="17"/>
  <c r="H497" i="17" s="1"/>
  <c r="L497" i="17" s="1"/>
  <c r="E496" i="17"/>
  <c r="H496" i="17" s="1"/>
  <c r="L496" i="17" s="1"/>
  <c r="D495" i="17"/>
  <c r="H495" i="17" s="1"/>
  <c r="L495" i="17" s="1"/>
  <c r="E493" i="17"/>
  <c r="H493" i="17" s="1"/>
  <c r="L493" i="17" s="1"/>
  <c r="E492" i="17"/>
  <c r="H492" i="17" s="1"/>
  <c r="L492" i="17" s="1"/>
  <c r="E491" i="17"/>
  <c r="H491" i="17" s="1"/>
  <c r="L491" i="17" s="1"/>
  <c r="E490" i="17"/>
  <c r="H490" i="17" s="1"/>
  <c r="L490" i="17" s="1"/>
  <c r="E489" i="17"/>
  <c r="H489" i="17" s="1"/>
  <c r="L489" i="17" s="1"/>
  <c r="E488" i="17"/>
  <c r="H488" i="17" s="1"/>
  <c r="L488" i="17" s="1"/>
  <c r="D487" i="17"/>
  <c r="H487" i="17" s="1"/>
  <c r="L487" i="17" s="1"/>
  <c r="D485" i="17"/>
  <c r="H485" i="17" s="1"/>
  <c r="L485" i="17" s="1"/>
  <c r="E483" i="17"/>
  <c r="H483" i="17" s="1"/>
  <c r="L483" i="17" s="1"/>
  <c r="E482" i="17"/>
  <c r="H482" i="17" s="1"/>
  <c r="L482" i="17" s="1"/>
  <c r="E481" i="17"/>
  <c r="H481" i="17" s="1"/>
  <c r="L481" i="17" s="1"/>
  <c r="D480" i="17"/>
  <c r="H480" i="17" s="1"/>
  <c r="L480" i="17" s="1"/>
  <c r="E478" i="17"/>
  <c r="H478" i="17" s="1"/>
  <c r="L478" i="17" s="1"/>
  <c r="E477" i="17"/>
  <c r="H477" i="17" s="1"/>
  <c r="L477" i="17" s="1"/>
  <c r="E476" i="17"/>
  <c r="H476" i="17" s="1"/>
  <c r="L476" i="17" s="1"/>
  <c r="E475" i="17"/>
  <c r="H475" i="17" s="1"/>
  <c r="L475" i="17" s="1"/>
  <c r="E474" i="17"/>
  <c r="H474" i="17" s="1"/>
  <c r="L474" i="17" s="1"/>
  <c r="E473" i="17"/>
  <c r="H473" i="17" s="1"/>
  <c r="L473" i="17" s="1"/>
  <c r="D472" i="17"/>
  <c r="H472" i="17" s="1"/>
  <c r="L472" i="17" s="1"/>
  <c r="D468" i="17"/>
  <c r="H468" i="17" s="1"/>
  <c r="L468" i="17" s="1"/>
  <c r="E466" i="17"/>
  <c r="H466" i="17" s="1"/>
  <c r="L466" i="17" s="1"/>
  <c r="E465" i="17"/>
  <c r="H465" i="17" s="1"/>
  <c r="L465" i="17" s="1"/>
  <c r="E464" i="17"/>
  <c r="H464" i="17" s="1"/>
  <c r="L464" i="17" s="1"/>
  <c r="D463" i="17"/>
  <c r="H463" i="17" s="1"/>
  <c r="L463" i="17" s="1"/>
  <c r="D461" i="17"/>
  <c r="H461" i="17" s="1"/>
  <c r="L461" i="17" s="1"/>
  <c r="D459" i="17"/>
  <c r="H459" i="17" s="1"/>
  <c r="L459" i="17" s="1"/>
  <c r="E454" i="17"/>
  <c r="E453" i="17"/>
  <c r="E452" i="17"/>
  <c r="E451" i="17"/>
  <c r="E450" i="17"/>
  <c r="E449" i="17"/>
  <c r="E448" i="17"/>
  <c r="E447" i="17"/>
  <c r="E446" i="17"/>
  <c r="E445" i="17"/>
  <c r="E444" i="17"/>
  <c r="D443" i="17"/>
  <c r="E440" i="17"/>
  <c r="E439" i="17"/>
  <c r="E438" i="17"/>
  <c r="E437" i="17"/>
  <c r="E436" i="17"/>
  <c r="E435" i="17"/>
  <c r="E434" i="17"/>
  <c r="E433" i="17"/>
  <c r="E432" i="17"/>
  <c r="E431" i="17"/>
  <c r="E430" i="17"/>
  <c r="E429" i="17"/>
  <c r="E428" i="17"/>
  <c r="E427" i="17"/>
  <c r="E426" i="17"/>
  <c r="E425" i="17"/>
  <c r="E424" i="17"/>
  <c r="E423" i="17"/>
  <c r="E422" i="17"/>
  <c r="E421" i="17"/>
  <c r="E420" i="17"/>
  <c r="E419" i="17"/>
  <c r="E418" i="17"/>
  <c r="E417" i="17"/>
  <c r="E416" i="17"/>
  <c r="E415" i="17"/>
  <c r="E414" i="17"/>
  <c r="E413" i="17"/>
  <c r="E412" i="17"/>
  <c r="E411" i="17"/>
  <c r="E410" i="17"/>
  <c r="E409" i="17"/>
  <c r="E408" i="17"/>
  <c r="E407" i="17"/>
  <c r="E406" i="17"/>
  <c r="E405" i="17"/>
  <c r="E404" i="17"/>
  <c r="E403" i="17"/>
  <c r="E402" i="17"/>
  <c r="E401" i="17"/>
  <c r="E400" i="17"/>
  <c r="E399" i="17"/>
  <c r="E398" i="17"/>
  <c r="E397" i="17"/>
  <c r="E396" i="17"/>
  <c r="E395" i="17"/>
  <c r="E394" i="17"/>
  <c r="E393" i="17"/>
  <c r="E392" i="17"/>
  <c r="E391" i="17"/>
  <c r="E390" i="17"/>
  <c r="E389" i="17"/>
  <c r="E388" i="17"/>
  <c r="E387" i="17"/>
  <c r="E386" i="17"/>
  <c r="D385" i="17"/>
  <c r="D382" i="17"/>
  <c r="F357" i="17"/>
  <c r="F356" i="17"/>
  <c r="F355" i="17"/>
  <c r="F352" i="17"/>
  <c r="F351" i="17"/>
  <c r="E350" i="17"/>
  <c r="F349" i="17"/>
  <c r="F348" i="17"/>
  <c r="F347" i="17"/>
  <c r="F346" i="17"/>
  <c r="F345" i="17"/>
  <c r="F342" i="17"/>
  <c r="F341" i="17"/>
  <c r="E340" i="17"/>
  <c r="G379" i="17"/>
  <c r="G378" i="17"/>
  <c r="G377" i="17"/>
  <c r="G376" i="17"/>
  <c r="G375" i="17"/>
  <c r="G374" i="17"/>
  <c r="G373" i="17"/>
  <c r="F372" i="17"/>
  <c r="F371" i="17"/>
  <c r="F370" i="17"/>
  <c r="E367" i="17"/>
  <c r="F366" i="17"/>
  <c r="F365" i="17"/>
  <c r="F364" i="17"/>
  <c r="F363" i="17"/>
  <c r="F360" i="17"/>
  <c r="F359" i="17"/>
  <c r="E358" i="17"/>
  <c r="F339" i="17"/>
  <c r="F338" i="17"/>
  <c r="F337" i="17"/>
  <c r="F334" i="17"/>
  <c r="F333" i="17"/>
  <c r="E332" i="17"/>
  <c r="F331" i="17"/>
  <c r="F330" i="17"/>
  <c r="F329" i="17"/>
  <c r="F328" i="17"/>
  <c r="F327" i="17"/>
  <c r="F326" i="17"/>
  <c r="F325" i="17"/>
  <c r="F324" i="17"/>
  <c r="F323" i="17"/>
  <c r="F322" i="17"/>
  <c r="F321" i="17"/>
  <c r="F319" i="17"/>
  <c r="F318" i="17"/>
  <c r="F317" i="17"/>
  <c r="E316" i="17"/>
  <c r="F308" i="17"/>
  <c r="F307" i="17"/>
  <c r="F306" i="17"/>
  <c r="F305" i="17"/>
  <c r="F304" i="17"/>
  <c r="F302" i="17"/>
  <c r="F301" i="17"/>
  <c r="F300" i="17"/>
  <c r="E299" i="17"/>
  <c r="F298" i="17"/>
  <c r="F297" i="17"/>
  <c r="F296" i="17"/>
  <c r="F295" i="17"/>
  <c r="F294" i="17"/>
  <c r="F292" i="17"/>
  <c r="F291" i="17"/>
  <c r="F290" i="17"/>
  <c r="E289" i="17"/>
  <c r="F288" i="17"/>
  <c r="F287" i="17"/>
  <c r="F286" i="17"/>
  <c r="F285" i="17"/>
  <c r="F284" i="17"/>
  <c r="F282" i="17"/>
  <c r="F281" i="17"/>
  <c r="F280" i="17"/>
  <c r="E279" i="17"/>
  <c r="F278" i="17"/>
  <c r="F277" i="17"/>
  <c r="F276" i="17"/>
  <c r="F275" i="17"/>
  <c r="F273" i="17"/>
  <c r="F272" i="17"/>
  <c r="F271" i="17"/>
  <c r="E270" i="17"/>
  <c r="F269" i="17"/>
  <c r="F268" i="17"/>
  <c r="F267" i="17"/>
  <c r="F266" i="17"/>
  <c r="F265" i="17"/>
  <c r="F264" i="17"/>
  <c r="F263" i="17"/>
  <c r="F262" i="17"/>
  <c r="F261" i="17"/>
  <c r="F260" i="17"/>
  <c r="F257" i="17"/>
  <c r="F256" i="17"/>
  <c r="E255" i="17"/>
  <c r="F254" i="17"/>
  <c r="F253" i="17"/>
  <c r="F252" i="17"/>
  <c r="F251" i="17"/>
  <c r="F250" i="17"/>
  <c r="F249" i="17"/>
  <c r="F248" i="17"/>
  <c r="F247" i="17"/>
  <c r="F246" i="17"/>
  <c r="F245" i="17"/>
  <c r="F244" i="17"/>
  <c r="F243" i="17"/>
  <c r="F242" i="17"/>
  <c r="F237" i="17"/>
  <c r="F241" i="17"/>
  <c r="F240" i="17"/>
  <c r="F239" i="17"/>
  <c r="F238" i="17"/>
  <c r="F235" i="17"/>
  <c r="F233" i="17"/>
  <c r="F232" i="17"/>
  <c r="E231" i="17"/>
  <c r="F230" i="17"/>
  <c r="F229" i="17"/>
  <c r="F227" i="17"/>
  <c r="F224" i="17"/>
  <c r="F210" i="17"/>
  <c r="F209" i="17"/>
  <c r="F208" i="17"/>
  <c r="F207" i="17"/>
  <c r="D206" i="17"/>
  <c r="E204" i="17"/>
  <c r="H204" i="17" s="1"/>
  <c r="L204" i="17" s="1"/>
  <c r="E203" i="17"/>
  <c r="H203" i="17" s="1"/>
  <c r="L203" i="17" s="1"/>
  <c r="E202" i="17"/>
  <c r="H202" i="17" s="1"/>
  <c r="L202" i="17" s="1"/>
  <c r="E201" i="17"/>
  <c r="H201" i="17" s="1"/>
  <c r="L201" i="17" s="1"/>
  <c r="E200" i="17"/>
  <c r="H200" i="17" s="1"/>
  <c r="L200" i="17" s="1"/>
  <c r="E199" i="17"/>
  <c r="H199" i="17" s="1"/>
  <c r="L199" i="17" s="1"/>
  <c r="E198" i="17"/>
  <c r="H198" i="17" s="1"/>
  <c r="L198" i="17" s="1"/>
  <c r="E197" i="17"/>
  <c r="H197" i="17" s="1"/>
  <c r="L197" i="17" s="1"/>
  <c r="E190" i="17"/>
  <c r="E187" i="17"/>
  <c r="E182" i="17"/>
  <c r="E196" i="17"/>
  <c r="E195" i="17"/>
  <c r="E194" i="17"/>
  <c r="E193" i="17"/>
  <c r="E192" i="17"/>
  <c r="E191" i="17"/>
  <c r="E189" i="17"/>
  <c r="E188" i="17"/>
  <c r="E186" i="17"/>
  <c r="E185" i="17"/>
  <c r="E184" i="17"/>
  <c r="H184" i="17" s="1"/>
  <c r="L184" i="17" s="1"/>
  <c r="E183" i="17"/>
  <c r="E181" i="17"/>
  <c r="H181" i="17" s="1"/>
  <c r="L181" i="17" s="1"/>
  <c r="D180" i="17"/>
  <c r="E178" i="17"/>
  <c r="E177" i="17"/>
  <c r="H177" i="17" s="1"/>
  <c r="L177" i="17" s="1"/>
  <c r="E176" i="17"/>
  <c r="E175" i="17"/>
  <c r="D174" i="17"/>
  <c r="H174" i="17" s="1"/>
  <c r="D168" i="17"/>
  <c r="E166" i="17"/>
  <c r="E165" i="17"/>
  <c r="E164" i="17"/>
  <c r="E163" i="17"/>
  <c r="E162" i="17"/>
  <c r="E161" i="17"/>
  <c r="E160" i="17"/>
  <c r="E145" i="17"/>
  <c r="E159" i="17"/>
  <c r="E158" i="17"/>
  <c r="E157" i="17"/>
  <c r="E156" i="17"/>
  <c r="E155" i="17"/>
  <c r="E154" i="17"/>
  <c r="E153" i="17"/>
  <c r="E152" i="17"/>
  <c r="E151" i="17"/>
  <c r="E150" i="17"/>
  <c r="E149" i="17"/>
  <c r="E148" i="17"/>
  <c r="E147" i="17"/>
  <c r="E146" i="17"/>
  <c r="E144" i="17"/>
  <c r="E143" i="17"/>
  <c r="E142" i="17"/>
  <c r="E141" i="17"/>
  <c r="E140" i="17"/>
  <c r="E139" i="17"/>
  <c r="E138" i="17"/>
  <c r="E137" i="17"/>
  <c r="E136" i="17"/>
  <c r="H136" i="17" s="1"/>
  <c r="L136" i="17" s="1"/>
  <c r="E135" i="17"/>
  <c r="H135" i="17" s="1"/>
  <c r="L135" i="17" s="1"/>
  <c r="E133" i="17"/>
  <c r="H133" i="17" s="1"/>
  <c r="L133" i="17" s="1"/>
  <c r="E132" i="17"/>
  <c r="H132" i="17" s="1"/>
  <c r="L132" i="17" s="1"/>
  <c r="E131" i="17"/>
  <c r="H131" i="17" s="1"/>
  <c r="L131" i="17" s="1"/>
  <c r="E130" i="17"/>
  <c r="E129" i="17"/>
  <c r="E128" i="17"/>
  <c r="H128" i="17" s="1"/>
  <c r="L128" i="17" s="1"/>
  <c r="E127" i="17"/>
  <c r="D126" i="17"/>
  <c r="F124" i="17"/>
  <c r="F123" i="17"/>
  <c r="F116" i="17"/>
  <c r="F114" i="17"/>
  <c r="F113" i="17"/>
  <c r="F112" i="17"/>
  <c r="F110" i="17"/>
  <c r="F109" i="17"/>
  <c r="F122" i="17"/>
  <c r="F120" i="17"/>
  <c r="F119" i="17"/>
  <c r="F117" i="17"/>
  <c r="F108" i="17"/>
  <c r="F107" i="17"/>
  <c r="F106" i="17"/>
  <c r="F105" i="17"/>
  <c r="F104" i="17"/>
  <c r="F103" i="17"/>
  <c r="F102" i="17"/>
  <c r="F100" i="17"/>
  <c r="F99" i="17"/>
  <c r="F98" i="17"/>
  <c r="F97" i="17"/>
  <c r="F95" i="17"/>
  <c r="F94" i="17"/>
  <c r="F93" i="17"/>
  <c r="F92" i="17"/>
  <c r="F90" i="17"/>
  <c r="F89" i="17"/>
  <c r="F88" i="17"/>
  <c r="F87" i="17"/>
  <c r="F86" i="17"/>
  <c r="F85" i="17"/>
  <c r="F84" i="17"/>
  <c r="F82" i="17"/>
  <c r="F81" i="17"/>
  <c r="F80" i="17"/>
  <c r="F79" i="17"/>
  <c r="F78" i="17"/>
  <c r="F77" i="17"/>
  <c r="F76" i="17"/>
  <c r="F75" i="17"/>
  <c r="F74" i="17"/>
  <c r="F73" i="17"/>
  <c r="F72" i="17"/>
  <c r="F71" i="17"/>
  <c r="F70" i="17"/>
  <c r="F69" i="17"/>
  <c r="F68" i="17"/>
  <c r="F67" i="17"/>
  <c r="F65" i="17"/>
  <c r="F64" i="17"/>
  <c r="F63" i="17"/>
  <c r="F62" i="17"/>
  <c r="F61" i="17"/>
  <c r="F59" i="17"/>
  <c r="F58" i="17"/>
  <c r="E56" i="17"/>
  <c r="E55" i="17"/>
  <c r="H55" i="17" s="1"/>
  <c r="L55" i="17" s="1"/>
  <c r="E54" i="17"/>
  <c r="E53" i="17"/>
  <c r="E52" i="17"/>
  <c r="H52" i="17" s="1"/>
  <c r="L52" i="17" s="1"/>
  <c r="E51" i="17"/>
  <c r="H51" i="17" s="1"/>
  <c r="L51" i="17" s="1"/>
  <c r="E50" i="17"/>
  <c r="H50" i="17" s="1"/>
  <c r="L50" i="17" s="1"/>
  <c r="E49" i="17"/>
  <c r="H49" i="17" s="1"/>
  <c r="L49" i="17" s="1"/>
  <c r="E48" i="17"/>
  <c r="E47" i="17"/>
  <c r="E46" i="17"/>
  <c r="E45" i="17"/>
  <c r="E44" i="17"/>
  <c r="H44" i="17" s="1"/>
  <c r="L44" i="17" s="1"/>
  <c r="E43" i="17"/>
  <c r="H43" i="17" s="1"/>
  <c r="L43" i="17" s="1"/>
  <c r="E42" i="17"/>
  <c r="H42" i="17" s="1"/>
  <c r="L42" i="17" s="1"/>
  <c r="E41" i="17"/>
  <c r="H41" i="17" s="1"/>
  <c r="L41" i="17" s="1"/>
  <c r="E40" i="17"/>
  <c r="D39" i="17"/>
  <c r="H39" i="17" s="1"/>
  <c r="D37" i="17"/>
  <c r="D32" i="17"/>
  <c r="D27" i="17"/>
  <c r="H27" i="17" s="1"/>
  <c r="D25" i="17"/>
  <c r="D563" i="19"/>
  <c r="H563" i="19" s="1"/>
  <c r="L563" i="19" s="1"/>
  <c r="D561" i="19"/>
  <c r="D559" i="19"/>
  <c r="H559" i="19" s="1"/>
  <c r="D557" i="19"/>
  <c r="D553" i="19"/>
  <c r="H553" i="19" s="1"/>
  <c r="L553" i="19" s="1"/>
  <c r="D551" i="19"/>
  <c r="H551" i="19" s="1"/>
  <c r="L551" i="19" s="1"/>
  <c r="E547" i="19"/>
  <c r="D546" i="19"/>
  <c r="H546" i="19" s="1"/>
  <c r="L546" i="19" s="1"/>
  <c r="E536" i="19"/>
  <c r="H536" i="19" s="1"/>
  <c r="L536" i="19" s="1"/>
  <c r="E535" i="19"/>
  <c r="H535" i="19" s="1"/>
  <c r="L535" i="19" s="1"/>
  <c r="E534" i="19"/>
  <c r="H534" i="19" s="1"/>
  <c r="L534" i="19" s="1"/>
  <c r="E533" i="19"/>
  <c r="H533" i="19" s="1"/>
  <c r="L533" i="19" s="1"/>
  <c r="E532" i="19"/>
  <c r="H532" i="19" s="1"/>
  <c r="L532" i="19" s="1"/>
  <c r="E531" i="19"/>
  <c r="H531" i="19" s="1"/>
  <c r="L531" i="19" s="1"/>
  <c r="E530" i="19"/>
  <c r="H530" i="19" s="1"/>
  <c r="L530" i="19" s="1"/>
  <c r="E529" i="19"/>
  <c r="H529" i="19" s="1"/>
  <c r="L529" i="19" s="1"/>
  <c r="D527" i="19"/>
  <c r="H527" i="19" s="1"/>
  <c r="L527" i="19" s="1"/>
  <c r="L523" i="19"/>
  <c r="L521" i="19"/>
  <c r="L519" i="19"/>
  <c r="E514" i="19"/>
  <c r="H514" i="19" s="1"/>
  <c r="L514" i="19" s="1"/>
  <c r="E513" i="19"/>
  <c r="H513" i="19" s="1"/>
  <c r="L513" i="19" s="1"/>
  <c r="E512" i="19"/>
  <c r="H512" i="19" s="1"/>
  <c r="L512" i="19" s="1"/>
  <c r="E511" i="19"/>
  <c r="H511" i="19" s="1"/>
  <c r="L511" i="19" s="1"/>
  <c r="E510" i="19"/>
  <c r="H510" i="19" s="1"/>
  <c r="L510" i="19" s="1"/>
  <c r="E509" i="19"/>
  <c r="H509" i="19" s="1"/>
  <c r="L509" i="19" s="1"/>
  <c r="E508" i="19"/>
  <c r="H508" i="19" s="1"/>
  <c r="L508" i="19" s="1"/>
  <c r="E507" i="19"/>
  <c r="H507" i="19" s="1"/>
  <c r="L507" i="19" s="1"/>
  <c r="E506" i="19"/>
  <c r="H506" i="19" s="1"/>
  <c r="L506" i="19" s="1"/>
  <c r="E505" i="19"/>
  <c r="H505" i="19" s="1"/>
  <c r="L505" i="19" s="1"/>
  <c r="E504" i="19"/>
  <c r="H504" i="19" s="1"/>
  <c r="L504" i="19" s="1"/>
  <c r="D502" i="19"/>
  <c r="H502" i="19" s="1"/>
  <c r="L502" i="19" s="1"/>
  <c r="E500" i="19"/>
  <c r="H500" i="19" s="1"/>
  <c r="L500" i="19" s="1"/>
  <c r="E499" i="19"/>
  <c r="H499" i="19" s="1"/>
  <c r="L499" i="19" s="1"/>
  <c r="E498" i="19"/>
  <c r="H498" i="19" s="1"/>
  <c r="L498" i="19" s="1"/>
  <c r="E497" i="19"/>
  <c r="H497" i="19" s="1"/>
  <c r="L497" i="19" s="1"/>
  <c r="E496" i="19"/>
  <c r="H496" i="19" s="1"/>
  <c r="L496" i="19" s="1"/>
  <c r="D495" i="19"/>
  <c r="H495" i="19" s="1"/>
  <c r="L495" i="19" s="1"/>
  <c r="E493" i="19"/>
  <c r="H493" i="19" s="1"/>
  <c r="L493" i="19" s="1"/>
  <c r="E492" i="19"/>
  <c r="H492" i="19" s="1"/>
  <c r="L492" i="19" s="1"/>
  <c r="E491" i="19"/>
  <c r="H491" i="19" s="1"/>
  <c r="L491" i="19" s="1"/>
  <c r="E490" i="19"/>
  <c r="H490" i="19" s="1"/>
  <c r="L490" i="19" s="1"/>
  <c r="E489" i="19"/>
  <c r="H489" i="19" s="1"/>
  <c r="L489" i="19" s="1"/>
  <c r="E488" i="19"/>
  <c r="H488" i="19" s="1"/>
  <c r="L488" i="19" s="1"/>
  <c r="D487" i="19"/>
  <c r="H487" i="19" s="1"/>
  <c r="L487" i="19" s="1"/>
  <c r="D485" i="19"/>
  <c r="H485" i="19" s="1"/>
  <c r="L485" i="19" s="1"/>
  <c r="E483" i="19"/>
  <c r="H483" i="19" s="1"/>
  <c r="L483" i="19" s="1"/>
  <c r="E482" i="19"/>
  <c r="H482" i="19" s="1"/>
  <c r="L482" i="19" s="1"/>
  <c r="E481" i="19"/>
  <c r="H481" i="19" s="1"/>
  <c r="L481" i="19" s="1"/>
  <c r="D480" i="19"/>
  <c r="H480" i="19" s="1"/>
  <c r="L480" i="19" s="1"/>
  <c r="E478" i="19"/>
  <c r="H478" i="19" s="1"/>
  <c r="L478" i="19" s="1"/>
  <c r="E477" i="19"/>
  <c r="H477" i="19" s="1"/>
  <c r="L477" i="19" s="1"/>
  <c r="E476" i="19"/>
  <c r="H476" i="19" s="1"/>
  <c r="L476" i="19" s="1"/>
  <c r="E475" i="19"/>
  <c r="H475" i="19" s="1"/>
  <c r="L475" i="19" s="1"/>
  <c r="E474" i="19"/>
  <c r="H474" i="19" s="1"/>
  <c r="L474" i="19" s="1"/>
  <c r="E473" i="19"/>
  <c r="H473" i="19" s="1"/>
  <c r="L473" i="19" s="1"/>
  <c r="D472" i="19"/>
  <c r="H472" i="19" s="1"/>
  <c r="L472" i="19" s="1"/>
  <c r="D468" i="19"/>
  <c r="H468" i="19" s="1"/>
  <c r="L468" i="19" s="1"/>
  <c r="E466" i="19"/>
  <c r="H466" i="19" s="1"/>
  <c r="L466" i="19" s="1"/>
  <c r="E465" i="19"/>
  <c r="H465" i="19" s="1"/>
  <c r="L465" i="19" s="1"/>
  <c r="E464" i="19"/>
  <c r="H464" i="19" s="1"/>
  <c r="L464" i="19" s="1"/>
  <c r="D463" i="19"/>
  <c r="H463" i="19" s="1"/>
  <c r="L463" i="19" s="1"/>
  <c r="D461" i="19"/>
  <c r="H461" i="19" s="1"/>
  <c r="L461" i="19" s="1"/>
  <c r="D459" i="19"/>
  <c r="H459" i="19" s="1"/>
  <c r="L459" i="19" s="1"/>
  <c r="G380" i="19"/>
  <c r="H380" i="19" s="1"/>
  <c r="G379" i="19"/>
  <c r="H379" i="19" s="1"/>
  <c r="G378" i="19"/>
  <c r="H378" i="19" s="1"/>
  <c r="G377" i="19"/>
  <c r="H377" i="19" s="1"/>
  <c r="G376" i="19"/>
  <c r="H376" i="19" s="1"/>
  <c r="G375" i="19"/>
  <c r="H375" i="19" s="1"/>
  <c r="G374" i="19"/>
  <c r="H374" i="19" s="1"/>
  <c r="G373" i="19"/>
  <c r="H373" i="19" s="1"/>
  <c r="E494" i="17"/>
  <c r="D546" i="17"/>
  <c r="H546" i="17" s="1"/>
  <c r="E479" i="17"/>
  <c r="D563" i="15"/>
  <c r="D561" i="15"/>
  <c r="D559" i="15"/>
  <c r="D557" i="15"/>
  <c r="D553" i="15"/>
  <c r="D551" i="15"/>
  <c r="E547" i="15"/>
  <c r="D546" i="15"/>
  <c r="E536" i="15"/>
  <c r="H536" i="15" s="1"/>
  <c r="L536" i="15" s="1"/>
  <c r="E535" i="15"/>
  <c r="H535" i="15" s="1"/>
  <c r="L535" i="15" s="1"/>
  <c r="E534" i="15"/>
  <c r="H534" i="15" s="1"/>
  <c r="L534" i="15" s="1"/>
  <c r="E533" i="15"/>
  <c r="H533" i="15" s="1"/>
  <c r="L533" i="15" s="1"/>
  <c r="E532" i="15"/>
  <c r="H532" i="15" s="1"/>
  <c r="L532" i="15" s="1"/>
  <c r="E531" i="15"/>
  <c r="H531" i="15" s="1"/>
  <c r="L531" i="15" s="1"/>
  <c r="E530" i="15"/>
  <c r="H530" i="15" s="1"/>
  <c r="L530" i="15" s="1"/>
  <c r="E529" i="15"/>
  <c r="H529" i="15" s="1"/>
  <c r="L529" i="15" s="1"/>
  <c r="D527" i="15"/>
  <c r="E514" i="15"/>
  <c r="H514" i="15" s="1"/>
  <c r="L514" i="15" s="1"/>
  <c r="E513" i="15"/>
  <c r="H513" i="15" s="1"/>
  <c r="L513" i="15" s="1"/>
  <c r="E512" i="15"/>
  <c r="H512" i="15" s="1"/>
  <c r="L512" i="15" s="1"/>
  <c r="E511" i="15"/>
  <c r="H511" i="15" s="1"/>
  <c r="L511" i="15" s="1"/>
  <c r="E510" i="15"/>
  <c r="H510" i="15" s="1"/>
  <c r="L510" i="15" s="1"/>
  <c r="E509" i="15"/>
  <c r="H509" i="15" s="1"/>
  <c r="L509" i="15" s="1"/>
  <c r="E508" i="15"/>
  <c r="H508" i="15" s="1"/>
  <c r="L508" i="15" s="1"/>
  <c r="E507" i="15"/>
  <c r="H507" i="15" s="1"/>
  <c r="L507" i="15" s="1"/>
  <c r="E506" i="15"/>
  <c r="H506" i="15" s="1"/>
  <c r="L506" i="15" s="1"/>
  <c r="E505" i="15"/>
  <c r="H505" i="15" s="1"/>
  <c r="L505" i="15" s="1"/>
  <c r="E504" i="15"/>
  <c r="H504" i="15" s="1"/>
  <c r="L504" i="15" s="1"/>
  <c r="D502" i="15"/>
  <c r="E500" i="15"/>
  <c r="H500" i="15" s="1"/>
  <c r="L500" i="15" s="1"/>
  <c r="E499" i="15"/>
  <c r="H499" i="15" s="1"/>
  <c r="L499" i="15" s="1"/>
  <c r="E498" i="15"/>
  <c r="H498" i="15" s="1"/>
  <c r="L498" i="15" s="1"/>
  <c r="E497" i="15"/>
  <c r="H497" i="15" s="1"/>
  <c r="L497" i="15" s="1"/>
  <c r="E496" i="15"/>
  <c r="H496" i="15" s="1"/>
  <c r="L496" i="15" s="1"/>
  <c r="D495" i="15"/>
  <c r="E493" i="15"/>
  <c r="H493" i="15" s="1"/>
  <c r="L493" i="15" s="1"/>
  <c r="E492" i="15"/>
  <c r="H492" i="15" s="1"/>
  <c r="L492" i="15" s="1"/>
  <c r="E491" i="15"/>
  <c r="H491" i="15" s="1"/>
  <c r="L491" i="15" s="1"/>
  <c r="E490" i="15"/>
  <c r="H490" i="15" s="1"/>
  <c r="L490" i="15" s="1"/>
  <c r="E489" i="15"/>
  <c r="H489" i="15" s="1"/>
  <c r="L489" i="15" s="1"/>
  <c r="E488" i="15"/>
  <c r="H488" i="15" s="1"/>
  <c r="L488" i="15" s="1"/>
  <c r="D487" i="15"/>
  <c r="D485" i="15"/>
  <c r="E483" i="15"/>
  <c r="H483" i="15" s="1"/>
  <c r="L483" i="15" s="1"/>
  <c r="E482" i="15"/>
  <c r="H482" i="15" s="1"/>
  <c r="L482" i="15" s="1"/>
  <c r="E481" i="15"/>
  <c r="H481" i="15" s="1"/>
  <c r="L481" i="15" s="1"/>
  <c r="D480" i="15"/>
  <c r="E478" i="15"/>
  <c r="H478" i="15" s="1"/>
  <c r="L478" i="15" s="1"/>
  <c r="E477" i="15"/>
  <c r="H477" i="15" s="1"/>
  <c r="L477" i="15" s="1"/>
  <c r="E476" i="15"/>
  <c r="H476" i="15" s="1"/>
  <c r="L476" i="15" s="1"/>
  <c r="E475" i="15"/>
  <c r="H475" i="15" s="1"/>
  <c r="L475" i="15" s="1"/>
  <c r="E474" i="15"/>
  <c r="H474" i="15" s="1"/>
  <c r="L474" i="15" s="1"/>
  <c r="E473" i="15"/>
  <c r="H473" i="15" s="1"/>
  <c r="L473" i="15" s="1"/>
  <c r="D472" i="15"/>
  <c r="D468" i="15"/>
  <c r="H468" i="15" s="1"/>
  <c r="L468" i="15" s="1"/>
  <c r="E466" i="15"/>
  <c r="H466" i="15" s="1"/>
  <c r="L466" i="15" s="1"/>
  <c r="E465" i="15"/>
  <c r="H465" i="15" s="1"/>
  <c r="L465" i="15" s="1"/>
  <c r="E464" i="15"/>
  <c r="H464" i="15" s="1"/>
  <c r="L464" i="15" s="1"/>
  <c r="D463" i="15"/>
  <c r="H463" i="15" s="1"/>
  <c r="L463" i="15" s="1"/>
  <c r="D461" i="15"/>
  <c r="H461" i="15" s="1"/>
  <c r="L461" i="15" s="1"/>
  <c r="D459" i="15"/>
  <c r="H459" i="15" s="1"/>
  <c r="L459" i="15" s="1"/>
  <c r="E454" i="15"/>
  <c r="E453" i="15"/>
  <c r="E452" i="15"/>
  <c r="E451" i="15"/>
  <c r="E450" i="15"/>
  <c r="E449" i="15"/>
  <c r="E448" i="15"/>
  <c r="E447" i="15"/>
  <c r="E446" i="15"/>
  <c r="E445" i="15"/>
  <c r="E444" i="15"/>
  <c r="D443" i="15"/>
  <c r="E440" i="15"/>
  <c r="E439" i="15"/>
  <c r="E438" i="15"/>
  <c r="E437" i="15"/>
  <c r="E436" i="15"/>
  <c r="E435" i="15"/>
  <c r="E434" i="15"/>
  <c r="E433" i="15"/>
  <c r="E432" i="15"/>
  <c r="E431" i="15"/>
  <c r="E430" i="15"/>
  <c r="E429" i="15"/>
  <c r="E428" i="15"/>
  <c r="E427" i="15"/>
  <c r="E426" i="15"/>
  <c r="E425" i="15"/>
  <c r="E424" i="15"/>
  <c r="E423" i="15"/>
  <c r="E422" i="15"/>
  <c r="E421" i="15"/>
  <c r="E420" i="15"/>
  <c r="E419" i="15"/>
  <c r="E418" i="15"/>
  <c r="E417" i="15"/>
  <c r="E416" i="15"/>
  <c r="E415" i="15"/>
  <c r="E414" i="15"/>
  <c r="E413" i="15"/>
  <c r="E412" i="15"/>
  <c r="E411" i="15"/>
  <c r="E410" i="15"/>
  <c r="E409" i="15"/>
  <c r="E408" i="15"/>
  <c r="E407" i="15"/>
  <c r="E406" i="15"/>
  <c r="E405" i="15"/>
  <c r="E404" i="15"/>
  <c r="E403" i="15"/>
  <c r="E402" i="15"/>
  <c r="E401" i="15"/>
  <c r="E400" i="15"/>
  <c r="E399" i="15"/>
  <c r="E398" i="15"/>
  <c r="E397" i="15"/>
  <c r="E396" i="15"/>
  <c r="E395" i="15"/>
  <c r="E394" i="15"/>
  <c r="E393" i="15"/>
  <c r="E392" i="15"/>
  <c r="E391" i="15"/>
  <c r="E390" i="15"/>
  <c r="E389" i="15"/>
  <c r="E388" i="15"/>
  <c r="E387" i="15"/>
  <c r="E386" i="15"/>
  <c r="D385" i="15"/>
  <c r="D382" i="15"/>
  <c r="F357" i="15"/>
  <c r="F356" i="15"/>
  <c r="F355" i="15"/>
  <c r="F352" i="15"/>
  <c r="F351" i="15"/>
  <c r="E350" i="15"/>
  <c r="F349" i="15"/>
  <c r="F348" i="15"/>
  <c r="F347" i="15"/>
  <c r="F346" i="15"/>
  <c r="F345" i="15"/>
  <c r="F342" i="15"/>
  <c r="F341" i="15"/>
  <c r="E340" i="15"/>
  <c r="F372" i="15"/>
  <c r="F371" i="15"/>
  <c r="F370" i="15"/>
  <c r="E367" i="15"/>
  <c r="F366" i="15"/>
  <c r="F365" i="15"/>
  <c r="F364" i="15"/>
  <c r="F363" i="15"/>
  <c r="F360" i="15"/>
  <c r="F359" i="15"/>
  <c r="E358" i="15"/>
  <c r="F339" i="15"/>
  <c r="F338" i="15"/>
  <c r="F337" i="15"/>
  <c r="F334" i="15"/>
  <c r="F333" i="15"/>
  <c r="E332" i="15"/>
  <c r="F331" i="15"/>
  <c r="F330" i="15"/>
  <c r="F329" i="15"/>
  <c r="F328" i="15"/>
  <c r="F327" i="15"/>
  <c r="F326" i="15"/>
  <c r="F325" i="15"/>
  <c r="F324" i="15"/>
  <c r="F323" i="15"/>
  <c r="F322" i="15"/>
  <c r="F321" i="15"/>
  <c r="F319" i="15"/>
  <c r="F318" i="15"/>
  <c r="F317" i="15"/>
  <c r="E316" i="15"/>
  <c r="F308" i="15"/>
  <c r="F307" i="15"/>
  <c r="F306" i="15"/>
  <c r="F305" i="15"/>
  <c r="F304" i="15"/>
  <c r="F302" i="15"/>
  <c r="F301" i="15"/>
  <c r="F300" i="15"/>
  <c r="E299" i="15"/>
  <c r="F298" i="15"/>
  <c r="F297" i="15"/>
  <c r="F296" i="15"/>
  <c r="F295" i="15"/>
  <c r="F294" i="15"/>
  <c r="F292" i="15"/>
  <c r="F291" i="15"/>
  <c r="F290" i="15"/>
  <c r="E289" i="15"/>
  <c r="F288" i="15"/>
  <c r="F287" i="15"/>
  <c r="F286" i="15"/>
  <c r="F285" i="15"/>
  <c r="F284" i="15"/>
  <c r="F282" i="15"/>
  <c r="F281" i="15"/>
  <c r="F280" i="15"/>
  <c r="E279" i="15"/>
  <c r="F278" i="15"/>
  <c r="F277" i="15"/>
  <c r="F276" i="15"/>
  <c r="F275" i="15"/>
  <c r="F273" i="15"/>
  <c r="F272" i="15"/>
  <c r="F271" i="15"/>
  <c r="E270" i="15"/>
  <c r="F269" i="15"/>
  <c r="F268" i="15"/>
  <c r="F267" i="15"/>
  <c r="F266" i="15"/>
  <c r="F265" i="15"/>
  <c r="F264" i="15"/>
  <c r="F263" i="15"/>
  <c r="F262" i="15"/>
  <c r="F261" i="15"/>
  <c r="F260" i="15"/>
  <c r="F257" i="15"/>
  <c r="F256" i="15"/>
  <c r="E255" i="15"/>
  <c r="F254" i="15"/>
  <c r="F253" i="15"/>
  <c r="F252" i="15"/>
  <c r="F251" i="15"/>
  <c r="F250" i="15"/>
  <c r="F249" i="15"/>
  <c r="F248" i="15"/>
  <c r="F247" i="15"/>
  <c r="F246" i="15"/>
  <c r="F245" i="15"/>
  <c r="F244" i="15"/>
  <c r="F243" i="15"/>
  <c r="F242" i="15"/>
  <c r="F237" i="15"/>
  <c r="F241" i="15"/>
  <c r="F240" i="15"/>
  <c r="F239" i="15"/>
  <c r="F238" i="15"/>
  <c r="F235" i="15"/>
  <c r="F233" i="15"/>
  <c r="F232" i="15"/>
  <c r="E231" i="15"/>
  <c r="F220" i="15"/>
  <c r="F219" i="15"/>
  <c r="F230" i="15"/>
  <c r="F229" i="15"/>
  <c r="F227" i="15"/>
  <c r="F224" i="15"/>
  <c r="F226" i="15"/>
  <c r="F225" i="15"/>
  <c r="F223" i="15"/>
  <c r="F222" i="15"/>
  <c r="E218" i="15"/>
  <c r="F210" i="15"/>
  <c r="F209" i="15"/>
  <c r="F208" i="15"/>
  <c r="F207" i="15"/>
  <c r="D206" i="15"/>
  <c r="E182" i="15"/>
  <c r="E196" i="15"/>
  <c r="E195" i="15"/>
  <c r="E194" i="15"/>
  <c r="E193" i="15"/>
  <c r="E192" i="15"/>
  <c r="E191" i="15"/>
  <c r="E189" i="15"/>
  <c r="E188" i="15"/>
  <c r="E186" i="15"/>
  <c r="E185" i="15"/>
  <c r="E184" i="15"/>
  <c r="H184" i="15" s="1"/>
  <c r="L184" i="15" s="1"/>
  <c r="E183" i="15"/>
  <c r="E181" i="15"/>
  <c r="H181" i="15" s="1"/>
  <c r="L181" i="15" s="1"/>
  <c r="D180" i="15"/>
  <c r="E178" i="15"/>
  <c r="H178" i="15" s="1"/>
  <c r="L178" i="15" s="1"/>
  <c r="E177" i="15"/>
  <c r="H177" i="15" s="1"/>
  <c r="L177" i="15" s="1"/>
  <c r="E176" i="15"/>
  <c r="H176" i="15" s="1"/>
  <c r="L176" i="15" s="1"/>
  <c r="E175" i="15"/>
  <c r="H175" i="15" s="1"/>
  <c r="L175" i="15" s="1"/>
  <c r="D174" i="15"/>
  <c r="D168" i="15"/>
  <c r="E166" i="15"/>
  <c r="E165" i="15"/>
  <c r="E164" i="15"/>
  <c r="E163" i="15"/>
  <c r="E162" i="15"/>
  <c r="E161" i="15"/>
  <c r="E160" i="15"/>
  <c r="E145" i="15"/>
  <c r="E159" i="15"/>
  <c r="H159" i="15" s="1"/>
  <c r="L159" i="15" s="1"/>
  <c r="E158" i="15"/>
  <c r="H158" i="15" s="1"/>
  <c r="L158" i="15" s="1"/>
  <c r="E157" i="15"/>
  <c r="H157" i="15" s="1"/>
  <c r="L157" i="15" s="1"/>
  <c r="E156" i="15"/>
  <c r="H156" i="15" s="1"/>
  <c r="L156" i="15" s="1"/>
  <c r="E155" i="15"/>
  <c r="H155" i="15" s="1"/>
  <c r="L155" i="15" s="1"/>
  <c r="E154" i="15"/>
  <c r="H154" i="15" s="1"/>
  <c r="L154" i="15" s="1"/>
  <c r="E153" i="15"/>
  <c r="H153" i="15" s="1"/>
  <c r="L153" i="15" s="1"/>
  <c r="E152" i="15"/>
  <c r="H152" i="15" s="1"/>
  <c r="L152" i="15" s="1"/>
  <c r="E151" i="15"/>
  <c r="H151" i="15" s="1"/>
  <c r="L151" i="15" s="1"/>
  <c r="E150" i="15"/>
  <c r="H150" i="15" s="1"/>
  <c r="L150" i="15" s="1"/>
  <c r="E149" i="15"/>
  <c r="H149" i="15" s="1"/>
  <c r="L149" i="15" s="1"/>
  <c r="E148" i="15"/>
  <c r="H148" i="15" s="1"/>
  <c r="L148" i="15" s="1"/>
  <c r="E147" i="15"/>
  <c r="H147" i="15" s="1"/>
  <c r="L147" i="15" s="1"/>
  <c r="E146" i="15"/>
  <c r="H146" i="15" s="1"/>
  <c r="L146" i="15" s="1"/>
  <c r="E144" i="15"/>
  <c r="H144" i="15" s="1"/>
  <c r="L144" i="15" s="1"/>
  <c r="E143" i="15"/>
  <c r="H143" i="15" s="1"/>
  <c r="L143" i="15" s="1"/>
  <c r="E142" i="15"/>
  <c r="H142" i="15" s="1"/>
  <c r="L142" i="15" s="1"/>
  <c r="E141" i="15"/>
  <c r="H141" i="15" s="1"/>
  <c r="L141" i="15" s="1"/>
  <c r="E140" i="15"/>
  <c r="H140" i="15" s="1"/>
  <c r="L140" i="15" s="1"/>
  <c r="E139" i="15"/>
  <c r="H139" i="15" s="1"/>
  <c r="L139" i="15" s="1"/>
  <c r="E138" i="15"/>
  <c r="H138" i="15" s="1"/>
  <c r="L138" i="15" s="1"/>
  <c r="E137" i="15"/>
  <c r="H137" i="15" s="1"/>
  <c r="L137" i="15" s="1"/>
  <c r="E136" i="15"/>
  <c r="H136" i="15" s="1"/>
  <c r="L136" i="15" s="1"/>
  <c r="E135" i="15"/>
  <c r="H135" i="15" s="1"/>
  <c r="L135" i="15" s="1"/>
  <c r="E133" i="15"/>
  <c r="H133" i="15" s="1"/>
  <c r="L133" i="15" s="1"/>
  <c r="E132" i="15"/>
  <c r="H132" i="15" s="1"/>
  <c r="L132" i="15" s="1"/>
  <c r="E131" i="15"/>
  <c r="H131" i="15" s="1"/>
  <c r="L131" i="15" s="1"/>
  <c r="E130" i="15"/>
  <c r="H130" i="15" s="1"/>
  <c r="L130" i="15" s="1"/>
  <c r="E129" i="15"/>
  <c r="H129" i="15" s="1"/>
  <c r="L129" i="15" s="1"/>
  <c r="E128" i="15"/>
  <c r="H128" i="15" s="1"/>
  <c r="L128" i="15" s="1"/>
  <c r="E127" i="15"/>
  <c r="H127" i="15" s="1"/>
  <c r="L127" i="15" s="1"/>
  <c r="D126" i="15"/>
  <c r="F71" i="15"/>
  <c r="H71" i="15" s="1"/>
  <c r="L71" i="15" s="1"/>
  <c r="F70" i="15"/>
  <c r="H70" i="15" s="1"/>
  <c r="L70" i="15" s="1"/>
  <c r="F69" i="15"/>
  <c r="H69" i="15" s="1"/>
  <c r="L69" i="15" s="1"/>
  <c r="F68" i="15"/>
  <c r="H68" i="15" s="1"/>
  <c r="L68" i="15" s="1"/>
  <c r="F67" i="15"/>
  <c r="H67" i="15" s="1"/>
  <c r="L67" i="15" s="1"/>
  <c r="F65" i="15"/>
  <c r="H65" i="15" s="1"/>
  <c r="L65" i="15" s="1"/>
  <c r="F64" i="15"/>
  <c r="H64" i="15" s="1"/>
  <c r="L64" i="15" s="1"/>
  <c r="F63" i="15"/>
  <c r="H63" i="15" s="1"/>
  <c r="L63" i="15" s="1"/>
  <c r="F62" i="15"/>
  <c r="H62" i="15" s="1"/>
  <c r="L62" i="15" s="1"/>
  <c r="F61" i="15"/>
  <c r="H61" i="15" s="1"/>
  <c r="L61" i="15" s="1"/>
  <c r="F59" i="15"/>
  <c r="H59" i="15" s="1"/>
  <c r="L59" i="15" s="1"/>
  <c r="F58" i="15"/>
  <c r="H58" i="15" s="1"/>
  <c r="L58" i="15" s="1"/>
  <c r="E56" i="15"/>
  <c r="H56" i="15" s="1"/>
  <c r="L56" i="15" s="1"/>
  <c r="E55" i="15"/>
  <c r="H55" i="15" s="1"/>
  <c r="L55" i="15" s="1"/>
  <c r="E54" i="15"/>
  <c r="H54" i="15" s="1"/>
  <c r="L54" i="15" s="1"/>
  <c r="E53" i="15"/>
  <c r="H53" i="15" s="1"/>
  <c r="L53" i="15" s="1"/>
  <c r="E52" i="15"/>
  <c r="H52" i="15" s="1"/>
  <c r="L52" i="15" s="1"/>
  <c r="E51" i="15"/>
  <c r="H51" i="15" s="1"/>
  <c r="L51" i="15" s="1"/>
  <c r="E50" i="15"/>
  <c r="H50" i="15" s="1"/>
  <c r="L50" i="15" s="1"/>
  <c r="E49" i="15"/>
  <c r="H49" i="15" s="1"/>
  <c r="L49" i="15" s="1"/>
  <c r="E48" i="15"/>
  <c r="H48" i="15" s="1"/>
  <c r="L48" i="15" s="1"/>
  <c r="E47" i="15"/>
  <c r="H47" i="15" s="1"/>
  <c r="L47" i="15" s="1"/>
  <c r="E46" i="15"/>
  <c r="H46" i="15" s="1"/>
  <c r="L46" i="15" s="1"/>
  <c r="E45" i="15"/>
  <c r="H45" i="15" s="1"/>
  <c r="L45" i="15" s="1"/>
  <c r="E44" i="15"/>
  <c r="H44" i="15" s="1"/>
  <c r="L44" i="15" s="1"/>
  <c r="E43" i="15"/>
  <c r="H43" i="15" s="1"/>
  <c r="L43" i="15" s="1"/>
  <c r="E42" i="15"/>
  <c r="H42" i="15" s="1"/>
  <c r="L42" i="15" s="1"/>
  <c r="E41" i="15"/>
  <c r="H41" i="15" s="1"/>
  <c r="L41" i="15" s="1"/>
  <c r="E40" i="15"/>
  <c r="H40" i="15" s="1"/>
  <c r="L40" i="15" s="1"/>
  <c r="D39" i="15"/>
  <c r="D37" i="15"/>
  <c r="D32" i="15"/>
  <c r="H27" i="15"/>
  <c r="D25" i="15"/>
  <c r="D563" i="14"/>
  <c r="D561" i="14"/>
  <c r="D559" i="14"/>
  <c r="D557" i="14"/>
  <c r="D553" i="14"/>
  <c r="D551" i="14"/>
  <c r="E547" i="14"/>
  <c r="H547" i="14" s="1"/>
  <c r="L547" i="14" s="1"/>
  <c r="D546" i="14"/>
  <c r="E536" i="14"/>
  <c r="H536" i="14" s="1"/>
  <c r="L536" i="14" s="1"/>
  <c r="E535" i="14"/>
  <c r="H535" i="14" s="1"/>
  <c r="L535" i="14" s="1"/>
  <c r="E534" i="14"/>
  <c r="H534" i="14" s="1"/>
  <c r="L534" i="14" s="1"/>
  <c r="E533" i="14"/>
  <c r="H533" i="14" s="1"/>
  <c r="L533" i="14" s="1"/>
  <c r="E532" i="14"/>
  <c r="H532" i="14" s="1"/>
  <c r="L532" i="14" s="1"/>
  <c r="E531" i="14"/>
  <c r="H531" i="14" s="1"/>
  <c r="L531" i="14" s="1"/>
  <c r="E530" i="14"/>
  <c r="H530" i="14" s="1"/>
  <c r="L530" i="14" s="1"/>
  <c r="E529" i="14"/>
  <c r="H529" i="14" s="1"/>
  <c r="L529" i="14" s="1"/>
  <c r="D527" i="14"/>
  <c r="E514" i="14"/>
  <c r="H514" i="14" s="1"/>
  <c r="L514" i="14" s="1"/>
  <c r="E513" i="14"/>
  <c r="H513" i="14" s="1"/>
  <c r="L513" i="14" s="1"/>
  <c r="E512" i="14"/>
  <c r="H512" i="14" s="1"/>
  <c r="L512" i="14" s="1"/>
  <c r="E511" i="14"/>
  <c r="H511" i="14" s="1"/>
  <c r="L511" i="14" s="1"/>
  <c r="E510" i="14"/>
  <c r="H510" i="14" s="1"/>
  <c r="L510" i="14" s="1"/>
  <c r="E509" i="14"/>
  <c r="H509" i="14" s="1"/>
  <c r="L509" i="14" s="1"/>
  <c r="E508" i="14"/>
  <c r="H508" i="14" s="1"/>
  <c r="L508" i="14" s="1"/>
  <c r="E507" i="14"/>
  <c r="H507" i="14" s="1"/>
  <c r="L507" i="14" s="1"/>
  <c r="E506" i="14"/>
  <c r="H506" i="14" s="1"/>
  <c r="L506" i="14" s="1"/>
  <c r="E505" i="14"/>
  <c r="H505" i="14" s="1"/>
  <c r="L505" i="14" s="1"/>
  <c r="E504" i="14"/>
  <c r="H504" i="14" s="1"/>
  <c r="L504" i="14" s="1"/>
  <c r="D502" i="14"/>
  <c r="E500" i="14"/>
  <c r="H500" i="14" s="1"/>
  <c r="L500" i="14" s="1"/>
  <c r="E499" i="14"/>
  <c r="H499" i="14" s="1"/>
  <c r="L499" i="14" s="1"/>
  <c r="E498" i="14"/>
  <c r="H498" i="14" s="1"/>
  <c r="L498" i="14" s="1"/>
  <c r="E497" i="14"/>
  <c r="H497" i="14" s="1"/>
  <c r="L497" i="14" s="1"/>
  <c r="E496" i="14"/>
  <c r="H496" i="14" s="1"/>
  <c r="L496" i="14" s="1"/>
  <c r="D495" i="14"/>
  <c r="E493" i="14"/>
  <c r="H493" i="14" s="1"/>
  <c r="L493" i="14" s="1"/>
  <c r="E492" i="14"/>
  <c r="H492" i="14" s="1"/>
  <c r="L492" i="14" s="1"/>
  <c r="E491" i="14"/>
  <c r="H491" i="14" s="1"/>
  <c r="L491" i="14" s="1"/>
  <c r="E490" i="14"/>
  <c r="H490" i="14" s="1"/>
  <c r="L490" i="14" s="1"/>
  <c r="E489" i="14"/>
  <c r="H489" i="14" s="1"/>
  <c r="L489" i="14" s="1"/>
  <c r="E488" i="14"/>
  <c r="H488" i="14" s="1"/>
  <c r="L488" i="14" s="1"/>
  <c r="D487" i="14"/>
  <c r="D485" i="14"/>
  <c r="E483" i="14"/>
  <c r="H483" i="14" s="1"/>
  <c r="L483" i="14" s="1"/>
  <c r="E482" i="14"/>
  <c r="H482" i="14" s="1"/>
  <c r="L482" i="14" s="1"/>
  <c r="E481" i="14"/>
  <c r="H481" i="14" s="1"/>
  <c r="L481" i="14" s="1"/>
  <c r="D480" i="14"/>
  <c r="E478" i="14"/>
  <c r="H478" i="14" s="1"/>
  <c r="L478" i="14" s="1"/>
  <c r="E477" i="14"/>
  <c r="H477" i="14" s="1"/>
  <c r="L477" i="14" s="1"/>
  <c r="E476" i="14"/>
  <c r="H476" i="14" s="1"/>
  <c r="L476" i="14" s="1"/>
  <c r="E475" i="14"/>
  <c r="H475" i="14" s="1"/>
  <c r="L475" i="14" s="1"/>
  <c r="E474" i="14"/>
  <c r="H474" i="14" s="1"/>
  <c r="L474" i="14" s="1"/>
  <c r="H473" i="14"/>
  <c r="L473" i="14" s="1"/>
  <c r="D472" i="14"/>
  <c r="D468" i="14"/>
  <c r="E466" i="14"/>
  <c r="E465" i="14"/>
  <c r="H465" i="14" s="1"/>
  <c r="L465" i="14" s="1"/>
  <c r="E464" i="14"/>
  <c r="H464" i="14" s="1"/>
  <c r="L464" i="14" s="1"/>
  <c r="D463" i="14"/>
  <c r="D461" i="14"/>
  <c r="D459" i="14"/>
  <c r="D443" i="14"/>
  <c r="D385" i="14"/>
  <c r="D382" i="14"/>
  <c r="F357" i="14"/>
  <c r="F356" i="14"/>
  <c r="F355" i="14"/>
  <c r="F352" i="14"/>
  <c r="F351" i="14"/>
  <c r="E350" i="14"/>
  <c r="F349" i="14"/>
  <c r="F348" i="14"/>
  <c r="F347" i="14"/>
  <c r="F346" i="14"/>
  <c r="F345" i="14"/>
  <c r="F342" i="14"/>
  <c r="F341" i="14"/>
  <c r="E340" i="14"/>
  <c r="G379" i="14"/>
  <c r="G378" i="14"/>
  <c r="G377" i="14"/>
  <c r="G376" i="14"/>
  <c r="G375" i="14"/>
  <c r="G374" i="14"/>
  <c r="G373" i="14"/>
  <c r="F372" i="14"/>
  <c r="F371" i="14"/>
  <c r="F370" i="14"/>
  <c r="E367" i="14"/>
  <c r="F366" i="14"/>
  <c r="F365" i="14"/>
  <c r="F364" i="14"/>
  <c r="F363" i="14"/>
  <c r="F360" i="14"/>
  <c r="F359" i="14"/>
  <c r="E358" i="14"/>
  <c r="F339" i="14"/>
  <c r="F338" i="14"/>
  <c r="F337" i="14"/>
  <c r="F334" i="14"/>
  <c r="F333" i="14"/>
  <c r="F331" i="14"/>
  <c r="F330" i="14"/>
  <c r="F329" i="14"/>
  <c r="F328" i="14"/>
  <c r="F327" i="14"/>
  <c r="F326" i="14"/>
  <c r="F325" i="14"/>
  <c r="F324" i="14"/>
  <c r="F323" i="14"/>
  <c r="F322" i="14"/>
  <c r="F321" i="14"/>
  <c r="F319" i="14"/>
  <c r="F318" i="14"/>
  <c r="F317" i="14"/>
  <c r="E316" i="14"/>
  <c r="F308" i="14"/>
  <c r="F307" i="14"/>
  <c r="F306" i="14"/>
  <c r="F305" i="14"/>
  <c r="F304" i="14"/>
  <c r="F302" i="14"/>
  <c r="F301" i="14"/>
  <c r="F300" i="14"/>
  <c r="E299" i="14"/>
  <c r="F298" i="14"/>
  <c r="F297" i="14"/>
  <c r="F296" i="14"/>
  <c r="F295" i="14"/>
  <c r="F294" i="14"/>
  <c r="F292" i="14"/>
  <c r="F291" i="14"/>
  <c r="F290" i="14"/>
  <c r="E289" i="14"/>
  <c r="F288" i="14"/>
  <c r="F287" i="14"/>
  <c r="F286" i="14"/>
  <c r="F285" i="14"/>
  <c r="F284" i="14"/>
  <c r="F282" i="14"/>
  <c r="F281" i="14"/>
  <c r="F280" i="14"/>
  <c r="E279" i="14"/>
  <c r="F278" i="14"/>
  <c r="F277" i="14"/>
  <c r="F276" i="14"/>
  <c r="F275" i="14"/>
  <c r="F273" i="14"/>
  <c r="F272" i="14"/>
  <c r="F271" i="14"/>
  <c r="E270" i="14"/>
  <c r="F269" i="14"/>
  <c r="F268" i="14"/>
  <c r="F267" i="14"/>
  <c r="F266" i="14"/>
  <c r="F265" i="14"/>
  <c r="F264" i="14"/>
  <c r="F263" i="14"/>
  <c r="F262" i="14"/>
  <c r="F261" i="14"/>
  <c r="F260" i="14"/>
  <c r="F257" i="14"/>
  <c r="F256" i="14"/>
  <c r="E255" i="14"/>
  <c r="F254" i="14"/>
  <c r="F253" i="14"/>
  <c r="F252" i="14"/>
  <c r="F251" i="14"/>
  <c r="F250" i="14"/>
  <c r="F249" i="14"/>
  <c r="F248" i="14"/>
  <c r="F247" i="14"/>
  <c r="F246" i="14"/>
  <c r="F245" i="14"/>
  <c r="F244" i="14"/>
  <c r="F243" i="14"/>
  <c r="F242" i="14"/>
  <c r="F237" i="14"/>
  <c r="F241" i="14"/>
  <c r="F240" i="14"/>
  <c r="F239" i="14"/>
  <c r="F238" i="14"/>
  <c r="F235" i="14"/>
  <c r="F233" i="14"/>
  <c r="F232" i="14"/>
  <c r="E231" i="14"/>
  <c r="F220" i="14"/>
  <c r="F219" i="14"/>
  <c r="F230" i="14"/>
  <c r="F229" i="14"/>
  <c r="F227" i="14"/>
  <c r="F224" i="14"/>
  <c r="F226" i="14"/>
  <c r="F225" i="14"/>
  <c r="F223" i="14"/>
  <c r="F222" i="14"/>
  <c r="E218" i="14"/>
  <c r="F210" i="14"/>
  <c r="F209" i="14"/>
  <c r="F208" i="14"/>
  <c r="F207" i="14"/>
  <c r="D206" i="14"/>
  <c r="E182" i="14"/>
  <c r="E196" i="14"/>
  <c r="E195" i="14"/>
  <c r="E194" i="14"/>
  <c r="E193" i="14"/>
  <c r="E192" i="14"/>
  <c r="E191" i="14"/>
  <c r="E189" i="14"/>
  <c r="E188" i="14"/>
  <c r="E186" i="14"/>
  <c r="E185" i="14"/>
  <c r="E184" i="14"/>
  <c r="H184" i="14" s="1"/>
  <c r="L184" i="14" s="1"/>
  <c r="E183" i="14"/>
  <c r="E181" i="14"/>
  <c r="D180" i="14"/>
  <c r="E178" i="14"/>
  <c r="E177" i="14"/>
  <c r="H177" i="14" s="1"/>
  <c r="L177" i="14" s="1"/>
  <c r="D168" i="14"/>
  <c r="E159" i="14"/>
  <c r="E158" i="14"/>
  <c r="E157" i="14"/>
  <c r="E156" i="14"/>
  <c r="E155" i="14"/>
  <c r="E154" i="14"/>
  <c r="E153" i="14"/>
  <c r="E152" i="14"/>
  <c r="E151" i="14"/>
  <c r="E150" i="14"/>
  <c r="H150" i="14" s="1"/>
  <c r="L150" i="14" s="1"/>
  <c r="E149" i="14"/>
  <c r="E148" i="14"/>
  <c r="E147" i="14"/>
  <c r="E146" i="14"/>
  <c r="E144" i="14"/>
  <c r="E143" i="14"/>
  <c r="E142" i="14"/>
  <c r="E141" i="14"/>
  <c r="E140" i="14"/>
  <c r="E139" i="14"/>
  <c r="E138" i="14"/>
  <c r="E137" i="14"/>
  <c r="E136" i="14"/>
  <c r="H136" i="14" s="1"/>
  <c r="L136" i="14" s="1"/>
  <c r="E135" i="14"/>
  <c r="H135" i="14" s="1"/>
  <c r="L135" i="14" s="1"/>
  <c r="E133" i="14"/>
  <c r="E132" i="14"/>
  <c r="H132" i="14" s="1"/>
  <c r="L132" i="14" s="1"/>
  <c r="E131" i="14"/>
  <c r="H131" i="14" s="1"/>
  <c r="L131" i="14" s="1"/>
  <c r="E130" i="14"/>
  <c r="E129" i="14"/>
  <c r="E128" i="14"/>
  <c r="H128" i="14" s="1"/>
  <c r="L128" i="14" s="1"/>
  <c r="E127" i="14"/>
  <c r="D126" i="14"/>
  <c r="F97" i="14"/>
  <c r="F95" i="14"/>
  <c r="F94" i="14"/>
  <c r="F93" i="14"/>
  <c r="F92" i="14"/>
  <c r="F90" i="14"/>
  <c r="F89" i="14"/>
  <c r="F88" i="14"/>
  <c r="F87" i="14"/>
  <c r="F86" i="14"/>
  <c r="F85" i="14"/>
  <c r="F84" i="14"/>
  <c r="F82" i="14"/>
  <c r="F81" i="14"/>
  <c r="F80" i="14"/>
  <c r="F79" i="14"/>
  <c r="F78" i="14"/>
  <c r="F77" i="14"/>
  <c r="F76" i="14"/>
  <c r="F75" i="14"/>
  <c r="F74" i="14"/>
  <c r="F73" i="14"/>
  <c r="F72" i="14"/>
  <c r="F71" i="14"/>
  <c r="F70" i="14"/>
  <c r="F69" i="14"/>
  <c r="F68" i="14"/>
  <c r="F67" i="14"/>
  <c r="F65" i="14"/>
  <c r="F64" i="14"/>
  <c r="F63" i="14"/>
  <c r="F62" i="14"/>
  <c r="F61" i="14"/>
  <c r="F59" i="14"/>
  <c r="F58" i="14"/>
  <c r="E56" i="14"/>
  <c r="E55" i="14"/>
  <c r="H55" i="14" s="1"/>
  <c r="L55" i="14" s="1"/>
  <c r="E54" i="14"/>
  <c r="E53" i="14"/>
  <c r="E52" i="14"/>
  <c r="H52" i="14" s="1"/>
  <c r="L52" i="14" s="1"/>
  <c r="E51" i="14"/>
  <c r="H51" i="14" s="1"/>
  <c r="L51" i="14" s="1"/>
  <c r="E50" i="14"/>
  <c r="H50" i="14" s="1"/>
  <c r="L50" i="14" s="1"/>
  <c r="E49" i="14"/>
  <c r="H49" i="14" s="1"/>
  <c r="L49" i="14" s="1"/>
  <c r="E48" i="14"/>
  <c r="E47" i="14"/>
  <c r="E46" i="14"/>
  <c r="E45" i="14"/>
  <c r="E44" i="14"/>
  <c r="H44" i="14" s="1"/>
  <c r="L44" i="14" s="1"/>
  <c r="E43" i="14"/>
  <c r="H43" i="14" s="1"/>
  <c r="L43" i="14" s="1"/>
  <c r="E42" i="14"/>
  <c r="H42" i="14" s="1"/>
  <c r="L42" i="14" s="1"/>
  <c r="E41" i="14"/>
  <c r="H41" i="14" s="1"/>
  <c r="L41" i="14" s="1"/>
  <c r="E40" i="14"/>
  <c r="D39" i="14"/>
  <c r="D37" i="14"/>
  <c r="D32" i="14"/>
  <c r="D27" i="14"/>
  <c r="H31" i="14" s="1"/>
  <c r="D25" i="14"/>
  <c r="E454" i="8"/>
  <c r="A454" i="19" s="1"/>
  <c r="K454" i="19" s="1"/>
  <c r="E453" i="8"/>
  <c r="A453" i="19" s="1"/>
  <c r="K453" i="19" s="1"/>
  <c r="E452" i="8"/>
  <c r="E451" i="8"/>
  <c r="E450" i="8"/>
  <c r="A450" i="19" s="1"/>
  <c r="K450" i="19" s="1"/>
  <c r="E449" i="8"/>
  <c r="E448" i="8"/>
  <c r="E447" i="8"/>
  <c r="E446" i="8"/>
  <c r="A446" i="19" s="1"/>
  <c r="K446" i="19" s="1"/>
  <c r="E445" i="8"/>
  <c r="E444" i="8"/>
  <c r="D443" i="8"/>
  <c r="E440" i="8"/>
  <c r="A440" i="15" s="1"/>
  <c r="E439" i="8"/>
  <c r="A439" i="19" s="1"/>
  <c r="E438" i="8"/>
  <c r="A438" i="19" s="1"/>
  <c r="E437" i="8"/>
  <c r="A437" i="15" s="1"/>
  <c r="E436" i="8"/>
  <c r="E435" i="8"/>
  <c r="A435" i="19" s="1"/>
  <c r="E434" i="8"/>
  <c r="A434" i="17" s="1"/>
  <c r="E433" i="8"/>
  <c r="E432" i="8"/>
  <c r="E431" i="8"/>
  <c r="A431" i="19" s="1"/>
  <c r="E430" i="8"/>
  <c r="A430" i="15" s="1"/>
  <c r="E429" i="8"/>
  <c r="A429" i="17" s="1"/>
  <c r="E428" i="8"/>
  <c r="E427" i="8"/>
  <c r="A427" i="19" s="1"/>
  <c r="E426" i="8"/>
  <c r="A426" i="15" s="1"/>
  <c r="E425" i="8"/>
  <c r="A425" i="14" s="1"/>
  <c r="E424" i="8"/>
  <c r="A424" i="14" s="1"/>
  <c r="E423" i="8"/>
  <c r="A423" i="19" s="1"/>
  <c r="E422" i="8"/>
  <c r="A422" i="14" s="1"/>
  <c r="E421" i="8"/>
  <c r="A421" i="17" s="1"/>
  <c r="E420" i="8"/>
  <c r="A420" i="17" s="1"/>
  <c r="E419" i="8"/>
  <c r="A419" i="19" s="1"/>
  <c r="E418" i="8"/>
  <c r="A418" i="17" s="1"/>
  <c r="E417" i="8"/>
  <c r="A417" i="15" s="1"/>
  <c r="E416" i="8"/>
  <c r="A416" i="17" s="1"/>
  <c r="E415" i="8"/>
  <c r="A415" i="19" s="1"/>
  <c r="E414" i="8"/>
  <c r="A414" i="19" s="1"/>
  <c r="E413" i="8"/>
  <c r="E412" i="8"/>
  <c r="A412" i="15" s="1"/>
  <c r="E411" i="8"/>
  <c r="A411" i="19" s="1"/>
  <c r="E410" i="8"/>
  <c r="A410" i="14" s="1"/>
  <c r="E409" i="8"/>
  <c r="A409" i="14" s="1"/>
  <c r="E408" i="8"/>
  <c r="A408" i="19" s="1"/>
  <c r="E407" i="8"/>
  <c r="A407" i="19" s="1"/>
  <c r="E406" i="8"/>
  <c r="A406" i="15" s="1"/>
  <c r="E405" i="8"/>
  <c r="A405" i="15" s="1"/>
  <c r="E404" i="8"/>
  <c r="E403" i="8"/>
  <c r="A403" i="19" s="1"/>
  <c r="E402" i="8"/>
  <c r="A402" i="14" s="1"/>
  <c r="E401" i="8"/>
  <c r="E400" i="8"/>
  <c r="A400" i="14" s="1"/>
  <c r="E399" i="8"/>
  <c r="A399" i="19" s="1"/>
  <c r="E398" i="8"/>
  <c r="A398" i="19" s="1"/>
  <c r="E397" i="8"/>
  <c r="A397" i="17" s="1"/>
  <c r="E396" i="8"/>
  <c r="E395" i="8"/>
  <c r="A395" i="19" s="1"/>
  <c r="E394" i="8"/>
  <c r="A394" i="15" s="1"/>
  <c r="E393" i="8"/>
  <c r="A393" i="17" s="1"/>
  <c r="E392" i="8"/>
  <c r="A392" i="19" s="1"/>
  <c r="E391" i="8"/>
  <c r="A391" i="19" s="1"/>
  <c r="E390" i="8"/>
  <c r="A390" i="15" s="1"/>
  <c r="E389" i="8"/>
  <c r="A389" i="17" s="1"/>
  <c r="E388" i="8"/>
  <c r="A388" i="14" s="1"/>
  <c r="E387" i="8"/>
  <c r="A387" i="19" s="1"/>
  <c r="E386" i="8"/>
  <c r="A386" i="17" s="1"/>
  <c r="D385" i="8"/>
  <c r="H385" i="8" s="1"/>
  <c r="F357" i="8"/>
  <c r="A357" i="15" s="1"/>
  <c r="F356" i="8"/>
  <c r="A356" i="14" s="1"/>
  <c r="F355" i="8"/>
  <c r="A355" i="15" s="1"/>
  <c r="F352" i="8"/>
  <c r="F351" i="8"/>
  <c r="A351" i="15" s="1"/>
  <c r="E350" i="8"/>
  <c r="A350" i="14" s="1"/>
  <c r="F349" i="8"/>
  <c r="A349" i="14" s="1"/>
  <c r="F348" i="8"/>
  <c r="A348" i="17" s="1"/>
  <c r="F347" i="8"/>
  <c r="F346" i="8"/>
  <c r="A346" i="15" s="1"/>
  <c r="F345" i="8"/>
  <c r="F342" i="8"/>
  <c r="A341" i="19" s="1"/>
  <c r="F341" i="8"/>
  <c r="A341" i="15" s="1"/>
  <c r="E340" i="8"/>
  <c r="A340" i="14" s="1"/>
  <c r="G379" i="8"/>
  <c r="A379" i="19" s="1"/>
  <c r="K379" i="19" s="1"/>
  <c r="G378" i="8"/>
  <c r="A378" i="15" s="1"/>
  <c r="K378" i="15" s="1"/>
  <c r="G377" i="8"/>
  <c r="A377" i="19" s="1"/>
  <c r="K377" i="19" s="1"/>
  <c r="G376" i="8"/>
  <c r="A376" i="19" s="1"/>
  <c r="K376" i="19" s="1"/>
  <c r="G375" i="8"/>
  <c r="A375" i="19" s="1"/>
  <c r="K375" i="19" s="1"/>
  <c r="G374" i="8"/>
  <c r="G373" i="8"/>
  <c r="A373" i="19" s="1"/>
  <c r="K373" i="19" s="1"/>
  <c r="E204" i="8"/>
  <c r="A204" i="17" s="1"/>
  <c r="E203" i="8"/>
  <c r="E202" i="8"/>
  <c r="A202" i="14" s="1"/>
  <c r="E201" i="8"/>
  <c r="E200" i="8"/>
  <c r="H200" i="8" s="1"/>
  <c r="E199" i="8"/>
  <c r="H199" i="8" s="1"/>
  <c r="E198" i="8"/>
  <c r="A198" i="17" s="1"/>
  <c r="E197" i="8"/>
  <c r="A197" i="15" s="1"/>
  <c r="K197" i="15" s="1"/>
  <c r="E190" i="8"/>
  <c r="A190" i="15" s="1"/>
  <c r="K190" i="15" s="1"/>
  <c r="E187" i="8"/>
  <c r="A187" i="14" s="1"/>
  <c r="E182" i="8"/>
  <c r="A182" i="14" s="1"/>
  <c r="E196" i="8"/>
  <c r="E195" i="8"/>
  <c r="A195" i="14" s="1"/>
  <c r="E194" i="8"/>
  <c r="A194" i="17" s="1"/>
  <c r="E193" i="8"/>
  <c r="A192" i="19" s="1"/>
  <c r="E192" i="8"/>
  <c r="E191" i="8"/>
  <c r="A191" i="14" s="1"/>
  <c r="E189" i="8"/>
  <c r="A189" i="15" s="1"/>
  <c r="E188" i="8"/>
  <c r="A187" i="19" s="1"/>
  <c r="E186" i="8"/>
  <c r="E185" i="8"/>
  <c r="A185" i="14" s="1"/>
  <c r="E184" i="8"/>
  <c r="H184" i="8" s="1"/>
  <c r="L184" i="8" s="1"/>
  <c r="E183" i="8"/>
  <c r="E181" i="8"/>
  <c r="D180" i="8"/>
  <c r="E178" i="8"/>
  <c r="A178" i="15" s="1"/>
  <c r="E177" i="8"/>
  <c r="A177" i="19" s="1"/>
  <c r="E176" i="8"/>
  <c r="E175" i="8"/>
  <c r="A175" i="14" s="1"/>
  <c r="D174" i="8"/>
  <c r="D168" i="8"/>
  <c r="E166" i="8"/>
  <c r="A166" i="14" s="1"/>
  <c r="E165" i="8"/>
  <c r="A165" i="15" s="1"/>
  <c r="E164" i="8"/>
  <c r="A164" i="17" s="1"/>
  <c r="E163" i="8"/>
  <c r="A163" i="14" s="1"/>
  <c r="E162" i="8"/>
  <c r="A162" i="14" s="1"/>
  <c r="E161" i="8"/>
  <c r="A161" i="19" s="1"/>
  <c r="E160" i="8"/>
  <c r="A160" i="19" s="1"/>
  <c r="E145" i="8"/>
  <c r="A145" i="15" s="1"/>
  <c r="E159" i="8"/>
  <c r="A159" i="14" s="1"/>
  <c r="E158" i="8"/>
  <c r="A158" i="15" s="1"/>
  <c r="E157" i="8"/>
  <c r="E156" i="8"/>
  <c r="A156" i="14" s="1"/>
  <c r="E155" i="8"/>
  <c r="A155" i="14" s="1"/>
  <c r="E154" i="8"/>
  <c r="A154" i="15" s="1"/>
  <c r="E153" i="8"/>
  <c r="A153" i="15" s="1"/>
  <c r="E152" i="8"/>
  <c r="A152" i="14" s="1"/>
  <c r="E151" i="8"/>
  <c r="A151" i="14" s="1"/>
  <c r="E150" i="8"/>
  <c r="A150" i="15" s="1"/>
  <c r="E149" i="8"/>
  <c r="A149" i="19" s="1"/>
  <c r="E148" i="8"/>
  <c r="A148" i="14" s="1"/>
  <c r="E147" i="8"/>
  <c r="A147" i="14" s="1"/>
  <c r="E146" i="8"/>
  <c r="A146" i="14" s="1"/>
  <c r="E144" i="8"/>
  <c r="A144" i="15" s="1"/>
  <c r="E143" i="8"/>
  <c r="A143" i="15" s="1"/>
  <c r="E142" i="8"/>
  <c r="A142" i="14" s="1"/>
  <c r="E141" i="8"/>
  <c r="A141" i="19" s="1"/>
  <c r="E140" i="8"/>
  <c r="E139" i="8"/>
  <c r="E138" i="8"/>
  <c r="A138" i="14" s="1"/>
  <c r="E137" i="8"/>
  <c r="A137" i="15" s="1"/>
  <c r="E136" i="8"/>
  <c r="E133" i="8"/>
  <c r="A133" i="17" s="1"/>
  <c r="E132" i="8"/>
  <c r="A132" i="14" s="1"/>
  <c r="E131" i="8"/>
  <c r="A131" i="19" s="1"/>
  <c r="E130" i="8"/>
  <c r="A130" i="19" s="1"/>
  <c r="E129" i="8"/>
  <c r="A129" i="17" s="1"/>
  <c r="E128" i="8"/>
  <c r="E127" i="8"/>
  <c r="A127" i="14" s="1"/>
  <c r="D126" i="8"/>
  <c r="F88" i="8"/>
  <c r="A88" i="17" s="1"/>
  <c r="F87" i="8"/>
  <c r="A87" i="19" s="1"/>
  <c r="F86" i="8"/>
  <c r="A86" i="14" s="1"/>
  <c r="F85" i="8"/>
  <c r="A85" i="14" s="1"/>
  <c r="F84" i="8"/>
  <c r="A84" i="15" s="1"/>
  <c r="K84" i="15" s="1"/>
  <c r="F82" i="8"/>
  <c r="A82" i="19" s="1"/>
  <c r="F81" i="8"/>
  <c r="A81" i="14" s="1"/>
  <c r="F80" i="8"/>
  <c r="A80" i="17" s="1"/>
  <c r="F79" i="8"/>
  <c r="A79" i="15" s="1"/>
  <c r="K79" i="15" s="1"/>
  <c r="F78" i="8"/>
  <c r="A78" i="19" s="1"/>
  <c r="F77" i="8"/>
  <c r="A77" i="17" s="1"/>
  <c r="F76" i="8"/>
  <c r="F75" i="8"/>
  <c r="A75" i="15" s="1"/>
  <c r="K75" i="15" s="1"/>
  <c r="F74" i="8"/>
  <c r="A74" i="19" s="1"/>
  <c r="F73" i="8"/>
  <c r="A73" i="17" s="1"/>
  <c r="F72" i="8"/>
  <c r="A72" i="14" s="1"/>
  <c r="F71" i="8"/>
  <c r="A71" i="15" s="1"/>
  <c r="F70" i="8"/>
  <c r="A70" i="19" s="1"/>
  <c r="F69" i="8"/>
  <c r="A69" i="14" s="1"/>
  <c r="F68" i="8"/>
  <c r="A68" i="17" s="1"/>
  <c r="F67" i="8"/>
  <c r="A67" i="14" s="1"/>
  <c r="F65" i="8"/>
  <c r="A65" i="19" s="1"/>
  <c r="F64" i="8"/>
  <c r="A64" i="14" s="1"/>
  <c r="F63" i="8"/>
  <c r="A63" i="17" s="1"/>
  <c r="F62" i="8"/>
  <c r="A62" i="17" s="1"/>
  <c r="F61" i="8"/>
  <c r="A61" i="19" s="1"/>
  <c r="F59" i="8"/>
  <c r="A59" i="19" s="1"/>
  <c r="F58" i="8"/>
  <c r="A58" i="15" s="1"/>
  <c r="E56" i="8"/>
  <c r="A56" i="15" s="1"/>
  <c r="E55" i="8"/>
  <c r="A55" i="14" s="1"/>
  <c r="E54" i="8"/>
  <c r="A54" i="14" s="1"/>
  <c r="E53" i="8"/>
  <c r="A53" i="17" s="1"/>
  <c r="E52" i="8"/>
  <c r="E51" i="8"/>
  <c r="A51" i="15" s="1"/>
  <c r="E50" i="8"/>
  <c r="A50" i="17" s="1"/>
  <c r="E49" i="8"/>
  <c r="A49" i="19" s="1"/>
  <c r="E48" i="8"/>
  <c r="E47" i="8"/>
  <c r="A47" i="14" s="1"/>
  <c r="E46" i="8"/>
  <c r="A46" i="14" s="1"/>
  <c r="E45" i="8"/>
  <c r="A45" i="17" s="1"/>
  <c r="E44" i="8"/>
  <c r="H44" i="8" s="1"/>
  <c r="E43" i="8"/>
  <c r="A43" i="15" s="1"/>
  <c r="E42" i="8"/>
  <c r="H42" i="8" s="1"/>
  <c r="L42" i="8" s="1"/>
  <c r="E41" i="8"/>
  <c r="A41" i="17" s="1"/>
  <c r="E40" i="8"/>
  <c r="D39" i="8"/>
  <c r="D37" i="8"/>
  <c r="D27" i="8"/>
  <c r="D25" i="8"/>
  <c r="E454" i="7"/>
  <c r="A454" i="8" s="1"/>
  <c r="K454" i="14" s="1"/>
  <c r="E453" i="7"/>
  <c r="A453" i="8" s="1"/>
  <c r="K453" i="14" s="1"/>
  <c r="E452" i="7"/>
  <c r="E451" i="7"/>
  <c r="E450" i="7"/>
  <c r="A450" i="8" s="1"/>
  <c r="K450" i="14" s="1"/>
  <c r="E449" i="7"/>
  <c r="E448" i="7"/>
  <c r="E447" i="7"/>
  <c r="E446" i="7"/>
  <c r="E445" i="7"/>
  <c r="A445" i="8" s="1"/>
  <c r="K445" i="14" s="1"/>
  <c r="E444" i="7"/>
  <c r="D443" i="7"/>
  <c r="H443" i="7" s="1"/>
  <c r="A440" i="8"/>
  <c r="K440" i="14" s="1"/>
  <c r="A436" i="8"/>
  <c r="K436" i="14" s="1"/>
  <c r="A435" i="8"/>
  <c r="K435" i="14" s="1"/>
  <c r="A434" i="8"/>
  <c r="K434" i="14" s="1"/>
  <c r="A432" i="8"/>
  <c r="K432" i="14" s="1"/>
  <c r="A428" i="8"/>
  <c r="K428" i="14" s="1"/>
  <c r="A424" i="8"/>
  <c r="K424" i="14" s="1"/>
  <c r="K421" i="7"/>
  <c r="A420" i="8"/>
  <c r="K420" i="14" s="1"/>
  <c r="A419" i="8"/>
  <c r="K419" i="14" s="1"/>
  <c r="A418" i="8"/>
  <c r="K418" i="14" s="1"/>
  <c r="A417" i="8"/>
  <c r="K417" i="14" s="1"/>
  <c r="A416" i="8"/>
  <c r="K416" i="14" s="1"/>
  <c r="A411" i="8"/>
  <c r="K411" i="14" s="1"/>
  <c r="A406" i="8"/>
  <c r="K406" i="14" s="1"/>
  <c r="A404" i="8"/>
  <c r="K404" i="14" s="1"/>
  <c r="A403" i="8"/>
  <c r="K403" i="14" s="1"/>
  <c r="A400" i="8"/>
  <c r="K400" i="14" s="1"/>
  <c r="A398" i="8"/>
  <c r="K398" i="14" s="1"/>
  <c r="A397" i="8"/>
  <c r="K397" i="14" s="1"/>
  <c r="A396" i="8"/>
  <c r="K396" i="14" s="1"/>
  <c r="A391" i="8"/>
  <c r="K391" i="14" s="1"/>
  <c r="A390" i="8"/>
  <c r="K390" i="14" s="1"/>
  <c r="A388" i="8"/>
  <c r="K388" i="14" s="1"/>
  <c r="A387" i="8"/>
  <c r="K387" i="14" s="1"/>
  <c r="E386" i="7"/>
  <c r="D385" i="7"/>
  <c r="H385" i="7" s="1"/>
  <c r="D382" i="7"/>
  <c r="F357" i="7"/>
  <c r="F356" i="7"/>
  <c r="F355" i="7"/>
  <c r="F352" i="7"/>
  <c r="F351" i="7"/>
  <c r="A351" i="8" s="1"/>
  <c r="E350" i="7"/>
  <c r="A350" i="8" s="1"/>
  <c r="F349" i="7"/>
  <c r="F348" i="7"/>
  <c r="A348" i="8" s="1"/>
  <c r="F347" i="7"/>
  <c r="F346" i="7"/>
  <c r="A346" i="8" s="1"/>
  <c r="F345" i="7"/>
  <c r="F342" i="7"/>
  <c r="A342" i="8" s="1"/>
  <c r="F341" i="7"/>
  <c r="E340" i="7"/>
  <c r="G379" i="7"/>
  <c r="G378" i="7"/>
  <c r="G377" i="7"/>
  <c r="G376" i="7"/>
  <c r="G375" i="7"/>
  <c r="G374" i="7"/>
  <c r="A374" i="8" s="1"/>
  <c r="G373" i="7"/>
  <c r="F372" i="7"/>
  <c r="F371" i="7"/>
  <c r="F370" i="7"/>
  <c r="A370" i="8" s="1"/>
  <c r="E367" i="7"/>
  <c r="A367" i="8" s="1"/>
  <c r="F366" i="7"/>
  <c r="A366" i="8" s="1"/>
  <c r="F365" i="7"/>
  <c r="F364" i="7"/>
  <c r="F363" i="7"/>
  <c r="A363" i="8" s="1"/>
  <c r="F360" i="7"/>
  <c r="F359" i="7"/>
  <c r="E358" i="7"/>
  <c r="A358" i="8" s="1"/>
  <c r="F339" i="7"/>
  <c r="F338" i="7"/>
  <c r="A338" i="8" s="1"/>
  <c r="F337" i="7"/>
  <c r="A337" i="8" s="1"/>
  <c r="F334" i="7"/>
  <c r="A334" i="8" s="1"/>
  <c r="F333" i="7"/>
  <c r="E332" i="7"/>
  <c r="A332" i="8" s="1"/>
  <c r="K332" i="14" s="1"/>
  <c r="F331" i="7"/>
  <c r="A331" i="8" s="1"/>
  <c r="F330" i="7"/>
  <c r="A330" i="8" s="1"/>
  <c r="F329" i="7"/>
  <c r="F328" i="7"/>
  <c r="A328" i="8" s="1"/>
  <c r="F327" i="7"/>
  <c r="F326" i="7"/>
  <c r="A326" i="8" s="1"/>
  <c r="F325" i="7"/>
  <c r="A325" i="8" s="1"/>
  <c r="F324" i="7"/>
  <c r="F323" i="7"/>
  <c r="F322" i="7"/>
  <c r="A322" i="8" s="1"/>
  <c r="F321" i="7"/>
  <c r="F319" i="7"/>
  <c r="F318" i="7"/>
  <c r="F317" i="7"/>
  <c r="A317" i="8" s="1"/>
  <c r="E316" i="7"/>
  <c r="A316" i="8" s="1"/>
  <c r="F308" i="7"/>
  <c r="A308" i="8" s="1"/>
  <c r="F307" i="7"/>
  <c r="F306" i="7"/>
  <c r="A306" i="8" s="1"/>
  <c r="F305" i="7"/>
  <c r="A305" i="8" s="1"/>
  <c r="F304" i="7"/>
  <c r="F302" i="7"/>
  <c r="F301" i="7"/>
  <c r="A301" i="8" s="1"/>
  <c r="F300" i="7"/>
  <c r="A300" i="8" s="1"/>
  <c r="E299" i="7"/>
  <c r="A299" i="8" s="1"/>
  <c r="F298" i="7"/>
  <c r="F297" i="7"/>
  <c r="F296" i="7"/>
  <c r="F295" i="7"/>
  <c r="F294" i="7"/>
  <c r="F292" i="7"/>
  <c r="A292" i="8" s="1"/>
  <c r="F291" i="7"/>
  <c r="A291" i="8" s="1"/>
  <c r="F290" i="7"/>
  <c r="E289" i="7"/>
  <c r="F288" i="7"/>
  <c r="A288" i="8" s="1"/>
  <c r="F287" i="7"/>
  <c r="F286" i="7"/>
  <c r="F285" i="7"/>
  <c r="F284" i="7"/>
  <c r="A284" i="8" s="1"/>
  <c r="F282" i="7"/>
  <c r="F281" i="7"/>
  <c r="F280" i="7"/>
  <c r="E279" i="7"/>
  <c r="A279" i="8" s="1"/>
  <c r="F278" i="7"/>
  <c r="F277" i="7"/>
  <c r="F276" i="7"/>
  <c r="F275" i="7"/>
  <c r="F273" i="7"/>
  <c r="A273" i="8" s="1"/>
  <c r="F272" i="7"/>
  <c r="A272" i="8" s="1"/>
  <c r="F271" i="7"/>
  <c r="E270" i="7"/>
  <c r="A270" i="8" s="1"/>
  <c r="F269" i="7"/>
  <c r="A269" i="8" s="1"/>
  <c r="F268" i="7"/>
  <c r="A268" i="8" s="1"/>
  <c r="F267" i="7"/>
  <c r="F266" i="7"/>
  <c r="A266" i="8" s="1"/>
  <c r="F265" i="7"/>
  <c r="A265" i="8" s="1"/>
  <c r="F264" i="7"/>
  <c r="F263" i="7"/>
  <c r="F262" i="7"/>
  <c r="F261" i="7"/>
  <c r="F260" i="7"/>
  <c r="F257" i="7"/>
  <c r="F256" i="7"/>
  <c r="A256" i="8" s="1"/>
  <c r="E255" i="7"/>
  <c r="F254" i="7"/>
  <c r="A254" i="8" s="1"/>
  <c r="F253" i="7"/>
  <c r="A253" i="8" s="1"/>
  <c r="F252" i="7"/>
  <c r="F251" i="7"/>
  <c r="F250" i="7"/>
  <c r="F249" i="7"/>
  <c r="F248" i="7"/>
  <c r="A248" i="8" s="1"/>
  <c r="F247" i="7"/>
  <c r="A247" i="8" s="1"/>
  <c r="F246" i="7"/>
  <c r="F245" i="7"/>
  <c r="F244" i="7"/>
  <c r="A244" i="8" s="1"/>
  <c r="F243" i="7"/>
  <c r="F242" i="7"/>
  <c r="A242" i="8" s="1"/>
  <c r="F237" i="7"/>
  <c r="F241" i="7"/>
  <c r="A241" i="8" s="1"/>
  <c r="F240" i="7"/>
  <c r="A240" i="8" s="1"/>
  <c r="F239" i="7"/>
  <c r="A239" i="8" s="1"/>
  <c r="F238" i="7"/>
  <c r="F235" i="7"/>
  <c r="A235" i="8" s="1"/>
  <c r="F233" i="7"/>
  <c r="F232" i="7"/>
  <c r="E231" i="7"/>
  <c r="F220" i="7"/>
  <c r="A220" i="8" s="1"/>
  <c r="F219" i="7"/>
  <c r="A219" i="8" s="1"/>
  <c r="F230" i="7"/>
  <c r="A230" i="8" s="1"/>
  <c r="F229" i="7"/>
  <c r="F227" i="7"/>
  <c r="A227" i="8" s="1"/>
  <c r="F224" i="7"/>
  <c r="F226" i="7"/>
  <c r="F225" i="7"/>
  <c r="A225" i="8" s="1"/>
  <c r="F223" i="7"/>
  <c r="A223" i="8" s="1"/>
  <c r="F222" i="7"/>
  <c r="E218" i="7"/>
  <c r="F210" i="7"/>
  <c r="A210" i="8" s="1"/>
  <c r="F209" i="7"/>
  <c r="A209" i="8" s="1"/>
  <c r="F208" i="7"/>
  <c r="F207" i="7"/>
  <c r="D206" i="7"/>
  <c r="E204" i="7"/>
  <c r="H204" i="7" s="1"/>
  <c r="L204" i="7" s="1"/>
  <c r="E203" i="7"/>
  <c r="H203" i="7" s="1"/>
  <c r="L203" i="7" s="1"/>
  <c r="E202" i="7"/>
  <c r="H202" i="7" s="1"/>
  <c r="L202" i="7" s="1"/>
  <c r="E201" i="7"/>
  <c r="E200" i="7"/>
  <c r="E199" i="7"/>
  <c r="A199" i="8" s="1"/>
  <c r="K199" i="14" s="1"/>
  <c r="E198" i="7"/>
  <c r="E197" i="7"/>
  <c r="E190" i="7"/>
  <c r="A190" i="8" s="1"/>
  <c r="K190" i="14" s="1"/>
  <c r="E187" i="7"/>
  <c r="E182" i="7"/>
  <c r="A182" i="8" s="1"/>
  <c r="E196" i="7"/>
  <c r="E195" i="7"/>
  <c r="A195" i="8" s="1"/>
  <c r="E194" i="7"/>
  <c r="E193" i="7"/>
  <c r="A193" i="8" s="1"/>
  <c r="E192" i="7"/>
  <c r="E191" i="7"/>
  <c r="E189" i="7"/>
  <c r="A189" i="8" s="1"/>
  <c r="E188" i="7"/>
  <c r="A188" i="8" s="1"/>
  <c r="E186" i="7"/>
  <c r="E185" i="7"/>
  <c r="E184" i="7"/>
  <c r="A183" i="8"/>
  <c r="E181" i="7"/>
  <c r="D180" i="7"/>
  <c r="E178" i="7"/>
  <c r="A178" i="8" s="1"/>
  <c r="E177" i="7"/>
  <c r="A177" i="8" s="1"/>
  <c r="E176" i="7"/>
  <c r="E175" i="7"/>
  <c r="A175" i="8" s="1"/>
  <c r="D174" i="7"/>
  <c r="D168" i="7"/>
  <c r="E166" i="7"/>
  <c r="E165" i="7"/>
  <c r="E164" i="7"/>
  <c r="E163" i="7"/>
  <c r="E162" i="7"/>
  <c r="A162" i="8" s="1"/>
  <c r="K162" i="14" s="1"/>
  <c r="E161" i="7"/>
  <c r="A161" i="8" s="1"/>
  <c r="K161" i="14" s="1"/>
  <c r="E160" i="7"/>
  <c r="A160" i="8" s="1"/>
  <c r="K160" i="14" s="1"/>
  <c r="E145" i="7"/>
  <c r="E159" i="7"/>
  <c r="A159" i="8" s="1"/>
  <c r="E158" i="7"/>
  <c r="A158" i="8" s="1"/>
  <c r="E157" i="7"/>
  <c r="E156" i="7"/>
  <c r="E155" i="7"/>
  <c r="A155" i="8" s="1"/>
  <c r="E154" i="7"/>
  <c r="A154" i="8" s="1"/>
  <c r="E153" i="7"/>
  <c r="E152" i="7"/>
  <c r="E151" i="7"/>
  <c r="A151" i="8" s="1"/>
  <c r="E150" i="7"/>
  <c r="H150" i="7" s="1"/>
  <c r="L150" i="7" s="1"/>
  <c r="E149" i="7"/>
  <c r="A149" i="8" s="1"/>
  <c r="E148" i="7"/>
  <c r="E147" i="7"/>
  <c r="E146" i="7"/>
  <c r="A146" i="8" s="1"/>
  <c r="E144" i="7"/>
  <c r="E143" i="7"/>
  <c r="E142" i="7"/>
  <c r="A142" i="8" s="1"/>
  <c r="E141" i="7"/>
  <c r="A141" i="8" s="1"/>
  <c r="E140" i="7"/>
  <c r="A140" i="8" s="1"/>
  <c r="E139" i="7"/>
  <c r="E138" i="7"/>
  <c r="E137" i="7"/>
  <c r="A137" i="8" s="1"/>
  <c r="E136" i="7"/>
  <c r="A136" i="8" s="1"/>
  <c r="E135" i="7"/>
  <c r="H135" i="7" s="1"/>
  <c r="L135" i="7" s="1"/>
  <c r="E133" i="7"/>
  <c r="E132" i="7"/>
  <c r="E131" i="7"/>
  <c r="E130" i="7"/>
  <c r="E129" i="7"/>
  <c r="E128" i="7"/>
  <c r="E127" i="7"/>
  <c r="A127" i="8" s="1"/>
  <c r="D126" i="7"/>
  <c r="F124" i="7"/>
  <c r="K124" i="8" s="1"/>
  <c r="F95" i="7"/>
  <c r="F94" i="7"/>
  <c r="F93" i="7"/>
  <c r="K93" i="8" s="1"/>
  <c r="F92" i="7"/>
  <c r="F90" i="7"/>
  <c r="A90" i="8" s="1"/>
  <c r="F89" i="7"/>
  <c r="F88" i="7"/>
  <c r="A88" i="8" s="1"/>
  <c r="F87" i="7"/>
  <c r="A87" i="8" s="1"/>
  <c r="F86" i="7"/>
  <c r="A86" i="8" s="1"/>
  <c r="F85" i="7"/>
  <c r="A85" i="8" s="1"/>
  <c r="F84" i="7"/>
  <c r="A84" i="8" s="1"/>
  <c r="F82" i="7"/>
  <c r="A82" i="8" s="1"/>
  <c r="F81" i="7"/>
  <c r="F80" i="7"/>
  <c r="F79" i="7"/>
  <c r="A79" i="8" s="1"/>
  <c r="F78" i="7"/>
  <c r="F77" i="7"/>
  <c r="A77" i="8" s="1"/>
  <c r="F76" i="7"/>
  <c r="A76" i="8" s="1"/>
  <c r="F75" i="7"/>
  <c r="A75" i="8" s="1"/>
  <c r="F74" i="7"/>
  <c r="A74" i="8" s="1"/>
  <c r="F73" i="7"/>
  <c r="A73" i="8" s="1"/>
  <c r="F72" i="7"/>
  <c r="F71" i="7"/>
  <c r="A71" i="8" s="1"/>
  <c r="F70" i="7"/>
  <c r="A70" i="8" s="1"/>
  <c r="F69" i="7"/>
  <c r="F68" i="7"/>
  <c r="A68" i="8" s="1"/>
  <c r="F67" i="7"/>
  <c r="A67" i="8" s="1"/>
  <c r="F65" i="7"/>
  <c r="A65" i="8" s="1"/>
  <c r="F64" i="7"/>
  <c r="A64" i="8" s="1"/>
  <c r="F63" i="7"/>
  <c r="F62" i="7"/>
  <c r="A62" i="8" s="1"/>
  <c r="F61" i="7"/>
  <c r="F59" i="7"/>
  <c r="A59" i="8" s="1"/>
  <c r="F58" i="7"/>
  <c r="E56" i="7"/>
  <c r="E55" i="7"/>
  <c r="E54" i="7"/>
  <c r="A54" i="8" s="1"/>
  <c r="E53" i="7"/>
  <c r="A53" i="8" s="1"/>
  <c r="E52" i="7"/>
  <c r="E51" i="7"/>
  <c r="E50" i="7"/>
  <c r="H50" i="7" s="1"/>
  <c r="L50" i="7" s="1"/>
  <c r="E49" i="7"/>
  <c r="E48" i="7"/>
  <c r="A48" i="8" s="1"/>
  <c r="E47" i="7"/>
  <c r="E46" i="7"/>
  <c r="E45" i="7"/>
  <c r="A45" i="8" s="1"/>
  <c r="E44" i="7"/>
  <c r="H44" i="7" s="1"/>
  <c r="L44" i="7" s="1"/>
  <c r="E43" i="7"/>
  <c r="E42" i="7"/>
  <c r="E41" i="7"/>
  <c r="A41" i="8" s="1"/>
  <c r="E40" i="7"/>
  <c r="A40" i="8" s="1"/>
  <c r="D39" i="7"/>
  <c r="D37" i="7"/>
  <c r="D32" i="7"/>
  <c r="D27" i="7"/>
  <c r="H31" i="7" s="1"/>
  <c r="L31" i="7" s="1"/>
  <c r="D25" i="7"/>
  <c r="E454" i="6"/>
  <c r="E453" i="6"/>
  <c r="A453" i="7" s="1"/>
  <c r="E452" i="6"/>
  <c r="E451" i="6"/>
  <c r="A451" i="7" s="1"/>
  <c r="E450" i="6"/>
  <c r="E449" i="6"/>
  <c r="A449" i="7" s="1"/>
  <c r="E448" i="6"/>
  <c r="E447" i="6"/>
  <c r="A447" i="7" s="1"/>
  <c r="E446" i="6"/>
  <c r="E445" i="6"/>
  <c r="A445" i="7" s="1"/>
  <c r="E444" i="6"/>
  <c r="A444" i="7" s="1"/>
  <c r="D443" i="6"/>
  <c r="E441" i="6"/>
  <c r="H441" i="6" s="1"/>
  <c r="L441" i="6" s="1"/>
  <c r="E440" i="6"/>
  <c r="A440" i="7" s="1"/>
  <c r="E439" i="6"/>
  <c r="A439" i="7" s="1"/>
  <c r="E438" i="6"/>
  <c r="E437" i="6"/>
  <c r="E436" i="6"/>
  <c r="E435" i="6"/>
  <c r="H435" i="6" s="1"/>
  <c r="L435" i="6" s="1"/>
  <c r="F433" i="6"/>
  <c r="F432" i="6"/>
  <c r="A433" i="7" s="1"/>
  <c r="E431" i="6"/>
  <c r="E434" i="6"/>
  <c r="E430" i="6"/>
  <c r="E429" i="6"/>
  <c r="H429" i="6" s="1"/>
  <c r="L429" i="6" s="1"/>
  <c r="E428" i="6"/>
  <c r="E427" i="6"/>
  <c r="A427" i="7" s="1"/>
  <c r="E426" i="6"/>
  <c r="E425" i="6"/>
  <c r="E424" i="6"/>
  <c r="E423" i="6"/>
  <c r="A423" i="7" s="1"/>
  <c r="E422" i="6"/>
  <c r="E420" i="6"/>
  <c r="K420" i="7" s="1"/>
  <c r="E419" i="6"/>
  <c r="E418" i="6"/>
  <c r="K418" i="7" s="1"/>
  <c r="E417" i="6"/>
  <c r="E416" i="6"/>
  <c r="E415" i="6"/>
  <c r="E414" i="6"/>
  <c r="E413" i="6"/>
  <c r="H413" i="6" s="1"/>
  <c r="F412" i="6"/>
  <c r="A412" i="7" s="1"/>
  <c r="F411" i="6"/>
  <c r="K411" i="7" s="1"/>
  <c r="E410" i="6"/>
  <c r="H410" i="6" s="1"/>
  <c r="E409" i="6"/>
  <c r="E408" i="6"/>
  <c r="H408" i="6" s="1"/>
  <c r="L408" i="6" s="1"/>
  <c r="E407" i="6"/>
  <c r="E406" i="6"/>
  <c r="E405" i="6"/>
  <c r="E404" i="6"/>
  <c r="H404" i="6" s="1"/>
  <c r="L404" i="6" s="1"/>
  <c r="D403" i="6"/>
  <c r="H403" i="6" s="1"/>
  <c r="L403" i="6" s="1"/>
  <c r="E402" i="6"/>
  <c r="E401" i="6"/>
  <c r="E400" i="6"/>
  <c r="K400" i="7" s="1"/>
  <c r="E399" i="6"/>
  <c r="E398" i="6"/>
  <c r="H398" i="6" s="1"/>
  <c r="L398" i="6" s="1"/>
  <c r="E397" i="6"/>
  <c r="E396" i="6"/>
  <c r="F394" i="6"/>
  <c r="A395" i="7" s="1"/>
  <c r="F393" i="6"/>
  <c r="E392" i="6"/>
  <c r="E395" i="6"/>
  <c r="E391" i="6"/>
  <c r="E390" i="6"/>
  <c r="E389" i="6"/>
  <c r="E388" i="6"/>
  <c r="K388" i="7" s="1"/>
  <c r="E387" i="6"/>
  <c r="H387" i="6" s="1"/>
  <c r="L387" i="6" s="1"/>
  <c r="E386" i="6"/>
  <c r="H386" i="6" s="1"/>
  <c r="L386" i="6" s="1"/>
  <c r="D385" i="6"/>
  <c r="D382" i="6"/>
  <c r="F357" i="6"/>
  <c r="A357" i="7" s="1"/>
  <c r="F356" i="6"/>
  <c r="F355" i="6"/>
  <c r="A352" i="7" s="1"/>
  <c r="F352" i="6"/>
  <c r="A351" i="7" s="1"/>
  <c r="F351" i="6"/>
  <c r="H351" i="6" s="1"/>
  <c r="L351" i="6" s="1"/>
  <c r="E350" i="6"/>
  <c r="F349" i="6"/>
  <c r="F348" i="6"/>
  <c r="F347" i="6"/>
  <c r="A347" i="7" s="1"/>
  <c r="F346" i="6"/>
  <c r="K346" i="7" s="1"/>
  <c r="F345" i="6"/>
  <c r="F342" i="6"/>
  <c r="A342" i="7" s="1"/>
  <c r="F341" i="6"/>
  <c r="A341" i="7" s="1"/>
  <c r="E340" i="6"/>
  <c r="A340" i="7" s="1"/>
  <c r="G379" i="6"/>
  <c r="G378" i="6"/>
  <c r="H378" i="6" s="1"/>
  <c r="L378" i="6" s="1"/>
  <c r="G377" i="6"/>
  <c r="G376" i="6"/>
  <c r="G375" i="6"/>
  <c r="G374" i="6"/>
  <c r="H374" i="6" s="1"/>
  <c r="L374" i="6" s="1"/>
  <c r="F372" i="6"/>
  <c r="F371" i="6"/>
  <c r="A371" i="7" s="1"/>
  <c r="F370" i="6"/>
  <c r="E367" i="6"/>
  <c r="F366" i="6"/>
  <c r="F365" i="6"/>
  <c r="A365" i="7" s="1"/>
  <c r="F364" i="6"/>
  <c r="F363" i="6"/>
  <c r="F360" i="6"/>
  <c r="H360" i="6" s="1"/>
  <c r="L360" i="6" s="1"/>
  <c r="F359" i="6"/>
  <c r="A359" i="7" s="1"/>
  <c r="E358" i="6"/>
  <c r="F339" i="6"/>
  <c r="A339" i="7" s="1"/>
  <c r="F338" i="6"/>
  <c r="H338" i="6" s="1"/>
  <c r="L338" i="6" s="1"/>
  <c r="F337" i="6"/>
  <c r="A337" i="7" s="1"/>
  <c r="F334" i="6"/>
  <c r="F333" i="6"/>
  <c r="H333" i="6" s="1"/>
  <c r="L333" i="6" s="1"/>
  <c r="E332" i="6"/>
  <c r="F331" i="6"/>
  <c r="A331" i="7" s="1"/>
  <c r="F330" i="6"/>
  <c r="H330" i="6" s="1"/>
  <c r="L330" i="6" s="1"/>
  <c r="F329" i="6"/>
  <c r="A329" i="7" s="1"/>
  <c r="F328" i="6"/>
  <c r="F327" i="6"/>
  <c r="A327" i="7" s="1"/>
  <c r="F326" i="6"/>
  <c r="H326" i="6" s="1"/>
  <c r="L326" i="6" s="1"/>
  <c r="F325" i="6"/>
  <c r="A325" i="7" s="1"/>
  <c r="F324" i="6"/>
  <c r="F323" i="6"/>
  <c r="A323" i="7" s="1"/>
  <c r="F322" i="6"/>
  <c r="F321" i="6"/>
  <c r="A321" i="7" s="1"/>
  <c r="F319" i="6"/>
  <c r="F318" i="6"/>
  <c r="A318" i="7" s="1"/>
  <c r="F317" i="6"/>
  <c r="E316" i="6"/>
  <c r="A316" i="7" s="1"/>
  <c r="F308" i="6"/>
  <c r="F307" i="6"/>
  <c r="A307" i="7" s="1"/>
  <c r="F306" i="6"/>
  <c r="F305" i="6"/>
  <c r="A305" i="7" s="1"/>
  <c r="F304" i="6"/>
  <c r="F302" i="6"/>
  <c r="A302" i="7" s="1"/>
  <c r="F301" i="6"/>
  <c r="F300" i="6"/>
  <c r="A300" i="7" s="1"/>
  <c r="E299" i="6"/>
  <c r="F298" i="6"/>
  <c r="A298" i="7" s="1"/>
  <c r="F297" i="6"/>
  <c r="F296" i="6"/>
  <c r="A296" i="7" s="1"/>
  <c r="F295" i="6"/>
  <c r="F294" i="6"/>
  <c r="A294" i="7" s="1"/>
  <c r="F292" i="6"/>
  <c r="F291" i="6"/>
  <c r="A291" i="7" s="1"/>
  <c r="F290" i="6"/>
  <c r="H290" i="6" s="1"/>
  <c r="L290" i="6" s="1"/>
  <c r="E289" i="6"/>
  <c r="A289" i="7" s="1"/>
  <c r="F288" i="6"/>
  <c r="H288" i="6" s="1"/>
  <c r="L288" i="6" s="1"/>
  <c r="F287" i="6"/>
  <c r="A287" i="7" s="1"/>
  <c r="F286" i="6"/>
  <c r="F285" i="6"/>
  <c r="A285" i="7" s="1"/>
  <c r="F284" i="6"/>
  <c r="F282" i="6"/>
  <c r="F281" i="6"/>
  <c r="A281" i="7" s="1"/>
  <c r="F280" i="6"/>
  <c r="A280" i="7" s="1"/>
  <c r="E279" i="6"/>
  <c r="F278" i="6"/>
  <c r="A278" i="7" s="1"/>
  <c r="F277" i="6"/>
  <c r="F276" i="6"/>
  <c r="A276" i="7" s="1"/>
  <c r="F275" i="6"/>
  <c r="F273" i="6"/>
  <c r="F272" i="6"/>
  <c r="H272" i="6" s="1"/>
  <c r="L272" i="6" s="1"/>
  <c r="F271" i="6"/>
  <c r="A271" i="7" s="1"/>
  <c r="E270" i="6"/>
  <c r="F269" i="6"/>
  <c r="F268" i="6"/>
  <c r="F267" i="6"/>
  <c r="A267" i="7" s="1"/>
  <c r="F266" i="6"/>
  <c r="F265" i="6"/>
  <c r="F264" i="6"/>
  <c r="F263" i="6"/>
  <c r="A263" i="7" s="1"/>
  <c r="F262" i="6"/>
  <c r="F261" i="6"/>
  <c r="A261" i="7" s="1"/>
  <c r="F260" i="6"/>
  <c r="F257" i="6"/>
  <c r="A257" i="7" s="1"/>
  <c r="F256" i="6"/>
  <c r="E255" i="6"/>
  <c r="A255" i="7" s="1"/>
  <c r="F254" i="6"/>
  <c r="H254" i="6" s="1"/>
  <c r="L254" i="6" s="1"/>
  <c r="F253" i="6"/>
  <c r="A253" i="7" s="1"/>
  <c r="F252" i="6"/>
  <c r="F251" i="6"/>
  <c r="A251" i="7" s="1"/>
  <c r="F250" i="6"/>
  <c r="F249" i="6"/>
  <c r="A249" i="7" s="1"/>
  <c r="F248" i="6"/>
  <c r="F247" i="6"/>
  <c r="A247" i="7" s="1"/>
  <c r="F246" i="6"/>
  <c r="A246" i="7" s="1"/>
  <c r="F245" i="6"/>
  <c r="A245" i="7" s="1"/>
  <c r="F244" i="6"/>
  <c r="F243" i="6"/>
  <c r="A243" i="7" s="1"/>
  <c r="F242" i="6"/>
  <c r="F237" i="6"/>
  <c r="A237" i="7" s="1"/>
  <c r="F241" i="6"/>
  <c r="F240" i="6"/>
  <c r="A240" i="7" s="1"/>
  <c r="F239" i="6"/>
  <c r="F238" i="6"/>
  <c r="A238" i="7" s="1"/>
  <c r="F235" i="6"/>
  <c r="F233" i="6"/>
  <c r="F232" i="6"/>
  <c r="H232" i="6" s="1"/>
  <c r="L232" i="6" s="1"/>
  <c r="E231" i="6"/>
  <c r="A231" i="7" s="1"/>
  <c r="F220" i="6"/>
  <c r="H220" i="6" s="1"/>
  <c r="L220" i="6" s="1"/>
  <c r="F219" i="6"/>
  <c r="F230" i="6"/>
  <c r="F229" i="6"/>
  <c r="H229" i="6" s="1"/>
  <c r="L229" i="6" s="1"/>
  <c r="F227" i="6"/>
  <c r="F224" i="6"/>
  <c r="A224" i="7" s="1"/>
  <c r="F226" i="6"/>
  <c r="F225" i="6"/>
  <c r="K225" i="6" s="1"/>
  <c r="F223" i="6"/>
  <c r="F222" i="6"/>
  <c r="K222" i="6" s="1"/>
  <c r="E218" i="6"/>
  <c r="F210" i="6"/>
  <c r="A210" i="7" s="1"/>
  <c r="F209" i="6"/>
  <c r="F208" i="6"/>
  <c r="A208" i="7" s="1"/>
  <c r="F207" i="6"/>
  <c r="D206" i="6"/>
  <c r="E204" i="6"/>
  <c r="E203" i="6"/>
  <c r="H203" i="6" s="1"/>
  <c r="L203" i="6" s="1"/>
  <c r="E202" i="6"/>
  <c r="E201" i="6"/>
  <c r="H201" i="6" s="1"/>
  <c r="L201" i="6" s="1"/>
  <c r="E200" i="6"/>
  <c r="E199" i="6"/>
  <c r="H199" i="6" s="1"/>
  <c r="L199" i="6" s="1"/>
  <c r="E198" i="6"/>
  <c r="E197" i="6"/>
  <c r="A197" i="7" s="1"/>
  <c r="E190" i="6"/>
  <c r="E187" i="6"/>
  <c r="E182" i="6"/>
  <c r="E196" i="6"/>
  <c r="E195" i="6"/>
  <c r="E194" i="6"/>
  <c r="H194" i="6" s="1"/>
  <c r="L194" i="6" s="1"/>
  <c r="E193" i="6"/>
  <c r="A193" i="7" s="1"/>
  <c r="E192" i="6"/>
  <c r="A192" i="7" s="1"/>
  <c r="E191" i="6"/>
  <c r="E189" i="6"/>
  <c r="A189" i="7" s="1"/>
  <c r="E188" i="6"/>
  <c r="E186" i="6"/>
  <c r="E185" i="6"/>
  <c r="E184" i="6"/>
  <c r="A184" i="7" s="1"/>
  <c r="E183" i="6"/>
  <c r="E181" i="6"/>
  <c r="D180" i="6"/>
  <c r="E178" i="6"/>
  <c r="A178" i="7" s="1"/>
  <c r="E177" i="6"/>
  <c r="E176" i="6"/>
  <c r="A176" i="7" s="1"/>
  <c r="E175" i="6"/>
  <c r="D174" i="6"/>
  <c r="D168" i="6"/>
  <c r="E166" i="6"/>
  <c r="E165" i="6"/>
  <c r="E164" i="6"/>
  <c r="H164" i="6" s="1"/>
  <c r="L164" i="6" s="1"/>
  <c r="E163" i="6"/>
  <c r="E162" i="6"/>
  <c r="H162" i="6" s="1"/>
  <c r="L162" i="6" s="1"/>
  <c r="E161" i="6"/>
  <c r="E160" i="6"/>
  <c r="A160" i="7" s="1"/>
  <c r="E145" i="6"/>
  <c r="E159" i="6"/>
  <c r="E158" i="6"/>
  <c r="E157" i="6"/>
  <c r="A157" i="7" s="1"/>
  <c r="E156" i="6"/>
  <c r="E155" i="6"/>
  <c r="E154" i="6"/>
  <c r="E153" i="6"/>
  <c r="A153" i="7" s="1"/>
  <c r="E152" i="6"/>
  <c r="E151" i="6"/>
  <c r="E150" i="6"/>
  <c r="E149" i="6"/>
  <c r="E148" i="6"/>
  <c r="E147" i="6"/>
  <c r="E146" i="6"/>
  <c r="E144" i="6"/>
  <c r="A144" i="7" s="1"/>
  <c r="E143" i="6"/>
  <c r="A143" i="7" s="1"/>
  <c r="E142" i="6"/>
  <c r="E141" i="6"/>
  <c r="E140" i="6"/>
  <c r="A140" i="7" s="1"/>
  <c r="E139" i="6"/>
  <c r="A139" i="7" s="1"/>
  <c r="E138" i="6"/>
  <c r="E137" i="6"/>
  <c r="E136" i="6"/>
  <c r="A136" i="7" s="1"/>
  <c r="E135" i="6"/>
  <c r="E133" i="6"/>
  <c r="A133" i="7" s="1"/>
  <c r="E132" i="6"/>
  <c r="E131" i="6"/>
  <c r="A131" i="7" s="1"/>
  <c r="E130" i="6"/>
  <c r="A130" i="7" s="1"/>
  <c r="E129" i="6"/>
  <c r="E128" i="6"/>
  <c r="E127" i="6"/>
  <c r="A127" i="7" s="1"/>
  <c r="D126" i="6"/>
  <c r="F124" i="6"/>
  <c r="A124" i="7" s="1"/>
  <c r="F123" i="6"/>
  <c r="F116" i="6"/>
  <c r="F114" i="6"/>
  <c r="F113" i="6"/>
  <c r="A113" i="7" s="1"/>
  <c r="F112" i="6"/>
  <c r="F111" i="6"/>
  <c r="F109" i="6"/>
  <c r="F122" i="6"/>
  <c r="K120" i="7" s="1"/>
  <c r="F120" i="6"/>
  <c r="F119" i="6"/>
  <c r="A117" i="7" s="1"/>
  <c r="F117" i="6"/>
  <c r="K116" i="7" s="1"/>
  <c r="F108" i="6"/>
  <c r="F107" i="6"/>
  <c r="F106" i="6"/>
  <c r="K106" i="7" s="1"/>
  <c r="F105" i="6"/>
  <c r="K105" i="7" s="1"/>
  <c r="F104" i="6"/>
  <c r="F103" i="6"/>
  <c r="F102" i="6"/>
  <c r="K102" i="7" s="1"/>
  <c r="F100" i="6"/>
  <c r="F99" i="6"/>
  <c r="F98" i="6"/>
  <c r="F97" i="6"/>
  <c r="A97" i="7" s="1"/>
  <c r="F95" i="6"/>
  <c r="A95" i="7" s="1"/>
  <c r="F94" i="6"/>
  <c r="A94" i="7" s="1"/>
  <c r="F93" i="6"/>
  <c r="F92" i="6"/>
  <c r="A92" i="7" s="1"/>
  <c r="F90" i="6"/>
  <c r="F89" i="6"/>
  <c r="A89" i="7" s="1"/>
  <c r="F88" i="6"/>
  <c r="F87" i="6"/>
  <c r="A87" i="7" s="1"/>
  <c r="F86" i="6"/>
  <c r="F85" i="6"/>
  <c r="F84" i="6"/>
  <c r="F82" i="6"/>
  <c r="A82" i="7" s="1"/>
  <c r="F81" i="6"/>
  <c r="F80" i="6"/>
  <c r="F79" i="6"/>
  <c r="F78" i="6"/>
  <c r="A78" i="7" s="1"/>
  <c r="F77" i="6"/>
  <c r="F76" i="6"/>
  <c r="F75" i="6"/>
  <c r="F74" i="6"/>
  <c r="A74" i="7" s="1"/>
  <c r="F73" i="6"/>
  <c r="F72" i="6"/>
  <c r="A72" i="7" s="1"/>
  <c r="F71" i="6"/>
  <c r="F70" i="6"/>
  <c r="A70" i="7" s="1"/>
  <c r="F69" i="6"/>
  <c r="F68" i="6"/>
  <c r="F67" i="6"/>
  <c r="F65" i="6"/>
  <c r="A65" i="7" s="1"/>
  <c r="F64" i="6"/>
  <c r="F63" i="6"/>
  <c r="F62" i="6"/>
  <c r="F61" i="6"/>
  <c r="A61" i="7" s="1"/>
  <c r="F59" i="6"/>
  <c r="A59" i="7" s="1"/>
  <c r="F58" i="6"/>
  <c r="A58" i="7" s="1"/>
  <c r="E56" i="6"/>
  <c r="E55" i="6"/>
  <c r="A55" i="7" s="1"/>
  <c r="E54" i="6"/>
  <c r="A54" i="7" s="1"/>
  <c r="E53" i="6"/>
  <c r="A53" i="7" s="1"/>
  <c r="E52" i="6"/>
  <c r="E51" i="6"/>
  <c r="H51" i="6" s="1"/>
  <c r="L51" i="6" s="1"/>
  <c r="E50" i="6"/>
  <c r="A50" i="7" s="1"/>
  <c r="E49" i="6"/>
  <c r="A49" i="7" s="1"/>
  <c r="E48" i="6"/>
  <c r="E47" i="6"/>
  <c r="A47" i="7" s="1"/>
  <c r="E46" i="6"/>
  <c r="E45" i="6"/>
  <c r="A45" i="7" s="1"/>
  <c r="E44" i="6"/>
  <c r="E43" i="6"/>
  <c r="H43" i="6" s="1"/>
  <c r="L43" i="6" s="1"/>
  <c r="E42" i="6"/>
  <c r="E41" i="6"/>
  <c r="E40" i="6"/>
  <c r="A40" i="7" s="1"/>
  <c r="D39" i="6"/>
  <c r="D37" i="6"/>
  <c r="D32" i="6"/>
  <c r="D27" i="6"/>
  <c r="H31" i="6" s="1"/>
  <c r="L31" i="6" s="1"/>
  <c r="D25" i="6"/>
  <c r="E454" i="5"/>
  <c r="E453" i="5"/>
  <c r="E452" i="5"/>
  <c r="E451" i="5"/>
  <c r="A451" i="6" s="1"/>
  <c r="E450" i="5"/>
  <c r="E449" i="5"/>
  <c r="E448" i="5"/>
  <c r="E447" i="5"/>
  <c r="E446" i="5"/>
  <c r="E445" i="5"/>
  <c r="E444" i="5"/>
  <c r="D443" i="5"/>
  <c r="E441" i="5"/>
  <c r="E440" i="5"/>
  <c r="A440" i="6" s="1"/>
  <c r="E439" i="5"/>
  <c r="E438" i="5"/>
  <c r="A438" i="6" s="1"/>
  <c r="E437" i="5"/>
  <c r="E436" i="5"/>
  <c r="A436" i="6" s="1"/>
  <c r="E435" i="5"/>
  <c r="F433" i="5"/>
  <c r="A433" i="6" s="1"/>
  <c r="F432" i="5"/>
  <c r="E431" i="5"/>
  <c r="E434" i="5"/>
  <c r="E430" i="5"/>
  <c r="A430" i="6" s="1"/>
  <c r="E429" i="5"/>
  <c r="A429" i="6" s="1"/>
  <c r="E428" i="5"/>
  <c r="E427" i="5"/>
  <c r="E426" i="5"/>
  <c r="A426" i="6" s="1"/>
  <c r="E425" i="5"/>
  <c r="D422" i="5"/>
  <c r="E420" i="5"/>
  <c r="E419" i="5"/>
  <c r="A419" i="6" s="1"/>
  <c r="E418" i="5"/>
  <c r="E417" i="5"/>
  <c r="E416" i="5"/>
  <c r="E415" i="5"/>
  <c r="A415" i="6" s="1"/>
  <c r="E414" i="5"/>
  <c r="F412" i="5"/>
  <c r="A413" i="6" s="1"/>
  <c r="F411" i="5"/>
  <c r="E410" i="5"/>
  <c r="A411" i="6" s="1"/>
  <c r="E413" i="5"/>
  <c r="E409" i="5"/>
  <c r="E408" i="5"/>
  <c r="E407" i="5"/>
  <c r="A407" i="6" s="1"/>
  <c r="E406" i="5"/>
  <c r="E405" i="5"/>
  <c r="E404" i="5"/>
  <c r="D403" i="5"/>
  <c r="E401" i="5"/>
  <c r="E400" i="5"/>
  <c r="E399" i="5"/>
  <c r="E398" i="5"/>
  <c r="E397" i="5"/>
  <c r="E396" i="5"/>
  <c r="F394" i="5"/>
  <c r="F393" i="5"/>
  <c r="A393" i="6" s="1"/>
  <c r="E392" i="5"/>
  <c r="E395" i="5"/>
  <c r="E391" i="5"/>
  <c r="E390" i="5"/>
  <c r="E389" i="5"/>
  <c r="E388" i="5"/>
  <c r="E387" i="5"/>
  <c r="E386" i="5"/>
  <c r="D385" i="5"/>
  <c r="AB94" i="10" s="1"/>
  <c r="D382" i="5"/>
  <c r="F357" i="5"/>
  <c r="A357" i="6" s="1"/>
  <c r="F356" i="5"/>
  <c r="A356" i="6" s="1"/>
  <c r="F355" i="5"/>
  <c r="F352" i="5"/>
  <c r="A352" i="6" s="1"/>
  <c r="F351" i="5"/>
  <c r="E350" i="5"/>
  <c r="A350" i="6" s="1"/>
  <c r="F349" i="5"/>
  <c r="A349" i="6" s="1"/>
  <c r="F348" i="5"/>
  <c r="H348" i="5" s="1"/>
  <c r="L348" i="5" s="1"/>
  <c r="F347" i="5"/>
  <c r="A347" i="6" s="1"/>
  <c r="F346" i="5"/>
  <c r="A346" i="6" s="1"/>
  <c r="F345" i="5"/>
  <c r="A345" i="6" s="1"/>
  <c r="F342" i="5"/>
  <c r="H342" i="5" s="1"/>
  <c r="L342" i="5" s="1"/>
  <c r="F341" i="5"/>
  <c r="E340" i="5"/>
  <c r="F372" i="5"/>
  <c r="A372" i="6" s="1"/>
  <c r="F371" i="5"/>
  <c r="H371" i="5" s="1"/>
  <c r="L371" i="5" s="1"/>
  <c r="F370" i="5"/>
  <c r="F366" i="5"/>
  <c r="A366" i="6" s="1"/>
  <c r="F365" i="5"/>
  <c r="F364" i="5"/>
  <c r="F363" i="5"/>
  <c r="F360" i="5"/>
  <c r="A360" i="6" s="1"/>
  <c r="F359" i="5"/>
  <c r="A359" i="6" s="1"/>
  <c r="E358" i="5"/>
  <c r="F339" i="5"/>
  <c r="A339" i="6" s="1"/>
  <c r="F338" i="5"/>
  <c r="A338" i="6" s="1"/>
  <c r="F337" i="5"/>
  <c r="A337" i="6" s="1"/>
  <c r="F334" i="5"/>
  <c r="H334" i="5" s="1"/>
  <c r="L334" i="5" s="1"/>
  <c r="F333" i="5"/>
  <c r="H333" i="5" s="1"/>
  <c r="L333" i="5" s="1"/>
  <c r="E332" i="5"/>
  <c r="A332" i="6" s="1"/>
  <c r="F331" i="5"/>
  <c r="H331" i="5" s="1"/>
  <c r="L331" i="5" s="1"/>
  <c r="F330" i="5"/>
  <c r="H330" i="5" s="1"/>
  <c r="L330" i="5" s="1"/>
  <c r="F329" i="5"/>
  <c r="H329" i="5" s="1"/>
  <c r="L329" i="5" s="1"/>
  <c r="F328" i="5"/>
  <c r="A328" i="6" s="1"/>
  <c r="F327" i="5"/>
  <c r="A327" i="6" s="1"/>
  <c r="F326" i="5"/>
  <c r="H326" i="5" s="1"/>
  <c r="L326" i="5" s="1"/>
  <c r="F325" i="5"/>
  <c r="F324" i="5"/>
  <c r="A324" i="6" s="1"/>
  <c r="F323" i="5"/>
  <c r="A323" i="6" s="1"/>
  <c r="F322" i="5"/>
  <c r="H322" i="5" s="1"/>
  <c r="L322" i="5" s="1"/>
  <c r="F321" i="5"/>
  <c r="F319" i="5"/>
  <c r="A319" i="6" s="1"/>
  <c r="F318" i="5"/>
  <c r="F317" i="5"/>
  <c r="H317" i="5" s="1"/>
  <c r="L317" i="5" s="1"/>
  <c r="E316" i="5"/>
  <c r="F308" i="5"/>
  <c r="A308" i="6" s="1"/>
  <c r="F307" i="5"/>
  <c r="F306" i="5"/>
  <c r="H306" i="5" s="1"/>
  <c r="L306" i="5" s="1"/>
  <c r="F305" i="5"/>
  <c r="H305" i="5" s="1"/>
  <c r="L305" i="5" s="1"/>
  <c r="F304" i="5"/>
  <c r="A304" i="6" s="1"/>
  <c r="F302" i="5"/>
  <c r="A302" i="6" s="1"/>
  <c r="F301" i="5"/>
  <c r="H301" i="5" s="1"/>
  <c r="L301" i="5" s="1"/>
  <c r="F300" i="5"/>
  <c r="E299" i="5"/>
  <c r="A299" i="6" s="1"/>
  <c r="F298" i="5"/>
  <c r="F297" i="5"/>
  <c r="H297" i="5" s="1"/>
  <c r="L297" i="5" s="1"/>
  <c r="F296" i="5"/>
  <c r="H296" i="5" s="1"/>
  <c r="L296" i="5" s="1"/>
  <c r="F295" i="5"/>
  <c r="A295" i="6" s="1"/>
  <c r="F294" i="5"/>
  <c r="F292" i="5"/>
  <c r="F291" i="5"/>
  <c r="F290" i="5"/>
  <c r="A290" i="6" s="1"/>
  <c r="E289" i="5"/>
  <c r="F288" i="5"/>
  <c r="H288" i="5" s="1"/>
  <c r="L288" i="5" s="1"/>
  <c r="F287" i="5"/>
  <c r="F286" i="5"/>
  <c r="F285" i="5"/>
  <c r="H285" i="5" s="1"/>
  <c r="L285" i="5" s="1"/>
  <c r="F284" i="5"/>
  <c r="F282" i="5"/>
  <c r="F281" i="5"/>
  <c r="A281" i="6" s="1"/>
  <c r="F280" i="5"/>
  <c r="A280" i="6" s="1"/>
  <c r="E279" i="5"/>
  <c r="F278" i="5"/>
  <c r="F277" i="5"/>
  <c r="A277" i="6" s="1"/>
  <c r="F276" i="5"/>
  <c r="H276" i="5" s="1"/>
  <c r="L276" i="5" s="1"/>
  <c r="F275" i="5"/>
  <c r="F273" i="5"/>
  <c r="F272" i="5"/>
  <c r="F271" i="5"/>
  <c r="A271" i="6" s="1"/>
  <c r="E270" i="5"/>
  <c r="F269" i="5"/>
  <c r="A269" i="6" s="1"/>
  <c r="F268" i="5"/>
  <c r="A268" i="6" s="1"/>
  <c r="F267" i="5"/>
  <c r="A267" i="6" s="1"/>
  <c r="F266" i="5"/>
  <c r="H266" i="5" s="1"/>
  <c r="L266" i="5" s="1"/>
  <c r="F265" i="5"/>
  <c r="F264" i="5"/>
  <c r="A264" i="6" s="1"/>
  <c r="F263" i="5"/>
  <c r="A263" i="6" s="1"/>
  <c r="F262" i="5"/>
  <c r="H262" i="5" s="1"/>
  <c r="L262" i="5" s="1"/>
  <c r="F261" i="5"/>
  <c r="H261" i="5" s="1"/>
  <c r="L261" i="5" s="1"/>
  <c r="F260" i="5"/>
  <c r="A260" i="6" s="1"/>
  <c r="F257" i="5"/>
  <c r="A257" i="6" s="1"/>
  <c r="F256" i="5"/>
  <c r="H256" i="5" s="1"/>
  <c r="L256" i="5" s="1"/>
  <c r="E255" i="5"/>
  <c r="F254" i="5"/>
  <c r="A254" i="6" s="1"/>
  <c r="F253" i="5"/>
  <c r="H253" i="5" s="1"/>
  <c r="L253" i="5" s="1"/>
  <c r="F252" i="5"/>
  <c r="F251" i="5"/>
  <c r="H251" i="5" s="1"/>
  <c r="L251" i="5" s="1"/>
  <c r="F250" i="5"/>
  <c r="F249" i="5"/>
  <c r="F248" i="5"/>
  <c r="H248" i="5" s="1"/>
  <c r="L248" i="5" s="1"/>
  <c r="F247" i="5"/>
  <c r="F246" i="5"/>
  <c r="A246" i="6" s="1"/>
  <c r="F245" i="5"/>
  <c r="A245" i="6" s="1"/>
  <c r="F244" i="5"/>
  <c r="F243" i="5"/>
  <c r="F242" i="5"/>
  <c r="A242" i="6" s="1"/>
  <c r="F237" i="5"/>
  <c r="F241" i="5"/>
  <c r="H241" i="5" s="1"/>
  <c r="L241" i="5" s="1"/>
  <c r="F240" i="5"/>
  <c r="F239" i="5"/>
  <c r="A239" i="6" s="1"/>
  <c r="F238" i="5"/>
  <c r="F235" i="5"/>
  <c r="F233" i="5"/>
  <c r="H233" i="5" s="1"/>
  <c r="L233" i="5" s="1"/>
  <c r="F232" i="5"/>
  <c r="A232" i="6" s="1"/>
  <c r="E231" i="5"/>
  <c r="A231" i="6" s="1"/>
  <c r="F219" i="5"/>
  <c r="A219" i="6" s="1"/>
  <c r="E218" i="5"/>
  <c r="F210" i="5"/>
  <c r="A210" i="6" s="1"/>
  <c r="F209" i="5"/>
  <c r="A209" i="6" s="1"/>
  <c r="F208" i="5"/>
  <c r="H208" i="5" s="1"/>
  <c r="L208" i="5" s="1"/>
  <c r="F207" i="5"/>
  <c r="D206" i="5"/>
  <c r="E204" i="5"/>
  <c r="E203" i="5"/>
  <c r="E202" i="5"/>
  <c r="E201" i="5"/>
  <c r="A201" i="6" s="1"/>
  <c r="E200" i="5"/>
  <c r="E199" i="5"/>
  <c r="E198" i="5"/>
  <c r="E197" i="5"/>
  <c r="H197" i="5" s="1"/>
  <c r="L197" i="5" s="1"/>
  <c r="E190" i="5"/>
  <c r="E187" i="5"/>
  <c r="E182" i="5"/>
  <c r="E196" i="5"/>
  <c r="H196" i="5" s="1"/>
  <c r="L196" i="5" s="1"/>
  <c r="E195" i="5"/>
  <c r="H195" i="5" s="1"/>
  <c r="L195" i="5" s="1"/>
  <c r="E194" i="5"/>
  <c r="E193" i="5"/>
  <c r="E192" i="5"/>
  <c r="E191" i="5"/>
  <c r="E189" i="5"/>
  <c r="E188" i="5"/>
  <c r="E186" i="5"/>
  <c r="E185" i="5"/>
  <c r="H185" i="5" s="1"/>
  <c r="L185" i="5" s="1"/>
  <c r="E184" i="5"/>
  <c r="E183" i="5"/>
  <c r="E181" i="5"/>
  <c r="H181" i="5" s="1"/>
  <c r="L181" i="5" s="1"/>
  <c r="D180" i="5"/>
  <c r="E178" i="5"/>
  <c r="E177" i="5"/>
  <c r="E176" i="5"/>
  <c r="E175" i="5"/>
  <c r="H175" i="5" s="1"/>
  <c r="L175" i="5" s="1"/>
  <c r="D174" i="5"/>
  <c r="H174" i="5" s="1"/>
  <c r="D168" i="5"/>
  <c r="H168" i="5" s="1"/>
  <c r="E166" i="5"/>
  <c r="A166" i="6" s="1"/>
  <c r="E165" i="5"/>
  <c r="E164" i="5"/>
  <c r="E163" i="5"/>
  <c r="E162" i="5"/>
  <c r="H162" i="5" s="1"/>
  <c r="L162" i="5" s="1"/>
  <c r="E161" i="5"/>
  <c r="E160" i="5"/>
  <c r="E145" i="5"/>
  <c r="E159" i="5"/>
  <c r="E158" i="5"/>
  <c r="E157" i="5"/>
  <c r="H157" i="5" s="1"/>
  <c r="L157" i="5" s="1"/>
  <c r="E156" i="5"/>
  <c r="E155" i="5"/>
  <c r="A155" i="6" s="1"/>
  <c r="E154" i="5"/>
  <c r="A154" i="6" s="1"/>
  <c r="E153" i="5"/>
  <c r="E152" i="5"/>
  <c r="E151" i="5"/>
  <c r="A151" i="6" s="1"/>
  <c r="E150" i="5"/>
  <c r="A150" i="6" s="1"/>
  <c r="E149" i="5"/>
  <c r="E148" i="5"/>
  <c r="E147" i="5"/>
  <c r="A147" i="6" s="1"/>
  <c r="E146" i="5"/>
  <c r="E144" i="5"/>
  <c r="E143" i="5"/>
  <c r="E142" i="5"/>
  <c r="E141" i="5"/>
  <c r="E140" i="5"/>
  <c r="E139" i="5"/>
  <c r="E138" i="5"/>
  <c r="A138" i="6" s="1"/>
  <c r="E137" i="5"/>
  <c r="E136" i="5"/>
  <c r="E135" i="5"/>
  <c r="E133" i="5"/>
  <c r="E132" i="5"/>
  <c r="E131" i="5"/>
  <c r="E130" i="5"/>
  <c r="E129" i="5"/>
  <c r="A129" i="6" s="1"/>
  <c r="E128" i="5"/>
  <c r="A128" i="6" s="1"/>
  <c r="E127" i="5"/>
  <c r="D126" i="5"/>
  <c r="F124" i="5"/>
  <c r="A124" i="6" s="1"/>
  <c r="F123" i="5"/>
  <c r="F116" i="5"/>
  <c r="F114" i="5"/>
  <c r="F113" i="5"/>
  <c r="A113" i="6" s="1"/>
  <c r="F112" i="5"/>
  <c r="A112" i="6" s="1"/>
  <c r="F111" i="5"/>
  <c r="F109" i="5"/>
  <c r="F122" i="5"/>
  <c r="A122" i="6" s="1"/>
  <c r="F120" i="5"/>
  <c r="A120" i="6" s="1"/>
  <c r="F119" i="5"/>
  <c r="F117" i="5"/>
  <c r="F108" i="5"/>
  <c r="A108" i="6" s="1"/>
  <c r="F107" i="5"/>
  <c r="F106" i="5"/>
  <c r="A106" i="6" s="1"/>
  <c r="F105" i="5"/>
  <c r="A105" i="6" s="1"/>
  <c r="F104" i="5"/>
  <c r="A104" i="6" s="1"/>
  <c r="F103" i="5"/>
  <c r="A103" i="6" s="1"/>
  <c r="F102" i="5"/>
  <c r="F100" i="5"/>
  <c r="F99" i="5"/>
  <c r="A99" i="6" s="1"/>
  <c r="F98" i="5"/>
  <c r="A98" i="6" s="1"/>
  <c r="F97" i="5"/>
  <c r="F95" i="5"/>
  <c r="F94" i="5"/>
  <c r="A94" i="6" s="1"/>
  <c r="F93" i="5"/>
  <c r="A93" i="6" s="1"/>
  <c r="F92" i="5"/>
  <c r="F90" i="5"/>
  <c r="A90" i="6" s="1"/>
  <c r="F89" i="5"/>
  <c r="F88" i="5"/>
  <c r="F87" i="5"/>
  <c r="F86" i="5"/>
  <c r="F85" i="5"/>
  <c r="A85" i="6" s="1"/>
  <c r="F84" i="5"/>
  <c r="A84" i="6" s="1"/>
  <c r="F82" i="5"/>
  <c r="F81" i="5"/>
  <c r="F80" i="5"/>
  <c r="A80" i="6" s="1"/>
  <c r="F79" i="5"/>
  <c r="A79" i="6" s="1"/>
  <c r="F78" i="5"/>
  <c r="F77" i="5"/>
  <c r="F76" i="5"/>
  <c r="A76" i="6" s="1"/>
  <c r="F75" i="5"/>
  <c r="A75" i="6" s="1"/>
  <c r="F74" i="5"/>
  <c r="F73" i="5"/>
  <c r="F72" i="5"/>
  <c r="F71" i="5"/>
  <c r="A71" i="6" s="1"/>
  <c r="F70" i="5"/>
  <c r="F69" i="5"/>
  <c r="F68" i="5"/>
  <c r="A68" i="6" s="1"/>
  <c r="F67" i="5"/>
  <c r="A67" i="6" s="1"/>
  <c r="F65" i="5"/>
  <c r="F64" i="5"/>
  <c r="F63" i="5"/>
  <c r="A63" i="6" s="1"/>
  <c r="F62" i="5"/>
  <c r="A62" i="6" s="1"/>
  <c r="F61" i="5"/>
  <c r="F59" i="5"/>
  <c r="A59" i="6" s="1"/>
  <c r="F58" i="5"/>
  <c r="A58" i="6" s="1"/>
  <c r="E56" i="5"/>
  <c r="A56" i="6" s="1"/>
  <c r="E55" i="5"/>
  <c r="E54" i="5"/>
  <c r="E53" i="5"/>
  <c r="A53" i="6" s="1"/>
  <c r="E52" i="5"/>
  <c r="H52" i="5" s="1"/>
  <c r="L52" i="5" s="1"/>
  <c r="E51" i="5"/>
  <c r="E50" i="5"/>
  <c r="A50" i="6" s="1"/>
  <c r="E49" i="5"/>
  <c r="A49" i="6" s="1"/>
  <c r="E48" i="5"/>
  <c r="E47" i="5"/>
  <c r="E46" i="5"/>
  <c r="E45" i="5"/>
  <c r="A45" i="6" s="1"/>
  <c r="E44" i="5"/>
  <c r="A44" i="6" s="1"/>
  <c r="E43" i="5"/>
  <c r="E42" i="5"/>
  <c r="E41" i="5"/>
  <c r="A41" i="6" s="1"/>
  <c r="E40" i="5"/>
  <c r="D39" i="5"/>
  <c r="D37" i="5"/>
  <c r="D32" i="5"/>
  <c r="AB85" i="10" s="1"/>
  <c r="D27" i="5"/>
  <c r="H31" i="5" s="1"/>
  <c r="L31" i="5" s="1"/>
  <c r="D25" i="5"/>
  <c r="E441" i="2"/>
  <c r="E440" i="2"/>
  <c r="E439" i="2"/>
  <c r="E438" i="2"/>
  <c r="E437" i="2"/>
  <c r="E436" i="2"/>
  <c r="E435" i="2"/>
  <c r="E434" i="2"/>
  <c r="E433" i="2"/>
  <c r="E432" i="2"/>
  <c r="E431" i="2"/>
  <c r="E430" i="2"/>
  <c r="E429" i="2"/>
  <c r="E428" i="2"/>
  <c r="E427" i="2"/>
  <c r="E426" i="2"/>
  <c r="E425" i="2"/>
  <c r="E424" i="2"/>
  <c r="E423" i="2"/>
  <c r="E422" i="2"/>
  <c r="E421" i="2"/>
  <c r="E420" i="2"/>
  <c r="E419" i="2"/>
  <c r="E418" i="2"/>
  <c r="E417" i="2"/>
  <c r="E416" i="2"/>
  <c r="E415" i="2"/>
  <c r="E414" i="2"/>
  <c r="E413" i="2"/>
  <c r="E412" i="2"/>
  <c r="E411" i="2"/>
  <c r="E410" i="2"/>
  <c r="E409" i="2"/>
  <c r="E408" i="2"/>
  <c r="E407" i="2"/>
  <c r="E406" i="2"/>
  <c r="E405" i="2"/>
  <c r="E404" i="2"/>
  <c r="E403" i="2"/>
  <c r="H403" i="2" s="1"/>
  <c r="L403" i="2" s="1"/>
  <c r="E402" i="2"/>
  <c r="E401" i="2"/>
  <c r="E400" i="2"/>
  <c r="E399" i="2"/>
  <c r="E398" i="2"/>
  <c r="E397" i="2"/>
  <c r="E396" i="2"/>
  <c r="F394" i="2"/>
  <c r="F393" i="2"/>
  <c r="E392" i="2"/>
  <c r="E395" i="2"/>
  <c r="E391" i="2"/>
  <c r="E390" i="2"/>
  <c r="E389" i="2"/>
  <c r="E388" i="2"/>
  <c r="E387" i="2"/>
  <c r="E386" i="2"/>
  <c r="D382" i="2"/>
  <c r="E350" i="2"/>
  <c r="F357" i="2"/>
  <c r="H357" i="2" s="1"/>
  <c r="L357" i="2" s="1"/>
  <c r="F356" i="2"/>
  <c r="H356" i="2" s="1"/>
  <c r="L356" i="2" s="1"/>
  <c r="F355" i="2"/>
  <c r="H355" i="2" s="1"/>
  <c r="L355" i="2" s="1"/>
  <c r="F352" i="2"/>
  <c r="H352" i="2" s="1"/>
  <c r="L352" i="2" s="1"/>
  <c r="F351" i="2"/>
  <c r="H351" i="2" s="1"/>
  <c r="L351" i="2" s="1"/>
  <c r="F349" i="2"/>
  <c r="H349" i="2" s="1"/>
  <c r="L349" i="2" s="1"/>
  <c r="F348" i="2"/>
  <c r="H348" i="2" s="1"/>
  <c r="L348" i="2" s="1"/>
  <c r="F347" i="2"/>
  <c r="H347" i="2" s="1"/>
  <c r="L347" i="2" s="1"/>
  <c r="F346" i="2"/>
  <c r="H346" i="2" s="1"/>
  <c r="L346" i="2" s="1"/>
  <c r="F345" i="2"/>
  <c r="H345" i="2" s="1"/>
  <c r="L345" i="2" s="1"/>
  <c r="F342" i="2"/>
  <c r="H342" i="2" s="1"/>
  <c r="L342" i="2" s="1"/>
  <c r="F341" i="2"/>
  <c r="H341" i="2" s="1"/>
  <c r="L341" i="2" s="1"/>
  <c r="E340" i="2"/>
  <c r="F380" i="2"/>
  <c r="H380" i="2" s="1"/>
  <c r="L380" i="2" s="1"/>
  <c r="F379" i="2"/>
  <c r="H379" i="2" s="1"/>
  <c r="L379" i="2" s="1"/>
  <c r="F378" i="2"/>
  <c r="H378" i="2" s="1"/>
  <c r="L378" i="2" s="1"/>
  <c r="F377" i="2"/>
  <c r="H377" i="2" s="1"/>
  <c r="L377" i="2" s="1"/>
  <c r="F376" i="2"/>
  <c r="H376" i="2" s="1"/>
  <c r="L376" i="2" s="1"/>
  <c r="F375" i="2"/>
  <c r="H375" i="2" s="1"/>
  <c r="L375" i="2" s="1"/>
  <c r="F374" i="2"/>
  <c r="H374" i="2" s="1"/>
  <c r="L374" i="2" s="1"/>
  <c r="F373" i="2"/>
  <c r="H373" i="2" s="1"/>
  <c r="L373" i="2" s="1"/>
  <c r="F372" i="2"/>
  <c r="H372" i="2" s="1"/>
  <c r="L372" i="2" s="1"/>
  <c r="F371" i="2"/>
  <c r="H371" i="2" s="1"/>
  <c r="L371" i="2" s="1"/>
  <c r="F370" i="2"/>
  <c r="H370" i="2" s="1"/>
  <c r="L370" i="2" s="1"/>
  <c r="E367" i="2"/>
  <c r="F366" i="2"/>
  <c r="H366" i="2" s="1"/>
  <c r="L366" i="2" s="1"/>
  <c r="F365" i="2"/>
  <c r="H365" i="2" s="1"/>
  <c r="L365" i="2" s="1"/>
  <c r="F364" i="2"/>
  <c r="H364" i="2" s="1"/>
  <c r="L364" i="2" s="1"/>
  <c r="F363" i="2"/>
  <c r="H363" i="2" s="1"/>
  <c r="L363" i="2" s="1"/>
  <c r="F360" i="2"/>
  <c r="H360" i="2" s="1"/>
  <c r="L360" i="2" s="1"/>
  <c r="F359" i="2"/>
  <c r="H359" i="2" s="1"/>
  <c r="L359" i="2" s="1"/>
  <c r="E358" i="2"/>
  <c r="F339" i="2"/>
  <c r="H339" i="2" s="1"/>
  <c r="L339" i="2" s="1"/>
  <c r="F338" i="2"/>
  <c r="H338" i="2" s="1"/>
  <c r="L338" i="2" s="1"/>
  <c r="F337" i="2"/>
  <c r="H337" i="2" s="1"/>
  <c r="L337" i="2" s="1"/>
  <c r="F334" i="2"/>
  <c r="H334" i="2" s="1"/>
  <c r="L334" i="2" s="1"/>
  <c r="F333" i="2"/>
  <c r="H333" i="2" s="1"/>
  <c r="L333" i="2" s="1"/>
  <c r="E332" i="2"/>
  <c r="F331" i="2"/>
  <c r="H331" i="2" s="1"/>
  <c r="L331" i="2" s="1"/>
  <c r="F330" i="2"/>
  <c r="H330" i="2" s="1"/>
  <c r="L330" i="2" s="1"/>
  <c r="F329" i="2"/>
  <c r="H329" i="2" s="1"/>
  <c r="L329" i="2" s="1"/>
  <c r="F328" i="2"/>
  <c r="H328" i="2" s="1"/>
  <c r="L328" i="2" s="1"/>
  <c r="F327" i="2"/>
  <c r="H327" i="2" s="1"/>
  <c r="L327" i="2" s="1"/>
  <c r="F326" i="2"/>
  <c r="H326" i="2" s="1"/>
  <c r="L326" i="2" s="1"/>
  <c r="F325" i="2"/>
  <c r="H325" i="2" s="1"/>
  <c r="L325" i="2" s="1"/>
  <c r="F324" i="2"/>
  <c r="H324" i="2" s="1"/>
  <c r="L324" i="2" s="1"/>
  <c r="F323" i="2"/>
  <c r="H323" i="2" s="1"/>
  <c r="L323" i="2" s="1"/>
  <c r="F322" i="2"/>
  <c r="H322" i="2" s="1"/>
  <c r="L322" i="2" s="1"/>
  <c r="F321" i="2"/>
  <c r="H321" i="2" s="1"/>
  <c r="L321" i="2" s="1"/>
  <c r="F319" i="2"/>
  <c r="H319" i="2" s="1"/>
  <c r="L319" i="2" s="1"/>
  <c r="F318" i="2"/>
  <c r="H318" i="2" s="1"/>
  <c r="L318" i="2" s="1"/>
  <c r="F317" i="2"/>
  <c r="H317" i="2" s="1"/>
  <c r="L317" i="2" s="1"/>
  <c r="E316" i="2"/>
  <c r="F308" i="2"/>
  <c r="H308" i="2" s="1"/>
  <c r="L308" i="2" s="1"/>
  <c r="F307" i="2"/>
  <c r="H307" i="2" s="1"/>
  <c r="L307" i="2" s="1"/>
  <c r="F306" i="2"/>
  <c r="H306" i="2" s="1"/>
  <c r="L306" i="2" s="1"/>
  <c r="F305" i="2"/>
  <c r="H305" i="2" s="1"/>
  <c r="L305" i="2" s="1"/>
  <c r="F304" i="2"/>
  <c r="H304" i="2" s="1"/>
  <c r="L304" i="2" s="1"/>
  <c r="F302" i="2"/>
  <c r="H302" i="2" s="1"/>
  <c r="L302" i="2" s="1"/>
  <c r="F301" i="2"/>
  <c r="H301" i="2" s="1"/>
  <c r="L301" i="2" s="1"/>
  <c r="F300" i="2"/>
  <c r="H300" i="2" s="1"/>
  <c r="L300" i="2" s="1"/>
  <c r="E299" i="2"/>
  <c r="F298" i="2"/>
  <c r="H298" i="2" s="1"/>
  <c r="L298" i="2" s="1"/>
  <c r="F297" i="2"/>
  <c r="H297" i="2" s="1"/>
  <c r="L297" i="2" s="1"/>
  <c r="F296" i="2"/>
  <c r="H296" i="2" s="1"/>
  <c r="L296" i="2" s="1"/>
  <c r="F295" i="2"/>
  <c r="H295" i="2" s="1"/>
  <c r="L295" i="2" s="1"/>
  <c r="F294" i="2"/>
  <c r="H294" i="2" s="1"/>
  <c r="L294" i="2" s="1"/>
  <c r="F292" i="2"/>
  <c r="H292" i="2" s="1"/>
  <c r="L292" i="2" s="1"/>
  <c r="F291" i="2"/>
  <c r="H291" i="2" s="1"/>
  <c r="L291" i="2" s="1"/>
  <c r="F290" i="2"/>
  <c r="H290" i="2" s="1"/>
  <c r="L290" i="2" s="1"/>
  <c r="E289" i="2"/>
  <c r="F288" i="2"/>
  <c r="H288" i="2" s="1"/>
  <c r="L288" i="2" s="1"/>
  <c r="F287" i="2"/>
  <c r="H287" i="2" s="1"/>
  <c r="L287" i="2" s="1"/>
  <c r="F286" i="2"/>
  <c r="H286" i="2" s="1"/>
  <c r="L286" i="2" s="1"/>
  <c r="F285" i="2"/>
  <c r="H285" i="2" s="1"/>
  <c r="L285" i="2" s="1"/>
  <c r="F284" i="2"/>
  <c r="H284" i="2" s="1"/>
  <c r="L284" i="2" s="1"/>
  <c r="F282" i="2"/>
  <c r="H282" i="2" s="1"/>
  <c r="L282" i="2" s="1"/>
  <c r="F281" i="2"/>
  <c r="H281" i="2" s="1"/>
  <c r="L281" i="2" s="1"/>
  <c r="F280" i="2"/>
  <c r="H280" i="2" s="1"/>
  <c r="L280" i="2" s="1"/>
  <c r="E279" i="2"/>
  <c r="F278" i="2"/>
  <c r="H278" i="2" s="1"/>
  <c r="L278" i="2" s="1"/>
  <c r="F277" i="2"/>
  <c r="H277" i="2" s="1"/>
  <c r="L277" i="2" s="1"/>
  <c r="F276" i="2"/>
  <c r="H276" i="2" s="1"/>
  <c r="L276" i="2" s="1"/>
  <c r="F275" i="2"/>
  <c r="H275" i="2" s="1"/>
  <c r="L275" i="2" s="1"/>
  <c r="F273" i="2"/>
  <c r="H273" i="2" s="1"/>
  <c r="L273" i="2" s="1"/>
  <c r="F272" i="2"/>
  <c r="H272" i="2" s="1"/>
  <c r="L272" i="2" s="1"/>
  <c r="F271" i="2"/>
  <c r="H271" i="2" s="1"/>
  <c r="L271" i="2" s="1"/>
  <c r="E270" i="2"/>
  <c r="F269" i="2"/>
  <c r="H269" i="2" s="1"/>
  <c r="L269" i="2" s="1"/>
  <c r="F268" i="2"/>
  <c r="H268" i="2" s="1"/>
  <c r="L268" i="2" s="1"/>
  <c r="F267" i="2"/>
  <c r="H267" i="2" s="1"/>
  <c r="L267" i="2" s="1"/>
  <c r="F266" i="2"/>
  <c r="H266" i="2" s="1"/>
  <c r="L266" i="2" s="1"/>
  <c r="F265" i="2"/>
  <c r="H265" i="2" s="1"/>
  <c r="L265" i="2" s="1"/>
  <c r="F264" i="2"/>
  <c r="H264" i="2" s="1"/>
  <c r="L264" i="2" s="1"/>
  <c r="F263" i="2"/>
  <c r="H263" i="2" s="1"/>
  <c r="L263" i="2" s="1"/>
  <c r="F262" i="2"/>
  <c r="H262" i="2" s="1"/>
  <c r="L262" i="2" s="1"/>
  <c r="F261" i="2"/>
  <c r="H261" i="2" s="1"/>
  <c r="L261" i="2" s="1"/>
  <c r="F260" i="2"/>
  <c r="H260" i="2" s="1"/>
  <c r="L260" i="2" s="1"/>
  <c r="F257" i="2"/>
  <c r="H257" i="2" s="1"/>
  <c r="L257" i="2" s="1"/>
  <c r="F256" i="2"/>
  <c r="H256" i="2" s="1"/>
  <c r="L256" i="2" s="1"/>
  <c r="E255" i="2"/>
  <c r="F254" i="2"/>
  <c r="F253" i="2"/>
  <c r="F252" i="2"/>
  <c r="F251" i="2"/>
  <c r="F250" i="2"/>
  <c r="F249" i="2"/>
  <c r="F248" i="2"/>
  <c r="F247" i="2"/>
  <c r="F246" i="2"/>
  <c r="F245" i="2"/>
  <c r="F244" i="2"/>
  <c r="F243" i="2"/>
  <c r="H243" i="2" s="1"/>
  <c r="L243" i="2" s="1"/>
  <c r="F242" i="2"/>
  <c r="F237" i="2"/>
  <c r="H237" i="2" s="1"/>
  <c r="L237" i="2" s="1"/>
  <c r="F241" i="2"/>
  <c r="F240" i="2"/>
  <c r="H240" i="2" s="1"/>
  <c r="L240" i="2" s="1"/>
  <c r="F239" i="2"/>
  <c r="F238" i="2"/>
  <c r="H238" i="2" s="1"/>
  <c r="L238" i="2" s="1"/>
  <c r="F235" i="2"/>
  <c r="F233" i="2"/>
  <c r="H233" i="2" s="1"/>
  <c r="L233" i="2" s="1"/>
  <c r="F232" i="2"/>
  <c r="E231" i="2"/>
  <c r="F219" i="2"/>
  <c r="H219" i="2" s="1"/>
  <c r="L219" i="2" s="1"/>
  <c r="E218" i="2"/>
  <c r="F210" i="2"/>
  <c r="H210" i="2" s="1"/>
  <c r="L210" i="2" s="1"/>
  <c r="F209" i="2"/>
  <c r="H209" i="2" s="1"/>
  <c r="L209" i="2" s="1"/>
  <c r="F208" i="2"/>
  <c r="H208" i="2" s="1"/>
  <c r="L208" i="2" s="1"/>
  <c r="H207" i="2"/>
  <c r="L207" i="2" s="1"/>
  <c r="E204" i="2"/>
  <c r="H204" i="2" s="1"/>
  <c r="L204" i="2" s="1"/>
  <c r="E203" i="2"/>
  <c r="H203" i="2" s="1"/>
  <c r="L203" i="2" s="1"/>
  <c r="E202" i="2"/>
  <c r="H202" i="2" s="1"/>
  <c r="L202" i="2" s="1"/>
  <c r="E201" i="2"/>
  <c r="H201" i="2" s="1"/>
  <c r="L201" i="2" s="1"/>
  <c r="E200" i="2"/>
  <c r="H200" i="2" s="1"/>
  <c r="L200" i="2" s="1"/>
  <c r="E199" i="2"/>
  <c r="H199" i="2" s="1"/>
  <c r="L199" i="2" s="1"/>
  <c r="E198" i="2"/>
  <c r="H198" i="2" s="1"/>
  <c r="L198" i="2" s="1"/>
  <c r="E197" i="2"/>
  <c r="H197" i="2" s="1"/>
  <c r="L197" i="2" s="1"/>
  <c r="E190" i="2"/>
  <c r="H190" i="2" s="1"/>
  <c r="L190" i="2" s="1"/>
  <c r="E187" i="2"/>
  <c r="H187" i="2" s="1"/>
  <c r="L187" i="2" s="1"/>
  <c r="E182" i="2"/>
  <c r="H182" i="2" s="1"/>
  <c r="L182" i="2" s="1"/>
  <c r="E196" i="2"/>
  <c r="H196" i="2" s="1"/>
  <c r="L196" i="2" s="1"/>
  <c r="E195" i="2"/>
  <c r="H195" i="2" s="1"/>
  <c r="L195" i="2" s="1"/>
  <c r="E194" i="2"/>
  <c r="H194" i="2" s="1"/>
  <c r="L194" i="2" s="1"/>
  <c r="E193" i="2"/>
  <c r="H193" i="2" s="1"/>
  <c r="L193" i="2" s="1"/>
  <c r="E192" i="2"/>
  <c r="H192" i="2" s="1"/>
  <c r="L192" i="2" s="1"/>
  <c r="E191" i="2"/>
  <c r="H191" i="2" s="1"/>
  <c r="L191" i="2" s="1"/>
  <c r="E189" i="2"/>
  <c r="H189" i="2" s="1"/>
  <c r="L189" i="2" s="1"/>
  <c r="E188" i="2"/>
  <c r="H188" i="2" s="1"/>
  <c r="L188" i="2" s="1"/>
  <c r="E186" i="2"/>
  <c r="H186" i="2" s="1"/>
  <c r="L186" i="2" s="1"/>
  <c r="E185" i="2"/>
  <c r="H185" i="2" s="1"/>
  <c r="L185" i="2" s="1"/>
  <c r="E184" i="2"/>
  <c r="H184" i="2" s="1"/>
  <c r="L184" i="2" s="1"/>
  <c r="E183" i="2"/>
  <c r="H183" i="2" s="1"/>
  <c r="L183" i="2" s="1"/>
  <c r="E181" i="2"/>
  <c r="H181" i="2" s="1"/>
  <c r="L181" i="2" s="1"/>
  <c r="E178" i="2"/>
  <c r="H178" i="2" s="1"/>
  <c r="L178" i="2" s="1"/>
  <c r="E177" i="2"/>
  <c r="H177" i="2" s="1"/>
  <c r="L177" i="2" s="1"/>
  <c r="E176" i="2"/>
  <c r="H176" i="2" s="1"/>
  <c r="L176" i="2" s="1"/>
  <c r="E175" i="2"/>
  <c r="H175" i="2" s="1"/>
  <c r="L175" i="2" s="1"/>
  <c r="E166" i="2"/>
  <c r="H166" i="2" s="1"/>
  <c r="L166" i="2" s="1"/>
  <c r="E165" i="2"/>
  <c r="H165" i="2" s="1"/>
  <c r="L165" i="2" s="1"/>
  <c r="E164" i="2"/>
  <c r="H164" i="2" s="1"/>
  <c r="L164" i="2" s="1"/>
  <c r="E163" i="2"/>
  <c r="H163" i="2" s="1"/>
  <c r="L163" i="2" s="1"/>
  <c r="E162" i="2"/>
  <c r="H162" i="2" s="1"/>
  <c r="L162" i="2" s="1"/>
  <c r="E161" i="2"/>
  <c r="H161" i="2" s="1"/>
  <c r="L161" i="2" s="1"/>
  <c r="E160" i="2"/>
  <c r="H160" i="2" s="1"/>
  <c r="L160" i="2" s="1"/>
  <c r="E146" i="2"/>
  <c r="H146" i="2" s="1"/>
  <c r="L146" i="2" s="1"/>
  <c r="E159" i="2"/>
  <c r="H159" i="2" s="1"/>
  <c r="L159" i="2" s="1"/>
  <c r="E158" i="2"/>
  <c r="H158" i="2" s="1"/>
  <c r="L158" i="2" s="1"/>
  <c r="E157" i="2"/>
  <c r="H157" i="2" s="1"/>
  <c r="L157" i="2" s="1"/>
  <c r="E156" i="2"/>
  <c r="H156" i="2" s="1"/>
  <c r="L156" i="2" s="1"/>
  <c r="E155" i="2"/>
  <c r="H155" i="2" s="1"/>
  <c r="L155" i="2" s="1"/>
  <c r="E154" i="2"/>
  <c r="H154" i="2" s="1"/>
  <c r="L154" i="2" s="1"/>
  <c r="E153" i="2"/>
  <c r="H153" i="2" s="1"/>
  <c r="L153" i="2" s="1"/>
  <c r="E152" i="2"/>
  <c r="H152" i="2" s="1"/>
  <c r="L152" i="2" s="1"/>
  <c r="E151" i="2"/>
  <c r="H151" i="2" s="1"/>
  <c r="L151" i="2" s="1"/>
  <c r="E150" i="2"/>
  <c r="H150" i="2" s="1"/>
  <c r="L150" i="2" s="1"/>
  <c r="E149" i="2"/>
  <c r="H149" i="2" s="1"/>
  <c r="L149" i="2" s="1"/>
  <c r="E148" i="2"/>
  <c r="H148" i="2" s="1"/>
  <c r="L148" i="2" s="1"/>
  <c r="E147" i="2"/>
  <c r="H147" i="2" s="1"/>
  <c r="L147" i="2" s="1"/>
  <c r="E145" i="2"/>
  <c r="H145" i="2" s="1"/>
  <c r="L145" i="2" s="1"/>
  <c r="E144" i="2"/>
  <c r="H144" i="2" s="1"/>
  <c r="L144" i="2" s="1"/>
  <c r="E143" i="2"/>
  <c r="H143" i="2" s="1"/>
  <c r="L143" i="2" s="1"/>
  <c r="E142" i="2"/>
  <c r="H142" i="2" s="1"/>
  <c r="L142" i="2" s="1"/>
  <c r="E141" i="2"/>
  <c r="E140" i="2"/>
  <c r="E139" i="2"/>
  <c r="E138" i="2"/>
  <c r="H138" i="2" s="1"/>
  <c r="L138" i="2" s="1"/>
  <c r="E137" i="2"/>
  <c r="H137" i="2" s="1"/>
  <c r="L137" i="2" s="1"/>
  <c r="E136" i="2"/>
  <c r="E135" i="2"/>
  <c r="E133" i="2"/>
  <c r="H133" i="2" s="1"/>
  <c r="L133" i="2" s="1"/>
  <c r="E132" i="2"/>
  <c r="H132" i="2" s="1"/>
  <c r="L132" i="2" s="1"/>
  <c r="E131" i="2"/>
  <c r="H131" i="2" s="1"/>
  <c r="L131" i="2" s="1"/>
  <c r="E130" i="2"/>
  <c r="H130" i="2" s="1"/>
  <c r="L130" i="2" s="1"/>
  <c r="E129" i="2"/>
  <c r="H129" i="2" s="1"/>
  <c r="L129" i="2" s="1"/>
  <c r="E128" i="2"/>
  <c r="H128" i="2" s="1"/>
  <c r="L128" i="2" s="1"/>
  <c r="E127" i="2"/>
  <c r="H127" i="2" s="1"/>
  <c r="L127" i="2" s="1"/>
  <c r="F124" i="2"/>
  <c r="F123" i="2"/>
  <c r="F116" i="2"/>
  <c r="F114" i="2"/>
  <c r="F113" i="2"/>
  <c r="F112" i="2"/>
  <c r="F111" i="2"/>
  <c r="F109" i="2"/>
  <c r="F122" i="2"/>
  <c r="F120" i="2"/>
  <c r="F119" i="2"/>
  <c r="F117" i="2"/>
  <c r="F108" i="2"/>
  <c r="F107" i="2"/>
  <c r="F106" i="2"/>
  <c r="F105" i="2"/>
  <c r="F104" i="2"/>
  <c r="F103" i="2"/>
  <c r="F102" i="2"/>
  <c r="F100" i="2"/>
  <c r="F99" i="2"/>
  <c r="F98" i="2"/>
  <c r="F97" i="2"/>
  <c r="F95" i="2"/>
  <c r="F94" i="2"/>
  <c r="F93" i="2"/>
  <c r="F92" i="2"/>
  <c r="F90" i="2"/>
  <c r="F89" i="2"/>
  <c r="F88" i="2"/>
  <c r="F87" i="2"/>
  <c r="F86" i="2"/>
  <c r="F85" i="2"/>
  <c r="F84" i="2"/>
  <c r="F82" i="2"/>
  <c r="F81" i="2"/>
  <c r="F80" i="2"/>
  <c r="F79" i="2"/>
  <c r="F78" i="2"/>
  <c r="F77" i="2"/>
  <c r="F76" i="2"/>
  <c r="F75" i="2"/>
  <c r="F74" i="2"/>
  <c r="F73" i="2"/>
  <c r="F72" i="2"/>
  <c r="F71" i="2"/>
  <c r="F70" i="2"/>
  <c r="F69" i="2"/>
  <c r="F68" i="2"/>
  <c r="F67" i="2"/>
  <c r="F65" i="2"/>
  <c r="F64" i="2"/>
  <c r="F63" i="2"/>
  <c r="F62" i="2"/>
  <c r="F61" i="2"/>
  <c r="F59" i="2"/>
  <c r="F58" i="2"/>
  <c r="E56" i="2"/>
  <c r="E55" i="2"/>
  <c r="H55" i="2" s="1"/>
  <c r="L55" i="2" s="1"/>
  <c r="E54" i="2"/>
  <c r="E53" i="2"/>
  <c r="E52" i="2"/>
  <c r="E51" i="2"/>
  <c r="E50" i="2"/>
  <c r="E49" i="2"/>
  <c r="E48" i="2"/>
  <c r="E47" i="2"/>
  <c r="E46" i="2"/>
  <c r="E45" i="2"/>
  <c r="E44" i="2"/>
  <c r="E43" i="2"/>
  <c r="H43" i="2" s="1"/>
  <c r="L43" i="2" s="1"/>
  <c r="E42" i="2"/>
  <c r="E41" i="2"/>
  <c r="E40" i="2"/>
  <c r="D39" i="2"/>
  <c r="D443" i="2"/>
  <c r="D385" i="2"/>
  <c r="D381" i="2"/>
  <c r="D180" i="2"/>
  <c r="D174" i="2"/>
  <c r="D168" i="2"/>
  <c r="D126" i="2"/>
  <c r="D37" i="2"/>
  <c r="D27" i="2"/>
  <c r="H31" i="2" s="1"/>
  <c r="L31" i="2" s="1"/>
  <c r="L380" i="6"/>
  <c r="X22" i="21"/>
  <c r="T14" i="21"/>
  <c r="G14" i="21"/>
  <c r="S7" i="21"/>
  <c r="P14" i="21"/>
  <c r="U564" i="21"/>
  <c r="S564" i="21"/>
  <c r="O564" i="21"/>
  <c r="O7" i="21"/>
  <c r="M7" i="21"/>
  <c r="N14" i="21"/>
  <c r="D23" i="21"/>
  <c r="A455" i="14"/>
  <c r="K456" i="14"/>
  <c r="A455" i="6"/>
  <c r="A442" i="6"/>
  <c r="A424" i="6"/>
  <c r="A423" i="6"/>
  <c r="A421" i="6"/>
  <c r="A402" i="6"/>
  <c r="A384" i="6"/>
  <c r="A383" i="6"/>
  <c r="A381" i="6"/>
  <c r="A367" i="6"/>
  <c r="A220" i="6"/>
  <c r="A230" i="6"/>
  <c r="A229" i="6"/>
  <c r="A227" i="6"/>
  <c r="A224" i="6"/>
  <c r="A226" i="6"/>
  <c r="A225" i="6"/>
  <c r="A223" i="6"/>
  <c r="A222" i="6"/>
  <c r="A205" i="6"/>
  <c r="A179" i="6"/>
  <c r="A173" i="6"/>
  <c r="A167" i="6"/>
  <c r="A125" i="6"/>
  <c r="A57" i="6"/>
  <c r="A38" i="6"/>
  <c r="A36" i="6"/>
  <c r="A31" i="6"/>
  <c r="A26" i="6"/>
  <c r="K442" i="6"/>
  <c r="K421" i="6"/>
  <c r="K384" i="6"/>
  <c r="K383" i="6"/>
  <c r="K381" i="6"/>
  <c r="K205" i="6"/>
  <c r="K179" i="6"/>
  <c r="K173" i="6"/>
  <c r="K167" i="6"/>
  <c r="K125" i="6"/>
  <c r="K57" i="6"/>
  <c r="K38" i="6"/>
  <c r="K36" i="6"/>
  <c r="K31" i="6"/>
  <c r="K26" i="6"/>
  <c r="A442" i="7"/>
  <c r="A421" i="7"/>
  <c r="A384" i="7"/>
  <c r="A383" i="7"/>
  <c r="A381" i="7"/>
  <c r="A380" i="7"/>
  <c r="A205" i="7"/>
  <c r="A179" i="7"/>
  <c r="A173" i="7"/>
  <c r="A167" i="7"/>
  <c r="A125" i="7"/>
  <c r="A57" i="7"/>
  <c r="A38" i="7"/>
  <c r="A36" i="7"/>
  <c r="A31" i="7"/>
  <c r="A26" i="7"/>
  <c r="K442" i="7"/>
  <c r="K384" i="7"/>
  <c r="K383" i="7"/>
  <c r="K381" i="7"/>
  <c r="K380" i="7"/>
  <c r="K205" i="7"/>
  <c r="K179" i="7"/>
  <c r="K173" i="7"/>
  <c r="K167" i="7"/>
  <c r="K125" i="7"/>
  <c r="K57" i="7"/>
  <c r="K38" i="7"/>
  <c r="K36" i="7"/>
  <c r="K31" i="7"/>
  <c r="K26" i="7"/>
  <c r="A442" i="8"/>
  <c r="K442" i="14" s="1"/>
  <c r="A441" i="8"/>
  <c r="K441" i="14" s="1"/>
  <c r="A408" i="8"/>
  <c r="K408" i="14" s="1"/>
  <c r="A384" i="8"/>
  <c r="K384" i="14" s="1"/>
  <c r="A383" i="8"/>
  <c r="K383" i="14" s="1"/>
  <c r="A381" i="8"/>
  <c r="K381" i="14" s="1"/>
  <c r="A380" i="8"/>
  <c r="K380" i="14" s="1"/>
  <c r="A205" i="8"/>
  <c r="K205" i="14" s="1"/>
  <c r="A179" i="8"/>
  <c r="K179" i="14" s="1"/>
  <c r="A173" i="8"/>
  <c r="K173" i="14" s="1"/>
  <c r="A167" i="8"/>
  <c r="K167" i="14" s="1"/>
  <c r="A125" i="8"/>
  <c r="K125" i="14" s="1"/>
  <c r="A123" i="8"/>
  <c r="K123" i="14" s="1"/>
  <c r="A122" i="8"/>
  <c r="K122" i="14" s="1"/>
  <c r="A114" i="8"/>
  <c r="K114" i="14" s="1"/>
  <c r="A113" i="8"/>
  <c r="K113" i="14" s="1"/>
  <c r="A112" i="8"/>
  <c r="K112" i="14" s="1"/>
  <c r="A111" i="8"/>
  <c r="K111" i="14" s="1"/>
  <c r="A109" i="8"/>
  <c r="K109" i="14" s="1"/>
  <c r="A120" i="8"/>
  <c r="K120" i="14" s="1"/>
  <c r="A119" i="8"/>
  <c r="K119" i="14" s="1"/>
  <c r="A117" i="8"/>
  <c r="K117" i="14" s="1"/>
  <c r="A116" i="8"/>
  <c r="K116" i="14" s="1"/>
  <c r="A108" i="8"/>
  <c r="K108" i="14" s="1"/>
  <c r="A107" i="8"/>
  <c r="K107" i="14" s="1"/>
  <c r="A106" i="8"/>
  <c r="K106" i="14" s="1"/>
  <c r="A105" i="8"/>
  <c r="K105" i="14" s="1"/>
  <c r="A104" i="8"/>
  <c r="K104" i="14" s="1"/>
  <c r="A103" i="8"/>
  <c r="K103" i="14" s="1"/>
  <c r="A102" i="8"/>
  <c r="K102" i="14" s="1"/>
  <c r="A100" i="8"/>
  <c r="K100" i="14" s="1"/>
  <c r="A99" i="8"/>
  <c r="K99" i="14" s="1"/>
  <c r="A98" i="8"/>
  <c r="K98" i="14" s="1"/>
  <c r="A97" i="8"/>
  <c r="A57" i="8"/>
  <c r="K57" i="14" s="1"/>
  <c r="A38" i="8"/>
  <c r="K38" i="14" s="1"/>
  <c r="A36" i="8"/>
  <c r="K36" i="14" s="1"/>
  <c r="A31" i="8"/>
  <c r="K31" i="14" s="1"/>
  <c r="A26" i="8"/>
  <c r="K26" i="14" s="1"/>
  <c r="K442" i="8"/>
  <c r="K441" i="8"/>
  <c r="K384" i="8"/>
  <c r="K383" i="8"/>
  <c r="K381" i="8"/>
  <c r="K380" i="8"/>
  <c r="K205" i="8"/>
  <c r="K179" i="8"/>
  <c r="K173" i="8"/>
  <c r="K167" i="8"/>
  <c r="K125" i="8"/>
  <c r="K123" i="8"/>
  <c r="K122" i="8"/>
  <c r="K114" i="8"/>
  <c r="K113" i="8"/>
  <c r="K112" i="8"/>
  <c r="K111" i="8"/>
  <c r="K109" i="8"/>
  <c r="K120" i="8"/>
  <c r="K119" i="8"/>
  <c r="K117" i="8"/>
  <c r="K116" i="8"/>
  <c r="K108" i="8"/>
  <c r="K107" i="8"/>
  <c r="K106" i="8"/>
  <c r="K105" i="8"/>
  <c r="K104" i="8"/>
  <c r="K103" i="8"/>
  <c r="K102" i="8"/>
  <c r="K100" i="8"/>
  <c r="K99" i="8"/>
  <c r="K98" i="8"/>
  <c r="K97" i="8"/>
  <c r="K57" i="8"/>
  <c r="K38" i="8"/>
  <c r="K36" i="8"/>
  <c r="K31" i="8"/>
  <c r="K26" i="8"/>
  <c r="A442" i="14"/>
  <c r="A441" i="14"/>
  <c r="A384" i="14"/>
  <c r="A383" i="14"/>
  <c r="A381" i="14"/>
  <c r="A380" i="14"/>
  <c r="A205" i="14"/>
  <c r="A179" i="14"/>
  <c r="A167" i="14"/>
  <c r="A125" i="14"/>
  <c r="A124" i="14"/>
  <c r="A123" i="14"/>
  <c r="A122" i="14"/>
  <c r="A114" i="14"/>
  <c r="A113" i="14"/>
  <c r="A112" i="14"/>
  <c r="A111" i="14"/>
  <c r="A109" i="14"/>
  <c r="A120" i="14"/>
  <c r="A119" i="14"/>
  <c r="A117" i="14"/>
  <c r="A116" i="14"/>
  <c r="A108" i="14"/>
  <c r="A107" i="14"/>
  <c r="A106" i="14"/>
  <c r="A105" i="14"/>
  <c r="A104" i="14"/>
  <c r="A103" i="14"/>
  <c r="A102" i="14"/>
  <c r="A100" i="14"/>
  <c r="A99" i="14"/>
  <c r="A98" i="14"/>
  <c r="A97" i="14"/>
  <c r="A95" i="14"/>
  <c r="A94" i="14"/>
  <c r="A93" i="14"/>
  <c r="A92" i="14"/>
  <c r="A90" i="14"/>
  <c r="A89" i="14"/>
  <c r="A57" i="14"/>
  <c r="A38" i="14"/>
  <c r="A36" i="14"/>
  <c r="A31" i="14"/>
  <c r="A26" i="14"/>
  <c r="A469" i="15"/>
  <c r="A468" i="15"/>
  <c r="A467" i="15"/>
  <c r="A466" i="15"/>
  <c r="A465" i="15"/>
  <c r="A464" i="15"/>
  <c r="A463" i="15"/>
  <c r="A462" i="15"/>
  <c r="A461" i="15"/>
  <c r="A460" i="15"/>
  <c r="A459" i="15"/>
  <c r="A458" i="15"/>
  <c r="A457" i="15"/>
  <c r="A456" i="15"/>
  <c r="K456" i="15" s="1"/>
  <c r="A442" i="15"/>
  <c r="K442" i="15" s="1"/>
  <c r="A441" i="15"/>
  <c r="K441" i="15" s="1"/>
  <c r="A384" i="15"/>
  <c r="K384" i="15" s="1"/>
  <c r="A383" i="15"/>
  <c r="K383" i="15" s="1"/>
  <c r="A381" i="15"/>
  <c r="K381" i="15" s="1"/>
  <c r="A380" i="15"/>
  <c r="K380" i="15" s="1"/>
  <c r="A205" i="15"/>
  <c r="K205" i="15" s="1"/>
  <c r="A179" i="15"/>
  <c r="K179" i="15" s="1"/>
  <c r="A173" i="15"/>
  <c r="K173" i="15" s="1"/>
  <c r="A167" i="15"/>
  <c r="K167" i="15" s="1"/>
  <c r="A125" i="15"/>
  <c r="K125" i="15" s="1"/>
  <c r="A124" i="15"/>
  <c r="K124" i="15" s="1"/>
  <c r="A123" i="15"/>
  <c r="K123" i="15" s="1"/>
  <c r="A122" i="15"/>
  <c r="K122" i="15" s="1"/>
  <c r="A114" i="15"/>
  <c r="K114" i="15" s="1"/>
  <c r="A113" i="15"/>
  <c r="K113" i="15" s="1"/>
  <c r="A112" i="15"/>
  <c r="K112" i="15" s="1"/>
  <c r="A111" i="15"/>
  <c r="K111" i="15" s="1"/>
  <c r="A109" i="15"/>
  <c r="K109" i="15" s="1"/>
  <c r="A120" i="15"/>
  <c r="K120" i="15" s="1"/>
  <c r="A119" i="15"/>
  <c r="K119" i="15" s="1"/>
  <c r="A117" i="15"/>
  <c r="K117" i="15" s="1"/>
  <c r="A116" i="15"/>
  <c r="K116" i="15" s="1"/>
  <c r="A108" i="15"/>
  <c r="K108" i="15" s="1"/>
  <c r="A107" i="15"/>
  <c r="K107" i="15" s="1"/>
  <c r="A106" i="15"/>
  <c r="K106" i="15" s="1"/>
  <c r="A105" i="15"/>
  <c r="K105" i="15" s="1"/>
  <c r="A104" i="15"/>
  <c r="K104" i="15" s="1"/>
  <c r="A103" i="15"/>
  <c r="K103" i="15" s="1"/>
  <c r="A102" i="15"/>
  <c r="K102" i="15" s="1"/>
  <c r="A100" i="15"/>
  <c r="K100" i="15" s="1"/>
  <c r="A99" i="15"/>
  <c r="K99" i="15" s="1"/>
  <c r="A98" i="15"/>
  <c r="K98" i="15" s="1"/>
  <c r="A97" i="15"/>
  <c r="K97" i="15" s="1"/>
  <c r="A95" i="15"/>
  <c r="K95" i="15" s="1"/>
  <c r="A94" i="15"/>
  <c r="K94" i="15" s="1"/>
  <c r="A93" i="15"/>
  <c r="K93" i="15" s="1"/>
  <c r="A92" i="15"/>
  <c r="K92" i="15" s="1"/>
  <c r="A90" i="15"/>
  <c r="K90" i="15" s="1"/>
  <c r="A89" i="15"/>
  <c r="K89" i="15" s="1"/>
  <c r="A57" i="15"/>
  <c r="K57" i="15" s="1"/>
  <c r="A38" i="15"/>
  <c r="K38" i="15" s="1"/>
  <c r="A36" i="15"/>
  <c r="K36" i="15" s="1"/>
  <c r="A31" i="15"/>
  <c r="K31" i="15" s="1"/>
  <c r="A26" i="15"/>
  <c r="K26" i="15" s="1"/>
  <c r="A456" i="17"/>
  <c r="A442" i="17"/>
  <c r="K442" i="17" s="1"/>
  <c r="A441" i="17"/>
  <c r="K441" i="17" s="1"/>
  <c r="A384" i="17"/>
  <c r="K384" i="17" s="1"/>
  <c r="A383" i="17"/>
  <c r="K383" i="17" s="1"/>
  <c r="A381" i="17"/>
  <c r="K381" i="17" s="1"/>
  <c r="A380" i="17"/>
  <c r="K380" i="17" s="1"/>
  <c r="A205" i="17"/>
  <c r="K205" i="17" s="1"/>
  <c r="A179" i="17"/>
  <c r="K179" i="17" s="1"/>
  <c r="A173" i="17"/>
  <c r="K173" i="17" s="1"/>
  <c r="A167" i="17"/>
  <c r="K167" i="17" s="1"/>
  <c r="A125" i="17"/>
  <c r="K125" i="17" s="1"/>
  <c r="A124" i="17"/>
  <c r="A123" i="17"/>
  <c r="A116" i="17"/>
  <c r="A114" i="17"/>
  <c r="A113" i="17"/>
  <c r="A112" i="17"/>
  <c r="A110" i="17"/>
  <c r="A109" i="17"/>
  <c r="A122" i="17"/>
  <c r="A120" i="17"/>
  <c r="A119" i="17"/>
  <c r="A117" i="17"/>
  <c r="A108" i="17"/>
  <c r="A107" i="17"/>
  <c r="A106" i="17"/>
  <c r="A105" i="17"/>
  <c r="A104" i="17"/>
  <c r="A103" i="17"/>
  <c r="A102" i="17"/>
  <c r="A100" i="17"/>
  <c r="A99" i="17"/>
  <c r="A98" i="17"/>
  <c r="A97" i="17"/>
  <c r="A95" i="17"/>
  <c r="A94" i="17"/>
  <c r="A93" i="17"/>
  <c r="A92" i="17"/>
  <c r="A90" i="17"/>
  <c r="A89" i="17"/>
  <c r="A57" i="17"/>
  <c r="K57" i="17" s="1"/>
  <c r="A38" i="17"/>
  <c r="K38" i="17" s="1"/>
  <c r="A36" i="17"/>
  <c r="K36" i="17" s="1"/>
  <c r="A31" i="17"/>
  <c r="A26" i="17"/>
  <c r="K26" i="17" s="1"/>
  <c r="A573" i="17"/>
  <c r="K573" i="17" s="1"/>
  <c r="A456" i="19"/>
  <c r="A442" i="19"/>
  <c r="K442" i="19" s="1"/>
  <c r="A441" i="19"/>
  <c r="K441" i="19" s="1"/>
  <c r="A384" i="19"/>
  <c r="K384" i="19" s="1"/>
  <c r="A383" i="19"/>
  <c r="K383" i="19" s="1"/>
  <c r="A381" i="19"/>
  <c r="K381" i="19" s="1"/>
  <c r="A380" i="19"/>
  <c r="K380" i="19" s="1"/>
  <c r="A205" i="19"/>
  <c r="K205" i="19" s="1"/>
  <c r="A179" i="19"/>
  <c r="K179" i="19" s="1"/>
  <c r="A173" i="19"/>
  <c r="K173" i="19" s="1"/>
  <c r="A167" i="19"/>
  <c r="K167" i="19" s="1"/>
  <c r="A125" i="19"/>
  <c r="K125" i="19" s="1"/>
  <c r="A124" i="19"/>
  <c r="A123" i="19"/>
  <c r="A122" i="19"/>
  <c r="A114" i="19"/>
  <c r="A113" i="19"/>
  <c r="A112" i="19"/>
  <c r="A111" i="19"/>
  <c r="A109" i="19"/>
  <c r="A120" i="19"/>
  <c r="A119" i="19"/>
  <c r="A117" i="19"/>
  <c r="A116" i="19"/>
  <c r="A108" i="19"/>
  <c r="A107" i="19"/>
  <c r="A106" i="19"/>
  <c r="A105" i="19"/>
  <c r="A104" i="19"/>
  <c r="A103" i="19"/>
  <c r="A102" i="19"/>
  <c r="A100" i="19"/>
  <c r="A99" i="19"/>
  <c r="A98" i="19"/>
  <c r="A97" i="19"/>
  <c r="A95" i="19"/>
  <c r="A94" i="19"/>
  <c r="A93" i="19"/>
  <c r="A92" i="19"/>
  <c r="A90" i="19"/>
  <c r="A89" i="19"/>
  <c r="A57" i="19"/>
  <c r="A38" i="19"/>
  <c r="K38" i="19" s="1"/>
  <c r="A36" i="19"/>
  <c r="K36" i="19" s="1"/>
  <c r="A31" i="19"/>
  <c r="K31" i="19" s="1"/>
  <c r="A26" i="19"/>
  <c r="K26" i="19" s="1"/>
  <c r="L124" i="15"/>
  <c r="L123" i="15"/>
  <c r="L122" i="15"/>
  <c r="L114" i="15"/>
  <c r="L113" i="15"/>
  <c r="L112" i="15"/>
  <c r="L111" i="15"/>
  <c r="L109" i="15"/>
  <c r="L120" i="15"/>
  <c r="L119" i="15"/>
  <c r="L117" i="15"/>
  <c r="L116" i="15"/>
  <c r="L108" i="15"/>
  <c r="L107" i="15"/>
  <c r="L106" i="15"/>
  <c r="L105" i="15"/>
  <c r="L104" i="15"/>
  <c r="L103" i="15"/>
  <c r="L102" i="15"/>
  <c r="L100" i="15"/>
  <c r="L99" i="15"/>
  <c r="L98" i="15"/>
  <c r="L97" i="15"/>
  <c r="L95" i="15"/>
  <c r="L94" i="15"/>
  <c r="L93" i="15"/>
  <c r="L92" i="15"/>
  <c r="L90" i="15"/>
  <c r="L89" i="15"/>
  <c r="L88" i="15"/>
  <c r="L87" i="15"/>
  <c r="L86" i="15"/>
  <c r="L85" i="15"/>
  <c r="L84" i="15"/>
  <c r="L82" i="15"/>
  <c r="L81" i="15"/>
  <c r="L80" i="15"/>
  <c r="L79" i="15"/>
  <c r="L78" i="15"/>
  <c r="L77" i="15"/>
  <c r="L76" i="15"/>
  <c r="L75" i="15"/>
  <c r="L74" i="15"/>
  <c r="L73" i="15"/>
  <c r="L72" i="15"/>
  <c r="A15" i="6"/>
  <c r="C15" i="7"/>
  <c r="L15" i="7" s="1"/>
  <c r="C19" i="7"/>
  <c r="K15" i="17"/>
  <c r="A455" i="7"/>
  <c r="C19" i="19"/>
  <c r="C19" i="17"/>
  <c r="C19" i="15"/>
  <c r="C19" i="14"/>
  <c r="C19" i="8"/>
  <c r="C19" i="6"/>
  <c r="C19" i="2"/>
  <c r="C19" i="5"/>
  <c r="U70" i="1"/>
  <c r="U44" i="1"/>
  <c r="U45" i="1"/>
  <c r="U46" i="1"/>
  <c r="U47" i="1"/>
  <c r="U48" i="1"/>
  <c r="U49" i="1"/>
  <c r="U43" i="1"/>
  <c r="U69" i="1"/>
  <c r="U68" i="1"/>
  <c r="U67" i="1"/>
  <c r="U66" i="1"/>
  <c r="U65" i="1"/>
  <c r="U64" i="1"/>
  <c r="U55" i="1"/>
  <c r="U56" i="1"/>
  <c r="U57" i="1"/>
  <c r="U58" i="1"/>
  <c r="U59" i="1"/>
  <c r="U60" i="1"/>
  <c r="U61" i="1"/>
  <c r="U54" i="1"/>
  <c r="K39" i="11"/>
  <c r="K25" i="11"/>
  <c r="D40" i="11"/>
  <c r="K40" i="11" s="1"/>
  <c r="H40" i="11"/>
  <c r="K41" i="11"/>
  <c r="K155" i="11"/>
  <c r="K199" i="11"/>
  <c r="K179" i="11"/>
  <c r="K156" i="11"/>
  <c r="K157" i="11"/>
  <c r="K201" i="11"/>
  <c r="K202" i="11"/>
  <c r="K203" i="11"/>
  <c r="K204" i="11"/>
  <c r="K205" i="11"/>
  <c r="K206" i="11"/>
  <c r="K207" i="11"/>
  <c r="K208" i="11"/>
  <c r="K209" i="11"/>
  <c r="K210" i="11"/>
  <c r="K211" i="11"/>
  <c r="K212" i="11"/>
  <c r="K213" i="11"/>
  <c r="K200" i="11"/>
  <c r="K181" i="11"/>
  <c r="K182" i="11"/>
  <c r="K183" i="11"/>
  <c r="K184" i="11"/>
  <c r="K185" i="11"/>
  <c r="K186" i="11"/>
  <c r="K187" i="11"/>
  <c r="K188" i="11"/>
  <c r="K189" i="11"/>
  <c r="K190" i="11"/>
  <c r="K191" i="11"/>
  <c r="K192" i="11"/>
  <c r="K193" i="11"/>
  <c r="K180" i="11"/>
  <c r="K158" i="11"/>
  <c r="K160" i="11"/>
  <c r="K161" i="11"/>
  <c r="K159" i="11"/>
  <c r="K162" i="11"/>
  <c r="K163" i="11"/>
  <c r="K164" i="11"/>
  <c r="K165" i="11"/>
  <c r="K166" i="11"/>
  <c r="K167" i="11"/>
  <c r="K168" i="11"/>
  <c r="K169" i="11"/>
  <c r="K170" i="11"/>
  <c r="K171" i="11"/>
  <c r="K133" i="11"/>
  <c r="K128" i="11"/>
  <c r="K127" i="11"/>
  <c r="K57" i="11"/>
  <c r="K68" i="11"/>
  <c r="K63" i="11"/>
  <c r="K61" i="11"/>
  <c r="K131" i="11"/>
  <c r="K130" i="11"/>
  <c r="K129" i="11"/>
  <c r="K84" i="11"/>
  <c r="K83" i="11"/>
  <c r="K82" i="11"/>
  <c r="K81" i="11"/>
  <c r="K80" i="11"/>
  <c r="K79" i="11"/>
  <c r="K78" i="11"/>
  <c r="K77" i="11"/>
  <c r="K76" i="11"/>
  <c r="K75" i="11"/>
  <c r="K74" i="11"/>
  <c r="K73" i="11"/>
  <c r="K71" i="11"/>
  <c r="K70" i="11"/>
  <c r="K69" i="11"/>
  <c r="K67" i="11"/>
  <c r="K66" i="11"/>
  <c r="K65" i="11"/>
  <c r="K64" i="11"/>
  <c r="K52" i="11"/>
  <c r="K53" i="11"/>
  <c r="K54" i="11"/>
  <c r="K55" i="11"/>
  <c r="K56" i="11"/>
  <c r="K51" i="11"/>
  <c r="K50" i="11"/>
  <c r="K49" i="11"/>
  <c r="K47" i="11"/>
  <c r="K46" i="11"/>
  <c r="K45" i="11"/>
  <c r="K44" i="11"/>
  <c r="K43" i="11"/>
  <c r="K42" i="11"/>
  <c r="K48" i="11"/>
  <c r="K58" i="11"/>
  <c r="K59" i="11"/>
  <c r="K60" i="11"/>
  <c r="W77" i="10"/>
  <c r="L13" i="1"/>
  <c r="AQ80" i="10"/>
  <c r="AP80" i="10"/>
  <c r="AO80" i="10"/>
  <c r="AN80" i="10"/>
  <c r="AJ80" i="10"/>
  <c r="AG80" i="10"/>
  <c r="AG92" i="10" s="1"/>
  <c r="AD80" i="10"/>
  <c r="AD92" i="10" s="1"/>
  <c r="M80" i="10"/>
  <c r="A456" i="14"/>
  <c r="A455" i="8"/>
  <c r="K455" i="14" s="1"/>
  <c r="K15" i="7"/>
  <c r="S92" i="10"/>
  <c r="V90" i="10"/>
  <c r="U90" i="10"/>
  <c r="T90" i="10"/>
  <c r="S90" i="10"/>
  <c r="R90" i="10"/>
  <c r="Q90" i="10"/>
  <c r="P90" i="10"/>
  <c r="O90" i="10"/>
  <c r="N90" i="10"/>
  <c r="M90" i="10"/>
  <c r="V92" i="10"/>
  <c r="U92" i="10"/>
  <c r="T95" i="10"/>
  <c r="T94" i="10"/>
  <c r="T93" i="10"/>
  <c r="T91" i="10"/>
  <c r="T89" i="10"/>
  <c r="T88" i="10"/>
  <c r="T87" i="10"/>
  <c r="T86" i="10"/>
  <c r="T85" i="10"/>
  <c r="T84" i="10"/>
  <c r="T83" i="10"/>
  <c r="U95" i="10"/>
  <c r="U94" i="10"/>
  <c r="U93" i="10"/>
  <c r="U91" i="10"/>
  <c r="U89" i="10"/>
  <c r="U88" i="10"/>
  <c r="U87" i="10"/>
  <c r="U86" i="10"/>
  <c r="U85" i="10"/>
  <c r="U84" i="10"/>
  <c r="U83" i="10"/>
  <c r="V95" i="10"/>
  <c r="V94" i="10"/>
  <c r="V93" i="10"/>
  <c r="V91" i="10"/>
  <c r="V89" i="10"/>
  <c r="V88" i="10"/>
  <c r="V87" i="10"/>
  <c r="V86" i="10"/>
  <c r="V85" i="10"/>
  <c r="V84" i="10"/>
  <c r="V83" i="10"/>
  <c r="T92" i="10"/>
  <c r="Q92" i="10"/>
  <c r="S95" i="10"/>
  <c r="S94" i="10"/>
  <c r="S93" i="10"/>
  <c r="S91" i="10"/>
  <c r="S89" i="10"/>
  <c r="S88" i="10"/>
  <c r="S87" i="10"/>
  <c r="S86" i="10"/>
  <c r="S85" i="10"/>
  <c r="S84" i="10"/>
  <c r="S83" i="10"/>
  <c r="R84" i="10"/>
  <c r="H32" i="11"/>
  <c r="K632" i="19"/>
  <c r="K631" i="19"/>
  <c r="K630" i="19"/>
  <c r="K629" i="19"/>
  <c r="K628" i="19"/>
  <c r="K627" i="19"/>
  <c r="K626" i="19"/>
  <c r="K625" i="19"/>
  <c r="K624" i="19"/>
  <c r="K623" i="19"/>
  <c r="A24" i="19"/>
  <c r="C15" i="19"/>
  <c r="L15" i="19" s="1"/>
  <c r="A15" i="15"/>
  <c r="A15" i="14"/>
  <c r="K15" i="15"/>
  <c r="K15" i="14"/>
  <c r="A15" i="8"/>
  <c r="K15" i="8"/>
  <c r="A15" i="7"/>
  <c r="AQ81" i="10"/>
  <c r="AP81" i="10"/>
  <c r="E16" i="1"/>
  <c r="K633" i="17"/>
  <c r="K632" i="17"/>
  <c r="K631" i="17"/>
  <c r="K630" i="17"/>
  <c r="K629" i="17"/>
  <c r="K628" i="17"/>
  <c r="K627" i="17"/>
  <c r="K626" i="17"/>
  <c r="K625" i="17"/>
  <c r="K624" i="17"/>
  <c r="A24" i="17"/>
  <c r="C15" i="17"/>
  <c r="L15" i="17" s="1"/>
  <c r="A24" i="15"/>
  <c r="C15" i="15"/>
  <c r="L15" i="15" s="1"/>
  <c r="R93" i="10"/>
  <c r="Q93" i="10"/>
  <c r="P93" i="10"/>
  <c r="O93" i="10"/>
  <c r="N93" i="10"/>
  <c r="M93" i="10"/>
  <c r="P92" i="10"/>
  <c r="O92" i="10"/>
  <c r="N92" i="10"/>
  <c r="M92" i="10"/>
  <c r="H405" i="11"/>
  <c r="Z81" i="10"/>
  <c r="Y81" i="10"/>
  <c r="X81" i="10"/>
  <c r="R95" i="10"/>
  <c r="Q95" i="10"/>
  <c r="P95" i="10"/>
  <c r="O95" i="10"/>
  <c r="R94" i="10"/>
  <c r="Q94" i="10"/>
  <c r="P94" i="10"/>
  <c r="N95" i="10"/>
  <c r="M95" i="10"/>
  <c r="O94" i="10"/>
  <c r="N94" i="10"/>
  <c r="M94" i="10"/>
  <c r="R91" i="10"/>
  <c r="Q91" i="10"/>
  <c r="P91" i="10"/>
  <c r="O91" i="10"/>
  <c r="N91" i="10"/>
  <c r="M91" i="10"/>
  <c r="R89" i="10"/>
  <c r="Q89" i="10"/>
  <c r="P89" i="10"/>
  <c r="O89" i="10"/>
  <c r="N89" i="10"/>
  <c r="M89" i="10"/>
  <c r="R88" i="10"/>
  <c r="Q88" i="10"/>
  <c r="P88" i="10"/>
  <c r="O88" i="10"/>
  <c r="N88" i="10"/>
  <c r="M88" i="10"/>
  <c r="R87" i="10"/>
  <c r="Q87" i="10"/>
  <c r="P87" i="10"/>
  <c r="O87" i="10"/>
  <c r="N87" i="10"/>
  <c r="M87" i="10"/>
  <c r="R86" i="10"/>
  <c r="Q86" i="10"/>
  <c r="P86" i="10"/>
  <c r="O86" i="10"/>
  <c r="N86" i="10"/>
  <c r="M86" i="10"/>
  <c r="R85" i="10"/>
  <c r="Q85" i="10"/>
  <c r="P85" i="10"/>
  <c r="O85" i="10"/>
  <c r="N85" i="10"/>
  <c r="M85" i="10"/>
  <c r="Q84" i="10"/>
  <c r="P84" i="10"/>
  <c r="O84" i="10"/>
  <c r="N84" i="10"/>
  <c r="M84" i="10"/>
  <c r="R83" i="10"/>
  <c r="Q83" i="10"/>
  <c r="P83" i="10"/>
  <c r="O83" i="10"/>
  <c r="N83" i="10"/>
  <c r="M83" i="10"/>
  <c r="AB79" i="10"/>
  <c r="W79" i="10"/>
  <c r="H303" i="11"/>
  <c r="H265" i="11"/>
  <c r="C15" i="11"/>
  <c r="K15" i="11" s="1"/>
  <c r="E4" i="10"/>
  <c r="W4" i="10" s="1"/>
  <c r="C71" i="1"/>
  <c r="E123" i="1"/>
  <c r="F34" i="10"/>
  <c r="F32" i="10"/>
  <c r="F30" i="10"/>
  <c r="F24" i="10"/>
  <c r="F22" i="10"/>
  <c r="F20" i="10"/>
  <c r="F18" i="10"/>
  <c r="A14" i="1"/>
  <c r="A15" i="1"/>
  <c r="A16" i="1"/>
  <c r="C16" i="10" s="1"/>
  <c r="A17" i="1"/>
  <c r="A18" i="1"/>
  <c r="C18" i="10" s="1"/>
  <c r="A19" i="1"/>
  <c r="C19" i="10" s="1"/>
  <c r="A20" i="1"/>
  <c r="C20" i="10" s="1"/>
  <c r="A21" i="1"/>
  <c r="C21" i="10" s="1"/>
  <c r="A22" i="1"/>
  <c r="C22" i="10" s="1"/>
  <c r="A23" i="1"/>
  <c r="C23" i="10" s="1"/>
  <c r="A24" i="1"/>
  <c r="C24" i="10" s="1"/>
  <c r="A25" i="1"/>
  <c r="C25" i="10" s="1"/>
  <c r="A30" i="1"/>
  <c r="C30" i="10" s="1"/>
  <c r="A31" i="1"/>
  <c r="C31" i="10" s="1"/>
  <c r="A32" i="1"/>
  <c r="C32" i="10" s="1"/>
  <c r="A33" i="1"/>
  <c r="C33" i="10" s="1"/>
  <c r="A34" i="1"/>
  <c r="C34" i="10" s="1"/>
  <c r="A35" i="1"/>
  <c r="A13" i="1"/>
  <c r="C17" i="10"/>
  <c r="P13" i="1"/>
  <c r="C16" i="15" s="1"/>
  <c r="K13" i="1"/>
  <c r="C16" i="5" s="1"/>
  <c r="C15" i="8"/>
  <c r="L15" i="8" s="1"/>
  <c r="C15" i="6"/>
  <c r="L15" i="6" s="1"/>
  <c r="C15" i="5"/>
  <c r="L15" i="5" s="1"/>
  <c r="C15" i="2"/>
  <c r="L15" i="2" s="1"/>
  <c r="D25" i="2"/>
  <c r="E228" i="21" l="1"/>
  <c r="E32" i="21"/>
  <c r="E30" i="21"/>
  <c r="E40" i="21"/>
  <c r="E29" i="21"/>
  <c r="E41" i="21"/>
  <c r="E37" i="21"/>
  <c r="E35" i="21"/>
  <c r="E28" i="21"/>
  <c r="E33" i="21"/>
  <c r="E27" i="21"/>
  <c r="E39" i="21"/>
  <c r="E34" i="21"/>
  <c r="E42" i="21"/>
  <c r="K412" i="15"/>
  <c r="K440" i="15"/>
  <c r="J32" i="8"/>
  <c r="BA85" i="10"/>
  <c r="J32" i="6"/>
  <c r="AY85" i="10"/>
  <c r="J32" i="7"/>
  <c r="AZ85" i="10"/>
  <c r="J39" i="5"/>
  <c r="AX87" i="10"/>
  <c r="J126" i="5"/>
  <c r="AX88" i="10"/>
  <c r="AX85" i="10"/>
  <c r="H443" i="5"/>
  <c r="L443" i="5" s="1"/>
  <c r="H382" i="6"/>
  <c r="L382" i="6" s="1"/>
  <c r="AH39" i="21"/>
  <c r="AH126" i="21"/>
  <c r="AH168" i="21"/>
  <c r="AH174" i="21"/>
  <c r="C16" i="7"/>
  <c r="M22" i="21"/>
  <c r="AC80" i="10"/>
  <c r="K22" i="21"/>
  <c r="C16" i="6"/>
  <c r="C16" i="8"/>
  <c r="O22" i="21"/>
  <c r="H168" i="17"/>
  <c r="H553" i="14"/>
  <c r="L553" i="14" s="1"/>
  <c r="H527" i="15"/>
  <c r="L527" i="15" s="1"/>
  <c r="L521" i="14"/>
  <c r="H559" i="14"/>
  <c r="L559" i="14" s="1"/>
  <c r="L521" i="15"/>
  <c r="H559" i="15"/>
  <c r="L559" i="15" s="1"/>
  <c r="H557" i="17"/>
  <c r="L557" i="17" s="1"/>
  <c r="H527" i="14"/>
  <c r="L527" i="14" s="1"/>
  <c r="H553" i="15"/>
  <c r="L553" i="15" s="1"/>
  <c r="H563" i="15"/>
  <c r="L563" i="15" s="1"/>
  <c r="H561" i="17"/>
  <c r="L561" i="17" s="1"/>
  <c r="H546" i="14"/>
  <c r="L546" i="14" s="1"/>
  <c r="H557" i="14"/>
  <c r="L557" i="14" s="1"/>
  <c r="H546" i="15"/>
  <c r="L546" i="15" s="1"/>
  <c r="H557" i="15"/>
  <c r="L557" i="15" s="1"/>
  <c r="H563" i="17"/>
  <c r="L563" i="17" s="1"/>
  <c r="L523" i="14"/>
  <c r="H551" i="14"/>
  <c r="L551" i="14" s="1"/>
  <c r="H561" i="14"/>
  <c r="L561" i="14" s="1"/>
  <c r="H551" i="15"/>
  <c r="L551" i="15" s="1"/>
  <c r="H561" i="15"/>
  <c r="L561" i="15" s="1"/>
  <c r="H126" i="17"/>
  <c r="L126" i="17" s="1"/>
  <c r="H559" i="17"/>
  <c r="L559" i="17" s="1"/>
  <c r="L523" i="15"/>
  <c r="L100" i="19"/>
  <c r="L114" i="19"/>
  <c r="H180" i="17"/>
  <c r="L180" i="17" s="1"/>
  <c r="H382" i="17"/>
  <c r="L382" i="17" s="1"/>
  <c r="H563" i="14"/>
  <c r="L563" i="14" s="1"/>
  <c r="H487" i="14"/>
  <c r="L487" i="14" s="1"/>
  <c r="H472" i="14"/>
  <c r="L472" i="14" s="1"/>
  <c r="H502" i="14"/>
  <c r="L502" i="14" s="1"/>
  <c r="L519" i="14"/>
  <c r="H480" i="14"/>
  <c r="L480" i="14" s="1"/>
  <c r="H485" i="14"/>
  <c r="L485" i="14" s="1"/>
  <c r="H495" i="14"/>
  <c r="L495" i="14" s="1"/>
  <c r="H235" i="14"/>
  <c r="AO106" i="10"/>
  <c r="AO102" i="10"/>
  <c r="AO105" i="10"/>
  <c r="AO101" i="10"/>
  <c r="AO108" i="10"/>
  <c r="AO104" i="10"/>
  <c r="AO100" i="10"/>
  <c r="AO107" i="10"/>
  <c r="AO103" i="10"/>
  <c r="A445" i="14"/>
  <c r="A445" i="19"/>
  <c r="K445" i="19" s="1"/>
  <c r="H37" i="17"/>
  <c r="L37" i="17" s="1"/>
  <c r="H443" i="17"/>
  <c r="L443" i="17" s="1"/>
  <c r="H25" i="17"/>
  <c r="L25" i="17" s="1"/>
  <c r="H25" i="19"/>
  <c r="L25" i="19" s="1"/>
  <c r="H385" i="19"/>
  <c r="L385" i="19" s="1"/>
  <c r="H31" i="19"/>
  <c r="L31" i="19" s="1"/>
  <c r="H27" i="19"/>
  <c r="L27" i="19" s="1"/>
  <c r="H126" i="19"/>
  <c r="L126" i="19" s="1"/>
  <c r="H206" i="19"/>
  <c r="L206" i="19" s="1"/>
  <c r="L299" i="19"/>
  <c r="H206" i="7"/>
  <c r="L206" i="7" s="1"/>
  <c r="A443" i="19"/>
  <c r="K443" i="19" s="1"/>
  <c r="A447" i="14"/>
  <c r="A447" i="19"/>
  <c r="K447" i="19" s="1"/>
  <c r="A451" i="15"/>
  <c r="K451" i="15" s="1"/>
  <c r="A451" i="19"/>
  <c r="K451" i="19" s="1"/>
  <c r="H39" i="14"/>
  <c r="H25" i="15"/>
  <c r="L25" i="15" s="1"/>
  <c r="H40" i="17"/>
  <c r="L40" i="17" s="1"/>
  <c r="L523" i="17"/>
  <c r="L553" i="17"/>
  <c r="H32" i="19"/>
  <c r="L32" i="19" s="1"/>
  <c r="H168" i="19"/>
  <c r="L168" i="19" s="1"/>
  <c r="H382" i="19"/>
  <c r="L382" i="19" s="1"/>
  <c r="A223" i="14"/>
  <c r="A223" i="19"/>
  <c r="K223" i="19" s="1"/>
  <c r="A227" i="17"/>
  <c r="K227" i="17" s="1"/>
  <c r="A227" i="19"/>
  <c r="K227" i="19" s="1"/>
  <c r="L211" i="19"/>
  <c r="L124" i="19"/>
  <c r="A449" i="14"/>
  <c r="A449" i="19"/>
  <c r="K449" i="19" s="1"/>
  <c r="H385" i="17"/>
  <c r="L385" i="17" s="1"/>
  <c r="H39" i="19"/>
  <c r="L39" i="19" s="1"/>
  <c r="H180" i="19"/>
  <c r="L180" i="19" s="1"/>
  <c r="H206" i="14"/>
  <c r="L206" i="14" s="1"/>
  <c r="L521" i="17"/>
  <c r="L551" i="17"/>
  <c r="A222" i="15"/>
  <c r="K222" i="15" s="1"/>
  <c r="A222" i="19"/>
  <c r="K222" i="19" s="1"/>
  <c r="A224" i="15"/>
  <c r="K224" i="15" s="1"/>
  <c r="A224" i="19"/>
  <c r="K224" i="19" s="1"/>
  <c r="A213" i="17"/>
  <c r="K213" i="17" s="1"/>
  <c r="A213" i="19"/>
  <c r="K213" i="19" s="1"/>
  <c r="A215" i="17"/>
  <c r="K215" i="17" s="1"/>
  <c r="A215" i="19"/>
  <c r="K215" i="19" s="1"/>
  <c r="A217" i="14"/>
  <c r="A217" i="19"/>
  <c r="K217" i="19" s="1"/>
  <c r="A444" i="14"/>
  <c r="A444" i="19"/>
  <c r="K444" i="19" s="1"/>
  <c r="A448" i="17"/>
  <c r="K448" i="17" s="1"/>
  <c r="A448" i="19"/>
  <c r="K448" i="19" s="1"/>
  <c r="A452" i="17"/>
  <c r="K452" i="17" s="1"/>
  <c r="A452" i="19"/>
  <c r="K452" i="19" s="1"/>
  <c r="L546" i="17"/>
  <c r="H32" i="17"/>
  <c r="L32" i="17" s="1"/>
  <c r="L527" i="17"/>
  <c r="H37" i="19"/>
  <c r="L37" i="19" s="1"/>
  <c r="H174" i="19"/>
  <c r="L174" i="19" s="1"/>
  <c r="H174" i="14"/>
  <c r="L174" i="14" s="1"/>
  <c r="L279" i="19"/>
  <c r="L99" i="19"/>
  <c r="L104" i="19"/>
  <c r="L108" i="19"/>
  <c r="L120" i="19"/>
  <c r="L113" i="19"/>
  <c r="A219" i="17"/>
  <c r="K219" i="17" s="1"/>
  <c r="A219" i="19"/>
  <c r="K219" i="19" s="1"/>
  <c r="A225" i="17"/>
  <c r="K225" i="17" s="1"/>
  <c r="A225" i="19"/>
  <c r="K225" i="19" s="1"/>
  <c r="A273" i="14"/>
  <c r="A273" i="19"/>
  <c r="K273" i="19" s="1"/>
  <c r="A212" i="14"/>
  <c r="A212" i="19"/>
  <c r="K212" i="19" s="1"/>
  <c r="A214" i="14"/>
  <c r="A214" i="19"/>
  <c r="K214" i="19" s="1"/>
  <c r="L309" i="19"/>
  <c r="H557" i="19"/>
  <c r="L557" i="19" s="1"/>
  <c r="H561" i="19"/>
  <c r="L561" i="19" s="1"/>
  <c r="H382" i="7"/>
  <c r="L382" i="7" s="1"/>
  <c r="H443" i="14"/>
  <c r="L443" i="14" s="1"/>
  <c r="H206" i="15"/>
  <c r="L206" i="15" s="1"/>
  <c r="H487" i="15"/>
  <c r="L487" i="15" s="1"/>
  <c r="H385" i="6"/>
  <c r="L385" i="6" s="1"/>
  <c r="H443" i="6"/>
  <c r="L443" i="6" s="1"/>
  <c r="H180" i="14"/>
  <c r="L180" i="14" s="1"/>
  <c r="H459" i="14"/>
  <c r="L459" i="14" s="1"/>
  <c r="H502" i="15"/>
  <c r="L502" i="15" s="1"/>
  <c r="L519" i="15"/>
  <c r="H382" i="5"/>
  <c r="L382" i="5" s="1"/>
  <c r="A422" i="6"/>
  <c r="H424" i="5"/>
  <c r="L424" i="5" s="1"/>
  <c r="H423" i="5"/>
  <c r="L423" i="5" s="1"/>
  <c r="H422" i="5"/>
  <c r="L422" i="5" s="1"/>
  <c r="H126" i="14"/>
  <c r="L126" i="14" s="1"/>
  <c r="H168" i="14"/>
  <c r="L168" i="14" s="1"/>
  <c r="H382" i="14"/>
  <c r="L382" i="14" s="1"/>
  <c r="H461" i="14"/>
  <c r="L461" i="14" s="1"/>
  <c r="H385" i="5"/>
  <c r="L385" i="5" s="1"/>
  <c r="H382" i="8"/>
  <c r="L382" i="8" s="1"/>
  <c r="A403" i="6"/>
  <c r="H403" i="5"/>
  <c r="L403" i="5" s="1"/>
  <c r="H37" i="15"/>
  <c r="L37" i="15" s="1"/>
  <c r="H174" i="15"/>
  <c r="L174" i="15" s="1"/>
  <c r="H382" i="15"/>
  <c r="L382" i="15" s="1"/>
  <c r="H472" i="15"/>
  <c r="L472" i="15" s="1"/>
  <c r="H443" i="8"/>
  <c r="L443" i="8" s="1"/>
  <c r="H39" i="15"/>
  <c r="L39" i="15" s="1"/>
  <c r="H180" i="15"/>
  <c r="L180" i="15" s="1"/>
  <c r="H385" i="15"/>
  <c r="L385" i="15" s="1"/>
  <c r="H443" i="15"/>
  <c r="L443" i="15" s="1"/>
  <c r="H385" i="14"/>
  <c r="L385" i="14" s="1"/>
  <c r="H463" i="14"/>
  <c r="L463" i="14" s="1"/>
  <c r="H468" i="14"/>
  <c r="L468" i="14" s="1"/>
  <c r="H32" i="15"/>
  <c r="L32" i="15" s="1"/>
  <c r="H126" i="15"/>
  <c r="L126" i="15" s="1"/>
  <c r="H168" i="15"/>
  <c r="L168" i="15" s="1"/>
  <c r="H480" i="15"/>
  <c r="L480" i="15" s="1"/>
  <c r="H485" i="15"/>
  <c r="L485" i="15" s="1"/>
  <c r="H495" i="15"/>
  <c r="L495" i="15" s="1"/>
  <c r="A218" i="8"/>
  <c r="K218" i="14" s="1"/>
  <c r="A221" i="8"/>
  <c r="K221" i="14" s="1"/>
  <c r="K221" i="8"/>
  <c r="A234" i="8"/>
  <c r="K234" i="14" s="1"/>
  <c r="K234" i="8"/>
  <c r="A258" i="8"/>
  <c r="K258" i="14" s="1"/>
  <c r="K258" i="8"/>
  <c r="E234" i="21"/>
  <c r="E221" i="21"/>
  <c r="E368" i="21"/>
  <c r="E258" i="21"/>
  <c r="K373" i="5"/>
  <c r="A368" i="6"/>
  <c r="K368" i="6"/>
  <c r="A361" i="6"/>
  <c r="K361" i="6"/>
  <c r="K374" i="5"/>
  <c r="K369" i="6"/>
  <c r="A369" i="6"/>
  <c r="A362" i="6"/>
  <c r="K362" i="6"/>
  <c r="A355" i="6"/>
  <c r="A354" i="6"/>
  <c r="K354" i="6"/>
  <c r="E353" i="21"/>
  <c r="E361" i="21"/>
  <c r="A250" i="19"/>
  <c r="K250" i="19" s="1"/>
  <c r="H232" i="2"/>
  <c r="L232" i="2" s="1"/>
  <c r="H239" i="2"/>
  <c r="L239" i="2" s="1"/>
  <c r="H242" i="2"/>
  <c r="L242" i="2" s="1"/>
  <c r="A382" i="15"/>
  <c r="K382" i="15" s="1"/>
  <c r="E335" i="21"/>
  <c r="E343" i="21"/>
  <c r="A206" i="14"/>
  <c r="H244" i="2"/>
  <c r="L244" i="2" s="1"/>
  <c r="H248" i="2"/>
  <c r="L248" i="2" s="1"/>
  <c r="H252" i="2"/>
  <c r="L252" i="2" s="1"/>
  <c r="H235" i="2"/>
  <c r="L235" i="2" s="1"/>
  <c r="H241" i="2"/>
  <c r="L241" i="2" s="1"/>
  <c r="H247" i="2"/>
  <c r="L247" i="2" s="1"/>
  <c r="H251" i="2"/>
  <c r="L251" i="2" s="1"/>
  <c r="H245" i="2"/>
  <c r="L245" i="2" s="1"/>
  <c r="H249" i="2"/>
  <c r="L249" i="2" s="1"/>
  <c r="H253" i="2"/>
  <c r="L253" i="2" s="1"/>
  <c r="H246" i="2"/>
  <c r="L246" i="2" s="1"/>
  <c r="H250" i="2"/>
  <c r="L250" i="2" s="1"/>
  <c r="H254" i="2"/>
  <c r="L254" i="2" s="1"/>
  <c r="A246" i="14"/>
  <c r="A223" i="15"/>
  <c r="K223" i="15" s="1"/>
  <c r="K246" i="8"/>
  <c r="K250" i="8"/>
  <c r="K260" i="8"/>
  <c r="K281" i="8"/>
  <c r="K290" i="8"/>
  <c r="K304" i="8"/>
  <c r="K319" i="8"/>
  <c r="K360" i="8"/>
  <c r="A254" i="17"/>
  <c r="K254" i="17" s="1"/>
  <c r="E354" i="21"/>
  <c r="E369" i="21"/>
  <c r="E121" i="21"/>
  <c r="E344" i="21"/>
  <c r="E115" i="21"/>
  <c r="E118" i="21"/>
  <c r="K282" i="8"/>
  <c r="K333" i="8"/>
  <c r="K427" i="19"/>
  <c r="K255" i="8"/>
  <c r="H243" i="7"/>
  <c r="L243" i="7" s="1"/>
  <c r="H347" i="7"/>
  <c r="L347" i="7" s="1"/>
  <c r="H357" i="7"/>
  <c r="L357" i="7" s="1"/>
  <c r="H262" i="7"/>
  <c r="L262" i="7" s="1"/>
  <c r="H275" i="7"/>
  <c r="L275" i="7" s="1"/>
  <c r="H59" i="14"/>
  <c r="L59" i="14" s="1"/>
  <c r="H64" i="14"/>
  <c r="L64" i="14" s="1"/>
  <c r="H69" i="14"/>
  <c r="L69" i="14" s="1"/>
  <c r="H73" i="14"/>
  <c r="L73" i="14" s="1"/>
  <c r="H77" i="14"/>
  <c r="L77" i="14" s="1"/>
  <c r="H81" i="14"/>
  <c r="L81" i="14" s="1"/>
  <c r="H86" i="14"/>
  <c r="L86" i="14" s="1"/>
  <c r="H90" i="14"/>
  <c r="L90" i="14" s="1"/>
  <c r="H256" i="7"/>
  <c r="L256" i="7" s="1"/>
  <c r="E362" i="21"/>
  <c r="E110" i="21"/>
  <c r="A262" i="8"/>
  <c r="K262" i="14" s="1"/>
  <c r="H322" i="7"/>
  <c r="L322" i="7" s="1"/>
  <c r="E320" i="21"/>
  <c r="E336" i="21"/>
  <c r="E313" i="21"/>
  <c r="E314" i="21"/>
  <c r="A332" i="17"/>
  <c r="K332" i="17" s="1"/>
  <c r="A275" i="8"/>
  <c r="K275" i="14" s="1"/>
  <c r="A299" i="15"/>
  <c r="K299" i="15" s="1"/>
  <c r="A360" i="14"/>
  <c r="E293" i="21"/>
  <c r="E303" i="21"/>
  <c r="A308" i="19"/>
  <c r="K308" i="19" s="1"/>
  <c r="E274" i="21"/>
  <c r="E283" i="21"/>
  <c r="A290" i="17"/>
  <c r="K290" i="17" s="1"/>
  <c r="A264" i="15"/>
  <c r="K264" i="15" s="1"/>
  <c r="A360" i="15"/>
  <c r="K360" i="15" s="1"/>
  <c r="A218" i="14"/>
  <c r="A281" i="14"/>
  <c r="H306" i="7"/>
  <c r="L306" i="7" s="1"/>
  <c r="A246" i="19"/>
  <c r="K246" i="19" s="1"/>
  <c r="A372" i="19"/>
  <c r="K372" i="19" s="1"/>
  <c r="A239" i="17"/>
  <c r="K239" i="17" s="1"/>
  <c r="A308" i="17"/>
  <c r="K308" i="17" s="1"/>
  <c r="A281" i="15"/>
  <c r="K281" i="15" s="1"/>
  <c r="A386" i="15"/>
  <c r="K386" i="15" s="1"/>
  <c r="A324" i="14"/>
  <c r="A264" i="19"/>
  <c r="K264" i="19" s="1"/>
  <c r="A324" i="19"/>
  <c r="K324" i="19" s="1"/>
  <c r="A272" i="17"/>
  <c r="K272" i="17" s="1"/>
  <c r="A372" i="17"/>
  <c r="K372" i="17" s="1"/>
  <c r="A246" i="15"/>
  <c r="K246" i="15" s="1"/>
  <c r="A324" i="15"/>
  <c r="K324" i="15" s="1"/>
  <c r="A264" i="14"/>
  <c r="A235" i="19"/>
  <c r="K235" i="19" s="1"/>
  <c r="E236" i="21"/>
  <c r="E259" i="21"/>
  <c r="E96" i="21"/>
  <c r="E101" i="21"/>
  <c r="A175" i="19"/>
  <c r="K175" i="19" s="1"/>
  <c r="A240" i="19"/>
  <c r="K240" i="19" s="1"/>
  <c r="A269" i="19"/>
  <c r="K269" i="19" s="1"/>
  <c r="A305" i="19"/>
  <c r="K305" i="19" s="1"/>
  <c r="A329" i="19"/>
  <c r="K329" i="19" s="1"/>
  <c r="A50" i="19"/>
  <c r="K50" i="19" s="1"/>
  <c r="A282" i="19"/>
  <c r="K282" i="19" s="1"/>
  <c r="A316" i="19"/>
  <c r="K316" i="19" s="1"/>
  <c r="A363" i="19"/>
  <c r="K363" i="19" s="1"/>
  <c r="A290" i="19"/>
  <c r="K290" i="19" s="1"/>
  <c r="A158" i="17"/>
  <c r="K158" i="17" s="1"/>
  <c r="A240" i="17"/>
  <c r="K240" i="17" s="1"/>
  <c r="A282" i="17"/>
  <c r="K282" i="17" s="1"/>
  <c r="A325" i="17"/>
  <c r="K325" i="17" s="1"/>
  <c r="A229" i="15"/>
  <c r="K229" i="15" s="1"/>
  <c r="A269" i="15"/>
  <c r="K269" i="15" s="1"/>
  <c r="A305" i="15"/>
  <c r="K305" i="15" s="1"/>
  <c r="A367" i="15"/>
  <c r="K367" i="15" s="1"/>
  <c r="A208" i="14"/>
  <c r="A233" i="17"/>
  <c r="K233" i="17" s="1"/>
  <c r="A261" i="17"/>
  <c r="K261" i="17" s="1"/>
  <c r="A296" i="17"/>
  <c r="K296" i="17" s="1"/>
  <c r="A339" i="17"/>
  <c r="K339" i="17" s="1"/>
  <c r="A208" i="15"/>
  <c r="K208" i="15" s="1"/>
  <c r="A255" i="15"/>
  <c r="K255" i="15" s="1"/>
  <c r="A291" i="15"/>
  <c r="K291" i="15" s="1"/>
  <c r="A333" i="15"/>
  <c r="K333" i="15" s="1"/>
  <c r="A233" i="14"/>
  <c r="A265" i="14"/>
  <c r="A339" i="14"/>
  <c r="H265" i="8"/>
  <c r="L265" i="8" s="1"/>
  <c r="A261" i="14"/>
  <c r="A300" i="14"/>
  <c r="A363" i="14"/>
  <c r="E83" i="21"/>
  <c r="E91" i="21"/>
  <c r="A69" i="19"/>
  <c r="K69" i="19" s="1"/>
  <c r="A200" i="19"/>
  <c r="K200" i="19" s="1"/>
  <c r="A131" i="15"/>
  <c r="K131" i="15" s="1"/>
  <c r="A204" i="15"/>
  <c r="K204" i="15" s="1"/>
  <c r="A265" i="19"/>
  <c r="K265" i="19" s="1"/>
  <c r="A287" i="19"/>
  <c r="K287" i="19" s="1"/>
  <c r="A325" i="19"/>
  <c r="K325" i="19" s="1"/>
  <c r="A367" i="19"/>
  <c r="K367" i="19" s="1"/>
  <c r="A46" i="17"/>
  <c r="K46" i="17" s="1"/>
  <c r="A229" i="17"/>
  <c r="K229" i="17" s="1"/>
  <c r="A278" i="17"/>
  <c r="K278" i="17" s="1"/>
  <c r="A300" i="17"/>
  <c r="K300" i="17" s="1"/>
  <c r="A86" i="15"/>
  <c r="K86" i="15" s="1"/>
  <c r="A237" i="15"/>
  <c r="K237" i="15" s="1"/>
  <c r="A287" i="15"/>
  <c r="K287" i="15" s="1"/>
  <c r="A316" i="15"/>
  <c r="K316" i="15" s="1"/>
  <c r="A229" i="14"/>
  <c r="A247" i="14"/>
  <c r="A276" i="14"/>
  <c r="A321" i="14"/>
  <c r="H325" i="8"/>
  <c r="L325" i="19" s="1"/>
  <c r="A158" i="19"/>
  <c r="K158" i="19" s="1"/>
  <c r="A263" i="19"/>
  <c r="K263" i="19" s="1"/>
  <c r="A296" i="19"/>
  <c r="K296" i="19" s="1"/>
  <c r="A321" i="19"/>
  <c r="K321" i="19" s="1"/>
  <c r="A272" i="19"/>
  <c r="K272" i="19" s="1"/>
  <c r="A69" i="17"/>
  <c r="K69" i="17" s="1"/>
  <c r="A208" i="17"/>
  <c r="K208" i="17" s="1"/>
  <c r="A265" i="17"/>
  <c r="K265" i="17" s="1"/>
  <c r="A321" i="17"/>
  <c r="K321" i="17" s="1"/>
  <c r="A251" i="15"/>
  <c r="K251" i="15" s="1"/>
  <c r="A273" i="15"/>
  <c r="K273" i="15" s="1"/>
  <c r="A329" i="15"/>
  <c r="K329" i="15" s="1"/>
  <c r="A294" i="14"/>
  <c r="A325" i="14"/>
  <c r="A207" i="19"/>
  <c r="K207" i="19" s="1"/>
  <c r="A239" i="19"/>
  <c r="K239" i="19" s="1"/>
  <c r="A254" i="19"/>
  <c r="K254" i="19" s="1"/>
  <c r="A257" i="19"/>
  <c r="K257" i="19" s="1"/>
  <c r="A318" i="19"/>
  <c r="K318" i="19" s="1"/>
  <c r="A281" i="17"/>
  <c r="K281" i="17" s="1"/>
  <c r="A360" i="17"/>
  <c r="K360" i="17" s="1"/>
  <c r="A231" i="15"/>
  <c r="K231" i="15" s="1"/>
  <c r="A285" i="14"/>
  <c r="A307" i="14"/>
  <c r="A332" i="14"/>
  <c r="A372" i="14"/>
  <c r="H243" i="8"/>
  <c r="L243" i="8" s="1"/>
  <c r="H363" i="8"/>
  <c r="L363" i="8" s="1"/>
  <c r="A218" i="19"/>
  <c r="K218" i="19" s="1"/>
  <c r="A271" i="19"/>
  <c r="K271" i="19" s="1"/>
  <c r="A239" i="15"/>
  <c r="K239" i="15" s="1"/>
  <c r="A254" i="15"/>
  <c r="K254" i="15" s="1"/>
  <c r="A272" i="15"/>
  <c r="K272" i="15" s="1"/>
  <c r="A290" i="15"/>
  <c r="K290" i="15" s="1"/>
  <c r="A308" i="15"/>
  <c r="K308" i="15" s="1"/>
  <c r="A332" i="15"/>
  <c r="K332" i="15" s="1"/>
  <c r="A146" i="19"/>
  <c r="K146" i="19" s="1"/>
  <c r="A243" i="19"/>
  <c r="K243" i="19" s="1"/>
  <c r="A251" i="19"/>
  <c r="K251" i="19" s="1"/>
  <c r="A261" i="19"/>
  <c r="K261" i="19" s="1"/>
  <c r="A278" i="19"/>
  <c r="K278" i="19" s="1"/>
  <c r="A331" i="19"/>
  <c r="K331" i="19" s="1"/>
  <c r="A346" i="19"/>
  <c r="K346" i="19" s="1"/>
  <c r="A232" i="19"/>
  <c r="K232" i="19" s="1"/>
  <c r="A281" i="19"/>
  <c r="K281" i="19" s="1"/>
  <c r="A360" i="19"/>
  <c r="K360" i="19" s="1"/>
  <c r="A64" i="17"/>
  <c r="K64" i="17" s="1"/>
  <c r="A131" i="17"/>
  <c r="K131" i="17" s="1"/>
  <c r="A243" i="17"/>
  <c r="K243" i="17" s="1"/>
  <c r="A251" i="17"/>
  <c r="K251" i="17" s="1"/>
  <c r="A273" i="17"/>
  <c r="K273" i="17" s="1"/>
  <c r="A287" i="17"/>
  <c r="K287" i="17" s="1"/>
  <c r="A316" i="17"/>
  <c r="K316" i="17" s="1"/>
  <c r="A329" i="17"/>
  <c r="K329" i="17" s="1"/>
  <c r="A81" i="15"/>
  <c r="K81" i="15" s="1"/>
  <c r="A127" i="15"/>
  <c r="K127" i="15" s="1"/>
  <c r="A219" i="15"/>
  <c r="K219" i="15" s="1"/>
  <c r="A240" i="15"/>
  <c r="K240" i="15" s="1"/>
  <c r="A247" i="15"/>
  <c r="K247" i="15" s="1"/>
  <c r="A282" i="15"/>
  <c r="K282" i="15" s="1"/>
  <c r="A296" i="15"/>
  <c r="K296" i="15" s="1"/>
  <c r="A339" i="15"/>
  <c r="K339" i="15" s="1"/>
  <c r="A219" i="14"/>
  <c r="A255" i="14"/>
  <c r="A269" i="14"/>
  <c r="A278" i="14"/>
  <c r="H278" i="8"/>
  <c r="L278" i="19" s="1"/>
  <c r="K446" i="7"/>
  <c r="K69" i="8"/>
  <c r="K185" i="8"/>
  <c r="K191" i="8"/>
  <c r="H359" i="8"/>
  <c r="L359" i="19" s="1"/>
  <c r="H337" i="8"/>
  <c r="L337" i="19" s="1"/>
  <c r="H331" i="8"/>
  <c r="L331" i="19" s="1"/>
  <c r="H327" i="8"/>
  <c r="L327" i="19" s="1"/>
  <c r="H323" i="8"/>
  <c r="L323" i="19" s="1"/>
  <c r="H298" i="8"/>
  <c r="L298" i="19" s="1"/>
  <c r="H294" i="8"/>
  <c r="L294" i="19" s="1"/>
  <c r="H285" i="8"/>
  <c r="L285" i="8" s="1"/>
  <c r="H280" i="8"/>
  <c r="L280" i="19" s="1"/>
  <c r="H276" i="8"/>
  <c r="L276" i="19" s="1"/>
  <c r="H271" i="8"/>
  <c r="L271" i="19" s="1"/>
  <c r="H253" i="8"/>
  <c r="L253" i="19" s="1"/>
  <c r="H245" i="8"/>
  <c r="L245" i="19" s="1"/>
  <c r="H237" i="8"/>
  <c r="L237" i="19" s="1"/>
  <c r="H238" i="8"/>
  <c r="L238" i="19" s="1"/>
  <c r="H210" i="8"/>
  <c r="L210" i="19" s="1"/>
  <c r="H206" i="8"/>
  <c r="L206" i="8" s="1"/>
  <c r="A247" i="19"/>
  <c r="K247" i="19" s="1"/>
  <c r="A255" i="19"/>
  <c r="K255" i="19" s="1"/>
  <c r="A54" i="17"/>
  <c r="K54" i="17" s="1"/>
  <c r="A165" i="17"/>
  <c r="K165" i="17" s="1"/>
  <c r="A190" i="17"/>
  <c r="K190" i="17" s="1"/>
  <c r="A291" i="17"/>
  <c r="K291" i="17" s="1"/>
  <c r="A305" i="17"/>
  <c r="K305" i="17" s="1"/>
  <c r="A333" i="17"/>
  <c r="K333" i="17" s="1"/>
  <c r="A367" i="17"/>
  <c r="K367" i="17" s="1"/>
  <c r="A225" i="15"/>
  <c r="K225" i="15" s="1"/>
  <c r="A243" i="15"/>
  <c r="K243" i="15" s="1"/>
  <c r="A363" i="15"/>
  <c r="K363" i="15" s="1"/>
  <c r="A340" i="15"/>
  <c r="K340" i="15" s="1"/>
  <c r="A150" i="14"/>
  <c r="A225" i="14"/>
  <c r="A168" i="8"/>
  <c r="K168" i="14" s="1"/>
  <c r="H339" i="8"/>
  <c r="L339" i="19" s="1"/>
  <c r="H333" i="8"/>
  <c r="L333" i="19" s="1"/>
  <c r="H329" i="8"/>
  <c r="L329" i="8" s="1"/>
  <c r="H321" i="8"/>
  <c r="L321" i="19" s="1"/>
  <c r="H305" i="8"/>
  <c r="L305" i="8" s="1"/>
  <c r="H300" i="8"/>
  <c r="L300" i="19" s="1"/>
  <c r="H296" i="8"/>
  <c r="L296" i="19" s="1"/>
  <c r="H291" i="8"/>
  <c r="L291" i="19" s="1"/>
  <c r="H287" i="8"/>
  <c r="L287" i="19" s="1"/>
  <c r="H282" i="8"/>
  <c r="L282" i="19" s="1"/>
  <c r="H273" i="8"/>
  <c r="H269" i="8"/>
  <c r="L269" i="19" s="1"/>
  <c r="H261" i="8"/>
  <c r="L261" i="8" s="1"/>
  <c r="H251" i="8"/>
  <c r="L251" i="19" s="1"/>
  <c r="H247" i="8"/>
  <c r="L247" i="19" s="1"/>
  <c r="H240" i="8"/>
  <c r="L240" i="19" s="1"/>
  <c r="H233" i="8"/>
  <c r="L233" i="19" s="1"/>
  <c r="H219" i="8"/>
  <c r="L219" i="8" s="1"/>
  <c r="H208" i="8"/>
  <c r="L208" i="19" s="1"/>
  <c r="E408" i="21"/>
  <c r="E66" i="21"/>
  <c r="H145" i="14"/>
  <c r="L145" i="14" s="1"/>
  <c r="A371" i="19"/>
  <c r="K371" i="19" s="1"/>
  <c r="A237" i="14"/>
  <c r="A263" i="14"/>
  <c r="A271" i="14"/>
  <c r="A40" i="6"/>
  <c r="H40" i="5"/>
  <c r="L40" i="5" s="1"/>
  <c r="K80" i="8"/>
  <c r="A180" i="17"/>
  <c r="K180" i="17" s="1"/>
  <c r="H160" i="14"/>
  <c r="L160" i="14" s="1"/>
  <c r="K402" i="6"/>
  <c r="H402" i="6"/>
  <c r="L402" i="6" s="1"/>
  <c r="A210" i="17"/>
  <c r="K210" i="17" s="1"/>
  <c r="A327" i="17"/>
  <c r="K327" i="17" s="1"/>
  <c r="A323" i="15"/>
  <c r="K323" i="15" s="1"/>
  <c r="A331" i="15"/>
  <c r="K331" i="15" s="1"/>
  <c r="A376" i="6"/>
  <c r="A25" i="7"/>
  <c r="A39" i="7"/>
  <c r="H311" i="14"/>
  <c r="L311" i="14" s="1"/>
  <c r="H310" i="17"/>
  <c r="L310" i="17" s="1"/>
  <c r="AI80" i="10"/>
  <c r="AH80" i="10"/>
  <c r="AE80" i="10"/>
  <c r="AF80" i="10"/>
  <c r="H412" i="6"/>
  <c r="L412" i="6" s="1"/>
  <c r="H411" i="6"/>
  <c r="L411" i="6" s="1"/>
  <c r="H305" i="6"/>
  <c r="L305" i="6" s="1"/>
  <c r="H356" i="5"/>
  <c r="L356" i="5" s="1"/>
  <c r="H295" i="5"/>
  <c r="L295" i="5" s="1"/>
  <c r="H246" i="5"/>
  <c r="L246" i="5" s="1"/>
  <c r="H290" i="5"/>
  <c r="L290" i="5" s="1"/>
  <c r="H295" i="6"/>
  <c r="L295" i="6" s="1"/>
  <c r="H328" i="5"/>
  <c r="L328" i="5" s="1"/>
  <c r="H278" i="6"/>
  <c r="L278" i="6" s="1"/>
  <c r="A64" i="19"/>
  <c r="K64" i="19" s="1"/>
  <c r="A143" i="19"/>
  <c r="K143" i="19" s="1"/>
  <c r="A194" i="19"/>
  <c r="K194" i="19" s="1"/>
  <c r="A350" i="19"/>
  <c r="K350" i="19" s="1"/>
  <c r="A394" i="19"/>
  <c r="K394" i="19" s="1"/>
  <c r="A394" i="17"/>
  <c r="K394" i="17" s="1"/>
  <c r="A54" i="15"/>
  <c r="K54" i="15" s="1"/>
  <c r="A185" i="15"/>
  <c r="K185" i="15" s="1"/>
  <c r="A444" i="15"/>
  <c r="K444" i="15" s="1"/>
  <c r="A406" i="14"/>
  <c r="K97" i="7"/>
  <c r="L367" i="19"/>
  <c r="H321" i="6"/>
  <c r="L321" i="6" s="1"/>
  <c r="H273" i="6"/>
  <c r="L273" i="6" s="1"/>
  <c r="H261" i="6"/>
  <c r="L261" i="6" s="1"/>
  <c r="A418" i="19"/>
  <c r="K418" i="19" s="1"/>
  <c r="A422" i="15"/>
  <c r="K422" i="15" s="1"/>
  <c r="H269" i="6"/>
  <c r="L269" i="6" s="1"/>
  <c r="A178" i="17"/>
  <c r="K178" i="17" s="1"/>
  <c r="A422" i="17"/>
  <c r="K422" i="17" s="1"/>
  <c r="H48" i="8"/>
  <c r="L48" i="8" s="1"/>
  <c r="A37" i="14"/>
  <c r="A206" i="17"/>
  <c r="K206" i="17" s="1"/>
  <c r="H284" i="7"/>
  <c r="L284" i="7" s="1"/>
  <c r="H325" i="6"/>
  <c r="L325" i="6" s="1"/>
  <c r="H360" i="5"/>
  <c r="L360" i="5" s="1"/>
  <c r="H254" i="5"/>
  <c r="L254" i="5" s="1"/>
  <c r="H248" i="7"/>
  <c r="L248" i="7" s="1"/>
  <c r="H338" i="5"/>
  <c r="L338" i="5" s="1"/>
  <c r="A54" i="19"/>
  <c r="K54" i="19" s="1"/>
  <c r="A77" i="19"/>
  <c r="K77" i="19" s="1"/>
  <c r="A127" i="19"/>
  <c r="K127" i="19" s="1"/>
  <c r="A150" i="19"/>
  <c r="K150" i="19" s="1"/>
  <c r="A165" i="19"/>
  <c r="K165" i="19" s="1"/>
  <c r="A327" i="19"/>
  <c r="K327" i="19" s="1"/>
  <c r="A337" i="19"/>
  <c r="K337" i="19" s="1"/>
  <c r="A365" i="19"/>
  <c r="K365" i="19" s="1"/>
  <c r="A355" i="19"/>
  <c r="K355" i="19" s="1"/>
  <c r="A386" i="19"/>
  <c r="K386" i="19" s="1"/>
  <c r="A406" i="19"/>
  <c r="K406" i="19" s="1"/>
  <c r="A86" i="17"/>
  <c r="K86" i="17" s="1"/>
  <c r="A135" i="17"/>
  <c r="K135" i="17" s="1"/>
  <c r="A224" i="17"/>
  <c r="K224" i="17" s="1"/>
  <c r="A237" i="17"/>
  <c r="K237" i="17" s="1"/>
  <c r="A346" i="17"/>
  <c r="K346" i="17" s="1"/>
  <c r="A406" i="17"/>
  <c r="K406" i="17" s="1"/>
  <c r="A438" i="17"/>
  <c r="K438" i="17" s="1"/>
  <c r="A64" i="15"/>
  <c r="K64" i="15" s="1"/>
  <c r="A146" i="15"/>
  <c r="K146" i="15" s="1"/>
  <c r="A191" i="15"/>
  <c r="K191" i="15" s="1"/>
  <c r="A280" i="15"/>
  <c r="K280" i="15" s="1"/>
  <c r="A289" i="15"/>
  <c r="K289" i="15" s="1"/>
  <c r="A379" i="15"/>
  <c r="K379" i="15" s="1"/>
  <c r="A402" i="15"/>
  <c r="K402" i="15" s="1"/>
  <c r="A452" i="15"/>
  <c r="K452" i="15" s="1"/>
  <c r="A327" i="14"/>
  <c r="A337" i="14"/>
  <c r="A386" i="14"/>
  <c r="A438" i="14"/>
  <c r="K146" i="8"/>
  <c r="H150" i="8"/>
  <c r="L150" i="19" s="1"/>
  <c r="K61" i="19"/>
  <c r="K65" i="19"/>
  <c r="K78" i="19"/>
  <c r="K82" i="19"/>
  <c r="A422" i="19"/>
  <c r="K422" i="19" s="1"/>
  <c r="A430" i="17"/>
  <c r="K430" i="17" s="1"/>
  <c r="A444" i="17"/>
  <c r="K444" i="17" s="1"/>
  <c r="A438" i="15"/>
  <c r="K438" i="15" s="1"/>
  <c r="H324" i="5"/>
  <c r="L324" i="5" s="1"/>
  <c r="H242" i="5"/>
  <c r="L242" i="5" s="1"/>
  <c r="H339" i="6"/>
  <c r="L339" i="6" s="1"/>
  <c r="H243" i="6"/>
  <c r="L243" i="6" s="1"/>
  <c r="A42" i="19"/>
  <c r="K42" i="19" s="1"/>
  <c r="A86" i="19"/>
  <c r="K86" i="19" s="1"/>
  <c r="A137" i="19"/>
  <c r="K137" i="19" s="1"/>
  <c r="A153" i="19"/>
  <c r="K153" i="19" s="1"/>
  <c r="A190" i="19"/>
  <c r="K190" i="19" s="1"/>
  <c r="A289" i="19"/>
  <c r="K289" i="19" s="1"/>
  <c r="A390" i="19"/>
  <c r="K390" i="19" s="1"/>
  <c r="A410" i="19"/>
  <c r="K410" i="19" s="1"/>
  <c r="A434" i="19"/>
  <c r="K434" i="19" s="1"/>
  <c r="A42" i="17"/>
  <c r="K42" i="17" s="1"/>
  <c r="A58" i="17"/>
  <c r="K58" i="17" s="1"/>
  <c r="A146" i="17"/>
  <c r="K146" i="17" s="1"/>
  <c r="A187" i="17"/>
  <c r="K187" i="17" s="1"/>
  <c r="A285" i="17"/>
  <c r="K285" i="17" s="1"/>
  <c r="A356" i="17"/>
  <c r="K356" i="17" s="1"/>
  <c r="A410" i="17"/>
  <c r="K410" i="17" s="1"/>
  <c r="A42" i="15"/>
  <c r="K42" i="15" s="1"/>
  <c r="A73" i="15"/>
  <c r="K73" i="15" s="1"/>
  <c r="A175" i="15"/>
  <c r="K175" i="15" s="1"/>
  <c r="A199" i="15"/>
  <c r="K199" i="15" s="1"/>
  <c r="A365" i="15"/>
  <c r="K365" i="15" s="1"/>
  <c r="A410" i="15"/>
  <c r="K410" i="15" s="1"/>
  <c r="A382" i="14"/>
  <c r="A394" i="14"/>
  <c r="K240" i="8"/>
  <c r="A199" i="7"/>
  <c r="K187" i="19"/>
  <c r="A402" i="19"/>
  <c r="K402" i="19" s="1"/>
  <c r="A398" i="17"/>
  <c r="K398" i="17" s="1"/>
  <c r="A448" i="15"/>
  <c r="K448" i="15" s="1"/>
  <c r="A452" i="14"/>
  <c r="A249" i="19"/>
  <c r="K249" i="19" s="1"/>
  <c r="A271" i="17"/>
  <c r="K271" i="17" s="1"/>
  <c r="A280" i="17"/>
  <c r="K280" i="17" s="1"/>
  <c r="A294" i="17"/>
  <c r="K294" i="17" s="1"/>
  <c r="A302" i="17"/>
  <c r="K302" i="17" s="1"/>
  <c r="A276" i="15"/>
  <c r="K276" i="15" s="1"/>
  <c r="A224" i="14"/>
  <c r="A238" i="14"/>
  <c r="A245" i="14"/>
  <c r="A135" i="19"/>
  <c r="K135" i="19" s="1"/>
  <c r="A238" i="19"/>
  <c r="K238" i="19" s="1"/>
  <c r="A245" i="19"/>
  <c r="K245" i="19" s="1"/>
  <c r="A382" i="19"/>
  <c r="K382" i="19" s="1"/>
  <c r="A253" i="17"/>
  <c r="K253" i="17" s="1"/>
  <c r="A289" i="17"/>
  <c r="K289" i="17" s="1"/>
  <c r="A331" i="17"/>
  <c r="K331" i="17" s="1"/>
  <c r="A198" i="15"/>
  <c r="K198" i="15" s="1"/>
  <c r="A245" i="15"/>
  <c r="K245" i="15" s="1"/>
  <c r="A253" i="15"/>
  <c r="K253" i="15" s="1"/>
  <c r="A263" i="15"/>
  <c r="K263" i="15" s="1"/>
  <c r="A294" i="15"/>
  <c r="K294" i="15" s="1"/>
  <c r="A318" i="15"/>
  <c r="K318" i="15" s="1"/>
  <c r="A222" i="14"/>
  <c r="A174" i="7"/>
  <c r="A180" i="14"/>
  <c r="E60" i="21"/>
  <c r="A446" i="17"/>
  <c r="K446" i="17" s="1"/>
  <c r="A47" i="15"/>
  <c r="K47" i="15" s="1"/>
  <c r="K441" i="7"/>
  <c r="K338" i="14"/>
  <c r="K346" i="14"/>
  <c r="K350" i="14"/>
  <c r="H288" i="7"/>
  <c r="L288" i="7" s="1"/>
  <c r="H366" i="5"/>
  <c r="L366" i="5" s="1"/>
  <c r="H326" i="7"/>
  <c r="L326" i="7" s="1"/>
  <c r="H266" i="7"/>
  <c r="L266" i="7" s="1"/>
  <c r="H210" i="5"/>
  <c r="L210" i="5" s="1"/>
  <c r="H317" i="7"/>
  <c r="L317" i="7" s="1"/>
  <c r="H301" i="7"/>
  <c r="L301" i="7" s="1"/>
  <c r="H352" i="6"/>
  <c r="L352" i="6" s="1"/>
  <c r="A81" i="19"/>
  <c r="K81" i="19" s="1"/>
  <c r="A184" i="19"/>
  <c r="K184" i="19" s="1"/>
  <c r="A204" i="19"/>
  <c r="K204" i="19" s="1"/>
  <c r="A81" i="17"/>
  <c r="K81" i="17" s="1"/>
  <c r="A127" i="17"/>
  <c r="K127" i="17" s="1"/>
  <c r="A150" i="17"/>
  <c r="K150" i="17" s="1"/>
  <c r="A191" i="17"/>
  <c r="K191" i="17" s="1"/>
  <c r="A340" i="17"/>
  <c r="K340" i="17" s="1"/>
  <c r="A451" i="17"/>
  <c r="K451" i="17" s="1"/>
  <c r="A50" i="15"/>
  <c r="K50" i="15" s="1"/>
  <c r="A69" i="15"/>
  <c r="K69" i="15" s="1"/>
  <c r="A180" i="15"/>
  <c r="K180" i="15" s="1"/>
  <c r="A42" i="14"/>
  <c r="A333" i="7"/>
  <c r="K76" i="8"/>
  <c r="K141" i="8"/>
  <c r="A440" i="17"/>
  <c r="K440" i="17" s="1"/>
  <c r="A196" i="6"/>
  <c r="K366" i="14"/>
  <c r="H359" i="7"/>
  <c r="L359" i="7" s="1"/>
  <c r="A437" i="19"/>
  <c r="K437" i="19" s="1"/>
  <c r="A437" i="14"/>
  <c r="A447" i="17"/>
  <c r="K447" i="17" s="1"/>
  <c r="H176" i="5"/>
  <c r="L176" i="5" s="1"/>
  <c r="A176" i="6"/>
  <c r="H286" i="5"/>
  <c r="L286" i="5" s="1"/>
  <c r="A286" i="6"/>
  <c r="K122" i="7"/>
  <c r="A122" i="7"/>
  <c r="H219" i="6"/>
  <c r="L219" i="6" s="1"/>
  <c r="A219" i="7"/>
  <c r="H200" i="7"/>
  <c r="L200" i="7" s="1"/>
  <c r="A200" i="8"/>
  <c r="K200" i="14" s="1"/>
  <c r="K463" i="8"/>
  <c r="A446" i="8"/>
  <c r="K446" i="14" s="1"/>
  <c r="A37" i="17"/>
  <c r="K37" i="17" s="1"/>
  <c r="A59" i="14"/>
  <c r="K59" i="8"/>
  <c r="A59" i="15"/>
  <c r="K59" i="15" s="1"/>
  <c r="A59" i="17"/>
  <c r="K59" i="17" s="1"/>
  <c r="A137" i="14"/>
  <c r="A137" i="17"/>
  <c r="K137" i="17" s="1"/>
  <c r="K150" i="15"/>
  <c r="A154" i="14"/>
  <c r="A154" i="17"/>
  <c r="K154" i="17" s="1"/>
  <c r="A158" i="14"/>
  <c r="K158" i="8"/>
  <c r="H161" i="8"/>
  <c r="L161" i="19" s="1"/>
  <c r="A161" i="14"/>
  <c r="A195" i="15"/>
  <c r="K195" i="15" s="1"/>
  <c r="A195" i="17"/>
  <c r="K195" i="17" s="1"/>
  <c r="A200" i="14"/>
  <c r="K200" i="8"/>
  <c r="A200" i="15"/>
  <c r="K200" i="15" s="1"/>
  <c r="A376" i="14"/>
  <c r="A376" i="15"/>
  <c r="K376" i="15" s="1"/>
  <c r="A376" i="17"/>
  <c r="K376" i="17" s="1"/>
  <c r="A350" i="15"/>
  <c r="K350" i="15" s="1"/>
  <c r="A350" i="17"/>
  <c r="K350" i="17" s="1"/>
  <c r="H246" i="6"/>
  <c r="L246" i="6" s="1"/>
  <c r="H329" i="6"/>
  <c r="L329" i="6" s="1"/>
  <c r="H277" i="5"/>
  <c r="L277" i="5" s="1"/>
  <c r="H281" i="5"/>
  <c r="L281" i="5" s="1"/>
  <c r="H342" i="6"/>
  <c r="L342" i="6" s="1"/>
  <c r="H330" i="7"/>
  <c r="L330" i="7" s="1"/>
  <c r="H247" i="6"/>
  <c r="L247" i="6" s="1"/>
  <c r="H251" i="6"/>
  <c r="L251" i="6" s="1"/>
  <c r="H292" i="7"/>
  <c r="L292" i="7" s="1"/>
  <c r="H308" i="5"/>
  <c r="L308" i="5" s="1"/>
  <c r="F49" i="10"/>
  <c r="A46" i="19"/>
  <c r="K46" i="19" s="1"/>
  <c r="A73" i="19"/>
  <c r="K73" i="19" s="1"/>
  <c r="A154" i="19"/>
  <c r="K154" i="19" s="1"/>
  <c r="A180" i="19"/>
  <c r="K180" i="19" s="1"/>
  <c r="A189" i="19"/>
  <c r="K189" i="19" s="1"/>
  <c r="A340" i="19"/>
  <c r="K340" i="19" s="1"/>
  <c r="A356" i="19"/>
  <c r="K356" i="19" s="1"/>
  <c r="A430" i="19"/>
  <c r="K430" i="19" s="1"/>
  <c r="A141" i="17"/>
  <c r="K141" i="17" s="1"/>
  <c r="A161" i="17"/>
  <c r="K161" i="17" s="1"/>
  <c r="A175" i="17"/>
  <c r="K175" i="17" s="1"/>
  <c r="A185" i="17"/>
  <c r="K185" i="17" s="1"/>
  <c r="A200" i="17"/>
  <c r="K200" i="17" s="1"/>
  <c r="A355" i="17"/>
  <c r="K355" i="17" s="1"/>
  <c r="A402" i="17"/>
  <c r="K402" i="17" s="1"/>
  <c r="A46" i="15"/>
  <c r="K46" i="15" s="1"/>
  <c r="A77" i="15"/>
  <c r="K77" i="15" s="1"/>
  <c r="A141" i="15"/>
  <c r="K141" i="15" s="1"/>
  <c r="A161" i="15"/>
  <c r="K161" i="15" s="1"/>
  <c r="A356" i="15"/>
  <c r="K356" i="15" s="1"/>
  <c r="A77" i="14"/>
  <c r="A141" i="14"/>
  <c r="A393" i="14"/>
  <c r="A430" i="14"/>
  <c r="A451" i="14"/>
  <c r="K90" i="8"/>
  <c r="A191" i="8"/>
  <c r="K191" i="14" s="1"/>
  <c r="K117" i="7"/>
  <c r="A43" i="7"/>
  <c r="A102" i="7"/>
  <c r="A269" i="7"/>
  <c r="A441" i="7"/>
  <c r="K224" i="6"/>
  <c r="H166" i="5"/>
  <c r="L166" i="5" s="1"/>
  <c r="A405" i="19"/>
  <c r="K405" i="19" s="1"/>
  <c r="A405" i="17"/>
  <c r="K405" i="17" s="1"/>
  <c r="A409" i="17"/>
  <c r="K409" i="17" s="1"/>
  <c r="K363" i="14"/>
  <c r="A76" i="17"/>
  <c r="K76" i="17" s="1"/>
  <c r="A76" i="15"/>
  <c r="K76" i="15" s="1"/>
  <c r="A390" i="14"/>
  <c r="A390" i="17"/>
  <c r="K390" i="17" s="1"/>
  <c r="A398" i="14"/>
  <c r="A398" i="15"/>
  <c r="K398" i="15" s="1"/>
  <c r="A414" i="14"/>
  <c r="A414" i="15"/>
  <c r="K414" i="15" s="1"/>
  <c r="A414" i="17"/>
  <c r="K414" i="17" s="1"/>
  <c r="A426" i="14"/>
  <c r="A426" i="17"/>
  <c r="K426" i="17" s="1"/>
  <c r="A426" i="19"/>
  <c r="K426" i="19" s="1"/>
  <c r="A448" i="14"/>
  <c r="H239" i="6"/>
  <c r="L239" i="6" s="1"/>
  <c r="H207" i="6"/>
  <c r="L207" i="6" s="1"/>
  <c r="H146" i="7"/>
  <c r="L146" i="7" s="1"/>
  <c r="H348" i="7"/>
  <c r="L348" i="7" s="1"/>
  <c r="H342" i="7"/>
  <c r="L342" i="7" s="1"/>
  <c r="A210" i="14"/>
  <c r="A210" i="15"/>
  <c r="K210" i="15" s="1"/>
  <c r="A231" i="14"/>
  <c r="K220" i="19"/>
  <c r="A257" i="14"/>
  <c r="A257" i="15"/>
  <c r="K257" i="15" s="1"/>
  <c r="A257" i="17"/>
  <c r="K257" i="17" s="1"/>
  <c r="A267" i="14"/>
  <c r="A267" i="17"/>
  <c r="K267" i="17" s="1"/>
  <c r="A298" i="17"/>
  <c r="K298" i="17" s="1"/>
  <c r="A298" i="14"/>
  <c r="A298" i="15"/>
  <c r="K298" i="15" s="1"/>
  <c r="A302" i="14"/>
  <c r="A301" i="19"/>
  <c r="K301" i="19" s="1"/>
  <c r="A307" i="15"/>
  <c r="K307" i="15" s="1"/>
  <c r="A307" i="17"/>
  <c r="K307" i="17" s="1"/>
  <c r="A323" i="19"/>
  <c r="K323" i="19" s="1"/>
  <c r="A323" i="17"/>
  <c r="K323" i="17" s="1"/>
  <c r="A337" i="15"/>
  <c r="K337" i="15" s="1"/>
  <c r="A337" i="17"/>
  <c r="K337" i="17" s="1"/>
  <c r="A359" i="17"/>
  <c r="K359" i="17" s="1"/>
  <c r="A359" i="14"/>
  <c r="A371" i="15"/>
  <c r="K371" i="15" s="1"/>
  <c r="A371" i="14"/>
  <c r="A382" i="17"/>
  <c r="K382" i="17" s="1"/>
  <c r="H135" i="8"/>
  <c r="A135" i="15"/>
  <c r="K135" i="15" s="1"/>
  <c r="H240" i="5"/>
  <c r="L240" i="5" s="1"/>
  <c r="A25" i="15"/>
  <c r="K25" i="15" s="1"/>
  <c r="H252" i="5"/>
  <c r="L252" i="5" s="1"/>
  <c r="H284" i="5"/>
  <c r="L284" i="5" s="1"/>
  <c r="K166" i="6"/>
  <c r="H206" i="6"/>
  <c r="L206" i="6" s="1"/>
  <c r="K40" i="14"/>
  <c r="K62" i="14"/>
  <c r="K67" i="14"/>
  <c r="K71" i="14"/>
  <c r="K75" i="14"/>
  <c r="K79" i="14"/>
  <c r="K84" i="14"/>
  <c r="K88" i="14"/>
  <c r="A126" i="8"/>
  <c r="K126" i="14" s="1"/>
  <c r="H207" i="7"/>
  <c r="L207" i="7" s="1"/>
  <c r="H226" i="7"/>
  <c r="L226" i="7" s="1"/>
  <c r="H232" i="7"/>
  <c r="L232" i="7" s="1"/>
  <c r="K376" i="8"/>
  <c r="K426" i="8"/>
  <c r="K448" i="8"/>
  <c r="K452" i="8"/>
  <c r="K396" i="8"/>
  <c r="K428" i="8"/>
  <c r="K454" i="8"/>
  <c r="A37" i="19"/>
  <c r="K37" i="19" s="1"/>
  <c r="A32" i="7"/>
  <c r="A27" i="17"/>
  <c r="K27" i="17" s="1"/>
  <c r="H31" i="8"/>
  <c r="L31" i="8" s="1"/>
  <c r="K31" i="17"/>
  <c r="A145" i="17"/>
  <c r="K145" i="17" s="1"/>
  <c r="A37" i="15"/>
  <c r="K37" i="15" s="1"/>
  <c r="A416" i="14"/>
  <c r="A106" i="7"/>
  <c r="A378" i="7"/>
  <c r="A32" i="6"/>
  <c r="A181" i="6"/>
  <c r="H161" i="7"/>
  <c r="L161" i="7" s="1"/>
  <c r="H239" i="5"/>
  <c r="L239" i="5" s="1"/>
  <c r="A299" i="19"/>
  <c r="K299" i="19" s="1"/>
  <c r="A299" i="14"/>
  <c r="H373" i="6"/>
  <c r="L373" i="6" s="1"/>
  <c r="K373" i="6"/>
  <c r="K380" i="5"/>
  <c r="A380" i="6"/>
  <c r="K375" i="5"/>
  <c r="A375" i="6"/>
  <c r="K377" i="5"/>
  <c r="A377" i="6"/>
  <c r="A373" i="6"/>
  <c r="A108" i="7"/>
  <c r="K108" i="7"/>
  <c r="A432" i="17"/>
  <c r="K432" i="17" s="1"/>
  <c r="A432" i="14"/>
  <c r="H37" i="14"/>
  <c r="L37" i="14" s="1"/>
  <c r="H238" i="6"/>
  <c r="L238" i="6" s="1"/>
  <c r="A145" i="14"/>
  <c r="A379" i="6"/>
  <c r="A142" i="6"/>
  <c r="H142" i="5"/>
  <c r="L142" i="5" s="1"/>
  <c r="H186" i="5"/>
  <c r="L186" i="5" s="1"/>
  <c r="A186" i="6"/>
  <c r="H250" i="5"/>
  <c r="L250" i="5" s="1"/>
  <c r="A250" i="6"/>
  <c r="H272" i="5"/>
  <c r="L272" i="5" s="1"/>
  <c r="A272" i="6"/>
  <c r="H187" i="6"/>
  <c r="L187" i="6" s="1"/>
  <c r="A187" i="7"/>
  <c r="H233" i="6"/>
  <c r="L233" i="6" s="1"/>
  <c r="A233" i="7"/>
  <c r="H265" i="6"/>
  <c r="L265" i="6" s="1"/>
  <c r="A265" i="7"/>
  <c r="A363" i="7"/>
  <c r="H363" i="6"/>
  <c r="L363" i="6" s="1"/>
  <c r="K374" i="7"/>
  <c r="A374" i="7"/>
  <c r="H396" i="6"/>
  <c r="L396" i="6" s="1"/>
  <c r="A396" i="7"/>
  <c r="H416" i="6"/>
  <c r="L416" i="6" s="1"/>
  <c r="A416" i="7"/>
  <c r="H437" i="6"/>
  <c r="L437" i="6" s="1"/>
  <c r="A437" i="7"/>
  <c r="H42" i="7"/>
  <c r="L42" i="7" s="1"/>
  <c r="A42" i="8"/>
  <c r="K42" i="14" s="1"/>
  <c r="K81" i="8"/>
  <c r="A81" i="8"/>
  <c r="K81" i="14" s="1"/>
  <c r="H132" i="7"/>
  <c r="L132" i="7" s="1"/>
  <c r="A132" i="8"/>
  <c r="K132" i="14" s="1"/>
  <c r="H165" i="7"/>
  <c r="L165" i="7" s="1"/>
  <c r="A165" i="8"/>
  <c r="K165" i="14" s="1"/>
  <c r="A180" i="8"/>
  <c r="K180" i="14" s="1"/>
  <c r="H252" i="7"/>
  <c r="L252" i="7" s="1"/>
  <c r="A252" i="8"/>
  <c r="K252" i="14" s="1"/>
  <c r="H297" i="7"/>
  <c r="L297" i="7" s="1"/>
  <c r="A297" i="8"/>
  <c r="K297" i="14" s="1"/>
  <c r="K342" i="7"/>
  <c r="A392" i="8"/>
  <c r="K392" i="14" s="1"/>
  <c r="K392" i="7"/>
  <c r="H50" i="8"/>
  <c r="L50" i="8" s="1"/>
  <c r="K50" i="8"/>
  <c r="K77" i="8"/>
  <c r="H131" i="8"/>
  <c r="L131" i="19" s="1"/>
  <c r="A131" i="14"/>
  <c r="A165" i="14"/>
  <c r="H165" i="8"/>
  <c r="L165" i="19" s="1"/>
  <c r="K165" i="8"/>
  <c r="A190" i="14"/>
  <c r="K190" i="8"/>
  <c r="A204" i="14"/>
  <c r="H204" i="8"/>
  <c r="L204" i="8" s="1"/>
  <c r="A346" i="14"/>
  <c r="H346" i="8"/>
  <c r="L346" i="8" s="1"/>
  <c r="A418" i="14"/>
  <c r="A418" i="15"/>
  <c r="K418" i="15" s="1"/>
  <c r="A434" i="14"/>
  <c r="A434" i="15"/>
  <c r="K434" i="15" s="1"/>
  <c r="H278" i="14"/>
  <c r="L278" i="14" s="1"/>
  <c r="H282" i="14"/>
  <c r="L282" i="14" s="1"/>
  <c r="H287" i="14"/>
  <c r="L287" i="14" s="1"/>
  <c r="L27" i="15"/>
  <c r="H31" i="15"/>
  <c r="L31" i="15" s="1"/>
  <c r="L27" i="17"/>
  <c r="H31" i="17"/>
  <c r="L31" i="17" s="1"/>
  <c r="H171" i="7"/>
  <c r="L171" i="7" s="1"/>
  <c r="H51" i="2"/>
  <c r="L51" i="2" s="1"/>
  <c r="H273" i="5"/>
  <c r="L273" i="5" s="1"/>
  <c r="H282" i="5"/>
  <c r="L282" i="5" s="1"/>
  <c r="H321" i="5"/>
  <c r="L321" i="5" s="1"/>
  <c r="H372" i="8"/>
  <c r="L372" i="8" s="1"/>
  <c r="H366" i="8"/>
  <c r="L366" i="8" s="1"/>
  <c r="H360" i="8"/>
  <c r="L360" i="8" s="1"/>
  <c r="H338" i="8"/>
  <c r="L338" i="8" s="1"/>
  <c r="H328" i="8"/>
  <c r="L328" i="8" s="1"/>
  <c r="H324" i="8"/>
  <c r="L324" i="19" s="1"/>
  <c r="H319" i="8"/>
  <c r="L319" i="8" s="1"/>
  <c r="H304" i="8"/>
  <c r="L304" i="19" s="1"/>
  <c r="H295" i="8"/>
  <c r="L295" i="8" s="1"/>
  <c r="H290" i="8"/>
  <c r="L290" i="19" s="1"/>
  <c r="H286" i="8"/>
  <c r="L286" i="8" s="1"/>
  <c r="H281" i="8"/>
  <c r="L281" i="19" s="1"/>
  <c r="H277" i="8"/>
  <c r="L277" i="8" s="1"/>
  <c r="H272" i="8"/>
  <c r="L272" i="8" s="1"/>
  <c r="H268" i="8"/>
  <c r="L268" i="8" s="1"/>
  <c r="H264" i="8"/>
  <c r="L264" i="19" s="1"/>
  <c r="H260" i="8"/>
  <c r="L260" i="19" s="1"/>
  <c r="H254" i="8"/>
  <c r="L254" i="8" s="1"/>
  <c r="H250" i="8"/>
  <c r="L250" i="19" s="1"/>
  <c r="H246" i="8"/>
  <c r="L246" i="8" s="1"/>
  <c r="H242" i="8"/>
  <c r="L242" i="8" s="1"/>
  <c r="H239" i="8"/>
  <c r="L239" i="19" s="1"/>
  <c r="H232" i="8"/>
  <c r="L232" i="19" s="1"/>
  <c r="H387" i="2"/>
  <c r="L387" i="2" s="1"/>
  <c r="H391" i="2"/>
  <c r="L391" i="2" s="1"/>
  <c r="H399" i="2"/>
  <c r="L399" i="2" s="1"/>
  <c r="H308" i="6"/>
  <c r="L308" i="6" s="1"/>
  <c r="H319" i="6"/>
  <c r="L319" i="6" s="1"/>
  <c r="A32" i="8"/>
  <c r="K32" i="14" s="1"/>
  <c r="K153" i="7"/>
  <c r="H222" i="7"/>
  <c r="L222" i="7" s="1"/>
  <c r="H224" i="7"/>
  <c r="L224" i="7" s="1"/>
  <c r="H233" i="7"/>
  <c r="L233" i="7" s="1"/>
  <c r="K291" i="14"/>
  <c r="K300" i="14"/>
  <c r="K305" i="14"/>
  <c r="K316" i="14"/>
  <c r="K325" i="14"/>
  <c r="K373" i="7"/>
  <c r="A126" i="17"/>
  <c r="K126" i="17" s="1"/>
  <c r="K144" i="15"/>
  <c r="A174" i="17"/>
  <c r="K174" i="17" s="1"/>
  <c r="K429" i="17"/>
  <c r="H170" i="8"/>
  <c r="H170" i="19" s="1"/>
  <c r="L170" i="19" s="1"/>
  <c r="H169" i="17"/>
  <c r="L169" i="17" s="1"/>
  <c r="H158" i="8"/>
  <c r="L158" i="8" s="1"/>
  <c r="AD81" i="10"/>
  <c r="AF81" i="10"/>
  <c r="AK80" i="10"/>
  <c r="AE81" i="10"/>
  <c r="AH81" i="10"/>
  <c r="AI81" i="10"/>
  <c r="AJ81" i="10"/>
  <c r="F16" i="10"/>
  <c r="AC81" i="10"/>
  <c r="AG81" i="10"/>
  <c r="AK81" i="10"/>
  <c r="F47" i="10"/>
  <c r="AT92" i="10"/>
  <c r="F44" i="10"/>
  <c r="K136" i="8"/>
  <c r="K157" i="8"/>
  <c r="A126" i="19"/>
  <c r="K126" i="19" s="1"/>
  <c r="A136" i="19"/>
  <c r="K136" i="19" s="1"/>
  <c r="A144" i="19"/>
  <c r="K144" i="19" s="1"/>
  <c r="A193" i="19"/>
  <c r="K193" i="19" s="1"/>
  <c r="A55" i="15"/>
  <c r="K55" i="15" s="1"/>
  <c r="A68" i="15"/>
  <c r="K68" i="15" s="1"/>
  <c r="A149" i="15"/>
  <c r="K149" i="15" s="1"/>
  <c r="A160" i="15"/>
  <c r="K160" i="15" s="1"/>
  <c r="A187" i="15"/>
  <c r="K187" i="15" s="1"/>
  <c r="K195" i="14"/>
  <c r="A116" i="7"/>
  <c r="H241" i="6"/>
  <c r="L241" i="6" s="1"/>
  <c r="H282" i="7"/>
  <c r="L282" i="7" s="1"/>
  <c r="K230" i="19"/>
  <c r="H281" i="6"/>
  <c r="L281" i="6" s="1"/>
  <c r="K141" i="19"/>
  <c r="A352" i="19"/>
  <c r="K352" i="19" s="1"/>
  <c r="A153" i="17"/>
  <c r="K153" i="17" s="1"/>
  <c r="A85" i="15"/>
  <c r="K85" i="15" s="1"/>
  <c r="K165" i="15"/>
  <c r="A194" i="15"/>
  <c r="K194" i="15" s="1"/>
  <c r="A405" i="14"/>
  <c r="K63" i="8"/>
  <c r="A282" i="8"/>
  <c r="K282" i="14" s="1"/>
  <c r="K247" i="7"/>
  <c r="AK90" i="10"/>
  <c r="H27" i="7"/>
  <c r="L27" i="7" s="1"/>
  <c r="H139" i="7"/>
  <c r="L139" i="7" s="1"/>
  <c r="H143" i="7"/>
  <c r="L143" i="7" s="1"/>
  <c r="H148" i="7"/>
  <c r="L148" i="7" s="1"/>
  <c r="H152" i="7"/>
  <c r="L152" i="7" s="1"/>
  <c r="H145" i="7"/>
  <c r="L145" i="7" s="1"/>
  <c r="K230" i="14"/>
  <c r="K242" i="14"/>
  <c r="K133" i="17"/>
  <c r="K392" i="19"/>
  <c r="K408" i="19"/>
  <c r="K420" i="17"/>
  <c r="H268" i="5"/>
  <c r="L268" i="5" s="1"/>
  <c r="H356" i="8"/>
  <c r="L356" i="8" s="1"/>
  <c r="H185" i="8"/>
  <c r="L185" i="8" s="1"/>
  <c r="H210" i="6"/>
  <c r="L210" i="6" s="1"/>
  <c r="H237" i="6"/>
  <c r="L237" i="6" s="1"/>
  <c r="K208" i="19"/>
  <c r="A188" i="15"/>
  <c r="K188" i="15" s="1"/>
  <c r="A143" i="14"/>
  <c r="L255" i="8"/>
  <c r="L255" i="19"/>
  <c r="H345" i="5"/>
  <c r="L345" i="5" s="1"/>
  <c r="H323" i="6"/>
  <c r="L323" i="6" s="1"/>
  <c r="A45" i="19"/>
  <c r="K45" i="19" s="1"/>
  <c r="A156" i="19"/>
  <c r="K156" i="19" s="1"/>
  <c r="A164" i="19"/>
  <c r="K164" i="19" s="1"/>
  <c r="A174" i="19"/>
  <c r="K174" i="19" s="1"/>
  <c r="A196" i="19"/>
  <c r="K196" i="19" s="1"/>
  <c r="A184" i="17"/>
  <c r="K184" i="17" s="1"/>
  <c r="A396" i="17"/>
  <c r="K396" i="17" s="1"/>
  <c r="A72" i="15"/>
  <c r="K72" i="15" s="1"/>
  <c r="A136" i="15"/>
  <c r="K136" i="15" s="1"/>
  <c r="A164" i="15"/>
  <c r="K164" i="15" s="1"/>
  <c r="A174" i="15"/>
  <c r="K174" i="15" s="1"/>
  <c r="A184" i="15"/>
  <c r="K184" i="15" s="1"/>
  <c r="A388" i="15"/>
  <c r="K388" i="15" s="1"/>
  <c r="A424" i="15"/>
  <c r="K424" i="15" s="1"/>
  <c r="A44" i="14"/>
  <c r="A178" i="14"/>
  <c r="K178" i="8"/>
  <c r="K325" i="8"/>
  <c r="K203" i="7"/>
  <c r="H146" i="6"/>
  <c r="L146" i="6" s="1"/>
  <c r="H355" i="7"/>
  <c r="L355" i="7" s="1"/>
  <c r="K395" i="19"/>
  <c r="K411" i="19"/>
  <c r="L279" i="8"/>
  <c r="L270" i="8"/>
  <c r="L270" i="19"/>
  <c r="H187" i="15"/>
  <c r="L187" i="15" s="1"/>
  <c r="H187" i="14"/>
  <c r="L187" i="14" s="1"/>
  <c r="H268" i="7"/>
  <c r="L268" i="7" s="1"/>
  <c r="A79" i="17"/>
  <c r="K79" i="17" s="1"/>
  <c r="A348" i="14"/>
  <c r="H341" i="6"/>
  <c r="L341" i="6" s="1"/>
  <c r="H225" i="6"/>
  <c r="L225" i="6" s="1"/>
  <c r="A44" i="19"/>
  <c r="K44" i="19" s="1"/>
  <c r="A144" i="17"/>
  <c r="K144" i="17" s="1"/>
  <c r="A432" i="15"/>
  <c r="K432" i="15" s="1"/>
  <c r="A80" i="8"/>
  <c r="K80" i="14" s="1"/>
  <c r="A226" i="8"/>
  <c r="K226" i="14" s="1"/>
  <c r="H260" i="5"/>
  <c r="L260" i="5" s="1"/>
  <c r="H235" i="7"/>
  <c r="L235" i="7" s="1"/>
  <c r="K244" i="14"/>
  <c r="H141" i="8"/>
  <c r="H191" i="8"/>
  <c r="L191" i="8" s="1"/>
  <c r="H195" i="8"/>
  <c r="L195" i="8" s="1"/>
  <c r="H95" i="14"/>
  <c r="L95" i="14" s="1"/>
  <c r="H178" i="14"/>
  <c r="L178" i="14" s="1"/>
  <c r="H210" i="14"/>
  <c r="L210" i="14" s="1"/>
  <c r="H225" i="14"/>
  <c r="L225" i="14" s="1"/>
  <c r="H229" i="14"/>
  <c r="L229" i="14" s="1"/>
  <c r="H238" i="14"/>
  <c r="L238" i="14" s="1"/>
  <c r="H237" i="14"/>
  <c r="L237" i="14" s="1"/>
  <c r="H245" i="14"/>
  <c r="L245" i="14" s="1"/>
  <c r="H249" i="14"/>
  <c r="L249" i="14" s="1"/>
  <c r="H253" i="14"/>
  <c r="L253" i="14" s="1"/>
  <c r="H257" i="14"/>
  <c r="L257" i="14" s="1"/>
  <c r="H263" i="14"/>
  <c r="L263" i="14" s="1"/>
  <c r="H267" i="14"/>
  <c r="L267" i="14" s="1"/>
  <c r="H271" i="14"/>
  <c r="L271" i="14" s="1"/>
  <c r="H276" i="14"/>
  <c r="L276" i="14" s="1"/>
  <c r="H280" i="14"/>
  <c r="L280" i="14" s="1"/>
  <c r="H285" i="14"/>
  <c r="L285" i="14" s="1"/>
  <c r="H294" i="14"/>
  <c r="L294" i="14" s="1"/>
  <c r="H298" i="14"/>
  <c r="L298" i="14" s="1"/>
  <c r="H302" i="14"/>
  <c r="L302" i="14" s="1"/>
  <c r="H307" i="14"/>
  <c r="L307" i="14" s="1"/>
  <c r="H318" i="14"/>
  <c r="L318" i="14" s="1"/>
  <c r="H323" i="14"/>
  <c r="L323" i="14" s="1"/>
  <c r="H327" i="14"/>
  <c r="L327" i="14" s="1"/>
  <c r="H331" i="14"/>
  <c r="L331" i="14" s="1"/>
  <c r="H210" i="15"/>
  <c r="L210" i="15" s="1"/>
  <c r="H225" i="15"/>
  <c r="L225" i="15" s="1"/>
  <c r="H229" i="15"/>
  <c r="L229" i="15" s="1"/>
  <c r="H238" i="15"/>
  <c r="L238" i="15" s="1"/>
  <c r="H237" i="15"/>
  <c r="L237" i="15" s="1"/>
  <c r="H245" i="15"/>
  <c r="L245" i="15" s="1"/>
  <c r="H249" i="15"/>
  <c r="L249" i="15" s="1"/>
  <c r="H253" i="15"/>
  <c r="L253" i="15" s="1"/>
  <c r="H257" i="15"/>
  <c r="L257" i="15" s="1"/>
  <c r="H263" i="15"/>
  <c r="L263" i="15" s="1"/>
  <c r="H267" i="15"/>
  <c r="L267" i="15" s="1"/>
  <c r="H271" i="15"/>
  <c r="L271" i="15" s="1"/>
  <c r="H276" i="15"/>
  <c r="L276" i="15" s="1"/>
  <c r="H280" i="15"/>
  <c r="L280" i="15" s="1"/>
  <c r="H285" i="15"/>
  <c r="L285" i="15" s="1"/>
  <c r="H294" i="15"/>
  <c r="L294" i="15" s="1"/>
  <c r="H298" i="15"/>
  <c r="L298" i="15" s="1"/>
  <c r="H302" i="15"/>
  <c r="L302" i="15" s="1"/>
  <c r="H307" i="15"/>
  <c r="L307" i="15" s="1"/>
  <c r="H318" i="15"/>
  <c r="L318" i="15" s="1"/>
  <c r="H323" i="15"/>
  <c r="L323" i="15" s="1"/>
  <c r="H327" i="15"/>
  <c r="L327" i="15" s="1"/>
  <c r="H331" i="15"/>
  <c r="L331" i="15" s="1"/>
  <c r="H337" i="15"/>
  <c r="L337" i="15" s="1"/>
  <c r="H359" i="15"/>
  <c r="L359" i="15" s="1"/>
  <c r="H365" i="15"/>
  <c r="L365" i="15" s="1"/>
  <c r="H371" i="15"/>
  <c r="L371" i="15" s="1"/>
  <c r="H342" i="15"/>
  <c r="L342" i="15" s="1"/>
  <c r="H348" i="15"/>
  <c r="L348" i="15" s="1"/>
  <c r="H352" i="15"/>
  <c r="L352" i="15" s="1"/>
  <c r="H48" i="17"/>
  <c r="L48" i="17" s="1"/>
  <c r="H56" i="17"/>
  <c r="L56" i="17" s="1"/>
  <c r="H62" i="17"/>
  <c r="L62" i="17" s="1"/>
  <c r="H67" i="17"/>
  <c r="L67" i="17" s="1"/>
  <c r="H71" i="17"/>
  <c r="L71" i="17" s="1"/>
  <c r="H75" i="17"/>
  <c r="L75" i="17" s="1"/>
  <c r="H79" i="17"/>
  <c r="L79" i="17" s="1"/>
  <c r="H84" i="17"/>
  <c r="L84" i="17" s="1"/>
  <c r="H88" i="17"/>
  <c r="L88" i="17" s="1"/>
  <c r="H93" i="17"/>
  <c r="L93" i="17" s="1"/>
  <c r="H98" i="17"/>
  <c r="L98" i="17" s="1"/>
  <c r="H103" i="17"/>
  <c r="L103" i="17" s="1"/>
  <c r="H107" i="17"/>
  <c r="L107" i="17" s="1"/>
  <c r="H120" i="17"/>
  <c r="L120" i="17" s="1"/>
  <c r="H112" i="17"/>
  <c r="L112" i="17" s="1"/>
  <c r="H123" i="17"/>
  <c r="L123" i="17" s="1"/>
  <c r="H175" i="17"/>
  <c r="L175" i="17" s="1"/>
  <c r="H185" i="17"/>
  <c r="L185" i="17" s="1"/>
  <c r="H191" i="17"/>
  <c r="L191" i="17" s="1"/>
  <c r="H195" i="17"/>
  <c r="L195" i="17" s="1"/>
  <c r="H190" i="17"/>
  <c r="L190" i="17" s="1"/>
  <c r="A206" i="15"/>
  <c r="K206" i="15" s="1"/>
  <c r="H342" i="17"/>
  <c r="L342" i="17" s="1"/>
  <c r="H348" i="17"/>
  <c r="L348" i="17" s="1"/>
  <c r="H352" i="17"/>
  <c r="L352" i="17" s="1"/>
  <c r="H229" i="8"/>
  <c r="L229" i="8" s="1"/>
  <c r="H225" i="8"/>
  <c r="L225" i="8" s="1"/>
  <c r="A286" i="8"/>
  <c r="K286" i="14" s="1"/>
  <c r="K286" i="8"/>
  <c r="A182" i="19"/>
  <c r="K182" i="19" s="1"/>
  <c r="A183" i="14"/>
  <c r="A352" i="17"/>
  <c r="K352" i="17" s="1"/>
  <c r="A352" i="15"/>
  <c r="K352" i="15" s="1"/>
  <c r="H359" i="6"/>
  <c r="L359" i="6" s="1"/>
  <c r="H327" i="6"/>
  <c r="L327" i="6" s="1"/>
  <c r="A400" i="19"/>
  <c r="K400" i="19" s="1"/>
  <c r="A420" i="19"/>
  <c r="K420" i="19" s="1"/>
  <c r="A440" i="19"/>
  <c r="K440" i="19" s="1"/>
  <c r="A67" i="17"/>
  <c r="K67" i="17" s="1"/>
  <c r="A143" i="17"/>
  <c r="K143" i="17" s="1"/>
  <c r="A188" i="17"/>
  <c r="K188" i="17" s="1"/>
  <c r="A156" i="15"/>
  <c r="K156" i="15" s="1"/>
  <c r="A79" i="19"/>
  <c r="K79" i="19" s="1"/>
  <c r="A432" i="19"/>
  <c r="K432" i="19" s="1"/>
  <c r="A48" i="15"/>
  <c r="K48" i="15" s="1"/>
  <c r="A67" i="15"/>
  <c r="K67" i="15" s="1"/>
  <c r="A56" i="14"/>
  <c r="A75" i="14"/>
  <c r="A440" i="14"/>
  <c r="K434" i="8"/>
  <c r="K113" i="6"/>
  <c r="H159" i="5"/>
  <c r="L159" i="5" s="1"/>
  <c r="A159" i="6"/>
  <c r="K111" i="7"/>
  <c r="A111" i="7"/>
  <c r="H282" i="6"/>
  <c r="L282" i="6" s="1"/>
  <c r="A282" i="7"/>
  <c r="A367" i="7"/>
  <c r="K367" i="6"/>
  <c r="H348" i="6"/>
  <c r="L348" i="6" s="1"/>
  <c r="A356" i="7"/>
  <c r="H395" i="6"/>
  <c r="L395" i="6" s="1"/>
  <c r="A392" i="7"/>
  <c r="K46" i="8"/>
  <c r="A46" i="8"/>
  <c r="K46" i="14" s="1"/>
  <c r="A95" i="8"/>
  <c r="K95" i="14" s="1"/>
  <c r="K95" i="8"/>
  <c r="H128" i="7"/>
  <c r="L128" i="7" s="1"/>
  <c r="A128" i="8"/>
  <c r="K128" i="14" s="1"/>
  <c r="H364" i="7"/>
  <c r="L364" i="7" s="1"/>
  <c r="A364" i="8"/>
  <c r="K364" i="14" s="1"/>
  <c r="H378" i="7"/>
  <c r="L378" i="7" s="1"/>
  <c r="A378" i="8"/>
  <c r="K378" i="14" s="1"/>
  <c r="H352" i="7"/>
  <c r="L352" i="7" s="1"/>
  <c r="A352" i="8"/>
  <c r="K352" i="14" s="1"/>
  <c r="K396" i="7"/>
  <c r="K408" i="7"/>
  <c r="A412" i="8"/>
  <c r="K412" i="14" s="1"/>
  <c r="K412" i="7"/>
  <c r="A73" i="14"/>
  <c r="K73" i="8"/>
  <c r="K127" i="8"/>
  <c r="K154" i="8"/>
  <c r="A99" i="7"/>
  <c r="K99" i="7"/>
  <c r="K52" i="8"/>
  <c r="A378" i="19"/>
  <c r="K378" i="19" s="1"/>
  <c r="A378" i="14"/>
  <c r="A67" i="19"/>
  <c r="K67" i="19" s="1"/>
  <c r="A388" i="19"/>
  <c r="K388" i="19" s="1"/>
  <c r="A75" i="17"/>
  <c r="K75" i="17" s="1"/>
  <c r="A424" i="17"/>
  <c r="K424" i="17" s="1"/>
  <c r="A129" i="15"/>
  <c r="K129" i="15" s="1"/>
  <c r="A183" i="15"/>
  <c r="K183" i="15" s="1"/>
  <c r="A392" i="15"/>
  <c r="K392" i="15" s="1"/>
  <c r="A360" i="8"/>
  <c r="K360" i="14" s="1"/>
  <c r="A183" i="7"/>
  <c r="K183" i="7"/>
  <c r="K131" i="7"/>
  <c r="K153" i="8"/>
  <c r="A153" i="8"/>
  <c r="K153" i="14" s="1"/>
  <c r="K184" i="8"/>
  <c r="A184" i="8"/>
  <c r="K184" i="14" s="1"/>
  <c r="A224" i="8"/>
  <c r="K224" i="14" s="1"/>
  <c r="K224" i="8"/>
  <c r="K233" i="7"/>
  <c r="K282" i="7"/>
  <c r="K329" i="7"/>
  <c r="K423" i="7"/>
  <c r="A389" i="19"/>
  <c r="K389" i="19" s="1"/>
  <c r="A389" i="15"/>
  <c r="K389" i="15" s="1"/>
  <c r="A421" i="19"/>
  <c r="K421" i="19" s="1"/>
  <c r="A421" i="15"/>
  <c r="K421" i="15" s="1"/>
  <c r="K180" i="8"/>
  <c r="K204" i="7"/>
  <c r="H248" i="6"/>
  <c r="L248" i="6" s="1"/>
  <c r="H284" i="6"/>
  <c r="L284" i="6" s="1"/>
  <c r="H322" i="6"/>
  <c r="L322" i="6" s="1"/>
  <c r="H170" i="6"/>
  <c r="L170" i="6" s="1"/>
  <c r="H371" i="6"/>
  <c r="L371" i="6" s="1"/>
  <c r="H337" i="6"/>
  <c r="L337" i="6" s="1"/>
  <c r="H249" i="8"/>
  <c r="L249" i="8" s="1"/>
  <c r="H318" i="8"/>
  <c r="L318" i="19" s="1"/>
  <c r="H365" i="8"/>
  <c r="L365" i="19" s="1"/>
  <c r="A385" i="15"/>
  <c r="K385" i="15" s="1"/>
  <c r="K195" i="8"/>
  <c r="L168" i="17"/>
  <c r="H345" i="17"/>
  <c r="L345" i="17" s="1"/>
  <c r="H349" i="17"/>
  <c r="L349" i="17" s="1"/>
  <c r="H355" i="17"/>
  <c r="L355" i="17" s="1"/>
  <c r="A201" i="7"/>
  <c r="K203" i="8"/>
  <c r="A199" i="17"/>
  <c r="K199" i="17" s="1"/>
  <c r="A203" i="15"/>
  <c r="K203" i="15" s="1"/>
  <c r="A199" i="19"/>
  <c r="K199" i="19" s="1"/>
  <c r="H190" i="14"/>
  <c r="L190" i="14" s="1"/>
  <c r="K238" i="15"/>
  <c r="K271" i="15"/>
  <c r="K285" i="15"/>
  <c r="K327" i="15"/>
  <c r="K48" i="14"/>
  <c r="K97" i="14"/>
  <c r="K154" i="14"/>
  <c r="K178" i="14"/>
  <c r="H32" i="14"/>
  <c r="L32" i="14" s="1"/>
  <c r="L57" i="8"/>
  <c r="H57" i="14"/>
  <c r="L57" i="14" s="1"/>
  <c r="K418" i="17"/>
  <c r="H355" i="8"/>
  <c r="L355" i="8" s="1"/>
  <c r="H349" i="8"/>
  <c r="L349" i="8" s="1"/>
  <c r="H345" i="8"/>
  <c r="L345" i="19" s="1"/>
  <c r="H187" i="8"/>
  <c r="H186" i="19" s="1"/>
  <c r="L186" i="19" s="1"/>
  <c r="H194" i="8"/>
  <c r="L194" i="8" s="1"/>
  <c r="H189" i="8"/>
  <c r="L189" i="8" s="1"/>
  <c r="H175" i="8"/>
  <c r="L175" i="8" s="1"/>
  <c r="H322" i="8"/>
  <c r="L322" i="19" s="1"/>
  <c r="A32" i="15"/>
  <c r="K32" i="15" s="1"/>
  <c r="A443" i="17"/>
  <c r="K443" i="17" s="1"/>
  <c r="A148" i="19"/>
  <c r="K148" i="19" s="1"/>
  <c r="A206" i="19"/>
  <c r="K206" i="19" s="1"/>
  <c r="A231" i="19"/>
  <c r="K231" i="19" s="1"/>
  <c r="A253" i="19"/>
  <c r="K253" i="19" s="1"/>
  <c r="A267" i="19"/>
  <c r="K267" i="19" s="1"/>
  <c r="A276" i="19"/>
  <c r="K276" i="19" s="1"/>
  <c r="A285" i="19"/>
  <c r="K285" i="19" s="1"/>
  <c r="A302" i="19"/>
  <c r="K302" i="19" s="1"/>
  <c r="L94" i="19"/>
  <c r="A233" i="19"/>
  <c r="K233" i="19" s="1"/>
  <c r="A317" i="19"/>
  <c r="K317" i="19" s="1"/>
  <c r="A48" i="17"/>
  <c r="K48" i="17" s="1"/>
  <c r="A56" i="17"/>
  <c r="K56" i="17" s="1"/>
  <c r="A238" i="17"/>
  <c r="K238" i="17" s="1"/>
  <c r="A249" i="17"/>
  <c r="K249" i="17" s="1"/>
  <c r="A318" i="17"/>
  <c r="K318" i="17" s="1"/>
  <c r="A378" i="17"/>
  <c r="K378" i="17" s="1"/>
  <c r="A202" i="15"/>
  <c r="K202" i="15" s="1"/>
  <c r="A249" i="15"/>
  <c r="K249" i="15" s="1"/>
  <c r="A50" i="14"/>
  <c r="A84" i="14"/>
  <c r="A193" i="14"/>
  <c r="A365" i="14"/>
  <c r="A352" i="14"/>
  <c r="A392" i="14"/>
  <c r="K378" i="8"/>
  <c r="K222" i="8"/>
  <c r="A174" i="14"/>
  <c r="H290" i="7"/>
  <c r="L290" i="7" s="1"/>
  <c r="K44" i="8"/>
  <c r="K406" i="8"/>
  <c r="A452" i="8"/>
  <c r="K452" i="14" s="1"/>
  <c r="H334" i="7"/>
  <c r="L334" i="7" s="1"/>
  <c r="K42" i="8"/>
  <c r="K54" i="8"/>
  <c r="K64" i="8"/>
  <c r="K86" i="8"/>
  <c r="K137" i="8"/>
  <c r="K382" i="8"/>
  <c r="K404" i="8"/>
  <c r="A69" i="8"/>
  <c r="K69" i="14" s="1"/>
  <c r="A185" i="8"/>
  <c r="K185" i="14" s="1"/>
  <c r="A204" i="8"/>
  <c r="K204" i="14" s="1"/>
  <c r="A250" i="8"/>
  <c r="K250" i="14" s="1"/>
  <c r="H272" i="7"/>
  <c r="L272" i="7" s="1"/>
  <c r="K188" i="8"/>
  <c r="K268" i="8"/>
  <c r="K418" i="8"/>
  <c r="A232" i="8"/>
  <c r="K232" i="14" s="1"/>
  <c r="A382" i="8"/>
  <c r="K382" i="14" s="1"/>
  <c r="A25" i="8"/>
  <c r="K25" i="14" s="1"/>
  <c r="H229" i="7"/>
  <c r="L229" i="7" s="1"/>
  <c r="K128" i="8"/>
  <c r="K150" i="8"/>
  <c r="K161" i="8"/>
  <c r="K175" i="8"/>
  <c r="K182" i="8"/>
  <c r="K204" i="8"/>
  <c r="K390" i="8"/>
  <c r="K416" i="8"/>
  <c r="A50" i="8"/>
  <c r="K50" i="14" s="1"/>
  <c r="A150" i="8"/>
  <c r="K150" i="14" s="1"/>
  <c r="A426" i="8"/>
  <c r="K426" i="14" s="1"/>
  <c r="K382" i="7"/>
  <c r="K46" i="7"/>
  <c r="K86" i="7"/>
  <c r="K432" i="7"/>
  <c r="H208" i="7"/>
  <c r="L208" i="7" s="1"/>
  <c r="H265" i="7"/>
  <c r="L265" i="7" s="1"/>
  <c r="H239" i="7"/>
  <c r="L239" i="7" s="1"/>
  <c r="H219" i="7"/>
  <c r="L219" i="7" s="1"/>
  <c r="K88" i="8"/>
  <c r="K145" i="8"/>
  <c r="K199" i="8"/>
  <c r="K242" i="8"/>
  <c r="K272" i="8"/>
  <c r="K291" i="8"/>
  <c r="K338" i="8"/>
  <c r="K346" i="8"/>
  <c r="A44" i="8"/>
  <c r="K44" i="14" s="1"/>
  <c r="A207" i="8"/>
  <c r="K207" i="14" s="1"/>
  <c r="A233" i="8"/>
  <c r="K233" i="14" s="1"/>
  <c r="A246" i="8"/>
  <c r="K246" i="14" s="1"/>
  <c r="K291" i="7"/>
  <c r="K140" i="7"/>
  <c r="K149" i="7"/>
  <c r="K208" i="7"/>
  <c r="K273" i="7"/>
  <c r="K300" i="7"/>
  <c r="H185" i="7"/>
  <c r="L185" i="7" s="1"/>
  <c r="H191" i="7"/>
  <c r="L191" i="7" s="1"/>
  <c r="H195" i="7"/>
  <c r="L195" i="7" s="1"/>
  <c r="H190" i="7"/>
  <c r="L190" i="7" s="1"/>
  <c r="K241" i="8"/>
  <c r="H240" i="7"/>
  <c r="L240" i="7" s="1"/>
  <c r="K71" i="8"/>
  <c r="K247" i="8"/>
  <c r="K273" i="8"/>
  <c r="K316" i="8"/>
  <c r="K350" i="8"/>
  <c r="A148" i="8"/>
  <c r="K148" i="14" s="1"/>
  <c r="A281" i="8"/>
  <c r="K281" i="14" s="1"/>
  <c r="A290" i="8"/>
  <c r="K290" i="14" s="1"/>
  <c r="A423" i="8"/>
  <c r="K423" i="14" s="1"/>
  <c r="AK88" i="10"/>
  <c r="H267" i="7"/>
  <c r="L267" i="7" s="1"/>
  <c r="H271" i="7"/>
  <c r="L271" i="7" s="1"/>
  <c r="H280" i="7"/>
  <c r="L280" i="7" s="1"/>
  <c r="H285" i="7"/>
  <c r="L285" i="7" s="1"/>
  <c r="H302" i="7"/>
  <c r="L302" i="7" s="1"/>
  <c r="H307" i="7"/>
  <c r="L307" i="7" s="1"/>
  <c r="H318" i="7"/>
  <c r="L318" i="7" s="1"/>
  <c r="H327" i="7"/>
  <c r="L327" i="7" s="1"/>
  <c r="H356" i="7"/>
  <c r="L356" i="7" s="1"/>
  <c r="H346" i="7"/>
  <c r="L346" i="7" s="1"/>
  <c r="H377" i="7"/>
  <c r="L377" i="7" s="1"/>
  <c r="H339" i="7"/>
  <c r="L339" i="7" s="1"/>
  <c r="H329" i="7"/>
  <c r="L329" i="7" s="1"/>
  <c r="H321" i="7"/>
  <c r="L321" i="7" s="1"/>
  <c r="H305" i="7"/>
  <c r="L305" i="7" s="1"/>
  <c r="H300" i="7"/>
  <c r="L300" i="7" s="1"/>
  <c r="H291" i="7"/>
  <c r="L291" i="7" s="1"/>
  <c r="H287" i="7"/>
  <c r="L287" i="7" s="1"/>
  <c r="H278" i="7"/>
  <c r="L278" i="7" s="1"/>
  <c r="H273" i="7"/>
  <c r="L273" i="7" s="1"/>
  <c r="H261" i="7"/>
  <c r="L261" i="7" s="1"/>
  <c r="H247" i="7"/>
  <c r="L247" i="7" s="1"/>
  <c r="K139" i="8"/>
  <c r="K342" i="8"/>
  <c r="K400" i="8"/>
  <c r="K424" i="8"/>
  <c r="K432" i="8"/>
  <c r="H209" i="6"/>
  <c r="L209" i="6" s="1"/>
  <c r="H223" i="6"/>
  <c r="L223" i="6" s="1"/>
  <c r="H235" i="6"/>
  <c r="L235" i="6" s="1"/>
  <c r="H345" i="6"/>
  <c r="L345" i="6" s="1"/>
  <c r="K147" i="7"/>
  <c r="K437" i="7"/>
  <c r="H307" i="6"/>
  <c r="L307" i="6" s="1"/>
  <c r="H302" i="6"/>
  <c r="L302" i="6" s="1"/>
  <c r="H298" i="6"/>
  <c r="L298" i="6" s="1"/>
  <c r="H294" i="6"/>
  <c r="L294" i="6" s="1"/>
  <c r="H285" i="6"/>
  <c r="L285" i="6" s="1"/>
  <c r="H276" i="6"/>
  <c r="L276" i="6" s="1"/>
  <c r="H267" i="6"/>
  <c r="L267" i="6" s="1"/>
  <c r="H263" i="6"/>
  <c r="L263" i="6" s="1"/>
  <c r="H253" i="6"/>
  <c r="L253" i="6" s="1"/>
  <c r="H249" i="6"/>
  <c r="L249" i="6" s="1"/>
  <c r="H245" i="6"/>
  <c r="L245" i="6" s="1"/>
  <c r="H240" i="6"/>
  <c r="L240" i="6" s="1"/>
  <c r="H224" i="6"/>
  <c r="L224" i="6" s="1"/>
  <c r="K130" i="7"/>
  <c r="H300" i="6"/>
  <c r="L300" i="6" s="1"/>
  <c r="H296" i="6"/>
  <c r="L296" i="6" s="1"/>
  <c r="H287" i="6"/>
  <c r="L287" i="6" s="1"/>
  <c r="K269" i="7"/>
  <c r="K351" i="7"/>
  <c r="K416" i="7"/>
  <c r="A149" i="7"/>
  <c r="A164" i="7"/>
  <c r="A222" i="7"/>
  <c r="A273" i="7"/>
  <c r="A404" i="7"/>
  <c r="K51" i="6"/>
  <c r="K131" i="6"/>
  <c r="K140" i="6"/>
  <c r="K153" i="6"/>
  <c r="AK93" i="10"/>
  <c r="H291" i="6"/>
  <c r="L291" i="6" s="1"/>
  <c r="K224" i="7"/>
  <c r="K316" i="7"/>
  <c r="K378" i="7"/>
  <c r="K404" i="7"/>
  <c r="A51" i="7"/>
  <c r="A194" i="7"/>
  <c r="A203" i="7"/>
  <c r="A373" i="7"/>
  <c r="A408" i="7"/>
  <c r="A429" i="7"/>
  <c r="A446" i="7"/>
  <c r="K378" i="6"/>
  <c r="K437" i="6"/>
  <c r="K446" i="6"/>
  <c r="H268" i="6"/>
  <c r="L268" i="6" s="1"/>
  <c r="H346" i="5"/>
  <c r="L346" i="5" s="1"/>
  <c r="H319" i="5"/>
  <c r="L319" i="5" s="1"/>
  <c r="H304" i="5"/>
  <c r="L304" i="5" s="1"/>
  <c r="H232" i="5"/>
  <c r="L232" i="5" s="1"/>
  <c r="H264" i="5"/>
  <c r="L264" i="5" s="1"/>
  <c r="H349" i="5"/>
  <c r="L349" i="5" s="1"/>
  <c r="A162" i="6"/>
  <c r="A197" i="6"/>
  <c r="A374" i="6"/>
  <c r="A378" i="6"/>
  <c r="K227" i="6"/>
  <c r="H227" i="6"/>
  <c r="L227" i="6" s="1"/>
  <c r="H166" i="7"/>
  <c r="L166" i="7" s="1"/>
  <c r="K166" i="7"/>
  <c r="A401" i="8"/>
  <c r="K401" i="14" s="1"/>
  <c r="K401" i="8"/>
  <c r="A39" i="15"/>
  <c r="K39" i="15" s="1"/>
  <c r="A39" i="14"/>
  <c r="A347" i="15"/>
  <c r="K347" i="15" s="1"/>
  <c r="A347" i="19"/>
  <c r="K347" i="19" s="1"/>
  <c r="H237" i="7"/>
  <c r="L237" i="7" s="1"/>
  <c r="A51" i="14"/>
  <c r="K317" i="14"/>
  <c r="K210" i="7"/>
  <c r="A325" i="6"/>
  <c r="H325" i="5"/>
  <c r="L325" i="5" s="1"/>
  <c r="A61" i="8"/>
  <c r="K61" i="14" s="1"/>
  <c r="K61" i="7"/>
  <c r="A78" i="8"/>
  <c r="K78" i="14" s="1"/>
  <c r="K78" i="7"/>
  <c r="A289" i="8"/>
  <c r="K289" i="14" s="1"/>
  <c r="K289" i="7"/>
  <c r="A294" i="8"/>
  <c r="K294" i="14" s="1"/>
  <c r="K294" i="7"/>
  <c r="A413" i="8"/>
  <c r="K413" i="14" s="1"/>
  <c r="K413" i="8"/>
  <c r="A433" i="8"/>
  <c r="K433" i="14" s="1"/>
  <c r="K433" i="7"/>
  <c r="A128" i="14"/>
  <c r="A128" i="15"/>
  <c r="K128" i="15" s="1"/>
  <c r="K132" i="8"/>
  <c r="A132" i="15"/>
  <c r="K132" i="15" s="1"/>
  <c r="A176" i="17"/>
  <c r="K176" i="17" s="1"/>
  <c r="K176" i="8"/>
  <c r="A181" i="15"/>
  <c r="K181" i="15" s="1"/>
  <c r="A181" i="14"/>
  <c r="A186" i="14"/>
  <c r="A186" i="15"/>
  <c r="K186" i="15" s="1"/>
  <c r="A192" i="14"/>
  <c r="A192" i="15"/>
  <c r="K192" i="15" s="1"/>
  <c r="A196" i="15"/>
  <c r="K196" i="15" s="1"/>
  <c r="A196" i="14"/>
  <c r="A201" i="15"/>
  <c r="K201" i="15" s="1"/>
  <c r="A201" i="14"/>
  <c r="H210" i="7"/>
  <c r="L210" i="7" s="1"/>
  <c r="A43" i="14"/>
  <c r="A197" i="14"/>
  <c r="K227" i="14"/>
  <c r="K182" i="14"/>
  <c r="H347" i="5"/>
  <c r="L347" i="5" s="1"/>
  <c r="K237" i="19"/>
  <c r="K294" i="19"/>
  <c r="K92" i="17"/>
  <c r="K97" i="17"/>
  <c r="K102" i="17"/>
  <c r="K106" i="17"/>
  <c r="K119" i="17"/>
  <c r="K110" i="17"/>
  <c r="K116" i="17"/>
  <c r="K250" i="17"/>
  <c r="K264" i="17"/>
  <c r="K299" i="17"/>
  <c r="A174" i="6"/>
  <c r="K174" i="6"/>
  <c r="A41" i="7"/>
  <c r="K41" i="6"/>
  <c r="A68" i="7"/>
  <c r="K68" i="6"/>
  <c r="A76" i="7"/>
  <c r="K76" i="7"/>
  <c r="K85" i="6"/>
  <c r="K85" i="7"/>
  <c r="K104" i="7"/>
  <c r="A104" i="7"/>
  <c r="H129" i="6"/>
  <c r="L129" i="6" s="1"/>
  <c r="A129" i="7"/>
  <c r="H133" i="6"/>
  <c r="L133" i="6" s="1"/>
  <c r="K133" i="6"/>
  <c r="H147" i="6"/>
  <c r="L147" i="6" s="1"/>
  <c r="A147" i="7"/>
  <c r="K147" i="6"/>
  <c r="H151" i="6"/>
  <c r="L151" i="6" s="1"/>
  <c r="A151" i="7"/>
  <c r="H155" i="6"/>
  <c r="L155" i="6" s="1"/>
  <c r="A155" i="7"/>
  <c r="K186" i="6"/>
  <c r="A186" i="7"/>
  <c r="H192" i="6"/>
  <c r="L192" i="6" s="1"/>
  <c r="K192" i="6"/>
  <c r="K376" i="6"/>
  <c r="H376" i="6"/>
  <c r="L376" i="6" s="1"/>
  <c r="A355" i="7"/>
  <c r="K356" i="6"/>
  <c r="H434" i="6"/>
  <c r="L434" i="6" s="1"/>
  <c r="A431" i="7"/>
  <c r="K452" i="7"/>
  <c r="A452" i="7"/>
  <c r="H52" i="7"/>
  <c r="L52" i="7" s="1"/>
  <c r="A52" i="8"/>
  <c r="K52" i="14" s="1"/>
  <c r="H198" i="7"/>
  <c r="L198" i="7" s="1"/>
  <c r="A198" i="8"/>
  <c r="K198" i="14" s="1"/>
  <c r="A324" i="8"/>
  <c r="K324" i="14" s="1"/>
  <c r="K324" i="8"/>
  <c r="K376" i="7"/>
  <c r="A376" i="8"/>
  <c r="K376" i="14" s="1"/>
  <c r="K340" i="7"/>
  <c r="A340" i="8"/>
  <c r="K340" i="14" s="1"/>
  <c r="K340" i="8"/>
  <c r="K356" i="7"/>
  <c r="A356" i="8"/>
  <c r="K356" i="14" s="1"/>
  <c r="K386" i="7"/>
  <c r="A386" i="8"/>
  <c r="K386" i="14" s="1"/>
  <c r="K386" i="8"/>
  <c r="K402" i="7"/>
  <c r="A402" i="8"/>
  <c r="K402" i="14" s="1"/>
  <c r="K402" i="8"/>
  <c r="K422" i="8"/>
  <c r="A422" i="8"/>
  <c r="K422" i="14" s="1"/>
  <c r="A430" i="8"/>
  <c r="K430" i="14" s="1"/>
  <c r="K430" i="8"/>
  <c r="L44" i="8"/>
  <c r="L44" i="19"/>
  <c r="A62" i="15"/>
  <c r="K62" i="15" s="1"/>
  <c r="K62" i="8"/>
  <c r="A71" i="19"/>
  <c r="K71" i="19" s="1"/>
  <c r="A71" i="14"/>
  <c r="K79" i="8"/>
  <c r="K143" i="8"/>
  <c r="H163" i="8"/>
  <c r="L163" i="19" s="1"/>
  <c r="K163" i="8"/>
  <c r="A163" i="15"/>
  <c r="K163" i="15" s="1"/>
  <c r="A163" i="19"/>
  <c r="K163" i="19" s="1"/>
  <c r="K177" i="8"/>
  <c r="H198" i="8"/>
  <c r="A198" i="14"/>
  <c r="A374" i="17"/>
  <c r="K374" i="17" s="1"/>
  <c r="K374" i="8"/>
  <c r="A374" i="14"/>
  <c r="K348" i="8"/>
  <c r="A348" i="19"/>
  <c r="K348" i="19" s="1"/>
  <c r="A348" i="15"/>
  <c r="K348" i="15" s="1"/>
  <c r="A396" i="15"/>
  <c r="K396" i="15" s="1"/>
  <c r="A396" i="19"/>
  <c r="K396" i="19" s="1"/>
  <c r="A396" i="14"/>
  <c r="A404" i="15"/>
  <c r="K404" i="15" s="1"/>
  <c r="A404" i="17"/>
  <c r="K404" i="17" s="1"/>
  <c r="A404" i="14"/>
  <c r="K408" i="8"/>
  <c r="A408" i="14"/>
  <c r="A412" i="19"/>
  <c r="K412" i="19" s="1"/>
  <c r="K412" i="8"/>
  <c r="K420" i="8"/>
  <c r="A420" i="15"/>
  <c r="K420" i="15" s="1"/>
  <c r="A428" i="14"/>
  <c r="A428" i="19"/>
  <c r="K428" i="19" s="1"/>
  <c r="A436" i="14"/>
  <c r="A436" i="17"/>
  <c r="K436" i="17" s="1"/>
  <c r="A446" i="14"/>
  <c r="A446" i="15"/>
  <c r="K446" i="15" s="1"/>
  <c r="A450" i="14"/>
  <c r="A450" i="15"/>
  <c r="K450" i="15" s="1"/>
  <c r="K450" i="8"/>
  <c r="A454" i="14"/>
  <c r="A454" i="17"/>
  <c r="K454" i="17" s="1"/>
  <c r="H331" i="6"/>
  <c r="L331" i="6" s="1"/>
  <c r="H366" i="7"/>
  <c r="L366" i="7" s="1"/>
  <c r="H346" i="6"/>
  <c r="L346" i="6" s="1"/>
  <c r="H318" i="6"/>
  <c r="L318" i="6" s="1"/>
  <c r="H230" i="7"/>
  <c r="L230" i="7" s="1"/>
  <c r="H257" i="6"/>
  <c r="L257" i="6" s="1"/>
  <c r="H219" i="5"/>
  <c r="L219" i="5" s="1"/>
  <c r="A48" i="19"/>
  <c r="K48" i="19" s="1"/>
  <c r="A56" i="19"/>
  <c r="K56" i="19" s="1"/>
  <c r="A62" i="19"/>
  <c r="K62" i="19" s="1"/>
  <c r="A84" i="19"/>
  <c r="K84" i="19" s="1"/>
  <c r="A145" i="19"/>
  <c r="K145" i="19" s="1"/>
  <c r="A198" i="19"/>
  <c r="K198" i="19" s="1"/>
  <c r="A404" i="19"/>
  <c r="K404" i="19" s="1"/>
  <c r="A424" i="19"/>
  <c r="K424" i="19" s="1"/>
  <c r="A436" i="19"/>
  <c r="K436" i="19" s="1"/>
  <c r="A71" i="17"/>
  <c r="K71" i="17" s="1"/>
  <c r="A84" i="17"/>
  <c r="K84" i="17" s="1"/>
  <c r="A148" i="17"/>
  <c r="K148" i="17" s="1"/>
  <c r="A156" i="17"/>
  <c r="K156" i="17" s="1"/>
  <c r="A163" i="17"/>
  <c r="K163" i="17" s="1"/>
  <c r="A193" i="17"/>
  <c r="K193" i="17" s="1"/>
  <c r="A342" i="17"/>
  <c r="K342" i="17" s="1"/>
  <c r="A388" i="17"/>
  <c r="K388" i="17" s="1"/>
  <c r="A400" i="17"/>
  <c r="K400" i="17" s="1"/>
  <c r="A408" i="17"/>
  <c r="K408" i="17" s="1"/>
  <c r="A450" i="17"/>
  <c r="K450" i="17" s="1"/>
  <c r="A148" i="15"/>
  <c r="K148" i="15" s="1"/>
  <c r="A193" i="15"/>
  <c r="K193" i="15" s="1"/>
  <c r="A400" i="15"/>
  <c r="K400" i="15" s="1"/>
  <c r="A408" i="15"/>
  <c r="K408" i="15" s="1"/>
  <c r="A416" i="15"/>
  <c r="K416" i="15" s="1"/>
  <c r="A48" i="14"/>
  <c r="A62" i="14"/>
  <c r="A177" i="14"/>
  <c r="K67" i="8"/>
  <c r="K75" i="8"/>
  <c r="K193" i="8"/>
  <c r="K198" i="8"/>
  <c r="K308" i="8"/>
  <c r="K332" i="8"/>
  <c r="K366" i="8"/>
  <c r="K388" i="8"/>
  <c r="K440" i="8"/>
  <c r="K77" i="14"/>
  <c r="A93" i="8"/>
  <c r="K93" i="14" s="1"/>
  <c r="A130" i="8"/>
  <c r="K130" i="14" s="1"/>
  <c r="A139" i="8"/>
  <c r="K139" i="14" s="1"/>
  <c r="K146" i="14"/>
  <c r="K241" i="14"/>
  <c r="A260" i="8"/>
  <c r="K260" i="14" s="1"/>
  <c r="K113" i="7"/>
  <c r="K390" i="7"/>
  <c r="A346" i="7"/>
  <c r="K151" i="6"/>
  <c r="K176" i="6"/>
  <c r="H164" i="5"/>
  <c r="L164" i="5" s="1"/>
  <c r="K164" i="6"/>
  <c r="H178" i="5"/>
  <c r="L178" i="5" s="1"/>
  <c r="A178" i="6"/>
  <c r="A342" i="6"/>
  <c r="K342" i="6"/>
  <c r="K63" i="6"/>
  <c r="A63" i="7"/>
  <c r="H138" i="6"/>
  <c r="L138" i="6" s="1"/>
  <c r="A138" i="7"/>
  <c r="H166" i="6"/>
  <c r="L166" i="6" s="1"/>
  <c r="A166" i="7"/>
  <c r="H181" i="6"/>
  <c r="L181" i="6" s="1"/>
  <c r="A181" i="7"/>
  <c r="K229" i="6"/>
  <c r="A229" i="7"/>
  <c r="A394" i="7"/>
  <c r="K393" i="6"/>
  <c r="K56" i="7"/>
  <c r="A56" i="8"/>
  <c r="K56" i="14" s="1"/>
  <c r="H156" i="7"/>
  <c r="L156" i="7" s="1"/>
  <c r="A156" i="8"/>
  <c r="K156" i="14" s="1"/>
  <c r="H163" i="7"/>
  <c r="L163" i="7" s="1"/>
  <c r="A163" i="8"/>
  <c r="K163" i="14" s="1"/>
  <c r="K264" i="8"/>
  <c r="A264" i="8"/>
  <c r="K264" i="14" s="1"/>
  <c r="K277" i="8"/>
  <c r="A277" i="8"/>
  <c r="K277" i="14" s="1"/>
  <c r="A295" i="8"/>
  <c r="K295" i="14" s="1"/>
  <c r="K295" i="8"/>
  <c r="A372" i="8"/>
  <c r="K372" i="14" s="1"/>
  <c r="K372" i="8"/>
  <c r="K394" i="7"/>
  <c r="K394" i="8"/>
  <c r="A394" i="8"/>
  <c r="K394" i="14" s="1"/>
  <c r="K406" i="7"/>
  <c r="A410" i="8"/>
  <c r="K410" i="14" s="1"/>
  <c r="K410" i="7"/>
  <c r="K414" i="7"/>
  <c r="K414" i="8"/>
  <c r="A414" i="8"/>
  <c r="K414" i="14" s="1"/>
  <c r="A438" i="8"/>
  <c r="K438" i="14" s="1"/>
  <c r="K438" i="8"/>
  <c r="A444" i="8"/>
  <c r="K444" i="14" s="1"/>
  <c r="K444" i="8"/>
  <c r="K465" i="8"/>
  <c r="A448" i="8"/>
  <c r="K448" i="14" s="1"/>
  <c r="A40" i="15"/>
  <c r="K40" i="15" s="1"/>
  <c r="A40" i="17"/>
  <c r="K40" i="17" s="1"/>
  <c r="A40" i="19"/>
  <c r="K40" i="19" s="1"/>
  <c r="A40" i="14"/>
  <c r="H52" i="8"/>
  <c r="A52" i="14"/>
  <c r="A52" i="17"/>
  <c r="K52" i="17" s="1"/>
  <c r="A52" i="19"/>
  <c r="K52" i="19" s="1"/>
  <c r="A52" i="15"/>
  <c r="K52" i="15" s="1"/>
  <c r="K84" i="8"/>
  <c r="A88" i="14"/>
  <c r="A88" i="15"/>
  <c r="K88" i="15" s="1"/>
  <c r="A88" i="19"/>
  <c r="K88" i="19" s="1"/>
  <c r="A133" i="14"/>
  <c r="A133" i="15"/>
  <c r="K133" i="15" s="1"/>
  <c r="A133" i="19"/>
  <c r="K133" i="19" s="1"/>
  <c r="A139" i="14"/>
  <c r="A139" i="15"/>
  <c r="K139" i="15" s="1"/>
  <c r="A139" i="19"/>
  <c r="K139" i="19" s="1"/>
  <c r="K152" i="8"/>
  <c r="A152" i="15"/>
  <c r="K152" i="15" s="1"/>
  <c r="A152" i="17"/>
  <c r="K152" i="17" s="1"/>
  <c r="A152" i="19"/>
  <c r="K152" i="19" s="1"/>
  <c r="K183" i="8"/>
  <c r="H202" i="8"/>
  <c r="A202" i="17"/>
  <c r="K202" i="17" s="1"/>
  <c r="K202" i="8"/>
  <c r="A342" i="14"/>
  <c r="A342" i="15"/>
  <c r="K342" i="15" s="1"/>
  <c r="A351" i="19"/>
  <c r="K351" i="19" s="1"/>
  <c r="K352" i="8"/>
  <c r="A392" i="17"/>
  <c r="K392" i="17" s="1"/>
  <c r="K392" i="8"/>
  <c r="H271" i="6"/>
  <c r="L271" i="6" s="1"/>
  <c r="H304" i="7"/>
  <c r="L304" i="7" s="1"/>
  <c r="H356" i="6"/>
  <c r="L356" i="6" s="1"/>
  <c r="H280" i="6"/>
  <c r="L280" i="6" s="1"/>
  <c r="H352" i="5"/>
  <c r="L352" i="5" s="1"/>
  <c r="A75" i="19"/>
  <c r="K75" i="19" s="1"/>
  <c r="A129" i="19"/>
  <c r="K129" i="19" s="1"/>
  <c r="A202" i="19"/>
  <c r="K202" i="19" s="1"/>
  <c r="A374" i="19"/>
  <c r="K374" i="19" s="1"/>
  <c r="A416" i="19"/>
  <c r="K416" i="19" s="1"/>
  <c r="K359" i="19"/>
  <c r="A44" i="17"/>
  <c r="K44" i="17" s="1"/>
  <c r="A139" i="17"/>
  <c r="K139" i="17" s="1"/>
  <c r="A177" i="17"/>
  <c r="K177" i="17" s="1"/>
  <c r="A183" i="17"/>
  <c r="K183" i="17" s="1"/>
  <c r="A182" i="17"/>
  <c r="K182" i="17" s="1"/>
  <c r="K232" i="17"/>
  <c r="K246" i="17"/>
  <c r="A412" i="17"/>
  <c r="K412" i="17" s="1"/>
  <c r="A428" i="17"/>
  <c r="K428" i="17" s="1"/>
  <c r="K434" i="17"/>
  <c r="A44" i="15"/>
  <c r="K44" i="15" s="1"/>
  <c r="A177" i="15"/>
  <c r="K177" i="15" s="1"/>
  <c r="A182" i="15"/>
  <c r="K182" i="15" s="1"/>
  <c r="K267" i="15"/>
  <c r="K302" i="15"/>
  <c r="A374" i="15"/>
  <c r="K374" i="15" s="1"/>
  <c r="A428" i="15"/>
  <c r="K428" i="15" s="1"/>
  <c r="A436" i="15"/>
  <c r="K436" i="15" s="1"/>
  <c r="A454" i="15"/>
  <c r="K454" i="15" s="1"/>
  <c r="A79" i="14"/>
  <c r="A129" i="14"/>
  <c r="A188" i="14"/>
  <c r="A412" i="14"/>
  <c r="A420" i="14"/>
  <c r="K40" i="8"/>
  <c r="K48" i="8"/>
  <c r="K56" i="8"/>
  <c r="K148" i="8"/>
  <c r="K156" i="8"/>
  <c r="K254" i="8"/>
  <c r="K299" i="8"/>
  <c r="K328" i="8"/>
  <c r="K356" i="8"/>
  <c r="K398" i="8"/>
  <c r="K410" i="8"/>
  <c r="K436" i="8"/>
  <c r="K446" i="8"/>
  <c r="A27" i="8"/>
  <c r="K27" i="14" s="1"/>
  <c r="K54" i="14"/>
  <c r="K73" i="14"/>
  <c r="K90" i="14"/>
  <c r="K137" i="14"/>
  <c r="A143" i="8"/>
  <c r="K143" i="14" s="1"/>
  <c r="A152" i="8"/>
  <c r="K152" i="14" s="1"/>
  <c r="A145" i="8"/>
  <c r="K145" i="14" s="1"/>
  <c r="A202" i="8"/>
  <c r="K202" i="14" s="1"/>
  <c r="K209" i="14"/>
  <c r="K235" i="14"/>
  <c r="K266" i="14"/>
  <c r="A304" i="8"/>
  <c r="K304" i="14" s="1"/>
  <c r="A319" i="8"/>
  <c r="K319" i="14" s="1"/>
  <c r="K398" i="7"/>
  <c r="A85" i="7"/>
  <c r="K58" i="15"/>
  <c r="K153" i="15"/>
  <c r="K359" i="15"/>
  <c r="K64" i="14"/>
  <c r="K86" i="14"/>
  <c r="K158" i="14"/>
  <c r="K189" i="14"/>
  <c r="K223" i="14"/>
  <c r="K220" i="14"/>
  <c r="H292" i="5"/>
  <c r="L292" i="5" s="1"/>
  <c r="H275" i="6"/>
  <c r="L275" i="6" s="1"/>
  <c r="H266" i="6"/>
  <c r="L266" i="6" s="1"/>
  <c r="K93" i="19"/>
  <c r="K98" i="19"/>
  <c r="K103" i="19"/>
  <c r="K107" i="19"/>
  <c r="K119" i="19"/>
  <c r="K112" i="19"/>
  <c r="K123" i="19"/>
  <c r="K210" i="19"/>
  <c r="K229" i="19"/>
  <c r="K298" i="19"/>
  <c r="K307" i="19"/>
  <c r="K164" i="17"/>
  <c r="K194" i="17"/>
  <c r="K324" i="17"/>
  <c r="K386" i="17"/>
  <c r="K189" i="15"/>
  <c r="K59" i="14"/>
  <c r="K141" i="14"/>
  <c r="K248" i="14"/>
  <c r="K288" i="14"/>
  <c r="K256" i="14"/>
  <c r="K270" i="14"/>
  <c r="K279" i="14"/>
  <c r="K301" i="14"/>
  <c r="K89" i="6"/>
  <c r="K108" i="6"/>
  <c r="H175" i="7"/>
  <c r="L175" i="7" s="1"/>
  <c r="K284" i="14"/>
  <c r="K292" i="14"/>
  <c r="K306" i="14"/>
  <c r="K322" i="14"/>
  <c r="H135" i="2"/>
  <c r="L135" i="2" s="1"/>
  <c r="H139" i="2"/>
  <c r="L139" i="2" s="1"/>
  <c r="K139" i="7"/>
  <c r="K163" i="7"/>
  <c r="K168" i="7"/>
  <c r="K198" i="7"/>
  <c r="K202" i="7"/>
  <c r="K226" i="7"/>
  <c r="H230" i="6"/>
  <c r="L230" i="6" s="1"/>
  <c r="K232" i="6"/>
  <c r="K260" i="7"/>
  <c r="K264" i="6"/>
  <c r="K319" i="7"/>
  <c r="K328" i="6"/>
  <c r="K338" i="7"/>
  <c r="K407" i="6"/>
  <c r="K415" i="6"/>
  <c r="K127" i="7"/>
  <c r="K157" i="7"/>
  <c r="K178" i="7"/>
  <c r="K189" i="7"/>
  <c r="K265" i="7"/>
  <c r="K325" i="7"/>
  <c r="A298" i="6"/>
  <c r="H298" i="5"/>
  <c r="L298" i="5" s="1"/>
  <c r="H182" i="6"/>
  <c r="L182" i="6" s="1"/>
  <c r="K182" i="7"/>
  <c r="A207" i="7"/>
  <c r="K207" i="7"/>
  <c r="K250" i="6"/>
  <c r="K250" i="7"/>
  <c r="H250" i="6"/>
  <c r="L250" i="6" s="1"/>
  <c r="A286" i="7"/>
  <c r="H286" i="6"/>
  <c r="L286" i="6" s="1"/>
  <c r="K290" i="6"/>
  <c r="K290" i="7"/>
  <c r="A290" i="7"/>
  <c r="K299" i="6"/>
  <c r="A299" i="7"/>
  <c r="K299" i="7"/>
  <c r="A304" i="7"/>
  <c r="H304" i="6"/>
  <c r="L304" i="6" s="1"/>
  <c r="K332" i="6"/>
  <c r="K332" i="7"/>
  <c r="K360" i="6"/>
  <c r="K360" i="7"/>
  <c r="K32" i="7"/>
  <c r="AK85" i="10"/>
  <c r="H41" i="7"/>
  <c r="L41" i="7" s="1"/>
  <c r="K41" i="7"/>
  <c r="K41" i="8"/>
  <c r="A170" i="19"/>
  <c r="K170" i="19" s="1"/>
  <c r="H302" i="5"/>
  <c r="L302" i="5" s="1"/>
  <c r="H359" i="5"/>
  <c r="L359" i="5" s="1"/>
  <c r="H280" i="5"/>
  <c r="L280" i="5" s="1"/>
  <c r="H323" i="5"/>
  <c r="L323" i="5" s="1"/>
  <c r="K70" i="19"/>
  <c r="K87" i="19"/>
  <c r="K92" i="19"/>
  <c r="K97" i="19"/>
  <c r="K102" i="19"/>
  <c r="K106" i="19"/>
  <c r="K117" i="19"/>
  <c r="K111" i="19"/>
  <c r="K122" i="19"/>
  <c r="K161" i="19"/>
  <c r="K177" i="19"/>
  <c r="H57" i="19"/>
  <c r="L57" i="19" s="1"/>
  <c r="K256" i="19"/>
  <c r="K341" i="19"/>
  <c r="K62" i="17"/>
  <c r="K68" i="17"/>
  <c r="K80" i="17"/>
  <c r="K88" i="17"/>
  <c r="K93" i="17"/>
  <c r="K98" i="17"/>
  <c r="K103" i="17"/>
  <c r="K107" i="17"/>
  <c r="K120" i="17"/>
  <c r="K112" i="17"/>
  <c r="K123" i="17"/>
  <c r="K348" i="17"/>
  <c r="A403" i="7"/>
  <c r="K334" i="19"/>
  <c r="K45" i="17"/>
  <c r="K63" i="17"/>
  <c r="K94" i="17"/>
  <c r="K108" i="17"/>
  <c r="K113" i="17"/>
  <c r="K129" i="17"/>
  <c r="K74" i="19"/>
  <c r="K90" i="19"/>
  <c r="K95" i="19"/>
  <c r="K100" i="19"/>
  <c r="K105" i="19"/>
  <c r="K116" i="19"/>
  <c r="K109" i="19"/>
  <c r="K114" i="19"/>
  <c r="K149" i="19"/>
  <c r="K160" i="19"/>
  <c r="K399" i="19"/>
  <c r="K415" i="19"/>
  <c r="K431" i="19"/>
  <c r="K49" i="6"/>
  <c r="K99" i="6"/>
  <c r="A89" i="6"/>
  <c r="K89" i="17"/>
  <c r="K99" i="17"/>
  <c r="K104" i="17"/>
  <c r="K122" i="17"/>
  <c r="K124" i="17"/>
  <c r="K416" i="17"/>
  <c r="K72" i="6"/>
  <c r="A72" i="6"/>
  <c r="H188" i="7"/>
  <c r="L188" i="7" s="1"/>
  <c r="H193" i="7"/>
  <c r="L193" i="7" s="1"/>
  <c r="H182" i="7"/>
  <c r="L182" i="7" s="1"/>
  <c r="H133" i="8"/>
  <c r="L350" i="8"/>
  <c r="L350" i="19"/>
  <c r="L316" i="8"/>
  <c r="L316" i="19"/>
  <c r="H289" i="14"/>
  <c r="L289" i="14" s="1"/>
  <c r="H289" i="15"/>
  <c r="L289" i="15" s="1"/>
  <c r="K41" i="17"/>
  <c r="K53" i="17"/>
  <c r="K204" i="17"/>
  <c r="K269" i="17"/>
  <c r="A162" i="7"/>
  <c r="A225" i="7"/>
  <c r="A435" i="7"/>
  <c r="K124" i="6"/>
  <c r="K162" i="6"/>
  <c r="K181" i="6"/>
  <c r="K210" i="6"/>
  <c r="H47" i="2"/>
  <c r="L47" i="2" s="1"/>
  <c r="H61" i="2"/>
  <c r="L61" i="2" s="1"/>
  <c r="H65" i="2"/>
  <c r="L65" i="2" s="1"/>
  <c r="H70" i="2"/>
  <c r="L70" i="2" s="1"/>
  <c r="H74" i="2"/>
  <c r="L74" i="2" s="1"/>
  <c r="H78" i="2"/>
  <c r="L78" i="2" s="1"/>
  <c r="H82" i="2"/>
  <c r="L82" i="2" s="1"/>
  <c r="H87" i="2"/>
  <c r="L87" i="2" s="1"/>
  <c r="H92" i="2"/>
  <c r="L92" i="2" s="1"/>
  <c r="H97" i="2"/>
  <c r="L97" i="2" s="1"/>
  <c r="H102" i="2"/>
  <c r="L102" i="2" s="1"/>
  <c r="K405" i="6"/>
  <c r="H183" i="14"/>
  <c r="L183" i="14" s="1"/>
  <c r="H188" i="14"/>
  <c r="L188" i="14" s="1"/>
  <c r="H193" i="14"/>
  <c r="L193" i="14" s="1"/>
  <c r="H182" i="14"/>
  <c r="L182" i="14" s="1"/>
  <c r="H337" i="14"/>
  <c r="L337" i="14" s="1"/>
  <c r="H359" i="14"/>
  <c r="L359" i="14" s="1"/>
  <c r="H365" i="14"/>
  <c r="L365" i="14" s="1"/>
  <c r="H371" i="14"/>
  <c r="L371" i="14" s="1"/>
  <c r="H375" i="14"/>
  <c r="L375" i="14" s="1"/>
  <c r="H379" i="14"/>
  <c r="L379" i="14" s="1"/>
  <c r="H182" i="15"/>
  <c r="L182" i="15" s="1"/>
  <c r="L340" i="19"/>
  <c r="K45" i="7"/>
  <c r="K63" i="7"/>
  <c r="K68" i="7"/>
  <c r="K80" i="7"/>
  <c r="K208" i="8"/>
  <c r="K233" i="8"/>
  <c r="K269" i="8"/>
  <c r="K300" i="8"/>
  <c r="K329" i="8"/>
  <c r="H363" i="7"/>
  <c r="L363" i="7" s="1"/>
  <c r="K351" i="8"/>
  <c r="K387" i="7"/>
  <c r="K435" i="7"/>
  <c r="K439" i="7"/>
  <c r="K178" i="15"/>
  <c r="L39" i="14"/>
  <c r="H47" i="14"/>
  <c r="L47" i="14" s="1"/>
  <c r="H129" i="14"/>
  <c r="L129" i="14" s="1"/>
  <c r="H133" i="14"/>
  <c r="L133" i="14" s="1"/>
  <c r="H138" i="14"/>
  <c r="L138" i="14" s="1"/>
  <c r="H142" i="14"/>
  <c r="L142" i="14" s="1"/>
  <c r="H147" i="14"/>
  <c r="L147" i="14" s="1"/>
  <c r="H151" i="14"/>
  <c r="L151" i="14" s="1"/>
  <c r="H155" i="14"/>
  <c r="L155" i="14" s="1"/>
  <c r="H159" i="14"/>
  <c r="L159" i="14" s="1"/>
  <c r="H130" i="17"/>
  <c r="L130" i="17" s="1"/>
  <c r="H139" i="17"/>
  <c r="L139" i="17" s="1"/>
  <c r="H143" i="17"/>
  <c r="L143" i="17" s="1"/>
  <c r="H148" i="17"/>
  <c r="L148" i="17" s="1"/>
  <c r="H152" i="17"/>
  <c r="L152" i="17" s="1"/>
  <c r="H156" i="17"/>
  <c r="L156" i="17" s="1"/>
  <c r="H207" i="17"/>
  <c r="L207" i="17" s="1"/>
  <c r="H224" i="17"/>
  <c r="L224" i="17" s="1"/>
  <c r="H238" i="17"/>
  <c r="L238" i="17" s="1"/>
  <c r="H237" i="17"/>
  <c r="L237" i="17" s="1"/>
  <c r="H245" i="17"/>
  <c r="L245" i="17" s="1"/>
  <c r="H249" i="17"/>
  <c r="L249" i="17" s="1"/>
  <c r="H253" i="17"/>
  <c r="L253" i="17" s="1"/>
  <c r="H257" i="17"/>
  <c r="L257" i="17" s="1"/>
  <c r="H263" i="17"/>
  <c r="L263" i="17" s="1"/>
  <c r="H267" i="17"/>
  <c r="L267" i="17" s="1"/>
  <c r="H271" i="17"/>
  <c r="L271" i="17" s="1"/>
  <c r="H276" i="17"/>
  <c r="L276" i="17" s="1"/>
  <c r="H280" i="17"/>
  <c r="L280" i="17" s="1"/>
  <c r="H285" i="17"/>
  <c r="L285" i="17" s="1"/>
  <c r="H294" i="17"/>
  <c r="L294" i="17" s="1"/>
  <c r="H298" i="17"/>
  <c r="L298" i="17" s="1"/>
  <c r="H302" i="17"/>
  <c r="L302" i="17" s="1"/>
  <c r="H307" i="17"/>
  <c r="L307" i="17" s="1"/>
  <c r="H318" i="17"/>
  <c r="L318" i="17" s="1"/>
  <c r="H323" i="17"/>
  <c r="L323" i="17" s="1"/>
  <c r="H327" i="17"/>
  <c r="L327" i="17" s="1"/>
  <c r="H331" i="17"/>
  <c r="L331" i="17" s="1"/>
  <c r="H337" i="17"/>
  <c r="L337" i="17" s="1"/>
  <c r="H359" i="17"/>
  <c r="L359" i="17" s="1"/>
  <c r="H365" i="17"/>
  <c r="L365" i="17" s="1"/>
  <c r="H371" i="17"/>
  <c r="L371" i="17" s="1"/>
  <c r="H375" i="17"/>
  <c r="L375" i="17" s="1"/>
  <c r="H379" i="17"/>
  <c r="L379" i="17" s="1"/>
  <c r="H349" i="7"/>
  <c r="L349" i="7" s="1"/>
  <c r="H360" i="7"/>
  <c r="L360" i="7" s="1"/>
  <c r="H338" i="7"/>
  <c r="L338" i="7" s="1"/>
  <c r="H328" i="7"/>
  <c r="L328" i="7" s="1"/>
  <c r="H324" i="7"/>
  <c r="L324" i="7" s="1"/>
  <c r="H319" i="7"/>
  <c r="L319" i="7" s="1"/>
  <c r="H308" i="7"/>
  <c r="L308" i="7" s="1"/>
  <c r="H295" i="7"/>
  <c r="L295" i="7" s="1"/>
  <c r="H286" i="7"/>
  <c r="L286" i="7" s="1"/>
  <c r="H281" i="7"/>
  <c r="L281" i="7" s="1"/>
  <c r="H277" i="7"/>
  <c r="L277" i="7" s="1"/>
  <c r="H264" i="7"/>
  <c r="L264" i="7" s="1"/>
  <c r="H260" i="7"/>
  <c r="L260" i="7" s="1"/>
  <c r="H254" i="7"/>
  <c r="L254" i="7" s="1"/>
  <c r="H250" i="7"/>
  <c r="L250" i="7" s="1"/>
  <c r="H246" i="7"/>
  <c r="L246" i="7" s="1"/>
  <c r="H241" i="7"/>
  <c r="L241" i="7" s="1"/>
  <c r="H220" i="7"/>
  <c r="L220" i="7" s="1"/>
  <c r="H227" i="7"/>
  <c r="L227" i="7" s="1"/>
  <c r="H223" i="7"/>
  <c r="L223" i="7" s="1"/>
  <c r="H209" i="7"/>
  <c r="L209" i="7" s="1"/>
  <c r="K129" i="6"/>
  <c r="K142" i="6"/>
  <c r="K157" i="6"/>
  <c r="K219" i="6"/>
  <c r="K374" i="6"/>
  <c r="H370" i="7"/>
  <c r="L370" i="7" s="1"/>
  <c r="H180" i="8"/>
  <c r="L180" i="8" s="1"/>
  <c r="H190" i="8"/>
  <c r="H342" i="14"/>
  <c r="L342" i="14" s="1"/>
  <c r="H348" i="14"/>
  <c r="L348" i="14" s="1"/>
  <c r="H352" i="14"/>
  <c r="L352" i="14" s="1"/>
  <c r="H61" i="17"/>
  <c r="L61" i="17" s="1"/>
  <c r="H65" i="17"/>
  <c r="L65" i="17" s="1"/>
  <c r="H70" i="17"/>
  <c r="L70" i="17" s="1"/>
  <c r="H74" i="17"/>
  <c r="L74" i="17" s="1"/>
  <c r="H78" i="17"/>
  <c r="L78" i="17" s="1"/>
  <c r="H82" i="17"/>
  <c r="L82" i="17" s="1"/>
  <c r="H87" i="17"/>
  <c r="L87" i="17" s="1"/>
  <c r="H92" i="17"/>
  <c r="L92" i="17" s="1"/>
  <c r="H97" i="17"/>
  <c r="L97" i="17" s="1"/>
  <c r="H102" i="17"/>
  <c r="L102" i="17" s="1"/>
  <c r="H106" i="17"/>
  <c r="L106" i="17" s="1"/>
  <c r="H119" i="17"/>
  <c r="L119" i="17" s="1"/>
  <c r="H110" i="17"/>
  <c r="L110" i="17" s="1"/>
  <c r="H116" i="17"/>
  <c r="L116" i="17" s="1"/>
  <c r="H189" i="17"/>
  <c r="L189" i="17" s="1"/>
  <c r="H194" i="17"/>
  <c r="L194" i="17" s="1"/>
  <c r="H187" i="17"/>
  <c r="L187" i="17" s="1"/>
  <c r="K407" i="19"/>
  <c r="K423" i="19"/>
  <c r="K439" i="19"/>
  <c r="K238" i="6"/>
  <c r="A238" i="6"/>
  <c r="A237" i="6"/>
  <c r="K237" i="6"/>
  <c r="A81" i="7"/>
  <c r="K81" i="7"/>
  <c r="A148" i="7"/>
  <c r="K148" i="7"/>
  <c r="A156" i="7"/>
  <c r="K156" i="7"/>
  <c r="A226" i="7"/>
  <c r="K226" i="6"/>
  <c r="A232" i="7"/>
  <c r="K232" i="7"/>
  <c r="K239" i="6"/>
  <c r="K239" i="7"/>
  <c r="A242" i="7"/>
  <c r="K242" i="6"/>
  <c r="K242" i="7"/>
  <c r="K246" i="6"/>
  <c r="K246" i="7"/>
  <c r="K254" i="6"/>
  <c r="K254" i="7"/>
  <c r="A254" i="7"/>
  <c r="A264" i="7"/>
  <c r="K264" i="7"/>
  <c r="K272" i="6"/>
  <c r="K272" i="7"/>
  <c r="A272" i="7"/>
  <c r="K281" i="6"/>
  <c r="K281" i="7"/>
  <c r="A295" i="7"/>
  <c r="K295" i="7"/>
  <c r="K295" i="6"/>
  <c r="A324" i="7"/>
  <c r="K324" i="7"/>
  <c r="K324" i="6"/>
  <c r="K328" i="7"/>
  <c r="A328" i="7"/>
  <c r="K366" i="6"/>
  <c r="K366" i="7"/>
  <c r="A366" i="7"/>
  <c r="A350" i="7"/>
  <c r="K350" i="7"/>
  <c r="K424" i="6"/>
  <c r="A424" i="7"/>
  <c r="H440" i="6"/>
  <c r="L440" i="6" s="1"/>
  <c r="K440" i="7"/>
  <c r="K440" i="6"/>
  <c r="A58" i="8"/>
  <c r="K58" i="14" s="1"/>
  <c r="K58" i="7"/>
  <c r="K89" i="8"/>
  <c r="A89" i="8"/>
  <c r="K89" i="14" s="1"/>
  <c r="K94" i="7"/>
  <c r="A94" i="8"/>
  <c r="K94" i="14" s="1"/>
  <c r="H131" i="7"/>
  <c r="L131" i="7" s="1"/>
  <c r="A131" i="8"/>
  <c r="K131" i="14" s="1"/>
  <c r="K131" i="8"/>
  <c r="K144" i="7"/>
  <c r="A144" i="8"/>
  <c r="K144" i="14" s="1"/>
  <c r="H184" i="7"/>
  <c r="L184" i="7" s="1"/>
  <c r="K184" i="7"/>
  <c r="K194" i="7"/>
  <c r="A194" i="8"/>
  <c r="K194" i="14" s="1"/>
  <c r="H199" i="7"/>
  <c r="L199" i="7" s="1"/>
  <c r="K199" i="7"/>
  <c r="K222" i="7"/>
  <c r="A222" i="8"/>
  <c r="K222" i="14" s="1"/>
  <c r="A243" i="8"/>
  <c r="K243" i="14" s="1"/>
  <c r="K243" i="8"/>
  <c r="K243" i="7"/>
  <c r="K251" i="7"/>
  <c r="K251" i="8"/>
  <c r="A296" i="8"/>
  <c r="K296" i="14" s="1"/>
  <c r="K296" i="8"/>
  <c r="K296" i="7"/>
  <c r="K305" i="7"/>
  <c r="K305" i="8"/>
  <c r="A321" i="8"/>
  <c r="K321" i="14" s="1"/>
  <c r="K321" i="8"/>
  <c r="K367" i="7"/>
  <c r="K367" i="8"/>
  <c r="H373" i="7"/>
  <c r="L373" i="7" s="1"/>
  <c r="A373" i="8"/>
  <c r="K373" i="14" s="1"/>
  <c r="A377" i="8"/>
  <c r="K377" i="14" s="1"/>
  <c r="K377" i="7"/>
  <c r="A341" i="8"/>
  <c r="K341" i="14" s="1"/>
  <c r="K341" i="7"/>
  <c r="K347" i="7"/>
  <c r="K347" i="8"/>
  <c r="K357" i="7"/>
  <c r="A357" i="8"/>
  <c r="K357" i="14" s="1"/>
  <c r="K403" i="7"/>
  <c r="K407" i="7"/>
  <c r="K419" i="7"/>
  <c r="A431" i="8"/>
  <c r="K431" i="14" s="1"/>
  <c r="K431" i="7"/>
  <c r="K445" i="7"/>
  <c r="K445" i="8"/>
  <c r="K449" i="7"/>
  <c r="A449" i="8"/>
  <c r="K449" i="14" s="1"/>
  <c r="K449" i="8"/>
  <c r="K466" i="8"/>
  <c r="A45" i="14"/>
  <c r="A45" i="15"/>
  <c r="K45" i="15" s="1"/>
  <c r="K45" i="8"/>
  <c r="H49" i="8"/>
  <c r="L49" i="8" s="1"/>
  <c r="K49" i="8"/>
  <c r="A49" i="14"/>
  <c r="A49" i="15"/>
  <c r="K49" i="15" s="1"/>
  <c r="A49" i="17"/>
  <c r="K49" i="17" s="1"/>
  <c r="A53" i="14"/>
  <c r="A53" i="15"/>
  <c r="K53" i="15" s="1"/>
  <c r="A53" i="19"/>
  <c r="K53" i="19" s="1"/>
  <c r="A63" i="14"/>
  <c r="A63" i="15"/>
  <c r="K63" i="15" s="1"/>
  <c r="A63" i="19"/>
  <c r="K63" i="19" s="1"/>
  <c r="A68" i="19"/>
  <c r="K68" i="19" s="1"/>
  <c r="K68" i="8"/>
  <c r="K72" i="8"/>
  <c r="A72" i="17"/>
  <c r="K72" i="17" s="1"/>
  <c r="A72" i="19"/>
  <c r="K72" i="19" s="1"/>
  <c r="A76" i="19"/>
  <c r="K76" i="19" s="1"/>
  <c r="A76" i="14"/>
  <c r="A80" i="14"/>
  <c r="A80" i="15"/>
  <c r="K80" i="15" s="1"/>
  <c r="A80" i="19"/>
  <c r="K80" i="19" s="1"/>
  <c r="A85" i="19"/>
  <c r="K85" i="19" s="1"/>
  <c r="K85" i="8"/>
  <c r="A126" i="14"/>
  <c r="A126" i="15"/>
  <c r="K126" i="15" s="1"/>
  <c r="K126" i="8"/>
  <c r="K130" i="8"/>
  <c r="A130" i="14"/>
  <c r="A130" i="15"/>
  <c r="K130" i="15" s="1"/>
  <c r="H136" i="8"/>
  <c r="L136" i="8" s="1"/>
  <c r="A136" i="14"/>
  <c r="H140" i="8"/>
  <c r="A140" i="15"/>
  <c r="K140" i="15" s="1"/>
  <c r="A140" i="17"/>
  <c r="K140" i="17" s="1"/>
  <c r="A140" i="19"/>
  <c r="K140" i="19" s="1"/>
  <c r="A140" i="14"/>
  <c r="H144" i="8"/>
  <c r="L144" i="19" s="1"/>
  <c r="K144" i="8"/>
  <c r="A144" i="14"/>
  <c r="K149" i="8"/>
  <c r="A149" i="14"/>
  <c r="H153" i="8"/>
  <c r="A153" i="14"/>
  <c r="H157" i="8"/>
  <c r="L157" i="8" s="1"/>
  <c r="A157" i="15"/>
  <c r="K157" i="15" s="1"/>
  <c r="A157" i="17"/>
  <c r="K157" i="17" s="1"/>
  <c r="A157" i="19"/>
  <c r="K157" i="19" s="1"/>
  <c r="A157" i="14"/>
  <c r="H160" i="8"/>
  <c r="H160" i="15" s="1"/>
  <c r="L160" i="15" s="1"/>
  <c r="K160" i="8"/>
  <c r="A160" i="14"/>
  <c r="H164" i="8"/>
  <c r="K164" i="8"/>
  <c r="A164" i="14"/>
  <c r="A189" i="17"/>
  <c r="K189" i="17" s="1"/>
  <c r="A188" i="19"/>
  <c r="K188" i="19" s="1"/>
  <c r="K194" i="8"/>
  <c r="K187" i="8"/>
  <c r="L199" i="8"/>
  <c r="H199" i="19"/>
  <c r="L199" i="19" s="1"/>
  <c r="H203" i="8"/>
  <c r="H203" i="19" s="1"/>
  <c r="L203" i="19" s="1"/>
  <c r="A203" i="17"/>
  <c r="K203" i="17" s="1"/>
  <c r="A203" i="19"/>
  <c r="K203" i="19" s="1"/>
  <c r="A375" i="15"/>
  <c r="K375" i="15" s="1"/>
  <c r="A375" i="14"/>
  <c r="A379" i="14"/>
  <c r="A379" i="17"/>
  <c r="K379" i="17" s="1"/>
  <c r="A345" i="14"/>
  <c r="A345" i="15"/>
  <c r="K345" i="15" s="1"/>
  <c r="A345" i="17"/>
  <c r="K345" i="17" s="1"/>
  <c r="A342" i="19"/>
  <c r="K342" i="19" s="1"/>
  <c r="A345" i="19"/>
  <c r="K345" i="19" s="1"/>
  <c r="A349" i="15"/>
  <c r="K349" i="15" s="1"/>
  <c r="A349" i="19"/>
  <c r="K349" i="19" s="1"/>
  <c r="L385" i="8"/>
  <c r="A385" i="14"/>
  <c r="A385" i="17"/>
  <c r="K385" i="17" s="1"/>
  <c r="A385" i="19"/>
  <c r="K385" i="19" s="1"/>
  <c r="A393" i="19"/>
  <c r="K393" i="19" s="1"/>
  <c r="A393" i="15"/>
  <c r="K393" i="15" s="1"/>
  <c r="A397" i="15"/>
  <c r="K397" i="15" s="1"/>
  <c r="A397" i="19"/>
  <c r="K397" i="19" s="1"/>
  <c r="A397" i="14"/>
  <c r="A401" i="14"/>
  <c r="A401" i="17"/>
  <c r="K401" i="17" s="1"/>
  <c r="A401" i="19"/>
  <c r="K401" i="19" s="1"/>
  <c r="A409" i="19"/>
  <c r="K409" i="19" s="1"/>
  <c r="A409" i="15"/>
  <c r="K409" i="15" s="1"/>
  <c r="A413" i="15"/>
  <c r="K413" i="15" s="1"/>
  <c r="A413" i="19"/>
  <c r="K413" i="19" s="1"/>
  <c r="A413" i="14"/>
  <c r="A417" i="14"/>
  <c r="A417" i="17"/>
  <c r="K417" i="17" s="1"/>
  <c r="A417" i="19"/>
  <c r="K417" i="19" s="1"/>
  <c r="A425" i="19"/>
  <c r="K425" i="19" s="1"/>
  <c r="A425" i="15"/>
  <c r="K425" i="15" s="1"/>
  <c r="A429" i="15"/>
  <c r="K429" i="15" s="1"/>
  <c r="A429" i="19"/>
  <c r="K429" i="19" s="1"/>
  <c r="A429" i="14"/>
  <c r="A433" i="14"/>
  <c r="A433" i="17"/>
  <c r="K433" i="17" s="1"/>
  <c r="A433" i="19"/>
  <c r="K433" i="19" s="1"/>
  <c r="K433" i="8"/>
  <c r="A447" i="15"/>
  <c r="K447" i="15" s="1"/>
  <c r="K131" i="19"/>
  <c r="K391" i="19"/>
  <c r="H271" i="5"/>
  <c r="L271" i="5" s="1"/>
  <c r="K271" i="6"/>
  <c r="A318" i="6"/>
  <c r="K318" i="6"/>
  <c r="A73" i="7"/>
  <c r="K73" i="7"/>
  <c r="A109" i="7"/>
  <c r="K109" i="7"/>
  <c r="A135" i="7"/>
  <c r="K135" i="7"/>
  <c r="K152" i="7"/>
  <c r="A152" i="7"/>
  <c r="H145" i="6"/>
  <c r="L145" i="6" s="1"/>
  <c r="K145" i="7"/>
  <c r="A145" i="7"/>
  <c r="A177" i="7"/>
  <c r="H177" i="6"/>
  <c r="L177" i="6" s="1"/>
  <c r="K177" i="7"/>
  <c r="A188" i="7"/>
  <c r="K188" i="7"/>
  <c r="H202" i="6"/>
  <c r="L202" i="6" s="1"/>
  <c r="K202" i="6"/>
  <c r="A202" i="7"/>
  <c r="K218" i="7"/>
  <c r="A218" i="7"/>
  <c r="K230" i="6"/>
  <c r="A230" i="7"/>
  <c r="K230" i="7"/>
  <c r="A260" i="7"/>
  <c r="K260" i="6"/>
  <c r="K268" i="6"/>
  <c r="K268" i="7"/>
  <c r="A277" i="7"/>
  <c r="K277" i="6"/>
  <c r="K277" i="7"/>
  <c r="K304" i="6"/>
  <c r="K304" i="7"/>
  <c r="K308" i="6"/>
  <c r="A308" i="7"/>
  <c r="K308" i="7"/>
  <c r="H372" i="6"/>
  <c r="L372" i="6" s="1"/>
  <c r="A372" i="7"/>
  <c r="K372" i="7"/>
  <c r="A377" i="7"/>
  <c r="K377" i="6"/>
  <c r="H377" i="6"/>
  <c r="L377" i="6" s="1"/>
  <c r="K411" i="6"/>
  <c r="A411" i="7"/>
  <c r="H419" i="6"/>
  <c r="L419" i="6" s="1"/>
  <c r="A419" i="7"/>
  <c r="H428" i="6"/>
  <c r="L428" i="6" s="1"/>
  <c r="A428" i="7"/>
  <c r="K428" i="7"/>
  <c r="A436" i="7"/>
  <c r="K436" i="7"/>
  <c r="H49" i="7"/>
  <c r="L49" i="7" s="1"/>
  <c r="K49" i="7"/>
  <c r="A49" i="8"/>
  <c r="K49" i="14" s="1"/>
  <c r="K72" i="7"/>
  <c r="A72" i="8"/>
  <c r="K72" i="14" s="1"/>
  <c r="H136" i="7"/>
  <c r="L136" i="7" s="1"/>
  <c r="K136" i="7"/>
  <c r="H164" i="7"/>
  <c r="L164" i="7" s="1"/>
  <c r="K164" i="7"/>
  <c r="A164" i="8"/>
  <c r="K164" i="14" s="1"/>
  <c r="K187" i="7"/>
  <c r="A187" i="8"/>
  <c r="K187" i="14" s="1"/>
  <c r="K219" i="7"/>
  <c r="K219" i="8"/>
  <c r="K255" i="7"/>
  <c r="A255" i="8"/>
  <c r="K255" i="14" s="1"/>
  <c r="A261" i="8"/>
  <c r="K261" i="14" s="1"/>
  <c r="K261" i="8"/>
  <c r="A278" i="8"/>
  <c r="K278" i="14" s="1"/>
  <c r="K278" i="8"/>
  <c r="K278" i="7"/>
  <c r="K287" i="7"/>
  <c r="K287" i="8"/>
  <c r="K333" i="7"/>
  <c r="A333" i="8"/>
  <c r="K333" i="14" s="1"/>
  <c r="A339" i="8"/>
  <c r="K339" i="14" s="1"/>
  <c r="K339" i="8"/>
  <c r="K339" i="7"/>
  <c r="K391" i="7"/>
  <c r="K395" i="7"/>
  <c r="A395" i="8"/>
  <c r="K395" i="14" s="1"/>
  <c r="K399" i="7"/>
  <c r="A399" i="8"/>
  <c r="K399" i="14" s="1"/>
  <c r="K415" i="7"/>
  <c r="A415" i="8"/>
  <c r="K415" i="14" s="1"/>
  <c r="K427" i="7"/>
  <c r="A427" i="8"/>
  <c r="K427" i="14" s="1"/>
  <c r="H41" i="8"/>
  <c r="A41" i="14"/>
  <c r="A41" i="15"/>
  <c r="K41" i="15" s="1"/>
  <c r="A58" i="19"/>
  <c r="K58" i="19" s="1"/>
  <c r="A58" i="14"/>
  <c r="H341" i="7"/>
  <c r="L341" i="7" s="1"/>
  <c r="H269" i="7"/>
  <c r="L269" i="7" s="1"/>
  <c r="H324" i="6"/>
  <c r="L324" i="6" s="1"/>
  <c r="H277" i="6"/>
  <c r="L277" i="6" s="1"/>
  <c r="H366" i="6"/>
  <c r="L366" i="6" s="1"/>
  <c r="H351" i="7"/>
  <c r="L351" i="7" s="1"/>
  <c r="H325" i="7"/>
  <c r="L325" i="7" s="1"/>
  <c r="H357" i="6"/>
  <c r="L357" i="6" s="1"/>
  <c r="H328" i="6"/>
  <c r="L328" i="6" s="1"/>
  <c r="H318" i="5"/>
  <c r="L318" i="5" s="1"/>
  <c r="H296" i="7"/>
  <c r="L296" i="7" s="1"/>
  <c r="H260" i="6"/>
  <c r="L260" i="6" s="1"/>
  <c r="H264" i="6"/>
  <c r="L264" i="6" s="1"/>
  <c r="H327" i="5"/>
  <c r="L327" i="5" s="1"/>
  <c r="H226" i="6"/>
  <c r="L226" i="6" s="1"/>
  <c r="H251" i="7"/>
  <c r="L251" i="7" s="1"/>
  <c r="H333" i="7"/>
  <c r="L333" i="7" s="1"/>
  <c r="H347" i="6"/>
  <c r="L347" i="6" s="1"/>
  <c r="A41" i="19"/>
  <c r="K41" i="19" s="1"/>
  <c r="K59" i="19"/>
  <c r="A178" i="19"/>
  <c r="K178" i="19" s="1"/>
  <c r="A183" i="19"/>
  <c r="K183" i="19" s="1"/>
  <c r="K192" i="19"/>
  <c r="A186" i="19"/>
  <c r="K186" i="19" s="1"/>
  <c r="K387" i="19"/>
  <c r="K403" i="19"/>
  <c r="K419" i="19"/>
  <c r="K435" i="19"/>
  <c r="A85" i="17"/>
  <c r="K85" i="17" s="1"/>
  <c r="A130" i="17"/>
  <c r="K130" i="17" s="1"/>
  <c r="A136" i="17"/>
  <c r="K136" i="17" s="1"/>
  <c r="A149" i="17"/>
  <c r="K149" i="17" s="1"/>
  <c r="A160" i="17"/>
  <c r="K160" i="17" s="1"/>
  <c r="A375" i="17"/>
  <c r="K375" i="17" s="1"/>
  <c r="A349" i="17"/>
  <c r="K349" i="17" s="1"/>
  <c r="A413" i="17"/>
  <c r="K413" i="17" s="1"/>
  <c r="A425" i="17"/>
  <c r="K425" i="17" s="1"/>
  <c r="A437" i="17"/>
  <c r="K437" i="17" s="1"/>
  <c r="K158" i="15"/>
  <c r="A401" i="15"/>
  <c r="K401" i="15" s="1"/>
  <c r="A433" i="15"/>
  <c r="K433" i="15" s="1"/>
  <c r="A68" i="14"/>
  <c r="A184" i="14"/>
  <c r="A189" i="14"/>
  <c r="A194" i="14"/>
  <c r="A199" i="14"/>
  <c r="A203" i="14"/>
  <c r="A355" i="14"/>
  <c r="A389" i="14"/>
  <c r="A421" i="14"/>
  <c r="K53" i="8"/>
  <c r="K58" i="8"/>
  <c r="K94" i="8"/>
  <c r="K140" i="8"/>
  <c r="K189" i="8"/>
  <c r="K265" i="8"/>
  <c r="K363" i="8"/>
  <c r="A63" i="8"/>
  <c r="K63" i="14" s="1"/>
  <c r="A157" i="8"/>
  <c r="K157" i="14" s="1"/>
  <c r="A203" i="8"/>
  <c r="K203" i="14" s="1"/>
  <c r="A208" i="8"/>
  <c r="K208" i="14" s="1"/>
  <c r="A251" i="8"/>
  <c r="K251" i="14" s="1"/>
  <c r="A287" i="8"/>
  <c r="K287" i="14" s="1"/>
  <c r="A329" i="8"/>
  <c r="K329" i="14" s="1"/>
  <c r="A347" i="8"/>
  <c r="K347" i="14" s="1"/>
  <c r="A407" i="8"/>
  <c r="K407" i="14" s="1"/>
  <c r="A439" i="8"/>
  <c r="K439" i="14" s="1"/>
  <c r="K53" i="7"/>
  <c r="K89" i="7"/>
  <c r="K143" i="7"/>
  <c r="K160" i="7"/>
  <c r="K193" i="7"/>
  <c r="K240" i="7"/>
  <c r="K261" i="7"/>
  <c r="K286" i="7"/>
  <c r="K321" i="7"/>
  <c r="K363" i="7"/>
  <c r="K424" i="7"/>
  <c r="A46" i="7"/>
  <c r="A86" i="7"/>
  <c r="A182" i="7"/>
  <c r="A239" i="7"/>
  <c r="A250" i="7"/>
  <c r="A268" i="7"/>
  <c r="A332" i="7"/>
  <c r="A360" i="7"/>
  <c r="A387" i="7"/>
  <c r="K286" i="6"/>
  <c r="K419" i="6"/>
  <c r="H149" i="8"/>
  <c r="H58" i="7"/>
  <c r="L58" i="7" s="1"/>
  <c r="K268" i="14"/>
  <c r="K328" i="14"/>
  <c r="K339" i="19"/>
  <c r="K239" i="14"/>
  <c r="K254" i="14"/>
  <c r="K272" i="14"/>
  <c r="K193" i="6"/>
  <c r="K247" i="6"/>
  <c r="K278" i="6"/>
  <c r="K282" i="6"/>
  <c r="K296" i="6"/>
  <c r="K325" i="6"/>
  <c r="K387" i="6"/>
  <c r="K65" i="14"/>
  <c r="K70" i="14"/>
  <c r="K74" i="14"/>
  <c r="K82" i="14"/>
  <c r="K87" i="14"/>
  <c r="K142" i="14"/>
  <c r="K151" i="14"/>
  <c r="K155" i="14"/>
  <c r="K159" i="14"/>
  <c r="K375" i="8"/>
  <c r="K429" i="8"/>
  <c r="H337" i="5"/>
  <c r="L337" i="5" s="1"/>
  <c r="H294" i="5"/>
  <c r="L294" i="5" s="1"/>
  <c r="H222" i="6"/>
  <c r="L222" i="6" s="1"/>
  <c r="H208" i="6"/>
  <c r="L208" i="6" s="1"/>
  <c r="H158" i="7"/>
  <c r="L158" i="7" s="1"/>
  <c r="H154" i="7"/>
  <c r="L154" i="7" s="1"/>
  <c r="H141" i="7"/>
  <c r="L141" i="7" s="1"/>
  <c r="H133" i="5"/>
  <c r="L133" i="5" s="1"/>
  <c r="A133" i="6"/>
  <c r="H192" i="5"/>
  <c r="L192" i="5" s="1"/>
  <c r="A192" i="6"/>
  <c r="H201" i="5"/>
  <c r="L201" i="5" s="1"/>
  <c r="K201" i="6"/>
  <c r="A340" i="6"/>
  <c r="K340" i="6"/>
  <c r="H55" i="6"/>
  <c r="L55" i="6" s="1"/>
  <c r="K55" i="6"/>
  <c r="A382" i="7"/>
  <c r="H388" i="6"/>
  <c r="L388" i="6" s="1"/>
  <c r="A388" i="7"/>
  <c r="H400" i="6"/>
  <c r="L400" i="6" s="1"/>
  <c r="A400" i="7"/>
  <c r="H420" i="6"/>
  <c r="L420" i="6" s="1"/>
  <c r="A420" i="7"/>
  <c r="H425" i="6"/>
  <c r="L425" i="6" s="1"/>
  <c r="A425" i="7"/>
  <c r="K106" i="6"/>
  <c r="K136" i="6"/>
  <c r="K149" i="6"/>
  <c r="K382" i="6"/>
  <c r="K396" i="6"/>
  <c r="K400" i="6"/>
  <c r="K32" i="6"/>
  <c r="K45" i="6"/>
  <c r="K53" i="6"/>
  <c r="K58" i="6"/>
  <c r="K76" i="6"/>
  <c r="K94" i="6"/>
  <c r="K104" i="6"/>
  <c r="K138" i="6"/>
  <c r="K346" i="6"/>
  <c r="K350" i="6"/>
  <c r="AT107" i="10"/>
  <c r="K65" i="7"/>
  <c r="K82" i="7"/>
  <c r="K225" i="7"/>
  <c r="A385" i="7"/>
  <c r="A296" i="6"/>
  <c r="H49" i="2"/>
  <c r="L49" i="2" s="1"/>
  <c r="H53" i="2"/>
  <c r="L53" i="2" s="1"/>
  <c r="H146" i="5"/>
  <c r="L146" i="5" s="1"/>
  <c r="H209" i="5"/>
  <c r="L209" i="5" s="1"/>
  <c r="K372" i="6"/>
  <c r="H372" i="5"/>
  <c r="L372" i="5" s="1"/>
  <c r="H389" i="5"/>
  <c r="L389" i="5" s="1"/>
  <c r="H392" i="5"/>
  <c r="L392" i="5" s="1"/>
  <c r="H397" i="5"/>
  <c r="L397" i="5" s="1"/>
  <c r="H401" i="5"/>
  <c r="L401" i="5" s="1"/>
  <c r="H429" i="5"/>
  <c r="L429" i="5" s="1"/>
  <c r="H437" i="5"/>
  <c r="L437" i="5" s="1"/>
  <c r="H163" i="6"/>
  <c r="L163" i="6" s="1"/>
  <c r="A163" i="7"/>
  <c r="H168" i="6"/>
  <c r="L168" i="6" s="1"/>
  <c r="A168" i="7"/>
  <c r="H183" i="6"/>
  <c r="L183" i="6" s="1"/>
  <c r="H198" i="6"/>
  <c r="L198" i="6" s="1"/>
  <c r="A198" i="7"/>
  <c r="K319" i="6"/>
  <c r="A319" i="7"/>
  <c r="K338" i="6"/>
  <c r="A338" i="7"/>
  <c r="H391" i="6"/>
  <c r="L391" i="6" s="1"/>
  <c r="A391" i="7"/>
  <c r="H399" i="6"/>
  <c r="L399" i="6" s="1"/>
  <c r="A399" i="7"/>
  <c r="H407" i="6"/>
  <c r="L407" i="6" s="1"/>
  <c r="A407" i="7"/>
  <c r="H415" i="6"/>
  <c r="L415" i="6" s="1"/>
  <c r="A415" i="7"/>
  <c r="H431" i="6"/>
  <c r="L431" i="6" s="1"/>
  <c r="A432" i="7"/>
  <c r="H436" i="6"/>
  <c r="L436" i="6" s="1"/>
  <c r="K436" i="6"/>
  <c r="H389" i="2"/>
  <c r="L389" i="2" s="1"/>
  <c r="H392" i="2"/>
  <c r="L392" i="2" s="1"/>
  <c r="H397" i="2"/>
  <c r="L397" i="2" s="1"/>
  <c r="H401" i="2"/>
  <c r="L401" i="2" s="1"/>
  <c r="H417" i="6"/>
  <c r="L417" i="6" s="1"/>
  <c r="K417" i="6"/>
  <c r="K175" i="14"/>
  <c r="A247" i="6"/>
  <c r="H40" i="2"/>
  <c r="L40" i="2" s="1"/>
  <c r="H44" i="2"/>
  <c r="L44" i="2" s="1"/>
  <c r="H48" i="2"/>
  <c r="L48" i="2" s="1"/>
  <c r="H62" i="2"/>
  <c r="L62" i="2" s="1"/>
  <c r="H67" i="2"/>
  <c r="L67" i="2" s="1"/>
  <c r="H71" i="2"/>
  <c r="L71" i="2" s="1"/>
  <c r="H75" i="2"/>
  <c r="L75" i="2" s="1"/>
  <c r="H79" i="2"/>
  <c r="L79" i="2" s="1"/>
  <c r="H84" i="2"/>
  <c r="L84" i="2" s="1"/>
  <c r="H88" i="2"/>
  <c r="L88" i="2" s="1"/>
  <c r="H93" i="2"/>
  <c r="L93" i="2" s="1"/>
  <c r="H98" i="2"/>
  <c r="L98" i="2" s="1"/>
  <c r="H103" i="2"/>
  <c r="L103" i="2" s="1"/>
  <c r="H107" i="2"/>
  <c r="L107" i="2" s="1"/>
  <c r="H120" i="2"/>
  <c r="L120" i="2" s="1"/>
  <c r="H112" i="2"/>
  <c r="L112" i="2" s="1"/>
  <c r="H123" i="2"/>
  <c r="L123" i="2" s="1"/>
  <c r="K78" i="6"/>
  <c r="A78" i="6"/>
  <c r="A208" i="6"/>
  <c r="K208" i="6"/>
  <c r="H405" i="5"/>
  <c r="L405" i="5" s="1"/>
  <c r="H409" i="5"/>
  <c r="L409" i="5" s="1"/>
  <c r="H417" i="5"/>
  <c r="L417" i="5" s="1"/>
  <c r="H445" i="5"/>
  <c r="L445" i="5" s="1"/>
  <c r="H449" i="5"/>
  <c r="L449" i="5" s="1"/>
  <c r="K80" i="6"/>
  <c r="A80" i="7"/>
  <c r="K122" i="6"/>
  <c r="A120" i="7"/>
  <c r="H142" i="6"/>
  <c r="L142" i="6" s="1"/>
  <c r="A142" i="7"/>
  <c r="H159" i="6"/>
  <c r="L159" i="6" s="1"/>
  <c r="K159" i="6"/>
  <c r="A159" i="7"/>
  <c r="H176" i="6"/>
  <c r="L176" i="6" s="1"/>
  <c r="H196" i="6"/>
  <c r="L196" i="6" s="1"/>
  <c r="A196" i="7"/>
  <c r="H197" i="6"/>
  <c r="L197" i="6" s="1"/>
  <c r="K197" i="6"/>
  <c r="H365" i="6"/>
  <c r="L365" i="6" s="1"/>
  <c r="K448" i="7"/>
  <c r="A448" i="7"/>
  <c r="H48" i="7"/>
  <c r="L48" i="7" s="1"/>
  <c r="H130" i="7"/>
  <c r="L130" i="7" s="1"/>
  <c r="H177" i="7"/>
  <c r="L177" i="7" s="1"/>
  <c r="H136" i="2"/>
  <c r="L136" i="2" s="1"/>
  <c r="H140" i="2"/>
  <c r="L140" i="2" s="1"/>
  <c r="K403" i="6"/>
  <c r="H127" i="6"/>
  <c r="L127" i="6" s="1"/>
  <c r="H131" i="6"/>
  <c r="L131" i="6" s="1"/>
  <c r="H136" i="6"/>
  <c r="L136" i="6" s="1"/>
  <c r="H140" i="6"/>
  <c r="L140" i="6" s="1"/>
  <c r="H144" i="6"/>
  <c r="L144" i="6" s="1"/>
  <c r="H149" i="6"/>
  <c r="L149" i="6" s="1"/>
  <c r="H153" i="6"/>
  <c r="L153" i="6" s="1"/>
  <c r="H157" i="6"/>
  <c r="L157" i="6" s="1"/>
  <c r="H160" i="6"/>
  <c r="L160" i="6" s="1"/>
  <c r="H151" i="5"/>
  <c r="L151" i="5" s="1"/>
  <c r="H169" i="6"/>
  <c r="L169" i="6" s="1"/>
  <c r="H376" i="7"/>
  <c r="L376" i="7" s="1"/>
  <c r="H56" i="8"/>
  <c r="L56" i="19" s="1"/>
  <c r="H275" i="5"/>
  <c r="L275" i="5" s="1"/>
  <c r="H143" i="6"/>
  <c r="L143" i="6" s="1"/>
  <c r="H160" i="7"/>
  <c r="L160" i="7" s="1"/>
  <c r="H157" i="7"/>
  <c r="L157" i="7" s="1"/>
  <c r="H153" i="7"/>
  <c r="L153" i="7" s="1"/>
  <c r="H149" i="7"/>
  <c r="L149" i="7" s="1"/>
  <c r="H144" i="7"/>
  <c r="L144" i="7" s="1"/>
  <c r="H140" i="7"/>
  <c r="L140" i="7" s="1"/>
  <c r="H154" i="8"/>
  <c r="L154" i="19" s="1"/>
  <c r="H146" i="8"/>
  <c r="L146" i="8" s="1"/>
  <c r="K239" i="8"/>
  <c r="K280" i="19"/>
  <c r="K218" i="15"/>
  <c r="K355" i="15"/>
  <c r="A137" i="6"/>
  <c r="H137" i="5"/>
  <c r="L137" i="5" s="1"/>
  <c r="H200" i="5"/>
  <c r="L200" i="5" s="1"/>
  <c r="A200" i="6"/>
  <c r="A249" i="6"/>
  <c r="K249" i="6"/>
  <c r="A209" i="14"/>
  <c r="A209" i="17"/>
  <c r="K209" i="17" s="1"/>
  <c r="H269" i="5"/>
  <c r="L269" i="5" s="1"/>
  <c r="H247" i="5"/>
  <c r="L247" i="5" s="1"/>
  <c r="F48" i="10"/>
  <c r="K255" i="17"/>
  <c r="K372" i="15"/>
  <c r="K341" i="15"/>
  <c r="K351" i="15"/>
  <c r="K357" i="15"/>
  <c r="K405" i="15"/>
  <c r="K437" i="15"/>
  <c r="K357" i="6"/>
  <c r="H154" i="5"/>
  <c r="L154" i="5" s="1"/>
  <c r="H106" i="2"/>
  <c r="L106" i="2" s="1"/>
  <c r="H119" i="2"/>
  <c r="L119" i="2" s="1"/>
  <c r="H111" i="2"/>
  <c r="L111" i="2" s="1"/>
  <c r="H116" i="2"/>
  <c r="L116" i="2" s="1"/>
  <c r="A261" i="6"/>
  <c r="K261" i="6"/>
  <c r="H448" i="5"/>
  <c r="L448" i="5" s="1"/>
  <c r="K141" i="6"/>
  <c r="K161" i="6"/>
  <c r="H297" i="6"/>
  <c r="L297" i="6" s="1"/>
  <c r="H306" i="6"/>
  <c r="L306" i="6" s="1"/>
  <c r="L358" i="8"/>
  <c r="L358" i="19"/>
  <c r="H332" i="15"/>
  <c r="L332" i="15" s="1"/>
  <c r="H332" i="14"/>
  <c r="L332" i="14" s="1"/>
  <c r="H299" i="15"/>
  <c r="L299" i="15" s="1"/>
  <c r="H299" i="14"/>
  <c r="L299" i="14" s="1"/>
  <c r="A207" i="14"/>
  <c r="A207" i="15"/>
  <c r="K207" i="15" s="1"/>
  <c r="A218" i="17"/>
  <c r="K218" i="17" s="1"/>
  <c r="K218" i="8"/>
  <c r="H223" i="8"/>
  <c r="L223" i="19" s="1"/>
  <c r="K223" i="8"/>
  <c r="K227" i="8"/>
  <c r="H227" i="8"/>
  <c r="L227" i="19" s="1"/>
  <c r="A227" i="14"/>
  <c r="A227" i="15"/>
  <c r="K227" i="15" s="1"/>
  <c r="K226" i="19"/>
  <c r="K232" i="8"/>
  <c r="A232" i="14"/>
  <c r="A232" i="15"/>
  <c r="K232" i="15" s="1"/>
  <c r="A242" i="14"/>
  <c r="A242" i="15"/>
  <c r="K242" i="15" s="1"/>
  <c r="A242" i="17"/>
  <c r="K242" i="17" s="1"/>
  <c r="A242" i="19"/>
  <c r="K242" i="19" s="1"/>
  <c r="A250" i="14"/>
  <c r="A250" i="15"/>
  <c r="K250" i="15" s="1"/>
  <c r="A260" i="14"/>
  <c r="A260" i="15"/>
  <c r="K260" i="15" s="1"/>
  <c r="A260" i="17"/>
  <c r="K260" i="17" s="1"/>
  <c r="A268" i="17"/>
  <c r="K268" i="17" s="1"/>
  <c r="A268" i="14"/>
  <c r="A268" i="15"/>
  <c r="K268" i="15" s="1"/>
  <c r="A277" i="14"/>
  <c r="A277" i="15"/>
  <c r="K277" i="15" s="1"/>
  <c r="A277" i="17"/>
  <c r="K277" i="17" s="1"/>
  <c r="A286" i="17"/>
  <c r="K286" i="17" s="1"/>
  <c r="A286" i="14"/>
  <c r="A286" i="15"/>
  <c r="K286" i="15" s="1"/>
  <c r="A295" i="14"/>
  <c r="A295" i="15"/>
  <c r="K295" i="15" s="1"/>
  <c r="A295" i="17"/>
  <c r="K295" i="17" s="1"/>
  <c r="A304" i="17"/>
  <c r="K304" i="17" s="1"/>
  <c r="A304" i="14"/>
  <c r="A304" i="15"/>
  <c r="K304" i="15" s="1"/>
  <c r="H308" i="8"/>
  <c r="L308" i="8" s="1"/>
  <c r="A319" i="14"/>
  <c r="A319" i="15"/>
  <c r="K319" i="15" s="1"/>
  <c r="A319" i="17"/>
  <c r="K319" i="17" s="1"/>
  <c r="A328" i="17"/>
  <c r="K328" i="17" s="1"/>
  <c r="A328" i="14"/>
  <c r="A328" i="15"/>
  <c r="K328" i="15" s="1"/>
  <c r="A338" i="14"/>
  <c r="A338" i="15"/>
  <c r="K338" i="15" s="1"/>
  <c r="A338" i="17"/>
  <c r="K338" i="17" s="1"/>
  <c r="A366" i="17"/>
  <c r="K366" i="17" s="1"/>
  <c r="A366" i="14"/>
  <c r="A366" i="15"/>
  <c r="K366" i="15" s="1"/>
  <c r="K247" i="17"/>
  <c r="K363" i="17"/>
  <c r="K43" i="15"/>
  <c r="K51" i="15"/>
  <c r="K137" i="15"/>
  <c r="K143" i="15"/>
  <c r="K154" i="15"/>
  <c r="K145" i="15"/>
  <c r="K417" i="15"/>
  <c r="K367" i="14"/>
  <c r="K351" i="14"/>
  <c r="H50" i="2"/>
  <c r="L50" i="2" s="1"/>
  <c r="H54" i="2"/>
  <c r="L54" i="2" s="1"/>
  <c r="H388" i="2"/>
  <c r="L388" i="2" s="1"/>
  <c r="H395" i="2"/>
  <c r="L395" i="2" s="1"/>
  <c r="H396" i="2"/>
  <c r="L396" i="2" s="1"/>
  <c r="H400" i="2"/>
  <c r="L400" i="2" s="1"/>
  <c r="H129" i="5"/>
  <c r="L129" i="5" s="1"/>
  <c r="H25" i="6"/>
  <c r="L25" i="6" s="1"/>
  <c r="H184" i="6"/>
  <c r="L184" i="6" s="1"/>
  <c r="H189" i="6"/>
  <c r="L189" i="6" s="1"/>
  <c r="H54" i="7"/>
  <c r="L54" i="7" s="1"/>
  <c r="H37" i="8"/>
  <c r="L37" i="8" s="1"/>
  <c r="H40" i="14"/>
  <c r="L40" i="14" s="1"/>
  <c r="H48" i="14"/>
  <c r="L48" i="14" s="1"/>
  <c r="H56" i="14"/>
  <c r="L56" i="14" s="1"/>
  <c r="H130" i="14"/>
  <c r="L130" i="14" s="1"/>
  <c r="H139" i="14"/>
  <c r="L139" i="14" s="1"/>
  <c r="H143" i="14"/>
  <c r="L143" i="14" s="1"/>
  <c r="H148" i="14"/>
  <c r="L148" i="14" s="1"/>
  <c r="H152" i="14"/>
  <c r="L152" i="14" s="1"/>
  <c r="H156" i="14"/>
  <c r="L156" i="14" s="1"/>
  <c r="H52" i="2"/>
  <c r="L52" i="2" s="1"/>
  <c r="H56" i="2"/>
  <c r="L56" i="2" s="1"/>
  <c r="H131" i="5"/>
  <c r="L131" i="5" s="1"/>
  <c r="H136" i="5"/>
  <c r="L136" i="5" s="1"/>
  <c r="H140" i="5"/>
  <c r="L140" i="5" s="1"/>
  <c r="H149" i="5"/>
  <c r="L149" i="5" s="1"/>
  <c r="H153" i="5"/>
  <c r="L153" i="5" s="1"/>
  <c r="H388" i="5"/>
  <c r="L388" i="5" s="1"/>
  <c r="H395" i="5"/>
  <c r="L395" i="5" s="1"/>
  <c r="H186" i="6"/>
  <c r="L186" i="6" s="1"/>
  <c r="H168" i="7"/>
  <c r="L168" i="7" s="1"/>
  <c r="K207" i="8"/>
  <c r="H177" i="8"/>
  <c r="H374" i="8"/>
  <c r="L374" i="19" s="1"/>
  <c r="H378" i="8"/>
  <c r="L378" i="8" s="1"/>
  <c r="K253" i="6"/>
  <c r="K289" i="6"/>
  <c r="K331" i="6"/>
  <c r="H413" i="5"/>
  <c r="L413" i="5" s="1"/>
  <c r="H414" i="5"/>
  <c r="L414" i="5" s="1"/>
  <c r="H418" i="5"/>
  <c r="L418" i="5" s="1"/>
  <c r="H446" i="5"/>
  <c r="L446" i="5" s="1"/>
  <c r="H450" i="5"/>
  <c r="L450" i="5" s="1"/>
  <c r="H454" i="5"/>
  <c r="L454" i="5" s="1"/>
  <c r="K69" i="7"/>
  <c r="K90" i="7"/>
  <c r="H130" i="6"/>
  <c r="L130" i="6" s="1"/>
  <c r="H135" i="6"/>
  <c r="L135" i="6" s="1"/>
  <c r="H139" i="6"/>
  <c r="L139" i="6" s="1"/>
  <c r="H148" i="6"/>
  <c r="L148" i="6" s="1"/>
  <c r="H152" i="6"/>
  <c r="L152" i="6" s="1"/>
  <c r="H156" i="6"/>
  <c r="L156" i="6" s="1"/>
  <c r="H424" i="6"/>
  <c r="L424" i="6" s="1"/>
  <c r="H53" i="7"/>
  <c r="L53" i="7" s="1"/>
  <c r="H174" i="7"/>
  <c r="L174" i="7" s="1"/>
  <c r="H178" i="7"/>
  <c r="L178" i="7" s="1"/>
  <c r="H25" i="14"/>
  <c r="L25" i="14" s="1"/>
  <c r="H61" i="14"/>
  <c r="L61" i="14" s="1"/>
  <c r="H65" i="14"/>
  <c r="L65" i="14" s="1"/>
  <c r="H70" i="14"/>
  <c r="L70" i="14" s="1"/>
  <c r="H74" i="14"/>
  <c r="L74" i="14" s="1"/>
  <c r="H78" i="14"/>
  <c r="L78" i="14" s="1"/>
  <c r="H82" i="14"/>
  <c r="L82" i="14" s="1"/>
  <c r="H87" i="14"/>
  <c r="L87" i="14" s="1"/>
  <c r="H92" i="14"/>
  <c r="L92" i="14" s="1"/>
  <c r="H97" i="14"/>
  <c r="L97" i="14" s="1"/>
  <c r="H207" i="14"/>
  <c r="L207" i="14" s="1"/>
  <c r="H226" i="14"/>
  <c r="L226" i="14" s="1"/>
  <c r="H281" i="14"/>
  <c r="L281" i="14" s="1"/>
  <c r="H286" i="14"/>
  <c r="L286" i="14" s="1"/>
  <c r="H290" i="14"/>
  <c r="L290" i="14" s="1"/>
  <c r="H324" i="14"/>
  <c r="L324" i="14" s="1"/>
  <c r="H328" i="14"/>
  <c r="L328" i="14" s="1"/>
  <c r="H338" i="14"/>
  <c r="L338" i="14" s="1"/>
  <c r="H360" i="14"/>
  <c r="L360" i="14" s="1"/>
  <c r="H366" i="14"/>
  <c r="L366" i="14" s="1"/>
  <c r="H376" i="14"/>
  <c r="L376" i="14" s="1"/>
  <c r="H127" i="17"/>
  <c r="L127" i="17" s="1"/>
  <c r="H140" i="17"/>
  <c r="L140" i="17" s="1"/>
  <c r="H144" i="17"/>
  <c r="L144" i="17" s="1"/>
  <c r="H149" i="17"/>
  <c r="L149" i="17" s="1"/>
  <c r="H153" i="17"/>
  <c r="L153" i="17" s="1"/>
  <c r="H157" i="17"/>
  <c r="L157" i="17" s="1"/>
  <c r="H208" i="17"/>
  <c r="L208" i="17" s="1"/>
  <c r="H227" i="17"/>
  <c r="L227" i="17" s="1"/>
  <c r="H232" i="17"/>
  <c r="L232" i="17" s="1"/>
  <c r="H239" i="17"/>
  <c r="L239" i="17" s="1"/>
  <c r="H242" i="17"/>
  <c r="L242" i="17" s="1"/>
  <c r="H246" i="17"/>
  <c r="L246" i="17" s="1"/>
  <c r="H250" i="17"/>
  <c r="L250" i="17" s="1"/>
  <c r="H254" i="17"/>
  <c r="L254" i="17" s="1"/>
  <c r="H260" i="17"/>
  <c r="L260" i="17" s="1"/>
  <c r="H264" i="17"/>
  <c r="L264" i="17" s="1"/>
  <c r="H268" i="17"/>
  <c r="L268" i="17" s="1"/>
  <c r="H272" i="17"/>
  <c r="L272" i="17" s="1"/>
  <c r="H277" i="17"/>
  <c r="L277" i="17" s="1"/>
  <c r="H281" i="17"/>
  <c r="L281" i="17" s="1"/>
  <c r="H286" i="17"/>
  <c r="L286" i="17" s="1"/>
  <c r="H290" i="17"/>
  <c r="L290" i="17" s="1"/>
  <c r="H295" i="17"/>
  <c r="L295" i="17" s="1"/>
  <c r="H304" i="17"/>
  <c r="L304" i="17" s="1"/>
  <c r="H308" i="17"/>
  <c r="L308" i="17" s="1"/>
  <c r="H319" i="17"/>
  <c r="L319" i="17" s="1"/>
  <c r="H324" i="17"/>
  <c r="L324" i="17" s="1"/>
  <c r="H328" i="17"/>
  <c r="L328" i="17" s="1"/>
  <c r="H338" i="17"/>
  <c r="L338" i="17" s="1"/>
  <c r="H360" i="17"/>
  <c r="L360" i="17" s="1"/>
  <c r="H366" i="17"/>
  <c r="L366" i="17" s="1"/>
  <c r="H372" i="17"/>
  <c r="L372" i="17" s="1"/>
  <c r="H376" i="17"/>
  <c r="L376" i="17" s="1"/>
  <c r="H172" i="17"/>
  <c r="L172" i="17" s="1"/>
  <c r="K92" i="7"/>
  <c r="H147" i="7"/>
  <c r="L147" i="7" s="1"/>
  <c r="K210" i="14"/>
  <c r="K225" i="14"/>
  <c r="K253" i="14"/>
  <c r="A25" i="17"/>
  <c r="K25" i="17" s="1"/>
  <c r="H466" i="14"/>
  <c r="L466" i="14" s="1"/>
  <c r="H45" i="17"/>
  <c r="L45" i="17" s="1"/>
  <c r="H53" i="17"/>
  <c r="L53" i="17" s="1"/>
  <c r="H176" i="17"/>
  <c r="L176" i="17" s="1"/>
  <c r="H171" i="6"/>
  <c r="L171" i="6" s="1"/>
  <c r="H224" i="8"/>
  <c r="L224" i="8" s="1"/>
  <c r="L454" i="8"/>
  <c r="H454" i="17"/>
  <c r="L454" i="17" s="1"/>
  <c r="H358" i="14"/>
  <c r="L358" i="14" s="1"/>
  <c r="H358" i="15"/>
  <c r="L358" i="15" s="1"/>
  <c r="H279" i="15"/>
  <c r="L279" i="15" s="1"/>
  <c r="H279" i="14"/>
  <c r="L279" i="14" s="1"/>
  <c r="H205" i="15"/>
  <c r="L205" i="15" s="1"/>
  <c r="H205" i="14"/>
  <c r="L205" i="14" s="1"/>
  <c r="F52" i="10"/>
  <c r="AT93" i="10"/>
  <c r="A220" i="17"/>
  <c r="K220" i="17" s="1"/>
  <c r="K220" i="8"/>
  <c r="H220" i="8"/>
  <c r="L220" i="8" s="1"/>
  <c r="A220" i="14"/>
  <c r="A220" i="15"/>
  <c r="K220" i="15" s="1"/>
  <c r="A230" i="14"/>
  <c r="A230" i="15"/>
  <c r="K230" i="15" s="1"/>
  <c r="K230" i="8"/>
  <c r="H230" i="8"/>
  <c r="L230" i="8" s="1"/>
  <c r="A230" i="17"/>
  <c r="K230" i="17" s="1"/>
  <c r="H241" i="8"/>
  <c r="L241" i="8" s="1"/>
  <c r="A241" i="14"/>
  <c r="A241" i="15"/>
  <c r="K241" i="15" s="1"/>
  <c r="A241" i="17"/>
  <c r="K241" i="17" s="1"/>
  <c r="A241" i="19"/>
  <c r="K241" i="19" s="1"/>
  <c r="H248" i="8"/>
  <c r="L248" i="19" s="1"/>
  <c r="K248" i="8"/>
  <c r="A248" i="14"/>
  <c r="A248" i="15"/>
  <c r="K248" i="15" s="1"/>
  <c r="A248" i="17"/>
  <c r="K248" i="17" s="1"/>
  <c r="A248" i="19"/>
  <c r="K248" i="19" s="1"/>
  <c r="H256" i="8"/>
  <c r="L256" i="19" s="1"/>
  <c r="K256" i="8"/>
  <c r="A256" i="14"/>
  <c r="A256" i="17"/>
  <c r="K256" i="17" s="1"/>
  <c r="A256" i="15"/>
  <c r="K256" i="15" s="1"/>
  <c r="K266" i="8"/>
  <c r="H266" i="8"/>
  <c r="L266" i="19" s="1"/>
  <c r="A266" i="14"/>
  <c r="A266" i="17"/>
  <c r="K266" i="17" s="1"/>
  <c r="A266" i="19"/>
  <c r="K266" i="19" s="1"/>
  <c r="A266" i="15"/>
  <c r="K266" i="15" s="1"/>
  <c r="H275" i="8"/>
  <c r="L275" i="19" s="1"/>
  <c r="A275" i="14"/>
  <c r="A275" i="17"/>
  <c r="K275" i="17" s="1"/>
  <c r="A275" i="19"/>
  <c r="K275" i="19" s="1"/>
  <c r="A275" i="15"/>
  <c r="K275" i="15" s="1"/>
  <c r="H292" i="8"/>
  <c r="L292" i="19" s="1"/>
  <c r="K292" i="8"/>
  <c r="A292" i="14"/>
  <c r="A291" i="19"/>
  <c r="K291" i="19" s="1"/>
  <c r="A292" i="15"/>
  <c r="K292" i="15" s="1"/>
  <c r="A292" i="17"/>
  <c r="K292" i="17" s="1"/>
  <c r="A292" i="19"/>
  <c r="K292" i="19" s="1"/>
  <c r="K25" i="5"/>
  <c r="A25" i="6"/>
  <c r="K25" i="6"/>
  <c r="K37" i="7"/>
  <c r="A37" i="8"/>
  <c r="K37" i="14" s="1"/>
  <c r="K37" i="8"/>
  <c r="A168" i="14"/>
  <c r="A168" i="17"/>
  <c r="K168" i="17" s="1"/>
  <c r="A168" i="15"/>
  <c r="K168" i="15" s="1"/>
  <c r="A168" i="19"/>
  <c r="K168" i="19" s="1"/>
  <c r="K168" i="8"/>
  <c r="L299" i="8"/>
  <c r="A32" i="19"/>
  <c r="K32" i="19" s="1"/>
  <c r="AT83" i="10"/>
  <c r="L200" i="8"/>
  <c r="H200" i="19"/>
  <c r="L200" i="19" s="1"/>
  <c r="L332" i="8"/>
  <c r="L332" i="19"/>
  <c r="K209" i="8"/>
  <c r="H209" i="8"/>
  <c r="L209" i="8" s="1"/>
  <c r="A209" i="19"/>
  <c r="K209" i="19" s="1"/>
  <c r="A209" i="15"/>
  <c r="K209" i="15" s="1"/>
  <c r="A226" i="17"/>
  <c r="K226" i="17" s="1"/>
  <c r="K226" i="8"/>
  <c r="A226" i="14"/>
  <c r="A226" i="15"/>
  <c r="K226" i="15" s="1"/>
  <c r="H226" i="8"/>
  <c r="L226" i="19" s="1"/>
  <c r="H235" i="8"/>
  <c r="L235" i="8" s="1"/>
  <c r="K235" i="8"/>
  <c r="A235" i="14"/>
  <c r="A235" i="15"/>
  <c r="K235" i="15" s="1"/>
  <c r="A235" i="17"/>
  <c r="K235" i="17" s="1"/>
  <c r="H244" i="8"/>
  <c r="L244" i="19" s="1"/>
  <c r="A244" i="14"/>
  <c r="A244" i="19"/>
  <c r="K244" i="19" s="1"/>
  <c r="K244" i="8"/>
  <c r="A244" i="15"/>
  <c r="K244" i="15" s="1"/>
  <c r="A244" i="17"/>
  <c r="K244" i="17" s="1"/>
  <c r="H252" i="8"/>
  <c r="L252" i="19" s="1"/>
  <c r="K252" i="8"/>
  <c r="A252" i="14"/>
  <c r="A252" i="19"/>
  <c r="K252" i="19" s="1"/>
  <c r="A252" i="15"/>
  <c r="K252" i="15" s="1"/>
  <c r="A252" i="17"/>
  <c r="K252" i="17" s="1"/>
  <c r="H262" i="8"/>
  <c r="L262" i="8" s="1"/>
  <c r="A262" i="14"/>
  <c r="A262" i="15"/>
  <c r="K262" i="15" s="1"/>
  <c r="A262" i="19"/>
  <c r="K262" i="19" s="1"/>
  <c r="K262" i="8"/>
  <c r="A262" i="17"/>
  <c r="K262" i="17" s="1"/>
  <c r="K270" i="8"/>
  <c r="A270" i="14"/>
  <c r="A270" i="15"/>
  <c r="K270" i="15" s="1"/>
  <c r="A270" i="19"/>
  <c r="K270" i="19" s="1"/>
  <c r="A270" i="17"/>
  <c r="K270" i="17" s="1"/>
  <c r="A279" i="14"/>
  <c r="A279" i="15"/>
  <c r="K279" i="15" s="1"/>
  <c r="K279" i="8"/>
  <c r="A279" i="17"/>
  <c r="K279" i="17" s="1"/>
  <c r="A279" i="19"/>
  <c r="K279" i="19" s="1"/>
  <c r="K284" i="8"/>
  <c r="H284" i="8"/>
  <c r="L284" i="19" s="1"/>
  <c r="A284" i="14"/>
  <c r="A284" i="19"/>
  <c r="K284" i="19" s="1"/>
  <c r="A284" i="15"/>
  <c r="K284" i="15" s="1"/>
  <c r="A284" i="17"/>
  <c r="K284" i="17" s="1"/>
  <c r="K288" i="8"/>
  <c r="A288" i="14"/>
  <c r="A288" i="15"/>
  <c r="K288" i="15" s="1"/>
  <c r="A288" i="17"/>
  <c r="K288" i="17" s="1"/>
  <c r="A288" i="19"/>
  <c r="K288" i="19" s="1"/>
  <c r="H288" i="8"/>
  <c r="L288" i="8" s="1"/>
  <c r="H297" i="8"/>
  <c r="L297" i="8" s="1"/>
  <c r="A297" i="14"/>
  <c r="K297" i="8"/>
  <c r="A297" i="15"/>
  <c r="K297" i="15" s="1"/>
  <c r="A297" i="17"/>
  <c r="K297" i="17" s="1"/>
  <c r="A297" i="19"/>
  <c r="K297" i="19" s="1"/>
  <c r="K301" i="8"/>
  <c r="A301" i="14"/>
  <c r="A301" i="17"/>
  <c r="K301" i="17" s="1"/>
  <c r="A300" i="19"/>
  <c r="K300" i="19" s="1"/>
  <c r="H301" i="8"/>
  <c r="L301" i="8" s="1"/>
  <c r="A301" i="15"/>
  <c r="K301" i="15" s="1"/>
  <c r="H306" i="8"/>
  <c r="L306" i="19" s="1"/>
  <c r="K306" i="8"/>
  <c r="A306" i="14"/>
  <c r="A306" i="17"/>
  <c r="K306" i="17" s="1"/>
  <c r="A306" i="19"/>
  <c r="K306" i="19" s="1"/>
  <c r="A306" i="15"/>
  <c r="K306" i="15" s="1"/>
  <c r="A317" i="17"/>
  <c r="K317" i="17" s="1"/>
  <c r="A317" i="14"/>
  <c r="A317" i="15"/>
  <c r="K317" i="15" s="1"/>
  <c r="H317" i="8"/>
  <c r="L317" i="19" s="1"/>
  <c r="A322" i="17"/>
  <c r="K322" i="17" s="1"/>
  <c r="A322" i="14"/>
  <c r="A322" i="19"/>
  <c r="K322" i="19" s="1"/>
  <c r="K322" i="8"/>
  <c r="A322" i="15"/>
  <c r="K322" i="15" s="1"/>
  <c r="H326" i="8"/>
  <c r="L326" i="8" s="1"/>
  <c r="K326" i="8"/>
  <c r="A326" i="17"/>
  <c r="K326" i="17" s="1"/>
  <c r="A326" i="14"/>
  <c r="A326" i="15"/>
  <c r="K326" i="15" s="1"/>
  <c r="A326" i="19"/>
  <c r="K326" i="19" s="1"/>
  <c r="H330" i="8"/>
  <c r="L330" i="8" s="1"/>
  <c r="K330" i="8"/>
  <c r="A330" i="17"/>
  <c r="K330" i="17" s="1"/>
  <c r="A330" i="14"/>
  <c r="A330" i="19"/>
  <c r="K330" i="19" s="1"/>
  <c r="A330" i="15"/>
  <c r="K330" i="15" s="1"/>
  <c r="A334" i="17"/>
  <c r="K334" i="17" s="1"/>
  <c r="K334" i="8"/>
  <c r="A334" i="14"/>
  <c r="A334" i="15"/>
  <c r="K334" i="15" s="1"/>
  <c r="H334" i="8"/>
  <c r="L334" i="8" s="1"/>
  <c r="A333" i="19"/>
  <c r="K333" i="19" s="1"/>
  <c r="A358" i="17"/>
  <c r="K358" i="17" s="1"/>
  <c r="A358" i="14"/>
  <c r="K358" i="8"/>
  <c r="A358" i="15"/>
  <c r="K358" i="15" s="1"/>
  <c r="A358" i="19"/>
  <c r="K358" i="19" s="1"/>
  <c r="H364" i="8"/>
  <c r="L364" i="8" s="1"/>
  <c r="K364" i="8"/>
  <c r="A364" i="17"/>
  <c r="K364" i="17" s="1"/>
  <c r="A364" i="14"/>
  <c r="A364" i="19"/>
  <c r="K364" i="19" s="1"/>
  <c r="A364" i="15"/>
  <c r="K364" i="15" s="1"/>
  <c r="H370" i="8"/>
  <c r="L370" i="19" s="1"/>
  <c r="K370" i="8"/>
  <c r="A370" i="17"/>
  <c r="K370" i="17" s="1"/>
  <c r="A370" i="14"/>
  <c r="A370" i="15"/>
  <c r="K370" i="15" s="1"/>
  <c r="A370" i="19"/>
  <c r="K370" i="19" s="1"/>
  <c r="A206" i="7"/>
  <c r="K206" i="6"/>
  <c r="K174" i="7"/>
  <c r="K174" i="8"/>
  <c r="A174" i="8"/>
  <c r="K174" i="14" s="1"/>
  <c r="K32" i="8"/>
  <c r="A32" i="17"/>
  <c r="K32" i="17" s="1"/>
  <c r="A32" i="14"/>
  <c r="A443" i="14"/>
  <c r="K275" i="8"/>
  <c r="A443" i="15"/>
  <c r="K443" i="15" s="1"/>
  <c r="K317" i="8"/>
  <c r="H132" i="5"/>
  <c r="L132" i="5" s="1"/>
  <c r="A132" i="6"/>
  <c r="A158" i="6"/>
  <c r="H158" i="5"/>
  <c r="L158" i="5" s="1"/>
  <c r="A161" i="6"/>
  <c r="H161" i="5"/>
  <c r="L161" i="5" s="1"/>
  <c r="A165" i="6"/>
  <c r="H165" i="5"/>
  <c r="L165" i="5" s="1"/>
  <c r="H190" i="5"/>
  <c r="L190" i="5" s="1"/>
  <c r="A190" i="6"/>
  <c r="H204" i="5"/>
  <c r="L204" i="5" s="1"/>
  <c r="A204" i="6"/>
  <c r="H365" i="5"/>
  <c r="L365" i="5" s="1"/>
  <c r="A365" i="6"/>
  <c r="H425" i="5"/>
  <c r="L425" i="5" s="1"/>
  <c r="A425" i="6"/>
  <c r="A432" i="6"/>
  <c r="K432" i="6"/>
  <c r="H37" i="6"/>
  <c r="L37" i="6" s="1"/>
  <c r="A37" i="7"/>
  <c r="A77" i="7"/>
  <c r="K77" i="7"/>
  <c r="K114" i="7"/>
  <c r="A114" i="7"/>
  <c r="A126" i="7"/>
  <c r="K126" i="7"/>
  <c r="H245" i="5"/>
  <c r="L245" i="5" s="1"/>
  <c r="H267" i="5"/>
  <c r="L267" i="5" s="1"/>
  <c r="H249" i="5"/>
  <c r="L249" i="5" s="1"/>
  <c r="H257" i="5"/>
  <c r="L257" i="5" s="1"/>
  <c r="H237" i="5"/>
  <c r="L237" i="5" s="1"/>
  <c r="H238" i="5"/>
  <c r="L238" i="5" s="1"/>
  <c r="K54" i="7"/>
  <c r="K59" i="7"/>
  <c r="K95" i="7"/>
  <c r="A90" i="7"/>
  <c r="K257" i="6"/>
  <c r="K327" i="6"/>
  <c r="K429" i="6"/>
  <c r="A185" i="6"/>
  <c r="A253" i="6"/>
  <c r="A289" i="6"/>
  <c r="H48" i="5"/>
  <c r="L48" i="5" s="1"/>
  <c r="A48" i="6"/>
  <c r="H141" i="5"/>
  <c r="L141" i="5" s="1"/>
  <c r="A141" i="6"/>
  <c r="A180" i="6"/>
  <c r="H191" i="5"/>
  <c r="L191" i="5" s="1"/>
  <c r="A191" i="6"/>
  <c r="A276" i="6"/>
  <c r="K276" i="6"/>
  <c r="A285" i="6"/>
  <c r="K285" i="6"/>
  <c r="A294" i="6"/>
  <c r="K294" i="6"/>
  <c r="A307" i="6"/>
  <c r="K307" i="6"/>
  <c r="H406" i="5"/>
  <c r="L406" i="5" s="1"/>
  <c r="A406" i="6"/>
  <c r="H441" i="5"/>
  <c r="L441" i="5" s="1"/>
  <c r="K441" i="6"/>
  <c r="A42" i="7"/>
  <c r="K42" i="7"/>
  <c r="H50" i="6"/>
  <c r="L50" i="6" s="1"/>
  <c r="K50" i="7"/>
  <c r="K64" i="7"/>
  <c r="A64" i="7"/>
  <c r="K100" i="7"/>
  <c r="A100" i="7"/>
  <c r="H355" i="5"/>
  <c r="L355" i="5" s="1"/>
  <c r="H263" i="5"/>
  <c r="L263" i="5" s="1"/>
  <c r="H307" i="5"/>
  <c r="L307" i="5" s="1"/>
  <c r="H183" i="19"/>
  <c r="L183" i="19" s="1"/>
  <c r="K308" i="14"/>
  <c r="A69" i="7"/>
  <c r="A105" i="7"/>
  <c r="K337" i="6"/>
  <c r="K425" i="6"/>
  <c r="A52" i="6"/>
  <c r="A195" i="6"/>
  <c r="A331" i="6"/>
  <c r="A414" i="6"/>
  <c r="K299" i="14"/>
  <c r="H209" i="14"/>
  <c r="L209" i="14" s="1"/>
  <c r="H223" i="14"/>
  <c r="L223" i="14" s="1"/>
  <c r="H227" i="14"/>
  <c r="L227" i="14" s="1"/>
  <c r="H220" i="14"/>
  <c r="L220" i="14" s="1"/>
  <c r="L235" i="14"/>
  <c r="H241" i="14"/>
  <c r="L241" i="14" s="1"/>
  <c r="H244" i="14"/>
  <c r="L244" i="14" s="1"/>
  <c r="H248" i="14"/>
  <c r="L248" i="14" s="1"/>
  <c r="H252" i="14"/>
  <c r="L252" i="14" s="1"/>
  <c r="H256" i="14"/>
  <c r="L256" i="14" s="1"/>
  <c r="H262" i="14"/>
  <c r="L262" i="14" s="1"/>
  <c r="H266" i="14"/>
  <c r="L266" i="14" s="1"/>
  <c r="H275" i="14"/>
  <c r="L275" i="14" s="1"/>
  <c r="H340" i="15"/>
  <c r="L340" i="15" s="1"/>
  <c r="H340" i="14"/>
  <c r="L340" i="14" s="1"/>
  <c r="H367" i="15"/>
  <c r="L367" i="15" s="1"/>
  <c r="H367" i="14"/>
  <c r="L367" i="14" s="1"/>
  <c r="A222" i="17"/>
  <c r="K222" i="17" s="1"/>
  <c r="H222" i="8"/>
  <c r="L222" i="19" s="1"/>
  <c r="H257" i="8"/>
  <c r="L257" i="19" s="1"/>
  <c r="H263" i="8"/>
  <c r="L263" i="19" s="1"/>
  <c r="H267" i="8"/>
  <c r="L267" i="8" s="1"/>
  <c r="H302" i="8"/>
  <c r="L302" i="8" s="1"/>
  <c r="H307" i="8"/>
  <c r="L307" i="8" s="1"/>
  <c r="H371" i="8"/>
  <c r="L371" i="19" s="1"/>
  <c r="K231" i="6"/>
  <c r="K245" i="6"/>
  <c r="K263" i="6"/>
  <c r="K267" i="6"/>
  <c r="K280" i="6"/>
  <c r="K298" i="6"/>
  <c r="K302" i="6"/>
  <c r="K323" i="6"/>
  <c r="K359" i="6"/>
  <c r="K371" i="6"/>
  <c r="H27" i="8"/>
  <c r="L27" i="8" s="1"/>
  <c r="H139" i="8"/>
  <c r="H143" i="8"/>
  <c r="H148" i="8"/>
  <c r="H152" i="8"/>
  <c r="H156" i="8"/>
  <c r="H145" i="8"/>
  <c r="H183" i="8"/>
  <c r="H188" i="8"/>
  <c r="H193" i="8"/>
  <c r="H182" i="8"/>
  <c r="H342" i="8"/>
  <c r="L342" i="19" s="1"/>
  <c r="H348" i="8"/>
  <c r="L348" i="19" s="1"/>
  <c r="H352" i="8"/>
  <c r="H46" i="14"/>
  <c r="L46" i="14" s="1"/>
  <c r="H54" i="14"/>
  <c r="L54" i="14" s="1"/>
  <c r="H137" i="14"/>
  <c r="L137" i="14" s="1"/>
  <c r="H141" i="14"/>
  <c r="L141" i="14" s="1"/>
  <c r="H146" i="14"/>
  <c r="L146" i="14" s="1"/>
  <c r="H154" i="14"/>
  <c r="L154" i="14" s="1"/>
  <c r="H158" i="14"/>
  <c r="L158" i="14" s="1"/>
  <c r="H209" i="15"/>
  <c r="L209" i="15" s="1"/>
  <c r="L289" i="19"/>
  <c r="K37" i="6"/>
  <c r="K73" i="6"/>
  <c r="K81" i="6"/>
  <c r="AK89" i="10"/>
  <c r="H207" i="5"/>
  <c r="L207" i="5" s="1"/>
  <c r="H391" i="5"/>
  <c r="L391" i="5" s="1"/>
  <c r="H439" i="5"/>
  <c r="L439" i="5" s="1"/>
  <c r="K44" i="7"/>
  <c r="K185" i="6"/>
  <c r="K190" i="6"/>
  <c r="K370" i="6"/>
  <c r="K355" i="6"/>
  <c r="K133" i="7"/>
  <c r="K138" i="7"/>
  <c r="K257" i="7"/>
  <c r="K331" i="14"/>
  <c r="K337" i="14"/>
  <c r="K385" i="7"/>
  <c r="K389" i="7"/>
  <c r="K393" i="7"/>
  <c r="K405" i="7"/>
  <c r="K409" i="7"/>
  <c r="H45" i="14"/>
  <c r="L45" i="14" s="1"/>
  <c r="H53" i="14"/>
  <c r="L53" i="14" s="1"/>
  <c r="H58" i="14"/>
  <c r="L58" i="14" s="1"/>
  <c r="H63" i="14"/>
  <c r="L63" i="14" s="1"/>
  <c r="H68" i="14"/>
  <c r="L68" i="14" s="1"/>
  <c r="H72" i="14"/>
  <c r="L72" i="14" s="1"/>
  <c r="H76" i="14"/>
  <c r="L76" i="14" s="1"/>
  <c r="H80" i="14"/>
  <c r="L80" i="14" s="1"/>
  <c r="H85" i="14"/>
  <c r="L85" i="14" s="1"/>
  <c r="H89" i="14"/>
  <c r="L89" i="14" s="1"/>
  <c r="H94" i="14"/>
  <c r="L94" i="14" s="1"/>
  <c r="H127" i="14"/>
  <c r="L127" i="14" s="1"/>
  <c r="H140" i="14"/>
  <c r="L140" i="14" s="1"/>
  <c r="H144" i="14"/>
  <c r="L144" i="14" s="1"/>
  <c r="H149" i="14"/>
  <c r="L149" i="14" s="1"/>
  <c r="H153" i="14"/>
  <c r="L153" i="14" s="1"/>
  <c r="H157" i="14"/>
  <c r="L157" i="14" s="1"/>
  <c r="H208" i="14"/>
  <c r="L208" i="14" s="1"/>
  <c r="H222" i="14"/>
  <c r="L222" i="14" s="1"/>
  <c r="H224" i="14"/>
  <c r="L224" i="14" s="1"/>
  <c r="H219" i="14"/>
  <c r="L219" i="14" s="1"/>
  <c r="H233" i="14"/>
  <c r="L233" i="14" s="1"/>
  <c r="H240" i="14"/>
  <c r="L240" i="14" s="1"/>
  <c r="H243" i="14"/>
  <c r="L243" i="14" s="1"/>
  <c r="H247" i="14"/>
  <c r="L247" i="14" s="1"/>
  <c r="H251" i="14"/>
  <c r="L251" i="14" s="1"/>
  <c r="H261" i="14"/>
  <c r="L261" i="14" s="1"/>
  <c r="H265" i="14"/>
  <c r="L265" i="14" s="1"/>
  <c r="H269" i="14"/>
  <c r="L269" i="14" s="1"/>
  <c r="H273" i="14"/>
  <c r="L273" i="14" s="1"/>
  <c r="H326" i="14"/>
  <c r="L326" i="14" s="1"/>
  <c r="H330" i="14"/>
  <c r="L330" i="14" s="1"/>
  <c r="H334" i="14"/>
  <c r="L334" i="14" s="1"/>
  <c r="H364" i="14"/>
  <c r="L364" i="14" s="1"/>
  <c r="H186" i="15"/>
  <c r="L186" i="15" s="1"/>
  <c r="H192" i="15"/>
  <c r="L192" i="15" s="1"/>
  <c r="H196" i="15"/>
  <c r="L196" i="15" s="1"/>
  <c r="H208" i="15"/>
  <c r="L208" i="15" s="1"/>
  <c r="H222" i="15"/>
  <c r="L222" i="15" s="1"/>
  <c r="H224" i="15"/>
  <c r="L224" i="15" s="1"/>
  <c r="H219" i="15"/>
  <c r="L219" i="15" s="1"/>
  <c r="H233" i="15"/>
  <c r="L233" i="15" s="1"/>
  <c r="H240" i="15"/>
  <c r="L240" i="15" s="1"/>
  <c r="H243" i="15"/>
  <c r="L243" i="15" s="1"/>
  <c r="H247" i="15"/>
  <c r="L247" i="15" s="1"/>
  <c r="H251" i="15"/>
  <c r="L251" i="15" s="1"/>
  <c r="H261" i="15"/>
  <c r="L261" i="15" s="1"/>
  <c r="H265" i="15"/>
  <c r="L265" i="15" s="1"/>
  <c r="H269" i="15"/>
  <c r="L269" i="15" s="1"/>
  <c r="H273" i="15"/>
  <c r="L273" i="15" s="1"/>
  <c r="H282" i="15"/>
  <c r="L282" i="15" s="1"/>
  <c r="H287" i="15"/>
  <c r="L287" i="15" s="1"/>
  <c r="H291" i="15"/>
  <c r="L291" i="15" s="1"/>
  <c r="H296" i="15"/>
  <c r="L296" i="15" s="1"/>
  <c r="H300" i="15"/>
  <c r="L300" i="15" s="1"/>
  <c r="H305" i="15"/>
  <c r="L305" i="15" s="1"/>
  <c r="H321" i="15"/>
  <c r="L321" i="15" s="1"/>
  <c r="H325" i="15"/>
  <c r="L325" i="15" s="1"/>
  <c r="H329" i="15"/>
  <c r="L329" i="15" s="1"/>
  <c r="H333" i="15"/>
  <c r="L333" i="15" s="1"/>
  <c r="H339" i="15"/>
  <c r="L339" i="15" s="1"/>
  <c r="H363" i="15"/>
  <c r="L363" i="15" s="1"/>
  <c r="H346" i="15"/>
  <c r="L346" i="15" s="1"/>
  <c r="H356" i="15"/>
  <c r="L356" i="15" s="1"/>
  <c r="L39" i="17"/>
  <c r="H47" i="17"/>
  <c r="L47" i="17" s="1"/>
  <c r="H178" i="17"/>
  <c r="L178" i="17" s="1"/>
  <c r="H346" i="17"/>
  <c r="L346" i="17" s="1"/>
  <c r="H356" i="17"/>
  <c r="L356" i="17" s="1"/>
  <c r="H42" i="2"/>
  <c r="L42" i="2" s="1"/>
  <c r="H46" i="2"/>
  <c r="L46" i="2" s="1"/>
  <c r="H59" i="2"/>
  <c r="L59" i="2" s="1"/>
  <c r="H64" i="2"/>
  <c r="L64" i="2" s="1"/>
  <c r="H69" i="2"/>
  <c r="L69" i="2" s="1"/>
  <c r="H73" i="2"/>
  <c r="L73" i="2" s="1"/>
  <c r="H77" i="2"/>
  <c r="L77" i="2" s="1"/>
  <c r="H81" i="2"/>
  <c r="L81" i="2" s="1"/>
  <c r="H86" i="2"/>
  <c r="L86" i="2" s="1"/>
  <c r="H90" i="2"/>
  <c r="L90" i="2" s="1"/>
  <c r="H95" i="2"/>
  <c r="L95" i="2" s="1"/>
  <c r="H100" i="2"/>
  <c r="L100" i="2" s="1"/>
  <c r="H105" i="2"/>
  <c r="L105" i="2" s="1"/>
  <c r="H117" i="2"/>
  <c r="L117" i="2" s="1"/>
  <c r="H109" i="2"/>
  <c r="L109" i="2" s="1"/>
  <c r="H114" i="2"/>
  <c r="L114" i="2" s="1"/>
  <c r="H46" i="17"/>
  <c r="L46" i="17" s="1"/>
  <c r="H54" i="17"/>
  <c r="L54" i="17" s="1"/>
  <c r="H59" i="17"/>
  <c r="L59" i="17" s="1"/>
  <c r="H64" i="17"/>
  <c r="L64" i="17" s="1"/>
  <c r="H69" i="17"/>
  <c r="L69" i="17" s="1"/>
  <c r="H73" i="17"/>
  <c r="L73" i="17" s="1"/>
  <c r="H77" i="17"/>
  <c r="L77" i="17" s="1"/>
  <c r="H81" i="17"/>
  <c r="L81" i="17" s="1"/>
  <c r="H86" i="17"/>
  <c r="L86" i="17" s="1"/>
  <c r="H90" i="17"/>
  <c r="L90" i="17" s="1"/>
  <c r="H95" i="17"/>
  <c r="L95" i="17" s="1"/>
  <c r="H100" i="17"/>
  <c r="L100" i="17" s="1"/>
  <c r="H105" i="17"/>
  <c r="L105" i="17" s="1"/>
  <c r="H117" i="17"/>
  <c r="L117" i="17" s="1"/>
  <c r="H109" i="17"/>
  <c r="L109" i="17" s="1"/>
  <c r="H114" i="17"/>
  <c r="L114" i="17" s="1"/>
  <c r="H188" i="17"/>
  <c r="L188" i="17" s="1"/>
  <c r="H193" i="17"/>
  <c r="L193" i="17" s="1"/>
  <c r="H182" i="17"/>
  <c r="L182" i="17" s="1"/>
  <c r="K393" i="17"/>
  <c r="K397" i="17"/>
  <c r="H444" i="15"/>
  <c r="L444" i="15" s="1"/>
  <c r="H147" i="5"/>
  <c r="L147" i="5" s="1"/>
  <c r="H155" i="5"/>
  <c r="L155" i="5" s="1"/>
  <c r="H386" i="5"/>
  <c r="L386" i="5" s="1"/>
  <c r="H390" i="5"/>
  <c r="L390" i="5" s="1"/>
  <c r="H398" i="5"/>
  <c r="L398" i="5" s="1"/>
  <c r="H407" i="5"/>
  <c r="L407" i="5" s="1"/>
  <c r="H410" i="5"/>
  <c r="L410" i="5" s="1"/>
  <c r="H415" i="5"/>
  <c r="L415" i="5" s="1"/>
  <c r="H419" i="5"/>
  <c r="L419" i="5" s="1"/>
  <c r="H426" i="5"/>
  <c r="L426" i="5" s="1"/>
  <c r="H430" i="5"/>
  <c r="L430" i="5" s="1"/>
  <c r="H438" i="5"/>
  <c r="L438" i="5" s="1"/>
  <c r="H447" i="5"/>
  <c r="L447" i="5" s="1"/>
  <c r="H451" i="5"/>
  <c r="L451" i="5" s="1"/>
  <c r="H174" i="6"/>
  <c r="L174" i="6" s="1"/>
  <c r="H178" i="6"/>
  <c r="L178" i="6" s="1"/>
  <c r="H37" i="7"/>
  <c r="L37" i="7" s="1"/>
  <c r="H180" i="7"/>
  <c r="L180" i="7" s="1"/>
  <c r="H27" i="14"/>
  <c r="L27" i="14" s="1"/>
  <c r="H62" i="14"/>
  <c r="L62" i="14" s="1"/>
  <c r="H67" i="14"/>
  <c r="L67" i="14" s="1"/>
  <c r="H71" i="14"/>
  <c r="L71" i="14" s="1"/>
  <c r="H75" i="14"/>
  <c r="L75" i="14" s="1"/>
  <c r="H79" i="14"/>
  <c r="L79" i="14" s="1"/>
  <c r="H84" i="14"/>
  <c r="L84" i="14" s="1"/>
  <c r="H88" i="14"/>
  <c r="L88" i="14" s="1"/>
  <c r="H93" i="14"/>
  <c r="L93" i="14" s="1"/>
  <c r="H181" i="14"/>
  <c r="L181" i="14" s="1"/>
  <c r="H186" i="14"/>
  <c r="L186" i="14" s="1"/>
  <c r="H192" i="14"/>
  <c r="L192" i="14" s="1"/>
  <c r="H196" i="14"/>
  <c r="L196" i="14" s="1"/>
  <c r="H292" i="14"/>
  <c r="L292" i="14" s="1"/>
  <c r="H297" i="14"/>
  <c r="L297" i="14" s="1"/>
  <c r="H301" i="14"/>
  <c r="L301" i="14" s="1"/>
  <c r="H306" i="14"/>
  <c r="L306" i="14" s="1"/>
  <c r="H317" i="14"/>
  <c r="L317" i="14" s="1"/>
  <c r="H322" i="14"/>
  <c r="L322" i="14" s="1"/>
  <c r="H325" i="14"/>
  <c r="L325" i="14" s="1"/>
  <c r="H329" i="14"/>
  <c r="L329" i="14" s="1"/>
  <c r="H333" i="14"/>
  <c r="L333" i="14" s="1"/>
  <c r="H339" i="14"/>
  <c r="L339" i="14" s="1"/>
  <c r="H363" i="14"/>
  <c r="L363" i="14" s="1"/>
  <c r="H373" i="14"/>
  <c r="L373" i="14" s="1"/>
  <c r="H377" i="14"/>
  <c r="L377" i="14" s="1"/>
  <c r="H341" i="14"/>
  <c r="L341" i="14" s="1"/>
  <c r="H347" i="14"/>
  <c r="L347" i="14" s="1"/>
  <c r="H351" i="14"/>
  <c r="L351" i="14" s="1"/>
  <c r="H357" i="14"/>
  <c r="L357" i="14" s="1"/>
  <c r="H185" i="15"/>
  <c r="L185" i="15" s="1"/>
  <c r="H191" i="15"/>
  <c r="L191" i="15" s="1"/>
  <c r="H195" i="15"/>
  <c r="L195" i="15" s="1"/>
  <c r="H58" i="17"/>
  <c r="L58" i="17" s="1"/>
  <c r="H63" i="17"/>
  <c r="L63" i="17" s="1"/>
  <c r="H68" i="17"/>
  <c r="L68" i="17" s="1"/>
  <c r="H72" i="17"/>
  <c r="L72" i="17" s="1"/>
  <c r="H76" i="17"/>
  <c r="L76" i="17" s="1"/>
  <c r="H80" i="17"/>
  <c r="L80" i="17" s="1"/>
  <c r="H85" i="17"/>
  <c r="L85" i="17" s="1"/>
  <c r="H89" i="17"/>
  <c r="L89" i="17" s="1"/>
  <c r="H94" i="17"/>
  <c r="L94" i="17" s="1"/>
  <c r="H99" i="17"/>
  <c r="L99" i="17" s="1"/>
  <c r="H104" i="17"/>
  <c r="L104" i="17" s="1"/>
  <c r="H108" i="17"/>
  <c r="L108" i="17" s="1"/>
  <c r="H122" i="17"/>
  <c r="L122" i="17" s="1"/>
  <c r="H113" i="17"/>
  <c r="L113" i="17" s="1"/>
  <c r="H124" i="17"/>
  <c r="L124" i="17" s="1"/>
  <c r="H186" i="17"/>
  <c r="L186" i="17" s="1"/>
  <c r="H192" i="17"/>
  <c r="L192" i="17" s="1"/>
  <c r="H196" i="17"/>
  <c r="L196" i="17" s="1"/>
  <c r="H256" i="17"/>
  <c r="L256" i="17" s="1"/>
  <c r="H301" i="17"/>
  <c r="L301" i="17" s="1"/>
  <c r="H317" i="17"/>
  <c r="L317" i="17" s="1"/>
  <c r="H334" i="17"/>
  <c r="L334" i="17" s="1"/>
  <c r="H188" i="6"/>
  <c r="L188" i="6" s="1"/>
  <c r="H193" i="6"/>
  <c r="L193" i="6" s="1"/>
  <c r="H189" i="7"/>
  <c r="L189" i="7" s="1"/>
  <c r="H194" i="7"/>
  <c r="L194" i="7" s="1"/>
  <c r="H187" i="7"/>
  <c r="L187" i="7" s="1"/>
  <c r="H178" i="8"/>
  <c r="H185" i="14"/>
  <c r="L185" i="14" s="1"/>
  <c r="H191" i="14"/>
  <c r="L191" i="14" s="1"/>
  <c r="H195" i="14"/>
  <c r="L195" i="14" s="1"/>
  <c r="H284" i="14"/>
  <c r="L284" i="14" s="1"/>
  <c r="H288" i="14"/>
  <c r="L288" i="14" s="1"/>
  <c r="H291" i="14"/>
  <c r="L291" i="14" s="1"/>
  <c r="H296" i="14"/>
  <c r="L296" i="14" s="1"/>
  <c r="H300" i="14"/>
  <c r="L300" i="14" s="1"/>
  <c r="H305" i="14"/>
  <c r="L305" i="14" s="1"/>
  <c r="H321" i="14"/>
  <c r="L321" i="14" s="1"/>
  <c r="H346" i="14"/>
  <c r="L346" i="14" s="1"/>
  <c r="H356" i="14"/>
  <c r="L356" i="14" s="1"/>
  <c r="H137" i="17"/>
  <c r="L137" i="17" s="1"/>
  <c r="H141" i="17"/>
  <c r="L141" i="17" s="1"/>
  <c r="H146" i="17"/>
  <c r="L146" i="17" s="1"/>
  <c r="H150" i="17"/>
  <c r="L150" i="17" s="1"/>
  <c r="H154" i="17"/>
  <c r="L154" i="17" s="1"/>
  <c r="H158" i="17"/>
  <c r="L158" i="17" s="1"/>
  <c r="H209" i="17"/>
  <c r="L209" i="17" s="1"/>
  <c r="H229" i="17"/>
  <c r="L229" i="17" s="1"/>
  <c r="H233" i="17"/>
  <c r="L233" i="17" s="1"/>
  <c r="H240" i="17"/>
  <c r="L240" i="17" s="1"/>
  <c r="H243" i="17"/>
  <c r="L243" i="17" s="1"/>
  <c r="H247" i="17"/>
  <c r="L247" i="17" s="1"/>
  <c r="H251" i="17"/>
  <c r="L251" i="17" s="1"/>
  <c r="H261" i="17"/>
  <c r="L261" i="17" s="1"/>
  <c r="H265" i="17"/>
  <c r="L265" i="17" s="1"/>
  <c r="H269" i="17"/>
  <c r="L269" i="17" s="1"/>
  <c r="H273" i="17"/>
  <c r="L273" i="17" s="1"/>
  <c r="H278" i="17"/>
  <c r="L278" i="17" s="1"/>
  <c r="H282" i="17"/>
  <c r="L282" i="17" s="1"/>
  <c r="H287" i="17"/>
  <c r="L287" i="17" s="1"/>
  <c r="H291" i="17"/>
  <c r="L291" i="17" s="1"/>
  <c r="H296" i="17"/>
  <c r="L296" i="17" s="1"/>
  <c r="H300" i="17"/>
  <c r="L300" i="17" s="1"/>
  <c r="H305" i="17"/>
  <c r="L305" i="17" s="1"/>
  <c r="H321" i="17"/>
  <c r="L321" i="17" s="1"/>
  <c r="H325" i="17"/>
  <c r="L325" i="17" s="1"/>
  <c r="H329" i="17"/>
  <c r="L329" i="17" s="1"/>
  <c r="H333" i="17"/>
  <c r="L333" i="17" s="1"/>
  <c r="H339" i="17"/>
  <c r="L339" i="17" s="1"/>
  <c r="H363" i="17"/>
  <c r="L363" i="17" s="1"/>
  <c r="H341" i="17"/>
  <c r="L341" i="17" s="1"/>
  <c r="H351" i="17"/>
  <c r="L351" i="17" s="1"/>
  <c r="K42" i="6"/>
  <c r="A42" i="6"/>
  <c r="A46" i="6"/>
  <c r="K46" i="6"/>
  <c r="A64" i="6"/>
  <c r="K64" i="6"/>
  <c r="A69" i="6"/>
  <c r="K69" i="6"/>
  <c r="A86" i="6"/>
  <c r="K86" i="6"/>
  <c r="A109" i="6"/>
  <c r="K109" i="6"/>
  <c r="AB88" i="10"/>
  <c r="K126" i="6"/>
  <c r="A126" i="6"/>
  <c r="H139" i="5"/>
  <c r="L139" i="5" s="1"/>
  <c r="K139" i="6"/>
  <c r="A148" i="6"/>
  <c r="H148" i="5"/>
  <c r="L148" i="5" s="1"/>
  <c r="K148" i="6"/>
  <c r="H156" i="5"/>
  <c r="L156" i="5" s="1"/>
  <c r="K156" i="6"/>
  <c r="H163" i="5"/>
  <c r="L163" i="5" s="1"/>
  <c r="K163" i="6"/>
  <c r="H177" i="5"/>
  <c r="L177" i="5" s="1"/>
  <c r="K177" i="6"/>
  <c r="H188" i="5"/>
  <c r="L188" i="5" s="1"/>
  <c r="A188" i="6"/>
  <c r="K188" i="6"/>
  <c r="H182" i="5"/>
  <c r="L182" i="5" s="1"/>
  <c r="K182" i="6"/>
  <c r="H202" i="5"/>
  <c r="L202" i="5" s="1"/>
  <c r="A202" i="6"/>
  <c r="A218" i="6"/>
  <c r="K218" i="6"/>
  <c r="A233" i="6"/>
  <c r="K233" i="6"/>
  <c r="K240" i="6"/>
  <c r="A240" i="6"/>
  <c r="A243" i="6"/>
  <c r="K243" i="6"/>
  <c r="H243" i="5"/>
  <c r="L243" i="5" s="1"/>
  <c r="A265" i="6"/>
  <c r="K265" i="6"/>
  <c r="A287" i="6"/>
  <c r="K287" i="6"/>
  <c r="K291" i="6"/>
  <c r="A291" i="6"/>
  <c r="A300" i="6"/>
  <c r="K300" i="6"/>
  <c r="A351" i="6"/>
  <c r="K351" i="6"/>
  <c r="H387" i="5"/>
  <c r="L387" i="5" s="1"/>
  <c r="A387" i="6"/>
  <c r="A394" i="6"/>
  <c r="K394" i="6"/>
  <c r="H408" i="5"/>
  <c r="L408" i="5" s="1"/>
  <c r="A408" i="6"/>
  <c r="K408" i="6"/>
  <c r="H416" i="5"/>
  <c r="L416" i="5" s="1"/>
  <c r="A416" i="6"/>
  <c r="K416" i="6"/>
  <c r="H444" i="5"/>
  <c r="L444" i="5" s="1"/>
  <c r="A444" i="6"/>
  <c r="H48" i="6"/>
  <c r="L48" i="6" s="1"/>
  <c r="K48" i="6"/>
  <c r="A48" i="7"/>
  <c r="K48" i="7"/>
  <c r="K56" i="6"/>
  <c r="A56" i="7"/>
  <c r="A67" i="7"/>
  <c r="K67" i="6"/>
  <c r="K67" i="7"/>
  <c r="A75" i="7"/>
  <c r="K75" i="6"/>
  <c r="K75" i="7"/>
  <c r="A84" i="7"/>
  <c r="K84" i="7"/>
  <c r="A93" i="7"/>
  <c r="K93" i="6"/>
  <c r="K93" i="7"/>
  <c r="A103" i="7"/>
  <c r="K103" i="6"/>
  <c r="K103" i="7"/>
  <c r="K120" i="6"/>
  <c r="A119" i="7"/>
  <c r="K119" i="7"/>
  <c r="K123" i="6"/>
  <c r="A123" i="7"/>
  <c r="K123" i="7"/>
  <c r="H132" i="6"/>
  <c r="L132" i="6" s="1"/>
  <c r="K132" i="6"/>
  <c r="K132" i="7"/>
  <c r="A132" i="7"/>
  <c r="H141" i="6"/>
  <c r="L141" i="6" s="1"/>
  <c r="K141" i="7"/>
  <c r="A141" i="7"/>
  <c r="H150" i="6"/>
  <c r="L150" i="6" s="1"/>
  <c r="K150" i="6"/>
  <c r="K150" i="7"/>
  <c r="A150" i="7"/>
  <c r="H158" i="6"/>
  <c r="L158" i="6" s="1"/>
  <c r="K158" i="7"/>
  <c r="K158" i="6"/>
  <c r="A158" i="7"/>
  <c r="H165" i="6"/>
  <c r="L165" i="6" s="1"/>
  <c r="K165" i="6"/>
  <c r="K165" i="7"/>
  <c r="A165" i="7"/>
  <c r="H180" i="6"/>
  <c r="L180" i="6" s="1"/>
  <c r="K180" i="6"/>
  <c r="A180" i="7"/>
  <c r="K180" i="7"/>
  <c r="H195" i="6"/>
  <c r="L195" i="6" s="1"/>
  <c r="K195" i="7"/>
  <c r="K195" i="6"/>
  <c r="A195" i="7"/>
  <c r="H200" i="6"/>
  <c r="L200" i="6" s="1"/>
  <c r="K200" i="6"/>
  <c r="A200" i="7"/>
  <c r="K200" i="7"/>
  <c r="K209" i="6"/>
  <c r="K209" i="7"/>
  <c r="A209" i="7"/>
  <c r="K227" i="7"/>
  <c r="A227" i="7"/>
  <c r="K241" i="7"/>
  <c r="A241" i="7"/>
  <c r="K248" i="7"/>
  <c r="A248" i="7"/>
  <c r="K256" i="7"/>
  <c r="A256" i="7"/>
  <c r="H256" i="6"/>
  <c r="L256" i="6" s="1"/>
  <c r="K266" i="7"/>
  <c r="A266" i="7"/>
  <c r="K279" i="7"/>
  <c r="A279" i="7"/>
  <c r="K288" i="7"/>
  <c r="A288" i="7"/>
  <c r="K292" i="7"/>
  <c r="A292" i="7"/>
  <c r="H292" i="6"/>
  <c r="L292" i="6" s="1"/>
  <c r="K301" i="7"/>
  <c r="A301" i="7"/>
  <c r="K322" i="7"/>
  <c r="A322" i="7"/>
  <c r="K330" i="7"/>
  <c r="A330" i="7"/>
  <c r="H364" i="6"/>
  <c r="L364" i="6" s="1"/>
  <c r="K364" i="7"/>
  <c r="A364" i="7"/>
  <c r="H392" i="6"/>
  <c r="L392" i="6" s="1"/>
  <c r="A393" i="7"/>
  <c r="H401" i="6"/>
  <c r="L401" i="6" s="1"/>
  <c r="A401" i="7"/>
  <c r="H405" i="6"/>
  <c r="L405" i="6" s="1"/>
  <c r="A405" i="7"/>
  <c r="H409" i="6"/>
  <c r="L409" i="6" s="1"/>
  <c r="K409" i="6"/>
  <c r="A409" i="7"/>
  <c r="L413" i="6"/>
  <c r="K413" i="6"/>
  <c r="H25" i="7"/>
  <c r="L25" i="7" s="1"/>
  <c r="AK83" i="10"/>
  <c r="K25" i="7"/>
  <c r="H43" i="7"/>
  <c r="L43" i="7" s="1"/>
  <c r="K43" i="7"/>
  <c r="A43" i="8"/>
  <c r="K43" i="14" s="1"/>
  <c r="H51" i="7"/>
  <c r="L51" i="7" s="1"/>
  <c r="K51" i="7"/>
  <c r="A51" i="8"/>
  <c r="K51" i="14" s="1"/>
  <c r="H55" i="7"/>
  <c r="L55" i="7" s="1"/>
  <c r="K55" i="7"/>
  <c r="A55" i="8"/>
  <c r="K55" i="14" s="1"/>
  <c r="H181" i="7"/>
  <c r="L181" i="7" s="1"/>
  <c r="K181" i="7"/>
  <c r="A181" i="8"/>
  <c r="K181" i="14" s="1"/>
  <c r="H192" i="7"/>
  <c r="L192" i="7" s="1"/>
  <c r="K192" i="7"/>
  <c r="A192" i="8"/>
  <c r="K192" i="14" s="1"/>
  <c r="H197" i="7"/>
  <c r="L197" i="7" s="1"/>
  <c r="K197" i="7"/>
  <c r="A197" i="8"/>
  <c r="K197" i="14" s="1"/>
  <c r="K206" i="7"/>
  <c r="K206" i="8"/>
  <c r="A206" i="8"/>
  <c r="K206" i="14" s="1"/>
  <c r="K229" i="7"/>
  <c r="A229" i="8"/>
  <c r="K229" i="14" s="1"/>
  <c r="K231" i="7"/>
  <c r="A231" i="8"/>
  <c r="K231" i="14" s="1"/>
  <c r="K238" i="7"/>
  <c r="A238" i="8"/>
  <c r="K238" i="14" s="1"/>
  <c r="A237" i="8"/>
  <c r="K237" i="14" s="1"/>
  <c r="K237" i="7"/>
  <c r="K245" i="7"/>
  <c r="A245" i="8"/>
  <c r="K245" i="14" s="1"/>
  <c r="K249" i="7"/>
  <c r="A249" i="8"/>
  <c r="K249" i="14" s="1"/>
  <c r="K263" i="7"/>
  <c r="A263" i="8"/>
  <c r="K263" i="14" s="1"/>
  <c r="A298" i="8"/>
  <c r="K298" i="14" s="1"/>
  <c r="K298" i="7"/>
  <c r="A307" i="8"/>
  <c r="K307" i="14" s="1"/>
  <c r="K307" i="7"/>
  <c r="A323" i="8"/>
  <c r="K323" i="14" s="1"/>
  <c r="K323" i="7"/>
  <c r="H323" i="7"/>
  <c r="L323" i="7" s="1"/>
  <c r="A359" i="8"/>
  <c r="K359" i="14" s="1"/>
  <c r="K359" i="7"/>
  <c r="A371" i="8"/>
  <c r="K371" i="14" s="1"/>
  <c r="K371" i="7"/>
  <c r="K345" i="7"/>
  <c r="K345" i="8"/>
  <c r="A345" i="8"/>
  <c r="K345" i="14" s="1"/>
  <c r="L443" i="7"/>
  <c r="K443" i="7"/>
  <c r="K443" i="8"/>
  <c r="A443" i="8"/>
  <c r="K443" i="14" s="1"/>
  <c r="K451" i="7"/>
  <c r="K451" i="8"/>
  <c r="A451" i="8"/>
  <c r="K451" i="14" s="1"/>
  <c r="K39" i="8"/>
  <c r="A39" i="17"/>
  <c r="K39" i="17" s="1"/>
  <c r="A39" i="19"/>
  <c r="K39" i="19" s="1"/>
  <c r="K47" i="8"/>
  <c r="A47" i="17"/>
  <c r="K47" i="17" s="1"/>
  <c r="A47" i="19"/>
  <c r="K47" i="19" s="1"/>
  <c r="H55" i="8"/>
  <c r="K55" i="8"/>
  <c r="A55" i="17"/>
  <c r="K55" i="17" s="1"/>
  <c r="A55" i="19"/>
  <c r="K55" i="19" s="1"/>
  <c r="A65" i="15"/>
  <c r="K65" i="15" s="1"/>
  <c r="K65" i="8"/>
  <c r="A65" i="14"/>
  <c r="A74" i="15"/>
  <c r="K74" i="15" s="1"/>
  <c r="K74" i="8"/>
  <c r="A74" i="14"/>
  <c r="A82" i="15"/>
  <c r="K82" i="15" s="1"/>
  <c r="K82" i="8"/>
  <c r="A82" i="14"/>
  <c r="H132" i="8"/>
  <c r="A132" i="17"/>
  <c r="K132" i="17" s="1"/>
  <c r="A132" i="19"/>
  <c r="K132" i="19" s="1"/>
  <c r="H142" i="8"/>
  <c r="L142" i="8" s="1"/>
  <c r="K142" i="8"/>
  <c r="A142" i="17"/>
  <c r="K142" i="17" s="1"/>
  <c r="A142" i="19"/>
  <c r="K142" i="19" s="1"/>
  <c r="A142" i="15"/>
  <c r="K142" i="15" s="1"/>
  <c r="H151" i="8"/>
  <c r="L151" i="19" s="1"/>
  <c r="K151" i="8"/>
  <c r="A151" i="17"/>
  <c r="K151" i="17" s="1"/>
  <c r="A151" i="19"/>
  <c r="K151" i="19" s="1"/>
  <c r="A151" i="15"/>
  <c r="K151" i="15" s="1"/>
  <c r="H159" i="8"/>
  <c r="L159" i="19" s="1"/>
  <c r="K159" i="8"/>
  <c r="A159" i="17"/>
  <c r="K159" i="17" s="1"/>
  <c r="A159" i="19"/>
  <c r="K159" i="19" s="1"/>
  <c r="A159" i="15"/>
  <c r="K159" i="15" s="1"/>
  <c r="H166" i="8"/>
  <c r="L166" i="8" s="1"/>
  <c r="K166" i="8"/>
  <c r="A166" i="17"/>
  <c r="K166" i="17" s="1"/>
  <c r="A166" i="19"/>
  <c r="K166" i="19" s="1"/>
  <c r="A166" i="15"/>
  <c r="K166" i="15" s="1"/>
  <c r="H181" i="8"/>
  <c r="H181" i="19" s="1"/>
  <c r="L181" i="19" s="1"/>
  <c r="K181" i="8"/>
  <c r="A181" i="17"/>
  <c r="K181" i="17" s="1"/>
  <c r="A181" i="19"/>
  <c r="K181" i="19" s="1"/>
  <c r="H192" i="8"/>
  <c r="K192" i="8"/>
  <c r="A192" i="17"/>
  <c r="K192" i="17" s="1"/>
  <c r="A191" i="19"/>
  <c r="K191" i="19" s="1"/>
  <c r="H201" i="8"/>
  <c r="K201" i="8"/>
  <c r="A201" i="17"/>
  <c r="K201" i="17" s="1"/>
  <c r="A201" i="19"/>
  <c r="K201" i="19" s="1"/>
  <c r="H377" i="8"/>
  <c r="L377" i="8" s="1"/>
  <c r="K377" i="8"/>
  <c r="A377" i="14"/>
  <c r="A377" i="17"/>
  <c r="K377" i="17" s="1"/>
  <c r="H347" i="8"/>
  <c r="L347" i="19" s="1"/>
  <c r="A347" i="17"/>
  <c r="K347" i="17" s="1"/>
  <c r="A347" i="14"/>
  <c r="H357" i="8"/>
  <c r="K357" i="8"/>
  <c r="A357" i="17"/>
  <c r="K357" i="17" s="1"/>
  <c r="A357" i="14"/>
  <c r="A357" i="19"/>
  <c r="K357" i="19" s="1"/>
  <c r="K391" i="8"/>
  <c r="A391" i="14"/>
  <c r="A391" i="17"/>
  <c r="K391" i="17" s="1"/>
  <c r="K399" i="8"/>
  <c r="A399" i="14"/>
  <c r="A399" i="17"/>
  <c r="K399" i="17" s="1"/>
  <c r="K411" i="8"/>
  <c r="A411" i="14"/>
  <c r="A411" i="17"/>
  <c r="K411" i="17" s="1"/>
  <c r="K419" i="8"/>
  <c r="A419" i="14"/>
  <c r="A419" i="17"/>
  <c r="K419" i="17" s="1"/>
  <c r="K427" i="8"/>
  <c r="A427" i="14"/>
  <c r="A427" i="17"/>
  <c r="K427" i="17" s="1"/>
  <c r="K439" i="8"/>
  <c r="A439" i="14"/>
  <c r="A439" i="17"/>
  <c r="K439" i="17" s="1"/>
  <c r="K389" i="17"/>
  <c r="K421" i="17"/>
  <c r="H245" i="7"/>
  <c r="L245" i="7" s="1"/>
  <c r="H331" i="7"/>
  <c r="L331" i="7" s="1"/>
  <c r="H265" i="5"/>
  <c r="L265" i="5" s="1"/>
  <c r="H351" i="5"/>
  <c r="L351" i="5" s="1"/>
  <c r="H298" i="7"/>
  <c r="L298" i="7" s="1"/>
  <c r="H357" i="5"/>
  <c r="L357" i="5" s="1"/>
  <c r="H225" i="7"/>
  <c r="L225" i="7" s="1"/>
  <c r="H345" i="7"/>
  <c r="L345" i="7" s="1"/>
  <c r="H263" i="7"/>
  <c r="L263" i="7" s="1"/>
  <c r="AK92" i="10"/>
  <c r="K397" i="8"/>
  <c r="A138" i="8"/>
  <c r="K138" i="14" s="1"/>
  <c r="A147" i="8"/>
  <c r="K147" i="14" s="1"/>
  <c r="A166" i="8"/>
  <c r="K166" i="14" s="1"/>
  <c r="K74" i="7"/>
  <c r="K185" i="7"/>
  <c r="K337" i="7"/>
  <c r="K397" i="7"/>
  <c r="K401" i="7"/>
  <c r="K413" i="7"/>
  <c r="K417" i="7"/>
  <c r="A417" i="7"/>
  <c r="A443" i="7"/>
  <c r="K40" i="6"/>
  <c r="K50" i="6"/>
  <c r="K59" i="6"/>
  <c r="K90" i="6"/>
  <c r="K105" i="6"/>
  <c r="K339" i="6"/>
  <c r="K391" i="6"/>
  <c r="A282" i="6"/>
  <c r="K54" i="6"/>
  <c r="A54" i="6"/>
  <c r="A77" i="6"/>
  <c r="K77" i="6"/>
  <c r="A95" i="6"/>
  <c r="K95" i="6"/>
  <c r="A100" i="6"/>
  <c r="K100" i="6"/>
  <c r="A117" i="6"/>
  <c r="K117" i="6"/>
  <c r="A114" i="6"/>
  <c r="K114" i="6"/>
  <c r="A130" i="6"/>
  <c r="H130" i="5"/>
  <c r="L130" i="5" s="1"/>
  <c r="K130" i="6"/>
  <c r="H135" i="5"/>
  <c r="L135" i="5" s="1"/>
  <c r="K135" i="6"/>
  <c r="A135" i="6"/>
  <c r="K143" i="6"/>
  <c r="A143" i="6"/>
  <c r="H143" i="5"/>
  <c r="L143" i="5" s="1"/>
  <c r="H152" i="5"/>
  <c r="L152" i="5" s="1"/>
  <c r="K152" i="6"/>
  <c r="H145" i="5"/>
  <c r="L145" i="5" s="1"/>
  <c r="K145" i="6"/>
  <c r="A168" i="6"/>
  <c r="K168" i="6"/>
  <c r="H183" i="5"/>
  <c r="L183" i="5" s="1"/>
  <c r="K183" i="6"/>
  <c r="A183" i="6"/>
  <c r="H193" i="5"/>
  <c r="L193" i="5" s="1"/>
  <c r="A193" i="6"/>
  <c r="H198" i="5"/>
  <c r="L198" i="5" s="1"/>
  <c r="A198" i="6"/>
  <c r="K198" i="6"/>
  <c r="A207" i="6"/>
  <c r="K207" i="6"/>
  <c r="A251" i="6"/>
  <c r="K251" i="6"/>
  <c r="K255" i="6"/>
  <c r="A255" i="6"/>
  <c r="K273" i="6"/>
  <c r="A273" i="6"/>
  <c r="A278" i="6"/>
  <c r="H278" i="5"/>
  <c r="L278" i="5" s="1"/>
  <c r="A305" i="6"/>
  <c r="K305" i="6"/>
  <c r="K316" i="6"/>
  <c r="A316" i="6"/>
  <c r="A321" i="6"/>
  <c r="K321" i="6"/>
  <c r="A329" i="6"/>
  <c r="K329" i="6"/>
  <c r="K333" i="6"/>
  <c r="A333" i="6"/>
  <c r="A363" i="6"/>
  <c r="H363" i="5"/>
  <c r="L363" i="5" s="1"/>
  <c r="K363" i="6"/>
  <c r="A370" i="6"/>
  <c r="H370" i="5"/>
  <c r="L370" i="5" s="1"/>
  <c r="K341" i="6"/>
  <c r="A341" i="6"/>
  <c r="H399" i="5"/>
  <c r="L399" i="5" s="1"/>
  <c r="K399" i="6"/>
  <c r="H404" i="5"/>
  <c r="L404" i="5" s="1"/>
  <c r="K404" i="6"/>
  <c r="A412" i="6"/>
  <c r="K412" i="6"/>
  <c r="H420" i="5"/>
  <c r="L420" i="5" s="1"/>
  <c r="K420" i="6"/>
  <c r="H427" i="5"/>
  <c r="L427" i="5" s="1"/>
  <c r="A427" i="6"/>
  <c r="H434" i="5"/>
  <c r="L434" i="5" s="1"/>
  <c r="A434" i="6"/>
  <c r="H435" i="5"/>
  <c r="L435" i="5" s="1"/>
  <c r="K435" i="6"/>
  <c r="H452" i="5"/>
  <c r="L452" i="5" s="1"/>
  <c r="K452" i="6"/>
  <c r="A452" i="6"/>
  <c r="H27" i="6"/>
  <c r="L27" i="6" s="1"/>
  <c r="K27" i="7"/>
  <c r="A44" i="7"/>
  <c r="K44" i="6"/>
  <c r="H52" i="6"/>
  <c r="L52" i="6" s="1"/>
  <c r="K52" i="6"/>
  <c r="A52" i="7"/>
  <c r="K52" i="7"/>
  <c r="A62" i="7"/>
  <c r="K62" i="6"/>
  <c r="K62" i="7"/>
  <c r="K71" i="6"/>
  <c r="A71" i="7"/>
  <c r="K71" i="7"/>
  <c r="K79" i="6"/>
  <c r="A79" i="7"/>
  <c r="K79" i="7"/>
  <c r="K88" i="6"/>
  <c r="A88" i="7"/>
  <c r="K88" i="7"/>
  <c r="A98" i="7"/>
  <c r="K98" i="7"/>
  <c r="K107" i="6"/>
  <c r="A107" i="7"/>
  <c r="K107" i="7"/>
  <c r="A112" i="7"/>
  <c r="K112" i="6"/>
  <c r="K112" i="7"/>
  <c r="K128" i="7"/>
  <c r="K128" i="6"/>
  <c r="H128" i="6"/>
  <c r="L128" i="6" s="1"/>
  <c r="A128" i="7"/>
  <c r="H137" i="6"/>
  <c r="L137" i="6" s="1"/>
  <c r="K137" i="7"/>
  <c r="K137" i="6"/>
  <c r="A137" i="7"/>
  <c r="K146" i="7"/>
  <c r="K146" i="6"/>
  <c r="A146" i="7"/>
  <c r="H154" i="6"/>
  <c r="L154" i="6" s="1"/>
  <c r="K154" i="7"/>
  <c r="K154" i="6"/>
  <c r="A154" i="7"/>
  <c r="H161" i="6"/>
  <c r="L161" i="6" s="1"/>
  <c r="K161" i="7"/>
  <c r="A161" i="7"/>
  <c r="H175" i="6"/>
  <c r="L175" i="6" s="1"/>
  <c r="K175" i="6"/>
  <c r="A175" i="7"/>
  <c r="K175" i="7"/>
  <c r="H185" i="6"/>
  <c r="L185" i="6" s="1"/>
  <c r="A185" i="7"/>
  <c r="H191" i="6"/>
  <c r="L191" i="6" s="1"/>
  <c r="K191" i="6"/>
  <c r="A191" i="7"/>
  <c r="K191" i="7"/>
  <c r="H190" i="6"/>
  <c r="L190" i="6" s="1"/>
  <c r="A190" i="7"/>
  <c r="K190" i="7"/>
  <c r="H204" i="6"/>
  <c r="L204" i="6" s="1"/>
  <c r="K204" i="6"/>
  <c r="A204" i="7"/>
  <c r="K223" i="7"/>
  <c r="A223" i="7"/>
  <c r="K223" i="6"/>
  <c r="K220" i="7"/>
  <c r="A220" i="7"/>
  <c r="K220" i="6"/>
  <c r="K235" i="7"/>
  <c r="A235" i="7"/>
  <c r="K244" i="7"/>
  <c r="A244" i="7"/>
  <c r="K252" i="7"/>
  <c r="A252" i="7"/>
  <c r="K262" i="7"/>
  <c r="A262" i="7"/>
  <c r="K270" i="7"/>
  <c r="A270" i="7"/>
  <c r="K275" i="7"/>
  <c r="A275" i="7"/>
  <c r="K284" i="7"/>
  <c r="A284" i="7"/>
  <c r="K297" i="7"/>
  <c r="A297" i="7"/>
  <c r="K306" i="7"/>
  <c r="A306" i="7"/>
  <c r="K317" i="7"/>
  <c r="A317" i="7"/>
  <c r="K326" i="7"/>
  <c r="A326" i="7"/>
  <c r="K334" i="7"/>
  <c r="A334" i="7"/>
  <c r="K358" i="7"/>
  <c r="A358" i="7"/>
  <c r="K370" i="7"/>
  <c r="A370" i="7"/>
  <c r="H375" i="6"/>
  <c r="L375" i="6" s="1"/>
  <c r="K375" i="6"/>
  <c r="A375" i="7"/>
  <c r="H379" i="6"/>
  <c r="L379" i="6" s="1"/>
  <c r="K379" i="6"/>
  <c r="A379" i="7"/>
  <c r="K345" i="6"/>
  <c r="A345" i="7"/>
  <c r="A348" i="7"/>
  <c r="H349" i="6"/>
  <c r="L349" i="6" s="1"/>
  <c r="K349" i="6"/>
  <c r="K348" i="7"/>
  <c r="H389" i="6"/>
  <c r="L389" i="6" s="1"/>
  <c r="K389" i="6"/>
  <c r="A389" i="7"/>
  <c r="H397" i="6"/>
  <c r="L397" i="6" s="1"/>
  <c r="A397" i="7"/>
  <c r="H422" i="6"/>
  <c r="L422" i="6" s="1"/>
  <c r="A422" i="7"/>
  <c r="K422" i="6"/>
  <c r="K422" i="7"/>
  <c r="H426" i="6"/>
  <c r="L426" i="6" s="1"/>
  <c r="A426" i="7"/>
  <c r="K426" i="6"/>
  <c r="K426" i="7"/>
  <c r="H430" i="6"/>
  <c r="L430" i="6" s="1"/>
  <c r="A430" i="7"/>
  <c r="K430" i="7"/>
  <c r="K430" i="6"/>
  <c r="K433" i="6"/>
  <c r="A434" i="7"/>
  <c r="K434" i="7"/>
  <c r="H438" i="6"/>
  <c r="L438" i="6" s="1"/>
  <c r="K438" i="6"/>
  <c r="A438" i="7"/>
  <c r="K438" i="7"/>
  <c r="K39" i="7"/>
  <c r="A39" i="8"/>
  <c r="K39" i="14" s="1"/>
  <c r="AK87" i="10"/>
  <c r="K47" i="7"/>
  <c r="A47" i="8"/>
  <c r="K47" i="14" s="1"/>
  <c r="A92" i="8"/>
  <c r="K92" i="14" s="1"/>
  <c r="K92" i="8"/>
  <c r="K124" i="7"/>
  <c r="A124" i="8"/>
  <c r="K124" i="14" s="1"/>
  <c r="H129" i="7"/>
  <c r="L129" i="7" s="1"/>
  <c r="K129" i="8"/>
  <c r="A129" i="8"/>
  <c r="K129" i="14" s="1"/>
  <c r="K129" i="7"/>
  <c r="H133" i="7"/>
  <c r="L133" i="7" s="1"/>
  <c r="K133" i="8"/>
  <c r="A133" i="8"/>
  <c r="K133" i="14" s="1"/>
  <c r="H142" i="7"/>
  <c r="L142" i="7" s="1"/>
  <c r="K142" i="7"/>
  <c r="H151" i="7"/>
  <c r="L151" i="7" s="1"/>
  <c r="K151" i="7"/>
  <c r="H155" i="7"/>
  <c r="L155" i="7" s="1"/>
  <c r="K155" i="7"/>
  <c r="H159" i="7"/>
  <c r="L159" i="7" s="1"/>
  <c r="K159" i="7"/>
  <c r="H162" i="7"/>
  <c r="L162" i="7" s="1"/>
  <c r="K162" i="7"/>
  <c r="H176" i="7"/>
  <c r="L176" i="7" s="1"/>
  <c r="A176" i="8"/>
  <c r="K176" i="14" s="1"/>
  <c r="K176" i="7"/>
  <c r="H186" i="7"/>
  <c r="L186" i="7" s="1"/>
  <c r="K186" i="7"/>
  <c r="A186" i="8"/>
  <c r="K186" i="14" s="1"/>
  <c r="H196" i="7"/>
  <c r="L196" i="7" s="1"/>
  <c r="K196" i="7"/>
  <c r="A196" i="8"/>
  <c r="K196" i="14" s="1"/>
  <c r="H201" i="7"/>
  <c r="L201" i="7" s="1"/>
  <c r="K201" i="7"/>
  <c r="A201" i="8"/>
  <c r="K201" i="14" s="1"/>
  <c r="A257" i="8"/>
  <c r="K257" i="14" s="1"/>
  <c r="H257" i="7"/>
  <c r="L257" i="7" s="1"/>
  <c r="K267" i="7"/>
  <c r="A267" i="8"/>
  <c r="K267" i="14" s="1"/>
  <c r="K271" i="7"/>
  <c r="A271" i="8"/>
  <c r="K271" i="14" s="1"/>
  <c r="A276" i="8"/>
  <c r="K276" i="14" s="1"/>
  <c r="K276" i="7"/>
  <c r="A280" i="8"/>
  <c r="K280" i="14" s="1"/>
  <c r="K280" i="7"/>
  <c r="A285" i="8"/>
  <c r="K285" i="14" s="1"/>
  <c r="K285" i="7"/>
  <c r="A302" i="8"/>
  <c r="K302" i="14" s="1"/>
  <c r="K302" i="7"/>
  <c r="A318" i="8"/>
  <c r="K318" i="14" s="1"/>
  <c r="K318" i="7"/>
  <c r="A327" i="8"/>
  <c r="K327" i="14" s="1"/>
  <c r="K327" i="7"/>
  <c r="H365" i="7"/>
  <c r="L365" i="7" s="1"/>
  <c r="A365" i="8"/>
  <c r="K365" i="14" s="1"/>
  <c r="K365" i="7"/>
  <c r="H375" i="7"/>
  <c r="L375" i="7" s="1"/>
  <c r="A375" i="8"/>
  <c r="K375" i="14" s="1"/>
  <c r="K375" i="7"/>
  <c r="H379" i="7"/>
  <c r="L379" i="7" s="1"/>
  <c r="A379" i="8"/>
  <c r="K379" i="14" s="1"/>
  <c r="K379" i="7"/>
  <c r="K379" i="8"/>
  <c r="K349" i="7"/>
  <c r="K349" i="8"/>
  <c r="A349" i="8"/>
  <c r="K349" i="14" s="1"/>
  <c r="K355" i="7"/>
  <c r="K355" i="8"/>
  <c r="A355" i="8"/>
  <c r="K355" i="14" s="1"/>
  <c r="L385" i="7"/>
  <c r="A385" i="8"/>
  <c r="K385" i="14" s="1"/>
  <c r="A389" i="8"/>
  <c r="K389" i="14" s="1"/>
  <c r="K389" i="8"/>
  <c r="A393" i="8"/>
  <c r="K393" i="14" s="1"/>
  <c r="K393" i="8"/>
  <c r="A405" i="8"/>
  <c r="K405" i="14" s="1"/>
  <c r="K405" i="8"/>
  <c r="A409" i="8"/>
  <c r="K409" i="14" s="1"/>
  <c r="K409" i="8"/>
  <c r="A421" i="8"/>
  <c r="K421" i="14" s="1"/>
  <c r="K421" i="8"/>
  <c r="A425" i="8"/>
  <c r="K425" i="14" s="1"/>
  <c r="K425" i="7"/>
  <c r="K425" i="8"/>
  <c r="A429" i="8"/>
  <c r="K429" i="14" s="1"/>
  <c r="K429" i="7"/>
  <c r="A437" i="8"/>
  <c r="K437" i="14" s="1"/>
  <c r="K437" i="8"/>
  <c r="K464" i="8"/>
  <c r="K447" i="8"/>
  <c r="K447" i="7"/>
  <c r="A447" i="8"/>
  <c r="K447" i="14" s="1"/>
  <c r="H25" i="8"/>
  <c r="L25" i="8" s="1"/>
  <c r="A25" i="19"/>
  <c r="K25" i="19" s="1"/>
  <c r="A25" i="14"/>
  <c r="H43" i="8"/>
  <c r="L43" i="8" s="1"/>
  <c r="K43" i="8"/>
  <c r="A43" i="17"/>
  <c r="K43" i="17" s="1"/>
  <c r="A43" i="19"/>
  <c r="K43" i="19" s="1"/>
  <c r="H51" i="8"/>
  <c r="K51" i="8"/>
  <c r="A51" i="17"/>
  <c r="K51" i="17" s="1"/>
  <c r="A51" i="19"/>
  <c r="K51" i="19" s="1"/>
  <c r="A61" i="15"/>
  <c r="K61" i="15" s="1"/>
  <c r="K61" i="8"/>
  <c r="A61" i="14"/>
  <c r="A70" i="15"/>
  <c r="K70" i="15" s="1"/>
  <c r="K70" i="8"/>
  <c r="A70" i="14"/>
  <c r="A78" i="15"/>
  <c r="K78" i="15" s="1"/>
  <c r="K78" i="8"/>
  <c r="A78" i="14"/>
  <c r="A87" i="15"/>
  <c r="K87" i="15" s="1"/>
  <c r="K87" i="8"/>
  <c r="A87" i="14"/>
  <c r="H128" i="8"/>
  <c r="L128" i="19" s="1"/>
  <c r="A128" i="17"/>
  <c r="K128" i="17" s="1"/>
  <c r="A128" i="19"/>
  <c r="K128" i="19" s="1"/>
  <c r="H138" i="8"/>
  <c r="L138" i="8" s="1"/>
  <c r="K138" i="8"/>
  <c r="A138" i="17"/>
  <c r="K138" i="17" s="1"/>
  <c r="A138" i="19"/>
  <c r="K138" i="19" s="1"/>
  <c r="A138" i="15"/>
  <c r="K138" i="15" s="1"/>
  <c r="H147" i="8"/>
  <c r="L147" i="19" s="1"/>
  <c r="K147" i="8"/>
  <c r="A147" i="17"/>
  <c r="K147" i="17" s="1"/>
  <c r="A147" i="19"/>
  <c r="K147" i="19" s="1"/>
  <c r="A147" i="15"/>
  <c r="K147" i="15" s="1"/>
  <c r="H155" i="8"/>
  <c r="L155" i="8" s="1"/>
  <c r="K155" i="8"/>
  <c r="A155" i="17"/>
  <c r="K155" i="17" s="1"/>
  <c r="A155" i="19"/>
  <c r="K155" i="19" s="1"/>
  <c r="A155" i="15"/>
  <c r="K155" i="15" s="1"/>
  <c r="H162" i="8"/>
  <c r="L162" i="19" s="1"/>
  <c r="K162" i="8"/>
  <c r="A162" i="17"/>
  <c r="K162" i="17" s="1"/>
  <c r="A162" i="19"/>
  <c r="K162" i="19" s="1"/>
  <c r="A162" i="15"/>
  <c r="K162" i="15" s="1"/>
  <c r="H176" i="8"/>
  <c r="A176" i="14"/>
  <c r="H186" i="8"/>
  <c r="K186" i="8"/>
  <c r="A186" i="17"/>
  <c r="K186" i="17" s="1"/>
  <c r="A185" i="19"/>
  <c r="K185" i="19" s="1"/>
  <c r="H196" i="8"/>
  <c r="K196" i="8"/>
  <c r="A196" i="17"/>
  <c r="K196" i="17" s="1"/>
  <c r="A195" i="19"/>
  <c r="K195" i="19" s="1"/>
  <c r="H197" i="8"/>
  <c r="K197" i="8"/>
  <c r="A197" i="17"/>
  <c r="K197" i="17" s="1"/>
  <c r="A197" i="19"/>
  <c r="K197" i="19" s="1"/>
  <c r="H373" i="8"/>
  <c r="L373" i="8" s="1"/>
  <c r="K373" i="8"/>
  <c r="A373" i="14"/>
  <c r="A373" i="17"/>
  <c r="K373" i="17" s="1"/>
  <c r="H341" i="8"/>
  <c r="L341" i="8" s="1"/>
  <c r="A341" i="17"/>
  <c r="K341" i="17" s="1"/>
  <c r="K341" i="8"/>
  <c r="A341" i="14"/>
  <c r="H351" i="8"/>
  <c r="L351" i="19" s="1"/>
  <c r="A351" i="17"/>
  <c r="K351" i="17" s="1"/>
  <c r="A351" i="14"/>
  <c r="K387" i="8"/>
  <c r="A387" i="14"/>
  <c r="A387" i="17"/>
  <c r="K387" i="17" s="1"/>
  <c r="K395" i="8"/>
  <c r="A395" i="14"/>
  <c r="A395" i="17"/>
  <c r="K395" i="17" s="1"/>
  <c r="K403" i="8"/>
  <c r="A403" i="14"/>
  <c r="A403" i="17"/>
  <c r="K403" i="17" s="1"/>
  <c r="K407" i="8"/>
  <c r="A407" i="14"/>
  <c r="A407" i="17"/>
  <c r="K407" i="17" s="1"/>
  <c r="K415" i="8"/>
  <c r="A415" i="14"/>
  <c r="A415" i="17"/>
  <c r="K415" i="17" s="1"/>
  <c r="K423" i="8"/>
  <c r="A423" i="14"/>
  <c r="A423" i="17"/>
  <c r="K423" i="17" s="1"/>
  <c r="K431" i="8"/>
  <c r="A431" i="14"/>
  <c r="A431" i="17"/>
  <c r="K431" i="17" s="1"/>
  <c r="K435" i="8"/>
  <c r="A435" i="14"/>
  <c r="A435" i="17"/>
  <c r="K435" i="17" s="1"/>
  <c r="A445" i="15"/>
  <c r="K445" i="15" s="1"/>
  <c r="A449" i="15"/>
  <c r="K449" i="15" s="1"/>
  <c r="A453" i="14"/>
  <c r="K453" i="8"/>
  <c r="A453" i="15"/>
  <c r="K453" i="15" s="1"/>
  <c r="H341" i="5"/>
  <c r="L341" i="5" s="1"/>
  <c r="H253" i="7"/>
  <c r="L253" i="7" s="1"/>
  <c r="H294" i="7"/>
  <c r="L294" i="7" s="1"/>
  <c r="H337" i="7"/>
  <c r="L337" i="7" s="1"/>
  <c r="H291" i="5"/>
  <c r="L291" i="5" s="1"/>
  <c r="H300" i="5"/>
  <c r="L300" i="5" s="1"/>
  <c r="H276" i="7"/>
  <c r="L276" i="7" s="1"/>
  <c r="H334" i="6"/>
  <c r="L334" i="6" s="1"/>
  <c r="H249" i="7"/>
  <c r="L249" i="7" s="1"/>
  <c r="H252" i="6"/>
  <c r="L252" i="6" s="1"/>
  <c r="H355" i="6"/>
  <c r="L355" i="6" s="1"/>
  <c r="H339" i="5"/>
  <c r="L339" i="5" s="1"/>
  <c r="H317" i="6"/>
  <c r="L317" i="6" s="1"/>
  <c r="H262" i="6"/>
  <c r="L262" i="6" s="1"/>
  <c r="H287" i="5"/>
  <c r="L287" i="5" s="1"/>
  <c r="H301" i="6"/>
  <c r="L301" i="6" s="1"/>
  <c r="H238" i="7"/>
  <c r="L238" i="7" s="1"/>
  <c r="AK86" i="10"/>
  <c r="AK91" i="10"/>
  <c r="K25" i="8"/>
  <c r="A176" i="19"/>
  <c r="K176" i="19" s="1"/>
  <c r="A61" i="17"/>
  <c r="K61" i="17" s="1"/>
  <c r="A65" i="17"/>
  <c r="K65" i="17" s="1"/>
  <c r="A70" i="17"/>
  <c r="K70" i="17" s="1"/>
  <c r="A74" i="17"/>
  <c r="K74" i="17" s="1"/>
  <c r="A78" i="17"/>
  <c r="K78" i="17" s="1"/>
  <c r="A82" i="17"/>
  <c r="K82" i="17" s="1"/>
  <c r="A87" i="17"/>
  <c r="K87" i="17" s="1"/>
  <c r="K207" i="17"/>
  <c r="K231" i="17"/>
  <c r="K245" i="17"/>
  <c r="K263" i="17"/>
  <c r="K276" i="17"/>
  <c r="K365" i="17"/>
  <c r="K371" i="17"/>
  <c r="A445" i="17"/>
  <c r="K445" i="17" s="1"/>
  <c r="A449" i="17"/>
  <c r="K449" i="17" s="1"/>
  <c r="A453" i="17"/>
  <c r="K453" i="17" s="1"/>
  <c r="K71" i="15"/>
  <c r="A176" i="15"/>
  <c r="K176" i="15" s="1"/>
  <c r="K233" i="15"/>
  <c r="K261" i="15"/>
  <c r="K265" i="15"/>
  <c r="K278" i="15"/>
  <c r="K300" i="15"/>
  <c r="K321" i="15"/>
  <c r="K325" i="15"/>
  <c r="A373" i="15"/>
  <c r="K373" i="15" s="1"/>
  <c r="A377" i="15"/>
  <c r="K377" i="15" s="1"/>
  <c r="K346" i="15"/>
  <c r="A387" i="15"/>
  <c r="K387" i="15" s="1"/>
  <c r="A391" i="15"/>
  <c r="K391" i="15" s="1"/>
  <c r="A395" i="15"/>
  <c r="K395" i="15" s="1"/>
  <c r="A399" i="15"/>
  <c r="K399" i="15" s="1"/>
  <c r="A403" i="15"/>
  <c r="K403" i="15" s="1"/>
  <c r="A407" i="15"/>
  <c r="K407" i="15" s="1"/>
  <c r="A411" i="15"/>
  <c r="K411" i="15" s="1"/>
  <c r="A415" i="15"/>
  <c r="K415" i="15" s="1"/>
  <c r="A419" i="15"/>
  <c r="K419" i="15" s="1"/>
  <c r="A423" i="15"/>
  <c r="K423" i="15" s="1"/>
  <c r="A427" i="15"/>
  <c r="K427" i="15" s="1"/>
  <c r="A431" i="15"/>
  <c r="K431" i="15" s="1"/>
  <c r="A435" i="15"/>
  <c r="K435" i="15" s="1"/>
  <c r="A439" i="15"/>
  <c r="K439" i="15" s="1"/>
  <c r="K210" i="8"/>
  <c r="K225" i="8"/>
  <c r="K229" i="8"/>
  <c r="K231" i="8"/>
  <c r="K238" i="8"/>
  <c r="K237" i="8"/>
  <c r="K245" i="8"/>
  <c r="K249" i="8"/>
  <c r="K253" i="8"/>
  <c r="K257" i="8"/>
  <c r="K263" i="8"/>
  <c r="K267" i="8"/>
  <c r="K271" i="8"/>
  <c r="K276" i="8"/>
  <c r="K280" i="8"/>
  <c r="K285" i="8"/>
  <c r="K289" i="8"/>
  <c r="K294" i="8"/>
  <c r="K298" i="8"/>
  <c r="K302" i="8"/>
  <c r="K307" i="8"/>
  <c r="K318" i="8"/>
  <c r="K323" i="8"/>
  <c r="K327" i="8"/>
  <c r="K331" i="8"/>
  <c r="K337" i="8"/>
  <c r="K359" i="8"/>
  <c r="K365" i="8"/>
  <c r="K371" i="8"/>
  <c r="K385" i="8"/>
  <c r="K417" i="8"/>
  <c r="K40" i="7"/>
  <c r="K70" i="7"/>
  <c r="K87" i="7"/>
  <c r="K253" i="7"/>
  <c r="K331" i="7"/>
  <c r="K352" i="7"/>
  <c r="A413" i="7"/>
  <c r="K84" i="6"/>
  <c r="K98" i="6"/>
  <c r="K269" i="6"/>
  <c r="K347" i="6"/>
  <c r="A182" i="6"/>
  <c r="A391" i="6"/>
  <c r="K50" i="17"/>
  <c r="K73" i="17"/>
  <c r="K77" i="17"/>
  <c r="K90" i="17"/>
  <c r="K95" i="17"/>
  <c r="K100" i="17"/>
  <c r="K105" i="17"/>
  <c r="K117" i="17"/>
  <c r="K109" i="17"/>
  <c r="K114" i="17"/>
  <c r="K198" i="17"/>
  <c r="K334" i="14"/>
  <c r="AB87" i="10"/>
  <c r="A39" i="6"/>
  <c r="K39" i="6"/>
  <c r="H43" i="5"/>
  <c r="L43" i="5" s="1"/>
  <c r="A43" i="6"/>
  <c r="K43" i="6"/>
  <c r="A47" i="6"/>
  <c r="K47" i="6"/>
  <c r="H51" i="5"/>
  <c r="L51" i="5" s="1"/>
  <c r="A51" i="6"/>
  <c r="H55" i="5"/>
  <c r="L55" i="5" s="1"/>
  <c r="A55" i="6"/>
  <c r="A61" i="6"/>
  <c r="K61" i="6"/>
  <c r="A65" i="6"/>
  <c r="K65" i="6"/>
  <c r="A70" i="6"/>
  <c r="K70" i="6"/>
  <c r="A74" i="6"/>
  <c r="K74" i="6"/>
  <c r="A82" i="6"/>
  <c r="K82" i="6"/>
  <c r="K87" i="6"/>
  <c r="A87" i="6"/>
  <c r="A92" i="6"/>
  <c r="K92" i="6"/>
  <c r="A97" i="6"/>
  <c r="K97" i="6"/>
  <c r="A102" i="6"/>
  <c r="K102" i="6"/>
  <c r="A119" i="6"/>
  <c r="K119" i="6"/>
  <c r="K111" i="6"/>
  <c r="A111" i="6"/>
  <c r="A116" i="6"/>
  <c r="K116" i="6"/>
  <c r="H127" i="5"/>
  <c r="L127" i="5" s="1"/>
  <c r="K127" i="6"/>
  <c r="H144" i="5"/>
  <c r="L144" i="5" s="1"/>
  <c r="K144" i="6"/>
  <c r="H160" i="5"/>
  <c r="L160" i="5" s="1"/>
  <c r="K160" i="6"/>
  <c r="K56" i="15"/>
  <c r="K390" i="15"/>
  <c r="K394" i="15"/>
  <c r="K406" i="15"/>
  <c r="K426" i="15"/>
  <c r="K430" i="15"/>
  <c r="H184" i="5"/>
  <c r="L184" i="5" s="1"/>
  <c r="K184" i="6"/>
  <c r="H189" i="5"/>
  <c r="L189" i="5" s="1"/>
  <c r="K189" i="6"/>
  <c r="H194" i="5"/>
  <c r="L194" i="5" s="1"/>
  <c r="K194" i="6"/>
  <c r="H187" i="5"/>
  <c r="L187" i="5" s="1"/>
  <c r="K187" i="6"/>
  <c r="H199" i="5"/>
  <c r="L199" i="5" s="1"/>
  <c r="K199" i="6"/>
  <c r="H203" i="5"/>
  <c r="L203" i="5" s="1"/>
  <c r="K203" i="6"/>
  <c r="K235" i="6"/>
  <c r="A235" i="6"/>
  <c r="K241" i="6"/>
  <c r="A241" i="6"/>
  <c r="K244" i="6"/>
  <c r="A244" i="6"/>
  <c r="K248" i="6"/>
  <c r="A248" i="6"/>
  <c r="K252" i="6"/>
  <c r="A252" i="6"/>
  <c r="K256" i="6"/>
  <c r="A256" i="6"/>
  <c r="K262" i="6"/>
  <c r="A262" i="6"/>
  <c r="K266" i="6"/>
  <c r="A266" i="6"/>
  <c r="K270" i="6"/>
  <c r="A270" i="6"/>
  <c r="K275" i="6"/>
  <c r="A275" i="6"/>
  <c r="K279" i="6"/>
  <c r="A279" i="6"/>
  <c r="K284" i="6"/>
  <c r="A284" i="6"/>
  <c r="K288" i="6"/>
  <c r="A288" i="6"/>
  <c r="K292" i="6"/>
  <c r="A292" i="6"/>
  <c r="K297" i="6"/>
  <c r="A297" i="6"/>
  <c r="K301" i="6"/>
  <c r="A301" i="6"/>
  <c r="K306" i="6"/>
  <c r="A306" i="6"/>
  <c r="K317" i="6"/>
  <c r="A317" i="6"/>
  <c r="K322" i="6"/>
  <c r="A322" i="6"/>
  <c r="K326" i="6"/>
  <c r="A326" i="6"/>
  <c r="K330" i="6"/>
  <c r="A330" i="6"/>
  <c r="K334" i="6"/>
  <c r="A334" i="6"/>
  <c r="K358" i="6"/>
  <c r="A358" i="6"/>
  <c r="K364" i="6"/>
  <c r="A364" i="6"/>
  <c r="A348" i="6"/>
  <c r="K348" i="6"/>
  <c r="K428" i="6"/>
  <c r="A428" i="6"/>
  <c r="H453" i="5"/>
  <c r="L453" i="5" s="1"/>
  <c r="A453" i="6"/>
  <c r="H390" i="6"/>
  <c r="L390" i="6" s="1"/>
  <c r="K390" i="6"/>
  <c r="H406" i="6"/>
  <c r="L406" i="6" s="1"/>
  <c r="K406" i="6"/>
  <c r="L410" i="6"/>
  <c r="K410" i="6"/>
  <c r="H414" i="6"/>
  <c r="L414" i="6" s="1"/>
  <c r="K414" i="6"/>
  <c r="H418" i="6"/>
  <c r="L418" i="6" s="1"/>
  <c r="K418" i="6"/>
  <c r="H423" i="6"/>
  <c r="L423" i="6" s="1"/>
  <c r="K423" i="6"/>
  <c r="H427" i="6"/>
  <c r="L427" i="6" s="1"/>
  <c r="K427" i="6"/>
  <c r="H439" i="6"/>
  <c r="L439" i="6" s="1"/>
  <c r="K439" i="6"/>
  <c r="K135" i="8"/>
  <c r="A135" i="8"/>
  <c r="K135" i="14" s="1"/>
  <c r="A376" i="7"/>
  <c r="A349" i="7"/>
  <c r="A386" i="7"/>
  <c r="A390" i="7"/>
  <c r="A398" i="7"/>
  <c r="A402" i="7"/>
  <c r="A406" i="7"/>
  <c r="A410" i="7"/>
  <c r="A414" i="7"/>
  <c r="A418" i="7"/>
  <c r="K155" i="6"/>
  <c r="K178" i="6"/>
  <c r="K196" i="6"/>
  <c r="K365" i="6"/>
  <c r="K434" i="6"/>
  <c r="H80" i="7"/>
  <c r="L80" i="7" s="1"/>
  <c r="H374" i="7"/>
  <c r="L374" i="7" s="1"/>
  <c r="H93" i="7"/>
  <c r="L93" i="7" s="1"/>
  <c r="H67" i="8"/>
  <c r="L67" i="8" s="1"/>
  <c r="H71" i="8"/>
  <c r="L71" i="8" s="1"/>
  <c r="H79" i="8"/>
  <c r="L79" i="8" s="1"/>
  <c r="H244" i="7"/>
  <c r="L244" i="7" s="1"/>
  <c r="H68" i="7"/>
  <c r="L68" i="7" s="1"/>
  <c r="H127" i="8"/>
  <c r="L127" i="8" s="1"/>
  <c r="H63" i="7"/>
  <c r="L63" i="7" s="1"/>
  <c r="H72" i="7"/>
  <c r="L72" i="7" s="1"/>
  <c r="H76" i="7"/>
  <c r="L76" i="7" s="1"/>
  <c r="H89" i="7"/>
  <c r="L89" i="7" s="1"/>
  <c r="H85" i="8"/>
  <c r="L85" i="8" s="1"/>
  <c r="H244" i="6"/>
  <c r="L244" i="6" s="1"/>
  <c r="H350" i="14"/>
  <c r="L350" i="14" s="1"/>
  <c r="A311" i="6"/>
  <c r="L444" i="8"/>
  <c r="H176" i="14"/>
  <c r="L176" i="14" s="1"/>
  <c r="H172" i="14"/>
  <c r="L172" i="14" s="1"/>
  <c r="H370" i="6"/>
  <c r="L370" i="6" s="1"/>
  <c r="H255" i="15"/>
  <c r="L255" i="15" s="1"/>
  <c r="H270" i="14"/>
  <c r="L270" i="14" s="1"/>
  <c r="H371" i="7"/>
  <c r="L371" i="7" s="1"/>
  <c r="H76" i="8"/>
  <c r="L76" i="19" s="1"/>
  <c r="H212" i="17"/>
  <c r="L212" i="17" s="1"/>
  <c r="AK94" i="10"/>
  <c r="K385" i="6"/>
  <c r="K401" i="6"/>
  <c r="K386" i="6"/>
  <c r="K397" i="6"/>
  <c r="A398" i="6"/>
  <c r="A389" i="6"/>
  <c r="K392" i="6"/>
  <c r="K398" i="6"/>
  <c r="A385" i="6"/>
  <c r="A392" i="6"/>
  <c r="A401" i="6"/>
  <c r="H124" i="6"/>
  <c r="L124" i="6" s="1"/>
  <c r="L97" i="19"/>
  <c r="H46" i="7"/>
  <c r="L46" i="7" s="1"/>
  <c r="L106" i="19"/>
  <c r="L111" i="19"/>
  <c r="H80" i="6"/>
  <c r="L80" i="6" s="1"/>
  <c r="H113" i="6"/>
  <c r="L113" i="6" s="1"/>
  <c r="L93" i="8"/>
  <c r="L93" i="19"/>
  <c r="L107" i="19"/>
  <c r="L107" i="8"/>
  <c r="L98" i="19"/>
  <c r="L98" i="8"/>
  <c r="L103" i="19"/>
  <c r="L103" i="8"/>
  <c r="L119" i="19"/>
  <c r="L119" i="8"/>
  <c r="L123" i="19"/>
  <c r="L123" i="8"/>
  <c r="H124" i="14"/>
  <c r="L124" i="14" s="1"/>
  <c r="H62" i="6"/>
  <c r="L62" i="6" s="1"/>
  <c r="H75" i="6"/>
  <c r="L75" i="6" s="1"/>
  <c r="H79" i="6"/>
  <c r="L79" i="6" s="1"/>
  <c r="H93" i="6"/>
  <c r="L93" i="6" s="1"/>
  <c r="H98" i="6"/>
  <c r="L98" i="6" s="1"/>
  <c r="H120" i="6"/>
  <c r="L120" i="6" s="1"/>
  <c r="H112" i="6"/>
  <c r="L112" i="6" s="1"/>
  <c r="L104" i="8"/>
  <c r="L124" i="8"/>
  <c r="H41" i="6"/>
  <c r="L41" i="6" s="1"/>
  <c r="H45" i="6"/>
  <c r="L45" i="6" s="1"/>
  <c r="H49" i="6"/>
  <c r="L49" i="6" s="1"/>
  <c r="H53" i="6"/>
  <c r="L53" i="6" s="1"/>
  <c r="H58" i="6"/>
  <c r="L58" i="6" s="1"/>
  <c r="H63" i="6"/>
  <c r="L63" i="6" s="1"/>
  <c r="H68" i="6"/>
  <c r="L68" i="6" s="1"/>
  <c r="H72" i="6"/>
  <c r="L72" i="6" s="1"/>
  <c r="H76" i="6"/>
  <c r="L76" i="6" s="1"/>
  <c r="H85" i="6"/>
  <c r="L85" i="6" s="1"/>
  <c r="H89" i="6"/>
  <c r="L89" i="6" s="1"/>
  <c r="H94" i="6"/>
  <c r="L94" i="6" s="1"/>
  <c r="H99" i="6"/>
  <c r="L99" i="6" s="1"/>
  <c r="H104" i="6"/>
  <c r="L104" i="6" s="1"/>
  <c r="H108" i="6"/>
  <c r="L108" i="6" s="1"/>
  <c r="H122" i="6"/>
  <c r="L122" i="6" s="1"/>
  <c r="H62" i="8"/>
  <c r="L62" i="8" s="1"/>
  <c r="H75" i="8"/>
  <c r="L75" i="8" s="1"/>
  <c r="H88" i="8"/>
  <c r="L88" i="19" s="1"/>
  <c r="AB81" i="10"/>
  <c r="H42" i="6"/>
  <c r="L42" i="6" s="1"/>
  <c r="H46" i="6"/>
  <c r="L46" i="6" s="1"/>
  <c r="H54" i="6"/>
  <c r="L54" i="6" s="1"/>
  <c r="H126" i="6"/>
  <c r="L126" i="6" s="1"/>
  <c r="H45" i="7"/>
  <c r="L45" i="7" s="1"/>
  <c r="H370" i="14"/>
  <c r="L370" i="14" s="1"/>
  <c r="H374" i="14"/>
  <c r="L374" i="14" s="1"/>
  <c r="H375" i="8"/>
  <c r="L375" i="8" s="1"/>
  <c r="H379" i="8"/>
  <c r="H378" i="14"/>
  <c r="L378" i="14" s="1"/>
  <c r="L380" i="19"/>
  <c r="H376" i="8"/>
  <c r="H373" i="17"/>
  <c r="L373" i="17" s="1"/>
  <c r="H377" i="17"/>
  <c r="L377" i="17" s="1"/>
  <c r="H372" i="14"/>
  <c r="L372" i="14" s="1"/>
  <c r="H138" i="5"/>
  <c r="L138" i="5" s="1"/>
  <c r="H171" i="17"/>
  <c r="L171" i="17" s="1"/>
  <c r="H219" i="17"/>
  <c r="L219" i="17" s="1"/>
  <c r="H452" i="17"/>
  <c r="L452" i="17" s="1"/>
  <c r="H452" i="15"/>
  <c r="L452" i="15" s="1"/>
  <c r="H444" i="17"/>
  <c r="L444" i="17" s="1"/>
  <c r="H41" i="2"/>
  <c r="L41" i="2" s="1"/>
  <c r="H45" i="2"/>
  <c r="L45" i="2" s="1"/>
  <c r="H58" i="2"/>
  <c r="L58" i="2" s="1"/>
  <c r="H63" i="2"/>
  <c r="L63" i="2" s="1"/>
  <c r="H68" i="2"/>
  <c r="L68" i="2" s="1"/>
  <c r="H72" i="2"/>
  <c r="L72" i="2" s="1"/>
  <c r="H76" i="2"/>
  <c r="L76" i="2" s="1"/>
  <c r="H80" i="2"/>
  <c r="L80" i="2" s="1"/>
  <c r="H85" i="2"/>
  <c r="L85" i="2" s="1"/>
  <c r="H89" i="2"/>
  <c r="L89" i="2" s="1"/>
  <c r="H94" i="2"/>
  <c r="L94" i="2" s="1"/>
  <c r="H99" i="2"/>
  <c r="L99" i="2" s="1"/>
  <c r="H104" i="2"/>
  <c r="L104" i="2" s="1"/>
  <c r="H108" i="2"/>
  <c r="L108" i="2" s="1"/>
  <c r="H122" i="2"/>
  <c r="L122" i="2" s="1"/>
  <c r="H113" i="2"/>
  <c r="L113" i="2" s="1"/>
  <c r="H124" i="2"/>
  <c r="L124" i="2" s="1"/>
  <c r="H386" i="2"/>
  <c r="L386" i="2" s="1"/>
  <c r="H390" i="2"/>
  <c r="L390" i="2" s="1"/>
  <c r="H398" i="2"/>
  <c r="L398" i="2" s="1"/>
  <c r="H402" i="2"/>
  <c r="L402" i="2" s="1"/>
  <c r="H141" i="2"/>
  <c r="L141" i="2" s="1"/>
  <c r="H27" i="2"/>
  <c r="L27" i="2" s="1"/>
  <c r="H168" i="2"/>
  <c r="L168" i="2" s="1"/>
  <c r="H385" i="2"/>
  <c r="L385" i="2" s="1"/>
  <c r="H25" i="5"/>
  <c r="L25" i="5" s="1"/>
  <c r="AB83" i="10"/>
  <c r="L174" i="5"/>
  <c r="AB90" i="10"/>
  <c r="AB93" i="10"/>
  <c r="A153" i="6"/>
  <c r="A160" i="6"/>
  <c r="A400" i="6"/>
  <c r="H364" i="5"/>
  <c r="L364" i="5" s="1"/>
  <c r="H32" i="2"/>
  <c r="L32" i="2" s="1"/>
  <c r="H174" i="2"/>
  <c r="L174" i="2" s="1"/>
  <c r="H443" i="2"/>
  <c r="L443" i="2" s="1"/>
  <c r="H27" i="5"/>
  <c r="L27" i="5" s="1"/>
  <c r="AB84" i="10"/>
  <c r="L180" i="5"/>
  <c r="AB91" i="10"/>
  <c r="A382" i="6"/>
  <c r="H37" i="2"/>
  <c r="L37" i="2" s="1"/>
  <c r="H180" i="2"/>
  <c r="L180" i="2" s="1"/>
  <c r="H39" i="2"/>
  <c r="L39" i="2" s="1"/>
  <c r="H206" i="5"/>
  <c r="L206" i="5" s="1"/>
  <c r="A443" i="6"/>
  <c r="AB95" i="10"/>
  <c r="K352" i="6"/>
  <c r="K388" i="6"/>
  <c r="K395" i="6"/>
  <c r="A149" i="6"/>
  <c r="A157" i="6"/>
  <c r="A164" i="6"/>
  <c r="A184" i="6"/>
  <c r="A189" i="6"/>
  <c r="A194" i="6"/>
  <c r="A187" i="6"/>
  <c r="A199" i="6"/>
  <c r="A203" i="6"/>
  <c r="H126" i="2"/>
  <c r="L126" i="2" s="1"/>
  <c r="H382" i="2"/>
  <c r="L382" i="2" s="1"/>
  <c r="H37" i="5"/>
  <c r="L37" i="5" s="1"/>
  <c r="AB86" i="10"/>
  <c r="L168" i="5"/>
  <c r="AB89" i="10"/>
  <c r="AJ92" i="10"/>
  <c r="AJ84" i="10"/>
  <c r="AJ95" i="10"/>
  <c r="AJ91" i="10"/>
  <c r="AJ87" i="10"/>
  <c r="AJ90" i="10"/>
  <c r="AJ94" i="10"/>
  <c r="AJ86" i="10"/>
  <c r="AJ93" i="10"/>
  <c r="AJ89" i="10"/>
  <c r="AJ85" i="10"/>
  <c r="AJ88" i="10"/>
  <c r="AJ83" i="10"/>
  <c r="AQ115" i="10"/>
  <c r="AQ94" i="10"/>
  <c r="AQ90" i="10"/>
  <c r="AQ86" i="10"/>
  <c r="AQ114" i="10"/>
  <c r="AQ93" i="10"/>
  <c r="AQ89" i="10"/>
  <c r="AQ85" i="10"/>
  <c r="AQ113" i="10"/>
  <c r="AQ92" i="10"/>
  <c r="AQ88" i="10"/>
  <c r="AQ84" i="10"/>
  <c r="AQ95" i="10"/>
  <c r="AQ91" i="10"/>
  <c r="AQ87" i="10"/>
  <c r="AQ83" i="10"/>
  <c r="AN98" i="10"/>
  <c r="AN94" i="10"/>
  <c r="AN90" i="10"/>
  <c r="AN86" i="10"/>
  <c r="AN97" i="10"/>
  <c r="AN85" i="10"/>
  <c r="AN89" i="10"/>
  <c r="AN96" i="10"/>
  <c r="AN92" i="10"/>
  <c r="AN88" i="10"/>
  <c r="AN84" i="10"/>
  <c r="AN99" i="10"/>
  <c r="AN95" i="10"/>
  <c r="AN91" i="10"/>
  <c r="AN87" i="10"/>
  <c r="AN83" i="10"/>
  <c r="AN93" i="10"/>
  <c r="AD93" i="10"/>
  <c r="AD89" i="10"/>
  <c r="AD85" i="10"/>
  <c r="AD88" i="10"/>
  <c r="AD84" i="10"/>
  <c r="AD95" i="10"/>
  <c r="AD91" i="10"/>
  <c r="AD87" i="10"/>
  <c r="AD83" i="10"/>
  <c r="AD94" i="10"/>
  <c r="AD90" i="10"/>
  <c r="AD86" i="10"/>
  <c r="AO93" i="10"/>
  <c r="AO89" i="10"/>
  <c r="AO85" i="10"/>
  <c r="AO92" i="10"/>
  <c r="AO88" i="10"/>
  <c r="AO84" i="10"/>
  <c r="AO95" i="10"/>
  <c r="AO91" i="10"/>
  <c r="AO87" i="10"/>
  <c r="AO83" i="10"/>
  <c r="AO94" i="10"/>
  <c r="AO90" i="10"/>
  <c r="AO86" i="10"/>
  <c r="AG83" i="10"/>
  <c r="AG93" i="10"/>
  <c r="AG89" i="10"/>
  <c r="AG85" i="10"/>
  <c r="AG88" i="10"/>
  <c r="AG84" i="10"/>
  <c r="AG95" i="10"/>
  <c r="AG91" i="10"/>
  <c r="AG87" i="10"/>
  <c r="AG94" i="10"/>
  <c r="AG90" i="10"/>
  <c r="AG86" i="10"/>
  <c r="AP112" i="10"/>
  <c r="AP108" i="10"/>
  <c r="AP93" i="10"/>
  <c r="AP89" i="10"/>
  <c r="AP85" i="10"/>
  <c r="AP111" i="10"/>
  <c r="AP107" i="10"/>
  <c r="AP92" i="10"/>
  <c r="AP88" i="10"/>
  <c r="AP84" i="10"/>
  <c r="AP110" i="10"/>
  <c r="AP95" i="10"/>
  <c r="AP91" i="10"/>
  <c r="AP87" i="10"/>
  <c r="AP83" i="10"/>
  <c r="AP109" i="10"/>
  <c r="AP94" i="10"/>
  <c r="AP90" i="10"/>
  <c r="AP86" i="10"/>
  <c r="H25" i="2"/>
  <c r="L25" i="2" s="1"/>
  <c r="K41" i="14"/>
  <c r="K45" i="14"/>
  <c r="K53" i="14"/>
  <c r="K127" i="14"/>
  <c r="K136" i="14"/>
  <c r="K140" i="14"/>
  <c r="K149" i="14"/>
  <c r="K219" i="14"/>
  <c r="K240" i="14"/>
  <c r="K247" i="14"/>
  <c r="K265" i="14"/>
  <c r="K269" i="14"/>
  <c r="K273" i="14"/>
  <c r="H189" i="14"/>
  <c r="L189" i="14" s="1"/>
  <c r="H194" i="14"/>
  <c r="L194" i="14" s="1"/>
  <c r="H295" i="14"/>
  <c r="L295" i="14" s="1"/>
  <c r="H304" i="14"/>
  <c r="L304" i="14" s="1"/>
  <c r="H308" i="14"/>
  <c r="L308" i="14" s="1"/>
  <c r="H319" i="14"/>
  <c r="L319" i="14" s="1"/>
  <c r="H345" i="14"/>
  <c r="L345" i="14" s="1"/>
  <c r="H349" i="14"/>
  <c r="L349" i="14" s="1"/>
  <c r="H355" i="14"/>
  <c r="L355" i="14" s="1"/>
  <c r="H223" i="15"/>
  <c r="L223" i="15" s="1"/>
  <c r="H227" i="15"/>
  <c r="L227" i="15" s="1"/>
  <c r="H220" i="15"/>
  <c r="L220" i="15" s="1"/>
  <c r="H235" i="15"/>
  <c r="L235" i="15" s="1"/>
  <c r="H241" i="15"/>
  <c r="L241" i="15" s="1"/>
  <c r="H244" i="15"/>
  <c r="L244" i="15" s="1"/>
  <c r="H248" i="15"/>
  <c r="L248" i="15" s="1"/>
  <c r="H252" i="15"/>
  <c r="L252" i="15" s="1"/>
  <c r="H256" i="15"/>
  <c r="L256" i="15" s="1"/>
  <c r="H262" i="15"/>
  <c r="L262" i="15" s="1"/>
  <c r="H266" i="15"/>
  <c r="L266" i="15" s="1"/>
  <c r="H275" i="15"/>
  <c r="L275" i="15" s="1"/>
  <c r="H284" i="15"/>
  <c r="L284" i="15" s="1"/>
  <c r="H288" i="15"/>
  <c r="L288" i="15" s="1"/>
  <c r="H292" i="15"/>
  <c r="L292" i="15" s="1"/>
  <c r="H297" i="15"/>
  <c r="L297" i="15" s="1"/>
  <c r="H301" i="15"/>
  <c r="L301" i="15" s="1"/>
  <c r="H306" i="15"/>
  <c r="L306" i="15" s="1"/>
  <c r="H317" i="15"/>
  <c r="L317" i="15" s="1"/>
  <c r="H322" i="15"/>
  <c r="L322" i="15" s="1"/>
  <c r="H326" i="15"/>
  <c r="L326" i="15" s="1"/>
  <c r="H330" i="15"/>
  <c r="L330" i="15" s="1"/>
  <c r="H334" i="15"/>
  <c r="L334" i="15" s="1"/>
  <c r="H364" i="15"/>
  <c r="L364" i="15" s="1"/>
  <c r="H370" i="15"/>
  <c r="L370" i="15" s="1"/>
  <c r="H341" i="15"/>
  <c r="L341" i="15" s="1"/>
  <c r="H347" i="15"/>
  <c r="L347" i="15" s="1"/>
  <c r="H351" i="15"/>
  <c r="L351" i="15" s="1"/>
  <c r="H357" i="15"/>
  <c r="L357" i="15" s="1"/>
  <c r="H175" i="14"/>
  <c r="L175" i="14" s="1"/>
  <c r="H169" i="14"/>
  <c r="L169" i="14" s="1"/>
  <c r="K68" i="14"/>
  <c r="K76" i="14"/>
  <c r="K85" i="14"/>
  <c r="K177" i="14"/>
  <c r="K326" i="14"/>
  <c r="K330" i="14"/>
  <c r="K358" i="14"/>
  <c r="K370" i="14"/>
  <c r="K374" i="14"/>
  <c r="H189" i="15"/>
  <c r="L189" i="15" s="1"/>
  <c r="H194" i="15"/>
  <c r="L194" i="15" s="1"/>
  <c r="H218" i="14"/>
  <c r="L218" i="14" s="1"/>
  <c r="K183" i="14"/>
  <c r="K188" i="14"/>
  <c r="K193" i="14"/>
  <c r="K342" i="14"/>
  <c r="K348" i="14"/>
  <c r="H230" i="14"/>
  <c r="L230" i="14" s="1"/>
  <c r="H232" i="14"/>
  <c r="L232" i="14" s="1"/>
  <c r="H239" i="14"/>
  <c r="L239" i="14" s="1"/>
  <c r="H242" i="14"/>
  <c r="L242" i="14" s="1"/>
  <c r="H246" i="14"/>
  <c r="L246" i="14" s="1"/>
  <c r="H250" i="14"/>
  <c r="L250" i="14" s="1"/>
  <c r="H254" i="14"/>
  <c r="L254" i="14" s="1"/>
  <c r="H260" i="14"/>
  <c r="L260" i="14" s="1"/>
  <c r="H264" i="14"/>
  <c r="L264" i="14" s="1"/>
  <c r="H268" i="14"/>
  <c r="L268" i="14" s="1"/>
  <c r="H272" i="14"/>
  <c r="L272" i="14" s="1"/>
  <c r="H277" i="14"/>
  <c r="L277" i="14" s="1"/>
  <c r="H226" i="15"/>
  <c r="L226" i="15" s="1"/>
  <c r="H230" i="15"/>
  <c r="L230" i="15" s="1"/>
  <c r="H232" i="15"/>
  <c r="L232" i="15" s="1"/>
  <c r="H239" i="15"/>
  <c r="L239" i="15" s="1"/>
  <c r="H242" i="15"/>
  <c r="L242" i="15" s="1"/>
  <c r="H246" i="15"/>
  <c r="L246" i="15" s="1"/>
  <c r="H250" i="15"/>
  <c r="L250" i="15" s="1"/>
  <c r="H254" i="15"/>
  <c r="L254" i="15" s="1"/>
  <c r="H260" i="15"/>
  <c r="L260" i="15" s="1"/>
  <c r="H264" i="15"/>
  <c r="L264" i="15" s="1"/>
  <c r="H268" i="15"/>
  <c r="L268" i="15" s="1"/>
  <c r="H272" i="15"/>
  <c r="L272" i="15" s="1"/>
  <c r="H277" i="15"/>
  <c r="L277" i="15" s="1"/>
  <c r="H281" i="15"/>
  <c r="L281" i="15" s="1"/>
  <c r="H286" i="15"/>
  <c r="L286" i="15" s="1"/>
  <c r="H290" i="15"/>
  <c r="L290" i="15" s="1"/>
  <c r="H295" i="15"/>
  <c r="L295" i="15" s="1"/>
  <c r="H304" i="15"/>
  <c r="L304" i="15" s="1"/>
  <c r="H308" i="15"/>
  <c r="L308" i="15" s="1"/>
  <c r="H319" i="15"/>
  <c r="L319" i="15" s="1"/>
  <c r="H324" i="15"/>
  <c r="L324" i="15" s="1"/>
  <c r="H328" i="15"/>
  <c r="L328" i="15" s="1"/>
  <c r="H338" i="15"/>
  <c r="L338" i="15" s="1"/>
  <c r="H360" i="15"/>
  <c r="L360" i="15" s="1"/>
  <c r="H366" i="15"/>
  <c r="L366" i="15" s="1"/>
  <c r="H372" i="15"/>
  <c r="L372" i="15" s="1"/>
  <c r="H345" i="15"/>
  <c r="L345" i="15" s="1"/>
  <c r="H349" i="15"/>
  <c r="L349" i="15" s="1"/>
  <c r="H355" i="15"/>
  <c r="L355" i="15" s="1"/>
  <c r="H171" i="14"/>
  <c r="L171" i="14" s="1"/>
  <c r="H80" i="8"/>
  <c r="L80" i="19" s="1"/>
  <c r="H72" i="8"/>
  <c r="L72" i="19" s="1"/>
  <c r="H63" i="8"/>
  <c r="L63" i="19" s="1"/>
  <c r="H130" i="8"/>
  <c r="L130" i="19" s="1"/>
  <c r="H59" i="8"/>
  <c r="L59" i="8" s="1"/>
  <c r="H64" i="8"/>
  <c r="L64" i="8" s="1"/>
  <c r="H69" i="8"/>
  <c r="L69" i="8" s="1"/>
  <c r="H73" i="8"/>
  <c r="L73" i="8" s="1"/>
  <c r="H77" i="8"/>
  <c r="L77" i="19" s="1"/>
  <c r="H81" i="8"/>
  <c r="L81" i="8" s="1"/>
  <c r="H86" i="8"/>
  <c r="L86" i="8" s="1"/>
  <c r="H129" i="8"/>
  <c r="L129" i="8" s="1"/>
  <c r="H68" i="8"/>
  <c r="L68" i="19" s="1"/>
  <c r="H58" i="8"/>
  <c r="L58" i="8" s="1"/>
  <c r="H137" i="8"/>
  <c r="H61" i="8"/>
  <c r="H65" i="8"/>
  <c r="L65" i="8" s="1"/>
  <c r="H70" i="8"/>
  <c r="L70" i="8" s="1"/>
  <c r="H74" i="8"/>
  <c r="H78" i="8"/>
  <c r="L78" i="8" s="1"/>
  <c r="H82" i="8"/>
  <c r="H87" i="8"/>
  <c r="L87" i="8" s="1"/>
  <c r="H84" i="8"/>
  <c r="L84" i="8" s="1"/>
  <c r="H127" i="7"/>
  <c r="L127" i="7" s="1"/>
  <c r="H88" i="7"/>
  <c r="L88" i="7" s="1"/>
  <c r="H79" i="7"/>
  <c r="L79" i="7" s="1"/>
  <c r="H94" i="7"/>
  <c r="L94" i="7" s="1"/>
  <c r="H85" i="7"/>
  <c r="L85" i="7" s="1"/>
  <c r="H71" i="7"/>
  <c r="L71" i="7" s="1"/>
  <c r="H62" i="7"/>
  <c r="L62" i="7" s="1"/>
  <c r="H56" i="7"/>
  <c r="L56" i="7" s="1"/>
  <c r="H242" i="7"/>
  <c r="L242" i="7" s="1"/>
  <c r="H137" i="7"/>
  <c r="L137" i="7" s="1"/>
  <c r="H84" i="7"/>
  <c r="L84" i="7" s="1"/>
  <c r="H75" i="7"/>
  <c r="L75" i="7" s="1"/>
  <c r="H61" i="7"/>
  <c r="L61" i="7" s="1"/>
  <c r="H138" i="7"/>
  <c r="L138" i="7" s="1"/>
  <c r="H65" i="7"/>
  <c r="L65" i="7" s="1"/>
  <c r="H70" i="7"/>
  <c r="L70" i="7" s="1"/>
  <c r="H78" i="7"/>
  <c r="L78" i="7" s="1"/>
  <c r="H82" i="7"/>
  <c r="L82" i="7" s="1"/>
  <c r="H87" i="7"/>
  <c r="L87" i="7" s="1"/>
  <c r="H92" i="7"/>
  <c r="L92" i="7" s="1"/>
  <c r="H74" i="7"/>
  <c r="L74" i="7" s="1"/>
  <c r="H67" i="7"/>
  <c r="L67" i="7" s="1"/>
  <c r="H242" i="6"/>
  <c r="L242" i="6" s="1"/>
  <c r="H244" i="5"/>
  <c r="L244" i="5" s="1"/>
  <c r="K450" i="6"/>
  <c r="K454" i="6"/>
  <c r="H73" i="5"/>
  <c r="L73" i="5" s="1"/>
  <c r="H81" i="5"/>
  <c r="L81" i="5" s="1"/>
  <c r="L14" i="21"/>
  <c r="L25" i="21" s="1"/>
  <c r="L41" i="21" s="1"/>
  <c r="X14" i="21"/>
  <c r="H65" i="5"/>
  <c r="L65" i="5" s="1"/>
  <c r="H74" i="5"/>
  <c r="L74" i="5" s="1"/>
  <c r="H119" i="5"/>
  <c r="L119" i="5" s="1"/>
  <c r="H116" i="5"/>
  <c r="L116" i="5" s="1"/>
  <c r="L100" i="8"/>
  <c r="H123" i="5"/>
  <c r="L123" i="5" s="1"/>
  <c r="L92" i="19"/>
  <c r="L112" i="19"/>
  <c r="L120" i="8"/>
  <c r="L89" i="19"/>
  <c r="H88" i="5"/>
  <c r="L88" i="5" s="1"/>
  <c r="H107" i="5"/>
  <c r="L107" i="5" s="1"/>
  <c r="H32" i="7"/>
  <c r="L32" i="7" s="1"/>
  <c r="L102" i="19"/>
  <c r="L117" i="19"/>
  <c r="L122" i="19"/>
  <c r="H67" i="6"/>
  <c r="L67" i="6" s="1"/>
  <c r="H71" i="6"/>
  <c r="L71" i="6" s="1"/>
  <c r="H84" i="6"/>
  <c r="L84" i="6" s="1"/>
  <c r="H88" i="6"/>
  <c r="L88" i="6" s="1"/>
  <c r="H103" i="6"/>
  <c r="L103" i="6" s="1"/>
  <c r="H107" i="6"/>
  <c r="L107" i="6" s="1"/>
  <c r="H123" i="6"/>
  <c r="L123" i="6" s="1"/>
  <c r="H47" i="7"/>
  <c r="L47" i="7" s="1"/>
  <c r="L90" i="19"/>
  <c r="L90" i="8"/>
  <c r="L95" i="19"/>
  <c r="L95" i="8"/>
  <c r="L109" i="19"/>
  <c r="L109" i="8"/>
  <c r="L116" i="19"/>
  <c r="L114" i="8"/>
  <c r="H64" i="6"/>
  <c r="L64" i="6" s="1"/>
  <c r="H73" i="6"/>
  <c r="L73" i="6" s="1"/>
  <c r="H81" i="6"/>
  <c r="L81" i="6" s="1"/>
  <c r="H90" i="6"/>
  <c r="L90" i="6" s="1"/>
  <c r="H100" i="6"/>
  <c r="L100" i="6" s="1"/>
  <c r="H117" i="6"/>
  <c r="L117" i="6" s="1"/>
  <c r="H114" i="6"/>
  <c r="L114" i="6" s="1"/>
  <c r="H46" i="8"/>
  <c r="H54" i="8"/>
  <c r="L108" i="8"/>
  <c r="H124" i="7"/>
  <c r="L124" i="7" s="1"/>
  <c r="H47" i="8"/>
  <c r="AA564" i="21"/>
  <c r="W7" i="21"/>
  <c r="I564" i="21"/>
  <c r="J14" i="21"/>
  <c r="H59" i="6"/>
  <c r="L59" i="6" s="1"/>
  <c r="H69" i="6"/>
  <c r="L69" i="6" s="1"/>
  <c r="H77" i="6"/>
  <c r="L77" i="6" s="1"/>
  <c r="H86" i="6"/>
  <c r="L86" i="6" s="1"/>
  <c r="H95" i="6"/>
  <c r="L95" i="6" s="1"/>
  <c r="H105" i="6"/>
  <c r="L105" i="6" s="1"/>
  <c r="H109" i="6"/>
  <c r="L109" i="6" s="1"/>
  <c r="L105" i="19"/>
  <c r="L42" i="19"/>
  <c r="L99" i="8"/>
  <c r="L113" i="8"/>
  <c r="H32" i="6"/>
  <c r="L32" i="6" s="1"/>
  <c r="H40" i="7"/>
  <c r="L40" i="7" s="1"/>
  <c r="H49" i="5"/>
  <c r="L49" i="5" s="1"/>
  <c r="H39" i="6"/>
  <c r="L39" i="6" s="1"/>
  <c r="H47" i="6"/>
  <c r="L47" i="6" s="1"/>
  <c r="H61" i="6"/>
  <c r="L61" i="6" s="1"/>
  <c r="H65" i="6"/>
  <c r="L65" i="6" s="1"/>
  <c r="H70" i="6"/>
  <c r="L70" i="6" s="1"/>
  <c r="H74" i="6"/>
  <c r="L74" i="6" s="1"/>
  <c r="H78" i="6"/>
  <c r="L78" i="6" s="1"/>
  <c r="H82" i="6"/>
  <c r="L82" i="6" s="1"/>
  <c r="H87" i="6"/>
  <c r="L87" i="6" s="1"/>
  <c r="H92" i="6"/>
  <c r="L92" i="6" s="1"/>
  <c r="H97" i="6"/>
  <c r="L97" i="6" s="1"/>
  <c r="H102" i="6"/>
  <c r="L102" i="6" s="1"/>
  <c r="H106" i="6"/>
  <c r="L106" i="6" s="1"/>
  <c r="H119" i="6"/>
  <c r="L119" i="6" s="1"/>
  <c r="H111" i="6"/>
  <c r="L111" i="6" s="1"/>
  <c r="H116" i="6"/>
  <c r="L116" i="6" s="1"/>
  <c r="H59" i="7"/>
  <c r="L59" i="7" s="1"/>
  <c r="H64" i="7"/>
  <c r="L64" i="7" s="1"/>
  <c r="H69" i="7"/>
  <c r="L69" i="7" s="1"/>
  <c r="H73" i="7"/>
  <c r="L73" i="7" s="1"/>
  <c r="H77" i="7"/>
  <c r="L77" i="7" s="1"/>
  <c r="H81" i="7"/>
  <c r="L81" i="7" s="1"/>
  <c r="H86" i="7"/>
  <c r="L86" i="7" s="1"/>
  <c r="H90" i="7"/>
  <c r="L90" i="7" s="1"/>
  <c r="H95" i="7"/>
  <c r="L95" i="7" s="1"/>
  <c r="H126" i="7"/>
  <c r="L126" i="7" s="1"/>
  <c r="H40" i="8"/>
  <c r="H54" i="5"/>
  <c r="L54" i="5" s="1"/>
  <c r="H40" i="6"/>
  <c r="L40" i="6" s="1"/>
  <c r="H44" i="6"/>
  <c r="L44" i="6" s="1"/>
  <c r="H39" i="7"/>
  <c r="L39" i="7" s="1"/>
  <c r="H32" i="8"/>
  <c r="L32" i="8" s="1"/>
  <c r="H45" i="8"/>
  <c r="H53" i="8"/>
  <c r="AN81" i="10"/>
  <c r="K444" i="6"/>
  <c r="K448" i="6"/>
  <c r="K444" i="7"/>
  <c r="K450" i="7"/>
  <c r="K454" i="7"/>
  <c r="A450" i="7"/>
  <c r="A454" i="7"/>
  <c r="K453" i="7"/>
  <c r="K449" i="6"/>
  <c r="AK95" i="10"/>
  <c r="K443" i="6"/>
  <c r="K447" i="6"/>
  <c r="A447" i="6"/>
  <c r="K453" i="6"/>
  <c r="K451" i="6"/>
  <c r="A449" i="6"/>
  <c r="K445" i="6"/>
  <c r="A445" i="6"/>
  <c r="H212" i="14"/>
  <c r="L212" i="14" s="1"/>
  <c r="H214" i="14"/>
  <c r="L214" i="14" s="1"/>
  <c r="H216" i="14"/>
  <c r="L216" i="14" s="1"/>
  <c r="H454" i="15"/>
  <c r="L454" i="15" s="1"/>
  <c r="H212" i="7"/>
  <c r="L212" i="7" s="1"/>
  <c r="H380" i="15"/>
  <c r="L380" i="15" s="1"/>
  <c r="H380" i="14"/>
  <c r="L380" i="14" s="1"/>
  <c r="H122" i="14"/>
  <c r="L122" i="14" s="1"/>
  <c r="H111" i="14"/>
  <c r="L111" i="14" s="1"/>
  <c r="H117" i="14"/>
  <c r="L117" i="14" s="1"/>
  <c r="H106" i="14"/>
  <c r="L106" i="14" s="1"/>
  <c r="H102" i="14"/>
  <c r="L102" i="14" s="1"/>
  <c r="H113" i="5"/>
  <c r="L113" i="5" s="1"/>
  <c r="H85" i="5"/>
  <c r="L85" i="5" s="1"/>
  <c r="H68" i="5"/>
  <c r="L68" i="5" s="1"/>
  <c r="H63" i="5"/>
  <c r="L63" i="5" s="1"/>
  <c r="H450" i="17"/>
  <c r="L450" i="17" s="1"/>
  <c r="H446" i="17"/>
  <c r="L446" i="17" s="1"/>
  <c r="H446" i="15"/>
  <c r="L446" i="15" s="1"/>
  <c r="H114" i="14"/>
  <c r="L114" i="14" s="1"/>
  <c r="H109" i="14"/>
  <c r="L109" i="14" s="1"/>
  <c r="H116" i="14"/>
  <c r="L116" i="14" s="1"/>
  <c r="H105" i="14"/>
  <c r="L105" i="14" s="1"/>
  <c r="H100" i="14"/>
  <c r="L100" i="14" s="1"/>
  <c r="A134" i="6"/>
  <c r="H113" i="14"/>
  <c r="L113" i="14" s="1"/>
  <c r="H120" i="14"/>
  <c r="L120" i="14" s="1"/>
  <c r="H108" i="14"/>
  <c r="L108" i="14" s="1"/>
  <c r="H104" i="14"/>
  <c r="L104" i="14" s="1"/>
  <c r="H99" i="14"/>
  <c r="L99" i="14" s="1"/>
  <c r="H123" i="14"/>
  <c r="L123" i="14" s="1"/>
  <c r="H112" i="14"/>
  <c r="L112" i="14" s="1"/>
  <c r="H119" i="14"/>
  <c r="L119" i="14" s="1"/>
  <c r="H107" i="14"/>
  <c r="L107" i="14" s="1"/>
  <c r="H103" i="14"/>
  <c r="L103" i="14" s="1"/>
  <c r="H98" i="14"/>
  <c r="L98" i="14" s="1"/>
  <c r="R14" i="21"/>
  <c r="H53" i="5"/>
  <c r="L53" i="5" s="1"/>
  <c r="H72" i="5"/>
  <c r="L72" i="5" s="1"/>
  <c r="H80" i="5"/>
  <c r="L80" i="5" s="1"/>
  <c r="H89" i="5"/>
  <c r="L89" i="5" s="1"/>
  <c r="H94" i="5"/>
  <c r="L94" i="5" s="1"/>
  <c r="H99" i="5"/>
  <c r="L99" i="5" s="1"/>
  <c r="H104" i="5"/>
  <c r="L104" i="5" s="1"/>
  <c r="H108" i="5"/>
  <c r="L108" i="5" s="1"/>
  <c r="H122" i="5"/>
  <c r="L122" i="5" s="1"/>
  <c r="H124" i="5"/>
  <c r="L124" i="5" s="1"/>
  <c r="Q564" i="21"/>
  <c r="H126" i="5"/>
  <c r="L126" i="5" s="1"/>
  <c r="H310" i="7"/>
  <c r="L310" i="7" s="1"/>
  <c r="K211" i="6"/>
  <c r="K312" i="6"/>
  <c r="A73" i="6"/>
  <c r="A81" i="6"/>
  <c r="A152" i="6"/>
  <c r="A156" i="6"/>
  <c r="A145" i="6"/>
  <c r="A163" i="6"/>
  <c r="A175" i="6"/>
  <c r="A390" i="6"/>
  <c r="A404" i="6"/>
  <c r="A410" i="6"/>
  <c r="A420" i="6"/>
  <c r="A437" i="6"/>
  <c r="A441" i="6"/>
  <c r="H128" i="5"/>
  <c r="L128" i="5" s="1"/>
  <c r="H150" i="5"/>
  <c r="L150" i="5" s="1"/>
  <c r="H396" i="5"/>
  <c r="L396" i="5" s="1"/>
  <c r="H400" i="5"/>
  <c r="L400" i="5" s="1"/>
  <c r="H428" i="5"/>
  <c r="L428" i="5" s="1"/>
  <c r="H431" i="5"/>
  <c r="L431" i="5" s="1"/>
  <c r="H436" i="5"/>
  <c r="L436" i="5" s="1"/>
  <c r="H440" i="5"/>
  <c r="L440" i="5" s="1"/>
  <c r="A27" i="6"/>
  <c r="A37" i="6"/>
  <c r="A88" i="6"/>
  <c r="A107" i="6"/>
  <c r="A123" i="6"/>
  <c r="A139" i="6"/>
  <c r="A146" i="6"/>
  <c r="A177" i="6"/>
  <c r="A371" i="6"/>
  <c r="A388" i="6"/>
  <c r="A395" i="6"/>
  <c r="A397" i="6"/>
  <c r="A418" i="6"/>
  <c r="A435" i="6"/>
  <c r="A439" i="6"/>
  <c r="A448" i="6"/>
  <c r="H212" i="15"/>
  <c r="L212" i="15" s="1"/>
  <c r="H216" i="15"/>
  <c r="L216" i="15" s="1"/>
  <c r="H310" i="14"/>
  <c r="L310" i="14" s="1"/>
  <c r="H311" i="17"/>
  <c r="L311" i="17" s="1"/>
  <c r="H213" i="7"/>
  <c r="L213" i="7" s="1"/>
  <c r="A314" i="14"/>
  <c r="H235" i="5"/>
  <c r="L235" i="5" s="1"/>
  <c r="K311" i="14"/>
  <c r="H315" i="17"/>
  <c r="L315" i="17" s="1"/>
  <c r="H220" i="17"/>
  <c r="L220" i="17" s="1"/>
  <c r="E548" i="21"/>
  <c r="E544" i="21"/>
  <c r="E540" i="21"/>
  <c r="E536" i="21"/>
  <c r="E532" i="21"/>
  <c r="E527" i="21"/>
  <c r="E523" i="21"/>
  <c r="E521" i="21"/>
  <c r="E515" i="21"/>
  <c r="E511" i="21"/>
  <c r="E507" i="21"/>
  <c r="E502" i="21"/>
  <c r="E498" i="21"/>
  <c r="E490" i="21"/>
  <c r="E482" i="21"/>
  <c r="E478" i="21"/>
  <c r="E474" i="21"/>
  <c r="E466" i="21"/>
  <c r="E454" i="21"/>
  <c r="E450" i="21"/>
  <c r="E446" i="21"/>
  <c r="E438" i="21"/>
  <c r="E433" i="21"/>
  <c r="E430" i="21"/>
  <c r="E426" i="21"/>
  <c r="E422" i="21"/>
  <c r="E418" i="21"/>
  <c r="E414" i="21"/>
  <c r="E413" i="21"/>
  <c r="E406" i="21"/>
  <c r="E398" i="21"/>
  <c r="E393" i="21"/>
  <c r="E390" i="21"/>
  <c r="E386" i="21"/>
  <c r="E382" i="21"/>
  <c r="E378" i="21"/>
  <c r="E374" i="21"/>
  <c r="E370" i="21"/>
  <c r="E364" i="21"/>
  <c r="E358" i="21"/>
  <c r="E352" i="21"/>
  <c r="E348" i="21"/>
  <c r="E342" i="21"/>
  <c r="E338" i="21"/>
  <c r="E332" i="21"/>
  <c r="E328" i="21"/>
  <c r="E324" i="21"/>
  <c r="E319" i="21"/>
  <c r="E315" i="21"/>
  <c r="E310" i="21"/>
  <c r="E306" i="21"/>
  <c r="E301" i="21"/>
  <c r="E297" i="21"/>
  <c r="E292" i="21"/>
  <c r="E288" i="21"/>
  <c r="E284" i="21"/>
  <c r="E279" i="21"/>
  <c r="E275" i="21"/>
  <c r="E270" i="21"/>
  <c r="E266" i="21"/>
  <c r="E262" i="21"/>
  <c r="E256" i="21"/>
  <c r="E252" i="21"/>
  <c r="E248" i="21"/>
  <c r="E244" i="21"/>
  <c r="E241" i="21"/>
  <c r="E235" i="21"/>
  <c r="E230" i="21"/>
  <c r="E226" i="21"/>
  <c r="E220" i="21"/>
  <c r="E216" i="21"/>
  <c r="E212" i="21"/>
  <c r="E208" i="21"/>
  <c r="E204" i="21"/>
  <c r="E200" i="21"/>
  <c r="E190" i="21"/>
  <c r="E195" i="21"/>
  <c r="E191" i="21"/>
  <c r="E185" i="21"/>
  <c r="E180" i="21"/>
  <c r="E176" i="21"/>
  <c r="E172" i="21"/>
  <c r="E168" i="21"/>
  <c r="E164" i="21"/>
  <c r="E160" i="21"/>
  <c r="E563" i="21"/>
  <c r="E559" i="21"/>
  <c r="E551" i="21"/>
  <c r="E547" i="21"/>
  <c r="E543" i="21"/>
  <c r="E539" i="21"/>
  <c r="E535" i="21"/>
  <c r="E531" i="21"/>
  <c r="E514" i="21"/>
  <c r="E510" i="21"/>
  <c r="E506" i="21"/>
  <c r="E497" i="21"/>
  <c r="E493" i="21"/>
  <c r="E489" i="21"/>
  <c r="E485" i="21"/>
  <c r="E481" i="21"/>
  <c r="E477" i="21"/>
  <c r="E473" i="21"/>
  <c r="E465" i="21"/>
  <c r="E461" i="21"/>
  <c r="E453" i="21"/>
  <c r="E449" i="21"/>
  <c r="E445" i="21"/>
  <c r="E441" i="21"/>
  <c r="E437" i="21"/>
  <c r="E432" i="21"/>
  <c r="E429" i="21"/>
  <c r="E425" i="21"/>
  <c r="E417" i="21"/>
  <c r="E412" i="21"/>
  <c r="E409" i="21"/>
  <c r="E405" i="21"/>
  <c r="E401" i="21"/>
  <c r="E397" i="21"/>
  <c r="E392" i="21"/>
  <c r="E389" i="21"/>
  <c r="E385" i="21"/>
  <c r="E377" i="21"/>
  <c r="E373" i="21"/>
  <c r="E367" i="21"/>
  <c r="E363" i="21"/>
  <c r="E357" i="21"/>
  <c r="E351" i="21"/>
  <c r="E347" i="21"/>
  <c r="E341" i="21"/>
  <c r="E337" i="21"/>
  <c r="E331" i="21"/>
  <c r="E327" i="21"/>
  <c r="E323" i="21"/>
  <c r="E318" i="21"/>
  <c r="E309" i="21"/>
  <c r="E305" i="21"/>
  <c r="E300" i="21"/>
  <c r="E296" i="21"/>
  <c r="E291" i="21"/>
  <c r="E287" i="21"/>
  <c r="E282" i="21"/>
  <c r="E278" i="21"/>
  <c r="E273" i="21"/>
  <c r="E269" i="21"/>
  <c r="E265" i="21"/>
  <c r="E261" i="21"/>
  <c r="E255" i="21"/>
  <c r="E251" i="21"/>
  <c r="E247" i="21"/>
  <c r="E243" i="21"/>
  <c r="E240" i="21"/>
  <c r="E233" i="21"/>
  <c r="E229" i="21"/>
  <c r="E225" i="21"/>
  <c r="E219" i="21"/>
  <c r="E215" i="21"/>
  <c r="E211" i="21"/>
  <c r="E207" i="21"/>
  <c r="E203" i="21"/>
  <c r="E199" i="21"/>
  <c r="E187" i="21"/>
  <c r="E194" i="21"/>
  <c r="E189" i="21"/>
  <c r="E184" i="21"/>
  <c r="E175" i="21"/>
  <c r="E171" i="21"/>
  <c r="E163" i="21"/>
  <c r="E546" i="21"/>
  <c r="E542" i="21"/>
  <c r="E538" i="21"/>
  <c r="E534" i="21"/>
  <c r="E530" i="21"/>
  <c r="E519" i="21"/>
  <c r="E517" i="21"/>
  <c r="E513" i="21"/>
  <c r="E509" i="21"/>
  <c r="E505" i="21"/>
  <c r="E500" i="21"/>
  <c r="E496" i="21"/>
  <c r="E492" i="21"/>
  <c r="E488" i="21"/>
  <c r="E480" i="21"/>
  <c r="E476" i="21"/>
  <c r="E472" i="21"/>
  <c r="E468" i="21"/>
  <c r="E464" i="21"/>
  <c r="E452" i="21"/>
  <c r="E448" i="21"/>
  <c r="E444" i="21"/>
  <c r="E440" i="21"/>
  <c r="E436" i="21"/>
  <c r="E431" i="21"/>
  <c r="E428" i="21"/>
  <c r="E420" i="21"/>
  <c r="E416" i="21"/>
  <c r="E411" i="21"/>
  <c r="E404" i="21"/>
  <c r="E400" i="21"/>
  <c r="E396" i="21"/>
  <c r="E395" i="21"/>
  <c r="E388" i="21"/>
  <c r="E380" i="21"/>
  <c r="E376" i="21"/>
  <c r="E372" i="21"/>
  <c r="E366" i="21"/>
  <c r="E360" i="21"/>
  <c r="E356" i="21"/>
  <c r="E350" i="21"/>
  <c r="E346" i="21"/>
  <c r="E340" i="21"/>
  <c r="E334" i="21"/>
  <c r="E330" i="21"/>
  <c r="E326" i="21"/>
  <c r="E322" i="21"/>
  <c r="E317" i="21"/>
  <c r="E312" i="21"/>
  <c r="E308" i="21"/>
  <c r="E304" i="21"/>
  <c r="E299" i="21"/>
  <c r="E295" i="21"/>
  <c r="E290" i="21"/>
  <c r="E286" i="21"/>
  <c r="E281" i="21"/>
  <c r="E277" i="21"/>
  <c r="E272" i="21"/>
  <c r="E268" i="21"/>
  <c r="E264" i="21"/>
  <c r="E260" i="21"/>
  <c r="E254" i="21"/>
  <c r="E250" i="21"/>
  <c r="E246" i="21"/>
  <c r="E242" i="21"/>
  <c r="E239" i="21"/>
  <c r="E232" i="21"/>
  <c r="E227" i="21"/>
  <c r="E223" i="21"/>
  <c r="E218" i="21"/>
  <c r="E214" i="21"/>
  <c r="E210" i="21"/>
  <c r="E206" i="21"/>
  <c r="E202" i="21"/>
  <c r="E198" i="21"/>
  <c r="E182" i="21"/>
  <c r="E193" i="21"/>
  <c r="E188" i="21"/>
  <c r="E183" i="21"/>
  <c r="E178" i="21"/>
  <c r="E174" i="21"/>
  <c r="E170" i="21"/>
  <c r="E166" i="21"/>
  <c r="E561" i="21"/>
  <c r="E557" i="21"/>
  <c r="E553" i="21"/>
  <c r="E549" i="21"/>
  <c r="E541" i="21"/>
  <c r="E537" i="21"/>
  <c r="E533" i="21"/>
  <c r="E529" i="21"/>
  <c r="E516" i="21"/>
  <c r="E512" i="21"/>
  <c r="E508" i="21"/>
  <c r="E504" i="21"/>
  <c r="E499" i="21"/>
  <c r="E495" i="21"/>
  <c r="E491" i="21"/>
  <c r="E487" i="21"/>
  <c r="E483" i="21"/>
  <c r="E475" i="21"/>
  <c r="E463" i="21"/>
  <c r="E459" i="21"/>
  <c r="E451" i="21"/>
  <c r="E447" i="21"/>
  <c r="E443" i="21"/>
  <c r="E439" i="21"/>
  <c r="E435" i="21"/>
  <c r="E434" i="21"/>
  <c r="E427" i="21"/>
  <c r="E419" i="21"/>
  <c r="E415" i="21"/>
  <c r="E410" i="21"/>
  <c r="E407" i="21"/>
  <c r="E403" i="21"/>
  <c r="E399" i="21"/>
  <c r="E394" i="21"/>
  <c r="E391" i="21"/>
  <c r="E387" i="21"/>
  <c r="E379" i="21"/>
  <c r="E375" i="21"/>
  <c r="E371" i="21"/>
  <c r="E365" i="21"/>
  <c r="E359" i="21"/>
  <c r="E355" i="21"/>
  <c r="E349" i="21"/>
  <c r="E345" i="21"/>
  <c r="E339" i="21"/>
  <c r="E333" i="21"/>
  <c r="E329" i="21"/>
  <c r="E325" i="21"/>
  <c r="E321" i="21"/>
  <c r="E316" i="21"/>
  <c r="E311" i="21"/>
  <c r="E307" i="21"/>
  <c r="E302" i="21"/>
  <c r="E298" i="21"/>
  <c r="E294" i="21"/>
  <c r="E289" i="21"/>
  <c r="E285" i="21"/>
  <c r="E280" i="21"/>
  <c r="E276" i="21"/>
  <c r="E271" i="21"/>
  <c r="E267" i="21"/>
  <c r="E263" i="21"/>
  <c r="E257" i="21"/>
  <c r="E253" i="21"/>
  <c r="E249" i="21"/>
  <c r="E245" i="21"/>
  <c r="E237" i="21"/>
  <c r="E238" i="21"/>
  <c r="E231" i="21"/>
  <c r="E224" i="21"/>
  <c r="E222" i="21"/>
  <c r="E217" i="21"/>
  <c r="E213" i="21"/>
  <c r="E209" i="21"/>
  <c r="E201" i="21"/>
  <c r="E197" i="21"/>
  <c r="E196" i="21"/>
  <c r="E192" i="21"/>
  <c r="E186" i="21"/>
  <c r="E181" i="21"/>
  <c r="E177" i="21"/>
  <c r="E169" i="21"/>
  <c r="E161" i="21"/>
  <c r="E157" i="21"/>
  <c r="E153" i="21"/>
  <c r="E149" i="21"/>
  <c r="E144" i="21"/>
  <c r="E140" i="21"/>
  <c r="E136" i="21"/>
  <c r="E132" i="21"/>
  <c r="E128" i="21"/>
  <c r="E124" i="21"/>
  <c r="E119" i="21"/>
  <c r="E113" i="21"/>
  <c r="E108" i="21"/>
  <c r="E104" i="21"/>
  <c r="E99" i="21"/>
  <c r="E94" i="21"/>
  <c r="E89" i="21"/>
  <c r="E85" i="21"/>
  <c r="E80" i="21"/>
  <c r="E76" i="21"/>
  <c r="E72" i="21"/>
  <c r="E68" i="21"/>
  <c r="E63" i="21"/>
  <c r="E58" i="21"/>
  <c r="E54" i="21"/>
  <c r="E146" i="21"/>
  <c r="E156" i="21"/>
  <c r="E152" i="21"/>
  <c r="E148" i="21"/>
  <c r="E143" i="21"/>
  <c r="E139" i="21"/>
  <c r="E135" i="21"/>
  <c r="E131" i="21"/>
  <c r="E123" i="21"/>
  <c r="E117" i="21"/>
  <c r="E112" i="21"/>
  <c r="E107" i="21"/>
  <c r="E103" i="21"/>
  <c r="E93" i="21"/>
  <c r="E88" i="21"/>
  <c r="E84" i="21"/>
  <c r="E75" i="21"/>
  <c r="E71" i="21"/>
  <c r="E62" i="21"/>
  <c r="E122" i="21"/>
  <c r="E111" i="21"/>
  <c r="E102" i="21"/>
  <c r="E92" i="21"/>
  <c r="E87" i="21"/>
  <c r="E78" i="21"/>
  <c r="E70" i="21"/>
  <c r="E61" i="21"/>
  <c r="E158" i="21"/>
  <c r="E145" i="21"/>
  <c r="E133" i="21"/>
  <c r="E120" i="21"/>
  <c r="E105" i="21"/>
  <c r="E90" i="21"/>
  <c r="E73" i="21"/>
  <c r="E59" i="21"/>
  <c r="E127" i="21"/>
  <c r="E98" i="21"/>
  <c r="E79" i="21"/>
  <c r="E67" i="21"/>
  <c r="E56" i="21"/>
  <c r="E154" i="21"/>
  <c r="E137" i="21"/>
  <c r="E109" i="21"/>
  <c r="E95" i="21"/>
  <c r="E81" i="21"/>
  <c r="E69" i="21"/>
  <c r="E55" i="21"/>
  <c r="E165" i="21"/>
  <c r="E159" i="21"/>
  <c r="E155" i="21"/>
  <c r="E151" i="21"/>
  <c r="E147" i="21"/>
  <c r="E142" i="21"/>
  <c r="E138" i="21"/>
  <c r="E134" i="21"/>
  <c r="E130" i="21"/>
  <c r="E126" i="21"/>
  <c r="E116" i="21"/>
  <c r="E106" i="21"/>
  <c r="E97" i="21"/>
  <c r="E82" i="21"/>
  <c r="E74" i="21"/>
  <c r="E65" i="21"/>
  <c r="E162" i="21"/>
  <c r="E150" i="21"/>
  <c r="E141" i="21"/>
  <c r="E129" i="21"/>
  <c r="E114" i="21"/>
  <c r="E100" i="21"/>
  <c r="E86" i="21"/>
  <c r="E77" i="21"/>
  <c r="E64" i="21"/>
  <c r="H129" i="17"/>
  <c r="L129" i="17" s="1"/>
  <c r="H138" i="17"/>
  <c r="L138" i="17" s="1"/>
  <c r="H142" i="17"/>
  <c r="L142" i="17" s="1"/>
  <c r="H147" i="17"/>
  <c r="L147" i="17" s="1"/>
  <c r="H151" i="17"/>
  <c r="L151" i="17" s="1"/>
  <c r="H155" i="17"/>
  <c r="L155" i="17" s="1"/>
  <c r="H159" i="17"/>
  <c r="L159" i="17" s="1"/>
  <c r="H284" i="17"/>
  <c r="L284" i="17" s="1"/>
  <c r="H306" i="17"/>
  <c r="L306" i="17" s="1"/>
  <c r="H322" i="17"/>
  <c r="L322" i="17" s="1"/>
  <c r="H326" i="17"/>
  <c r="L326" i="17" s="1"/>
  <c r="H330" i="17"/>
  <c r="L330" i="17" s="1"/>
  <c r="L174" i="17"/>
  <c r="K130" i="19"/>
  <c r="K260" i="19"/>
  <c r="K268" i="19"/>
  <c r="K286" i="19"/>
  <c r="K304" i="19"/>
  <c r="K338" i="19"/>
  <c r="K398" i="19"/>
  <c r="K414" i="19"/>
  <c r="K438" i="19"/>
  <c r="L559" i="19"/>
  <c r="K49" i="19"/>
  <c r="K89" i="19"/>
  <c r="K94" i="19"/>
  <c r="K99" i="19"/>
  <c r="K104" i="19"/>
  <c r="K108" i="19"/>
  <c r="K120" i="19"/>
  <c r="K113" i="19"/>
  <c r="K124" i="19"/>
  <c r="K277" i="19"/>
  <c r="K295" i="19"/>
  <c r="K319" i="19"/>
  <c r="K328" i="19"/>
  <c r="K332" i="19"/>
  <c r="K366" i="19"/>
  <c r="H364" i="17"/>
  <c r="L364" i="17" s="1"/>
  <c r="H370" i="17"/>
  <c r="L370" i="17" s="1"/>
  <c r="H374" i="17"/>
  <c r="L374" i="17" s="1"/>
  <c r="H206" i="17"/>
  <c r="L206" i="17" s="1"/>
  <c r="H210" i="17"/>
  <c r="L210" i="17" s="1"/>
  <c r="H230" i="17"/>
  <c r="L230" i="17" s="1"/>
  <c r="H235" i="17"/>
  <c r="L235" i="17" s="1"/>
  <c r="H241" i="17"/>
  <c r="L241" i="17" s="1"/>
  <c r="H244" i="17"/>
  <c r="L244" i="17" s="1"/>
  <c r="H248" i="17"/>
  <c r="L248" i="17" s="1"/>
  <c r="H252" i="17"/>
  <c r="L252" i="17" s="1"/>
  <c r="H262" i="17"/>
  <c r="L262" i="17" s="1"/>
  <c r="H266" i="17"/>
  <c r="L266" i="17" s="1"/>
  <c r="H275" i="17"/>
  <c r="L275" i="17" s="1"/>
  <c r="H378" i="17"/>
  <c r="L378" i="17" s="1"/>
  <c r="H347" i="17"/>
  <c r="L347" i="17" s="1"/>
  <c r="H357" i="17"/>
  <c r="L357" i="17" s="1"/>
  <c r="H183" i="17"/>
  <c r="L183" i="17" s="1"/>
  <c r="H288" i="17"/>
  <c r="L288" i="17" s="1"/>
  <c r="H292" i="17"/>
  <c r="L292" i="17" s="1"/>
  <c r="H297" i="17"/>
  <c r="L297" i="17" s="1"/>
  <c r="K169" i="15"/>
  <c r="H231" i="15"/>
  <c r="L231" i="15" s="1"/>
  <c r="K215" i="14"/>
  <c r="K169" i="14"/>
  <c r="H170" i="14"/>
  <c r="L170" i="14" s="1"/>
  <c r="H183" i="15"/>
  <c r="L183" i="15" s="1"/>
  <c r="H188" i="15"/>
  <c r="L188" i="15" s="1"/>
  <c r="H193" i="15"/>
  <c r="L193" i="15" s="1"/>
  <c r="H316" i="14"/>
  <c r="L316" i="14" s="1"/>
  <c r="L218" i="19"/>
  <c r="L218" i="8"/>
  <c r="L231" i="19"/>
  <c r="L231" i="8"/>
  <c r="A213" i="14"/>
  <c r="K214" i="6"/>
  <c r="K211" i="7"/>
  <c r="K217" i="8"/>
  <c r="H212" i="6"/>
  <c r="L212" i="6" s="1"/>
  <c r="A214" i="6"/>
  <c r="H215" i="5"/>
  <c r="L215" i="5" s="1"/>
  <c r="H225" i="17"/>
  <c r="L225" i="17" s="1"/>
  <c r="H309" i="15"/>
  <c r="L309" i="15" s="1"/>
  <c r="H314" i="8"/>
  <c r="L314" i="8" s="1"/>
  <c r="H375" i="5"/>
  <c r="L375" i="5" s="1"/>
  <c r="H445" i="15"/>
  <c r="L445" i="15" s="1"/>
  <c r="H450" i="15"/>
  <c r="L450" i="15" s="1"/>
  <c r="H172" i="7"/>
  <c r="L172" i="7" s="1"/>
  <c r="H172" i="6"/>
  <c r="L172" i="6" s="1"/>
  <c r="H170" i="7"/>
  <c r="L170" i="7" s="1"/>
  <c r="A169" i="17"/>
  <c r="K169" i="17" s="1"/>
  <c r="K172" i="15"/>
  <c r="A217" i="15"/>
  <c r="K217" i="15" s="1"/>
  <c r="A311" i="17"/>
  <c r="K311" i="17" s="1"/>
  <c r="L309" i="8"/>
  <c r="H311" i="8"/>
  <c r="L311" i="8" s="1"/>
  <c r="F45" i="10"/>
  <c r="F53" i="10"/>
  <c r="F46" i="10"/>
  <c r="F50" i="10"/>
  <c r="F54" i="10"/>
  <c r="F43" i="10"/>
  <c r="A212" i="15"/>
  <c r="K212" i="15" s="1"/>
  <c r="H212" i="8"/>
  <c r="A211" i="8"/>
  <c r="K211" i="14" s="1"/>
  <c r="H310" i="6"/>
  <c r="L310" i="6" s="1"/>
  <c r="K310" i="6"/>
  <c r="A211" i="15"/>
  <c r="K211" i="15" s="1"/>
  <c r="A216" i="7"/>
  <c r="H214" i="6"/>
  <c r="L214" i="6" s="1"/>
  <c r="A214" i="7"/>
  <c r="H314" i="5"/>
  <c r="L314" i="5" s="1"/>
  <c r="K310" i="7"/>
  <c r="K134" i="6"/>
  <c r="L451" i="8"/>
  <c r="H169" i="8"/>
  <c r="L169" i="8" s="1"/>
  <c r="K172" i="7"/>
  <c r="H217" i="8"/>
  <c r="L217" i="8" s="1"/>
  <c r="H217" i="14"/>
  <c r="L217" i="14" s="1"/>
  <c r="K312" i="14"/>
  <c r="A213" i="15"/>
  <c r="K213" i="15" s="1"/>
  <c r="H211" i="15"/>
  <c r="L211" i="15" s="1"/>
  <c r="H311" i="7"/>
  <c r="L311" i="7" s="1"/>
  <c r="H207" i="15"/>
  <c r="L207" i="15" s="1"/>
  <c r="H453" i="15"/>
  <c r="L453" i="15" s="1"/>
  <c r="A170" i="15"/>
  <c r="K170" i="15" s="1"/>
  <c r="A170" i="17"/>
  <c r="K170" i="17" s="1"/>
  <c r="A215" i="15"/>
  <c r="K215" i="15" s="1"/>
  <c r="K212" i="8"/>
  <c r="H215" i="8"/>
  <c r="H213" i="5"/>
  <c r="L213" i="5" s="1"/>
  <c r="K311" i="7"/>
  <c r="H312" i="15"/>
  <c r="L312" i="15" s="1"/>
  <c r="H312" i="17"/>
  <c r="L312" i="17" s="1"/>
  <c r="K170" i="7"/>
  <c r="A170" i="7"/>
  <c r="A169" i="14"/>
  <c r="K212" i="7"/>
  <c r="K215" i="7"/>
  <c r="A212" i="8"/>
  <c r="K212" i="14" s="1"/>
  <c r="K314" i="8"/>
  <c r="H314" i="15"/>
  <c r="L314" i="15" s="1"/>
  <c r="J90" i="10"/>
  <c r="A386" i="6"/>
  <c r="E51" i="21"/>
  <c r="E47" i="21"/>
  <c r="E43" i="21"/>
  <c r="E25" i="21"/>
  <c r="E50" i="21"/>
  <c r="E46" i="21"/>
  <c r="E53" i="21"/>
  <c r="E49" i="21"/>
  <c r="E45" i="21"/>
  <c r="E52" i="21"/>
  <c r="E48" i="21"/>
  <c r="E44" i="21"/>
  <c r="A127" i="6"/>
  <c r="A131" i="6"/>
  <c r="A136" i="6"/>
  <c r="A140" i="6"/>
  <c r="A144" i="6"/>
  <c r="A396" i="6"/>
  <c r="A405" i="6"/>
  <c r="A409" i="6"/>
  <c r="A417" i="6"/>
  <c r="A446" i="6"/>
  <c r="A450" i="6"/>
  <c r="A454" i="6"/>
  <c r="H14" i="21"/>
  <c r="H445" i="17"/>
  <c r="L445" i="17" s="1"/>
  <c r="H448" i="17"/>
  <c r="L448" i="17" s="1"/>
  <c r="H448" i="15"/>
  <c r="L448" i="15" s="1"/>
  <c r="L453" i="8"/>
  <c r="A169" i="19"/>
  <c r="K169" i="19" s="1"/>
  <c r="K170" i="8"/>
  <c r="K172" i="6"/>
  <c r="H172" i="5"/>
  <c r="L172" i="5" s="1"/>
  <c r="K169" i="7"/>
  <c r="H76" i="5"/>
  <c r="L76" i="5" s="1"/>
  <c r="H111" i="5"/>
  <c r="L111" i="5" s="1"/>
  <c r="H106" i="5"/>
  <c r="L106" i="5" s="1"/>
  <c r="H102" i="5"/>
  <c r="L102" i="5" s="1"/>
  <c r="H97" i="5"/>
  <c r="L97" i="5" s="1"/>
  <c r="H92" i="5"/>
  <c r="L92" i="5" s="1"/>
  <c r="H87" i="5"/>
  <c r="L87" i="5" s="1"/>
  <c r="H82" i="5"/>
  <c r="L82" i="5" s="1"/>
  <c r="H78" i="5"/>
  <c r="L78" i="5" s="1"/>
  <c r="H70" i="5"/>
  <c r="L70" i="5" s="1"/>
  <c r="H61" i="5"/>
  <c r="L61" i="5" s="1"/>
  <c r="A215" i="6"/>
  <c r="A214" i="15"/>
  <c r="K214" i="15" s="1"/>
  <c r="K216" i="14"/>
  <c r="H213" i="8"/>
  <c r="L213" i="19" s="1"/>
  <c r="H223" i="17"/>
  <c r="L223" i="17" s="1"/>
  <c r="K309" i="6"/>
  <c r="K310" i="14"/>
  <c r="K310" i="8"/>
  <c r="K216" i="6"/>
  <c r="H216" i="5"/>
  <c r="L216" i="5" s="1"/>
  <c r="H217" i="5"/>
  <c r="L217" i="5" s="1"/>
  <c r="A213" i="8"/>
  <c r="K213" i="14" s="1"/>
  <c r="L211" i="8"/>
  <c r="A214" i="17"/>
  <c r="K214" i="17" s="1"/>
  <c r="H217" i="15"/>
  <c r="L217" i="15" s="1"/>
  <c r="H213" i="15"/>
  <c r="L213" i="15" s="1"/>
  <c r="H222" i="17"/>
  <c r="L222" i="17" s="1"/>
  <c r="H213" i="17"/>
  <c r="L213" i="17" s="1"/>
  <c r="H217" i="17"/>
  <c r="L217" i="17" s="1"/>
  <c r="A314" i="6"/>
  <c r="H310" i="5"/>
  <c r="L310" i="5" s="1"/>
  <c r="A310" i="6"/>
  <c r="A311" i="14"/>
  <c r="H314" i="14"/>
  <c r="L314" i="14" s="1"/>
  <c r="H134" i="17"/>
  <c r="L134" i="17" s="1"/>
  <c r="H314" i="17"/>
  <c r="L314" i="17" s="1"/>
  <c r="K134" i="14"/>
  <c r="K170" i="6"/>
  <c r="A172" i="14"/>
  <c r="A172" i="19"/>
  <c r="K172" i="19" s="1"/>
  <c r="A171" i="7"/>
  <c r="H58" i="5"/>
  <c r="L58" i="5" s="1"/>
  <c r="H214" i="8"/>
  <c r="L214" i="8" s="1"/>
  <c r="H134" i="7"/>
  <c r="L134" i="7" s="1"/>
  <c r="K310" i="19"/>
  <c r="H374" i="5"/>
  <c r="L374" i="5" s="1"/>
  <c r="H376" i="5"/>
  <c r="L376" i="5" s="1"/>
  <c r="H378" i="5"/>
  <c r="L378" i="5" s="1"/>
  <c r="A431" i="6"/>
  <c r="K431" i="6"/>
  <c r="A206" i="6"/>
  <c r="J93" i="10"/>
  <c r="H45" i="5"/>
  <c r="L45" i="5" s="1"/>
  <c r="H64" i="5"/>
  <c r="L64" i="5" s="1"/>
  <c r="H90" i="5"/>
  <c r="L90" i="5" s="1"/>
  <c r="H95" i="5"/>
  <c r="L95" i="5" s="1"/>
  <c r="H100" i="5"/>
  <c r="L100" i="5" s="1"/>
  <c r="H117" i="5"/>
  <c r="L117" i="5" s="1"/>
  <c r="H109" i="5"/>
  <c r="L109" i="5" s="1"/>
  <c r="A399" i="6"/>
  <c r="H41" i="5"/>
  <c r="L41" i="5" s="1"/>
  <c r="J54" i="1"/>
  <c r="H114" i="5"/>
  <c r="L114" i="5" s="1"/>
  <c r="H59" i="5"/>
  <c r="L59" i="5" s="1"/>
  <c r="H77" i="5"/>
  <c r="L77" i="5" s="1"/>
  <c r="G7" i="21"/>
  <c r="K564" i="21"/>
  <c r="U7" i="21"/>
  <c r="H39" i="5"/>
  <c r="L39" i="5" s="1"/>
  <c r="H47" i="5"/>
  <c r="L47" i="5" s="1"/>
  <c r="F13" i="1"/>
  <c r="H18" i="10" s="1"/>
  <c r="H62" i="5"/>
  <c r="L62" i="5" s="1"/>
  <c r="H67" i="5"/>
  <c r="L67" i="5" s="1"/>
  <c r="H71" i="5"/>
  <c r="L71" i="5" s="1"/>
  <c r="H75" i="5"/>
  <c r="L75" i="5" s="1"/>
  <c r="H79" i="5"/>
  <c r="L79" i="5" s="1"/>
  <c r="H84" i="5"/>
  <c r="L84" i="5" s="1"/>
  <c r="H93" i="5"/>
  <c r="L93" i="5" s="1"/>
  <c r="H98" i="5"/>
  <c r="L98" i="5" s="1"/>
  <c r="H103" i="5"/>
  <c r="L103" i="5" s="1"/>
  <c r="H120" i="5"/>
  <c r="L120" i="5" s="1"/>
  <c r="H112" i="5"/>
  <c r="L112" i="5" s="1"/>
  <c r="H32" i="5"/>
  <c r="L32" i="5" s="1"/>
  <c r="H69" i="5"/>
  <c r="L69" i="5" s="1"/>
  <c r="H86" i="5"/>
  <c r="L86" i="5" s="1"/>
  <c r="H105" i="5"/>
  <c r="L105" i="5" s="1"/>
  <c r="AA81" i="10"/>
  <c r="H44" i="5"/>
  <c r="L44" i="5" s="1"/>
  <c r="H56" i="5"/>
  <c r="L56" i="5" s="1"/>
  <c r="H42" i="5"/>
  <c r="L42" i="5" s="1"/>
  <c r="H46" i="5"/>
  <c r="L46" i="5" s="1"/>
  <c r="H50" i="5"/>
  <c r="L50" i="5" s="1"/>
  <c r="K27" i="8"/>
  <c r="A27" i="19"/>
  <c r="K27" i="19" s="1"/>
  <c r="A27" i="15"/>
  <c r="K27" i="15" s="1"/>
  <c r="A27" i="14"/>
  <c r="A27" i="7"/>
  <c r="AK84" i="10"/>
  <c r="K27" i="6"/>
  <c r="J85" i="10"/>
  <c r="J88" i="10"/>
  <c r="J92" i="10"/>
  <c r="J86" i="10"/>
  <c r="J87" i="10"/>
  <c r="J91" i="10"/>
  <c r="J94" i="10"/>
  <c r="J84" i="10"/>
  <c r="J89" i="10"/>
  <c r="H453" i="17"/>
  <c r="L453" i="17" s="1"/>
  <c r="A172" i="17"/>
  <c r="K172" i="17" s="1"/>
  <c r="H170" i="5"/>
  <c r="L170" i="5" s="1"/>
  <c r="H449" i="15"/>
  <c r="L449" i="15" s="1"/>
  <c r="H449" i="17"/>
  <c r="L449" i="17" s="1"/>
  <c r="L445" i="8"/>
  <c r="H169" i="7"/>
  <c r="L169" i="7" s="1"/>
  <c r="K169" i="8"/>
  <c r="A170" i="14"/>
  <c r="H170" i="17"/>
  <c r="L170" i="17" s="1"/>
  <c r="H315" i="15"/>
  <c r="L315" i="15" s="1"/>
  <c r="H207" i="8"/>
  <c r="A223" i="17"/>
  <c r="K223" i="17" s="1"/>
  <c r="A217" i="17"/>
  <c r="K217" i="17" s="1"/>
  <c r="H216" i="7"/>
  <c r="L216" i="7" s="1"/>
  <c r="A212" i="17"/>
  <c r="K212" i="17" s="1"/>
  <c r="K216" i="7"/>
  <c r="H215" i="6"/>
  <c r="L215" i="6" s="1"/>
  <c r="A215" i="7"/>
  <c r="A217" i="6"/>
  <c r="K213" i="8"/>
  <c r="A215" i="14"/>
  <c r="A211" i="14"/>
  <c r="K215" i="8"/>
  <c r="H215" i="7"/>
  <c r="L215" i="7" s="1"/>
  <c r="H213" i="14"/>
  <c r="L213" i="14" s="1"/>
  <c r="K211" i="19"/>
  <c r="K315" i="6"/>
  <c r="H312" i="5"/>
  <c r="L312" i="5" s="1"/>
  <c r="K312" i="8"/>
  <c r="K134" i="7"/>
  <c r="K314" i="14"/>
  <c r="H134" i="8"/>
  <c r="L134" i="8" s="1"/>
  <c r="A134" i="19"/>
  <c r="K134" i="19" s="1"/>
  <c r="A314" i="15"/>
  <c r="K314" i="15" s="1"/>
  <c r="A134" i="17"/>
  <c r="K134" i="17" s="1"/>
  <c r="A134" i="14"/>
  <c r="K309" i="14"/>
  <c r="H373" i="5"/>
  <c r="L373" i="5" s="1"/>
  <c r="H380" i="5"/>
  <c r="L380" i="5" s="1"/>
  <c r="A211" i="17"/>
  <c r="K211" i="17" s="1"/>
  <c r="K213" i="7"/>
  <c r="A213" i="6"/>
  <c r="K215" i="6"/>
  <c r="K211" i="8"/>
  <c r="H217" i="7"/>
  <c r="L217" i="7" s="1"/>
  <c r="H312" i="6"/>
  <c r="L312" i="6" s="1"/>
  <c r="A315" i="6"/>
  <c r="K134" i="8"/>
  <c r="H134" i="6"/>
  <c r="L134" i="6" s="1"/>
  <c r="K312" i="15"/>
  <c r="A314" i="19"/>
  <c r="K314" i="19" s="1"/>
  <c r="H312" i="14"/>
  <c r="L312" i="14" s="1"/>
  <c r="H377" i="5"/>
  <c r="L377" i="5" s="1"/>
  <c r="H379" i="5"/>
  <c r="L379" i="5" s="1"/>
  <c r="H226" i="17"/>
  <c r="L226" i="17" s="1"/>
  <c r="H215" i="17"/>
  <c r="L215" i="17" s="1"/>
  <c r="J83" i="10"/>
  <c r="A171" i="19"/>
  <c r="K171" i="19" s="1"/>
  <c r="A171" i="14"/>
  <c r="A171" i="17"/>
  <c r="K171" i="17" s="1"/>
  <c r="A171" i="15"/>
  <c r="K171" i="15" s="1"/>
  <c r="H171" i="8"/>
  <c r="K171" i="8"/>
  <c r="L449" i="8"/>
  <c r="K171" i="7"/>
  <c r="A171" i="8"/>
  <c r="K171" i="14" s="1"/>
  <c r="K170" i="14"/>
  <c r="K172" i="14"/>
  <c r="H451" i="17"/>
  <c r="L451" i="17" s="1"/>
  <c r="H451" i="15"/>
  <c r="L451" i="15" s="1"/>
  <c r="K171" i="6"/>
  <c r="H171" i="5"/>
  <c r="L171" i="5" s="1"/>
  <c r="A171" i="6"/>
  <c r="H447" i="17"/>
  <c r="L447" i="17" s="1"/>
  <c r="H447" i="15"/>
  <c r="L447" i="15" s="1"/>
  <c r="H169" i="5"/>
  <c r="L169" i="5" s="1"/>
  <c r="K169" i="6"/>
  <c r="A169" i="6"/>
  <c r="K172" i="8"/>
  <c r="A217" i="7"/>
  <c r="H217" i="6"/>
  <c r="L217" i="6" s="1"/>
  <c r="K217" i="6"/>
  <c r="H311" i="15"/>
  <c r="L311" i="15" s="1"/>
  <c r="H172" i="8"/>
  <c r="K216" i="19"/>
  <c r="A216" i="17"/>
  <c r="K216" i="17" s="1"/>
  <c r="K216" i="8"/>
  <c r="H216" i="8"/>
  <c r="A216" i="15"/>
  <c r="K216" i="15" s="1"/>
  <c r="A216" i="14"/>
  <c r="H214" i="17"/>
  <c r="L214" i="17" s="1"/>
  <c r="H216" i="17"/>
  <c r="L216" i="17" s="1"/>
  <c r="A309" i="17"/>
  <c r="K309" i="17" s="1"/>
  <c r="A309" i="19"/>
  <c r="K309" i="19" s="1"/>
  <c r="K309" i="8"/>
  <c r="A309" i="15"/>
  <c r="K309" i="15" s="1"/>
  <c r="K214" i="7"/>
  <c r="K214" i="8"/>
  <c r="H214" i="7"/>
  <c r="L214" i="7" s="1"/>
  <c r="A214" i="8"/>
  <c r="K214" i="14" s="1"/>
  <c r="H214" i="15"/>
  <c r="L214" i="15" s="1"/>
  <c r="H212" i="5"/>
  <c r="L212" i="5" s="1"/>
  <c r="A212" i="6"/>
  <c r="K212" i="6"/>
  <c r="H215" i="15"/>
  <c r="L215" i="15" s="1"/>
  <c r="H215" i="14"/>
  <c r="L215" i="14" s="1"/>
  <c r="H311" i="6"/>
  <c r="L311" i="6" s="1"/>
  <c r="A311" i="7"/>
  <c r="K311" i="6"/>
  <c r="H314" i="6"/>
  <c r="L314" i="6" s="1"/>
  <c r="K314" i="6"/>
  <c r="A314" i="7"/>
  <c r="A315" i="8"/>
  <c r="K315" i="14" s="1"/>
  <c r="K315" i="7"/>
  <c r="H315" i="7"/>
  <c r="L315" i="7" s="1"/>
  <c r="A310" i="14"/>
  <c r="A310" i="17"/>
  <c r="K310" i="17" s="1"/>
  <c r="A310" i="15"/>
  <c r="K310" i="15" s="1"/>
  <c r="H310" i="8"/>
  <c r="H315" i="14"/>
  <c r="L315" i="14" s="1"/>
  <c r="H134" i="15"/>
  <c r="L134" i="15" s="1"/>
  <c r="K134" i="15"/>
  <c r="A311" i="19"/>
  <c r="K311" i="19" s="1"/>
  <c r="A312" i="17"/>
  <c r="K312" i="17" s="1"/>
  <c r="A312" i="19"/>
  <c r="K312" i="19" s="1"/>
  <c r="H312" i="8"/>
  <c r="A312" i="14"/>
  <c r="K315" i="8"/>
  <c r="A315" i="15"/>
  <c r="K315" i="15" s="1"/>
  <c r="A315" i="17"/>
  <c r="K315" i="17" s="1"/>
  <c r="A315" i="19"/>
  <c r="K315" i="19" s="1"/>
  <c r="A315" i="14"/>
  <c r="H315" i="8"/>
  <c r="H213" i="6"/>
  <c r="L213" i="6" s="1"/>
  <c r="K213" i="6"/>
  <c r="A315" i="7"/>
  <c r="H315" i="6"/>
  <c r="L315" i="6" s="1"/>
  <c r="H314" i="7"/>
  <c r="L314" i="7" s="1"/>
  <c r="K314" i="7"/>
  <c r="K314" i="17"/>
  <c r="K217" i="7"/>
  <c r="A217" i="8"/>
  <c r="K217" i="14" s="1"/>
  <c r="K309" i="7"/>
  <c r="A309" i="7"/>
  <c r="H312" i="7"/>
  <c r="L312" i="7" s="1"/>
  <c r="K312" i="7"/>
  <c r="A311" i="15"/>
  <c r="K311" i="15" s="1"/>
  <c r="K311" i="8"/>
  <c r="H134" i="14"/>
  <c r="L134" i="14" s="1"/>
  <c r="J174" i="8" l="1"/>
  <c r="H174" i="8" s="1"/>
  <c r="L174" i="8" s="1"/>
  <c r="BA90" i="10"/>
  <c r="J168" i="8"/>
  <c r="H168" i="8" s="1"/>
  <c r="L168" i="8" s="1"/>
  <c r="BA89" i="10"/>
  <c r="J126" i="8"/>
  <c r="H126" i="8" s="1"/>
  <c r="L126" i="8" s="1"/>
  <c r="BA88" i="10"/>
  <c r="J39" i="8"/>
  <c r="H39" i="8" s="1"/>
  <c r="L39" i="8" s="1"/>
  <c r="BA87" i="10"/>
  <c r="H62" i="10"/>
  <c r="H63" i="10"/>
  <c r="L68" i="8"/>
  <c r="L154" i="8"/>
  <c r="L240" i="8"/>
  <c r="L325" i="8"/>
  <c r="L261" i="19"/>
  <c r="L333" i="8"/>
  <c r="L264" i="8"/>
  <c r="L245" i="8"/>
  <c r="L329" i="19"/>
  <c r="L243" i="19"/>
  <c r="L287" i="8"/>
  <c r="L271" i="8"/>
  <c r="L265" i="19"/>
  <c r="L219" i="19"/>
  <c r="L285" i="19"/>
  <c r="L253" i="8"/>
  <c r="L247" i="8"/>
  <c r="L280" i="8"/>
  <c r="L296" i="8"/>
  <c r="L238" i="8"/>
  <c r="L323" i="8"/>
  <c r="L359" i="8"/>
  <c r="L269" i="8"/>
  <c r="L251" i="8"/>
  <c r="L363" i="19"/>
  <c r="L300" i="8"/>
  <c r="L282" i="8"/>
  <c r="L210" i="8"/>
  <c r="L327" i="8"/>
  <c r="L321" i="8"/>
  <c r="L276" i="8"/>
  <c r="L278" i="8"/>
  <c r="H278" i="15"/>
  <c r="L278" i="15" s="1"/>
  <c r="L298" i="8"/>
  <c r="L337" i="8"/>
  <c r="L291" i="8"/>
  <c r="L273" i="8"/>
  <c r="L237" i="8"/>
  <c r="L208" i="8"/>
  <c r="L150" i="8"/>
  <c r="L339" i="8"/>
  <c r="L305" i="19"/>
  <c r="L331" i="8"/>
  <c r="L233" i="8"/>
  <c r="L294" i="8"/>
  <c r="L165" i="8"/>
  <c r="L48" i="19"/>
  <c r="H161" i="17"/>
  <c r="L161" i="17" s="1"/>
  <c r="AC84" i="10"/>
  <c r="AC83" i="10"/>
  <c r="AC90" i="10"/>
  <c r="L311" i="19"/>
  <c r="L338" i="19"/>
  <c r="L225" i="19"/>
  <c r="L272" i="19"/>
  <c r="L355" i="19"/>
  <c r="L295" i="19"/>
  <c r="L242" i="19"/>
  <c r="H165" i="15"/>
  <c r="L165" i="15" s="1"/>
  <c r="L131" i="8"/>
  <c r="L260" i="8"/>
  <c r="L290" i="8"/>
  <c r="L277" i="19"/>
  <c r="L328" i="19"/>
  <c r="L372" i="19"/>
  <c r="L249" i="19"/>
  <c r="L170" i="8"/>
  <c r="L322" i="8"/>
  <c r="L304" i="8"/>
  <c r="L346" i="19"/>
  <c r="L246" i="19"/>
  <c r="L356" i="19"/>
  <c r="L281" i="8"/>
  <c r="L135" i="8"/>
  <c r="L135" i="19"/>
  <c r="L239" i="8"/>
  <c r="L161" i="8"/>
  <c r="H188" i="19"/>
  <c r="L188" i="19" s="1"/>
  <c r="H161" i="15"/>
  <c r="L161" i="15" s="1"/>
  <c r="L224" i="19"/>
  <c r="L232" i="8"/>
  <c r="H194" i="19"/>
  <c r="L194" i="19" s="1"/>
  <c r="L158" i="19"/>
  <c r="L254" i="19"/>
  <c r="L366" i="19"/>
  <c r="H204" i="19"/>
  <c r="L204" i="19" s="1"/>
  <c r="L360" i="19"/>
  <c r="L319" i="19"/>
  <c r="L286" i="19"/>
  <c r="L268" i="19"/>
  <c r="L324" i="8"/>
  <c r="L250" i="8"/>
  <c r="L50" i="19"/>
  <c r="H193" i="19"/>
  <c r="L193" i="19" s="1"/>
  <c r="AC86" i="10"/>
  <c r="AC94" i="10"/>
  <c r="AC92" i="10"/>
  <c r="AC95" i="10"/>
  <c r="AC87" i="10"/>
  <c r="AC88" i="10"/>
  <c r="AC89" i="10"/>
  <c r="AC93" i="10"/>
  <c r="W18" i="10"/>
  <c r="AC85" i="10"/>
  <c r="AC91" i="10"/>
  <c r="H26" i="10"/>
  <c r="H28" i="10"/>
  <c r="W34" i="10"/>
  <c r="W32" i="10"/>
  <c r="W30" i="10"/>
  <c r="L317" i="8"/>
  <c r="H190" i="19"/>
  <c r="L190" i="19" s="1"/>
  <c r="L318" i="8"/>
  <c r="L187" i="8"/>
  <c r="H184" i="19"/>
  <c r="L184" i="19" s="1"/>
  <c r="L162" i="8"/>
  <c r="L292" i="8"/>
  <c r="L349" i="19"/>
  <c r="L141" i="8"/>
  <c r="L141" i="19"/>
  <c r="L365" i="8"/>
  <c r="L229" i="19"/>
  <c r="L256" i="8"/>
  <c r="H160" i="17"/>
  <c r="L160" i="17" s="1"/>
  <c r="L144" i="8"/>
  <c r="L190" i="8"/>
  <c r="H189" i="19"/>
  <c r="L189" i="19" s="1"/>
  <c r="L203" i="8"/>
  <c r="L371" i="8"/>
  <c r="L127" i="19"/>
  <c r="L147" i="8"/>
  <c r="H175" i="19"/>
  <c r="L175" i="19" s="1"/>
  <c r="L326" i="19"/>
  <c r="L217" i="19"/>
  <c r="L263" i="8"/>
  <c r="L330" i="19"/>
  <c r="L345" i="8"/>
  <c r="L375" i="19"/>
  <c r="L43" i="19"/>
  <c r="L71" i="19"/>
  <c r="L284" i="8"/>
  <c r="L136" i="19"/>
  <c r="L163" i="8"/>
  <c r="H163" i="15"/>
  <c r="L163" i="15" s="1"/>
  <c r="L73" i="19"/>
  <c r="L146" i="19"/>
  <c r="L202" i="8"/>
  <c r="H202" i="19"/>
  <c r="L202" i="19" s="1"/>
  <c r="L52" i="8"/>
  <c r="L52" i="19"/>
  <c r="L198" i="8"/>
  <c r="H198" i="19"/>
  <c r="L198" i="19" s="1"/>
  <c r="L160" i="19"/>
  <c r="L223" i="8"/>
  <c r="L213" i="8"/>
  <c r="L56" i="8"/>
  <c r="L157" i="19"/>
  <c r="L133" i="8"/>
  <c r="L133" i="19"/>
  <c r="L235" i="19"/>
  <c r="L373" i="19"/>
  <c r="L49" i="19"/>
  <c r="L374" i="8"/>
  <c r="L160" i="8"/>
  <c r="L153" i="8"/>
  <c r="L153" i="19"/>
  <c r="L306" i="8"/>
  <c r="L288" i="19"/>
  <c r="H166" i="15"/>
  <c r="L166" i="15" s="1"/>
  <c r="L41" i="8"/>
  <c r="L41" i="19"/>
  <c r="L164" i="8"/>
  <c r="L164" i="19"/>
  <c r="H164" i="15"/>
  <c r="L164" i="15" s="1"/>
  <c r="L140" i="8"/>
  <c r="L140" i="19"/>
  <c r="L334" i="19"/>
  <c r="L302" i="19"/>
  <c r="L248" i="8"/>
  <c r="L130" i="8"/>
  <c r="L166" i="19"/>
  <c r="L128" i="8"/>
  <c r="L149" i="8"/>
  <c r="L149" i="19"/>
  <c r="L301" i="19"/>
  <c r="L220" i="19"/>
  <c r="L308" i="19"/>
  <c r="L252" i="8"/>
  <c r="L241" i="19"/>
  <c r="L342" i="8"/>
  <c r="L267" i="19"/>
  <c r="L227" i="8"/>
  <c r="L378" i="19"/>
  <c r="H162" i="15"/>
  <c r="L162" i="15" s="1"/>
  <c r="L177" i="8"/>
  <c r="H177" i="19"/>
  <c r="L177" i="19" s="1"/>
  <c r="L364" i="19"/>
  <c r="L226" i="8"/>
  <c r="L193" i="8"/>
  <c r="H192" i="19"/>
  <c r="L192" i="19" s="1"/>
  <c r="L139" i="8"/>
  <c r="L139" i="19"/>
  <c r="L262" i="19"/>
  <c r="L275" i="8"/>
  <c r="L63" i="8"/>
  <c r="L155" i="19"/>
  <c r="L142" i="19"/>
  <c r="L79" i="19"/>
  <c r="L134" i="19"/>
  <c r="L266" i="8"/>
  <c r="L209" i="19"/>
  <c r="L307" i="19"/>
  <c r="L230" i="19"/>
  <c r="L257" i="8"/>
  <c r="L341" i="19"/>
  <c r="L347" i="8"/>
  <c r="L76" i="8"/>
  <c r="L62" i="19"/>
  <c r="L181" i="8"/>
  <c r="L377" i="19"/>
  <c r="L67" i="19"/>
  <c r="L182" i="8"/>
  <c r="H196" i="19"/>
  <c r="L196" i="19" s="1"/>
  <c r="L145" i="8"/>
  <c r="H145" i="17"/>
  <c r="L145" i="17" s="1"/>
  <c r="L145" i="19"/>
  <c r="H145" i="15"/>
  <c r="L145" i="15" s="1"/>
  <c r="L143" i="8"/>
  <c r="L143" i="19"/>
  <c r="L352" i="8"/>
  <c r="L352" i="19"/>
  <c r="L156" i="8"/>
  <c r="L156" i="19"/>
  <c r="L297" i="19"/>
  <c r="L370" i="8"/>
  <c r="L351" i="8"/>
  <c r="L188" i="8"/>
  <c r="H187" i="19"/>
  <c r="L187" i="19" s="1"/>
  <c r="L152" i="8"/>
  <c r="L152" i="19"/>
  <c r="L222" i="8"/>
  <c r="L244" i="8"/>
  <c r="L75" i="19"/>
  <c r="L85" i="19"/>
  <c r="L348" i="8"/>
  <c r="L178" i="8"/>
  <c r="H178" i="19"/>
  <c r="L178" i="19" s="1"/>
  <c r="L183" i="8"/>
  <c r="H182" i="19"/>
  <c r="L182" i="19" s="1"/>
  <c r="L148" i="8"/>
  <c r="L148" i="19"/>
  <c r="L159" i="8"/>
  <c r="L151" i="8"/>
  <c r="L51" i="8"/>
  <c r="L51" i="19"/>
  <c r="L357" i="8"/>
  <c r="L357" i="19"/>
  <c r="L176" i="8"/>
  <c r="H176" i="19"/>
  <c r="L176" i="19" s="1"/>
  <c r="L132" i="8"/>
  <c r="L132" i="19"/>
  <c r="L314" i="19"/>
  <c r="L138" i="19"/>
  <c r="L197" i="8"/>
  <c r="H197" i="19"/>
  <c r="L197" i="19" s="1"/>
  <c r="L196" i="8"/>
  <c r="H195" i="19"/>
  <c r="L195" i="19" s="1"/>
  <c r="L186" i="8"/>
  <c r="H185" i="19"/>
  <c r="L185" i="19" s="1"/>
  <c r="L201" i="8"/>
  <c r="H201" i="19"/>
  <c r="L201" i="19" s="1"/>
  <c r="L192" i="8"/>
  <c r="H191" i="19"/>
  <c r="L191" i="19" s="1"/>
  <c r="L55" i="8"/>
  <c r="L55" i="19"/>
  <c r="L64" i="19"/>
  <c r="L72" i="8"/>
  <c r="L87" i="19"/>
  <c r="L80" i="8"/>
  <c r="L65" i="19"/>
  <c r="L88" i="8"/>
  <c r="L77" i="8"/>
  <c r="L59" i="19"/>
  <c r="L69" i="19"/>
  <c r="L86" i="19"/>
  <c r="AF94" i="10"/>
  <c r="AF95" i="10"/>
  <c r="AF87" i="10"/>
  <c r="AF84" i="10"/>
  <c r="AF90" i="10"/>
  <c r="AF93" i="10"/>
  <c r="AF85" i="10"/>
  <c r="AF86" i="10"/>
  <c r="AF91" i="10"/>
  <c r="AF83" i="10"/>
  <c r="AF88" i="10"/>
  <c r="AF89" i="10"/>
  <c r="AF92" i="10"/>
  <c r="H24" i="10"/>
  <c r="L58" i="19"/>
  <c r="L81" i="19"/>
  <c r="L78" i="19"/>
  <c r="L129" i="19"/>
  <c r="AH87" i="10"/>
  <c r="AH92" i="10"/>
  <c r="AH84" i="10"/>
  <c r="AH83" i="10"/>
  <c r="AH90" i="10"/>
  <c r="AH93" i="10"/>
  <c r="AH95" i="10"/>
  <c r="AH85" i="10"/>
  <c r="AH88" i="10"/>
  <c r="AH89" i="10"/>
  <c r="AH91" i="10"/>
  <c r="AH94" i="10"/>
  <c r="AH86" i="10"/>
  <c r="L70" i="19"/>
  <c r="L84" i="19"/>
  <c r="AI95" i="10"/>
  <c r="AI87" i="10"/>
  <c r="AI92" i="10"/>
  <c r="AI84" i="10"/>
  <c r="AI93" i="10"/>
  <c r="AI85" i="10"/>
  <c r="AI90" i="10"/>
  <c r="AI91" i="10"/>
  <c r="AI83" i="10"/>
  <c r="AI88" i="10"/>
  <c r="AI89" i="10"/>
  <c r="AI94" i="10"/>
  <c r="AI86" i="10"/>
  <c r="AE93" i="10"/>
  <c r="AE94" i="10"/>
  <c r="AE87" i="10"/>
  <c r="AE91" i="10"/>
  <c r="AE88" i="10"/>
  <c r="AE83" i="10"/>
  <c r="AE89" i="10"/>
  <c r="AE86" i="10"/>
  <c r="AE90" i="10"/>
  <c r="AE95" i="10"/>
  <c r="AE85" i="10"/>
  <c r="AE92" i="10"/>
  <c r="AE84" i="10"/>
  <c r="L379" i="8"/>
  <c r="L379" i="19"/>
  <c r="L376" i="8"/>
  <c r="L376" i="19"/>
  <c r="L74" i="8"/>
  <c r="L74" i="19"/>
  <c r="L137" i="8"/>
  <c r="L137" i="19"/>
  <c r="L82" i="8"/>
  <c r="L82" i="19"/>
  <c r="L61" i="8"/>
  <c r="L61" i="19"/>
  <c r="H22" i="10"/>
  <c r="H16" i="10"/>
  <c r="J18" i="10" s="1"/>
  <c r="H20" i="10"/>
  <c r="L53" i="8"/>
  <c r="L53" i="19"/>
  <c r="L46" i="8"/>
  <c r="L46" i="19"/>
  <c r="L45" i="8"/>
  <c r="L45" i="19"/>
  <c r="L40" i="8"/>
  <c r="L40" i="19"/>
  <c r="L47" i="8"/>
  <c r="L47" i="19"/>
  <c r="L54" i="8"/>
  <c r="L54" i="19"/>
  <c r="W81" i="10"/>
  <c r="H56" i="10" s="1"/>
  <c r="L214" i="19"/>
  <c r="H169" i="19"/>
  <c r="L169" i="19" s="1"/>
  <c r="L212" i="8"/>
  <c r="L212" i="19"/>
  <c r="L215" i="8"/>
  <c r="L215" i="19"/>
  <c r="L207" i="8"/>
  <c r="L207" i="19"/>
  <c r="L312" i="19"/>
  <c r="L312" i="8"/>
  <c r="L310" i="8"/>
  <c r="L310" i="19"/>
  <c r="L315" i="8"/>
  <c r="L315" i="19"/>
  <c r="L216" i="8"/>
  <c r="L216" i="19"/>
  <c r="L172" i="8"/>
  <c r="H172" i="19"/>
  <c r="L172" i="19" s="1"/>
  <c r="H171" i="19"/>
  <c r="L171" i="19" s="1"/>
  <c r="L171" i="8"/>
  <c r="W16" i="10" l="1"/>
  <c r="J16" i="10"/>
  <c r="W22" i="10"/>
  <c r="J22" i="10"/>
  <c r="W28" i="10"/>
  <c r="J28" i="10"/>
  <c r="W26" i="10"/>
  <c r="J26" i="10"/>
  <c r="W24" i="10"/>
  <c r="J24" i="10"/>
  <c r="W20" i="10"/>
  <c r="J20" i="10"/>
  <c r="H57" i="10"/>
  <c r="W57" i="10" s="1"/>
  <c r="H55" i="10"/>
  <c r="W55" i="10" s="1"/>
  <c r="H58" i="10"/>
  <c r="W58" i="10" s="1"/>
  <c r="H61" i="10"/>
  <c r="W63" i="10"/>
  <c r="I63" i="10"/>
  <c r="W62" i="10"/>
  <c r="I62" i="10"/>
  <c r="H47" i="10"/>
  <c r="G47" i="10" s="1"/>
  <c r="H43" i="10"/>
  <c r="G43" i="10" s="1"/>
  <c r="H45" i="10"/>
  <c r="W45" i="10" s="1"/>
  <c r="H54" i="10"/>
  <c r="H46" i="10"/>
  <c r="G46" i="10" s="1"/>
  <c r="H52" i="10"/>
  <c r="G52" i="10" s="1"/>
  <c r="W56" i="10"/>
  <c r="H50" i="10"/>
  <c r="G50" i="10" s="1"/>
  <c r="H53" i="10"/>
  <c r="W53" i="10" s="1"/>
  <c r="H51" i="10"/>
  <c r="G51" i="10" s="1"/>
  <c r="H48" i="10"/>
  <c r="G48" i="10" s="1"/>
  <c r="H44" i="10"/>
  <c r="G44" i="10" s="1"/>
  <c r="H49" i="10"/>
  <c r="G49" i="10" s="1"/>
  <c r="H42" i="10"/>
  <c r="W42" i="10" s="1"/>
  <c r="W44" i="10" l="1"/>
  <c r="W50" i="10"/>
  <c r="W48" i="10"/>
  <c r="W51" i="10"/>
  <c r="W47" i="10"/>
  <c r="W52" i="10"/>
  <c r="I52" i="10"/>
  <c r="W54" i="10"/>
  <c r="I54" i="10"/>
  <c r="I47" i="10"/>
  <c r="W61" i="10"/>
  <c r="I61" i="10"/>
  <c r="I46" i="10"/>
  <c r="W46" i="10"/>
  <c r="I43" i="10"/>
  <c r="W43" i="10"/>
  <c r="W60" i="10"/>
  <c r="I60" i="10"/>
  <c r="I49" i="10"/>
  <c r="W49" i="10"/>
  <c r="W59" i="10"/>
  <c r="I59" i="10"/>
  <c r="I50" i="10"/>
  <c r="I45" i="10"/>
  <c r="I48" i="10"/>
  <c r="I53" i="10"/>
  <c r="I51" i="10"/>
  <c r="I44" i="10"/>
  <c r="I58" i="10"/>
  <c r="I55" i="10"/>
  <c r="I42" i="10"/>
  <c r="I57" i="10"/>
  <c r="I56" i="10"/>
</calcChain>
</file>

<file path=xl/comments1.xml><?xml version="1.0" encoding="utf-8"?>
<comments xmlns="http://schemas.openxmlformats.org/spreadsheetml/2006/main">
  <authors>
    <author>Kelly Hoffmann</author>
  </authors>
  <commentList>
    <comment ref="C6" authorId="0" shapeId="0">
      <text>
        <r>
          <rPr>
            <b/>
            <sz val="9"/>
            <color indexed="81"/>
            <rFont val="Tahoma"/>
            <family val="2"/>
          </rPr>
          <t>Insert Date</t>
        </r>
        <r>
          <rPr>
            <sz val="9"/>
            <color indexed="81"/>
            <rFont val="Tahoma"/>
            <family val="2"/>
          </rPr>
          <t xml:space="preserve">
</t>
        </r>
      </text>
    </comment>
    <comment ref="E6" authorId="0" shapeId="0">
      <text>
        <r>
          <rPr>
            <b/>
            <sz val="9"/>
            <color indexed="81"/>
            <rFont val="Tahoma"/>
            <family val="2"/>
          </rPr>
          <t>Choose Delivery Method from Drop Down.</t>
        </r>
        <r>
          <rPr>
            <sz val="9"/>
            <color indexed="81"/>
            <rFont val="Tahoma"/>
            <family val="2"/>
          </rPr>
          <t xml:space="preserve">
True Feasibility Studies should choose "No Construction"</t>
        </r>
      </text>
    </comment>
    <comment ref="G6" authorId="0" shapeId="0">
      <text>
        <r>
          <rPr>
            <b/>
            <i/>
            <sz val="9"/>
            <color indexed="81"/>
            <rFont val="Tahoma"/>
            <family val="2"/>
          </rPr>
          <t>Insert Project Name</t>
        </r>
        <r>
          <rPr>
            <i/>
            <sz val="9"/>
            <color indexed="81"/>
            <rFont val="Tahoma"/>
            <family val="2"/>
          </rPr>
          <t xml:space="preserve">
(echoed in subsequent tabs)</t>
        </r>
        <r>
          <rPr>
            <sz val="9"/>
            <color indexed="81"/>
            <rFont val="Tahoma"/>
            <family val="2"/>
          </rPr>
          <t xml:space="preserve">
</t>
        </r>
      </text>
    </comment>
    <comment ref="S6" authorId="0" shapeId="0">
      <text>
        <r>
          <rPr>
            <b/>
            <sz val="9"/>
            <color indexed="81"/>
            <rFont val="Tahoma"/>
            <family val="2"/>
          </rPr>
          <t xml:space="preserve">Insert Project #
</t>
        </r>
        <r>
          <rPr>
            <i/>
            <sz val="9"/>
            <color indexed="81"/>
            <rFont val="Tahoma"/>
            <family val="2"/>
          </rPr>
          <t>(echoed in subsequent tabs)</t>
        </r>
        <r>
          <rPr>
            <sz val="9"/>
            <color indexed="81"/>
            <rFont val="Tahoma"/>
            <family val="2"/>
          </rPr>
          <t xml:space="preserve">
</t>
        </r>
      </text>
    </comment>
    <comment ref="C8" authorId="0" shapeId="0">
      <text>
        <r>
          <rPr>
            <b/>
            <sz val="9"/>
            <color indexed="81"/>
            <rFont val="Tahoma"/>
            <family val="2"/>
          </rPr>
          <t>Insert BLDG #
or UTILITY</t>
        </r>
      </text>
    </comment>
    <comment ref="E8" authorId="0" shapeId="0">
      <text>
        <r>
          <rPr>
            <b/>
            <sz val="9"/>
            <color indexed="81"/>
            <rFont val="Tahoma"/>
            <family val="2"/>
          </rPr>
          <t>Choose Construction Type from Drop Down</t>
        </r>
        <r>
          <rPr>
            <sz val="9"/>
            <color indexed="81"/>
            <rFont val="Tahoma"/>
            <family val="2"/>
          </rPr>
          <t xml:space="preserve">
</t>
        </r>
      </text>
    </comment>
    <comment ref="G8" authorId="0" shapeId="0">
      <text>
        <r>
          <rPr>
            <b/>
            <sz val="9"/>
            <color indexed="81"/>
            <rFont val="Tahoma"/>
            <family val="2"/>
          </rPr>
          <t>Insert Planner Name</t>
        </r>
        <r>
          <rPr>
            <sz val="9"/>
            <color indexed="81"/>
            <rFont val="Tahoma"/>
            <family val="2"/>
          </rPr>
          <t xml:space="preserve">
</t>
        </r>
      </text>
    </comment>
    <comment ref="K8" authorId="0" shapeId="0">
      <text>
        <r>
          <rPr>
            <b/>
            <sz val="9"/>
            <color indexed="81"/>
            <rFont val="Tahoma"/>
            <family val="2"/>
          </rPr>
          <t xml:space="preserve">Enter if BOT project.  
</t>
        </r>
        <r>
          <rPr>
            <u/>
            <sz val="9"/>
            <color indexed="81"/>
            <rFont val="Tahoma"/>
            <family val="2"/>
          </rPr>
          <t>Will change suggestions for Presentations and LEED Certification.</t>
        </r>
        <r>
          <rPr>
            <sz val="9"/>
            <color indexed="81"/>
            <rFont val="Tahoma"/>
            <family val="2"/>
          </rPr>
          <t xml:space="preserve">
</t>
        </r>
      </text>
    </comment>
    <comment ref="M8" authorId="0" shapeId="0">
      <text>
        <r>
          <rPr>
            <b/>
            <sz val="9"/>
            <color indexed="81"/>
            <rFont val="Tahoma"/>
            <family val="2"/>
          </rPr>
          <t xml:space="preserve">Enter if Illinois State Historical Preservation Office involvement.  
</t>
        </r>
        <r>
          <rPr>
            <u/>
            <sz val="9"/>
            <color indexed="81"/>
            <rFont val="Tahoma"/>
            <family val="2"/>
          </rPr>
          <t xml:space="preserve">Yes / No / ?
</t>
        </r>
        <r>
          <rPr>
            <sz val="9"/>
            <color indexed="81"/>
            <rFont val="Tahoma"/>
            <family val="2"/>
          </rPr>
          <t xml:space="preserve">Ask Historic Preservation Officer.  Usually for buildings older than 50 years and/or on the quads.
</t>
        </r>
      </text>
    </comment>
    <comment ref="O8" authorId="0" shapeId="0">
      <text>
        <r>
          <rPr>
            <b/>
            <sz val="9"/>
            <color indexed="81"/>
            <rFont val="Tahoma"/>
            <family val="2"/>
          </rPr>
          <t xml:space="preserve">Enter if CDB project.  
</t>
        </r>
        <r>
          <rPr>
            <u/>
            <sz val="9"/>
            <color indexed="81"/>
            <rFont val="Tahoma"/>
            <family val="2"/>
          </rPr>
          <t>Will change design phases names:</t>
        </r>
        <r>
          <rPr>
            <sz val="9"/>
            <color indexed="81"/>
            <rFont val="Tahoma"/>
            <family val="2"/>
          </rPr>
          <t xml:space="preserve">
50% CD (UIUC) = 75% CD (CDB)
95% CD (UIUC) = 100% CD (CDB)
</t>
        </r>
      </text>
    </comment>
    <comment ref="Q8" authorId="0" shapeId="0">
      <text>
        <r>
          <rPr>
            <u/>
            <sz val="9"/>
            <color indexed="81"/>
            <rFont val="Tahoma"/>
            <family val="2"/>
          </rPr>
          <t xml:space="preserve">Insert </t>
        </r>
        <r>
          <rPr>
            <b/>
            <sz val="9"/>
            <color indexed="81"/>
            <rFont val="Tahoma"/>
            <family val="2"/>
          </rPr>
          <t xml:space="preserve">
None </t>
        </r>
        <r>
          <rPr>
            <i/>
            <sz val="9"/>
            <color indexed="81"/>
            <rFont val="Tahoma"/>
            <family val="2"/>
          </rPr>
          <t>or</t>
        </r>
        <r>
          <rPr>
            <b/>
            <sz val="9"/>
            <color indexed="81"/>
            <rFont val="Tahoma"/>
            <family val="2"/>
          </rPr>
          <t xml:space="preserve">
Capital PM</t>
        </r>
        <r>
          <rPr>
            <i/>
            <sz val="9"/>
            <color indexed="81"/>
            <rFont val="Tahoma"/>
            <family val="2"/>
          </rPr>
          <t xml:space="preserve"> or</t>
        </r>
        <r>
          <rPr>
            <b/>
            <sz val="9"/>
            <color indexed="81"/>
            <rFont val="Tahoma"/>
            <family val="2"/>
          </rPr>
          <t xml:space="preserve"> 
JOC Coordinator </t>
        </r>
        <r>
          <rPr>
            <i/>
            <sz val="9"/>
            <color indexed="81"/>
            <rFont val="Tahoma"/>
            <family val="2"/>
          </rPr>
          <t>or</t>
        </r>
        <r>
          <rPr>
            <b/>
            <sz val="9"/>
            <color indexed="81"/>
            <rFont val="Tahoma"/>
            <family val="2"/>
          </rPr>
          <t xml:space="preserve">
Construction Services Coordinator</t>
        </r>
        <r>
          <rPr>
            <sz val="9"/>
            <color indexed="81"/>
            <rFont val="Tahoma"/>
            <family val="2"/>
          </rPr>
          <t xml:space="preserve">
</t>
        </r>
      </text>
    </comment>
    <comment ref="E10" authorId="0" shapeId="0">
      <text>
        <r>
          <rPr>
            <u/>
            <sz val="9"/>
            <color indexed="81"/>
            <rFont val="Tahoma"/>
            <family val="2"/>
          </rPr>
          <t>Choose LEED Goal from Dropdown:</t>
        </r>
        <r>
          <rPr>
            <b/>
            <sz val="9"/>
            <color indexed="81"/>
            <rFont val="Tahoma"/>
            <family val="2"/>
          </rPr>
          <t xml:space="preserve">
None, Silver, Gold, Platinum
</t>
        </r>
        <r>
          <rPr>
            <i/>
            <sz val="9"/>
            <color indexed="81"/>
            <rFont val="Tahoma"/>
            <family val="2"/>
          </rPr>
          <t>and</t>
        </r>
        <r>
          <rPr>
            <b/>
            <sz val="9"/>
            <color indexed="81"/>
            <rFont val="Tahoma"/>
            <family val="2"/>
          </rPr>
          <t xml:space="preserve">
Certified vs. Not certified</t>
        </r>
      </text>
    </comment>
    <comment ref="F11" authorId="0" shapeId="0">
      <text>
        <r>
          <rPr>
            <u/>
            <sz val="9"/>
            <color indexed="81"/>
            <rFont val="Tahoma"/>
            <family val="2"/>
          </rPr>
          <t>Select from Drop Down:</t>
        </r>
        <r>
          <rPr>
            <sz val="9"/>
            <color indexed="81"/>
            <rFont val="Tahoma"/>
            <family val="2"/>
          </rPr>
          <t xml:space="preserve">
</t>
        </r>
        <r>
          <rPr>
            <b/>
            <sz val="9"/>
            <color indexed="81"/>
            <rFont val="Tahoma"/>
            <family val="2"/>
          </rPr>
          <t>Memorandum or Short Report</t>
        </r>
        <r>
          <rPr>
            <sz val="9"/>
            <color indexed="81"/>
            <rFont val="Tahoma"/>
            <family val="2"/>
          </rPr>
          <t xml:space="preserve">, </t>
        </r>
        <r>
          <rPr>
            <i/>
            <sz val="9"/>
            <color indexed="81"/>
            <rFont val="Tahoma"/>
            <family val="2"/>
          </rPr>
          <t>or</t>
        </r>
        <r>
          <rPr>
            <sz val="9"/>
            <color indexed="81"/>
            <rFont val="Tahoma"/>
            <family val="2"/>
          </rPr>
          <t xml:space="preserve">
</t>
        </r>
        <r>
          <rPr>
            <b/>
            <sz val="9"/>
            <color indexed="81"/>
            <rFont val="Tahoma"/>
            <family val="2"/>
          </rPr>
          <t>Feasibility Study</t>
        </r>
        <r>
          <rPr>
            <sz val="9"/>
            <color indexed="81"/>
            <rFont val="Tahoma"/>
            <family val="2"/>
          </rPr>
          <t xml:space="preserve">, </t>
        </r>
        <r>
          <rPr>
            <i/>
            <sz val="9"/>
            <color indexed="81"/>
            <rFont val="Tahoma"/>
            <family val="2"/>
          </rPr>
          <t>or</t>
        </r>
        <r>
          <rPr>
            <sz val="9"/>
            <color indexed="81"/>
            <rFont val="Tahoma"/>
            <family val="2"/>
          </rPr>
          <t xml:space="preserve">
</t>
        </r>
        <r>
          <rPr>
            <b/>
            <sz val="9"/>
            <color indexed="81"/>
            <rFont val="Tahoma"/>
            <family val="2"/>
          </rPr>
          <t>Conceptualization Only</t>
        </r>
        <r>
          <rPr>
            <i/>
            <sz val="9"/>
            <color indexed="81"/>
            <rFont val="Tahoma"/>
            <family val="2"/>
          </rPr>
          <t xml:space="preserve"> (think NHB, SFC, and MEB projects), 
</t>
        </r>
        <r>
          <rPr>
            <b/>
            <sz val="9"/>
            <color indexed="81"/>
            <rFont val="Tahoma"/>
            <family val="2"/>
          </rPr>
          <t>Conceptualization,</t>
        </r>
        <r>
          <rPr>
            <i/>
            <sz val="9"/>
            <color indexed="81"/>
            <rFont val="Tahoma"/>
            <family val="2"/>
          </rPr>
          <t xml:space="preserve"> or
or</t>
        </r>
        <r>
          <rPr>
            <sz val="9"/>
            <color indexed="81"/>
            <rFont val="Tahoma"/>
            <family val="2"/>
          </rPr>
          <t xml:space="preserve">
</t>
        </r>
        <r>
          <rPr>
            <b/>
            <sz val="9"/>
            <color indexed="81"/>
            <rFont val="Tahoma"/>
            <family val="2"/>
          </rPr>
          <t>Feasibility or Conceptualization do not apply,</t>
        </r>
        <r>
          <rPr>
            <i/>
            <sz val="9"/>
            <color indexed="81"/>
            <rFont val="Tahoma"/>
            <family val="2"/>
          </rPr>
          <t xml:space="preserve"> or</t>
        </r>
        <r>
          <rPr>
            <b/>
            <sz val="9"/>
            <color indexed="81"/>
            <rFont val="Tahoma"/>
            <family val="2"/>
          </rPr>
          <t xml:space="preserve">
No Reports or Conceptulization apply</t>
        </r>
        <r>
          <rPr>
            <sz val="9"/>
            <color indexed="81"/>
            <rFont val="Tahoma"/>
            <family val="2"/>
          </rPr>
          <t xml:space="preserve">
</t>
        </r>
      </text>
    </comment>
    <comment ref="K11" authorId="0" shapeId="0">
      <text>
        <r>
          <rPr>
            <u/>
            <sz val="9"/>
            <color indexed="81"/>
            <rFont val="Tahoma"/>
            <family val="2"/>
          </rPr>
          <t>Select from Drop Down:</t>
        </r>
        <r>
          <rPr>
            <b/>
            <sz val="9"/>
            <color indexed="81"/>
            <rFont val="Tahoma"/>
            <family val="2"/>
          </rPr>
          <t xml:space="preserve">
Design</t>
        </r>
        <r>
          <rPr>
            <sz val="9"/>
            <color indexed="81"/>
            <rFont val="Tahoma"/>
            <family val="2"/>
          </rPr>
          <t xml:space="preserve">
</t>
        </r>
        <r>
          <rPr>
            <i/>
            <sz val="9"/>
            <color indexed="81"/>
            <rFont val="Tahoma"/>
            <family val="2"/>
          </rPr>
          <t xml:space="preserve"> or</t>
        </r>
        <r>
          <rPr>
            <sz val="9"/>
            <color indexed="81"/>
            <rFont val="Tahoma"/>
            <family val="2"/>
          </rPr>
          <t xml:space="preserve">
</t>
        </r>
        <r>
          <rPr>
            <b/>
            <sz val="9"/>
            <color indexed="81"/>
            <rFont val="Tahoma"/>
            <family val="2"/>
          </rPr>
          <t>Design does not apply</t>
        </r>
        <r>
          <rPr>
            <sz val="9"/>
            <color indexed="81"/>
            <rFont val="Tahoma"/>
            <family val="2"/>
          </rPr>
          <t xml:space="preserve">
</t>
        </r>
      </text>
    </comment>
    <comment ref="O11" authorId="0" shapeId="0">
      <text>
        <r>
          <rPr>
            <u/>
            <sz val="9"/>
            <color indexed="81"/>
            <rFont val="Tahoma"/>
            <family val="2"/>
          </rPr>
          <t>Select from Drop Down:</t>
        </r>
        <r>
          <rPr>
            <b/>
            <sz val="9"/>
            <color indexed="81"/>
            <rFont val="Tahoma"/>
            <family val="2"/>
          </rPr>
          <t xml:space="preserve">
Construction
</t>
        </r>
        <r>
          <rPr>
            <i/>
            <sz val="9"/>
            <color indexed="81"/>
            <rFont val="Tahoma"/>
            <family val="2"/>
          </rPr>
          <t xml:space="preserve"> or</t>
        </r>
        <r>
          <rPr>
            <b/>
            <sz val="9"/>
            <color indexed="81"/>
            <rFont val="Tahoma"/>
            <family val="2"/>
          </rPr>
          <t xml:space="preserve">
Construction does not apply</t>
        </r>
        <r>
          <rPr>
            <sz val="9"/>
            <color indexed="81"/>
            <rFont val="Tahoma"/>
            <family val="2"/>
          </rPr>
          <t xml:space="preserve">
</t>
        </r>
      </text>
    </comment>
    <comment ref="S11" authorId="0" shapeId="0">
      <text>
        <r>
          <rPr>
            <b/>
            <u/>
            <sz val="9"/>
            <color indexed="81"/>
            <rFont val="Tahoma"/>
            <family val="2"/>
          </rPr>
          <t xml:space="preserve">"Error" will appear if </t>
        </r>
        <r>
          <rPr>
            <b/>
            <sz val="9"/>
            <color indexed="81"/>
            <rFont val="Tahoma"/>
            <family val="2"/>
          </rPr>
          <t xml:space="preserve">
</t>
        </r>
        <r>
          <rPr>
            <i/>
            <sz val="9"/>
            <color indexed="81"/>
            <rFont val="Tahoma"/>
            <family val="2"/>
          </rPr>
          <t>Feasibility Study is chosen along with 
"Design" and/or "Construction".</t>
        </r>
        <r>
          <rPr>
            <b/>
            <sz val="9"/>
            <color indexed="81"/>
            <rFont val="Tahoma"/>
            <family val="2"/>
          </rPr>
          <t xml:space="preserve">
</t>
        </r>
        <r>
          <rPr>
            <sz val="9"/>
            <color indexed="81"/>
            <rFont val="Tahoma"/>
            <family val="2"/>
          </rPr>
          <t xml:space="preserve">
If there is a</t>
        </r>
        <r>
          <rPr>
            <b/>
            <sz val="9"/>
            <color indexed="81"/>
            <rFont val="Tahoma"/>
            <family val="2"/>
          </rPr>
          <t xml:space="preserve"> "Feasibility Study" </t>
        </r>
        <r>
          <rPr>
            <i/>
            <u/>
            <sz val="9"/>
            <color indexed="81"/>
            <rFont val="Tahoma"/>
            <family val="2"/>
          </rPr>
          <t>there should be no design or construction</t>
        </r>
        <r>
          <rPr>
            <sz val="9"/>
            <color indexed="81"/>
            <rFont val="Tahoma"/>
            <family val="2"/>
          </rPr>
          <t xml:space="preserve">
</t>
        </r>
      </text>
    </comment>
    <comment ref="F12" authorId="0" shapeId="0">
      <text>
        <r>
          <rPr>
            <sz val="9"/>
            <color indexed="81"/>
            <rFont val="Tahoma"/>
            <family val="2"/>
          </rPr>
          <t xml:space="preserve">Choose applicability from drop down.
If a </t>
        </r>
        <r>
          <rPr>
            <b/>
            <sz val="9"/>
            <color indexed="81"/>
            <rFont val="Tahoma"/>
            <family val="2"/>
          </rPr>
          <t>Design &amp; Construction project</t>
        </r>
        <r>
          <rPr>
            <sz val="9"/>
            <color indexed="81"/>
            <rFont val="Tahoma"/>
            <family val="2"/>
          </rPr>
          <t xml:space="preserve">, choose NA for all </t>
        </r>
        <r>
          <rPr>
            <b/>
            <sz val="9"/>
            <color indexed="81"/>
            <rFont val="Tahoma"/>
            <family val="2"/>
          </rPr>
          <t>feasibility</t>
        </r>
        <r>
          <rPr>
            <sz val="9"/>
            <color indexed="81"/>
            <rFont val="Tahoma"/>
            <family val="2"/>
          </rPr>
          <t xml:space="preserve"> submittals.
</t>
        </r>
      </text>
    </comment>
    <comment ref="G12" authorId="0" shapeId="0">
      <text>
        <r>
          <rPr>
            <sz val="9"/>
            <color indexed="81"/>
            <rFont val="Tahoma"/>
            <family val="2"/>
          </rPr>
          <t xml:space="preserve">Choose applicability from drop down.
If a </t>
        </r>
        <r>
          <rPr>
            <b/>
            <sz val="9"/>
            <color indexed="81"/>
            <rFont val="Tahoma"/>
            <family val="2"/>
          </rPr>
          <t>Design &amp; Construction project</t>
        </r>
        <r>
          <rPr>
            <sz val="9"/>
            <color indexed="81"/>
            <rFont val="Tahoma"/>
            <family val="2"/>
          </rPr>
          <t xml:space="preserve">, choose NA for all </t>
        </r>
        <r>
          <rPr>
            <b/>
            <sz val="9"/>
            <color indexed="81"/>
            <rFont val="Tahoma"/>
            <family val="2"/>
          </rPr>
          <t>feasibility</t>
        </r>
        <r>
          <rPr>
            <sz val="9"/>
            <color indexed="81"/>
            <rFont val="Tahoma"/>
            <family val="2"/>
          </rPr>
          <t xml:space="preserve"> submittals.
</t>
        </r>
      </text>
    </comment>
    <comment ref="H12" authorId="0" shapeId="0">
      <text>
        <r>
          <rPr>
            <sz val="9"/>
            <color indexed="81"/>
            <rFont val="Tahoma"/>
            <family val="2"/>
          </rPr>
          <t xml:space="preserve">Choose applicability from drop down.
If a </t>
        </r>
        <r>
          <rPr>
            <b/>
            <sz val="9"/>
            <color indexed="81"/>
            <rFont val="Tahoma"/>
            <family val="2"/>
          </rPr>
          <t>Design &amp; Construction project</t>
        </r>
        <r>
          <rPr>
            <sz val="9"/>
            <color indexed="81"/>
            <rFont val="Tahoma"/>
            <family val="2"/>
          </rPr>
          <t xml:space="preserve">, choose NA for all </t>
        </r>
        <r>
          <rPr>
            <b/>
            <sz val="9"/>
            <color indexed="81"/>
            <rFont val="Tahoma"/>
            <family val="2"/>
          </rPr>
          <t>feasibility</t>
        </r>
        <r>
          <rPr>
            <sz val="9"/>
            <color indexed="81"/>
            <rFont val="Tahoma"/>
            <family val="2"/>
          </rPr>
          <t xml:space="preserve"> submittals.
</t>
        </r>
      </text>
    </comment>
    <comment ref="I12" authorId="0" shapeId="0">
      <text>
        <r>
          <rPr>
            <sz val="9"/>
            <color indexed="81"/>
            <rFont val="Tahoma"/>
            <family val="2"/>
          </rPr>
          <t xml:space="preserve">Choose applicability from drop down.
If a </t>
        </r>
        <r>
          <rPr>
            <b/>
            <sz val="9"/>
            <color indexed="81"/>
            <rFont val="Tahoma"/>
            <family val="2"/>
          </rPr>
          <t>Design &amp; Construction project</t>
        </r>
        <r>
          <rPr>
            <sz val="9"/>
            <color indexed="81"/>
            <rFont val="Tahoma"/>
            <family val="2"/>
          </rPr>
          <t xml:space="preserve">, choose NA for all </t>
        </r>
        <r>
          <rPr>
            <b/>
            <sz val="9"/>
            <color indexed="81"/>
            <rFont val="Tahoma"/>
            <family val="2"/>
          </rPr>
          <t>feasibility</t>
        </r>
        <r>
          <rPr>
            <sz val="9"/>
            <color indexed="81"/>
            <rFont val="Tahoma"/>
            <family val="2"/>
          </rPr>
          <t xml:space="preserve"> submittals.
</t>
        </r>
      </text>
    </comment>
    <comment ref="J12" authorId="0" shapeId="0">
      <text>
        <r>
          <rPr>
            <sz val="9"/>
            <color indexed="81"/>
            <rFont val="Tahoma"/>
            <family val="2"/>
          </rPr>
          <t xml:space="preserve">Choose applicability from drop down.
If a </t>
        </r>
        <r>
          <rPr>
            <b/>
            <sz val="9"/>
            <color indexed="81"/>
            <rFont val="Tahoma"/>
            <family val="2"/>
          </rPr>
          <t>Design &amp; Construction project</t>
        </r>
        <r>
          <rPr>
            <sz val="9"/>
            <color indexed="81"/>
            <rFont val="Tahoma"/>
            <family val="2"/>
          </rPr>
          <t xml:space="preserve">, choose NA for all </t>
        </r>
        <r>
          <rPr>
            <b/>
            <sz val="9"/>
            <color indexed="81"/>
            <rFont val="Tahoma"/>
            <family val="2"/>
          </rPr>
          <t>feasibility</t>
        </r>
        <r>
          <rPr>
            <sz val="9"/>
            <color indexed="81"/>
            <rFont val="Tahoma"/>
            <family val="2"/>
          </rPr>
          <t xml:space="preserve"> submittals.
</t>
        </r>
      </text>
    </comment>
    <comment ref="K12" authorId="0" shapeId="0">
      <text>
        <r>
          <rPr>
            <sz val="9"/>
            <color indexed="81"/>
            <rFont val="Tahoma"/>
            <family val="2"/>
          </rPr>
          <t xml:space="preserve">Choose applicability from drop down.
</t>
        </r>
        <r>
          <rPr>
            <b/>
            <sz val="9"/>
            <color indexed="81"/>
            <rFont val="Tahoma"/>
            <family val="2"/>
          </rPr>
          <t>If a feasibility project</t>
        </r>
        <r>
          <rPr>
            <sz val="9"/>
            <color indexed="81"/>
            <rFont val="Tahoma"/>
            <family val="2"/>
          </rPr>
          <t xml:space="preserve">, choose No for </t>
        </r>
        <r>
          <rPr>
            <b/>
            <sz val="9"/>
            <color indexed="81"/>
            <rFont val="Tahoma"/>
            <family val="2"/>
          </rPr>
          <t>all design</t>
        </r>
        <r>
          <rPr>
            <sz val="9"/>
            <color indexed="81"/>
            <rFont val="Tahoma"/>
            <family val="2"/>
          </rPr>
          <t xml:space="preserve"> submittals.
</t>
        </r>
        <r>
          <rPr>
            <b/>
            <u/>
            <sz val="9"/>
            <color indexed="81"/>
            <rFont val="Tahoma"/>
            <family val="2"/>
          </rPr>
          <t xml:space="preserve">
For combined submittals,</t>
        </r>
        <r>
          <rPr>
            <sz val="9"/>
            <color indexed="81"/>
            <rFont val="Tahoma"/>
            <family val="2"/>
          </rPr>
          <t xml:space="preserve"> the lower submittal should be "No".  Formatting will appear red if answer disagrees with combined submittal.
</t>
        </r>
      </text>
    </comment>
    <comment ref="L12" authorId="0" shapeId="0">
      <text>
        <r>
          <rPr>
            <sz val="9"/>
            <color indexed="81"/>
            <rFont val="Tahoma"/>
            <family val="2"/>
          </rPr>
          <t xml:space="preserve">Choose applicability from drop down.
</t>
        </r>
        <r>
          <rPr>
            <b/>
            <sz val="9"/>
            <color indexed="81"/>
            <rFont val="Tahoma"/>
            <family val="2"/>
          </rPr>
          <t>If a feasibility project</t>
        </r>
        <r>
          <rPr>
            <sz val="9"/>
            <color indexed="81"/>
            <rFont val="Tahoma"/>
            <family val="2"/>
          </rPr>
          <t xml:space="preserve">, choose No for </t>
        </r>
        <r>
          <rPr>
            <b/>
            <sz val="9"/>
            <color indexed="81"/>
            <rFont val="Tahoma"/>
            <family val="2"/>
          </rPr>
          <t>all design</t>
        </r>
        <r>
          <rPr>
            <sz val="9"/>
            <color indexed="81"/>
            <rFont val="Tahoma"/>
            <family val="2"/>
          </rPr>
          <t xml:space="preserve"> submittals.
</t>
        </r>
        <r>
          <rPr>
            <b/>
            <u/>
            <sz val="9"/>
            <color indexed="81"/>
            <rFont val="Tahoma"/>
            <family val="2"/>
          </rPr>
          <t xml:space="preserve">
For combined submittals,</t>
        </r>
        <r>
          <rPr>
            <sz val="9"/>
            <color indexed="81"/>
            <rFont val="Tahoma"/>
            <family val="2"/>
          </rPr>
          <t xml:space="preserve"> the lower submittal should be "No".  Formatting will appear red if answer disagrees with combined submittal.
</t>
        </r>
      </text>
    </comment>
    <comment ref="M12" authorId="0" shapeId="0">
      <text>
        <r>
          <rPr>
            <sz val="9"/>
            <color indexed="81"/>
            <rFont val="Tahoma"/>
            <family val="2"/>
          </rPr>
          <t xml:space="preserve">Choose applicability from drop down.
</t>
        </r>
        <r>
          <rPr>
            <b/>
            <sz val="9"/>
            <color indexed="81"/>
            <rFont val="Tahoma"/>
            <family val="2"/>
          </rPr>
          <t>If a feasibility project</t>
        </r>
        <r>
          <rPr>
            <sz val="9"/>
            <color indexed="81"/>
            <rFont val="Tahoma"/>
            <family val="2"/>
          </rPr>
          <t xml:space="preserve">, choose No for </t>
        </r>
        <r>
          <rPr>
            <b/>
            <sz val="9"/>
            <color indexed="81"/>
            <rFont val="Tahoma"/>
            <family val="2"/>
          </rPr>
          <t>all design</t>
        </r>
        <r>
          <rPr>
            <sz val="9"/>
            <color indexed="81"/>
            <rFont val="Tahoma"/>
            <family val="2"/>
          </rPr>
          <t xml:space="preserve"> submittals.
</t>
        </r>
        <r>
          <rPr>
            <b/>
            <u/>
            <sz val="9"/>
            <color indexed="81"/>
            <rFont val="Tahoma"/>
            <family val="2"/>
          </rPr>
          <t xml:space="preserve">
For combined submittals,</t>
        </r>
        <r>
          <rPr>
            <sz val="9"/>
            <color indexed="81"/>
            <rFont val="Tahoma"/>
            <family val="2"/>
          </rPr>
          <t xml:space="preserve"> the lower submittal should be "No".  Formatting will appear red if answer disagrees with combined submittal.
</t>
        </r>
      </text>
    </comment>
    <comment ref="N12" authorId="0" shapeId="0">
      <text>
        <r>
          <rPr>
            <sz val="9"/>
            <color indexed="81"/>
            <rFont val="Tahoma"/>
            <family val="2"/>
          </rPr>
          <t xml:space="preserve">Choose applicability from drop down.
</t>
        </r>
        <r>
          <rPr>
            <b/>
            <sz val="9"/>
            <color indexed="81"/>
            <rFont val="Tahoma"/>
            <family val="2"/>
          </rPr>
          <t>If a feasibility project</t>
        </r>
        <r>
          <rPr>
            <sz val="9"/>
            <color indexed="81"/>
            <rFont val="Tahoma"/>
            <family val="2"/>
          </rPr>
          <t xml:space="preserve">, choose No for </t>
        </r>
        <r>
          <rPr>
            <b/>
            <sz val="9"/>
            <color indexed="81"/>
            <rFont val="Tahoma"/>
            <family val="2"/>
          </rPr>
          <t>all design</t>
        </r>
        <r>
          <rPr>
            <sz val="9"/>
            <color indexed="81"/>
            <rFont val="Tahoma"/>
            <family val="2"/>
          </rPr>
          <t xml:space="preserve"> submittals.
</t>
        </r>
        <r>
          <rPr>
            <b/>
            <u/>
            <sz val="9"/>
            <color indexed="81"/>
            <rFont val="Tahoma"/>
            <family val="2"/>
          </rPr>
          <t xml:space="preserve">
For combined submittals,</t>
        </r>
        <r>
          <rPr>
            <sz val="9"/>
            <color indexed="81"/>
            <rFont val="Tahoma"/>
            <family val="2"/>
          </rPr>
          <t xml:space="preserve"> the lower submittal should be "No".  Formatting will appear red if answer disagrees with combined submittal.
</t>
        </r>
      </text>
    </comment>
    <comment ref="O12" authorId="0" shapeId="0">
      <text>
        <r>
          <rPr>
            <sz val="9"/>
            <color indexed="81"/>
            <rFont val="Tahoma"/>
            <family val="2"/>
          </rPr>
          <t xml:space="preserve">Choose applicability from drop down.
</t>
        </r>
        <r>
          <rPr>
            <b/>
            <sz val="9"/>
            <color indexed="81"/>
            <rFont val="Tahoma"/>
            <family val="2"/>
          </rPr>
          <t>If a feasibility project</t>
        </r>
        <r>
          <rPr>
            <sz val="9"/>
            <color indexed="81"/>
            <rFont val="Tahoma"/>
            <family val="2"/>
          </rPr>
          <t xml:space="preserve">, choose N/A for all </t>
        </r>
        <r>
          <rPr>
            <b/>
            <sz val="9"/>
            <color indexed="81"/>
            <rFont val="Tahoma"/>
            <family val="2"/>
          </rPr>
          <t>constuction</t>
        </r>
        <r>
          <rPr>
            <sz val="9"/>
            <color indexed="81"/>
            <rFont val="Tahoma"/>
            <family val="2"/>
          </rPr>
          <t xml:space="preserve"> submittals.
</t>
        </r>
      </text>
    </comment>
    <comment ref="P12" authorId="0" shapeId="0">
      <text>
        <r>
          <rPr>
            <sz val="9"/>
            <color indexed="81"/>
            <rFont val="Tahoma"/>
            <family val="2"/>
          </rPr>
          <t xml:space="preserve">Choose applicability from drop down.
</t>
        </r>
        <r>
          <rPr>
            <b/>
            <sz val="9"/>
            <color indexed="81"/>
            <rFont val="Tahoma"/>
            <family val="2"/>
          </rPr>
          <t>If a feasibility project</t>
        </r>
        <r>
          <rPr>
            <sz val="9"/>
            <color indexed="81"/>
            <rFont val="Tahoma"/>
            <family val="2"/>
          </rPr>
          <t xml:space="preserve">, choose N/A for all </t>
        </r>
        <r>
          <rPr>
            <b/>
            <sz val="9"/>
            <color indexed="81"/>
            <rFont val="Tahoma"/>
            <family val="2"/>
          </rPr>
          <t>constuction</t>
        </r>
        <r>
          <rPr>
            <sz val="9"/>
            <color indexed="81"/>
            <rFont val="Tahoma"/>
            <family val="2"/>
          </rPr>
          <t xml:space="preserve"> submittals.
</t>
        </r>
      </text>
    </comment>
    <comment ref="Q12" authorId="0" shapeId="0">
      <text>
        <r>
          <rPr>
            <sz val="9"/>
            <color indexed="81"/>
            <rFont val="Tahoma"/>
            <family val="2"/>
          </rPr>
          <t xml:space="preserve">Choose applicability from drop down.
</t>
        </r>
        <r>
          <rPr>
            <b/>
            <sz val="9"/>
            <color indexed="81"/>
            <rFont val="Tahoma"/>
            <family val="2"/>
          </rPr>
          <t>If a feasibility project</t>
        </r>
        <r>
          <rPr>
            <sz val="9"/>
            <color indexed="81"/>
            <rFont val="Tahoma"/>
            <family val="2"/>
          </rPr>
          <t xml:space="preserve">, choose N/A for all </t>
        </r>
        <r>
          <rPr>
            <b/>
            <sz val="9"/>
            <color indexed="81"/>
            <rFont val="Tahoma"/>
            <family val="2"/>
          </rPr>
          <t>constuction</t>
        </r>
        <r>
          <rPr>
            <sz val="9"/>
            <color indexed="81"/>
            <rFont val="Tahoma"/>
            <family val="2"/>
          </rPr>
          <t xml:space="preserve"> submittals.
</t>
        </r>
      </text>
    </comment>
    <comment ref="R12" authorId="0" shapeId="0">
      <text>
        <r>
          <rPr>
            <sz val="9"/>
            <color indexed="81"/>
            <rFont val="Tahoma"/>
            <family val="2"/>
          </rPr>
          <t xml:space="preserve">Choose applicability from drop down.
</t>
        </r>
        <r>
          <rPr>
            <b/>
            <sz val="9"/>
            <color indexed="81"/>
            <rFont val="Tahoma"/>
            <family val="2"/>
          </rPr>
          <t>If a feasibility project</t>
        </r>
        <r>
          <rPr>
            <sz val="9"/>
            <color indexed="81"/>
            <rFont val="Tahoma"/>
            <family val="2"/>
          </rPr>
          <t xml:space="preserve">, choose N/A for all </t>
        </r>
        <r>
          <rPr>
            <b/>
            <sz val="9"/>
            <color indexed="81"/>
            <rFont val="Tahoma"/>
            <family val="2"/>
          </rPr>
          <t>constuction</t>
        </r>
        <r>
          <rPr>
            <sz val="9"/>
            <color indexed="81"/>
            <rFont val="Tahoma"/>
            <family val="2"/>
          </rPr>
          <t xml:space="preserve"> submittals.
</t>
        </r>
      </text>
    </comment>
    <comment ref="G13" authorId="0" shapeId="0">
      <text>
        <r>
          <rPr>
            <b/>
            <sz val="9"/>
            <color indexed="81"/>
            <rFont val="Tahoma"/>
            <family val="2"/>
          </rPr>
          <t>To change the %</t>
        </r>
        <r>
          <rPr>
            <sz val="9"/>
            <color indexed="81"/>
            <rFont val="Tahoma"/>
            <family val="2"/>
          </rPr>
          <t xml:space="preserve">, go to column E at the bottom of this sheet in the adjacent to the choices for "Phase Drop Down Choices….."
</t>
        </r>
      </text>
    </comment>
    <comment ref="H13" authorId="0" shapeId="0">
      <text>
        <r>
          <rPr>
            <b/>
            <sz val="9"/>
            <color indexed="81"/>
            <rFont val="Tahoma"/>
            <family val="2"/>
          </rPr>
          <t>To change the %</t>
        </r>
        <r>
          <rPr>
            <sz val="9"/>
            <color indexed="81"/>
            <rFont val="Tahoma"/>
            <family val="2"/>
          </rPr>
          <t xml:space="preserve">, go to column E at the bottom of this sheet in the adjacent to the choices for "Phase Drop Down Choices….."
</t>
        </r>
      </text>
    </comment>
    <comment ref="I13" authorId="0" shapeId="0">
      <text>
        <r>
          <rPr>
            <b/>
            <sz val="9"/>
            <color indexed="81"/>
            <rFont val="Tahoma"/>
            <family val="2"/>
          </rPr>
          <t>To change the %</t>
        </r>
        <r>
          <rPr>
            <sz val="9"/>
            <color indexed="81"/>
            <rFont val="Tahoma"/>
            <family val="2"/>
          </rPr>
          <t xml:space="preserve">, go to column E at the bottom of this sheet in the adjacent to the choices for "Phase Drop Down Choices….."
</t>
        </r>
      </text>
    </comment>
    <comment ref="K13" authorId="0" shapeId="0">
      <text>
        <r>
          <rPr>
            <b/>
            <u/>
            <sz val="9"/>
            <color indexed="81"/>
            <rFont val="Tahoma"/>
            <family val="2"/>
          </rPr>
          <t>Auto based on above choice of (Yes/No/NA):</t>
        </r>
        <r>
          <rPr>
            <b/>
            <sz val="9"/>
            <color indexed="81"/>
            <rFont val="Tahoma"/>
            <family val="2"/>
          </rPr>
          <t xml:space="preserve">
</t>
        </r>
        <r>
          <rPr>
            <sz val="9"/>
            <color indexed="81"/>
            <rFont val="Tahoma"/>
            <family val="2"/>
          </rPr>
          <t>Will populate with :</t>
        </r>
        <r>
          <rPr>
            <b/>
            <sz val="9"/>
            <color indexed="81"/>
            <rFont val="Tahoma"/>
            <family val="2"/>
          </rPr>
          <t xml:space="preserve">
SD
</t>
        </r>
        <r>
          <rPr>
            <i/>
            <sz val="9"/>
            <color indexed="81"/>
            <rFont val="Tahoma"/>
            <family val="2"/>
          </rPr>
          <t>or</t>
        </r>
        <r>
          <rPr>
            <b/>
            <sz val="9"/>
            <color indexed="81"/>
            <rFont val="Tahoma"/>
            <family val="2"/>
          </rPr>
          <t xml:space="preserve">
a ______ (for a combined SD/DD or SD/DD/50%)</t>
        </r>
        <r>
          <rPr>
            <sz val="9"/>
            <color indexed="81"/>
            <rFont val="Tahoma"/>
            <family val="2"/>
          </rPr>
          <t xml:space="preserve">
</t>
        </r>
      </text>
    </comment>
    <comment ref="L13" authorId="0" shapeId="0">
      <text>
        <r>
          <rPr>
            <sz val="9"/>
            <color indexed="81"/>
            <rFont val="Tahoma"/>
            <family val="2"/>
          </rPr>
          <t xml:space="preserve">Auto based on above choice of (Yes/No/NA):
Will populate with :
</t>
        </r>
        <r>
          <rPr>
            <b/>
            <sz val="9"/>
            <color indexed="81"/>
            <rFont val="Tahoma"/>
            <family val="2"/>
          </rPr>
          <t xml:space="preserve">DD
</t>
        </r>
        <r>
          <rPr>
            <b/>
            <i/>
            <sz val="9"/>
            <color indexed="81"/>
            <rFont val="Tahoma"/>
            <family val="2"/>
          </rPr>
          <t>or</t>
        </r>
        <r>
          <rPr>
            <b/>
            <sz val="9"/>
            <color indexed="81"/>
            <rFont val="Tahoma"/>
            <family val="2"/>
          </rPr>
          <t xml:space="preserve">
DD / SD
</t>
        </r>
        <r>
          <rPr>
            <i/>
            <sz val="9"/>
            <color indexed="81"/>
            <rFont val="Tahoma"/>
            <family val="2"/>
          </rPr>
          <t>or</t>
        </r>
        <r>
          <rPr>
            <b/>
            <sz val="9"/>
            <color indexed="81"/>
            <rFont val="Tahoma"/>
            <family val="2"/>
          </rPr>
          <t xml:space="preserve">
a ______ (for a combined DD/50% CD or SD/DD/50%)
</t>
        </r>
        <r>
          <rPr>
            <sz val="9"/>
            <color indexed="81"/>
            <rFont val="Tahoma"/>
            <family val="2"/>
          </rPr>
          <t xml:space="preserve">
</t>
        </r>
      </text>
    </comment>
    <comment ref="M13" authorId="0" shapeId="0">
      <text>
        <r>
          <rPr>
            <b/>
            <u/>
            <sz val="9"/>
            <color indexed="81"/>
            <rFont val="Tahoma"/>
            <family val="2"/>
          </rPr>
          <t>Auto based on above choice of (Yes/No/NA):</t>
        </r>
        <r>
          <rPr>
            <sz val="9"/>
            <color indexed="81"/>
            <rFont val="Tahoma"/>
            <family val="2"/>
          </rPr>
          <t xml:space="preserve">
Will populate with :</t>
        </r>
        <r>
          <rPr>
            <b/>
            <sz val="9"/>
            <color indexed="81"/>
            <rFont val="Tahoma"/>
            <family val="2"/>
          </rPr>
          <t xml:space="preserve"> 
50% CD (uiuc) </t>
        </r>
        <r>
          <rPr>
            <sz val="9"/>
            <color indexed="81"/>
            <rFont val="Tahoma"/>
            <family val="2"/>
          </rPr>
          <t>or</t>
        </r>
        <r>
          <rPr>
            <b/>
            <sz val="9"/>
            <color indexed="81"/>
            <rFont val="Tahoma"/>
            <family val="2"/>
          </rPr>
          <t xml:space="preserve"> 75% CD (cdb)
</t>
        </r>
        <r>
          <rPr>
            <i/>
            <sz val="9"/>
            <color indexed="81"/>
            <rFont val="Tahoma"/>
            <family val="2"/>
          </rPr>
          <t>or</t>
        </r>
        <r>
          <rPr>
            <b/>
            <sz val="9"/>
            <color indexed="81"/>
            <rFont val="Tahoma"/>
            <family val="2"/>
          </rPr>
          <t xml:space="preserve">
DD/50% CD (uiuc) </t>
        </r>
        <r>
          <rPr>
            <sz val="9"/>
            <color indexed="81"/>
            <rFont val="Tahoma"/>
            <family val="2"/>
          </rPr>
          <t>or</t>
        </r>
        <r>
          <rPr>
            <b/>
            <sz val="9"/>
            <color indexed="81"/>
            <rFont val="Tahoma"/>
            <family val="2"/>
          </rPr>
          <t xml:space="preserve"> DD/75% CD (cdb)
</t>
        </r>
        <r>
          <rPr>
            <i/>
            <sz val="9"/>
            <color indexed="81"/>
            <rFont val="Tahoma"/>
            <family val="2"/>
          </rPr>
          <t xml:space="preserve">or
</t>
        </r>
        <r>
          <rPr>
            <b/>
            <sz val="9"/>
            <color indexed="81"/>
            <rFont val="Tahoma"/>
            <family val="2"/>
          </rPr>
          <t xml:space="preserve">SD/DD/50% CD (uiuc) </t>
        </r>
        <r>
          <rPr>
            <sz val="9"/>
            <color indexed="81"/>
            <rFont val="Tahoma"/>
            <family val="2"/>
          </rPr>
          <t>or</t>
        </r>
        <r>
          <rPr>
            <b/>
            <sz val="9"/>
            <color indexed="81"/>
            <rFont val="Tahoma"/>
            <family val="2"/>
          </rPr>
          <t xml:space="preserve"> SD/DD/75% CD (cdb)</t>
        </r>
        <r>
          <rPr>
            <i/>
            <sz val="9"/>
            <color indexed="81"/>
            <rFont val="Tahoma"/>
            <family val="2"/>
          </rPr>
          <t xml:space="preserve">
or
</t>
        </r>
        <r>
          <rPr>
            <b/>
            <sz val="9"/>
            <color indexed="81"/>
            <rFont val="Tahoma"/>
            <family val="2"/>
          </rPr>
          <t xml:space="preserve">a ______ (for a combined 50% CD/95% CD) (uiuc) </t>
        </r>
        <r>
          <rPr>
            <sz val="9"/>
            <color indexed="81"/>
            <rFont val="Tahoma"/>
            <family val="2"/>
          </rPr>
          <t>or</t>
        </r>
        <r>
          <rPr>
            <b/>
            <sz val="9"/>
            <color indexed="81"/>
            <rFont val="Tahoma"/>
            <family val="2"/>
          </rPr>
          <t xml:space="preserve">
a ______ (for a combined 75% CD/100% CD) (cdb)</t>
        </r>
        <r>
          <rPr>
            <sz val="9"/>
            <color indexed="81"/>
            <rFont val="Tahoma"/>
            <family val="2"/>
          </rPr>
          <t xml:space="preserve">
</t>
        </r>
      </text>
    </comment>
    <comment ref="N13" authorId="0" shapeId="0">
      <text>
        <r>
          <rPr>
            <b/>
            <u/>
            <sz val="9"/>
            <color indexed="81"/>
            <rFont val="Tahoma"/>
            <family val="2"/>
          </rPr>
          <t>Auto based on above choice of (Yes/No/NA):</t>
        </r>
        <r>
          <rPr>
            <sz val="9"/>
            <color indexed="81"/>
            <rFont val="Tahoma"/>
            <family val="2"/>
          </rPr>
          <t xml:space="preserve">
Will populate with : 
</t>
        </r>
        <r>
          <rPr>
            <b/>
            <sz val="9"/>
            <color indexed="81"/>
            <rFont val="Tahoma"/>
            <family val="2"/>
          </rPr>
          <t>Only 95% CD (uiuc)</t>
        </r>
        <r>
          <rPr>
            <i/>
            <sz val="9"/>
            <color indexed="81"/>
            <rFont val="Tahoma"/>
            <family val="2"/>
          </rPr>
          <t xml:space="preserve"> or</t>
        </r>
        <r>
          <rPr>
            <b/>
            <sz val="9"/>
            <color indexed="81"/>
            <rFont val="Tahoma"/>
            <family val="2"/>
          </rPr>
          <t xml:space="preserve"> Only 100% CD (cdb)
</t>
        </r>
        <r>
          <rPr>
            <i/>
            <sz val="9"/>
            <color indexed="81"/>
            <rFont val="Tahoma"/>
            <family val="2"/>
          </rPr>
          <t>or</t>
        </r>
        <r>
          <rPr>
            <b/>
            <sz val="9"/>
            <color indexed="81"/>
            <rFont val="Tahoma"/>
            <family val="2"/>
          </rPr>
          <t xml:space="preserve">
DD/50%CD/95%CD (uiuc) </t>
        </r>
        <r>
          <rPr>
            <i/>
            <sz val="9"/>
            <color indexed="81"/>
            <rFont val="Tahoma"/>
            <family val="2"/>
          </rPr>
          <t>or</t>
        </r>
        <r>
          <rPr>
            <b/>
            <sz val="9"/>
            <color indexed="81"/>
            <rFont val="Tahoma"/>
            <family val="2"/>
          </rPr>
          <t xml:space="preserve">  DD/75%CD/100%CD (cdb)</t>
        </r>
        <r>
          <rPr>
            <i/>
            <sz val="9"/>
            <color indexed="81"/>
            <rFont val="Tahoma"/>
            <family val="2"/>
          </rPr>
          <t xml:space="preserve">
or
</t>
        </r>
        <r>
          <rPr>
            <b/>
            <sz val="9"/>
            <color indexed="81"/>
            <rFont val="Tahoma"/>
            <family val="2"/>
          </rPr>
          <t xml:space="preserve">50% CD/95% CD (uiuc) </t>
        </r>
        <r>
          <rPr>
            <i/>
            <sz val="9"/>
            <color indexed="81"/>
            <rFont val="Tahoma"/>
            <family val="2"/>
          </rPr>
          <t>or</t>
        </r>
        <r>
          <rPr>
            <b/>
            <sz val="9"/>
            <color indexed="81"/>
            <rFont val="Tahoma"/>
            <family val="2"/>
          </rPr>
          <t xml:space="preserve"> 75%CD/100% CD (cdb)</t>
        </r>
        <r>
          <rPr>
            <i/>
            <sz val="9"/>
            <color indexed="81"/>
            <rFont val="Tahoma"/>
            <family val="2"/>
          </rPr>
          <t xml:space="preserve">
</t>
        </r>
        <r>
          <rPr>
            <sz val="9"/>
            <color indexed="81"/>
            <rFont val="Tahoma"/>
            <family val="2"/>
          </rPr>
          <t xml:space="preserve">
</t>
        </r>
        <r>
          <rPr>
            <b/>
            <sz val="9"/>
            <color indexed="81"/>
            <rFont val="Tahoma"/>
            <family val="2"/>
          </rPr>
          <t xml:space="preserve">95% CD (uiuc) </t>
        </r>
        <r>
          <rPr>
            <i/>
            <sz val="9"/>
            <color indexed="81"/>
            <rFont val="Tahoma"/>
            <family val="2"/>
          </rPr>
          <t>or</t>
        </r>
        <r>
          <rPr>
            <b/>
            <sz val="9"/>
            <color indexed="81"/>
            <rFont val="Tahoma"/>
            <family val="2"/>
          </rPr>
          <t xml:space="preserve"> 100% CD (cdb)
</t>
        </r>
      </text>
    </comment>
    <comment ref="O13" authorId="0" shapeId="0">
      <text>
        <r>
          <rPr>
            <b/>
            <u/>
            <sz val="9"/>
            <color indexed="81"/>
            <rFont val="Tahoma"/>
            <family val="2"/>
          </rPr>
          <t>Auto based on above choice of (Yes/No/NA):</t>
        </r>
        <r>
          <rPr>
            <b/>
            <sz val="9"/>
            <color indexed="81"/>
            <rFont val="Tahoma"/>
            <family val="2"/>
          </rPr>
          <t xml:space="preserve">
</t>
        </r>
        <r>
          <rPr>
            <sz val="9"/>
            <color indexed="81"/>
            <rFont val="Tahoma"/>
            <family val="2"/>
          </rPr>
          <t xml:space="preserve">Will populate with :
</t>
        </r>
        <r>
          <rPr>
            <b/>
            <sz val="9"/>
            <color indexed="81"/>
            <rFont val="Tahoma"/>
            <family val="2"/>
          </rPr>
          <t>Bid &amp; Award</t>
        </r>
        <r>
          <rPr>
            <sz val="9"/>
            <color indexed="81"/>
            <rFont val="Tahoma"/>
            <family val="2"/>
          </rPr>
          <t xml:space="preserve">
or
</t>
        </r>
        <r>
          <rPr>
            <b/>
            <sz val="9"/>
            <color indexed="81"/>
            <rFont val="Tahoma"/>
            <family val="2"/>
          </rPr>
          <t>_______</t>
        </r>
        <r>
          <rPr>
            <sz val="9"/>
            <color indexed="81"/>
            <rFont val="Tahoma"/>
            <family val="2"/>
          </rPr>
          <t>(where Yes is not chosen)</t>
        </r>
      </text>
    </comment>
    <comment ref="P13" authorId="0" shapeId="0">
      <text>
        <r>
          <rPr>
            <b/>
            <u/>
            <sz val="9"/>
            <color indexed="81"/>
            <rFont val="Tahoma"/>
            <family val="2"/>
          </rPr>
          <t>Auto based on above choice of (Yes/No/NA):</t>
        </r>
        <r>
          <rPr>
            <b/>
            <sz val="9"/>
            <color indexed="81"/>
            <rFont val="Tahoma"/>
            <family val="2"/>
          </rPr>
          <t xml:space="preserve">
</t>
        </r>
        <r>
          <rPr>
            <sz val="9"/>
            <color indexed="81"/>
            <rFont val="Tahoma"/>
            <family val="2"/>
          </rPr>
          <t>Will populate with :</t>
        </r>
        <r>
          <rPr>
            <b/>
            <sz val="9"/>
            <color indexed="81"/>
            <rFont val="Tahoma"/>
            <family val="2"/>
          </rPr>
          <t xml:space="preserve">
Const.
</t>
        </r>
        <r>
          <rPr>
            <sz val="9"/>
            <color indexed="81"/>
            <rFont val="Tahoma"/>
            <family val="2"/>
          </rPr>
          <t>or</t>
        </r>
        <r>
          <rPr>
            <b/>
            <sz val="9"/>
            <color indexed="81"/>
            <rFont val="Tahoma"/>
            <family val="2"/>
          </rPr>
          <t xml:space="preserve">
_______(where Yes is not chosen)</t>
        </r>
        <r>
          <rPr>
            <sz val="9"/>
            <color indexed="81"/>
            <rFont val="Tahoma"/>
            <family val="2"/>
          </rPr>
          <t xml:space="preserve">
</t>
        </r>
      </text>
    </comment>
    <comment ref="Q13" authorId="0" shapeId="0">
      <text>
        <r>
          <rPr>
            <b/>
            <u/>
            <sz val="9"/>
            <color indexed="81"/>
            <rFont val="Tahoma"/>
            <family val="2"/>
          </rPr>
          <t>Auto based on above choice of (Yes/No/NA):</t>
        </r>
        <r>
          <rPr>
            <b/>
            <sz val="9"/>
            <color indexed="81"/>
            <rFont val="Tahoma"/>
            <family val="2"/>
          </rPr>
          <t xml:space="preserve">
</t>
        </r>
        <r>
          <rPr>
            <sz val="9"/>
            <color indexed="81"/>
            <rFont val="Tahoma"/>
            <family val="2"/>
          </rPr>
          <t>Will populate with :</t>
        </r>
        <r>
          <rPr>
            <b/>
            <sz val="9"/>
            <color indexed="81"/>
            <rFont val="Tahoma"/>
            <family val="2"/>
          </rPr>
          <t xml:space="preserve">
Subst. Complete
</t>
        </r>
        <r>
          <rPr>
            <sz val="9"/>
            <color indexed="81"/>
            <rFont val="Tahoma"/>
            <family val="2"/>
          </rPr>
          <t>or</t>
        </r>
        <r>
          <rPr>
            <b/>
            <sz val="9"/>
            <color indexed="81"/>
            <rFont val="Tahoma"/>
            <family val="2"/>
          </rPr>
          <t xml:space="preserve">
_______(where Yes is not chosen)</t>
        </r>
        <r>
          <rPr>
            <sz val="9"/>
            <color indexed="81"/>
            <rFont val="Tahoma"/>
            <family val="2"/>
          </rPr>
          <t xml:space="preserve">
</t>
        </r>
      </text>
    </comment>
    <comment ref="R13" authorId="0" shapeId="0">
      <text>
        <r>
          <rPr>
            <b/>
            <u/>
            <sz val="9"/>
            <color indexed="81"/>
            <rFont val="Tahoma"/>
            <family val="2"/>
          </rPr>
          <t>Auto based on above choice of (Yes/No/NA):</t>
        </r>
        <r>
          <rPr>
            <b/>
            <sz val="9"/>
            <color indexed="81"/>
            <rFont val="Tahoma"/>
            <family val="2"/>
          </rPr>
          <t xml:space="preserve">
</t>
        </r>
        <r>
          <rPr>
            <sz val="9"/>
            <color indexed="81"/>
            <rFont val="Tahoma"/>
            <family val="2"/>
          </rPr>
          <t>Will populate with :</t>
        </r>
        <r>
          <rPr>
            <b/>
            <sz val="9"/>
            <color indexed="81"/>
            <rFont val="Tahoma"/>
            <family val="2"/>
          </rPr>
          <t xml:space="preserve">
Record
</t>
        </r>
        <r>
          <rPr>
            <sz val="9"/>
            <color indexed="81"/>
            <rFont val="Tahoma"/>
            <family val="2"/>
          </rPr>
          <t>or</t>
        </r>
        <r>
          <rPr>
            <b/>
            <sz val="9"/>
            <color indexed="81"/>
            <rFont val="Tahoma"/>
            <family val="2"/>
          </rPr>
          <t xml:space="preserve">
_______</t>
        </r>
        <r>
          <rPr>
            <sz val="9"/>
            <color indexed="81"/>
            <rFont val="Tahoma"/>
            <family val="2"/>
          </rPr>
          <t xml:space="preserve">(where Yes is not chosen)
</t>
        </r>
      </text>
    </comment>
    <comment ref="C16" authorId="0" shapeId="0">
      <text>
        <r>
          <rPr>
            <b/>
            <u/>
            <sz val="9"/>
            <color indexed="81"/>
            <rFont val="Tahoma"/>
            <family val="2"/>
          </rPr>
          <t>Choose from drop down:</t>
        </r>
        <r>
          <rPr>
            <b/>
            <sz val="9"/>
            <color indexed="81"/>
            <rFont val="Tahoma"/>
            <family val="2"/>
          </rPr>
          <t xml:space="preserve">
Yes 
</t>
        </r>
      </text>
    </comment>
    <comment ref="F16"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G16"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H16"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I16"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J16"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K16"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L16"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M16"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N16"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O16"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P16"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Q16"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R16"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F18"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G18"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H18"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I18"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J18"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K18"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L18"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M18"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N18"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O18"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P18"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Q18"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R18"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C20" authorId="0" shapeId="0">
      <text>
        <r>
          <rPr>
            <b/>
            <u/>
            <sz val="9"/>
            <color indexed="81"/>
            <rFont val="Tahoma"/>
            <family val="2"/>
          </rPr>
          <t>Choose from drop down:</t>
        </r>
        <r>
          <rPr>
            <b/>
            <sz val="9"/>
            <color indexed="81"/>
            <rFont val="Tahoma"/>
            <family val="2"/>
          </rPr>
          <t xml:space="preserve">
Yes 
</t>
        </r>
        <r>
          <rPr>
            <i/>
            <sz val="9"/>
            <color indexed="81"/>
            <rFont val="Tahoma"/>
            <family val="2"/>
          </rPr>
          <t>or</t>
        </r>
        <r>
          <rPr>
            <b/>
            <sz val="9"/>
            <color indexed="81"/>
            <rFont val="Tahoma"/>
            <family val="2"/>
          </rPr>
          <t xml:space="preserve">
No (means not applicable for project)</t>
        </r>
      </text>
    </comment>
    <comment ref="F20"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G20"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H20"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I20"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J20"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K20"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L20"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M20"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N20"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O20"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P20"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Q20"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R20"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C22" authorId="0" shapeId="0">
      <text>
        <r>
          <rPr>
            <b/>
            <u/>
            <sz val="9"/>
            <color indexed="81"/>
            <rFont val="Tahoma"/>
            <family val="2"/>
          </rPr>
          <t>ASK BRIAN COCKERHAM!!!
Choose from drop down:</t>
        </r>
        <r>
          <rPr>
            <b/>
            <sz val="9"/>
            <color indexed="81"/>
            <rFont val="Tahoma"/>
            <family val="2"/>
          </rPr>
          <t xml:space="preserve">
Yes 
</t>
        </r>
        <r>
          <rPr>
            <i/>
            <sz val="9"/>
            <color indexed="81"/>
            <rFont val="Tahoma"/>
            <family val="2"/>
          </rPr>
          <t>or</t>
        </r>
        <r>
          <rPr>
            <b/>
            <sz val="9"/>
            <color indexed="81"/>
            <rFont val="Tahoma"/>
            <family val="2"/>
          </rPr>
          <t xml:space="preserve">
No (means not applicable for project)</t>
        </r>
      </text>
    </comment>
    <comment ref="F22"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G22"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H22"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I22"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J22"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K22"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L22"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M22"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N22"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O22"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P22"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Q22"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R22"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C24" authorId="0" shapeId="0">
      <text>
        <r>
          <rPr>
            <b/>
            <u/>
            <sz val="9"/>
            <color indexed="81"/>
            <rFont val="Tahoma"/>
            <family val="2"/>
          </rPr>
          <t>ASK JEFF MARTIN!!!
Choose from drop down:</t>
        </r>
        <r>
          <rPr>
            <b/>
            <sz val="9"/>
            <color indexed="81"/>
            <rFont val="Tahoma"/>
            <family val="2"/>
          </rPr>
          <t xml:space="preserve">
Yes 
</t>
        </r>
        <r>
          <rPr>
            <i/>
            <sz val="9"/>
            <color indexed="81"/>
            <rFont val="Tahoma"/>
            <family val="2"/>
          </rPr>
          <t>or</t>
        </r>
        <r>
          <rPr>
            <b/>
            <sz val="9"/>
            <color indexed="81"/>
            <rFont val="Tahoma"/>
            <family val="2"/>
          </rPr>
          <t xml:space="preserve">
No (means not applicable for project)</t>
        </r>
      </text>
    </comment>
    <comment ref="F24"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G24"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H24"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I24"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J24"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K24"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L24"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M24"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N24"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O24"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P24"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Q24"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R24"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C26" authorId="0" shapeId="0">
      <text>
        <r>
          <rPr>
            <b/>
            <u/>
            <sz val="9"/>
            <color indexed="81"/>
            <rFont val="Tahoma"/>
            <family val="2"/>
          </rPr>
          <t>Choose from drop down:</t>
        </r>
        <r>
          <rPr>
            <b/>
            <sz val="9"/>
            <color indexed="81"/>
            <rFont val="Tahoma"/>
            <family val="2"/>
          </rPr>
          <t xml:space="preserve">
Yes 
</t>
        </r>
        <r>
          <rPr>
            <i/>
            <sz val="9"/>
            <color indexed="81"/>
            <rFont val="Tahoma"/>
            <family val="2"/>
          </rPr>
          <t>or</t>
        </r>
        <r>
          <rPr>
            <b/>
            <sz val="9"/>
            <color indexed="81"/>
            <rFont val="Tahoma"/>
            <family val="2"/>
          </rPr>
          <t xml:space="preserve">
No (means not applicable for project)</t>
        </r>
      </text>
    </comment>
    <comment ref="F26"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G26"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H26"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I26"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J26"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K26"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L26"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M26"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N26"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O26"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P26"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Q26"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R26"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C28" authorId="0" shapeId="0">
      <text>
        <r>
          <rPr>
            <b/>
            <u/>
            <sz val="9"/>
            <color indexed="81"/>
            <rFont val="Tahoma"/>
            <family val="2"/>
          </rPr>
          <t>Choose from drop down:</t>
        </r>
        <r>
          <rPr>
            <b/>
            <sz val="9"/>
            <color indexed="81"/>
            <rFont val="Tahoma"/>
            <family val="2"/>
          </rPr>
          <t xml:space="preserve">
Yes 
</t>
        </r>
        <r>
          <rPr>
            <i/>
            <sz val="9"/>
            <color indexed="81"/>
            <rFont val="Tahoma"/>
            <family val="2"/>
          </rPr>
          <t>or</t>
        </r>
        <r>
          <rPr>
            <b/>
            <sz val="9"/>
            <color indexed="81"/>
            <rFont val="Tahoma"/>
            <family val="2"/>
          </rPr>
          <t xml:space="preserve">
No (means not applicable for project)</t>
        </r>
      </text>
    </comment>
    <comment ref="F28"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G28"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H28"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I28"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J28"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K28"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L28"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M28"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N28"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O28"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P28"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Q28"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R28"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C30" authorId="0" shapeId="0">
      <text>
        <r>
          <rPr>
            <b/>
            <u/>
            <sz val="9"/>
            <color indexed="81"/>
            <rFont val="Tahoma"/>
            <family val="2"/>
          </rPr>
          <t>Choose from drop down:</t>
        </r>
        <r>
          <rPr>
            <b/>
            <sz val="9"/>
            <color indexed="81"/>
            <rFont val="Tahoma"/>
            <family val="2"/>
          </rPr>
          <t xml:space="preserve">
Yes 
</t>
        </r>
        <r>
          <rPr>
            <i/>
            <sz val="9"/>
            <color indexed="81"/>
            <rFont val="Tahoma"/>
            <family val="2"/>
          </rPr>
          <t>or</t>
        </r>
        <r>
          <rPr>
            <b/>
            <sz val="9"/>
            <color indexed="81"/>
            <rFont val="Tahoma"/>
            <family val="2"/>
          </rPr>
          <t xml:space="preserve">
No (means not applicable for project)</t>
        </r>
      </text>
    </comment>
    <comment ref="F30"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G30"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H30"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I30"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J30"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K30"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L30"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M30"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N30"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O30"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P30"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Q30"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R30"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C32" authorId="0" shapeId="0">
      <text>
        <r>
          <rPr>
            <b/>
            <u/>
            <sz val="9"/>
            <color indexed="81"/>
            <rFont val="Tahoma"/>
            <family val="2"/>
          </rPr>
          <t>Choose from drop down:</t>
        </r>
        <r>
          <rPr>
            <b/>
            <sz val="9"/>
            <color indexed="81"/>
            <rFont val="Tahoma"/>
            <family val="2"/>
          </rPr>
          <t xml:space="preserve">
Yes 
</t>
        </r>
        <r>
          <rPr>
            <i/>
            <sz val="9"/>
            <color indexed="81"/>
            <rFont val="Tahoma"/>
            <family val="2"/>
          </rPr>
          <t>or</t>
        </r>
        <r>
          <rPr>
            <b/>
            <sz val="9"/>
            <color indexed="81"/>
            <rFont val="Tahoma"/>
            <family val="2"/>
          </rPr>
          <t xml:space="preserve">
No (means not applicable for project)</t>
        </r>
      </text>
    </comment>
    <comment ref="F32"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G32"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H32"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I32"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J32"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K32"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L32"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M32"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N32"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O32"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P32"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Q32"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R32"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C34" authorId="0" shapeId="0">
      <text>
        <r>
          <rPr>
            <b/>
            <u/>
            <sz val="9"/>
            <color indexed="81"/>
            <rFont val="Tahoma"/>
            <family val="2"/>
          </rPr>
          <t>Choose from drop down:</t>
        </r>
        <r>
          <rPr>
            <b/>
            <sz val="9"/>
            <color indexed="81"/>
            <rFont val="Tahoma"/>
            <family val="2"/>
          </rPr>
          <t xml:space="preserve">
Yes 
</t>
        </r>
        <r>
          <rPr>
            <i/>
            <sz val="9"/>
            <color indexed="81"/>
            <rFont val="Tahoma"/>
            <family val="2"/>
          </rPr>
          <t>or</t>
        </r>
        <r>
          <rPr>
            <b/>
            <sz val="9"/>
            <color indexed="81"/>
            <rFont val="Tahoma"/>
            <family val="2"/>
          </rPr>
          <t xml:space="preserve">
No (means not applicable for project)</t>
        </r>
      </text>
    </comment>
    <comment ref="F34"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G34"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H34"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I34"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J34"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K34"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L34"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M34"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N34"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O34"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P34"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Q34"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R34" authorId="0" shapeId="0">
      <text>
        <r>
          <rPr>
            <b/>
            <u/>
            <sz val="9"/>
            <color indexed="81"/>
            <rFont val="Tahoma"/>
            <family val="2"/>
          </rPr>
          <t xml:space="preserve">Insert # and format desired </t>
        </r>
        <r>
          <rPr>
            <b/>
            <sz val="9"/>
            <color indexed="81"/>
            <rFont val="Tahoma"/>
            <family val="2"/>
          </rPr>
          <t xml:space="preserve">
DD = </t>
        </r>
        <r>
          <rPr>
            <sz val="9"/>
            <color indexed="81"/>
            <rFont val="Tahoma"/>
            <family val="2"/>
          </rPr>
          <t>Digital Download with 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C36" authorId="0" shapeId="0">
      <text>
        <r>
          <rPr>
            <b/>
            <u/>
            <sz val="9"/>
            <color indexed="81"/>
            <rFont val="Tahoma"/>
            <family val="2"/>
          </rPr>
          <t>Choose from drop down:</t>
        </r>
        <r>
          <rPr>
            <b/>
            <sz val="9"/>
            <color indexed="81"/>
            <rFont val="Tahoma"/>
            <family val="2"/>
          </rPr>
          <t xml:space="preserve">
Yes 
</t>
        </r>
        <r>
          <rPr>
            <i/>
            <sz val="9"/>
            <color indexed="81"/>
            <rFont val="Tahoma"/>
            <family val="2"/>
          </rPr>
          <t>or</t>
        </r>
        <r>
          <rPr>
            <b/>
            <sz val="9"/>
            <color indexed="81"/>
            <rFont val="Tahoma"/>
            <family val="2"/>
          </rPr>
          <t xml:space="preserve">
No (means not applicable for project)</t>
        </r>
      </text>
    </comment>
    <comment ref="F36" authorId="0" shapeId="0">
      <text>
        <r>
          <rPr>
            <b/>
            <sz val="9"/>
            <color indexed="81"/>
            <rFont val="Tahoma"/>
            <family val="2"/>
          </rPr>
          <t xml:space="preserve">E = </t>
        </r>
        <r>
          <rPr>
            <sz val="9"/>
            <color indexed="81"/>
            <rFont val="Tahoma"/>
            <family val="2"/>
          </rPr>
          <t xml:space="preserve">emailed pdfs (only option)
</t>
        </r>
        <r>
          <rPr>
            <b/>
            <sz val="9"/>
            <color indexed="81"/>
            <rFont val="Tahoma"/>
            <family val="2"/>
          </rPr>
          <t xml:space="preserve">
</t>
        </r>
        <r>
          <rPr>
            <sz val="9"/>
            <color indexed="81"/>
            <rFont val="Tahoma"/>
            <family val="2"/>
          </rPr>
          <t xml:space="preserve">
</t>
        </r>
      </text>
    </comment>
    <comment ref="G36" authorId="0" shapeId="0">
      <text>
        <r>
          <rPr>
            <b/>
            <sz val="9"/>
            <color indexed="81"/>
            <rFont val="Tahoma"/>
            <family val="2"/>
          </rPr>
          <t xml:space="preserve">E = </t>
        </r>
        <r>
          <rPr>
            <sz val="9"/>
            <color indexed="81"/>
            <rFont val="Tahoma"/>
            <family val="2"/>
          </rPr>
          <t xml:space="preserve">emailed pdfs (only option)
</t>
        </r>
        <r>
          <rPr>
            <b/>
            <sz val="9"/>
            <color indexed="81"/>
            <rFont val="Tahoma"/>
            <family val="2"/>
          </rPr>
          <t xml:space="preserve">
</t>
        </r>
        <r>
          <rPr>
            <sz val="9"/>
            <color indexed="81"/>
            <rFont val="Tahoma"/>
            <family val="2"/>
          </rPr>
          <t xml:space="preserve">
</t>
        </r>
      </text>
    </comment>
    <comment ref="H36" authorId="0" shapeId="0">
      <text>
        <r>
          <rPr>
            <b/>
            <sz val="9"/>
            <color indexed="81"/>
            <rFont val="Tahoma"/>
            <family val="2"/>
          </rPr>
          <t xml:space="preserve">E = </t>
        </r>
        <r>
          <rPr>
            <sz val="9"/>
            <color indexed="81"/>
            <rFont val="Tahoma"/>
            <family val="2"/>
          </rPr>
          <t xml:space="preserve">emailed pdfs (only option)
</t>
        </r>
        <r>
          <rPr>
            <b/>
            <sz val="9"/>
            <color indexed="81"/>
            <rFont val="Tahoma"/>
            <family val="2"/>
          </rPr>
          <t xml:space="preserve">
</t>
        </r>
        <r>
          <rPr>
            <sz val="9"/>
            <color indexed="81"/>
            <rFont val="Tahoma"/>
            <family val="2"/>
          </rPr>
          <t xml:space="preserve">
</t>
        </r>
      </text>
    </comment>
    <comment ref="I36" authorId="0" shapeId="0">
      <text>
        <r>
          <rPr>
            <b/>
            <sz val="9"/>
            <color indexed="81"/>
            <rFont val="Tahoma"/>
            <family val="2"/>
          </rPr>
          <t xml:space="preserve">E = </t>
        </r>
        <r>
          <rPr>
            <sz val="9"/>
            <color indexed="81"/>
            <rFont val="Tahoma"/>
            <family val="2"/>
          </rPr>
          <t xml:space="preserve">emailed pdfs (only option)
</t>
        </r>
        <r>
          <rPr>
            <b/>
            <sz val="9"/>
            <color indexed="81"/>
            <rFont val="Tahoma"/>
            <family val="2"/>
          </rPr>
          <t xml:space="preserve">
</t>
        </r>
        <r>
          <rPr>
            <sz val="9"/>
            <color indexed="81"/>
            <rFont val="Tahoma"/>
            <family val="2"/>
          </rPr>
          <t xml:space="preserve">
</t>
        </r>
      </text>
    </comment>
    <comment ref="J36" authorId="0" shapeId="0">
      <text>
        <r>
          <rPr>
            <b/>
            <sz val="9"/>
            <color indexed="81"/>
            <rFont val="Tahoma"/>
            <family val="2"/>
          </rPr>
          <t xml:space="preserve">E = </t>
        </r>
        <r>
          <rPr>
            <sz val="9"/>
            <color indexed="81"/>
            <rFont val="Tahoma"/>
            <family val="2"/>
          </rPr>
          <t xml:space="preserve">emailed pdfs (only option)
</t>
        </r>
        <r>
          <rPr>
            <b/>
            <sz val="9"/>
            <color indexed="81"/>
            <rFont val="Tahoma"/>
            <family val="2"/>
          </rPr>
          <t xml:space="preserve">
</t>
        </r>
        <r>
          <rPr>
            <sz val="9"/>
            <color indexed="81"/>
            <rFont val="Tahoma"/>
            <family val="2"/>
          </rPr>
          <t xml:space="preserve">
</t>
        </r>
      </text>
    </comment>
    <comment ref="K36" authorId="0" shapeId="0">
      <text>
        <r>
          <rPr>
            <b/>
            <sz val="9"/>
            <color indexed="81"/>
            <rFont val="Tahoma"/>
            <family val="2"/>
          </rPr>
          <t xml:space="preserve">E = </t>
        </r>
        <r>
          <rPr>
            <sz val="9"/>
            <color indexed="81"/>
            <rFont val="Tahoma"/>
            <family val="2"/>
          </rPr>
          <t xml:space="preserve">emailed pdfs (only option)
</t>
        </r>
        <r>
          <rPr>
            <b/>
            <sz val="9"/>
            <color indexed="81"/>
            <rFont val="Tahoma"/>
            <family val="2"/>
          </rPr>
          <t xml:space="preserve">
</t>
        </r>
        <r>
          <rPr>
            <sz val="9"/>
            <color indexed="81"/>
            <rFont val="Tahoma"/>
            <family val="2"/>
          </rPr>
          <t xml:space="preserve">
</t>
        </r>
      </text>
    </comment>
    <comment ref="L36" authorId="0" shapeId="0">
      <text>
        <r>
          <rPr>
            <b/>
            <sz val="9"/>
            <color indexed="81"/>
            <rFont val="Tahoma"/>
            <family val="2"/>
          </rPr>
          <t xml:space="preserve">E = </t>
        </r>
        <r>
          <rPr>
            <sz val="9"/>
            <color indexed="81"/>
            <rFont val="Tahoma"/>
            <family val="2"/>
          </rPr>
          <t xml:space="preserve">emailed pdfs (only option)
</t>
        </r>
        <r>
          <rPr>
            <b/>
            <sz val="9"/>
            <color indexed="81"/>
            <rFont val="Tahoma"/>
            <family val="2"/>
          </rPr>
          <t xml:space="preserve">
</t>
        </r>
        <r>
          <rPr>
            <sz val="9"/>
            <color indexed="81"/>
            <rFont val="Tahoma"/>
            <family val="2"/>
          </rPr>
          <t xml:space="preserve">
</t>
        </r>
      </text>
    </comment>
    <comment ref="M36" authorId="0" shapeId="0">
      <text>
        <r>
          <rPr>
            <b/>
            <sz val="9"/>
            <color indexed="81"/>
            <rFont val="Tahoma"/>
            <family val="2"/>
          </rPr>
          <t xml:space="preserve">E = </t>
        </r>
        <r>
          <rPr>
            <sz val="9"/>
            <color indexed="81"/>
            <rFont val="Tahoma"/>
            <family val="2"/>
          </rPr>
          <t xml:space="preserve">emailed pdfs (only option)
</t>
        </r>
        <r>
          <rPr>
            <b/>
            <sz val="9"/>
            <color indexed="81"/>
            <rFont val="Tahoma"/>
            <family val="2"/>
          </rPr>
          <t xml:space="preserve">
</t>
        </r>
        <r>
          <rPr>
            <sz val="9"/>
            <color indexed="81"/>
            <rFont val="Tahoma"/>
            <family val="2"/>
          </rPr>
          <t xml:space="preserve">
</t>
        </r>
      </text>
    </comment>
    <comment ref="N36" authorId="0" shapeId="0">
      <text>
        <r>
          <rPr>
            <b/>
            <sz val="9"/>
            <color indexed="81"/>
            <rFont val="Tahoma"/>
            <family val="2"/>
          </rPr>
          <t xml:space="preserve">E = </t>
        </r>
        <r>
          <rPr>
            <sz val="9"/>
            <color indexed="81"/>
            <rFont val="Tahoma"/>
            <family val="2"/>
          </rPr>
          <t xml:space="preserve">emailed pdfs (only option)
</t>
        </r>
        <r>
          <rPr>
            <b/>
            <sz val="9"/>
            <color indexed="81"/>
            <rFont val="Tahoma"/>
            <family val="2"/>
          </rPr>
          <t xml:space="preserve">
</t>
        </r>
        <r>
          <rPr>
            <sz val="9"/>
            <color indexed="81"/>
            <rFont val="Tahoma"/>
            <family val="2"/>
          </rPr>
          <t xml:space="preserve">
</t>
        </r>
      </text>
    </comment>
    <comment ref="O36" authorId="0" shapeId="0">
      <text>
        <r>
          <rPr>
            <b/>
            <sz val="9"/>
            <color indexed="81"/>
            <rFont val="Tahoma"/>
            <family val="2"/>
          </rPr>
          <t xml:space="preserve">E = </t>
        </r>
        <r>
          <rPr>
            <sz val="9"/>
            <color indexed="81"/>
            <rFont val="Tahoma"/>
            <family val="2"/>
          </rPr>
          <t xml:space="preserve">emailed pdfs (only option)
</t>
        </r>
        <r>
          <rPr>
            <b/>
            <sz val="9"/>
            <color indexed="81"/>
            <rFont val="Tahoma"/>
            <family val="2"/>
          </rPr>
          <t xml:space="preserve">
</t>
        </r>
        <r>
          <rPr>
            <sz val="9"/>
            <color indexed="81"/>
            <rFont val="Tahoma"/>
            <family val="2"/>
          </rPr>
          <t xml:space="preserve">
</t>
        </r>
      </text>
    </comment>
    <comment ref="P36" authorId="0" shapeId="0">
      <text>
        <r>
          <rPr>
            <b/>
            <u/>
            <sz val="9"/>
            <color indexed="81"/>
            <rFont val="Tahoma"/>
            <family val="2"/>
          </rPr>
          <t xml:space="preserve">Insert # and format desired </t>
        </r>
        <r>
          <rPr>
            <b/>
            <sz val="9"/>
            <color indexed="81"/>
            <rFont val="Tahoma"/>
            <family val="2"/>
          </rPr>
          <t xml:space="preserve">
CD = </t>
        </r>
        <r>
          <rPr>
            <sz val="9"/>
            <color indexed="81"/>
            <rFont val="Tahoma"/>
            <family val="2"/>
          </rPr>
          <t>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Q36" authorId="0" shapeId="0">
      <text>
        <r>
          <rPr>
            <b/>
            <u/>
            <sz val="9"/>
            <color indexed="81"/>
            <rFont val="Tahoma"/>
            <family val="2"/>
          </rPr>
          <t xml:space="preserve">Insert # and format desired </t>
        </r>
        <r>
          <rPr>
            <b/>
            <sz val="9"/>
            <color indexed="81"/>
            <rFont val="Tahoma"/>
            <family val="2"/>
          </rPr>
          <t xml:space="preserve">
CD = </t>
        </r>
        <r>
          <rPr>
            <sz val="9"/>
            <color indexed="81"/>
            <rFont val="Tahoma"/>
            <family val="2"/>
          </rPr>
          <t>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 ref="R36" authorId="0" shapeId="0">
      <text>
        <r>
          <rPr>
            <b/>
            <u/>
            <sz val="9"/>
            <color indexed="81"/>
            <rFont val="Tahoma"/>
            <family val="2"/>
          </rPr>
          <t xml:space="preserve">Insert # and format desired </t>
        </r>
        <r>
          <rPr>
            <b/>
            <sz val="9"/>
            <color indexed="81"/>
            <rFont val="Tahoma"/>
            <family val="2"/>
          </rPr>
          <t xml:space="preserve">
CD = </t>
        </r>
        <r>
          <rPr>
            <sz val="9"/>
            <color indexed="81"/>
            <rFont val="Tahoma"/>
            <family val="2"/>
          </rPr>
          <t>full electronic set in pdf &amp; native formats</t>
        </r>
        <r>
          <rPr>
            <b/>
            <sz val="9"/>
            <color indexed="81"/>
            <rFont val="Tahoma"/>
            <family val="2"/>
          </rPr>
          <t xml:space="preserve">
E = </t>
        </r>
        <r>
          <rPr>
            <sz val="9"/>
            <color indexed="81"/>
            <rFont val="Tahoma"/>
            <family val="2"/>
          </rPr>
          <t xml:space="preserve">emailed pdfs
</t>
        </r>
        <r>
          <rPr>
            <b/>
            <sz val="9"/>
            <color indexed="81"/>
            <rFont val="Tahoma"/>
            <family val="2"/>
          </rPr>
          <t>e</t>
        </r>
        <r>
          <rPr>
            <sz val="9"/>
            <color indexed="81"/>
            <rFont val="Tahoma"/>
            <family val="2"/>
          </rPr>
          <t xml:space="preserve"> = access through F&amp;S files</t>
        </r>
        <r>
          <rPr>
            <b/>
            <sz val="9"/>
            <color indexed="81"/>
            <rFont val="Tahoma"/>
            <family val="2"/>
          </rPr>
          <t xml:space="preserve">
D = </t>
        </r>
        <r>
          <rPr>
            <sz val="9"/>
            <color indexed="81"/>
            <rFont val="Tahoma"/>
            <family val="2"/>
          </rPr>
          <t xml:space="preserve">paper drawings
</t>
        </r>
        <r>
          <rPr>
            <b/>
            <sz val="9"/>
            <color indexed="81"/>
            <rFont val="Tahoma"/>
            <family val="2"/>
          </rPr>
          <t>PR</t>
        </r>
        <r>
          <rPr>
            <sz val="9"/>
            <color indexed="81"/>
            <rFont val="Tahoma"/>
            <family val="2"/>
          </rPr>
          <t xml:space="preserve"> = paper Report
</t>
        </r>
        <r>
          <rPr>
            <b/>
            <sz val="9"/>
            <color indexed="81"/>
            <rFont val="Tahoma"/>
            <family val="2"/>
          </rPr>
          <t>PBOD</t>
        </r>
        <r>
          <rPr>
            <sz val="9"/>
            <color indexed="81"/>
            <rFont val="Tahoma"/>
            <family val="2"/>
          </rPr>
          <t xml:space="preserve"> = paper Basis of Design
</t>
        </r>
        <r>
          <rPr>
            <b/>
            <sz val="9"/>
            <color indexed="81"/>
            <rFont val="Tahoma"/>
            <family val="2"/>
          </rPr>
          <t>PC</t>
        </r>
        <r>
          <rPr>
            <sz val="9"/>
            <color indexed="81"/>
            <rFont val="Tahoma"/>
            <family val="2"/>
          </rPr>
          <t xml:space="preserve"> = paper Info / Calcs
</t>
        </r>
        <r>
          <rPr>
            <b/>
            <sz val="9"/>
            <color indexed="81"/>
            <rFont val="Tahoma"/>
            <family val="2"/>
          </rPr>
          <t>PM</t>
        </r>
        <r>
          <rPr>
            <sz val="9"/>
            <color indexed="81"/>
            <rFont val="Tahoma"/>
            <family val="2"/>
          </rPr>
          <t xml:space="preserve"> = paper Project Manual
</t>
        </r>
        <r>
          <rPr>
            <b/>
            <sz val="9"/>
            <color indexed="81"/>
            <rFont val="Tahoma"/>
            <family val="2"/>
          </rPr>
          <t>FB</t>
        </r>
        <r>
          <rPr>
            <sz val="9"/>
            <color indexed="81"/>
            <rFont val="Tahoma"/>
            <family val="2"/>
          </rPr>
          <t xml:space="preserve"> = hard copy of Finishes &amp; FF&amp;E Binder(s)</t>
        </r>
        <r>
          <rPr>
            <b/>
            <sz val="9"/>
            <color indexed="81"/>
            <rFont val="Tahoma"/>
            <family val="2"/>
          </rPr>
          <t xml:space="preserve">
</t>
        </r>
        <r>
          <rPr>
            <sz val="9"/>
            <color indexed="81"/>
            <rFont val="Tahoma"/>
            <family val="2"/>
          </rPr>
          <t xml:space="preserve">
</t>
        </r>
      </text>
    </comment>
  </commentList>
</comments>
</file>

<file path=xl/comments10.xml><?xml version="1.0" encoding="utf-8"?>
<comments xmlns="http://schemas.openxmlformats.org/spreadsheetml/2006/main">
  <authors>
    <author>Kelly Hoffmann</author>
  </authors>
  <commentList>
    <comment ref="C15" authorId="0" shapeId="0">
      <text>
        <r>
          <rPr>
            <b/>
            <u/>
            <sz val="9"/>
            <color indexed="81"/>
            <rFont val="Tahoma"/>
            <family val="2"/>
          </rPr>
          <t>Do not edit cell!</t>
        </r>
        <r>
          <rPr>
            <sz val="9"/>
            <color indexed="81"/>
            <rFont val="Tahoma"/>
            <family val="2"/>
          </rPr>
          <t xml:space="preserve">
Echo of Project # &amp; Name from Tab A.
</t>
        </r>
      </text>
    </comment>
    <comment ref="C16" authorId="0" shapeId="0">
      <text>
        <r>
          <rPr>
            <b/>
            <u/>
            <sz val="9"/>
            <color indexed="81"/>
            <rFont val="Tahoma"/>
            <family val="2"/>
          </rPr>
          <t>Do not edit cell!</t>
        </r>
        <r>
          <rPr>
            <sz val="9"/>
            <color indexed="81"/>
            <rFont val="Tahoma"/>
            <family val="2"/>
          </rPr>
          <t xml:space="preserve">
Echo of Phase Applicability from Tab A.
</t>
        </r>
      </text>
    </comment>
    <comment ref="C18" authorId="0" shapeId="0">
      <text>
        <r>
          <rPr>
            <b/>
            <u/>
            <sz val="9"/>
            <color indexed="81"/>
            <rFont val="Tahoma"/>
            <family val="2"/>
          </rPr>
          <t>Do not edit cell!</t>
        </r>
        <r>
          <rPr>
            <sz val="9"/>
            <color indexed="81"/>
            <rFont val="Tahoma"/>
            <family val="2"/>
          </rPr>
          <t xml:space="preserve">
Echo of Project info from Tab A.
</t>
        </r>
      </text>
    </comment>
    <comment ref="C23" authorId="0" shapeId="0">
      <text>
        <r>
          <rPr>
            <b/>
            <sz val="9"/>
            <color indexed="81"/>
            <rFont val="Tahoma"/>
            <family val="2"/>
          </rPr>
          <t>Drop Down</t>
        </r>
        <r>
          <rPr>
            <sz val="9"/>
            <color indexed="81"/>
            <rFont val="Tahoma"/>
            <family val="2"/>
          </rPr>
          <t xml:space="preserve">
</t>
        </r>
      </text>
    </comment>
    <comment ref="H25" authorId="0" shapeId="0">
      <text>
        <r>
          <rPr>
            <sz val="9"/>
            <color indexed="81"/>
            <rFont val="Tahoma"/>
            <family val="2"/>
          </rPr>
          <t>BID</t>
        </r>
        <r>
          <rPr>
            <b/>
            <sz val="9"/>
            <color indexed="81"/>
            <rFont val="Tahoma"/>
            <family val="2"/>
          </rPr>
          <t xml:space="preserve"> - Item 0 MLD Default is a "YES"</t>
        </r>
      </text>
    </comment>
    <comment ref="H27" authorId="0" shapeId="0">
      <text>
        <r>
          <rPr>
            <sz val="9"/>
            <color indexed="81"/>
            <rFont val="Tahoma"/>
            <family val="2"/>
          </rPr>
          <t>BID</t>
        </r>
        <r>
          <rPr>
            <b/>
            <sz val="9"/>
            <color indexed="81"/>
            <rFont val="Tahoma"/>
            <family val="2"/>
          </rPr>
          <t xml:space="preserve"> - Item 1 ESTIMATE IS ALWAYS A YES.
</t>
        </r>
        <r>
          <rPr>
            <sz val="9"/>
            <color indexed="81"/>
            <rFont val="Tahoma"/>
            <family val="2"/>
          </rPr>
          <t xml:space="preserve">
</t>
        </r>
      </text>
    </comment>
    <comment ref="H32" authorId="0" shapeId="0">
      <text>
        <r>
          <rPr>
            <sz val="9"/>
            <color indexed="81"/>
            <rFont val="Tahoma"/>
            <family val="2"/>
          </rPr>
          <t xml:space="preserve">BID </t>
        </r>
        <r>
          <rPr>
            <b/>
            <sz val="9"/>
            <color indexed="81"/>
            <rFont val="Tahoma"/>
            <family val="2"/>
          </rPr>
          <t>- Item 2 Schedule IS ALWAYS A YES.</t>
        </r>
        <r>
          <rPr>
            <sz val="9"/>
            <color indexed="81"/>
            <rFont val="Tahoma"/>
            <family val="2"/>
          </rPr>
          <t xml:space="preserve">
</t>
        </r>
      </text>
    </comment>
    <comment ref="H37" authorId="0" shapeId="0">
      <text>
        <r>
          <rPr>
            <sz val="9"/>
            <color indexed="81"/>
            <rFont val="Tahoma"/>
            <family val="2"/>
          </rPr>
          <t>BID</t>
        </r>
        <r>
          <rPr>
            <b/>
            <sz val="9"/>
            <color indexed="81"/>
            <rFont val="Tahoma"/>
            <family val="2"/>
          </rPr>
          <t xml:space="preserve"> - Item 3 Comments IS ALWAYS A YES.</t>
        </r>
        <r>
          <rPr>
            <sz val="9"/>
            <color indexed="81"/>
            <rFont val="Tahoma"/>
            <family val="2"/>
          </rPr>
          <t xml:space="preserve">
</t>
        </r>
      </text>
    </comment>
    <comment ref="H39" authorId="0" shapeId="0">
      <text>
        <r>
          <rPr>
            <sz val="9"/>
            <color indexed="81"/>
            <rFont val="Tahoma"/>
            <family val="2"/>
          </rPr>
          <t xml:space="preserve">BID </t>
        </r>
        <r>
          <rPr>
            <b/>
            <sz val="9"/>
            <color indexed="81"/>
            <rFont val="Tahoma"/>
            <family val="2"/>
          </rPr>
          <t>- Item 4a BOD/PS - Default is "Y"</t>
        </r>
        <r>
          <rPr>
            <sz val="9"/>
            <color indexed="81"/>
            <rFont val="Tahoma"/>
            <family val="2"/>
          </rPr>
          <t xml:space="preserve">
</t>
        </r>
      </text>
    </comment>
    <comment ref="H126" authorId="0" shapeId="0">
      <text>
        <r>
          <rPr>
            <sz val="9"/>
            <color indexed="81"/>
            <rFont val="Tahoma"/>
            <family val="2"/>
          </rPr>
          <t>BID</t>
        </r>
        <r>
          <rPr>
            <b/>
            <sz val="9"/>
            <color indexed="81"/>
            <rFont val="Tahoma"/>
            <family val="2"/>
          </rPr>
          <t xml:space="preserve"> - Item 4b  Narrative Manual - Default is "Y"
</t>
        </r>
      </text>
    </comment>
    <comment ref="H168" authorId="0" shapeId="0">
      <text>
        <r>
          <rPr>
            <sz val="9"/>
            <color indexed="81"/>
            <rFont val="Tahoma"/>
            <family val="2"/>
          </rPr>
          <t>BID</t>
        </r>
        <r>
          <rPr>
            <b/>
            <sz val="9"/>
            <color indexed="81"/>
            <rFont val="Tahoma"/>
            <family val="2"/>
          </rPr>
          <t xml:space="preserve"> - Item 5a Finishes - Default is "Y"</t>
        </r>
      </text>
    </comment>
    <comment ref="H174" authorId="0" shapeId="0">
      <text>
        <r>
          <rPr>
            <sz val="9"/>
            <color indexed="81"/>
            <rFont val="Tahoma"/>
            <family val="2"/>
          </rPr>
          <t>BID</t>
        </r>
        <r>
          <rPr>
            <b/>
            <sz val="9"/>
            <color indexed="81"/>
            <rFont val="Tahoma"/>
            <family val="2"/>
          </rPr>
          <t xml:space="preserve"> - Item 5b FF&amp;E - Default is "Y"</t>
        </r>
      </text>
    </comment>
    <comment ref="H180" authorId="0" shapeId="0">
      <text>
        <r>
          <rPr>
            <sz val="9"/>
            <color indexed="81"/>
            <rFont val="Tahoma"/>
            <family val="2"/>
          </rPr>
          <t>BID</t>
        </r>
        <r>
          <rPr>
            <b/>
            <sz val="9"/>
            <color indexed="81"/>
            <rFont val="Tahoma"/>
            <family val="2"/>
          </rPr>
          <t xml:space="preserve"> - Item 6 Project Manual - Default is "Y"</t>
        </r>
        <r>
          <rPr>
            <sz val="9"/>
            <color indexed="81"/>
            <rFont val="Tahoma"/>
            <family val="2"/>
          </rPr>
          <t xml:space="preserve">
</t>
        </r>
      </text>
    </comment>
    <comment ref="H206" authorId="0" shapeId="0">
      <text>
        <r>
          <rPr>
            <sz val="9"/>
            <color indexed="81"/>
            <rFont val="Tahoma"/>
            <family val="2"/>
          </rPr>
          <t>BID</t>
        </r>
        <r>
          <rPr>
            <b/>
            <sz val="9"/>
            <color indexed="81"/>
            <rFont val="Tahoma"/>
            <family val="2"/>
          </rPr>
          <t xml:space="preserve"> - Item 7a Drawings - Default is "Y"</t>
        </r>
        <r>
          <rPr>
            <sz val="9"/>
            <color indexed="81"/>
            <rFont val="Tahoma"/>
            <family val="2"/>
          </rPr>
          <t xml:space="preserve">
</t>
        </r>
      </text>
    </comment>
    <comment ref="H382" authorId="0" shapeId="0">
      <text>
        <r>
          <rPr>
            <sz val="9"/>
            <color indexed="81"/>
            <rFont val="Tahoma"/>
            <family val="2"/>
          </rPr>
          <t>BID</t>
        </r>
        <r>
          <rPr>
            <b/>
            <sz val="9"/>
            <color indexed="81"/>
            <rFont val="Tahoma"/>
            <family val="2"/>
          </rPr>
          <t xml:space="preserve"> - Item 7b BIM - Default is "N"
</t>
        </r>
        <r>
          <rPr>
            <i/>
            <u/>
            <sz val="9"/>
            <color indexed="81"/>
            <rFont val="Tahoma"/>
            <family val="2"/>
          </rPr>
          <t xml:space="preserve">
IF "Y" is selected, must be added into PSC contract.</t>
        </r>
        <r>
          <rPr>
            <sz val="9"/>
            <color indexed="81"/>
            <rFont val="Tahoma"/>
            <family val="2"/>
          </rPr>
          <t xml:space="preserve">
</t>
        </r>
      </text>
    </comment>
    <comment ref="H385" authorId="0" shapeId="0">
      <text>
        <r>
          <rPr>
            <sz val="9"/>
            <color indexed="81"/>
            <rFont val="Tahoma"/>
            <family val="2"/>
          </rPr>
          <t>BID</t>
        </r>
        <r>
          <rPr>
            <b/>
            <sz val="9"/>
            <color indexed="81"/>
            <rFont val="Tahoma"/>
            <family val="2"/>
          </rPr>
          <t xml:space="preserve"> - Item 8 Presentation - Default is "N"</t>
        </r>
        <r>
          <rPr>
            <sz val="9"/>
            <color indexed="81"/>
            <rFont val="Tahoma"/>
            <family val="2"/>
          </rPr>
          <t xml:space="preserve">
</t>
        </r>
      </text>
    </comment>
    <comment ref="H443" authorId="0" shapeId="0">
      <text>
        <r>
          <rPr>
            <b/>
            <sz val="9"/>
            <color indexed="81"/>
            <rFont val="Tahoma"/>
            <family val="2"/>
          </rPr>
          <t>BID - Item 9 SHPO - Default is "N"</t>
        </r>
        <r>
          <rPr>
            <sz val="9"/>
            <color indexed="81"/>
            <rFont val="Tahoma"/>
            <family val="2"/>
          </rPr>
          <t xml:space="preserve">
</t>
        </r>
      </text>
    </comment>
    <comment ref="H487" authorId="0" shapeId="0">
      <text>
        <r>
          <rPr>
            <b/>
            <sz val="9"/>
            <color indexed="81"/>
            <rFont val="Tahoma"/>
            <family val="2"/>
          </rPr>
          <t>BID - Item 9 SHPO - Default is "N"</t>
        </r>
        <r>
          <rPr>
            <sz val="9"/>
            <color indexed="81"/>
            <rFont val="Tahoma"/>
            <family val="2"/>
          </rPr>
          <t xml:space="preserve">
</t>
        </r>
      </text>
    </comment>
  </commentList>
</comments>
</file>

<file path=xl/comments11.xml><?xml version="1.0" encoding="utf-8"?>
<comments xmlns="http://schemas.openxmlformats.org/spreadsheetml/2006/main">
  <authors>
    <author>Kelly Hoffmann</author>
  </authors>
  <commentList>
    <comment ref="C15" authorId="0" shapeId="0">
      <text>
        <r>
          <rPr>
            <b/>
            <u/>
            <sz val="9"/>
            <color indexed="81"/>
            <rFont val="Tahoma"/>
            <family val="2"/>
          </rPr>
          <t>Do not edit cell!</t>
        </r>
        <r>
          <rPr>
            <sz val="9"/>
            <color indexed="81"/>
            <rFont val="Tahoma"/>
            <family val="2"/>
          </rPr>
          <t xml:space="preserve">
Echo of Project # &amp; Name from Tab A.
</t>
        </r>
      </text>
    </comment>
    <comment ref="C16" authorId="0" shapeId="0">
      <text>
        <r>
          <rPr>
            <b/>
            <u/>
            <sz val="9"/>
            <color indexed="81"/>
            <rFont val="Tahoma"/>
            <family val="2"/>
          </rPr>
          <t>Do not edit cell!</t>
        </r>
        <r>
          <rPr>
            <sz val="9"/>
            <color indexed="81"/>
            <rFont val="Tahoma"/>
            <family val="2"/>
          </rPr>
          <t xml:space="preserve">
Echo of Phase Applicability from Tab A.
</t>
        </r>
      </text>
    </comment>
    <comment ref="C18" authorId="0" shapeId="0">
      <text>
        <r>
          <rPr>
            <b/>
            <u/>
            <sz val="9"/>
            <color indexed="81"/>
            <rFont val="Tahoma"/>
            <family val="2"/>
          </rPr>
          <t>Do not edit cell!</t>
        </r>
        <r>
          <rPr>
            <sz val="9"/>
            <color indexed="81"/>
            <rFont val="Tahoma"/>
            <family val="2"/>
          </rPr>
          <t xml:space="preserve">
Echo of Project info from Tab A.
</t>
        </r>
      </text>
    </comment>
    <comment ref="C23" authorId="0" shapeId="0">
      <text>
        <r>
          <rPr>
            <b/>
            <sz val="9"/>
            <color indexed="81"/>
            <rFont val="Tahoma"/>
            <family val="2"/>
          </rPr>
          <t>Drop Down</t>
        </r>
        <r>
          <rPr>
            <sz val="9"/>
            <color indexed="81"/>
            <rFont val="Tahoma"/>
            <family val="2"/>
          </rPr>
          <t xml:space="preserve">
</t>
        </r>
      </text>
    </comment>
    <comment ref="H25" authorId="0" shapeId="0">
      <text>
        <r>
          <rPr>
            <sz val="9"/>
            <color indexed="81"/>
            <rFont val="Tahoma"/>
            <family val="2"/>
          </rPr>
          <t>CONST</t>
        </r>
        <r>
          <rPr>
            <b/>
            <sz val="9"/>
            <color indexed="81"/>
            <rFont val="Tahoma"/>
            <family val="2"/>
          </rPr>
          <t xml:space="preserve"> - Item 0 MLD Default is a "YES"</t>
        </r>
      </text>
    </comment>
    <comment ref="H27" authorId="0" shapeId="0">
      <text>
        <r>
          <rPr>
            <sz val="9"/>
            <color indexed="81"/>
            <rFont val="Tahoma"/>
            <family val="2"/>
          </rPr>
          <t>CONST</t>
        </r>
        <r>
          <rPr>
            <b/>
            <sz val="9"/>
            <color indexed="81"/>
            <rFont val="Tahoma"/>
            <family val="2"/>
          </rPr>
          <t xml:space="preserve"> - Item 1 ESTIMATE IS ALWAYS A NO past bids.
</t>
        </r>
        <r>
          <rPr>
            <sz val="9"/>
            <color indexed="81"/>
            <rFont val="Tahoma"/>
            <family val="2"/>
          </rPr>
          <t xml:space="preserve">
</t>
        </r>
      </text>
    </comment>
    <comment ref="H32" authorId="0" shapeId="0">
      <text>
        <r>
          <rPr>
            <sz val="9"/>
            <color indexed="81"/>
            <rFont val="Tahoma"/>
            <family val="2"/>
          </rPr>
          <t xml:space="preserve">CONST </t>
        </r>
        <r>
          <rPr>
            <b/>
            <sz val="9"/>
            <color indexed="81"/>
            <rFont val="Tahoma"/>
            <family val="2"/>
          </rPr>
          <t>- Item 2 Schedule IS ALWAYS a NO past bids.</t>
        </r>
        <r>
          <rPr>
            <sz val="9"/>
            <color indexed="81"/>
            <rFont val="Tahoma"/>
            <family val="2"/>
          </rPr>
          <t xml:space="preserve">
</t>
        </r>
      </text>
    </comment>
    <comment ref="H37" authorId="0" shapeId="0">
      <text>
        <r>
          <rPr>
            <sz val="9"/>
            <color indexed="81"/>
            <rFont val="Tahoma"/>
            <family val="2"/>
          </rPr>
          <t>CONST</t>
        </r>
        <r>
          <rPr>
            <b/>
            <sz val="9"/>
            <color indexed="81"/>
            <rFont val="Tahoma"/>
            <family val="2"/>
          </rPr>
          <t xml:space="preserve"> - Item 3 Comments is a "No" past bids.</t>
        </r>
        <r>
          <rPr>
            <sz val="9"/>
            <color indexed="81"/>
            <rFont val="Tahoma"/>
            <family val="2"/>
          </rPr>
          <t xml:space="preserve">
</t>
        </r>
      </text>
    </comment>
    <comment ref="H39" authorId="0" shapeId="0">
      <text>
        <r>
          <rPr>
            <sz val="9"/>
            <color indexed="81"/>
            <rFont val="Tahoma"/>
            <family val="2"/>
          </rPr>
          <t xml:space="preserve">CONST </t>
        </r>
        <r>
          <rPr>
            <b/>
            <sz val="9"/>
            <color indexed="81"/>
            <rFont val="Tahoma"/>
            <family val="2"/>
          </rPr>
          <t>- Item 4a BOD/PS - Default is "N"</t>
        </r>
        <r>
          <rPr>
            <sz val="9"/>
            <color indexed="81"/>
            <rFont val="Tahoma"/>
            <family val="2"/>
          </rPr>
          <t xml:space="preserve">
</t>
        </r>
      </text>
    </comment>
    <comment ref="H126" authorId="0" shapeId="0">
      <text>
        <r>
          <rPr>
            <sz val="9"/>
            <color indexed="81"/>
            <rFont val="Tahoma"/>
            <family val="2"/>
          </rPr>
          <t>CONST</t>
        </r>
        <r>
          <rPr>
            <b/>
            <sz val="9"/>
            <color indexed="81"/>
            <rFont val="Tahoma"/>
            <family val="2"/>
          </rPr>
          <t xml:space="preserve"> - Item 4b Info/Calcs - Default is "N"
</t>
        </r>
      </text>
    </comment>
    <comment ref="H168" authorId="0" shapeId="0">
      <text>
        <r>
          <rPr>
            <sz val="9"/>
            <color indexed="81"/>
            <rFont val="Tahoma"/>
            <family val="2"/>
          </rPr>
          <t>CONST</t>
        </r>
        <r>
          <rPr>
            <b/>
            <sz val="9"/>
            <color indexed="81"/>
            <rFont val="Tahoma"/>
            <family val="2"/>
          </rPr>
          <t xml:space="preserve"> - Item 5a Finishes - Default is "N"</t>
        </r>
      </text>
    </comment>
    <comment ref="H174" authorId="0" shapeId="0">
      <text>
        <r>
          <rPr>
            <sz val="9"/>
            <color indexed="81"/>
            <rFont val="Tahoma"/>
            <family val="2"/>
          </rPr>
          <t>CONST.</t>
        </r>
        <r>
          <rPr>
            <b/>
            <sz val="9"/>
            <color indexed="81"/>
            <rFont val="Tahoma"/>
            <family val="2"/>
          </rPr>
          <t xml:space="preserve"> - Item 5b FF&amp;E - Default is "N"</t>
        </r>
      </text>
    </comment>
    <comment ref="H180" authorId="0" shapeId="0">
      <text>
        <r>
          <rPr>
            <sz val="9"/>
            <color indexed="81"/>
            <rFont val="Tahoma"/>
            <family val="2"/>
          </rPr>
          <t>CONST</t>
        </r>
        <r>
          <rPr>
            <b/>
            <sz val="9"/>
            <color indexed="81"/>
            <rFont val="Tahoma"/>
            <family val="2"/>
          </rPr>
          <t xml:space="preserve"> - Item 6 Project Manual - Default is "Y"
</t>
        </r>
        <r>
          <rPr>
            <b/>
            <i/>
            <sz val="9"/>
            <color indexed="81"/>
            <rFont val="Tahoma"/>
            <family val="2"/>
          </rPr>
          <t>Updating during this phase.</t>
        </r>
        <r>
          <rPr>
            <sz val="9"/>
            <color indexed="81"/>
            <rFont val="Tahoma"/>
            <family val="2"/>
          </rPr>
          <t xml:space="preserve">
</t>
        </r>
      </text>
    </comment>
    <comment ref="H206" authorId="0" shapeId="0">
      <text>
        <r>
          <rPr>
            <sz val="9"/>
            <color indexed="81"/>
            <rFont val="Tahoma"/>
            <family val="2"/>
          </rPr>
          <t>CONST</t>
        </r>
        <r>
          <rPr>
            <b/>
            <sz val="9"/>
            <color indexed="81"/>
            <rFont val="Tahoma"/>
            <family val="2"/>
          </rPr>
          <t xml:space="preserve"> - Item 7a Drawings - Default is "Y"</t>
        </r>
        <r>
          <rPr>
            <sz val="9"/>
            <color indexed="81"/>
            <rFont val="Tahoma"/>
            <family val="2"/>
          </rPr>
          <t xml:space="preserve">
</t>
        </r>
        <r>
          <rPr>
            <b/>
            <i/>
            <sz val="9"/>
            <color indexed="81"/>
            <rFont val="Tahoma"/>
            <family val="2"/>
          </rPr>
          <t>(Updating during this phase)</t>
        </r>
      </text>
    </comment>
    <comment ref="H382" authorId="0" shapeId="0">
      <text>
        <r>
          <rPr>
            <sz val="9"/>
            <color indexed="81"/>
            <rFont val="Tahoma"/>
            <family val="2"/>
          </rPr>
          <t>CONST</t>
        </r>
        <r>
          <rPr>
            <b/>
            <sz val="9"/>
            <color indexed="81"/>
            <rFont val="Tahoma"/>
            <family val="2"/>
          </rPr>
          <t xml:space="preserve"> - Item 7b BIM - Default is "N"
</t>
        </r>
        <r>
          <rPr>
            <i/>
            <u/>
            <sz val="9"/>
            <color indexed="81"/>
            <rFont val="Tahoma"/>
            <family val="2"/>
          </rPr>
          <t>IF "Y" is selected, must be added into PSC contract.</t>
        </r>
        <r>
          <rPr>
            <sz val="9"/>
            <color indexed="81"/>
            <rFont val="Tahoma"/>
            <family val="2"/>
          </rPr>
          <t xml:space="preserve">
</t>
        </r>
      </text>
    </comment>
    <comment ref="H385" authorId="0" shapeId="0">
      <text>
        <r>
          <rPr>
            <sz val="9"/>
            <color indexed="81"/>
            <rFont val="Tahoma"/>
            <family val="2"/>
          </rPr>
          <t>CONST</t>
        </r>
        <r>
          <rPr>
            <b/>
            <sz val="9"/>
            <color indexed="81"/>
            <rFont val="Tahoma"/>
            <family val="2"/>
          </rPr>
          <t xml:space="preserve"> - Item 8 Presentation - Default is "N"</t>
        </r>
        <r>
          <rPr>
            <sz val="9"/>
            <color indexed="81"/>
            <rFont val="Tahoma"/>
            <family val="2"/>
          </rPr>
          <t xml:space="preserve">
</t>
        </r>
      </text>
    </comment>
    <comment ref="H443" authorId="0" shapeId="0">
      <text>
        <r>
          <rPr>
            <sz val="9"/>
            <color indexed="81"/>
            <rFont val="Tahoma"/>
            <family val="2"/>
          </rPr>
          <t xml:space="preserve">CONST </t>
        </r>
        <r>
          <rPr>
            <b/>
            <sz val="9"/>
            <color indexed="81"/>
            <rFont val="Tahoma"/>
            <family val="2"/>
          </rPr>
          <t>- Item 9 SHPO - Default is "N"</t>
        </r>
        <r>
          <rPr>
            <sz val="9"/>
            <color indexed="81"/>
            <rFont val="Tahoma"/>
            <family val="2"/>
          </rPr>
          <t xml:space="preserve">
</t>
        </r>
      </text>
    </comment>
  </commentList>
</comments>
</file>

<file path=xl/comments12.xml><?xml version="1.0" encoding="utf-8"?>
<comments xmlns="http://schemas.openxmlformats.org/spreadsheetml/2006/main">
  <authors>
    <author>Kelly Hoffmann</author>
  </authors>
  <commentList>
    <comment ref="C15" authorId="0" shapeId="0">
      <text>
        <r>
          <rPr>
            <b/>
            <u/>
            <sz val="9"/>
            <color indexed="81"/>
            <rFont val="Tahoma"/>
            <family val="2"/>
          </rPr>
          <t>Do not edit cell!</t>
        </r>
        <r>
          <rPr>
            <sz val="9"/>
            <color indexed="81"/>
            <rFont val="Tahoma"/>
            <family val="2"/>
          </rPr>
          <t xml:space="preserve">
Echo of Project # &amp; Name from Tab A.
</t>
        </r>
      </text>
    </comment>
    <comment ref="C16" authorId="0" shapeId="0">
      <text>
        <r>
          <rPr>
            <b/>
            <u/>
            <sz val="9"/>
            <color indexed="81"/>
            <rFont val="Tahoma"/>
            <family val="2"/>
          </rPr>
          <t>Do not edit cell!</t>
        </r>
        <r>
          <rPr>
            <sz val="9"/>
            <color indexed="81"/>
            <rFont val="Tahoma"/>
            <family val="2"/>
          </rPr>
          <t xml:space="preserve">
Echo of Phase Applicability from Tab A.
</t>
        </r>
      </text>
    </comment>
    <comment ref="C18" authorId="0" shapeId="0">
      <text>
        <r>
          <rPr>
            <b/>
            <u/>
            <sz val="9"/>
            <color indexed="81"/>
            <rFont val="Tahoma"/>
            <family val="2"/>
          </rPr>
          <t>Do not edit cell!</t>
        </r>
        <r>
          <rPr>
            <sz val="9"/>
            <color indexed="81"/>
            <rFont val="Tahoma"/>
            <family val="2"/>
          </rPr>
          <t xml:space="preserve">
Echo of Project info from Tab A.
</t>
        </r>
      </text>
    </comment>
    <comment ref="C23" authorId="0" shapeId="0">
      <text>
        <r>
          <rPr>
            <b/>
            <sz val="9"/>
            <color indexed="81"/>
            <rFont val="Tahoma"/>
            <family val="2"/>
          </rPr>
          <t>Drop Down</t>
        </r>
        <r>
          <rPr>
            <sz val="9"/>
            <color indexed="81"/>
            <rFont val="Tahoma"/>
            <family val="2"/>
          </rPr>
          <t xml:space="preserve">
</t>
        </r>
      </text>
    </comment>
    <comment ref="H25" authorId="0" shapeId="0">
      <text>
        <r>
          <rPr>
            <sz val="9"/>
            <color indexed="81"/>
            <rFont val="Tahoma"/>
            <family val="2"/>
          </rPr>
          <t>CLOSE OUT</t>
        </r>
        <r>
          <rPr>
            <b/>
            <sz val="9"/>
            <color indexed="81"/>
            <rFont val="Tahoma"/>
            <family val="2"/>
          </rPr>
          <t xml:space="preserve"> - Item 0 MLD Default is a "Y"</t>
        </r>
      </text>
    </comment>
    <comment ref="H27" authorId="0" shapeId="0">
      <text>
        <r>
          <rPr>
            <sz val="9"/>
            <color indexed="81"/>
            <rFont val="Tahoma"/>
            <family val="2"/>
          </rPr>
          <t>CLOSE OUT</t>
        </r>
        <r>
          <rPr>
            <b/>
            <sz val="9"/>
            <color indexed="81"/>
            <rFont val="Tahoma"/>
            <family val="2"/>
          </rPr>
          <t xml:space="preserve"> - Item 1 ESTIMATE Default is a "N"
</t>
        </r>
        <r>
          <rPr>
            <sz val="9"/>
            <color indexed="81"/>
            <rFont val="Tahoma"/>
            <family val="2"/>
          </rPr>
          <t xml:space="preserve">
</t>
        </r>
      </text>
    </comment>
    <comment ref="H32" authorId="0" shapeId="0">
      <text>
        <r>
          <rPr>
            <sz val="9"/>
            <color indexed="81"/>
            <rFont val="Tahoma"/>
            <family val="2"/>
          </rPr>
          <t xml:space="preserve">CLOSE OUT </t>
        </r>
        <r>
          <rPr>
            <b/>
            <sz val="9"/>
            <color indexed="81"/>
            <rFont val="Tahoma"/>
            <family val="2"/>
          </rPr>
          <t>- Item 2 Schedule Default is a "N"</t>
        </r>
        <r>
          <rPr>
            <sz val="9"/>
            <color indexed="81"/>
            <rFont val="Tahoma"/>
            <family val="2"/>
          </rPr>
          <t xml:space="preserve">
</t>
        </r>
      </text>
    </comment>
    <comment ref="H37" authorId="0" shapeId="0">
      <text>
        <r>
          <rPr>
            <sz val="9"/>
            <color indexed="81"/>
            <rFont val="Tahoma"/>
            <family val="2"/>
          </rPr>
          <t>CLOSE OUT</t>
        </r>
        <r>
          <rPr>
            <b/>
            <sz val="9"/>
            <color indexed="81"/>
            <rFont val="Tahoma"/>
            <family val="2"/>
          </rPr>
          <t xml:space="preserve"> - Item 3 Comments default is "N".</t>
        </r>
        <r>
          <rPr>
            <sz val="9"/>
            <color indexed="81"/>
            <rFont val="Tahoma"/>
            <family val="2"/>
          </rPr>
          <t xml:space="preserve">
</t>
        </r>
      </text>
    </comment>
    <comment ref="H39" authorId="0" shapeId="0">
      <text>
        <r>
          <rPr>
            <sz val="9"/>
            <color indexed="81"/>
            <rFont val="Tahoma"/>
            <family val="2"/>
          </rPr>
          <t xml:space="preserve">CLOSE OUT </t>
        </r>
        <r>
          <rPr>
            <b/>
            <sz val="9"/>
            <color indexed="81"/>
            <rFont val="Tahoma"/>
            <family val="2"/>
          </rPr>
          <t>- Item 4a BOD/PS - Default is "Y"</t>
        </r>
        <r>
          <rPr>
            <sz val="9"/>
            <color indexed="81"/>
            <rFont val="Tahoma"/>
            <family val="2"/>
          </rPr>
          <t xml:space="preserve">
</t>
        </r>
      </text>
    </comment>
    <comment ref="H126" authorId="0" shapeId="0">
      <text>
        <r>
          <rPr>
            <sz val="9"/>
            <color indexed="81"/>
            <rFont val="Tahoma"/>
            <family val="2"/>
          </rPr>
          <t>CLOSE OUT</t>
        </r>
        <r>
          <rPr>
            <b/>
            <sz val="9"/>
            <color indexed="81"/>
            <rFont val="Tahoma"/>
            <family val="2"/>
          </rPr>
          <t xml:space="preserve"> - Item 4b  closeout Info / Calcs - Default is "Y"
</t>
        </r>
      </text>
    </comment>
    <comment ref="H168" authorId="0" shapeId="0">
      <text>
        <r>
          <rPr>
            <sz val="9"/>
            <color indexed="81"/>
            <rFont val="Tahoma"/>
            <family val="2"/>
          </rPr>
          <t>CLOSEOUT</t>
        </r>
        <r>
          <rPr>
            <b/>
            <sz val="9"/>
            <color indexed="81"/>
            <rFont val="Tahoma"/>
            <family val="2"/>
          </rPr>
          <t xml:space="preserve"> - Item 5b Finishes - Default is "Y"</t>
        </r>
      </text>
    </comment>
    <comment ref="H174" authorId="0" shapeId="0">
      <text>
        <r>
          <rPr>
            <sz val="9"/>
            <color indexed="81"/>
            <rFont val="Tahoma"/>
            <family val="2"/>
          </rPr>
          <t>CLOSEOUT</t>
        </r>
        <r>
          <rPr>
            <b/>
            <sz val="9"/>
            <color indexed="81"/>
            <rFont val="Tahoma"/>
            <family val="2"/>
          </rPr>
          <t xml:space="preserve"> - Item 5b FF&amp;E Binder - Default is "Y"</t>
        </r>
      </text>
    </comment>
    <comment ref="H180" authorId="0" shapeId="0">
      <text>
        <r>
          <rPr>
            <sz val="9"/>
            <color indexed="81"/>
            <rFont val="Tahoma"/>
            <family val="2"/>
          </rPr>
          <t>CLOSE OUT</t>
        </r>
        <r>
          <rPr>
            <b/>
            <sz val="9"/>
            <color indexed="81"/>
            <rFont val="Tahoma"/>
            <family val="2"/>
          </rPr>
          <t xml:space="preserve"> - Item 6 Project Manual - Default is "Y"</t>
        </r>
        <r>
          <rPr>
            <sz val="9"/>
            <color indexed="81"/>
            <rFont val="Tahoma"/>
            <family val="2"/>
          </rPr>
          <t xml:space="preserve">
</t>
        </r>
      </text>
    </comment>
    <comment ref="H206" authorId="0" shapeId="0">
      <text>
        <r>
          <rPr>
            <sz val="9"/>
            <color indexed="81"/>
            <rFont val="Tahoma"/>
            <family val="2"/>
          </rPr>
          <t>POST CONST</t>
        </r>
        <r>
          <rPr>
            <b/>
            <sz val="9"/>
            <color indexed="81"/>
            <rFont val="Tahoma"/>
            <family val="2"/>
          </rPr>
          <t xml:space="preserve"> - Item 7a Drawings - Default is "Y"</t>
        </r>
        <r>
          <rPr>
            <sz val="9"/>
            <color indexed="81"/>
            <rFont val="Tahoma"/>
            <family val="2"/>
          </rPr>
          <t xml:space="preserve">
</t>
        </r>
      </text>
    </comment>
    <comment ref="H367" authorId="0" shapeId="0">
      <text>
        <r>
          <rPr>
            <sz val="9"/>
            <color indexed="81"/>
            <rFont val="Tahoma"/>
            <family val="2"/>
          </rPr>
          <t>Conceptualization</t>
        </r>
        <r>
          <rPr>
            <b/>
            <sz val="9"/>
            <color indexed="81"/>
            <rFont val="Tahoma"/>
            <family val="2"/>
          </rPr>
          <t xml:space="preserve"> - Item 7b Drawings - Default is "Y"</t>
        </r>
        <r>
          <rPr>
            <sz val="9"/>
            <color indexed="81"/>
            <rFont val="Tahoma"/>
            <family val="2"/>
          </rPr>
          <t xml:space="preserve">
</t>
        </r>
      </text>
    </comment>
    <comment ref="H382" authorId="0" shapeId="0">
      <text>
        <r>
          <rPr>
            <sz val="9"/>
            <color indexed="81"/>
            <rFont val="Tahoma"/>
            <family val="2"/>
          </rPr>
          <t>CLOSE OUT</t>
        </r>
        <r>
          <rPr>
            <b/>
            <sz val="9"/>
            <color indexed="81"/>
            <rFont val="Tahoma"/>
            <family val="2"/>
          </rPr>
          <t xml:space="preserve"> - Item 7b BIM - Default is "N"
</t>
        </r>
        <r>
          <rPr>
            <i/>
            <sz val="9"/>
            <color indexed="81"/>
            <rFont val="Tahoma"/>
            <family val="2"/>
          </rPr>
          <t>IF "Y" is selected, must be added into PSC contract.</t>
        </r>
        <r>
          <rPr>
            <sz val="9"/>
            <color indexed="81"/>
            <rFont val="Tahoma"/>
            <family val="2"/>
          </rPr>
          <t xml:space="preserve">
</t>
        </r>
      </text>
    </comment>
    <comment ref="H385" authorId="0" shapeId="0">
      <text>
        <r>
          <rPr>
            <sz val="9"/>
            <color indexed="81"/>
            <rFont val="Tahoma"/>
            <family val="2"/>
          </rPr>
          <t>CLOSE OUT</t>
        </r>
        <r>
          <rPr>
            <b/>
            <sz val="9"/>
            <color indexed="81"/>
            <rFont val="Tahoma"/>
            <family val="2"/>
          </rPr>
          <t xml:space="preserve"> - Item 8 Presentation - Default is "N"</t>
        </r>
        <r>
          <rPr>
            <sz val="9"/>
            <color indexed="81"/>
            <rFont val="Tahoma"/>
            <family val="2"/>
          </rPr>
          <t xml:space="preserve">
</t>
        </r>
      </text>
    </comment>
    <comment ref="H443" authorId="0" shapeId="0">
      <text>
        <r>
          <rPr>
            <sz val="9"/>
            <color indexed="81"/>
            <rFont val="Tahoma"/>
            <family val="2"/>
          </rPr>
          <t>CLOSE OUT</t>
        </r>
        <r>
          <rPr>
            <b/>
            <sz val="9"/>
            <color indexed="81"/>
            <rFont val="Tahoma"/>
            <family val="2"/>
          </rPr>
          <t xml:space="preserve"> - Item 9 SHPO - Default is "N"</t>
        </r>
        <r>
          <rPr>
            <sz val="9"/>
            <color indexed="81"/>
            <rFont val="Tahoma"/>
            <family val="2"/>
          </rPr>
          <t xml:space="preserve">
</t>
        </r>
      </text>
    </comment>
  </commentList>
</comments>
</file>

<file path=xl/comments13.xml><?xml version="1.0" encoding="utf-8"?>
<comments xmlns="http://schemas.openxmlformats.org/spreadsheetml/2006/main">
  <authors>
    <author>Kelly Hoffmann</author>
  </authors>
  <commentList>
    <comment ref="C15" authorId="0" shapeId="0">
      <text>
        <r>
          <rPr>
            <b/>
            <u/>
            <sz val="9"/>
            <color indexed="81"/>
            <rFont val="Tahoma"/>
            <family val="2"/>
          </rPr>
          <t>Do not edit cell!</t>
        </r>
        <r>
          <rPr>
            <sz val="9"/>
            <color indexed="81"/>
            <rFont val="Tahoma"/>
            <family val="2"/>
          </rPr>
          <t xml:space="preserve">
Echo of Project # &amp; Name from Tab A.
</t>
        </r>
      </text>
    </comment>
    <comment ref="C16" authorId="0" shapeId="0">
      <text>
        <r>
          <rPr>
            <b/>
            <u/>
            <sz val="9"/>
            <color indexed="81"/>
            <rFont val="Tahoma"/>
            <family val="2"/>
          </rPr>
          <t>Do not edit cell!</t>
        </r>
        <r>
          <rPr>
            <sz val="9"/>
            <color indexed="81"/>
            <rFont val="Tahoma"/>
            <family val="2"/>
          </rPr>
          <t xml:space="preserve">
Echo of Phase Applicability from Tab A.
</t>
        </r>
      </text>
    </comment>
    <comment ref="C18" authorId="0" shapeId="0">
      <text>
        <r>
          <rPr>
            <b/>
            <u/>
            <sz val="9"/>
            <color indexed="81"/>
            <rFont val="Tahoma"/>
            <family val="2"/>
          </rPr>
          <t>Do not edit cell!</t>
        </r>
        <r>
          <rPr>
            <sz val="9"/>
            <color indexed="81"/>
            <rFont val="Tahoma"/>
            <family val="2"/>
          </rPr>
          <t xml:space="preserve">
Echo of Project info from Tab A.
</t>
        </r>
      </text>
    </comment>
    <comment ref="C23" authorId="0" shapeId="0">
      <text>
        <r>
          <rPr>
            <b/>
            <sz val="9"/>
            <color indexed="81"/>
            <rFont val="Tahoma"/>
            <family val="2"/>
          </rPr>
          <t>Drop Down</t>
        </r>
        <r>
          <rPr>
            <sz val="9"/>
            <color indexed="81"/>
            <rFont val="Tahoma"/>
            <family val="2"/>
          </rPr>
          <t xml:space="preserve">
</t>
        </r>
      </text>
    </comment>
    <comment ref="H25" authorId="0" shapeId="0">
      <text>
        <r>
          <rPr>
            <sz val="9"/>
            <color indexed="81"/>
            <rFont val="Tahoma"/>
            <family val="2"/>
          </rPr>
          <t>POST CONST</t>
        </r>
        <r>
          <rPr>
            <b/>
            <sz val="9"/>
            <color indexed="81"/>
            <rFont val="Tahoma"/>
            <family val="2"/>
          </rPr>
          <t xml:space="preserve"> - Item 0 MLD Default is a "Y"</t>
        </r>
      </text>
    </comment>
    <comment ref="H27" authorId="0" shapeId="0">
      <text>
        <r>
          <rPr>
            <sz val="9"/>
            <color indexed="81"/>
            <rFont val="Tahoma"/>
            <family val="2"/>
          </rPr>
          <t>POST CONST</t>
        </r>
        <r>
          <rPr>
            <b/>
            <sz val="9"/>
            <color indexed="81"/>
            <rFont val="Tahoma"/>
            <family val="2"/>
          </rPr>
          <t xml:space="preserve"> - Item 1 ESTIMATE Default is a "N"
</t>
        </r>
        <r>
          <rPr>
            <sz val="9"/>
            <color indexed="81"/>
            <rFont val="Tahoma"/>
            <family val="2"/>
          </rPr>
          <t xml:space="preserve">
</t>
        </r>
      </text>
    </comment>
    <comment ref="H32" authorId="0" shapeId="0">
      <text>
        <r>
          <rPr>
            <sz val="9"/>
            <color indexed="81"/>
            <rFont val="Tahoma"/>
            <family val="2"/>
          </rPr>
          <t xml:space="preserve">POST CONST </t>
        </r>
        <r>
          <rPr>
            <b/>
            <sz val="9"/>
            <color indexed="81"/>
            <rFont val="Tahoma"/>
            <family val="2"/>
          </rPr>
          <t>- Item 2 Schedule Default is a "N"</t>
        </r>
        <r>
          <rPr>
            <sz val="9"/>
            <color indexed="81"/>
            <rFont val="Tahoma"/>
            <family val="2"/>
          </rPr>
          <t xml:space="preserve">
</t>
        </r>
      </text>
    </comment>
    <comment ref="H37" authorId="0" shapeId="0">
      <text>
        <r>
          <rPr>
            <sz val="9"/>
            <color indexed="81"/>
            <rFont val="Tahoma"/>
            <family val="2"/>
          </rPr>
          <t>POST CONST</t>
        </r>
        <r>
          <rPr>
            <b/>
            <sz val="9"/>
            <color indexed="81"/>
            <rFont val="Tahoma"/>
            <family val="2"/>
          </rPr>
          <t xml:space="preserve"> - Item 3 Comments default is "N".</t>
        </r>
        <r>
          <rPr>
            <sz val="9"/>
            <color indexed="81"/>
            <rFont val="Tahoma"/>
            <family val="2"/>
          </rPr>
          <t xml:space="preserve">
</t>
        </r>
      </text>
    </comment>
    <comment ref="H39" authorId="0" shapeId="0">
      <text>
        <r>
          <rPr>
            <sz val="9"/>
            <color indexed="81"/>
            <rFont val="Tahoma"/>
            <family val="2"/>
          </rPr>
          <t xml:space="preserve">POST CONST </t>
        </r>
        <r>
          <rPr>
            <b/>
            <sz val="9"/>
            <color indexed="81"/>
            <rFont val="Tahoma"/>
            <family val="2"/>
          </rPr>
          <t>- Item 4a BOD/PS - Default is "N"</t>
        </r>
        <r>
          <rPr>
            <sz val="9"/>
            <color indexed="81"/>
            <rFont val="Tahoma"/>
            <family val="2"/>
          </rPr>
          <t xml:space="preserve">
</t>
        </r>
      </text>
    </comment>
    <comment ref="H126" authorId="0" shapeId="0">
      <text>
        <r>
          <rPr>
            <sz val="9"/>
            <color indexed="81"/>
            <rFont val="Tahoma"/>
            <family val="2"/>
          </rPr>
          <t>POST CONST</t>
        </r>
        <r>
          <rPr>
            <b/>
            <sz val="9"/>
            <color indexed="81"/>
            <rFont val="Tahoma"/>
            <family val="2"/>
          </rPr>
          <t xml:space="preserve"> - Item 4b Info / Calcs - Default is "N"
</t>
        </r>
      </text>
    </comment>
    <comment ref="H168" authorId="0" shapeId="0">
      <text>
        <r>
          <rPr>
            <sz val="9"/>
            <color indexed="81"/>
            <rFont val="Tahoma"/>
            <family val="2"/>
          </rPr>
          <t>POST CONST</t>
        </r>
        <r>
          <rPr>
            <b/>
            <sz val="9"/>
            <color indexed="81"/>
            <rFont val="Tahoma"/>
            <family val="2"/>
          </rPr>
          <t xml:space="preserve"> - Item 5b Finishes - Default is "N"</t>
        </r>
      </text>
    </comment>
    <comment ref="H174" authorId="0" shapeId="0">
      <text>
        <r>
          <rPr>
            <sz val="9"/>
            <color indexed="81"/>
            <rFont val="Tahoma"/>
            <family val="2"/>
          </rPr>
          <t>POST CONST</t>
        </r>
        <r>
          <rPr>
            <b/>
            <sz val="9"/>
            <color indexed="81"/>
            <rFont val="Tahoma"/>
            <family val="2"/>
          </rPr>
          <t xml:space="preserve"> - Item 5b FF&amp;E Binder - Default is "N"</t>
        </r>
      </text>
    </comment>
    <comment ref="H180" authorId="0" shapeId="0">
      <text>
        <r>
          <rPr>
            <sz val="9"/>
            <color indexed="81"/>
            <rFont val="Tahoma"/>
            <family val="2"/>
          </rPr>
          <t>POST CONST</t>
        </r>
        <r>
          <rPr>
            <b/>
            <sz val="9"/>
            <color indexed="81"/>
            <rFont val="Tahoma"/>
            <family val="2"/>
          </rPr>
          <t xml:space="preserve"> - Item 6 Project Manual - Default is "N"</t>
        </r>
        <r>
          <rPr>
            <sz val="9"/>
            <color indexed="81"/>
            <rFont val="Tahoma"/>
            <family val="2"/>
          </rPr>
          <t xml:space="preserve">
</t>
        </r>
      </text>
    </comment>
    <comment ref="H206" authorId="0" shapeId="0">
      <text>
        <r>
          <rPr>
            <sz val="9"/>
            <color indexed="81"/>
            <rFont val="Tahoma"/>
            <family val="2"/>
          </rPr>
          <t>POST CONST</t>
        </r>
        <r>
          <rPr>
            <b/>
            <sz val="9"/>
            <color indexed="81"/>
            <rFont val="Tahoma"/>
            <family val="2"/>
          </rPr>
          <t xml:space="preserve"> - Item 7a Drawings - Default is "N"</t>
        </r>
        <r>
          <rPr>
            <sz val="9"/>
            <color indexed="81"/>
            <rFont val="Tahoma"/>
            <family val="2"/>
          </rPr>
          <t xml:space="preserve">
</t>
        </r>
      </text>
    </comment>
    <comment ref="H382" authorId="0" shapeId="0">
      <text>
        <r>
          <rPr>
            <sz val="9"/>
            <color indexed="81"/>
            <rFont val="Tahoma"/>
            <family val="2"/>
          </rPr>
          <t>POST CONST</t>
        </r>
        <r>
          <rPr>
            <b/>
            <sz val="9"/>
            <color indexed="81"/>
            <rFont val="Tahoma"/>
            <family val="2"/>
          </rPr>
          <t xml:space="preserve"> - Item 7b BIM - Default is "N"
</t>
        </r>
        <r>
          <rPr>
            <i/>
            <sz val="9"/>
            <color indexed="81"/>
            <rFont val="Tahoma"/>
            <family val="2"/>
          </rPr>
          <t>IF "Y" is selected, must be added into PSC contract.</t>
        </r>
        <r>
          <rPr>
            <sz val="9"/>
            <color indexed="81"/>
            <rFont val="Tahoma"/>
            <family val="2"/>
          </rPr>
          <t xml:space="preserve">
</t>
        </r>
      </text>
    </comment>
    <comment ref="H385" authorId="0" shapeId="0">
      <text>
        <r>
          <rPr>
            <sz val="9"/>
            <color indexed="81"/>
            <rFont val="Tahoma"/>
            <family val="2"/>
          </rPr>
          <t>POST  CONST</t>
        </r>
        <r>
          <rPr>
            <b/>
            <sz val="9"/>
            <color indexed="81"/>
            <rFont val="Tahoma"/>
            <family val="2"/>
          </rPr>
          <t xml:space="preserve"> - Item 8 Presentation - Default is "N"</t>
        </r>
        <r>
          <rPr>
            <sz val="9"/>
            <color indexed="81"/>
            <rFont val="Tahoma"/>
            <family val="2"/>
          </rPr>
          <t xml:space="preserve">
</t>
        </r>
      </text>
    </comment>
    <comment ref="H443" authorId="0" shapeId="0">
      <text>
        <r>
          <rPr>
            <sz val="9"/>
            <color indexed="81"/>
            <rFont val="Tahoma"/>
            <family val="2"/>
          </rPr>
          <t>POST CONST</t>
        </r>
        <r>
          <rPr>
            <b/>
            <sz val="9"/>
            <color indexed="81"/>
            <rFont val="Tahoma"/>
            <family val="2"/>
          </rPr>
          <t xml:space="preserve"> - Item 9 SHPO - Default is "N"</t>
        </r>
        <r>
          <rPr>
            <sz val="9"/>
            <color indexed="81"/>
            <rFont val="Tahoma"/>
            <family val="2"/>
          </rPr>
          <t xml:space="preserve">
</t>
        </r>
      </text>
    </comment>
  </commentList>
</comments>
</file>

<file path=xl/comments14.xml><?xml version="1.0" encoding="utf-8"?>
<comments xmlns="http://schemas.openxmlformats.org/spreadsheetml/2006/main">
  <authors>
    <author>Kelly Hoffmann</author>
  </authors>
  <commentList>
    <comment ref="B5" authorId="0" shapeId="0">
      <text>
        <r>
          <rPr>
            <sz val="9"/>
            <color indexed="81"/>
            <rFont val="Tahoma"/>
            <family val="2"/>
          </rPr>
          <t>Applicability in this tab will populate :</t>
        </r>
        <r>
          <rPr>
            <b/>
            <sz val="9"/>
            <color indexed="81"/>
            <rFont val="Tahoma"/>
            <family val="2"/>
          </rPr>
          <t xml:space="preserve">
"00-Concept."</t>
        </r>
        <r>
          <rPr>
            <sz val="9"/>
            <color indexed="81"/>
            <rFont val="Tahoma"/>
            <family val="2"/>
          </rPr>
          <t xml:space="preserve">
</t>
        </r>
      </text>
    </comment>
    <comment ref="C5" authorId="0" shapeId="0">
      <text>
        <r>
          <rPr>
            <sz val="9"/>
            <color indexed="81"/>
            <rFont val="Tahoma"/>
            <family val="2"/>
          </rPr>
          <t>Applicability in this tab will populate :</t>
        </r>
        <r>
          <rPr>
            <b/>
            <sz val="9"/>
            <color indexed="81"/>
            <rFont val="Tahoma"/>
            <family val="2"/>
          </rPr>
          <t xml:space="preserve">
"01 - SD"</t>
        </r>
        <r>
          <rPr>
            <sz val="9"/>
            <color indexed="81"/>
            <rFont val="Tahoma"/>
            <family val="2"/>
          </rPr>
          <t xml:space="preserve">
</t>
        </r>
      </text>
    </comment>
    <comment ref="D5" authorId="0" shapeId="0">
      <text>
        <r>
          <rPr>
            <sz val="9"/>
            <color indexed="81"/>
            <rFont val="Tahoma"/>
            <family val="2"/>
          </rPr>
          <t>Applicability in this tab will populate :</t>
        </r>
        <r>
          <rPr>
            <b/>
            <sz val="9"/>
            <color indexed="81"/>
            <rFont val="Tahoma"/>
            <family val="2"/>
          </rPr>
          <t xml:space="preserve">
"02 - DD"</t>
        </r>
        <r>
          <rPr>
            <sz val="9"/>
            <color indexed="81"/>
            <rFont val="Tahoma"/>
            <family val="2"/>
          </rPr>
          <t xml:space="preserve">
</t>
        </r>
      </text>
    </comment>
    <comment ref="E5" authorId="0" shapeId="0">
      <text>
        <r>
          <rPr>
            <sz val="9"/>
            <color indexed="81"/>
            <rFont val="Tahoma"/>
            <family val="2"/>
          </rPr>
          <t>Applicability in this tab will populate :</t>
        </r>
        <r>
          <rPr>
            <b/>
            <sz val="9"/>
            <color indexed="81"/>
            <rFont val="Tahoma"/>
            <family val="2"/>
          </rPr>
          <t xml:space="preserve">
"03 - 50% CD"</t>
        </r>
        <r>
          <rPr>
            <sz val="9"/>
            <color indexed="81"/>
            <rFont val="Tahoma"/>
            <family val="2"/>
          </rPr>
          <t xml:space="preserve">
</t>
        </r>
      </text>
    </comment>
    <comment ref="F5" authorId="0" shapeId="0">
      <text>
        <r>
          <rPr>
            <sz val="9"/>
            <color indexed="81"/>
            <rFont val="Tahoma"/>
            <family val="2"/>
          </rPr>
          <t>Applicability in this tab will populate :</t>
        </r>
        <r>
          <rPr>
            <b/>
            <sz val="9"/>
            <color indexed="81"/>
            <rFont val="Tahoma"/>
            <family val="2"/>
          </rPr>
          <t xml:space="preserve">
"04 - 95% CD"</t>
        </r>
        <r>
          <rPr>
            <sz val="9"/>
            <color indexed="81"/>
            <rFont val="Tahoma"/>
            <family val="2"/>
          </rPr>
          <t xml:space="preserve">
</t>
        </r>
      </text>
    </comment>
  </commentList>
</comments>
</file>

<file path=xl/comments2.xml><?xml version="1.0" encoding="utf-8"?>
<comments xmlns="http://schemas.openxmlformats.org/spreadsheetml/2006/main">
  <authors>
    <author>Kelly Hoffmann</author>
  </authors>
  <commentList>
    <comment ref="C15" authorId="0" shapeId="0">
      <text>
        <r>
          <rPr>
            <b/>
            <u/>
            <sz val="9"/>
            <color indexed="81"/>
            <rFont val="Tahoma"/>
            <family val="2"/>
          </rPr>
          <t>Do not edit cell!</t>
        </r>
        <r>
          <rPr>
            <sz val="9"/>
            <color indexed="81"/>
            <rFont val="Tahoma"/>
            <family val="2"/>
          </rPr>
          <t xml:space="preserve">
Echo of Project # &amp; Name from Tab A.
</t>
        </r>
      </text>
    </comment>
    <comment ref="C16" authorId="0" shapeId="0">
      <text>
        <r>
          <rPr>
            <b/>
            <u/>
            <sz val="9"/>
            <color indexed="81"/>
            <rFont val="Tahoma"/>
            <family val="2"/>
          </rPr>
          <t>Do not edit cell!</t>
        </r>
        <r>
          <rPr>
            <sz val="9"/>
            <color indexed="81"/>
            <rFont val="Tahoma"/>
            <family val="2"/>
          </rPr>
          <t xml:space="preserve">
Echo of Phase Applicability from Tab A.
</t>
        </r>
      </text>
    </comment>
    <comment ref="C18" authorId="0" shapeId="0">
      <text>
        <r>
          <rPr>
            <b/>
            <u/>
            <sz val="9"/>
            <color indexed="81"/>
            <rFont val="Tahoma"/>
            <family val="2"/>
          </rPr>
          <t>Do not edit cell!</t>
        </r>
        <r>
          <rPr>
            <sz val="9"/>
            <color indexed="81"/>
            <rFont val="Tahoma"/>
            <family val="2"/>
          </rPr>
          <t xml:space="preserve">
Echo of Project info from Tab A.
</t>
        </r>
      </text>
    </comment>
    <comment ref="C21" authorId="0" shapeId="0">
      <text>
        <r>
          <rPr>
            <b/>
            <sz val="9"/>
            <color indexed="81"/>
            <rFont val="Tahoma"/>
            <family val="2"/>
          </rPr>
          <t>Enter last Edit Date</t>
        </r>
        <r>
          <rPr>
            <sz val="9"/>
            <color indexed="81"/>
            <rFont val="Tahoma"/>
            <family val="2"/>
          </rPr>
          <t xml:space="preserve">
</t>
        </r>
      </text>
    </comment>
    <comment ref="F21" authorId="0" shapeId="0">
      <text>
        <r>
          <rPr>
            <b/>
            <u/>
            <sz val="9"/>
            <color indexed="81"/>
            <rFont val="Tahoma"/>
            <family val="2"/>
          </rPr>
          <t>Choose Entity from Drop Down:</t>
        </r>
        <r>
          <rPr>
            <sz val="9"/>
            <color indexed="81"/>
            <rFont val="Tahoma"/>
            <family val="2"/>
          </rPr>
          <t xml:space="preserve">
PSC
Planner
PM
</t>
        </r>
      </text>
    </comment>
    <comment ref="H21" authorId="0" shapeId="0">
      <text>
        <r>
          <rPr>
            <b/>
            <sz val="9"/>
            <color indexed="81"/>
            <rFont val="Tahoma"/>
            <family val="2"/>
          </rPr>
          <t xml:space="preserve">Enter Editor's Name
</t>
        </r>
        <r>
          <rPr>
            <sz val="9"/>
            <color indexed="81"/>
            <rFont val="Tahoma"/>
            <family val="2"/>
          </rPr>
          <t xml:space="preserve">
</t>
        </r>
      </text>
    </comment>
    <comment ref="C23" authorId="0" shapeId="0">
      <text>
        <r>
          <rPr>
            <b/>
            <sz val="9"/>
            <color indexed="81"/>
            <rFont val="Tahoma"/>
            <family val="2"/>
          </rPr>
          <t>Drop Down</t>
        </r>
        <r>
          <rPr>
            <sz val="9"/>
            <color indexed="81"/>
            <rFont val="Tahoma"/>
            <family val="2"/>
          </rPr>
          <t xml:space="preserve">
</t>
        </r>
      </text>
    </comment>
    <comment ref="H25" authorId="0" shapeId="0">
      <text>
        <r>
          <rPr>
            <sz val="9"/>
            <color indexed="81"/>
            <rFont val="Tahoma"/>
            <family val="2"/>
          </rPr>
          <t>Study / Memo / Concept Only</t>
        </r>
        <r>
          <rPr>
            <b/>
            <sz val="9"/>
            <color indexed="81"/>
            <rFont val="Tahoma"/>
            <family val="2"/>
          </rPr>
          <t xml:space="preserve"> - Item 1 Cost IS ALWAYS A YES.</t>
        </r>
        <r>
          <rPr>
            <sz val="9"/>
            <color indexed="81"/>
            <rFont val="Tahoma"/>
            <family val="2"/>
          </rPr>
          <t xml:space="preserve">
</t>
        </r>
      </text>
    </comment>
    <comment ref="H27" authorId="0" shapeId="0">
      <text>
        <r>
          <rPr>
            <sz val="9"/>
            <color indexed="81"/>
            <rFont val="Tahoma"/>
            <family val="2"/>
          </rPr>
          <t>Study / Memo / Concept Only</t>
        </r>
        <r>
          <rPr>
            <b/>
            <sz val="9"/>
            <color indexed="81"/>
            <rFont val="Tahoma"/>
            <family val="2"/>
          </rPr>
          <t xml:space="preserve"> - Item 1 Cost IS ALWAYS A YES.</t>
        </r>
        <r>
          <rPr>
            <sz val="9"/>
            <color indexed="81"/>
            <rFont val="Tahoma"/>
            <family val="2"/>
          </rPr>
          <t xml:space="preserve">
</t>
        </r>
      </text>
    </comment>
    <comment ref="H32" authorId="0" shapeId="0">
      <text>
        <r>
          <rPr>
            <sz val="9"/>
            <color indexed="81"/>
            <rFont val="Tahoma"/>
            <family val="2"/>
          </rPr>
          <t xml:space="preserve">Study / Memo / Concept Only - </t>
        </r>
        <r>
          <rPr>
            <b/>
            <sz val="9"/>
            <color indexed="81"/>
            <rFont val="Tahoma"/>
            <family val="2"/>
          </rPr>
          <t>Item 3 Schedule Default is "N"</t>
        </r>
      </text>
    </comment>
    <comment ref="H37" authorId="0" shapeId="0">
      <text>
        <r>
          <rPr>
            <sz val="9"/>
            <color indexed="81"/>
            <rFont val="Tahoma"/>
            <family val="2"/>
          </rPr>
          <t xml:space="preserve">Study / Memo / Concept Only - </t>
        </r>
        <r>
          <rPr>
            <b/>
            <sz val="9"/>
            <color indexed="81"/>
            <rFont val="Tahoma"/>
            <family val="2"/>
          </rPr>
          <t>Item 3 Comments IS ALWAYS A YES.</t>
        </r>
      </text>
    </comment>
    <comment ref="H39" authorId="0" shapeId="0">
      <text>
        <r>
          <rPr>
            <sz val="9"/>
            <color indexed="81"/>
            <rFont val="Tahoma"/>
            <family val="2"/>
          </rPr>
          <t>Study / Memo / Concept Only</t>
        </r>
        <r>
          <rPr>
            <b/>
            <sz val="9"/>
            <color indexed="81"/>
            <rFont val="Tahoma"/>
            <family val="2"/>
          </rPr>
          <t xml:space="preserve"> - Item 4a Prog. Statement default is "Y"</t>
        </r>
        <r>
          <rPr>
            <sz val="9"/>
            <color indexed="81"/>
            <rFont val="Tahoma"/>
            <family val="2"/>
          </rPr>
          <t xml:space="preserve">
</t>
        </r>
      </text>
    </comment>
    <comment ref="H41" authorId="0" shapeId="0">
      <text>
        <r>
          <rPr>
            <b/>
            <sz val="9"/>
            <color indexed="81"/>
            <rFont val="Tahoma"/>
            <family val="2"/>
          </rPr>
          <t>HIDE ROW IF NOT USED</t>
        </r>
        <r>
          <rPr>
            <sz val="9"/>
            <color indexed="81"/>
            <rFont val="Tahoma"/>
            <family val="2"/>
          </rPr>
          <t xml:space="preserve">
</t>
        </r>
      </text>
    </comment>
    <comment ref="H42" authorId="0" shapeId="0">
      <text>
        <r>
          <rPr>
            <b/>
            <sz val="9"/>
            <color indexed="81"/>
            <rFont val="Tahoma"/>
            <family val="2"/>
          </rPr>
          <t>HIDE ROW IF NOT USED</t>
        </r>
        <r>
          <rPr>
            <sz val="9"/>
            <color indexed="81"/>
            <rFont val="Tahoma"/>
            <family val="2"/>
          </rPr>
          <t xml:space="preserve">
</t>
        </r>
      </text>
    </comment>
    <comment ref="H43" authorId="0" shapeId="0">
      <text>
        <r>
          <rPr>
            <b/>
            <sz val="9"/>
            <color indexed="81"/>
            <rFont val="Tahoma"/>
            <family val="2"/>
          </rPr>
          <t>HIDE ROW IF NOT USED</t>
        </r>
        <r>
          <rPr>
            <sz val="9"/>
            <color indexed="81"/>
            <rFont val="Tahoma"/>
            <family val="2"/>
          </rPr>
          <t xml:space="preserve">
</t>
        </r>
      </text>
    </comment>
    <comment ref="H44" authorId="0" shapeId="0">
      <text>
        <r>
          <rPr>
            <b/>
            <sz val="9"/>
            <color indexed="81"/>
            <rFont val="Tahoma"/>
            <family val="2"/>
          </rPr>
          <t>HIDE ROW IF NOT USED</t>
        </r>
        <r>
          <rPr>
            <sz val="9"/>
            <color indexed="81"/>
            <rFont val="Tahoma"/>
            <family val="2"/>
          </rPr>
          <t xml:space="preserve">
</t>
        </r>
      </text>
    </comment>
    <comment ref="H45" authorId="0" shapeId="0">
      <text>
        <r>
          <rPr>
            <b/>
            <sz val="9"/>
            <color indexed="81"/>
            <rFont val="Tahoma"/>
            <family val="2"/>
          </rPr>
          <t>HIDE ROW IF NOT USED</t>
        </r>
        <r>
          <rPr>
            <sz val="9"/>
            <color indexed="81"/>
            <rFont val="Tahoma"/>
            <family val="2"/>
          </rPr>
          <t xml:space="preserve">
</t>
        </r>
      </text>
    </comment>
    <comment ref="H46" authorId="0" shapeId="0">
      <text>
        <r>
          <rPr>
            <b/>
            <sz val="9"/>
            <color indexed="81"/>
            <rFont val="Tahoma"/>
            <family val="2"/>
          </rPr>
          <t>HIDE ROW IF NOT USED</t>
        </r>
        <r>
          <rPr>
            <sz val="9"/>
            <color indexed="81"/>
            <rFont val="Tahoma"/>
            <family val="2"/>
          </rPr>
          <t xml:space="preserve">
</t>
        </r>
      </text>
    </comment>
    <comment ref="H47" authorId="0" shapeId="0">
      <text>
        <r>
          <rPr>
            <b/>
            <sz val="9"/>
            <color indexed="81"/>
            <rFont val="Tahoma"/>
            <family val="2"/>
          </rPr>
          <t>HIDE ROW IF NOT USED</t>
        </r>
        <r>
          <rPr>
            <sz val="9"/>
            <color indexed="81"/>
            <rFont val="Tahoma"/>
            <family val="2"/>
          </rPr>
          <t xml:space="preserve">
</t>
        </r>
      </text>
    </comment>
    <comment ref="H48" authorId="0" shapeId="0">
      <text>
        <r>
          <rPr>
            <b/>
            <sz val="9"/>
            <color indexed="81"/>
            <rFont val="Tahoma"/>
            <family val="2"/>
          </rPr>
          <t>HIDE ROW IF NOT USED</t>
        </r>
        <r>
          <rPr>
            <sz val="9"/>
            <color indexed="81"/>
            <rFont val="Tahoma"/>
            <family val="2"/>
          </rPr>
          <t xml:space="preserve">
</t>
        </r>
      </text>
    </comment>
    <comment ref="H49" authorId="0" shapeId="0">
      <text>
        <r>
          <rPr>
            <b/>
            <sz val="9"/>
            <color indexed="81"/>
            <rFont val="Tahoma"/>
            <family val="2"/>
          </rPr>
          <t>HIDE ROW IF NOT USED</t>
        </r>
        <r>
          <rPr>
            <sz val="9"/>
            <color indexed="81"/>
            <rFont val="Tahoma"/>
            <family val="2"/>
          </rPr>
          <t xml:space="preserve">
</t>
        </r>
      </text>
    </comment>
    <comment ref="H50" authorId="0" shapeId="0">
      <text>
        <r>
          <rPr>
            <b/>
            <sz val="9"/>
            <color indexed="81"/>
            <rFont val="Tahoma"/>
            <family val="2"/>
          </rPr>
          <t>HIDE ROW IF NOT USED</t>
        </r>
        <r>
          <rPr>
            <sz val="9"/>
            <color indexed="81"/>
            <rFont val="Tahoma"/>
            <family val="2"/>
          </rPr>
          <t xml:space="preserve">
</t>
        </r>
      </text>
    </comment>
    <comment ref="H51" authorId="0" shapeId="0">
      <text>
        <r>
          <rPr>
            <b/>
            <sz val="9"/>
            <color indexed="81"/>
            <rFont val="Tahoma"/>
            <family val="2"/>
          </rPr>
          <t>HIDE ROW IF NOT USED</t>
        </r>
        <r>
          <rPr>
            <sz val="9"/>
            <color indexed="81"/>
            <rFont val="Tahoma"/>
            <family val="2"/>
          </rPr>
          <t xml:space="preserve">
</t>
        </r>
      </text>
    </comment>
    <comment ref="H52" authorId="0" shapeId="0">
      <text>
        <r>
          <rPr>
            <b/>
            <sz val="9"/>
            <color indexed="81"/>
            <rFont val="Tahoma"/>
            <family val="2"/>
          </rPr>
          <t>HIDE ROW IF NOT USED</t>
        </r>
        <r>
          <rPr>
            <sz val="9"/>
            <color indexed="81"/>
            <rFont val="Tahoma"/>
            <family val="2"/>
          </rPr>
          <t xml:space="preserve">
</t>
        </r>
      </text>
    </comment>
    <comment ref="H53" authorId="0" shapeId="0">
      <text>
        <r>
          <rPr>
            <b/>
            <sz val="9"/>
            <color indexed="81"/>
            <rFont val="Tahoma"/>
            <family val="2"/>
          </rPr>
          <t>HIDE ROW IF NOT USED</t>
        </r>
        <r>
          <rPr>
            <sz val="9"/>
            <color indexed="81"/>
            <rFont val="Tahoma"/>
            <family val="2"/>
          </rPr>
          <t xml:space="preserve">
</t>
        </r>
      </text>
    </comment>
    <comment ref="H54" authorId="0" shapeId="0">
      <text>
        <r>
          <rPr>
            <b/>
            <sz val="9"/>
            <color indexed="81"/>
            <rFont val="Tahoma"/>
            <family val="2"/>
          </rPr>
          <t>HIDE ROW IF NOT USED</t>
        </r>
        <r>
          <rPr>
            <sz val="9"/>
            <color indexed="81"/>
            <rFont val="Tahoma"/>
            <family val="2"/>
          </rPr>
          <t xml:space="preserve">
</t>
        </r>
      </text>
    </comment>
    <comment ref="H55" authorId="0" shapeId="0">
      <text>
        <r>
          <rPr>
            <b/>
            <sz val="9"/>
            <color indexed="81"/>
            <rFont val="Tahoma"/>
            <family val="2"/>
          </rPr>
          <t>HIDE ROW IF NOT USED</t>
        </r>
        <r>
          <rPr>
            <sz val="9"/>
            <color indexed="81"/>
            <rFont val="Tahoma"/>
            <family val="2"/>
          </rPr>
          <t xml:space="preserve">
</t>
        </r>
      </text>
    </comment>
    <comment ref="H56" authorId="0" shapeId="0">
      <text>
        <r>
          <rPr>
            <b/>
            <sz val="9"/>
            <color indexed="81"/>
            <rFont val="Tahoma"/>
            <family val="2"/>
          </rPr>
          <t>HIDE ROW IF NOT USED</t>
        </r>
        <r>
          <rPr>
            <sz val="9"/>
            <color indexed="81"/>
            <rFont val="Tahoma"/>
            <family val="2"/>
          </rPr>
          <t xml:space="preserve">
</t>
        </r>
      </text>
    </comment>
    <comment ref="H57" authorId="0" shapeId="0">
      <text>
        <r>
          <rPr>
            <b/>
            <sz val="9"/>
            <color indexed="81"/>
            <rFont val="Tahoma"/>
            <family val="2"/>
          </rPr>
          <t>HIDE ROW IF NOT USED</t>
        </r>
        <r>
          <rPr>
            <sz val="9"/>
            <color indexed="81"/>
            <rFont val="Tahoma"/>
            <family val="2"/>
          </rPr>
          <t xml:space="preserve">
</t>
        </r>
      </text>
    </comment>
    <comment ref="H58" authorId="0" shapeId="0">
      <text>
        <r>
          <rPr>
            <b/>
            <sz val="9"/>
            <color indexed="81"/>
            <rFont val="Tahoma"/>
            <family val="2"/>
          </rPr>
          <t>HIDE ROW IF NOT USED</t>
        </r>
        <r>
          <rPr>
            <sz val="9"/>
            <color indexed="81"/>
            <rFont val="Tahoma"/>
            <family val="2"/>
          </rPr>
          <t xml:space="preserve">
</t>
        </r>
      </text>
    </comment>
    <comment ref="H59" authorId="0" shapeId="0">
      <text>
        <r>
          <rPr>
            <b/>
            <sz val="9"/>
            <color indexed="81"/>
            <rFont val="Tahoma"/>
            <family val="2"/>
          </rPr>
          <t>HIDE ROW IF NOT USED</t>
        </r>
        <r>
          <rPr>
            <sz val="9"/>
            <color indexed="81"/>
            <rFont val="Tahoma"/>
            <family val="2"/>
          </rPr>
          <t xml:space="preserve">
</t>
        </r>
      </text>
    </comment>
    <comment ref="H60" authorId="0" shapeId="0">
      <text>
        <r>
          <rPr>
            <b/>
            <sz val="9"/>
            <color indexed="81"/>
            <rFont val="Tahoma"/>
            <family val="2"/>
          </rPr>
          <t>HIDE ROW IF NOT USED</t>
        </r>
        <r>
          <rPr>
            <sz val="9"/>
            <color indexed="81"/>
            <rFont val="Tahoma"/>
            <family val="2"/>
          </rPr>
          <t xml:space="preserve">
</t>
        </r>
      </text>
    </comment>
    <comment ref="H61" authorId="0" shapeId="0">
      <text>
        <r>
          <rPr>
            <b/>
            <sz val="9"/>
            <color indexed="81"/>
            <rFont val="Tahoma"/>
            <family val="2"/>
          </rPr>
          <t>HIDE ROW IF NOT USED</t>
        </r>
        <r>
          <rPr>
            <sz val="9"/>
            <color indexed="81"/>
            <rFont val="Tahoma"/>
            <family val="2"/>
          </rPr>
          <t xml:space="preserve">
</t>
        </r>
      </text>
    </comment>
    <comment ref="H62" authorId="0" shapeId="0">
      <text>
        <r>
          <rPr>
            <b/>
            <sz val="9"/>
            <color indexed="81"/>
            <rFont val="Tahoma"/>
            <family val="2"/>
          </rPr>
          <t>HIDE ROW IF NOT USED</t>
        </r>
        <r>
          <rPr>
            <sz val="9"/>
            <color indexed="81"/>
            <rFont val="Tahoma"/>
            <family val="2"/>
          </rPr>
          <t xml:space="preserve">
</t>
        </r>
      </text>
    </comment>
    <comment ref="H63" authorId="0" shapeId="0">
      <text>
        <r>
          <rPr>
            <b/>
            <sz val="9"/>
            <color indexed="81"/>
            <rFont val="Tahoma"/>
            <family val="2"/>
          </rPr>
          <t>HIDE ROW IF NOT USED</t>
        </r>
        <r>
          <rPr>
            <sz val="9"/>
            <color indexed="81"/>
            <rFont val="Tahoma"/>
            <family val="2"/>
          </rPr>
          <t xml:space="preserve">
</t>
        </r>
      </text>
    </comment>
    <comment ref="H64" authorId="0" shapeId="0">
      <text>
        <r>
          <rPr>
            <b/>
            <sz val="9"/>
            <color indexed="81"/>
            <rFont val="Tahoma"/>
            <family val="2"/>
          </rPr>
          <t>HIDE ROW IF NOT USED</t>
        </r>
        <r>
          <rPr>
            <sz val="9"/>
            <color indexed="81"/>
            <rFont val="Tahoma"/>
            <family val="2"/>
          </rPr>
          <t xml:space="preserve">
</t>
        </r>
      </text>
    </comment>
    <comment ref="H65" authorId="0" shapeId="0">
      <text>
        <r>
          <rPr>
            <b/>
            <sz val="9"/>
            <color indexed="81"/>
            <rFont val="Tahoma"/>
            <family val="2"/>
          </rPr>
          <t>HIDE ROW IF NOT USED</t>
        </r>
        <r>
          <rPr>
            <sz val="9"/>
            <color indexed="81"/>
            <rFont val="Tahoma"/>
            <family val="2"/>
          </rPr>
          <t xml:space="preserve">
</t>
        </r>
      </text>
    </comment>
    <comment ref="H66" authorId="0" shapeId="0">
      <text>
        <r>
          <rPr>
            <b/>
            <sz val="9"/>
            <color indexed="81"/>
            <rFont val="Tahoma"/>
            <family val="2"/>
          </rPr>
          <t>HIDE ROW IF NOT USED</t>
        </r>
        <r>
          <rPr>
            <sz val="9"/>
            <color indexed="81"/>
            <rFont val="Tahoma"/>
            <family val="2"/>
          </rPr>
          <t xml:space="preserve">
</t>
        </r>
      </text>
    </comment>
    <comment ref="H67" authorId="0" shapeId="0">
      <text>
        <r>
          <rPr>
            <b/>
            <sz val="9"/>
            <color indexed="81"/>
            <rFont val="Tahoma"/>
            <family val="2"/>
          </rPr>
          <t>HIDE ROW IF NOT USED</t>
        </r>
        <r>
          <rPr>
            <sz val="9"/>
            <color indexed="81"/>
            <rFont val="Tahoma"/>
            <family val="2"/>
          </rPr>
          <t xml:space="preserve">
</t>
        </r>
      </text>
    </comment>
    <comment ref="H68" authorId="0" shapeId="0">
      <text>
        <r>
          <rPr>
            <b/>
            <sz val="9"/>
            <color indexed="81"/>
            <rFont val="Tahoma"/>
            <family val="2"/>
          </rPr>
          <t>HIDE ROW IF NOT USED</t>
        </r>
        <r>
          <rPr>
            <sz val="9"/>
            <color indexed="81"/>
            <rFont val="Tahoma"/>
            <family val="2"/>
          </rPr>
          <t xml:space="preserve">
</t>
        </r>
      </text>
    </comment>
    <comment ref="H69" authorId="0" shapeId="0">
      <text>
        <r>
          <rPr>
            <b/>
            <sz val="9"/>
            <color indexed="81"/>
            <rFont val="Tahoma"/>
            <family val="2"/>
          </rPr>
          <t>HIDE ROW IF NOT USED</t>
        </r>
        <r>
          <rPr>
            <sz val="9"/>
            <color indexed="81"/>
            <rFont val="Tahoma"/>
            <family val="2"/>
          </rPr>
          <t xml:space="preserve">
</t>
        </r>
      </text>
    </comment>
    <comment ref="H70" authorId="0" shapeId="0">
      <text>
        <r>
          <rPr>
            <b/>
            <sz val="9"/>
            <color indexed="81"/>
            <rFont val="Tahoma"/>
            <family val="2"/>
          </rPr>
          <t>HIDE ROW IF NOT USED</t>
        </r>
        <r>
          <rPr>
            <sz val="9"/>
            <color indexed="81"/>
            <rFont val="Tahoma"/>
            <family val="2"/>
          </rPr>
          <t xml:space="preserve">
</t>
        </r>
      </text>
    </comment>
    <comment ref="H71" authorId="0" shapeId="0">
      <text>
        <r>
          <rPr>
            <b/>
            <sz val="9"/>
            <color indexed="81"/>
            <rFont val="Tahoma"/>
            <family val="2"/>
          </rPr>
          <t>HIDE ROW IF NOT USED</t>
        </r>
        <r>
          <rPr>
            <sz val="9"/>
            <color indexed="81"/>
            <rFont val="Tahoma"/>
            <family val="2"/>
          </rPr>
          <t xml:space="preserve">
</t>
        </r>
      </text>
    </comment>
    <comment ref="H72" authorId="0" shapeId="0">
      <text>
        <r>
          <rPr>
            <b/>
            <sz val="9"/>
            <color indexed="81"/>
            <rFont val="Tahoma"/>
            <family val="2"/>
          </rPr>
          <t>HIDE ROW IF NOT USED</t>
        </r>
        <r>
          <rPr>
            <sz val="9"/>
            <color indexed="81"/>
            <rFont val="Tahoma"/>
            <family val="2"/>
          </rPr>
          <t xml:space="preserve">
</t>
        </r>
      </text>
    </comment>
    <comment ref="H73" authorId="0" shapeId="0">
      <text>
        <r>
          <rPr>
            <b/>
            <sz val="9"/>
            <color indexed="81"/>
            <rFont val="Tahoma"/>
            <family val="2"/>
          </rPr>
          <t>HIDE ROW IF NOT USED</t>
        </r>
        <r>
          <rPr>
            <sz val="9"/>
            <color indexed="81"/>
            <rFont val="Tahoma"/>
            <family val="2"/>
          </rPr>
          <t xml:space="preserve">
</t>
        </r>
      </text>
    </comment>
    <comment ref="H74" authorId="0" shapeId="0">
      <text>
        <r>
          <rPr>
            <b/>
            <sz val="9"/>
            <color indexed="81"/>
            <rFont val="Tahoma"/>
            <family val="2"/>
          </rPr>
          <t>HIDE ROW IF NOT USED</t>
        </r>
        <r>
          <rPr>
            <sz val="9"/>
            <color indexed="81"/>
            <rFont val="Tahoma"/>
            <family val="2"/>
          </rPr>
          <t xml:space="preserve">
</t>
        </r>
      </text>
    </comment>
    <comment ref="H75" authorId="0" shapeId="0">
      <text>
        <r>
          <rPr>
            <b/>
            <sz val="9"/>
            <color indexed="81"/>
            <rFont val="Tahoma"/>
            <family val="2"/>
          </rPr>
          <t>HIDE ROW IF NOT USED</t>
        </r>
        <r>
          <rPr>
            <sz val="9"/>
            <color indexed="81"/>
            <rFont val="Tahoma"/>
            <family val="2"/>
          </rPr>
          <t xml:space="preserve">
</t>
        </r>
      </text>
    </comment>
    <comment ref="H76" authorId="0" shapeId="0">
      <text>
        <r>
          <rPr>
            <b/>
            <sz val="9"/>
            <color indexed="81"/>
            <rFont val="Tahoma"/>
            <family val="2"/>
          </rPr>
          <t>HIDE ROW IF NOT USED</t>
        </r>
        <r>
          <rPr>
            <sz val="9"/>
            <color indexed="81"/>
            <rFont val="Tahoma"/>
            <family val="2"/>
          </rPr>
          <t xml:space="preserve">
</t>
        </r>
      </text>
    </comment>
    <comment ref="H77" authorId="0" shapeId="0">
      <text>
        <r>
          <rPr>
            <b/>
            <sz val="9"/>
            <color indexed="81"/>
            <rFont val="Tahoma"/>
            <family val="2"/>
          </rPr>
          <t>HIDE ROW IF NOT USED</t>
        </r>
        <r>
          <rPr>
            <sz val="9"/>
            <color indexed="81"/>
            <rFont val="Tahoma"/>
            <family val="2"/>
          </rPr>
          <t xml:space="preserve">
</t>
        </r>
      </text>
    </comment>
    <comment ref="H78" authorId="0" shapeId="0">
      <text>
        <r>
          <rPr>
            <b/>
            <sz val="9"/>
            <color indexed="81"/>
            <rFont val="Tahoma"/>
            <family val="2"/>
          </rPr>
          <t>HIDE ROW IF NOT USED</t>
        </r>
        <r>
          <rPr>
            <sz val="9"/>
            <color indexed="81"/>
            <rFont val="Tahoma"/>
            <family val="2"/>
          </rPr>
          <t xml:space="preserve">
</t>
        </r>
      </text>
    </comment>
    <comment ref="H79" authorId="0" shapeId="0">
      <text>
        <r>
          <rPr>
            <b/>
            <sz val="9"/>
            <color indexed="81"/>
            <rFont val="Tahoma"/>
            <family val="2"/>
          </rPr>
          <t>HIDE ROW IF NOT USED</t>
        </r>
        <r>
          <rPr>
            <sz val="9"/>
            <color indexed="81"/>
            <rFont val="Tahoma"/>
            <family val="2"/>
          </rPr>
          <t xml:space="preserve">
</t>
        </r>
      </text>
    </comment>
    <comment ref="H80" authorId="0" shapeId="0">
      <text>
        <r>
          <rPr>
            <b/>
            <sz val="9"/>
            <color indexed="81"/>
            <rFont val="Tahoma"/>
            <family val="2"/>
          </rPr>
          <t>HIDE ROW IF NOT USED</t>
        </r>
        <r>
          <rPr>
            <sz val="9"/>
            <color indexed="81"/>
            <rFont val="Tahoma"/>
            <family val="2"/>
          </rPr>
          <t xml:space="preserve">
</t>
        </r>
      </text>
    </comment>
    <comment ref="H81" authorId="0" shapeId="0">
      <text>
        <r>
          <rPr>
            <b/>
            <sz val="9"/>
            <color indexed="81"/>
            <rFont val="Tahoma"/>
            <family val="2"/>
          </rPr>
          <t>HIDE ROW IF NOT USED</t>
        </r>
        <r>
          <rPr>
            <sz val="9"/>
            <color indexed="81"/>
            <rFont val="Tahoma"/>
            <family val="2"/>
          </rPr>
          <t xml:space="preserve">
</t>
        </r>
      </text>
    </comment>
    <comment ref="H82" authorId="0" shapeId="0">
      <text>
        <r>
          <rPr>
            <b/>
            <sz val="9"/>
            <color indexed="81"/>
            <rFont val="Tahoma"/>
            <family val="2"/>
          </rPr>
          <t>HIDE ROW IF NOT USED</t>
        </r>
        <r>
          <rPr>
            <sz val="9"/>
            <color indexed="81"/>
            <rFont val="Tahoma"/>
            <family val="2"/>
          </rPr>
          <t xml:space="preserve">
</t>
        </r>
      </text>
    </comment>
    <comment ref="H83" authorId="0" shapeId="0">
      <text>
        <r>
          <rPr>
            <b/>
            <sz val="9"/>
            <color indexed="81"/>
            <rFont val="Tahoma"/>
            <family val="2"/>
          </rPr>
          <t>HIDE ROW IF NOT USED</t>
        </r>
        <r>
          <rPr>
            <sz val="9"/>
            <color indexed="81"/>
            <rFont val="Tahoma"/>
            <family val="2"/>
          </rPr>
          <t xml:space="preserve">
</t>
        </r>
      </text>
    </comment>
    <comment ref="H84" authorId="0" shapeId="0">
      <text>
        <r>
          <rPr>
            <b/>
            <sz val="9"/>
            <color indexed="81"/>
            <rFont val="Tahoma"/>
            <family val="2"/>
          </rPr>
          <t>HIDE ROW IF NOT USED</t>
        </r>
        <r>
          <rPr>
            <sz val="9"/>
            <color indexed="81"/>
            <rFont val="Tahoma"/>
            <family val="2"/>
          </rPr>
          <t xml:space="preserve">
</t>
        </r>
      </text>
    </comment>
    <comment ref="H85" authorId="0" shapeId="0">
      <text>
        <r>
          <rPr>
            <b/>
            <sz val="9"/>
            <color indexed="81"/>
            <rFont val="Tahoma"/>
            <family val="2"/>
          </rPr>
          <t>HIDE ROW IF NOT USED</t>
        </r>
        <r>
          <rPr>
            <sz val="9"/>
            <color indexed="81"/>
            <rFont val="Tahoma"/>
            <family val="2"/>
          </rPr>
          <t xml:space="preserve">
</t>
        </r>
      </text>
    </comment>
    <comment ref="H86" authorId="0" shapeId="0">
      <text>
        <r>
          <rPr>
            <b/>
            <sz val="9"/>
            <color indexed="81"/>
            <rFont val="Tahoma"/>
            <family val="2"/>
          </rPr>
          <t>HIDE ROW IF NOT USED</t>
        </r>
        <r>
          <rPr>
            <sz val="9"/>
            <color indexed="81"/>
            <rFont val="Tahoma"/>
            <family val="2"/>
          </rPr>
          <t xml:space="preserve">
</t>
        </r>
      </text>
    </comment>
    <comment ref="H87" authorId="0" shapeId="0">
      <text>
        <r>
          <rPr>
            <b/>
            <sz val="9"/>
            <color indexed="81"/>
            <rFont val="Tahoma"/>
            <family val="2"/>
          </rPr>
          <t>HIDE ROW IF NOT USED</t>
        </r>
        <r>
          <rPr>
            <sz val="9"/>
            <color indexed="81"/>
            <rFont val="Tahoma"/>
            <family val="2"/>
          </rPr>
          <t xml:space="preserve">
</t>
        </r>
      </text>
    </comment>
    <comment ref="H88" authorId="0" shapeId="0">
      <text>
        <r>
          <rPr>
            <b/>
            <sz val="9"/>
            <color indexed="81"/>
            <rFont val="Tahoma"/>
            <family val="2"/>
          </rPr>
          <t>HIDE ROW IF NOT USED</t>
        </r>
        <r>
          <rPr>
            <sz val="9"/>
            <color indexed="81"/>
            <rFont val="Tahoma"/>
            <family val="2"/>
          </rPr>
          <t xml:space="preserve">
</t>
        </r>
      </text>
    </comment>
    <comment ref="H89" authorId="0" shapeId="0">
      <text>
        <r>
          <rPr>
            <b/>
            <sz val="9"/>
            <color indexed="81"/>
            <rFont val="Tahoma"/>
            <family val="2"/>
          </rPr>
          <t>HIDE ROW IF NOT USED</t>
        </r>
        <r>
          <rPr>
            <sz val="9"/>
            <color indexed="81"/>
            <rFont val="Tahoma"/>
            <family val="2"/>
          </rPr>
          <t xml:space="preserve">
</t>
        </r>
      </text>
    </comment>
    <comment ref="H90" authorId="0" shapeId="0">
      <text>
        <r>
          <rPr>
            <b/>
            <sz val="9"/>
            <color indexed="81"/>
            <rFont val="Tahoma"/>
            <family val="2"/>
          </rPr>
          <t>HIDE ROW IF NOT USED</t>
        </r>
        <r>
          <rPr>
            <sz val="9"/>
            <color indexed="81"/>
            <rFont val="Tahoma"/>
            <family val="2"/>
          </rPr>
          <t xml:space="preserve">
</t>
        </r>
      </text>
    </comment>
    <comment ref="H91" authorId="0" shapeId="0">
      <text>
        <r>
          <rPr>
            <b/>
            <sz val="9"/>
            <color indexed="81"/>
            <rFont val="Tahoma"/>
            <family val="2"/>
          </rPr>
          <t>HIDE ROW IF NOT USED</t>
        </r>
        <r>
          <rPr>
            <sz val="9"/>
            <color indexed="81"/>
            <rFont val="Tahoma"/>
            <family val="2"/>
          </rPr>
          <t xml:space="preserve">
</t>
        </r>
      </text>
    </comment>
    <comment ref="H92" authorId="0" shapeId="0">
      <text>
        <r>
          <rPr>
            <b/>
            <sz val="9"/>
            <color indexed="81"/>
            <rFont val="Tahoma"/>
            <family val="2"/>
          </rPr>
          <t>HIDE ROW IF NOT USED</t>
        </r>
        <r>
          <rPr>
            <sz val="9"/>
            <color indexed="81"/>
            <rFont val="Tahoma"/>
            <family val="2"/>
          </rPr>
          <t xml:space="preserve">
</t>
        </r>
      </text>
    </comment>
    <comment ref="H93" authorId="0" shapeId="0">
      <text>
        <r>
          <rPr>
            <b/>
            <sz val="9"/>
            <color indexed="81"/>
            <rFont val="Tahoma"/>
            <family val="2"/>
          </rPr>
          <t>HIDE ROW IF NOT USED</t>
        </r>
        <r>
          <rPr>
            <sz val="9"/>
            <color indexed="81"/>
            <rFont val="Tahoma"/>
            <family val="2"/>
          </rPr>
          <t xml:space="preserve">
</t>
        </r>
      </text>
    </comment>
    <comment ref="H94" authorId="0" shapeId="0">
      <text>
        <r>
          <rPr>
            <b/>
            <sz val="9"/>
            <color indexed="81"/>
            <rFont val="Tahoma"/>
            <family val="2"/>
          </rPr>
          <t>HIDE ROW IF NOT USED</t>
        </r>
        <r>
          <rPr>
            <sz val="9"/>
            <color indexed="81"/>
            <rFont val="Tahoma"/>
            <family val="2"/>
          </rPr>
          <t xml:space="preserve">
</t>
        </r>
      </text>
    </comment>
    <comment ref="H95" authorId="0" shapeId="0">
      <text>
        <r>
          <rPr>
            <b/>
            <sz val="9"/>
            <color indexed="81"/>
            <rFont val="Tahoma"/>
            <family val="2"/>
          </rPr>
          <t>HIDE ROW IF NOT USED</t>
        </r>
        <r>
          <rPr>
            <sz val="9"/>
            <color indexed="81"/>
            <rFont val="Tahoma"/>
            <family val="2"/>
          </rPr>
          <t xml:space="preserve">
</t>
        </r>
      </text>
    </comment>
    <comment ref="H96" authorId="0" shapeId="0">
      <text>
        <r>
          <rPr>
            <b/>
            <sz val="9"/>
            <color indexed="81"/>
            <rFont val="Tahoma"/>
            <family val="2"/>
          </rPr>
          <t>HIDE ROW IF NOT USED</t>
        </r>
        <r>
          <rPr>
            <sz val="9"/>
            <color indexed="81"/>
            <rFont val="Tahoma"/>
            <family val="2"/>
          </rPr>
          <t xml:space="preserve">
</t>
        </r>
      </text>
    </comment>
    <comment ref="H97" authorId="0" shapeId="0">
      <text>
        <r>
          <rPr>
            <b/>
            <sz val="9"/>
            <color indexed="81"/>
            <rFont val="Tahoma"/>
            <family val="2"/>
          </rPr>
          <t>HIDE ROW IF NOT USED</t>
        </r>
        <r>
          <rPr>
            <sz val="9"/>
            <color indexed="81"/>
            <rFont val="Tahoma"/>
            <family val="2"/>
          </rPr>
          <t xml:space="preserve">
</t>
        </r>
      </text>
    </comment>
    <comment ref="H98" authorId="0" shapeId="0">
      <text>
        <r>
          <rPr>
            <b/>
            <sz val="9"/>
            <color indexed="81"/>
            <rFont val="Tahoma"/>
            <family val="2"/>
          </rPr>
          <t>HIDE ROW IF NOT USED</t>
        </r>
        <r>
          <rPr>
            <sz val="9"/>
            <color indexed="81"/>
            <rFont val="Tahoma"/>
            <family val="2"/>
          </rPr>
          <t xml:space="preserve">
</t>
        </r>
      </text>
    </comment>
    <comment ref="H99" authorId="0" shapeId="0">
      <text>
        <r>
          <rPr>
            <b/>
            <sz val="9"/>
            <color indexed="81"/>
            <rFont val="Tahoma"/>
            <family val="2"/>
          </rPr>
          <t>HIDE ROW IF NOT USED</t>
        </r>
        <r>
          <rPr>
            <sz val="9"/>
            <color indexed="81"/>
            <rFont val="Tahoma"/>
            <family val="2"/>
          </rPr>
          <t xml:space="preserve">
</t>
        </r>
      </text>
    </comment>
    <comment ref="H100" authorId="0" shapeId="0">
      <text>
        <r>
          <rPr>
            <b/>
            <sz val="9"/>
            <color indexed="81"/>
            <rFont val="Tahoma"/>
            <family val="2"/>
          </rPr>
          <t>HIDE ROW IF NOT USED</t>
        </r>
        <r>
          <rPr>
            <sz val="9"/>
            <color indexed="81"/>
            <rFont val="Tahoma"/>
            <family val="2"/>
          </rPr>
          <t xml:space="preserve">
</t>
        </r>
      </text>
    </comment>
    <comment ref="H101" authorId="0" shapeId="0">
      <text>
        <r>
          <rPr>
            <b/>
            <sz val="9"/>
            <color indexed="81"/>
            <rFont val="Tahoma"/>
            <family val="2"/>
          </rPr>
          <t>HIDE ROW IF NOT USED</t>
        </r>
        <r>
          <rPr>
            <sz val="9"/>
            <color indexed="81"/>
            <rFont val="Tahoma"/>
            <family val="2"/>
          </rPr>
          <t xml:space="preserve">
</t>
        </r>
      </text>
    </comment>
    <comment ref="H102" authorId="0" shapeId="0">
      <text>
        <r>
          <rPr>
            <b/>
            <sz val="9"/>
            <color indexed="81"/>
            <rFont val="Tahoma"/>
            <family val="2"/>
          </rPr>
          <t>HIDE ROW IF NOT USED</t>
        </r>
        <r>
          <rPr>
            <sz val="9"/>
            <color indexed="81"/>
            <rFont val="Tahoma"/>
            <family val="2"/>
          </rPr>
          <t xml:space="preserve">
</t>
        </r>
      </text>
    </comment>
    <comment ref="H103" authorId="0" shapeId="0">
      <text>
        <r>
          <rPr>
            <b/>
            <sz val="9"/>
            <color indexed="81"/>
            <rFont val="Tahoma"/>
            <family val="2"/>
          </rPr>
          <t>HIDE ROW IF NOT USED</t>
        </r>
        <r>
          <rPr>
            <sz val="9"/>
            <color indexed="81"/>
            <rFont val="Tahoma"/>
            <family val="2"/>
          </rPr>
          <t xml:space="preserve">
</t>
        </r>
      </text>
    </comment>
    <comment ref="H104" authorId="0" shapeId="0">
      <text>
        <r>
          <rPr>
            <b/>
            <sz val="9"/>
            <color indexed="81"/>
            <rFont val="Tahoma"/>
            <family val="2"/>
          </rPr>
          <t>HIDE ROW IF NOT USED</t>
        </r>
        <r>
          <rPr>
            <sz val="9"/>
            <color indexed="81"/>
            <rFont val="Tahoma"/>
            <family val="2"/>
          </rPr>
          <t xml:space="preserve">
</t>
        </r>
      </text>
    </comment>
    <comment ref="H105" authorId="0" shapeId="0">
      <text>
        <r>
          <rPr>
            <b/>
            <sz val="9"/>
            <color indexed="81"/>
            <rFont val="Tahoma"/>
            <family val="2"/>
          </rPr>
          <t>HIDE ROW IF NOT USED</t>
        </r>
        <r>
          <rPr>
            <sz val="9"/>
            <color indexed="81"/>
            <rFont val="Tahoma"/>
            <family val="2"/>
          </rPr>
          <t xml:space="preserve">
</t>
        </r>
      </text>
    </comment>
    <comment ref="H106" authorId="0" shapeId="0">
      <text>
        <r>
          <rPr>
            <b/>
            <sz val="9"/>
            <color indexed="81"/>
            <rFont val="Tahoma"/>
            <family val="2"/>
          </rPr>
          <t>HIDE ROW IF NOT USED</t>
        </r>
        <r>
          <rPr>
            <sz val="9"/>
            <color indexed="81"/>
            <rFont val="Tahoma"/>
            <family val="2"/>
          </rPr>
          <t xml:space="preserve">
</t>
        </r>
      </text>
    </comment>
    <comment ref="H107" authorId="0" shapeId="0">
      <text>
        <r>
          <rPr>
            <b/>
            <sz val="9"/>
            <color indexed="81"/>
            <rFont val="Tahoma"/>
            <family val="2"/>
          </rPr>
          <t>HIDE ROW IF NOT USED</t>
        </r>
        <r>
          <rPr>
            <sz val="9"/>
            <color indexed="81"/>
            <rFont val="Tahoma"/>
            <family val="2"/>
          </rPr>
          <t xml:space="preserve">
</t>
        </r>
      </text>
    </comment>
    <comment ref="H108" authorId="0" shapeId="0">
      <text>
        <r>
          <rPr>
            <b/>
            <sz val="9"/>
            <color indexed="81"/>
            <rFont val="Tahoma"/>
            <family val="2"/>
          </rPr>
          <t>HIDE ROW IF NOT USED</t>
        </r>
        <r>
          <rPr>
            <sz val="9"/>
            <color indexed="81"/>
            <rFont val="Tahoma"/>
            <family val="2"/>
          </rPr>
          <t xml:space="preserve">
</t>
        </r>
      </text>
    </comment>
    <comment ref="H109" authorId="0" shapeId="0">
      <text>
        <r>
          <rPr>
            <b/>
            <sz val="9"/>
            <color indexed="81"/>
            <rFont val="Tahoma"/>
            <family val="2"/>
          </rPr>
          <t>HIDE ROW IF NOT USED</t>
        </r>
        <r>
          <rPr>
            <sz val="9"/>
            <color indexed="81"/>
            <rFont val="Tahoma"/>
            <family val="2"/>
          </rPr>
          <t xml:space="preserve">
</t>
        </r>
      </text>
    </comment>
    <comment ref="H110" authorId="0" shapeId="0">
      <text>
        <r>
          <rPr>
            <b/>
            <sz val="9"/>
            <color indexed="81"/>
            <rFont val="Tahoma"/>
            <family val="2"/>
          </rPr>
          <t>HIDE ROW IF NOT USED</t>
        </r>
        <r>
          <rPr>
            <sz val="9"/>
            <color indexed="81"/>
            <rFont val="Tahoma"/>
            <family val="2"/>
          </rPr>
          <t xml:space="preserve">
</t>
        </r>
      </text>
    </comment>
    <comment ref="H111" authorId="0" shapeId="0">
      <text>
        <r>
          <rPr>
            <b/>
            <sz val="9"/>
            <color indexed="81"/>
            <rFont val="Tahoma"/>
            <family val="2"/>
          </rPr>
          <t>HIDE ROW IF NOT USED</t>
        </r>
        <r>
          <rPr>
            <sz val="9"/>
            <color indexed="81"/>
            <rFont val="Tahoma"/>
            <family val="2"/>
          </rPr>
          <t xml:space="preserve">
</t>
        </r>
      </text>
    </comment>
    <comment ref="H112" authorId="0" shapeId="0">
      <text>
        <r>
          <rPr>
            <b/>
            <sz val="9"/>
            <color indexed="81"/>
            <rFont val="Tahoma"/>
            <family val="2"/>
          </rPr>
          <t>HIDE ROW IF NOT USED</t>
        </r>
        <r>
          <rPr>
            <sz val="9"/>
            <color indexed="81"/>
            <rFont val="Tahoma"/>
            <family val="2"/>
          </rPr>
          <t xml:space="preserve">
</t>
        </r>
      </text>
    </comment>
    <comment ref="H113" authorId="0" shapeId="0">
      <text>
        <r>
          <rPr>
            <b/>
            <sz val="9"/>
            <color indexed="81"/>
            <rFont val="Tahoma"/>
            <family val="2"/>
          </rPr>
          <t>HIDE ROW IF NOT USED</t>
        </r>
        <r>
          <rPr>
            <sz val="9"/>
            <color indexed="81"/>
            <rFont val="Tahoma"/>
            <family val="2"/>
          </rPr>
          <t xml:space="preserve">
</t>
        </r>
      </text>
    </comment>
    <comment ref="H114" authorId="0" shapeId="0">
      <text>
        <r>
          <rPr>
            <b/>
            <sz val="9"/>
            <color indexed="81"/>
            <rFont val="Tahoma"/>
            <family val="2"/>
          </rPr>
          <t>HIDE ROW IF NOT USED</t>
        </r>
        <r>
          <rPr>
            <sz val="9"/>
            <color indexed="81"/>
            <rFont val="Tahoma"/>
            <family val="2"/>
          </rPr>
          <t xml:space="preserve">
</t>
        </r>
      </text>
    </comment>
    <comment ref="H115" authorId="0" shapeId="0">
      <text>
        <r>
          <rPr>
            <b/>
            <sz val="9"/>
            <color indexed="81"/>
            <rFont val="Tahoma"/>
            <family val="2"/>
          </rPr>
          <t>HIDE ROW IF NOT USED</t>
        </r>
        <r>
          <rPr>
            <sz val="9"/>
            <color indexed="81"/>
            <rFont val="Tahoma"/>
            <family val="2"/>
          </rPr>
          <t xml:space="preserve">
</t>
        </r>
      </text>
    </comment>
    <comment ref="H116" authorId="0" shapeId="0">
      <text>
        <r>
          <rPr>
            <b/>
            <sz val="9"/>
            <color indexed="81"/>
            <rFont val="Tahoma"/>
            <family val="2"/>
          </rPr>
          <t>HIDE ROW IF NOT USED</t>
        </r>
        <r>
          <rPr>
            <sz val="9"/>
            <color indexed="81"/>
            <rFont val="Tahoma"/>
            <family val="2"/>
          </rPr>
          <t xml:space="preserve">
</t>
        </r>
      </text>
    </comment>
    <comment ref="H117" authorId="0" shapeId="0">
      <text>
        <r>
          <rPr>
            <b/>
            <sz val="9"/>
            <color indexed="81"/>
            <rFont val="Tahoma"/>
            <family val="2"/>
          </rPr>
          <t>HIDE ROW IF NOT USED</t>
        </r>
        <r>
          <rPr>
            <sz val="9"/>
            <color indexed="81"/>
            <rFont val="Tahoma"/>
            <family val="2"/>
          </rPr>
          <t xml:space="preserve">
</t>
        </r>
      </text>
    </comment>
    <comment ref="H118" authorId="0" shapeId="0">
      <text>
        <r>
          <rPr>
            <b/>
            <sz val="9"/>
            <color indexed="81"/>
            <rFont val="Tahoma"/>
            <family val="2"/>
          </rPr>
          <t>HIDE ROW IF NOT USED</t>
        </r>
        <r>
          <rPr>
            <sz val="9"/>
            <color indexed="81"/>
            <rFont val="Tahoma"/>
            <family val="2"/>
          </rPr>
          <t xml:space="preserve">
</t>
        </r>
      </text>
    </comment>
    <comment ref="H119" authorId="0" shapeId="0">
      <text>
        <r>
          <rPr>
            <b/>
            <sz val="9"/>
            <color indexed="81"/>
            <rFont val="Tahoma"/>
            <family val="2"/>
          </rPr>
          <t>HIDE ROW IF NOT USED</t>
        </r>
        <r>
          <rPr>
            <sz val="9"/>
            <color indexed="81"/>
            <rFont val="Tahoma"/>
            <family val="2"/>
          </rPr>
          <t xml:space="preserve">
</t>
        </r>
      </text>
    </comment>
    <comment ref="H120" authorId="0" shapeId="0">
      <text>
        <r>
          <rPr>
            <b/>
            <sz val="9"/>
            <color indexed="81"/>
            <rFont val="Tahoma"/>
            <family val="2"/>
          </rPr>
          <t>HIDE ROW IF NOT USED</t>
        </r>
        <r>
          <rPr>
            <sz val="9"/>
            <color indexed="81"/>
            <rFont val="Tahoma"/>
            <family val="2"/>
          </rPr>
          <t xml:space="preserve">
</t>
        </r>
      </text>
    </comment>
    <comment ref="H121" authorId="0" shapeId="0">
      <text>
        <r>
          <rPr>
            <b/>
            <sz val="9"/>
            <color indexed="81"/>
            <rFont val="Tahoma"/>
            <family val="2"/>
          </rPr>
          <t>HIDE ROW IF NOT USED</t>
        </r>
        <r>
          <rPr>
            <sz val="9"/>
            <color indexed="81"/>
            <rFont val="Tahoma"/>
            <family val="2"/>
          </rPr>
          <t xml:space="preserve">
</t>
        </r>
      </text>
    </comment>
    <comment ref="H122" authorId="0" shapeId="0">
      <text>
        <r>
          <rPr>
            <b/>
            <sz val="9"/>
            <color indexed="81"/>
            <rFont val="Tahoma"/>
            <family val="2"/>
          </rPr>
          <t>HIDE ROW IF NOT USED</t>
        </r>
        <r>
          <rPr>
            <sz val="9"/>
            <color indexed="81"/>
            <rFont val="Tahoma"/>
            <family val="2"/>
          </rPr>
          <t xml:space="preserve">
</t>
        </r>
      </text>
    </comment>
    <comment ref="H123" authorId="0" shapeId="0">
      <text>
        <r>
          <rPr>
            <b/>
            <sz val="9"/>
            <color indexed="81"/>
            <rFont val="Tahoma"/>
            <family val="2"/>
          </rPr>
          <t>HIDE ROW IF NOT USED</t>
        </r>
        <r>
          <rPr>
            <sz val="9"/>
            <color indexed="81"/>
            <rFont val="Tahoma"/>
            <family val="2"/>
          </rPr>
          <t xml:space="preserve">
</t>
        </r>
      </text>
    </comment>
    <comment ref="H124" authorId="0" shapeId="0">
      <text>
        <r>
          <rPr>
            <b/>
            <sz val="9"/>
            <color indexed="81"/>
            <rFont val="Tahoma"/>
            <family val="2"/>
          </rPr>
          <t>HIDE ROW IF NOT USED</t>
        </r>
        <r>
          <rPr>
            <sz val="9"/>
            <color indexed="81"/>
            <rFont val="Tahoma"/>
            <family val="2"/>
          </rPr>
          <t xml:space="preserve">
</t>
        </r>
      </text>
    </comment>
    <comment ref="H125" authorId="0" shapeId="0">
      <text>
        <r>
          <rPr>
            <b/>
            <sz val="9"/>
            <color indexed="81"/>
            <rFont val="Tahoma"/>
            <family val="2"/>
          </rPr>
          <t>HIDE ROW IF NOT USED</t>
        </r>
        <r>
          <rPr>
            <sz val="9"/>
            <color indexed="81"/>
            <rFont val="Tahoma"/>
            <family val="2"/>
          </rPr>
          <t xml:space="preserve">
</t>
        </r>
      </text>
    </comment>
    <comment ref="H126" authorId="0" shapeId="0">
      <text>
        <r>
          <rPr>
            <b/>
            <sz val="9"/>
            <color indexed="81"/>
            <rFont val="Tahoma"/>
            <family val="2"/>
          </rPr>
          <t>HIDE ROW IF NOT USED</t>
        </r>
        <r>
          <rPr>
            <sz val="9"/>
            <color indexed="81"/>
            <rFont val="Tahoma"/>
            <family val="2"/>
          </rPr>
          <t xml:space="preserve">
</t>
        </r>
      </text>
    </comment>
    <comment ref="H127" authorId="0" shapeId="0">
      <text>
        <r>
          <rPr>
            <b/>
            <sz val="9"/>
            <color indexed="81"/>
            <rFont val="Tahoma"/>
            <family val="2"/>
          </rPr>
          <t>HIDE ROW IF NOT USED</t>
        </r>
        <r>
          <rPr>
            <sz val="9"/>
            <color indexed="81"/>
            <rFont val="Tahoma"/>
            <family val="2"/>
          </rPr>
          <t xml:space="preserve">
</t>
        </r>
      </text>
    </comment>
    <comment ref="H128" authorId="0" shapeId="0">
      <text>
        <r>
          <rPr>
            <b/>
            <sz val="9"/>
            <color indexed="81"/>
            <rFont val="Tahoma"/>
            <family val="2"/>
          </rPr>
          <t>HIDE ROW IF NOT USED</t>
        </r>
        <r>
          <rPr>
            <sz val="9"/>
            <color indexed="81"/>
            <rFont val="Tahoma"/>
            <family val="2"/>
          </rPr>
          <t xml:space="preserve">
</t>
        </r>
      </text>
    </comment>
    <comment ref="H129" authorId="0" shapeId="0">
      <text>
        <r>
          <rPr>
            <b/>
            <sz val="9"/>
            <color indexed="81"/>
            <rFont val="Tahoma"/>
            <family val="2"/>
          </rPr>
          <t>HIDE ROW IF NOT USED</t>
        </r>
        <r>
          <rPr>
            <sz val="9"/>
            <color indexed="81"/>
            <rFont val="Tahoma"/>
            <family val="2"/>
          </rPr>
          <t xml:space="preserve">
</t>
        </r>
      </text>
    </comment>
    <comment ref="H130" authorId="0" shapeId="0">
      <text>
        <r>
          <rPr>
            <b/>
            <sz val="9"/>
            <color indexed="81"/>
            <rFont val="Tahoma"/>
            <family val="2"/>
          </rPr>
          <t>HIDE ROW IF NOT USED</t>
        </r>
        <r>
          <rPr>
            <sz val="9"/>
            <color indexed="81"/>
            <rFont val="Tahoma"/>
            <family val="2"/>
          </rPr>
          <t xml:space="preserve">
</t>
        </r>
      </text>
    </comment>
    <comment ref="H131" authorId="0" shapeId="0">
      <text>
        <r>
          <rPr>
            <b/>
            <sz val="9"/>
            <color indexed="81"/>
            <rFont val="Tahoma"/>
            <family val="2"/>
          </rPr>
          <t>HIDE ROW IF NOT USED</t>
        </r>
        <r>
          <rPr>
            <sz val="9"/>
            <color indexed="81"/>
            <rFont val="Tahoma"/>
            <family val="2"/>
          </rPr>
          <t xml:space="preserve">
</t>
        </r>
      </text>
    </comment>
    <comment ref="H132" authorId="0" shapeId="0">
      <text>
        <r>
          <rPr>
            <b/>
            <sz val="9"/>
            <color indexed="81"/>
            <rFont val="Tahoma"/>
            <family val="2"/>
          </rPr>
          <t>HIDE ROW IF NOT USED</t>
        </r>
        <r>
          <rPr>
            <sz val="9"/>
            <color indexed="81"/>
            <rFont val="Tahoma"/>
            <family val="2"/>
          </rPr>
          <t xml:space="preserve">
</t>
        </r>
      </text>
    </comment>
    <comment ref="H133" authorId="0" shapeId="0">
      <text>
        <r>
          <rPr>
            <b/>
            <sz val="9"/>
            <color indexed="81"/>
            <rFont val="Tahoma"/>
            <family val="2"/>
          </rPr>
          <t>HIDE ROW IF NOT USED</t>
        </r>
        <r>
          <rPr>
            <sz val="9"/>
            <color indexed="81"/>
            <rFont val="Tahoma"/>
            <family val="2"/>
          </rPr>
          <t xml:space="preserve">
</t>
        </r>
      </text>
    </comment>
    <comment ref="H134" authorId="0" shapeId="0">
      <text>
        <r>
          <rPr>
            <b/>
            <sz val="9"/>
            <color indexed="81"/>
            <rFont val="Tahoma"/>
            <family val="2"/>
          </rPr>
          <t>HIDE ROW IF NOT USED</t>
        </r>
        <r>
          <rPr>
            <sz val="9"/>
            <color indexed="81"/>
            <rFont val="Tahoma"/>
            <family val="2"/>
          </rPr>
          <t xml:space="preserve">
</t>
        </r>
      </text>
    </comment>
    <comment ref="H135" authorId="0" shapeId="0">
      <text>
        <r>
          <rPr>
            <b/>
            <sz val="9"/>
            <color indexed="81"/>
            <rFont val="Tahoma"/>
            <family val="2"/>
          </rPr>
          <t>HIDE ROW IF NOT USED</t>
        </r>
        <r>
          <rPr>
            <sz val="9"/>
            <color indexed="81"/>
            <rFont val="Tahoma"/>
            <family val="2"/>
          </rPr>
          <t xml:space="preserve">
</t>
        </r>
      </text>
    </comment>
    <comment ref="H136" authorId="0" shapeId="0">
      <text>
        <r>
          <rPr>
            <b/>
            <sz val="9"/>
            <color indexed="81"/>
            <rFont val="Tahoma"/>
            <family val="2"/>
          </rPr>
          <t>HIDE ROW IF NOT USED</t>
        </r>
        <r>
          <rPr>
            <sz val="9"/>
            <color indexed="81"/>
            <rFont val="Tahoma"/>
            <family val="2"/>
          </rPr>
          <t xml:space="preserve">
</t>
        </r>
      </text>
    </comment>
    <comment ref="H137" authorId="0" shapeId="0">
      <text>
        <r>
          <rPr>
            <b/>
            <sz val="9"/>
            <color indexed="81"/>
            <rFont val="Tahoma"/>
            <family val="2"/>
          </rPr>
          <t>HIDE ROW IF NOT USED</t>
        </r>
        <r>
          <rPr>
            <sz val="9"/>
            <color indexed="81"/>
            <rFont val="Tahoma"/>
            <family val="2"/>
          </rPr>
          <t xml:space="preserve">
</t>
        </r>
      </text>
    </comment>
    <comment ref="H138" authorId="0" shapeId="0">
      <text>
        <r>
          <rPr>
            <b/>
            <sz val="9"/>
            <color indexed="81"/>
            <rFont val="Tahoma"/>
            <family val="2"/>
          </rPr>
          <t>HIDE ROW IF NOT USED</t>
        </r>
        <r>
          <rPr>
            <sz val="9"/>
            <color indexed="81"/>
            <rFont val="Tahoma"/>
            <family val="2"/>
          </rPr>
          <t xml:space="preserve">
</t>
        </r>
      </text>
    </comment>
    <comment ref="H139" authorId="0" shapeId="0">
      <text>
        <r>
          <rPr>
            <b/>
            <sz val="9"/>
            <color indexed="81"/>
            <rFont val="Tahoma"/>
            <family val="2"/>
          </rPr>
          <t>HIDE ROW IF NOT USED</t>
        </r>
        <r>
          <rPr>
            <sz val="9"/>
            <color indexed="81"/>
            <rFont val="Tahoma"/>
            <family val="2"/>
          </rPr>
          <t xml:space="preserve">
</t>
        </r>
      </text>
    </comment>
    <comment ref="H140" authorId="0" shapeId="0">
      <text>
        <r>
          <rPr>
            <b/>
            <sz val="9"/>
            <color indexed="81"/>
            <rFont val="Tahoma"/>
            <family val="2"/>
          </rPr>
          <t>HIDE ROW IF NOT USED</t>
        </r>
        <r>
          <rPr>
            <sz val="9"/>
            <color indexed="81"/>
            <rFont val="Tahoma"/>
            <family val="2"/>
          </rPr>
          <t xml:space="preserve">
</t>
        </r>
      </text>
    </comment>
    <comment ref="H141" authorId="0" shapeId="0">
      <text>
        <r>
          <rPr>
            <b/>
            <sz val="9"/>
            <color indexed="81"/>
            <rFont val="Tahoma"/>
            <family val="2"/>
          </rPr>
          <t>HIDE ROW IF NOT USED</t>
        </r>
        <r>
          <rPr>
            <sz val="9"/>
            <color indexed="81"/>
            <rFont val="Tahoma"/>
            <family val="2"/>
          </rPr>
          <t xml:space="preserve">
</t>
        </r>
      </text>
    </comment>
    <comment ref="H142" authorId="0" shapeId="0">
      <text>
        <r>
          <rPr>
            <b/>
            <sz val="9"/>
            <color indexed="81"/>
            <rFont val="Tahoma"/>
            <family val="2"/>
          </rPr>
          <t>HIDE ROW IF NOT USED</t>
        </r>
        <r>
          <rPr>
            <sz val="9"/>
            <color indexed="81"/>
            <rFont val="Tahoma"/>
            <family val="2"/>
          </rPr>
          <t xml:space="preserve">
</t>
        </r>
      </text>
    </comment>
    <comment ref="H143" authorId="0" shapeId="0">
      <text>
        <r>
          <rPr>
            <b/>
            <sz val="9"/>
            <color indexed="81"/>
            <rFont val="Tahoma"/>
            <family val="2"/>
          </rPr>
          <t>HIDE ROW IF NOT USED</t>
        </r>
        <r>
          <rPr>
            <sz val="9"/>
            <color indexed="81"/>
            <rFont val="Tahoma"/>
            <family val="2"/>
          </rPr>
          <t xml:space="preserve">
</t>
        </r>
      </text>
    </comment>
    <comment ref="H144" authorId="0" shapeId="0">
      <text>
        <r>
          <rPr>
            <b/>
            <sz val="9"/>
            <color indexed="81"/>
            <rFont val="Tahoma"/>
            <family val="2"/>
          </rPr>
          <t>HIDE ROW IF NOT USED</t>
        </r>
        <r>
          <rPr>
            <sz val="9"/>
            <color indexed="81"/>
            <rFont val="Tahoma"/>
            <family val="2"/>
          </rPr>
          <t xml:space="preserve">
</t>
        </r>
      </text>
    </comment>
    <comment ref="H145" authorId="0" shapeId="0">
      <text>
        <r>
          <rPr>
            <b/>
            <sz val="9"/>
            <color indexed="81"/>
            <rFont val="Tahoma"/>
            <family val="2"/>
          </rPr>
          <t>HIDE ROW IF NOT USED</t>
        </r>
        <r>
          <rPr>
            <sz val="9"/>
            <color indexed="81"/>
            <rFont val="Tahoma"/>
            <family val="2"/>
          </rPr>
          <t xml:space="preserve">
</t>
        </r>
      </text>
    </comment>
    <comment ref="H146" authorId="0" shapeId="0">
      <text>
        <r>
          <rPr>
            <b/>
            <sz val="9"/>
            <color indexed="81"/>
            <rFont val="Tahoma"/>
            <family val="2"/>
          </rPr>
          <t>HIDE ROW IF NOT USED</t>
        </r>
        <r>
          <rPr>
            <sz val="9"/>
            <color indexed="81"/>
            <rFont val="Tahoma"/>
            <family val="2"/>
          </rPr>
          <t xml:space="preserve">
</t>
        </r>
      </text>
    </comment>
    <comment ref="H147" authorId="0" shapeId="0">
      <text>
        <r>
          <rPr>
            <b/>
            <sz val="9"/>
            <color indexed="81"/>
            <rFont val="Tahoma"/>
            <family val="2"/>
          </rPr>
          <t>HIDE ROW IF NOT USED</t>
        </r>
        <r>
          <rPr>
            <sz val="9"/>
            <color indexed="81"/>
            <rFont val="Tahoma"/>
            <family val="2"/>
          </rPr>
          <t xml:space="preserve">
</t>
        </r>
      </text>
    </comment>
    <comment ref="H148" authorId="0" shapeId="0">
      <text>
        <r>
          <rPr>
            <b/>
            <sz val="9"/>
            <color indexed="81"/>
            <rFont val="Tahoma"/>
            <family val="2"/>
          </rPr>
          <t>HIDE ROW IF NOT USED</t>
        </r>
        <r>
          <rPr>
            <sz val="9"/>
            <color indexed="81"/>
            <rFont val="Tahoma"/>
            <family val="2"/>
          </rPr>
          <t xml:space="preserve">
</t>
        </r>
      </text>
    </comment>
    <comment ref="H149" authorId="0" shapeId="0">
      <text>
        <r>
          <rPr>
            <b/>
            <sz val="9"/>
            <color indexed="81"/>
            <rFont val="Tahoma"/>
            <family val="2"/>
          </rPr>
          <t>HIDE ROW IF NOT USED</t>
        </r>
        <r>
          <rPr>
            <sz val="9"/>
            <color indexed="81"/>
            <rFont val="Tahoma"/>
            <family val="2"/>
          </rPr>
          <t xml:space="preserve">
</t>
        </r>
      </text>
    </comment>
    <comment ref="H150" authorId="0" shapeId="0">
      <text>
        <r>
          <rPr>
            <b/>
            <sz val="9"/>
            <color indexed="81"/>
            <rFont val="Tahoma"/>
            <family val="2"/>
          </rPr>
          <t>HIDE ROW IF NOT USED</t>
        </r>
        <r>
          <rPr>
            <sz val="9"/>
            <color indexed="81"/>
            <rFont val="Tahoma"/>
            <family val="2"/>
          </rPr>
          <t xml:space="preserve">
</t>
        </r>
      </text>
    </comment>
    <comment ref="H151" authorId="0" shapeId="0">
      <text>
        <r>
          <rPr>
            <b/>
            <sz val="9"/>
            <color indexed="81"/>
            <rFont val="Tahoma"/>
            <family val="2"/>
          </rPr>
          <t>HIDE ROW IF NOT USED</t>
        </r>
        <r>
          <rPr>
            <sz val="9"/>
            <color indexed="81"/>
            <rFont val="Tahoma"/>
            <family val="2"/>
          </rPr>
          <t xml:space="preserve">
</t>
        </r>
      </text>
    </comment>
    <comment ref="H152" authorId="0" shapeId="0">
      <text>
        <r>
          <rPr>
            <b/>
            <sz val="9"/>
            <color indexed="81"/>
            <rFont val="Tahoma"/>
            <family val="2"/>
          </rPr>
          <t>HIDE ROW IF NOT USED</t>
        </r>
        <r>
          <rPr>
            <sz val="9"/>
            <color indexed="81"/>
            <rFont val="Tahoma"/>
            <family val="2"/>
          </rPr>
          <t xml:space="preserve">
</t>
        </r>
      </text>
    </comment>
    <comment ref="H153" authorId="0" shapeId="0">
      <text>
        <r>
          <rPr>
            <b/>
            <sz val="9"/>
            <color indexed="81"/>
            <rFont val="Tahoma"/>
            <family val="2"/>
          </rPr>
          <t>HIDE ROW IF NOT USED</t>
        </r>
        <r>
          <rPr>
            <sz val="9"/>
            <color indexed="81"/>
            <rFont val="Tahoma"/>
            <family val="2"/>
          </rPr>
          <t xml:space="preserve">
</t>
        </r>
      </text>
    </comment>
    <comment ref="H154" authorId="0" shapeId="0">
      <text>
        <r>
          <rPr>
            <b/>
            <sz val="9"/>
            <color indexed="81"/>
            <rFont val="Tahoma"/>
            <family val="2"/>
          </rPr>
          <t>HIDE ROW IF NOT USED</t>
        </r>
        <r>
          <rPr>
            <sz val="9"/>
            <color indexed="81"/>
            <rFont val="Tahoma"/>
            <family val="2"/>
          </rPr>
          <t xml:space="preserve">
</t>
        </r>
      </text>
    </comment>
    <comment ref="H155" authorId="0" shapeId="0">
      <text>
        <r>
          <rPr>
            <b/>
            <sz val="9"/>
            <color indexed="81"/>
            <rFont val="Tahoma"/>
            <family val="2"/>
          </rPr>
          <t>HIDE ROW IF NOT USED</t>
        </r>
        <r>
          <rPr>
            <sz val="9"/>
            <color indexed="81"/>
            <rFont val="Tahoma"/>
            <family val="2"/>
          </rPr>
          <t xml:space="preserve">
</t>
        </r>
      </text>
    </comment>
    <comment ref="H156" authorId="0" shapeId="0">
      <text>
        <r>
          <rPr>
            <b/>
            <sz val="9"/>
            <color indexed="81"/>
            <rFont val="Tahoma"/>
            <family val="2"/>
          </rPr>
          <t>HIDE ROW IF NOT USED</t>
        </r>
        <r>
          <rPr>
            <sz val="9"/>
            <color indexed="81"/>
            <rFont val="Tahoma"/>
            <family val="2"/>
          </rPr>
          <t xml:space="preserve">
</t>
        </r>
      </text>
    </comment>
    <comment ref="H157" authorId="0" shapeId="0">
      <text>
        <r>
          <rPr>
            <b/>
            <sz val="9"/>
            <color indexed="81"/>
            <rFont val="Tahoma"/>
            <family val="2"/>
          </rPr>
          <t>HIDE ROW IF NOT USED</t>
        </r>
        <r>
          <rPr>
            <sz val="9"/>
            <color indexed="81"/>
            <rFont val="Tahoma"/>
            <family val="2"/>
          </rPr>
          <t xml:space="preserve">
</t>
        </r>
      </text>
    </comment>
    <comment ref="H158" authorId="0" shapeId="0">
      <text>
        <r>
          <rPr>
            <b/>
            <sz val="9"/>
            <color indexed="81"/>
            <rFont val="Tahoma"/>
            <family val="2"/>
          </rPr>
          <t>HIDE ROW IF NOT USED</t>
        </r>
        <r>
          <rPr>
            <sz val="9"/>
            <color indexed="81"/>
            <rFont val="Tahoma"/>
            <family val="2"/>
          </rPr>
          <t xml:space="preserve">
</t>
        </r>
      </text>
    </comment>
    <comment ref="H159" authorId="0" shapeId="0">
      <text>
        <r>
          <rPr>
            <b/>
            <sz val="9"/>
            <color indexed="81"/>
            <rFont val="Tahoma"/>
            <family val="2"/>
          </rPr>
          <t>HIDE ROW IF NOT USED</t>
        </r>
        <r>
          <rPr>
            <sz val="9"/>
            <color indexed="81"/>
            <rFont val="Tahoma"/>
            <family val="2"/>
          </rPr>
          <t xml:space="preserve">
</t>
        </r>
      </text>
    </comment>
    <comment ref="H160" authorId="0" shapeId="0">
      <text>
        <r>
          <rPr>
            <b/>
            <sz val="9"/>
            <color indexed="81"/>
            <rFont val="Tahoma"/>
            <family val="2"/>
          </rPr>
          <t>HIDE ROW IF NOT USED</t>
        </r>
        <r>
          <rPr>
            <sz val="9"/>
            <color indexed="81"/>
            <rFont val="Tahoma"/>
            <family val="2"/>
          </rPr>
          <t xml:space="preserve">
</t>
        </r>
      </text>
    </comment>
    <comment ref="H161" authorId="0" shapeId="0">
      <text>
        <r>
          <rPr>
            <b/>
            <sz val="9"/>
            <color indexed="81"/>
            <rFont val="Tahoma"/>
            <family val="2"/>
          </rPr>
          <t>HIDE ROW IF NOT USED</t>
        </r>
        <r>
          <rPr>
            <sz val="9"/>
            <color indexed="81"/>
            <rFont val="Tahoma"/>
            <family val="2"/>
          </rPr>
          <t xml:space="preserve">
</t>
        </r>
      </text>
    </comment>
    <comment ref="H162" authorId="0" shapeId="0">
      <text>
        <r>
          <rPr>
            <b/>
            <sz val="9"/>
            <color indexed="81"/>
            <rFont val="Tahoma"/>
            <family val="2"/>
          </rPr>
          <t>HIDE ROW IF NOT USED</t>
        </r>
        <r>
          <rPr>
            <sz val="9"/>
            <color indexed="81"/>
            <rFont val="Tahoma"/>
            <family val="2"/>
          </rPr>
          <t xml:space="preserve">
</t>
        </r>
      </text>
    </comment>
    <comment ref="H163" authorId="0" shapeId="0">
      <text>
        <r>
          <rPr>
            <b/>
            <sz val="9"/>
            <color indexed="81"/>
            <rFont val="Tahoma"/>
            <family val="2"/>
          </rPr>
          <t>HIDE ROW IF NOT USED</t>
        </r>
        <r>
          <rPr>
            <sz val="9"/>
            <color indexed="81"/>
            <rFont val="Tahoma"/>
            <family val="2"/>
          </rPr>
          <t xml:space="preserve">
</t>
        </r>
      </text>
    </comment>
    <comment ref="H164" authorId="0" shapeId="0">
      <text>
        <r>
          <rPr>
            <b/>
            <sz val="9"/>
            <color indexed="81"/>
            <rFont val="Tahoma"/>
            <family val="2"/>
          </rPr>
          <t>HIDE ROW IF NOT USED</t>
        </r>
        <r>
          <rPr>
            <sz val="9"/>
            <color indexed="81"/>
            <rFont val="Tahoma"/>
            <family val="2"/>
          </rPr>
          <t xml:space="preserve">
</t>
        </r>
      </text>
    </comment>
    <comment ref="H165" authorId="0" shapeId="0">
      <text>
        <r>
          <rPr>
            <b/>
            <sz val="9"/>
            <color indexed="81"/>
            <rFont val="Tahoma"/>
            <family val="2"/>
          </rPr>
          <t>HIDE ROW IF NOT USED</t>
        </r>
        <r>
          <rPr>
            <sz val="9"/>
            <color indexed="81"/>
            <rFont val="Tahoma"/>
            <family val="2"/>
          </rPr>
          <t xml:space="preserve">
</t>
        </r>
      </text>
    </comment>
    <comment ref="H166" authorId="0" shapeId="0">
      <text>
        <r>
          <rPr>
            <b/>
            <sz val="9"/>
            <color indexed="81"/>
            <rFont val="Tahoma"/>
            <family val="2"/>
          </rPr>
          <t>HIDE ROW IF NOT USED</t>
        </r>
        <r>
          <rPr>
            <sz val="9"/>
            <color indexed="81"/>
            <rFont val="Tahoma"/>
            <family val="2"/>
          </rPr>
          <t xml:space="preserve">
</t>
        </r>
      </text>
    </comment>
    <comment ref="H167" authorId="0" shapeId="0">
      <text>
        <r>
          <rPr>
            <b/>
            <sz val="9"/>
            <color indexed="81"/>
            <rFont val="Tahoma"/>
            <family val="2"/>
          </rPr>
          <t>HIDE ROW IF NOT USED</t>
        </r>
        <r>
          <rPr>
            <sz val="9"/>
            <color indexed="81"/>
            <rFont val="Tahoma"/>
            <family val="2"/>
          </rPr>
          <t xml:space="preserve">
</t>
        </r>
      </text>
    </comment>
    <comment ref="H168" authorId="0" shapeId="0">
      <text>
        <r>
          <rPr>
            <b/>
            <sz val="9"/>
            <color indexed="81"/>
            <rFont val="Tahoma"/>
            <family val="2"/>
          </rPr>
          <t>HIDE ROW IF NOT USED</t>
        </r>
        <r>
          <rPr>
            <sz val="9"/>
            <color indexed="81"/>
            <rFont val="Tahoma"/>
            <family val="2"/>
          </rPr>
          <t xml:space="preserve">
</t>
        </r>
      </text>
    </comment>
    <comment ref="H169" authorId="0" shapeId="0">
      <text>
        <r>
          <rPr>
            <b/>
            <sz val="9"/>
            <color indexed="81"/>
            <rFont val="Tahoma"/>
            <family val="2"/>
          </rPr>
          <t>HIDE ROW IF NOT USED</t>
        </r>
        <r>
          <rPr>
            <sz val="9"/>
            <color indexed="81"/>
            <rFont val="Tahoma"/>
            <family val="2"/>
          </rPr>
          <t xml:space="preserve">
</t>
        </r>
      </text>
    </comment>
    <comment ref="H170" authorId="0" shapeId="0">
      <text>
        <r>
          <rPr>
            <b/>
            <sz val="9"/>
            <color indexed="81"/>
            <rFont val="Tahoma"/>
            <family val="2"/>
          </rPr>
          <t>HIDE ROW IF NOT USED</t>
        </r>
        <r>
          <rPr>
            <sz val="9"/>
            <color indexed="81"/>
            <rFont val="Tahoma"/>
            <family val="2"/>
          </rPr>
          <t xml:space="preserve">
</t>
        </r>
      </text>
    </comment>
    <comment ref="H171" authorId="0" shapeId="0">
      <text>
        <r>
          <rPr>
            <b/>
            <sz val="9"/>
            <color indexed="81"/>
            <rFont val="Tahoma"/>
            <family val="2"/>
          </rPr>
          <t>HIDE ROW IF NOT USED</t>
        </r>
        <r>
          <rPr>
            <sz val="9"/>
            <color indexed="81"/>
            <rFont val="Tahoma"/>
            <family val="2"/>
          </rPr>
          <t xml:space="preserve">
</t>
        </r>
      </text>
    </comment>
    <comment ref="H172" authorId="0" shapeId="0">
      <text>
        <r>
          <rPr>
            <b/>
            <sz val="9"/>
            <color indexed="81"/>
            <rFont val="Tahoma"/>
            <family val="2"/>
          </rPr>
          <t>HIDE ROW IF NOT USED</t>
        </r>
        <r>
          <rPr>
            <sz val="9"/>
            <color indexed="81"/>
            <rFont val="Tahoma"/>
            <family val="2"/>
          </rPr>
          <t xml:space="preserve">
</t>
        </r>
      </text>
    </comment>
    <comment ref="H173" authorId="0" shapeId="0">
      <text>
        <r>
          <rPr>
            <b/>
            <sz val="9"/>
            <color indexed="81"/>
            <rFont val="Tahoma"/>
            <family val="2"/>
          </rPr>
          <t>HIDE ROW IF NOT USED</t>
        </r>
        <r>
          <rPr>
            <sz val="9"/>
            <color indexed="81"/>
            <rFont val="Tahoma"/>
            <family val="2"/>
          </rPr>
          <t xml:space="preserve">
</t>
        </r>
      </text>
    </comment>
    <comment ref="H174" authorId="0" shapeId="0">
      <text>
        <r>
          <rPr>
            <b/>
            <sz val="9"/>
            <color indexed="81"/>
            <rFont val="Tahoma"/>
            <family val="2"/>
          </rPr>
          <t>HIDE ROW IF NOT USED</t>
        </r>
        <r>
          <rPr>
            <sz val="9"/>
            <color indexed="81"/>
            <rFont val="Tahoma"/>
            <family val="2"/>
          </rPr>
          <t xml:space="preserve">
</t>
        </r>
      </text>
    </comment>
    <comment ref="H175" authorId="0" shapeId="0">
      <text>
        <r>
          <rPr>
            <b/>
            <sz val="9"/>
            <color indexed="81"/>
            <rFont val="Tahoma"/>
            <family val="2"/>
          </rPr>
          <t>HIDE ROW IF NOT USED</t>
        </r>
        <r>
          <rPr>
            <sz val="9"/>
            <color indexed="81"/>
            <rFont val="Tahoma"/>
            <family val="2"/>
          </rPr>
          <t xml:space="preserve">
</t>
        </r>
      </text>
    </comment>
    <comment ref="H176" authorId="0" shapeId="0">
      <text>
        <r>
          <rPr>
            <b/>
            <sz val="9"/>
            <color indexed="81"/>
            <rFont val="Tahoma"/>
            <family val="2"/>
          </rPr>
          <t>HIDE ROW IF NOT USED</t>
        </r>
        <r>
          <rPr>
            <sz val="9"/>
            <color indexed="81"/>
            <rFont val="Tahoma"/>
            <family val="2"/>
          </rPr>
          <t xml:space="preserve">
</t>
        </r>
      </text>
    </comment>
    <comment ref="H177" authorId="0" shapeId="0">
      <text>
        <r>
          <rPr>
            <b/>
            <sz val="9"/>
            <color indexed="81"/>
            <rFont val="Tahoma"/>
            <family val="2"/>
          </rPr>
          <t>HIDE ROW IF NOT USED</t>
        </r>
        <r>
          <rPr>
            <sz val="9"/>
            <color indexed="81"/>
            <rFont val="Tahoma"/>
            <family val="2"/>
          </rPr>
          <t xml:space="preserve">
</t>
        </r>
      </text>
    </comment>
    <comment ref="H178" authorId="0" shapeId="0">
      <text>
        <r>
          <rPr>
            <b/>
            <sz val="9"/>
            <color indexed="81"/>
            <rFont val="Tahoma"/>
            <family val="2"/>
          </rPr>
          <t>HIDE ROW IF NOT USED</t>
        </r>
        <r>
          <rPr>
            <sz val="9"/>
            <color indexed="81"/>
            <rFont val="Tahoma"/>
            <family val="2"/>
          </rPr>
          <t xml:space="preserve">
</t>
        </r>
      </text>
    </comment>
    <comment ref="H179" authorId="0" shapeId="0">
      <text>
        <r>
          <rPr>
            <b/>
            <sz val="9"/>
            <color indexed="81"/>
            <rFont val="Tahoma"/>
            <family val="2"/>
          </rPr>
          <t>HIDE ROW IF NOT USED</t>
        </r>
        <r>
          <rPr>
            <sz val="9"/>
            <color indexed="81"/>
            <rFont val="Tahoma"/>
            <family val="2"/>
          </rPr>
          <t xml:space="preserve">
</t>
        </r>
      </text>
    </comment>
    <comment ref="H180" authorId="0" shapeId="0">
      <text>
        <r>
          <rPr>
            <b/>
            <sz val="9"/>
            <color indexed="81"/>
            <rFont val="Tahoma"/>
            <family val="2"/>
          </rPr>
          <t>HIDE ROW IF NOT USED</t>
        </r>
        <r>
          <rPr>
            <sz val="9"/>
            <color indexed="81"/>
            <rFont val="Tahoma"/>
            <family val="2"/>
          </rPr>
          <t xml:space="preserve">
</t>
        </r>
      </text>
    </comment>
    <comment ref="H181" authorId="0" shapeId="0">
      <text>
        <r>
          <rPr>
            <b/>
            <sz val="9"/>
            <color indexed="81"/>
            <rFont val="Tahoma"/>
            <family val="2"/>
          </rPr>
          <t>HIDE ROW IF NOT USED</t>
        </r>
        <r>
          <rPr>
            <sz val="9"/>
            <color indexed="81"/>
            <rFont val="Tahoma"/>
            <family val="2"/>
          </rPr>
          <t xml:space="preserve">
</t>
        </r>
      </text>
    </comment>
    <comment ref="H182" authorId="0" shapeId="0">
      <text>
        <r>
          <rPr>
            <b/>
            <sz val="9"/>
            <color indexed="81"/>
            <rFont val="Tahoma"/>
            <family val="2"/>
          </rPr>
          <t>HIDE ROW IF NOT USED</t>
        </r>
        <r>
          <rPr>
            <sz val="9"/>
            <color indexed="81"/>
            <rFont val="Tahoma"/>
            <family val="2"/>
          </rPr>
          <t xml:space="preserve">
</t>
        </r>
      </text>
    </comment>
    <comment ref="H183" authorId="0" shapeId="0">
      <text>
        <r>
          <rPr>
            <b/>
            <sz val="9"/>
            <color indexed="81"/>
            <rFont val="Tahoma"/>
            <family val="2"/>
          </rPr>
          <t>HIDE ROW IF NOT USED</t>
        </r>
        <r>
          <rPr>
            <sz val="9"/>
            <color indexed="81"/>
            <rFont val="Tahoma"/>
            <family val="2"/>
          </rPr>
          <t xml:space="preserve">
</t>
        </r>
      </text>
    </comment>
    <comment ref="H184" authorId="0" shapeId="0">
      <text>
        <r>
          <rPr>
            <b/>
            <sz val="9"/>
            <color indexed="81"/>
            <rFont val="Tahoma"/>
            <family val="2"/>
          </rPr>
          <t>HIDE ROW IF NOT USED</t>
        </r>
        <r>
          <rPr>
            <sz val="9"/>
            <color indexed="81"/>
            <rFont val="Tahoma"/>
            <family val="2"/>
          </rPr>
          <t xml:space="preserve">
</t>
        </r>
      </text>
    </comment>
    <comment ref="H185" authorId="0" shapeId="0">
      <text>
        <r>
          <rPr>
            <b/>
            <sz val="9"/>
            <color indexed="81"/>
            <rFont val="Tahoma"/>
            <family val="2"/>
          </rPr>
          <t>HIDE ROW IF NOT USED</t>
        </r>
        <r>
          <rPr>
            <sz val="9"/>
            <color indexed="81"/>
            <rFont val="Tahoma"/>
            <family val="2"/>
          </rPr>
          <t xml:space="preserve">
</t>
        </r>
      </text>
    </comment>
    <comment ref="H186" authorId="0" shapeId="0">
      <text>
        <r>
          <rPr>
            <b/>
            <sz val="9"/>
            <color indexed="81"/>
            <rFont val="Tahoma"/>
            <family val="2"/>
          </rPr>
          <t>HIDE ROW IF NOT USED</t>
        </r>
        <r>
          <rPr>
            <sz val="9"/>
            <color indexed="81"/>
            <rFont val="Tahoma"/>
            <family val="2"/>
          </rPr>
          <t xml:space="preserve">
</t>
        </r>
      </text>
    </comment>
    <comment ref="H187" authorId="0" shapeId="0">
      <text>
        <r>
          <rPr>
            <b/>
            <sz val="9"/>
            <color indexed="81"/>
            <rFont val="Tahoma"/>
            <family val="2"/>
          </rPr>
          <t>HIDE ROW IF NOT USED</t>
        </r>
        <r>
          <rPr>
            <sz val="9"/>
            <color indexed="81"/>
            <rFont val="Tahoma"/>
            <family val="2"/>
          </rPr>
          <t xml:space="preserve">
</t>
        </r>
      </text>
    </comment>
    <comment ref="H188" authorId="0" shapeId="0">
      <text>
        <r>
          <rPr>
            <b/>
            <sz val="9"/>
            <color indexed="81"/>
            <rFont val="Tahoma"/>
            <family val="2"/>
          </rPr>
          <t>HIDE ROW IF NOT USED</t>
        </r>
        <r>
          <rPr>
            <sz val="9"/>
            <color indexed="81"/>
            <rFont val="Tahoma"/>
            <family val="2"/>
          </rPr>
          <t xml:space="preserve">
</t>
        </r>
      </text>
    </comment>
    <comment ref="H189" authorId="0" shapeId="0">
      <text>
        <r>
          <rPr>
            <b/>
            <sz val="9"/>
            <color indexed="81"/>
            <rFont val="Tahoma"/>
            <family val="2"/>
          </rPr>
          <t>HIDE ROW IF NOT USED</t>
        </r>
        <r>
          <rPr>
            <sz val="9"/>
            <color indexed="81"/>
            <rFont val="Tahoma"/>
            <family val="2"/>
          </rPr>
          <t xml:space="preserve">
</t>
        </r>
      </text>
    </comment>
    <comment ref="H190" authorId="0" shapeId="0">
      <text>
        <r>
          <rPr>
            <b/>
            <sz val="9"/>
            <color indexed="81"/>
            <rFont val="Tahoma"/>
            <family val="2"/>
          </rPr>
          <t>HIDE ROW IF NOT USED</t>
        </r>
        <r>
          <rPr>
            <sz val="9"/>
            <color indexed="81"/>
            <rFont val="Tahoma"/>
            <family val="2"/>
          </rPr>
          <t xml:space="preserve">
</t>
        </r>
      </text>
    </comment>
    <comment ref="H191" authorId="0" shapeId="0">
      <text>
        <r>
          <rPr>
            <b/>
            <sz val="9"/>
            <color indexed="81"/>
            <rFont val="Tahoma"/>
            <family val="2"/>
          </rPr>
          <t>HIDE ROW IF NOT USED</t>
        </r>
        <r>
          <rPr>
            <sz val="9"/>
            <color indexed="81"/>
            <rFont val="Tahoma"/>
            <family val="2"/>
          </rPr>
          <t xml:space="preserve">
</t>
        </r>
      </text>
    </comment>
    <comment ref="H192" authorId="0" shapeId="0">
      <text>
        <r>
          <rPr>
            <b/>
            <sz val="9"/>
            <color indexed="81"/>
            <rFont val="Tahoma"/>
            <family val="2"/>
          </rPr>
          <t>HIDE ROW IF NOT USED</t>
        </r>
        <r>
          <rPr>
            <sz val="9"/>
            <color indexed="81"/>
            <rFont val="Tahoma"/>
            <family val="2"/>
          </rPr>
          <t xml:space="preserve">
</t>
        </r>
      </text>
    </comment>
    <comment ref="H193" authorId="0" shapeId="0">
      <text>
        <r>
          <rPr>
            <b/>
            <sz val="9"/>
            <color indexed="81"/>
            <rFont val="Tahoma"/>
            <family val="2"/>
          </rPr>
          <t>HIDE ROW IF NOT USED</t>
        </r>
        <r>
          <rPr>
            <sz val="9"/>
            <color indexed="81"/>
            <rFont val="Tahoma"/>
            <family val="2"/>
          </rPr>
          <t xml:space="preserve">
</t>
        </r>
      </text>
    </comment>
    <comment ref="H194" authorId="0" shapeId="0">
      <text>
        <r>
          <rPr>
            <b/>
            <sz val="9"/>
            <color indexed="81"/>
            <rFont val="Tahoma"/>
            <family val="2"/>
          </rPr>
          <t>HIDE ROW IF NOT USED</t>
        </r>
        <r>
          <rPr>
            <sz val="9"/>
            <color indexed="81"/>
            <rFont val="Tahoma"/>
            <family val="2"/>
          </rPr>
          <t xml:space="preserve">
</t>
        </r>
      </text>
    </comment>
    <comment ref="H195" authorId="0" shapeId="0">
      <text>
        <r>
          <rPr>
            <b/>
            <sz val="9"/>
            <color indexed="81"/>
            <rFont val="Tahoma"/>
            <family val="2"/>
          </rPr>
          <t>HIDE ROW IF NOT USED</t>
        </r>
        <r>
          <rPr>
            <sz val="9"/>
            <color indexed="81"/>
            <rFont val="Tahoma"/>
            <family val="2"/>
          </rPr>
          <t xml:space="preserve">
</t>
        </r>
      </text>
    </comment>
    <comment ref="H196" authorId="0" shapeId="0">
      <text>
        <r>
          <rPr>
            <b/>
            <sz val="9"/>
            <color indexed="81"/>
            <rFont val="Tahoma"/>
            <family val="2"/>
          </rPr>
          <t>HIDE ROW IF NOT USED</t>
        </r>
        <r>
          <rPr>
            <sz val="9"/>
            <color indexed="81"/>
            <rFont val="Tahoma"/>
            <family val="2"/>
          </rPr>
          <t xml:space="preserve">
</t>
        </r>
      </text>
    </comment>
    <comment ref="H197" authorId="0" shapeId="0">
      <text>
        <r>
          <rPr>
            <b/>
            <sz val="9"/>
            <color indexed="81"/>
            <rFont val="Tahoma"/>
            <family val="2"/>
          </rPr>
          <t>HIDE ROW IF NOT USED</t>
        </r>
        <r>
          <rPr>
            <sz val="9"/>
            <color indexed="81"/>
            <rFont val="Tahoma"/>
            <family val="2"/>
          </rPr>
          <t xml:space="preserve">
</t>
        </r>
      </text>
    </comment>
    <comment ref="H198" authorId="0" shapeId="0">
      <text>
        <r>
          <rPr>
            <b/>
            <sz val="9"/>
            <color indexed="81"/>
            <rFont val="Tahoma"/>
            <family val="2"/>
          </rPr>
          <t>HIDE ROW IF NOT USED</t>
        </r>
        <r>
          <rPr>
            <sz val="9"/>
            <color indexed="81"/>
            <rFont val="Tahoma"/>
            <family val="2"/>
          </rPr>
          <t xml:space="preserve">
</t>
        </r>
      </text>
    </comment>
    <comment ref="H199" authorId="0" shapeId="0">
      <text>
        <r>
          <rPr>
            <b/>
            <sz val="9"/>
            <color indexed="81"/>
            <rFont val="Tahoma"/>
            <family val="2"/>
          </rPr>
          <t>HIDE ROW IF NOT USED</t>
        </r>
        <r>
          <rPr>
            <sz val="9"/>
            <color indexed="81"/>
            <rFont val="Tahoma"/>
            <family val="2"/>
          </rPr>
          <t xml:space="preserve">
</t>
        </r>
      </text>
    </comment>
    <comment ref="H200" authorId="0" shapeId="0">
      <text>
        <r>
          <rPr>
            <b/>
            <sz val="9"/>
            <color indexed="81"/>
            <rFont val="Tahoma"/>
            <family val="2"/>
          </rPr>
          <t>HIDE ROW IF NOT USED</t>
        </r>
        <r>
          <rPr>
            <sz val="9"/>
            <color indexed="81"/>
            <rFont val="Tahoma"/>
            <family val="2"/>
          </rPr>
          <t xml:space="preserve">
</t>
        </r>
      </text>
    </comment>
    <comment ref="H201" authorId="0" shapeId="0">
      <text>
        <r>
          <rPr>
            <b/>
            <sz val="9"/>
            <color indexed="81"/>
            <rFont val="Tahoma"/>
            <family val="2"/>
          </rPr>
          <t>HIDE ROW IF NOT USED</t>
        </r>
        <r>
          <rPr>
            <sz val="9"/>
            <color indexed="81"/>
            <rFont val="Tahoma"/>
            <family val="2"/>
          </rPr>
          <t xml:space="preserve">
</t>
        </r>
      </text>
    </comment>
    <comment ref="H202" authorId="0" shapeId="0">
      <text>
        <r>
          <rPr>
            <b/>
            <sz val="9"/>
            <color indexed="81"/>
            <rFont val="Tahoma"/>
            <family val="2"/>
          </rPr>
          <t>HIDE ROW IF NOT USED</t>
        </r>
        <r>
          <rPr>
            <sz val="9"/>
            <color indexed="81"/>
            <rFont val="Tahoma"/>
            <family val="2"/>
          </rPr>
          <t xml:space="preserve">
</t>
        </r>
      </text>
    </comment>
    <comment ref="H203" authorId="0" shapeId="0">
      <text>
        <r>
          <rPr>
            <b/>
            <sz val="9"/>
            <color indexed="81"/>
            <rFont val="Tahoma"/>
            <family val="2"/>
          </rPr>
          <t>HIDE ROW IF NOT USED</t>
        </r>
        <r>
          <rPr>
            <sz val="9"/>
            <color indexed="81"/>
            <rFont val="Tahoma"/>
            <family val="2"/>
          </rPr>
          <t xml:space="preserve">
</t>
        </r>
      </text>
    </comment>
    <comment ref="H204" authorId="0" shapeId="0">
      <text>
        <r>
          <rPr>
            <b/>
            <sz val="9"/>
            <color indexed="81"/>
            <rFont val="Tahoma"/>
            <family val="2"/>
          </rPr>
          <t>HIDE ROW IF NOT USED</t>
        </r>
        <r>
          <rPr>
            <sz val="9"/>
            <color indexed="81"/>
            <rFont val="Tahoma"/>
            <family val="2"/>
          </rPr>
          <t xml:space="preserve">
</t>
        </r>
      </text>
    </comment>
    <comment ref="H205" authorId="0" shapeId="0">
      <text>
        <r>
          <rPr>
            <b/>
            <sz val="9"/>
            <color indexed="81"/>
            <rFont val="Tahoma"/>
            <family val="2"/>
          </rPr>
          <t>HIDE ROW IF NOT USED</t>
        </r>
        <r>
          <rPr>
            <sz val="9"/>
            <color indexed="81"/>
            <rFont val="Tahoma"/>
            <family val="2"/>
          </rPr>
          <t xml:space="preserve">
</t>
        </r>
      </text>
    </comment>
    <comment ref="H206" authorId="0" shapeId="0">
      <text>
        <r>
          <rPr>
            <b/>
            <sz val="9"/>
            <color indexed="81"/>
            <rFont val="Tahoma"/>
            <family val="2"/>
          </rPr>
          <t>HIDE ROW IF NOT USED</t>
        </r>
        <r>
          <rPr>
            <sz val="9"/>
            <color indexed="81"/>
            <rFont val="Tahoma"/>
            <family val="2"/>
          </rPr>
          <t xml:space="preserve">
</t>
        </r>
      </text>
    </comment>
    <comment ref="H207" authorId="0" shapeId="0">
      <text>
        <r>
          <rPr>
            <b/>
            <sz val="9"/>
            <color indexed="81"/>
            <rFont val="Tahoma"/>
            <family val="2"/>
          </rPr>
          <t>HIDE ROW IF NOT USED</t>
        </r>
        <r>
          <rPr>
            <sz val="9"/>
            <color indexed="81"/>
            <rFont val="Tahoma"/>
            <family val="2"/>
          </rPr>
          <t xml:space="preserve">
</t>
        </r>
      </text>
    </comment>
    <comment ref="H208" authorId="0" shapeId="0">
      <text>
        <r>
          <rPr>
            <b/>
            <sz val="9"/>
            <color indexed="81"/>
            <rFont val="Tahoma"/>
            <family val="2"/>
          </rPr>
          <t>HIDE ROW IF NOT USED</t>
        </r>
        <r>
          <rPr>
            <sz val="9"/>
            <color indexed="81"/>
            <rFont val="Tahoma"/>
            <family val="2"/>
          </rPr>
          <t xml:space="preserve">
</t>
        </r>
      </text>
    </comment>
    <comment ref="H209" authorId="0" shapeId="0">
      <text>
        <r>
          <rPr>
            <b/>
            <sz val="9"/>
            <color indexed="81"/>
            <rFont val="Tahoma"/>
            <family val="2"/>
          </rPr>
          <t>HIDE ROW IF NOT USED</t>
        </r>
        <r>
          <rPr>
            <sz val="9"/>
            <color indexed="81"/>
            <rFont val="Tahoma"/>
            <family val="2"/>
          </rPr>
          <t xml:space="preserve">
</t>
        </r>
      </text>
    </comment>
    <comment ref="H210" authorId="0" shapeId="0">
      <text>
        <r>
          <rPr>
            <b/>
            <sz val="9"/>
            <color indexed="81"/>
            <rFont val="Tahoma"/>
            <family val="2"/>
          </rPr>
          <t>HIDE ROW IF NOT USED</t>
        </r>
        <r>
          <rPr>
            <sz val="9"/>
            <color indexed="81"/>
            <rFont val="Tahoma"/>
            <family val="2"/>
          </rPr>
          <t xml:space="preserve">
</t>
        </r>
      </text>
    </comment>
    <comment ref="H211" authorId="0" shapeId="0">
      <text>
        <r>
          <rPr>
            <b/>
            <sz val="9"/>
            <color indexed="81"/>
            <rFont val="Tahoma"/>
            <family val="2"/>
          </rPr>
          <t>HIDE ROW IF NOT USED</t>
        </r>
        <r>
          <rPr>
            <sz val="9"/>
            <color indexed="81"/>
            <rFont val="Tahoma"/>
            <family val="2"/>
          </rPr>
          <t xml:space="preserve">
</t>
        </r>
      </text>
    </comment>
    <comment ref="H212" authorId="0" shapeId="0">
      <text>
        <r>
          <rPr>
            <b/>
            <sz val="9"/>
            <color indexed="81"/>
            <rFont val="Tahoma"/>
            <family val="2"/>
          </rPr>
          <t>HIDE ROW IF NOT USED</t>
        </r>
        <r>
          <rPr>
            <sz val="9"/>
            <color indexed="81"/>
            <rFont val="Tahoma"/>
            <family val="2"/>
          </rPr>
          <t xml:space="preserve">
</t>
        </r>
      </text>
    </comment>
    <comment ref="H213" authorId="0" shapeId="0">
      <text>
        <r>
          <rPr>
            <b/>
            <sz val="9"/>
            <color indexed="81"/>
            <rFont val="Tahoma"/>
            <family val="2"/>
          </rPr>
          <t>HIDE ROW IF NOT USED</t>
        </r>
        <r>
          <rPr>
            <sz val="9"/>
            <color indexed="81"/>
            <rFont val="Tahoma"/>
            <family val="2"/>
          </rPr>
          <t xml:space="preserve">
</t>
        </r>
      </text>
    </comment>
    <comment ref="H214" authorId="0" shapeId="0">
      <text>
        <r>
          <rPr>
            <b/>
            <sz val="9"/>
            <color indexed="81"/>
            <rFont val="Tahoma"/>
            <family val="2"/>
          </rPr>
          <t>HIDE ROW IF NOT USED</t>
        </r>
        <r>
          <rPr>
            <sz val="9"/>
            <color indexed="81"/>
            <rFont val="Tahoma"/>
            <family val="2"/>
          </rPr>
          <t xml:space="preserve">
</t>
        </r>
      </text>
    </comment>
    <comment ref="H215" authorId="0" shapeId="0">
      <text>
        <r>
          <rPr>
            <b/>
            <sz val="9"/>
            <color indexed="81"/>
            <rFont val="Tahoma"/>
            <family val="2"/>
          </rPr>
          <t>HIDE ROW IF NOT USED</t>
        </r>
        <r>
          <rPr>
            <sz val="9"/>
            <color indexed="81"/>
            <rFont val="Tahoma"/>
            <family val="2"/>
          </rPr>
          <t xml:space="preserve">
</t>
        </r>
      </text>
    </comment>
    <comment ref="H216" authorId="0" shapeId="0">
      <text>
        <r>
          <rPr>
            <b/>
            <sz val="9"/>
            <color indexed="81"/>
            <rFont val="Tahoma"/>
            <family val="2"/>
          </rPr>
          <t>HIDE ROW IF NOT USED</t>
        </r>
        <r>
          <rPr>
            <sz val="9"/>
            <color indexed="81"/>
            <rFont val="Tahoma"/>
            <family val="2"/>
          </rPr>
          <t xml:space="preserve">
</t>
        </r>
      </text>
    </comment>
    <comment ref="H217" authorId="0" shapeId="0">
      <text>
        <r>
          <rPr>
            <b/>
            <sz val="9"/>
            <color indexed="81"/>
            <rFont val="Tahoma"/>
            <family val="2"/>
          </rPr>
          <t>HIDE ROW IF NOT USED</t>
        </r>
        <r>
          <rPr>
            <sz val="9"/>
            <color indexed="81"/>
            <rFont val="Tahoma"/>
            <family val="2"/>
          </rPr>
          <t xml:space="preserve">
</t>
        </r>
      </text>
    </comment>
    <comment ref="H218" authorId="0" shapeId="0">
      <text>
        <r>
          <rPr>
            <b/>
            <sz val="9"/>
            <color indexed="81"/>
            <rFont val="Tahoma"/>
            <family val="2"/>
          </rPr>
          <t>HIDE ROW IF NOT USED</t>
        </r>
        <r>
          <rPr>
            <sz val="9"/>
            <color indexed="81"/>
            <rFont val="Tahoma"/>
            <family val="2"/>
          </rPr>
          <t xml:space="preserve">
</t>
        </r>
      </text>
    </comment>
    <comment ref="H219" authorId="0" shapeId="0">
      <text>
        <r>
          <rPr>
            <b/>
            <sz val="9"/>
            <color indexed="81"/>
            <rFont val="Tahoma"/>
            <family val="2"/>
          </rPr>
          <t>HIDE ROW IF NOT USED</t>
        </r>
        <r>
          <rPr>
            <sz val="9"/>
            <color indexed="81"/>
            <rFont val="Tahoma"/>
            <family val="2"/>
          </rPr>
          <t xml:space="preserve">
</t>
        </r>
      </text>
    </comment>
    <comment ref="H220" authorId="0" shapeId="0">
      <text>
        <r>
          <rPr>
            <b/>
            <sz val="9"/>
            <color indexed="81"/>
            <rFont val="Tahoma"/>
            <family val="2"/>
          </rPr>
          <t>HIDE ROW IF NOT USED</t>
        </r>
        <r>
          <rPr>
            <sz val="9"/>
            <color indexed="81"/>
            <rFont val="Tahoma"/>
            <family val="2"/>
          </rPr>
          <t xml:space="preserve">
</t>
        </r>
      </text>
    </comment>
    <comment ref="H222" authorId="0" shapeId="0">
      <text>
        <r>
          <rPr>
            <sz val="9"/>
            <color indexed="81"/>
            <rFont val="Tahoma"/>
            <family val="2"/>
          </rPr>
          <t>Study / Memo / Concept Only -</t>
        </r>
        <r>
          <rPr>
            <b/>
            <sz val="9"/>
            <color indexed="81"/>
            <rFont val="Tahoma"/>
            <family val="2"/>
          </rPr>
          <t xml:space="preserve"> Item 4b Narrative - Default is "Y"
</t>
        </r>
      </text>
    </comment>
    <comment ref="H223" authorId="0" shapeId="0">
      <text>
        <r>
          <rPr>
            <b/>
            <sz val="9"/>
            <color indexed="81"/>
            <rFont val="Tahoma"/>
            <family val="2"/>
          </rPr>
          <t>HIDE ROW IF NOT USED</t>
        </r>
        <r>
          <rPr>
            <sz val="9"/>
            <color indexed="81"/>
            <rFont val="Tahoma"/>
            <family val="2"/>
          </rPr>
          <t xml:space="preserve">
</t>
        </r>
      </text>
    </comment>
    <comment ref="H224" authorId="0" shapeId="0">
      <text>
        <r>
          <rPr>
            <b/>
            <sz val="9"/>
            <color indexed="81"/>
            <rFont val="Tahoma"/>
            <family val="2"/>
          </rPr>
          <t>HIDE ROW IF NOT USED</t>
        </r>
        <r>
          <rPr>
            <sz val="9"/>
            <color indexed="81"/>
            <rFont val="Tahoma"/>
            <family val="2"/>
          </rPr>
          <t xml:space="preserve">
</t>
        </r>
      </text>
    </comment>
    <comment ref="H225" authorId="0" shapeId="0">
      <text>
        <r>
          <rPr>
            <b/>
            <sz val="9"/>
            <color indexed="81"/>
            <rFont val="Tahoma"/>
            <family val="2"/>
          </rPr>
          <t>HIDE ROW IF NOT USED</t>
        </r>
        <r>
          <rPr>
            <sz val="9"/>
            <color indexed="81"/>
            <rFont val="Tahoma"/>
            <family val="2"/>
          </rPr>
          <t xml:space="preserve">
</t>
        </r>
      </text>
    </comment>
    <comment ref="H226" authorId="0" shapeId="0">
      <text>
        <r>
          <rPr>
            <b/>
            <sz val="9"/>
            <color indexed="81"/>
            <rFont val="Tahoma"/>
            <family val="2"/>
          </rPr>
          <t>HIDE ROW IF NOT USED</t>
        </r>
        <r>
          <rPr>
            <sz val="9"/>
            <color indexed="81"/>
            <rFont val="Tahoma"/>
            <family val="2"/>
          </rPr>
          <t xml:space="preserve">
</t>
        </r>
      </text>
    </comment>
    <comment ref="H227" authorId="0" shapeId="0">
      <text>
        <r>
          <rPr>
            <b/>
            <sz val="9"/>
            <color indexed="81"/>
            <rFont val="Tahoma"/>
            <family val="2"/>
          </rPr>
          <t>HIDE ROW IF NOT USED</t>
        </r>
        <r>
          <rPr>
            <sz val="9"/>
            <color indexed="81"/>
            <rFont val="Tahoma"/>
            <family val="2"/>
          </rPr>
          <t xml:space="preserve">
</t>
        </r>
      </text>
    </comment>
    <comment ref="H228" authorId="0" shapeId="0">
      <text>
        <r>
          <rPr>
            <b/>
            <sz val="9"/>
            <color indexed="81"/>
            <rFont val="Tahoma"/>
            <family val="2"/>
          </rPr>
          <t>HIDE ROW IF NOT USED</t>
        </r>
        <r>
          <rPr>
            <sz val="9"/>
            <color indexed="81"/>
            <rFont val="Tahoma"/>
            <family val="2"/>
          </rPr>
          <t xml:space="preserve">
</t>
        </r>
      </text>
    </comment>
    <comment ref="H229" authorId="0" shapeId="0">
      <text>
        <r>
          <rPr>
            <b/>
            <sz val="9"/>
            <color indexed="81"/>
            <rFont val="Tahoma"/>
            <family val="2"/>
          </rPr>
          <t>HIDE ROW IF NOT USED</t>
        </r>
        <r>
          <rPr>
            <sz val="9"/>
            <color indexed="81"/>
            <rFont val="Tahoma"/>
            <family val="2"/>
          </rPr>
          <t xml:space="preserve">
</t>
        </r>
      </text>
    </comment>
    <comment ref="H230" authorId="0" shapeId="0">
      <text>
        <r>
          <rPr>
            <b/>
            <sz val="9"/>
            <color indexed="81"/>
            <rFont val="Tahoma"/>
            <family val="2"/>
          </rPr>
          <t>HIDE ROW IF NOT USED</t>
        </r>
        <r>
          <rPr>
            <sz val="9"/>
            <color indexed="81"/>
            <rFont val="Tahoma"/>
            <family val="2"/>
          </rPr>
          <t xml:space="preserve">
</t>
        </r>
      </text>
    </comment>
    <comment ref="H231" authorId="0" shapeId="0">
      <text>
        <r>
          <rPr>
            <b/>
            <sz val="9"/>
            <color indexed="81"/>
            <rFont val="Tahoma"/>
            <family val="2"/>
          </rPr>
          <t>HIDE ROW IF NOT USED</t>
        </r>
        <r>
          <rPr>
            <sz val="9"/>
            <color indexed="81"/>
            <rFont val="Tahoma"/>
            <family val="2"/>
          </rPr>
          <t xml:space="preserve">
</t>
        </r>
      </text>
    </comment>
    <comment ref="H232" authorId="0" shapeId="0">
      <text>
        <r>
          <rPr>
            <b/>
            <sz val="9"/>
            <color indexed="81"/>
            <rFont val="Tahoma"/>
            <family val="2"/>
          </rPr>
          <t>HIDE ROW IF NOT USED</t>
        </r>
        <r>
          <rPr>
            <sz val="9"/>
            <color indexed="81"/>
            <rFont val="Tahoma"/>
            <family val="2"/>
          </rPr>
          <t xml:space="preserve">
</t>
        </r>
      </text>
    </comment>
    <comment ref="H233" authorId="0" shapeId="0">
      <text>
        <r>
          <rPr>
            <b/>
            <sz val="9"/>
            <color indexed="81"/>
            <rFont val="Tahoma"/>
            <family val="2"/>
          </rPr>
          <t>HIDE ROW IF NOT USED</t>
        </r>
        <r>
          <rPr>
            <sz val="9"/>
            <color indexed="81"/>
            <rFont val="Tahoma"/>
            <family val="2"/>
          </rPr>
          <t xml:space="preserve">
</t>
        </r>
      </text>
    </comment>
    <comment ref="H234" authorId="0" shapeId="0">
      <text>
        <r>
          <rPr>
            <b/>
            <sz val="9"/>
            <color indexed="81"/>
            <rFont val="Tahoma"/>
            <family val="2"/>
          </rPr>
          <t>HIDE ROW IF NOT USED</t>
        </r>
        <r>
          <rPr>
            <sz val="9"/>
            <color indexed="81"/>
            <rFont val="Tahoma"/>
            <family val="2"/>
          </rPr>
          <t xml:space="preserve">
</t>
        </r>
      </text>
    </comment>
    <comment ref="H235" authorId="0" shapeId="0">
      <text>
        <r>
          <rPr>
            <b/>
            <sz val="9"/>
            <color indexed="81"/>
            <rFont val="Tahoma"/>
            <family val="2"/>
          </rPr>
          <t>HIDE ROW IF NOT USED</t>
        </r>
        <r>
          <rPr>
            <sz val="9"/>
            <color indexed="81"/>
            <rFont val="Tahoma"/>
            <family val="2"/>
          </rPr>
          <t xml:space="preserve">
</t>
        </r>
      </text>
    </comment>
    <comment ref="H236" authorId="0" shapeId="0">
      <text>
        <r>
          <rPr>
            <b/>
            <sz val="9"/>
            <color indexed="81"/>
            <rFont val="Tahoma"/>
            <family val="2"/>
          </rPr>
          <t>HIDE ROW IF NOT USED</t>
        </r>
        <r>
          <rPr>
            <sz val="9"/>
            <color indexed="81"/>
            <rFont val="Tahoma"/>
            <family val="2"/>
          </rPr>
          <t xml:space="preserve">
</t>
        </r>
      </text>
    </comment>
    <comment ref="H237" authorId="0" shapeId="0">
      <text>
        <r>
          <rPr>
            <b/>
            <sz val="9"/>
            <color indexed="81"/>
            <rFont val="Tahoma"/>
            <family val="2"/>
          </rPr>
          <t>HIDE ROW IF NOT USED</t>
        </r>
        <r>
          <rPr>
            <sz val="9"/>
            <color indexed="81"/>
            <rFont val="Tahoma"/>
            <family val="2"/>
          </rPr>
          <t xml:space="preserve">
</t>
        </r>
      </text>
    </comment>
    <comment ref="H238" authorId="0" shapeId="0">
      <text>
        <r>
          <rPr>
            <b/>
            <sz val="9"/>
            <color indexed="81"/>
            <rFont val="Tahoma"/>
            <family val="2"/>
          </rPr>
          <t>HIDE ROW IF NOT USED</t>
        </r>
        <r>
          <rPr>
            <sz val="9"/>
            <color indexed="81"/>
            <rFont val="Tahoma"/>
            <family val="2"/>
          </rPr>
          <t xml:space="preserve">
</t>
        </r>
      </text>
    </comment>
    <comment ref="H239" authorId="0" shapeId="0">
      <text>
        <r>
          <rPr>
            <b/>
            <sz val="9"/>
            <color indexed="81"/>
            <rFont val="Tahoma"/>
            <family val="2"/>
          </rPr>
          <t>HIDE ROW IF NOT USED</t>
        </r>
        <r>
          <rPr>
            <sz val="9"/>
            <color indexed="81"/>
            <rFont val="Tahoma"/>
            <family val="2"/>
          </rPr>
          <t xml:space="preserve">
</t>
        </r>
      </text>
    </comment>
    <comment ref="H240" authorId="0" shapeId="0">
      <text>
        <r>
          <rPr>
            <b/>
            <sz val="9"/>
            <color indexed="81"/>
            <rFont val="Tahoma"/>
            <family val="2"/>
          </rPr>
          <t>HIDE ROW IF NOT USED</t>
        </r>
        <r>
          <rPr>
            <sz val="9"/>
            <color indexed="81"/>
            <rFont val="Tahoma"/>
            <family val="2"/>
          </rPr>
          <t xml:space="preserve">
</t>
        </r>
      </text>
    </comment>
    <comment ref="H241" authorId="0" shapeId="0">
      <text>
        <r>
          <rPr>
            <b/>
            <sz val="9"/>
            <color indexed="81"/>
            <rFont val="Tahoma"/>
            <family val="2"/>
          </rPr>
          <t>HIDE ROW IF NOT USED</t>
        </r>
        <r>
          <rPr>
            <sz val="9"/>
            <color indexed="81"/>
            <rFont val="Tahoma"/>
            <family val="2"/>
          </rPr>
          <t xml:space="preserve">
</t>
        </r>
      </text>
    </comment>
    <comment ref="H242" authorId="0" shapeId="0">
      <text>
        <r>
          <rPr>
            <b/>
            <sz val="9"/>
            <color indexed="81"/>
            <rFont val="Tahoma"/>
            <family val="2"/>
          </rPr>
          <t>HIDE ROW IF NOT USED</t>
        </r>
        <r>
          <rPr>
            <sz val="9"/>
            <color indexed="81"/>
            <rFont val="Tahoma"/>
            <family val="2"/>
          </rPr>
          <t xml:space="preserve">
</t>
        </r>
      </text>
    </comment>
    <comment ref="H243" authorId="0" shapeId="0">
      <text>
        <r>
          <rPr>
            <b/>
            <sz val="9"/>
            <color indexed="81"/>
            <rFont val="Tahoma"/>
            <family val="2"/>
          </rPr>
          <t>HIDE ROW IF NOT USED</t>
        </r>
        <r>
          <rPr>
            <sz val="9"/>
            <color indexed="81"/>
            <rFont val="Tahoma"/>
            <family val="2"/>
          </rPr>
          <t xml:space="preserve">
</t>
        </r>
      </text>
    </comment>
    <comment ref="H244" authorId="0" shapeId="0">
      <text>
        <r>
          <rPr>
            <b/>
            <sz val="9"/>
            <color indexed="81"/>
            <rFont val="Tahoma"/>
            <family val="2"/>
          </rPr>
          <t>HIDE ROW IF NOT USED</t>
        </r>
        <r>
          <rPr>
            <sz val="9"/>
            <color indexed="81"/>
            <rFont val="Tahoma"/>
            <family val="2"/>
          </rPr>
          <t xml:space="preserve">
</t>
        </r>
      </text>
    </comment>
    <comment ref="H245" authorId="0" shapeId="0">
      <text>
        <r>
          <rPr>
            <b/>
            <sz val="9"/>
            <color indexed="81"/>
            <rFont val="Tahoma"/>
            <family val="2"/>
          </rPr>
          <t>HIDE ROW IF NOT USED</t>
        </r>
        <r>
          <rPr>
            <sz val="9"/>
            <color indexed="81"/>
            <rFont val="Tahoma"/>
            <family val="2"/>
          </rPr>
          <t xml:space="preserve">
</t>
        </r>
      </text>
    </comment>
    <comment ref="H246" authorId="0" shapeId="0">
      <text>
        <r>
          <rPr>
            <b/>
            <sz val="9"/>
            <color indexed="81"/>
            <rFont val="Tahoma"/>
            <family val="2"/>
          </rPr>
          <t>HIDE ROW IF NOT USED</t>
        </r>
        <r>
          <rPr>
            <sz val="9"/>
            <color indexed="81"/>
            <rFont val="Tahoma"/>
            <family val="2"/>
          </rPr>
          <t xml:space="preserve">
</t>
        </r>
      </text>
    </comment>
    <comment ref="H247" authorId="0" shapeId="0">
      <text>
        <r>
          <rPr>
            <b/>
            <sz val="9"/>
            <color indexed="81"/>
            <rFont val="Tahoma"/>
            <family val="2"/>
          </rPr>
          <t>HIDE ROW IF NOT USED</t>
        </r>
        <r>
          <rPr>
            <sz val="9"/>
            <color indexed="81"/>
            <rFont val="Tahoma"/>
            <family val="2"/>
          </rPr>
          <t xml:space="preserve">
</t>
        </r>
      </text>
    </comment>
    <comment ref="H248" authorId="0" shapeId="0">
      <text>
        <r>
          <rPr>
            <b/>
            <sz val="9"/>
            <color indexed="81"/>
            <rFont val="Tahoma"/>
            <family val="2"/>
          </rPr>
          <t>HIDE ROW IF NOT USED</t>
        </r>
        <r>
          <rPr>
            <sz val="9"/>
            <color indexed="81"/>
            <rFont val="Tahoma"/>
            <family val="2"/>
          </rPr>
          <t xml:space="preserve">
</t>
        </r>
      </text>
    </comment>
    <comment ref="H249" authorId="0" shapeId="0">
      <text>
        <r>
          <rPr>
            <b/>
            <sz val="9"/>
            <color indexed="81"/>
            <rFont val="Tahoma"/>
            <family val="2"/>
          </rPr>
          <t>HIDE ROW IF NOT USED</t>
        </r>
        <r>
          <rPr>
            <sz val="9"/>
            <color indexed="81"/>
            <rFont val="Tahoma"/>
            <family val="2"/>
          </rPr>
          <t xml:space="preserve">
</t>
        </r>
      </text>
    </comment>
    <comment ref="H250" authorId="0" shapeId="0">
      <text>
        <r>
          <rPr>
            <b/>
            <sz val="9"/>
            <color indexed="81"/>
            <rFont val="Tahoma"/>
            <family val="2"/>
          </rPr>
          <t>HIDE ROW IF NOT USED</t>
        </r>
        <r>
          <rPr>
            <sz val="9"/>
            <color indexed="81"/>
            <rFont val="Tahoma"/>
            <family val="2"/>
          </rPr>
          <t xml:space="preserve">
</t>
        </r>
      </text>
    </comment>
    <comment ref="H251" authorId="0" shapeId="0">
      <text>
        <r>
          <rPr>
            <b/>
            <sz val="9"/>
            <color indexed="81"/>
            <rFont val="Tahoma"/>
            <family val="2"/>
          </rPr>
          <t>HIDE ROW IF NOT USED</t>
        </r>
        <r>
          <rPr>
            <sz val="9"/>
            <color indexed="81"/>
            <rFont val="Tahoma"/>
            <family val="2"/>
          </rPr>
          <t xml:space="preserve">
</t>
        </r>
      </text>
    </comment>
    <comment ref="H252" authorId="0" shapeId="0">
      <text>
        <r>
          <rPr>
            <b/>
            <sz val="9"/>
            <color indexed="81"/>
            <rFont val="Tahoma"/>
            <family val="2"/>
          </rPr>
          <t>HIDE ROW IF NOT USED</t>
        </r>
        <r>
          <rPr>
            <sz val="9"/>
            <color indexed="81"/>
            <rFont val="Tahoma"/>
            <family val="2"/>
          </rPr>
          <t xml:space="preserve">
</t>
        </r>
      </text>
    </comment>
    <comment ref="H253" authorId="0" shapeId="0">
      <text>
        <r>
          <rPr>
            <b/>
            <sz val="9"/>
            <color indexed="81"/>
            <rFont val="Tahoma"/>
            <family val="2"/>
          </rPr>
          <t>HIDE ROW IF NOT USED</t>
        </r>
        <r>
          <rPr>
            <sz val="9"/>
            <color indexed="81"/>
            <rFont val="Tahoma"/>
            <family val="2"/>
          </rPr>
          <t xml:space="preserve">
</t>
        </r>
      </text>
    </comment>
    <comment ref="H254" authorId="0" shapeId="0">
      <text>
        <r>
          <rPr>
            <b/>
            <sz val="9"/>
            <color indexed="81"/>
            <rFont val="Tahoma"/>
            <family val="2"/>
          </rPr>
          <t>HIDE ROW IF NOT USED</t>
        </r>
        <r>
          <rPr>
            <sz val="9"/>
            <color indexed="81"/>
            <rFont val="Tahoma"/>
            <family val="2"/>
          </rPr>
          <t xml:space="preserve">
</t>
        </r>
      </text>
    </comment>
    <comment ref="H255" authorId="0" shapeId="0">
      <text>
        <r>
          <rPr>
            <b/>
            <sz val="9"/>
            <color indexed="81"/>
            <rFont val="Tahoma"/>
            <family val="2"/>
          </rPr>
          <t>HIDE ROW IF NOT USED</t>
        </r>
        <r>
          <rPr>
            <sz val="9"/>
            <color indexed="81"/>
            <rFont val="Tahoma"/>
            <family val="2"/>
          </rPr>
          <t xml:space="preserve">
</t>
        </r>
      </text>
    </comment>
    <comment ref="H256" authorId="0" shapeId="0">
      <text>
        <r>
          <rPr>
            <b/>
            <sz val="9"/>
            <color indexed="81"/>
            <rFont val="Tahoma"/>
            <family val="2"/>
          </rPr>
          <t>HIDE ROW IF NOT USED</t>
        </r>
        <r>
          <rPr>
            <sz val="9"/>
            <color indexed="81"/>
            <rFont val="Tahoma"/>
            <family val="2"/>
          </rPr>
          <t xml:space="preserve">
</t>
        </r>
      </text>
    </comment>
    <comment ref="H257" authorId="0" shapeId="0">
      <text>
        <r>
          <rPr>
            <b/>
            <sz val="9"/>
            <color indexed="81"/>
            <rFont val="Tahoma"/>
            <family val="2"/>
          </rPr>
          <t>HIDE ROW IF NOT USED</t>
        </r>
        <r>
          <rPr>
            <sz val="9"/>
            <color indexed="81"/>
            <rFont val="Tahoma"/>
            <family val="2"/>
          </rPr>
          <t xml:space="preserve">
</t>
        </r>
      </text>
    </comment>
    <comment ref="H258" authorId="0" shapeId="0">
      <text>
        <r>
          <rPr>
            <b/>
            <sz val="9"/>
            <color indexed="81"/>
            <rFont val="Tahoma"/>
            <family val="2"/>
          </rPr>
          <t>HIDE ROW IF NOT USED</t>
        </r>
        <r>
          <rPr>
            <sz val="9"/>
            <color indexed="81"/>
            <rFont val="Tahoma"/>
            <family val="2"/>
          </rPr>
          <t xml:space="preserve">
</t>
        </r>
      </text>
    </comment>
    <comment ref="H259" authorId="0" shapeId="0">
      <text>
        <r>
          <rPr>
            <b/>
            <sz val="9"/>
            <color indexed="81"/>
            <rFont val="Tahoma"/>
            <family val="2"/>
          </rPr>
          <t>HIDE ROW IF NOT USED</t>
        </r>
        <r>
          <rPr>
            <sz val="9"/>
            <color indexed="81"/>
            <rFont val="Tahoma"/>
            <family val="2"/>
          </rPr>
          <t xml:space="preserve">
</t>
        </r>
      </text>
    </comment>
    <comment ref="H260" authorId="0" shapeId="0">
      <text>
        <r>
          <rPr>
            <b/>
            <sz val="9"/>
            <color indexed="81"/>
            <rFont val="Tahoma"/>
            <family val="2"/>
          </rPr>
          <t>HIDE ROW IF NOT USED</t>
        </r>
        <r>
          <rPr>
            <sz val="9"/>
            <color indexed="81"/>
            <rFont val="Tahoma"/>
            <family val="2"/>
          </rPr>
          <t xml:space="preserve">
</t>
        </r>
      </text>
    </comment>
    <comment ref="H262" authorId="0" shapeId="0">
      <text>
        <r>
          <rPr>
            <sz val="9"/>
            <color indexed="81"/>
            <rFont val="Tahoma"/>
            <family val="2"/>
          </rPr>
          <t xml:space="preserve">Study / Memo / Concept Only </t>
        </r>
        <r>
          <rPr>
            <b/>
            <sz val="9"/>
            <color indexed="81"/>
            <rFont val="Tahoma"/>
            <family val="2"/>
          </rPr>
          <t>- Item 5a Finishes Binder- Default is "N"</t>
        </r>
        <r>
          <rPr>
            <sz val="9"/>
            <color indexed="81"/>
            <rFont val="Tahoma"/>
            <family val="2"/>
          </rPr>
          <t xml:space="preserve">
</t>
        </r>
      </text>
    </comment>
    <comment ref="H263" authorId="0" shapeId="0">
      <text>
        <r>
          <rPr>
            <sz val="9"/>
            <color indexed="81"/>
            <rFont val="Tahoma"/>
            <family val="2"/>
          </rPr>
          <t xml:space="preserve">Study / Memo / Concept Only </t>
        </r>
        <r>
          <rPr>
            <b/>
            <sz val="9"/>
            <color indexed="81"/>
            <rFont val="Tahoma"/>
            <family val="2"/>
          </rPr>
          <t>- Item 5b FFE Binder- Default is "N"</t>
        </r>
        <r>
          <rPr>
            <sz val="9"/>
            <color indexed="81"/>
            <rFont val="Tahoma"/>
            <family val="2"/>
          </rPr>
          <t xml:space="preserve">
</t>
        </r>
      </text>
    </comment>
    <comment ref="H265" authorId="0" shapeId="0">
      <text>
        <r>
          <rPr>
            <sz val="9"/>
            <color indexed="81"/>
            <rFont val="Tahoma"/>
            <family val="2"/>
          </rPr>
          <t xml:space="preserve">Study / Memo / Concept Only </t>
        </r>
        <r>
          <rPr>
            <b/>
            <sz val="9"/>
            <color indexed="81"/>
            <rFont val="Tahoma"/>
            <family val="2"/>
          </rPr>
          <t>- Item 6 Project Manual - Default is "N"</t>
        </r>
        <r>
          <rPr>
            <sz val="9"/>
            <color indexed="81"/>
            <rFont val="Tahoma"/>
            <family val="2"/>
          </rPr>
          <t xml:space="preserve">
</t>
        </r>
      </text>
    </comment>
    <comment ref="H266" authorId="0" shapeId="0">
      <text>
        <r>
          <rPr>
            <b/>
            <sz val="9"/>
            <color indexed="81"/>
            <rFont val="Tahoma"/>
            <family val="2"/>
          </rPr>
          <t>HIDE ROW IF NOT USED</t>
        </r>
        <r>
          <rPr>
            <sz val="9"/>
            <color indexed="81"/>
            <rFont val="Tahoma"/>
            <family val="2"/>
          </rPr>
          <t xml:space="preserve">
</t>
        </r>
      </text>
    </comment>
    <comment ref="H267" authorId="0" shapeId="0">
      <text>
        <r>
          <rPr>
            <b/>
            <sz val="9"/>
            <color indexed="81"/>
            <rFont val="Tahoma"/>
            <family val="2"/>
          </rPr>
          <t>HIDE ROW IF NOT USED</t>
        </r>
        <r>
          <rPr>
            <sz val="9"/>
            <color indexed="81"/>
            <rFont val="Tahoma"/>
            <family val="2"/>
          </rPr>
          <t xml:space="preserve">
</t>
        </r>
      </text>
    </comment>
    <comment ref="H268" authorId="0" shapeId="0">
      <text>
        <r>
          <rPr>
            <b/>
            <sz val="9"/>
            <color indexed="81"/>
            <rFont val="Tahoma"/>
            <family val="2"/>
          </rPr>
          <t>HIDE ROW IF NOT USED</t>
        </r>
        <r>
          <rPr>
            <sz val="9"/>
            <color indexed="81"/>
            <rFont val="Tahoma"/>
            <family val="2"/>
          </rPr>
          <t xml:space="preserve">
</t>
        </r>
      </text>
    </comment>
    <comment ref="H269" authorId="0" shapeId="0">
      <text>
        <r>
          <rPr>
            <b/>
            <sz val="9"/>
            <color indexed="81"/>
            <rFont val="Tahoma"/>
            <family val="2"/>
          </rPr>
          <t>HIDE ROW IF NOT USED</t>
        </r>
        <r>
          <rPr>
            <sz val="9"/>
            <color indexed="81"/>
            <rFont val="Tahoma"/>
            <family val="2"/>
          </rPr>
          <t xml:space="preserve">
</t>
        </r>
      </text>
    </comment>
    <comment ref="H270" authorId="0" shapeId="0">
      <text>
        <r>
          <rPr>
            <b/>
            <sz val="9"/>
            <color indexed="81"/>
            <rFont val="Tahoma"/>
            <family val="2"/>
          </rPr>
          <t>HIDE ROW IF NOT USED</t>
        </r>
        <r>
          <rPr>
            <sz val="9"/>
            <color indexed="81"/>
            <rFont val="Tahoma"/>
            <family val="2"/>
          </rPr>
          <t xml:space="preserve">
</t>
        </r>
      </text>
    </comment>
    <comment ref="H271" authorId="0" shapeId="0">
      <text>
        <r>
          <rPr>
            <b/>
            <sz val="9"/>
            <color indexed="81"/>
            <rFont val="Tahoma"/>
            <family val="2"/>
          </rPr>
          <t>HIDE ROW IF NOT USED</t>
        </r>
        <r>
          <rPr>
            <sz val="9"/>
            <color indexed="81"/>
            <rFont val="Tahoma"/>
            <family val="2"/>
          </rPr>
          <t xml:space="preserve">
</t>
        </r>
      </text>
    </comment>
    <comment ref="H272" authorId="0" shapeId="0">
      <text>
        <r>
          <rPr>
            <b/>
            <sz val="9"/>
            <color indexed="81"/>
            <rFont val="Tahoma"/>
            <family val="2"/>
          </rPr>
          <t>HIDE ROW IF NOT USED</t>
        </r>
        <r>
          <rPr>
            <sz val="9"/>
            <color indexed="81"/>
            <rFont val="Tahoma"/>
            <family val="2"/>
          </rPr>
          <t xml:space="preserve">
</t>
        </r>
      </text>
    </comment>
    <comment ref="H273" authorId="0" shapeId="0">
      <text>
        <r>
          <rPr>
            <b/>
            <sz val="9"/>
            <color indexed="81"/>
            <rFont val="Tahoma"/>
            <family val="2"/>
          </rPr>
          <t>HIDE ROW IF NOT USED</t>
        </r>
        <r>
          <rPr>
            <sz val="9"/>
            <color indexed="81"/>
            <rFont val="Tahoma"/>
            <family val="2"/>
          </rPr>
          <t xml:space="preserve">
</t>
        </r>
      </text>
    </comment>
    <comment ref="H274" authorId="0" shapeId="0">
      <text>
        <r>
          <rPr>
            <b/>
            <sz val="9"/>
            <color indexed="81"/>
            <rFont val="Tahoma"/>
            <family val="2"/>
          </rPr>
          <t>HIDE ROW IF NOT USED</t>
        </r>
        <r>
          <rPr>
            <sz val="9"/>
            <color indexed="81"/>
            <rFont val="Tahoma"/>
            <family val="2"/>
          </rPr>
          <t xml:space="preserve">
</t>
        </r>
      </text>
    </comment>
    <comment ref="H275" authorId="0" shapeId="0">
      <text>
        <r>
          <rPr>
            <b/>
            <sz val="9"/>
            <color indexed="81"/>
            <rFont val="Tahoma"/>
            <family val="2"/>
          </rPr>
          <t>HIDE ROW IF NOT USED</t>
        </r>
        <r>
          <rPr>
            <sz val="9"/>
            <color indexed="81"/>
            <rFont val="Tahoma"/>
            <family val="2"/>
          </rPr>
          <t xml:space="preserve">
</t>
        </r>
      </text>
    </comment>
    <comment ref="H276" authorId="0" shapeId="0">
      <text>
        <r>
          <rPr>
            <b/>
            <sz val="9"/>
            <color indexed="81"/>
            <rFont val="Tahoma"/>
            <family val="2"/>
          </rPr>
          <t>HIDE ROW IF NOT USED</t>
        </r>
        <r>
          <rPr>
            <sz val="9"/>
            <color indexed="81"/>
            <rFont val="Tahoma"/>
            <family val="2"/>
          </rPr>
          <t xml:space="preserve">
</t>
        </r>
      </text>
    </comment>
    <comment ref="H277" authorId="0" shapeId="0">
      <text>
        <r>
          <rPr>
            <b/>
            <sz val="9"/>
            <color indexed="81"/>
            <rFont val="Tahoma"/>
            <family val="2"/>
          </rPr>
          <t>HIDE ROW IF NOT USED</t>
        </r>
        <r>
          <rPr>
            <sz val="9"/>
            <color indexed="81"/>
            <rFont val="Tahoma"/>
            <family val="2"/>
          </rPr>
          <t xml:space="preserve">
</t>
        </r>
      </text>
    </comment>
    <comment ref="H278" authorId="0" shapeId="0">
      <text>
        <r>
          <rPr>
            <b/>
            <sz val="9"/>
            <color indexed="81"/>
            <rFont val="Tahoma"/>
            <family val="2"/>
          </rPr>
          <t>HIDE ROW IF NOT USED</t>
        </r>
        <r>
          <rPr>
            <sz val="9"/>
            <color indexed="81"/>
            <rFont val="Tahoma"/>
            <family val="2"/>
          </rPr>
          <t xml:space="preserve">
</t>
        </r>
      </text>
    </comment>
    <comment ref="H279" authorId="0" shapeId="0">
      <text>
        <r>
          <rPr>
            <b/>
            <sz val="9"/>
            <color indexed="81"/>
            <rFont val="Tahoma"/>
            <family val="2"/>
          </rPr>
          <t>HIDE ROW IF NOT USED</t>
        </r>
        <r>
          <rPr>
            <sz val="9"/>
            <color indexed="81"/>
            <rFont val="Tahoma"/>
            <family val="2"/>
          </rPr>
          <t xml:space="preserve">
</t>
        </r>
      </text>
    </comment>
    <comment ref="H280" authorId="0" shapeId="0">
      <text>
        <r>
          <rPr>
            <b/>
            <sz val="9"/>
            <color indexed="81"/>
            <rFont val="Tahoma"/>
            <family val="2"/>
          </rPr>
          <t>HIDE ROW IF NOT USED</t>
        </r>
        <r>
          <rPr>
            <sz val="9"/>
            <color indexed="81"/>
            <rFont val="Tahoma"/>
            <family val="2"/>
          </rPr>
          <t xml:space="preserve">
</t>
        </r>
      </text>
    </comment>
    <comment ref="H281" authorId="0" shapeId="0">
      <text>
        <r>
          <rPr>
            <b/>
            <sz val="9"/>
            <color indexed="81"/>
            <rFont val="Tahoma"/>
            <family val="2"/>
          </rPr>
          <t>HIDE ROW IF NOT USED</t>
        </r>
        <r>
          <rPr>
            <sz val="9"/>
            <color indexed="81"/>
            <rFont val="Tahoma"/>
            <family val="2"/>
          </rPr>
          <t xml:space="preserve">
</t>
        </r>
      </text>
    </comment>
    <comment ref="H282" authorId="0" shapeId="0">
      <text>
        <r>
          <rPr>
            <b/>
            <sz val="9"/>
            <color indexed="81"/>
            <rFont val="Tahoma"/>
            <family val="2"/>
          </rPr>
          <t>HIDE ROW IF NOT USED</t>
        </r>
        <r>
          <rPr>
            <sz val="9"/>
            <color indexed="81"/>
            <rFont val="Tahoma"/>
            <family val="2"/>
          </rPr>
          <t xml:space="preserve">
</t>
        </r>
      </text>
    </comment>
    <comment ref="H283" authorId="0" shapeId="0">
      <text>
        <r>
          <rPr>
            <b/>
            <sz val="9"/>
            <color indexed="81"/>
            <rFont val="Tahoma"/>
            <family val="2"/>
          </rPr>
          <t>HIDE ROW IF NOT USED</t>
        </r>
        <r>
          <rPr>
            <sz val="9"/>
            <color indexed="81"/>
            <rFont val="Tahoma"/>
            <family val="2"/>
          </rPr>
          <t xml:space="preserve">
</t>
        </r>
      </text>
    </comment>
    <comment ref="H284" authorId="0" shapeId="0">
      <text>
        <r>
          <rPr>
            <b/>
            <sz val="9"/>
            <color indexed="81"/>
            <rFont val="Tahoma"/>
            <family val="2"/>
          </rPr>
          <t>HIDE ROW IF NOT USED</t>
        </r>
        <r>
          <rPr>
            <sz val="9"/>
            <color indexed="81"/>
            <rFont val="Tahoma"/>
            <family val="2"/>
          </rPr>
          <t xml:space="preserve">
</t>
        </r>
      </text>
    </comment>
    <comment ref="H285" authorId="0" shapeId="0">
      <text>
        <r>
          <rPr>
            <b/>
            <sz val="9"/>
            <color indexed="81"/>
            <rFont val="Tahoma"/>
            <family val="2"/>
          </rPr>
          <t>HIDE ROW IF NOT USED</t>
        </r>
        <r>
          <rPr>
            <sz val="9"/>
            <color indexed="81"/>
            <rFont val="Tahoma"/>
            <family val="2"/>
          </rPr>
          <t xml:space="preserve">
</t>
        </r>
      </text>
    </comment>
    <comment ref="H286" authorId="0" shapeId="0">
      <text>
        <r>
          <rPr>
            <b/>
            <sz val="9"/>
            <color indexed="81"/>
            <rFont val="Tahoma"/>
            <family val="2"/>
          </rPr>
          <t>HIDE ROW IF NOT USED</t>
        </r>
        <r>
          <rPr>
            <sz val="9"/>
            <color indexed="81"/>
            <rFont val="Tahoma"/>
            <family val="2"/>
          </rPr>
          <t xml:space="preserve">
</t>
        </r>
      </text>
    </comment>
    <comment ref="H287" authorId="0" shapeId="0">
      <text>
        <r>
          <rPr>
            <b/>
            <sz val="9"/>
            <color indexed="81"/>
            <rFont val="Tahoma"/>
            <family val="2"/>
          </rPr>
          <t>HIDE ROW IF NOT USED</t>
        </r>
        <r>
          <rPr>
            <sz val="9"/>
            <color indexed="81"/>
            <rFont val="Tahoma"/>
            <family val="2"/>
          </rPr>
          <t xml:space="preserve">
</t>
        </r>
      </text>
    </comment>
    <comment ref="H288" authorId="0" shapeId="0">
      <text>
        <r>
          <rPr>
            <b/>
            <sz val="9"/>
            <color indexed="81"/>
            <rFont val="Tahoma"/>
            <family val="2"/>
          </rPr>
          <t>HIDE ROW IF NOT USED</t>
        </r>
        <r>
          <rPr>
            <sz val="9"/>
            <color indexed="81"/>
            <rFont val="Tahoma"/>
            <family val="2"/>
          </rPr>
          <t xml:space="preserve">
</t>
        </r>
      </text>
    </comment>
    <comment ref="H289" authorId="0" shapeId="0">
      <text>
        <r>
          <rPr>
            <b/>
            <sz val="9"/>
            <color indexed="81"/>
            <rFont val="Tahoma"/>
            <family val="2"/>
          </rPr>
          <t>HIDE ROW IF NOT USED</t>
        </r>
        <r>
          <rPr>
            <sz val="9"/>
            <color indexed="81"/>
            <rFont val="Tahoma"/>
            <family val="2"/>
          </rPr>
          <t xml:space="preserve">
</t>
        </r>
      </text>
    </comment>
    <comment ref="H290" authorId="0" shapeId="0">
      <text>
        <r>
          <rPr>
            <b/>
            <sz val="9"/>
            <color indexed="81"/>
            <rFont val="Tahoma"/>
            <family val="2"/>
          </rPr>
          <t>HIDE ROW IF NOT USED</t>
        </r>
        <r>
          <rPr>
            <sz val="9"/>
            <color indexed="81"/>
            <rFont val="Tahoma"/>
            <family val="2"/>
          </rPr>
          <t xml:space="preserve">
</t>
        </r>
      </text>
    </comment>
    <comment ref="H291" authorId="0" shapeId="0">
      <text>
        <r>
          <rPr>
            <b/>
            <sz val="9"/>
            <color indexed="81"/>
            <rFont val="Tahoma"/>
            <family val="2"/>
          </rPr>
          <t>HIDE ROW IF NOT USED</t>
        </r>
        <r>
          <rPr>
            <sz val="9"/>
            <color indexed="81"/>
            <rFont val="Tahoma"/>
            <family val="2"/>
          </rPr>
          <t xml:space="preserve">
</t>
        </r>
      </text>
    </comment>
    <comment ref="H292" authorId="0" shapeId="0">
      <text>
        <r>
          <rPr>
            <b/>
            <sz val="9"/>
            <color indexed="81"/>
            <rFont val="Tahoma"/>
            <family val="2"/>
          </rPr>
          <t>HIDE ROW IF NOT USED</t>
        </r>
        <r>
          <rPr>
            <sz val="9"/>
            <color indexed="81"/>
            <rFont val="Tahoma"/>
            <family val="2"/>
          </rPr>
          <t xml:space="preserve">
</t>
        </r>
      </text>
    </comment>
    <comment ref="H293" authorId="0" shapeId="0">
      <text>
        <r>
          <rPr>
            <b/>
            <sz val="9"/>
            <color indexed="81"/>
            <rFont val="Tahoma"/>
            <family val="2"/>
          </rPr>
          <t>HIDE ROW IF NOT USED</t>
        </r>
        <r>
          <rPr>
            <sz val="9"/>
            <color indexed="81"/>
            <rFont val="Tahoma"/>
            <family val="2"/>
          </rPr>
          <t xml:space="preserve">
</t>
        </r>
      </text>
    </comment>
    <comment ref="H294" authorId="0" shapeId="0">
      <text>
        <r>
          <rPr>
            <b/>
            <sz val="9"/>
            <color indexed="81"/>
            <rFont val="Tahoma"/>
            <family val="2"/>
          </rPr>
          <t>HIDE ROW IF NOT USED</t>
        </r>
        <r>
          <rPr>
            <sz val="9"/>
            <color indexed="81"/>
            <rFont val="Tahoma"/>
            <family val="2"/>
          </rPr>
          <t xml:space="preserve">
</t>
        </r>
      </text>
    </comment>
    <comment ref="H295" authorId="0" shapeId="0">
      <text>
        <r>
          <rPr>
            <b/>
            <sz val="9"/>
            <color indexed="81"/>
            <rFont val="Tahoma"/>
            <family val="2"/>
          </rPr>
          <t>HIDE ROW IF NOT USED</t>
        </r>
        <r>
          <rPr>
            <sz val="9"/>
            <color indexed="81"/>
            <rFont val="Tahoma"/>
            <family val="2"/>
          </rPr>
          <t xml:space="preserve">
</t>
        </r>
      </text>
    </comment>
    <comment ref="H296" authorId="0" shapeId="0">
      <text>
        <r>
          <rPr>
            <b/>
            <sz val="9"/>
            <color indexed="81"/>
            <rFont val="Tahoma"/>
            <family val="2"/>
          </rPr>
          <t>HIDE ROW IF NOT USED</t>
        </r>
        <r>
          <rPr>
            <sz val="9"/>
            <color indexed="81"/>
            <rFont val="Tahoma"/>
            <family val="2"/>
          </rPr>
          <t xml:space="preserve">
</t>
        </r>
      </text>
    </comment>
    <comment ref="H297" authorId="0" shapeId="0">
      <text>
        <r>
          <rPr>
            <b/>
            <sz val="9"/>
            <color indexed="81"/>
            <rFont val="Tahoma"/>
            <family val="2"/>
          </rPr>
          <t>HIDE ROW IF NOT USED</t>
        </r>
        <r>
          <rPr>
            <sz val="9"/>
            <color indexed="81"/>
            <rFont val="Tahoma"/>
            <family val="2"/>
          </rPr>
          <t xml:space="preserve">
</t>
        </r>
      </text>
    </comment>
    <comment ref="H298" authorId="0" shapeId="0">
      <text>
        <r>
          <rPr>
            <b/>
            <sz val="9"/>
            <color indexed="81"/>
            <rFont val="Tahoma"/>
            <family val="2"/>
          </rPr>
          <t>HIDE ROW IF NOT USED</t>
        </r>
        <r>
          <rPr>
            <sz val="9"/>
            <color indexed="81"/>
            <rFont val="Tahoma"/>
            <family val="2"/>
          </rPr>
          <t xml:space="preserve">
</t>
        </r>
      </text>
    </comment>
    <comment ref="H299" authorId="0" shapeId="0">
      <text>
        <r>
          <rPr>
            <b/>
            <sz val="9"/>
            <color indexed="81"/>
            <rFont val="Tahoma"/>
            <family val="2"/>
          </rPr>
          <t>HIDE ROW IF NOT USED</t>
        </r>
        <r>
          <rPr>
            <sz val="9"/>
            <color indexed="81"/>
            <rFont val="Tahoma"/>
            <family val="2"/>
          </rPr>
          <t xml:space="preserve">
</t>
        </r>
      </text>
    </comment>
    <comment ref="H300" authorId="0" shapeId="0">
      <text>
        <r>
          <rPr>
            <b/>
            <sz val="9"/>
            <color indexed="81"/>
            <rFont val="Tahoma"/>
            <family val="2"/>
          </rPr>
          <t>HIDE ROW IF NOT USED</t>
        </r>
        <r>
          <rPr>
            <sz val="9"/>
            <color indexed="81"/>
            <rFont val="Tahoma"/>
            <family val="2"/>
          </rPr>
          <t xml:space="preserve">
</t>
        </r>
      </text>
    </comment>
    <comment ref="H301" authorId="0" shapeId="0">
      <text>
        <r>
          <rPr>
            <b/>
            <sz val="9"/>
            <color indexed="81"/>
            <rFont val="Tahoma"/>
            <family val="2"/>
          </rPr>
          <t>HIDE ROW IF NOT USED</t>
        </r>
        <r>
          <rPr>
            <sz val="9"/>
            <color indexed="81"/>
            <rFont val="Tahoma"/>
            <family val="2"/>
          </rPr>
          <t xml:space="preserve">
</t>
        </r>
      </text>
    </comment>
    <comment ref="H303" authorId="0" shapeId="0">
      <text>
        <r>
          <rPr>
            <sz val="9"/>
            <color indexed="81"/>
            <rFont val="Tahoma"/>
            <family val="2"/>
          </rPr>
          <t>Study / Memo / Concept Only</t>
        </r>
        <r>
          <rPr>
            <b/>
            <sz val="9"/>
            <color indexed="81"/>
            <rFont val="Tahoma"/>
            <family val="2"/>
          </rPr>
          <t xml:space="preserve"> - Item 7a Drawings - Default is "N"</t>
        </r>
        <r>
          <rPr>
            <sz val="9"/>
            <color indexed="81"/>
            <rFont val="Tahoma"/>
            <family val="2"/>
          </rPr>
          <t xml:space="preserve">
</t>
        </r>
      </text>
    </comment>
    <comment ref="H304" authorId="0" shapeId="0">
      <text>
        <r>
          <rPr>
            <b/>
            <sz val="9"/>
            <color indexed="81"/>
            <rFont val="Tahoma"/>
            <family val="2"/>
          </rPr>
          <t>HIDE ROW IF NOT USED</t>
        </r>
        <r>
          <rPr>
            <sz val="9"/>
            <color indexed="81"/>
            <rFont val="Tahoma"/>
            <family val="2"/>
          </rPr>
          <t xml:space="preserve">
</t>
        </r>
      </text>
    </comment>
    <comment ref="H305" authorId="0" shapeId="0">
      <text>
        <r>
          <rPr>
            <b/>
            <sz val="9"/>
            <color indexed="81"/>
            <rFont val="Tahoma"/>
            <family val="2"/>
          </rPr>
          <t>HIDE ROW IF NOT USED</t>
        </r>
        <r>
          <rPr>
            <sz val="9"/>
            <color indexed="81"/>
            <rFont val="Tahoma"/>
            <family val="2"/>
          </rPr>
          <t xml:space="preserve">
</t>
        </r>
      </text>
    </comment>
    <comment ref="H306" authorId="0" shapeId="0">
      <text>
        <r>
          <rPr>
            <b/>
            <sz val="9"/>
            <color indexed="81"/>
            <rFont val="Tahoma"/>
            <family val="2"/>
          </rPr>
          <t>HIDE ROW IF NOT USED</t>
        </r>
        <r>
          <rPr>
            <sz val="9"/>
            <color indexed="81"/>
            <rFont val="Tahoma"/>
            <family val="2"/>
          </rPr>
          <t xml:space="preserve">
</t>
        </r>
      </text>
    </comment>
    <comment ref="H307" authorId="0" shapeId="0">
      <text>
        <r>
          <rPr>
            <b/>
            <sz val="9"/>
            <color indexed="81"/>
            <rFont val="Tahoma"/>
            <family val="2"/>
          </rPr>
          <t>HIDE ROW IF NOT USED</t>
        </r>
        <r>
          <rPr>
            <sz val="9"/>
            <color indexed="81"/>
            <rFont val="Tahoma"/>
            <family val="2"/>
          </rPr>
          <t xml:space="preserve">
</t>
        </r>
      </text>
    </comment>
    <comment ref="H308" authorId="0" shapeId="0">
      <text>
        <r>
          <rPr>
            <b/>
            <sz val="9"/>
            <color indexed="81"/>
            <rFont val="Tahoma"/>
            <family val="2"/>
          </rPr>
          <t>HIDE ROW IF NOT USED</t>
        </r>
        <r>
          <rPr>
            <sz val="9"/>
            <color indexed="81"/>
            <rFont val="Tahoma"/>
            <family val="2"/>
          </rPr>
          <t xml:space="preserve">
</t>
        </r>
      </text>
    </comment>
    <comment ref="H309" authorId="0" shapeId="0">
      <text>
        <r>
          <rPr>
            <b/>
            <sz val="9"/>
            <color indexed="81"/>
            <rFont val="Tahoma"/>
            <family val="2"/>
          </rPr>
          <t>HIDE ROW IF NOT USED</t>
        </r>
        <r>
          <rPr>
            <sz val="9"/>
            <color indexed="81"/>
            <rFont val="Tahoma"/>
            <family val="2"/>
          </rPr>
          <t xml:space="preserve">
</t>
        </r>
      </text>
    </comment>
    <comment ref="H310" authorId="0" shapeId="0">
      <text>
        <r>
          <rPr>
            <b/>
            <sz val="9"/>
            <color indexed="81"/>
            <rFont val="Tahoma"/>
            <family val="2"/>
          </rPr>
          <t>HIDE ROW IF NOT USED</t>
        </r>
        <r>
          <rPr>
            <sz val="9"/>
            <color indexed="81"/>
            <rFont val="Tahoma"/>
            <family val="2"/>
          </rPr>
          <t xml:space="preserve">
</t>
        </r>
      </text>
    </comment>
    <comment ref="H311" authorId="0" shapeId="0">
      <text>
        <r>
          <rPr>
            <b/>
            <sz val="9"/>
            <color indexed="81"/>
            <rFont val="Tahoma"/>
            <family val="2"/>
          </rPr>
          <t>HIDE ROW IF NOT USED</t>
        </r>
        <r>
          <rPr>
            <sz val="9"/>
            <color indexed="81"/>
            <rFont val="Tahoma"/>
            <family val="2"/>
          </rPr>
          <t xml:space="preserve">
</t>
        </r>
      </text>
    </comment>
    <comment ref="H312" authorId="0" shapeId="0">
      <text>
        <r>
          <rPr>
            <b/>
            <sz val="9"/>
            <color indexed="81"/>
            <rFont val="Tahoma"/>
            <family val="2"/>
          </rPr>
          <t>HIDE ROW IF NOT USED</t>
        </r>
        <r>
          <rPr>
            <sz val="9"/>
            <color indexed="81"/>
            <rFont val="Tahoma"/>
            <family val="2"/>
          </rPr>
          <t xml:space="preserve">
</t>
        </r>
      </text>
    </comment>
    <comment ref="H313" authorId="0" shapeId="0">
      <text>
        <r>
          <rPr>
            <b/>
            <sz val="9"/>
            <color indexed="81"/>
            <rFont val="Tahoma"/>
            <family val="2"/>
          </rPr>
          <t>HIDE ROW IF NOT USED</t>
        </r>
        <r>
          <rPr>
            <sz val="9"/>
            <color indexed="81"/>
            <rFont val="Tahoma"/>
            <family val="2"/>
          </rPr>
          <t xml:space="preserve">
</t>
        </r>
      </text>
    </comment>
    <comment ref="H314" authorId="0" shapeId="0">
      <text>
        <r>
          <rPr>
            <b/>
            <sz val="9"/>
            <color indexed="81"/>
            <rFont val="Tahoma"/>
            <family val="2"/>
          </rPr>
          <t>HIDE ROW IF NOT USED</t>
        </r>
        <r>
          <rPr>
            <sz val="9"/>
            <color indexed="81"/>
            <rFont val="Tahoma"/>
            <family val="2"/>
          </rPr>
          <t xml:space="preserve">
</t>
        </r>
      </text>
    </comment>
    <comment ref="H315" authorId="0" shapeId="0">
      <text>
        <r>
          <rPr>
            <b/>
            <sz val="9"/>
            <color indexed="81"/>
            <rFont val="Tahoma"/>
            <family val="2"/>
          </rPr>
          <t>HIDE ROW IF NOT USED</t>
        </r>
        <r>
          <rPr>
            <sz val="9"/>
            <color indexed="81"/>
            <rFont val="Tahoma"/>
            <family val="2"/>
          </rPr>
          <t xml:space="preserve">
</t>
        </r>
      </text>
    </comment>
    <comment ref="H316" authorId="0" shapeId="0">
      <text>
        <r>
          <rPr>
            <b/>
            <sz val="9"/>
            <color indexed="81"/>
            <rFont val="Tahoma"/>
            <family val="2"/>
          </rPr>
          <t>HIDE ROW IF NOT USED</t>
        </r>
        <r>
          <rPr>
            <sz val="9"/>
            <color indexed="81"/>
            <rFont val="Tahoma"/>
            <family val="2"/>
          </rPr>
          <t xml:space="preserve">
</t>
        </r>
      </text>
    </comment>
    <comment ref="H317" authorId="0" shapeId="0">
      <text>
        <r>
          <rPr>
            <b/>
            <sz val="9"/>
            <color indexed="81"/>
            <rFont val="Tahoma"/>
            <family val="2"/>
          </rPr>
          <t>HIDE ROW IF NOT USED</t>
        </r>
        <r>
          <rPr>
            <sz val="9"/>
            <color indexed="81"/>
            <rFont val="Tahoma"/>
            <family val="2"/>
          </rPr>
          <t xml:space="preserve">
</t>
        </r>
      </text>
    </comment>
    <comment ref="H318" authorId="0" shapeId="0">
      <text>
        <r>
          <rPr>
            <b/>
            <sz val="9"/>
            <color indexed="81"/>
            <rFont val="Tahoma"/>
            <family val="2"/>
          </rPr>
          <t>HIDE ROW IF NOT USED</t>
        </r>
        <r>
          <rPr>
            <sz val="9"/>
            <color indexed="81"/>
            <rFont val="Tahoma"/>
            <family val="2"/>
          </rPr>
          <t xml:space="preserve">
</t>
        </r>
      </text>
    </comment>
    <comment ref="H319" authorId="0" shapeId="0">
      <text>
        <r>
          <rPr>
            <b/>
            <sz val="9"/>
            <color indexed="81"/>
            <rFont val="Tahoma"/>
            <family val="2"/>
          </rPr>
          <t>HIDE ROW IF NOT USED</t>
        </r>
        <r>
          <rPr>
            <sz val="9"/>
            <color indexed="81"/>
            <rFont val="Tahoma"/>
            <family val="2"/>
          </rPr>
          <t xml:space="preserve">
</t>
        </r>
      </text>
    </comment>
    <comment ref="H320" authorId="0" shapeId="0">
      <text>
        <r>
          <rPr>
            <b/>
            <sz val="9"/>
            <color indexed="81"/>
            <rFont val="Tahoma"/>
            <family val="2"/>
          </rPr>
          <t>HIDE ROW IF NOT USED</t>
        </r>
        <r>
          <rPr>
            <sz val="9"/>
            <color indexed="81"/>
            <rFont val="Tahoma"/>
            <family val="2"/>
          </rPr>
          <t xml:space="preserve">
</t>
        </r>
      </text>
    </comment>
    <comment ref="H321" authorId="0" shapeId="0">
      <text>
        <r>
          <rPr>
            <b/>
            <sz val="9"/>
            <color indexed="81"/>
            <rFont val="Tahoma"/>
            <family val="2"/>
          </rPr>
          <t>HIDE ROW IF NOT USED</t>
        </r>
        <r>
          <rPr>
            <sz val="9"/>
            <color indexed="81"/>
            <rFont val="Tahoma"/>
            <family val="2"/>
          </rPr>
          <t xml:space="preserve">
</t>
        </r>
      </text>
    </comment>
    <comment ref="H322" authorId="0" shapeId="0">
      <text>
        <r>
          <rPr>
            <b/>
            <sz val="9"/>
            <color indexed="81"/>
            <rFont val="Tahoma"/>
            <family val="2"/>
          </rPr>
          <t>HIDE ROW IF NOT USED</t>
        </r>
        <r>
          <rPr>
            <sz val="9"/>
            <color indexed="81"/>
            <rFont val="Tahoma"/>
            <family val="2"/>
          </rPr>
          <t xml:space="preserve">
</t>
        </r>
      </text>
    </comment>
    <comment ref="H323" authorId="0" shapeId="0">
      <text>
        <r>
          <rPr>
            <b/>
            <sz val="9"/>
            <color indexed="81"/>
            <rFont val="Tahoma"/>
            <family val="2"/>
          </rPr>
          <t>HIDE ROW IF NOT USED</t>
        </r>
        <r>
          <rPr>
            <sz val="9"/>
            <color indexed="81"/>
            <rFont val="Tahoma"/>
            <family val="2"/>
          </rPr>
          <t xml:space="preserve">
</t>
        </r>
      </text>
    </comment>
    <comment ref="H324" authorId="0" shapeId="0">
      <text>
        <r>
          <rPr>
            <b/>
            <sz val="9"/>
            <color indexed="81"/>
            <rFont val="Tahoma"/>
            <family val="2"/>
          </rPr>
          <t>HIDE ROW IF NOT USED</t>
        </r>
        <r>
          <rPr>
            <sz val="9"/>
            <color indexed="81"/>
            <rFont val="Tahoma"/>
            <family val="2"/>
          </rPr>
          <t xml:space="preserve">
</t>
        </r>
      </text>
    </comment>
    <comment ref="H325" authorId="0" shapeId="0">
      <text>
        <r>
          <rPr>
            <b/>
            <sz val="9"/>
            <color indexed="81"/>
            <rFont val="Tahoma"/>
            <family val="2"/>
          </rPr>
          <t>HIDE ROW IF NOT USED</t>
        </r>
        <r>
          <rPr>
            <sz val="9"/>
            <color indexed="81"/>
            <rFont val="Tahoma"/>
            <family val="2"/>
          </rPr>
          <t xml:space="preserve">
</t>
        </r>
      </text>
    </comment>
    <comment ref="H326" authorId="0" shapeId="0">
      <text>
        <r>
          <rPr>
            <b/>
            <sz val="9"/>
            <color indexed="81"/>
            <rFont val="Tahoma"/>
            <family val="2"/>
          </rPr>
          <t>HIDE ROW IF NOT USED</t>
        </r>
        <r>
          <rPr>
            <sz val="9"/>
            <color indexed="81"/>
            <rFont val="Tahoma"/>
            <family val="2"/>
          </rPr>
          <t xml:space="preserve">
</t>
        </r>
      </text>
    </comment>
    <comment ref="H327" authorId="0" shapeId="0">
      <text>
        <r>
          <rPr>
            <b/>
            <sz val="9"/>
            <color indexed="81"/>
            <rFont val="Tahoma"/>
            <family val="2"/>
          </rPr>
          <t>HIDE ROW IF NOT USED</t>
        </r>
        <r>
          <rPr>
            <sz val="9"/>
            <color indexed="81"/>
            <rFont val="Tahoma"/>
            <family val="2"/>
          </rPr>
          <t xml:space="preserve">
</t>
        </r>
      </text>
    </comment>
    <comment ref="H328" authorId="0" shapeId="0">
      <text>
        <r>
          <rPr>
            <b/>
            <sz val="9"/>
            <color indexed="81"/>
            <rFont val="Tahoma"/>
            <family val="2"/>
          </rPr>
          <t>HIDE ROW IF NOT USED</t>
        </r>
        <r>
          <rPr>
            <sz val="9"/>
            <color indexed="81"/>
            <rFont val="Tahoma"/>
            <family val="2"/>
          </rPr>
          <t xml:space="preserve">
</t>
        </r>
      </text>
    </comment>
    <comment ref="H329" authorId="0" shapeId="0">
      <text>
        <r>
          <rPr>
            <b/>
            <sz val="9"/>
            <color indexed="81"/>
            <rFont val="Tahoma"/>
            <family val="2"/>
          </rPr>
          <t>HIDE ROW IF NOT USED</t>
        </r>
        <r>
          <rPr>
            <sz val="9"/>
            <color indexed="81"/>
            <rFont val="Tahoma"/>
            <family val="2"/>
          </rPr>
          <t xml:space="preserve">
</t>
        </r>
      </text>
    </comment>
    <comment ref="H330" authorId="0" shapeId="0">
      <text>
        <r>
          <rPr>
            <b/>
            <sz val="9"/>
            <color indexed="81"/>
            <rFont val="Tahoma"/>
            <family val="2"/>
          </rPr>
          <t>HIDE ROW IF NOT USED</t>
        </r>
        <r>
          <rPr>
            <sz val="9"/>
            <color indexed="81"/>
            <rFont val="Tahoma"/>
            <family val="2"/>
          </rPr>
          <t xml:space="preserve">
</t>
        </r>
      </text>
    </comment>
    <comment ref="H331" authorId="0" shapeId="0">
      <text>
        <r>
          <rPr>
            <b/>
            <sz val="9"/>
            <color indexed="81"/>
            <rFont val="Tahoma"/>
            <family val="2"/>
          </rPr>
          <t>HIDE ROW IF NOT USED</t>
        </r>
        <r>
          <rPr>
            <sz val="9"/>
            <color indexed="81"/>
            <rFont val="Tahoma"/>
            <family val="2"/>
          </rPr>
          <t xml:space="preserve">
</t>
        </r>
      </text>
    </comment>
    <comment ref="H332" authorId="0" shapeId="0">
      <text>
        <r>
          <rPr>
            <b/>
            <sz val="9"/>
            <color indexed="81"/>
            <rFont val="Tahoma"/>
            <family val="2"/>
          </rPr>
          <t>HIDE ROW IF NOT USED</t>
        </r>
        <r>
          <rPr>
            <sz val="9"/>
            <color indexed="81"/>
            <rFont val="Tahoma"/>
            <family val="2"/>
          </rPr>
          <t xml:space="preserve">
</t>
        </r>
      </text>
    </comment>
    <comment ref="H333" authorId="0" shapeId="0">
      <text>
        <r>
          <rPr>
            <b/>
            <sz val="9"/>
            <color indexed="81"/>
            <rFont val="Tahoma"/>
            <family val="2"/>
          </rPr>
          <t>HIDE ROW IF NOT USED</t>
        </r>
        <r>
          <rPr>
            <sz val="9"/>
            <color indexed="81"/>
            <rFont val="Tahoma"/>
            <family val="2"/>
          </rPr>
          <t xml:space="preserve">
</t>
        </r>
      </text>
    </comment>
    <comment ref="H334" authorId="0" shapeId="0">
      <text>
        <r>
          <rPr>
            <b/>
            <sz val="9"/>
            <color indexed="81"/>
            <rFont val="Tahoma"/>
            <family val="2"/>
          </rPr>
          <t>HIDE ROW IF NOT USED</t>
        </r>
        <r>
          <rPr>
            <sz val="9"/>
            <color indexed="81"/>
            <rFont val="Tahoma"/>
            <family val="2"/>
          </rPr>
          <t xml:space="preserve">
</t>
        </r>
      </text>
    </comment>
    <comment ref="H335" authorId="0" shapeId="0">
      <text>
        <r>
          <rPr>
            <b/>
            <sz val="9"/>
            <color indexed="81"/>
            <rFont val="Tahoma"/>
            <family val="2"/>
          </rPr>
          <t>HIDE ROW IF NOT USED</t>
        </r>
        <r>
          <rPr>
            <sz val="9"/>
            <color indexed="81"/>
            <rFont val="Tahoma"/>
            <family val="2"/>
          </rPr>
          <t xml:space="preserve">
</t>
        </r>
      </text>
    </comment>
    <comment ref="H336" authorId="0" shapeId="0">
      <text>
        <r>
          <rPr>
            <b/>
            <sz val="9"/>
            <color indexed="81"/>
            <rFont val="Tahoma"/>
            <family val="2"/>
          </rPr>
          <t>HIDE ROW IF NOT USED</t>
        </r>
        <r>
          <rPr>
            <sz val="9"/>
            <color indexed="81"/>
            <rFont val="Tahoma"/>
            <family val="2"/>
          </rPr>
          <t xml:space="preserve">
</t>
        </r>
      </text>
    </comment>
    <comment ref="H337" authorId="0" shapeId="0">
      <text>
        <r>
          <rPr>
            <b/>
            <sz val="9"/>
            <color indexed="81"/>
            <rFont val="Tahoma"/>
            <family val="2"/>
          </rPr>
          <t>HIDE ROW IF NOT USED</t>
        </r>
        <r>
          <rPr>
            <sz val="9"/>
            <color indexed="81"/>
            <rFont val="Tahoma"/>
            <family val="2"/>
          </rPr>
          <t xml:space="preserve">
</t>
        </r>
      </text>
    </comment>
    <comment ref="H338" authorId="0" shapeId="0">
      <text>
        <r>
          <rPr>
            <b/>
            <sz val="9"/>
            <color indexed="81"/>
            <rFont val="Tahoma"/>
            <family val="2"/>
          </rPr>
          <t>HIDE ROW IF NOT USED</t>
        </r>
        <r>
          <rPr>
            <sz val="9"/>
            <color indexed="81"/>
            <rFont val="Tahoma"/>
            <family val="2"/>
          </rPr>
          <t xml:space="preserve">
</t>
        </r>
      </text>
    </comment>
    <comment ref="H339" authorId="0" shapeId="0">
      <text>
        <r>
          <rPr>
            <b/>
            <sz val="9"/>
            <color indexed="81"/>
            <rFont val="Tahoma"/>
            <family val="2"/>
          </rPr>
          <t>HIDE ROW IF NOT USED</t>
        </r>
        <r>
          <rPr>
            <sz val="9"/>
            <color indexed="81"/>
            <rFont val="Tahoma"/>
            <family val="2"/>
          </rPr>
          <t xml:space="preserve">
</t>
        </r>
      </text>
    </comment>
    <comment ref="H340" authorId="0" shapeId="0">
      <text>
        <r>
          <rPr>
            <b/>
            <sz val="9"/>
            <color indexed="81"/>
            <rFont val="Tahoma"/>
            <family val="2"/>
          </rPr>
          <t>HIDE ROW IF NOT USED</t>
        </r>
        <r>
          <rPr>
            <sz val="9"/>
            <color indexed="81"/>
            <rFont val="Tahoma"/>
            <family val="2"/>
          </rPr>
          <t xml:space="preserve">
</t>
        </r>
      </text>
    </comment>
    <comment ref="H341" authorId="0" shapeId="0">
      <text>
        <r>
          <rPr>
            <b/>
            <sz val="9"/>
            <color indexed="81"/>
            <rFont val="Tahoma"/>
            <family val="2"/>
          </rPr>
          <t>HIDE ROW IF NOT USED</t>
        </r>
        <r>
          <rPr>
            <sz val="9"/>
            <color indexed="81"/>
            <rFont val="Tahoma"/>
            <family val="2"/>
          </rPr>
          <t xml:space="preserve">
</t>
        </r>
      </text>
    </comment>
    <comment ref="H342" authorId="0" shapeId="0">
      <text>
        <r>
          <rPr>
            <b/>
            <sz val="9"/>
            <color indexed="81"/>
            <rFont val="Tahoma"/>
            <family val="2"/>
          </rPr>
          <t>HIDE ROW IF NOT USED</t>
        </r>
        <r>
          <rPr>
            <sz val="9"/>
            <color indexed="81"/>
            <rFont val="Tahoma"/>
            <family val="2"/>
          </rPr>
          <t xml:space="preserve">
</t>
        </r>
      </text>
    </comment>
    <comment ref="H343" authorId="0" shapeId="0">
      <text>
        <r>
          <rPr>
            <b/>
            <sz val="9"/>
            <color indexed="81"/>
            <rFont val="Tahoma"/>
            <family val="2"/>
          </rPr>
          <t>HIDE ROW IF NOT USED</t>
        </r>
        <r>
          <rPr>
            <sz val="9"/>
            <color indexed="81"/>
            <rFont val="Tahoma"/>
            <family val="2"/>
          </rPr>
          <t xml:space="preserve">
</t>
        </r>
      </text>
    </comment>
    <comment ref="H344" authorId="0" shapeId="0">
      <text>
        <r>
          <rPr>
            <b/>
            <sz val="9"/>
            <color indexed="81"/>
            <rFont val="Tahoma"/>
            <family val="2"/>
          </rPr>
          <t>HIDE ROW IF NOT USED</t>
        </r>
        <r>
          <rPr>
            <sz val="9"/>
            <color indexed="81"/>
            <rFont val="Tahoma"/>
            <family val="2"/>
          </rPr>
          <t xml:space="preserve">
</t>
        </r>
      </text>
    </comment>
    <comment ref="H345" authorId="0" shapeId="0">
      <text>
        <r>
          <rPr>
            <b/>
            <sz val="9"/>
            <color indexed="81"/>
            <rFont val="Tahoma"/>
            <family val="2"/>
          </rPr>
          <t>HIDE ROW IF NOT USED</t>
        </r>
        <r>
          <rPr>
            <sz val="9"/>
            <color indexed="81"/>
            <rFont val="Tahoma"/>
            <family val="2"/>
          </rPr>
          <t xml:space="preserve">
</t>
        </r>
      </text>
    </comment>
    <comment ref="H346" authorId="0" shapeId="0">
      <text>
        <r>
          <rPr>
            <b/>
            <sz val="9"/>
            <color indexed="81"/>
            <rFont val="Tahoma"/>
            <family val="2"/>
          </rPr>
          <t>HIDE ROW IF NOT USED</t>
        </r>
        <r>
          <rPr>
            <sz val="9"/>
            <color indexed="81"/>
            <rFont val="Tahoma"/>
            <family val="2"/>
          </rPr>
          <t xml:space="preserve">
</t>
        </r>
      </text>
    </comment>
    <comment ref="H347" authorId="0" shapeId="0">
      <text>
        <r>
          <rPr>
            <b/>
            <sz val="9"/>
            <color indexed="81"/>
            <rFont val="Tahoma"/>
            <family val="2"/>
          </rPr>
          <t>HIDE ROW IF NOT USED</t>
        </r>
        <r>
          <rPr>
            <sz val="9"/>
            <color indexed="81"/>
            <rFont val="Tahoma"/>
            <family val="2"/>
          </rPr>
          <t xml:space="preserve">
</t>
        </r>
      </text>
    </comment>
    <comment ref="H348" authorId="0" shapeId="0">
      <text>
        <r>
          <rPr>
            <b/>
            <sz val="9"/>
            <color indexed="81"/>
            <rFont val="Tahoma"/>
            <family val="2"/>
          </rPr>
          <t>HIDE ROW IF NOT USED</t>
        </r>
        <r>
          <rPr>
            <sz val="9"/>
            <color indexed="81"/>
            <rFont val="Tahoma"/>
            <family val="2"/>
          </rPr>
          <t xml:space="preserve">
</t>
        </r>
      </text>
    </comment>
    <comment ref="H349" authorId="0" shapeId="0">
      <text>
        <r>
          <rPr>
            <b/>
            <sz val="9"/>
            <color indexed="81"/>
            <rFont val="Tahoma"/>
            <family val="2"/>
          </rPr>
          <t>HIDE ROW IF NOT USED</t>
        </r>
        <r>
          <rPr>
            <sz val="9"/>
            <color indexed="81"/>
            <rFont val="Tahoma"/>
            <family val="2"/>
          </rPr>
          <t xml:space="preserve">
</t>
        </r>
      </text>
    </comment>
    <comment ref="H350" authorId="0" shapeId="0">
      <text>
        <r>
          <rPr>
            <b/>
            <sz val="9"/>
            <color indexed="81"/>
            <rFont val="Tahoma"/>
            <family val="2"/>
          </rPr>
          <t>HIDE ROW IF NOT USED</t>
        </r>
        <r>
          <rPr>
            <sz val="9"/>
            <color indexed="81"/>
            <rFont val="Tahoma"/>
            <family val="2"/>
          </rPr>
          <t xml:space="preserve">
</t>
        </r>
      </text>
    </comment>
    <comment ref="H351" authorId="0" shapeId="0">
      <text>
        <r>
          <rPr>
            <b/>
            <sz val="9"/>
            <color indexed="81"/>
            <rFont val="Tahoma"/>
            <family val="2"/>
          </rPr>
          <t>HIDE ROW IF NOT USED</t>
        </r>
        <r>
          <rPr>
            <sz val="9"/>
            <color indexed="81"/>
            <rFont val="Tahoma"/>
            <family val="2"/>
          </rPr>
          <t xml:space="preserve">
</t>
        </r>
      </text>
    </comment>
    <comment ref="H352" authorId="0" shapeId="0">
      <text>
        <r>
          <rPr>
            <b/>
            <sz val="9"/>
            <color indexed="81"/>
            <rFont val="Tahoma"/>
            <family val="2"/>
          </rPr>
          <t>HIDE ROW IF NOT USED</t>
        </r>
        <r>
          <rPr>
            <sz val="9"/>
            <color indexed="81"/>
            <rFont val="Tahoma"/>
            <family val="2"/>
          </rPr>
          <t xml:space="preserve">
</t>
        </r>
      </text>
    </comment>
    <comment ref="H353" authorId="0" shapeId="0">
      <text>
        <r>
          <rPr>
            <b/>
            <sz val="9"/>
            <color indexed="81"/>
            <rFont val="Tahoma"/>
            <family val="2"/>
          </rPr>
          <t>HIDE ROW IF NOT USED</t>
        </r>
        <r>
          <rPr>
            <sz val="9"/>
            <color indexed="81"/>
            <rFont val="Tahoma"/>
            <family val="2"/>
          </rPr>
          <t xml:space="preserve">
</t>
        </r>
      </text>
    </comment>
    <comment ref="H354" authorId="0" shapeId="0">
      <text>
        <r>
          <rPr>
            <b/>
            <sz val="9"/>
            <color indexed="81"/>
            <rFont val="Tahoma"/>
            <family val="2"/>
          </rPr>
          <t>HIDE ROW IF NOT USED</t>
        </r>
        <r>
          <rPr>
            <sz val="9"/>
            <color indexed="81"/>
            <rFont val="Tahoma"/>
            <family val="2"/>
          </rPr>
          <t xml:space="preserve">
</t>
        </r>
      </text>
    </comment>
    <comment ref="H355" authorId="0" shapeId="0">
      <text>
        <r>
          <rPr>
            <b/>
            <sz val="9"/>
            <color indexed="81"/>
            <rFont val="Tahoma"/>
            <family val="2"/>
          </rPr>
          <t>HIDE ROW IF NOT USED</t>
        </r>
        <r>
          <rPr>
            <sz val="9"/>
            <color indexed="81"/>
            <rFont val="Tahoma"/>
            <family val="2"/>
          </rPr>
          <t xml:space="preserve">
</t>
        </r>
      </text>
    </comment>
    <comment ref="H356" authorId="0" shapeId="0">
      <text>
        <r>
          <rPr>
            <b/>
            <sz val="9"/>
            <color indexed="81"/>
            <rFont val="Tahoma"/>
            <family val="2"/>
          </rPr>
          <t>HIDE ROW IF NOT USED</t>
        </r>
        <r>
          <rPr>
            <sz val="9"/>
            <color indexed="81"/>
            <rFont val="Tahoma"/>
            <family val="2"/>
          </rPr>
          <t xml:space="preserve">
</t>
        </r>
      </text>
    </comment>
    <comment ref="H357" authorId="0" shapeId="0">
      <text>
        <r>
          <rPr>
            <b/>
            <sz val="9"/>
            <color indexed="81"/>
            <rFont val="Tahoma"/>
            <family val="2"/>
          </rPr>
          <t>HIDE ROW IF NOT USED</t>
        </r>
        <r>
          <rPr>
            <sz val="9"/>
            <color indexed="81"/>
            <rFont val="Tahoma"/>
            <family val="2"/>
          </rPr>
          <t xml:space="preserve">
</t>
        </r>
      </text>
    </comment>
    <comment ref="H358" authorId="0" shapeId="0">
      <text>
        <r>
          <rPr>
            <b/>
            <sz val="9"/>
            <color indexed="81"/>
            <rFont val="Tahoma"/>
            <family val="2"/>
          </rPr>
          <t>HIDE ROW IF NOT USED</t>
        </r>
        <r>
          <rPr>
            <sz val="9"/>
            <color indexed="81"/>
            <rFont val="Tahoma"/>
            <family val="2"/>
          </rPr>
          <t xml:space="preserve">
</t>
        </r>
      </text>
    </comment>
    <comment ref="H359" authorId="0" shapeId="0">
      <text>
        <r>
          <rPr>
            <b/>
            <sz val="9"/>
            <color indexed="81"/>
            <rFont val="Tahoma"/>
            <family val="2"/>
          </rPr>
          <t>HIDE ROW IF NOT USED</t>
        </r>
        <r>
          <rPr>
            <sz val="9"/>
            <color indexed="81"/>
            <rFont val="Tahoma"/>
            <family val="2"/>
          </rPr>
          <t xml:space="preserve">
</t>
        </r>
      </text>
    </comment>
    <comment ref="H360" authorId="0" shapeId="0">
      <text>
        <r>
          <rPr>
            <b/>
            <sz val="9"/>
            <color indexed="81"/>
            <rFont val="Tahoma"/>
            <family val="2"/>
          </rPr>
          <t>HIDE ROW IF NOT USED</t>
        </r>
        <r>
          <rPr>
            <sz val="9"/>
            <color indexed="81"/>
            <rFont val="Tahoma"/>
            <family val="2"/>
          </rPr>
          <t xml:space="preserve">
</t>
        </r>
      </text>
    </comment>
    <comment ref="H361" authorId="0" shapeId="0">
      <text>
        <r>
          <rPr>
            <b/>
            <sz val="9"/>
            <color indexed="81"/>
            <rFont val="Tahoma"/>
            <family val="2"/>
          </rPr>
          <t>HIDE ROW IF NOT USED</t>
        </r>
        <r>
          <rPr>
            <sz val="9"/>
            <color indexed="81"/>
            <rFont val="Tahoma"/>
            <family val="2"/>
          </rPr>
          <t xml:space="preserve">
</t>
        </r>
      </text>
    </comment>
    <comment ref="H362" authorId="0" shapeId="0">
      <text>
        <r>
          <rPr>
            <b/>
            <sz val="9"/>
            <color indexed="81"/>
            <rFont val="Tahoma"/>
            <family val="2"/>
          </rPr>
          <t>HIDE ROW IF NOT USED</t>
        </r>
        <r>
          <rPr>
            <sz val="9"/>
            <color indexed="81"/>
            <rFont val="Tahoma"/>
            <family val="2"/>
          </rPr>
          <t xml:space="preserve">
</t>
        </r>
      </text>
    </comment>
    <comment ref="H363" authorId="0" shapeId="0">
      <text>
        <r>
          <rPr>
            <b/>
            <sz val="9"/>
            <color indexed="81"/>
            <rFont val="Tahoma"/>
            <family val="2"/>
          </rPr>
          <t>HIDE ROW IF NOT USED</t>
        </r>
        <r>
          <rPr>
            <sz val="9"/>
            <color indexed="81"/>
            <rFont val="Tahoma"/>
            <family val="2"/>
          </rPr>
          <t xml:space="preserve">
</t>
        </r>
      </text>
    </comment>
    <comment ref="H364" authorId="0" shapeId="0">
      <text>
        <r>
          <rPr>
            <b/>
            <sz val="9"/>
            <color indexed="81"/>
            <rFont val="Tahoma"/>
            <family val="2"/>
          </rPr>
          <t>HIDE ROW IF NOT USED</t>
        </r>
        <r>
          <rPr>
            <sz val="9"/>
            <color indexed="81"/>
            <rFont val="Tahoma"/>
            <family val="2"/>
          </rPr>
          <t xml:space="preserve">
</t>
        </r>
      </text>
    </comment>
    <comment ref="H365" authorId="0" shapeId="0">
      <text>
        <r>
          <rPr>
            <b/>
            <sz val="9"/>
            <color indexed="81"/>
            <rFont val="Tahoma"/>
            <family val="2"/>
          </rPr>
          <t>HIDE ROW IF NOT USED</t>
        </r>
        <r>
          <rPr>
            <sz val="9"/>
            <color indexed="81"/>
            <rFont val="Tahoma"/>
            <family val="2"/>
          </rPr>
          <t xml:space="preserve">
</t>
        </r>
      </text>
    </comment>
    <comment ref="H366" authorId="0" shapeId="0">
      <text>
        <r>
          <rPr>
            <b/>
            <sz val="9"/>
            <color indexed="81"/>
            <rFont val="Tahoma"/>
            <family val="2"/>
          </rPr>
          <t>HIDE ROW IF NOT USED</t>
        </r>
        <r>
          <rPr>
            <sz val="9"/>
            <color indexed="81"/>
            <rFont val="Tahoma"/>
            <family val="2"/>
          </rPr>
          <t xml:space="preserve">
</t>
        </r>
      </text>
    </comment>
    <comment ref="H367" authorId="0" shapeId="0">
      <text>
        <r>
          <rPr>
            <b/>
            <sz val="9"/>
            <color indexed="81"/>
            <rFont val="Tahoma"/>
            <family val="2"/>
          </rPr>
          <t>HIDE ROW IF NOT USED</t>
        </r>
        <r>
          <rPr>
            <sz val="9"/>
            <color indexed="81"/>
            <rFont val="Tahoma"/>
            <family val="2"/>
          </rPr>
          <t xml:space="preserve">
</t>
        </r>
      </text>
    </comment>
    <comment ref="H368" authorId="0" shapeId="0">
      <text>
        <r>
          <rPr>
            <b/>
            <sz val="9"/>
            <color indexed="81"/>
            <rFont val="Tahoma"/>
            <family val="2"/>
          </rPr>
          <t>HIDE ROW IF NOT USED</t>
        </r>
        <r>
          <rPr>
            <sz val="9"/>
            <color indexed="81"/>
            <rFont val="Tahoma"/>
            <family val="2"/>
          </rPr>
          <t xml:space="preserve">
</t>
        </r>
      </text>
    </comment>
    <comment ref="H369" authorId="0" shapeId="0">
      <text>
        <r>
          <rPr>
            <b/>
            <sz val="9"/>
            <color indexed="81"/>
            <rFont val="Tahoma"/>
            <family val="2"/>
          </rPr>
          <t>HIDE ROW IF NOT USED</t>
        </r>
        <r>
          <rPr>
            <sz val="9"/>
            <color indexed="81"/>
            <rFont val="Tahoma"/>
            <family val="2"/>
          </rPr>
          <t xml:space="preserve">
</t>
        </r>
      </text>
    </comment>
    <comment ref="H370" authorId="0" shapeId="0">
      <text>
        <r>
          <rPr>
            <b/>
            <sz val="9"/>
            <color indexed="81"/>
            <rFont val="Tahoma"/>
            <family val="2"/>
          </rPr>
          <t>HIDE ROW IF NOT USED</t>
        </r>
        <r>
          <rPr>
            <sz val="9"/>
            <color indexed="81"/>
            <rFont val="Tahoma"/>
            <family val="2"/>
          </rPr>
          <t xml:space="preserve">
</t>
        </r>
      </text>
    </comment>
    <comment ref="H371" authorId="0" shapeId="0">
      <text>
        <r>
          <rPr>
            <b/>
            <sz val="9"/>
            <color indexed="81"/>
            <rFont val="Tahoma"/>
            <family val="2"/>
          </rPr>
          <t>HIDE ROW IF NOT USED</t>
        </r>
        <r>
          <rPr>
            <sz val="9"/>
            <color indexed="81"/>
            <rFont val="Tahoma"/>
            <family val="2"/>
          </rPr>
          <t xml:space="preserve">
</t>
        </r>
      </text>
    </comment>
    <comment ref="H372" authorId="0" shapeId="0">
      <text>
        <r>
          <rPr>
            <b/>
            <sz val="9"/>
            <color indexed="81"/>
            <rFont val="Tahoma"/>
            <family val="2"/>
          </rPr>
          <t>HIDE ROW IF NOT USED</t>
        </r>
        <r>
          <rPr>
            <sz val="9"/>
            <color indexed="81"/>
            <rFont val="Tahoma"/>
            <family val="2"/>
          </rPr>
          <t xml:space="preserve">
</t>
        </r>
      </text>
    </comment>
    <comment ref="H373" authorId="0" shapeId="0">
      <text>
        <r>
          <rPr>
            <b/>
            <sz val="9"/>
            <color indexed="81"/>
            <rFont val="Tahoma"/>
            <family val="2"/>
          </rPr>
          <t>HIDE ROW IF NOT USED</t>
        </r>
        <r>
          <rPr>
            <sz val="9"/>
            <color indexed="81"/>
            <rFont val="Tahoma"/>
            <family val="2"/>
          </rPr>
          <t xml:space="preserve">
</t>
        </r>
      </text>
    </comment>
    <comment ref="H374" authorId="0" shapeId="0">
      <text>
        <r>
          <rPr>
            <b/>
            <sz val="9"/>
            <color indexed="81"/>
            <rFont val="Tahoma"/>
            <family val="2"/>
          </rPr>
          <t>HIDE ROW IF NOT USED</t>
        </r>
        <r>
          <rPr>
            <sz val="9"/>
            <color indexed="81"/>
            <rFont val="Tahoma"/>
            <family val="2"/>
          </rPr>
          <t xml:space="preserve">
</t>
        </r>
      </text>
    </comment>
    <comment ref="H375" authorId="0" shapeId="0">
      <text>
        <r>
          <rPr>
            <b/>
            <sz val="9"/>
            <color indexed="81"/>
            <rFont val="Tahoma"/>
            <family val="2"/>
          </rPr>
          <t>HIDE ROW IF NOT USED</t>
        </r>
        <r>
          <rPr>
            <sz val="9"/>
            <color indexed="81"/>
            <rFont val="Tahoma"/>
            <family val="2"/>
          </rPr>
          <t xml:space="preserve">
</t>
        </r>
      </text>
    </comment>
    <comment ref="H376" authorId="0" shapeId="0">
      <text>
        <r>
          <rPr>
            <b/>
            <sz val="9"/>
            <color indexed="81"/>
            <rFont val="Tahoma"/>
            <family val="2"/>
          </rPr>
          <t>HIDE ROW IF NOT USED</t>
        </r>
        <r>
          <rPr>
            <sz val="9"/>
            <color indexed="81"/>
            <rFont val="Tahoma"/>
            <family val="2"/>
          </rPr>
          <t xml:space="preserve">
</t>
        </r>
      </text>
    </comment>
    <comment ref="H377" authorId="0" shapeId="0">
      <text>
        <r>
          <rPr>
            <b/>
            <sz val="9"/>
            <color indexed="81"/>
            <rFont val="Tahoma"/>
            <family val="2"/>
          </rPr>
          <t>HIDE ROW IF NOT USED</t>
        </r>
        <r>
          <rPr>
            <sz val="9"/>
            <color indexed="81"/>
            <rFont val="Tahoma"/>
            <family val="2"/>
          </rPr>
          <t xml:space="preserve">
</t>
        </r>
      </text>
    </comment>
    <comment ref="H378" authorId="0" shapeId="0">
      <text>
        <r>
          <rPr>
            <b/>
            <sz val="9"/>
            <color indexed="81"/>
            <rFont val="Tahoma"/>
            <family val="2"/>
          </rPr>
          <t>HIDE ROW IF NOT USED</t>
        </r>
        <r>
          <rPr>
            <sz val="9"/>
            <color indexed="81"/>
            <rFont val="Tahoma"/>
            <family val="2"/>
          </rPr>
          <t xml:space="preserve">
</t>
        </r>
      </text>
    </comment>
    <comment ref="H379" authorId="0" shapeId="0">
      <text>
        <r>
          <rPr>
            <b/>
            <sz val="9"/>
            <color indexed="81"/>
            <rFont val="Tahoma"/>
            <family val="2"/>
          </rPr>
          <t>HIDE ROW IF NOT USED</t>
        </r>
        <r>
          <rPr>
            <sz val="9"/>
            <color indexed="81"/>
            <rFont val="Tahoma"/>
            <family val="2"/>
          </rPr>
          <t xml:space="preserve">
</t>
        </r>
      </text>
    </comment>
    <comment ref="H380" authorId="0" shapeId="0">
      <text>
        <r>
          <rPr>
            <b/>
            <sz val="9"/>
            <color indexed="81"/>
            <rFont val="Tahoma"/>
            <family val="2"/>
          </rPr>
          <t>HIDE ROW IF NOT USED</t>
        </r>
        <r>
          <rPr>
            <sz val="9"/>
            <color indexed="81"/>
            <rFont val="Tahoma"/>
            <family val="2"/>
          </rPr>
          <t xml:space="preserve">
</t>
        </r>
      </text>
    </comment>
    <comment ref="H381" authorId="0" shapeId="0">
      <text>
        <r>
          <rPr>
            <b/>
            <sz val="9"/>
            <color indexed="81"/>
            <rFont val="Tahoma"/>
            <family val="2"/>
          </rPr>
          <t>HIDE ROW IF NOT USED</t>
        </r>
        <r>
          <rPr>
            <sz val="9"/>
            <color indexed="81"/>
            <rFont val="Tahoma"/>
            <family val="2"/>
          </rPr>
          <t xml:space="preserve">
</t>
        </r>
      </text>
    </comment>
    <comment ref="H382" authorId="0" shapeId="0">
      <text>
        <r>
          <rPr>
            <b/>
            <sz val="9"/>
            <color indexed="81"/>
            <rFont val="Tahoma"/>
            <family val="2"/>
          </rPr>
          <t>HIDE ROW IF NOT USED</t>
        </r>
        <r>
          <rPr>
            <sz val="9"/>
            <color indexed="81"/>
            <rFont val="Tahoma"/>
            <family val="2"/>
          </rPr>
          <t xml:space="preserve">
</t>
        </r>
      </text>
    </comment>
    <comment ref="H383" authorId="0" shapeId="0">
      <text>
        <r>
          <rPr>
            <b/>
            <sz val="9"/>
            <color indexed="81"/>
            <rFont val="Tahoma"/>
            <family val="2"/>
          </rPr>
          <t>HIDE ROW IF NOT USED</t>
        </r>
        <r>
          <rPr>
            <sz val="9"/>
            <color indexed="81"/>
            <rFont val="Tahoma"/>
            <family val="2"/>
          </rPr>
          <t xml:space="preserve">
</t>
        </r>
      </text>
    </comment>
    <comment ref="H384" authorId="0" shapeId="0">
      <text>
        <r>
          <rPr>
            <b/>
            <sz val="9"/>
            <color indexed="81"/>
            <rFont val="Tahoma"/>
            <family val="2"/>
          </rPr>
          <t>HIDE ROW IF NOT USED</t>
        </r>
        <r>
          <rPr>
            <sz val="9"/>
            <color indexed="81"/>
            <rFont val="Tahoma"/>
            <family val="2"/>
          </rPr>
          <t xml:space="preserve">
</t>
        </r>
      </text>
    </comment>
    <comment ref="H385" authorId="0" shapeId="0">
      <text>
        <r>
          <rPr>
            <b/>
            <sz val="9"/>
            <color indexed="81"/>
            <rFont val="Tahoma"/>
            <family val="2"/>
          </rPr>
          <t>HIDE ROW IF NOT USED</t>
        </r>
        <r>
          <rPr>
            <sz val="9"/>
            <color indexed="81"/>
            <rFont val="Tahoma"/>
            <family val="2"/>
          </rPr>
          <t xml:space="preserve">
</t>
        </r>
      </text>
    </comment>
    <comment ref="H386" authorId="0" shapeId="0">
      <text>
        <r>
          <rPr>
            <b/>
            <sz val="9"/>
            <color indexed="81"/>
            <rFont val="Tahoma"/>
            <family val="2"/>
          </rPr>
          <t>HIDE ROW IF NOT USED</t>
        </r>
        <r>
          <rPr>
            <sz val="9"/>
            <color indexed="81"/>
            <rFont val="Tahoma"/>
            <family val="2"/>
          </rPr>
          <t xml:space="preserve">
</t>
        </r>
      </text>
    </comment>
    <comment ref="H387" authorId="0" shapeId="0">
      <text>
        <r>
          <rPr>
            <b/>
            <sz val="9"/>
            <color indexed="81"/>
            <rFont val="Tahoma"/>
            <family val="2"/>
          </rPr>
          <t>HIDE ROW IF NOT USED</t>
        </r>
        <r>
          <rPr>
            <sz val="9"/>
            <color indexed="81"/>
            <rFont val="Tahoma"/>
            <family val="2"/>
          </rPr>
          <t xml:space="preserve">
</t>
        </r>
      </text>
    </comment>
    <comment ref="H388" authorId="0" shapeId="0">
      <text>
        <r>
          <rPr>
            <b/>
            <sz val="9"/>
            <color indexed="81"/>
            <rFont val="Tahoma"/>
            <family val="2"/>
          </rPr>
          <t>HIDE ROW IF NOT USED</t>
        </r>
        <r>
          <rPr>
            <sz val="9"/>
            <color indexed="81"/>
            <rFont val="Tahoma"/>
            <family val="2"/>
          </rPr>
          <t xml:space="preserve">
</t>
        </r>
      </text>
    </comment>
    <comment ref="H389" authorId="0" shapeId="0">
      <text>
        <r>
          <rPr>
            <b/>
            <sz val="9"/>
            <color indexed="81"/>
            <rFont val="Tahoma"/>
            <family val="2"/>
          </rPr>
          <t>HIDE ROW IF NOT USED</t>
        </r>
        <r>
          <rPr>
            <sz val="9"/>
            <color indexed="81"/>
            <rFont val="Tahoma"/>
            <family val="2"/>
          </rPr>
          <t xml:space="preserve">
</t>
        </r>
      </text>
    </comment>
    <comment ref="H390" authorId="0" shapeId="0">
      <text>
        <r>
          <rPr>
            <b/>
            <sz val="9"/>
            <color indexed="81"/>
            <rFont val="Tahoma"/>
            <family val="2"/>
          </rPr>
          <t>HIDE ROW IF NOT USED</t>
        </r>
        <r>
          <rPr>
            <sz val="9"/>
            <color indexed="81"/>
            <rFont val="Tahoma"/>
            <family val="2"/>
          </rPr>
          <t xml:space="preserve">
</t>
        </r>
      </text>
    </comment>
    <comment ref="H391" authorId="0" shapeId="0">
      <text>
        <r>
          <rPr>
            <b/>
            <sz val="9"/>
            <color indexed="81"/>
            <rFont val="Tahoma"/>
            <family val="2"/>
          </rPr>
          <t>HIDE ROW IF NOT USED</t>
        </r>
        <r>
          <rPr>
            <sz val="9"/>
            <color indexed="81"/>
            <rFont val="Tahoma"/>
            <family val="2"/>
          </rPr>
          <t xml:space="preserve">
</t>
        </r>
      </text>
    </comment>
    <comment ref="H392" authorId="0" shapeId="0">
      <text>
        <r>
          <rPr>
            <b/>
            <sz val="9"/>
            <color indexed="81"/>
            <rFont val="Tahoma"/>
            <family val="2"/>
          </rPr>
          <t>HIDE ROW IF NOT USED</t>
        </r>
        <r>
          <rPr>
            <sz val="9"/>
            <color indexed="81"/>
            <rFont val="Tahoma"/>
            <family val="2"/>
          </rPr>
          <t xml:space="preserve">
</t>
        </r>
      </text>
    </comment>
    <comment ref="H393" authorId="0" shapeId="0">
      <text>
        <r>
          <rPr>
            <b/>
            <sz val="9"/>
            <color indexed="81"/>
            <rFont val="Tahoma"/>
            <family val="2"/>
          </rPr>
          <t>HIDE ROW IF NOT USED</t>
        </r>
        <r>
          <rPr>
            <sz val="9"/>
            <color indexed="81"/>
            <rFont val="Tahoma"/>
            <family val="2"/>
          </rPr>
          <t xml:space="preserve">
</t>
        </r>
      </text>
    </comment>
    <comment ref="H394" authorId="0" shapeId="0">
      <text>
        <r>
          <rPr>
            <b/>
            <sz val="9"/>
            <color indexed="81"/>
            <rFont val="Tahoma"/>
            <family val="2"/>
          </rPr>
          <t>HIDE ROW IF NOT USED</t>
        </r>
        <r>
          <rPr>
            <sz val="9"/>
            <color indexed="81"/>
            <rFont val="Tahoma"/>
            <family val="2"/>
          </rPr>
          <t xml:space="preserve">
</t>
        </r>
      </text>
    </comment>
    <comment ref="H395" authorId="0" shapeId="0">
      <text>
        <r>
          <rPr>
            <b/>
            <sz val="9"/>
            <color indexed="81"/>
            <rFont val="Tahoma"/>
            <family val="2"/>
          </rPr>
          <t>HIDE ROW IF NOT USED</t>
        </r>
        <r>
          <rPr>
            <sz val="9"/>
            <color indexed="81"/>
            <rFont val="Tahoma"/>
            <family val="2"/>
          </rPr>
          <t xml:space="preserve">
</t>
        </r>
      </text>
    </comment>
    <comment ref="H396" authorId="0" shapeId="0">
      <text>
        <r>
          <rPr>
            <b/>
            <sz val="9"/>
            <color indexed="81"/>
            <rFont val="Tahoma"/>
            <family val="2"/>
          </rPr>
          <t>HIDE ROW IF NOT USED</t>
        </r>
        <r>
          <rPr>
            <sz val="9"/>
            <color indexed="81"/>
            <rFont val="Tahoma"/>
            <family val="2"/>
          </rPr>
          <t xml:space="preserve">
</t>
        </r>
      </text>
    </comment>
    <comment ref="H397" authorId="0" shapeId="0">
      <text>
        <r>
          <rPr>
            <b/>
            <sz val="9"/>
            <color indexed="81"/>
            <rFont val="Tahoma"/>
            <family val="2"/>
          </rPr>
          <t>HIDE ROW IF NOT USED</t>
        </r>
        <r>
          <rPr>
            <sz val="9"/>
            <color indexed="81"/>
            <rFont val="Tahoma"/>
            <family val="2"/>
          </rPr>
          <t xml:space="preserve">
</t>
        </r>
      </text>
    </comment>
    <comment ref="H398" authorId="0" shapeId="0">
      <text>
        <r>
          <rPr>
            <b/>
            <sz val="9"/>
            <color indexed="81"/>
            <rFont val="Tahoma"/>
            <family val="2"/>
          </rPr>
          <t>HIDE ROW IF NOT USED</t>
        </r>
        <r>
          <rPr>
            <sz val="9"/>
            <color indexed="81"/>
            <rFont val="Tahoma"/>
            <family val="2"/>
          </rPr>
          <t xml:space="preserve">
</t>
        </r>
      </text>
    </comment>
    <comment ref="H399" authorId="0" shapeId="0">
      <text>
        <r>
          <rPr>
            <b/>
            <sz val="9"/>
            <color indexed="81"/>
            <rFont val="Tahoma"/>
            <family val="2"/>
          </rPr>
          <t>HIDE ROW IF NOT USED</t>
        </r>
        <r>
          <rPr>
            <sz val="9"/>
            <color indexed="81"/>
            <rFont val="Tahoma"/>
            <family val="2"/>
          </rPr>
          <t xml:space="preserve">
</t>
        </r>
      </text>
    </comment>
    <comment ref="H400" authorId="0" shapeId="0">
      <text>
        <r>
          <rPr>
            <b/>
            <sz val="9"/>
            <color indexed="81"/>
            <rFont val="Tahoma"/>
            <family val="2"/>
          </rPr>
          <t>HIDE ROW IF NOT USED</t>
        </r>
        <r>
          <rPr>
            <sz val="9"/>
            <color indexed="81"/>
            <rFont val="Tahoma"/>
            <family val="2"/>
          </rPr>
          <t xml:space="preserve">
</t>
        </r>
      </text>
    </comment>
    <comment ref="H401" authorId="0" shapeId="0">
      <text>
        <r>
          <rPr>
            <b/>
            <sz val="9"/>
            <color indexed="81"/>
            <rFont val="Tahoma"/>
            <family val="2"/>
          </rPr>
          <t>HIDE ROW IF NOT USED</t>
        </r>
        <r>
          <rPr>
            <sz val="9"/>
            <color indexed="81"/>
            <rFont val="Tahoma"/>
            <family val="2"/>
          </rPr>
          <t xml:space="preserve">
</t>
        </r>
      </text>
    </comment>
    <comment ref="H402" authorId="0" shapeId="0">
      <text>
        <r>
          <rPr>
            <b/>
            <sz val="9"/>
            <color indexed="81"/>
            <rFont val="Tahoma"/>
            <family val="2"/>
          </rPr>
          <t>HIDE ROW IF NOT USED</t>
        </r>
        <r>
          <rPr>
            <sz val="9"/>
            <color indexed="81"/>
            <rFont val="Tahoma"/>
            <family val="2"/>
          </rPr>
          <t xml:space="preserve">
</t>
        </r>
      </text>
    </comment>
    <comment ref="H403" authorId="0" shapeId="0">
      <text>
        <r>
          <rPr>
            <b/>
            <sz val="9"/>
            <color indexed="81"/>
            <rFont val="Tahoma"/>
            <family val="2"/>
          </rPr>
          <t>HIDE ROW IF NOT USED</t>
        </r>
        <r>
          <rPr>
            <sz val="9"/>
            <color indexed="81"/>
            <rFont val="Tahoma"/>
            <family val="2"/>
          </rPr>
          <t xml:space="preserve">
</t>
        </r>
      </text>
    </comment>
    <comment ref="H405" authorId="0" shapeId="0">
      <text>
        <r>
          <rPr>
            <sz val="9"/>
            <color indexed="81"/>
            <rFont val="Tahoma"/>
            <family val="2"/>
          </rPr>
          <t>Study / Memo / Concept Only</t>
        </r>
        <r>
          <rPr>
            <b/>
            <sz val="9"/>
            <color indexed="81"/>
            <rFont val="Tahoma"/>
            <family val="2"/>
          </rPr>
          <t xml:space="preserve"> - Item 7b BIM - Default is "N"</t>
        </r>
        <r>
          <rPr>
            <sz val="9"/>
            <color indexed="81"/>
            <rFont val="Tahoma"/>
            <family val="2"/>
          </rPr>
          <t xml:space="preserve">
</t>
        </r>
      </text>
    </comment>
    <comment ref="H407" authorId="0" shapeId="0">
      <text>
        <r>
          <rPr>
            <sz val="9"/>
            <color indexed="81"/>
            <rFont val="Tahoma"/>
            <family val="2"/>
          </rPr>
          <t xml:space="preserve">Study / Memo / Concept Only </t>
        </r>
        <r>
          <rPr>
            <b/>
            <sz val="9"/>
            <color indexed="81"/>
            <rFont val="Tahoma"/>
            <family val="2"/>
          </rPr>
          <t>- Item 8 Presentation - Suggest "Y" for large studies. 
Conceptualizations require a Presentation.  Confirm if a draft presentation is also necessary.</t>
        </r>
        <r>
          <rPr>
            <sz val="9"/>
            <color indexed="81"/>
            <rFont val="Tahoma"/>
            <family val="2"/>
          </rPr>
          <t xml:space="preserve">
</t>
        </r>
      </text>
    </comment>
    <comment ref="H408" authorId="0" shapeId="0">
      <text>
        <r>
          <rPr>
            <b/>
            <sz val="9"/>
            <color indexed="81"/>
            <rFont val="Tahoma"/>
            <family val="2"/>
          </rPr>
          <t>HIDE ROW IF NOT USED</t>
        </r>
        <r>
          <rPr>
            <sz val="9"/>
            <color indexed="81"/>
            <rFont val="Tahoma"/>
            <family val="2"/>
          </rPr>
          <t xml:space="preserve">
</t>
        </r>
      </text>
    </comment>
    <comment ref="H409" authorId="0" shapeId="0">
      <text>
        <r>
          <rPr>
            <b/>
            <sz val="9"/>
            <color indexed="81"/>
            <rFont val="Tahoma"/>
            <family val="2"/>
          </rPr>
          <t>HIDE ROW IF NOT USED</t>
        </r>
        <r>
          <rPr>
            <sz val="9"/>
            <color indexed="81"/>
            <rFont val="Tahoma"/>
            <family val="2"/>
          </rPr>
          <t xml:space="preserve">
</t>
        </r>
      </text>
    </comment>
    <comment ref="H410" authorId="0" shapeId="0">
      <text>
        <r>
          <rPr>
            <b/>
            <sz val="9"/>
            <color indexed="81"/>
            <rFont val="Tahoma"/>
            <family val="2"/>
          </rPr>
          <t>HIDE ROW IF NOT USED</t>
        </r>
        <r>
          <rPr>
            <sz val="9"/>
            <color indexed="81"/>
            <rFont val="Tahoma"/>
            <family val="2"/>
          </rPr>
          <t xml:space="preserve">
</t>
        </r>
      </text>
    </comment>
    <comment ref="H411" authorId="0" shapeId="0">
      <text>
        <r>
          <rPr>
            <b/>
            <sz val="9"/>
            <color indexed="81"/>
            <rFont val="Tahoma"/>
            <family val="2"/>
          </rPr>
          <t>HIDE ROW IF NOT USED</t>
        </r>
        <r>
          <rPr>
            <sz val="9"/>
            <color indexed="81"/>
            <rFont val="Tahoma"/>
            <family val="2"/>
          </rPr>
          <t xml:space="preserve">
</t>
        </r>
      </text>
    </comment>
    <comment ref="H412" authorId="0" shapeId="0">
      <text>
        <r>
          <rPr>
            <b/>
            <sz val="9"/>
            <color indexed="81"/>
            <rFont val="Tahoma"/>
            <family val="2"/>
          </rPr>
          <t>HIDE ROW IF NOT USED</t>
        </r>
        <r>
          <rPr>
            <sz val="9"/>
            <color indexed="81"/>
            <rFont val="Tahoma"/>
            <family val="2"/>
          </rPr>
          <t xml:space="preserve">
</t>
        </r>
      </text>
    </comment>
    <comment ref="H413" authorId="0" shapeId="0">
      <text>
        <r>
          <rPr>
            <b/>
            <sz val="9"/>
            <color indexed="81"/>
            <rFont val="Tahoma"/>
            <family val="2"/>
          </rPr>
          <t>HIDE ROW IF NOT USED</t>
        </r>
        <r>
          <rPr>
            <sz val="9"/>
            <color indexed="81"/>
            <rFont val="Tahoma"/>
            <family val="2"/>
          </rPr>
          <t xml:space="preserve">
</t>
        </r>
      </text>
    </comment>
    <comment ref="H414" authorId="0" shapeId="0">
      <text>
        <r>
          <rPr>
            <b/>
            <sz val="9"/>
            <color indexed="81"/>
            <rFont val="Tahoma"/>
            <family val="2"/>
          </rPr>
          <t>HIDE ROW IF NOT USED</t>
        </r>
        <r>
          <rPr>
            <sz val="9"/>
            <color indexed="81"/>
            <rFont val="Tahoma"/>
            <family val="2"/>
          </rPr>
          <t xml:space="preserve">
</t>
        </r>
      </text>
    </comment>
    <comment ref="H415" authorId="0" shapeId="0">
      <text>
        <r>
          <rPr>
            <b/>
            <sz val="9"/>
            <color indexed="81"/>
            <rFont val="Tahoma"/>
            <family val="2"/>
          </rPr>
          <t>HIDE ROW IF NOT USED</t>
        </r>
        <r>
          <rPr>
            <sz val="9"/>
            <color indexed="81"/>
            <rFont val="Tahoma"/>
            <family val="2"/>
          </rPr>
          <t xml:space="preserve">
</t>
        </r>
      </text>
    </comment>
    <comment ref="H416" authorId="0" shapeId="0">
      <text>
        <r>
          <rPr>
            <b/>
            <sz val="9"/>
            <color indexed="81"/>
            <rFont val="Tahoma"/>
            <family val="2"/>
          </rPr>
          <t>HIDE ROW IF NOT USED</t>
        </r>
        <r>
          <rPr>
            <sz val="9"/>
            <color indexed="81"/>
            <rFont val="Tahoma"/>
            <family val="2"/>
          </rPr>
          <t xml:space="preserve">
</t>
        </r>
      </text>
    </comment>
    <comment ref="H417" authorId="0" shapeId="0">
      <text>
        <r>
          <rPr>
            <b/>
            <sz val="9"/>
            <color indexed="81"/>
            <rFont val="Tahoma"/>
            <family val="2"/>
          </rPr>
          <t>HIDE ROW IF NOT USED</t>
        </r>
        <r>
          <rPr>
            <sz val="9"/>
            <color indexed="81"/>
            <rFont val="Tahoma"/>
            <family val="2"/>
          </rPr>
          <t xml:space="preserve">
</t>
        </r>
      </text>
    </comment>
    <comment ref="H418" authorId="0" shapeId="0">
      <text>
        <r>
          <rPr>
            <b/>
            <sz val="9"/>
            <color indexed="81"/>
            <rFont val="Tahoma"/>
            <family val="2"/>
          </rPr>
          <t>HIDE ROW IF NOT USED</t>
        </r>
        <r>
          <rPr>
            <sz val="9"/>
            <color indexed="81"/>
            <rFont val="Tahoma"/>
            <family val="2"/>
          </rPr>
          <t xml:space="preserve">
</t>
        </r>
      </text>
    </comment>
    <comment ref="H419" authorId="0" shapeId="0">
      <text>
        <r>
          <rPr>
            <b/>
            <sz val="9"/>
            <color indexed="81"/>
            <rFont val="Tahoma"/>
            <family val="2"/>
          </rPr>
          <t>HIDE ROW IF NOT USED</t>
        </r>
        <r>
          <rPr>
            <sz val="9"/>
            <color indexed="81"/>
            <rFont val="Tahoma"/>
            <family val="2"/>
          </rPr>
          <t xml:space="preserve">
</t>
        </r>
      </text>
    </comment>
    <comment ref="H420" authorId="0" shapeId="0">
      <text>
        <r>
          <rPr>
            <b/>
            <sz val="9"/>
            <color indexed="81"/>
            <rFont val="Tahoma"/>
            <family val="2"/>
          </rPr>
          <t>HIDE ROW IF NOT USED</t>
        </r>
        <r>
          <rPr>
            <sz val="9"/>
            <color indexed="81"/>
            <rFont val="Tahoma"/>
            <family val="2"/>
          </rPr>
          <t xml:space="preserve">
</t>
        </r>
      </text>
    </comment>
    <comment ref="H421" authorId="0" shapeId="0">
      <text>
        <r>
          <rPr>
            <b/>
            <sz val="9"/>
            <color indexed="81"/>
            <rFont val="Tahoma"/>
            <family val="2"/>
          </rPr>
          <t>HIDE ROW IF NOT USED</t>
        </r>
        <r>
          <rPr>
            <sz val="9"/>
            <color indexed="81"/>
            <rFont val="Tahoma"/>
            <family val="2"/>
          </rPr>
          <t xml:space="preserve">
</t>
        </r>
      </text>
    </comment>
    <comment ref="H422" authorId="0" shapeId="0">
      <text>
        <r>
          <rPr>
            <b/>
            <sz val="9"/>
            <color indexed="81"/>
            <rFont val="Tahoma"/>
            <family val="2"/>
          </rPr>
          <t>HIDE ROW IF NOT USED</t>
        </r>
        <r>
          <rPr>
            <sz val="9"/>
            <color indexed="81"/>
            <rFont val="Tahoma"/>
            <family val="2"/>
          </rPr>
          <t xml:space="preserve">
</t>
        </r>
      </text>
    </comment>
    <comment ref="H423" authorId="0" shapeId="0">
      <text>
        <r>
          <rPr>
            <b/>
            <sz val="9"/>
            <color indexed="81"/>
            <rFont val="Tahoma"/>
            <family val="2"/>
          </rPr>
          <t>HIDE ROW IF NOT USED</t>
        </r>
        <r>
          <rPr>
            <sz val="9"/>
            <color indexed="81"/>
            <rFont val="Tahoma"/>
            <family val="2"/>
          </rPr>
          <t xml:space="preserve">
</t>
        </r>
      </text>
    </comment>
    <comment ref="H424" authorId="0" shapeId="0">
      <text>
        <r>
          <rPr>
            <b/>
            <sz val="9"/>
            <color indexed="81"/>
            <rFont val="Tahoma"/>
            <family val="2"/>
          </rPr>
          <t>HIDE ROW IF NOT USED</t>
        </r>
        <r>
          <rPr>
            <sz val="9"/>
            <color indexed="81"/>
            <rFont val="Tahoma"/>
            <family val="2"/>
          </rPr>
          <t xml:space="preserve">
</t>
        </r>
      </text>
    </comment>
    <comment ref="H425" authorId="0" shapeId="0">
      <text>
        <r>
          <rPr>
            <b/>
            <sz val="9"/>
            <color indexed="81"/>
            <rFont val="Tahoma"/>
            <family val="2"/>
          </rPr>
          <t>HIDE ROW IF NOT USED</t>
        </r>
        <r>
          <rPr>
            <sz val="9"/>
            <color indexed="81"/>
            <rFont val="Tahoma"/>
            <family val="2"/>
          </rPr>
          <t xml:space="preserve">
</t>
        </r>
      </text>
    </comment>
    <comment ref="H426" authorId="0" shapeId="0">
      <text>
        <r>
          <rPr>
            <b/>
            <sz val="9"/>
            <color indexed="81"/>
            <rFont val="Tahoma"/>
            <family val="2"/>
          </rPr>
          <t>HIDE ROW IF NOT USED</t>
        </r>
        <r>
          <rPr>
            <sz val="9"/>
            <color indexed="81"/>
            <rFont val="Tahoma"/>
            <family val="2"/>
          </rPr>
          <t xml:space="preserve">
</t>
        </r>
      </text>
    </comment>
    <comment ref="H427" authorId="0" shapeId="0">
      <text>
        <r>
          <rPr>
            <b/>
            <sz val="9"/>
            <color indexed="81"/>
            <rFont val="Tahoma"/>
            <family val="2"/>
          </rPr>
          <t>HIDE ROW IF NOT USED</t>
        </r>
        <r>
          <rPr>
            <sz val="9"/>
            <color indexed="81"/>
            <rFont val="Tahoma"/>
            <family val="2"/>
          </rPr>
          <t xml:space="preserve">
</t>
        </r>
      </text>
    </comment>
    <comment ref="H428" authorId="0" shapeId="0">
      <text>
        <r>
          <rPr>
            <b/>
            <sz val="9"/>
            <color indexed="81"/>
            <rFont val="Tahoma"/>
            <family val="2"/>
          </rPr>
          <t>HIDE ROW IF NOT USED</t>
        </r>
        <r>
          <rPr>
            <sz val="9"/>
            <color indexed="81"/>
            <rFont val="Tahoma"/>
            <family val="2"/>
          </rPr>
          <t xml:space="preserve">
</t>
        </r>
      </text>
    </comment>
    <comment ref="H429" authorId="0" shapeId="0">
      <text>
        <r>
          <rPr>
            <b/>
            <sz val="9"/>
            <color indexed="81"/>
            <rFont val="Tahoma"/>
            <family val="2"/>
          </rPr>
          <t>HIDE ROW IF NOT USED</t>
        </r>
        <r>
          <rPr>
            <sz val="9"/>
            <color indexed="81"/>
            <rFont val="Tahoma"/>
            <family val="2"/>
          </rPr>
          <t xml:space="preserve">
</t>
        </r>
      </text>
    </comment>
    <comment ref="H430" authorId="0" shapeId="0">
      <text>
        <r>
          <rPr>
            <b/>
            <sz val="9"/>
            <color indexed="81"/>
            <rFont val="Tahoma"/>
            <family val="2"/>
          </rPr>
          <t>HIDE ROW IF NOT USED</t>
        </r>
        <r>
          <rPr>
            <sz val="9"/>
            <color indexed="81"/>
            <rFont val="Tahoma"/>
            <family val="2"/>
          </rPr>
          <t xml:space="preserve">
</t>
        </r>
      </text>
    </comment>
    <comment ref="H431" authorId="0" shapeId="0">
      <text>
        <r>
          <rPr>
            <b/>
            <sz val="9"/>
            <color indexed="81"/>
            <rFont val="Tahoma"/>
            <family val="2"/>
          </rPr>
          <t>HIDE ROW IF NOT USED</t>
        </r>
        <r>
          <rPr>
            <sz val="9"/>
            <color indexed="81"/>
            <rFont val="Tahoma"/>
            <family val="2"/>
          </rPr>
          <t xml:space="preserve">
</t>
        </r>
      </text>
    </comment>
    <comment ref="H432" authorId="0" shapeId="0">
      <text>
        <r>
          <rPr>
            <b/>
            <sz val="9"/>
            <color indexed="81"/>
            <rFont val="Tahoma"/>
            <family val="2"/>
          </rPr>
          <t>HIDE ROW IF NOT USED</t>
        </r>
        <r>
          <rPr>
            <sz val="9"/>
            <color indexed="81"/>
            <rFont val="Tahoma"/>
            <family val="2"/>
          </rPr>
          <t xml:space="preserve">
</t>
        </r>
      </text>
    </comment>
    <comment ref="H433" authorId="0" shapeId="0">
      <text>
        <r>
          <rPr>
            <b/>
            <sz val="9"/>
            <color indexed="81"/>
            <rFont val="Tahoma"/>
            <family val="2"/>
          </rPr>
          <t>HIDE ROW IF NOT USED</t>
        </r>
        <r>
          <rPr>
            <sz val="9"/>
            <color indexed="81"/>
            <rFont val="Tahoma"/>
            <family val="2"/>
          </rPr>
          <t xml:space="preserve">
</t>
        </r>
      </text>
    </comment>
    <comment ref="H434" authorId="0" shapeId="0">
      <text>
        <r>
          <rPr>
            <b/>
            <sz val="9"/>
            <color indexed="81"/>
            <rFont val="Tahoma"/>
            <family val="2"/>
          </rPr>
          <t>HIDE ROW IF NOT USED</t>
        </r>
        <r>
          <rPr>
            <sz val="9"/>
            <color indexed="81"/>
            <rFont val="Tahoma"/>
            <family val="2"/>
          </rPr>
          <t xml:space="preserve">
</t>
        </r>
      </text>
    </comment>
    <comment ref="H435" authorId="0" shapeId="0">
      <text>
        <r>
          <rPr>
            <b/>
            <sz val="9"/>
            <color indexed="81"/>
            <rFont val="Tahoma"/>
            <family val="2"/>
          </rPr>
          <t>HIDE ROW IF NOT USED</t>
        </r>
        <r>
          <rPr>
            <sz val="9"/>
            <color indexed="81"/>
            <rFont val="Tahoma"/>
            <family val="2"/>
          </rPr>
          <t xml:space="preserve">
</t>
        </r>
      </text>
    </comment>
    <comment ref="H436" authorId="0" shapeId="0">
      <text>
        <r>
          <rPr>
            <b/>
            <sz val="9"/>
            <color indexed="81"/>
            <rFont val="Tahoma"/>
            <family val="2"/>
          </rPr>
          <t>HIDE ROW IF NOT USED</t>
        </r>
        <r>
          <rPr>
            <sz val="9"/>
            <color indexed="81"/>
            <rFont val="Tahoma"/>
            <family val="2"/>
          </rPr>
          <t xml:space="preserve">
</t>
        </r>
      </text>
    </comment>
    <comment ref="H437" authorId="0" shapeId="0">
      <text>
        <r>
          <rPr>
            <b/>
            <sz val="9"/>
            <color indexed="81"/>
            <rFont val="Tahoma"/>
            <family val="2"/>
          </rPr>
          <t>HIDE ROW IF NOT USED</t>
        </r>
        <r>
          <rPr>
            <sz val="9"/>
            <color indexed="81"/>
            <rFont val="Tahoma"/>
            <family val="2"/>
          </rPr>
          <t xml:space="preserve">
</t>
        </r>
      </text>
    </comment>
    <comment ref="H438" authorId="0" shapeId="0">
      <text>
        <r>
          <rPr>
            <b/>
            <sz val="9"/>
            <color indexed="81"/>
            <rFont val="Tahoma"/>
            <family val="2"/>
          </rPr>
          <t>HIDE ROW IF NOT USED</t>
        </r>
        <r>
          <rPr>
            <sz val="9"/>
            <color indexed="81"/>
            <rFont val="Tahoma"/>
            <family val="2"/>
          </rPr>
          <t xml:space="preserve">
</t>
        </r>
      </text>
    </comment>
    <comment ref="H439" authorId="0" shapeId="0">
      <text>
        <r>
          <rPr>
            <b/>
            <sz val="9"/>
            <color indexed="81"/>
            <rFont val="Tahoma"/>
            <family val="2"/>
          </rPr>
          <t>HIDE ROW IF NOT USED</t>
        </r>
        <r>
          <rPr>
            <sz val="9"/>
            <color indexed="81"/>
            <rFont val="Tahoma"/>
            <family val="2"/>
          </rPr>
          <t xml:space="preserve">
</t>
        </r>
      </text>
    </comment>
    <comment ref="H440" authorId="0" shapeId="0">
      <text>
        <r>
          <rPr>
            <b/>
            <sz val="9"/>
            <color indexed="81"/>
            <rFont val="Tahoma"/>
            <family val="2"/>
          </rPr>
          <t>HIDE ROW IF NOT USED</t>
        </r>
        <r>
          <rPr>
            <sz val="9"/>
            <color indexed="81"/>
            <rFont val="Tahoma"/>
            <family val="2"/>
          </rPr>
          <t xml:space="preserve">
</t>
        </r>
      </text>
    </comment>
    <comment ref="H441" authorId="0" shapeId="0">
      <text>
        <r>
          <rPr>
            <b/>
            <sz val="9"/>
            <color indexed="81"/>
            <rFont val="Tahoma"/>
            <family val="2"/>
          </rPr>
          <t>HIDE ROW IF NOT USED</t>
        </r>
        <r>
          <rPr>
            <sz val="9"/>
            <color indexed="81"/>
            <rFont val="Tahoma"/>
            <family val="2"/>
          </rPr>
          <t xml:space="preserve">
</t>
        </r>
      </text>
    </comment>
    <comment ref="H442" authorId="0" shapeId="0">
      <text>
        <r>
          <rPr>
            <b/>
            <sz val="9"/>
            <color indexed="81"/>
            <rFont val="Tahoma"/>
            <family val="2"/>
          </rPr>
          <t>HIDE ROW IF NOT USED</t>
        </r>
        <r>
          <rPr>
            <sz val="9"/>
            <color indexed="81"/>
            <rFont val="Tahoma"/>
            <family val="2"/>
          </rPr>
          <t xml:space="preserve">
</t>
        </r>
      </text>
    </comment>
    <comment ref="H443" authorId="0" shapeId="0">
      <text>
        <r>
          <rPr>
            <b/>
            <sz val="9"/>
            <color indexed="81"/>
            <rFont val="Tahoma"/>
            <family val="2"/>
          </rPr>
          <t>HIDE ROW IF NOT USED</t>
        </r>
        <r>
          <rPr>
            <sz val="9"/>
            <color indexed="81"/>
            <rFont val="Tahoma"/>
            <family val="2"/>
          </rPr>
          <t xml:space="preserve">
</t>
        </r>
      </text>
    </comment>
    <comment ref="H444" authorId="0" shapeId="0">
      <text>
        <r>
          <rPr>
            <b/>
            <sz val="9"/>
            <color indexed="81"/>
            <rFont val="Tahoma"/>
            <family val="2"/>
          </rPr>
          <t>HIDE ROW IF NOT USED</t>
        </r>
        <r>
          <rPr>
            <sz val="9"/>
            <color indexed="81"/>
            <rFont val="Tahoma"/>
            <family val="2"/>
          </rPr>
          <t xml:space="preserve">
</t>
        </r>
      </text>
    </comment>
    <comment ref="H445" authorId="0" shapeId="0">
      <text>
        <r>
          <rPr>
            <b/>
            <sz val="9"/>
            <color indexed="81"/>
            <rFont val="Tahoma"/>
            <family val="2"/>
          </rPr>
          <t>HIDE ROW IF NOT USED</t>
        </r>
        <r>
          <rPr>
            <sz val="9"/>
            <color indexed="81"/>
            <rFont val="Tahoma"/>
            <family val="2"/>
          </rPr>
          <t xml:space="preserve">
</t>
        </r>
      </text>
    </comment>
    <comment ref="H446" authorId="0" shapeId="0">
      <text>
        <r>
          <rPr>
            <b/>
            <sz val="9"/>
            <color indexed="81"/>
            <rFont val="Tahoma"/>
            <family val="2"/>
          </rPr>
          <t>HIDE ROW IF NOT USED</t>
        </r>
        <r>
          <rPr>
            <sz val="9"/>
            <color indexed="81"/>
            <rFont val="Tahoma"/>
            <family val="2"/>
          </rPr>
          <t xml:space="preserve">
</t>
        </r>
      </text>
    </comment>
    <comment ref="H447" authorId="0" shapeId="0">
      <text>
        <r>
          <rPr>
            <b/>
            <sz val="9"/>
            <color indexed="81"/>
            <rFont val="Tahoma"/>
            <family val="2"/>
          </rPr>
          <t>HIDE ROW IF NOT USED</t>
        </r>
        <r>
          <rPr>
            <sz val="9"/>
            <color indexed="81"/>
            <rFont val="Tahoma"/>
            <family val="2"/>
          </rPr>
          <t xml:space="preserve">
</t>
        </r>
      </text>
    </comment>
    <comment ref="H448" authorId="0" shapeId="0">
      <text>
        <r>
          <rPr>
            <b/>
            <sz val="9"/>
            <color indexed="81"/>
            <rFont val="Tahoma"/>
            <family val="2"/>
          </rPr>
          <t>HIDE ROW IF NOT USED</t>
        </r>
        <r>
          <rPr>
            <sz val="9"/>
            <color indexed="81"/>
            <rFont val="Tahoma"/>
            <family val="2"/>
          </rPr>
          <t xml:space="preserve">
</t>
        </r>
      </text>
    </comment>
    <comment ref="H449" authorId="0" shapeId="0">
      <text>
        <r>
          <rPr>
            <b/>
            <sz val="9"/>
            <color indexed="81"/>
            <rFont val="Tahoma"/>
            <family val="2"/>
          </rPr>
          <t>HIDE ROW IF NOT USED</t>
        </r>
        <r>
          <rPr>
            <sz val="9"/>
            <color indexed="81"/>
            <rFont val="Tahoma"/>
            <family val="2"/>
          </rPr>
          <t xml:space="preserve">
</t>
        </r>
      </text>
    </comment>
    <comment ref="H450" authorId="0" shapeId="0">
      <text>
        <r>
          <rPr>
            <b/>
            <sz val="9"/>
            <color indexed="81"/>
            <rFont val="Tahoma"/>
            <family val="2"/>
          </rPr>
          <t>HIDE ROW IF NOT USED</t>
        </r>
        <r>
          <rPr>
            <sz val="9"/>
            <color indexed="81"/>
            <rFont val="Tahoma"/>
            <family val="2"/>
          </rPr>
          <t xml:space="preserve">
</t>
        </r>
      </text>
    </comment>
    <comment ref="H451" authorId="0" shapeId="0">
      <text>
        <r>
          <rPr>
            <b/>
            <sz val="9"/>
            <color indexed="81"/>
            <rFont val="Tahoma"/>
            <family val="2"/>
          </rPr>
          <t>HIDE ROW IF NOT USED</t>
        </r>
        <r>
          <rPr>
            <sz val="9"/>
            <color indexed="81"/>
            <rFont val="Tahoma"/>
            <family val="2"/>
          </rPr>
          <t xml:space="preserve">
</t>
        </r>
      </text>
    </comment>
    <comment ref="H452" authorId="0" shapeId="0">
      <text>
        <r>
          <rPr>
            <b/>
            <sz val="9"/>
            <color indexed="81"/>
            <rFont val="Tahoma"/>
            <family val="2"/>
          </rPr>
          <t>HIDE ROW IF NOT USED</t>
        </r>
        <r>
          <rPr>
            <sz val="9"/>
            <color indexed="81"/>
            <rFont val="Tahoma"/>
            <family val="2"/>
          </rPr>
          <t xml:space="preserve">
</t>
        </r>
      </text>
    </comment>
    <comment ref="H453" authorId="0" shapeId="0">
      <text>
        <r>
          <rPr>
            <b/>
            <sz val="9"/>
            <color indexed="81"/>
            <rFont val="Tahoma"/>
            <family val="2"/>
          </rPr>
          <t>HIDE ROW IF NOT USED</t>
        </r>
        <r>
          <rPr>
            <sz val="9"/>
            <color indexed="81"/>
            <rFont val="Tahoma"/>
            <family val="2"/>
          </rPr>
          <t xml:space="preserve">
</t>
        </r>
      </text>
    </comment>
    <comment ref="H454" authorId="0" shapeId="0">
      <text>
        <r>
          <rPr>
            <b/>
            <sz val="9"/>
            <color indexed="81"/>
            <rFont val="Tahoma"/>
            <family val="2"/>
          </rPr>
          <t>HIDE ROW IF NOT USED</t>
        </r>
        <r>
          <rPr>
            <sz val="9"/>
            <color indexed="81"/>
            <rFont val="Tahoma"/>
            <family val="2"/>
          </rPr>
          <t xml:space="preserve">
</t>
        </r>
      </text>
    </comment>
    <comment ref="H455" authorId="0" shapeId="0">
      <text>
        <r>
          <rPr>
            <b/>
            <sz val="9"/>
            <color indexed="81"/>
            <rFont val="Tahoma"/>
            <family val="2"/>
          </rPr>
          <t>HIDE ROW IF NOT USED</t>
        </r>
        <r>
          <rPr>
            <sz val="9"/>
            <color indexed="81"/>
            <rFont val="Tahoma"/>
            <family val="2"/>
          </rPr>
          <t xml:space="preserve">
</t>
        </r>
      </text>
    </comment>
    <comment ref="H456" authorId="0" shapeId="0">
      <text>
        <r>
          <rPr>
            <b/>
            <sz val="9"/>
            <color indexed="81"/>
            <rFont val="Tahoma"/>
            <family val="2"/>
          </rPr>
          <t>HIDE ROW IF NOT USED</t>
        </r>
        <r>
          <rPr>
            <sz val="9"/>
            <color indexed="81"/>
            <rFont val="Tahoma"/>
            <family val="2"/>
          </rPr>
          <t xml:space="preserve">
</t>
        </r>
      </text>
    </comment>
    <comment ref="H457" authorId="0" shapeId="0">
      <text>
        <r>
          <rPr>
            <b/>
            <sz val="9"/>
            <color indexed="81"/>
            <rFont val="Tahoma"/>
            <family val="2"/>
          </rPr>
          <t>HIDE ROW IF NOT USED</t>
        </r>
        <r>
          <rPr>
            <sz val="9"/>
            <color indexed="81"/>
            <rFont val="Tahoma"/>
            <family val="2"/>
          </rPr>
          <t xml:space="preserve">
</t>
        </r>
      </text>
    </comment>
    <comment ref="H458" authorId="0" shapeId="0">
      <text>
        <r>
          <rPr>
            <b/>
            <sz val="9"/>
            <color indexed="81"/>
            <rFont val="Tahoma"/>
            <family val="2"/>
          </rPr>
          <t>HIDE ROW IF NOT USED</t>
        </r>
        <r>
          <rPr>
            <sz val="9"/>
            <color indexed="81"/>
            <rFont val="Tahoma"/>
            <family val="2"/>
          </rPr>
          <t xml:space="preserve">
</t>
        </r>
      </text>
    </comment>
    <comment ref="H459" authorId="0" shapeId="0">
      <text>
        <r>
          <rPr>
            <b/>
            <sz val="9"/>
            <color indexed="81"/>
            <rFont val="Tahoma"/>
            <family val="2"/>
          </rPr>
          <t>HIDE ROW IF NOT USED</t>
        </r>
        <r>
          <rPr>
            <sz val="9"/>
            <color indexed="81"/>
            <rFont val="Tahoma"/>
            <family val="2"/>
          </rPr>
          <t xml:space="preserve">
</t>
        </r>
      </text>
    </comment>
    <comment ref="H460" authorId="0" shapeId="0">
      <text>
        <r>
          <rPr>
            <b/>
            <sz val="9"/>
            <color indexed="81"/>
            <rFont val="Tahoma"/>
            <family val="2"/>
          </rPr>
          <t>HIDE ROW IF NOT USED</t>
        </r>
        <r>
          <rPr>
            <sz val="9"/>
            <color indexed="81"/>
            <rFont val="Tahoma"/>
            <family val="2"/>
          </rPr>
          <t xml:space="preserve">
</t>
        </r>
      </text>
    </comment>
    <comment ref="H462" authorId="0" shapeId="0">
      <text>
        <r>
          <rPr>
            <sz val="9"/>
            <color indexed="81"/>
            <rFont val="Tahoma"/>
            <family val="2"/>
          </rPr>
          <t xml:space="preserve">Study / Memo / Concept Only </t>
        </r>
        <r>
          <rPr>
            <b/>
            <sz val="9"/>
            <color indexed="81"/>
            <rFont val="Tahoma"/>
            <family val="2"/>
          </rPr>
          <t>- Item 9 SHPO - Default is "N"</t>
        </r>
        <r>
          <rPr>
            <sz val="9"/>
            <color indexed="81"/>
            <rFont val="Tahoma"/>
            <family val="2"/>
          </rPr>
          <t xml:space="preserve">
</t>
        </r>
      </text>
    </comment>
  </commentList>
</comments>
</file>

<file path=xl/comments3.xml><?xml version="1.0" encoding="utf-8"?>
<comments xmlns="http://schemas.openxmlformats.org/spreadsheetml/2006/main">
  <authors>
    <author>Kelly Hoffmann</author>
  </authors>
  <commentList>
    <comment ref="I17" authorId="0" shapeId="0">
      <text>
        <r>
          <rPr>
            <b/>
            <sz val="9"/>
            <color indexed="81"/>
            <rFont val="Tahoma"/>
            <family val="2"/>
          </rPr>
          <t>Enter last Edit Date</t>
        </r>
        <r>
          <rPr>
            <sz val="9"/>
            <color indexed="81"/>
            <rFont val="Tahoma"/>
            <family val="2"/>
          </rPr>
          <t xml:space="preserve">
</t>
        </r>
      </text>
    </comment>
    <comment ref="P17" authorId="0" shapeId="0">
      <text>
        <r>
          <rPr>
            <b/>
            <u/>
            <sz val="9"/>
            <color indexed="81"/>
            <rFont val="Tahoma"/>
            <family val="2"/>
          </rPr>
          <t>Enter Edit Entity:</t>
        </r>
        <r>
          <rPr>
            <sz val="9"/>
            <color indexed="81"/>
            <rFont val="Tahoma"/>
            <family val="2"/>
          </rPr>
          <t xml:space="preserve">
Planner
PM
PSC</t>
        </r>
      </text>
    </comment>
    <comment ref="Z17" authorId="0" shapeId="0">
      <text>
        <r>
          <rPr>
            <b/>
            <sz val="9"/>
            <color indexed="81"/>
            <rFont val="Tahoma"/>
            <family val="2"/>
          </rPr>
          <t>Enter last Editor's Name</t>
        </r>
        <r>
          <rPr>
            <sz val="9"/>
            <color indexed="81"/>
            <rFont val="Tahoma"/>
            <family val="2"/>
          </rPr>
          <t xml:space="preserve">
</t>
        </r>
      </text>
    </comment>
    <comment ref="G22" authorId="0" shapeId="0">
      <text>
        <r>
          <rPr>
            <sz val="9"/>
            <color indexed="81"/>
            <rFont val="Tahoma"/>
            <family val="2"/>
          </rPr>
          <t>Applicability in this tab will populate :</t>
        </r>
        <r>
          <rPr>
            <b/>
            <sz val="9"/>
            <color indexed="81"/>
            <rFont val="Tahoma"/>
            <family val="2"/>
          </rPr>
          <t xml:space="preserve">
"00-Concept."</t>
        </r>
        <r>
          <rPr>
            <sz val="9"/>
            <color indexed="81"/>
            <rFont val="Tahoma"/>
            <family val="2"/>
          </rPr>
          <t xml:space="preserve">
</t>
        </r>
      </text>
    </comment>
    <comment ref="I22" authorId="0" shapeId="0">
      <text>
        <r>
          <rPr>
            <sz val="9"/>
            <color indexed="81"/>
            <rFont val="Tahoma"/>
            <family val="2"/>
          </rPr>
          <t>Applicability in this tab will populate :</t>
        </r>
        <r>
          <rPr>
            <b/>
            <sz val="9"/>
            <color indexed="81"/>
            <rFont val="Tahoma"/>
            <family val="2"/>
          </rPr>
          <t xml:space="preserve">
"01 - SD"</t>
        </r>
        <r>
          <rPr>
            <sz val="9"/>
            <color indexed="81"/>
            <rFont val="Tahoma"/>
            <family val="2"/>
          </rPr>
          <t xml:space="preserve">
</t>
        </r>
      </text>
    </comment>
    <comment ref="K22" authorId="0" shapeId="0">
      <text>
        <r>
          <rPr>
            <sz val="9"/>
            <color indexed="81"/>
            <rFont val="Tahoma"/>
            <family val="2"/>
          </rPr>
          <t>Applicability in this tab will populate :</t>
        </r>
        <r>
          <rPr>
            <b/>
            <sz val="9"/>
            <color indexed="81"/>
            <rFont val="Tahoma"/>
            <family val="2"/>
          </rPr>
          <t xml:space="preserve">
"02 - DD"</t>
        </r>
        <r>
          <rPr>
            <sz val="9"/>
            <color indexed="81"/>
            <rFont val="Tahoma"/>
            <family val="2"/>
          </rPr>
          <t xml:space="preserve">
</t>
        </r>
      </text>
    </comment>
    <comment ref="M22" authorId="0" shapeId="0">
      <text>
        <r>
          <rPr>
            <sz val="9"/>
            <color indexed="81"/>
            <rFont val="Tahoma"/>
            <family val="2"/>
          </rPr>
          <t>Applicability in this tab will populate :</t>
        </r>
        <r>
          <rPr>
            <b/>
            <sz val="9"/>
            <color indexed="81"/>
            <rFont val="Tahoma"/>
            <family val="2"/>
          </rPr>
          <t xml:space="preserve">
"03 - 50% CD"</t>
        </r>
        <r>
          <rPr>
            <sz val="9"/>
            <color indexed="81"/>
            <rFont val="Tahoma"/>
            <family val="2"/>
          </rPr>
          <t xml:space="preserve">
</t>
        </r>
      </text>
    </comment>
    <comment ref="O22" authorId="0" shapeId="0">
      <text>
        <r>
          <rPr>
            <sz val="9"/>
            <color indexed="81"/>
            <rFont val="Tahoma"/>
            <family val="2"/>
          </rPr>
          <t>Applicability in this tab will populate :</t>
        </r>
        <r>
          <rPr>
            <b/>
            <sz val="9"/>
            <color indexed="81"/>
            <rFont val="Tahoma"/>
            <family val="2"/>
          </rPr>
          <t xml:space="preserve">
"04 - 95% CD"</t>
        </r>
        <r>
          <rPr>
            <sz val="9"/>
            <color indexed="81"/>
            <rFont val="Tahoma"/>
            <family val="2"/>
          </rPr>
          <t xml:space="preserve">
</t>
        </r>
      </text>
    </comment>
    <comment ref="Q22" authorId="0" shapeId="0">
      <text>
        <r>
          <rPr>
            <sz val="9"/>
            <color indexed="81"/>
            <rFont val="Tahoma"/>
            <family val="2"/>
          </rPr>
          <t>Applicability in this tab will populate :</t>
        </r>
        <r>
          <rPr>
            <b/>
            <sz val="9"/>
            <color indexed="81"/>
            <rFont val="Tahoma"/>
            <family val="2"/>
          </rPr>
          <t xml:space="preserve">
"05-BID"</t>
        </r>
        <r>
          <rPr>
            <sz val="9"/>
            <color indexed="81"/>
            <rFont val="Tahoma"/>
            <family val="2"/>
          </rPr>
          <t xml:space="preserve">
</t>
        </r>
      </text>
    </comment>
    <comment ref="S22" authorId="0" shapeId="0">
      <text>
        <r>
          <rPr>
            <sz val="9"/>
            <color indexed="81"/>
            <rFont val="Tahoma"/>
            <family val="2"/>
          </rPr>
          <t>Applicability in this tab will populate :</t>
        </r>
        <r>
          <rPr>
            <b/>
            <sz val="9"/>
            <color indexed="81"/>
            <rFont val="Tahoma"/>
            <family val="2"/>
          </rPr>
          <t xml:space="preserve">
"06-CONST"</t>
        </r>
        <r>
          <rPr>
            <sz val="9"/>
            <color indexed="81"/>
            <rFont val="Tahoma"/>
            <family val="2"/>
          </rPr>
          <t xml:space="preserve">
</t>
        </r>
      </text>
    </comment>
    <comment ref="U22" authorId="0" shapeId="0">
      <text>
        <r>
          <rPr>
            <sz val="9"/>
            <color indexed="81"/>
            <rFont val="Tahoma"/>
            <family val="2"/>
          </rPr>
          <t>Applicability in this tab will populate :</t>
        </r>
        <r>
          <rPr>
            <b/>
            <sz val="9"/>
            <color indexed="81"/>
            <rFont val="Tahoma"/>
            <family val="2"/>
          </rPr>
          <t xml:space="preserve">
"07-CLOSE OUT"</t>
        </r>
        <r>
          <rPr>
            <sz val="9"/>
            <color indexed="81"/>
            <rFont val="Tahoma"/>
            <family val="2"/>
          </rPr>
          <t xml:space="preserve">
</t>
        </r>
      </text>
    </comment>
    <comment ref="W22" authorId="0" shapeId="0">
      <text>
        <r>
          <rPr>
            <sz val="9"/>
            <color indexed="81"/>
            <rFont val="Tahoma"/>
            <family val="2"/>
          </rPr>
          <t>Applicability in this tab will populate :</t>
        </r>
        <r>
          <rPr>
            <b/>
            <sz val="9"/>
            <color indexed="81"/>
            <rFont val="Tahoma"/>
            <family val="2"/>
          </rPr>
          <t xml:space="preserve">
"08-POST CONST"</t>
        </r>
        <r>
          <rPr>
            <sz val="9"/>
            <color indexed="81"/>
            <rFont val="Tahoma"/>
            <family val="2"/>
          </rPr>
          <t xml:space="preserve">
</t>
        </r>
      </text>
    </comment>
    <comment ref="AD22" authorId="0" shapeId="0">
      <text>
        <r>
          <rPr>
            <sz val="9"/>
            <color indexed="81"/>
            <rFont val="Tahoma"/>
            <family val="2"/>
          </rPr>
          <t>Applicability in this tab will populate :</t>
        </r>
        <r>
          <rPr>
            <b/>
            <sz val="9"/>
            <color indexed="81"/>
            <rFont val="Tahoma"/>
            <family val="2"/>
          </rPr>
          <t xml:space="preserve">
"00-Concept."</t>
        </r>
        <r>
          <rPr>
            <sz val="9"/>
            <color indexed="81"/>
            <rFont val="Tahoma"/>
            <family val="2"/>
          </rPr>
          <t xml:space="preserve">
</t>
        </r>
      </text>
    </comment>
    <comment ref="AE22" authorId="0" shapeId="0">
      <text>
        <r>
          <rPr>
            <sz val="9"/>
            <color indexed="81"/>
            <rFont val="Tahoma"/>
            <family val="2"/>
          </rPr>
          <t>Applicability in this tab will populate :</t>
        </r>
        <r>
          <rPr>
            <b/>
            <sz val="9"/>
            <color indexed="81"/>
            <rFont val="Tahoma"/>
            <family val="2"/>
          </rPr>
          <t xml:space="preserve">
"01 - SD"</t>
        </r>
        <r>
          <rPr>
            <sz val="9"/>
            <color indexed="81"/>
            <rFont val="Tahoma"/>
            <family val="2"/>
          </rPr>
          <t xml:space="preserve">
</t>
        </r>
      </text>
    </comment>
    <comment ref="AF22" authorId="0" shapeId="0">
      <text>
        <r>
          <rPr>
            <sz val="9"/>
            <color indexed="81"/>
            <rFont val="Tahoma"/>
            <family val="2"/>
          </rPr>
          <t>Applicability in this tab will populate :</t>
        </r>
        <r>
          <rPr>
            <b/>
            <sz val="9"/>
            <color indexed="81"/>
            <rFont val="Tahoma"/>
            <family val="2"/>
          </rPr>
          <t xml:space="preserve">
"02 - DD"</t>
        </r>
        <r>
          <rPr>
            <sz val="9"/>
            <color indexed="81"/>
            <rFont val="Tahoma"/>
            <family val="2"/>
          </rPr>
          <t xml:space="preserve">
</t>
        </r>
      </text>
    </comment>
    <comment ref="AG22" authorId="0" shapeId="0">
      <text>
        <r>
          <rPr>
            <sz val="9"/>
            <color indexed="81"/>
            <rFont val="Tahoma"/>
            <family val="2"/>
          </rPr>
          <t>Applicability in this tab will populate :</t>
        </r>
        <r>
          <rPr>
            <b/>
            <sz val="9"/>
            <color indexed="81"/>
            <rFont val="Tahoma"/>
            <family val="2"/>
          </rPr>
          <t xml:space="preserve">
"03 - 50% CD"</t>
        </r>
        <r>
          <rPr>
            <sz val="9"/>
            <color indexed="81"/>
            <rFont val="Tahoma"/>
            <family val="2"/>
          </rPr>
          <t xml:space="preserve">
</t>
        </r>
      </text>
    </comment>
    <comment ref="AH22" authorId="0" shapeId="0">
      <text>
        <r>
          <rPr>
            <sz val="9"/>
            <color indexed="81"/>
            <rFont val="Tahoma"/>
            <family val="2"/>
          </rPr>
          <t>Applicability in this tab will populate :</t>
        </r>
        <r>
          <rPr>
            <b/>
            <sz val="9"/>
            <color indexed="81"/>
            <rFont val="Tahoma"/>
            <family val="2"/>
          </rPr>
          <t xml:space="preserve">
"04 - 95% CD"</t>
        </r>
        <r>
          <rPr>
            <sz val="9"/>
            <color indexed="81"/>
            <rFont val="Tahoma"/>
            <family val="2"/>
          </rPr>
          <t xml:space="preserve">
</t>
        </r>
      </text>
    </comment>
    <comment ref="AI22" authorId="0" shapeId="0">
      <text>
        <r>
          <rPr>
            <sz val="9"/>
            <color indexed="81"/>
            <rFont val="Tahoma"/>
            <family val="2"/>
          </rPr>
          <t>Applicability in this tab will populate :</t>
        </r>
        <r>
          <rPr>
            <b/>
            <sz val="9"/>
            <color indexed="81"/>
            <rFont val="Tahoma"/>
            <family val="2"/>
          </rPr>
          <t xml:space="preserve">
"05-BID"</t>
        </r>
        <r>
          <rPr>
            <sz val="9"/>
            <color indexed="81"/>
            <rFont val="Tahoma"/>
            <family val="2"/>
          </rPr>
          <t xml:space="preserve">
</t>
        </r>
      </text>
    </comment>
    <comment ref="AJ22" authorId="0" shapeId="0">
      <text>
        <r>
          <rPr>
            <sz val="9"/>
            <color indexed="81"/>
            <rFont val="Tahoma"/>
            <family val="2"/>
          </rPr>
          <t>Applicability in this tab will populate :</t>
        </r>
        <r>
          <rPr>
            <b/>
            <sz val="9"/>
            <color indexed="81"/>
            <rFont val="Tahoma"/>
            <family val="2"/>
          </rPr>
          <t xml:space="preserve">
"06-CONST"</t>
        </r>
        <r>
          <rPr>
            <sz val="9"/>
            <color indexed="81"/>
            <rFont val="Tahoma"/>
            <family val="2"/>
          </rPr>
          <t xml:space="preserve">
</t>
        </r>
      </text>
    </comment>
    <comment ref="AK22" authorId="0" shapeId="0">
      <text>
        <r>
          <rPr>
            <sz val="9"/>
            <color indexed="81"/>
            <rFont val="Tahoma"/>
            <family val="2"/>
          </rPr>
          <t>Applicability in this tab will populate :</t>
        </r>
        <r>
          <rPr>
            <b/>
            <sz val="9"/>
            <color indexed="81"/>
            <rFont val="Tahoma"/>
            <family val="2"/>
          </rPr>
          <t xml:space="preserve">
"07-CLOSE OUT"</t>
        </r>
        <r>
          <rPr>
            <sz val="9"/>
            <color indexed="81"/>
            <rFont val="Tahoma"/>
            <family val="2"/>
          </rPr>
          <t xml:space="preserve">
</t>
        </r>
      </text>
    </comment>
    <comment ref="Z128" authorId="0" shapeId="0">
      <text>
        <r>
          <rPr>
            <sz val="9"/>
            <color indexed="81"/>
            <rFont val="Tahoma"/>
            <family val="2"/>
          </rPr>
          <t xml:space="preserve">Item in </t>
        </r>
        <r>
          <rPr>
            <u/>
            <sz val="9"/>
            <color indexed="81"/>
            <rFont val="Tahoma"/>
            <family val="2"/>
          </rPr>
          <t>04b (Calcs/Info) through DD</t>
        </r>
        <r>
          <rPr>
            <sz val="9"/>
            <color indexed="81"/>
            <rFont val="Tahoma"/>
            <family val="2"/>
          </rPr>
          <t xml:space="preserve"> then moves to </t>
        </r>
        <r>
          <rPr>
            <u/>
            <sz val="9"/>
            <color indexed="81"/>
            <rFont val="Tahoma"/>
            <family val="2"/>
          </rPr>
          <t>06 Project Manual from 50% CD and on</t>
        </r>
        <r>
          <rPr>
            <sz val="9"/>
            <color indexed="81"/>
            <rFont val="Tahoma"/>
            <family val="2"/>
          </rPr>
          <t xml:space="preserve">.
</t>
        </r>
      </text>
    </comment>
    <comment ref="Z131" authorId="0" shapeId="0">
      <text>
        <r>
          <rPr>
            <sz val="9"/>
            <color indexed="81"/>
            <rFont val="Tahoma"/>
            <family val="2"/>
          </rPr>
          <t xml:space="preserve">Item in </t>
        </r>
        <r>
          <rPr>
            <u/>
            <sz val="9"/>
            <color indexed="81"/>
            <rFont val="Tahoma"/>
            <family val="2"/>
          </rPr>
          <t>04b (Calcs/Info) through DD</t>
        </r>
        <r>
          <rPr>
            <sz val="9"/>
            <color indexed="81"/>
            <rFont val="Tahoma"/>
            <family val="2"/>
          </rPr>
          <t xml:space="preserve"> then moves to </t>
        </r>
        <r>
          <rPr>
            <u/>
            <sz val="9"/>
            <color indexed="81"/>
            <rFont val="Tahoma"/>
            <family val="2"/>
          </rPr>
          <t>06 Project Manual from 50% CD and on</t>
        </r>
        <r>
          <rPr>
            <sz val="9"/>
            <color indexed="81"/>
            <rFont val="Tahoma"/>
            <family val="2"/>
          </rPr>
          <t xml:space="preserve">.
</t>
        </r>
      </text>
    </comment>
    <comment ref="Z132" authorId="0" shapeId="0">
      <text>
        <r>
          <rPr>
            <sz val="9"/>
            <color indexed="81"/>
            <rFont val="Tahoma"/>
            <family val="2"/>
          </rPr>
          <t xml:space="preserve">Item in </t>
        </r>
        <r>
          <rPr>
            <u/>
            <sz val="9"/>
            <color indexed="81"/>
            <rFont val="Tahoma"/>
            <family val="2"/>
          </rPr>
          <t>04b (Calcs/Info) through DD</t>
        </r>
        <r>
          <rPr>
            <sz val="9"/>
            <color indexed="81"/>
            <rFont val="Tahoma"/>
            <family val="2"/>
          </rPr>
          <t xml:space="preserve"> then moves to </t>
        </r>
        <r>
          <rPr>
            <u/>
            <sz val="9"/>
            <color indexed="81"/>
            <rFont val="Tahoma"/>
            <family val="2"/>
          </rPr>
          <t>06 Project Manual from 50% CD and on</t>
        </r>
        <r>
          <rPr>
            <sz val="9"/>
            <color indexed="81"/>
            <rFont val="Tahoma"/>
            <family val="2"/>
          </rPr>
          <t xml:space="preserve">.
</t>
        </r>
      </text>
    </comment>
    <comment ref="Z135" authorId="0" shapeId="0">
      <text>
        <r>
          <rPr>
            <sz val="9"/>
            <color indexed="81"/>
            <rFont val="Tahoma"/>
            <family val="2"/>
          </rPr>
          <t xml:space="preserve">Item in </t>
        </r>
        <r>
          <rPr>
            <u/>
            <sz val="9"/>
            <color indexed="81"/>
            <rFont val="Tahoma"/>
            <family val="2"/>
          </rPr>
          <t>04b (Calcs/Info) through DD</t>
        </r>
        <r>
          <rPr>
            <sz val="9"/>
            <color indexed="81"/>
            <rFont val="Tahoma"/>
            <family val="2"/>
          </rPr>
          <t xml:space="preserve"> then moves to </t>
        </r>
        <r>
          <rPr>
            <u/>
            <sz val="9"/>
            <color indexed="81"/>
            <rFont val="Tahoma"/>
            <family val="2"/>
          </rPr>
          <t>06 Project Manual from 50% CD and on</t>
        </r>
        <r>
          <rPr>
            <sz val="9"/>
            <color indexed="81"/>
            <rFont val="Tahoma"/>
            <family val="2"/>
          </rPr>
          <t xml:space="preserve">.
</t>
        </r>
      </text>
    </comment>
    <comment ref="Z136" authorId="0" shapeId="0">
      <text>
        <r>
          <rPr>
            <sz val="9"/>
            <color indexed="81"/>
            <rFont val="Tahoma"/>
            <family val="2"/>
          </rPr>
          <t xml:space="preserve">Item in </t>
        </r>
        <r>
          <rPr>
            <u/>
            <sz val="9"/>
            <color indexed="81"/>
            <rFont val="Tahoma"/>
            <family val="2"/>
          </rPr>
          <t>04b (Calcs/Info) through DD</t>
        </r>
        <r>
          <rPr>
            <sz val="9"/>
            <color indexed="81"/>
            <rFont val="Tahoma"/>
            <family val="2"/>
          </rPr>
          <t xml:space="preserve"> then moves to </t>
        </r>
        <r>
          <rPr>
            <u/>
            <sz val="9"/>
            <color indexed="81"/>
            <rFont val="Tahoma"/>
            <family val="2"/>
          </rPr>
          <t>06 Project Manual from 50% CD and on</t>
        </r>
        <r>
          <rPr>
            <sz val="9"/>
            <color indexed="81"/>
            <rFont val="Tahoma"/>
            <family val="2"/>
          </rPr>
          <t xml:space="preserve">.
</t>
        </r>
      </text>
    </comment>
    <comment ref="AN206" authorId="0" shapeId="0">
      <text>
        <r>
          <rPr>
            <sz val="9"/>
            <color indexed="81"/>
            <rFont val="Tahoma"/>
            <family val="2"/>
          </rPr>
          <t>SD</t>
        </r>
        <r>
          <rPr>
            <b/>
            <sz val="9"/>
            <color indexed="81"/>
            <rFont val="Tahoma"/>
            <family val="2"/>
          </rPr>
          <t xml:space="preserve"> - Item 7b Drawings - Default is "Y"</t>
        </r>
        <r>
          <rPr>
            <sz val="9"/>
            <color indexed="81"/>
            <rFont val="Tahoma"/>
            <family val="2"/>
          </rPr>
          <t xml:space="preserve">
</t>
        </r>
      </text>
    </comment>
    <comment ref="Z331" authorId="0" shapeId="0">
      <text>
        <r>
          <rPr>
            <sz val="9"/>
            <color indexed="81"/>
            <rFont val="Tahoma"/>
            <family val="2"/>
          </rPr>
          <t>Conceptualization</t>
        </r>
        <r>
          <rPr>
            <b/>
            <sz val="9"/>
            <color indexed="81"/>
            <rFont val="Tahoma"/>
            <family val="2"/>
          </rPr>
          <t xml:space="preserve"> - Item 7b Drawings - Default is "Y"</t>
        </r>
        <r>
          <rPr>
            <sz val="9"/>
            <color indexed="81"/>
            <rFont val="Tahoma"/>
            <family val="2"/>
          </rPr>
          <t xml:space="preserve">
</t>
        </r>
      </text>
    </comment>
    <comment ref="Z403" authorId="0" shapeId="0">
      <text>
        <r>
          <rPr>
            <b/>
            <sz val="9"/>
            <color indexed="81"/>
            <rFont val="Tahoma"/>
            <family val="2"/>
          </rPr>
          <t xml:space="preserve">Planner can unhide columns to view default recommendations.
</t>
        </r>
        <r>
          <rPr>
            <sz val="9"/>
            <color indexed="81"/>
            <rFont val="Tahoma"/>
            <family val="2"/>
          </rPr>
          <t xml:space="preserve">
</t>
        </r>
      </text>
    </comment>
    <comment ref="Z443" authorId="0" shapeId="0">
      <text>
        <r>
          <rPr>
            <b/>
            <u/>
            <sz val="9"/>
            <color indexed="81"/>
            <rFont val="Tahoma"/>
            <family val="2"/>
          </rPr>
          <t xml:space="preserve">SHPO submittals with no BOT - </t>
        </r>
        <r>
          <rPr>
            <sz val="9"/>
            <color indexed="81"/>
            <rFont val="Tahoma"/>
            <family val="2"/>
          </rPr>
          <t xml:space="preserve">
(</t>
        </r>
        <r>
          <rPr>
            <b/>
            <i/>
            <sz val="9"/>
            <color indexed="81"/>
            <rFont val="Tahoma"/>
            <family val="2"/>
          </rPr>
          <t>as a DD submittal</t>
        </r>
        <r>
          <rPr>
            <sz val="9"/>
            <color indexed="81"/>
            <rFont val="Tahoma"/>
            <family val="2"/>
          </rPr>
          <t xml:space="preserve">) Should come in a month prior to the DD submittal 
</t>
        </r>
        <r>
          <rPr>
            <b/>
            <u/>
            <sz val="9"/>
            <color indexed="81"/>
            <rFont val="Tahoma"/>
            <family val="2"/>
          </rPr>
          <t xml:space="preserve">
SHPO submittals for BOT projects -</t>
        </r>
        <r>
          <rPr>
            <sz val="9"/>
            <color indexed="81"/>
            <rFont val="Tahoma"/>
            <family val="2"/>
          </rPr>
          <t xml:space="preserve">
(</t>
        </r>
        <r>
          <rPr>
            <b/>
            <i/>
            <sz val="9"/>
            <color indexed="81"/>
            <rFont val="Tahoma"/>
            <family val="2"/>
          </rPr>
          <t>as an SD submittal</t>
        </r>
        <r>
          <rPr>
            <sz val="9"/>
            <color indexed="81"/>
            <rFont val="Tahoma"/>
            <family val="2"/>
          </rPr>
          <t xml:space="preserve">) Should come in at the end of SD so comments from SHPO are received prior to developing presentations.
</t>
        </r>
      </text>
    </comment>
  </commentList>
</comments>
</file>

<file path=xl/comments4.xml><?xml version="1.0" encoding="utf-8"?>
<comments xmlns="http://schemas.openxmlformats.org/spreadsheetml/2006/main">
  <authors>
    <author>Kelly Hoffmann</author>
  </authors>
  <commentList>
    <comment ref="F40" authorId="0" shapeId="0">
      <text>
        <r>
          <rPr>
            <b/>
            <sz val="9"/>
            <color indexed="81"/>
            <rFont val="Tahoma"/>
            <family val="2"/>
          </rPr>
          <t>Items listed below are referenced from a table in this tab below and to the right of the printable area.</t>
        </r>
        <r>
          <rPr>
            <sz val="9"/>
            <color indexed="81"/>
            <rFont val="Tahoma"/>
            <family val="2"/>
          </rPr>
          <t xml:space="preserve">
</t>
        </r>
      </text>
    </comment>
    <comment ref="H40" authorId="0" shapeId="0">
      <text>
        <r>
          <rPr>
            <b/>
            <sz val="9"/>
            <color indexed="81"/>
            <rFont val="Tahoma"/>
            <family val="2"/>
          </rPr>
          <t>Items listed below are referenced from a table in this tab below and to the right of the printable area.</t>
        </r>
        <r>
          <rPr>
            <sz val="9"/>
            <color indexed="81"/>
            <rFont val="Tahoma"/>
            <family val="2"/>
          </rPr>
          <t xml:space="preserve">
</t>
        </r>
      </text>
    </comment>
  </commentList>
</comments>
</file>

<file path=xl/comments5.xml><?xml version="1.0" encoding="utf-8"?>
<comments xmlns="http://schemas.openxmlformats.org/spreadsheetml/2006/main">
  <authors>
    <author>Kelly Hoffmann</author>
  </authors>
  <commentList>
    <comment ref="C15" authorId="0" shapeId="0">
      <text>
        <r>
          <rPr>
            <b/>
            <u/>
            <sz val="9"/>
            <color indexed="81"/>
            <rFont val="Tahoma"/>
            <family val="2"/>
          </rPr>
          <t>Do not edit cell!</t>
        </r>
        <r>
          <rPr>
            <sz val="9"/>
            <color indexed="81"/>
            <rFont val="Tahoma"/>
            <family val="2"/>
          </rPr>
          <t xml:space="preserve">
Echo of Project # &amp; Name from Tab A.
</t>
        </r>
      </text>
    </comment>
    <comment ref="C16" authorId="0" shapeId="0">
      <text>
        <r>
          <rPr>
            <b/>
            <u/>
            <sz val="9"/>
            <color indexed="81"/>
            <rFont val="Tahoma"/>
            <family val="2"/>
          </rPr>
          <t>Do not edit cell!</t>
        </r>
        <r>
          <rPr>
            <sz val="9"/>
            <color indexed="81"/>
            <rFont val="Tahoma"/>
            <family val="2"/>
          </rPr>
          <t xml:space="preserve">
Echo of Phase Applicability from Tab A.
</t>
        </r>
      </text>
    </comment>
    <comment ref="C18" authorId="0" shapeId="0">
      <text>
        <r>
          <rPr>
            <b/>
            <u/>
            <sz val="9"/>
            <color indexed="81"/>
            <rFont val="Tahoma"/>
            <family val="2"/>
          </rPr>
          <t>Do not edit cell!</t>
        </r>
        <r>
          <rPr>
            <sz val="9"/>
            <color indexed="81"/>
            <rFont val="Tahoma"/>
            <family val="2"/>
          </rPr>
          <t xml:space="preserve">
Echo of Project info from Tab A.
</t>
        </r>
      </text>
    </comment>
    <comment ref="C23" authorId="0" shapeId="0">
      <text>
        <r>
          <rPr>
            <b/>
            <sz val="9"/>
            <color indexed="81"/>
            <rFont val="Tahoma"/>
            <family val="2"/>
          </rPr>
          <t>Drop Down</t>
        </r>
        <r>
          <rPr>
            <sz val="9"/>
            <color indexed="81"/>
            <rFont val="Tahoma"/>
            <family val="2"/>
          </rPr>
          <t xml:space="preserve">
</t>
        </r>
      </text>
    </comment>
    <comment ref="H25" authorId="0" shapeId="0">
      <text>
        <r>
          <rPr>
            <sz val="9"/>
            <color indexed="81"/>
            <rFont val="Tahoma"/>
            <family val="2"/>
          </rPr>
          <t>Conceptualization</t>
        </r>
        <r>
          <rPr>
            <b/>
            <sz val="9"/>
            <color indexed="81"/>
            <rFont val="Tahoma"/>
            <family val="2"/>
          </rPr>
          <t xml:space="preserve"> - Item 0 MLD -  IS ALWAYS A YES.</t>
        </r>
        <r>
          <rPr>
            <sz val="9"/>
            <color indexed="81"/>
            <rFont val="Tahoma"/>
            <family val="2"/>
          </rPr>
          <t xml:space="preserve">
</t>
        </r>
      </text>
    </comment>
    <comment ref="H27" authorId="0" shapeId="0">
      <text>
        <r>
          <rPr>
            <sz val="9"/>
            <color indexed="81"/>
            <rFont val="Tahoma"/>
            <family val="2"/>
          </rPr>
          <t>Conceptualization</t>
        </r>
        <r>
          <rPr>
            <b/>
            <sz val="9"/>
            <color indexed="81"/>
            <rFont val="Tahoma"/>
            <family val="2"/>
          </rPr>
          <t xml:space="preserve"> - Item 1 Cost IS ALWAYS A YES.</t>
        </r>
        <r>
          <rPr>
            <sz val="9"/>
            <color indexed="81"/>
            <rFont val="Tahoma"/>
            <family val="2"/>
          </rPr>
          <t xml:space="preserve">
</t>
        </r>
      </text>
    </comment>
    <comment ref="H32" authorId="0" shapeId="0">
      <text>
        <r>
          <rPr>
            <sz val="9"/>
            <color indexed="81"/>
            <rFont val="Tahoma"/>
            <family val="2"/>
          </rPr>
          <t>Conceptualization</t>
        </r>
        <r>
          <rPr>
            <b/>
            <sz val="9"/>
            <color indexed="81"/>
            <rFont val="Tahoma"/>
            <family val="2"/>
          </rPr>
          <t xml:space="preserve"> - Item 3 Schedule IS ALWAYS A YES.</t>
        </r>
        <r>
          <rPr>
            <sz val="9"/>
            <color indexed="81"/>
            <rFont val="Tahoma"/>
            <family val="2"/>
          </rPr>
          <t xml:space="preserve">
</t>
        </r>
      </text>
    </comment>
    <comment ref="H37" authorId="0" shapeId="0">
      <text>
        <r>
          <rPr>
            <sz val="9"/>
            <color indexed="81"/>
            <rFont val="Tahoma"/>
            <family val="2"/>
          </rPr>
          <t xml:space="preserve">Conceptualization - </t>
        </r>
        <r>
          <rPr>
            <b/>
            <sz val="9"/>
            <color indexed="81"/>
            <rFont val="Tahoma"/>
            <family val="2"/>
          </rPr>
          <t>Item 3 Comments IS ALWAYS A YES.</t>
        </r>
      </text>
    </comment>
    <comment ref="H39" authorId="0" shapeId="0">
      <text>
        <r>
          <rPr>
            <sz val="9"/>
            <color indexed="81"/>
            <rFont val="Tahoma"/>
            <family val="2"/>
          </rPr>
          <t>Conceptualization</t>
        </r>
        <r>
          <rPr>
            <b/>
            <sz val="9"/>
            <color indexed="81"/>
            <rFont val="Tahoma"/>
            <family val="2"/>
          </rPr>
          <t xml:space="preserve"> - Item 4a BOD/Concept Report -  default is "Y"</t>
        </r>
        <r>
          <rPr>
            <sz val="9"/>
            <color indexed="81"/>
            <rFont val="Tahoma"/>
            <family val="2"/>
          </rPr>
          <t xml:space="preserve">
</t>
        </r>
      </text>
    </comment>
    <comment ref="H126" authorId="0" shapeId="0">
      <text>
        <r>
          <rPr>
            <sz val="9"/>
            <color indexed="81"/>
            <rFont val="Tahoma"/>
            <family val="2"/>
          </rPr>
          <t>Conceptualization -</t>
        </r>
        <r>
          <rPr>
            <b/>
            <sz val="9"/>
            <color indexed="81"/>
            <rFont val="Tahoma"/>
            <family val="2"/>
          </rPr>
          <t xml:space="preserve"> Item 4b Applicable Info / Calcs - Default is "Y"
</t>
        </r>
      </text>
    </comment>
    <comment ref="H168" authorId="0" shapeId="0">
      <text>
        <r>
          <rPr>
            <sz val="9"/>
            <color indexed="81"/>
            <rFont val="Tahoma"/>
            <family val="2"/>
          </rPr>
          <t xml:space="preserve">Conceptualization </t>
        </r>
        <r>
          <rPr>
            <b/>
            <sz val="9"/>
            <color indexed="81"/>
            <rFont val="Tahoma"/>
            <family val="2"/>
          </rPr>
          <t>- Item 5a Finishes Binder - Default is "N"</t>
        </r>
        <r>
          <rPr>
            <sz val="9"/>
            <color indexed="81"/>
            <rFont val="Tahoma"/>
            <family val="2"/>
          </rPr>
          <t xml:space="preserve">
</t>
        </r>
      </text>
    </comment>
    <comment ref="H174" authorId="0" shapeId="0">
      <text>
        <r>
          <rPr>
            <sz val="9"/>
            <color indexed="81"/>
            <rFont val="Tahoma"/>
            <family val="2"/>
          </rPr>
          <t xml:space="preserve">Conceptualization </t>
        </r>
        <r>
          <rPr>
            <b/>
            <sz val="9"/>
            <color indexed="81"/>
            <rFont val="Tahoma"/>
            <family val="2"/>
          </rPr>
          <t>- Item 5b FFE Binder - Default is "N"</t>
        </r>
        <r>
          <rPr>
            <sz val="9"/>
            <color indexed="81"/>
            <rFont val="Tahoma"/>
            <family val="2"/>
          </rPr>
          <t xml:space="preserve">
</t>
        </r>
      </text>
    </comment>
    <comment ref="H180" authorId="0" shapeId="0">
      <text>
        <r>
          <rPr>
            <sz val="9"/>
            <color indexed="81"/>
            <rFont val="Tahoma"/>
            <family val="2"/>
          </rPr>
          <t xml:space="preserve">Conceptualization </t>
        </r>
        <r>
          <rPr>
            <b/>
            <sz val="9"/>
            <color indexed="81"/>
            <rFont val="Tahoma"/>
            <family val="2"/>
          </rPr>
          <t>- Item 6 Project Manual - Default is "N"</t>
        </r>
        <r>
          <rPr>
            <sz val="9"/>
            <color indexed="81"/>
            <rFont val="Tahoma"/>
            <family val="2"/>
          </rPr>
          <t xml:space="preserve">
</t>
        </r>
      </text>
    </comment>
    <comment ref="H187" authorId="0" shapeId="0">
      <text>
        <r>
          <rPr>
            <sz val="9"/>
            <color indexed="81"/>
            <rFont val="Tahoma"/>
            <family val="2"/>
          </rPr>
          <t>Conceptualization</t>
        </r>
        <r>
          <rPr>
            <b/>
            <sz val="9"/>
            <color indexed="81"/>
            <rFont val="Tahoma"/>
            <family val="2"/>
          </rPr>
          <t xml:space="preserve"> - Item 7b Drawings - Default is "Y"</t>
        </r>
        <r>
          <rPr>
            <sz val="9"/>
            <color indexed="81"/>
            <rFont val="Tahoma"/>
            <family val="2"/>
          </rPr>
          <t xml:space="preserve">
</t>
        </r>
      </text>
    </comment>
    <comment ref="H206" authorId="0" shapeId="0">
      <text>
        <r>
          <rPr>
            <sz val="9"/>
            <color indexed="81"/>
            <rFont val="Tahoma"/>
            <family val="2"/>
          </rPr>
          <t>Conceptualization</t>
        </r>
        <r>
          <rPr>
            <b/>
            <sz val="9"/>
            <color indexed="81"/>
            <rFont val="Tahoma"/>
            <family val="2"/>
          </rPr>
          <t xml:space="preserve"> - Item 7b Drawings - Default is "Y"</t>
        </r>
        <r>
          <rPr>
            <sz val="9"/>
            <color indexed="81"/>
            <rFont val="Tahoma"/>
            <family val="2"/>
          </rPr>
          <t xml:space="preserve">
</t>
        </r>
      </text>
    </comment>
    <comment ref="H331" authorId="0" shapeId="0">
      <text>
        <r>
          <rPr>
            <sz val="9"/>
            <color indexed="81"/>
            <rFont val="Tahoma"/>
            <family val="2"/>
          </rPr>
          <t>Conceptualization</t>
        </r>
        <r>
          <rPr>
            <b/>
            <sz val="9"/>
            <color indexed="81"/>
            <rFont val="Tahoma"/>
            <family val="2"/>
          </rPr>
          <t xml:space="preserve"> - Item 7b Drawings - Default is "Y"</t>
        </r>
        <r>
          <rPr>
            <sz val="9"/>
            <color indexed="81"/>
            <rFont val="Tahoma"/>
            <family val="2"/>
          </rPr>
          <t xml:space="preserve">
</t>
        </r>
      </text>
    </comment>
    <comment ref="H382" authorId="0" shapeId="0">
      <text>
        <r>
          <rPr>
            <sz val="9"/>
            <color indexed="81"/>
            <rFont val="Tahoma"/>
            <family val="2"/>
          </rPr>
          <t>Conceptualization</t>
        </r>
        <r>
          <rPr>
            <b/>
            <sz val="9"/>
            <color indexed="81"/>
            <rFont val="Tahoma"/>
            <family val="2"/>
          </rPr>
          <t xml:space="preserve"> - Item 7b BIM - Default is "N"unless required by contract.</t>
        </r>
        <r>
          <rPr>
            <sz val="9"/>
            <color indexed="81"/>
            <rFont val="Tahoma"/>
            <family val="2"/>
          </rPr>
          <t xml:space="preserve">
</t>
        </r>
      </text>
    </comment>
    <comment ref="H385" authorId="0" shapeId="0">
      <text>
        <r>
          <rPr>
            <sz val="9"/>
            <color indexed="81"/>
            <rFont val="Tahoma"/>
            <family val="2"/>
          </rPr>
          <t xml:space="preserve">Conceptualization </t>
        </r>
        <r>
          <rPr>
            <b/>
            <sz val="9"/>
            <color indexed="81"/>
            <rFont val="Tahoma"/>
            <family val="2"/>
          </rPr>
          <t>- Item 8 Presentation - Default is "Y"</t>
        </r>
        <r>
          <rPr>
            <sz val="9"/>
            <color indexed="81"/>
            <rFont val="Tahoma"/>
            <family val="2"/>
          </rPr>
          <t xml:space="preserve">
</t>
        </r>
      </text>
    </comment>
    <comment ref="H443" authorId="0" shapeId="0">
      <text>
        <r>
          <rPr>
            <sz val="9"/>
            <color indexed="81"/>
            <rFont val="Tahoma"/>
            <family val="2"/>
          </rPr>
          <t xml:space="preserve">Conceptualization </t>
        </r>
        <r>
          <rPr>
            <b/>
            <sz val="9"/>
            <color indexed="81"/>
            <rFont val="Tahoma"/>
            <family val="2"/>
          </rPr>
          <t>- Item 9 SHPO - Default is "N"</t>
        </r>
        <r>
          <rPr>
            <sz val="9"/>
            <color indexed="81"/>
            <rFont val="Tahoma"/>
            <family val="2"/>
          </rPr>
          <t xml:space="preserve">
</t>
        </r>
      </text>
    </comment>
  </commentList>
</comments>
</file>

<file path=xl/comments6.xml><?xml version="1.0" encoding="utf-8"?>
<comments xmlns="http://schemas.openxmlformats.org/spreadsheetml/2006/main">
  <authors>
    <author>Kelly Hoffmann</author>
  </authors>
  <commentList>
    <comment ref="C15" authorId="0" shapeId="0">
      <text>
        <r>
          <rPr>
            <b/>
            <u/>
            <sz val="9"/>
            <color indexed="81"/>
            <rFont val="Tahoma"/>
            <family val="2"/>
          </rPr>
          <t>Do not edit cell!</t>
        </r>
        <r>
          <rPr>
            <sz val="9"/>
            <color indexed="81"/>
            <rFont val="Tahoma"/>
            <family val="2"/>
          </rPr>
          <t xml:space="preserve">
Echo of Project # &amp; Name from Tab A.
</t>
        </r>
      </text>
    </comment>
    <comment ref="C16" authorId="0" shapeId="0">
      <text>
        <r>
          <rPr>
            <b/>
            <u/>
            <sz val="9"/>
            <color indexed="81"/>
            <rFont val="Tahoma"/>
            <family val="2"/>
          </rPr>
          <t>Do not edit cell!</t>
        </r>
        <r>
          <rPr>
            <sz val="9"/>
            <color indexed="81"/>
            <rFont val="Tahoma"/>
            <family val="2"/>
          </rPr>
          <t xml:space="preserve">
Echo of Phase Applicability from Tab A.
</t>
        </r>
      </text>
    </comment>
    <comment ref="C18" authorId="0" shapeId="0">
      <text>
        <r>
          <rPr>
            <b/>
            <u/>
            <sz val="9"/>
            <color indexed="81"/>
            <rFont val="Tahoma"/>
            <family val="2"/>
          </rPr>
          <t>Do not edit cell!</t>
        </r>
        <r>
          <rPr>
            <sz val="9"/>
            <color indexed="81"/>
            <rFont val="Tahoma"/>
            <family val="2"/>
          </rPr>
          <t xml:space="preserve">
Echo of Project info from Tab A.
</t>
        </r>
      </text>
    </comment>
    <comment ref="C23" authorId="0" shapeId="0">
      <text>
        <r>
          <rPr>
            <b/>
            <sz val="9"/>
            <color indexed="81"/>
            <rFont val="Tahoma"/>
            <family val="2"/>
          </rPr>
          <t>Drop Down</t>
        </r>
        <r>
          <rPr>
            <sz val="9"/>
            <color indexed="81"/>
            <rFont val="Tahoma"/>
            <family val="2"/>
          </rPr>
          <t xml:space="preserve">
</t>
        </r>
      </text>
    </comment>
    <comment ref="H25" authorId="0" shapeId="0">
      <text>
        <r>
          <rPr>
            <sz val="9"/>
            <color indexed="81"/>
            <rFont val="Tahoma"/>
            <family val="2"/>
          </rPr>
          <t>SD</t>
        </r>
        <r>
          <rPr>
            <b/>
            <sz val="9"/>
            <color indexed="81"/>
            <rFont val="Tahoma"/>
            <family val="2"/>
          </rPr>
          <t xml:space="preserve"> - Item 0 MLD IS ALWAYS A YES.</t>
        </r>
        <r>
          <rPr>
            <sz val="9"/>
            <color indexed="81"/>
            <rFont val="Tahoma"/>
            <family val="2"/>
          </rPr>
          <t xml:space="preserve">
</t>
        </r>
      </text>
    </comment>
    <comment ref="H27" authorId="0" shapeId="0">
      <text>
        <r>
          <rPr>
            <sz val="9"/>
            <color indexed="81"/>
            <rFont val="Tahoma"/>
            <family val="2"/>
          </rPr>
          <t>SD</t>
        </r>
        <r>
          <rPr>
            <b/>
            <sz val="9"/>
            <color indexed="81"/>
            <rFont val="Tahoma"/>
            <family val="2"/>
          </rPr>
          <t xml:space="preserve"> - Item 1 Cost IS ALWAYS A YES.</t>
        </r>
        <r>
          <rPr>
            <sz val="9"/>
            <color indexed="81"/>
            <rFont val="Tahoma"/>
            <family val="2"/>
          </rPr>
          <t xml:space="preserve">
</t>
        </r>
      </text>
    </comment>
    <comment ref="H32" authorId="0" shapeId="0">
      <text>
        <r>
          <rPr>
            <sz val="9"/>
            <color indexed="81"/>
            <rFont val="Tahoma"/>
            <family val="2"/>
          </rPr>
          <t>SD</t>
        </r>
        <r>
          <rPr>
            <b/>
            <sz val="9"/>
            <color indexed="81"/>
            <rFont val="Tahoma"/>
            <family val="2"/>
          </rPr>
          <t xml:space="preserve"> - Item 2 Schedule IS ALWAYS A YES.</t>
        </r>
        <r>
          <rPr>
            <sz val="9"/>
            <color indexed="81"/>
            <rFont val="Tahoma"/>
            <family val="2"/>
          </rPr>
          <t xml:space="preserve">
</t>
        </r>
      </text>
    </comment>
    <comment ref="H37" authorId="0" shapeId="0">
      <text>
        <r>
          <rPr>
            <sz val="9"/>
            <color indexed="81"/>
            <rFont val="Tahoma"/>
            <family val="2"/>
          </rPr>
          <t xml:space="preserve">SD - </t>
        </r>
        <r>
          <rPr>
            <b/>
            <sz val="9"/>
            <color indexed="81"/>
            <rFont val="Tahoma"/>
            <family val="2"/>
          </rPr>
          <t>Item 3 Comments IS ALWAYS A YES.</t>
        </r>
      </text>
    </comment>
    <comment ref="H39" authorId="0" shapeId="0">
      <text>
        <r>
          <rPr>
            <sz val="9"/>
            <color indexed="81"/>
            <rFont val="Tahoma"/>
            <family val="2"/>
          </rPr>
          <t xml:space="preserve">SD </t>
        </r>
        <r>
          <rPr>
            <b/>
            <sz val="9"/>
            <color indexed="81"/>
            <rFont val="Tahoma"/>
            <family val="2"/>
          </rPr>
          <t xml:space="preserve"> - Item 4a BOD - default is "Y" 
</t>
        </r>
        <r>
          <rPr>
            <sz val="9"/>
            <color indexed="81"/>
            <rFont val="Tahoma"/>
            <family val="2"/>
          </rPr>
          <t xml:space="preserve"> 
</t>
        </r>
      </text>
    </comment>
    <comment ref="H126" authorId="0" shapeId="0">
      <text>
        <r>
          <rPr>
            <sz val="9"/>
            <color indexed="81"/>
            <rFont val="Tahoma"/>
            <family val="2"/>
          </rPr>
          <t>SD -</t>
        </r>
        <r>
          <rPr>
            <b/>
            <sz val="9"/>
            <color indexed="81"/>
            <rFont val="Tahoma"/>
            <family val="2"/>
          </rPr>
          <t xml:space="preserve"> Item 4b Info / Calcs - Default is "Y"
</t>
        </r>
      </text>
    </comment>
    <comment ref="H168" authorId="0" shapeId="0">
      <text>
        <r>
          <rPr>
            <sz val="9"/>
            <color indexed="81"/>
            <rFont val="Tahoma"/>
            <family val="2"/>
          </rPr>
          <t xml:space="preserve">SD </t>
        </r>
        <r>
          <rPr>
            <b/>
            <sz val="9"/>
            <color indexed="81"/>
            <rFont val="Tahoma"/>
            <family val="2"/>
          </rPr>
          <t>- Item 5a Finishes - Default is "N"</t>
        </r>
        <r>
          <rPr>
            <sz val="9"/>
            <color indexed="81"/>
            <rFont val="Tahoma"/>
            <family val="2"/>
          </rPr>
          <t xml:space="preserve">
</t>
        </r>
      </text>
    </comment>
    <comment ref="H174" authorId="0" shapeId="0">
      <text>
        <r>
          <rPr>
            <sz val="9"/>
            <color indexed="81"/>
            <rFont val="Tahoma"/>
            <family val="2"/>
          </rPr>
          <t xml:space="preserve">SD </t>
        </r>
        <r>
          <rPr>
            <b/>
            <sz val="9"/>
            <color indexed="81"/>
            <rFont val="Tahoma"/>
            <family val="2"/>
          </rPr>
          <t>- Item 5b FFE Binder - Default is "N"</t>
        </r>
        <r>
          <rPr>
            <sz val="9"/>
            <color indexed="81"/>
            <rFont val="Tahoma"/>
            <family val="2"/>
          </rPr>
          <t xml:space="preserve">
</t>
        </r>
      </text>
    </comment>
    <comment ref="H180" authorId="0" shapeId="0">
      <text>
        <r>
          <rPr>
            <sz val="9"/>
            <color indexed="81"/>
            <rFont val="Tahoma"/>
            <family val="2"/>
          </rPr>
          <t xml:space="preserve">SD </t>
        </r>
        <r>
          <rPr>
            <b/>
            <sz val="9"/>
            <color indexed="81"/>
            <rFont val="Tahoma"/>
            <family val="2"/>
          </rPr>
          <t>- Item 6 Project Manual - Default is "N"</t>
        </r>
        <r>
          <rPr>
            <sz val="9"/>
            <color indexed="81"/>
            <rFont val="Tahoma"/>
            <family val="2"/>
          </rPr>
          <t xml:space="preserve">
</t>
        </r>
      </text>
    </comment>
    <comment ref="H206" authorId="0" shapeId="0">
      <text>
        <r>
          <rPr>
            <sz val="9"/>
            <color indexed="81"/>
            <rFont val="Tahoma"/>
            <family val="2"/>
          </rPr>
          <t>SD</t>
        </r>
        <r>
          <rPr>
            <b/>
            <sz val="9"/>
            <color indexed="81"/>
            <rFont val="Tahoma"/>
            <family val="2"/>
          </rPr>
          <t xml:space="preserve"> - Item 7b Drawings - Default is "Y"</t>
        </r>
        <r>
          <rPr>
            <sz val="9"/>
            <color indexed="81"/>
            <rFont val="Tahoma"/>
            <family val="2"/>
          </rPr>
          <t xml:space="preserve">
</t>
        </r>
      </text>
    </comment>
    <comment ref="H331" authorId="0" shapeId="0">
      <text>
        <r>
          <rPr>
            <sz val="9"/>
            <color indexed="81"/>
            <rFont val="Tahoma"/>
            <family val="2"/>
          </rPr>
          <t>Conceptualization</t>
        </r>
        <r>
          <rPr>
            <b/>
            <sz val="9"/>
            <color indexed="81"/>
            <rFont val="Tahoma"/>
            <family val="2"/>
          </rPr>
          <t xml:space="preserve"> - Item 7b Drawings - Default is "Y"</t>
        </r>
        <r>
          <rPr>
            <sz val="9"/>
            <color indexed="81"/>
            <rFont val="Tahoma"/>
            <family val="2"/>
          </rPr>
          <t xml:space="preserve">
</t>
        </r>
      </text>
    </comment>
    <comment ref="H382" authorId="0" shapeId="0">
      <text>
        <r>
          <rPr>
            <sz val="9"/>
            <color indexed="81"/>
            <rFont val="Tahoma"/>
            <family val="2"/>
          </rPr>
          <t>SD</t>
        </r>
        <r>
          <rPr>
            <b/>
            <sz val="9"/>
            <color indexed="81"/>
            <rFont val="Tahoma"/>
            <family val="2"/>
          </rPr>
          <t xml:space="preserve"> - Item 7b BIM - Default is "N"
</t>
        </r>
        <r>
          <rPr>
            <i/>
            <u/>
            <sz val="9"/>
            <color indexed="81"/>
            <rFont val="Tahoma"/>
            <family val="2"/>
          </rPr>
          <t>IF "Y" is selected, must be added into PSC contract.</t>
        </r>
        <r>
          <rPr>
            <b/>
            <sz val="9"/>
            <color indexed="81"/>
            <rFont val="Tahoma"/>
            <family val="2"/>
          </rPr>
          <t xml:space="preserve">
</t>
        </r>
        <r>
          <rPr>
            <sz val="9"/>
            <color indexed="81"/>
            <rFont val="Tahoma"/>
            <family val="2"/>
          </rPr>
          <t xml:space="preserve">
</t>
        </r>
      </text>
    </comment>
    <comment ref="H385" authorId="0" shapeId="0">
      <text>
        <r>
          <rPr>
            <sz val="9"/>
            <color indexed="81"/>
            <rFont val="Tahoma"/>
            <family val="2"/>
          </rPr>
          <t>SD</t>
        </r>
        <r>
          <rPr>
            <b/>
            <sz val="9"/>
            <color indexed="81"/>
            <rFont val="Tahoma"/>
            <family val="2"/>
          </rPr>
          <t xml:space="preserve"> - Presentation depends on project (Yes -for BOT projects, major renovations, exterior renovations, and projects in major public spaces or large lecture halls.</t>
        </r>
        <r>
          <rPr>
            <sz val="9"/>
            <color indexed="81"/>
            <rFont val="Tahoma"/>
            <family val="2"/>
          </rPr>
          <t xml:space="preserve">
Presentations initiated after the SD cost estimate, responses to comments, narrative, and plans have been accepted.  Usually submitted into the DD phase. </t>
        </r>
      </text>
    </comment>
    <comment ref="H403" authorId="0" shapeId="0">
      <text>
        <r>
          <rPr>
            <sz val="9"/>
            <color indexed="81"/>
            <rFont val="Tahoma"/>
            <family val="2"/>
          </rPr>
          <t>SD</t>
        </r>
        <r>
          <rPr>
            <b/>
            <sz val="9"/>
            <color indexed="81"/>
            <rFont val="Tahoma"/>
            <family val="2"/>
          </rPr>
          <t xml:space="preserve"> - Presentation depends on project (Yes -for BOT projects, major renovations, exterior renovations, and projects in major public spaces or large lecture halls.</t>
        </r>
        <r>
          <rPr>
            <sz val="9"/>
            <color indexed="81"/>
            <rFont val="Tahoma"/>
            <family val="2"/>
          </rPr>
          <t xml:space="preserve">
Presentations initiated after the SD cost estimate, responses to comments, narrative, and plans have been accepted.  Usually submitted into the DD phase. </t>
        </r>
      </text>
    </comment>
    <comment ref="H422" authorId="0" shapeId="0">
      <text>
        <r>
          <rPr>
            <sz val="9"/>
            <color indexed="81"/>
            <rFont val="Tahoma"/>
            <family val="2"/>
          </rPr>
          <t>SD</t>
        </r>
        <r>
          <rPr>
            <b/>
            <sz val="9"/>
            <color indexed="81"/>
            <rFont val="Tahoma"/>
            <family val="2"/>
          </rPr>
          <t xml:space="preserve"> - Presentation depends on project (Yes -for BOT projects, major renovations, exterior renovations, and projects in major public spaces or large lecture halls.</t>
        </r>
        <r>
          <rPr>
            <sz val="9"/>
            <color indexed="81"/>
            <rFont val="Tahoma"/>
            <family val="2"/>
          </rPr>
          <t xml:space="preserve">
Presentations initiated after the SD cost estimate, responses to comments, narrative, and plans have been accepted.  Usually submitted into the DD phase. </t>
        </r>
      </text>
    </comment>
    <comment ref="H423" authorId="0" shapeId="0">
      <text>
        <r>
          <rPr>
            <sz val="9"/>
            <color indexed="81"/>
            <rFont val="Tahoma"/>
            <family val="2"/>
          </rPr>
          <t>SD</t>
        </r>
        <r>
          <rPr>
            <b/>
            <sz val="9"/>
            <color indexed="81"/>
            <rFont val="Tahoma"/>
            <family val="2"/>
          </rPr>
          <t xml:space="preserve"> - Presentation depends on project (Yes -for BOT projects, major renovations, exterior renovations, and projects in major public spaces or large lecture halls.</t>
        </r>
        <r>
          <rPr>
            <sz val="9"/>
            <color indexed="81"/>
            <rFont val="Tahoma"/>
            <family val="2"/>
          </rPr>
          <t xml:space="preserve">
Presentations initiated after the SD cost estimate, responses to comments, narrative, and plans have been accepted.  Usually submitted into the DD phase. </t>
        </r>
      </text>
    </comment>
    <comment ref="H424" authorId="0" shapeId="0">
      <text>
        <r>
          <rPr>
            <sz val="9"/>
            <color indexed="81"/>
            <rFont val="Tahoma"/>
            <family val="2"/>
          </rPr>
          <t>SD</t>
        </r>
        <r>
          <rPr>
            <b/>
            <sz val="9"/>
            <color indexed="81"/>
            <rFont val="Tahoma"/>
            <family val="2"/>
          </rPr>
          <t xml:space="preserve"> - Presentation depends on project (Yes -for BOT projects, major renovations, exterior renovations, and projects in major public spaces or large lecture halls.</t>
        </r>
        <r>
          <rPr>
            <sz val="9"/>
            <color indexed="81"/>
            <rFont val="Tahoma"/>
            <family val="2"/>
          </rPr>
          <t xml:space="preserve">
Presentations initiated after the SD cost estimate, responses to comments, narrative, and plans have been accepted.  Usually submitted into the DD phase. </t>
        </r>
      </text>
    </comment>
    <comment ref="H443" authorId="0" shapeId="0">
      <text>
        <r>
          <rPr>
            <sz val="9"/>
            <color indexed="81"/>
            <rFont val="Tahoma"/>
            <family val="2"/>
          </rPr>
          <t>SD</t>
        </r>
        <r>
          <rPr>
            <b/>
            <sz val="9"/>
            <color indexed="81"/>
            <rFont val="Tahoma"/>
            <family val="2"/>
          </rPr>
          <t xml:space="preserve"> - Item 7 - Default is "Y", actually various per project.  Discuss with IL Historic Preservation Officer</t>
        </r>
        <r>
          <rPr>
            <sz val="9"/>
            <color indexed="81"/>
            <rFont val="Tahoma"/>
            <family val="2"/>
          </rPr>
          <t xml:space="preserve">
Guidelines - on SHPO historic register eligible buildings (&gt;50 years and an architectual rating of 2.75 or greater)
Almost always applies for BOT projects, major renovations, exterior renovations, and projects in major public spaces or large lecture halls.
SHPO initiated at </t>
        </r>
        <r>
          <rPr>
            <u/>
            <sz val="9"/>
            <color indexed="81"/>
            <rFont val="Tahoma"/>
            <family val="2"/>
          </rPr>
          <t>SD an often followed up at the DD submittal.</t>
        </r>
      </text>
    </comment>
    <comment ref="H583" authorId="0" shapeId="0">
      <text>
        <r>
          <rPr>
            <sz val="9"/>
            <color indexed="81"/>
            <rFont val="Tahoma"/>
            <family val="2"/>
          </rPr>
          <t>Conceptualization</t>
        </r>
        <r>
          <rPr>
            <b/>
            <sz val="9"/>
            <color indexed="81"/>
            <rFont val="Tahoma"/>
            <family val="2"/>
          </rPr>
          <t xml:space="preserve"> - Item 7b Drawings - Default is "Y"</t>
        </r>
        <r>
          <rPr>
            <sz val="9"/>
            <color indexed="81"/>
            <rFont val="Tahoma"/>
            <family val="2"/>
          </rPr>
          <t xml:space="preserve">
</t>
        </r>
      </text>
    </comment>
  </commentList>
</comments>
</file>

<file path=xl/comments7.xml><?xml version="1.0" encoding="utf-8"?>
<comments xmlns="http://schemas.openxmlformats.org/spreadsheetml/2006/main">
  <authors>
    <author>Kelly Hoffmann</author>
  </authors>
  <commentList>
    <comment ref="C15" authorId="0" shapeId="0">
      <text>
        <r>
          <rPr>
            <b/>
            <u/>
            <sz val="9"/>
            <color indexed="81"/>
            <rFont val="Tahoma"/>
            <family val="2"/>
          </rPr>
          <t>Do not edit cell!</t>
        </r>
        <r>
          <rPr>
            <sz val="9"/>
            <color indexed="81"/>
            <rFont val="Tahoma"/>
            <family val="2"/>
          </rPr>
          <t xml:space="preserve">
Echo of Project # &amp; Name from Tab A.
</t>
        </r>
      </text>
    </comment>
    <comment ref="C16" authorId="0" shapeId="0">
      <text>
        <r>
          <rPr>
            <b/>
            <u/>
            <sz val="9"/>
            <color indexed="81"/>
            <rFont val="Tahoma"/>
            <family val="2"/>
          </rPr>
          <t>Do not edit cell!</t>
        </r>
        <r>
          <rPr>
            <sz val="9"/>
            <color indexed="81"/>
            <rFont val="Tahoma"/>
            <family val="2"/>
          </rPr>
          <t xml:space="preserve">
Echo of Phase Applicability from Tab A.
</t>
        </r>
      </text>
    </comment>
    <comment ref="C18" authorId="0" shapeId="0">
      <text>
        <r>
          <rPr>
            <b/>
            <u/>
            <sz val="9"/>
            <color indexed="81"/>
            <rFont val="Tahoma"/>
            <family val="2"/>
          </rPr>
          <t>Do not edit cell!</t>
        </r>
        <r>
          <rPr>
            <sz val="9"/>
            <color indexed="81"/>
            <rFont val="Tahoma"/>
            <family val="2"/>
          </rPr>
          <t xml:space="preserve">
Echo of Project info from Tab A.
</t>
        </r>
      </text>
    </comment>
    <comment ref="C23" authorId="0" shapeId="0">
      <text>
        <r>
          <rPr>
            <b/>
            <sz val="9"/>
            <color indexed="81"/>
            <rFont val="Tahoma"/>
            <family val="2"/>
          </rPr>
          <t>Drop Down</t>
        </r>
        <r>
          <rPr>
            <sz val="9"/>
            <color indexed="81"/>
            <rFont val="Tahoma"/>
            <family val="2"/>
          </rPr>
          <t xml:space="preserve">
</t>
        </r>
      </text>
    </comment>
    <comment ref="H25" authorId="0" shapeId="0">
      <text>
        <r>
          <rPr>
            <sz val="9"/>
            <color indexed="81"/>
            <rFont val="Tahoma"/>
            <family val="2"/>
          </rPr>
          <t>DD</t>
        </r>
        <r>
          <rPr>
            <b/>
            <sz val="9"/>
            <color indexed="81"/>
            <rFont val="Tahoma"/>
            <family val="2"/>
          </rPr>
          <t xml:space="preserve"> - Item 0 MLD IS ALWAYS A YES.</t>
        </r>
        <r>
          <rPr>
            <sz val="9"/>
            <color indexed="81"/>
            <rFont val="Tahoma"/>
            <family val="2"/>
          </rPr>
          <t xml:space="preserve">
</t>
        </r>
      </text>
    </comment>
    <comment ref="H27" authorId="0" shapeId="0">
      <text>
        <r>
          <rPr>
            <sz val="9"/>
            <color indexed="81"/>
            <rFont val="Tahoma"/>
            <family val="2"/>
          </rPr>
          <t>DD -</t>
        </r>
        <r>
          <rPr>
            <b/>
            <sz val="9"/>
            <color indexed="81"/>
            <rFont val="Tahoma"/>
            <family val="2"/>
          </rPr>
          <t xml:space="preserve"> Item 1 ESTIMATE IS ALWAYS A YES.
</t>
        </r>
      </text>
    </comment>
    <comment ref="H32" authorId="0" shapeId="0">
      <text>
        <r>
          <rPr>
            <sz val="9"/>
            <color indexed="81"/>
            <rFont val="Tahoma"/>
            <family val="2"/>
          </rPr>
          <t>DD</t>
        </r>
        <r>
          <rPr>
            <b/>
            <sz val="9"/>
            <color indexed="81"/>
            <rFont val="Tahoma"/>
            <family val="2"/>
          </rPr>
          <t xml:space="preserve"> - Item 2 Schedule IS ALWAYS A YES.</t>
        </r>
        <r>
          <rPr>
            <sz val="9"/>
            <color indexed="81"/>
            <rFont val="Tahoma"/>
            <family val="2"/>
          </rPr>
          <t xml:space="preserve">
</t>
        </r>
      </text>
    </comment>
    <comment ref="H37" authorId="0" shapeId="0">
      <text>
        <r>
          <rPr>
            <sz val="9"/>
            <color indexed="81"/>
            <rFont val="Tahoma"/>
            <family val="2"/>
          </rPr>
          <t>DD</t>
        </r>
        <r>
          <rPr>
            <b/>
            <sz val="9"/>
            <color indexed="81"/>
            <rFont val="Tahoma"/>
            <family val="2"/>
          </rPr>
          <t xml:space="preserve"> - Item 3 Comments IS ALWAYS A YES.</t>
        </r>
        <r>
          <rPr>
            <sz val="9"/>
            <color indexed="81"/>
            <rFont val="Tahoma"/>
            <family val="2"/>
          </rPr>
          <t xml:space="preserve">
</t>
        </r>
      </text>
    </comment>
    <comment ref="H39" authorId="0" shapeId="0">
      <text>
        <r>
          <rPr>
            <sz val="9"/>
            <color indexed="81"/>
            <rFont val="Tahoma"/>
            <family val="2"/>
          </rPr>
          <t>DD</t>
        </r>
        <r>
          <rPr>
            <b/>
            <sz val="9"/>
            <color indexed="81"/>
            <rFont val="Tahoma"/>
            <family val="2"/>
          </rPr>
          <t xml:space="preserve"> - Item 4a BOD - Default is "Y"</t>
        </r>
        <r>
          <rPr>
            <sz val="9"/>
            <color indexed="81"/>
            <rFont val="Tahoma"/>
            <family val="2"/>
          </rPr>
          <t xml:space="preserve">
</t>
        </r>
      </text>
    </comment>
    <comment ref="H126" authorId="0" shapeId="0">
      <text>
        <r>
          <rPr>
            <sz val="9"/>
            <color indexed="81"/>
            <rFont val="Tahoma"/>
            <family val="2"/>
          </rPr>
          <t>DD</t>
        </r>
        <r>
          <rPr>
            <b/>
            <sz val="9"/>
            <color indexed="81"/>
            <rFont val="Tahoma"/>
            <family val="2"/>
          </rPr>
          <t xml:space="preserve"> - Item 4b  Info / Calculations - Default is "Y"
</t>
        </r>
        <r>
          <rPr>
            <u/>
            <sz val="9"/>
            <color indexed="81"/>
            <rFont val="Tahoma"/>
            <family val="2"/>
          </rPr>
          <t>if combined SD/DD</t>
        </r>
        <r>
          <rPr>
            <b/>
            <sz val="9"/>
            <color indexed="81"/>
            <rFont val="Tahoma"/>
            <family val="2"/>
          </rPr>
          <t xml:space="preserve"> - Default should be "Y"</t>
        </r>
        <r>
          <rPr>
            <sz val="9"/>
            <color indexed="81"/>
            <rFont val="Tahoma"/>
            <family val="2"/>
          </rPr>
          <t xml:space="preserve">
</t>
        </r>
      </text>
    </comment>
    <comment ref="H168" authorId="0" shapeId="0">
      <text>
        <r>
          <rPr>
            <sz val="9"/>
            <color indexed="81"/>
            <rFont val="Tahoma"/>
            <family val="2"/>
          </rPr>
          <t>DD</t>
        </r>
        <r>
          <rPr>
            <b/>
            <sz val="9"/>
            <color indexed="81"/>
            <rFont val="Tahoma"/>
            <family val="2"/>
          </rPr>
          <t xml:space="preserve"> - Item 5a Binder - Default is "Y"</t>
        </r>
        <r>
          <rPr>
            <sz val="9"/>
            <color indexed="81"/>
            <rFont val="Tahoma"/>
            <family val="2"/>
          </rPr>
          <t xml:space="preserve">
</t>
        </r>
      </text>
    </comment>
    <comment ref="H174" authorId="0" shapeId="0">
      <text>
        <r>
          <rPr>
            <sz val="9"/>
            <color indexed="81"/>
            <rFont val="Tahoma"/>
            <family val="2"/>
          </rPr>
          <t>DD</t>
        </r>
        <r>
          <rPr>
            <b/>
            <sz val="9"/>
            <color indexed="81"/>
            <rFont val="Tahoma"/>
            <family val="2"/>
          </rPr>
          <t xml:space="preserve"> - Item 5b FF&amp;E Binder - Default is "Y"</t>
        </r>
        <r>
          <rPr>
            <sz val="9"/>
            <color indexed="81"/>
            <rFont val="Tahoma"/>
            <family val="2"/>
          </rPr>
          <t xml:space="preserve">
</t>
        </r>
      </text>
    </comment>
    <comment ref="H180" authorId="0" shapeId="0">
      <text>
        <r>
          <rPr>
            <sz val="9"/>
            <color indexed="81"/>
            <rFont val="Tahoma"/>
            <family val="2"/>
          </rPr>
          <t xml:space="preserve">DD - </t>
        </r>
        <r>
          <rPr>
            <b/>
            <sz val="9"/>
            <color indexed="81"/>
            <rFont val="Tahoma"/>
            <family val="2"/>
          </rPr>
          <t>Item 6 Project Manual - Default is "Y"</t>
        </r>
        <r>
          <rPr>
            <sz val="9"/>
            <color indexed="81"/>
            <rFont val="Tahoma"/>
            <family val="2"/>
          </rPr>
          <t xml:space="preserve">
</t>
        </r>
      </text>
    </comment>
    <comment ref="H206" authorId="0" shapeId="0">
      <text>
        <r>
          <rPr>
            <sz val="9"/>
            <color indexed="81"/>
            <rFont val="Tahoma"/>
            <family val="2"/>
          </rPr>
          <t xml:space="preserve">DD - </t>
        </r>
        <r>
          <rPr>
            <b/>
            <sz val="9"/>
            <color indexed="81"/>
            <rFont val="Tahoma"/>
            <family val="2"/>
          </rPr>
          <t>Item 7a Drawings - Default is "Y"</t>
        </r>
        <r>
          <rPr>
            <sz val="9"/>
            <color indexed="81"/>
            <rFont val="Tahoma"/>
            <family val="2"/>
          </rPr>
          <t xml:space="preserve">
</t>
        </r>
      </text>
    </comment>
    <comment ref="H331" authorId="0" shapeId="0">
      <text>
        <r>
          <rPr>
            <sz val="9"/>
            <color indexed="81"/>
            <rFont val="Tahoma"/>
            <family val="2"/>
          </rPr>
          <t>Conceptualization</t>
        </r>
        <r>
          <rPr>
            <b/>
            <sz val="9"/>
            <color indexed="81"/>
            <rFont val="Tahoma"/>
            <family val="2"/>
          </rPr>
          <t xml:space="preserve"> - Item 7b Drawings - Default is "Y"</t>
        </r>
        <r>
          <rPr>
            <sz val="9"/>
            <color indexed="81"/>
            <rFont val="Tahoma"/>
            <family val="2"/>
          </rPr>
          <t xml:space="preserve">
</t>
        </r>
      </text>
    </comment>
    <comment ref="H382" authorId="0" shapeId="0">
      <text>
        <r>
          <rPr>
            <sz val="9"/>
            <color indexed="81"/>
            <rFont val="Tahoma"/>
            <family val="2"/>
          </rPr>
          <t xml:space="preserve">DD - </t>
        </r>
        <r>
          <rPr>
            <b/>
            <sz val="9"/>
            <color indexed="81"/>
            <rFont val="Tahoma"/>
            <family val="2"/>
          </rPr>
          <t xml:space="preserve">Item 7b BIM - Default is "N"
</t>
        </r>
        <r>
          <rPr>
            <i/>
            <u/>
            <sz val="9"/>
            <color indexed="81"/>
            <rFont val="Tahoma"/>
            <family val="2"/>
          </rPr>
          <t>IF "Y" is selected, must be added into PSC contract.</t>
        </r>
        <r>
          <rPr>
            <sz val="9"/>
            <color indexed="81"/>
            <rFont val="Tahoma"/>
            <family val="2"/>
          </rPr>
          <t xml:space="preserve">
</t>
        </r>
      </text>
    </comment>
    <comment ref="H385" authorId="0" shapeId="0">
      <text>
        <r>
          <rPr>
            <sz val="9"/>
            <color indexed="81"/>
            <rFont val="Tahoma"/>
            <family val="2"/>
          </rPr>
          <t xml:space="preserve">DD - </t>
        </r>
        <r>
          <rPr>
            <b/>
            <sz val="9"/>
            <color indexed="81"/>
            <rFont val="Tahoma"/>
            <family val="2"/>
          </rPr>
          <t>Item 8 Design Presentation - Default is "N"</t>
        </r>
        <r>
          <rPr>
            <sz val="9"/>
            <color indexed="81"/>
            <rFont val="Tahoma"/>
            <family val="2"/>
          </rPr>
          <t xml:space="preserve">
</t>
        </r>
      </text>
    </comment>
    <comment ref="H443" authorId="0" shapeId="0">
      <text>
        <r>
          <rPr>
            <sz val="9"/>
            <color indexed="81"/>
            <rFont val="Tahoma"/>
            <family val="2"/>
          </rPr>
          <t xml:space="preserve">DD - </t>
        </r>
        <r>
          <rPr>
            <b/>
            <sz val="9"/>
            <color indexed="81"/>
            <rFont val="Tahoma"/>
            <family val="2"/>
          </rPr>
          <t>Item 9 SHPO - Default is "N"</t>
        </r>
        <r>
          <rPr>
            <sz val="9"/>
            <color indexed="81"/>
            <rFont val="Tahoma"/>
            <family val="2"/>
          </rPr>
          <t xml:space="preserve">
</t>
        </r>
      </text>
    </comment>
  </commentList>
</comments>
</file>

<file path=xl/comments8.xml><?xml version="1.0" encoding="utf-8"?>
<comments xmlns="http://schemas.openxmlformats.org/spreadsheetml/2006/main">
  <authors>
    <author>Kelly Hoffmann</author>
  </authors>
  <commentList>
    <comment ref="C15" authorId="0" shapeId="0">
      <text>
        <r>
          <rPr>
            <b/>
            <u/>
            <sz val="9"/>
            <color indexed="81"/>
            <rFont val="Tahoma"/>
            <family val="2"/>
          </rPr>
          <t>Do not edit cell!</t>
        </r>
        <r>
          <rPr>
            <sz val="9"/>
            <color indexed="81"/>
            <rFont val="Tahoma"/>
            <family val="2"/>
          </rPr>
          <t xml:space="preserve">
Echo of Project # &amp; Name from Tab A.
</t>
        </r>
      </text>
    </comment>
    <comment ref="C16" authorId="0" shapeId="0">
      <text>
        <r>
          <rPr>
            <b/>
            <u/>
            <sz val="9"/>
            <color indexed="81"/>
            <rFont val="Tahoma"/>
            <family val="2"/>
          </rPr>
          <t>Do not edit cell!</t>
        </r>
        <r>
          <rPr>
            <sz val="9"/>
            <color indexed="81"/>
            <rFont val="Tahoma"/>
            <family val="2"/>
          </rPr>
          <t xml:space="preserve">
Echo of Phase Applicability from Tab A.
</t>
        </r>
      </text>
    </comment>
    <comment ref="C18" authorId="0" shapeId="0">
      <text>
        <r>
          <rPr>
            <b/>
            <u/>
            <sz val="9"/>
            <color indexed="81"/>
            <rFont val="Tahoma"/>
            <family val="2"/>
          </rPr>
          <t>Do not edit cell!</t>
        </r>
        <r>
          <rPr>
            <sz val="9"/>
            <color indexed="81"/>
            <rFont val="Tahoma"/>
            <family val="2"/>
          </rPr>
          <t xml:space="preserve">
Echo of Project info from Tab A.
</t>
        </r>
      </text>
    </comment>
    <comment ref="C23" authorId="0" shapeId="0">
      <text>
        <r>
          <rPr>
            <b/>
            <sz val="9"/>
            <color indexed="81"/>
            <rFont val="Tahoma"/>
            <family val="2"/>
          </rPr>
          <t>Drop Down</t>
        </r>
        <r>
          <rPr>
            <sz val="9"/>
            <color indexed="81"/>
            <rFont val="Tahoma"/>
            <family val="2"/>
          </rPr>
          <t xml:space="preserve">
</t>
        </r>
      </text>
    </comment>
    <comment ref="H25" authorId="0" shapeId="0">
      <text>
        <r>
          <rPr>
            <sz val="9"/>
            <color indexed="81"/>
            <rFont val="Tahoma"/>
            <family val="2"/>
          </rPr>
          <t>50%CD</t>
        </r>
        <r>
          <rPr>
            <b/>
            <sz val="9"/>
            <color indexed="81"/>
            <rFont val="Tahoma"/>
            <family val="2"/>
          </rPr>
          <t xml:space="preserve"> - Item 0 MLD IS ALWAYS A YES.</t>
        </r>
        <r>
          <rPr>
            <sz val="9"/>
            <color indexed="81"/>
            <rFont val="Tahoma"/>
            <family val="2"/>
          </rPr>
          <t xml:space="preserve">
</t>
        </r>
      </text>
    </comment>
    <comment ref="H27" authorId="0" shapeId="0">
      <text>
        <r>
          <rPr>
            <sz val="9"/>
            <color indexed="81"/>
            <rFont val="Tahoma"/>
            <family val="2"/>
          </rPr>
          <t xml:space="preserve">50%CD - </t>
        </r>
        <r>
          <rPr>
            <b/>
            <sz val="9"/>
            <color indexed="81"/>
            <rFont val="Tahoma"/>
            <family val="2"/>
          </rPr>
          <t xml:space="preserve">Item 1 ESTIMATE IS ALWAYS A YES.
</t>
        </r>
      </text>
    </comment>
    <comment ref="H32" authorId="0" shapeId="0">
      <text>
        <r>
          <rPr>
            <sz val="9"/>
            <color indexed="81"/>
            <rFont val="Tahoma"/>
            <family val="2"/>
          </rPr>
          <t xml:space="preserve">50%CD </t>
        </r>
        <r>
          <rPr>
            <b/>
            <sz val="9"/>
            <color indexed="81"/>
            <rFont val="Tahoma"/>
            <family val="2"/>
          </rPr>
          <t>- Item 2 Schedule IS ALWAYS A YES.</t>
        </r>
        <r>
          <rPr>
            <sz val="9"/>
            <color indexed="81"/>
            <rFont val="Tahoma"/>
            <family val="2"/>
          </rPr>
          <t xml:space="preserve">
</t>
        </r>
      </text>
    </comment>
    <comment ref="H37" authorId="0" shapeId="0">
      <text>
        <r>
          <rPr>
            <sz val="9"/>
            <color indexed="81"/>
            <rFont val="Tahoma"/>
            <family val="2"/>
          </rPr>
          <t>50%CD</t>
        </r>
        <r>
          <rPr>
            <b/>
            <sz val="9"/>
            <color indexed="81"/>
            <rFont val="Tahoma"/>
            <family val="2"/>
          </rPr>
          <t xml:space="preserve"> - Item 3 Comments IS ALWAYS A YES.</t>
        </r>
        <r>
          <rPr>
            <sz val="9"/>
            <color indexed="81"/>
            <rFont val="Tahoma"/>
            <family val="2"/>
          </rPr>
          <t xml:space="preserve">
</t>
        </r>
      </text>
    </comment>
    <comment ref="H39" authorId="0" shapeId="0">
      <text>
        <r>
          <rPr>
            <sz val="9"/>
            <color indexed="81"/>
            <rFont val="Tahoma"/>
            <family val="2"/>
          </rPr>
          <t>50%CD</t>
        </r>
        <r>
          <rPr>
            <b/>
            <sz val="9"/>
            <color indexed="81"/>
            <rFont val="Tahoma"/>
            <family val="2"/>
          </rPr>
          <t xml:space="preserve"> - Item 4a BOD - Default is "Y"
</t>
        </r>
        <r>
          <rPr>
            <sz val="9"/>
            <color indexed="81"/>
            <rFont val="Tahoma"/>
            <family val="2"/>
          </rPr>
          <t xml:space="preserve">
</t>
        </r>
      </text>
    </comment>
    <comment ref="H126" authorId="0" shapeId="0">
      <text>
        <r>
          <rPr>
            <sz val="9"/>
            <color indexed="81"/>
            <rFont val="Tahoma"/>
            <family val="2"/>
          </rPr>
          <t>50%CD</t>
        </r>
        <r>
          <rPr>
            <b/>
            <sz val="9"/>
            <color indexed="81"/>
            <rFont val="Tahoma"/>
            <family val="2"/>
          </rPr>
          <t xml:space="preserve"> - Item 4b  Project Info / Calcs - Default is "Y"
</t>
        </r>
        <r>
          <rPr>
            <u/>
            <sz val="9"/>
            <color indexed="81"/>
            <rFont val="Tahoma"/>
            <family val="2"/>
          </rPr>
          <t>if combined SD/DD/50%</t>
        </r>
        <r>
          <rPr>
            <b/>
            <sz val="9"/>
            <color indexed="81"/>
            <rFont val="Tahoma"/>
            <family val="2"/>
          </rPr>
          <t xml:space="preserve"> - Default should be "Y"</t>
        </r>
        <r>
          <rPr>
            <sz val="9"/>
            <color indexed="81"/>
            <rFont val="Tahoma"/>
            <family val="2"/>
          </rPr>
          <t xml:space="preserve">
</t>
        </r>
      </text>
    </comment>
    <comment ref="H168" authorId="0" shapeId="0">
      <text>
        <r>
          <rPr>
            <sz val="9"/>
            <color indexed="81"/>
            <rFont val="Tahoma"/>
            <family val="2"/>
          </rPr>
          <t xml:space="preserve">50%CD </t>
        </r>
        <r>
          <rPr>
            <b/>
            <sz val="9"/>
            <color indexed="81"/>
            <rFont val="Tahoma"/>
            <family val="2"/>
          </rPr>
          <t>- Item 5a Finishes - Default is ""</t>
        </r>
        <r>
          <rPr>
            <sz val="9"/>
            <color indexed="81"/>
            <rFont val="Tahoma"/>
            <family val="2"/>
          </rPr>
          <t xml:space="preserve">
</t>
        </r>
        <r>
          <rPr>
            <i/>
            <sz val="9"/>
            <color indexed="81"/>
            <rFont val="Tahoma"/>
            <family val="2"/>
          </rPr>
          <t>for</t>
        </r>
        <r>
          <rPr>
            <sz val="9"/>
            <color indexed="81"/>
            <rFont val="Tahoma"/>
            <family val="2"/>
          </rPr>
          <t xml:space="preserve">
DD/50%CD - </t>
        </r>
        <r>
          <rPr>
            <b/>
            <sz val="9"/>
            <color indexed="81"/>
            <rFont val="Tahoma"/>
            <family val="2"/>
          </rPr>
          <t>Item 5a Finishes - Default is "Y"</t>
        </r>
      </text>
    </comment>
    <comment ref="H174" authorId="0" shapeId="0">
      <text>
        <r>
          <rPr>
            <sz val="9"/>
            <color indexed="81"/>
            <rFont val="Tahoma"/>
            <family val="2"/>
          </rPr>
          <t xml:space="preserve">50%CD </t>
        </r>
        <r>
          <rPr>
            <b/>
            <sz val="9"/>
            <color indexed="81"/>
            <rFont val="Tahoma"/>
            <family val="2"/>
          </rPr>
          <t>- Item 5b FFE Binder - Default is "Y"</t>
        </r>
        <r>
          <rPr>
            <sz val="9"/>
            <color indexed="81"/>
            <rFont val="Tahoma"/>
            <family val="2"/>
          </rPr>
          <t xml:space="preserve">
</t>
        </r>
        <r>
          <rPr>
            <i/>
            <sz val="9"/>
            <color indexed="81"/>
            <rFont val="Tahoma"/>
            <family val="2"/>
          </rPr>
          <t>for</t>
        </r>
        <r>
          <rPr>
            <sz val="9"/>
            <color indexed="81"/>
            <rFont val="Tahoma"/>
            <family val="2"/>
          </rPr>
          <t xml:space="preserve">
DD/50%CD - </t>
        </r>
        <r>
          <rPr>
            <b/>
            <sz val="9"/>
            <color indexed="81"/>
            <rFont val="Tahoma"/>
            <family val="2"/>
          </rPr>
          <t>Item 5b FFE Binder - Default is "Y"</t>
        </r>
      </text>
    </comment>
    <comment ref="H180" authorId="0" shapeId="0">
      <text>
        <r>
          <rPr>
            <sz val="9"/>
            <color indexed="81"/>
            <rFont val="Tahoma"/>
            <family val="2"/>
          </rPr>
          <t>50%CD</t>
        </r>
        <r>
          <rPr>
            <b/>
            <sz val="9"/>
            <color indexed="81"/>
            <rFont val="Tahoma"/>
            <family val="2"/>
          </rPr>
          <t xml:space="preserve"> - Item 6 Project Manual - Default is "Y"</t>
        </r>
        <r>
          <rPr>
            <sz val="9"/>
            <color indexed="81"/>
            <rFont val="Tahoma"/>
            <family val="2"/>
          </rPr>
          <t xml:space="preserve">
</t>
        </r>
      </text>
    </comment>
    <comment ref="H206" authorId="0" shapeId="0">
      <text>
        <r>
          <rPr>
            <sz val="9"/>
            <color indexed="81"/>
            <rFont val="Tahoma"/>
            <family val="2"/>
          </rPr>
          <t>50%CD</t>
        </r>
        <r>
          <rPr>
            <b/>
            <sz val="9"/>
            <color indexed="81"/>
            <rFont val="Tahoma"/>
            <family val="2"/>
          </rPr>
          <t xml:space="preserve"> - Item 7a Drawings - Default is "Y"</t>
        </r>
        <r>
          <rPr>
            <sz val="9"/>
            <color indexed="81"/>
            <rFont val="Tahoma"/>
            <family val="2"/>
          </rPr>
          <t xml:space="preserve">
</t>
        </r>
      </text>
    </comment>
    <comment ref="H367" authorId="0" shapeId="0">
      <text>
        <r>
          <rPr>
            <sz val="9"/>
            <color indexed="81"/>
            <rFont val="Tahoma"/>
            <family val="2"/>
          </rPr>
          <t>Conceptualization</t>
        </r>
        <r>
          <rPr>
            <b/>
            <sz val="9"/>
            <color indexed="81"/>
            <rFont val="Tahoma"/>
            <family val="2"/>
          </rPr>
          <t xml:space="preserve"> - Item 7b Drawings - Default is "Y"</t>
        </r>
        <r>
          <rPr>
            <sz val="9"/>
            <color indexed="81"/>
            <rFont val="Tahoma"/>
            <family val="2"/>
          </rPr>
          <t xml:space="preserve">
</t>
        </r>
      </text>
    </comment>
    <comment ref="H382" authorId="0" shapeId="0">
      <text>
        <r>
          <rPr>
            <sz val="9"/>
            <color indexed="81"/>
            <rFont val="Tahoma"/>
            <family val="2"/>
          </rPr>
          <t>50%CD</t>
        </r>
        <r>
          <rPr>
            <b/>
            <sz val="9"/>
            <color indexed="81"/>
            <rFont val="Tahoma"/>
            <family val="2"/>
          </rPr>
          <t xml:space="preserve"> - Item 7b BIM - Default is "N"
</t>
        </r>
        <r>
          <rPr>
            <i/>
            <u/>
            <sz val="9"/>
            <color indexed="81"/>
            <rFont val="Tahoma"/>
            <family val="2"/>
          </rPr>
          <t xml:space="preserve">
IF "Y" is selected, must be added into PSC contract.</t>
        </r>
        <r>
          <rPr>
            <sz val="9"/>
            <color indexed="81"/>
            <rFont val="Tahoma"/>
            <family val="2"/>
          </rPr>
          <t xml:space="preserve">
</t>
        </r>
      </text>
    </comment>
    <comment ref="H385" authorId="0" shapeId="0">
      <text>
        <r>
          <rPr>
            <sz val="9"/>
            <color indexed="81"/>
            <rFont val="Tahoma"/>
            <family val="2"/>
          </rPr>
          <t>50%CD</t>
        </r>
        <r>
          <rPr>
            <b/>
            <sz val="9"/>
            <color indexed="81"/>
            <rFont val="Tahoma"/>
            <family val="2"/>
          </rPr>
          <t xml:space="preserve"> - Item 8 Presentation - Default is "N"</t>
        </r>
        <r>
          <rPr>
            <sz val="9"/>
            <color indexed="81"/>
            <rFont val="Tahoma"/>
            <family val="2"/>
          </rPr>
          <t xml:space="preserve">
</t>
        </r>
      </text>
    </comment>
    <comment ref="H443" authorId="0" shapeId="0">
      <text>
        <r>
          <rPr>
            <sz val="9"/>
            <color indexed="81"/>
            <rFont val="Tahoma"/>
            <family val="2"/>
          </rPr>
          <t>50%CD</t>
        </r>
        <r>
          <rPr>
            <b/>
            <sz val="9"/>
            <color indexed="81"/>
            <rFont val="Tahoma"/>
            <family val="2"/>
          </rPr>
          <t xml:space="preserve"> - Item 9 SHPO - Default is "N"</t>
        </r>
        <r>
          <rPr>
            <sz val="9"/>
            <color indexed="81"/>
            <rFont val="Tahoma"/>
            <family val="2"/>
          </rPr>
          <t xml:space="preserve">
</t>
        </r>
      </text>
    </comment>
  </commentList>
</comments>
</file>

<file path=xl/comments9.xml><?xml version="1.0" encoding="utf-8"?>
<comments xmlns="http://schemas.openxmlformats.org/spreadsheetml/2006/main">
  <authors>
    <author>Kelly Hoffmann</author>
  </authors>
  <commentList>
    <comment ref="C15" authorId="0" shapeId="0">
      <text>
        <r>
          <rPr>
            <b/>
            <u/>
            <sz val="9"/>
            <color indexed="81"/>
            <rFont val="Tahoma"/>
            <family val="2"/>
          </rPr>
          <t>Do not edit cell!</t>
        </r>
        <r>
          <rPr>
            <sz val="9"/>
            <color indexed="81"/>
            <rFont val="Tahoma"/>
            <family val="2"/>
          </rPr>
          <t xml:space="preserve">
Echo of Project # &amp; Name from Tab A.
</t>
        </r>
      </text>
    </comment>
    <comment ref="C16" authorId="0" shapeId="0">
      <text>
        <r>
          <rPr>
            <b/>
            <u/>
            <sz val="9"/>
            <color indexed="81"/>
            <rFont val="Tahoma"/>
            <family val="2"/>
          </rPr>
          <t>Do not edit cell!</t>
        </r>
        <r>
          <rPr>
            <sz val="9"/>
            <color indexed="81"/>
            <rFont val="Tahoma"/>
            <family val="2"/>
          </rPr>
          <t xml:space="preserve">
Echo of Phase Applicability from Tab A.
</t>
        </r>
      </text>
    </comment>
    <comment ref="C18" authorId="0" shapeId="0">
      <text>
        <r>
          <rPr>
            <b/>
            <u/>
            <sz val="9"/>
            <color indexed="81"/>
            <rFont val="Tahoma"/>
            <family val="2"/>
          </rPr>
          <t>Do not edit cell!</t>
        </r>
        <r>
          <rPr>
            <sz val="9"/>
            <color indexed="81"/>
            <rFont val="Tahoma"/>
            <family val="2"/>
          </rPr>
          <t xml:space="preserve">
Echo of Project info from Tab A.
</t>
        </r>
      </text>
    </comment>
    <comment ref="C23" authorId="0" shapeId="0">
      <text>
        <r>
          <rPr>
            <b/>
            <sz val="9"/>
            <color indexed="81"/>
            <rFont val="Tahoma"/>
            <family val="2"/>
          </rPr>
          <t>Drop Down</t>
        </r>
        <r>
          <rPr>
            <sz val="9"/>
            <color indexed="81"/>
            <rFont val="Tahoma"/>
            <family val="2"/>
          </rPr>
          <t xml:space="preserve">
</t>
        </r>
      </text>
    </comment>
    <comment ref="H25" authorId="0" shapeId="0">
      <text>
        <r>
          <rPr>
            <sz val="9"/>
            <color indexed="81"/>
            <rFont val="Tahoma"/>
            <family val="2"/>
          </rPr>
          <t>95%CD</t>
        </r>
        <r>
          <rPr>
            <b/>
            <sz val="9"/>
            <color indexed="81"/>
            <rFont val="Tahoma"/>
            <family val="2"/>
          </rPr>
          <t xml:space="preserve"> - Item 0 MLD IS ALWAYS A YES.</t>
        </r>
        <r>
          <rPr>
            <sz val="9"/>
            <color indexed="81"/>
            <rFont val="Tahoma"/>
            <family val="2"/>
          </rPr>
          <t xml:space="preserve">
</t>
        </r>
      </text>
    </comment>
    <comment ref="H27" authorId="0" shapeId="0">
      <text>
        <r>
          <rPr>
            <sz val="9"/>
            <color indexed="81"/>
            <rFont val="Tahoma"/>
            <family val="2"/>
          </rPr>
          <t>95%CD</t>
        </r>
        <r>
          <rPr>
            <b/>
            <sz val="9"/>
            <color indexed="81"/>
            <rFont val="Tahoma"/>
            <family val="2"/>
          </rPr>
          <t xml:space="preserve"> - Item 1 ESTIMATE IS ALWAYS A YES.
</t>
        </r>
        <r>
          <rPr>
            <sz val="9"/>
            <color indexed="81"/>
            <rFont val="Tahoma"/>
            <family val="2"/>
          </rPr>
          <t xml:space="preserve">
</t>
        </r>
      </text>
    </comment>
    <comment ref="H32" authorId="0" shapeId="0">
      <text>
        <r>
          <rPr>
            <sz val="9"/>
            <color indexed="81"/>
            <rFont val="Tahoma"/>
            <family val="2"/>
          </rPr>
          <t xml:space="preserve">95%CD </t>
        </r>
        <r>
          <rPr>
            <b/>
            <sz val="9"/>
            <color indexed="81"/>
            <rFont val="Tahoma"/>
            <family val="2"/>
          </rPr>
          <t>- Item 2 Schedule IS ALWAYS A YES.</t>
        </r>
        <r>
          <rPr>
            <sz val="9"/>
            <color indexed="81"/>
            <rFont val="Tahoma"/>
            <family val="2"/>
          </rPr>
          <t xml:space="preserve">
</t>
        </r>
      </text>
    </comment>
    <comment ref="H37" authorId="0" shapeId="0">
      <text>
        <r>
          <rPr>
            <sz val="9"/>
            <color indexed="81"/>
            <rFont val="Tahoma"/>
            <family val="2"/>
          </rPr>
          <t>95%CD</t>
        </r>
        <r>
          <rPr>
            <b/>
            <sz val="9"/>
            <color indexed="81"/>
            <rFont val="Tahoma"/>
            <family val="2"/>
          </rPr>
          <t xml:space="preserve"> - Item 3 Comments IS ALWAYS A YES.</t>
        </r>
        <r>
          <rPr>
            <sz val="9"/>
            <color indexed="81"/>
            <rFont val="Tahoma"/>
            <family val="2"/>
          </rPr>
          <t xml:space="preserve">
</t>
        </r>
      </text>
    </comment>
    <comment ref="H39" authorId="0" shapeId="0">
      <text>
        <r>
          <rPr>
            <sz val="9"/>
            <color indexed="81"/>
            <rFont val="Tahoma"/>
            <family val="2"/>
          </rPr>
          <t xml:space="preserve">95%CD </t>
        </r>
        <r>
          <rPr>
            <b/>
            <sz val="9"/>
            <color indexed="81"/>
            <rFont val="Tahoma"/>
            <family val="2"/>
          </rPr>
          <t>- Item 4a BOD/PS - Default is "Y"</t>
        </r>
        <r>
          <rPr>
            <sz val="9"/>
            <color indexed="81"/>
            <rFont val="Tahoma"/>
            <family val="2"/>
          </rPr>
          <t xml:space="preserve">
</t>
        </r>
      </text>
    </comment>
    <comment ref="H126" authorId="0" shapeId="0">
      <text>
        <r>
          <rPr>
            <sz val="9"/>
            <color indexed="81"/>
            <rFont val="Tahoma"/>
            <family val="2"/>
          </rPr>
          <t>95%CD</t>
        </r>
        <r>
          <rPr>
            <b/>
            <sz val="9"/>
            <color indexed="81"/>
            <rFont val="Tahoma"/>
            <family val="2"/>
          </rPr>
          <t xml:space="preserve"> - Item 4b Info / Calcs - Default is "Y"
</t>
        </r>
        <r>
          <rPr>
            <sz val="9"/>
            <color indexed="81"/>
            <rFont val="Tahoma"/>
            <family val="2"/>
          </rPr>
          <t>if combined submittal (only 95%)</t>
        </r>
        <r>
          <rPr>
            <b/>
            <sz val="9"/>
            <color indexed="81"/>
            <rFont val="Tahoma"/>
            <family val="2"/>
          </rPr>
          <t xml:space="preserve"> - Default should be "Y"</t>
        </r>
        <r>
          <rPr>
            <sz val="9"/>
            <color indexed="81"/>
            <rFont val="Tahoma"/>
            <family val="2"/>
          </rPr>
          <t xml:space="preserve">
</t>
        </r>
      </text>
    </comment>
    <comment ref="H168" authorId="0" shapeId="0">
      <text>
        <r>
          <rPr>
            <sz val="9"/>
            <color indexed="81"/>
            <rFont val="Tahoma"/>
            <family val="2"/>
          </rPr>
          <t>95%CD</t>
        </r>
        <r>
          <rPr>
            <b/>
            <sz val="9"/>
            <color indexed="81"/>
            <rFont val="Tahoma"/>
            <family val="2"/>
          </rPr>
          <t xml:space="preserve"> - Item 5a Finishes - Default is "Y"
</t>
        </r>
        <r>
          <rPr>
            <i/>
            <sz val="9"/>
            <color indexed="81"/>
            <rFont val="Tahoma"/>
            <family val="2"/>
          </rPr>
          <t>for</t>
        </r>
        <r>
          <rPr>
            <b/>
            <sz val="9"/>
            <color indexed="81"/>
            <rFont val="Tahoma"/>
            <family val="2"/>
          </rPr>
          <t xml:space="preserve">
</t>
        </r>
        <r>
          <rPr>
            <sz val="9"/>
            <color indexed="81"/>
            <rFont val="Tahoma"/>
            <family val="2"/>
          </rPr>
          <t>DD/50%CD/95%</t>
        </r>
        <r>
          <rPr>
            <b/>
            <sz val="9"/>
            <color indexed="81"/>
            <rFont val="Tahoma"/>
            <family val="2"/>
          </rPr>
          <t xml:space="preserve"> - Item 5a Finishes - Default is "Y"</t>
        </r>
        <r>
          <rPr>
            <sz val="9"/>
            <color indexed="81"/>
            <rFont val="Tahoma"/>
            <family val="2"/>
          </rPr>
          <t xml:space="preserve">
</t>
        </r>
      </text>
    </comment>
    <comment ref="H174" authorId="0" shapeId="0">
      <text>
        <r>
          <rPr>
            <sz val="9"/>
            <color indexed="81"/>
            <rFont val="Tahoma"/>
            <family val="2"/>
          </rPr>
          <t>95%CD</t>
        </r>
        <r>
          <rPr>
            <b/>
            <sz val="9"/>
            <color indexed="81"/>
            <rFont val="Tahoma"/>
            <family val="2"/>
          </rPr>
          <t xml:space="preserve"> - Item 5b FF&amp;E Binder - Default is "Y"
</t>
        </r>
        <r>
          <rPr>
            <i/>
            <sz val="9"/>
            <color indexed="81"/>
            <rFont val="Tahoma"/>
            <family val="2"/>
          </rPr>
          <t>for</t>
        </r>
        <r>
          <rPr>
            <b/>
            <sz val="9"/>
            <color indexed="81"/>
            <rFont val="Tahoma"/>
            <family val="2"/>
          </rPr>
          <t xml:space="preserve">
</t>
        </r>
        <r>
          <rPr>
            <sz val="9"/>
            <color indexed="81"/>
            <rFont val="Tahoma"/>
            <family val="2"/>
          </rPr>
          <t>DD/50%CD/95%</t>
        </r>
        <r>
          <rPr>
            <b/>
            <sz val="9"/>
            <color indexed="81"/>
            <rFont val="Tahoma"/>
            <family val="2"/>
          </rPr>
          <t xml:space="preserve"> - Item 5b FF&amp;E Binder - Default is "Y"</t>
        </r>
        <r>
          <rPr>
            <sz val="9"/>
            <color indexed="81"/>
            <rFont val="Tahoma"/>
            <family val="2"/>
          </rPr>
          <t xml:space="preserve">
</t>
        </r>
      </text>
    </comment>
    <comment ref="H180" authorId="0" shapeId="0">
      <text>
        <r>
          <rPr>
            <sz val="9"/>
            <color indexed="81"/>
            <rFont val="Tahoma"/>
            <family val="2"/>
          </rPr>
          <t>95%CD</t>
        </r>
        <r>
          <rPr>
            <b/>
            <sz val="9"/>
            <color indexed="81"/>
            <rFont val="Tahoma"/>
            <family val="2"/>
          </rPr>
          <t xml:space="preserve"> - Item 6 Project Manual - Default is "Y"</t>
        </r>
        <r>
          <rPr>
            <sz val="9"/>
            <color indexed="81"/>
            <rFont val="Tahoma"/>
            <family val="2"/>
          </rPr>
          <t xml:space="preserve">
</t>
        </r>
      </text>
    </comment>
    <comment ref="H206" authorId="0" shapeId="0">
      <text>
        <r>
          <rPr>
            <sz val="9"/>
            <color indexed="81"/>
            <rFont val="Tahoma"/>
            <family val="2"/>
          </rPr>
          <t>95%CD</t>
        </r>
        <r>
          <rPr>
            <b/>
            <sz val="9"/>
            <color indexed="81"/>
            <rFont val="Tahoma"/>
            <family val="2"/>
          </rPr>
          <t xml:space="preserve"> - Item 7a Drawings - Default is "Y"</t>
        </r>
        <r>
          <rPr>
            <sz val="9"/>
            <color indexed="81"/>
            <rFont val="Tahoma"/>
            <family val="2"/>
          </rPr>
          <t xml:space="preserve">
</t>
        </r>
      </text>
    </comment>
    <comment ref="H382" authorId="0" shapeId="0">
      <text>
        <r>
          <rPr>
            <sz val="9"/>
            <color indexed="81"/>
            <rFont val="Tahoma"/>
            <family val="2"/>
          </rPr>
          <t>95%CD</t>
        </r>
        <r>
          <rPr>
            <b/>
            <sz val="9"/>
            <color indexed="81"/>
            <rFont val="Tahoma"/>
            <family val="2"/>
          </rPr>
          <t xml:space="preserve"> -Item 7b BIM - Default is "N"
</t>
        </r>
        <r>
          <rPr>
            <i/>
            <sz val="9"/>
            <color indexed="81"/>
            <rFont val="Tahoma"/>
            <family val="2"/>
          </rPr>
          <t>IF "Y" is selected, must be added into PSC contract.</t>
        </r>
      </text>
    </comment>
    <comment ref="H385" authorId="0" shapeId="0">
      <text>
        <r>
          <rPr>
            <sz val="9"/>
            <color indexed="81"/>
            <rFont val="Tahoma"/>
            <family val="2"/>
          </rPr>
          <t>95%CD</t>
        </r>
        <r>
          <rPr>
            <b/>
            <sz val="9"/>
            <color indexed="81"/>
            <rFont val="Tahoma"/>
            <family val="2"/>
          </rPr>
          <t xml:space="preserve"> - Item 8 Presentation - Default is "N"</t>
        </r>
        <r>
          <rPr>
            <sz val="9"/>
            <color indexed="81"/>
            <rFont val="Tahoma"/>
            <family val="2"/>
          </rPr>
          <t xml:space="preserve">
</t>
        </r>
      </text>
    </comment>
    <comment ref="H443" authorId="0" shapeId="0">
      <text>
        <r>
          <rPr>
            <sz val="9"/>
            <color indexed="81"/>
            <rFont val="Tahoma"/>
            <family val="2"/>
          </rPr>
          <t>95%CD</t>
        </r>
        <r>
          <rPr>
            <b/>
            <sz val="9"/>
            <color indexed="81"/>
            <rFont val="Tahoma"/>
            <family val="2"/>
          </rPr>
          <t xml:space="preserve"> - Item 9 SHPO - Default is "N"</t>
        </r>
        <r>
          <rPr>
            <sz val="9"/>
            <color indexed="81"/>
            <rFont val="Tahoma"/>
            <family val="2"/>
          </rPr>
          <t xml:space="preserve">
</t>
        </r>
      </text>
    </comment>
  </commentList>
</comments>
</file>

<file path=xl/sharedStrings.xml><?xml version="1.0" encoding="utf-8"?>
<sst xmlns="http://schemas.openxmlformats.org/spreadsheetml/2006/main" count="31886" uniqueCount="1246">
  <si>
    <t>Construction</t>
  </si>
  <si>
    <t>SD</t>
  </si>
  <si>
    <t>DD</t>
  </si>
  <si>
    <t>Address is:  Facilities &amp; Services, University of Illinois, 1501 S. Oak St., Champaign, IL  61820</t>
  </si>
  <si>
    <r>
      <t xml:space="preserve">Key:   </t>
    </r>
    <r>
      <rPr>
        <sz val="11"/>
        <color theme="1"/>
        <rFont val="Calibri"/>
        <family val="2"/>
        <scheme val="minor"/>
      </rPr>
      <t/>
    </r>
  </si>
  <si>
    <t>Size</t>
  </si>
  <si>
    <t>Submittal Applies? -----&gt;</t>
  </si>
  <si>
    <t>Yes</t>
  </si>
  <si>
    <t>No</t>
  </si>
  <si>
    <t>&lt;------- confirm with Craig which submittals if any he would like to see.</t>
  </si>
  <si>
    <t>Conceptualization</t>
  </si>
  <si>
    <t>Feasibility Study</t>
  </si>
  <si>
    <t>Date</t>
  </si>
  <si>
    <t>o   Full project title</t>
  </si>
  <si>
    <t>o   U of I project number</t>
  </si>
  <si>
    <t>o   Date</t>
  </si>
  <si>
    <t>DROP DOWNS</t>
  </si>
  <si>
    <t>Construction does not apply</t>
  </si>
  <si>
    <t>Feasibility or Conceptualization do not apply</t>
  </si>
  <si>
    <t>Project Schedule</t>
  </si>
  <si>
    <t>Written Response to Review Comments</t>
  </si>
  <si>
    <t>?</t>
  </si>
  <si>
    <t>Project Description</t>
  </si>
  <si>
    <t>Major Project Goals; Objectives; and Design Requirements</t>
  </si>
  <si>
    <t>Program Summary</t>
  </si>
  <si>
    <t>Special Conditions</t>
  </si>
  <si>
    <t>Room Type Alternative Concepts</t>
  </si>
  <si>
    <t>Demolition</t>
  </si>
  <si>
    <t>Utilities Peak Load Estimates</t>
  </si>
  <si>
    <t>Schematic Design</t>
  </si>
  <si>
    <t xml:space="preserve"> (Preliminary)</t>
  </si>
  <si>
    <t>Design Development</t>
  </si>
  <si>
    <t>Access Controls</t>
  </si>
  <si>
    <t xml:space="preserve"> </t>
  </si>
  <si>
    <t>Punch List</t>
  </si>
  <si>
    <t>Certificate of Substantial Completion</t>
  </si>
  <si>
    <t>Applies?</t>
  </si>
  <si>
    <t>Y</t>
  </si>
  <si>
    <t>N</t>
  </si>
  <si>
    <t>1.</t>
  </si>
  <si>
    <t>Item Name</t>
  </si>
  <si>
    <t>2.</t>
  </si>
  <si>
    <t>3.</t>
  </si>
  <si>
    <t>6.</t>
  </si>
  <si>
    <t>8.</t>
  </si>
  <si>
    <t>Applies?  Drop Down</t>
  </si>
  <si>
    <t>DIRECTIONS:</t>
  </si>
  <si>
    <t>DO NOT DELETE</t>
  </si>
  <si>
    <t>Guidance</t>
  </si>
  <si>
    <r>
      <t xml:space="preserve">              </t>
    </r>
    <r>
      <rPr>
        <strike/>
        <sz val="11"/>
        <color theme="4" tint="-0.499984740745262"/>
        <rFont val="Calibri"/>
        <family val="2"/>
        <scheme val="minor"/>
      </rPr>
      <t>sub and subset items.</t>
    </r>
  </si>
  <si>
    <r>
      <rPr>
        <b/>
        <i/>
        <sz val="9"/>
        <color theme="3"/>
        <rFont val="Calibri"/>
        <family val="2"/>
        <scheme val="minor"/>
      </rPr>
      <t>Example</t>
    </r>
    <r>
      <rPr>
        <b/>
        <sz val="10.5"/>
        <color theme="3"/>
        <rFont val="Calibri"/>
        <family val="2"/>
        <scheme val="minor"/>
      </rPr>
      <t xml:space="preserve"> Sub Item (Deliverable Component) - will be striked out</t>
    </r>
    <r>
      <rPr>
        <b/>
        <strike/>
        <sz val="10.5"/>
        <color theme="3"/>
        <rFont val="Calibri"/>
        <family val="2"/>
        <scheme val="minor"/>
      </rPr>
      <t xml:space="preserve"> if drop box selection is "N".</t>
    </r>
  </si>
  <si>
    <r>
      <t xml:space="preserve">o  </t>
    </r>
    <r>
      <rPr>
        <i/>
        <sz val="9"/>
        <color theme="3"/>
        <rFont val="Calibri"/>
        <family val="2"/>
        <scheme val="minor"/>
      </rPr>
      <t>Example</t>
    </r>
    <r>
      <rPr>
        <i/>
        <sz val="11"/>
        <color theme="3"/>
        <rFont val="Calibri"/>
        <family val="2"/>
        <scheme val="minor"/>
      </rPr>
      <t xml:space="preserve"> </t>
    </r>
    <r>
      <rPr>
        <i/>
        <sz val="10"/>
        <color theme="3"/>
        <rFont val="Calibri"/>
        <family val="2"/>
        <scheme val="minor"/>
      </rPr>
      <t xml:space="preserve">Subset (Deliverable Subcomponent) Item - will be striked out </t>
    </r>
    <r>
      <rPr>
        <i/>
        <strike/>
        <sz val="10"/>
        <color theme="3"/>
        <rFont val="Calibri"/>
        <family val="2"/>
        <scheme val="minor"/>
      </rPr>
      <t>if drop box selection is "N".</t>
    </r>
  </si>
  <si>
    <t>&lt;------- PM/Planner choose applicability of submittals</t>
  </si>
  <si>
    <t>Planner</t>
  </si>
  <si>
    <t>Project Name</t>
  </si>
  <si>
    <t>Delivery Method</t>
  </si>
  <si>
    <t>BID</t>
  </si>
  <si>
    <t>Contractor Services</t>
  </si>
  <si>
    <t>CS &amp; In House</t>
  </si>
  <si>
    <t>In House</t>
  </si>
  <si>
    <t>No Construction</t>
  </si>
  <si>
    <t>Construction Type</t>
  </si>
  <si>
    <t>FEASIBILITY - No construction</t>
  </si>
  <si>
    <t>New</t>
  </si>
  <si>
    <t>Remodeling</t>
  </si>
  <si>
    <t>Site Only</t>
  </si>
  <si>
    <t>Remodeling/Addition</t>
  </si>
  <si>
    <t>Construction Delivery Method</t>
  </si>
  <si>
    <t>Choose from Drop Down</t>
  </si>
  <si>
    <t>Not App.</t>
  </si>
  <si>
    <t>&lt;------- confirm with PM/Planner on SIZE</t>
  </si>
  <si>
    <t>1st Column Choice</t>
  </si>
  <si>
    <t>Date Recv'd</t>
  </si>
  <si>
    <t>&lt;------- PM/Planner complete peach cells (Date, delivery, project name, project #)</t>
  </si>
  <si>
    <t>&lt;------- PM/Planner complete peach cells (Const type, planner, PM)</t>
  </si>
  <si>
    <t>Half Size</t>
  </si>
  <si>
    <t>As indicated</t>
  </si>
  <si>
    <t>Structural Drawings</t>
  </si>
  <si>
    <t>Plumbing Drawings</t>
  </si>
  <si>
    <t>Ventilation Drawings</t>
  </si>
  <si>
    <t>Electrical Drawings</t>
  </si>
  <si>
    <t>Fire Alarm Drawings</t>
  </si>
  <si>
    <t>Telecom Drawings</t>
  </si>
  <si>
    <t>Access Controls Drawings</t>
  </si>
  <si>
    <t>Architectural Drawings</t>
  </si>
  <si>
    <t>Heating Drawings</t>
  </si>
  <si>
    <t>Project Manager / Coordinator</t>
  </si>
  <si>
    <t xml:space="preserve">HIDE ROW - SHEET STRUCTURE PROGRAMMING </t>
  </si>
  <si>
    <t>Applies</t>
  </si>
  <si>
    <t>Entity</t>
  </si>
  <si>
    <t>U of I Planner and/or PM names</t>
  </si>
  <si>
    <t xml:space="preserve">o   </t>
  </si>
  <si>
    <t>Recipient</t>
  </si>
  <si>
    <t>O</t>
  </si>
  <si>
    <t>Write in %</t>
  </si>
  <si>
    <t>%</t>
  </si>
  <si>
    <t>Choose Submittal Phase</t>
  </si>
  <si>
    <t>Design</t>
  </si>
  <si>
    <t>Design does not apply</t>
  </si>
  <si>
    <t># of each as indicated above</t>
  </si>
  <si>
    <t>Date Transmitted</t>
  </si>
  <si>
    <t>&lt;--- AUTO</t>
  </si>
  <si>
    <t>9.</t>
  </si>
  <si>
    <t>&lt;---  REF. ROW (Do not delete.)</t>
  </si>
  <si>
    <t>4a.</t>
  </si>
  <si>
    <t>4b.</t>
  </si>
  <si>
    <t>Last Edited</t>
  </si>
  <si>
    <t>Entity Drop Down</t>
  </si>
  <si>
    <t>A/E</t>
  </si>
  <si>
    <t>PM</t>
  </si>
  <si>
    <t>Most Recent Editor's Name</t>
  </si>
  <si>
    <r>
      <t>Transmittal sheets shall include</t>
    </r>
    <r>
      <rPr>
        <b/>
        <i/>
        <u/>
        <sz val="11"/>
        <color theme="1"/>
        <rFont val="Calibri"/>
        <family val="2"/>
        <scheme val="minor"/>
      </rPr>
      <t xml:space="preserve"> (</t>
    </r>
    <r>
      <rPr>
        <b/>
        <i/>
        <u/>
        <sz val="12"/>
        <color theme="1"/>
        <rFont val="Calibri"/>
        <family val="2"/>
        <scheme val="minor"/>
      </rPr>
      <t>BOLD ITEMS</t>
    </r>
    <r>
      <rPr>
        <b/>
        <i/>
        <u/>
        <sz val="11"/>
        <color theme="1"/>
        <rFont val="Calibri"/>
        <family val="2"/>
        <scheme val="minor"/>
      </rPr>
      <t xml:space="preserve"> should appear on each document sheet or plan sheet):</t>
    </r>
  </si>
  <si>
    <t xml:space="preserve">Massing or Renderings of </t>
  </si>
  <si>
    <t>General Air Handling Unit Fan Maps</t>
  </si>
  <si>
    <t>Proposed combined Site / Landscape Plan</t>
  </si>
  <si>
    <t>Incorporated Comments from ARC</t>
  </si>
  <si>
    <t>Exterior Photographic Documentation</t>
  </si>
  <si>
    <t>Exterior preservation drawings</t>
  </si>
  <si>
    <t>Interior preservation drawings</t>
  </si>
  <si>
    <t>Narrative on building and historical significance</t>
  </si>
  <si>
    <t>Interior Photographic Documentation</t>
  </si>
  <si>
    <t>Referenced Above - Do not Delete</t>
  </si>
  <si>
    <t>Required for this submittal</t>
  </si>
  <si>
    <t>Updated Excel file of this spreadsheet on the CD</t>
  </si>
  <si>
    <t>Required Phases and Delivery Requirements</t>
  </si>
  <si>
    <t>Notes to user.</t>
  </si>
  <si>
    <t>CDB project?</t>
  </si>
  <si>
    <t>0.</t>
  </si>
  <si>
    <t>Updated Minimum List of Deliverables</t>
  </si>
  <si>
    <t>Y/N</t>
  </si>
  <si>
    <t>(1)</t>
  </si>
  <si>
    <r>
      <t xml:space="preserve">132A PPSB (MC-800) </t>
    </r>
    <r>
      <rPr>
        <vertAlign val="superscript"/>
        <sz val="10"/>
        <color theme="1"/>
        <rFont val="Calibri"/>
        <family val="2"/>
        <scheme val="minor"/>
      </rPr>
      <t>(1)</t>
    </r>
  </si>
  <si>
    <t>Energy Budget for Sustainability</t>
  </si>
  <si>
    <t>Auto - Gives a blank option if only Draft and Final</t>
  </si>
  <si>
    <t>Financial Analysis</t>
  </si>
  <si>
    <t xml:space="preserve">&amp; </t>
  </si>
  <si>
    <t>Recipient &amp; Applicability</t>
  </si>
  <si>
    <t>Conc</t>
  </si>
  <si>
    <t>PLACE HOLDER ROW - OPTIONAL CLIENT CUSTOM ITEM</t>
  </si>
  <si>
    <t>9</t>
  </si>
  <si>
    <t>Row #'s of deliverables</t>
  </si>
  <si>
    <t>Deliverable</t>
  </si>
  <si>
    <t>Note:  Choosing "N" on a Deliverable/Master item will line out all</t>
  </si>
  <si>
    <t>Results of Hazardous Materials Testing and Hazardous Materials Mediation Plan</t>
  </si>
  <si>
    <t>7b.</t>
  </si>
  <si>
    <t>7a.</t>
  </si>
  <si>
    <t># of each as indicated above.
May have e-copy access through FIR.</t>
  </si>
  <si>
    <t>POST CONSTRUCTION</t>
  </si>
  <si>
    <t>Post Construction</t>
  </si>
  <si>
    <t>10.</t>
  </si>
  <si>
    <t>11.</t>
  </si>
  <si>
    <t>12.</t>
  </si>
  <si>
    <t>Agenda</t>
  </si>
  <si>
    <t>Sign In</t>
  </si>
  <si>
    <t>Meeting Minutes</t>
  </si>
  <si>
    <t>Post Const.</t>
  </si>
  <si>
    <t>Close out</t>
  </si>
  <si>
    <t>Meeting Minutes (including field decisions)</t>
  </si>
  <si>
    <t>20.</t>
  </si>
  <si>
    <t>21.</t>
  </si>
  <si>
    <t>22.</t>
  </si>
  <si>
    <t>23.</t>
  </si>
  <si>
    <t>24.</t>
  </si>
  <si>
    <t>25.</t>
  </si>
  <si>
    <t>Lead-based paint field survey and material analysis</t>
  </si>
  <si>
    <t>26.</t>
  </si>
  <si>
    <t>32.</t>
  </si>
  <si>
    <t>31.</t>
  </si>
  <si>
    <t>30.</t>
  </si>
  <si>
    <t>Manufacturer’s Product Data (Tech Specifications/ Cut Sheets)</t>
  </si>
  <si>
    <t>Manufacturer’s Operational Instructions</t>
  </si>
  <si>
    <t>Manufacturer’s Preventive Maintenance Instructions</t>
  </si>
  <si>
    <t xml:space="preserve">Warranties and Bonds  </t>
  </si>
  <si>
    <t>Functional Performance Tests</t>
  </si>
  <si>
    <t>Safety Precautions</t>
  </si>
  <si>
    <t>Emergency Procedures</t>
  </si>
  <si>
    <t>33.</t>
  </si>
  <si>
    <t>40.</t>
  </si>
  <si>
    <t>41.</t>
  </si>
  <si>
    <t>95% Y/N</t>
  </si>
  <si>
    <t>Choose design phase for transmittal from drop down</t>
  </si>
  <si>
    <t>Project #</t>
  </si>
  <si>
    <t>Assumptions &amp; Reason for inspection</t>
  </si>
  <si>
    <t>Definitions of terms</t>
  </si>
  <si>
    <t xml:space="preserve">Definitions of systems </t>
  </si>
  <si>
    <t xml:space="preserve">Condition Assessments (Overall system and general components) </t>
  </si>
  <si>
    <t>Maintenance recommendations with timeline</t>
  </si>
  <si>
    <t>Summary photographs (at least of each representative condition, anything of note)</t>
  </si>
  <si>
    <t>Anticipated future use</t>
  </si>
  <si>
    <t>Diagrams, plans, or details (referenced in body of text or for background)</t>
  </si>
  <si>
    <t>Current use and Anticipated future use</t>
  </si>
  <si>
    <t>Existing system sufficiency/insufficiency for proposed loading</t>
  </si>
  <si>
    <t>Analysis Assumptions - (conditions, design strengths, system types, limitations, etc…)</t>
  </si>
  <si>
    <t>Proposed diagrams, plans, or details (referenced in body of text or for background)</t>
  </si>
  <si>
    <t>Photos of existing space and load carrying members analyzed.</t>
  </si>
  <si>
    <t>Limitations on equipment configurations</t>
  </si>
  <si>
    <t>Code analysis and existing loading capacity</t>
  </si>
  <si>
    <t>Action Items</t>
  </si>
  <si>
    <t>INSERT APPLICABLE DISCIPLINE NAME(S)</t>
  </si>
  <si>
    <t>Photos of existing site and applicable utilities</t>
  </si>
  <si>
    <t>Required parking, sidewalk, curb upgrades</t>
  </si>
  <si>
    <t>Analysis Assumptions - (vehicles &amp; radii, storm event, rainfall intensity, offset drainage etc….)</t>
  </si>
  <si>
    <t xml:space="preserve">Governing design codes / manuals / criteria </t>
  </si>
  <si>
    <t>Existing system sufficiency/insufficiency for proposed parking, and site use</t>
  </si>
  <si>
    <t>Existing system sufficiency/insufficiency for proposed drainage needs including methods of downstream utility verification(s).</t>
  </si>
  <si>
    <t>13.</t>
  </si>
  <si>
    <t>5a.</t>
  </si>
  <si>
    <t>5b.</t>
  </si>
  <si>
    <t/>
  </si>
  <si>
    <t>Progress Photos</t>
  </si>
  <si>
    <t>Summary of Tests observed</t>
  </si>
  <si>
    <t>Observations / Inspections results</t>
  </si>
  <si>
    <t>42.</t>
  </si>
  <si>
    <t>43.</t>
  </si>
  <si>
    <t>Const Phases</t>
  </si>
  <si>
    <t>Review and submit surveying results from contractor</t>
  </si>
  <si>
    <t>Review and submit flow tests</t>
  </si>
  <si>
    <r>
      <t xml:space="preserve">With </t>
    </r>
    <r>
      <rPr>
        <b/>
        <i/>
        <u/>
        <sz val="12"/>
        <color theme="1"/>
        <rFont val="Calibri"/>
        <family val="2"/>
        <scheme val="minor"/>
      </rPr>
      <t>EVERY TRANSMITTAL PRIOR TO THE CONSTRUCTION PHASES,</t>
    </r>
    <r>
      <rPr>
        <b/>
        <u/>
        <sz val="12"/>
        <color theme="1"/>
        <rFont val="Calibri"/>
        <family val="2"/>
        <scheme val="minor"/>
      </rPr>
      <t xml:space="preserve"> attach the following behind the transmittal sheet for the Planner/PM and Quality Assurance Copies:</t>
    </r>
  </si>
  <si>
    <t>Applicable code requirements</t>
  </si>
  <si>
    <t>EXAMPLE Deliverable/Master ITEM - will be striked out if drop box selection is "N".</t>
  </si>
  <si>
    <t>No reports or Conceptualization Apply</t>
  </si>
  <si>
    <t>Auto - Memorandum or Feasibility Study or Conceptualization</t>
  </si>
  <si>
    <t>Ref Row</t>
  </si>
  <si>
    <t>Log of Contractor Submittals</t>
  </si>
  <si>
    <t>Contractor Baseline Schedule</t>
  </si>
  <si>
    <t>Schedule of Values</t>
  </si>
  <si>
    <t>CLOSE OUT</t>
  </si>
  <si>
    <t>CONSTRUCTION</t>
  </si>
  <si>
    <t>BID &amp; AWARD</t>
  </si>
  <si>
    <t>-</t>
  </si>
  <si>
    <t>Cut Sheets</t>
  </si>
  <si>
    <t>Product Samples</t>
  </si>
  <si>
    <t>http://www.fs.illinois.edu/docs/default-source/facility-standards/technical-sections/division-01---administrative/01-33-23---shop-drawings-product-data-and-samples.docx?sfvrsn=2</t>
  </si>
  <si>
    <t>Insert active link to Project Testing requirements from facilities standards / exhibits</t>
  </si>
  <si>
    <t>----&gt;</t>
  </si>
  <si>
    <t>Bid &amp; Award</t>
  </si>
  <si>
    <t>Bid &amp; Award - Minimum List of Deliverables</t>
  </si>
  <si>
    <t>Post Construction - Minimum List of Deliverables</t>
  </si>
  <si>
    <t>Close Out - Minimum List of Deliverables</t>
  </si>
  <si>
    <t>No other Design  submittals</t>
  </si>
  <si>
    <t>Life Safety Analysis</t>
  </si>
  <si>
    <t>o      Space Diagrams</t>
  </si>
  <si>
    <t>o      Floor Plans</t>
  </si>
  <si>
    <t>o      Elevations</t>
  </si>
  <si>
    <t>o      Perspective Renderings</t>
  </si>
  <si>
    <t>Existing Photographs</t>
  </si>
  <si>
    <t>Alignment with College or Department's Master Plan</t>
  </si>
  <si>
    <t>Historic Preservation</t>
  </si>
  <si>
    <t>o      Review of Campus Heritage Database and Historical Districts</t>
  </si>
  <si>
    <t>o      Review of requirements of building façade / envelope</t>
  </si>
  <si>
    <t>o      Review of requirements of significant interior spaces</t>
  </si>
  <si>
    <t>o      Historical Documentation (HABS)</t>
  </si>
  <si>
    <t>Bid</t>
  </si>
  <si>
    <t>Const</t>
  </si>
  <si>
    <t>Recommended construction Construction Layout/Laydown Plan</t>
  </si>
  <si>
    <t>Recommended Construction Layout/Laydown Plan</t>
  </si>
  <si>
    <t>Recommended Phasing of Construction or Implementation</t>
  </si>
  <si>
    <t>Temporary Program Relocation</t>
  </si>
  <si>
    <t>Required plant life removal, additions, and replacements</t>
  </si>
  <si>
    <t xml:space="preserve">Capacity / functional analysis for proposed use (Overall system and general components) </t>
  </si>
  <si>
    <t>Existing system sufficiency/insufficiency for proposed irrigation needs including methods of water supply verification(s).</t>
  </si>
  <si>
    <t>Echo</t>
  </si>
  <si>
    <t>HIDE "Bid &amp; Award" / HIDE "Bid &amp; Award" / HIDE "Bid &amp; Award"</t>
  </si>
  <si>
    <t>HIDE "Construction" / HIDE "Construction" / HIDE "Construction" / HIDE "Construction" / HIDE "Construction" / HIDE "Construction"</t>
  </si>
  <si>
    <t>HIDE "Close Out" / HIDE "Close Out" / HIDE "Close Out"</t>
  </si>
  <si>
    <t>HIDE "Post Const." / HIDE "Post Const." / HIDE "Post Const."</t>
  </si>
  <si>
    <t>HIDE "Post Const." / HIDE "Post Const."</t>
  </si>
  <si>
    <t>Edited by</t>
  </si>
  <si>
    <t>PSC</t>
  </si>
  <si>
    <t>PLACEHOLDER - Program Study</t>
  </si>
  <si>
    <t>Item</t>
  </si>
  <si>
    <t>Method of Delivery</t>
  </si>
  <si>
    <t>Supplemental Product Submittals &amp; Shop Drawings / Approved</t>
  </si>
  <si>
    <t>Supplied at meetings and followed up by email to attendees and PM</t>
  </si>
  <si>
    <t>Structural - Gravity Loads</t>
  </si>
  <si>
    <t>Structural - Lateral loads and force resisting systems</t>
  </si>
  <si>
    <t>Architectural - Interiors</t>
  </si>
  <si>
    <t>Architectural - Space Use</t>
  </si>
  <si>
    <t>Structural - Foundation Systems</t>
  </si>
  <si>
    <t>Architectural - CUSTOM</t>
  </si>
  <si>
    <t>Structural - CUSTOM</t>
  </si>
  <si>
    <t>Structural - Demolition(s)</t>
  </si>
  <si>
    <t xml:space="preserve">Architectural - Interior and Exterior Signage </t>
  </si>
  <si>
    <t>LEED Minimum Silver or better Registration (&gt;10,000 sqft and/or Capital Projects &gt;= $5million; Major renovations or New Construction)</t>
  </si>
  <si>
    <t>Architectural - Historical Preservation</t>
  </si>
  <si>
    <t>Audio Visual - General Systems</t>
  </si>
  <si>
    <t>Summary of floor analysis for required strengthening (for new walls, materials, mechanical equipment change in use).</t>
  </si>
  <si>
    <t xml:space="preserve">Telecom - General Systems </t>
  </si>
  <si>
    <t xml:space="preserve">Energy Standards – proof of compliance </t>
  </si>
  <si>
    <t>Harmonic Analysis Report for VFDs (N/A till construction)</t>
  </si>
  <si>
    <t>Asbestos and Lead Survey and Recommendations</t>
  </si>
  <si>
    <t>Summary of lateral force resisting systems (for new tributary load or compromising of existing system).</t>
  </si>
  <si>
    <t>Electrical - CUSTOM</t>
  </si>
  <si>
    <t>Telecom - CUSTOM</t>
  </si>
  <si>
    <t>Audio Visual - CUSTOM</t>
  </si>
  <si>
    <t>Access Controls - CUSTOM</t>
  </si>
  <si>
    <t xml:space="preserve">Energy Budget </t>
  </si>
  <si>
    <t>Results of Point-by-Point Exterior Lighting Calculations Showing Compliance with IESNA Recommendations</t>
  </si>
  <si>
    <t>Results of Point-by-Point Interior Lighting Calculations for Each Typical Space</t>
  </si>
  <si>
    <t xml:space="preserve">Extensions of Primary Building Automation Systems </t>
  </si>
  <si>
    <t>Soil Borings and Soils Report (With Applicable Section)</t>
  </si>
  <si>
    <t>Results of Hazardous Materials Testing and Hazardous Materials Mediation Plan (With Applicable Section)</t>
  </si>
  <si>
    <t>Results of flow testing (With Applicable Section)</t>
  </si>
  <si>
    <r>
      <rPr>
        <b/>
        <u/>
        <sz val="10"/>
        <color theme="1"/>
        <rFont val="Calibri"/>
        <family val="2"/>
        <scheme val="minor"/>
      </rPr>
      <t>Code Compliance:</t>
    </r>
    <r>
      <rPr>
        <b/>
        <sz val="10"/>
        <color theme="1"/>
        <rFont val="Calibri"/>
        <family val="2"/>
        <scheme val="minor"/>
      </rPr>
      <t xml:space="preserve">    Craig Grant </t>
    </r>
    <r>
      <rPr>
        <b/>
        <i/>
        <sz val="8"/>
        <color theme="1"/>
        <rFont val="Calibri"/>
        <family val="2"/>
        <scheme val="minor"/>
      </rPr>
      <t xml:space="preserve">&lt;cpgrant@illinois.edu&gt;      </t>
    </r>
    <r>
      <rPr>
        <b/>
        <sz val="10"/>
        <color theme="1"/>
        <rFont val="Calibri"/>
        <family val="2"/>
        <scheme val="minor"/>
      </rPr>
      <t xml:space="preserve">                                           </t>
    </r>
  </si>
  <si>
    <t>Structural - Block, concrete, &amp; steel  **(existing systems verification recommended on renovations)</t>
  </si>
  <si>
    <t>PLACEHOLDER ROW - OPTIONAL CLIENT CUSTOM ITEM</t>
  </si>
  <si>
    <t>No longer applicable</t>
  </si>
  <si>
    <t>`</t>
  </si>
  <si>
    <t>Required products to Deliver</t>
  </si>
  <si>
    <t>format &amp; delivery method to PM / QA</t>
  </si>
  <si>
    <t>UIUC Template Change Log:</t>
  </si>
  <si>
    <r>
      <t>"</t>
    </r>
    <r>
      <rPr>
        <b/>
        <u/>
        <sz val="16"/>
        <color theme="1"/>
        <rFont val="Calibri"/>
        <family val="2"/>
        <scheme val="minor"/>
      </rPr>
      <t>PSC Transmittal Guidance</t>
    </r>
    <r>
      <rPr>
        <b/>
        <sz val="16"/>
        <color theme="1"/>
        <rFont val="Calibri"/>
        <family val="2"/>
        <scheme val="minor"/>
      </rPr>
      <t>" for Design Phases &amp; Construction Phase Submittals</t>
    </r>
  </si>
  <si>
    <t xml:space="preserve">LEED Project Checklist - (previously referred to as LEED Scorecard) </t>
  </si>
  <si>
    <t>CONSTRUCTION PHASE SPECIFIC ITEMS</t>
  </si>
  <si>
    <t>BID &amp; AWARD SPECIFIC ITEMS</t>
  </si>
  <si>
    <t>CLOSE OUT PHASE SPECIFIC ITEMS</t>
  </si>
  <si>
    <t>POST CONSTRUCTION PHASE SPECIFIC ITEMS</t>
  </si>
  <si>
    <t xml:space="preserve">AV Systems Requirements, including Millwork, Associated Cooling, Power, Grounding, Data / Telecomm, Acoustics &amp; Noise Control, and Lighting System. Cables Identified by Manufacturer/Model Number. </t>
  </si>
  <si>
    <t>RFI's responses, ASI's, RFP's, Change Orders and Field Directives</t>
  </si>
  <si>
    <t>Logs of RFI's &amp; responses, ASI's, RFP's, Change Orders and Field Directives</t>
  </si>
  <si>
    <t>Asbestos Testing and Abatement Report</t>
  </si>
  <si>
    <t>Architectural - Building Envelope **(existing systems verification recommended on renovations)</t>
  </si>
  <si>
    <t>Architectural - Elevators  **(existing systems verification recommended on renovations)</t>
  </si>
  <si>
    <t>Electrical - General System(s) - **(verify existing system for renovations)</t>
  </si>
  <si>
    <t>Electrical - Lighting **(verify existing system for renovations)</t>
  </si>
  <si>
    <t>Electrical - Elevators **(verify existing system for renovations)</t>
  </si>
  <si>
    <t>Electrical - Lightning Protection System(s) **(verify existing system for renovations)</t>
  </si>
  <si>
    <t>Electrical - Fire Alarm System(s) **(verify existing system for renovations)</t>
  </si>
  <si>
    <t>Stormwater Runoff Rate Calculation/Model Results and Water Detention</t>
  </si>
  <si>
    <t xml:space="preserve">Results of Short-Circuit (Fault) Analysis of Building Electrical System- ** calculations available upon request </t>
  </si>
  <si>
    <t xml:space="preserve">Extensions of Primary Electrical Distribution-** calculations available upon request </t>
  </si>
  <si>
    <t xml:space="preserve">Results of Proposed Lighting Power Density Calculation (output from COMcheck software or similar) showing Compliance with Energy Codes and Standards -** calculations available upon request </t>
  </si>
  <si>
    <t>Log of Plan Holders</t>
  </si>
  <si>
    <t>PreBid Meeting</t>
  </si>
  <si>
    <t>Written Analysis of Award of Construction Contract</t>
  </si>
  <si>
    <t>Results of PSC Construction Reviews</t>
  </si>
  <si>
    <t>Pay / Progress Meetings</t>
  </si>
  <si>
    <t>Written Description of Delays</t>
  </si>
  <si>
    <t>Construction Information / Changes</t>
  </si>
  <si>
    <t>On-site Inspection / Observation Reports</t>
  </si>
  <si>
    <t>Results of Construction Inspection / Survey / Testing</t>
  </si>
  <si>
    <t>List of Systems / Items to Commission</t>
  </si>
  <si>
    <t>O &amp; M's &amp; Systems Manuals (check for full component list in the facility standards)</t>
  </si>
  <si>
    <t>LEED Certification / Documentation</t>
  </si>
  <si>
    <t>Final Approved Contractor Submittals with Log</t>
  </si>
  <si>
    <t>Post Construction Activities Log</t>
  </si>
  <si>
    <t>Log of Equipment with Settings Different than Manufacturer's Recommendations</t>
  </si>
  <si>
    <t>Final Completion Certification</t>
  </si>
  <si>
    <t>Soil Borings and Soils Report</t>
  </si>
  <si>
    <t xml:space="preserve">Project Manual </t>
  </si>
  <si>
    <t>Outline Specifications (CSI Format)</t>
  </si>
  <si>
    <t>Design Presentation - Chancellor's Design Advisory Committee (CDAC)</t>
  </si>
  <si>
    <t>Brochures for Board of Trustees</t>
  </si>
  <si>
    <t xml:space="preserve">Front End Documents  [Div 00] </t>
  </si>
  <si>
    <t>Technical Specifications  [Div 01 and after]</t>
  </si>
  <si>
    <t xml:space="preserve">Voice/Data Communications System Requirements </t>
  </si>
  <si>
    <t xml:space="preserve">Telecom/Data Floor Plans w/ Devices   </t>
  </si>
  <si>
    <t xml:space="preserve">Telecom/Data Raceway Distribution   </t>
  </si>
  <si>
    <t xml:space="preserve">Telecom/Data Riser Diagram   </t>
  </si>
  <si>
    <t>match</t>
  </si>
  <si>
    <t xml:space="preserve">Results of Emergency Generator Load Calculation - ** calculations available upon request </t>
  </si>
  <si>
    <t xml:space="preserve">Results of Transformer Load Calculation -** calculations available upon request </t>
  </si>
  <si>
    <t>Project Applicable Information / Calculations</t>
  </si>
  <si>
    <t>Basis of Design (BOD)</t>
  </si>
  <si>
    <t>Concept Choice</t>
  </si>
  <si>
    <t>SD Choice</t>
  </si>
  <si>
    <t>DD Choice</t>
  </si>
  <si>
    <t>50%CD Choice</t>
  </si>
  <si>
    <t>95%CD Choice</t>
  </si>
  <si>
    <t>Bid &amp; Award Choice</t>
  </si>
  <si>
    <t>Construction Choice</t>
  </si>
  <si>
    <t>Post Const. Choice</t>
  </si>
  <si>
    <t>Overall Sections Choice</t>
  </si>
  <si>
    <t>&lt;-------   DO NOT DELETE ROWS   --------&gt;</t>
  </si>
  <si>
    <r>
      <rPr>
        <sz val="11"/>
        <color rgb="FFC00000"/>
        <rFont val="Calibri"/>
        <family val="2"/>
        <scheme val="minor"/>
      </rPr>
      <t>Items below may be in agreement or in addition to the requirements of the Project Testing requirements from facilities standards / exhibits</t>
    </r>
    <r>
      <rPr>
        <i/>
        <sz val="11"/>
        <color rgb="FFC00000"/>
        <rFont val="Calibri"/>
        <family val="2"/>
        <scheme val="minor"/>
      </rPr>
      <t xml:space="preserve"> - </t>
    </r>
    <r>
      <rPr>
        <i/>
        <u/>
        <sz val="10"/>
        <rFont val="Calibri"/>
        <family val="2"/>
        <scheme val="minor"/>
      </rPr>
      <t xml:space="preserve">
</t>
    </r>
    <r>
      <rPr>
        <i/>
        <u/>
        <sz val="10"/>
        <color theme="3"/>
        <rFont val="Calibri"/>
        <family val="2"/>
        <scheme val="minor"/>
      </rPr>
      <t>http://www.fs.illinois.edu/docs/default-source/facility-standards/technical-sections/division-01---administrative/01-33-23---shop-drawings-product-data-and-samples.docx?sfvrsn=2</t>
    </r>
    <r>
      <rPr>
        <i/>
        <u/>
        <sz val="10"/>
        <rFont val="Calibri"/>
        <family val="2"/>
        <scheme val="minor"/>
      </rPr>
      <t xml:space="preserve">
</t>
    </r>
  </si>
  <si>
    <t>MLD ITEM ECHO</t>
  </si>
  <si>
    <t>24</t>
  </si>
  <si>
    <t>02_apply</t>
  </si>
  <si>
    <t>03_apply</t>
  </si>
  <si>
    <t>04_apply</t>
  </si>
  <si>
    <t>05_apply</t>
  </si>
  <si>
    <t>07_apply</t>
  </si>
  <si>
    <t>02</t>
  </si>
  <si>
    <t>03</t>
  </si>
  <si>
    <t>04</t>
  </si>
  <si>
    <t>05</t>
  </si>
  <si>
    <t>07</t>
  </si>
  <si>
    <t>(Preliminary)</t>
  </si>
  <si>
    <t>(Approx. 50% Complete)</t>
  </si>
  <si>
    <t>% Complete</t>
  </si>
  <si>
    <t>(Substantially Complete)</t>
  </si>
  <si>
    <t>(Complete)</t>
  </si>
  <si>
    <t xml:space="preserve">Video Security System – Approved Camera Locations </t>
  </si>
  <si>
    <t xml:space="preserve">Title Sheet </t>
  </si>
  <si>
    <t xml:space="preserve">Code Compliance </t>
  </si>
  <si>
    <t xml:space="preserve">Life Safety </t>
  </si>
  <si>
    <t xml:space="preserve">General Project Info </t>
  </si>
  <si>
    <t xml:space="preserve">Site Clearing, Demolitions, &amp; Abandonments </t>
  </si>
  <si>
    <t xml:space="preserve">Utility Relocations </t>
  </si>
  <si>
    <t xml:space="preserve">Storm Water Detention Plan </t>
  </si>
  <si>
    <t xml:space="preserve">Utility Site Plan and Details </t>
  </si>
  <si>
    <t xml:space="preserve">Landscape Plan </t>
  </si>
  <si>
    <t xml:space="preserve">Renderings </t>
  </si>
  <si>
    <t xml:space="preserve">Floor Plans </t>
  </si>
  <si>
    <t xml:space="preserve">Roof Plan </t>
  </si>
  <si>
    <t xml:space="preserve">Building Elevations - Exterior </t>
  </si>
  <si>
    <t xml:space="preserve">Transverse and Longitudinal Sections </t>
  </si>
  <si>
    <t xml:space="preserve">Floor Plans - Large Scale </t>
  </si>
  <si>
    <t xml:space="preserve">Wall Sections - All Major Exterior </t>
  </si>
  <si>
    <t xml:space="preserve">Partial Sections and Details </t>
  </si>
  <si>
    <t xml:space="preserve">Wall / Window Details </t>
  </si>
  <si>
    <t xml:space="preserve">Sections through Elevators </t>
  </si>
  <si>
    <t xml:space="preserve">Exterior Wall and Roof Details </t>
  </si>
  <si>
    <t xml:space="preserve">Reflected Ceiling Plan </t>
  </si>
  <si>
    <t>Interior Elevations and Details</t>
  </si>
  <si>
    <t xml:space="preserve">Door/Hardware; Room Finish; Window; and Equipment Schedules </t>
  </si>
  <si>
    <t xml:space="preserve">Interior Partition Types; Door and Window Details </t>
  </si>
  <si>
    <t xml:space="preserve">Interior Signage </t>
  </si>
  <si>
    <t xml:space="preserve">Fixed Equipment; Casework; and Millwork </t>
  </si>
  <si>
    <t xml:space="preserve">FF&amp;E Plans </t>
  </si>
  <si>
    <t xml:space="preserve">Foundation Plan </t>
  </si>
  <si>
    <t xml:space="preserve">Foundation to wall connections (bolted/reinforcing bar dowels) </t>
  </si>
  <si>
    <t xml:space="preserve">Column and Base Plate Schedule </t>
  </si>
  <si>
    <t xml:space="preserve">Foundation Individual Details </t>
  </si>
  <si>
    <t xml:space="preserve">Structural Masonry Wall Plan </t>
  </si>
  <si>
    <t xml:space="preserve">Structural Masonry Details </t>
  </si>
  <si>
    <t xml:space="preserve">Lintel Details </t>
  </si>
  <si>
    <t xml:space="preserve">Lateral Force Resisting System Plan and Details </t>
  </si>
  <si>
    <t xml:space="preserve">Floor Framing Plans </t>
  </si>
  <si>
    <t xml:space="preserve">Roof Framing Details </t>
  </si>
  <si>
    <t xml:space="preserve">Plumbing Floor Plans and Roof Plan </t>
  </si>
  <si>
    <t xml:space="preserve">Plumbing Sanitary, Vent, Storm, Water Riser Diagram </t>
  </si>
  <si>
    <t xml:space="preserve">Plumbing Details and Sections </t>
  </si>
  <si>
    <t xml:space="preserve">Plumbing Fixture Schedule </t>
  </si>
  <si>
    <t xml:space="preserve">Sprinkler System Floor Plans </t>
  </si>
  <si>
    <t xml:space="preserve">Sprinkler System Flow and Riser Diagrams </t>
  </si>
  <si>
    <t xml:space="preserve">Sprinkler/Fire Pump Room Large Scale Plan </t>
  </si>
  <si>
    <t xml:space="preserve">Sprinkler System Equipment Schedule </t>
  </si>
  <si>
    <t xml:space="preserve">Sprinkler System Details and Sections </t>
  </si>
  <si>
    <t xml:space="preserve">Heating and A/C Floor Plans </t>
  </si>
  <si>
    <t xml:space="preserve">Heating and Cooling Piping Isometrics/Flow Diagrams </t>
  </si>
  <si>
    <t xml:space="preserve">Heating and A/C Large Scale Mechanical Room Plans </t>
  </si>
  <si>
    <t xml:space="preserve">Heating and A/C Equipment Schedule </t>
  </si>
  <si>
    <t xml:space="preserve">Heating and A/C Details and Sections </t>
  </si>
  <si>
    <t xml:space="preserve">Ventilation Floor Plans </t>
  </si>
  <si>
    <t xml:space="preserve">Ventilation Air Flow Diagrams </t>
  </si>
  <si>
    <t xml:space="preserve">Ventilation Large Scale Mechanical Room Plans </t>
  </si>
  <si>
    <t xml:space="preserve">Ventilation Details and Sections </t>
  </si>
  <si>
    <t xml:space="preserve">Ventilation Equipment Schedule </t>
  </si>
  <si>
    <t xml:space="preserve">Electrical Floor Plans w/ Devices for Power </t>
  </si>
  <si>
    <t xml:space="preserve">Electrical Lighting Plans; Power Plans </t>
  </si>
  <si>
    <t xml:space="preserve">Electrical Primary Feed Diagrams </t>
  </si>
  <si>
    <t xml:space="preserve">Electrical Feeder Schedule </t>
  </si>
  <si>
    <t xml:space="preserve">Electrical Secondary Riser Diagrams </t>
  </si>
  <si>
    <t xml:space="preserve">Electrical Power Distribution Schedule </t>
  </si>
  <si>
    <t xml:space="preserve">Electrical Grounding Riser Diagram </t>
  </si>
  <si>
    <t xml:space="preserve">Electrical Details </t>
  </si>
  <si>
    <t xml:space="preserve">Electrical Fixture Schedule and Equipment </t>
  </si>
  <si>
    <t xml:space="preserve">Electrical Lightning Protection Details </t>
  </si>
  <si>
    <t xml:space="preserve">Fire Alarm Floor Plans </t>
  </si>
  <si>
    <t xml:space="preserve">Fire Alarm Riser Diagrams and Connections </t>
  </si>
  <si>
    <t xml:space="preserve">Fire Alarm Details </t>
  </si>
  <si>
    <t xml:space="preserve">Telecom/Data Details and Sections </t>
  </si>
  <si>
    <t xml:space="preserve">Building Automation Floor Plans and Approximate Control Panel Locations &amp; Other Instruments or Device Locations </t>
  </si>
  <si>
    <t xml:space="preserve">Building Network Connections and Integration </t>
  </si>
  <si>
    <t xml:space="preserve">Access Control Floor Plans </t>
  </si>
  <si>
    <t xml:space="preserve">Access Control Logic Diagrams, Points Lists and Device Schedule </t>
  </si>
  <si>
    <t xml:space="preserve">Access Control Details </t>
  </si>
  <si>
    <t xml:space="preserve">CUSTOM Access Controls </t>
  </si>
  <si>
    <t xml:space="preserve">CUSTOM - Architectural  </t>
  </si>
  <si>
    <t xml:space="preserve">CUSTOM - Structural  </t>
  </si>
  <si>
    <t xml:space="preserve">CUSTOM - Plumbing  </t>
  </si>
  <si>
    <t xml:space="preserve">CUSTOM - Fire Suppression  </t>
  </si>
  <si>
    <t xml:space="preserve">CUSTOM - Heating  </t>
  </si>
  <si>
    <t xml:space="preserve">CUSTOM - Ventilation  </t>
  </si>
  <si>
    <t xml:space="preserve">CUSTOM - Electrical  </t>
  </si>
  <si>
    <t xml:space="preserve">CUSTOM - Fire Alarm  </t>
  </si>
  <si>
    <t xml:space="preserve">CUSTOM - Telecom  </t>
  </si>
  <si>
    <t>CUSTOM ROW - OPTIONAL CLIENT ITEM</t>
  </si>
  <si>
    <t xml:space="preserve">Hydraulic Analysis for water and waste - ** calculations available upon request </t>
  </si>
  <si>
    <t xml:space="preserve">Hydraulic Analysis for fire protection - ** calculations available upon request </t>
  </si>
  <si>
    <r>
      <rPr>
        <i/>
        <u/>
        <sz val="11"/>
        <color theme="1"/>
        <rFont val="Calibri"/>
        <family val="2"/>
        <scheme val="minor"/>
      </rPr>
      <t>AV System Details</t>
    </r>
    <r>
      <rPr>
        <i/>
        <sz val="11"/>
        <color theme="1"/>
        <rFont val="Calibri"/>
        <family val="2"/>
        <scheme val="minor"/>
      </rPr>
      <t xml:space="preserve">:  Equipment Installation Details, AV Rack Elevations for each Rack, Major Equipment Components Located in the Rack, Custom Plate Details, and Plates Associated with Equipment Plans and System Line Diagrams.  Equipment Mounting Details which Support More than 40 Pounds shall be stamped by a Licensed Structural Engineer. </t>
    </r>
  </si>
  <si>
    <r>
      <rPr>
        <i/>
        <u/>
        <sz val="11"/>
        <color theme="1"/>
        <rFont val="Calibri"/>
        <family val="2"/>
        <scheme val="minor"/>
      </rPr>
      <t>AV System Line Diagrams</t>
    </r>
    <r>
      <rPr>
        <i/>
        <sz val="11"/>
        <color theme="1"/>
        <rFont val="Calibri"/>
        <family val="2"/>
        <scheme val="minor"/>
      </rPr>
      <t xml:space="preserve">, showing: </t>
    </r>
  </si>
  <si>
    <r>
      <rPr>
        <i/>
        <u/>
        <sz val="11"/>
        <color theme="1"/>
        <rFont val="Calibri"/>
        <family val="2"/>
        <scheme val="minor"/>
      </rPr>
      <t>AV System Floor Plans</t>
    </r>
    <r>
      <rPr>
        <i/>
        <sz val="11"/>
        <color theme="1"/>
        <rFont val="Calibri"/>
        <family val="2"/>
        <scheme val="minor"/>
      </rPr>
      <t xml:space="preserve">.  Equipment identified, Equipment Clearance &amp; Throw Distances Dimensioned, Power, Conduit &amp; Backbox Layouts Shown.  Cables shown separated by type/signal level; all Cables Leaving Room Clearly Shown. </t>
    </r>
  </si>
  <si>
    <t>Building &amp; Site Systems Narratives</t>
  </si>
  <si>
    <t xml:space="preserve"> (Approx 50% Complete)</t>
  </si>
  <si>
    <t xml:space="preserve">Special Considerations </t>
  </si>
  <si>
    <t xml:space="preserve">Major Project Goals; Objectives; and Design Requirements </t>
  </si>
  <si>
    <t xml:space="preserve">Program Summary / Analysis </t>
  </si>
  <si>
    <t xml:space="preserve">Program Needs Assessment </t>
  </si>
  <si>
    <t xml:space="preserve">Project Description </t>
  </si>
  <si>
    <t xml:space="preserve">Results of itemized Area Analysis Comparing the Net-to-Gross Square Feet  - Per Floor; Per Assembly Space; and Per Building as applicable </t>
  </si>
  <si>
    <t xml:space="preserve">Room Type Alternative Concepts </t>
  </si>
  <si>
    <t xml:space="preserve">Design Concept(s) </t>
  </si>
  <si>
    <t xml:space="preserve">Master Plan Impact and Options </t>
  </si>
  <si>
    <t>Building Information Model (BIM)</t>
  </si>
  <si>
    <t>Select</t>
  </si>
  <si>
    <t>&lt;--Choose Applicability of Phases in TAB 00a</t>
  </si>
  <si>
    <r>
      <t xml:space="preserve">115 or 141 PPSB (MC-800)  </t>
    </r>
    <r>
      <rPr>
        <vertAlign val="superscript"/>
        <sz val="11"/>
        <color theme="1"/>
        <rFont val="Calibri"/>
        <family val="2"/>
        <scheme val="minor"/>
      </rPr>
      <t xml:space="preserve"> (1)</t>
    </r>
  </si>
  <si>
    <r>
      <t xml:space="preserve">Review &amp; Submit results of soil compaction tests at roadways, sidewalks, and driveways. - </t>
    </r>
    <r>
      <rPr>
        <b/>
        <i/>
        <sz val="10.5"/>
        <rFont val="Calibri"/>
        <family val="2"/>
        <scheme val="minor"/>
      </rPr>
      <t>May be updated from STNDS</t>
    </r>
  </si>
  <si>
    <r>
      <t xml:space="preserve">Review and submit results of soil compaction tests at backfill against structures. </t>
    </r>
    <r>
      <rPr>
        <b/>
        <i/>
        <sz val="10.5"/>
        <rFont val="Calibri"/>
        <family val="2"/>
        <scheme val="minor"/>
      </rPr>
      <t>- May be updated from STNDS</t>
    </r>
  </si>
  <si>
    <r>
      <t xml:space="preserve">Review and submit results of nuclear density tests for bituminous pavements. - </t>
    </r>
    <r>
      <rPr>
        <b/>
        <i/>
        <sz val="10.5"/>
        <rFont val="Calibri"/>
        <family val="2"/>
        <scheme val="minor"/>
      </rPr>
      <t>May be updated from STNDS</t>
    </r>
  </si>
  <si>
    <r>
      <t xml:space="preserve">Review and submit results pile driving records. - </t>
    </r>
    <r>
      <rPr>
        <b/>
        <i/>
        <sz val="10.5"/>
        <rFont val="Calibri"/>
        <family val="2"/>
        <scheme val="minor"/>
      </rPr>
      <t>May be updated from STNDS</t>
    </r>
  </si>
  <si>
    <r>
      <t xml:space="preserve">Results of all concrete cylinder tests. - </t>
    </r>
    <r>
      <rPr>
        <b/>
        <i/>
        <sz val="10.5"/>
        <rFont val="Calibri"/>
        <family val="2"/>
        <scheme val="minor"/>
      </rPr>
      <t>May be updated from STNDS</t>
    </r>
  </si>
  <si>
    <r>
      <t xml:space="preserve">Results of Harmonic Analysis Reports for VFD's. - </t>
    </r>
    <r>
      <rPr>
        <b/>
        <i/>
        <sz val="11"/>
        <rFont val="Calibri"/>
        <family val="2"/>
        <scheme val="minor"/>
      </rPr>
      <t>May be updated from STNDS</t>
    </r>
  </si>
  <si>
    <r>
      <t xml:space="preserve">Results of Equipment Tests - </t>
    </r>
    <r>
      <rPr>
        <b/>
        <i/>
        <sz val="10.5"/>
        <rFont val="Calibri"/>
        <family val="2"/>
        <scheme val="minor"/>
      </rPr>
      <t>May be updated from STNDS</t>
    </r>
  </si>
  <si>
    <t>Moves to Project Manual at 50% CD</t>
  </si>
  <si>
    <r>
      <t>Signed and Sealed Report Cover</t>
    </r>
    <r>
      <rPr>
        <b/>
        <i/>
        <sz val="10.5"/>
        <rFont val="Calibri"/>
        <family val="2"/>
        <scheme val="minor"/>
      </rPr>
      <t xml:space="preserve"> - (Final Version only)</t>
    </r>
  </si>
  <si>
    <t>Applicable Codes &amp;  Current Code Compliance</t>
  </si>
  <si>
    <r>
      <rPr>
        <b/>
        <i/>
        <u/>
        <sz val="10"/>
        <rFont val="Calibri"/>
        <family val="2"/>
        <scheme val="minor"/>
      </rPr>
      <t xml:space="preserve">Report Type 2 - </t>
    </r>
    <r>
      <rPr>
        <b/>
        <u/>
        <sz val="12"/>
        <rFont val="Calibri"/>
        <family val="2"/>
        <scheme val="minor"/>
      </rPr>
      <t xml:space="preserve">CONDITION AND/OR CAPACITY ASSESSMENTS </t>
    </r>
    <r>
      <rPr>
        <b/>
        <i/>
        <u/>
        <sz val="11"/>
        <rFont val="Calibri"/>
        <family val="2"/>
        <scheme val="minor"/>
      </rPr>
      <t xml:space="preserve">(Overall system and general components) </t>
    </r>
  </si>
  <si>
    <r>
      <rPr>
        <b/>
        <i/>
        <u/>
        <sz val="10"/>
        <rFont val="Calibri"/>
        <family val="2"/>
        <scheme val="minor"/>
      </rPr>
      <t xml:space="preserve">Report Type 3 - </t>
    </r>
    <r>
      <rPr>
        <b/>
        <u/>
        <sz val="12"/>
        <rFont val="Calibri"/>
        <family val="2"/>
        <scheme val="minor"/>
      </rPr>
      <t>STRUCTURAL ASSESSMENTS AND RECOMMENDATIONS OF POTENTIAL STRENGTHENING</t>
    </r>
  </si>
  <si>
    <r>
      <rPr>
        <b/>
        <i/>
        <u/>
        <sz val="11"/>
        <rFont val="Calibri"/>
        <family val="2"/>
        <scheme val="minor"/>
      </rPr>
      <t xml:space="preserve">Report Type 4 - </t>
    </r>
    <r>
      <rPr>
        <b/>
        <u/>
        <sz val="12"/>
        <rFont val="Calibri"/>
        <family val="2"/>
        <scheme val="minor"/>
      </rPr>
      <t>SITE, PARKING, LANDSCAPE, HARDSCAPE &amp; STORMWATER ASSESSMENT &amp; RECOMMENDATIONS</t>
    </r>
  </si>
  <si>
    <t>"Bid &amp; Award"</t>
  </si>
  <si>
    <t>HIDE "Construction" / HIDE "Construction / HIDE "Construction" / HIDE "Construction" / HIDE "Construction / HIDE "Construction"</t>
  </si>
  <si>
    <t>PLACEHOLDER ROW - CUSTOM ROW - OPTIONAL CLIENT ITEM</t>
  </si>
  <si>
    <t>BMS/BAS Network Architecture Diagrams</t>
  </si>
  <si>
    <t>BMS/BAS Input / Output Point List</t>
  </si>
  <si>
    <t>BMS/BAS Integration and Mapping Details</t>
  </si>
  <si>
    <t>BAS Licensing, Programming, and Engineering Tools</t>
  </si>
  <si>
    <t>Results of any existing structural materials tests or verification / scans of structure layout.</t>
  </si>
  <si>
    <t>Results of existing exterior envelope material tests or strengths (i.e. brick and mortar tests, pull tests of existing mechanical fasteners, etc…)</t>
  </si>
  <si>
    <t>Results of any existing structural materials tests or verification / scans of structure layout. (With Applicable section)</t>
  </si>
  <si>
    <t>Results of existing exterior envelope material tests or strengths (With Applicable section)</t>
  </si>
  <si>
    <t xml:space="preserve">Product Samples of Floor Coverings, Wall Covering, Window Treatment, Ceiling Tile, etc... </t>
  </si>
  <si>
    <t>Paint selections and combinations</t>
  </si>
  <si>
    <t>Electrical - Emergency Generator systems to support **(verify existing systems for renovations)</t>
  </si>
  <si>
    <t>Substantially Complete</t>
  </si>
  <si>
    <t xml:space="preserve">  (Complete &amp; Updates/Changes Only)</t>
  </si>
  <si>
    <t xml:space="preserve"> (approved)</t>
  </si>
  <si>
    <t xml:space="preserve"> (Approved to date &amp; awaiting approval)</t>
  </si>
  <si>
    <t xml:space="preserve"> (Expected &amp; Approved to date)</t>
  </si>
  <si>
    <t xml:space="preserve"> (Expected)</t>
  </si>
  <si>
    <t>"Furniture Information Form" (electronic)</t>
  </si>
  <si>
    <t xml:space="preserve"> (LOD of 100)</t>
  </si>
  <si>
    <t xml:space="preserve"> (LOD of 200)</t>
  </si>
  <si>
    <t xml:space="preserve"> (LOD of 300)</t>
  </si>
  <si>
    <t xml:space="preserve"> (Complete) </t>
  </si>
  <si>
    <t xml:space="preserve">(Preliminary) </t>
  </si>
  <si>
    <t xml:space="preserve">(Approx 50% Complete) </t>
  </si>
  <si>
    <t xml:space="preserve">(Substantially Complete) </t>
  </si>
  <si>
    <t xml:space="preserve">(Updates to) </t>
  </si>
  <si>
    <t xml:space="preserve">(Final/Complete) </t>
  </si>
  <si>
    <t xml:space="preserve">(Complete) </t>
  </si>
  <si>
    <t xml:space="preserve">(Draft) </t>
  </si>
  <si>
    <t xml:space="preserve">(Final Installed) </t>
  </si>
  <si>
    <t xml:space="preserve">(Applied for) </t>
  </si>
  <si>
    <t xml:space="preserve">(Applied for and received) </t>
  </si>
  <si>
    <t xml:space="preserve">(All received) </t>
  </si>
  <si>
    <t>EPA &amp; State Permits (With Applicable Section)</t>
  </si>
  <si>
    <t xml:space="preserve">Signal flow from input to output, left to right </t>
  </si>
  <si>
    <t xml:space="preserve">Major pieces of equipment identified by manufacturer, model number &amp; description </t>
  </si>
  <si>
    <t xml:space="preserve">Equipment associated with plans and details </t>
  </si>
  <si>
    <t xml:space="preserve">All field and rack cabling and signal type </t>
  </si>
  <si>
    <t xml:space="preserve">Video signal resolutions </t>
  </si>
  <si>
    <t xml:space="preserve">Manufacturer &amp; model number of all premade cables  </t>
  </si>
  <si>
    <t xml:space="preserve">Typical pin out details </t>
  </si>
  <si>
    <t>Under separate bound cover, any detailed results, reports, surveys, tests, etc… for existing systems verification.</t>
  </si>
  <si>
    <t>Date:</t>
  </si>
  <si>
    <t>Entity?</t>
  </si>
  <si>
    <t>Site / Civil / Landscape - Storm Water Management for changes in impervious area **(List assumptions for mitigation.  Verify existing system.  Any outlet into field tiles must be verified for size, location, and condition)</t>
  </si>
  <si>
    <t>Site / Civil / Landscape - Sidewalks, Plazas, Landscape</t>
  </si>
  <si>
    <t>Site / Civil / Landscape - Demolition &amp; Site Clearing</t>
  </si>
  <si>
    <t>Site / Civil / Landscape - Utility Relocations</t>
  </si>
  <si>
    <t>Site / Civil / Landscape - Utility Abandonments</t>
  </si>
  <si>
    <t>Site / Civil / Landscape - CUSTOM</t>
  </si>
  <si>
    <t>Site, Civil, &amp; Landscape Drawings</t>
  </si>
  <si>
    <t>CUSTOM - Site / Civil / Landscape</t>
  </si>
  <si>
    <t>Drawing Set</t>
  </si>
  <si>
    <t>Construction Layout/Laydown Plan with tree protection</t>
  </si>
  <si>
    <t>Site Plan (show tree protection if not yet shown in laydown plan)</t>
  </si>
  <si>
    <t>Audio Visual Drawings</t>
  </si>
  <si>
    <t>Method &amp; Format of Delivery</t>
  </si>
  <si>
    <t>Bldg #, Lot or Utility</t>
  </si>
  <si>
    <t>BID &amp; AWARD PHASE SPECIFIC ITEMS</t>
  </si>
  <si>
    <t xml:space="preserve"> (Updates to)</t>
  </si>
  <si>
    <t xml:space="preserve">Pavement, Sidewalks, and/or Utility Sections </t>
  </si>
  <si>
    <r>
      <t xml:space="preserve">PSC mails or delivers directly to recipients with specific cover sheets.  PSC shall use Transmittal Guidance provided by PM/Planner and the </t>
    </r>
    <r>
      <rPr>
        <b/>
        <sz val="10"/>
        <color rgb="FFC00000"/>
        <rFont val="Calibri"/>
        <family val="2"/>
        <scheme val="minor"/>
      </rPr>
      <t>"PROJECT SUBMITTAL REQUIREMENTS".</t>
    </r>
  </si>
  <si>
    <t>01</t>
  </si>
  <si>
    <t>* Changes at Const.</t>
  </si>
  <si>
    <t>Submittals must conform to the "Project Submittal Requirements"</t>
  </si>
  <si>
    <t>Do not delete values or this column</t>
  </si>
  <si>
    <t>PSC Transmittal Guidance</t>
  </si>
  <si>
    <t>TAB Name</t>
  </si>
  <si>
    <t>Purpose</t>
  </si>
  <si>
    <t>Directions</t>
  </si>
  <si>
    <t>Provide directions on the use of the spreadsheet.</t>
  </si>
  <si>
    <r>
      <rPr>
        <b/>
        <i/>
        <sz val="10"/>
        <rFont val="Calibri"/>
        <family val="2"/>
        <scheme val="minor"/>
      </rPr>
      <t>Report Type 1</t>
    </r>
    <r>
      <rPr>
        <b/>
        <sz val="12"/>
        <rFont val="Calibri"/>
        <family val="2"/>
        <scheme val="minor"/>
      </rPr>
      <t xml:space="preserve"> - BOD/PS (SIMILAR COMPONENTS AS CONCEPTUALIZATION REPORT)</t>
    </r>
    <r>
      <rPr>
        <b/>
        <i/>
        <sz val="10"/>
        <rFont val="Calibri"/>
        <family val="2"/>
        <scheme val="minor"/>
      </rPr>
      <t xml:space="preserve"> - default</t>
    </r>
  </si>
  <si>
    <t>Existing system ADA sufficiency/insufficiency and proposed solutions</t>
  </si>
  <si>
    <t>Report Type 1                /               Report Type 1</t>
  </si>
  <si>
    <t>Report Type 2</t>
  </si>
  <si>
    <t>Report Type 3</t>
  </si>
  <si>
    <t>Report Type 4</t>
  </si>
  <si>
    <t>01_apply</t>
  </si>
  <si>
    <t>1 PR, E</t>
  </si>
  <si>
    <t># of each as indicated above.
Any "E" refers to Drawings, BOD, FB, 
and Manuals</t>
  </si>
  <si>
    <r>
      <rPr>
        <sz val="10"/>
        <color theme="4" tint="-0.499984740745262"/>
        <rFont val="Calibri"/>
        <family val="2"/>
        <scheme val="minor"/>
      </rPr>
      <t xml:space="preserve">&lt;------- </t>
    </r>
    <r>
      <rPr>
        <b/>
        <sz val="11"/>
        <color theme="4" tint="-0.499984740745262"/>
        <rFont val="Calibri"/>
        <family val="2"/>
        <scheme val="minor"/>
      </rPr>
      <t>Choose Yes or No</t>
    </r>
    <r>
      <rPr>
        <sz val="10"/>
        <color theme="4" tint="-0.499984740745262"/>
        <rFont val="Calibri"/>
        <family val="2"/>
        <scheme val="minor"/>
      </rPr>
      <t xml:space="preserve">, </t>
    </r>
    <r>
      <rPr>
        <b/>
        <sz val="10"/>
        <color theme="4" tint="-0.499984740745262"/>
        <rFont val="Calibri"/>
        <family val="2"/>
        <scheme val="minor"/>
      </rPr>
      <t>Insert Name &amp; Address</t>
    </r>
    <r>
      <rPr>
        <sz val="10"/>
        <color theme="4" tint="-0.499984740745262"/>
        <rFont val="Calibri"/>
        <family val="2"/>
        <scheme val="minor"/>
      </rPr>
      <t xml:space="preserve"> and confirm Name </t>
    </r>
    <r>
      <rPr>
        <u/>
        <sz val="10"/>
        <color theme="4" tint="-0.499984740745262"/>
        <rFont val="Calibri"/>
        <family val="2"/>
        <scheme val="minor"/>
      </rPr>
      <t xml:space="preserve">with Department </t>
    </r>
    <r>
      <rPr>
        <sz val="10"/>
        <color theme="4" tint="-0.499984740745262"/>
        <rFont val="Calibri"/>
        <family val="2"/>
        <scheme val="minor"/>
      </rPr>
      <t xml:space="preserve">
               which submittals if any they would like to see and in what format </t>
    </r>
    <r>
      <rPr>
        <sz val="10"/>
        <color rgb="FFC00000"/>
        <rFont val="Calibri"/>
        <family val="2"/>
        <scheme val="minor"/>
      </rPr>
      <t>(is electronic only okay?)</t>
    </r>
    <r>
      <rPr>
        <sz val="10"/>
        <color theme="4" tint="-0.499984740745262"/>
        <rFont val="Calibri"/>
        <family val="2"/>
        <scheme val="minor"/>
      </rPr>
      <t>;</t>
    </r>
    <r>
      <rPr>
        <sz val="10"/>
        <color rgb="FFC00000"/>
        <rFont val="Calibri"/>
        <family val="2"/>
        <scheme val="minor"/>
      </rPr>
      <t xml:space="preserve">
               Do they need closeout submittals?  If yes, are paper copies </t>
    </r>
    <r>
      <rPr>
        <i/>
        <u/>
        <sz val="10"/>
        <color rgb="FFC00000"/>
        <rFont val="Calibri"/>
        <family val="2"/>
        <scheme val="minor"/>
      </rPr>
      <t>necessary</t>
    </r>
    <r>
      <rPr>
        <sz val="10"/>
        <color rgb="FFC00000"/>
        <rFont val="Calibri"/>
        <family val="2"/>
        <scheme val="minor"/>
      </rPr>
      <t xml:space="preserve"> or is electronic only okay?</t>
    </r>
  </si>
  <si>
    <r>
      <rPr>
        <sz val="10"/>
        <color theme="4" tint="-0.499984740745262"/>
        <rFont val="Calibri"/>
        <family val="2"/>
        <scheme val="minor"/>
      </rPr>
      <t xml:space="preserve">&lt;------- </t>
    </r>
    <r>
      <rPr>
        <b/>
        <sz val="11"/>
        <color theme="4" tint="-0.499984740745262"/>
        <rFont val="Calibri"/>
        <family val="2"/>
        <scheme val="minor"/>
      </rPr>
      <t>Choose Yes or No</t>
    </r>
    <r>
      <rPr>
        <sz val="10"/>
        <color theme="4" tint="-0.499984740745262"/>
        <rFont val="Calibri"/>
        <family val="2"/>
        <scheme val="minor"/>
      </rPr>
      <t xml:space="preserve">, </t>
    </r>
    <r>
      <rPr>
        <b/>
        <sz val="10"/>
        <color theme="4" tint="-0.499984740745262"/>
        <rFont val="Calibri"/>
        <family val="2"/>
        <scheme val="minor"/>
      </rPr>
      <t>Insert Name &amp; Address</t>
    </r>
    <r>
      <rPr>
        <sz val="10"/>
        <color theme="4" tint="-0.499984740745262"/>
        <rFont val="Calibri"/>
        <family val="2"/>
        <scheme val="minor"/>
      </rPr>
      <t xml:space="preserve"> and confirm Name </t>
    </r>
    <r>
      <rPr>
        <u/>
        <sz val="10"/>
        <color theme="4" tint="-0.499984740745262"/>
        <rFont val="Calibri"/>
        <family val="2"/>
        <scheme val="minor"/>
      </rPr>
      <t xml:space="preserve">with User </t>
    </r>
    <r>
      <rPr>
        <sz val="10"/>
        <color theme="4" tint="-0.499984740745262"/>
        <rFont val="Calibri"/>
        <family val="2"/>
        <scheme val="minor"/>
      </rPr>
      <t xml:space="preserve">
               which submittals if any they would like to see and in what format </t>
    </r>
    <r>
      <rPr>
        <sz val="10"/>
        <color rgb="FFC00000"/>
        <rFont val="Calibri"/>
        <family val="2"/>
        <scheme val="minor"/>
      </rPr>
      <t>(is electronic only okay?)</t>
    </r>
    <r>
      <rPr>
        <sz val="10"/>
        <color theme="4" tint="-0.499984740745262"/>
        <rFont val="Calibri"/>
        <family val="2"/>
        <scheme val="minor"/>
      </rPr>
      <t>;</t>
    </r>
    <r>
      <rPr>
        <sz val="10"/>
        <color rgb="FFC00000"/>
        <rFont val="Calibri"/>
        <family val="2"/>
        <scheme val="minor"/>
      </rPr>
      <t xml:space="preserve">
               Do they need closeout submittals?  If yes, are paper copies </t>
    </r>
    <r>
      <rPr>
        <i/>
        <u/>
        <sz val="10"/>
        <color rgb="FFC00000"/>
        <rFont val="Calibri"/>
        <family val="2"/>
        <scheme val="minor"/>
      </rPr>
      <t>necessary</t>
    </r>
    <r>
      <rPr>
        <sz val="10"/>
        <color rgb="FFC00000"/>
        <rFont val="Calibri"/>
        <family val="2"/>
        <scheme val="minor"/>
      </rPr>
      <t xml:space="preserve"> or is electronic only okay?</t>
    </r>
  </si>
  <si>
    <r>
      <rPr>
        <sz val="10"/>
        <color theme="4" tint="-0.499984740745262"/>
        <rFont val="Calibri"/>
        <family val="2"/>
        <scheme val="minor"/>
      </rPr>
      <t xml:space="preserve">&lt;------- </t>
    </r>
    <r>
      <rPr>
        <b/>
        <sz val="11"/>
        <color theme="4" tint="-0.499984740745262"/>
        <rFont val="Calibri"/>
        <family val="2"/>
        <scheme val="minor"/>
      </rPr>
      <t>Choose Yes or No</t>
    </r>
    <r>
      <rPr>
        <sz val="10"/>
        <color theme="4" tint="-0.499984740745262"/>
        <rFont val="Calibri"/>
        <family val="2"/>
        <scheme val="minor"/>
      </rPr>
      <t xml:space="preserve">, </t>
    </r>
    <r>
      <rPr>
        <b/>
        <sz val="10"/>
        <color theme="4" tint="-0.499984740745262"/>
        <rFont val="Calibri"/>
        <family val="2"/>
        <scheme val="minor"/>
      </rPr>
      <t>Insert Name &amp; Address</t>
    </r>
    <r>
      <rPr>
        <sz val="10"/>
        <color theme="4" tint="-0.499984740745262"/>
        <rFont val="Calibri"/>
        <family val="2"/>
        <scheme val="minor"/>
      </rPr>
      <t xml:space="preserve"> and confirm Name </t>
    </r>
    <r>
      <rPr>
        <u/>
        <sz val="10"/>
        <color theme="4" tint="-0.499984740745262"/>
        <rFont val="Calibri"/>
        <family val="2"/>
        <scheme val="minor"/>
      </rPr>
      <t>with College</t>
    </r>
    <r>
      <rPr>
        <sz val="10"/>
        <color theme="4" tint="-0.499984740745262"/>
        <rFont val="Calibri"/>
        <family val="2"/>
        <scheme val="minor"/>
      </rPr>
      <t xml:space="preserve">
               which submittals if any they would like to see and in what format </t>
    </r>
    <r>
      <rPr>
        <sz val="10"/>
        <color rgb="FFC00000"/>
        <rFont val="Calibri"/>
        <family val="2"/>
        <scheme val="minor"/>
      </rPr>
      <t>(is electronic only okay?)</t>
    </r>
    <r>
      <rPr>
        <sz val="10"/>
        <color theme="4" tint="-0.499984740745262"/>
        <rFont val="Calibri"/>
        <family val="2"/>
        <scheme val="minor"/>
      </rPr>
      <t>;</t>
    </r>
    <r>
      <rPr>
        <sz val="10"/>
        <color rgb="FFC00000"/>
        <rFont val="Calibri"/>
        <family val="2"/>
        <scheme val="minor"/>
      </rPr>
      <t xml:space="preserve">
               Do they need closeout submittals?  If yes, are paper copies </t>
    </r>
    <r>
      <rPr>
        <i/>
        <u/>
        <sz val="10"/>
        <color rgb="FFC00000"/>
        <rFont val="Calibri"/>
        <family val="2"/>
        <scheme val="minor"/>
      </rPr>
      <t>necessary</t>
    </r>
    <r>
      <rPr>
        <sz val="10"/>
        <color rgb="FFC00000"/>
        <rFont val="Calibri"/>
        <family val="2"/>
        <scheme val="minor"/>
      </rPr>
      <t xml:space="preserve"> or is electronic only okay?</t>
    </r>
  </si>
  <si>
    <t>&lt; ------     DO NOT DELETE ROWS / DO NOT DELETE ROWS / DO NOT DELETE ROWS / DO NOT DELETE ROWS / DO NOT DELETE ROWS / DO NOT DELETE ROWS / DO NOT DELETE ROWS / DO NOT DELETE ROWS /   ------&gt;</t>
  </si>
  <si>
    <t>Construction Cost Estimate</t>
  </si>
  <si>
    <t xml:space="preserve"> (Including Bid Alts.)</t>
  </si>
  <si>
    <t xml:space="preserve"> - Updated</t>
  </si>
  <si>
    <t xml:space="preserve"> - Final</t>
  </si>
  <si>
    <t>Minimum List of Deliverables</t>
  </si>
  <si>
    <t xml:space="preserve"> - Current</t>
  </si>
  <si>
    <t xml:space="preserve"> (Updates - Including Bid Alts.)</t>
  </si>
  <si>
    <t>- Installed - RECORD SET</t>
  </si>
  <si>
    <t>- RECORD SET (with Addenda, ASI, Field Directives, and As-Built Red Lines incorporated)</t>
  </si>
  <si>
    <t>LEED Goal</t>
  </si>
  <si>
    <t>LEED GOAL</t>
  </si>
  <si>
    <t>Silver - Not Cert.</t>
  </si>
  <si>
    <t>Silver - Certified</t>
  </si>
  <si>
    <t>Gold - Not Cert.</t>
  </si>
  <si>
    <t>Gold - Certified</t>
  </si>
  <si>
    <t>Platinum - Not Cert.</t>
  </si>
  <si>
    <t>Platinum - Certified</t>
  </si>
  <si>
    <t>None</t>
  </si>
  <si>
    <t>Added LEED Goal</t>
  </si>
  <si>
    <t xml:space="preserve">FF&amp;E Outline Specification for at least 2 competitor packages </t>
  </si>
  <si>
    <t xml:space="preserve"> / Conceptualization Report</t>
  </si>
  <si>
    <t>to Architectural Review Committee (ARC)</t>
  </si>
  <si>
    <t>Design Presentation</t>
  </si>
  <si>
    <t>Do not delete values or this ROW --&gt;</t>
  </si>
  <si>
    <t xml:space="preserve"> (area; volume; unit costs) </t>
  </si>
  <si>
    <t>E,D,PM</t>
  </si>
  <si>
    <r>
      <t xml:space="preserve">Energy Model (per ASHRAE 90.1, </t>
    </r>
    <r>
      <rPr>
        <b/>
        <sz val="10.5"/>
        <color theme="4" tint="-0.249977111117893"/>
        <rFont val="Calibri"/>
        <family val="2"/>
        <scheme val="minor"/>
      </rPr>
      <t xml:space="preserve">version from </t>
    </r>
    <r>
      <rPr>
        <b/>
        <u/>
        <sz val="10.5"/>
        <color theme="4" tint="-0.249977111117893"/>
        <rFont val="Calibri"/>
        <family val="2"/>
        <scheme val="minor"/>
      </rPr>
      <t>2013</t>
    </r>
    <r>
      <rPr>
        <b/>
        <sz val="10.5"/>
        <color theme="4" tint="-0.249977111117893"/>
        <rFont val="Calibri"/>
        <family val="2"/>
        <scheme val="minor"/>
      </rPr>
      <t xml:space="preserve">  ) </t>
    </r>
  </si>
  <si>
    <t>Added "Bid Alternates" to all disciplines plans at 50% CD and beyond to conform to the intentions of the existing MLD list.</t>
  </si>
  <si>
    <t>Clarified MLD item titles in Tab B, with proper repeaters in individual tabs (MLD items, not components).</t>
  </si>
  <si>
    <t>Turned on Item 4b during Conceptualization to capture some testing and LEED items.</t>
  </si>
  <si>
    <t>Shortened BJC, &amp; RJH's addresses</t>
  </si>
  <si>
    <t>Added comments encouraging electronic only.</t>
  </si>
  <si>
    <t>Added notes at bottom for BOD pages, cover, etc…</t>
  </si>
  <si>
    <t>Plumbing - Fixtures  **(Fixture Unit Analysis as verification of existing systems on renovations)</t>
  </si>
  <si>
    <t>Plumbing - Air/Gas  **(verify existing system for renovations)</t>
  </si>
  <si>
    <t>Plumbing - Water  **(verify existing system for renovations)</t>
  </si>
  <si>
    <t>Plumbing - Sanitary **(verify existing system for renovations)</t>
  </si>
  <si>
    <t>Fire Suppression System(s) **(verify existing system for renovations)</t>
  </si>
  <si>
    <t>Contractor As-Built Drawings and As-Built Project Manual</t>
  </si>
  <si>
    <t>If phase is not applicable, entire column is has striked out text.</t>
  </si>
  <si>
    <t>Mechanical / Plumbing items in Narrative have corrected titles.</t>
  </si>
  <si>
    <t>"Y" for individual items (except for Basic Services Column) is now light green, NOT light grey.</t>
  </si>
  <si>
    <t>01.</t>
  </si>
  <si>
    <t>03.</t>
  </si>
  <si>
    <t>04b.</t>
  </si>
  <si>
    <t>05a.</t>
  </si>
  <si>
    <t>05b.</t>
  </si>
  <si>
    <t>06.</t>
  </si>
  <si>
    <t>07a.</t>
  </si>
  <si>
    <t>07b.</t>
  </si>
  <si>
    <t>09.</t>
  </si>
  <si>
    <t>00. *</t>
  </si>
  <si>
    <t>04a. *</t>
  </si>
  <si>
    <t>*</t>
  </si>
  <si>
    <t>02. *</t>
  </si>
  <si>
    <t>Last Editor's Name:</t>
  </si>
  <si>
    <t>Last Edit by :</t>
  </si>
  <si>
    <t>UIUC project number</t>
  </si>
  <si>
    <t>UIUC Official project title</t>
  </si>
  <si>
    <t>Plumbing  - General System(s) - **(verify existing system for renovations)</t>
  </si>
  <si>
    <t>Heating - General System(s) **(verify existing system for renovations)</t>
  </si>
  <si>
    <t>Heating - Gas (and verify existing system for renovations)*</t>
  </si>
  <si>
    <t>Heating -  Steam  (and verify existing system for renovations)*</t>
  </si>
  <si>
    <t>Ventilation - General System(s)  **(verify existing system for renovations)</t>
  </si>
  <si>
    <t>Ventilation - Refrigeration Systems **(verify existing system for renovations)</t>
  </si>
  <si>
    <t>Ventilation - Chilled Water  **(verify existing system for renovations)</t>
  </si>
  <si>
    <t>Ventilation - CUSTOM</t>
  </si>
  <si>
    <t>Heating - CUSTOM</t>
  </si>
  <si>
    <t>Plumbing - CUSTOM</t>
  </si>
  <si>
    <t>CUSTOM - Asbestos</t>
  </si>
  <si>
    <t>CUSTOM - Lead Based Paint</t>
  </si>
  <si>
    <t>CUSTOM - Hazardous Materials</t>
  </si>
  <si>
    <t>Asbestos, Lead Based Paint, &amp; Hazardous Materials Drawings</t>
  </si>
  <si>
    <t xml:space="preserve">Asbestos Removal, Remediation, Containment </t>
  </si>
  <si>
    <t xml:space="preserve">Lead Based Paint Removal, Remediation, Containment </t>
  </si>
  <si>
    <t xml:space="preserve">Other Hazardous Materials Removal, Remediation, Containment </t>
  </si>
  <si>
    <t>Added Asbestos, Lead Based Paint, and other Hazardous Materials to the Drawings.</t>
  </si>
  <si>
    <t>Temperature Control Drawings</t>
  </si>
  <si>
    <t>CUSTOM - Temperature Control</t>
  </si>
  <si>
    <t xml:space="preserve">Temperature Control Floor Plans </t>
  </si>
  <si>
    <t>Temperature Control Sequences, Schedules, and Diagrams</t>
  </si>
  <si>
    <t>Added Temperature Control to the Drawings.</t>
  </si>
  <si>
    <t>Fire Protection / Fire Suppression Drawings</t>
  </si>
  <si>
    <t>Excel files of all equipment schedules for all disciplines.</t>
  </si>
  <si>
    <t xml:space="preserve">(Installed) </t>
  </si>
  <si>
    <t>4b - Added Excel files for equipment schedules - NEED TO MAKE NOTE IN PSR</t>
  </si>
  <si>
    <t xml:space="preserve">(Approx. 50% Complete) </t>
  </si>
  <si>
    <t>08b.</t>
  </si>
  <si>
    <t>08c.</t>
  </si>
  <si>
    <t>"Y" is now light green, not dark grey.</t>
  </si>
  <si>
    <t>"Checklist" lines at left now have no fill</t>
  </si>
  <si>
    <t>00.</t>
  </si>
  <si>
    <t>02.</t>
  </si>
  <si>
    <t>04a.</t>
  </si>
  <si>
    <t xml:space="preserve"> - Updates Only</t>
  </si>
  <si>
    <t xml:space="preserve"> - Final including All Updates</t>
  </si>
  <si>
    <t>04a &amp; 07a - Building and Access Controls reordered just before Telecom</t>
  </si>
  <si>
    <t>06</t>
  </si>
  <si>
    <t>08</t>
  </si>
  <si>
    <t>06_apply</t>
  </si>
  <si>
    <t>08_apply</t>
  </si>
  <si>
    <t>Updated footer for more clear tab name.</t>
  </si>
  <si>
    <t>Updated to 2 copies of draft reports to QA</t>
  </si>
  <si>
    <t xml:space="preserve"> (Final w/ all updates)</t>
  </si>
  <si>
    <r>
      <rPr>
        <sz val="11"/>
        <rFont val="Calibri"/>
        <family val="2"/>
        <scheme val="minor"/>
      </rPr>
      <t xml:space="preserve">Items below may be in agreement or in addition to the requirements of the </t>
    </r>
    <r>
      <rPr>
        <b/>
        <sz val="11"/>
        <rFont val="Calibri"/>
        <family val="2"/>
        <scheme val="minor"/>
      </rPr>
      <t>Project Testing Requirement</t>
    </r>
    <r>
      <rPr>
        <sz val="11"/>
        <rFont val="Calibri"/>
        <family val="2"/>
        <scheme val="minor"/>
      </rPr>
      <t xml:space="preserve">s from facilities standards / exhibits - </t>
    </r>
    <r>
      <rPr>
        <sz val="10"/>
        <rFont val="Calibri"/>
        <family val="2"/>
        <scheme val="minor"/>
      </rPr>
      <t xml:space="preserve">
</t>
    </r>
    <r>
      <rPr>
        <i/>
        <sz val="10"/>
        <rFont val="Calibri"/>
        <family val="2"/>
        <scheme val="minor"/>
      </rPr>
      <t>http://www.fs.illinois.edu/docs/default-source/facility-standards/technical-sections/division-01---administrative/01-33-23---shop-drawings-product-data-and-samples.docx?sfvrsn=2</t>
    </r>
  </si>
  <si>
    <r>
      <t xml:space="preserve">Include a separate transmittal sheet for each applicable recipient with the </t>
    </r>
    <r>
      <rPr>
        <b/>
        <i/>
        <u/>
        <sz val="12"/>
        <color theme="4" tint="-0.249977111117893"/>
        <rFont val="Calibri"/>
        <family val="2"/>
        <scheme val="minor"/>
      </rPr>
      <t>recipient's name and delivery items highlighted.</t>
    </r>
  </si>
  <si>
    <r>
      <rPr>
        <b/>
        <sz val="10"/>
        <color theme="1"/>
        <rFont val="Calibri"/>
        <family val="2"/>
        <scheme val="minor"/>
      </rPr>
      <t>o</t>
    </r>
    <r>
      <rPr>
        <sz val="10"/>
        <color theme="1"/>
        <rFont val="Calibri"/>
        <family val="2"/>
        <scheme val="minor"/>
      </rPr>
      <t xml:space="preserve">   U of I recipient name, Planner and/or PM name(s)</t>
    </r>
  </si>
  <si>
    <t>o   U of I project number</t>
  </si>
  <si>
    <t>o   Full project title</t>
  </si>
  <si>
    <t>* General Project Info, Project Type 
* Applicable Phases
* Define # of what deliverables to whom</t>
  </si>
  <si>
    <t>START</t>
  </si>
  <si>
    <t>Access Controls - General Systems</t>
  </si>
  <si>
    <t>Electrical Lightning Protection Sections / Diagrams</t>
  </si>
  <si>
    <t>F&amp;S
EDIT  TAB</t>
  </si>
  <si>
    <r>
      <t>Renamed this tab to</t>
    </r>
    <r>
      <rPr>
        <b/>
        <u/>
        <sz val="9"/>
        <color rgb="FFC00000"/>
        <rFont val="Calibri"/>
        <family val="2"/>
        <scheme val="minor"/>
      </rPr>
      <t xml:space="preserve"> [01 - SD]</t>
    </r>
    <r>
      <rPr>
        <i/>
        <sz val="9"/>
        <color rgb="FFC00000"/>
        <rFont val="Calibri"/>
        <family val="2"/>
        <scheme val="minor"/>
      </rPr>
      <t xml:space="preserve"> formerly [01 - SD Min List]</t>
    </r>
  </si>
  <si>
    <r>
      <t>Renamed this tab to</t>
    </r>
    <r>
      <rPr>
        <b/>
        <u/>
        <sz val="9"/>
        <color rgb="FFC00000"/>
        <rFont val="Calibri"/>
        <family val="2"/>
        <scheme val="minor"/>
      </rPr>
      <t xml:space="preserve"> [00 - Concept.]</t>
    </r>
    <r>
      <rPr>
        <i/>
        <sz val="9"/>
        <color rgb="FFC00000"/>
        <rFont val="Calibri"/>
        <family val="2"/>
        <scheme val="minor"/>
      </rPr>
      <t xml:space="preserve"> formerly [00b-Concept. Min List]</t>
    </r>
  </si>
  <si>
    <r>
      <t>Renamed this tab to</t>
    </r>
    <r>
      <rPr>
        <b/>
        <u/>
        <sz val="9"/>
        <color rgb="FFC00000"/>
        <rFont val="Calibri"/>
        <family val="2"/>
        <scheme val="minor"/>
      </rPr>
      <t xml:space="preserve"> [08-POST CONST]</t>
    </r>
    <r>
      <rPr>
        <i/>
        <sz val="9"/>
        <color rgb="FFC00000"/>
        <rFont val="Calibri"/>
        <family val="2"/>
        <scheme val="minor"/>
      </rPr>
      <t xml:space="preserve"> formerly [08-POST CONST Min List]</t>
    </r>
  </si>
  <si>
    <r>
      <t>Renamed this tab to</t>
    </r>
    <r>
      <rPr>
        <b/>
        <u/>
        <sz val="9"/>
        <color rgb="FFC00000"/>
        <rFont val="Calibri"/>
        <family val="2"/>
        <scheme val="minor"/>
      </rPr>
      <t xml:space="preserve"> [08-CLOSE OUT]</t>
    </r>
    <r>
      <rPr>
        <i/>
        <sz val="9"/>
        <color rgb="FFC00000"/>
        <rFont val="Calibri"/>
        <family val="2"/>
        <scheme val="minor"/>
      </rPr>
      <t xml:space="preserve"> formerly [08-CLOSE OUT Min List]</t>
    </r>
  </si>
  <si>
    <r>
      <t>Renamed this tab to</t>
    </r>
    <r>
      <rPr>
        <b/>
        <u/>
        <sz val="9"/>
        <color rgb="FFC00000"/>
        <rFont val="Calibri"/>
        <family val="2"/>
        <scheme val="minor"/>
      </rPr>
      <t xml:space="preserve"> [06-CONST]</t>
    </r>
    <r>
      <rPr>
        <i/>
        <sz val="9"/>
        <color rgb="FFC00000"/>
        <rFont val="Calibri"/>
        <family val="2"/>
        <scheme val="minor"/>
      </rPr>
      <t xml:space="preserve"> formerly [06-CONST Min List]</t>
    </r>
  </si>
  <si>
    <r>
      <t>Renamed this tab to</t>
    </r>
    <r>
      <rPr>
        <b/>
        <u/>
        <sz val="9"/>
        <color rgb="FFC00000"/>
        <rFont val="Calibri"/>
        <family val="2"/>
        <scheme val="minor"/>
      </rPr>
      <t xml:space="preserve"> [05-BID]</t>
    </r>
    <r>
      <rPr>
        <i/>
        <sz val="9"/>
        <color rgb="FFC00000"/>
        <rFont val="Calibri"/>
        <family val="2"/>
        <scheme val="minor"/>
      </rPr>
      <t xml:space="preserve"> formerly [05-BID Min List]</t>
    </r>
  </si>
  <si>
    <r>
      <t>Renamed this tab to</t>
    </r>
    <r>
      <rPr>
        <b/>
        <u/>
        <sz val="9"/>
        <color rgb="FFC00000"/>
        <rFont val="Calibri"/>
        <family val="2"/>
        <scheme val="minor"/>
      </rPr>
      <t xml:space="preserve"> [04 - 95% CD]</t>
    </r>
    <r>
      <rPr>
        <i/>
        <sz val="9"/>
        <color rgb="FFC00000"/>
        <rFont val="Calibri"/>
        <family val="2"/>
        <scheme val="minor"/>
      </rPr>
      <t xml:space="preserve"> formerly [04 - 95% CD Min List]</t>
    </r>
  </si>
  <si>
    <r>
      <t>Renamed this tab to</t>
    </r>
    <r>
      <rPr>
        <b/>
        <u/>
        <sz val="9"/>
        <color rgb="FFC00000"/>
        <rFont val="Calibri"/>
        <family val="2"/>
        <scheme val="minor"/>
      </rPr>
      <t xml:space="preserve"> [03 - 50% CD]</t>
    </r>
    <r>
      <rPr>
        <i/>
        <sz val="9"/>
        <color rgb="FFC00000"/>
        <rFont val="Calibri"/>
        <family val="2"/>
        <scheme val="minor"/>
      </rPr>
      <t xml:space="preserve"> formerly [03 - 50% CD Min List]</t>
    </r>
  </si>
  <si>
    <r>
      <t>Renamed this tab to</t>
    </r>
    <r>
      <rPr>
        <b/>
        <u/>
        <sz val="9"/>
        <color rgb="FFC00000"/>
        <rFont val="Calibri"/>
        <family val="2"/>
        <scheme val="minor"/>
      </rPr>
      <t xml:space="preserve"> [02 - DD]</t>
    </r>
    <r>
      <rPr>
        <i/>
        <sz val="9"/>
        <color rgb="FFC00000"/>
        <rFont val="Calibri"/>
        <family val="2"/>
        <scheme val="minor"/>
      </rPr>
      <t xml:space="preserve"> formerly [02 - DD Min List]</t>
    </r>
  </si>
  <si>
    <r>
      <t>Renamed this tab to</t>
    </r>
    <r>
      <rPr>
        <b/>
        <u/>
        <sz val="9"/>
        <color rgb="FFC00000"/>
        <rFont val="Calibri"/>
        <family val="2"/>
        <scheme val="minor"/>
      </rPr>
      <t xml:space="preserve"> [C - Studies Deliverables]</t>
    </r>
    <r>
      <rPr>
        <i/>
        <sz val="9"/>
        <color rgb="FFC00000"/>
        <rFont val="Calibri"/>
        <family val="2"/>
        <scheme val="minor"/>
      </rPr>
      <t xml:space="preserve"> formerly [00a-Feas. or Memo Min List]</t>
    </r>
  </si>
  <si>
    <t>Added an as applicable Project Calcs/Info to QA sets on Feasibility Studies &amp; Conceptualizations</t>
  </si>
  <si>
    <t>&lt;----Enter/Update ''EDIT DATE'' / ''ENTITY'' / ''EDITOR NAME'</t>
  </si>
  <si>
    <r>
      <rPr>
        <b/>
        <u/>
        <sz val="14"/>
        <color rgb="FFC00000"/>
        <rFont val="Calibri"/>
        <family val="2"/>
        <scheme val="minor"/>
      </rPr>
      <t>DIRECTIONS:</t>
    </r>
    <r>
      <rPr>
        <sz val="14"/>
        <color rgb="FFC00000"/>
        <rFont val="Calibri"/>
        <family val="2"/>
        <scheme val="minor"/>
      </rPr>
      <t xml:space="preserve"> </t>
    </r>
  </si>
  <si>
    <r>
      <t xml:space="preserve">Print and use this checklist at </t>
    </r>
    <r>
      <rPr>
        <b/>
        <u/>
        <sz val="12"/>
        <color theme="1"/>
        <rFont val="Calibri"/>
        <family val="2"/>
        <scheme val="minor"/>
      </rPr>
      <t>SD Submittals</t>
    </r>
    <r>
      <rPr>
        <b/>
        <sz val="12"/>
        <color theme="1"/>
        <rFont val="Calibri"/>
        <family val="2"/>
        <scheme val="minor"/>
      </rPr>
      <t xml:space="preserve">.
Autopopulated from Tabs A &amp; C. 
Shows the completion level of components at SD.  </t>
    </r>
  </si>
  <si>
    <r>
      <t xml:space="preserve">Print and use this checklist at </t>
    </r>
    <r>
      <rPr>
        <b/>
        <u/>
        <sz val="12"/>
        <color theme="1"/>
        <rFont val="Calibri"/>
        <family val="2"/>
        <scheme val="minor"/>
      </rPr>
      <t>DD Submittals</t>
    </r>
    <r>
      <rPr>
        <b/>
        <sz val="12"/>
        <color theme="1"/>
        <rFont val="Calibri"/>
        <family val="2"/>
        <scheme val="minor"/>
      </rPr>
      <t xml:space="preserve">.
Autopopulated from Tabs A &amp; C. 
Shows completion level of components at DD  </t>
    </r>
  </si>
  <si>
    <r>
      <t xml:space="preserve">Print and use this checklist at </t>
    </r>
    <r>
      <rPr>
        <b/>
        <u/>
        <sz val="12"/>
        <color theme="1"/>
        <rFont val="Calibri"/>
        <family val="2"/>
        <scheme val="minor"/>
      </rPr>
      <t>50% CD Submittals.</t>
    </r>
    <r>
      <rPr>
        <b/>
        <sz val="12"/>
        <color theme="1"/>
        <rFont val="Calibri"/>
        <family val="2"/>
        <scheme val="minor"/>
      </rPr>
      <t xml:space="preserve">
Autopopulated from Tabs A &amp; C. 
Shows completion level of components at 50% CD.  </t>
    </r>
  </si>
  <si>
    <r>
      <t xml:space="preserve">Print and use this checklist at </t>
    </r>
    <r>
      <rPr>
        <b/>
        <u/>
        <sz val="12"/>
        <color theme="0"/>
        <rFont val="Calibri"/>
        <family val="2"/>
        <scheme val="minor"/>
      </rPr>
      <t>95%CD Submittals.</t>
    </r>
    <r>
      <rPr>
        <b/>
        <sz val="12"/>
        <color theme="0"/>
        <rFont val="Calibri"/>
        <family val="2"/>
        <scheme val="minor"/>
      </rPr>
      <t xml:space="preserve">
Autopopulated from Tabs A &amp; C. 
Shows completion of components at 95% CD</t>
    </r>
  </si>
  <si>
    <r>
      <t xml:space="preserve">Print and use this checklist at </t>
    </r>
    <r>
      <rPr>
        <b/>
        <u/>
        <sz val="12"/>
        <color theme="1"/>
        <rFont val="Calibri"/>
        <family val="2"/>
        <scheme val="minor"/>
      </rPr>
      <t>BID Submittals</t>
    </r>
    <r>
      <rPr>
        <b/>
        <sz val="12"/>
        <color theme="1"/>
        <rFont val="Calibri"/>
        <family val="2"/>
        <scheme val="minor"/>
      </rPr>
      <t xml:space="preserve">.
Autopopulated from Tabs A &amp; C. 
Shows completion of components at BID.  </t>
    </r>
  </si>
  <si>
    <r>
      <t xml:space="preserve">Print and use this checklist at </t>
    </r>
    <r>
      <rPr>
        <b/>
        <u/>
        <sz val="12"/>
        <color theme="1"/>
        <rFont val="Calibri"/>
        <family val="2"/>
        <scheme val="minor"/>
      </rPr>
      <t>Const. Submittals</t>
    </r>
    <r>
      <rPr>
        <b/>
        <sz val="12"/>
        <color theme="1"/>
        <rFont val="Calibri"/>
        <family val="2"/>
        <scheme val="minor"/>
      </rPr>
      <t xml:space="preserve">.
Autopopulated from Tabs A &amp; C. 
Shows completion level of components at CONST.  </t>
    </r>
  </si>
  <si>
    <r>
      <t xml:space="preserve">Print and use this checklist at </t>
    </r>
    <r>
      <rPr>
        <b/>
        <u/>
        <sz val="12"/>
        <color theme="0"/>
        <rFont val="Calibri"/>
        <family val="2"/>
        <scheme val="minor"/>
      </rPr>
      <t>Post Const. Submittals</t>
    </r>
    <r>
      <rPr>
        <b/>
        <sz val="12"/>
        <color theme="0"/>
        <rFont val="Calibri"/>
        <family val="2"/>
        <scheme val="minor"/>
      </rPr>
      <t>.
Autopopulated from Tabs A &amp; C. 
Shows completion level of components at POST CONST.</t>
    </r>
  </si>
  <si>
    <r>
      <t xml:space="preserve">F&amp;S + </t>
    </r>
    <r>
      <rPr>
        <b/>
        <sz val="11"/>
        <color rgb="FF0070C0"/>
        <rFont val="Calibri"/>
        <family val="2"/>
        <scheme val="minor"/>
      </rPr>
      <t>PSC</t>
    </r>
    <r>
      <rPr>
        <b/>
        <sz val="11"/>
        <color theme="4" tint="-0.499984740745262"/>
        <rFont val="Calibri"/>
        <family val="2"/>
        <scheme val="minor"/>
      </rPr>
      <t xml:space="preserve">
EDIT  TAB</t>
    </r>
  </si>
  <si>
    <r>
      <rPr>
        <b/>
        <u/>
        <sz val="13"/>
        <color theme="0"/>
        <rFont val="Calibri"/>
        <family val="2"/>
        <scheme val="minor"/>
      </rPr>
      <t>TAB 00</t>
    </r>
    <r>
      <rPr>
        <b/>
        <sz val="11"/>
        <color theme="0"/>
        <rFont val="Calibri"/>
        <family val="2"/>
        <scheme val="minor"/>
      </rPr>
      <t xml:space="preserve">
</t>
    </r>
    <r>
      <rPr>
        <b/>
        <sz val="12"/>
        <color theme="0"/>
        <rFont val="Calibri"/>
        <family val="2"/>
        <scheme val="minor"/>
      </rPr>
      <t xml:space="preserve">Concept. 
</t>
    </r>
  </si>
  <si>
    <r>
      <rPr>
        <b/>
        <u/>
        <sz val="13"/>
        <color theme="1"/>
        <rFont val="Calibri"/>
        <family val="2"/>
        <scheme val="minor"/>
      </rPr>
      <t>TAB 01</t>
    </r>
    <r>
      <rPr>
        <b/>
        <sz val="11"/>
        <color theme="1"/>
        <rFont val="Calibri"/>
        <family val="2"/>
        <scheme val="minor"/>
      </rPr>
      <t xml:space="preserve">
</t>
    </r>
    <r>
      <rPr>
        <b/>
        <sz val="12"/>
        <color theme="1"/>
        <rFont val="Calibri"/>
        <family val="2"/>
        <scheme val="minor"/>
      </rPr>
      <t>SD</t>
    </r>
  </si>
  <si>
    <r>
      <rPr>
        <b/>
        <u/>
        <sz val="13"/>
        <color theme="1"/>
        <rFont val="Calibri"/>
        <family val="2"/>
        <scheme val="minor"/>
      </rPr>
      <t>TAB 02</t>
    </r>
    <r>
      <rPr>
        <b/>
        <sz val="11"/>
        <color theme="1"/>
        <rFont val="Calibri"/>
        <family val="2"/>
        <scheme val="minor"/>
      </rPr>
      <t xml:space="preserve">
</t>
    </r>
    <r>
      <rPr>
        <b/>
        <sz val="12"/>
        <color theme="1"/>
        <rFont val="Calibri"/>
        <family val="2"/>
        <scheme val="minor"/>
      </rPr>
      <t>DD</t>
    </r>
  </si>
  <si>
    <r>
      <rPr>
        <b/>
        <u/>
        <sz val="13"/>
        <color theme="1"/>
        <rFont val="Calibri"/>
        <family val="2"/>
        <scheme val="minor"/>
      </rPr>
      <t>TAB 03</t>
    </r>
    <r>
      <rPr>
        <b/>
        <sz val="11"/>
        <color theme="1"/>
        <rFont val="Calibri"/>
        <family val="2"/>
        <scheme val="minor"/>
      </rPr>
      <t xml:space="preserve">
</t>
    </r>
    <r>
      <rPr>
        <b/>
        <sz val="12"/>
        <color theme="1"/>
        <rFont val="Calibri"/>
        <family val="2"/>
        <scheme val="minor"/>
      </rPr>
      <t>50% CD</t>
    </r>
  </si>
  <si>
    <r>
      <rPr>
        <b/>
        <u/>
        <sz val="13"/>
        <color theme="0"/>
        <rFont val="Calibri"/>
        <family val="2"/>
        <scheme val="minor"/>
      </rPr>
      <t>TAB 04</t>
    </r>
    <r>
      <rPr>
        <b/>
        <sz val="12"/>
        <color theme="0"/>
        <rFont val="Calibri"/>
        <family val="2"/>
        <scheme val="minor"/>
      </rPr>
      <t xml:space="preserve">
95% CD</t>
    </r>
  </si>
  <si>
    <r>
      <rPr>
        <b/>
        <u/>
        <sz val="13"/>
        <color theme="1"/>
        <rFont val="Calibri"/>
        <family val="2"/>
        <scheme val="minor"/>
      </rPr>
      <t xml:space="preserve">TAB 05
</t>
    </r>
    <r>
      <rPr>
        <b/>
        <sz val="12"/>
        <color theme="1"/>
        <rFont val="Calibri"/>
        <family val="2"/>
        <scheme val="minor"/>
      </rPr>
      <t>BID</t>
    </r>
  </si>
  <si>
    <r>
      <rPr>
        <b/>
        <u/>
        <sz val="13"/>
        <color theme="0"/>
        <rFont val="Calibri"/>
        <family val="2"/>
        <scheme val="minor"/>
      </rPr>
      <t>TAB 08</t>
    </r>
    <r>
      <rPr>
        <b/>
        <sz val="12"/>
        <color theme="0"/>
        <rFont val="Calibri"/>
        <family val="2"/>
        <scheme val="minor"/>
      </rPr>
      <t xml:space="preserve">
POST CONST</t>
    </r>
  </si>
  <si>
    <r>
      <rPr>
        <b/>
        <u/>
        <sz val="13"/>
        <color theme="1"/>
        <rFont val="Calibri"/>
        <family val="2"/>
        <scheme val="minor"/>
      </rPr>
      <t>TAB 06</t>
    </r>
    <r>
      <rPr>
        <b/>
        <sz val="12"/>
        <color theme="1"/>
        <rFont val="Calibri"/>
        <family val="2"/>
        <scheme val="minor"/>
      </rPr>
      <t xml:space="preserve">
CONST</t>
    </r>
  </si>
  <si>
    <t xml:space="preserve">* Enter Last Edit Date, Entity, Editor Name
* Applicability of Deliverables &amp; Components / phase
* Compares when deliverables are used per phase
</t>
  </si>
  <si>
    <t>08 - POST CONST</t>
  </si>
  <si>
    <t>06 - CONST</t>
  </si>
  <si>
    <t>05 - Bid</t>
  </si>
  <si>
    <t>04 - 95% CD</t>
  </si>
  <si>
    <t>03 - 50% CD</t>
  </si>
  <si>
    <t>02 - DD</t>
  </si>
  <si>
    <t>01 - SD</t>
  </si>
  <si>
    <t xml:space="preserve">00 - Concept. </t>
  </si>
  <si>
    <r>
      <rPr>
        <b/>
        <u/>
        <sz val="12"/>
        <color theme="1"/>
        <rFont val="Calibri"/>
        <family val="2"/>
        <scheme val="minor"/>
      </rPr>
      <t xml:space="preserve">INPUT TAB FOR UIUC &amp; PSC </t>
    </r>
    <r>
      <rPr>
        <i/>
        <sz val="11"/>
        <color theme="1"/>
        <rFont val="Calibri"/>
        <family val="2"/>
        <scheme val="minor"/>
      </rPr>
      <t xml:space="preserve">
After basic project information is completed in </t>
    </r>
    <r>
      <rPr>
        <b/>
        <i/>
        <sz val="11"/>
        <color theme="1"/>
        <rFont val="Calibri"/>
        <family val="2"/>
        <scheme val="minor"/>
      </rPr>
      <t>tab [A -Info_Phases_Recip.]</t>
    </r>
    <r>
      <rPr>
        <i/>
        <sz val="11"/>
        <color theme="1"/>
        <rFont val="Calibri"/>
        <family val="2"/>
        <scheme val="minor"/>
      </rPr>
      <t xml:space="preserve">,  choose when to turn on/off deliverables and turn on/off deliverable components and subset items for design &amp; construction phases </t>
    </r>
    <r>
      <rPr>
        <b/>
        <i/>
        <sz val="11"/>
        <color theme="1"/>
        <rFont val="Calibri"/>
        <family val="2"/>
        <scheme val="minor"/>
      </rPr>
      <t>[TABs 00 – 08]</t>
    </r>
    <r>
      <rPr>
        <i/>
        <sz val="11"/>
        <color theme="1"/>
        <rFont val="Calibri"/>
        <family val="2"/>
        <scheme val="minor"/>
      </rPr>
      <t xml:space="preserve">.  All design and construction phases are listed side by side to see when each item is applicable.  </t>
    </r>
    <r>
      <rPr>
        <b/>
        <i/>
        <sz val="11"/>
        <color rgb="FFC00000"/>
        <rFont val="Calibri"/>
        <family val="2"/>
        <scheme val="minor"/>
      </rPr>
      <t xml:space="preserve">Inputs in this sheet will echo on the individual tabs for each phase.
</t>
    </r>
    <r>
      <rPr>
        <i/>
        <sz val="11"/>
        <color theme="1"/>
        <rFont val="Calibri"/>
        <family val="2"/>
        <scheme val="minor"/>
      </rPr>
      <t xml:space="preserve">
</t>
    </r>
    <r>
      <rPr>
        <b/>
        <i/>
        <sz val="11"/>
        <rFont val="Calibri"/>
        <family val="2"/>
        <scheme val="minor"/>
      </rPr>
      <t xml:space="preserve">Note </t>
    </r>
    <r>
      <rPr>
        <i/>
        <sz val="11"/>
        <rFont val="Calibri"/>
        <family val="2"/>
        <scheme val="minor"/>
      </rPr>
      <t>– The completion level of items is to the right of the printable area &amp; echoed on the individual tabs for each design &amp; construction phase.</t>
    </r>
    <r>
      <rPr>
        <i/>
        <sz val="11"/>
        <color theme="1"/>
        <rFont val="Calibri"/>
        <family val="2"/>
        <scheme val="minor"/>
      </rPr>
      <t xml:space="preserve">
</t>
    </r>
  </si>
  <si>
    <t>Print and use transmittal aid prior to each submittal.
Autopopulated by Tabs A, B, and C.</t>
  </si>
  <si>
    <r>
      <rPr>
        <b/>
        <u/>
        <sz val="11"/>
        <color theme="0"/>
        <rFont val="Calibri"/>
        <family val="2"/>
        <scheme val="minor"/>
      </rPr>
      <t xml:space="preserve">Print and use this checklist at any POST CONST Submittals. </t>
    </r>
    <r>
      <rPr>
        <i/>
        <sz val="11"/>
        <color theme="0"/>
        <rFont val="Calibri"/>
        <family val="2"/>
        <scheme val="minor"/>
      </rPr>
      <t xml:space="preserve"> 
Represents overall project information and </t>
    </r>
    <r>
      <rPr>
        <i/>
        <u/>
        <sz val="11"/>
        <color theme="0"/>
        <rFont val="Calibri"/>
        <family val="2"/>
        <scheme val="minor"/>
      </rPr>
      <t>Post Const</t>
    </r>
    <r>
      <rPr>
        <i/>
        <sz val="11"/>
        <color theme="0"/>
        <rFont val="Calibri"/>
        <family val="2"/>
        <scheme val="minor"/>
      </rPr>
      <t xml:space="preserve"> phase applicability from </t>
    </r>
    <r>
      <rPr>
        <b/>
        <i/>
        <sz val="11"/>
        <color theme="0"/>
        <rFont val="Calibri"/>
        <family val="2"/>
        <scheme val="minor"/>
      </rPr>
      <t>TAB A</t>
    </r>
    <r>
      <rPr>
        <i/>
        <sz val="11"/>
        <color theme="0"/>
        <rFont val="Calibri"/>
        <family val="2"/>
        <scheme val="minor"/>
      </rPr>
      <t xml:space="preserve">.  Echoes applicabilities of Deliverables and Components chosen in </t>
    </r>
    <r>
      <rPr>
        <b/>
        <i/>
        <sz val="11"/>
        <color theme="0"/>
        <rFont val="Calibri"/>
        <family val="2"/>
        <scheme val="minor"/>
      </rPr>
      <t>TAB C</t>
    </r>
    <r>
      <rPr>
        <i/>
        <sz val="11"/>
        <color theme="0"/>
        <rFont val="Calibri"/>
        <family val="2"/>
        <scheme val="minor"/>
      </rPr>
      <t xml:space="preserve">.  Echoes the level of completion of components.  </t>
    </r>
  </si>
  <si>
    <r>
      <rPr>
        <b/>
        <u/>
        <sz val="11"/>
        <rFont val="Calibri"/>
        <family val="2"/>
        <scheme val="minor"/>
      </rPr>
      <t xml:space="preserve">Print and use this checklist at any CONST Submittals. </t>
    </r>
    <r>
      <rPr>
        <i/>
        <sz val="11"/>
        <rFont val="Calibri"/>
        <family val="2"/>
        <scheme val="minor"/>
      </rPr>
      <t xml:space="preserve"> 
Represents overall project information and </t>
    </r>
    <r>
      <rPr>
        <i/>
        <u/>
        <sz val="11"/>
        <rFont val="Calibri"/>
        <family val="2"/>
        <scheme val="minor"/>
      </rPr>
      <t>CONST</t>
    </r>
    <r>
      <rPr>
        <i/>
        <sz val="11"/>
        <rFont val="Calibri"/>
        <family val="2"/>
        <scheme val="minor"/>
      </rPr>
      <t xml:space="preserve"> phase applicability from </t>
    </r>
    <r>
      <rPr>
        <b/>
        <i/>
        <sz val="11"/>
        <rFont val="Calibri"/>
        <family val="2"/>
        <scheme val="minor"/>
      </rPr>
      <t>TAB A</t>
    </r>
    <r>
      <rPr>
        <i/>
        <sz val="11"/>
        <rFont val="Calibri"/>
        <family val="2"/>
        <scheme val="minor"/>
      </rPr>
      <t xml:space="preserve">.  Echoes applicabilities of Deliverables and Components chosen in </t>
    </r>
    <r>
      <rPr>
        <b/>
        <i/>
        <sz val="11"/>
        <rFont val="Calibri"/>
        <family val="2"/>
        <scheme val="minor"/>
      </rPr>
      <t>TAB C</t>
    </r>
    <r>
      <rPr>
        <i/>
        <sz val="11"/>
        <rFont val="Calibri"/>
        <family val="2"/>
        <scheme val="minor"/>
      </rPr>
      <t xml:space="preserve">.  Echoes the level of completion of components.  </t>
    </r>
  </si>
  <si>
    <r>
      <rPr>
        <b/>
        <u/>
        <sz val="11"/>
        <rFont val="Calibri"/>
        <family val="2"/>
        <scheme val="minor"/>
      </rPr>
      <t xml:space="preserve">Print and use this checklist at any BID Submittals. </t>
    </r>
    <r>
      <rPr>
        <i/>
        <sz val="11"/>
        <rFont val="Calibri"/>
        <family val="2"/>
        <scheme val="minor"/>
      </rPr>
      <t xml:space="preserve"> 
Represents overall project information and </t>
    </r>
    <r>
      <rPr>
        <i/>
        <u/>
        <sz val="11"/>
        <rFont val="Calibri"/>
        <family val="2"/>
        <scheme val="minor"/>
      </rPr>
      <t>BID</t>
    </r>
    <r>
      <rPr>
        <i/>
        <sz val="11"/>
        <rFont val="Calibri"/>
        <family val="2"/>
        <scheme val="minor"/>
      </rPr>
      <t xml:space="preserve"> phase applicability from </t>
    </r>
    <r>
      <rPr>
        <b/>
        <i/>
        <sz val="11"/>
        <rFont val="Calibri"/>
        <family val="2"/>
        <scheme val="minor"/>
      </rPr>
      <t>TAB A</t>
    </r>
    <r>
      <rPr>
        <i/>
        <sz val="11"/>
        <rFont val="Calibri"/>
        <family val="2"/>
        <scheme val="minor"/>
      </rPr>
      <t xml:space="preserve">.  Echoes applicabilities of Deliverables and Components chosen in </t>
    </r>
    <r>
      <rPr>
        <b/>
        <i/>
        <sz val="11"/>
        <rFont val="Calibri"/>
        <family val="2"/>
        <scheme val="minor"/>
      </rPr>
      <t>TAB C</t>
    </r>
    <r>
      <rPr>
        <i/>
        <sz val="11"/>
        <rFont val="Calibri"/>
        <family val="2"/>
        <scheme val="minor"/>
      </rPr>
      <t xml:space="preserve">.  Echoes the level of completion of components.  </t>
    </r>
  </si>
  <si>
    <r>
      <rPr>
        <b/>
        <u/>
        <sz val="11"/>
        <color theme="0"/>
        <rFont val="Calibri"/>
        <family val="2"/>
        <scheme val="minor"/>
      </rPr>
      <t xml:space="preserve">Print and use this checklist at any 95% CD Submittals. </t>
    </r>
    <r>
      <rPr>
        <i/>
        <sz val="11"/>
        <color theme="0"/>
        <rFont val="Calibri"/>
        <family val="2"/>
        <scheme val="minor"/>
      </rPr>
      <t xml:space="preserve"> 
Represents overall project information and </t>
    </r>
    <r>
      <rPr>
        <i/>
        <u/>
        <sz val="11"/>
        <color theme="0"/>
        <rFont val="Calibri"/>
        <family val="2"/>
        <scheme val="minor"/>
      </rPr>
      <t>95% CD</t>
    </r>
    <r>
      <rPr>
        <i/>
        <sz val="11"/>
        <color theme="0"/>
        <rFont val="Calibri"/>
        <family val="2"/>
        <scheme val="minor"/>
      </rPr>
      <t xml:space="preserve"> phase applicability from </t>
    </r>
    <r>
      <rPr>
        <b/>
        <i/>
        <sz val="11"/>
        <color theme="0"/>
        <rFont val="Calibri"/>
        <family val="2"/>
        <scheme val="minor"/>
      </rPr>
      <t>TAB A</t>
    </r>
    <r>
      <rPr>
        <i/>
        <sz val="11"/>
        <color theme="0"/>
        <rFont val="Calibri"/>
        <family val="2"/>
        <scheme val="minor"/>
      </rPr>
      <t xml:space="preserve">.  Echoes applicabilities of Deliverables and Components chosen in </t>
    </r>
    <r>
      <rPr>
        <b/>
        <i/>
        <sz val="11"/>
        <color theme="0"/>
        <rFont val="Calibri"/>
        <family val="2"/>
        <scheme val="minor"/>
      </rPr>
      <t>TAB C</t>
    </r>
    <r>
      <rPr>
        <i/>
        <sz val="11"/>
        <color theme="0"/>
        <rFont val="Calibri"/>
        <family val="2"/>
        <scheme val="minor"/>
      </rPr>
      <t xml:space="preserve">.  Echoes the level of completion of components.  </t>
    </r>
  </si>
  <si>
    <r>
      <rPr>
        <b/>
        <u/>
        <sz val="11"/>
        <rFont val="Calibri"/>
        <family val="2"/>
        <scheme val="minor"/>
      </rPr>
      <t xml:space="preserve">Print and use this checklist at any 50% CD Submittals. </t>
    </r>
    <r>
      <rPr>
        <i/>
        <sz val="11"/>
        <rFont val="Calibri"/>
        <family val="2"/>
        <scheme val="minor"/>
      </rPr>
      <t xml:space="preserve"> 
Represents overall project information and </t>
    </r>
    <r>
      <rPr>
        <i/>
        <u/>
        <sz val="11"/>
        <rFont val="Calibri"/>
        <family val="2"/>
        <scheme val="minor"/>
      </rPr>
      <t>50% CD</t>
    </r>
    <r>
      <rPr>
        <i/>
        <sz val="11"/>
        <rFont val="Calibri"/>
        <family val="2"/>
        <scheme val="minor"/>
      </rPr>
      <t xml:space="preserve"> phase applicability from </t>
    </r>
    <r>
      <rPr>
        <b/>
        <i/>
        <sz val="11"/>
        <rFont val="Calibri"/>
        <family val="2"/>
        <scheme val="minor"/>
      </rPr>
      <t>TAB A</t>
    </r>
    <r>
      <rPr>
        <i/>
        <sz val="11"/>
        <rFont val="Calibri"/>
        <family val="2"/>
        <scheme val="minor"/>
      </rPr>
      <t xml:space="preserve">.  Echoes applicabilities of Deliverables and Components chosen in </t>
    </r>
    <r>
      <rPr>
        <b/>
        <i/>
        <sz val="11"/>
        <rFont val="Calibri"/>
        <family val="2"/>
        <scheme val="minor"/>
      </rPr>
      <t>TAB C</t>
    </r>
    <r>
      <rPr>
        <i/>
        <sz val="11"/>
        <rFont val="Calibri"/>
        <family val="2"/>
        <scheme val="minor"/>
      </rPr>
      <t xml:space="preserve">.  Echoes the level of completion of components.  </t>
    </r>
  </si>
  <si>
    <r>
      <rPr>
        <b/>
        <u/>
        <sz val="11"/>
        <rFont val="Calibri"/>
        <family val="2"/>
        <scheme val="minor"/>
      </rPr>
      <t xml:space="preserve">Print and use this checklist at any DD Submittals. </t>
    </r>
    <r>
      <rPr>
        <i/>
        <sz val="11"/>
        <rFont val="Calibri"/>
        <family val="2"/>
        <scheme val="minor"/>
      </rPr>
      <t xml:space="preserve"> 
Represents overall project information and </t>
    </r>
    <r>
      <rPr>
        <i/>
        <u/>
        <sz val="11"/>
        <rFont val="Calibri"/>
        <family val="2"/>
        <scheme val="minor"/>
      </rPr>
      <t>DD</t>
    </r>
    <r>
      <rPr>
        <i/>
        <sz val="11"/>
        <rFont val="Calibri"/>
        <family val="2"/>
        <scheme val="minor"/>
      </rPr>
      <t xml:space="preserve"> phase applicability from </t>
    </r>
    <r>
      <rPr>
        <b/>
        <i/>
        <sz val="11"/>
        <rFont val="Calibri"/>
        <family val="2"/>
        <scheme val="minor"/>
      </rPr>
      <t>TAB A</t>
    </r>
    <r>
      <rPr>
        <i/>
        <sz val="11"/>
        <rFont val="Calibri"/>
        <family val="2"/>
        <scheme val="minor"/>
      </rPr>
      <t xml:space="preserve">.  Echoes applicabilities of Deliverables and Components chosen in </t>
    </r>
    <r>
      <rPr>
        <b/>
        <i/>
        <sz val="11"/>
        <rFont val="Calibri"/>
        <family val="2"/>
        <scheme val="minor"/>
      </rPr>
      <t>TAB C</t>
    </r>
    <r>
      <rPr>
        <i/>
        <sz val="11"/>
        <rFont val="Calibri"/>
        <family val="2"/>
        <scheme val="minor"/>
      </rPr>
      <t xml:space="preserve">.  Echoes the level of completion of components.  </t>
    </r>
  </si>
  <si>
    <r>
      <rPr>
        <b/>
        <u/>
        <sz val="11"/>
        <rFont val="Calibri"/>
        <family val="2"/>
        <scheme val="minor"/>
      </rPr>
      <t xml:space="preserve">Print and use this checklist at any SD Submittals. </t>
    </r>
    <r>
      <rPr>
        <i/>
        <sz val="11"/>
        <rFont val="Calibri"/>
        <family val="2"/>
        <scheme val="minor"/>
      </rPr>
      <t xml:space="preserve"> 
Represents overall project information and </t>
    </r>
    <r>
      <rPr>
        <i/>
        <u/>
        <sz val="11"/>
        <rFont val="Calibri"/>
        <family val="2"/>
        <scheme val="minor"/>
      </rPr>
      <t>SD</t>
    </r>
    <r>
      <rPr>
        <i/>
        <sz val="11"/>
        <rFont val="Calibri"/>
        <family val="2"/>
        <scheme val="minor"/>
      </rPr>
      <t xml:space="preserve"> phase applicability from </t>
    </r>
    <r>
      <rPr>
        <b/>
        <i/>
        <sz val="11"/>
        <rFont val="Calibri"/>
        <family val="2"/>
        <scheme val="minor"/>
      </rPr>
      <t>TAB A</t>
    </r>
    <r>
      <rPr>
        <i/>
        <sz val="11"/>
        <rFont val="Calibri"/>
        <family val="2"/>
        <scheme val="minor"/>
      </rPr>
      <t xml:space="preserve">.  Echoes applicabilities of Deliverables and Components chosen in </t>
    </r>
    <r>
      <rPr>
        <b/>
        <i/>
        <sz val="11"/>
        <rFont val="Calibri"/>
        <family val="2"/>
        <scheme val="minor"/>
      </rPr>
      <t>TAB C</t>
    </r>
    <r>
      <rPr>
        <i/>
        <sz val="11"/>
        <rFont val="Calibri"/>
        <family val="2"/>
        <scheme val="minor"/>
      </rPr>
      <t xml:space="preserve">.  Echoes the level of completion of components.  </t>
    </r>
  </si>
  <si>
    <t>00</t>
  </si>
  <si>
    <t>00_apply</t>
  </si>
  <si>
    <r>
      <rPr>
        <b/>
        <u/>
        <sz val="13"/>
        <color theme="1"/>
        <rFont val="Calibri"/>
        <family val="2"/>
        <scheme val="minor"/>
      </rPr>
      <t>TAB A</t>
    </r>
    <r>
      <rPr>
        <b/>
        <sz val="11"/>
        <color theme="1"/>
        <rFont val="Calibri"/>
        <family val="2"/>
        <scheme val="minor"/>
      </rPr>
      <t xml:space="preserve">
</t>
    </r>
    <r>
      <rPr>
        <b/>
        <sz val="12"/>
        <color theme="1"/>
        <rFont val="Calibri"/>
        <family val="2"/>
        <scheme val="minor"/>
      </rPr>
      <t>Info, Phases,
Recip.</t>
    </r>
  </si>
  <si>
    <r>
      <rPr>
        <b/>
        <u/>
        <sz val="12"/>
        <color theme="1"/>
        <rFont val="Calibri"/>
        <family val="2"/>
        <scheme val="minor"/>
      </rPr>
      <t>Customizeable Transmittal Guide for PSC to Print at each Submittal Phase</t>
    </r>
    <r>
      <rPr>
        <i/>
        <sz val="11"/>
        <color theme="1"/>
        <rFont val="Calibri"/>
        <family val="2"/>
        <scheme val="minor"/>
      </rPr>
      <t xml:space="preserve">
To be used in conjunction with the </t>
    </r>
    <r>
      <rPr>
        <b/>
        <i/>
        <sz val="12"/>
        <color theme="1"/>
        <rFont val="Calibri"/>
        <family val="2"/>
        <scheme val="minor"/>
      </rPr>
      <t>P</t>
    </r>
    <r>
      <rPr>
        <i/>
        <sz val="11"/>
        <color theme="1"/>
        <rFont val="Calibri"/>
        <family val="2"/>
        <scheme val="minor"/>
      </rPr>
      <t xml:space="preserve">roject </t>
    </r>
    <r>
      <rPr>
        <b/>
        <i/>
        <sz val="12"/>
        <color theme="1"/>
        <rFont val="Calibri"/>
        <family val="2"/>
        <scheme val="minor"/>
      </rPr>
      <t>S</t>
    </r>
    <r>
      <rPr>
        <i/>
        <sz val="11"/>
        <color theme="1"/>
        <rFont val="Calibri"/>
        <family val="2"/>
        <scheme val="minor"/>
      </rPr>
      <t xml:space="preserve">ubmittal </t>
    </r>
    <r>
      <rPr>
        <b/>
        <i/>
        <sz val="12"/>
        <color theme="1"/>
        <rFont val="Calibri"/>
        <family val="2"/>
        <scheme val="minor"/>
      </rPr>
      <t>R</t>
    </r>
    <r>
      <rPr>
        <i/>
        <sz val="11"/>
        <color theme="1"/>
        <rFont val="Calibri"/>
        <family val="2"/>
        <scheme val="minor"/>
      </rPr>
      <t xml:space="preserve">equirements and </t>
    </r>
    <r>
      <rPr>
        <b/>
        <i/>
        <sz val="11"/>
        <color theme="1"/>
        <rFont val="Calibri"/>
        <family val="2"/>
        <scheme val="minor"/>
      </rPr>
      <t>Tab A</t>
    </r>
    <r>
      <rPr>
        <i/>
        <sz val="11"/>
        <color theme="1"/>
        <rFont val="Calibri"/>
        <family val="2"/>
        <scheme val="minor"/>
      </rPr>
      <t>.  Use at each submittal to provide transmittal guidance with a snapshot echo for the printed &amp; electronic delivery requirements of applicable deliverables for the specific phase.</t>
    </r>
  </si>
  <si>
    <r>
      <rPr>
        <b/>
        <sz val="12"/>
        <color theme="4" tint="-0.499984740745262"/>
        <rFont val="Calibri"/>
        <family val="2"/>
        <scheme val="minor"/>
      </rPr>
      <t>PM/ Planner only should hide non-applicable rows.</t>
    </r>
    <r>
      <rPr>
        <b/>
        <u/>
        <sz val="12"/>
        <color theme="4" tint="-0.499984740745262"/>
        <rFont val="Calibri"/>
        <family val="2"/>
        <scheme val="minor"/>
      </rPr>
      <t xml:space="preserve">  Choose applicability from Drop Downs.</t>
    </r>
    <r>
      <rPr>
        <b/>
        <u/>
        <sz val="12"/>
        <color rgb="FFC00000"/>
        <rFont val="Calibri"/>
        <family val="2"/>
        <scheme val="minor"/>
      </rPr>
      <t xml:space="preserve">
DO NOT COMPLETE TABS 00 - 08.  </t>
    </r>
    <r>
      <rPr>
        <b/>
        <sz val="12"/>
        <color rgb="FFC00000"/>
        <rFont val="Calibri"/>
        <family val="2"/>
        <scheme val="minor"/>
      </rPr>
      <t>DESIGN &amp; CONSTRUCTION DO NOT APPLY.</t>
    </r>
  </si>
  <si>
    <t>QA Drawing &amp; PM sets at Bid &amp; Const. are modified.</t>
  </si>
  <si>
    <r>
      <t xml:space="preserve">Basic Services? 
</t>
    </r>
    <r>
      <rPr>
        <i/>
        <sz val="10"/>
        <color theme="0"/>
        <rFont val="Calibri"/>
        <family val="2"/>
        <scheme val="minor"/>
      </rPr>
      <t>(N = Supp. or Reimb. Exp.)</t>
    </r>
  </si>
  <si>
    <t>ECHO - N across all phases</t>
  </si>
  <si>
    <t>&lt;---  DO NOT DELETE ROWS -----&gt;</t>
  </si>
  <si>
    <t>Project Type</t>
  </si>
  <si>
    <t>X</t>
  </si>
  <si>
    <t>Added unlocked cells for when sheet is 'protected'</t>
  </si>
  <si>
    <t>BOT approval?</t>
  </si>
  <si>
    <t>Marked FF&amp;E, A/V, Telecom items throughout as Supplemental, or NOT BASIC SERVICES</t>
  </si>
  <si>
    <t>Moved the Basic Services Column to the right as to not confuse with the phases</t>
  </si>
  <si>
    <t>Supplemental - US Green Buildings Council Building Certification</t>
  </si>
  <si>
    <t xml:space="preserve">For Concepualizations, Feas. Studies, and Memo's : added echo of report in ITEM 4a </t>
  </si>
  <si>
    <t>Added flexible items to 25., 32., &amp; 33.</t>
  </si>
  <si>
    <t>PRINT THIS SECTION</t>
  </si>
  <si>
    <t xml:space="preserve">Keep these cells visible at "CONSTRUCTION" / Keep these cells visible at "CONSTRUCTION" / Keep these cells visible at "CONSTRUCTION" </t>
  </si>
  <si>
    <t>Keep these cells visible at "CLOSE OUT"    /      Keep these cells visible at "CLOSE OUT"</t>
  </si>
  <si>
    <r>
      <t xml:space="preserve">Item Name
</t>
    </r>
    <r>
      <rPr>
        <i/>
        <sz val="10"/>
        <color theme="0"/>
        <rFont val="Calibri"/>
        <family val="2"/>
        <scheme val="minor"/>
      </rPr>
      <t>(Item's with only one * - Updates beyond first listed phase)</t>
    </r>
  </si>
  <si>
    <r>
      <t xml:space="preserve">Item Name
</t>
    </r>
    <r>
      <rPr>
        <i/>
        <sz val="10"/>
        <rFont val="Calibri"/>
        <family val="2"/>
        <scheme val="minor"/>
      </rPr>
      <t>(Item's with only one * - Updates beyond first listed phase)</t>
    </r>
  </si>
  <si>
    <r>
      <t xml:space="preserve">Item Name
</t>
    </r>
    <r>
      <rPr>
        <i/>
        <sz val="10"/>
        <color theme="1"/>
        <rFont val="Calibri"/>
        <family val="2"/>
        <scheme val="minor"/>
      </rPr>
      <t>(Item's with only one * - Updates beyond first listed phase)</t>
    </r>
  </si>
  <si>
    <t>CUSTOM ROW - OPTIONAL CLIENT SUBITEM</t>
  </si>
  <si>
    <t>CUSTOM Client Optional Financial Item 1</t>
  </si>
  <si>
    <t>CUSTOM Client Optional Financial Item 2</t>
  </si>
  <si>
    <t>CUSTOM Client Optional Financial Item 3</t>
  </si>
  <si>
    <t>CUSTOM Client Optional Financial Item 4</t>
  </si>
  <si>
    <t>Existing System Performance / Sufficiency</t>
  </si>
  <si>
    <r>
      <t xml:space="preserve">LEED Minimum </t>
    </r>
    <r>
      <rPr>
        <b/>
        <sz val="10.5"/>
        <color theme="4" tint="-0.249977111117893"/>
        <rFont val="Calibri"/>
        <family val="2"/>
        <scheme val="minor"/>
      </rPr>
      <t>Silver or better</t>
    </r>
    <r>
      <rPr>
        <b/>
        <sz val="10.5"/>
        <rFont val="Calibri"/>
        <family val="2"/>
        <scheme val="minor"/>
      </rPr>
      <t xml:space="preserve"> Certification Narrative (Major Remodels or New Construction w/ 10,000 GSF contiguous;  Capital Projects &gt;= $5million;)</t>
    </r>
  </si>
  <si>
    <t xml:space="preserve">References to existing drawings, specifications, and previous studies.  </t>
  </si>
  <si>
    <t>Occupancy calculations between existing and proposed; breaking down the FTE</t>
  </si>
  <si>
    <t xml:space="preserve">(Final) </t>
  </si>
  <si>
    <t>(Record)</t>
  </si>
  <si>
    <r>
      <t xml:space="preserve">Stakeholder Engagement &amp; Results </t>
    </r>
    <r>
      <rPr>
        <i/>
        <sz val="10.5"/>
        <rFont val="Calibri"/>
        <family val="2"/>
        <scheme val="minor"/>
      </rPr>
      <t>(for Master Plans or major programmatic changes)</t>
    </r>
  </si>
  <si>
    <t xml:space="preserve">Appendix with References to select existing drawings, specifications, and previous studies.  </t>
  </si>
  <si>
    <t>Appendix of Equipment and given information from department / client</t>
  </si>
  <si>
    <t>Added consistent appendices for photos, existing plans, specs, etc, and client provided info</t>
  </si>
  <si>
    <t>Written Response to Comments</t>
  </si>
  <si>
    <t>(Preliminary with Options)</t>
  </si>
  <si>
    <t xml:space="preserve"> - Quantity Takeoff in CSI Format (Subst. Complete w/ Bid Alts.)</t>
  </si>
  <si>
    <t xml:space="preserve"> - Quantity Takeoff in CSI Format (Complete with Bid Alts.)</t>
  </si>
  <si>
    <t xml:space="preserve"> - Quantity Takeoff in CSI Format (Updated including Bid Alts.)</t>
  </si>
  <si>
    <t>EPA &amp; State Permits (including but not limited to SWPPP)</t>
  </si>
  <si>
    <t>Building Automation Systems- General - **(verify existing system for renovations)</t>
  </si>
  <si>
    <t>Building Automation Systems - Systems Network Architecture</t>
  </si>
  <si>
    <t>Building Automation Systems - HVAC Temperature Controls System(s)</t>
  </si>
  <si>
    <t>Building Automation Systems - CUSTOM</t>
  </si>
  <si>
    <t>CUSTOM - Building Automation Systems</t>
  </si>
  <si>
    <t xml:space="preserve">Building Automation Systems Diagrams, Points List (Diagrammatical or Spreadsheet), Device Schedule, and Sequences of Operation </t>
  </si>
  <si>
    <t xml:space="preserve">Temperature Controls Building Automation Systems - Sequence of Operation </t>
  </si>
  <si>
    <t xml:space="preserve">Building Automation Systems Details </t>
  </si>
  <si>
    <t>Consistency in terms - Building Automation Systems</t>
  </si>
  <si>
    <t>Including Large Scale Critical Items (Approx. 50% Complete)</t>
  </si>
  <si>
    <t>Including Large Scale Critical Items (Substantially Complete)</t>
  </si>
  <si>
    <t>Including Large Scale Critical Items (Complete)</t>
  </si>
  <si>
    <t>Breaker Fuse Coordination Analysis based on equipment selected</t>
  </si>
  <si>
    <t>Post Construction Report</t>
  </si>
  <si>
    <t>Item 42 is now "Post Construction Report"</t>
  </si>
  <si>
    <t>Combined SD / DD</t>
  </si>
  <si>
    <t>Long Version of Phase Name</t>
  </si>
  <si>
    <t>Short Phase Name</t>
  </si>
  <si>
    <t>Shortened long versions of combined phase names</t>
  </si>
  <si>
    <t>Reference combined phases in phase titles</t>
  </si>
  <si>
    <t>Updated formulas so errors.</t>
  </si>
  <si>
    <t>* Changes at Feasibility</t>
  </si>
  <si>
    <t>Added note about Cost Estimate requirements pending amount of changes from 95%CD.</t>
  </si>
  <si>
    <r>
      <t xml:space="preserve">Technology Services - Service/Project Management Office (formerly CITES CCME) :    </t>
    </r>
    <r>
      <rPr>
        <b/>
        <sz val="10"/>
        <color theme="1"/>
        <rFont val="Calibri"/>
        <family val="2"/>
        <scheme val="minor"/>
      </rPr>
      <t xml:space="preserve">    </t>
    </r>
    <r>
      <rPr>
        <sz val="10"/>
        <color theme="1"/>
        <rFont val="Calibri"/>
        <family val="2"/>
        <scheme val="minor"/>
      </rPr>
      <t xml:space="preserve">                          </t>
    </r>
  </si>
  <si>
    <t>Removed Jeff Martin's name</t>
  </si>
  <si>
    <t>IHPA has been moved to Design Development</t>
  </si>
  <si>
    <t xml:space="preserve">Design &amp; Construction Submittal Receiving  </t>
  </si>
  <si>
    <t>Removed the phrase "Quality Assurance".</t>
  </si>
  <si>
    <t>Updated who receives Cost Estimate</t>
  </si>
  <si>
    <t>Updated reference rows for who to look up in formulas above.</t>
  </si>
  <si>
    <t>Conceptualization only</t>
  </si>
  <si>
    <t xml:space="preserve">Updated tab name to "B-Studes or Concept Only" to serve for Feasibility Studies and projects were a Conceptualization only </t>
  </si>
  <si>
    <t>is initally funded.</t>
  </si>
  <si>
    <t xml:space="preserve">Updated tab so it is not used on projects were a Conceptualization only </t>
  </si>
  <si>
    <t>Made a "Conceptualization Only" (w/ no Design or Construction)</t>
  </si>
  <si>
    <t>for projects where conceptualization only is initially funded.</t>
  </si>
  <si>
    <t>Added note for addenda at top</t>
  </si>
  <si>
    <t>LEED Version v4 Prerequisites Narrative</t>
  </si>
  <si>
    <r>
      <t xml:space="preserve">LEED Version </t>
    </r>
    <r>
      <rPr>
        <b/>
        <sz val="10.5"/>
        <color theme="4" tint="-0.249977111117893"/>
        <rFont val="Calibri"/>
        <family val="2"/>
        <scheme val="minor"/>
      </rPr>
      <t xml:space="preserve">(v4) </t>
    </r>
    <r>
      <rPr>
        <b/>
        <sz val="10.5"/>
        <rFont val="Calibri"/>
        <family val="2"/>
        <scheme val="minor"/>
      </rPr>
      <t>Prerequisites Narrative</t>
    </r>
  </si>
  <si>
    <t>Edited transmittal guide to show "N/A" for deliverable items in design &amp; construction if "Feasibility Study" or "Conceptualization Only" apply</t>
  </si>
  <si>
    <t>Construction Phasing</t>
  </si>
  <si>
    <t>Program Needs Assessment / Understanding</t>
  </si>
  <si>
    <t>Applicable Permits / Analysis</t>
  </si>
  <si>
    <t>Overall Design Concept(s) (Preliminary)</t>
  </si>
  <si>
    <t>o   Structural - Demolition(s)</t>
  </si>
  <si>
    <t>o   Plumbing  - General System(s) - **(verify existing system for renovations)</t>
  </si>
  <si>
    <t>o   Fire Suppression System(s) **(verify existing system for renovations)</t>
  </si>
  <si>
    <t>o   Heating - General System(s) **(verify existing system for renovations)</t>
  </si>
  <si>
    <t>o   Ventilation - General System(s)  **(verify existing system for renovations)</t>
  </si>
  <si>
    <t>o   Electrical - General System(s) - **(verify existing system for renovations)</t>
  </si>
  <si>
    <t>o   Building Automation Systems- General - **(verify existing system for renovations)</t>
  </si>
  <si>
    <t>o   Access Controls - General Systems</t>
  </si>
  <si>
    <t xml:space="preserve">o   Telecom - General Systems </t>
  </si>
  <si>
    <t>o   Audio Visual - General Systems</t>
  </si>
  <si>
    <t>o   CUSTOM ROW - OPTIONAL CLIENT ITEM</t>
  </si>
  <si>
    <t>o   Architectural - Space Use</t>
  </si>
  <si>
    <t>o    Site / Civil / Landscape - Storm Water Management for changes in impervious area 
      **(List assumptions for mitigation.  Verify existing system.  Any outlet into field 
      tiles must be verified for size, location, and condition)</t>
  </si>
  <si>
    <t>Site / Civil / Landscape - Waste &amp; Recycling Hauling, Service Access, &amp; Loading Zones</t>
  </si>
  <si>
    <t>Site / Civil / Landscape - Bike Parking, Vehicle Parking,  Driveways, Multimodal Transporation</t>
  </si>
  <si>
    <r>
      <t xml:space="preserve">Conceptual Construction Cost Estimate for Each Alternate 
</t>
    </r>
    <r>
      <rPr>
        <b/>
        <i/>
        <u/>
        <sz val="12"/>
        <rFont val="Calibri"/>
        <family val="2"/>
        <scheme val="minor"/>
      </rPr>
      <t xml:space="preserve">(area; volume; unit costs) </t>
    </r>
  </si>
  <si>
    <t>CUSTOM Client Optional Financial Item 5</t>
  </si>
  <si>
    <t>CUSTOM Client Optional Financial Item 6</t>
  </si>
  <si>
    <t>Added a Civil Item under 04a</t>
  </si>
  <si>
    <t>Edited lookup table for intermediate drafts of memo's, studies, and concepts</t>
  </si>
  <si>
    <t>CUSTOM ROW - OPTIONAL ENERGY ITEM CLIENT ITEM</t>
  </si>
  <si>
    <r>
      <t>Life Cycle Cost Analysis for selected systems</t>
    </r>
    <r>
      <rPr>
        <b/>
        <sz val="10.5"/>
        <color rgb="FFC00000"/>
        <rFont val="Calibri"/>
        <family val="2"/>
        <scheme val="minor"/>
      </rPr>
      <t xml:space="preserve"> </t>
    </r>
    <r>
      <rPr>
        <b/>
        <sz val="10.5"/>
        <color theme="4" tint="-0.249977111117893"/>
        <rFont val="Calibri"/>
        <family val="2"/>
        <scheme val="minor"/>
      </rPr>
      <t>(for projects exceeding 25,000 SF)</t>
    </r>
  </si>
  <si>
    <t>Updated LEED version</t>
  </si>
  <si>
    <t>Planner or PM to insert completeness at each phase</t>
  </si>
  <si>
    <t xml:space="preserve">Campus Master Plan Impact and Options    </t>
  </si>
  <si>
    <t>Report Type 1                /               Report Type 1                /               Report Type 1                /               Report Type 1                /               Report Type 1</t>
  </si>
  <si>
    <t xml:space="preserve">Report Type 1                /               Report Type 1                /               Report Type 1                /               Report Type 1     </t>
  </si>
  <si>
    <t>Reordered items within 04a of tab B</t>
  </si>
  <si>
    <t>Reordered items within 04a</t>
  </si>
  <si>
    <r>
      <rPr>
        <b/>
        <u/>
        <sz val="12"/>
        <color theme="0"/>
        <rFont val="Calibri"/>
        <family val="2"/>
        <scheme val="minor"/>
      </rPr>
      <t xml:space="preserve">INPUT TAB FOR UIUC &amp; PSC </t>
    </r>
    <r>
      <rPr>
        <i/>
        <sz val="11"/>
        <color theme="0"/>
        <rFont val="Calibri"/>
        <family val="2"/>
        <scheme val="minor"/>
      </rPr>
      <t xml:space="preserve">
Select applicability of deliverables and components for a Feasibility Study or Memo/Short Report or Conceptualization Project Only.  Select type of report and other applicable deliverables.  </t>
    </r>
    <r>
      <rPr>
        <b/>
        <i/>
        <u/>
        <sz val="11"/>
        <color theme="0"/>
        <rFont val="Calibri"/>
        <family val="2"/>
        <scheme val="minor"/>
      </rPr>
      <t>Not dependent on TAB C.</t>
    </r>
  </si>
  <si>
    <t>B-Studies or Concept Only</t>
  </si>
  <si>
    <t>A-Info, Phases,
Recip.</t>
  </si>
  <si>
    <r>
      <rPr>
        <b/>
        <u/>
        <sz val="11"/>
        <color theme="0"/>
        <rFont val="Calibri"/>
        <family val="2"/>
        <scheme val="minor"/>
      </rPr>
      <t xml:space="preserve">Print and use this checklist at any Conceptualization Submittals (Concept Submittals as a part of a Design &amp; Const. Project). </t>
    </r>
    <r>
      <rPr>
        <i/>
        <sz val="11"/>
        <color theme="0"/>
        <rFont val="Calibri"/>
        <family val="2"/>
        <scheme val="minor"/>
      </rPr>
      <t xml:space="preserve"> 
Represents overall project information and </t>
    </r>
    <r>
      <rPr>
        <i/>
        <u/>
        <sz val="11"/>
        <color theme="0"/>
        <rFont val="Calibri"/>
        <family val="2"/>
        <scheme val="minor"/>
      </rPr>
      <t>conceptualization</t>
    </r>
    <r>
      <rPr>
        <i/>
        <sz val="11"/>
        <color theme="0"/>
        <rFont val="Calibri"/>
        <family val="2"/>
        <scheme val="minor"/>
      </rPr>
      <t xml:space="preserve"> phase applicability from </t>
    </r>
    <r>
      <rPr>
        <b/>
        <i/>
        <sz val="11"/>
        <color theme="0"/>
        <rFont val="Calibri"/>
        <family val="2"/>
        <scheme val="minor"/>
      </rPr>
      <t>TAB A</t>
    </r>
    <r>
      <rPr>
        <i/>
        <sz val="11"/>
        <color theme="0"/>
        <rFont val="Calibri"/>
        <family val="2"/>
        <scheme val="minor"/>
      </rPr>
      <t xml:space="preserve">.  Echoes applicabilities of Deliverables and Components chosen in </t>
    </r>
    <r>
      <rPr>
        <b/>
        <i/>
        <sz val="11"/>
        <color theme="0"/>
        <rFont val="Calibri"/>
        <family val="2"/>
        <scheme val="minor"/>
      </rPr>
      <t>TAB C</t>
    </r>
    <r>
      <rPr>
        <i/>
        <sz val="11"/>
        <color theme="0"/>
        <rFont val="Calibri"/>
        <family val="2"/>
        <scheme val="minor"/>
      </rPr>
      <t xml:space="preserve">.  Echoes the level of completion of components.  </t>
    </r>
  </si>
  <si>
    <r>
      <t xml:space="preserve">Print and use this checklist at any </t>
    </r>
    <r>
      <rPr>
        <b/>
        <u/>
        <sz val="12"/>
        <color theme="0"/>
        <rFont val="Calibri"/>
        <family val="2"/>
        <scheme val="minor"/>
      </rPr>
      <t>Concept. Submittals 
(as a part of a design &amp; const project).</t>
    </r>
    <r>
      <rPr>
        <b/>
        <sz val="12"/>
        <color theme="0"/>
        <rFont val="Calibri"/>
        <family val="2"/>
        <scheme val="minor"/>
      </rPr>
      <t xml:space="preserve">
Autopopulated from Tabs A &amp; B. 
Shows the completion level of components at Concept.  </t>
    </r>
  </si>
  <si>
    <t>Added guidance in "Design &amp; Const. Sub Rec" to check tab A for #'s and sizes.</t>
  </si>
  <si>
    <t xml:space="preserve">*  </t>
  </si>
  <si>
    <t>Building Name &amp; Number or Utility Name</t>
  </si>
  <si>
    <t>Drawing Titles &amp; Drawing Numbers designated by Discipline</t>
  </si>
  <si>
    <t>"*" Items from above.</t>
  </si>
  <si>
    <t>Added drawing contents requirements</t>
  </si>
  <si>
    <t>For remaining tabs, altered formatting for "N" to be grayed</t>
  </si>
  <si>
    <t>Altered formatting for "N" to be grayed (with the strikeout).</t>
  </si>
  <si>
    <t>Added input messaging on tabs 00-08 to warn users all changes should be made in TAB C.</t>
  </si>
  <si>
    <t>Added conditional formatting that if the value in column B is "N", the text will be medium gray.</t>
  </si>
  <si>
    <t>Related to changes from 5/9/2016</t>
  </si>
  <si>
    <t>Post Construction header added "Not Basic Services".</t>
  </si>
  <si>
    <t>TAB C</t>
  </si>
  <si>
    <t>Tabs C through end - Added a manual entry at the beginning of Project Manual to include a checklist of specific sections requiring construction submittals (under separate cover).</t>
  </si>
  <si>
    <t>Above is activated at 95% and updated beyond.</t>
  </si>
  <si>
    <t xml:space="preserve">(Record) </t>
  </si>
  <si>
    <t>Above is activated at 95% and updated at bid &amp; award.  At the end of construction, the checklist is received as a part of item #20.</t>
  </si>
  <si>
    <t xml:space="preserve">Code Analysis - As Applicable </t>
  </si>
  <si>
    <t xml:space="preserve">Permit Analysis  - As Applicable </t>
  </si>
  <si>
    <t xml:space="preserve">Variances - As Applicable </t>
  </si>
  <si>
    <t>Fixed a stray format issue &amp; added comments to items we have first in 04b then switch to 06 at 50%CD.</t>
  </si>
  <si>
    <t>Added "as applicable" to Code Analysis, Permit Analysis, and Variances.</t>
  </si>
  <si>
    <t>Change since last accepted</t>
  </si>
  <si>
    <t>Edited lookup table delivery method - Added checklist in #20</t>
  </si>
  <si>
    <t>C-Design&amp;Const</t>
  </si>
  <si>
    <r>
      <rPr>
        <b/>
        <u/>
        <sz val="13"/>
        <color theme="1"/>
        <rFont val="Calibri"/>
        <family val="2"/>
        <scheme val="minor"/>
      </rPr>
      <t>TAB C</t>
    </r>
    <r>
      <rPr>
        <b/>
        <sz val="11"/>
        <color theme="1"/>
        <rFont val="Calibri"/>
        <family val="2"/>
        <scheme val="minor"/>
      </rPr>
      <t xml:space="preserve">
</t>
    </r>
    <r>
      <rPr>
        <b/>
        <sz val="12"/>
        <color theme="4" tint="-0.249977111117893"/>
        <rFont val="Calibri"/>
        <family val="2"/>
        <scheme val="minor"/>
      </rPr>
      <t>Design</t>
    </r>
    <r>
      <rPr>
        <b/>
        <sz val="12"/>
        <color theme="1"/>
        <rFont val="Calibri"/>
        <family val="2"/>
        <scheme val="minor"/>
      </rPr>
      <t>&amp;</t>
    </r>
    <r>
      <rPr>
        <b/>
        <sz val="12"/>
        <color theme="7" tint="-0.249977111117893"/>
        <rFont val="Calibri"/>
        <family val="2"/>
        <scheme val="minor"/>
      </rPr>
      <t>Const</t>
    </r>
    <r>
      <rPr>
        <b/>
        <sz val="12"/>
        <color theme="1"/>
        <rFont val="Calibri"/>
        <family val="2"/>
        <scheme val="minor"/>
      </rPr>
      <t xml:space="preserve">
</t>
    </r>
  </si>
  <si>
    <t>Tweaked conditional formats for when phases are not applicable so the text appears gray.</t>
  </si>
  <si>
    <t>Edited Campus Code Compliance Officer's deliverables to PBOD*,PC*, D</t>
  </si>
  <si>
    <t>Removed Project Manual's from Brian Cockerham's deliveries.</t>
  </si>
  <si>
    <t>e</t>
  </si>
  <si>
    <t>e, D, PBOD</t>
  </si>
  <si>
    <t>e,PM,D</t>
  </si>
  <si>
    <t>Fixed conditional formatting for F13:J13 to be turquois with "Conceptualization Only".</t>
  </si>
  <si>
    <t>Adjusted conditional formatting in section headings at the bottom of the sheet to represent all conditions.</t>
  </si>
  <si>
    <t>Editing the title of the "CD" heading to be specific to the selections chosen above.</t>
  </si>
  <si>
    <t>Add the "e" for access to F&amp;S files.  Removed the "E" from Tech Services Plant Design.</t>
  </si>
  <si>
    <t>Updated Qualifier for completeness for 50%CD - Bid &amp; Award on Drawings.</t>
  </si>
  <si>
    <t>Added qualifiers to Project Manual and Drawings based on phase</t>
  </si>
  <si>
    <t>Added building Name &amp; # to report / BOD cover sheet</t>
  </si>
  <si>
    <t>Design Presentation - Board of Trustees - Audit, Budget, Finance, &amp; Facilities Committee</t>
  </si>
  <si>
    <t>HIDE ROW</t>
  </si>
  <si>
    <t xml:space="preserve">Louise Ann Koebel &lt;koebel@illinois.edu&gt;; 
Matt Drain &lt;mdrain@illinois.edu&gt;; 
Christina Molitor &lt;cmolitor@illinois.edu&gt;; </t>
  </si>
  <si>
    <t xml:space="preserve">Robert Murphy &lt;ram70@illinois.edu&gt;; 
Becky Lauher &lt;rllauher@illinois.edu&gt;; 
Jason Heimbaugh &lt;jrh@illinois.edu&gt;; 
Tim Hetrick &lt;thetrick@illinois.edu&gt;; 
Sherry Wooten &lt;sawooten@illinois.edu&gt;; 
</t>
  </si>
  <si>
    <t xml:space="preserve">Michelle Wahl &lt;mwahl@illinois.edu&gt;; 
Mike Wise &lt;mwise@illinois.edu&gt;; 
</t>
  </si>
  <si>
    <t>From Pres, Chanc, BOT presentation - Removed Budget &amp; Added Team info</t>
  </si>
  <si>
    <t>Hide CCME from distribution checklist above since they have electronic access.</t>
  </si>
  <si>
    <t>Adjusted how presentations are received for BOT projects.</t>
  </si>
  <si>
    <t>JOC</t>
  </si>
  <si>
    <t>JOC &amp; In House</t>
  </si>
  <si>
    <t>Corrected Job Order Contracting to JOC</t>
  </si>
  <si>
    <t>Refer to latest version of PROJECT SUBMITTAL REQUIREMENTS</t>
  </si>
  <si>
    <t>Changed colored heading names at bottom of the sheet to say "BOD, Binders, Manuals, Reports, etc."</t>
  </si>
  <si>
    <t>Removed duplicate of CD contents</t>
  </si>
  <si>
    <t>Division of Public Safety:</t>
  </si>
  <si>
    <t>Parking Department:</t>
  </si>
  <si>
    <t>Specified that Design &amp; Construction Submittal Receiving gets a hard copy of phase MLD</t>
  </si>
  <si>
    <t>Estimates for all ADA upgrades and deficiency corrections shall be broken out in an additional estimate</t>
  </si>
  <si>
    <t>/</t>
  </si>
  <si>
    <t>If no major changes, then indicate as such and reissue the prices from the 95%CD Submittal.
Recommendations of Bid Alternates and their associated breakdowns are required.</t>
  </si>
  <si>
    <t>Added breakdown for ADA improvements to Estimate of cost</t>
  </si>
  <si>
    <t>Adjusted conditional formatting font colors so words do not disappear in the gray backgrounds</t>
  </si>
  <si>
    <t xml:space="preserve">Overall Campus Map next to zoomed in aerial image map </t>
  </si>
  <si>
    <t>Building Footprint on Master Plan</t>
  </si>
  <si>
    <t>All Exterior Elevations with materials identified</t>
  </si>
  <si>
    <t>Stacked Floor Plans with space types show by color (include key)</t>
  </si>
  <si>
    <t>All major public spaces (entrances, galleries, auditoriums, lecture halls, etc…) with materials identified</t>
  </si>
  <si>
    <t>Simple full building sections showing relative spaces and framing from floor to floor.</t>
  </si>
  <si>
    <t>Incorporated Comments from CDAC</t>
  </si>
  <si>
    <t>Plumbing - Cut Sheets or Product Data Sheets on Plumbing Fixtures</t>
  </si>
  <si>
    <t>Electrical - Cut Sheets or Product Sheets on Lighting fixtures</t>
  </si>
  <si>
    <t>Adjusted Requirements and Order of Presentation ITEMS for ARC, CDAC, Chancellor/Pres, BOT</t>
  </si>
  <si>
    <t>Added lighting &amp; plumbing fixture cut sheets to narrative</t>
  </si>
  <si>
    <t>TAB C - Adjusted Requirements and Order of Presentation ITEMS for ARC, CDAC, Chancellor/Pres, BOT</t>
  </si>
  <si>
    <t>TAB C - Added lighting &amp; plumbing fixture cut sheets to narrative</t>
  </si>
  <si>
    <t>PSC Transmittal Guidance - Adjusted Method of Delivery for item 20 and potentially 34</t>
  </si>
  <si>
    <t>Fixed an error in combined phases in row 76 (Y or N for if phase applies)</t>
  </si>
  <si>
    <t>e, PR</t>
  </si>
  <si>
    <t>e, D</t>
  </si>
  <si>
    <t>Added little "e" to all applicable phases for Craig Grant and Technology Services Plant Design</t>
  </si>
  <si>
    <t>Changed all references from Illinois State Historical Preservation Agency (IHPA) to Illinois State Historical Preservation Agency (SHPO)</t>
  </si>
  <si>
    <t>Design Presentation - President and Chancellor</t>
  </si>
  <si>
    <t>Corrected omission by Adding "Design Presentation" before 08c</t>
  </si>
  <si>
    <t>DO NOT DELETE COLUMN!</t>
  </si>
  <si>
    <t>Architectural - Demolition(s)</t>
  </si>
  <si>
    <t>Plumbing - Demolition(s)</t>
  </si>
  <si>
    <t>Heating - Demolition(s)</t>
  </si>
  <si>
    <t>Ventilation - Demolition(s)</t>
  </si>
  <si>
    <t>Electrical - Demolition(s)</t>
  </si>
  <si>
    <r>
      <t xml:space="preserve">General Air Handling Unit Fan Maps </t>
    </r>
    <r>
      <rPr>
        <b/>
        <i/>
        <sz val="10.5"/>
        <rFont val="Calibri"/>
        <family val="2"/>
        <scheme val="minor"/>
      </rPr>
      <t>(verify with PM if necessary)</t>
    </r>
  </si>
  <si>
    <r>
      <t xml:space="preserve">Stacked Floor Plans with space types show by color </t>
    </r>
    <r>
      <rPr>
        <b/>
        <i/>
        <sz val="10.5"/>
        <rFont val="Calibri"/>
        <family val="2"/>
        <scheme val="minor"/>
      </rPr>
      <t>(include key)</t>
    </r>
  </si>
  <si>
    <t>**  - For ARC, combine these items on to 1 or 2 total slides.</t>
  </si>
  <si>
    <t>**  - For CDAC, combine these items on to 1 or 2 total slides.</t>
  </si>
  <si>
    <t>**  - For presentations, combine these items on to 1 or 2 total slides.</t>
  </si>
  <si>
    <t>**Bullet Points of Major Project Goals &amp; Objectives, New GSF, Renovated GSF, Demolished GSF</t>
  </si>
  <si>
    <t>**Overall Construction Budget, Construction Begin &amp; End</t>
  </si>
  <si>
    <t>**LEED Goal (and LEED Project Checklist - for client presentations only)</t>
  </si>
  <si>
    <t>**LEED Goal and highlights of LEED measures</t>
  </si>
  <si>
    <t>Building Automation Systems - Demolition(s)</t>
  </si>
  <si>
    <t>Access Controls - Demolition(s)</t>
  </si>
  <si>
    <t>Telecom - Demolition(s)</t>
  </si>
  <si>
    <t>Audio Visual - Demolition(s)</t>
  </si>
  <si>
    <t xml:space="preserve">Added demolitions for narrative and drawings for any missing disciplines.  Added symbols &amp; abbreviations sheets to fire alarms, BAS, Access Controls, Telecom, av, </t>
  </si>
  <si>
    <r>
      <t xml:space="preserve">Plumbing Symbols, Abbreviations, and </t>
    </r>
    <r>
      <rPr>
        <i/>
        <sz val="11"/>
        <color theme="7"/>
        <rFont val="Calibri"/>
        <family val="2"/>
        <scheme val="minor"/>
      </rPr>
      <t xml:space="preserve">General Notes </t>
    </r>
  </si>
  <si>
    <r>
      <t>Sprinkler System Symbols, Abbreviations</t>
    </r>
    <r>
      <rPr>
        <i/>
        <sz val="11"/>
        <color theme="7"/>
        <rFont val="Calibri"/>
        <family val="2"/>
        <scheme val="minor"/>
      </rPr>
      <t xml:space="preserve">, and General Notes </t>
    </r>
  </si>
  <si>
    <r>
      <t>Heating and A/C Symbols, Abbreviations</t>
    </r>
    <r>
      <rPr>
        <i/>
        <sz val="11"/>
        <color theme="7"/>
        <rFont val="Calibri"/>
        <family val="2"/>
        <scheme val="minor"/>
      </rPr>
      <t xml:space="preserve">, and General Notes </t>
    </r>
  </si>
  <si>
    <r>
      <t>Ventilation Symbols, Abbreviations,</t>
    </r>
    <r>
      <rPr>
        <i/>
        <sz val="11"/>
        <color theme="7"/>
        <rFont val="Calibri"/>
        <family val="2"/>
        <scheme val="minor"/>
      </rPr>
      <t xml:space="preserve"> and General Notes </t>
    </r>
  </si>
  <si>
    <r>
      <t>Temperature Control Symbols, Abbreviations</t>
    </r>
    <r>
      <rPr>
        <i/>
        <sz val="11"/>
        <color theme="7"/>
        <rFont val="Calibri"/>
        <family val="2"/>
        <scheme val="minor"/>
      </rPr>
      <t xml:space="preserve">, and General Notes </t>
    </r>
  </si>
  <si>
    <r>
      <t xml:space="preserve">Electrical Symbols, Abbreviations, </t>
    </r>
    <r>
      <rPr>
        <i/>
        <sz val="11"/>
        <color theme="7"/>
        <rFont val="Calibri"/>
        <family val="2"/>
        <scheme val="minor"/>
      </rPr>
      <t xml:space="preserve">and General Notes </t>
    </r>
  </si>
  <si>
    <t xml:space="preserve">Fire Alarm Symbols, Abbreviations, and General Notes </t>
  </si>
  <si>
    <t xml:space="preserve">Building Automation Symbols, Abbreviations, and General Notes </t>
  </si>
  <si>
    <t xml:space="preserve">Access Control Symbols, Abbreviations, and General Notes </t>
  </si>
  <si>
    <t xml:space="preserve">Telecom Symbols, Abbreviations, and General Notes </t>
  </si>
  <si>
    <t xml:space="preserve">Audio Visual Symbols, Abbreviations, and General Notes </t>
  </si>
  <si>
    <t xml:space="preserve">Temperature Control Demolition(s) </t>
  </si>
  <si>
    <t xml:space="preserve">Ventilation Demolition(s) </t>
  </si>
  <si>
    <t xml:space="preserve">Heating and A/C Demolition(s) </t>
  </si>
  <si>
    <t xml:space="preserve">Electrical Demolition(s) </t>
  </si>
  <si>
    <t xml:space="preserve">Fire Alarm Demolition(s) </t>
  </si>
  <si>
    <t xml:space="preserve">Building Automation Systems Demolition(s) </t>
  </si>
  <si>
    <t xml:space="preserve">Access Control Demolition(s) </t>
  </si>
  <si>
    <t xml:space="preserve">Telecom Demolition(s) </t>
  </si>
  <si>
    <t xml:space="preserve">A/V Demolition(s) </t>
  </si>
  <si>
    <t xml:space="preserve">Sprinkler System Demolition(s) </t>
  </si>
  <si>
    <t xml:space="preserve">Plumbing Demolition(s) </t>
  </si>
  <si>
    <t xml:space="preserve">Structural Demolition(s) </t>
  </si>
  <si>
    <t xml:space="preserve">Demolition(s) </t>
  </si>
  <si>
    <t xml:space="preserve">Structural Symbols, Abbreviations, and General Notes </t>
  </si>
  <si>
    <t xml:space="preserve">Architectural Symbols, Abbreviations, and General Notes </t>
  </si>
  <si>
    <t xml:space="preserve">Civil, Site, Landscape Symbols, Abbreviations, and General Notes </t>
  </si>
  <si>
    <t>Based on changes made to TAB C:</t>
  </si>
  <si>
    <t xml:space="preserve">Added demolitions for narrative and drawings for any missing disciplines.  Added symbols, abbreviations, &amp; notes to sheets </t>
  </si>
  <si>
    <t>to Civil, Arch, Structural, fire alarms, BAS, Access Controls, Telecom, AV.</t>
  </si>
  <si>
    <t>Re-aligned subitems in the narrative section of item 04a.</t>
  </si>
  <si>
    <t>08a.</t>
  </si>
  <si>
    <t>08d.</t>
  </si>
  <si>
    <t>Fixed a few MLD heading formulas (05, 06, 07, 08, 09)</t>
  </si>
  <si>
    <t xml:space="preserve"> (Updates &amp; LOD of 300)</t>
  </si>
  <si>
    <t>&amp; Addenda (Update / Monitor for RFI, ASI, Field Directives, As-Built/Red Lines from Contactor)</t>
  </si>
  <si>
    <t>Fixed a few MLD heading formulas (01, 05, 06, 07, 08, 09, 30-35)</t>
  </si>
  <si>
    <t>Fixed a few MLD heading formulas (01, 05, 06, 07, 08, 09)</t>
  </si>
  <si>
    <t>TAB C (and subsequent tabs):</t>
  </si>
  <si>
    <t>General Air Handling Unit Fan Maps (verify with PM if necessary)</t>
  </si>
  <si>
    <t>Cost Estimate breakdown for all schemes</t>
  </si>
  <si>
    <t>Unhid through items 09.  Added the 08 Presentation as an option (suggested for conceptualizations.</t>
  </si>
  <si>
    <t xml:space="preserve"> of Draft Report to Client &amp; Capital Programs</t>
  </si>
  <si>
    <t>PR, e</t>
  </si>
  <si>
    <r>
      <rPr>
        <b/>
        <u/>
        <sz val="12"/>
        <color theme="1"/>
        <rFont val="Calibri"/>
        <family val="2"/>
        <scheme val="minor"/>
      </rPr>
      <t>START HERE.</t>
    </r>
    <r>
      <rPr>
        <i/>
        <sz val="11"/>
        <color theme="1"/>
        <rFont val="Calibri"/>
        <family val="2"/>
        <scheme val="minor"/>
      </rPr>
      <t xml:space="preserve">  </t>
    </r>
    <r>
      <rPr>
        <b/>
        <u/>
        <sz val="12"/>
        <color theme="1"/>
        <rFont val="Calibri"/>
        <family val="2"/>
        <scheme val="minor"/>
      </rPr>
      <t>INPUT TAB FOR UIUC</t>
    </r>
    <r>
      <rPr>
        <i/>
        <sz val="11"/>
        <color theme="1"/>
        <rFont val="Calibri"/>
        <family val="2"/>
        <scheme val="minor"/>
      </rPr>
      <t xml:space="preserve">
Insert general project information, verify type of project, select applicable phases, provide a list of who receives how many of what deliverable in which format at which phase. All this information and phase applicability </t>
    </r>
    <r>
      <rPr>
        <b/>
        <i/>
        <sz val="11"/>
        <color rgb="FFC00000"/>
        <rFont val="Calibri"/>
        <family val="2"/>
        <scheme val="minor"/>
      </rPr>
      <t xml:space="preserve">echoed in subsequent tabs.  </t>
    </r>
    <r>
      <rPr>
        <i/>
        <sz val="11"/>
        <rFont val="Calibri"/>
        <family val="2"/>
        <scheme val="minor"/>
      </rPr>
      <t>Printed &amp; submitted with transmittal sheet.</t>
    </r>
  </si>
  <si>
    <t>http://www.fs.illinois.edu/docs/default-source/facility-standards/technical-sections/division-01---administrative/01-78-23---operation-and-maintenance-data7eb89bc36b8160c2ad00ff2200358aeb.pdf?sfvrsn=7abbf4ea_4</t>
  </si>
  <si>
    <t>Shop Drawings, Product Data, &amp; Quality Assurance Submittals (with all comments &amp; recommendation)</t>
  </si>
  <si>
    <t>Results of Material Testing - May be updated from  STNDS</t>
  </si>
  <si>
    <r>
      <rPr>
        <b/>
        <u/>
        <sz val="14"/>
        <color rgb="FFC00000"/>
        <rFont val="Calibri"/>
        <family val="2"/>
        <scheme val="minor"/>
      </rPr>
      <t>DIRECTIONS:</t>
    </r>
    <r>
      <rPr>
        <sz val="14"/>
        <color rgb="FFC00000"/>
        <rFont val="Calibri"/>
        <family val="2"/>
        <scheme val="minor"/>
      </rPr>
      <t xml:space="preserve">  READ DIRECTIONS FILE FIRST.  </t>
    </r>
    <r>
      <rPr>
        <sz val="12"/>
        <color rgb="FFC00000"/>
        <rFont val="Calibri"/>
        <family val="2"/>
        <scheme val="minor"/>
      </rPr>
      <t xml:space="preserve">Fill out form for whether or not a reviewer applies and in all boxes with a </t>
    </r>
    <r>
      <rPr>
        <b/>
        <u/>
        <sz val="12"/>
        <color rgb="FFC00000"/>
        <rFont val="Calibri"/>
        <family val="2"/>
        <scheme val="minor"/>
      </rPr>
      <t>peach</t>
    </r>
    <r>
      <rPr>
        <sz val="12"/>
        <color rgb="FFC00000"/>
        <rFont val="Calibri"/>
        <family val="2"/>
        <scheme val="minor"/>
      </rPr>
      <t xml:space="preserve"> background. (</t>
    </r>
    <r>
      <rPr>
        <u/>
        <sz val="12"/>
        <color rgb="FFC00000"/>
        <rFont val="Calibri"/>
        <family val="2"/>
        <scheme val="minor"/>
      </rPr>
      <t xml:space="preserve">Darker peach are </t>
    </r>
  </si>
  <si>
    <r>
      <rPr>
        <sz val="11"/>
        <color rgb="FFC00000"/>
        <rFont val="Calibri"/>
        <family val="2"/>
        <scheme val="minor"/>
      </rPr>
      <t xml:space="preserve">drop downs). </t>
    </r>
    <r>
      <rPr>
        <b/>
        <sz val="12"/>
        <color rgb="FFC00000"/>
        <rFont val="Calibri"/>
        <family val="2"/>
        <scheme val="minor"/>
      </rPr>
      <t>TO BE COMPLETED BY PLANNER OR PM.</t>
    </r>
    <r>
      <rPr>
        <b/>
        <sz val="14"/>
        <color rgb="FFC00000"/>
        <rFont val="Calibri"/>
        <family val="2"/>
        <scheme val="minor"/>
      </rPr>
      <t xml:space="preserve">  </t>
    </r>
    <r>
      <rPr>
        <b/>
        <i/>
        <sz val="12"/>
        <color rgb="FFC00000"/>
        <rFont val="Calibri"/>
        <family val="2"/>
        <scheme val="minor"/>
      </rPr>
      <t>THIS TAB IS THE MASTER FORM.  Choosing submittal phases here will control which subsequent tabs are activated.</t>
    </r>
  </si>
  <si>
    <t>Renamed first tab to "START - Guidance", not "Directions".  Separated the directions file from the spreadsheet.  Will be found in manuals &amp; website.</t>
  </si>
  <si>
    <t>Within NAME MANAGER - pointed all references to applicability of MLD items (like "Applies_BOD_SD") to TAB_C, not the individual phase tabs.  So …</t>
  </si>
  <si>
    <t>…if erasing tabs 00-08 for a Feasibility Study or Conceptualization Only, the references within &lt;PSC Transmittal Guidance&gt; will not have reference errors.</t>
  </si>
  <si>
    <t>Added construction phase column AI - for completeness qualifiers</t>
  </si>
  <si>
    <r>
      <rPr>
        <b/>
        <i/>
        <sz val="12"/>
        <color rgb="FFC00000"/>
        <rFont val="Calibri"/>
        <family val="2"/>
        <scheme val="minor"/>
      </rPr>
      <t>READ DIRECTIONS FILE FIRST</t>
    </r>
    <r>
      <rPr>
        <sz val="12"/>
        <color rgb="FFC00000"/>
        <rFont val="Calibri"/>
        <family val="2"/>
        <scheme val="minor"/>
      </rPr>
      <t xml:space="preserve">.  Complete TAB A first.  This sheet is an </t>
    </r>
    <r>
      <rPr>
        <b/>
        <u/>
        <sz val="12"/>
        <color rgb="FFC00000"/>
        <rFont val="Calibri"/>
        <family val="2"/>
        <scheme val="minor"/>
      </rPr>
      <t>MASTER INPUT</t>
    </r>
    <r>
      <rPr>
        <sz val="12"/>
        <color rgb="FFC00000"/>
        <rFont val="Calibri"/>
        <family val="2"/>
        <scheme val="minor"/>
      </rPr>
      <t xml:space="preserve"> for applicability of individual choices for</t>
    </r>
    <r>
      <rPr>
        <b/>
        <sz val="12"/>
        <color rgb="FFC00000"/>
        <rFont val="Calibri"/>
        <family val="2"/>
        <scheme val="minor"/>
      </rPr>
      <t xml:space="preserve"> DESIGN &amp; CONST</t>
    </r>
    <r>
      <rPr>
        <sz val="12"/>
        <color rgb="FFC00000"/>
        <rFont val="Calibri"/>
        <family val="2"/>
        <scheme val="minor"/>
      </rPr>
      <t xml:space="preserve"> for TABS 00-08.
</t>
    </r>
    <r>
      <rPr>
        <b/>
        <sz val="12"/>
        <color rgb="FFC00000"/>
        <rFont val="Calibri"/>
        <family val="2"/>
        <scheme val="minor"/>
      </rPr>
      <t xml:space="preserve">"Conceptualization Only" (prior to large amendments) should use the Tab B.  </t>
    </r>
    <r>
      <rPr>
        <i/>
        <sz val="10"/>
        <color rgb="FFC00000"/>
        <rFont val="Calibri"/>
        <family val="2"/>
        <scheme val="minor"/>
      </rPr>
      <t>Unhide columns to view default recommendations.</t>
    </r>
  </si>
  <si>
    <r>
      <rPr>
        <b/>
        <u/>
        <sz val="14"/>
        <color rgb="FFC00000"/>
        <rFont val="Calibri"/>
        <family val="2"/>
        <scheme val="minor"/>
      </rPr>
      <t>DIRECTIONS:</t>
    </r>
    <r>
      <rPr>
        <sz val="14"/>
        <color rgb="FFC00000"/>
        <rFont val="Calibri"/>
        <family val="2"/>
        <scheme val="minor"/>
      </rPr>
      <t xml:space="preserve">  </t>
    </r>
    <r>
      <rPr>
        <b/>
        <i/>
        <sz val="12"/>
        <color rgb="FFC00000"/>
        <rFont val="Calibri"/>
        <family val="2"/>
        <scheme val="minor"/>
      </rPr>
      <t xml:space="preserve">READ DIRECTIONS FILE FIRST. </t>
    </r>
    <r>
      <rPr>
        <sz val="14"/>
        <color rgb="FFC00000"/>
        <rFont val="Calibri"/>
        <family val="2"/>
        <scheme val="minor"/>
      </rPr>
      <t xml:space="preserve"> </t>
    </r>
    <r>
      <rPr>
        <sz val="12"/>
        <color rgb="FFC00000"/>
        <rFont val="Calibri"/>
        <family val="2"/>
        <scheme val="minor"/>
      </rPr>
      <t>For PSC Reference &amp; Use to aid in submittals.</t>
    </r>
  </si>
  <si>
    <t>Feas  or Concept Only</t>
  </si>
  <si>
    <t>Building Automation Systems Drawings (HVAC Instrumentation and Control)</t>
  </si>
  <si>
    <t>Images and/or screen shots of final graphical user interfaces for each installed</t>
  </si>
  <si>
    <t>Item 32.  Removed I/O redundancy.  Added:  Images and/or screen shots of final graphical user interfaces for each installed</t>
  </si>
  <si>
    <t>Closeout</t>
  </si>
  <si>
    <t>CLOSEOUT PHASE SPECIFIC ITEMS</t>
  </si>
  <si>
    <t>Closeout Choice</t>
  </si>
  <si>
    <t>27.</t>
  </si>
  <si>
    <t>28.</t>
  </si>
  <si>
    <t>Moved following items to CONST vs CLOSEOUT based on reviewing procedures during standards updates: Punch List; &amp; List of Systems / Items to Commission</t>
  </si>
  <si>
    <t>07 - CLOSEOUT</t>
  </si>
  <si>
    <r>
      <rPr>
        <b/>
        <u/>
        <sz val="11"/>
        <color theme="0"/>
        <rFont val="Calibri"/>
        <family val="2"/>
        <scheme val="minor"/>
      </rPr>
      <t xml:space="preserve">Print and use this checklist at any CLOSEOUT Submittals. </t>
    </r>
    <r>
      <rPr>
        <i/>
        <sz val="11"/>
        <color theme="0"/>
        <rFont val="Calibri"/>
        <family val="2"/>
        <scheme val="minor"/>
      </rPr>
      <t xml:space="preserve"> 
Represents overall project information and </t>
    </r>
    <r>
      <rPr>
        <i/>
        <u/>
        <sz val="11"/>
        <color theme="0"/>
        <rFont val="Calibri"/>
        <family val="2"/>
        <scheme val="minor"/>
      </rPr>
      <t>CLOSEOUT</t>
    </r>
    <r>
      <rPr>
        <i/>
        <sz val="11"/>
        <color theme="0"/>
        <rFont val="Calibri"/>
        <family val="2"/>
        <scheme val="minor"/>
      </rPr>
      <t xml:space="preserve"> phase applicability from </t>
    </r>
    <r>
      <rPr>
        <b/>
        <i/>
        <sz val="11"/>
        <color theme="0"/>
        <rFont val="Calibri"/>
        <family val="2"/>
        <scheme val="minor"/>
      </rPr>
      <t>TAB A</t>
    </r>
    <r>
      <rPr>
        <i/>
        <sz val="11"/>
        <color theme="0"/>
        <rFont val="Calibri"/>
        <family val="2"/>
        <scheme val="minor"/>
      </rPr>
      <t xml:space="preserve">.  Echoes applicabilities of Deliverables and Components chosen in </t>
    </r>
    <r>
      <rPr>
        <b/>
        <i/>
        <sz val="11"/>
        <color theme="0"/>
        <rFont val="Calibri"/>
        <family val="2"/>
        <scheme val="minor"/>
      </rPr>
      <t>TAB C</t>
    </r>
    <r>
      <rPr>
        <i/>
        <sz val="11"/>
        <color theme="0"/>
        <rFont val="Calibri"/>
        <family val="2"/>
        <scheme val="minor"/>
      </rPr>
      <t xml:space="preserve">.  Echoes the level of completion of components.  </t>
    </r>
  </si>
  <si>
    <r>
      <t xml:space="preserve">Print and use this checklist at </t>
    </r>
    <r>
      <rPr>
        <b/>
        <u/>
        <sz val="12"/>
        <color theme="0"/>
        <rFont val="Calibri"/>
        <family val="2"/>
        <scheme val="minor"/>
      </rPr>
      <t>Closeout Submittals</t>
    </r>
    <r>
      <rPr>
        <b/>
        <sz val="12"/>
        <color theme="0"/>
        <rFont val="Calibri"/>
        <family val="2"/>
        <scheme val="minor"/>
      </rPr>
      <t xml:space="preserve">.
Autopopulated from Tabs A &amp; C. 
Shows completion level of components at CLOSEOUT.  </t>
    </r>
  </si>
  <si>
    <r>
      <rPr>
        <b/>
        <u/>
        <sz val="13"/>
        <color theme="0"/>
        <rFont val="Calibri"/>
        <family val="2"/>
        <scheme val="minor"/>
      </rPr>
      <t>TAB 07</t>
    </r>
    <r>
      <rPr>
        <b/>
        <sz val="12"/>
        <color theme="0"/>
        <rFont val="Calibri"/>
        <family val="2"/>
        <scheme val="minor"/>
      </rPr>
      <t xml:space="preserve">
CLOSEOUT</t>
    </r>
  </si>
  <si>
    <r>
      <t xml:space="preserve">F&amp;S + </t>
    </r>
    <r>
      <rPr>
        <b/>
        <sz val="12"/>
        <color rgb="FF0070C0"/>
        <rFont val="Calibri"/>
        <family val="2"/>
        <scheme val="minor"/>
      </rPr>
      <t>PSC</t>
    </r>
    <r>
      <rPr>
        <b/>
        <sz val="12"/>
        <color theme="4" tint="-0.499984740745262"/>
        <rFont val="Calibri"/>
        <family val="2"/>
        <scheme val="minor"/>
      </rPr>
      <t xml:space="preserve">
EDIT  TAB</t>
    </r>
  </si>
  <si>
    <r>
      <rPr>
        <b/>
        <u/>
        <sz val="15"/>
        <color theme="0"/>
        <rFont val="Calibri"/>
        <family val="2"/>
        <scheme val="minor"/>
      </rPr>
      <t>TAB B</t>
    </r>
    <r>
      <rPr>
        <b/>
        <sz val="12"/>
        <color theme="0"/>
        <rFont val="Calibri"/>
        <family val="2"/>
        <scheme val="minor"/>
      </rPr>
      <t xml:space="preserve">
Studies or
Concept Only</t>
    </r>
  </si>
  <si>
    <r>
      <t xml:space="preserve">* Choose report type and components. 
* Applicability of deliverables and components for a 
   </t>
    </r>
    <r>
      <rPr>
        <b/>
        <u/>
        <sz val="13"/>
        <color theme="0"/>
        <rFont val="Calibri"/>
        <family val="2"/>
        <scheme val="minor"/>
      </rPr>
      <t>Feasibility Study</t>
    </r>
    <r>
      <rPr>
        <b/>
        <sz val="13"/>
        <color theme="0"/>
        <rFont val="Calibri"/>
        <family val="2"/>
        <scheme val="minor"/>
      </rPr>
      <t xml:space="preserve">   </t>
    </r>
    <r>
      <rPr>
        <i/>
        <sz val="13"/>
        <color theme="0"/>
        <rFont val="Calibri"/>
        <family val="2"/>
        <scheme val="minor"/>
      </rPr>
      <t>or</t>
    </r>
    <r>
      <rPr>
        <b/>
        <sz val="13"/>
        <color theme="0"/>
        <rFont val="Calibri"/>
        <family val="2"/>
        <scheme val="minor"/>
      </rPr>
      <t xml:space="preserve">   </t>
    </r>
    <r>
      <rPr>
        <b/>
        <u/>
        <sz val="13"/>
        <color theme="0"/>
        <rFont val="Calibri"/>
        <family val="2"/>
        <scheme val="minor"/>
      </rPr>
      <t>Memo/Short Report</t>
    </r>
    <r>
      <rPr>
        <i/>
        <sz val="13"/>
        <color theme="0"/>
        <rFont val="Calibri"/>
        <family val="2"/>
        <scheme val="minor"/>
      </rPr>
      <t xml:space="preserve">   or
</t>
    </r>
    <r>
      <rPr>
        <sz val="13"/>
        <color theme="0"/>
        <rFont val="Calibri"/>
        <family val="2"/>
        <scheme val="minor"/>
      </rPr>
      <t xml:space="preserve">   </t>
    </r>
    <r>
      <rPr>
        <b/>
        <u/>
        <sz val="13"/>
        <color theme="0"/>
        <rFont val="Calibri"/>
        <family val="2"/>
        <scheme val="minor"/>
      </rPr>
      <t>Conceptualization Only (w/ large future Amend.)</t>
    </r>
    <r>
      <rPr>
        <i/>
        <sz val="13"/>
        <color theme="0"/>
        <rFont val="Calibri"/>
        <family val="2"/>
        <scheme val="minor"/>
      </rPr>
      <t xml:space="preserve">
 </t>
    </r>
  </si>
  <si>
    <t>Infrastructure</t>
  </si>
  <si>
    <t>Utilities</t>
  </si>
  <si>
    <t>ISHPO Involvement?</t>
  </si>
  <si>
    <t>ISHPO item to be determined per project</t>
  </si>
  <si>
    <t>Illinois State Historic Preservation Office (ISHPO)</t>
  </si>
  <si>
    <t>PSC contracted mock-ups to match existing brick</t>
  </si>
  <si>
    <t xml:space="preserve">(revisions to) </t>
  </si>
  <si>
    <t>Default recommendations based on BOT, CDB, ISHPO</t>
  </si>
  <si>
    <t>Made it possible to have full design &amp; construction phases plus a memo/short report. Will require the use of tabs B &amp;C.</t>
  </si>
  <si>
    <t>Changed SHPO to ISHPO.</t>
  </si>
  <si>
    <t>Item 04a is now specific to the content selected on Tab A.</t>
  </si>
  <si>
    <t>Added option to receive mockups for brick matching to the deliverable 05a</t>
  </si>
  <si>
    <t>reordered so List of Items to commission is now 26, not 28</t>
  </si>
  <si>
    <t>SHPO is now ISHPO</t>
  </si>
  <si>
    <r>
      <t xml:space="preserve">before review meeting, emailed to </t>
    </r>
    <r>
      <rPr>
        <b/>
        <sz val="11"/>
        <color rgb="FF0070C0"/>
        <rFont val="Calibri"/>
        <family val="2"/>
        <scheme val="minor"/>
      </rPr>
      <t>&lt;</t>
    </r>
    <r>
      <rPr>
        <b/>
        <i/>
        <sz val="11"/>
        <color rgb="FF0070C0"/>
        <rFont val="Calibri"/>
        <family val="2"/>
        <scheme val="minor"/>
      </rPr>
      <t>fandsderevprocom@mx.uillinois.edu</t>
    </r>
    <r>
      <rPr>
        <b/>
        <sz val="11"/>
        <color rgb="FF0070C0"/>
        <rFont val="Calibri"/>
        <family val="2"/>
        <scheme val="minor"/>
      </rPr>
      <t>&gt;</t>
    </r>
    <r>
      <rPr>
        <b/>
        <sz val="11"/>
        <color theme="1"/>
        <rFont val="Calibri"/>
        <family val="2"/>
        <scheme val="minor"/>
      </rPr>
      <t xml:space="preserve"> and PM or Planner</t>
    </r>
  </si>
  <si>
    <t>Fixed logic in formula for submittal method of BIM and Presentations</t>
  </si>
  <si>
    <t>Email PM and lead inspector</t>
  </si>
  <si>
    <t>Email PM</t>
  </si>
  <si>
    <t>Email to PM</t>
  </si>
  <si>
    <r>
      <t xml:space="preserve">Before review meeting, emailed to </t>
    </r>
    <r>
      <rPr>
        <b/>
        <i/>
        <sz val="11"/>
        <color rgb="FF0070C0"/>
        <rFont val="Calibri"/>
        <family val="2"/>
        <scheme val="minor"/>
      </rPr>
      <t xml:space="preserve">&lt;fandssubmittalrev@mx.uillinois.edu&gt; </t>
    </r>
  </si>
  <si>
    <t>Justifications or Explanations for Errors/ Omissions, Deficiencies or Conflicts</t>
  </si>
  <si>
    <t>Corrections to Errors / Omissions, Deficiencies, or Conflicts</t>
  </si>
  <si>
    <t>Edited the means of delivery in hidden table below printable area in tab &lt;PSC Transmittal Guidance&gt;</t>
  </si>
  <si>
    <t>Error's shown if ISHPO or BOT involvement not selected in tab A</t>
  </si>
  <si>
    <t xml:space="preserve">Chilled Water Capacity Charge form </t>
  </si>
  <si>
    <t xml:space="preserve">(Completed) </t>
  </si>
  <si>
    <t>Added Chilled Water Capacity Charge form to item 04b at Bid &amp; Award</t>
  </si>
  <si>
    <t>READ GUIDANCE BELOW PRIOR TO USING SPREADSHEET.  SEE RESPECTIVE PDF FILE(S) FOR DIRECTIONS.</t>
  </si>
  <si>
    <t>Replaced Brian Cockerham with Brent Lackey</t>
  </si>
  <si>
    <t>Drawing Sheets shall include (at a minimum):</t>
  </si>
  <si>
    <t>Transmittal sheets shall include (at a minimum):</t>
  </si>
  <si>
    <t xml:space="preserve">(IDNR Consultation Results) </t>
  </si>
  <si>
    <t xml:space="preserve">(IDNR Consultation Results &amp; if required, Consultant Response) </t>
  </si>
  <si>
    <t xml:space="preserve">(EcoCAT Submittal Results) </t>
  </si>
  <si>
    <t xml:space="preserve">(EcoCAT Submittal/Resubmittal Results) </t>
  </si>
  <si>
    <t xml:space="preserve">(Information Request Only) </t>
  </si>
  <si>
    <t>Add in custom item in 04b for IDNR</t>
  </si>
  <si>
    <t>Submittal Date &amp; Phase (SD, DD, 50% CD, etc….) or  
Report of Concept. Phase (50% Draft, 95% Draft, Final Report, etc...)</t>
  </si>
  <si>
    <t>Tab A - Increased size of select fonts for greater readibility</t>
  </si>
  <si>
    <t>Tab C &amp; beyond - Add in custom item in 04b for IDNR</t>
  </si>
  <si>
    <t>Start Tab - Updated directions notes on the top to include website = http://www.fs.illinois.edu/services/capital-programs/rpmld</t>
  </si>
  <si>
    <t>CS or JOC or In House</t>
  </si>
  <si>
    <t>Tab A - Added Delivery Method choice - CS or JOC or In House</t>
  </si>
  <si>
    <t>Tab - PSC Transmittal Guidance.  - Corrected a formula typo for "closeout" so "RECORD SET" will appear for the drawings &amp; PM</t>
  </si>
  <si>
    <t>Corrected typo in "Closeout" so the status of the drawings and manual changes at bid &amp; Award and closeout.</t>
  </si>
  <si>
    <t>Furnitures, Fixtures, and Equipment Binder(s)</t>
  </si>
  <si>
    <t xml:space="preserve">Ext. &amp; Int. Finishes Binder(s)/Finishes Board(s) </t>
  </si>
  <si>
    <t>Placed formulas in the hidden default cells (recommendations) for bid-closeout items for non-capital projects.</t>
  </si>
  <si>
    <t>o   UIUC project number</t>
  </si>
  <si>
    <t>o   Page # of total Pages in section.</t>
  </si>
  <si>
    <t>o   Full official UIUC project title</t>
  </si>
  <si>
    <t>o  Building Name and Building #, or Utility Name</t>
  </si>
  <si>
    <t>o   Volume</t>
  </si>
  <si>
    <t>o   Section headings for appendices, Exhibits, or attachments</t>
  </si>
  <si>
    <t>o   Phase (##%, Draft, etc.). 
         i.e. : Final report(s) shall say ''Final'' &amp; at closeout, shall say ''Record''</t>
  </si>
  <si>
    <t>Tab A - row 41 and below.  Contents are now static and not dependent on phases chosen above.</t>
  </si>
  <si>
    <t>Options for strengthening - figures and/or text</t>
  </si>
  <si>
    <t xml:space="preserve">Saftey &amp; Compliance / Environmental - Checklist   </t>
  </si>
  <si>
    <r>
      <t xml:space="preserve">BOD, Binders, Manuals, Reports, etc. </t>
    </r>
    <r>
      <rPr>
        <b/>
        <u/>
        <sz val="12"/>
        <color theme="4" tint="-0.249977111117893"/>
        <rFont val="Calibri"/>
        <family val="2"/>
        <scheme val="minor"/>
      </rPr>
      <t xml:space="preserve">COVER </t>
    </r>
    <r>
      <rPr>
        <b/>
        <u/>
        <sz val="12"/>
        <rFont val="Calibri"/>
        <family val="2"/>
        <scheme val="minor"/>
      </rPr>
      <t>shall include (at a minimum):</t>
    </r>
  </si>
  <si>
    <r>
      <t xml:space="preserve">BOD, Binders, Manuals, Reports, etc. </t>
    </r>
    <r>
      <rPr>
        <b/>
        <u/>
        <sz val="12"/>
        <color theme="4" tint="-0.249977111117893"/>
        <rFont val="Calibri"/>
        <family val="2"/>
        <scheme val="minor"/>
      </rPr>
      <t xml:space="preserve">PAGES </t>
    </r>
    <r>
      <rPr>
        <b/>
        <u/>
        <sz val="12"/>
        <rFont val="Calibri"/>
        <family val="2"/>
        <scheme val="minor"/>
      </rPr>
      <t>shall include (at a minimum):</t>
    </r>
  </si>
  <si>
    <t>Updated LEED method of submittal in reference image at top.</t>
  </si>
  <si>
    <t>*Changes pending delivery method</t>
  </si>
  <si>
    <t>Added logical names "Item_applies_(phase)" to refer to the "Y" or "N" applicability.</t>
  </si>
  <si>
    <t>New logical names used in some formulas for autopopulation of the level of completeness (column AC and on for 04a, 04b, 05a, 05b)</t>
  </si>
  <si>
    <t>PSC Transmittal Guidance - Updated LEED method of submittal in reference image at top.</t>
  </si>
  <si>
    <t>Separated and defined the non-capital delivery methods forBid &amp; Construction phases</t>
  </si>
  <si>
    <t>PSC Transmittal Guidance - Defined non-capital methods of delivery for Bid &amp; Construction phases</t>
  </si>
  <si>
    <t>&lt;---PM/Planner may hide PLACEHOLDER ROW</t>
  </si>
  <si>
    <t xml:space="preserve">Traffic Control Plans - Vehicular &amp; Pedestrian </t>
  </si>
  <si>
    <t>Added Traffic Control to Civil Drawings</t>
  </si>
  <si>
    <t>Design &amp; Const. Recv : Adjusted how deliverables are listed for Design.  Removed 1 PM &amp; 1 half size from Bid.</t>
  </si>
  <si>
    <t>* Changes at Pending ISHPO selection</t>
  </si>
  <si>
    <t>Meeting notes from walk through with ISHPO</t>
  </si>
  <si>
    <t>Design Concept(s) Considered and Design Concept(s) Selected w/ Construction Budget</t>
  </si>
  <si>
    <t>Investigation/Memo/Short Report</t>
  </si>
  <si>
    <r>
      <t xml:space="preserve">Updates to Checklist for spec sections w/ submittals </t>
    </r>
    <r>
      <rPr>
        <b/>
        <i/>
        <u/>
        <sz val="10.5"/>
        <color theme="4" tint="-0.499984740745262"/>
        <rFont val="Calibri"/>
        <family val="2"/>
        <scheme val="minor"/>
      </rPr>
      <t>recv'd</t>
    </r>
    <r>
      <rPr>
        <b/>
        <i/>
        <sz val="10.5"/>
        <color theme="4" tint="-0.499984740745262"/>
        <rFont val="Calibri"/>
        <family val="2"/>
        <scheme val="minor"/>
      </rPr>
      <t xml:space="preserve"> vs reqd (shop drawings, calcs, etc…).  (NOTE:  previously received under separate cover with Item 06 - Project Manual.)</t>
    </r>
  </si>
  <si>
    <t>Checklist for specification sections with submittals required (materials, shop drawings, calcs, etc…) - UNDER SEPARATE COVER &amp; NOT BOUND WITH MANUAL.</t>
  </si>
  <si>
    <r>
      <t xml:space="preserve">Summary of Changes by Discipline (beyond corrections from comments) - </t>
    </r>
    <r>
      <rPr>
        <b/>
        <i/>
        <sz val="10.5"/>
        <color theme="4" tint="-0.249977111117893"/>
        <rFont val="Calibri"/>
        <family val="2"/>
        <scheme val="minor"/>
      </rPr>
      <t>UNDER SEPARATE COVER &amp; NOT BOUND WITH MANUAL.</t>
    </r>
  </si>
  <si>
    <t>o   Paper Copies of Manuals/Reports, separate narratives, or reports shall be comb bound.</t>
  </si>
  <si>
    <t>o   Paper Copies of Plan sets shall be bound and stapled</t>
  </si>
  <si>
    <t>     *  1 copy of complete of each: BOD, Calcs, Manual, Drawings, etc... in pdf (one file, cover to cover)</t>
  </si>
  <si>
    <t>     *  1 copy of all native files (whether Word, cad, excel, photoshop, image, etc.)</t>
  </si>
  <si>
    <t xml:space="preserve">      Refer to latest version of ''PROJECT SUBMITTAL REQUIREMENTS''</t>
  </si>
  <si>
    <t>Changed "Memo or Short Report" to "Investigation/Memo/Short Report"</t>
  </si>
  <si>
    <t>Corrected some comment flags for deliverables for consistency.</t>
  </si>
  <si>
    <t>Added input notes for Dept, College, and Other recipients.</t>
  </si>
  <si>
    <t>Fixing Conditional Formatting</t>
  </si>
  <si>
    <t>Fixed conditional formatting on tab 08_POST CONST.</t>
  </si>
  <si>
    <t>2434 Digital Comp. Lab (MC-256)
1304 W. Springfield Ave.
Urbana, IL  61801</t>
  </si>
  <si>
    <r>
      <t>&lt;------- confirm with Plant Design which submittals</t>
    </r>
    <r>
      <rPr>
        <b/>
        <u/>
        <sz val="10"/>
        <color rgb="FFC00000"/>
        <rFont val="Calibri"/>
        <family val="2"/>
        <scheme val="minor"/>
      </rPr>
      <t xml:space="preserve"> if any</t>
    </r>
    <r>
      <rPr>
        <b/>
        <u/>
        <sz val="10"/>
        <color theme="4" tint="-0.499984740745262"/>
        <rFont val="Calibri"/>
        <family val="2"/>
        <scheme val="minor"/>
      </rPr>
      <t xml:space="preserve"> </t>
    </r>
    <r>
      <rPr>
        <b/>
        <sz val="10"/>
        <color theme="4" tint="-0.499984740745262"/>
        <rFont val="Calibri"/>
        <family val="2"/>
        <scheme val="minor"/>
      </rPr>
      <t xml:space="preserve">he would like to see.
            </t>
    </r>
    <r>
      <rPr>
        <b/>
        <sz val="10"/>
        <color rgb="FFC00000"/>
        <rFont val="Calibri"/>
        <family val="2"/>
        <scheme val="minor"/>
      </rPr>
      <t>Confirm if paper copies of plans are ACTUALLY NECESSARY.</t>
    </r>
  </si>
  <si>
    <r>
      <rPr>
        <b/>
        <u/>
        <sz val="10"/>
        <color theme="1"/>
        <rFont val="Calibri"/>
        <family val="2"/>
        <scheme val="minor"/>
      </rPr>
      <t>Technology Services (CITES) Plant Design</t>
    </r>
    <r>
      <rPr>
        <b/>
        <sz val="10"/>
        <color theme="1"/>
        <rFont val="Calibri"/>
        <family val="2"/>
        <scheme val="minor"/>
      </rPr>
      <t xml:space="preserve">:     Vince Tutich    
</t>
    </r>
    <r>
      <rPr>
        <b/>
        <i/>
        <sz val="8"/>
        <color theme="1"/>
        <rFont val="Calibri"/>
        <family val="2"/>
        <scheme val="minor"/>
      </rPr>
      <t xml:space="preserve">&lt;vgtutich @illinois.edu&gt;  </t>
    </r>
    <r>
      <rPr>
        <b/>
        <sz val="10"/>
        <color theme="1"/>
        <rFont val="Calibri"/>
        <family val="2"/>
        <scheme val="minor"/>
      </rPr>
      <t xml:space="preserve">                                      </t>
    </r>
  </si>
  <si>
    <t>Tech Services Plant Design --&gt; Now Vince Tutich.</t>
  </si>
  <si>
    <t>Updated the "completeness" of applicable LEED items.</t>
  </si>
  <si>
    <t>Tab C - Updated the "completeness" of LEED required items</t>
  </si>
  <si>
    <t>Added an echo of the status of the deliverable based on phase ("record" or "updates only").  Achieved by adding an echo lookup table within the hidden rows outside the printable area.</t>
  </si>
  <si>
    <t>Tab A - Design &amp; Const. Receiving - Removed 1 full size plan set and 1 copy of the PM for design &amp; construction phases.</t>
  </si>
  <si>
    <t>Updated Method of Delivery Screen Shot to correct the JOC/In House for item 20</t>
  </si>
  <si>
    <t>DO NOT DELETE OR ALTER</t>
  </si>
  <si>
    <r>
      <rPr>
        <b/>
        <u/>
        <sz val="11"/>
        <color theme="1"/>
        <rFont val="Calibri"/>
        <family val="2"/>
        <scheme val="minor"/>
      </rPr>
      <t xml:space="preserve">For BOT projects- </t>
    </r>
    <r>
      <rPr>
        <b/>
        <sz val="11"/>
        <color theme="1"/>
        <rFont val="Calibri"/>
        <family val="2"/>
        <scheme val="minor"/>
      </rPr>
      <t xml:space="preserve">at SD, the ARC, CDAC, Pres &amp; Chancellor versions emailed to Planner and PM.
By DD submittal, final BOT version emailed to Planner &amp; PM </t>
    </r>
    <r>
      <rPr>
        <b/>
        <u/>
        <sz val="11"/>
        <color theme="1"/>
        <rFont val="Calibri"/>
        <family val="2"/>
        <scheme val="minor"/>
      </rPr>
      <t>and</t>
    </r>
    <r>
      <rPr>
        <b/>
        <sz val="11"/>
        <color theme="1"/>
        <rFont val="Calibri"/>
        <family val="2"/>
        <scheme val="minor"/>
      </rPr>
      <t xml:space="preserve"> sent on record CD
</t>
    </r>
    <r>
      <rPr>
        <b/>
        <u/>
        <sz val="11"/>
        <color theme="1"/>
        <rFont val="Calibri"/>
        <family val="2"/>
        <scheme val="minor"/>
      </rPr>
      <t>For Conceptualizations or Feasibility Studies</t>
    </r>
    <r>
      <rPr>
        <b/>
        <sz val="11"/>
        <color theme="1"/>
        <rFont val="Calibri"/>
        <family val="2"/>
        <scheme val="minor"/>
      </rPr>
      <t xml:space="preserve"> ‐ emailed to PM or Planner and followed up on record CD</t>
    </r>
  </si>
  <si>
    <t>By DD submittal, final BOT version on record CD</t>
  </si>
  <si>
    <t>PSC Deliverable Item (Echo)</t>
  </si>
  <si>
    <t>ECHO COMPLETION LEVEL</t>
  </si>
  <si>
    <t>Tab A - Abbreviated phase label for Investigation/Memo/Report changed to "Investigation".  Appears in drop down choices below printed area.</t>
  </si>
  <si>
    <t>PSC Transmittal Guidance - Corrected conditional formatting for phase selection.  Clarified submittals for 08, 09, 20.</t>
  </si>
  <si>
    <t>Historic Illinois Building Survey</t>
  </si>
  <si>
    <t>IDNR Consultation (EcoCAT and results)</t>
  </si>
  <si>
    <t>Results of Environmental Impact Assessments or Statements</t>
  </si>
  <si>
    <t>Results of Archealogical Field Reports or Assessments</t>
  </si>
  <si>
    <t>Added Archeological &amp; Env Assessments to 04b</t>
  </si>
  <si>
    <t>Historic Illinois Engineering Record</t>
  </si>
  <si>
    <t>Added HIBS &amp; HIER Reports to item 09.</t>
  </si>
  <si>
    <t>Tab C - HIBS &amp; HIER reports added to item 09.</t>
  </si>
  <si>
    <t xml:space="preserve">           - Env Impact and Archealogical added to item 04b.</t>
  </si>
  <si>
    <t>Added deliverable code #'s (04a, 06, etc….) to the key.</t>
  </si>
  <si>
    <t>Fixed conditional formatting in the phase selection.</t>
  </si>
  <si>
    <t>F&amp;S Logo inserted in Footer of all sheets</t>
  </si>
  <si>
    <t>Reduced # of conceptualization paper house copies to 1.</t>
  </si>
  <si>
    <t>E</t>
  </si>
  <si>
    <t>Univ. of IL Facilities &amp; Services
117 PPSB (MC-800)
1501 S. Oak St.
Champaign, IL  61820</t>
  </si>
  <si>
    <t>Added line for email only recipients</t>
  </si>
  <si>
    <t>Responsibility
(PSC Team member)</t>
  </si>
  <si>
    <t>Added a column to the right - optional for PSC to assign the responsibility of the deliverable item or component to their team using PSC name initials</t>
  </si>
  <si>
    <r>
      <t>Renamed this tab to</t>
    </r>
    <r>
      <rPr>
        <b/>
        <u/>
        <sz val="10"/>
        <color rgb="FFC00000"/>
        <rFont val="Calibri"/>
        <family val="2"/>
        <scheme val="minor"/>
      </rPr>
      <t xml:space="preserve"> [A - Info_Phases_Recip.]</t>
    </r>
    <r>
      <rPr>
        <i/>
        <sz val="10"/>
        <color rgb="FFC00000"/>
        <rFont val="Calibri"/>
        <family val="2"/>
        <scheme val="minor"/>
      </rPr>
      <t xml:space="preserve"> formerly [00a-Feas. or Memo Min List]</t>
    </r>
  </si>
  <si>
    <t>Tab C - Added a optional column to the right for PSC to assign responsibility of deliverable item or component.</t>
  </si>
  <si>
    <r>
      <t>Email electronics only:</t>
    </r>
    <r>
      <rPr>
        <sz val="10"/>
        <color rgb="FF002060"/>
        <rFont val="Calibri"/>
        <family val="2"/>
        <scheme val="minor"/>
      </rPr>
      <t xml:space="preserve"> INSERT email addresses of recipients</t>
    </r>
  </si>
  <si>
    <t>ask</t>
  </si>
  <si>
    <t>Tab C- 06 Project Manual - Added Furniture Information Form and Audio / Visual Basis of Materials</t>
  </si>
  <si>
    <t>Furniture Information Form (FIF)</t>
  </si>
  <si>
    <t>Audio / Visual Basis of Material (AV BOM)</t>
  </si>
  <si>
    <t>Tabs 05-BID and 06-Const fixed echo of applicability (Y,N,?) formulas on last 8 sub-items of Project Manual</t>
  </si>
  <si>
    <t>General Item Name(s)</t>
  </si>
  <si>
    <r>
      <t xml:space="preserve">PSC Minimum List of Deliverables - General Item Name(s)
</t>
    </r>
    <r>
      <rPr>
        <sz val="12"/>
        <rFont val="Calibri"/>
        <family val="2"/>
        <scheme val="minor"/>
      </rPr>
      <t xml:space="preserve"> </t>
    </r>
    <r>
      <rPr>
        <i/>
        <sz val="12"/>
        <rFont val="Calibri"/>
        <family val="2"/>
        <scheme val="minor"/>
      </rPr>
      <t>(completeness level would be specific to phase)
 (Item's with only one * - Updates beyond first listed phase)</t>
    </r>
  </si>
  <si>
    <t>Items in the RPMLD come from:</t>
  </si>
  <si>
    <t>Tab C- Changed Label at the top of the page to include the "MLD" part.</t>
  </si>
  <si>
    <t>Fixed a missing formula in a hidden column which lines out traffic control plans if not selected.</t>
  </si>
  <si>
    <t>Changed Label of column to - "PSC Minimum List of Deliverables - General Item Name(s)"</t>
  </si>
  <si>
    <t>Fixed missing formula which lines out the traffic control drawings if not selected.</t>
  </si>
  <si>
    <t>Professional Services Agreement; Facility Standards; Scope/Program Statements; State Requirements; F&amp;S PM &amp; Planner recommendations</t>
  </si>
  <si>
    <t>if App.</t>
  </si>
  <si>
    <t>Full Size</t>
  </si>
  <si>
    <t>"D" Size,</t>
  </si>
  <si>
    <t>Added the column to repeat the size of the drawings, if any.  Removed the note to refer to Tab A for the # and size of copies for Design &amp; Const. Submittal Review</t>
  </si>
  <si>
    <t>https://www.fs.illinois.edu/docs/default-source/FIR/project-submittal-requirements.pdf</t>
  </si>
  <si>
    <t>Reconciliation with Owner's 3rd party scheduler</t>
  </si>
  <si>
    <t>Summary of Coordination with Owner's 3rd party scheduler</t>
  </si>
  <si>
    <t>Reconciliation with Owner's 3rd party estimater</t>
  </si>
  <si>
    <t>50% CD</t>
  </si>
  <si>
    <t>95% CD</t>
  </si>
  <si>
    <t>PM,D,DD</t>
  </si>
  <si>
    <r>
      <rPr>
        <b/>
        <sz val="10"/>
        <color theme="1"/>
        <rFont val="Calibri"/>
        <family val="2"/>
        <scheme val="minor"/>
      </rPr>
      <t xml:space="preserve">DD </t>
    </r>
    <r>
      <rPr>
        <sz val="10"/>
        <color theme="1"/>
        <rFont val="Calibri"/>
        <family val="2"/>
        <scheme val="minor"/>
      </rPr>
      <t xml:space="preserve">= link to digital download pdf and all native files (cad, word, excel, etc.)  </t>
    </r>
    <r>
      <rPr>
        <b/>
        <sz val="10"/>
        <color theme="1"/>
        <rFont val="Calibri"/>
        <family val="2"/>
        <scheme val="minor"/>
      </rPr>
      <t xml:space="preserve"> D</t>
    </r>
    <r>
      <rPr>
        <sz val="10"/>
        <color theme="1"/>
        <rFont val="Calibri"/>
        <family val="2"/>
        <scheme val="minor"/>
      </rPr>
      <t xml:space="preserve"> = </t>
    </r>
    <r>
      <rPr>
        <i/>
        <sz val="10"/>
        <color theme="1"/>
        <rFont val="Calibri"/>
        <family val="2"/>
        <scheme val="minor"/>
      </rPr>
      <t xml:space="preserve">paper </t>
    </r>
    <r>
      <rPr>
        <b/>
        <sz val="10"/>
        <color theme="1"/>
        <rFont val="Calibri"/>
        <family val="2"/>
        <scheme val="minor"/>
      </rPr>
      <t>Drawings,</t>
    </r>
    <r>
      <rPr>
        <sz val="10"/>
        <color theme="1"/>
        <rFont val="Calibri"/>
        <family val="2"/>
        <scheme val="minor"/>
      </rPr>
      <t xml:space="preserve">    </t>
    </r>
    <r>
      <rPr>
        <b/>
        <sz val="10"/>
        <color theme="1"/>
        <rFont val="Calibri"/>
        <family val="2"/>
        <scheme val="minor"/>
      </rPr>
      <t xml:space="preserve">E </t>
    </r>
    <r>
      <rPr>
        <sz val="10"/>
        <color theme="1"/>
        <rFont val="Calibri"/>
        <family val="2"/>
        <scheme val="minor"/>
      </rPr>
      <t>=</t>
    </r>
    <r>
      <rPr>
        <i/>
        <sz val="10"/>
        <color theme="1"/>
        <rFont val="Calibri"/>
        <family val="2"/>
        <scheme val="minor"/>
      </rPr>
      <t xml:space="preserve"> emailed </t>
    </r>
    <r>
      <rPr>
        <sz val="10"/>
        <color theme="1"/>
        <rFont val="Calibri"/>
        <family val="2"/>
        <scheme val="minor"/>
      </rPr>
      <t xml:space="preserve">pdfs or link to files,  </t>
    </r>
    <r>
      <rPr>
        <b/>
        <sz val="10"/>
        <color theme="1"/>
        <rFont val="Calibri"/>
        <family val="2"/>
        <scheme val="minor"/>
      </rPr>
      <t>e</t>
    </r>
    <r>
      <rPr>
        <sz val="10"/>
        <color theme="1"/>
        <rFont val="Calibri"/>
        <family val="2"/>
        <scheme val="minor"/>
      </rPr>
      <t xml:space="preserve"> = </t>
    </r>
    <r>
      <rPr>
        <i/>
        <sz val="10"/>
        <color theme="1"/>
        <rFont val="Calibri"/>
        <family val="2"/>
        <scheme val="minor"/>
      </rPr>
      <t>access</t>
    </r>
    <r>
      <rPr>
        <sz val="10"/>
        <color theme="1"/>
        <rFont val="Calibri"/>
        <family val="2"/>
        <scheme val="minor"/>
      </rPr>
      <t xml:space="preserve"> to F&amp;S files,   </t>
    </r>
    <r>
      <rPr>
        <b/>
        <sz val="10"/>
        <color theme="1"/>
        <rFont val="Calibri"/>
        <family val="2"/>
        <scheme val="minor"/>
      </rPr>
      <t xml:space="preserve">PR </t>
    </r>
    <r>
      <rPr>
        <sz val="10"/>
        <color theme="1"/>
        <rFont val="Calibri"/>
        <family val="2"/>
        <scheme val="minor"/>
      </rPr>
      <t xml:space="preserve">= </t>
    </r>
    <r>
      <rPr>
        <i/>
        <sz val="10"/>
        <color theme="1"/>
        <rFont val="Calibri"/>
        <family val="2"/>
        <scheme val="minor"/>
      </rPr>
      <t xml:space="preserve">paper </t>
    </r>
    <r>
      <rPr>
        <b/>
        <sz val="10"/>
        <color theme="1"/>
        <rFont val="Calibri"/>
        <family val="2"/>
        <scheme val="minor"/>
      </rPr>
      <t>Report,</t>
    </r>
    <r>
      <rPr>
        <sz val="10"/>
        <color theme="1"/>
        <rFont val="Calibri"/>
        <family val="2"/>
        <scheme val="minor"/>
      </rPr>
      <t xml:space="preserve">    
PBOD = paper Basis of Design,    </t>
    </r>
    <r>
      <rPr>
        <b/>
        <sz val="10"/>
        <color theme="1"/>
        <rFont val="Calibri"/>
        <family val="2"/>
        <scheme val="minor"/>
      </rPr>
      <t xml:space="preserve">PC </t>
    </r>
    <r>
      <rPr>
        <sz val="10"/>
        <color theme="1"/>
        <rFont val="Calibri"/>
        <family val="2"/>
        <scheme val="minor"/>
      </rPr>
      <t xml:space="preserve">= paper </t>
    </r>
    <r>
      <rPr>
        <b/>
        <sz val="10"/>
        <color theme="1"/>
        <rFont val="Calibri"/>
        <family val="2"/>
        <scheme val="minor"/>
      </rPr>
      <t>Calcs / Info</t>
    </r>
    <r>
      <rPr>
        <sz val="10"/>
        <color theme="1"/>
        <rFont val="Calibri"/>
        <family val="2"/>
        <scheme val="minor"/>
      </rPr>
      <t xml:space="preserve">,    </t>
    </r>
    <r>
      <rPr>
        <b/>
        <sz val="10"/>
        <color theme="1"/>
        <rFont val="Calibri"/>
        <family val="2"/>
        <scheme val="minor"/>
      </rPr>
      <t>FB</t>
    </r>
    <r>
      <rPr>
        <sz val="10"/>
        <color theme="1"/>
        <rFont val="Calibri"/>
        <family val="2"/>
        <scheme val="minor"/>
      </rPr>
      <t xml:space="preserve"> = </t>
    </r>
    <r>
      <rPr>
        <i/>
        <sz val="10"/>
        <color theme="1"/>
        <rFont val="Calibri"/>
        <family val="2"/>
        <scheme val="minor"/>
      </rPr>
      <t>hard copy</t>
    </r>
    <r>
      <rPr>
        <sz val="10"/>
        <color theme="1"/>
        <rFont val="Calibri"/>
        <family val="2"/>
        <scheme val="minor"/>
      </rPr>
      <t xml:space="preserve"> </t>
    </r>
    <r>
      <rPr>
        <b/>
        <sz val="10"/>
        <color theme="1"/>
        <rFont val="Calibri"/>
        <family val="2"/>
        <scheme val="minor"/>
      </rPr>
      <t>Finishes &amp; FF&amp;E Binder/Boards</t>
    </r>
    <r>
      <rPr>
        <sz val="10"/>
        <color theme="1"/>
        <rFont val="Calibri"/>
        <family val="2"/>
        <scheme val="minor"/>
      </rPr>
      <t xml:space="preserve">,   </t>
    </r>
    <r>
      <rPr>
        <b/>
        <sz val="10"/>
        <color theme="1"/>
        <rFont val="Calibri"/>
        <family val="2"/>
        <scheme val="minor"/>
      </rPr>
      <t>PM</t>
    </r>
    <r>
      <rPr>
        <sz val="10"/>
        <color theme="1"/>
        <rFont val="Calibri"/>
        <family val="2"/>
        <scheme val="minor"/>
      </rPr>
      <t xml:space="preserve"> = </t>
    </r>
    <r>
      <rPr>
        <i/>
        <sz val="10"/>
        <color theme="1"/>
        <rFont val="Calibri"/>
        <family val="2"/>
        <scheme val="minor"/>
      </rPr>
      <t>paper</t>
    </r>
    <r>
      <rPr>
        <sz val="10"/>
        <color theme="1"/>
        <rFont val="Calibri"/>
        <family val="2"/>
        <scheme val="minor"/>
      </rPr>
      <t xml:space="preserve"> </t>
    </r>
    <r>
      <rPr>
        <b/>
        <sz val="10"/>
        <color theme="1"/>
        <rFont val="Calibri"/>
        <family val="2"/>
        <scheme val="minor"/>
      </rPr>
      <t xml:space="preserve">Project Manual  </t>
    </r>
    <r>
      <rPr>
        <b/>
        <sz val="10"/>
        <color rgb="FFC00000"/>
        <rFont val="Calibri"/>
        <family val="2"/>
        <scheme val="minor"/>
      </rPr>
      <t xml:space="preserve">                                        * = As Applicable 
FOR ITEMS IN SUBMITTALS NOT ADDRESSED IN TABLE OR KEY ABOVE - See PSC Transmittal Guidance from PM/Planner </t>
    </r>
    <r>
      <rPr>
        <b/>
        <sz val="10"/>
        <color theme="1"/>
        <rFont val="Calibri"/>
        <family val="2"/>
        <scheme val="minor"/>
      </rPr>
      <t xml:space="preserve">
                                                                                                                   </t>
    </r>
  </si>
  <si>
    <t>o   Digital Download (DD) should contain:</t>
  </si>
  <si>
    <t>For more information:</t>
  </si>
  <si>
    <t>Printed (upon request) &amp; Digital Download</t>
  </si>
  <si>
    <r>
      <t xml:space="preserve">before review meeting, emailed to 
</t>
    </r>
    <r>
      <rPr>
        <b/>
        <i/>
        <sz val="11"/>
        <color rgb="FF0070C0"/>
        <rFont val="Calibri"/>
        <family val="2"/>
        <scheme val="minor"/>
      </rPr>
      <t xml:space="preserve">&lt;fandssubmittalrev@mx.uillinois.edu&gt; </t>
    </r>
    <r>
      <rPr>
        <b/>
        <sz val="11"/>
        <color theme="1"/>
        <rFont val="Calibri"/>
        <family val="2"/>
        <scheme val="minor"/>
      </rPr>
      <t xml:space="preserve">&amp; PM. </t>
    </r>
  </si>
  <si>
    <t>Study, Concept, Design or Construction Project Paper or Digital Download contents :</t>
  </si>
  <si>
    <t>Digital Download of native file and pdf of phase specific tab to PM &amp; Design and Construction Submittal Receiving</t>
  </si>
  <si>
    <t>Printed (upon request) &amp; electronic  (photographs) by Digital Download</t>
  </si>
  <si>
    <t>All tabs from B,C….Post Const. - Added subitems under 01 - Cost Estimate, &amp; 02-Schedule to account for reconciliation items for 3rd party reviews</t>
  </si>
  <si>
    <t>Tab A - Updated delivery methodology to include Digital Download instead of CD's. Removed more in house hard copies.  Only Closeouts require a physical copy.</t>
  </si>
  <si>
    <t>1</t>
  </si>
  <si>
    <t>2</t>
  </si>
  <si>
    <t>1 PM/D 
full-size,
DD</t>
  </si>
  <si>
    <t>Tab "PSC Transmittal Guidance" - updated lookup table for delivery methods to include new digital requirements.  Note - table is in hidden rows below and to the right of the printable area.</t>
  </si>
  <si>
    <t>Updated delivery methodology to include Digital Download instead of CD's. Removed more in house hard copies.  Only Closeouts require a physical copy.</t>
  </si>
  <si>
    <t>DO NOT DELETE ROWS BELOW (Dropdown choices)</t>
  </si>
  <si>
    <t>- Issue for Construction Set (then Update / Monitor for RFI, ASI, Field Directives, As-Built/Red Lines from Contactor)</t>
  </si>
  <si>
    <t>For 06 Project Manual &amp; 07 Drawings - changed the requirements at bid to list "&amp; Addenda" (so those would also be signed &amp; sealed)</t>
  </si>
  <si>
    <t>For 06 Project Manual &amp; 07 Drawings - changed the requirements at construction to list "- Issue for Construction set..("</t>
  </si>
  <si>
    <t>Tab C - For 06 Project Manual &amp; 07 Drawings - changed the requirements at bid to list "&amp; Addenda" (so those would also be signed &amp; sealed)</t>
  </si>
  <si>
    <t>Tab C - For 06 Project Manual &amp; 07 Drawings - changed the requirements at construction to list "- Issue for Construction set..("</t>
  </si>
  <si>
    <t>New, Remodeling, Remodeling/Addition, Demolition, Infrastructure, Utilities, Site Only, FEASIBILITY - No construction</t>
  </si>
  <si>
    <r>
      <t xml:space="preserve">Davenport Hall Addition &amp; Remodel </t>
    </r>
    <r>
      <rPr>
        <b/>
        <sz val="12"/>
        <color rgb="FFC00000"/>
        <rFont val="Calibri"/>
        <family val="2"/>
        <scheme val="minor"/>
      </rPr>
      <t>- Example</t>
    </r>
  </si>
  <si>
    <t>U12345</t>
  </si>
  <si>
    <t>John Smith</t>
  </si>
  <si>
    <t>Jane Doe</t>
  </si>
  <si>
    <t>0001</t>
  </si>
  <si>
    <t>Project Department(s):    Provost Office</t>
  </si>
  <si>
    <t xml:space="preserve">Campus Building, Suite 123
1234 Wright St.
Champaign, IL 61820
</t>
  </si>
  <si>
    <t xml:space="preserve">Project College (as applicable):     LAS       </t>
  </si>
  <si>
    <t xml:space="preserve">Campus Building, Suite 345
1234 Wright St.
Champaign, IL 61820
</t>
  </si>
  <si>
    <t xml:space="preserve">Other:    Campus Historic Preservation Officer                                                                                                              </t>
  </si>
  <si>
    <t>Facilities &amp; Services
1501 S. Oak St.
Champaign, IL  61820</t>
  </si>
  <si>
    <t>Smith</t>
  </si>
  <si>
    <t>Required adjacent property acquisitions</t>
  </si>
  <si>
    <t>Addenda to Project Manual and Drawings</t>
  </si>
  <si>
    <t xml:space="preserve">  (Signed &amp; Sealed including Bid Alts.)</t>
  </si>
  <si>
    <t xml:space="preserve"> (Signed &amp; Sealed)</t>
  </si>
  <si>
    <r>
      <rPr>
        <b/>
        <sz val="9"/>
        <color theme="1"/>
        <rFont val="Calibri"/>
        <family val="2"/>
        <scheme val="minor"/>
      </rPr>
      <t>DD =</t>
    </r>
    <r>
      <rPr>
        <sz val="9"/>
        <color theme="1"/>
        <rFont val="Calibri"/>
        <family val="2"/>
        <scheme val="minor"/>
      </rPr>
      <t xml:space="preserve"> link to digital download pdf and all native files (cad, word, excel, etc.)   </t>
    </r>
    <r>
      <rPr>
        <b/>
        <sz val="9"/>
        <color theme="1"/>
        <rFont val="Calibri"/>
        <family val="2"/>
        <scheme val="minor"/>
      </rPr>
      <t xml:space="preserve"> D</t>
    </r>
    <r>
      <rPr>
        <sz val="9"/>
        <color theme="1"/>
        <rFont val="Calibri"/>
        <family val="2"/>
        <scheme val="minor"/>
      </rPr>
      <t xml:space="preserve"> = paper</t>
    </r>
    <r>
      <rPr>
        <b/>
        <sz val="9"/>
        <color theme="1"/>
        <rFont val="Calibri"/>
        <family val="2"/>
        <scheme val="minor"/>
      </rPr>
      <t xml:space="preserve"> 07a</t>
    </r>
    <r>
      <rPr>
        <sz val="9"/>
        <color theme="1"/>
        <rFont val="Calibri"/>
        <family val="2"/>
        <scheme val="minor"/>
      </rPr>
      <t xml:space="preserve"> </t>
    </r>
    <r>
      <rPr>
        <b/>
        <sz val="9"/>
        <color theme="1"/>
        <rFont val="Calibri"/>
        <family val="2"/>
        <scheme val="minor"/>
      </rPr>
      <t>Drawings,</t>
    </r>
    <r>
      <rPr>
        <sz val="9"/>
        <color theme="1"/>
        <rFont val="Calibri"/>
        <family val="2"/>
        <scheme val="minor"/>
      </rPr>
      <t xml:space="preserve">    </t>
    </r>
    <r>
      <rPr>
        <b/>
        <sz val="9"/>
        <color theme="1"/>
        <rFont val="Calibri"/>
        <family val="2"/>
        <scheme val="minor"/>
      </rPr>
      <t xml:space="preserve">E </t>
    </r>
    <r>
      <rPr>
        <sz val="9"/>
        <color theme="1"/>
        <rFont val="Calibri"/>
        <family val="2"/>
        <scheme val="minor"/>
      </rPr>
      <t xml:space="preserve">= </t>
    </r>
    <r>
      <rPr>
        <i/>
        <sz val="9"/>
        <color theme="1"/>
        <rFont val="Calibri"/>
        <family val="2"/>
        <scheme val="minor"/>
      </rPr>
      <t xml:space="preserve">emailed </t>
    </r>
    <r>
      <rPr>
        <sz val="9"/>
        <color theme="1"/>
        <rFont val="Calibri"/>
        <family val="2"/>
        <scheme val="minor"/>
      </rPr>
      <t xml:space="preserve">pdfs,    </t>
    </r>
    <r>
      <rPr>
        <b/>
        <sz val="9"/>
        <color theme="1"/>
        <rFont val="Calibri"/>
        <family val="2"/>
        <scheme val="minor"/>
      </rPr>
      <t>e</t>
    </r>
    <r>
      <rPr>
        <sz val="9"/>
        <color theme="1"/>
        <rFont val="Calibri"/>
        <family val="2"/>
        <scheme val="minor"/>
      </rPr>
      <t xml:space="preserve"> =</t>
    </r>
    <r>
      <rPr>
        <i/>
        <sz val="9"/>
        <color theme="1"/>
        <rFont val="Calibri"/>
        <family val="2"/>
        <scheme val="minor"/>
      </rPr>
      <t xml:space="preserve"> backdoor internal access</t>
    </r>
    <r>
      <rPr>
        <sz val="9"/>
        <color theme="1"/>
        <rFont val="Calibri"/>
        <family val="2"/>
        <scheme val="minor"/>
      </rPr>
      <t xml:space="preserve"> to F&amp;S files,   
</t>
    </r>
    <r>
      <rPr>
        <b/>
        <sz val="9"/>
        <color theme="1"/>
        <rFont val="Calibri"/>
        <family val="2"/>
        <scheme val="minor"/>
      </rPr>
      <t xml:space="preserve">PR </t>
    </r>
    <r>
      <rPr>
        <sz val="9"/>
        <color theme="1"/>
        <rFont val="Calibri"/>
        <family val="2"/>
        <scheme val="minor"/>
      </rPr>
      <t xml:space="preserve">= </t>
    </r>
    <r>
      <rPr>
        <i/>
        <sz val="9"/>
        <color theme="1"/>
        <rFont val="Calibri"/>
        <family val="2"/>
        <scheme val="minor"/>
      </rPr>
      <t xml:space="preserve">paper </t>
    </r>
    <r>
      <rPr>
        <b/>
        <sz val="9"/>
        <color theme="1"/>
        <rFont val="Calibri"/>
        <family val="2"/>
        <scheme val="minor"/>
      </rPr>
      <t>04a Report,</t>
    </r>
    <r>
      <rPr>
        <sz val="9"/>
        <color theme="1"/>
        <rFont val="Calibri"/>
        <family val="2"/>
        <scheme val="minor"/>
      </rPr>
      <t xml:space="preserve">    </t>
    </r>
    <r>
      <rPr>
        <b/>
        <sz val="9"/>
        <color theme="1"/>
        <rFont val="Calibri"/>
        <family val="2"/>
        <scheme val="minor"/>
      </rPr>
      <t>PBOD</t>
    </r>
    <r>
      <rPr>
        <sz val="9"/>
        <color theme="1"/>
        <rFont val="Calibri"/>
        <family val="2"/>
        <scheme val="minor"/>
      </rPr>
      <t xml:space="preserve"> = </t>
    </r>
    <r>
      <rPr>
        <i/>
        <sz val="9"/>
        <color theme="1"/>
        <rFont val="Calibri"/>
        <family val="2"/>
        <scheme val="minor"/>
      </rPr>
      <t xml:space="preserve">paper </t>
    </r>
    <r>
      <rPr>
        <b/>
        <sz val="9"/>
        <color theme="1"/>
        <rFont val="Calibri"/>
        <family val="2"/>
        <scheme val="minor"/>
      </rPr>
      <t>04a</t>
    </r>
    <r>
      <rPr>
        <i/>
        <sz val="9"/>
        <color theme="1"/>
        <rFont val="Calibri"/>
        <family val="2"/>
        <scheme val="minor"/>
      </rPr>
      <t xml:space="preserve"> </t>
    </r>
    <r>
      <rPr>
        <b/>
        <sz val="9"/>
        <color theme="1"/>
        <rFont val="Calibri"/>
        <family val="2"/>
        <scheme val="minor"/>
      </rPr>
      <t>Basis of Design</t>
    </r>
    <r>
      <rPr>
        <sz val="9"/>
        <color theme="1"/>
        <rFont val="Calibri"/>
        <family val="2"/>
        <scheme val="minor"/>
      </rPr>
      <t xml:space="preserve">,    </t>
    </r>
    <r>
      <rPr>
        <b/>
        <sz val="9"/>
        <color theme="1"/>
        <rFont val="Calibri"/>
        <family val="2"/>
        <scheme val="minor"/>
      </rPr>
      <t>PC</t>
    </r>
    <r>
      <rPr>
        <sz val="9"/>
        <color theme="1"/>
        <rFont val="Calibri"/>
        <family val="2"/>
        <scheme val="minor"/>
      </rPr>
      <t xml:space="preserve"> = </t>
    </r>
    <r>
      <rPr>
        <i/>
        <sz val="9"/>
        <color theme="1"/>
        <rFont val="Calibri"/>
        <family val="2"/>
        <scheme val="minor"/>
      </rPr>
      <t xml:space="preserve">paper </t>
    </r>
    <r>
      <rPr>
        <b/>
        <sz val="9"/>
        <color theme="1"/>
        <rFont val="Calibri"/>
        <family val="2"/>
        <scheme val="minor"/>
      </rPr>
      <t>04b</t>
    </r>
    <r>
      <rPr>
        <i/>
        <sz val="9"/>
        <color theme="1"/>
        <rFont val="Calibri"/>
        <family val="2"/>
        <scheme val="minor"/>
      </rPr>
      <t xml:space="preserve"> </t>
    </r>
    <r>
      <rPr>
        <b/>
        <sz val="9"/>
        <color theme="1"/>
        <rFont val="Calibri"/>
        <family val="2"/>
        <scheme val="minor"/>
      </rPr>
      <t>Info / Calcs</t>
    </r>
    <r>
      <rPr>
        <sz val="9"/>
        <color theme="1"/>
        <rFont val="Calibri"/>
        <family val="2"/>
        <scheme val="minor"/>
      </rPr>
      <t xml:space="preserve">,      </t>
    </r>
    <r>
      <rPr>
        <b/>
        <sz val="9"/>
        <color theme="1"/>
        <rFont val="Calibri"/>
        <family val="2"/>
        <scheme val="minor"/>
      </rPr>
      <t>PM</t>
    </r>
    <r>
      <rPr>
        <sz val="9"/>
        <color theme="1"/>
        <rFont val="Calibri"/>
        <family val="2"/>
        <scheme val="minor"/>
      </rPr>
      <t xml:space="preserve"> = </t>
    </r>
    <r>
      <rPr>
        <i/>
        <sz val="9"/>
        <color theme="1"/>
        <rFont val="Calibri"/>
        <family val="2"/>
        <scheme val="minor"/>
      </rPr>
      <t xml:space="preserve">paper </t>
    </r>
    <r>
      <rPr>
        <b/>
        <sz val="9"/>
        <color theme="1"/>
        <rFont val="Calibri"/>
        <family val="2"/>
        <scheme val="minor"/>
      </rPr>
      <t xml:space="preserve">06 Project Manual,    
FB = </t>
    </r>
    <r>
      <rPr>
        <i/>
        <sz val="9"/>
        <color theme="1"/>
        <rFont val="Calibri"/>
        <family val="2"/>
        <scheme val="minor"/>
      </rPr>
      <t>hard copy</t>
    </r>
    <r>
      <rPr>
        <b/>
        <i/>
        <sz val="9"/>
        <color theme="1"/>
        <rFont val="Calibri"/>
        <family val="2"/>
        <scheme val="minor"/>
      </rPr>
      <t xml:space="preserve"> </t>
    </r>
    <r>
      <rPr>
        <b/>
        <sz val="9"/>
        <color theme="1"/>
        <rFont val="Calibri"/>
        <family val="2"/>
        <scheme val="minor"/>
      </rPr>
      <t xml:space="preserve">05a &amp; 05b Finishes Binder/Boards and/or FFE Binder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</si>
</sst>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m/d/yyyy;@"/>
    <numFmt numFmtId="165" formatCode="mm/dd/yy;@"/>
    <numFmt numFmtId="166" formatCode="m/d/yy;@"/>
    <numFmt numFmtId="167" formatCode="mm/dd/yyyy\ &quot;Template last updated by F&amp;S&quot;"/>
  </numFmts>
  <fonts count="325" x14ac:knownFonts="1">
    <font>
      <sz val="11"/>
      <color theme="1"/>
      <name val="Calibri"/>
      <family val="2"/>
      <scheme val="minor"/>
    </font>
    <font>
      <b/>
      <sz val="11"/>
      <color theme="1"/>
      <name val="Calibri"/>
      <family val="2"/>
      <scheme val="minor"/>
    </font>
    <font>
      <b/>
      <u/>
      <sz val="11"/>
      <color theme="1"/>
      <name val="Calibri"/>
      <family val="2"/>
      <scheme val="minor"/>
    </font>
    <font>
      <sz val="9"/>
      <color theme="1"/>
      <name val="Calibri"/>
      <family val="2"/>
      <scheme val="minor"/>
    </font>
    <font>
      <sz val="11"/>
      <color theme="1"/>
      <name val="Courier New"/>
      <family val="3"/>
    </font>
    <font>
      <sz val="8"/>
      <color theme="1"/>
      <name val="Calibri"/>
      <family val="2"/>
      <scheme val="minor"/>
    </font>
    <font>
      <sz val="10"/>
      <color theme="1"/>
      <name val="Calibri"/>
      <family val="2"/>
      <scheme val="minor"/>
    </font>
    <font>
      <b/>
      <sz val="10"/>
      <color theme="1"/>
      <name val="Calibri"/>
      <family val="2"/>
      <scheme val="minor"/>
    </font>
    <font>
      <b/>
      <sz val="16"/>
      <color theme="1"/>
      <name val="Calibri"/>
      <family val="2"/>
      <scheme val="minor"/>
    </font>
    <font>
      <b/>
      <sz val="9"/>
      <color theme="1"/>
      <name val="Calibri"/>
      <family val="2"/>
      <scheme val="minor"/>
    </font>
    <font>
      <sz val="8.5"/>
      <color theme="1"/>
      <name val="Calibri"/>
      <family val="2"/>
      <scheme val="minor"/>
    </font>
    <font>
      <sz val="10"/>
      <color theme="4" tint="-0.499984740745262"/>
      <name val="Calibri"/>
      <family val="2"/>
      <scheme val="minor"/>
    </font>
    <font>
      <sz val="11"/>
      <color rgb="FFC00000"/>
      <name val="Calibri"/>
      <family val="2"/>
      <scheme val="minor"/>
    </font>
    <font>
      <sz val="9"/>
      <color indexed="81"/>
      <name val="Tahoma"/>
      <family val="2"/>
    </font>
    <font>
      <b/>
      <sz val="9"/>
      <color indexed="81"/>
      <name val="Tahoma"/>
      <family val="2"/>
    </font>
    <font>
      <sz val="10"/>
      <color rgb="FFC00000"/>
      <name val="Calibri"/>
      <family val="2"/>
      <scheme val="minor"/>
    </font>
    <font>
      <b/>
      <sz val="10"/>
      <color rgb="FF002060"/>
      <name val="Calibri"/>
      <family val="2"/>
      <scheme val="minor"/>
    </font>
    <font>
      <sz val="10"/>
      <color rgb="FF002060"/>
      <name val="Calibri"/>
      <family val="2"/>
      <scheme val="minor"/>
    </font>
    <font>
      <u/>
      <sz val="11"/>
      <color theme="10"/>
      <name val="Calibri"/>
      <family val="2"/>
      <scheme val="minor"/>
    </font>
    <font>
      <i/>
      <u/>
      <sz val="10"/>
      <color rgb="FF002060"/>
      <name val="Calibri"/>
      <family val="2"/>
      <scheme val="minor"/>
    </font>
    <font>
      <sz val="11"/>
      <color theme="1"/>
      <name val="Calibri"/>
      <family val="2"/>
      <scheme val="minor"/>
    </font>
    <font>
      <sz val="12"/>
      <color rgb="FF002060"/>
      <name val="Calibri"/>
      <family val="2"/>
      <scheme val="minor"/>
    </font>
    <font>
      <sz val="14"/>
      <color rgb="FFC00000"/>
      <name val="Calibri"/>
      <family val="2"/>
      <scheme val="minor"/>
    </font>
    <font>
      <b/>
      <u/>
      <sz val="14"/>
      <color rgb="FFC00000"/>
      <name val="Calibri"/>
      <family val="2"/>
      <scheme val="minor"/>
    </font>
    <font>
      <u/>
      <sz val="11"/>
      <color theme="1"/>
      <name val="Calibri"/>
      <family val="2"/>
      <scheme val="minor"/>
    </font>
    <font>
      <sz val="11"/>
      <color rgb="FF002060"/>
      <name val="Calibri"/>
      <family val="2"/>
      <scheme val="minor"/>
    </font>
    <font>
      <i/>
      <sz val="10"/>
      <color theme="1"/>
      <name val="Calibri"/>
      <family val="2"/>
      <scheme val="minor"/>
    </font>
    <font>
      <sz val="11"/>
      <color theme="1"/>
      <name val="Symbol"/>
      <family val="1"/>
      <charset val="2"/>
    </font>
    <font>
      <i/>
      <sz val="11"/>
      <color theme="1"/>
      <name val="Calibri"/>
      <family val="2"/>
      <scheme val="minor"/>
    </font>
    <font>
      <b/>
      <u/>
      <sz val="12"/>
      <color theme="1"/>
      <name val="Calibri"/>
      <family val="2"/>
      <scheme val="minor"/>
    </font>
    <font>
      <b/>
      <sz val="12"/>
      <color theme="1"/>
      <name val="Calibri"/>
      <family val="2"/>
      <scheme val="minor"/>
    </font>
    <font>
      <b/>
      <sz val="14"/>
      <color theme="1"/>
      <name val="Calibri"/>
      <family val="2"/>
      <scheme val="minor"/>
    </font>
    <font>
      <b/>
      <u/>
      <sz val="14"/>
      <color theme="1"/>
      <name val="Calibri"/>
      <family val="2"/>
      <scheme val="minor"/>
    </font>
    <font>
      <b/>
      <sz val="10.5"/>
      <name val="Calibri"/>
      <family val="2"/>
      <scheme val="minor"/>
    </font>
    <font>
      <b/>
      <sz val="10.5"/>
      <color rgb="FFC00000"/>
      <name val="Calibri"/>
      <family val="2"/>
      <scheme val="minor"/>
    </font>
    <font>
      <b/>
      <u/>
      <sz val="10.5"/>
      <name val="Calibri"/>
      <family val="2"/>
      <scheme val="minor"/>
    </font>
    <font>
      <b/>
      <u/>
      <sz val="12"/>
      <color rgb="FFC00000"/>
      <name val="Calibri"/>
      <family val="2"/>
      <scheme val="minor"/>
    </font>
    <font>
      <sz val="11"/>
      <color theme="4" tint="-0.249977111117893"/>
      <name val="Calibri"/>
      <family val="2"/>
      <scheme val="minor"/>
    </font>
    <font>
      <b/>
      <sz val="11"/>
      <color theme="4" tint="-0.499984740745262"/>
      <name val="Calibri"/>
      <family val="2"/>
      <scheme val="minor"/>
    </font>
    <font>
      <i/>
      <sz val="11"/>
      <color theme="4" tint="-0.249977111117893"/>
      <name val="Calibri"/>
      <family val="2"/>
      <scheme val="minor"/>
    </font>
    <font>
      <sz val="11"/>
      <color rgb="FFFF0000"/>
      <name val="Courier New"/>
      <family val="3"/>
    </font>
    <font>
      <sz val="11"/>
      <color theme="1"/>
      <name val="Wingdings"/>
      <charset val="2"/>
    </font>
    <font>
      <b/>
      <u/>
      <sz val="11"/>
      <color rgb="FFFF0000"/>
      <name val="Calibri"/>
      <family val="2"/>
      <scheme val="minor"/>
    </font>
    <font>
      <b/>
      <sz val="11"/>
      <color rgb="FFC00000"/>
      <name val="Calibri"/>
      <family val="2"/>
      <scheme val="minor"/>
    </font>
    <font>
      <sz val="12"/>
      <color theme="1"/>
      <name val="Calibri"/>
      <family val="2"/>
      <scheme val="minor"/>
    </font>
    <font>
      <sz val="12"/>
      <color rgb="FFC00000"/>
      <name val="Calibri"/>
      <family val="2"/>
      <scheme val="minor"/>
    </font>
    <font>
      <b/>
      <sz val="14"/>
      <color theme="3"/>
      <name val="Calibri"/>
      <family val="2"/>
      <scheme val="minor"/>
    </font>
    <font>
      <sz val="11"/>
      <color theme="3"/>
      <name val="Calibri"/>
      <family val="2"/>
      <scheme val="minor"/>
    </font>
    <font>
      <b/>
      <sz val="10.5"/>
      <color theme="3"/>
      <name val="Calibri"/>
      <family val="2"/>
      <scheme val="minor"/>
    </font>
    <font>
      <b/>
      <strike/>
      <sz val="10.5"/>
      <color theme="3"/>
      <name val="Calibri"/>
      <family val="2"/>
      <scheme val="minor"/>
    </font>
    <font>
      <i/>
      <sz val="11"/>
      <color theme="3"/>
      <name val="Calibri"/>
      <family val="2"/>
      <scheme val="minor"/>
    </font>
    <font>
      <b/>
      <i/>
      <sz val="11"/>
      <color rgb="FFC00000"/>
      <name val="Calibri"/>
      <family val="2"/>
      <scheme val="minor"/>
    </font>
    <font>
      <b/>
      <u/>
      <sz val="16"/>
      <color theme="4" tint="-0.499984740745262"/>
      <name val="Calibri"/>
      <family val="2"/>
      <scheme val="minor"/>
    </font>
    <font>
      <b/>
      <u/>
      <sz val="11"/>
      <name val="Calibri"/>
      <family val="2"/>
      <scheme val="minor"/>
    </font>
    <font>
      <u/>
      <sz val="11"/>
      <color theme="4" tint="-0.249977111117893"/>
      <name val="Calibri"/>
      <family val="2"/>
      <scheme val="minor"/>
    </font>
    <font>
      <sz val="11"/>
      <color theme="4" tint="-0.499984740745262"/>
      <name val="Calibri"/>
      <family val="2"/>
      <scheme val="minor"/>
    </font>
    <font>
      <b/>
      <u/>
      <sz val="11"/>
      <color theme="4" tint="-0.499984740745262"/>
      <name val="Calibri"/>
      <family val="2"/>
      <scheme val="minor"/>
    </font>
    <font>
      <strike/>
      <sz val="11"/>
      <color theme="4" tint="-0.499984740745262"/>
      <name val="Calibri"/>
      <family val="2"/>
      <scheme val="minor"/>
    </font>
    <font>
      <b/>
      <u/>
      <sz val="9"/>
      <color indexed="81"/>
      <name val="Tahoma"/>
      <family val="2"/>
    </font>
    <font>
      <i/>
      <sz val="9"/>
      <color indexed="81"/>
      <name val="Tahoma"/>
      <family val="2"/>
    </font>
    <font>
      <b/>
      <i/>
      <sz val="9"/>
      <color indexed="81"/>
      <name val="Tahoma"/>
      <family val="2"/>
    </font>
    <font>
      <b/>
      <u/>
      <sz val="12"/>
      <color theme="3"/>
      <name val="Calibri"/>
      <family val="2"/>
      <scheme val="minor"/>
    </font>
    <font>
      <b/>
      <i/>
      <sz val="9"/>
      <color theme="3"/>
      <name val="Calibri"/>
      <family val="2"/>
      <scheme val="minor"/>
    </font>
    <font>
      <i/>
      <sz val="9"/>
      <color theme="3"/>
      <name val="Calibri"/>
      <family val="2"/>
      <scheme val="minor"/>
    </font>
    <font>
      <i/>
      <sz val="10"/>
      <color theme="3"/>
      <name val="Calibri"/>
      <family val="2"/>
      <scheme val="minor"/>
    </font>
    <font>
      <i/>
      <strike/>
      <sz val="10"/>
      <color theme="3"/>
      <name val="Calibri"/>
      <family val="2"/>
      <scheme val="minor"/>
    </font>
    <font>
      <b/>
      <u/>
      <sz val="14"/>
      <color theme="6" tint="-0.499984740745262"/>
      <name val="Calibri"/>
      <family val="2"/>
      <scheme val="minor"/>
    </font>
    <font>
      <b/>
      <sz val="10"/>
      <name val="Arial"/>
      <family val="2"/>
    </font>
    <font>
      <b/>
      <i/>
      <sz val="8"/>
      <color theme="1"/>
      <name val="Calibri"/>
      <family val="2"/>
      <scheme val="minor"/>
    </font>
    <font>
      <i/>
      <u/>
      <sz val="9"/>
      <color theme="10"/>
      <name val="Calibri"/>
      <family val="2"/>
      <scheme val="minor"/>
    </font>
    <font>
      <b/>
      <i/>
      <u/>
      <sz val="14"/>
      <color theme="1"/>
      <name val="Calibri"/>
      <family val="2"/>
      <scheme val="minor"/>
    </font>
    <font>
      <i/>
      <sz val="11"/>
      <color theme="6" tint="-0.499984740745262"/>
      <name val="Calibri"/>
      <family val="2"/>
      <scheme val="minor"/>
    </font>
    <font>
      <i/>
      <sz val="11"/>
      <name val="Calibri"/>
      <family val="2"/>
      <scheme val="minor"/>
    </font>
    <font>
      <b/>
      <i/>
      <u/>
      <sz val="14"/>
      <color theme="6" tint="-0.499984740745262"/>
      <name val="Calibri"/>
      <family val="2"/>
      <scheme val="minor"/>
    </font>
    <font>
      <i/>
      <u/>
      <sz val="11"/>
      <color theme="1"/>
      <name val="Calibri"/>
      <family val="2"/>
      <scheme val="minor"/>
    </font>
    <font>
      <b/>
      <u/>
      <sz val="14"/>
      <name val="Calibri"/>
      <family val="2"/>
      <scheme val="minor"/>
    </font>
    <font>
      <b/>
      <sz val="10.5"/>
      <color theme="6" tint="-0.499984740745262"/>
      <name val="Calibri"/>
      <family val="2"/>
      <scheme val="minor"/>
    </font>
    <font>
      <b/>
      <i/>
      <sz val="14"/>
      <color rgb="FFC00000"/>
      <name val="Calibri"/>
      <family val="2"/>
      <scheme val="minor"/>
    </font>
    <font>
      <i/>
      <sz val="10"/>
      <color theme="4" tint="-0.499984740745262"/>
      <name val="Calibri"/>
      <family val="2"/>
      <scheme val="minor"/>
    </font>
    <font>
      <i/>
      <sz val="9"/>
      <color rgb="FFC00000"/>
      <name val="Calibri"/>
      <family val="2"/>
      <scheme val="minor"/>
    </font>
    <font>
      <sz val="10"/>
      <name val="Arial"/>
      <family val="2"/>
    </font>
    <font>
      <i/>
      <sz val="10"/>
      <name val="Arial"/>
      <family val="2"/>
    </font>
    <font>
      <b/>
      <i/>
      <u/>
      <sz val="12"/>
      <color theme="1"/>
      <name val="Calibri"/>
      <family val="2"/>
      <scheme val="minor"/>
    </font>
    <font>
      <b/>
      <i/>
      <sz val="10"/>
      <color rgb="FFC00000"/>
      <name val="Calibri"/>
      <family val="2"/>
      <scheme val="minor"/>
    </font>
    <font>
      <u/>
      <sz val="9"/>
      <color indexed="81"/>
      <name val="Tahoma"/>
      <family val="2"/>
    </font>
    <font>
      <i/>
      <sz val="10"/>
      <color rgb="FF002060"/>
      <name val="Calibri"/>
      <family val="2"/>
      <scheme val="minor"/>
    </font>
    <font>
      <i/>
      <sz val="11"/>
      <color rgb="FF002060"/>
      <name val="Calibri"/>
      <family val="2"/>
      <scheme val="minor"/>
    </font>
    <font>
      <b/>
      <i/>
      <sz val="12"/>
      <color rgb="FFC00000"/>
      <name val="Calibri"/>
      <family val="2"/>
      <scheme val="minor"/>
    </font>
    <font>
      <b/>
      <sz val="12"/>
      <color rgb="FFC00000"/>
      <name val="Calibri"/>
      <family val="2"/>
      <scheme val="minor"/>
    </font>
    <font>
      <b/>
      <sz val="14"/>
      <color rgb="FFC00000"/>
      <name val="Calibri"/>
      <family val="2"/>
      <scheme val="minor"/>
    </font>
    <font>
      <i/>
      <sz val="10"/>
      <color rgb="FFC00000"/>
      <name val="Calibri"/>
      <family val="2"/>
      <scheme val="minor"/>
    </font>
    <font>
      <i/>
      <sz val="10.5"/>
      <name val="Calibri"/>
      <family val="2"/>
      <scheme val="minor"/>
    </font>
    <font>
      <i/>
      <sz val="8"/>
      <color theme="1"/>
      <name val="Calibri"/>
      <family val="2"/>
      <scheme val="minor"/>
    </font>
    <font>
      <sz val="9"/>
      <color rgb="FF002060"/>
      <name val="Calibri"/>
      <family val="2"/>
      <scheme val="minor"/>
    </font>
    <font>
      <b/>
      <i/>
      <u/>
      <sz val="11"/>
      <color theme="1"/>
      <name val="Calibri"/>
      <family val="2"/>
      <scheme val="minor"/>
    </font>
    <font>
      <i/>
      <sz val="11"/>
      <color rgb="FFC00000"/>
      <name val="Calibri"/>
      <family val="2"/>
      <scheme val="minor"/>
    </font>
    <font>
      <b/>
      <i/>
      <sz val="10.5"/>
      <color theme="6" tint="-0.499984740745262"/>
      <name val="Calibri"/>
      <family val="2"/>
      <scheme val="minor"/>
    </font>
    <font>
      <b/>
      <u/>
      <sz val="10"/>
      <color rgb="FFC00000"/>
      <name val="Calibri"/>
      <family val="2"/>
      <scheme val="minor"/>
    </font>
    <font>
      <b/>
      <u/>
      <sz val="11"/>
      <color rgb="FFC00000"/>
      <name val="Calibri"/>
      <family val="2"/>
      <scheme val="minor"/>
    </font>
    <font>
      <b/>
      <u/>
      <sz val="12"/>
      <color theme="4" tint="-0.499984740745262"/>
      <name val="Calibri"/>
      <family val="2"/>
      <scheme val="minor"/>
    </font>
    <font>
      <i/>
      <sz val="9"/>
      <color theme="1"/>
      <name val="Calibri"/>
      <family val="2"/>
      <scheme val="minor"/>
    </font>
    <font>
      <sz val="11"/>
      <color rgb="FF7030A0"/>
      <name val="Calibri"/>
      <family val="2"/>
      <scheme val="minor"/>
    </font>
    <font>
      <i/>
      <sz val="10"/>
      <name val="Calibri"/>
      <family val="2"/>
      <scheme val="minor"/>
    </font>
    <font>
      <sz val="11"/>
      <color theme="6" tint="-0.499984740745262"/>
      <name val="Calibri"/>
      <family val="2"/>
      <scheme val="minor"/>
    </font>
    <font>
      <b/>
      <i/>
      <sz val="11"/>
      <color theme="1"/>
      <name val="Calibri"/>
      <family val="2"/>
      <scheme val="minor"/>
    </font>
    <font>
      <vertAlign val="superscript"/>
      <sz val="11"/>
      <color theme="1"/>
      <name val="Calibri"/>
      <family val="2"/>
      <scheme val="minor"/>
    </font>
    <font>
      <vertAlign val="superscript"/>
      <sz val="10"/>
      <color theme="1"/>
      <name val="Calibri"/>
      <family val="2"/>
      <scheme val="minor"/>
    </font>
    <font>
      <b/>
      <i/>
      <sz val="9"/>
      <color theme="1"/>
      <name val="Calibri"/>
      <family val="2"/>
      <scheme val="minor"/>
    </font>
    <font>
      <sz val="9"/>
      <color theme="4" tint="-0.499984740745262"/>
      <name val="Calibri"/>
      <family val="2"/>
      <scheme val="minor"/>
    </font>
    <font>
      <sz val="11"/>
      <name val="Calibri"/>
      <family val="2"/>
      <scheme val="minor"/>
    </font>
    <font>
      <sz val="9"/>
      <color rgb="FFC00000"/>
      <name val="Calibri"/>
      <family val="2"/>
      <scheme val="minor"/>
    </font>
    <font>
      <b/>
      <sz val="14"/>
      <name val="Calibri"/>
      <family val="2"/>
      <scheme val="minor"/>
    </font>
    <font>
      <b/>
      <sz val="11"/>
      <name val="Calibri"/>
      <family val="2"/>
      <scheme val="minor"/>
    </font>
    <font>
      <b/>
      <sz val="14"/>
      <color theme="6" tint="-0.499984740745262"/>
      <name val="Calibri"/>
      <family val="2"/>
      <scheme val="minor"/>
    </font>
    <font>
      <b/>
      <u/>
      <sz val="11.5"/>
      <color theme="3"/>
      <name val="Calibri"/>
      <family val="2"/>
      <scheme val="minor"/>
    </font>
    <font>
      <i/>
      <sz val="10"/>
      <color rgb="FFC00000"/>
      <name val="Arial"/>
      <family val="2"/>
    </font>
    <font>
      <b/>
      <sz val="12"/>
      <color theme="0"/>
      <name val="Calibri"/>
      <family val="2"/>
      <scheme val="minor"/>
    </font>
    <font>
      <b/>
      <sz val="10"/>
      <color rgb="FFC00000"/>
      <name val="Calibri"/>
      <family val="2"/>
      <scheme val="minor"/>
    </font>
    <font>
      <b/>
      <u/>
      <sz val="14"/>
      <color theme="0"/>
      <name val="Calibri"/>
      <family val="2"/>
      <scheme val="minor"/>
    </font>
    <font>
      <sz val="8"/>
      <color theme="0"/>
      <name val="Calibri"/>
      <family val="2"/>
      <scheme val="minor"/>
    </font>
    <font>
      <sz val="10"/>
      <color theme="0"/>
      <name val="Calibri"/>
      <family val="2"/>
      <scheme val="minor"/>
    </font>
    <font>
      <b/>
      <sz val="10"/>
      <color theme="0"/>
      <name val="Calibri"/>
      <family val="2"/>
      <scheme val="minor"/>
    </font>
    <font>
      <b/>
      <i/>
      <u/>
      <sz val="11"/>
      <color rgb="FFC00000"/>
      <name val="Calibri"/>
      <family val="2"/>
      <scheme val="minor"/>
    </font>
    <font>
      <b/>
      <i/>
      <sz val="10"/>
      <color theme="6" tint="-0.499984740745262"/>
      <name val="Calibri"/>
      <family val="2"/>
      <scheme val="minor"/>
    </font>
    <font>
      <b/>
      <i/>
      <sz val="10"/>
      <color theme="7" tint="-0.249977111117893"/>
      <name val="Calibri"/>
      <family val="2"/>
      <scheme val="minor"/>
    </font>
    <font>
      <b/>
      <i/>
      <sz val="10"/>
      <color theme="4" tint="-0.499984740745262"/>
      <name val="Calibri"/>
      <family val="2"/>
      <scheme val="minor"/>
    </font>
    <font>
      <b/>
      <sz val="11"/>
      <color theme="4" tint="-0.249977111117893"/>
      <name val="Calibri"/>
      <family val="2"/>
      <scheme val="minor"/>
    </font>
    <font>
      <i/>
      <u/>
      <sz val="9"/>
      <color indexed="81"/>
      <name val="Tahoma"/>
      <family val="2"/>
    </font>
    <font>
      <i/>
      <sz val="10"/>
      <color rgb="FF7030A0"/>
      <name val="Calibri"/>
      <family val="2"/>
      <scheme val="minor"/>
    </font>
    <font>
      <i/>
      <sz val="10"/>
      <color theme="6" tint="-0.499984740745262"/>
      <name val="Calibri"/>
      <family val="2"/>
      <scheme val="minor"/>
    </font>
    <font>
      <i/>
      <sz val="12"/>
      <color theme="1"/>
      <name val="Calibri"/>
      <family val="2"/>
      <scheme val="minor"/>
    </font>
    <font>
      <sz val="8"/>
      <name val="Calibri"/>
      <family val="2"/>
      <scheme val="minor"/>
    </font>
    <font>
      <sz val="10"/>
      <name val="Calibri"/>
      <family val="2"/>
      <scheme val="minor"/>
    </font>
    <font>
      <b/>
      <sz val="12"/>
      <name val="Calibri"/>
      <family val="2"/>
      <scheme val="minor"/>
    </font>
    <font>
      <i/>
      <sz val="8"/>
      <color rgb="FFC00000"/>
      <name val="Calibri"/>
      <family val="2"/>
      <scheme val="minor"/>
    </font>
    <font>
      <sz val="11"/>
      <color rgb="FFFF0000"/>
      <name val="Calibri"/>
      <family val="2"/>
      <scheme val="minor"/>
    </font>
    <font>
      <b/>
      <u/>
      <sz val="16"/>
      <color theme="1"/>
      <name val="Calibri"/>
      <family val="2"/>
      <scheme val="minor"/>
    </font>
    <font>
      <b/>
      <i/>
      <sz val="10"/>
      <color theme="1"/>
      <name val="Calibri"/>
      <family val="2"/>
      <scheme val="minor"/>
    </font>
    <font>
      <b/>
      <sz val="10"/>
      <color theme="7" tint="-0.249977111117893"/>
      <name val="Arial"/>
      <family val="2"/>
    </font>
    <font>
      <b/>
      <sz val="9"/>
      <color theme="0"/>
      <name val="Calibri"/>
      <family val="2"/>
      <scheme val="minor"/>
    </font>
    <font>
      <sz val="9"/>
      <name val="Calibri"/>
      <family val="2"/>
      <scheme val="minor"/>
    </font>
    <font>
      <sz val="14"/>
      <color theme="1"/>
      <name val="Calibri"/>
      <family val="2"/>
      <scheme val="minor"/>
    </font>
    <font>
      <u/>
      <sz val="11"/>
      <name val="Calibri"/>
      <family val="2"/>
      <scheme val="minor"/>
    </font>
    <font>
      <b/>
      <u/>
      <sz val="11"/>
      <color theme="4" tint="-0.249977111117893"/>
      <name val="Calibri"/>
      <family val="2"/>
      <scheme val="minor"/>
    </font>
    <font>
      <sz val="9.5"/>
      <color rgb="FFC00000"/>
      <name val="Calibri"/>
      <family val="2"/>
      <scheme val="minor"/>
    </font>
    <font>
      <sz val="9.5"/>
      <color theme="4" tint="-0.499984740745262"/>
      <name val="Calibri"/>
      <family val="2"/>
      <scheme val="minor"/>
    </font>
    <font>
      <sz val="11"/>
      <color theme="0"/>
      <name val="Calibri"/>
      <family val="2"/>
      <scheme val="minor"/>
    </font>
    <font>
      <sz val="9.5"/>
      <color theme="0"/>
      <name val="Calibri"/>
      <family val="2"/>
      <scheme val="minor"/>
    </font>
    <font>
      <b/>
      <u/>
      <sz val="16"/>
      <color theme="0"/>
      <name val="Calibri"/>
      <family val="2"/>
      <scheme val="minor"/>
    </font>
    <font>
      <sz val="9.5"/>
      <color theme="1" tint="0.34998626667073579"/>
      <name val="Calibri"/>
      <family val="2"/>
      <scheme val="minor"/>
    </font>
    <font>
      <b/>
      <u/>
      <sz val="16"/>
      <color theme="1" tint="0.34998626667073579"/>
      <name val="Calibri"/>
      <family val="2"/>
      <scheme val="minor"/>
    </font>
    <font>
      <b/>
      <i/>
      <u/>
      <sz val="11"/>
      <color theme="4" tint="-0.249977111117893"/>
      <name val="Calibri"/>
      <family val="2"/>
      <scheme val="minor"/>
    </font>
    <font>
      <b/>
      <i/>
      <sz val="12"/>
      <color rgb="FF7030A0"/>
      <name val="Calibri"/>
      <family val="2"/>
      <scheme val="minor"/>
    </font>
    <font>
      <i/>
      <sz val="9.5"/>
      <name val="Calibri"/>
      <family val="2"/>
      <scheme val="minor"/>
    </font>
    <font>
      <b/>
      <i/>
      <sz val="10"/>
      <name val="Calibri"/>
      <family val="2"/>
      <scheme val="minor"/>
    </font>
    <font>
      <b/>
      <sz val="10"/>
      <color theme="4" tint="-0.249977111117893"/>
      <name val="Arial"/>
      <family val="2"/>
    </font>
    <font>
      <b/>
      <sz val="10"/>
      <color theme="9" tint="-0.499984740745262"/>
      <name val="Arial"/>
      <family val="2"/>
    </font>
    <font>
      <sz val="14"/>
      <color theme="4" tint="-0.249977111117893"/>
      <name val="Calibri"/>
      <family val="2"/>
      <scheme val="minor"/>
    </font>
    <font>
      <i/>
      <sz val="11"/>
      <color theme="4" tint="-0.499984740745262"/>
      <name val="Calibri"/>
      <family val="2"/>
      <scheme val="minor"/>
    </font>
    <font>
      <u/>
      <sz val="10"/>
      <name val="Calibri"/>
      <family val="2"/>
      <scheme val="minor"/>
    </font>
    <font>
      <u/>
      <sz val="10"/>
      <color theme="1"/>
      <name val="Calibri"/>
      <family val="2"/>
      <scheme val="minor"/>
    </font>
    <font>
      <b/>
      <u/>
      <sz val="16"/>
      <name val="Calibri"/>
      <family val="2"/>
      <scheme val="minor"/>
    </font>
    <font>
      <b/>
      <sz val="10"/>
      <color theme="4" tint="-0.499984740745262"/>
      <name val="Calibri"/>
      <family val="2"/>
      <scheme val="minor"/>
    </font>
    <font>
      <b/>
      <u/>
      <sz val="11.5"/>
      <color theme="1"/>
      <name val="Calibri"/>
      <family val="2"/>
      <scheme val="minor"/>
    </font>
    <font>
      <i/>
      <u/>
      <sz val="11"/>
      <name val="Calibri"/>
      <family val="2"/>
      <scheme val="minor"/>
    </font>
    <font>
      <b/>
      <i/>
      <sz val="10.5"/>
      <name val="Calibri"/>
      <family val="2"/>
      <scheme val="minor"/>
    </font>
    <font>
      <sz val="10.5"/>
      <name val="Calibri"/>
      <family val="2"/>
      <scheme val="minor"/>
    </font>
    <font>
      <b/>
      <u/>
      <sz val="10"/>
      <color theme="1"/>
      <name val="Calibri"/>
      <family val="2"/>
      <scheme val="minor"/>
    </font>
    <font>
      <sz val="12"/>
      <name val="Calibri"/>
      <family val="2"/>
      <scheme val="minor"/>
    </font>
    <font>
      <b/>
      <u/>
      <sz val="14"/>
      <color theme="4" tint="-0.499984740745262"/>
      <name val="Calibri"/>
      <family val="2"/>
      <scheme val="minor"/>
    </font>
    <font>
      <i/>
      <u/>
      <sz val="9"/>
      <name val="Calibri"/>
      <family val="2"/>
      <scheme val="minor"/>
    </font>
    <font>
      <sz val="9.5"/>
      <name val="Calibri"/>
      <family val="2"/>
      <scheme val="minor"/>
    </font>
    <font>
      <i/>
      <u/>
      <sz val="10"/>
      <name val="Calibri"/>
      <family val="2"/>
      <scheme val="minor"/>
    </font>
    <font>
      <b/>
      <i/>
      <sz val="11"/>
      <name val="Calibri"/>
      <family val="2"/>
      <scheme val="minor"/>
    </font>
    <font>
      <b/>
      <u/>
      <sz val="11"/>
      <color rgb="FF2B7789"/>
      <name val="Calibri"/>
      <family val="2"/>
      <scheme val="minor"/>
    </font>
    <font>
      <i/>
      <sz val="11"/>
      <color rgb="FF2B7789"/>
      <name val="Calibri"/>
      <family val="2"/>
      <scheme val="minor"/>
    </font>
    <font>
      <b/>
      <u/>
      <sz val="11"/>
      <color theme="3"/>
      <name val="Calibri"/>
      <family val="2"/>
      <scheme val="minor"/>
    </font>
    <font>
      <b/>
      <u/>
      <sz val="11"/>
      <color theme="3" tint="0.39997558519241921"/>
      <name val="Calibri"/>
      <family val="2"/>
      <scheme val="minor"/>
    </font>
    <font>
      <i/>
      <sz val="11"/>
      <color theme="3" tint="0.39997558519241921"/>
      <name val="Calibri"/>
      <family val="2"/>
      <scheme val="minor"/>
    </font>
    <font>
      <b/>
      <u/>
      <sz val="11"/>
      <color rgb="FF002060"/>
      <name val="Calibri"/>
      <family val="2"/>
      <scheme val="minor"/>
    </font>
    <font>
      <b/>
      <u/>
      <sz val="11"/>
      <color theme="7" tint="0.59999389629810485"/>
      <name val="Calibri"/>
      <family val="2"/>
      <scheme val="minor"/>
    </font>
    <font>
      <i/>
      <sz val="11"/>
      <color theme="7" tint="0.59999389629810485"/>
      <name val="Calibri"/>
      <family val="2"/>
      <scheme val="minor"/>
    </font>
    <font>
      <b/>
      <u/>
      <sz val="11"/>
      <color theme="7"/>
      <name val="Calibri"/>
      <family val="2"/>
      <scheme val="minor"/>
    </font>
    <font>
      <i/>
      <sz val="11"/>
      <color theme="7"/>
      <name val="Calibri"/>
      <family val="2"/>
      <scheme val="minor"/>
    </font>
    <font>
      <b/>
      <u/>
      <sz val="11"/>
      <color rgb="FF7030A0"/>
      <name val="Calibri"/>
      <family val="2"/>
      <scheme val="minor"/>
    </font>
    <font>
      <i/>
      <sz val="11"/>
      <color rgb="FF7030A0"/>
      <name val="Calibri"/>
      <family val="2"/>
      <scheme val="minor"/>
    </font>
    <font>
      <b/>
      <u/>
      <sz val="11"/>
      <color theme="7" tint="-0.499984740745262"/>
      <name val="Calibri"/>
      <family val="2"/>
      <scheme val="minor"/>
    </font>
    <font>
      <i/>
      <sz val="11"/>
      <color theme="7" tint="-0.499984740745262"/>
      <name val="Calibri"/>
      <family val="2"/>
      <scheme val="minor"/>
    </font>
    <font>
      <b/>
      <sz val="12"/>
      <color theme="5" tint="-0.249977111117893"/>
      <name val="Calibri"/>
      <family val="2"/>
      <scheme val="minor"/>
    </font>
    <font>
      <i/>
      <sz val="9"/>
      <color theme="5" tint="-0.249977111117893"/>
      <name val="Calibri"/>
      <family val="2"/>
      <scheme val="minor"/>
    </font>
    <font>
      <i/>
      <u/>
      <sz val="10"/>
      <color theme="3"/>
      <name val="Calibri"/>
      <family val="2"/>
      <scheme val="minor"/>
    </font>
    <font>
      <sz val="11"/>
      <color rgb="FF2B7789"/>
      <name val="Calibri"/>
      <family val="2"/>
      <scheme val="minor"/>
    </font>
    <font>
      <sz val="11"/>
      <color theme="7" tint="-0.249977111117893"/>
      <name val="Calibri"/>
      <family val="2"/>
      <scheme val="minor"/>
    </font>
    <font>
      <sz val="11"/>
      <color theme="7" tint="-0.499984740745262"/>
      <name val="Calibri"/>
      <family val="2"/>
      <scheme val="minor"/>
    </font>
    <font>
      <sz val="11"/>
      <color theme="7" tint="0.59999389629810485"/>
      <name val="Calibri"/>
      <family val="2"/>
      <scheme val="minor"/>
    </font>
    <font>
      <sz val="11"/>
      <color theme="3" tint="-0.499984740745262"/>
      <name val="Calibri"/>
      <family val="2"/>
      <scheme val="minor"/>
    </font>
    <font>
      <sz val="11"/>
      <color theme="3" tint="0.39997558519241921"/>
      <name val="Calibri"/>
      <family val="2"/>
      <scheme val="minor"/>
    </font>
    <font>
      <sz val="11"/>
      <color theme="3" tint="-0.249977111117893"/>
      <name val="Calibri"/>
      <family val="2"/>
      <scheme val="minor"/>
    </font>
    <font>
      <b/>
      <sz val="12"/>
      <color rgb="FF2B7789"/>
      <name val="Calibri"/>
      <family val="2"/>
      <scheme val="minor"/>
    </font>
    <font>
      <b/>
      <sz val="12"/>
      <color theme="4" tint="-0.249977111117893"/>
      <name val="Calibri"/>
      <family val="2"/>
      <scheme val="minor"/>
    </font>
    <font>
      <b/>
      <sz val="12"/>
      <color theme="3" tint="-0.249977111117893"/>
      <name val="Calibri"/>
      <family val="2"/>
      <scheme val="minor"/>
    </font>
    <font>
      <b/>
      <sz val="12"/>
      <color theme="3" tint="-0.499984740745262"/>
      <name val="Calibri"/>
      <family val="2"/>
      <scheme val="minor"/>
    </font>
    <font>
      <b/>
      <sz val="12"/>
      <color theme="7" tint="0.59999389629810485"/>
      <name val="Calibri"/>
      <family val="2"/>
      <scheme val="minor"/>
    </font>
    <font>
      <b/>
      <sz val="12"/>
      <color theme="7" tint="-0.249977111117893"/>
      <name val="Calibri"/>
      <family val="2"/>
      <scheme val="minor"/>
    </font>
    <font>
      <b/>
      <sz val="12"/>
      <color rgb="FF7030A0"/>
      <name val="Calibri"/>
      <family val="2"/>
      <scheme val="minor"/>
    </font>
    <font>
      <b/>
      <sz val="12"/>
      <color theme="7" tint="-0.499984740745262"/>
      <name val="Calibri"/>
      <family val="2"/>
      <scheme val="minor"/>
    </font>
    <font>
      <i/>
      <sz val="11"/>
      <color theme="3" tint="-0.249977111117893"/>
      <name val="Calibri"/>
      <family val="2"/>
      <scheme val="minor"/>
    </font>
    <font>
      <i/>
      <sz val="11"/>
      <color theme="3" tint="-0.499984740745262"/>
      <name val="Calibri"/>
      <family val="2"/>
      <scheme val="minor"/>
    </font>
    <font>
      <i/>
      <sz val="11"/>
      <color theme="7" tint="-0.249977111117893"/>
      <name val="Calibri"/>
      <family val="2"/>
      <scheme val="minor"/>
    </font>
    <font>
      <b/>
      <sz val="9"/>
      <color theme="4" tint="-0.499984740745262"/>
      <name val="Calibri"/>
      <family val="2"/>
      <scheme val="minor"/>
    </font>
    <font>
      <b/>
      <i/>
      <sz val="10"/>
      <color theme="4" tint="-0.249977111117893"/>
      <name val="Calibri"/>
      <family val="2"/>
      <scheme val="minor"/>
    </font>
    <font>
      <b/>
      <i/>
      <sz val="10.5"/>
      <color theme="4" tint="-0.249977111117893"/>
      <name val="Calibri"/>
      <family val="2"/>
      <scheme val="minor"/>
    </font>
    <font>
      <i/>
      <sz val="10.5"/>
      <color theme="4" tint="-0.249977111117893"/>
      <name val="Calibri"/>
      <family val="2"/>
      <scheme val="minor"/>
    </font>
    <font>
      <b/>
      <i/>
      <sz val="10.5"/>
      <color theme="4" tint="-0.499984740745262"/>
      <name val="Calibri"/>
      <family val="2"/>
      <scheme val="minor"/>
    </font>
    <font>
      <b/>
      <i/>
      <u/>
      <sz val="11"/>
      <color rgb="FF2B7789"/>
      <name val="Calibri"/>
      <family val="2"/>
      <scheme val="minor"/>
    </font>
    <font>
      <i/>
      <sz val="11"/>
      <color theme="5" tint="-0.249977111117893"/>
      <name val="Calibri"/>
      <family val="2"/>
      <scheme val="minor"/>
    </font>
    <font>
      <i/>
      <sz val="9.5"/>
      <color theme="4" tint="-0.499984740745262"/>
      <name val="Calibri"/>
      <family val="2"/>
      <scheme val="minor"/>
    </font>
    <font>
      <b/>
      <i/>
      <u/>
      <sz val="11"/>
      <color theme="3" tint="0.39997558519241921"/>
      <name val="Calibri"/>
      <family val="2"/>
      <scheme val="minor"/>
    </font>
    <font>
      <b/>
      <i/>
      <u/>
      <sz val="11"/>
      <color theme="3"/>
      <name val="Calibri"/>
      <family val="2"/>
      <scheme val="minor"/>
    </font>
    <font>
      <b/>
      <i/>
      <u/>
      <sz val="11"/>
      <color rgb="FF002060"/>
      <name val="Calibri"/>
      <family val="2"/>
      <scheme val="minor"/>
    </font>
    <font>
      <b/>
      <i/>
      <u/>
      <sz val="11"/>
      <color theme="7" tint="0.59999389629810485"/>
      <name val="Calibri"/>
      <family val="2"/>
      <scheme val="minor"/>
    </font>
    <font>
      <b/>
      <i/>
      <u/>
      <sz val="11"/>
      <color theme="7"/>
      <name val="Calibri"/>
      <family val="2"/>
      <scheme val="minor"/>
    </font>
    <font>
      <b/>
      <i/>
      <u/>
      <sz val="11"/>
      <color rgb="FF7030A0"/>
      <name val="Calibri"/>
      <family val="2"/>
      <scheme val="minor"/>
    </font>
    <font>
      <b/>
      <i/>
      <u/>
      <sz val="11"/>
      <color theme="7" tint="-0.499984740745262"/>
      <name val="Calibri"/>
      <family val="2"/>
      <scheme val="minor"/>
    </font>
    <font>
      <i/>
      <sz val="9"/>
      <name val="Calibri"/>
      <family val="2"/>
      <scheme val="minor"/>
    </font>
    <font>
      <b/>
      <i/>
      <u/>
      <sz val="10"/>
      <name val="Calibri"/>
      <family val="2"/>
      <scheme val="minor"/>
    </font>
    <font>
      <b/>
      <u/>
      <sz val="12"/>
      <name val="Calibri"/>
      <family val="2"/>
      <scheme val="minor"/>
    </font>
    <font>
      <b/>
      <i/>
      <u/>
      <sz val="11"/>
      <name val="Calibri"/>
      <family val="2"/>
      <scheme val="minor"/>
    </font>
    <font>
      <b/>
      <i/>
      <u/>
      <sz val="14"/>
      <name val="Calibri"/>
      <family val="2"/>
      <scheme val="minor"/>
    </font>
    <font>
      <b/>
      <i/>
      <u/>
      <sz val="12"/>
      <name val="Calibri"/>
      <family val="2"/>
      <scheme val="minor"/>
    </font>
    <font>
      <b/>
      <sz val="10.5"/>
      <color theme="5" tint="-0.249977111117893"/>
      <name val="Calibri"/>
      <family val="2"/>
      <scheme val="minor"/>
    </font>
    <font>
      <b/>
      <u/>
      <sz val="18"/>
      <color rgb="FFC00000"/>
      <name val="Calibri"/>
      <family val="2"/>
      <scheme val="minor"/>
    </font>
    <font>
      <b/>
      <sz val="11"/>
      <color theme="6" tint="-0.499984740745262"/>
      <name val="Calibri"/>
      <family val="2"/>
      <scheme val="minor"/>
    </font>
    <font>
      <u/>
      <sz val="11"/>
      <color theme="6" tint="-0.499984740745262"/>
      <name val="Calibri"/>
      <family val="2"/>
      <scheme val="minor"/>
    </font>
    <font>
      <b/>
      <sz val="12"/>
      <color theme="6" tint="-0.499984740745262"/>
      <name val="Calibri"/>
      <family val="2"/>
      <scheme val="minor"/>
    </font>
    <font>
      <b/>
      <u/>
      <sz val="10.5"/>
      <color theme="6" tint="-0.499984740745262"/>
      <name val="Calibri"/>
      <family val="2"/>
      <scheme val="minor"/>
    </font>
    <font>
      <i/>
      <u/>
      <sz val="10"/>
      <color theme="6" tint="-0.499984740745262"/>
      <name val="Calibri"/>
      <family val="2"/>
      <scheme val="minor"/>
    </font>
    <font>
      <b/>
      <i/>
      <u/>
      <sz val="9"/>
      <color theme="1"/>
      <name val="Calibri"/>
      <family val="2"/>
      <scheme val="minor"/>
    </font>
    <font>
      <i/>
      <sz val="10"/>
      <color theme="4" tint="-0.249977111117893"/>
      <name val="Calibri"/>
      <family val="2"/>
      <scheme val="minor"/>
    </font>
    <font>
      <sz val="8.5"/>
      <color rgb="FFC00000"/>
      <name val="Calibri"/>
      <family val="2"/>
      <scheme val="minor"/>
    </font>
    <font>
      <b/>
      <sz val="13"/>
      <color theme="1"/>
      <name val="Calibri"/>
      <family val="2"/>
      <scheme val="minor"/>
    </font>
    <font>
      <b/>
      <sz val="11"/>
      <color theme="0"/>
      <name val="Calibri"/>
      <family val="2"/>
      <scheme val="minor"/>
    </font>
    <font>
      <i/>
      <sz val="11"/>
      <color theme="0"/>
      <name val="Calibri"/>
      <family val="2"/>
      <scheme val="minor"/>
    </font>
    <font>
      <b/>
      <i/>
      <u/>
      <sz val="11"/>
      <color theme="0"/>
      <name val="Calibri"/>
      <family val="2"/>
      <scheme val="minor"/>
    </font>
    <font>
      <b/>
      <i/>
      <sz val="11"/>
      <color theme="0"/>
      <name val="Calibri"/>
      <family val="2"/>
      <scheme val="minor"/>
    </font>
    <font>
      <i/>
      <u/>
      <sz val="11"/>
      <color theme="0"/>
      <name val="Calibri"/>
      <family val="2"/>
      <scheme val="minor"/>
    </font>
    <font>
      <b/>
      <i/>
      <sz val="12"/>
      <color theme="1"/>
      <name val="Calibri"/>
      <family val="2"/>
      <scheme val="minor"/>
    </font>
    <font>
      <b/>
      <strike/>
      <u/>
      <sz val="14"/>
      <name val="Calibri"/>
      <family val="2"/>
      <scheme val="minor"/>
    </font>
    <font>
      <u/>
      <sz val="10"/>
      <color theme="4" tint="-0.499984740745262"/>
      <name val="Calibri"/>
      <family val="2"/>
      <scheme val="minor"/>
    </font>
    <font>
      <i/>
      <u/>
      <sz val="10"/>
      <color rgb="FFC00000"/>
      <name val="Calibri"/>
      <family val="2"/>
      <scheme val="minor"/>
    </font>
    <font>
      <b/>
      <u/>
      <sz val="10"/>
      <color theme="4" tint="-0.499984740745262"/>
      <name val="Calibri"/>
      <family val="2"/>
      <scheme val="minor"/>
    </font>
    <font>
      <b/>
      <i/>
      <u/>
      <sz val="9"/>
      <color theme="5" tint="-0.249977111117893"/>
      <name val="Calibri"/>
      <family val="2"/>
      <scheme val="minor"/>
    </font>
    <font>
      <b/>
      <i/>
      <u/>
      <sz val="9"/>
      <name val="Calibri"/>
      <family val="2"/>
      <scheme val="minor"/>
    </font>
    <font>
      <b/>
      <sz val="10.5"/>
      <color theme="4" tint="-0.249977111117893"/>
      <name val="Calibri"/>
      <family val="2"/>
      <scheme val="minor"/>
    </font>
    <font>
      <b/>
      <u/>
      <sz val="10.5"/>
      <color theme="4" tint="-0.249977111117893"/>
      <name val="Calibri"/>
      <family val="2"/>
      <scheme val="minor"/>
    </font>
    <font>
      <b/>
      <strike/>
      <sz val="10.5"/>
      <name val="Calibri"/>
      <family val="2"/>
      <scheme val="minor"/>
    </font>
    <font>
      <strike/>
      <sz val="11"/>
      <color theme="1"/>
      <name val="Calibri"/>
      <family val="2"/>
      <scheme val="minor"/>
    </font>
    <font>
      <b/>
      <strike/>
      <sz val="11"/>
      <color theme="1"/>
      <name val="Calibri"/>
      <family val="2"/>
      <scheme val="minor"/>
    </font>
    <font>
      <strike/>
      <sz val="14"/>
      <color theme="4" tint="-0.249977111117893"/>
      <name val="Calibri"/>
      <family val="2"/>
      <scheme val="minor"/>
    </font>
    <font>
      <strike/>
      <sz val="11"/>
      <color theme="4" tint="-0.249977111117893"/>
      <name val="Calibri"/>
      <family val="2"/>
      <scheme val="minor"/>
    </font>
    <font>
      <b/>
      <sz val="10.5"/>
      <color theme="0"/>
      <name val="Calibri"/>
      <family val="2"/>
      <scheme val="minor"/>
    </font>
    <font>
      <i/>
      <sz val="9"/>
      <color theme="0" tint="-0.499984740745262"/>
      <name val="Calibri"/>
      <family val="2"/>
      <scheme val="minor"/>
    </font>
    <font>
      <b/>
      <i/>
      <sz val="10.5"/>
      <color theme="0" tint="-0.14999847407452621"/>
      <name val="Calibri"/>
      <family val="2"/>
      <scheme val="minor"/>
    </font>
    <font>
      <b/>
      <i/>
      <sz val="10.5"/>
      <color theme="0" tint="-0.249977111117893"/>
      <name val="Calibri"/>
      <family val="2"/>
      <scheme val="minor"/>
    </font>
    <font>
      <b/>
      <i/>
      <sz val="11"/>
      <color theme="0" tint="-0.249977111117893"/>
      <name val="Calibri"/>
      <family val="2"/>
      <scheme val="minor"/>
    </font>
    <font>
      <b/>
      <i/>
      <sz val="10.5"/>
      <color theme="1" tint="0.34998626667073579"/>
      <name val="Calibri"/>
      <family val="2"/>
      <scheme val="minor"/>
    </font>
    <font>
      <b/>
      <i/>
      <u/>
      <sz val="12"/>
      <color theme="4" tint="-0.249977111117893"/>
      <name val="Calibri"/>
      <family val="2"/>
      <scheme val="minor"/>
    </font>
    <font>
      <i/>
      <sz val="9"/>
      <color theme="4" tint="-0.249977111117893"/>
      <name val="Calibri"/>
      <family val="2"/>
      <scheme val="minor"/>
    </font>
    <font>
      <b/>
      <u/>
      <sz val="13"/>
      <color theme="0"/>
      <name val="Calibri"/>
      <family val="2"/>
      <scheme val="minor"/>
    </font>
    <font>
      <b/>
      <u/>
      <sz val="13"/>
      <color theme="1"/>
      <name val="Calibri"/>
      <family val="2"/>
      <scheme val="minor"/>
    </font>
    <font>
      <b/>
      <u/>
      <sz val="12"/>
      <color theme="0"/>
      <name val="Calibri"/>
      <family val="2"/>
      <scheme val="minor"/>
    </font>
    <font>
      <sz val="9.5"/>
      <color theme="6" tint="-0.499984740745262"/>
      <name val="Calibri"/>
      <family val="2"/>
      <scheme val="minor"/>
    </font>
    <font>
      <b/>
      <u/>
      <sz val="16"/>
      <color theme="6" tint="-0.499984740745262"/>
      <name val="Calibri"/>
      <family val="2"/>
      <scheme val="minor"/>
    </font>
    <font>
      <b/>
      <u/>
      <sz val="9"/>
      <color rgb="FFC00000"/>
      <name val="Calibri"/>
      <family val="2"/>
      <scheme val="minor"/>
    </font>
    <font>
      <i/>
      <sz val="8"/>
      <color rgb="FF002060"/>
      <name val="Calibri"/>
      <family val="2"/>
      <scheme val="minor"/>
    </font>
    <font>
      <b/>
      <sz val="11"/>
      <color rgb="FF0070C0"/>
      <name val="Calibri"/>
      <family val="2"/>
      <scheme val="minor"/>
    </font>
    <font>
      <b/>
      <u/>
      <sz val="11"/>
      <color theme="0"/>
      <name val="Calibri"/>
      <family val="2"/>
      <scheme val="minor"/>
    </font>
    <font>
      <b/>
      <sz val="16"/>
      <name val="Calibri"/>
      <family val="2"/>
      <scheme val="minor"/>
    </font>
    <font>
      <b/>
      <i/>
      <sz val="12"/>
      <name val="Calibri"/>
      <family val="2"/>
      <scheme val="minor"/>
    </font>
    <font>
      <sz val="16"/>
      <name val="Calibri"/>
      <family val="2"/>
      <scheme val="minor"/>
    </font>
    <font>
      <sz val="13"/>
      <name val="Calibri"/>
      <family val="2"/>
      <scheme val="minor"/>
    </font>
    <font>
      <b/>
      <u/>
      <sz val="10.5"/>
      <color theme="4" tint="-0.499984740745262"/>
      <name val="Calibri"/>
      <family val="2"/>
      <scheme val="minor"/>
    </font>
    <font>
      <sz val="12"/>
      <color theme="4" tint="-0.499984740745262"/>
      <name val="Calibri"/>
      <family val="2"/>
      <scheme val="minor"/>
    </font>
    <font>
      <sz val="8"/>
      <color theme="4" tint="-0.499984740745262"/>
      <name val="Calibri"/>
      <family val="2"/>
      <scheme val="minor"/>
    </font>
    <font>
      <u/>
      <sz val="12"/>
      <color rgb="FFC00000"/>
      <name val="Calibri"/>
      <family val="2"/>
      <scheme val="minor"/>
    </font>
    <font>
      <b/>
      <sz val="12"/>
      <color theme="4" tint="-0.499984740745262"/>
      <name val="Calibri"/>
      <family val="2"/>
      <scheme val="minor"/>
    </font>
    <font>
      <i/>
      <sz val="10"/>
      <color theme="0"/>
      <name val="Calibri"/>
      <family val="2"/>
      <scheme val="minor"/>
    </font>
    <font>
      <i/>
      <sz val="11"/>
      <color theme="0" tint="-0.499984740745262"/>
      <name val="Calibri"/>
      <family val="2"/>
      <scheme val="minor"/>
    </font>
    <font>
      <sz val="11"/>
      <color theme="1" tint="0.14999847407452621"/>
      <name val="Calibri"/>
      <family val="2"/>
      <scheme val="minor"/>
    </font>
    <font>
      <b/>
      <sz val="12"/>
      <color theme="1" tint="0.14999847407452621"/>
      <name val="Calibri"/>
      <family val="2"/>
      <scheme val="minor"/>
    </font>
    <font>
      <b/>
      <sz val="11"/>
      <color theme="1" tint="0.14999847407452621"/>
      <name val="Calibri"/>
      <family val="2"/>
      <scheme val="minor"/>
    </font>
    <font>
      <b/>
      <sz val="14"/>
      <color theme="1" tint="0.14999847407452621"/>
      <name val="Calibri"/>
      <family val="2"/>
      <scheme val="minor"/>
    </font>
    <font>
      <b/>
      <sz val="10"/>
      <color theme="1" tint="0.14999847407452621"/>
      <name val="Calibri"/>
      <family val="2"/>
      <scheme val="minor"/>
    </font>
    <font>
      <i/>
      <sz val="11"/>
      <color theme="1" tint="0.14999847407452621"/>
      <name val="Calibri"/>
      <family val="2"/>
      <scheme val="minor"/>
    </font>
    <font>
      <b/>
      <i/>
      <u/>
      <sz val="9"/>
      <color theme="1" tint="4.9989318521683403E-2"/>
      <name val="Calibri"/>
      <family val="2"/>
      <scheme val="minor"/>
    </font>
    <font>
      <i/>
      <sz val="9"/>
      <color theme="4" tint="-0.499984740745262"/>
      <name val="Calibri"/>
      <family val="2"/>
      <scheme val="minor"/>
    </font>
    <font>
      <b/>
      <i/>
      <u/>
      <sz val="9"/>
      <color theme="4" tint="-0.499984740745262"/>
      <name val="Calibri"/>
      <family val="2"/>
      <scheme val="minor"/>
    </font>
    <font>
      <b/>
      <i/>
      <sz val="9"/>
      <color theme="4" tint="-0.499984740745262"/>
      <name val="Calibri"/>
      <family val="2"/>
      <scheme val="minor"/>
    </font>
    <font>
      <i/>
      <u/>
      <sz val="9"/>
      <color theme="1"/>
      <name val="Calibri"/>
      <family val="2"/>
      <scheme val="minor"/>
    </font>
    <font>
      <b/>
      <u/>
      <sz val="10"/>
      <name val="Arial"/>
      <family val="2"/>
    </font>
    <font>
      <b/>
      <sz val="10.5"/>
      <color theme="4" tint="-0.499984740745262"/>
      <name val="Calibri"/>
      <family val="2"/>
      <scheme val="minor"/>
    </font>
    <font>
      <sz val="10"/>
      <color theme="7" tint="-0.249977111117893"/>
      <name val="Calibri"/>
      <family val="2"/>
      <scheme val="minor"/>
    </font>
    <font>
      <b/>
      <sz val="20"/>
      <color rgb="FFC00000"/>
      <name val="Calibri"/>
      <family val="2"/>
      <scheme val="minor"/>
    </font>
    <font>
      <b/>
      <i/>
      <u/>
      <sz val="10.5"/>
      <color theme="4" tint="-0.499984740745262"/>
      <name val="Calibri"/>
      <family val="2"/>
      <scheme val="minor"/>
    </font>
    <font>
      <b/>
      <sz val="10"/>
      <color rgb="FF7030A0"/>
      <name val="Calibri"/>
      <family val="2"/>
      <scheme val="minor"/>
    </font>
    <font>
      <b/>
      <sz val="18"/>
      <color theme="1"/>
      <name val="Calibri"/>
      <family val="2"/>
      <scheme val="minor"/>
    </font>
    <font>
      <b/>
      <i/>
      <sz val="9"/>
      <name val="Calibri"/>
      <family val="2"/>
      <scheme val="minor"/>
    </font>
    <font>
      <b/>
      <u/>
      <sz val="11.5"/>
      <name val="Calibri"/>
      <family val="2"/>
      <scheme val="minor"/>
    </font>
    <font>
      <u/>
      <sz val="14"/>
      <name val="Calibri"/>
      <family val="2"/>
      <scheme val="minor"/>
    </font>
    <font>
      <i/>
      <u/>
      <sz val="10"/>
      <color theme="10"/>
      <name val="Calibri"/>
      <family val="2"/>
      <scheme val="minor"/>
    </font>
    <font>
      <b/>
      <sz val="12"/>
      <color rgb="FF0070C0"/>
      <name val="Calibri"/>
      <family val="2"/>
      <scheme val="minor"/>
    </font>
    <font>
      <b/>
      <u/>
      <sz val="15"/>
      <color theme="0"/>
      <name val="Calibri"/>
      <family val="2"/>
      <scheme val="minor"/>
    </font>
    <font>
      <b/>
      <sz val="13"/>
      <color theme="0"/>
      <name val="Calibri"/>
      <family val="2"/>
      <scheme val="minor"/>
    </font>
    <font>
      <i/>
      <sz val="13"/>
      <color theme="0"/>
      <name val="Calibri"/>
      <family val="2"/>
      <scheme val="minor"/>
    </font>
    <font>
      <sz val="13"/>
      <color theme="0"/>
      <name val="Calibri"/>
      <family val="2"/>
      <scheme val="minor"/>
    </font>
    <font>
      <b/>
      <i/>
      <sz val="11"/>
      <color rgb="FF0070C0"/>
      <name val="Calibri"/>
      <family val="2"/>
      <scheme val="minor"/>
    </font>
    <font>
      <sz val="10.5"/>
      <color theme="1"/>
      <name val="Calibri"/>
      <family val="2"/>
      <scheme val="minor"/>
    </font>
    <font>
      <u/>
      <sz val="10.5"/>
      <color theme="1"/>
      <name val="Calibri"/>
      <family val="2"/>
      <scheme val="minor"/>
    </font>
    <font>
      <i/>
      <sz val="10.5"/>
      <color theme="1"/>
      <name val="Calibri"/>
      <family val="2"/>
      <scheme val="minor"/>
    </font>
    <font>
      <b/>
      <u/>
      <sz val="9"/>
      <color theme="4" tint="-0.499984740745262"/>
      <name val="Calibri"/>
      <family val="2"/>
      <scheme val="minor"/>
    </font>
    <font>
      <b/>
      <u/>
      <sz val="12"/>
      <color theme="4" tint="-0.249977111117893"/>
      <name val="Calibri"/>
      <family val="2"/>
      <scheme val="minor"/>
    </font>
    <font>
      <sz val="10"/>
      <color theme="4" tint="-0.249977111117893"/>
      <name val="Calibri"/>
      <family val="2"/>
      <scheme val="minor"/>
    </font>
    <font>
      <b/>
      <sz val="10"/>
      <color theme="4" tint="-0.249977111117893"/>
      <name val="Calibri"/>
      <family val="2"/>
      <scheme val="minor"/>
    </font>
    <font>
      <i/>
      <sz val="12"/>
      <name val="Calibri"/>
      <family val="2"/>
      <scheme val="minor"/>
    </font>
    <font>
      <b/>
      <u/>
      <sz val="9"/>
      <color theme="1"/>
      <name val="Calibri"/>
      <family val="2"/>
      <scheme val="minor"/>
    </font>
  </fonts>
  <fills count="44">
    <fill>
      <patternFill patternType="none"/>
    </fill>
    <fill>
      <patternFill patternType="gray125"/>
    </fill>
    <fill>
      <patternFill patternType="solid">
        <fgColor theme="9" tint="0.79998168889431442"/>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0" tint="-0.499984740745262"/>
        <bgColor indexed="64"/>
      </patternFill>
    </fill>
    <fill>
      <patternFill patternType="solid">
        <fgColor theme="6" tint="0.39997558519241921"/>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7" tint="0.39997558519241921"/>
        <bgColor indexed="64"/>
      </patternFill>
    </fill>
    <fill>
      <patternFill patternType="solid">
        <fgColor rgb="FFFFC000"/>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FFFF66"/>
        <bgColor indexed="64"/>
      </patternFill>
    </fill>
    <fill>
      <patternFill patternType="solid">
        <fgColor rgb="FFFFFF99"/>
        <bgColor indexed="64"/>
      </patternFill>
    </fill>
    <fill>
      <patternFill patternType="solid">
        <fgColor rgb="FF00B0F0"/>
        <bgColor indexed="64"/>
      </patternFill>
    </fill>
    <fill>
      <patternFill patternType="solid">
        <fgColor theme="7" tint="0.59999389629810485"/>
        <bgColor indexed="64"/>
      </patternFill>
    </fill>
    <fill>
      <patternFill patternType="solid">
        <fgColor rgb="FF7030A0"/>
        <bgColor indexed="64"/>
      </patternFill>
    </fill>
    <fill>
      <patternFill patternType="solid">
        <fgColor theme="7" tint="-0.499984740745262"/>
        <bgColor indexed="64"/>
      </patternFill>
    </fill>
    <fill>
      <patternFill patternType="solid">
        <fgColor theme="7" tint="0.79998168889431442"/>
        <bgColor indexed="64"/>
      </patternFill>
    </fill>
    <fill>
      <patternFill patternType="solid">
        <fgColor theme="7" tint="-0.249977111117893"/>
        <bgColor indexed="64"/>
      </patternFill>
    </fill>
    <fill>
      <patternFill patternType="solid">
        <fgColor rgb="FF9148C8"/>
        <bgColor indexed="64"/>
      </patternFill>
    </fill>
    <fill>
      <patternFill patternType="solid">
        <fgColor theme="0" tint="-0.14996795556505021"/>
        <bgColor indexed="64"/>
      </patternFill>
    </fill>
    <fill>
      <patternFill patternType="solid">
        <fgColor rgb="FFFFB64B"/>
        <bgColor indexed="64"/>
      </patternFill>
    </fill>
    <fill>
      <patternFill patternType="solid">
        <fgColor theme="4" tint="0.59996337778862885"/>
        <bgColor indexed="64"/>
      </patternFill>
    </fill>
    <fill>
      <patternFill patternType="solid">
        <fgColor theme="6" tint="0.3999450666829432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8" tint="-0.249977111117893"/>
        <bgColor indexed="64"/>
      </patternFill>
    </fill>
    <fill>
      <patternFill patternType="solid">
        <fgColor theme="7" tint="0.39994506668294322"/>
        <bgColor indexed="64"/>
      </patternFill>
    </fill>
    <fill>
      <patternFill patternType="solid">
        <fgColor theme="9" tint="-0.249977111117893"/>
        <bgColor indexed="64"/>
      </patternFill>
    </fill>
    <fill>
      <patternFill patternType="solid">
        <fgColor theme="3" tint="0.79998168889431442"/>
        <bgColor indexed="64"/>
      </patternFill>
    </fill>
    <fill>
      <patternFill patternType="solid">
        <fgColor theme="6" tint="-0.249977111117893"/>
        <bgColor indexed="64"/>
      </patternFill>
    </fill>
    <fill>
      <patternFill patternType="solid">
        <fgColor theme="4" tint="-0.499984740745262"/>
        <bgColor indexed="64"/>
      </patternFill>
    </fill>
    <fill>
      <patternFill patternType="solid">
        <fgColor rgb="FFB9BBF9"/>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5" tint="0.39997558519241921"/>
        <bgColor indexed="64"/>
      </patternFill>
    </fill>
  </fills>
  <borders count="22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C00000"/>
      </left>
      <right/>
      <top/>
      <bottom style="thin">
        <color rgb="FFC00000"/>
      </bottom>
      <diagonal/>
    </border>
    <border>
      <left style="thin">
        <color rgb="FFC00000"/>
      </left>
      <right/>
      <top/>
      <bottom/>
      <diagonal/>
    </border>
    <border>
      <left/>
      <right/>
      <top/>
      <bottom style="thin">
        <color rgb="FFC00000"/>
      </bottom>
      <diagonal/>
    </border>
    <border>
      <left style="thin">
        <color rgb="FFC00000"/>
      </left>
      <right/>
      <top style="thin">
        <color rgb="FFC00000"/>
      </top>
      <bottom/>
      <diagonal/>
    </border>
    <border>
      <left/>
      <right/>
      <top style="thin">
        <color rgb="FFC00000"/>
      </top>
      <bottom/>
      <diagonal/>
    </border>
    <border>
      <left style="thin">
        <color indexed="64"/>
      </left>
      <right style="hair">
        <color indexed="64"/>
      </right>
      <top style="thin">
        <color indexed="64"/>
      </top>
      <bottom/>
      <diagonal/>
    </border>
    <border>
      <left/>
      <right style="thin">
        <color rgb="FFC00000"/>
      </right>
      <top/>
      <bottom/>
      <diagonal/>
    </border>
    <border>
      <left/>
      <right style="thin">
        <color rgb="FFC00000"/>
      </right>
      <top/>
      <bottom style="thin">
        <color rgb="FFC00000"/>
      </bottom>
      <diagonal/>
    </border>
    <border>
      <left/>
      <right style="thin">
        <color rgb="FFC00000"/>
      </right>
      <top style="thin">
        <color rgb="FFC00000"/>
      </top>
      <bottom/>
      <diagonal/>
    </border>
    <border>
      <left/>
      <right/>
      <top style="thin">
        <color indexed="64"/>
      </top>
      <bottom/>
      <diagonal/>
    </border>
    <border>
      <left style="thin">
        <color indexed="64"/>
      </left>
      <right style="thin">
        <color indexed="64"/>
      </right>
      <top/>
      <bottom style="double">
        <color indexed="64"/>
      </bottom>
      <diagonal/>
    </border>
    <border>
      <left style="thin">
        <color indexed="64"/>
      </left>
      <right style="hair">
        <color indexed="64"/>
      </right>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style="thin">
        <color indexed="64"/>
      </right>
      <top/>
      <bottom style="thin">
        <color indexed="64"/>
      </bottom>
      <diagonal/>
    </border>
    <border>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style="double">
        <color indexed="64"/>
      </bottom>
      <diagonal/>
    </border>
    <border>
      <left style="hair">
        <color indexed="64"/>
      </left>
      <right style="hair">
        <color indexed="64"/>
      </right>
      <top style="hair">
        <color indexed="64"/>
      </top>
      <bottom style="hair">
        <color indexed="64"/>
      </bottom>
      <diagonal/>
    </border>
    <border>
      <left style="hair">
        <color indexed="64"/>
      </left>
      <right/>
      <top/>
      <bottom style="hair">
        <color indexed="64"/>
      </bottom>
      <diagonal/>
    </border>
    <border>
      <left/>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theme="4" tint="-0.499984740745262"/>
      </left>
      <right/>
      <top style="double">
        <color theme="4" tint="-0.499984740745262"/>
      </top>
      <bottom/>
      <diagonal/>
    </border>
    <border>
      <left style="hair">
        <color indexed="64"/>
      </left>
      <right style="hair">
        <color indexed="64"/>
      </right>
      <top style="double">
        <color theme="4" tint="-0.499984740745262"/>
      </top>
      <bottom style="hair">
        <color indexed="64"/>
      </bottom>
      <diagonal/>
    </border>
    <border>
      <left style="hair">
        <color indexed="64"/>
      </left>
      <right/>
      <top style="double">
        <color theme="4" tint="-0.499984740745262"/>
      </top>
      <bottom style="hair">
        <color indexed="64"/>
      </bottom>
      <diagonal/>
    </border>
    <border>
      <left/>
      <right/>
      <top style="double">
        <color theme="4" tint="-0.499984740745262"/>
      </top>
      <bottom style="hair">
        <color indexed="64"/>
      </bottom>
      <diagonal/>
    </border>
    <border>
      <left/>
      <right style="medium">
        <color theme="4" tint="-0.499984740745262"/>
      </right>
      <top style="double">
        <color theme="4" tint="-0.499984740745262"/>
      </top>
      <bottom style="hair">
        <color indexed="64"/>
      </bottom>
      <diagonal/>
    </border>
    <border>
      <left style="medium">
        <color theme="4" tint="-0.499984740745262"/>
      </left>
      <right/>
      <top/>
      <bottom/>
      <diagonal/>
    </border>
    <border>
      <left/>
      <right style="medium">
        <color theme="4" tint="-0.499984740745262"/>
      </right>
      <top/>
      <bottom style="hair">
        <color indexed="64"/>
      </bottom>
      <diagonal/>
    </border>
    <border>
      <left style="medium">
        <color theme="4" tint="-0.499984740745262"/>
      </left>
      <right/>
      <top/>
      <bottom style="medium">
        <color theme="4" tint="-0.499984740745262"/>
      </bottom>
      <diagonal/>
    </border>
    <border>
      <left/>
      <right/>
      <top/>
      <bottom style="medium">
        <color theme="4" tint="-0.499984740745262"/>
      </bottom>
      <diagonal/>
    </border>
    <border>
      <left style="hair">
        <color indexed="64"/>
      </left>
      <right style="hair">
        <color indexed="64"/>
      </right>
      <top style="hair">
        <color indexed="64"/>
      </top>
      <bottom style="medium">
        <color theme="4" tint="-0.499984740745262"/>
      </bottom>
      <diagonal/>
    </border>
    <border>
      <left style="hair">
        <color indexed="64"/>
      </left>
      <right/>
      <top/>
      <bottom style="medium">
        <color theme="4" tint="-0.499984740745262"/>
      </bottom>
      <diagonal/>
    </border>
    <border>
      <left/>
      <right style="medium">
        <color theme="4" tint="-0.499984740745262"/>
      </right>
      <top/>
      <bottom style="medium">
        <color theme="4" tint="-0.499984740745262"/>
      </bottom>
      <diagonal/>
    </border>
    <border>
      <left style="thin">
        <color indexed="64"/>
      </left>
      <right/>
      <top/>
      <bottom style="thin">
        <color indexed="64"/>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style="medium">
        <color indexed="64"/>
      </right>
      <top style="thin">
        <color indexed="64"/>
      </top>
      <bottom style="mediumDashed">
        <color theme="6" tint="-0.499984740745262"/>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
      <left style="thin">
        <color indexed="64"/>
      </left>
      <right style="double">
        <color indexed="64"/>
      </right>
      <top style="double">
        <color indexed="64"/>
      </top>
      <bottom style="thin">
        <color indexed="64"/>
      </bottom>
      <diagonal/>
    </border>
    <border>
      <left style="medium">
        <color indexed="64"/>
      </left>
      <right style="medium">
        <color indexed="64"/>
      </right>
      <top style="double">
        <color indexed="64"/>
      </top>
      <bottom style="thin">
        <color indexed="64"/>
      </bottom>
      <diagonal/>
    </border>
    <border>
      <left/>
      <right style="thin">
        <color indexed="64"/>
      </right>
      <top style="thin">
        <color indexed="64"/>
      </top>
      <bottom/>
      <diagonal/>
    </border>
    <border>
      <left/>
      <right style="thin">
        <color indexed="64"/>
      </right>
      <top/>
      <bottom style="double">
        <color indexed="64"/>
      </bottom>
      <diagonal/>
    </border>
    <border>
      <left/>
      <right style="double">
        <color indexed="64"/>
      </right>
      <top style="double">
        <color indexed="64"/>
      </top>
      <bottom style="double">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top/>
      <bottom style="medium">
        <color indexed="64"/>
      </bottom>
      <diagonal/>
    </border>
    <border>
      <left style="thin">
        <color theme="4" tint="-0.24994659260841701"/>
      </left>
      <right/>
      <top style="thin">
        <color theme="4" tint="-0.24994659260841701"/>
      </top>
      <bottom/>
      <diagonal/>
    </border>
    <border>
      <left/>
      <right/>
      <top style="thin">
        <color theme="4" tint="-0.24994659260841701"/>
      </top>
      <bottom/>
      <diagonal/>
    </border>
    <border>
      <left/>
      <right style="thin">
        <color theme="4" tint="-0.24994659260841701"/>
      </right>
      <top style="thin">
        <color theme="4" tint="-0.24994659260841701"/>
      </top>
      <bottom/>
      <diagonal/>
    </border>
    <border>
      <left style="thin">
        <color theme="3" tint="-0.24994659260841701"/>
      </left>
      <right/>
      <top/>
      <bottom/>
      <diagonal/>
    </border>
    <border>
      <left/>
      <right style="thin">
        <color theme="3" tint="-0.24994659260841701"/>
      </right>
      <top/>
      <bottom/>
      <diagonal/>
    </border>
    <border>
      <left/>
      <right style="double">
        <color auto="1"/>
      </right>
      <top/>
      <bottom/>
      <diagonal/>
    </border>
    <border>
      <left/>
      <right style="double">
        <color auto="1"/>
      </right>
      <top/>
      <bottom style="double">
        <color indexed="64"/>
      </bottom>
      <diagonal/>
    </border>
    <border>
      <left/>
      <right style="thin">
        <color indexed="64"/>
      </right>
      <top style="double">
        <color indexed="64"/>
      </top>
      <bottom style="double">
        <color indexed="64"/>
      </bottom>
      <diagonal/>
    </border>
    <border>
      <left style="double">
        <color indexed="64"/>
      </left>
      <right style="thin">
        <color indexed="64"/>
      </right>
      <top style="double">
        <color indexed="64"/>
      </top>
      <bottom style="thin">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diagonal/>
    </border>
    <border>
      <left style="thin">
        <color indexed="64"/>
      </left>
      <right/>
      <top/>
      <bottom/>
      <diagonal/>
    </border>
    <border>
      <left style="thin">
        <color indexed="64"/>
      </left>
      <right/>
      <top/>
      <bottom style="double">
        <color indexed="64"/>
      </bottom>
      <diagonal/>
    </border>
    <border>
      <left/>
      <right style="thin">
        <color indexed="64"/>
      </right>
      <top/>
      <bottom/>
      <diagonal/>
    </border>
    <border>
      <left style="hair">
        <color indexed="64"/>
      </left>
      <right/>
      <top style="hair">
        <color indexed="64"/>
      </top>
      <bottom style="thin">
        <color indexed="64"/>
      </bottom>
      <diagonal/>
    </border>
    <border>
      <left style="thin">
        <color indexed="64"/>
      </left>
      <right style="thin">
        <color indexed="64"/>
      </right>
      <top style="double">
        <color indexed="64"/>
      </top>
      <bottom style="thin">
        <color indexed="64"/>
      </bottom>
      <diagonal/>
    </border>
    <border>
      <left style="hair">
        <color theme="4" tint="-0.24994659260841701"/>
      </left>
      <right/>
      <top/>
      <bottom style="double">
        <color indexed="64"/>
      </bottom>
      <diagonal/>
    </border>
    <border>
      <left style="hair">
        <color theme="4" tint="-0.24994659260841701"/>
      </left>
      <right/>
      <top/>
      <bottom/>
      <diagonal/>
    </border>
    <border>
      <left/>
      <right style="hair">
        <color theme="4" tint="-0.24994659260841701"/>
      </right>
      <top/>
      <bottom style="double">
        <color indexed="64"/>
      </bottom>
      <diagonal/>
    </border>
    <border>
      <left/>
      <right style="hair">
        <color indexed="64"/>
      </right>
      <top style="medium">
        <color indexed="64"/>
      </top>
      <bottom/>
      <diagonal/>
    </border>
    <border>
      <left style="hair">
        <color indexed="64"/>
      </left>
      <right/>
      <top style="medium">
        <color indexed="64"/>
      </top>
      <bottom/>
      <diagonal/>
    </border>
    <border>
      <left/>
      <right style="hair">
        <color indexed="64"/>
      </right>
      <top/>
      <bottom/>
      <diagonal/>
    </border>
    <border>
      <left style="medium">
        <color indexed="64"/>
      </left>
      <right style="medium">
        <color indexed="64"/>
      </right>
      <top style="thin">
        <color indexed="64"/>
      </top>
      <bottom/>
      <diagonal/>
    </border>
    <border>
      <left/>
      <right style="thin">
        <color rgb="FFC00000"/>
      </right>
      <top/>
      <bottom style="thin">
        <color indexed="64"/>
      </bottom>
      <diagonal/>
    </border>
    <border>
      <left style="medium">
        <color indexed="64"/>
      </left>
      <right style="medium">
        <color indexed="64"/>
      </right>
      <top style="medium">
        <color indexed="64"/>
      </top>
      <bottom/>
      <diagonal/>
    </border>
    <border>
      <left style="hair">
        <color indexed="64"/>
      </left>
      <right style="hair">
        <color indexed="64"/>
      </right>
      <top/>
      <bottom style="hair">
        <color indexed="64"/>
      </bottom>
      <diagonal/>
    </border>
    <border>
      <left/>
      <right/>
      <top style="hair">
        <color indexed="64"/>
      </top>
      <bottom/>
      <diagonal/>
    </border>
    <border>
      <left/>
      <right style="double">
        <color auto="1"/>
      </right>
      <top style="hair">
        <color indexed="64"/>
      </top>
      <bottom/>
      <diagonal/>
    </border>
    <border>
      <left/>
      <right style="double">
        <color auto="1"/>
      </right>
      <top/>
      <bottom style="hair">
        <color indexed="64"/>
      </bottom>
      <diagonal/>
    </border>
    <border>
      <left/>
      <right style="double">
        <color auto="1"/>
      </right>
      <top style="hair">
        <color indexed="64"/>
      </top>
      <bottom style="hair">
        <color indexed="64"/>
      </bottom>
      <diagonal/>
    </border>
    <border>
      <left style="double">
        <color indexed="64"/>
      </left>
      <right style="thin">
        <color indexed="64"/>
      </right>
      <top style="double">
        <color indexed="64"/>
      </top>
      <bottom/>
      <diagonal/>
    </border>
    <border>
      <left style="thin">
        <color indexed="64"/>
      </left>
      <right/>
      <top style="double">
        <color indexed="64"/>
      </top>
      <bottom/>
      <diagonal/>
    </border>
    <border>
      <left/>
      <right style="double">
        <color indexed="64"/>
      </right>
      <top style="double">
        <color indexed="64"/>
      </top>
      <bottom/>
      <diagonal/>
    </border>
    <border>
      <left/>
      <right style="double">
        <color indexed="64"/>
      </right>
      <top style="double">
        <color indexed="64"/>
      </top>
      <bottom style="hair">
        <color indexed="64"/>
      </bottom>
      <diagonal/>
    </border>
    <border>
      <left/>
      <right style="double">
        <color indexed="64"/>
      </right>
      <top style="hair">
        <color indexed="64"/>
      </top>
      <bottom style="thin">
        <color indexed="64"/>
      </bottom>
      <diagonal/>
    </border>
    <border>
      <left/>
      <right style="double">
        <color indexed="64"/>
      </right>
      <top style="hair">
        <color indexed="64"/>
      </top>
      <bottom style="double">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right style="hair">
        <color indexed="64"/>
      </right>
      <top/>
      <bottom style="hair">
        <color indexed="64"/>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style="thin">
        <color indexed="64"/>
      </bottom>
      <diagonal/>
    </border>
    <border>
      <left/>
      <right style="hair">
        <color indexed="64"/>
      </right>
      <top/>
      <bottom style="double">
        <color indexed="64"/>
      </bottom>
      <diagonal/>
    </border>
    <border>
      <left/>
      <right style="hair">
        <color indexed="64"/>
      </right>
      <top style="hair">
        <color indexed="64"/>
      </top>
      <bottom/>
      <diagonal/>
    </border>
    <border>
      <left style="hair">
        <color indexed="64"/>
      </left>
      <right/>
      <top/>
      <bottom/>
      <diagonal/>
    </border>
    <border>
      <left style="thin">
        <color indexed="64"/>
      </left>
      <right style="thin">
        <color indexed="64"/>
      </right>
      <top/>
      <bottom/>
      <diagonal/>
    </border>
    <border>
      <left/>
      <right/>
      <top style="double">
        <color indexed="64"/>
      </top>
      <bottom style="hair">
        <color indexed="64"/>
      </bottom>
      <diagonal/>
    </border>
    <border>
      <left/>
      <right/>
      <top style="hair">
        <color indexed="64"/>
      </top>
      <bottom style="thin">
        <color indexed="64"/>
      </bottom>
      <diagonal/>
    </border>
    <border>
      <left/>
      <right/>
      <top style="hair">
        <color indexed="64"/>
      </top>
      <bottom style="double">
        <color indexed="64"/>
      </bottom>
      <diagonal/>
    </border>
    <border>
      <left style="double">
        <color indexed="64"/>
      </left>
      <right style="thin">
        <color indexed="64"/>
      </right>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hair">
        <color indexed="64"/>
      </top>
      <bottom/>
      <diagonal/>
    </border>
    <border>
      <left style="thin">
        <color indexed="64"/>
      </left>
      <right style="thin">
        <color indexed="64"/>
      </right>
      <top style="double">
        <color indexed="64"/>
      </top>
      <bottom style="double">
        <color indexed="64"/>
      </bottom>
      <diagonal/>
    </border>
    <border>
      <left/>
      <right style="thin">
        <color indexed="64"/>
      </right>
      <top style="double">
        <color indexed="64"/>
      </top>
      <bottom/>
      <diagonal/>
    </border>
    <border>
      <left style="thin">
        <color indexed="64"/>
      </left>
      <right/>
      <top style="thin">
        <color indexed="64"/>
      </top>
      <bottom/>
      <diagonal/>
    </border>
    <border>
      <left style="double">
        <color indexed="64"/>
      </left>
      <right style="thin">
        <color indexed="64"/>
      </right>
      <top style="double">
        <color indexed="64"/>
      </top>
      <bottom style="double">
        <color indexed="64"/>
      </bottom>
      <diagonal/>
    </border>
    <border>
      <left style="double">
        <color indexed="64"/>
      </left>
      <right/>
      <top/>
      <bottom/>
      <diagonal/>
    </border>
    <border>
      <left style="double">
        <color indexed="64"/>
      </left>
      <right/>
      <top/>
      <bottom style="hair">
        <color indexed="64"/>
      </bottom>
      <diagonal/>
    </border>
    <border>
      <left style="double">
        <color indexed="64"/>
      </left>
      <right/>
      <top style="hair">
        <color indexed="64"/>
      </top>
      <bottom style="hair">
        <color indexed="64"/>
      </bottom>
      <diagonal/>
    </border>
    <border>
      <left style="double">
        <color indexed="64"/>
      </left>
      <right/>
      <top style="hair">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style="double">
        <color auto="1"/>
      </right>
      <top/>
      <bottom style="thin">
        <color indexed="64"/>
      </bottom>
      <diagonal/>
    </border>
    <border>
      <left style="double">
        <color indexed="64"/>
      </left>
      <right/>
      <top/>
      <bottom style="thin">
        <color indexed="64"/>
      </bottom>
      <diagonal/>
    </border>
    <border>
      <left style="thin">
        <color rgb="FFC00000"/>
      </left>
      <right style="thin">
        <color theme="1" tint="0.14996795556505021"/>
      </right>
      <top style="hair">
        <color theme="1" tint="0.34998626667073579"/>
      </top>
      <bottom/>
      <diagonal/>
    </border>
    <border>
      <left style="thin">
        <color rgb="FFC00000"/>
      </left>
      <right style="thin">
        <color theme="1" tint="0.14996795556505021"/>
      </right>
      <top style="hair">
        <color theme="1" tint="0.34998626667073579"/>
      </top>
      <bottom style="hair">
        <color theme="1" tint="0.34998626667073579"/>
      </bottom>
      <diagonal/>
    </border>
    <border>
      <left style="thin">
        <color theme="1" tint="0.14996795556505021"/>
      </left>
      <right style="thin">
        <color theme="1" tint="0.14996795556505021"/>
      </right>
      <top style="hair">
        <color theme="1" tint="0.34998626667073579"/>
      </top>
      <bottom style="hair">
        <color theme="1" tint="0.34998626667073579"/>
      </bottom>
      <diagonal/>
    </border>
    <border>
      <left style="thin">
        <color theme="1" tint="0.14996795556505021"/>
      </left>
      <right style="thin">
        <color theme="1" tint="0.14996795556505021"/>
      </right>
      <top style="hair">
        <color theme="1" tint="0.34998626667073579"/>
      </top>
      <bottom/>
      <diagonal/>
    </border>
    <border>
      <left style="thin">
        <color rgb="FFC00000"/>
      </left>
      <right style="thin">
        <color theme="1" tint="0.14996795556505021"/>
      </right>
      <top/>
      <bottom style="hair">
        <color theme="1" tint="0.34998626667073579"/>
      </bottom>
      <diagonal/>
    </border>
    <border>
      <left style="thin">
        <color theme="1" tint="0.14996795556505021"/>
      </left>
      <right style="thin">
        <color theme="1" tint="0.14996795556505021"/>
      </right>
      <top/>
      <bottom style="hair">
        <color theme="1" tint="0.34998626667073579"/>
      </bottom>
      <diagonal/>
    </border>
    <border>
      <left style="thin">
        <color rgb="FFC00000"/>
      </left>
      <right style="thin">
        <color theme="1" tint="0.14996795556505021"/>
      </right>
      <top/>
      <bottom/>
      <diagonal/>
    </border>
    <border>
      <left style="thin">
        <color theme="1" tint="0.14996795556505021"/>
      </left>
      <right style="thin">
        <color theme="1" tint="0.14996795556505021"/>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right/>
      <top style="double">
        <color indexed="64"/>
      </top>
      <bottom/>
      <diagonal/>
    </border>
    <border>
      <left style="double">
        <color indexed="64"/>
      </left>
      <right/>
      <top style="double">
        <color indexed="64"/>
      </top>
      <bottom/>
      <diagonal/>
    </border>
    <border>
      <left/>
      <right style="double">
        <color indexed="64"/>
      </right>
      <top style="thin">
        <color indexed="64"/>
      </top>
      <bottom/>
      <diagonal/>
    </border>
    <border>
      <left style="double">
        <color indexed="64"/>
      </left>
      <right/>
      <top style="thin">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style="medium">
        <color indexed="64"/>
      </left>
      <right/>
      <top/>
      <bottom style="thick">
        <color indexed="64"/>
      </bottom>
      <diagonal/>
    </border>
    <border>
      <left/>
      <right style="medium">
        <color indexed="64"/>
      </right>
      <top/>
      <bottom style="thick">
        <color indexed="64"/>
      </bottom>
      <diagonal/>
    </border>
    <border>
      <left style="medium">
        <color indexed="64"/>
      </left>
      <right/>
      <top style="double">
        <color auto="1"/>
      </top>
      <bottom style="thin">
        <color auto="1"/>
      </bottom>
      <diagonal/>
    </border>
    <border>
      <left/>
      <right/>
      <top style="double">
        <color auto="1"/>
      </top>
      <bottom style="thin">
        <color auto="1"/>
      </bottom>
      <diagonal/>
    </border>
    <border>
      <left/>
      <right style="double">
        <color auto="1"/>
      </right>
      <top style="double">
        <color auto="1"/>
      </top>
      <bottom style="thin">
        <color auto="1"/>
      </bottom>
      <diagonal/>
    </border>
    <border>
      <left/>
      <right style="hair">
        <color indexed="64"/>
      </right>
      <top style="double">
        <color auto="1"/>
      </top>
      <bottom style="thin">
        <color auto="1"/>
      </bottom>
      <diagonal/>
    </border>
    <border>
      <left style="hair">
        <color theme="4" tint="-0.24994659260841701"/>
      </left>
      <right/>
      <top style="double">
        <color auto="1"/>
      </top>
      <bottom style="thin">
        <color auto="1"/>
      </bottom>
      <diagonal/>
    </border>
    <border>
      <left/>
      <right style="medium">
        <color indexed="64"/>
      </right>
      <top style="double">
        <color auto="1"/>
      </top>
      <bottom style="thin">
        <color auto="1"/>
      </bottom>
      <diagonal/>
    </border>
    <border>
      <left/>
      <right style="hair">
        <color indexed="64"/>
      </right>
      <top style="thin">
        <color auto="1"/>
      </top>
      <bottom style="thin">
        <color auto="1"/>
      </bottom>
      <diagonal/>
    </border>
    <border>
      <left style="hair">
        <color theme="4" tint="-0.24994659260841701"/>
      </left>
      <right/>
      <top style="thin">
        <color auto="1"/>
      </top>
      <bottom style="thin">
        <color auto="1"/>
      </bottom>
      <diagonal/>
    </border>
    <border>
      <left/>
      <right style="hair">
        <color indexed="64"/>
      </right>
      <top style="thin">
        <color auto="1"/>
      </top>
      <bottom style="double">
        <color auto="1"/>
      </bottom>
      <diagonal/>
    </border>
    <border>
      <left style="hair">
        <color theme="4" tint="-0.24994659260841701"/>
      </left>
      <right/>
      <top style="thin">
        <color auto="1"/>
      </top>
      <bottom style="double">
        <color auto="1"/>
      </bottom>
      <diagonal/>
    </border>
    <border>
      <left style="hair">
        <color indexed="64"/>
      </left>
      <right style="hair">
        <color indexed="64"/>
      </right>
      <top style="thin">
        <color indexed="64"/>
      </top>
      <bottom/>
      <diagonal/>
    </border>
    <border>
      <left/>
      <right style="hair">
        <color indexed="64"/>
      </right>
      <top/>
      <bottom style="thin">
        <color auto="1"/>
      </bottom>
      <diagonal/>
    </border>
    <border>
      <left style="hair">
        <color theme="4" tint="-0.24994659260841701"/>
      </left>
      <right/>
      <top/>
      <bottom style="thin">
        <color auto="1"/>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style="medium">
        <color indexed="64"/>
      </right>
      <top style="medium">
        <color indexed="64"/>
      </top>
      <bottom style="medium">
        <color indexed="64"/>
      </bottom>
      <diagonal/>
    </border>
    <border>
      <left/>
      <right/>
      <top style="thin">
        <color rgb="FF8E0000"/>
      </top>
      <bottom/>
      <diagonal/>
    </border>
    <border>
      <left/>
      <right/>
      <top/>
      <bottom style="thin">
        <color rgb="FF8E0000"/>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thin">
        <color indexed="64"/>
      </left>
      <right/>
      <top style="double">
        <color indexed="64"/>
      </top>
      <bottom style="double">
        <color indexed="64"/>
      </bottom>
      <diagonal/>
    </border>
    <border>
      <left style="double">
        <color indexed="64"/>
      </left>
      <right/>
      <top/>
      <bottom style="double">
        <color indexed="64"/>
      </bottom>
      <diagonal/>
    </border>
    <border>
      <left style="double">
        <color indexed="64"/>
      </left>
      <right/>
      <top style="double">
        <color indexed="64"/>
      </top>
      <bottom style="hair">
        <color indexed="64"/>
      </bottom>
      <diagonal/>
    </border>
    <border>
      <left style="double">
        <color indexed="64"/>
      </left>
      <right/>
      <top style="hair">
        <color indexed="64"/>
      </top>
      <bottom style="thin">
        <color indexed="64"/>
      </bottom>
      <diagonal/>
    </border>
    <border>
      <left style="double">
        <color indexed="64"/>
      </left>
      <right/>
      <top style="hair">
        <color indexed="64"/>
      </top>
      <bottom style="double">
        <color indexed="64"/>
      </bottom>
      <diagonal/>
    </border>
    <border>
      <left/>
      <right style="thin">
        <color indexed="64"/>
      </right>
      <top style="double">
        <color indexed="64"/>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style="double">
        <color indexed="64"/>
      </bottom>
      <diagonal/>
    </border>
    <border>
      <left style="double">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rgb="FFC00000"/>
      </left>
      <right style="thin">
        <color auto="1"/>
      </right>
      <top style="thin">
        <color indexed="64"/>
      </top>
      <bottom/>
      <diagonal/>
    </border>
    <border>
      <left style="thin">
        <color rgb="FFC00000"/>
      </left>
      <right style="thin">
        <color auto="1"/>
      </right>
      <top/>
      <bottom/>
      <diagonal/>
    </border>
    <border>
      <left style="hair">
        <color indexed="64"/>
      </left>
      <right/>
      <top/>
      <bottom style="thin">
        <color indexed="64"/>
      </bottom>
      <diagonal/>
    </border>
    <border>
      <left/>
      <right/>
      <top/>
      <bottom style="double">
        <color theme="4" tint="-0.499984740745262"/>
      </bottom>
      <diagonal/>
    </border>
    <border>
      <left/>
      <right/>
      <top/>
      <bottom style="double">
        <color rgb="FFC00000"/>
      </bottom>
      <diagonal/>
    </border>
    <border>
      <left style="thin">
        <color theme="1" tint="0.14996795556505021"/>
      </left>
      <right style="double">
        <color theme="1" tint="0.14993743705557422"/>
      </right>
      <top style="hair">
        <color theme="1" tint="0.34998626667073579"/>
      </top>
      <bottom/>
      <diagonal/>
    </border>
    <border>
      <left/>
      <right style="thin">
        <color theme="1" tint="0.14996795556505021"/>
      </right>
      <top style="hair">
        <color theme="1" tint="0.34998626667073579"/>
      </top>
      <bottom style="hair">
        <color theme="1" tint="0.34998626667073579"/>
      </bottom>
      <diagonal/>
    </border>
    <border>
      <left/>
      <right style="thin">
        <color theme="1" tint="0.14996795556505021"/>
      </right>
      <top style="hair">
        <color theme="1" tint="0.34998626667073579"/>
      </top>
      <bottom/>
      <diagonal/>
    </border>
    <border>
      <left/>
      <right style="thin">
        <color theme="1" tint="0.14996795556505021"/>
      </right>
      <top/>
      <bottom style="hair">
        <color theme="1" tint="0.34998626667073579"/>
      </bottom>
      <diagonal/>
    </border>
    <border>
      <left/>
      <right style="thin">
        <color theme="1" tint="0.14996795556505021"/>
      </right>
      <top/>
      <bottom/>
      <diagonal/>
    </border>
    <border>
      <left style="thin">
        <color theme="1" tint="0.14996795556505021"/>
      </left>
      <right style="double">
        <color theme="1" tint="0.14993743705557422"/>
      </right>
      <top style="hair">
        <color theme="1" tint="0.34998626667073579"/>
      </top>
      <bottom style="hair">
        <color theme="1" tint="0.34998626667073579"/>
      </bottom>
      <diagonal/>
    </border>
    <border>
      <left style="thin">
        <color theme="1" tint="0.14996795556505021"/>
      </left>
      <right style="double">
        <color theme="1" tint="0.14993743705557422"/>
      </right>
      <top/>
      <bottom style="hair">
        <color theme="1" tint="0.34998626667073579"/>
      </bottom>
      <diagonal/>
    </border>
    <border>
      <left style="thin">
        <color theme="1" tint="0.14996795556505021"/>
      </left>
      <right style="double">
        <color theme="1" tint="0.14993743705557422"/>
      </right>
      <top/>
      <bottom/>
      <diagonal/>
    </border>
    <border>
      <left style="medium">
        <color indexed="64"/>
      </left>
      <right/>
      <top style="thin">
        <color indexed="64"/>
      </top>
      <bottom/>
      <diagonal/>
    </border>
    <border>
      <left/>
      <right style="hair">
        <color indexed="64"/>
      </right>
      <top style="thin">
        <color auto="1"/>
      </top>
      <bottom/>
      <diagonal/>
    </border>
    <border>
      <left style="hair">
        <color theme="4" tint="-0.24994659260841701"/>
      </left>
      <right/>
      <top style="thin">
        <color auto="1"/>
      </top>
      <bottom/>
      <diagonal/>
    </border>
    <border>
      <left/>
      <right style="medium">
        <color indexed="64"/>
      </right>
      <top style="thin">
        <color indexed="64"/>
      </top>
      <bottom/>
      <diagonal/>
    </border>
    <border>
      <left/>
      <right style="thin">
        <color rgb="FFC00000"/>
      </right>
      <top style="thin">
        <color indexed="64"/>
      </top>
      <bottom/>
      <diagonal/>
    </border>
    <border>
      <left/>
      <right/>
      <top style="thin">
        <color theme="3" tint="-0.24994659260841701"/>
      </top>
      <bottom/>
      <diagonal/>
    </border>
    <border>
      <left style="thin">
        <color indexed="64"/>
      </left>
      <right style="thin">
        <color indexed="64"/>
      </right>
      <top style="double">
        <color indexed="64"/>
      </top>
      <bottom/>
      <diagonal/>
    </border>
    <border>
      <left style="thin">
        <color indexed="64"/>
      </left>
      <right style="thin">
        <color indexed="64"/>
      </right>
      <top style="hair">
        <color theme="1" tint="0.34998626667073579"/>
      </top>
      <bottom style="hair">
        <color theme="1" tint="0.34998626667073579"/>
      </bottom>
      <diagonal/>
    </border>
    <border>
      <left style="thin">
        <color indexed="64"/>
      </left>
      <right style="thin">
        <color indexed="64"/>
      </right>
      <top style="hair">
        <color theme="1" tint="0.34998626667073579"/>
      </top>
      <bottom/>
      <diagonal/>
    </border>
    <border>
      <left style="thin">
        <color indexed="64"/>
      </left>
      <right style="thin">
        <color indexed="64"/>
      </right>
      <top/>
      <bottom style="hair">
        <color theme="1" tint="0.34998626667073579"/>
      </bottom>
      <diagonal/>
    </border>
    <border>
      <left style="medium">
        <color indexed="64"/>
      </left>
      <right style="thin">
        <color indexed="64"/>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style="thin">
        <color rgb="FFC00000"/>
      </right>
      <top/>
      <bottom style="double">
        <color rgb="FFC00000"/>
      </bottom>
      <diagonal/>
    </border>
  </borders>
  <cellStyleXfs count="3">
    <xf numFmtId="0" fontId="0" fillId="0" borderId="0"/>
    <xf numFmtId="0" fontId="18" fillId="0" borderId="0" applyNumberFormat="0" applyFill="0" applyBorder="0" applyAlignment="0" applyProtection="0"/>
    <xf numFmtId="9" fontId="20" fillId="0" borderId="0" applyFont="0" applyFill="0" applyBorder="0" applyAlignment="0" applyProtection="0"/>
  </cellStyleXfs>
  <cellXfs count="2349">
    <xf numFmtId="0" fontId="0" fillId="0" borderId="0" xfId="0"/>
    <xf numFmtId="0" fontId="0" fillId="0" borderId="0" xfId="0" applyFill="1"/>
    <xf numFmtId="0" fontId="3" fillId="0" borderId="0" xfId="0" applyFont="1" applyFill="1"/>
    <xf numFmtId="0" fontId="6" fillId="0" borderId="0" xfId="0" applyFont="1" applyFill="1"/>
    <xf numFmtId="0" fontId="3" fillId="0" borderId="0" xfId="0" applyFont="1" applyFill="1" applyAlignment="1"/>
    <xf numFmtId="0" fontId="9" fillId="0" borderId="0" xfId="0" applyFont="1" applyFill="1" applyAlignment="1">
      <alignment horizontal="right"/>
    </xf>
    <xf numFmtId="0" fontId="6" fillId="0" borderId="0" xfId="0" applyFont="1" applyFill="1" applyAlignment="1">
      <alignment vertical="center"/>
    </xf>
    <xf numFmtId="0" fontId="0" fillId="0" borderId="0" xfId="0" applyFill="1" applyBorder="1"/>
    <xf numFmtId="0" fontId="0" fillId="0" borderId="9" xfId="0" applyFill="1" applyBorder="1"/>
    <xf numFmtId="0" fontId="0" fillId="0" borderId="8" xfId="0" applyFill="1" applyBorder="1" applyAlignment="1">
      <alignment vertical="center"/>
    </xf>
    <xf numFmtId="0" fontId="0" fillId="0" borderId="0" xfId="0" applyFill="1" applyAlignment="1">
      <alignment vertical="center"/>
    </xf>
    <xf numFmtId="0" fontId="0" fillId="0" borderId="13" xfId="0" applyFill="1" applyBorder="1"/>
    <xf numFmtId="0" fontId="0" fillId="0" borderId="0" xfId="0" applyAlignment="1"/>
    <xf numFmtId="0" fontId="0" fillId="0" borderId="0" xfId="0" applyFont="1" applyFill="1"/>
    <xf numFmtId="0" fontId="26" fillId="0" borderId="0" xfId="0" applyFont="1" applyFill="1" applyAlignment="1">
      <alignment horizontal="right"/>
    </xf>
    <xf numFmtId="0" fontId="2" fillId="0" borderId="0" xfId="0" applyFont="1" applyFill="1" applyAlignment="1">
      <alignment vertical="center"/>
    </xf>
    <xf numFmtId="0" fontId="0" fillId="0" borderId="0" xfId="0" applyAlignment="1"/>
    <xf numFmtId="0" fontId="0" fillId="0" borderId="0" xfId="0" applyFont="1"/>
    <xf numFmtId="0" fontId="0" fillId="0" borderId="0" xfId="0" applyBorder="1"/>
    <xf numFmtId="49" fontId="0" fillId="0" borderId="0" xfId="0" applyNumberFormat="1" applyAlignment="1">
      <alignment vertical="top"/>
    </xf>
    <xf numFmtId="0" fontId="0" fillId="0" borderId="1" xfId="0" applyBorder="1" applyAlignment="1"/>
    <xf numFmtId="0" fontId="0" fillId="0" borderId="0" xfId="0" applyBorder="1" applyAlignment="1"/>
    <xf numFmtId="0" fontId="0" fillId="0" borderId="27" xfId="0" applyBorder="1" applyAlignment="1"/>
    <xf numFmtId="0" fontId="0" fillId="0" borderId="29" xfId="0" applyBorder="1" applyAlignment="1"/>
    <xf numFmtId="0" fontId="5" fillId="4" borderId="3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6" fillId="0" borderId="0" xfId="0" applyFont="1" applyFill="1" applyBorder="1" applyAlignment="1">
      <alignment horizontal="center" vertical="center" wrapText="1"/>
    </xf>
    <xf numFmtId="49" fontId="1" fillId="0" borderId="0" xfId="0" applyNumberFormat="1" applyFont="1" applyFill="1" applyBorder="1" applyAlignment="1">
      <alignment horizontal="center" vertical="center"/>
    </xf>
    <xf numFmtId="0" fontId="1" fillId="0" borderId="28" xfId="0" applyFont="1" applyBorder="1" applyAlignment="1"/>
    <xf numFmtId="0" fontId="0" fillId="0" borderId="26" xfId="0" applyFill="1" applyBorder="1" applyAlignment="1">
      <alignment horizontal="center" vertical="center"/>
    </xf>
    <xf numFmtId="0" fontId="0" fillId="0" borderId="0" xfId="0" applyAlignment="1">
      <alignment vertical="center"/>
    </xf>
    <xf numFmtId="0" fontId="1" fillId="0" borderId="27" xfId="0" applyFont="1" applyBorder="1" applyAlignment="1">
      <alignment vertical="center"/>
    </xf>
    <xf numFmtId="0" fontId="0" fillId="0" borderId="0" xfId="0" applyBorder="1" applyAlignment="1">
      <alignment vertical="center"/>
    </xf>
    <xf numFmtId="49" fontId="47" fillId="0" borderId="28" xfId="0" applyNumberFormat="1" applyFont="1" applyBorder="1" applyAlignment="1">
      <alignment vertical="top"/>
    </xf>
    <xf numFmtId="0" fontId="0" fillId="0" borderId="37" xfId="0" applyBorder="1"/>
    <xf numFmtId="0" fontId="0" fillId="0" borderId="38" xfId="0" applyFill="1" applyBorder="1" applyAlignment="1">
      <alignment horizontal="center" vertical="center"/>
    </xf>
    <xf numFmtId="0" fontId="1" fillId="0" borderId="39" xfId="0" applyFont="1" applyBorder="1" applyAlignment="1"/>
    <xf numFmtId="0" fontId="1" fillId="0" borderId="40" xfId="0" applyFont="1" applyBorder="1" applyAlignment="1"/>
    <xf numFmtId="49" fontId="46" fillId="0" borderId="40" xfId="0" applyNumberFormat="1" applyFont="1" applyBorder="1" applyAlignment="1">
      <alignment vertical="top"/>
    </xf>
    <xf numFmtId="0" fontId="0" fillId="0" borderId="42" xfId="0" applyBorder="1"/>
    <xf numFmtId="0" fontId="48" fillId="0" borderId="43" xfId="0" applyFont="1" applyBorder="1" applyAlignment="1">
      <alignment horizontal="left" vertical="top" wrapText="1" indent="2"/>
    </xf>
    <xf numFmtId="0" fontId="0" fillId="0" borderId="44" xfId="0" applyBorder="1"/>
    <xf numFmtId="0" fontId="0" fillId="0" borderId="45" xfId="0" applyBorder="1" applyAlignment="1"/>
    <xf numFmtId="0" fontId="0" fillId="0" borderId="46" xfId="0" applyFill="1" applyBorder="1" applyAlignment="1">
      <alignment horizontal="center" vertical="center"/>
    </xf>
    <xf numFmtId="49" fontId="0" fillId="0" borderId="47" xfId="0" applyNumberFormat="1" applyBorder="1" applyAlignment="1">
      <alignment vertical="top"/>
    </xf>
    <xf numFmtId="0" fontId="50" fillId="0" borderId="48" xfId="0" applyFont="1" applyBorder="1" applyAlignment="1">
      <alignment horizontal="left" vertical="top" wrapText="1" indent="4"/>
    </xf>
    <xf numFmtId="0" fontId="51" fillId="0" borderId="0" xfId="0" applyFont="1" applyAlignment="1"/>
    <xf numFmtId="0" fontId="2" fillId="0" borderId="0" xfId="0" applyFont="1" applyAlignment="1"/>
    <xf numFmtId="49" fontId="2" fillId="0" borderId="0" xfId="0" applyNumberFormat="1" applyFont="1" applyAlignment="1">
      <alignment vertical="top"/>
    </xf>
    <xf numFmtId="0" fontId="2" fillId="0" borderId="0" xfId="0" applyFont="1"/>
    <xf numFmtId="0" fontId="52" fillId="0" borderId="0" xfId="0" applyFont="1" applyAlignment="1">
      <alignment horizontal="centerContinuous" vertical="center"/>
    </xf>
    <xf numFmtId="0" fontId="24" fillId="0" borderId="0" xfId="0" applyFont="1" applyAlignment="1">
      <alignment vertical="center"/>
    </xf>
    <xf numFmtId="0" fontId="44" fillId="0" borderId="26" xfId="0" applyFont="1" applyFill="1" applyBorder="1" applyAlignment="1">
      <alignment horizontal="center" vertical="center"/>
    </xf>
    <xf numFmtId="0" fontId="55" fillId="0" borderId="0" xfId="0" applyFont="1"/>
    <xf numFmtId="0" fontId="61" fillId="0" borderId="41" xfId="0" applyFont="1" applyBorder="1" applyAlignment="1">
      <alignment vertical="top" wrapText="1"/>
    </xf>
    <xf numFmtId="0" fontId="2" fillId="6" borderId="33" xfId="0" applyFont="1" applyFill="1" applyBorder="1" applyAlignment="1">
      <alignment horizontal="center"/>
    </xf>
    <xf numFmtId="0" fontId="29" fillId="0" borderId="0" xfId="0" applyFont="1" applyFill="1" applyAlignment="1">
      <alignment vertical="center"/>
    </xf>
    <xf numFmtId="0" fontId="6" fillId="0" borderId="0" xfId="0" applyFont="1" applyFill="1" applyAlignment="1">
      <alignment horizontal="left" vertical="center"/>
    </xf>
    <xf numFmtId="0" fontId="16" fillId="2" borderId="18" xfId="0" applyFont="1" applyFill="1" applyBorder="1" applyAlignment="1">
      <alignment horizontal="center" vertical="center" wrapText="1"/>
    </xf>
    <xf numFmtId="0" fontId="16" fillId="2" borderId="25" xfId="0" applyFont="1" applyFill="1" applyBorder="1" applyAlignment="1">
      <alignment horizontal="center" vertical="center" wrapText="1"/>
    </xf>
    <xf numFmtId="0" fontId="6" fillId="0" borderId="0" xfId="0" quotePrefix="1" applyFont="1" applyFill="1" applyAlignment="1">
      <alignment vertical="center"/>
    </xf>
    <xf numFmtId="0" fontId="7" fillId="0" borderId="0" xfId="0" applyFont="1" applyFill="1" applyAlignment="1">
      <alignment vertical="center"/>
    </xf>
    <xf numFmtId="0" fontId="0" fillId="0" borderId="0" xfId="0" applyFont="1" applyBorder="1"/>
    <xf numFmtId="0" fontId="61" fillId="0" borderId="0" xfId="0" applyFont="1" applyBorder="1" applyAlignment="1">
      <alignment vertical="top" wrapText="1"/>
    </xf>
    <xf numFmtId="0" fontId="48" fillId="0" borderId="0" xfId="0" applyFont="1" applyBorder="1" applyAlignment="1">
      <alignment horizontal="left" vertical="top" wrapText="1" indent="2"/>
    </xf>
    <xf numFmtId="0" fontId="50" fillId="0" borderId="0" xfId="0" applyFont="1" applyBorder="1" applyAlignment="1">
      <alignment horizontal="left" vertical="top" wrapText="1" indent="4"/>
    </xf>
    <xf numFmtId="0" fontId="0" fillId="0" borderId="10" xfId="0" applyFill="1" applyBorder="1"/>
    <xf numFmtId="0" fontId="0" fillId="0" borderId="8" xfId="0" applyFill="1" applyBorder="1"/>
    <xf numFmtId="0" fontId="6" fillId="0" borderId="8" xfId="0" applyFont="1" applyFill="1" applyBorder="1"/>
    <xf numFmtId="0" fontId="6" fillId="0" borderId="8" xfId="0" applyFont="1" applyFill="1" applyBorder="1" applyAlignment="1">
      <alignment vertical="center"/>
    </xf>
    <xf numFmtId="0" fontId="3" fillId="0" borderId="8" xfId="0" applyFont="1" applyFill="1" applyBorder="1"/>
    <xf numFmtId="0" fontId="77" fillId="0" borderId="0" xfId="0" applyFont="1" applyBorder="1" applyAlignment="1">
      <alignment horizontal="left" wrapText="1" indent="12"/>
    </xf>
    <xf numFmtId="0" fontId="21" fillId="2" borderId="13" xfId="0" applyFont="1" applyFill="1" applyBorder="1" applyAlignment="1">
      <alignment horizontal="center" vertical="center"/>
    </xf>
    <xf numFmtId="0" fontId="7" fillId="0" borderId="13" xfId="0" applyFont="1" applyFill="1" applyBorder="1" applyAlignment="1">
      <alignment horizontal="center" vertical="top"/>
    </xf>
    <xf numFmtId="0" fontId="25" fillId="2" borderId="13" xfId="0" applyFont="1" applyFill="1" applyBorder="1" applyAlignment="1">
      <alignment horizontal="center" vertical="center"/>
    </xf>
    <xf numFmtId="0" fontId="9" fillId="0" borderId="13" xfId="0" applyFont="1" applyFill="1" applyBorder="1" applyAlignment="1">
      <alignment horizontal="center" vertical="top"/>
    </xf>
    <xf numFmtId="0" fontId="6" fillId="0" borderId="13" xfId="0" quotePrefix="1" applyFont="1" applyFill="1" applyBorder="1" applyAlignment="1">
      <alignment horizontal="center"/>
    </xf>
    <xf numFmtId="0" fontId="7" fillId="0" borderId="13" xfId="0" applyFont="1" applyFill="1" applyBorder="1" applyAlignment="1">
      <alignment horizontal="center" vertical="center"/>
    </xf>
    <xf numFmtId="0" fontId="2" fillId="6" borderId="13" xfId="0" applyFont="1" applyFill="1" applyBorder="1" applyAlignment="1">
      <alignment horizontal="center"/>
    </xf>
    <xf numFmtId="0" fontId="11" fillId="3" borderId="13" xfId="0" applyFont="1" applyFill="1" applyBorder="1" applyAlignment="1">
      <alignment horizontal="center" vertical="center"/>
    </xf>
    <xf numFmtId="0" fontId="6" fillId="0" borderId="13" xfId="0" applyFont="1" applyFill="1" applyBorder="1" applyAlignment="1">
      <alignment horizontal="center" vertical="center"/>
    </xf>
    <xf numFmtId="0" fontId="6" fillId="0" borderId="13" xfId="0" applyFont="1" applyFill="1" applyBorder="1" applyAlignment="1">
      <alignment vertical="center"/>
    </xf>
    <xf numFmtId="0" fontId="78" fillId="3" borderId="13" xfId="0" applyFont="1" applyFill="1" applyBorder="1" applyAlignment="1">
      <alignment horizontal="center" vertical="center"/>
    </xf>
    <xf numFmtId="0" fontId="11" fillId="0" borderId="13" xfId="0" applyFont="1" applyFill="1" applyBorder="1" applyAlignment="1">
      <alignment horizontal="center" vertical="center"/>
    </xf>
    <xf numFmtId="0" fontId="6" fillId="0" borderId="13" xfId="0" applyFont="1" applyFill="1" applyBorder="1"/>
    <xf numFmtId="0" fontId="3" fillId="0" borderId="13" xfId="0" applyFont="1" applyFill="1" applyBorder="1"/>
    <xf numFmtId="0" fontId="2" fillId="6" borderId="63" xfId="0" applyFont="1" applyFill="1" applyBorder="1" applyAlignment="1">
      <alignment horizontal="center"/>
    </xf>
    <xf numFmtId="0" fontId="7" fillId="0" borderId="31" xfId="0" applyFont="1" applyFill="1" applyBorder="1" applyAlignment="1">
      <alignment horizontal="center" vertical="center"/>
    </xf>
    <xf numFmtId="0" fontId="16" fillId="3" borderId="18" xfId="0" applyFont="1" applyFill="1" applyBorder="1" applyAlignment="1">
      <alignment horizontal="center" vertical="center" wrapText="1"/>
    </xf>
    <xf numFmtId="0" fontId="2" fillId="6" borderId="51" xfId="0" applyFont="1" applyFill="1" applyBorder="1" applyAlignment="1">
      <alignment horizontal="center"/>
    </xf>
    <xf numFmtId="0" fontId="45" fillId="0" borderId="0" xfId="0" applyFont="1" applyFill="1"/>
    <xf numFmtId="0" fontId="0" fillId="0" borderId="0" xfId="0" applyAlignment="1">
      <alignment horizontal="center"/>
    </xf>
    <xf numFmtId="0" fontId="83" fillId="0" borderId="0" xfId="0" applyFont="1" applyFill="1"/>
    <xf numFmtId="0" fontId="0" fillId="0" borderId="0" xfId="0" applyFont="1" applyFill="1" applyAlignment="1">
      <alignment horizontal="right"/>
    </xf>
    <xf numFmtId="49" fontId="35" fillId="0" borderId="28" xfId="0" applyNumberFormat="1" applyFont="1" applyFill="1" applyBorder="1" applyAlignment="1">
      <alignment vertical="center"/>
    </xf>
    <xf numFmtId="0" fontId="26" fillId="0" borderId="0" xfId="0" applyFont="1" applyAlignment="1"/>
    <xf numFmtId="0" fontId="2" fillId="0" borderId="0" xfId="0" applyFont="1" applyAlignment="1">
      <alignment horizontal="center"/>
    </xf>
    <xf numFmtId="0" fontId="28" fillId="0" borderId="1" xfId="0" applyFont="1" applyFill="1" applyBorder="1" applyAlignment="1">
      <alignment horizontal="center"/>
    </xf>
    <xf numFmtId="0" fontId="28" fillId="0" borderId="1" xfId="0" applyFont="1" applyBorder="1" applyAlignment="1">
      <alignment horizontal="center"/>
    </xf>
    <xf numFmtId="0" fontId="85" fillId="0" borderId="4" xfId="0" applyFont="1" applyBorder="1" applyAlignment="1">
      <alignment horizontal="center" vertical="center"/>
    </xf>
    <xf numFmtId="0" fontId="0" fillId="0" borderId="72" xfId="0" applyBorder="1"/>
    <xf numFmtId="0" fontId="0" fillId="0" borderId="73" xfId="0" applyBorder="1"/>
    <xf numFmtId="0" fontId="0" fillId="0" borderId="74" xfId="0" applyBorder="1"/>
    <xf numFmtId="0" fontId="0" fillId="0" borderId="75" xfId="0" applyBorder="1"/>
    <xf numFmtId="0" fontId="8" fillId="0" borderId="76" xfId="0" applyFont="1" applyFill="1" applyBorder="1" applyAlignment="1">
      <alignment horizontal="center" wrapText="1"/>
    </xf>
    <xf numFmtId="0" fontId="0" fillId="0" borderId="76" xfId="0" applyBorder="1"/>
    <xf numFmtId="0" fontId="26" fillId="0" borderId="0" xfId="0" applyFont="1" applyBorder="1" applyAlignment="1"/>
    <xf numFmtId="0" fontId="2" fillId="0" borderId="0" xfId="0" applyFont="1" applyBorder="1"/>
    <xf numFmtId="0" fontId="5" fillId="0" borderId="0" xfId="0" applyFont="1" applyBorder="1" applyAlignment="1">
      <alignment horizontal="right" vertical="center"/>
    </xf>
    <xf numFmtId="0" fontId="6" fillId="0" borderId="76" xfId="0" applyFont="1" applyFill="1" applyBorder="1" applyAlignment="1">
      <alignment horizontal="left" vertical="center" wrapText="1"/>
    </xf>
    <xf numFmtId="0" fontId="0" fillId="0" borderId="76" xfId="0" applyBorder="1" applyAlignment="1">
      <alignment vertical="center"/>
    </xf>
    <xf numFmtId="0" fontId="2" fillId="0" borderId="76" xfId="0" applyFont="1" applyBorder="1" applyAlignment="1">
      <alignment horizontal="left" wrapText="1"/>
    </xf>
    <xf numFmtId="0" fontId="26" fillId="0" borderId="0" xfId="0" applyFont="1" applyBorder="1" applyAlignment="1">
      <alignment horizontal="center"/>
    </xf>
    <xf numFmtId="0" fontId="77" fillId="0" borderId="71" xfId="0" applyFont="1" applyFill="1" applyBorder="1" applyAlignment="1">
      <alignment horizontal="left" wrapText="1" indent="4"/>
    </xf>
    <xf numFmtId="0" fontId="92" fillId="0" borderId="4" xfId="0" applyFont="1" applyBorder="1" applyAlignment="1">
      <alignment horizontal="center" vertical="top"/>
    </xf>
    <xf numFmtId="0" fontId="75" fillId="0" borderId="28" xfId="0" applyFont="1" applyFill="1" applyBorder="1" applyAlignment="1">
      <alignment vertical="top" wrapText="1"/>
    </xf>
    <xf numFmtId="0" fontId="0" fillId="0" borderId="0" xfId="0" applyFill="1" applyBorder="1" applyAlignment="1">
      <alignment vertical="center"/>
    </xf>
    <xf numFmtId="0" fontId="24" fillId="7" borderId="0" xfId="0" applyFont="1" applyFill="1" applyBorder="1" applyAlignment="1">
      <alignment horizontal="centerContinuous"/>
    </xf>
    <xf numFmtId="0" fontId="5" fillId="0" borderId="0" xfId="0" applyFont="1" applyBorder="1" applyAlignment="1">
      <alignment horizontal="right" vertical="top"/>
    </xf>
    <xf numFmtId="0" fontId="0" fillId="0" borderId="10" xfId="0" applyBorder="1"/>
    <xf numFmtId="0" fontId="0" fillId="0" borderId="11" xfId="0" applyBorder="1"/>
    <xf numFmtId="0" fontId="0" fillId="0" borderId="11" xfId="0" applyBorder="1" applyAlignment="1"/>
    <xf numFmtId="49" fontId="0" fillId="0" borderId="11" xfId="0" applyNumberFormat="1" applyBorder="1" applyAlignment="1">
      <alignment vertical="top"/>
    </xf>
    <xf numFmtId="0" fontId="0" fillId="0" borderId="11" xfId="0" applyFont="1" applyBorder="1"/>
    <xf numFmtId="0" fontId="0" fillId="0" borderId="15" xfId="0" applyFont="1" applyBorder="1"/>
    <xf numFmtId="0" fontId="0" fillId="0" borderId="8" xfId="0" applyBorder="1"/>
    <xf numFmtId="0" fontId="32" fillId="0" borderId="13" xfId="0" applyFont="1" applyFill="1" applyBorder="1" applyAlignment="1">
      <alignment horizontal="center"/>
    </xf>
    <xf numFmtId="0" fontId="25" fillId="0" borderId="13" xfId="0" applyFont="1" applyFill="1" applyBorder="1" applyAlignment="1">
      <alignment horizontal="center" wrapText="1"/>
    </xf>
    <xf numFmtId="0" fontId="26" fillId="0" borderId="13" xfId="0" applyFont="1" applyFill="1" applyBorder="1" applyAlignment="1">
      <alignment horizontal="center"/>
    </xf>
    <xf numFmtId="49" fontId="0" fillId="0" borderId="0" xfId="0" applyNumberFormat="1" applyBorder="1" applyAlignment="1">
      <alignment vertical="top"/>
    </xf>
    <xf numFmtId="0" fontId="0" fillId="0" borderId="13" xfId="0" applyFont="1" applyFill="1" applyBorder="1"/>
    <xf numFmtId="49" fontId="30" fillId="0" borderId="13" xfId="0" applyNumberFormat="1" applyFont="1" applyFill="1" applyBorder="1" applyAlignment="1">
      <alignment horizontal="center" vertical="center"/>
    </xf>
    <xf numFmtId="49" fontId="1" fillId="0" borderId="13" xfId="0" applyNumberFormat="1" applyFont="1" applyFill="1" applyBorder="1" applyAlignment="1">
      <alignment horizontal="center" vertical="center"/>
    </xf>
    <xf numFmtId="0" fontId="32" fillId="0" borderId="13" xfId="0" applyFont="1" applyFill="1" applyBorder="1" applyAlignment="1">
      <alignment vertical="top" wrapText="1"/>
    </xf>
    <xf numFmtId="0" fontId="73" fillId="0" borderId="13" xfId="0" applyFont="1" applyFill="1" applyBorder="1" applyAlignment="1">
      <alignment vertical="top" wrapText="1"/>
    </xf>
    <xf numFmtId="0" fontId="34" fillId="0" borderId="13" xfId="0" applyFont="1" applyFill="1" applyBorder="1" applyAlignment="1">
      <alignment horizontal="left" vertical="top" wrapText="1" indent="2"/>
    </xf>
    <xf numFmtId="0" fontId="33" fillId="0" borderId="13" xfId="0" applyFont="1" applyFill="1" applyBorder="1" applyAlignment="1">
      <alignment horizontal="left" vertical="top" wrapText="1" indent="2"/>
    </xf>
    <xf numFmtId="0" fontId="28" fillId="0" borderId="13" xfId="0" applyFont="1" applyFill="1" applyBorder="1" applyAlignment="1">
      <alignment horizontal="left" vertical="top" wrapText="1" indent="4"/>
    </xf>
    <xf numFmtId="49" fontId="24" fillId="0" borderId="0" xfId="0" applyNumberFormat="1" applyFont="1" applyFill="1" applyBorder="1" applyAlignment="1">
      <alignment vertical="top"/>
    </xf>
    <xf numFmtId="0" fontId="0" fillId="0" borderId="0" xfId="0" applyFont="1" applyFill="1" applyBorder="1"/>
    <xf numFmtId="0" fontId="0" fillId="0" borderId="9" xfId="0" applyFont="1" applyBorder="1"/>
    <xf numFmtId="0" fontId="0" fillId="0" borderId="8" xfId="0" applyFont="1" applyBorder="1"/>
    <xf numFmtId="0" fontId="55" fillId="0" borderId="8" xfId="0" applyFont="1" applyBorder="1"/>
    <xf numFmtId="0" fontId="0" fillId="0" borderId="7" xfId="0" applyFont="1" applyBorder="1"/>
    <xf numFmtId="0" fontId="35" fillId="0" borderId="13" xfId="0" applyFont="1" applyFill="1" applyBorder="1" applyAlignment="1">
      <alignment horizontal="left" vertical="top" wrapText="1" indent="2"/>
    </xf>
    <xf numFmtId="0" fontId="66" fillId="0" borderId="13" xfId="0" applyFont="1" applyFill="1" applyBorder="1" applyAlignment="1">
      <alignment vertical="top" wrapText="1"/>
    </xf>
    <xf numFmtId="0" fontId="53" fillId="0" borderId="13" xfId="0" applyFont="1" applyFill="1" applyBorder="1" applyAlignment="1">
      <alignment horizontal="left" vertical="top" wrapText="1" indent="2"/>
    </xf>
    <xf numFmtId="0" fontId="0" fillId="0" borderId="0" xfId="0" applyBorder="1" applyAlignment="1">
      <alignment horizontal="center" vertical="center"/>
    </xf>
    <xf numFmtId="0" fontId="2" fillId="0" borderId="13" xfId="0" applyFont="1" applyFill="1" applyBorder="1" applyAlignment="1">
      <alignment horizontal="left" vertical="top" wrapText="1" indent="2"/>
    </xf>
    <xf numFmtId="0" fontId="71" fillId="0" borderId="13" xfId="0" applyFont="1" applyFill="1" applyBorder="1" applyAlignment="1">
      <alignment horizontal="left" vertical="top" wrapText="1" indent="4"/>
    </xf>
    <xf numFmtId="0" fontId="28" fillId="0" borderId="13" xfId="0" applyFont="1" applyFill="1" applyBorder="1" applyAlignment="1">
      <alignment horizontal="left" vertical="top" wrapText="1" indent="6"/>
    </xf>
    <xf numFmtId="0" fontId="72" fillId="0" borderId="13" xfId="0" applyFont="1" applyFill="1" applyBorder="1" applyAlignment="1">
      <alignment horizontal="left" vertical="top" wrapText="1" indent="4"/>
    </xf>
    <xf numFmtId="0" fontId="0" fillId="0" borderId="0" xfId="0" applyFill="1" applyBorder="1" applyAlignment="1"/>
    <xf numFmtId="0" fontId="55" fillId="0" borderId="0" xfId="0" applyFont="1" applyBorder="1"/>
    <xf numFmtId="0" fontId="44" fillId="0" borderId="0" xfId="0" applyFont="1" applyFill="1" applyBorder="1" applyAlignment="1">
      <alignment horizontal="center" vertical="center"/>
    </xf>
    <xf numFmtId="0" fontId="1" fillId="0" borderId="0" xfId="0" applyFont="1" applyBorder="1" applyAlignment="1"/>
    <xf numFmtId="0" fontId="2" fillId="6" borderId="70" xfId="0" applyFont="1" applyFill="1" applyBorder="1" applyAlignment="1">
      <alignment horizontal="center"/>
    </xf>
    <xf numFmtId="0" fontId="2" fillId="6" borderId="32" xfId="0" applyFont="1" applyFill="1" applyBorder="1" applyAlignment="1">
      <alignment horizontal="center"/>
    </xf>
    <xf numFmtId="0" fontId="6" fillId="0" borderId="0" xfId="0" applyFont="1" applyBorder="1" applyAlignment="1">
      <alignment horizontal="left" vertical="center" wrapText="1"/>
    </xf>
    <xf numFmtId="0" fontId="6" fillId="0" borderId="0" xfId="0" applyFont="1" applyBorder="1" applyAlignment="1">
      <alignment horizontal="center" vertical="center" wrapText="1"/>
    </xf>
    <xf numFmtId="0" fontId="30" fillId="0" borderId="0" xfId="0" applyFont="1" applyBorder="1" applyAlignment="1">
      <alignment horizontal="center" wrapText="1"/>
    </xf>
    <xf numFmtId="0" fontId="30" fillId="0" borderId="84" xfId="0" applyFont="1" applyBorder="1" applyAlignment="1">
      <alignment horizontal="center" wrapText="1"/>
    </xf>
    <xf numFmtId="0" fontId="29" fillId="11" borderId="36" xfId="0" applyFont="1" applyFill="1" applyBorder="1" applyAlignment="1"/>
    <xf numFmtId="0" fontId="30" fillId="11" borderId="81" xfId="0" applyFont="1" applyFill="1" applyBorder="1" applyAlignment="1">
      <alignment horizontal="centerContinuous"/>
    </xf>
    <xf numFmtId="0" fontId="0" fillId="11" borderId="78" xfId="0" applyFill="1" applyBorder="1" applyAlignment="1">
      <alignment horizontal="centerContinuous"/>
    </xf>
    <xf numFmtId="0" fontId="30" fillId="11" borderId="82" xfId="0" applyFont="1" applyFill="1" applyBorder="1" applyAlignment="1">
      <alignment horizontal="center" wrapText="1"/>
    </xf>
    <xf numFmtId="0" fontId="101" fillId="0" borderId="0" xfId="0" applyFont="1" applyFill="1"/>
    <xf numFmtId="0" fontId="26" fillId="0" borderId="0" xfId="0" applyFont="1" applyBorder="1" applyAlignment="1">
      <alignment horizontal="center"/>
    </xf>
    <xf numFmtId="0" fontId="92" fillId="0" borderId="4" xfId="0" applyFont="1" applyBorder="1" applyAlignment="1">
      <alignment horizontal="center" vertical="top"/>
    </xf>
    <xf numFmtId="0" fontId="9" fillId="0" borderId="0" xfId="0" applyFont="1" applyFill="1" applyAlignment="1">
      <alignment horizontal="right" vertical="top"/>
    </xf>
    <xf numFmtId="0" fontId="30" fillId="11" borderId="63" xfId="0" applyFont="1" applyFill="1" applyBorder="1" applyAlignment="1">
      <alignment horizontal="centerContinuous"/>
    </xf>
    <xf numFmtId="14" fontId="79" fillId="0" borderId="0" xfId="0" applyNumberFormat="1" applyFont="1" applyFill="1"/>
    <xf numFmtId="0" fontId="90" fillId="0" borderId="0" xfId="0" applyFont="1" applyFill="1"/>
    <xf numFmtId="49" fontId="75" fillId="0" borderId="28" xfId="0" applyNumberFormat="1" applyFont="1" applyFill="1" applyBorder="1" applyAlignment="1">
      <alignment vertical="top"/>
    </xf>
    <xf numFmtId="0" fontId="30" fillId="0" borderId="94" xfId="0" applyFont="1" applyBorder="1" applyAlignment="1">
      <alignment horizontal="center" wrapText="1"/>
    </xf>
    <xf numFmtId="0" fontId="0" fillId="0" borderId="0" xfId="0" applyFont="1" applyAlignment="1"/>
    <xf numFmtId="0" fontId="0" fillId="0" borderId="0" xfId="0" applyFont="1" applyAlignment="1">
      <alignment horizontal="center" vertical="center"/>
    </xf>
    <xf numFmtId="0" fontId="0" fillId="0" borderId="8" xfId="0" applyFont="1" applyBorder="1" applyAlignment="1">
      <alignment vertical="center"/>
    </xf>
    <xf numFmtId="0" fontId="1" fillId="0" borderId="28" xfId="0" applyFont="1" applyBorder="1" applyAlignment="1">
      <alignment vertical="center"/>
    </xf>
    <xf numFmtId="49" fontId="66" fillId="0" borderId="28" xfId="0" applyNumberFormat="1" applyFont="1" applyFill="1" applyBorder="1" applyAlignment="1">
      <alignment vertical="center"/>
    </xf>
    <xf numFmtId="0" fontId="73" fillId="0" borderId="13" xfId="0" applyFont="1" applyFill="1" applyBorder="1" applyAlignment="1">
      <alignment vertical="center" wrapText="1"/>
    </xf>
    <xf numFmtId="0" fontId="0" fillId="0" borderId="0" xfId="0" applyFont="1" applyAlignment="1">
      <alignment vertical="center"/>
    </xf>
    <xf numFmtId="0" fontId="0" fillId="0" borderId="8" xfId="0" applyBorder="1" applyAlignment="1"/>
    <xf numFmtId="0" fontId="32" fillId="0" borderId="13" xfId="0" applyFont="1" applyFill="1" applyBorder="1" applyAlignment="1">
      <alignment wrapText="1"/>
    </xf>
    <xf numFmtId="0" fontId="32" fillId="0" borderId="13" xfId="0" applyFont="1" applyFill="1" applyBorder="1" applyAlignment="1">
      <alignment vertical="center" wrapText="1"/>
    </xf>
    <xf numFmtId="0" fontId="70" fillId="0" borderId="13" xfId="0" applyFont="1" applyFill="1" applyBorder="1" applyAlignment="1">
      <alignment vertical="center" wrapText="1"/>
    </xf>
    <xf numFmtId="0" fontId="0" fillId="0" borderId="13" xfId="0" applyFont="1" applyFill="1" applyBorder="1" applyAlignment="1">
      <alignment vertical="center"/>
    </xf>
    <xf numFmtId="0" fontId="70" fillId="0" borderId="13" xfId="0" applyFont="1" applyFill="1" applyBorder="1" applyAlignment="1">
      <alignment wrapText="1"/>
    </xf>
    <xf numFmtId="0" fontId="0" fillId="0" borderId="13" xfId="0" applyFont="1" applyFill="1" applyBorder="1" applyAlignment="1"/>
    <xf numFmtId="0" fontId="73" fillId="0" borderId="13" xfId="0" applyFont="1" applyFill="1" applyBorder="1" applyAlignment="1">
      <alignment wrapText="1"/>
    </xf>
    <xf numFmtId="0" fontId="0" fillId="0" borderId="0" xfId="0" applyAlignment="1">
      <alignment horizontal="center" vertical="center"/>
    </xf>
    <xf numFmtId="0" fontId="0" fillId="0" borderId="8" xfId="0" applyBorder="1" applyAlignment="1">
      <alignment vertical="center"/>
    </xf>
    <xf numFmtId="0" fontId="0" fillId="0" borderId="0" xfId="0" applyFont="1" applyFill="1" applyBorder="1" applyAlignment="1">
      <alignment vertical="center"/>
    </xf>
    <xf numFmtId="0" fontId="33" fillId="0" borderId="13" xfId="0" applyFont="1" applyFill="1" applyBorder="1" applyAlignment="1">
      <alignment horizontal="left" vertical="center" wrapText="1"/>
    </xf>
    <xf numFmtId="0" fontId="0" fillId="0" borderId="29" xfId="0" applyBorder="1" applyAlignment="1">
      <alignment vertical="center"/>
    </xf>
    <xf numFmtId="0" fontId="66" fillId="0" borderId="13" xfId="0" applyFont="1" applyFill="1" applyBorder="1" applyAlignment="1">
      <alignment vertical="center" wrapText="1"/>
    </xf>
    <xf numFmtId="0" fontId="34" fillId="0" borderId="13" xfId="0" applyFont="1" applyFill="1" applyBorder="1" applyAlignment="1">
      <alignment horizontal="left" vertical="center" wrapText="1"/>
    </xf>
    <xf numFmtId="0" fontId="28" fillId="0" borderId="13" xfId="0" applyFont="1" applyFill="1" applyBorder="1" applyAlignment="1">
      <alignment horizontal="left" vertical="center" wrapText="1"/>
    </xf>
    <xf numFmtId="0" fontId="53" fillId="0" borderId="13" xfId="0" applyFont="1" applyFill="1" applyBorder="1" applyAlignment="1">
      <alignment horizontal="left" vertical="center" wrapText="1"/>
    </xf>
    <xf numFmtId="0" fontId="24" fillId="0" borderId="0" xfId="0" applyFont="1" applyAlignment="1">
      <alignment horizontal="left" vertical="center"/>
    </xf>
    <xf numFmtId="0" fontId="71" fillId="0" borderId="13" xfId="0" applyFont="1" applyFill="1" applyBorder="1" applyAlignment="1">
      <alignment horizontal="left" vertical="center" wrapText="1"/>
    </xf>
    <xf numFmtId="0" fontId="2" fillId="0" borderId="13" xfId="0" applyFont="1" applyFill="1" applyBorder="1" applyAlignment="1">
      <alignment horizontal="left" vertical="center" wrapText="1"/>
    </xf>
    <xf numFmtId="0" fontId="1" fillId="0" borderId="0" xfId="0" applyFont="1" applyBorder="1" applyAlignment="1">
      <alignment vertical="center"/>
    </xf>
    <xf numFmtId="0" fontId="0" fillId="0" borderId="0" xfId="0" applyFont="1" applyFill="1" applyAlignment="1">
      <alignment vertical="center"/>
    </xf>
    <xf numFmtId="49" fontId="0" fillId="0" borderId="0" xfId="0" applyNumberFormat="1" applyBorder="1" applyAlignment="1">
      <alignment vertical="center"/>
    </xf>
    <xf numFmtId="49" fontId="0" fillId="0" borderId="30" xfId="0" applyNumberFormat="1" applyBorder="1" applyAlignment="1">
      <alignment vertical="center"/>
    </xf>
    <xf numFmtId="0" fontId="35" fillId="0" borderId="13" xfId="0" applyFont="1" applyFill="1" applyBorder="1" applyAlignment="1">
      <alignment horizontal="left" vertical="center" wrapText="1"/>
    </xf>
    <xf numFmtId="49" fontId="111" fillId="0" borderId="28" xfId="0" applyNumberFormat="1" applyFont="1" applyFill="1" applyBorder="1" applyAlignment="1">
      <alignment vertical="center"/>
    </xf>
    <xf numFmtId="49" fontId="109" fillId="0" borderId="0" xfId="0" applyNumberFormat="1" applyFont="1" applyFill="1" applyBorder="1" applyAlignment="1">
      <alignment vertical="center"/>
    </xf>
    <xf numFmtId="0" fontId="23" fillId="0" borderId="13" xfId="0" applyFont="1" applyFill="1" applyBorder="1" applyAlignment="1">
      <alignment vertical="center" wrapText="1"/>
    </xf>
    <xf numFmtId="0" fontId="112" fillId="0" borderId="28" xfId="0" applyFont="1" applyBorder="1" applyAlignment="1">
      <alignment vertical="center"/>
    </xf>
    <xf numFmtId="0" fontId="0" fillId="0" borderId="7" xfId="0" applyBorder="1" applyAlignment="1">
      <alignment vertical="center"/>
    </xf>
    <xf numFmtId="0" fontId="0" fillId="0" borderId="9" xfId="0" applyBorder="1" applyAlignment="1">
      <alignment vertical="center"/>
    </xf>
    <xf numFmtId="49" fontId="0" fillId="0" borderId="9" xfId="0" applyNumberFormat="1" applyBorder="1" applyAlignment="1">
      <alignment vertical="center"/>
    </xf>
    <xf numFmtId="0" fontId="0" fillId="0" borderId="9" xfId="0" applyFont="1" applyBorder="1" applyAlignment="1">
      <alignment vertical="center"/>
    </xf>
    <xf numFmtId="0" fontId="0" fillId="0" borderId="14" xfId="0" applyFont="1" applyFill="1" applyBorder="1" applyAlignment="1">
      <alignment vertical="center"/>
    </xf>
    <xf numFmtId="0" fontId="5" fillId="13" borderId="31" xfId="0" applyFont="1" applyFill="1" applyBorder="1" applyAlignment="1">
      <alignment horizontal="center" vertical="center" wrapText="1"/>
    </xf>
    <xf numFmtId="0" fontId="5" fillId="16" borderId="31" xfId="0" applyFont="1" applyFill="1" applyBorder="1" applyAlignment="1">
      <alignment horizontal="center" vertical="center" wrapText="1"/>
    </xf>
    <xf numFmtId="0" fontId="119" fillId="14" borderId="31" xfId="0" applyFont="1" applyFill="1" applyBorder="1" applyAlignment="1">
      <alignment horizontal="center" vertical="center" wrapText="1"/>
    </xf>
    <xf numFmtId="0" fontId="5" fillId="12" borderId="31" xfId="0" applyFont="1" applyFill="1" applyBorder="1" applyAlignment="1">
      <alignment horizontal="center" vertical="center" wrapText="1"/>
    </xf>
    <xf numFmtId="0" fontId="7" fillId="16" borderId="59" xfId="0" applyFont="1" applyFill="1" applyBorder="1" applyAlignment="1">
      <alignment horizontal="center" vertical="center" wrapText="1"/>
    </xf>
    <xf numFmtId="0" fontId="7" fillId="13" borderId="17" xfId="0" applyFont="1" applyFill="1" applyBorder="1" applyAlignment="1">
      <alignment horizontal="center" vertical="center" wrapText="1"/>
    </xf>
    <xf numFmtId="0" fontId="100" fillId="0" borderId="49" xfId="0" quotePrefix="1" applyFont="1" applyFill="1" applyBorder="1" applyAlignment="1">
      <alignment vertical="center" wrapText="1"/>
    </xf>
    <xf numFmtId="0" fontId="0" fillId="0" borderId="0" xfId="0" applyFill="1" applyBorder="1" applyAlignment="1">
      <alignment horizontal="center" vertical="center"/>
    </xf>
    <xf numFmtId="0" fontId="32" fillId="0" borderId="0" xfId="0" applyFont="1" applyFill="1" applyBorder="1" applyAlignment="1">
      <alignment horizontal="center"/>
    </xf>
    <xf numFmtId="0" fontId="25" fillId="0" borderId="0" xfId="0" applyFont="1" applyFill="1" applyBorder="1" applyAlignment="1">
      <alignment horizontal="center" wrapText="1"/>
    </xf>
    <xf numFmtId="0" fontId="26" fillId="0" borderId="0" xfId="0" applyFont="1" applyFill="1" applyBorder="1" applyAlignment="1">
      <alignment horizontal="center"/>
    </xf>
    <xf numFmtId="49" fontId="30" fillId="0" borderId="0" xfId="0" applyNumberFormat="1" applyFont="1" applyFill="1" applyBorder="1" applyAlignment="1">
      <alignment horizontal="center" vertical="center"/>
    </xf>
    <xf numFmtId="0" fontId="32" fillId="0" borderId="0" xfId="0" applyFont="1" applyFill="1" applyBorder="1" applyAlignment="1">
      <alignment vertical="center" wrapText="1"/>
    </xf>
    <xf numFmtId="0" fontId="123" fillId="0" borderId="0" xfId="0" applyFont="1" applyFill="1" applyBorder="1" applyAlignment="1">
      <alignment horizontal="center" vertical="center" wrapText="1"/>
    </xf>
    <xf numFmtId="0" fontId="83" fillId="0" borderId="0" xfId="0" applyFont="1" applyFill="1" applyBorder="1" applyAlignment="1">
      <alignment horizontal="center" vertical="center" wrapText="1"/>
    </xf>
    <xf numFmtId="0" fontId="125" fillId="0" borderId="0" xfId="0" applyFont="1" applyFill="1" applyBorder="1" applyAlignment="1">
      <alignment horizontal="center" vertical="center" wrapText="1"/>
    </xf>
    <xf numFmtId="0" fontId="0" fillId="0" borderId="0" xfId="0" applyFont="1" applyAlignment="1"/>
    <xf numFmtId="0" fontId="28" fillId="0" borderId="13" xfId="0" applyFont="1" applyFill="1" applyBorder="1" applyAlignment="1">
      <alignment horizontal="left" wrapText="1"/>
    </xf>
    <xf numFmtId="0" fontId="112" fillId="0" borderId="27" xfId="0" applyFont="1" applyFill="1" applyBorder="1" applyAlignment="1">
      <alignment vertical="center"/>
    </xf>
    <xf numFmtId="0" fontId="112" fillId="0" borderId="28" xfId="0" applyFont="1" applyFill="1" applyBorder="1" applyAlignment="1">
      <alignment vertical="center"/>
    </xf>
    <xf numFmtId="0" fontId="75" fillId="0" borderId="28" xfId="0" quotePrefix="1" applyFont="1" applyFill="1" applyBorder="1" applyAlignment="1">
      <alignment vertical="center" wrapText="1"/>
    </xf>
    <xf numFmtId="49" fontId="113" fillId="0" borderId="28" xfId="0" applyNumberFormat="1" applyFont="1" applyFill="1" applyBorder="1" applyAlignment="1">
      <alignment vertical="center"/>
    </xf>
    <xf numFmtId="0" fontId="33" fillId="0" borderId="28" xfId="0" applyFont="1" applyFill="1" applyBorder="1" applyAlignment="1">
      <alignment horizontal="left" vertical="top" wrapText="1" indent="2"/>
    </xf>
    <xf numFmtId="0" fontId="75" fillId="0" borderId="28" xfId="0" quotePrefix="1" applyFont="1" applyFill="1" applyBorder="1" applyAlignment="1">
      <alignment vertical="top" wrapText="1"/>
    </xf>
    <xf numFmtId="49" fontId="0" fillId="0" borderId="30" xfId="0" applyNumberFormat="1" applyFill="1" applyBorder="1" applyAlignment="1">
      <alignment vertical="center"/>
    </xf>
    <xf numFmtId="49" fontId="0" fillId="0" borderId="0" xfId="0" applyNumberFormat="1" applyFill="1" applyBorder="1" applyAlignment="1">
      <alignment vertical="center"/>
    </xf>
    <xf numFmtId="0" fontId="35" fillId="0" borderId="28" xfId="0" applyFont="1" applyFill="1" applyBorder="1" applyAlignment="1">
      <alignment horizontal="left" vertical="center" wrapText="1" indent="2"/>
    </xf>
    <xf numFmtId="0" fontId="72" fillId="0" borderId="28" xfId="0" applyFont="1" applyFill="1" applyBorder="1" applyAlignment="1">
      <alignment horizontal="left" vertical="top" wrapText="1" indent="4"/>
    </xf>
    <xf numFmtId="0" fontId="53" fillId="0" borderId="28" xfId="0" applyFont="1" applyFill="1" applyBorder="1" applyAlignment="1">
      <alignment horizontal="left" vertical="top" wrapText="1" indent="2"/>
    </xf>
    <xf numFmtId="49" fontId="24" fillId="0" borderId="0" xfId="0" applyNumberFormat="1" applyFont="1" applyFill="1" applyAlignment="1">
      <alignment vertical="top"/>
    </xf>
    <xf numFmtId="0" fontId="12" fillId="0" borderId="0" xfId="0" applyFont="1" applyAlignment="1">
      <alignment vertical="center"/>
    </xf>
    <xf numFmtId="0" fontId="1" fillId="0" borderId="27" xfId="0" applyFont="1" applyFill="1" applyBorder="1" applyAlignment="1">
      <alignment vertical="center"/>
    </xf>
    <xf numFmtId="0" fontId="1" fillId="0" borderId="28" xfId="0" applyFont="1" applyFill="1" applyBorder="1" applyAlignment="1">
      <alignment vertical="center"/>
    </xf>
    <xf numFmtId="0" fontId="5" fillId="19" borderId="31" xfId="0" applyFont="1" applyFill="1" applyBorder="1" applyAlignment="1">
      <alignment horizontal="center" vertical="center" wrapText="1"/>
    </xf>
    <xf numFmtId="0" fontId="0" fillId="0" borderId="0" xfId="0" applyFont="1" applyAlignment="1"/>
    <xf numFmtId="0" fontId="26" fillId="0" borderId="0" xfId="0" applyFont="1" applyBorder="1" applyAlignment="1">
      <alignment horizontal="center"/>
    </xf>
    <xf numFmtId="0" fontId="0" fillId="0" borderId="0" xfId="0" applyFont="1" applyAlignment="1"/>
    <xf numFmtId="0" fontId="92" fillId="0" borderId="4" xfId="0" applyFont="1" applyBorder="1" applyAlignment="1">
      <alignment horizontal="center" vertical="top"/>
    </xf>
    <xf numFmtId="0" fontId="26" fillId="0" borderId="0" xfId="0" applyFont="1" applyBorder="1" applyAlignment="1">
      <alignment horizontal="center"/>
    </xf>
    <xf numFmtId="0" fontId="0" fillId="0" borderId="0" xfId="0" applyFont="1" applyAlignment="1"/>
    <xf numFmtId="0" fontId="92" fillId="0" borderId="4" xfId="0" applyFont="1" applyBorder="1" applyAlignment="1">
      <alignment horizontal="center" vertical="top"/>
    </xf>
    <xf numFmtId="0" fontId="31"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49" fontId="66" fillId="0" borderId="0" xfId="0" applyNumberFormat="1" applyFont="1" applyFill="1" applyBorder="1" applyAlignment="1">
      <alignment vertical="center"/>
    </xf>
    <xf numFmtId="0" fontId="66" fillId="0" borderId="0" xfId="0" applyFont="1" applyFill="1" applyBorder="1" applyAlignment="1">
      <alignment vertical="center" wrapText="1"/>
    </xf>
    <xf numFmtId="0" fontId="131" fillId="20" borderId="31" xfId="0" applyFont="1" applyFill="1" applyBorder="1" applyAlignment="1">
      <alignment horizontal="center" vertical="center" wrapText="1"/>
    </xf>
    <xf numFmtId="0" fontId="0" fillId="8" borderId="100" xfId="0" applyFill="1" applyBorder="1" applyAlignment="1">
      <alignment horizontal="left" vertical="center"/>
    </xf>
    <xf numFmtId="0" fontId="0" fillId="8" borderId="13" xfId="0" applyFill="1" applyBorder="1" applyAlignment="1">
      <alignment horizontal="left" vertical="center"/>
    </xf>
    <xf numFmtId="0" fontId="0" fillId="0" borderId="13" xfId="0" applyFont="1" applyBorder="1"/>
    <xf numFmtId="0" fontId="26" fillId="0" borderId="0" xfId="0" applyFont="1" applyFill="1" applyBorder="1" applyAlignment="1">
      <alignment vertical="center" wrapText="1"/>
    </xf>
    <xf numFmtId="0" fontId="135" fillId="10" borderId="13" xfId="0" applyFont="1" applyFill="1" applyBorder="1" applyAlignment="1">
      <alignment horizontal="left" vertical="center"/>
    </xf>
    <xf numFmtId="0" fontId="0" fillId="6" borderId="13" xfId="0" applyFill="1" applyBorder="1" applyAlignment="1">
      <alignment vertical="center"/>
    </xf>
    <xf numFmtId="0" fontId="131" fillId="11" borderId="31" xfId="0" applyFont="1" applyFill="1" applyBorder="1" applyAlignment="1">
      <alignment horizontal="center" vertical="center" wrapText="1"/>
    </xf>
    <xf numFmtId="0" fontId="119" fillId="21" borderId="31" xfId="0" applyFont="1" applyFill="1" applyBorder="1" applyAlignment="1">
      <alignment horizontal="center" vertical="center" wrapText="1"/>
    </xf>
    <xf numFmtId="0" fontId="119" fillId="22" borderId="31" xfId="0" applyFont="1" applyFill="1" applyBorder="1" applyAlignment="1">
      <alignment horizontal="center" vertical="center" wrapText="1"/>
    </xf>
    <xf numFmtId="0" fontId="7" fillId="23" borderId="59" xfId="0" applyFont="1" applyFill="1" applyBorder="1" applyAlignment="1">
      <alignment horizontal="center" vertical="center" wrapText="1"/>
    </xf>
    <xf numFmtId="0" fontId="7" fillId="20" borderId="67" xfId="0" applyFont="1" applyFill="1" applyBorder="1" applyAlignment="1">
      <alignment horizontal="center" vertical="center" wrapText="1"/>
    </xf>
    <xf numFmtId="0" fontId="139" fillId="25" borderId="67" xfId="0" applyFont="1" applyFill="1" applyBorder="1" applyAlignment="1">
      <alignment horizontal="center" vertical="center" wrapText="1"/>
    </xf>
    <xf numFmtId="0" fontId="121" fillId="24" borderId="67" xfId="0" applyFont="1" applyFill="1" applyBorder="1" applyAlignment="1">
      <alignment horizontal="center" vertical="center" wrapText="1"/>
    </xf>
    <xf numFmtId="0" fontId="85" fillId="0" borderId="4" xfId="0" applyFont="1" applyBorder="1" applyAlignment="1">
      <alignment horizontal="center"/>
    </xf>
    <xf numFmtId="0" fontId="107" fillId="0" borderId="0" xfId="0" applyFont="1" applyFill="1" applyAlignment="1">
      <alignment horizontal="center" vertical="top"/>
    </xf>
    <xf numFmtId="0" fontId="28" fillId="0" borderId="0" xfId="0" applyFont="1" applyFill="1"/>
    <xf numFmtId="0" fontId="137" fillId="0" borderId="0" xfId="0" applyFont="1" applyFill="1" applyAlignment="1">
      <alignment horizontal="center" vertical="top"/>
    </xf>
    <xf numFmtId="0" fontId="107" fillId="0" borderId="16" xfId="0" applyFont="1" applyFill="1" applyBorder="1" applyAlignment="1">
      <alignment horizontal="center" vertical="top"/>
    </xf>
    <xf numFmtId="0" fontId="0" fillId="0" borderId="0" xfId="0" applyFill="1" applyAlignment="1">
      <alignment vertical="top"/>
    </xf>
    <xf numFmtId="0" fontId="0" fillId="0" borderId="8" xfId="0" applyFill="1" applyBorder="1" applyAlignment="1">
      <alignment vertical="top"/>
    </xf>
    <xf numFmtId="0" fontId="0" fillId="0" borderId="13" xfId="0" applyFill="1" applyBorder="1" applyAlignment="1">
      <alignment vertical="top"/>
    </xf>
    <xf numFmtId="0" fontId="0" fillId="0" borderId="7" xfId="0" applyFill="1" applyBorder="1" applyAlignment="1">
      <alignment vertical="top"/>
    </xf>
    <xf numFmtId="0" fontId="26" fillId="0" borderId="13" xfId="0" applyFont="1" applyFill="1" applyBorder="1" applyAlignment="1">
      <alignment horizontal="right" vertical="top"/>
    </xf>
    <xf numFmtId="0" fontId="5" fillId="0" borderId="0" xfId="0" applyFont="1" applyFill="1" applyBorder="1" applyAlignment="1">
      <alignment horizontal="center" vertical="center"/>
    </xf>
    <xf numFmtId="0" fontId="112" fillId="0" borderId="0" xfId="0" applyFont="1" applyBorder="1" applyAlignment="1">
      <alignment vertical="center"/>
    </xf>
    <xf numFmtId="49" fontId="75" fillId="0" borderId="28" xfId="0" applyNumberFormat="1" applyFont="1" applyBorder="1" applyAlignment="1">
      <alignment vertical="center"/>
    </xf>
    <xf numFmtId="49" fontId="109" fillId="0" borderId="0" xfId="0" applyNumberFormat="1" applyFont="1" applyBorder="1" applyAlignment="1">
      <alignment vertical="center"/>
    </xf>
    <xf numFmtId="0" fontId="109" fillId="0" borderId="0" xfId="0" applyFont="1" applyBorder="1" applyAlignment="1">
      <alignment vertical="center"/>
    </xf>
    <xf numFmtId="0" fontId="75" fillId="0" borderId="28" xfId="0" applyFont="1" applyFill="1" applyBorder="1" applyAlignment="1">
      <alignment vertical="center" wrapText="1"/>
    </xf>
    <xf numFmtId="49" fontId="75" fillId="0" borderId="28" xfId="0" applyNumberFormat="1" applyFont="1" applyFill="1" applyBorder="1" applyAlignment="1">
      <alignment vertical="center"/>
    </xf>
    <xf numFmtId="49" fontId="75" fillId="0" borderId="0" xfId="0" applyNumberFormat="1" applyFont="1" applyFill="1" applyBorder="1" applyAlignment="1">
      <alignment vertical="center"/>
    </xf>
    <xf numFmtId="0" fontId="75" fillId="0" borderId="0" xfId="0" applyFont="1" applyFill="1" applyBorder="1" applyAlignment="1">
      <alignment vertical="center" wrapText="1"/>
    </xf>
    <xf numFmtId="49" fontId="142" fillId="0" borderId="0" xfId="0" applyNumberFormat="1" applyFont="1" applyFill="1" applyBorder="1" applyAlignment="1">
      <alignment vertical="top"/>
    </xf>
    <xf numFmtId="0" fontId="133" fillId="0" borderId="0" xfId="0" applyFont="1" applyFill="1" applyBorder="1" applyAlignment="1">
      <alignment horizontal="center" vertical="center" wrapText="1"/>
    </xf>
    <xf numFmtId="0" fontId="109" fillId="0" borderId="0" xfId="0" applyFont="1" applyFill="1" applyBorder="1"/>
    <xf numFmtId="0" fontId="109" fillId="0" borderId="0" xfId="0" applyFont="1" applyBorder="1" applyAlignment="1"/>
    <xf numFmtId="0" fontId="75" fillId="0" borderId="28" xfId="0" applyFont="1" applyFill="1" applyBorder="1" applyAlignment="1">
      <alignment wrapText="1"/>
    </xf>
    <xf numFmtId="0" fontId="48" fillId="0" borderId="13" xfId="0" applyFont="1" applyBorder="1" applyAlignment="1">
      <alignment horizontal="left" vertical="top" wrapText="1" indent="2"/>
    </xf>
    <xf numFmtId="0" fontId="50" fillId="0" borderId="13" xfId="0" applyFont="1" applyBorder="1" applyAlignment="1">
      <alignment horizontal="left" vertical="top" wrapText="1" indent="4"/>
    </xf>
    <xf numFmtId="0" fontId="2" fillId="0" borderId="13" xfId="0" applyFont="1" applyBorder="1"/>
    <xf numFmtId="0" fontId="48" fillId="0" borderId="8" xfId="0" applyFont="1" applyBorder="1" applyAlignment="1">
      <alignment horizontal="left" vertical="top" wrapText="1" indent="2"/>
    </xf>
    <xf numFmtId="0" fontId="50" fillId="0" borderId="8" xfId="0" applyFont="1" applyBorder="1" applyAlignment="1">
      <alignment horizontal="left" vertical="top" wrapText="1" indent="4"/>
    </xf>
    <xf numFmtId="0" fontId="2" fillId="0" borderId="8" xfId="0" applyFont="1" applyBorder="1"/>
    <xf numFmtId="0" fontId="0" fillId="0" borderId="14" xfId="0" applyFont="1" applyBorder="1"/>
    <xf numFmtId="165" fontId="145" fillId="0" borderId="0" xfId="0" applyNumberFormat="1" applyFont="1" applyBorder="1" applyAlignment="1">
      <alignment horizontal="center" vertical="center"/>
    </xf>
    <xf numFmtId="0" fontId="31" fillId="0" borderId="26" xfId="0" applyFont="1" applyFill="1" applyBorder="1" applyAlignment="1">
      <alignment horizontal="center" vertical="center"/>
    </xf>
    <xf numFmtId="0" fontId="148" fillId="22" borderId="0" xfId="0" applyFont="1" applyFill="1" applyBorder="1" applyAlignment="1">
      <alignment vertical="center"/>
    </xf>
    <xf numFmtId="0" fontId="146" fillId="22" borderId="0" xfId="0" applyFont="1" applyFill="1" applyBorder="1" applyAlignment="1"/>
    <xf numFmtId="0" fontId="148" fillId="24" borderId="0" xfId="0" applyFont="1" applyFill="1" applyBorder="1" applyAlignment="1">
      <alignment vertical="center"/>
    </xf>
    <xf numFmtId="0" fontId="146" fillId="24" borderId="0" xfId="0" applyFont="1" applyFill="1" applyBorder="1" applyAlignment="1"/>
    <xf numFmtId="0" fontId="148" fillId="11" borderId="0" xfId="0" applyFont="1" applyFill="1" applyBorder="1" applyAlignment="1">
      <alignment vertical="center"/>
    </xf>
    <xf numFmtId="0" fontId="146" fillId="11" borderId="0" xfId="0" applyFont="1" applyFill="1" applyBorder="1" applyAlignment="1"/>
    <xf numFmtId="165" fontId="149" fillId="20" borderId="0" xfId="0" applyNumberFormat="1" applyFont="1" applyFill="1" applyBorder="1" applyAlignment="1">
      <alignment horizontal="center" vertical="center"/>
    </xf>
    <xf numFmtId="0" fontId="150" fillId="20" borderId="0" xfId="0" applyFont="1" applyFill="1" applyBorder="1" applyAlignment="1">
      <alignment vertical="center"/>
    </xf>
    <xf numFmtId="0" fontId="92" fillId="0" borderId="4" xfId="0" applyFont="1" applyBorder="1" applyAlignment="1">
      <alignment horizontal="center" vertical="top"/>
    </xf>
    <xf numFmtId="0" fontId="0" fillId="0" borderId="102" xfId="0" applyFill="1" applyBorder="1" applyAlignment="1">
      <alignment horizontal="center" vertical="center"/>
    </xf>
    <xf numFmtId="0" fontId="0" fillId="0" borderId="8" xfId="0" applyFont="1" applyBorder="1" applyAlignment="1"/>
    <xf numFmtId="49" fontId="75" fillId="0" borderId="28" xfId="0" applyNumberFormat="1" applyFont="1" applyFill="1" applyBorder="1" applyAlignment="1"/>
    <xf numFmtId="49" fontId="142" fillId="0" borderId="0" xfId="0" applyNumberFormat="1" applyFont="1" applyFill="1" applyBorder="1" applyAlignment="1"/>
    <xf numFmtId="0" fontId="109" fillId="0" borderId="0" xfId="0" applyFont="1" applyFill="1" applyBorder="1" applyAlignment="1"/>
    <xf numFmtId="0" fontId="0" fillId="0" borderId="27" xfId="0" applyFill="1" applyBorder="1" applyAlignment="1"/>
    <xf numFmtId="0" fontId="1" fillId="0" borderId="0" xfId="0" applyFont="1" applyFill="1" applyBorder="1" applyAlignment="1">
      <alignment vertical="center"/>
    </xf>
    <xf numFmtId="0" fontId="0" fillId="0" borderId="29" xfId="0" applyFill="1" applyBorder="1" applyAlignment="1"/>
    <xf numFmtId="0" fontId="33" fillId="0" borderId="28" xfId="0" applyFont="1" applyFill="1" applyBorder="1" applyAlignment="1">
      <alignment horizontal="left" vertical="center" wrapText="1" indent="1"/>
    </xf>
    <xf numFmtId="0" fontId="30" fillId="0" borderId="83" xfId="0" applyFont="1" applyBorder="1" applyAlignment="1">
      <alignment horizontal="center" wrapText="1"/>
    </xf>
    <xf numFmtId="0" fontId="104" fillId="17" borderId="78" xfId="0" applyFont="1" applyFill="1" applyBorder="1" applyAlignment="1">
      <alignment horizontal="center" vertical="center" wrapText="1"/>
    </xf>
    <xf numFmtId="0" fontId="153" fillId="0" borderId="104" xfId="0" quotePrefix="1" applyFont="1" applyBorder="1" applyAlignment="1">
      <alignment horizontal="left" vertical="center" wrapText="1"/>
    </xf>
    <xf numFmtId="0" fontId="0" fillId="0" borderId="28" xfId="0" applyBorder="1" applyAlignment="1">
      <alignment vertical="center"/>
    </xf>
    <xf numFmtId="0" fontId="0" fillId="0" borderId="91" xfId="0" applyBorder="1" applyAlignment="1">
      <alignment vertical="center"/>
    </xf>
    <xf numFmtId="0" fontId="95" fillId="11" borderId="96" xfId="0" applyFont="1" applyFill="1" applyBorder="1" applyAlignment="1">
      <alignment horizontal="center"/>
    </xf>
    <xf numFmtId="0" fontId="28" fillId="0" borderId="0" xfId="0" applyFont="1"/>
    <xf numFmtId="0" fontId="29" fillId="11" borderId="84" xfId="0" applyFont="1" applyFill="1" applyBorder="1" applyAlignment="1"/>
    <xf numFmtId="0" fontId="109" fillId="11" borderId="0" xfId="0" applyFont="1" applyFill="1" applyBorder="1" applyAlignment="1">
      <alignment horizontal="center"/>
    </xf>
    <xf numFmtId="0" fontId="109" fillId="11" borderId="98" xfId="0" applyFont="1" applyFill="1" applyBorder="1" applyAlignment="1">
      <alignment horizontal="center"/>
    </xf>
    <xf numFmtId="0" fontId="130" fillId="11" borderId="0" xfId="0" applyFont="1" applyFill="1" applyBorder="1" applyAlignment="1">
      <alignment horizontal="center"/>
    </xf>
    <xf numFmtId="0" fontId="130" fillId="11" borderId="83" xfId="0" applyFont="1" applyFill="1" applyBorder="1" applyAlignment="1">
      <alignment horizontal="center"/>
    </xf>
    <xf numFmtId="0" fontId="130" fillId="11" borderId="98" xfId="0" applyFont="1" applyFill="1" applyBorder="1" applyAlignment="1">
      <alignment horizontal="center"/>
    </xf>
    <xf numFmtId="0" fontId="133" fillId="0" borderId="28" xfId="0" applyFont="1" applyFill="1" applyBorder="1" applyAlignment="1">
      <alignment vertical="center" wrapText="1"/>
    </xf>
    <xf numFmtId="0" fontId="33" fillId="0" borderId="28" xfId="0" applyFont="1" applyFill="1" applyBorder="1" applyAlignment="1">
      <alignment horizontal="left" vertical="center" wrapText="1" indent="2"/>
    </xf>
    <xf numFmtId="0" fontId="72" fillId="0" borderId="28" xfId="0" applyFont="1" applyFill="1" applyBorder="1" applyAlignment="1">
      <alignment horizontal="left" vertical="center" wrapText="1" indent="3"/>
    </xf>
    <xf numFmtId="49" fontId="111" fillId="0" borderId="0" xfId="0" applyNumberFormat="1" applyFont="1" applyBorder="1" applyAlignment="1">
      <alignment vertical="center"/>
    </xf>
    <xf numFmtId="165" fontId="158" fillId="2" borderId="2" xfId="0" applyNumberFormat="1" applyFont="1" applyFill="1" applyBorder="1" applyAlignment="1">
      <alignment horizontal="center" vertical="top"/>
    </xf>
    <xf numFmtId="0" fontId="72" fillId="2" borderId="6" xfId="0" quotePrefix="1" applyFont="1" applyFill="1" applyBorder="1" applyAlignment="1">
      <alignment horizontal="left" vertical="top" wrapText="1"/>
    </xf>
    <xf numFmtId="0" fontId="6" fillId="0" borderId="0" xfId="0" applyFont="1" applyFill="1" applyAlignment="1">
      <alignment horizontal="left"/>
    </xf>
    <xf numFmtId="0" fontId="44" fillId="0" borderId="30" xfId="0" applyFont="1" applyFill="1" applyBorder="1" applyAlignment="1">
      <alignment horizontal="center" vertical="center"/>
    </xf>
    <xf numFmtId="0" fontId="53" fillId="0" borderId="28" xfId="0" applyFont="1" applyFill="1" applyBorder="1" applyAlignment="1">
      <alignment horizontal="left" vertical="center" wrapText="1" indent="1"/>
    </xf>
    <xf numFmtId="0" fontId="26" fillId="0" borderId="0" xfId="0" applyFont="1" applyBorder="1" applyAlignment="1">
      <alignment horizontal="center"/>
    </xf>
    <xf numFmtId="0" fontId="44" fillId="0" borderId="103" xfId="0" applyFont="1" applyFill="1" applyBorder="1" applyAlignment="1">
      <alignment horizontal="center" vertical="center"/>
    </xf>
    <xf numFmtId="0" fontId="1" fillId="0" borderId="103" xfId="0" applyFont="1" applyBorder="1" applyAlignment="1">
      <alignment vertical="center"/>
    </xf>
    <xf numFmtId="0" fontId="1" fillId="0" borderId="103" xfId="0" applyFont="1" applyFill="1" applyBorder="1" applyAlignment="1">
      <alignment vertical="center"/>
    </xf>
    <xf numFmtId="49" fontId="66" fillId="0" borderId="103" xfId="0" applyNumberFormat="1" applyFont="1" applyFill="1" applyBorder="1" applyAlignment="1">
      <alignment vertical="center"/>
    </xf>
    <xf numFmtId="0" fontId="66" fillId="0" borderId="103" xfId="0" applyFont="1" applyFill="1" applyBorder="1" applyAlignment="1">
      <alignment vertical="center" wrapText="1"/>
    </xf>
    <xf numFmtId="0" fontId="32" fillId="0" borderId="0" xfId="0" applyFont="1" applyFill="1" applyBorder="1" applyAlignment="1">
      <alignment horizontal="center" vertical="center"/>
    </xf>
    <xf numFmtId="0" fontId="72" fillId="0" borderId="28" xfId="0" applyFont="1" applyFill="1" applyBorder="1" applyAlignment="1">
      <alignment horizontal="left" vertical="top" wrapText="1" indent="3"/>
    </xf>
    <xf numFmtId="0" fontId="53" fillId="0" borderId="28" xfId="0" applyFont="1" applyFill="1" applyBorder="1" applyAlignment="1">
      <alignment horizontal="left" vertical="top" wrapText="1" indent="1"/>
    </xf>
    <xf numFmtId="0" fontId="95" fillId="11" borderId="35" xfId="0" applyFont="1" applyFill="1" applyBorder="1" applyAlignment="1">
      <alignment horizontal="center"/>
    </xf>
    <xf numFmtId="0" fontId="165" fillId="0" borderId="28" xfId="0" applyFont="1" applyFill="1" applyBorder="1" applyAlignment="1">
      <alignment horizontal="left" vertical="center" wrapText="1" indent="2"/>
    </xf>
    <xf numFmtId="0" fontId="168" fillId="0" borderId="26" xfId="0" applyFont="1" applyFill="1" applyBorder="1" applyAlignment="1">
      <alignment horizontal="center" vertical="center"/>
    </xf>
    <xf numFmtId="0" fontId="0" fillId="0" borderId="26" xfId="0" applyFont="1" applyFill="1" applyBorder="1" applyAlignment="1">
      <alignment horizontal="center" vertical="center"/>
    </xf>
    <xf numFmtId="0" fontId="91" fillId="0" borderId="28" xfId="0" applyFont="1" applyFill="1" applyBorder="1" applyAlignment="1">
      <alignment horizontal="left" vertical="center" wrapText="1" indent="4"/>
    </xf>
    <xf numFmtId="0" fontId="165" fillId="0" borderId="28" xfId="0" applyFont="1" applyFill="1" applyBorder="1" applyAlignment="1">
      <alignment horizontal="left" vertical="center" wrapText="1" indent="1"/>
    </xf>
    <xf numFmtId="0" fontId="0" fillId="0" borderId="0" xfId="0" applyBorder="1" applyAlignment="1">
      <alignment horizontal="center"/>
    </xf>
    <xf numFmtId="0" fontId="30" fillId="11" borderId="81" xfId="0" applyFont="1" applyFill="1" applyBorder="1" applyAlignment="1">
      <alignment horizontal="center"/>
    </xf>
    <xf numFmtId="0" fontId="30" fillId="11" borderId="82" xfId="0" applyFont="1" applyFill="1" applyBorder="1" applyAlignment="1">
      <alignment horizontal="center"/>
    </xf>
    <xf numFmtId="0" fontId="0" fillId="0" borderId="75" xfId="0" applyBorder="1" applyAlignment="1"/>
    <xf numFmtId="0" fontId="153" fillId="0" borderId="104" xfId="0" quotePrefix="1" applyFont="1" applyBorder="1" applyAlignment="1">
      <alignment horizontal="left" wrapText="1"/>
    </xf>
    <xf numFmtId="0" fontId="0" fillId="0" borderId="76" xfId="0" applyBorder="1" applyAlignment="1"/>
    <xf numFmtId="0" fontId="153" fillId="0" borderId="112" xfId="0" quotePrefix="1" applyFont="1" applyBorder="1" applyAlignment="1">
      <alignment horizontal="left" wrapText="1"/>
    </xf>
    <xf numFmtId="0" fontId="5" fillId="0" borderId="0" xfId="0" applyFont="1" applyBorder="1" applyAlignment="1">
      <alignment horizontal="right"/>
    </xf>
    <xf numFmtId="0" fontId="6" fillId="0" borderId="0" xfId="0" applyFont="1" applyFill="1" applyBorder="1" applyAlignment="1">
      <alignment horizontal="left"/>
    </xf>
    <xf numFmtId="0" fontId="0" fillId="11" borderId="34" xfId="0" applyFill="1" applyBorder="1" applyAlignment="1"/>
    <xf numFmtId="0" fontId="0" fillId="11" borderId="35" xfId="0" applyFill="1" applyBorder="1" applyAlignment="1"/>
    <xf numFmtId="0" fontId="0" fillId="11" borderId="87" xfId="0" applyFill="1" applyBorder="1" applyAlignment="1"/>
    <xf numFmtId="0" fontId="0" fillId="11" borderId="83" xfId="0" applyFill="1" applyBorder="1" applyAlignment="1"/>
    <xf numFmtId="0" fontId="0" fillId="11" borderId="0" xfId="0" applyFill="1" applyBorder="1" applyAlignment="1"/>
    <xf numFmtId="0" fontId="0" fillId="11" borderId="77" xfId="0" applyFill="1" applyBorder="1" applyAlignment="1"/>
    <xf numFmtId="0" fontId="0" fillId="0" borderId="84" xfId="0" applyBorder="1" applyAlignment="1"/>
    <xf numFmtId="0" fontId="0" fillId="11" borderId="63" xfId="0" applyFill="1" applyBorder="1" applyAlignment="1"/>
    <xf numFmtId="0" fontId="0" fillId="11" borderId="63" xfId="0" applyFill="1" applyBorder="1" applyAlignment="1">
      <alignment horizontal="center"/>
    </xf>
    <xf numFmtId="0" fontId="0" fillId="11" borderId="63" xfId="0" applyFill="1" applyBorder="1" applyAlignment="1">
      <alignment horizontal="center" wrapText="1"/>
    </xf>
    <xf numFmtId="0" fontId="6" fillId="11" borderId="119" xfId="0" applyFont="1" applyFill="1" applyBorder="1" applyAlignment="1">
      <alignment horizontal="center" wrapText="1"/>
    </xf>
    <xf numFmtId="0" fontId="1" fillId="11" borderId="63" xfId="0" applyFont="1" applyFill="1" applyBorder="1" applyAlignment="1">
      <alignment horizontal="center" wrapText="1"/>
    </xf>
    <xf numFmtId="0" fontId="7" fillId="11" borderId="63" xfId="0" applyFont="1" applyFill="1" applyBorder="1" applyAlignment="1">
      <alignment horizontal="center" wrapText="1"/>
    </xf>
    <xf numFmtId="0" fontId="1" fillId="11" borderId="95" xfId="0" applyFont="1" applyFill="1" applyBorder="1" applyAlignment="1">
      <alignment horizontal="center" wrapText="1"/>
    </xf>
    <xf numFmtId="0" fontId="31" fillId="11" borderId="93" xfId="0" applyFont="1" applyFill="1" applyBorder="1" applyAlignment="1">
      <alignment horizontal="center" wrapText="1"/>
    </xf>
    <xf numFmtId="0" fontId="130" fillId="11" borderId="63" xfId="0" applyFont="1" applyFill="1" applyBorder="1" applyAlignment="1">
      <alignment horizontal="center" wrapText="1"/>
    </xf>
    <xf numFmtId="0" fontId="31" fillId="11" borderId="63" xfId="0" applyFont="1" applyFill="1" applyBorder="1" applyAlignment="1">
      <alignment horizontal="center" wrapText="1"/>
    </xf>
    <xf numFmtId="0" fontId="28" fillId="11" borderId="63" xfId="0" applyFont="1" applyFill="1" applyBorder="1" applyAlignment="1">
      <alignment horizontal="center" wrapText="1"/>
    </xf>
    <xf numFmtId="0" fontId="30" fillId="11" borderId="63" xfId="0" applyFont="1" applyFill="1" applyBorder="1" applyAlignment="1">
      <alignment horizontal="center" wrapText="1"/>
    </xf>
    <xf numFmtId="0" fontId="31" fillId="11" borderId="81" xfId="0" applyFont="1" applyFill="1" applyBorder="1" applyAlignment="1">
      <alignment horizontal="center" wrapText="1"/>
    </xf>
    <xf numFmtId="0" fontId="30" fillId="0" borderId="83" xfId="0" applyFont="1" applyBorder="1" applyAlignment="1"/>
    <xf numFmtId="0" fontId="30" fillId="0" borderId="0" xfId="0" applyFont="1" applyBorder="1" applyAlignment="1"/>
    <xf numFmtId="0" fontId="0" fillId="0" borderId="77" xfId="0" applyBorder="1" applyAlignment="1"/>
    <xf numFmtId="0" fontId="0" fillId="0" borderId="98" xfId="0" applyBorder="1" applyAlignment="1">
      <alignment horizontal="center"/>
    </xf>
    <xf numFmtId="0" fontId="30" fillId="0" borderId="84" xfId="0" applyFont="1" applyBorder="1" applyAlignment="1"/>
    <xf numFmtId="0" fontId="1" fillId="0" borderId="85" xfId="0" applyFont="1" applyBorder="1" applyAlignment="1"/>
    <xf numFmtId="0" fontId="153" fillId="0" borderId="110" xfId="0" quotePrefix="1" applyFont="1" applyFill="1" applyBorder="1" applyAlignment="1">
      <alignment horizontal="left" vertical="center" wrapText="1"/>
    </xf>
    <xf numFmtId="0" fontId="153" fillId="0" borderId="106" xfId="0" quotePrefix="1" applyFont="1" applyFill="1" applyBorder="1" applyAlignment="1">
      <alignment horizontal="left" vertical="center" wrapText="1"/>
    </xf>
    <xf numFmtId="0" fontId="153" fillId="0" borderId="104" xfId="0" quotePrefix="1" applyFont="1" applyFill="1" applyBorder="1" applyAlignment="1">
      <alignment horizontal="left" vertical="center" wrapText="1"/>
    </xf>
    <xf numFmtId="0" fontId="153" fillId="0" borderId="111" xfId="0" quotePrefix="1" applyFont="1" applyFill="1" applyBorder="1" applyAlignment="1">
      <alignment horizontal="left" vertical="center" wrapText="1"/>
    </xf>
    <xf numFmtId="0" fontId="28" fillId="0" borderId="123" xfId="0" quotePrefix="1" applyFont="1" applyFill="1" applyBorder="1" applyAlignment="1">
      <alignment horizontal="center" vertical="center" wrapText="1"/>
    </xf>
    <xf numFmtId="0" fontId="72" fillId="0" borderId="30" xfId="0" quotePrefix="1" applyFont="1" applyBorder="1" applyAlignment="1">
      <alignment horizontal="center" vertical="center" wrapText="1"/>
    </xf>
    <xf numFmtId="0" fontId="72" fillId="0" borderId="103" xfId="0" quotePrefix="1" applyFont="1" applyBorder="1" applyAlignment="1">
      <alignment horizontal="center" vertical="center" wrapText="1"/>
    </xf>
    <xf numFmtId="0" fontId="72" fillId="0" borderId="124" xfId="0" quotePrefix="1" applyFont="1" applyBorder="1" applyAlignment="1">
      <alignment horizontal="center" vertical="center" wrapText="1"/>
    </xf>
    <xf numFmtId="0" fontId="72" fillId="0" borderId="103" xfId="0" quotePrefix="1" applyFont="1" applyBorder="1" applyAlignment="1">
      <alignment horizontal="center" wrapText="1"/>
    </xf>
    <xf numFmtId="0" fontId="72" fillId="0" borderId="125" xfId="0" quotePrefix="1" applyFont="1" applyBorder="1" applyAlignment="1">
      <alignment horizontal="center" wrapText="1"/>
    </xf>
    <xf numFmtId="0" fontId="166" fillId="0" borderId="28" xfId="0" applyFont="1" applyFill="1" applyBorder="1" applyAlignment="1">
      <alignment horizontal="left" vertical="center" wrapText="1" indent="3"/>
    </xf>
    <xf numFmtId="0" fontId="37" fillId="0" borderId="0" xfId="0" applyFont="1" applyAlignment="1">
      <alignment horizontal="center"/>
    </xf>
    <xf numFmtId="0" fontId="165" fillId="0" borderId="28" xfId="0" applyFont="1" applyFill="1" applyBorder="1" applyAlignment="1">
      <alignment horizontal="left" vertical="top" wrapText="1" indent="2"/>
    </xf>
    <xf numFmtId="0" fontId="109" fillId="0" borderId="0" xfId="0" applyFont="1" applyFill="1" applyBorder="1" applyAlignment="1">
      <alignment vertical="center"/>
    </xf>
    <xf numFmtId="0" fontId="102" fillId="0" borderId="0" xfId="0" applyFont="1" applyFill="1" applyBorder="1" applyAlignment="1">
      <alignment vertical="center" wrapText="1"/>
    </xf>
    <xf numFmtId="0" fontId="72" fillId="0" borderId="30" xfId="0" applyFont="1" applyFill="1" applyBorder="1" applyAlignment="1">
      <alignment horizontal="left" vertical="center" wrapText="1" indent="3"/>
    </xf>
    <xf numFmtId="0" fontId="91" fillId="0" borderId="28" xfId="0" applyFont="1" applyFill="1" applyBorder="1" applyAlignment="1">
      <alignment horizontal="left" vertical="center" wrapText="1" indent="3"/>
    </xf>
    <xf numFmtId="0" fontId="109" fillId="0" borderId="26" xfId="0" applyFont="1" applyFill="1" applyBorder="1" applyAlignment="1">
      <alignment horizontal="center" vertical="center"/>
    </xf>
    <xf numFmtId="0" fontId="35" fillId="0" borderId="28" xfId="0" applyFont="1" applyFill="1" applyBorder="1" applyAlignment="1">
      <alignment horizontal="left" vertical="center" wrapText="1" indent="1"/>
    </xf>
    <xf numFmtId="0" fontId="5" fillId="0" borderId="133" xfId="0" applyFont="1" applyFill="1" applyBorder="1" applyAlignment="1">
      <alignment horizontal="center" vertical="center" wrapText="1"/>
    </xf>
    <xf numFmtId="0" fontId="209" fillId="0" borderId="0" xfId="0" applyFont="1" applyAlignment="1">
      <alignment horizontal="center" vertical="center" wrapText="1"/>
    </xf>
    <xf numFmtId="0" fontId="209" fillId="0" borderId="8" xfId="0" applyFont="1" applyBorder="1" applyAlignment="1">
      <alignment horizontal="center" vertical="center" wrapText="1"/>
    </xf>
    <xf numFmtId="0" fontId="109" fillId="0" borderId="0" xfId="0" applyFont="1" applyFill="1" applyBorder="1" applyAlignment="1">
      <alignment horizontal="left" vertical="center" indent="2"/>
    </xf>
    <xf numFmtId="0" fontId="5" fillId="0" borderId="88" xfId="0" applyFont="1" applyFill="1" applyBorder="1" applyAlignment="1">
      <alignment horizontal="center" vertical="center" wrapText="1"/>
    </xf>
    <xf numFmtId="0" fontId="189" fillId="0" borderId="0" xfId="0" applyFont="1" applyFill="1" applyBorder="1" applyAlignment="1">
      <alignment horizontal="center" vertical="center" wrapText="1"/>
    </xf>
    <xf numFmtId="0" fontId="189" fillId="0" borderId="28" xfId="0" applyFont="1" applyBorder="1" applyAlignment="1">
      <alignment horizontal="left" vertical="center"/>
    </xf>
    <xf numFmtId="0" fontId="189" fillId="0" borderId="103" xfId="0" applyFont="1" applyBorder="1" applyAlignment="1">
      <alignment horizontal="left" vertical="center"/>
    </xf>
    <xf numFmtId="0" fontId="28" fillId="0" borderId="11" xfId="0" applyFont="1" applyBorder="1"/>
    <xf numFmtId="0" fontId="189" fillId="0" borderId="90" xfId="0" applyFont="1" applyFill="1" applyBorder="1" applyAlignment="1">
      <alignment horizontal="center" vertical="center" wrapText="1"/>
    </xf>
    <xf numFmtId="0" fontId="189" fillId="0" borderId="4" xfId="0" applyFont="1" applyBorder="1" applyAlignment="1">
      <alignment vertical="center"/>
    </xf>
    <xf numFmtId="49" fontId="75" fillId="0" borderId="137" xfId="0" applyNumberFormat="1" applyFont="1" applyFill="1" applyBorder="1" applyAlignment="1">
      <alignment vertical="center"/>
    </xf>
    <xf numFmtId="49" fontId="142" fillId="0" borderId="88" xfId="0" applyNumberFormat="1" applyFont="1" applyFill="1" applyBorder="1" applyAlignment="1">
      <alignment vertical="center"/>
    </xf>
    <xf numFmtId="49" fontId="142" fillId="0" borderId="137" xfId="0" applyNumberFormat="1" applyFont="1" applyFill="1" applyBorder="1" applyAlignment="1">
      <alignment vertical="center"/>
    </xf>
    <xf numFmtId="49" fontId="142" fillId="0" borderId="139" xfId="0" applyNumberFormat="1" applyFont="1" applyFill="1" applyBorder="1" applyAlignment="1">
      <alignment vertical="center"/>
    </xf>
    <xf numFmtId="49" fontId="35" fillId="0" borderId="137" xfId="0" applyNumberFormat="1" applyFont="1" applyFill="1" applyBorder="1" applyAlignment="1">
      <alignment vertical="center"/>
    </xf>
    <xf numFmtId="49" fontId="142" fillId="0" borderId="139" xfId="0" applyNumberFormat="1" applyFont="1" applyFill="1" applyBorder="1" applyAlignment="1">
      <alignment horizontal="center" vertical="center"/>
    </xf>
    <xf numFmtId="49" fontId="142" fillId="0" borderId="139" xfId="0" applyNumberFormat="1" applyFont="1" applyFill="1" applyBorder="1" applyAlignment="1">
      <alignment horizontal="right" vertical="center"/>
    </xf>
    <xf numFmtId="0" fontId="109" fillId="0" borderId="88" xfId="0" applyFont="1" applyBorder="1" applyAlignment="1">
      <alignment vertical="center"/>
    </xf>
    <xf numFmtId="0" fontId="109" fillId="0" borderId="88" xfId="0" applyFont="1" applyBorder="1" applyAlignment="1">
      <alignment horizontal="left" vertical="center" indent="1"/>
    </xf>
    <xf numFmtId="49" fontId="75" fillId="0" borderId="88" xfId="0" applyNumberFormat="1" applyFont="1" applyFill="1" applyBorder="1" applyAlignment="1">
      <alignment vertical="center"/>
    </xf>
    <xf numFmtId="0" fontId="150" fillId="20" borderId="137" xfId="0" applyFont="1" applyFill="1" applyBorder="1" applyAlignment="1">
      <alignment vertical="center"/>
    </xf>
    <xf numFmtId="0" fontId="148" fillId="11" borderId="137" xfId="0" applyFont="1" applyFill="1" applyBorder="1" applyAlignment="1">
      <alignment vertical="center"/>
    </xf>
    <xf numFmtId="49" fontId="111" fillId="0" borderId="88" xfId="0" applyNumberFormat="1" applyFont="1" applyFill="1" applyBorder="1" applyAlignment="1">
      <alignment horizontal="right" vertical="center"/>
    </xf>
    <xf numFmtId="0" fontId="148" fillId="24" borderId="137" xfId="0" applyFont="1" applyFill="1" applyBorder="1" applyAlignment="1">
      <alignment vertical="center"/>
    </xf>
    <xf numFmtId="0" fontId="148" fillId="22" borderId="137" xfId="0" applyFont="1" applyFill="1" applyBorder="1" applyAlignment="1">
      <alignment vertical="center"/>
    </xf>
    <xf numFmtId="0" fontId="189" fillId="0" borderId="77" xfId="0" applyFont="1" applyFill="1" applyBorder="1" applyAlignment="1">
      <alignment horizontal="center" vertical="center" wrapText="1"/>
    </xf>
    <xf numFmtId="0" fontId="112" fillId="0" borderId="28" xfId="0" applyFont="1" applyFill="1" applyBorder="1" applyAlignment="1"/>
    <xf numFmtId="49" fontId="109" fillId="0" borderId="0" xfId="0" applyNumberFormat="1" applyFont="1" applyFill="1" applyBorder="1" applyAlignment="1">
      <alignment vertical="top"/>
    </xf>
    <xf numFmtId="0" fontId="224" fillId="0" borderId="0" xfId="0" applyFont="1" applyFill="1" applyBorder="1" applyAlignment="1">
      <alignment vertical="top"/>
    </xf>
    <xf numFmtId="49" fontId="142" fillId="0" borderId="0" xfId="0" applyNumberFormat="1" applyFont="1" applyBorder="1" applyAlignment="1">
      <alignment vertical="top"/>
    </xf>
    <xf numFmtId="49" fontId="170" fillId="0" borderId="0" xfId="0" applyNumberFormat="1" applyFont="1" applyBorder="1" applyAlignment="1">
      <alignment vertical="top"/>
    </xf>
    <xf numFmtId="49" fontId="75" fillId="0" borderId="28" xfId="0" applyNumberFormat="1" applyFont="1" applyBorder="1" applyAlignment="1">
      <alignment vertical="top"/>
    </xf>
    <xf numFmtId="9" fontId="121" fillId="14" borderId="25" xfId="2" quotePrefix="1" applyFont="1" applyFill="1" applyBorder="1" applyAlignment="1">
      <alignment horizontal="center" vertical="center" wrapText="1"/>
    </xf>
    <xf numFmtId="0" fontId="35" fillId="0" borderId="28" xfId="0" applyFont="1" applyFill="1" applyBorder="1" applyAlignment="1">
      <alignment horizontal="left" vertical="top" wrapText="1" indent="2"/>
    </xf>
    <xf numFmtId="0" fontId="226" fillId="0" borderId="28" xfId="0" applyFont="1" applyFill="1" applyBorder="1" applyAlignment="1">
      <alignment vertical="center" wrapText="1"/>
    </xf>
    <xf numFmtId="0" fontId="75" fillId="0" borderId="28" xfId="0" quotePrefix="1" applyFont="1" applyFill="1" applyBorder="1" applyAlignment="1">
      <alignment wrapText="1"/>
    </xf>
    <xf numFmtId="0" fontId="165" fillId="0" borderId="28" xfId="0" applyFont="1" applyFill="1" applyBorder="1" applyAlignment="1">
      <alignment horizontal="left" vertical="center" wrapText="1"/>
    </xf>
    <xf numFmtId="0" fontId="224" fillId="0" borderId="0" xfId="0" applyFont="1" applyFill="1" applyBorder="1" applyAlignment="1">
      <alignment vertical="center"/>
    </xf>
    <xf numFmtId="0" fontId="109" fillId="0" borderId="29" xfId="0" applyFont="1" applyFill="1" applyBorder="1" applyAlignment="1">
      <alignment vertical="center"/>
    </xf>
    <xf numFmtId="49" fontId="109" fillId="0" borderId="30" xfId="0" applyNumberFormat="1" applyFont="1" applyFill="1" applyBorder="1" applyAlignment="1">
      <alignment vertical="center"/>
    </xf>
    <xf numFmtId="0" fontId="109" fillId="0" borderId="27" xfId="0" applyFont="1" applyFill="1" applyBorder="1" applyAlignment="1">
      <alignment vertical="center"/>
    </xf>
    <xf numFmtId="49" fontId="109" fillId="0" borderId="28" xfId="0" applyNumberFormat="1" applyFont="1" applyFill="1" applyBorder="1" applyAlignment="1">
      <alignment vertical="center"/>
    </xf>
    <xf numFmtId="0" fontId="109" fillId="0" borderId="29" xfId="0" applyFont="1" applyFill="1" applyBorder="1" applyAlignment="1">
      <alignment horizontal="center" vertical="center"/>
    </xf>
    <xf numFmtId="0" fontId="168" fillId="0" borderId="29" xfId="0" applyFont="1" applyFill="1" applyBorder="1" applyAlignment="1">
      <alignment horizontal="center" vertical="center"/>
    </xf>
    <xf numFmtId="0" fontId="226" fillId="0" borderId="28" xfId="0" applyFont="1" applyFill="1" applyBorder="1" applyAlignment="1">
      <alignment horizontal="left" vertical="center" wrapText="1" indent="1"/>
    </xf>
    <xf numFmtId="0" fontId="109" fillId="0" borderId="0" xfId="0" applyFont="1" applyFill="1" applyAlignment="1">
      <alignment vertical="center"/>
    </xf>
    <xf numFmtId="0" fontId="168" fillId="0" borderId="30" xfId="0" applyFont="1" applyFill="1" applyBorder="1" applyAlignment="1">
      <alignment horizontal="center" vertical="center"/>
    </xf>
    <xf numFmtId="49" fontId="75" fillId="0" borderId="30" xfId="0" applyNumberFormat="1" applyFont="1" applyFill="1" applyBorder="1" applyAlignment="1">
      <alignment vertical="center"/>
    </xf>
    <xf numFmtId="0" fontId="109" fillId="0" borderId="98" xfId="0" applyFont="1" applyFill="1" applyBorder="1" applyAlignment="1">
      <alignment horizontal="center" vertical="center"/>
    </xf>
    <xf numFmtId="0" fontId="168" fillId="0" borderId="98" xfId="0" applyFont="1" applyFill="1" applyBorder="1" applyAlignment="1">
      <alignment horizontal="center" vertical="center"/>
    </xf>
    <xf numFmtId="0" fontId="112" fillId="0" borderId="26" xfId="0" applyFont="1" applyFill="1" applyBorder="1" applyAlignment="1">
      <alignment horizontal="center" vertical="center"/>
    </xf>
    <xf numFmtId="0" fontId="72" fillId="0" borderId="28" xfId="0" applyFont="1" applyFill="1" applyBorder="1" applyAlignment="1">
      <alignment horizontal="left" vertical="center" wrapText="1" indent="4"/>
    </xf>
    <xf numFmtId="0" fontId="109" fillId="0" borderId="27" xfId="0" applyFont="1" applyFill="1" applyBorder="1" applyAlignment="1">
      <alignment horizontal="center" vertical="center"/>
    </xf>
    <xf numFmtId="0" fontId="112" fillId="0" borderId="28" xfId="0" applyFont="1" applyFill="1" applyBorder="1" applyAlignment="1">
      <alignment horizontal="center" vertical="center"/>
    </xf>
    <xf numFmtId="0" fontId="109" fillId="0" borderId="116" xfId="0" applyFont="1" applyFill="1" applyBorder="1" applyAlignment="1">
      <alignment horizontal="center" vertical="center"/>
    </xf>
    <xf numFmtId="0" fontId="109" fillId="0" borderId="120" xfId="0" applyFont="1" applyFill="1" applyBorder="1" applyAlignment="1">
      <alignment horizontal="center" vertical="center"/>
    </xf>
    <xf numFmtId="0" fontId="165" fillId="0" borderId="30" xfId="0" applyFont="1" applyFill="1" applyBorder="1" applyAlignment="1">
      <alignment vertical="center"/>
    </xf>
    <xf numFmtId="165" fontId="171" fillId="0" borderId="0" xfId="0" applyNumberFormat="1" applyFont="1" applyFill="1" applyBorder="1" applyAlignment="1">
      <alignment horizontal="center" vertical="center"/>
    </xf>
    <xf numFmtId="0" fontId="109" fillId="0" borderId="27" xfId="0" applyFont="1" applyFill="1" applyBorder="1" applyAlignment="1"/>
    <xf numFmtId="49" fontId="109" fillId="0" borderId="28" xfId="0" applyNumberFormat="1" applyFont="1" applyFill="1" applyBorder="1" applyAlignment="1">
      <alignment vertical="top"/>
    </xf>
    <xf numFmtId="0" fontId="109" fillId="0" borderId="29" xfId="0" applyFont="1" applyFill="1" applyBorder="1" applyAlignment="1"/>
    <xf numFmtId="49" fontId="109" fillId="0" borderId="30" xfId="0" applyNumberFormat="1" applyFont="1" applyFill="1" applyBorder="1" applyAlignment="1">
      <alignment vertical="top"/>
    </xf>
    <xf numFmtId="49" fontId="109" fillId="0" borderId="29" xfId="0" applyNumberFormat="1" applyFont="1" applyFill="1" applyBorder="1" applyAlignment="1">
      <alignment vertical="top"/>
    </xf>
    <xf numFmtId="0" fontId="168" fillId="0" borderId="0" xfId="0" applyFont="1" applyFill="1" applyBorder="1" applyAlignment="1">
      <alignment horizontal="center" vertical="center"/>
    </xf>
    <xf numFmtId="0" fontId="112" fillId="0" borderId="0" xfId="0" applyFont="1" applyFill="1" applyBorder="1" applyAlignment="1"/>
    <xf numFmtId="49" fontId="75" fillId="0" borderId="0" xfId="0" applyNumberFormat="1" applyFont="1" applyFill="1" applyBorder="1" applyAlignment="1">
      <alignment vertical="top"/>
    </xf>
    <xf numFmtId="0" fontId="228" fillId="0" borderId="0" xfId="0" applyFont="1" applyFill="1" applyBorder="1" applyAlignment="1">
      <alignment vertical="top" wrapText="1"/>
    </xf>
    <xf numFmtId="49" fontId="142" fillId="0" borderId="30" xfId="0" applyNumberFormat="1" applyFont="1" applyFill="1" applyBorder="1" applyAlignment="1">
      <alignment vertical="top"/>
    </xf>
    <xf numFmtId="0" fontId="112" fillId="0" borderId="29" xfId="0" applyFont="1" applyFill="1" applyBorder="1" applyAlignment="1">
      <alignment vertical="center"/>
    </xf>
    <xf numFmtId="0" fontId="109" fillId="0" borderId="30" xfId="0" applyFont="1" applyFill="1" applyBorder="1" applyAlignment="1">
      <alignment horizontal="center" vertical="center"/>
    </xf>
    <xf numFmtId="0" fontId="168" fillId="0" borderId="0" xfId="0" applyFont="1" applyFill="1" applyBorder="1" applyAlignment="1">
      <alignment vertical="center"/>
    </xf>
    <xf numFmtId="0" fontId="109" fillId="0" borderId="26" xfId="0" applyFont="1" applyFill="1" applyBorder="1" applyAlignment="1">
      <alignment horizontal="center"/>
    </xf>
    <xf numFmtId="0" fontId="109" fillId="0" borderId="28" xfId="0" applyFont="1" applyFill="1" applyBorder="1" applyAlignment="1">
      <alignment horizontal="center" vertical="center"/>
    </xf>
    <xf numFmtId="49" fontId="142" fillId="0" borderId="27" xfId="0" applyNumberFormat="1" applyFont="1" applyFill="1" applyBorder="1" applyAlignment="1">
      <alignment vertical="top"/>
    </xf>
    <xf numFmtId="0" fontId="112" fillId="0" borderId="27" xfId="0" applyFont="1" applyBorder="1" applyAlignment="1">
      <alignment vertical="center"/>
    </xf>
    <xf numFmtId="0" fontId="112" fillId="0" borderId="28" xfId="0" applyFont="1" applyBorder="1" applyAlignment="1"/>
    <xf numFmtId="0" fontId="109" fillId="0" borderId="29" xfId="0" applyFont="1" applyBorder="1" applyAlignment="1"/>
    <xf numFmtId="49" fontId="142" fillId="0" borderId="30" xfId="0" applyNumberFormat="1" applyFont="1" applyBorder="1" applyAlignment="1">
      <alignment vertical="top"/>
    </xf>
    <xf numFmtId="0" fontId="112" fillId="0" borderId="30" xfId="0" applyFont="1" applyBorder="1" applyAlignment="1">
      <alignment vertical="center"/>
    </xf>
    <xf numFmtId="0" fontId="111" fillId="0" borderId="30" xfId="0" applyFont="1" applyBorder="1" applyAlignment="1">
      <alignment vertical="top"/>
    </xf>
    <xf numFmtId="0" fontId="112" fillId="0" borderId="27" xfId="0" applyFont="1" applyBorder="1" applyAlignment="1"/>
    <xf numFmtId="0" fontId="109" fillId="0" borderId="0" xfId="0" applyFont="1" applyFill="1" applyBorder="1" applyAlignment="1">
      <alignment horizontal="center" vertical="center"/>
    </xf>
    <xf numFmtId="0" fontId="109" fillId="0" borderId="26" xfId="0" applyFont="1" applyBorder="1" applyAlignment="1">
      <alignment horizontal="center" vertical="center"/>
    </xf>
    <xf numFmtId="49" fontId="142" fillId="0" borderId="30" xfId="0" applyNumberFormat="1" applyFont="1" applyFill="1" applyBorder="1" applyAlignment="1">
      <alignment horizontal="center" vertical="center"/>
    </xf>
    <xf numFmtId="0" fontId="109" fillId="0" borderId="27" xfId="0" applyFont="1" applyBorder="1" applyAlignment="1"/>
    <xf numFmtId="0" fontId="112" fillId="0" borderId="27" xfId="0" applyFont="1" applyFill="1" applyBorder="1" applyAlignment="1"/>
    <xf numFmtId="0" fontId="91" fillId="0" borderId="28" xfId="0" applyFont="1" applyFill="1" applyBorder="1" applyAlignment="1">
      <alignment horizontal="left" vertical="top" wrapText="1" indent="4"/>
    </xf>
    <xf numFmtId="49" fontId="109" fillId="0" borderId="26" xfId="0" applyNumberFormat="1" applyFont="1" applyFill="1" applyBorder="1" applyAlignment="1">
      <alignment horizontal="center" vertical="center"/>
    </xf>
    <xf numFmtId="49" fontId="142" fillId="0" borderId="28" xfId="0" applyNumberFormat="1" applyFont="1" applyFill="1" applyBorder="1" applyAlignment="1">
      <alignment vertical="center"/>
    </xf>
    <xf numFmtId="0" fontId="109" fillId="0" borderId="120" xfId="0" applyFont="1" applyFill="1" applyBorder="1" applyAlignment="1">
      <alignment horizontal="center"/>
    </xf>
    <xf numFmtId="0" fontId="109" fillId="0" borderId="116" xfId="0" applyFont="1" applyFill="1" applyBorder="1" applyAlignment="1">
      <alignment horizontal="center"/>
    </xf>
    <xf numFmtId="0" fontId="109" fillId="0" borderId="102" xfId="0" applyFont="1" applyFill="1" applyBorder="1" applyAlignment="1">
      <alignment horizontal="center"/>
    </xf>
    <xf numFmtId="49" fontId="142" fillId="0" borderId="30" xfId="0" applyNumberFormat="1" applyFont="1" applyFill="1" applyBorder="1" applyAlignment="1">
      <alignment vertical="center"/>
    </xf>
    <xf numFmtId="49" fontId="142" fillId="0" borderId="0" xfId="0" applyNumberFormat="1" applyFont="1" applyFill="1" applyBorder="1" applyAlignment="1">
      <alignment vertical="center"/>
    </xf>
    <xf numFmtId="0" fontId="102" fillId="0" borderId="0" xfId="0" applyFont="1" applyFill="1" applyBorder="1" applyAlignment="1">
      <alignment vertical="top"/>
    </xf>
    <xf numFmtId="0" fontId="109" fillId="0" borderId="30" xfId="0" applyFont="1" applyFill="1" applyBorder="1" applyAlignment="1">
      <alignment vertical="center"/>
    </xf>
    <xf numFmtId="49" fontId="142" fillId="0" borderId="27" xfId="0" applyNumberFormat="1" applyFont="1" applyFill="1" applyBorder="1" applyAlignment="1">
      <alignment vertical="center"/>
    </xf>
    <xf numFmtId="49" fontId="142" fillId="0" borderId="29" xfId="0" applyNumberFormat="1" applyFont="1" applyFill="1" applyBorder="1" applyAlignment="1">
      <alignment vertical="center"/>
    </xf>
    <xf numFmtId="0" fontId="164" fillId="0" borderId="28" xfId="0" applyFont="1" applyFill="1" applyBorder="1" applyAlignment="1">
      <alignment horizontal="left" wrapText="1" indent="3"/>
    </xf>
    <xf numFmtId="0" fontId="72" fillId="0" borderId="28" xfId="0" applyFont="1" applyFill="1" applyBorder="1" applyAlignment="1">
      <alignment horizontal="left" wrapText="1" indent="5"/>
    </xf>
    <xf numFmtId="0" fontId="109" fillId="0" borderId="0" xfId="0" applyFont="1" applyFill="1" applyBorder="1" applyAlignment="1">
      <alignment horizontal="center"/>
    </xf>
    <xf numFmtId="49" fontId="170" fillId="0" borderId="0" xfId="0" applyNumberFormat="1" applyFont="1" applyFill="1" applyBorder="1" applyAlignment="1">
      <alignment vertical="top"/>
    </xf>
    <xf numFmtId="0" fontId="109" fillId="0" borderId="103" xfId="0" applyFont="1" applyFill="1" applyBorder="1" applyAlignment="1">
      <alignment horizontal="center" vertical="center"/>
    </xf>
    <xf numFmtId="49" fontId="142" fillId="0" borderId="29" xfId="0" applyNumberFormat="1" applyFont="1" applyFill="1" applyBorder="1" applyAlignment="1">
      <alignment vertical="top"/>
    </xf>
    <xf numFmtId="0" fontId="72" fillId="0" borderId="30" xfId="0" applyFont="1" applyFill="1" applyBorder="1" applyAlignment="1">
      <alignment horizontal="left" vertical="top" wrapText="1" indent="3"/>
    </xf>
    <xf numFmtId="0" fontId="164" fillId="0" borderId="28" xfId="0" applyFont="1" applyFill="1" applyBorder="1" applyAlignment="1">
      <alignment horizontal="left" vertical="top" wrapText="1" indent="3"/>
    </xf>
    <xf numFmtId="0" fontId="109" fillId="0" borderId="0" xfId="0" applyFont="1" applyFill="1" applyAlignment="1"/>
    <xf numFmtId="0" fontId="72" fillId="0" borderId="28" xfId="0" applyFont="1" applyFill="1" applyBorder="1" applyAlignment="1">
      <alignment horizontal="left" vertical="top" wrapText="1" indent="5"/>
    </xf>
    <xf numFmtId="49" fontId="170" fillId="0" borderId="0" xfId="0" applyNumberFormat="1" applyFont="1" applyFill="1" applyBorder="1" applyAlignment="1"/>
    <xf numFmtId="49" fontId="142" fillId="0" borderId="103" xfId="0" applyNumberFormat="1" applyFont="1" applyFill="1" applyBorder="1" applyAlignment="1">
      <alignment vertical="top"/>
    </xf>
    <xf numFmtId="0" fontId="165" fillId="0" borderId="103" xfId="0" applyFont="1" applyFill="1" applyBorder="1" applyAlignment="1">
      <alignment horizontal="left" vertical="top" wrapText="1" indent="2"/>
    </xf>
    <xf numFmtId="49" fontId="142" fillId="20" borderId="0" xfId="0" applyNumberFormat="1" applyFont="1" applyFill="1" applyBorder="1" applyAlignment="1">
      <alignment vertical="top"/>
    </xf>
    <xf numFmtId="0" fontId="161" fillId="20" borderId="0" xfId="0" applyFont="1" applyFill="1" applyBorder="1" applyAlignment="1">
      <alignment vertical="center"/>
    </xf>
    <xf numFmtId="0" fontId="161" fillId="11" borderId="0" xfId="0" applyFont="1" applyFill="1" applyBorder="1" applyAlignment="1">
      <alignment vertical="center"/>
    </xf>
    <xf numFmtId="49" fontId="111" fillId="0" borderId="0" xfId="0" applyNumberFormat="1" applyFont="1" applyFill="1" applyBorder="1" applyAlignment="1">
      <alignment horizontal="right" vertical="top"/>
    </xf>
    <xf numFmtId="0" fontId="111" fillId="0" borderId="0" xfId="0" applyFont="1" applyFill="1" applyBorder="1" applyAlignment="1">
      <alignment horizontal="center" vertical="center" wrapText="1"/>
    </xf>
    <xf numFmtId="49" fontId="142" fillId="0" borderId="27" xfId="0" applyNumberFormat="1" applyFont="1" applyFill="1" applyBorder="1" applyAlignment="1">
      <alignment horizontal="center" vertical="center"/>
    </xf>
    <xf numFmtId="49" fontId="75" fillId="0" borderId="28" xfId="0" applyNumberFormat="1" applyFont="1" applyFill="1" applyBorder="1" applyAlignment="1">
      <alignment horizontal="center" vertical="center"/>
    </xf>
    <xf numFmtId="0" fontId="109" fillId="0" borderId="103" xfId="0" applyFont="1" applyBorder="1" applyAlignment="1"/>
    <xf numFmtId="0" fontId="109" fillId="0" borderId="28" xfId="0" applyFont="1" applyFill="1" applyBorder="1" applyAlignment="1"/>
    <xf numFmtId="0" fontId="109" fillId="0" borderId="103" xfId="0" applyFont="1" applyFill="1" applyBorder="1" applyAlignment="1"/>
    <xf numFmtId="0" fontId="112" fillId="0" borderId="0" xfId="0" applyFont="1" applyFill="1" applyBorder="1" applyAlignment="1">
      <alignment vertical="center"/>
    </xf>
    <xf numFmtId="0" fontId="109" fillId="22" borderId="0" xfId="0" applyFont="1" applyFill="1" applyBorder="1" applyAlignment="1"/>
    <xf numFmtId="0" fontId="109" fillId="0" borderId="113" xfId="0" applyFont="1" applyFill="1" applyBorder="1" applyAlignment="1">
      <alignment horizontal="center" vertical="center"/>
    </xf>
    <xf numFmtId="0" fontId="0" fillId="0" borderId="0" xfId="0"/>
    <xf numFmtId="0" fontId="0" fillId="0" borderId="0" xfId="0" applyAlignment="1"/>
    <xf numFmtId="0" fontId="0" fillId="0" borderId="29" xfId="0" applyBorder="1" applyAlignment="1"/>
    <xf numFmtId="0" fontId="0" fillId="0" borderId="0" xfId="0" applyAlignment="1">
      <alignment vertical="center"/>
    </xf>
    <xf numFmtId="0" fontId="76" fillId="0" borderId="28" xfId="0" applyFont="1" applyFill="1" applyBorder="1" applyAlignment="1">
      <alignment horizontal="left" vertical="top" wrapText="1" indent="2"/>
    </xf>
    <xf numFmtId="0" fontId="0" fillId="0" borderId="0" xfId="0" applyFill="1" applyBorder="1" applyAlignment="1"/>
    <xf numFmtId="0" fontId="0" fillId="0" borderId="0" xfId="0" applyFont="1" applyAlignment="1">
      <alignment horizontal="center" vertical="center"/>
    </xf>
    <xf numFmtId="0" fontId="0" fillId="0" borderId="8" xfId="0" applyFont="1" applyBorder="1" applyAlignment="1">
      <alignment vertical="center"/>
    </xf>
    <xf numFmtId="49" fontId="66" fillId="0" borderId="28" xfId="0" applyNumberFormat="1" applyFont="1" applyFill="1" applyBorder="1" applyAlignment="1">
      <alignment vertical="center"/>
    </xf>
    <xf numFmtId="0" fontId="0" fillId="0" borderId="0" xfId="0" applyFont="1" applyAlignment="1">
      <alignment vertical="center"/>
    </xf>
    <xf numFmtId="0" fontId="32" fillId="0" borderId="13" xfId="0" applyFont="1" applyFill="1" applyBorder="1" applyAlignment="1">
      <alignment vertical="center" wrapText="1"/>
    </xf>
    <xf numFmtId="0" fontId="0" fillId="0" borderId="0" xfId="0" applyAlignment="1">
      <alignment horizontal="center" vertical="center"/>
    </xf>
    <xf numFmtId="0" fontId="0" fillId="0" borderId="8" xfId="0" applyBorder="1" applyAlignment="1">
      <alignment vertical="center"/>
    </xf>
    <xf numFmtId="0" fontId="66" fillId="0" borderId="28" xfId="0" applyFont="1" applyFill="1" applyBorder="1" applyAlignment="1">
      <alignment vertical="center" wrapText="1"/>
    </xf>
    <xf numFmtId="0" fontId="1" fillId="0" borderId="28" xfId="0" applyFont="1" applyFill="1" applyBorder="1" applyAlignment="1">
      <alignment vertical="center"/>
    </xf>
    <xf numFmtId="0" fontId="0" fillId="0" borderId="13" xfId="0" applyFont="1" applyBorder="1"/>
    <xf numFmtId="49" fontId="142" fillId="0" borderId="28" xfId="0" applyNumberFormat="1" applyFont="1" applyFill="1" applyBorder="1" applyAlignment="1">
      <alignment vertical="top"/>
    </xf>
    <xf numFmtId="0" fontId="109" fillId="0" borderId="26" xfId="0" applyFont="1" applyFill="1" applyBorder="1" applyAlignment="1">
      <alignment horizontal="center" vertical="center"/>
    </xf>
    <xf numFmtId="0" fontId="109" fillId="0" borderId="27" xfId="0" applyFont="1" applyFill="1" applyBorder="1" applyAlignment="1"/>
    <xf numFmtId="0" fontId="76" fillId="0" borderId="28" xfId="0" applyFont="1" applyFill="1" applyBorder="1" applyAlignment="1">
      <alignment horizontal="left" vertical="center" wrapText="1" indent="2"/>
    </xf>
    <xf numFmtId="0" fontId="96" fillId="0" borderId="28" xfId="0" applyFont="1" applyFill="1" applyBorder="1" applyAlignment="1">
      <alignment horizontal="left" vertical="top" wrapText="1" indent="2"/>
    </xf>
    <xf numFmtId="0" fontId="232" fillId="0" borderId="28" xfId="0" applyFont="1" applyFill="1" applyBorder="1" applyAlignment="1">
      <alignment horizontal="left" vertical="center" wrapText="1" indent="2"/>
    </xf>
    <xf numFmtId="0" fontId="232" fillId="0" borderId="30" xfId="0" applyFont="1" applyFill="1" applyBorder="1" applyAlignment="1">
      <alignment horizontal="left" indent="2"/>
    </xf>
    <xf numFmtId="49" fontId="233" fillId="0" borderId="0" xfId="0" applyNumberFormat="1" applyFont="1" applyFill="1" applyBorder="1" applyAlignment="1">
      <alignment vertical="top"/>
    </xf>
    <xf numFmtId="0" fontId="103" fillId="0" borderId="0" xfId="0" applyFont="1" applyFill="1" applyBorder="1"/>
    <xf numFmtId="49" fontId="233" fillId="0" borderId="28" xfId="0" applyNumberFormat="1" applyFont="1" applyFill="1" applyBorder="1" applyAlignment="1">
      <alignment vertical="top"/>
    </xf>
    <xf numFmtId="49" fontId="233" fillId="0" borderId="30" xfId="0" applyNumberFormat="1" applyFont="1" applyFill="1" applyBorder="1" applyAlignment="1">
      <alignment vertical="top"/>
    </xf>
    <xf numFmtId="49" fontId="235" fillId="0" borderId="28" xfId="0" applyNumberFormat="1" applyFont="1" applyFill="1" applyBorder="1" applyAlignment="1">
      <alignment vertical="center"/>
    </xf>
    <xf numFmtId="0" fontId="232" fillId="0" borderId="28" xfId="0" applyFont="1" applyBorder="1" applyAlignment="1">
      <alignment vertical="center"/>
    </xf>
    <xf numFmtId="0" fontId="103" fillId="0" borderId="0" xfId="0" applyFont="1" applyBorder="1" applyAlignment="1"/>
    <xf numFmtId="0" fontId="36" fillId="0" borderId="0" xfId="0" applyFont="1" applyBorder="1"/>
    <xf numFmtId="49" fontId="113" fillId="0" borderId="0" xfId="0" applyNumberFormat="1" applyFont="1" applyFill="1" applyBorder="1" applyAlignment="1">
      <alignment horizontal="right" vertical="top"/>
    </xf>
    <xf numFmtId="0" fontId="236" fillId="0" borderId="0" xfId="1" applyFont="1" applyAlignment="1">
      <alignment vertical="center" wrapText="1"/>
    </xf>
    <xf numFmtId="0" fontId="129" fillId="0" borderId="0" xfId="0" applyFont="1" applyFill="1" applyBorder="1" applyAlignment="1">
      <alignment vertical="center" wrapText="1"/>
    </xf>
    <xf numFmtId="0" fontId="234" fillId="0" borderId="0" xfId="0" applyFont="1" applyFill="1" applyBorder="1" applyAlignment="1">
      <alignment horizontal="center" vertical="center" wrapText="1"/>
    </xf>
    <xf numFmtId="0" fontId="236" fillId="0" borderId="0" xfId="1" applyFont="1" applyFill="1" applyAlignment="1">
      <alignment vertical="center" wrapText="1"/>
    </xf>
    <xf numFmtId="0" fontId="238" fillId="0" borderId="0" xfId="0" applyFont="1" applyAlignment="1">
      <alignment vertical="center"/>
    </xf>
    <xf numFmtId="0" fontId="75" fillId="0" borderId="138" xfId="0" applyFont="1" applyFill="1" applyBorder="1" applyAlignment="1">
      <alignment vertical="center" wrapText="1"/>
    </xf>
    <xf numFmtId="49" fontId="170" fillId="0" borderId="90" xfId="0" applyNumberFormat="1" applyFont="1" applyFill="1" applyBorder="1" applyAlignment="1">
      <alignment vertical="center"/>
    </xf>
    <xf numFmtId="0" fontId="109" fillId="0" borderId="90" xfId="0" applyFont="1" applyFill="1" applyBorder="1" applyAlignment="1">
      <alignment vertical="center"/>
    </xf>
    <xf numFmtId="0" fontId="75" fillId="0" borderId="138" xfId="0" quotePrefix="1" applyFont="1" applyFill="1" applyBorder="1" applyAlignment="1">
      <alignment vertical="center" wrapText="1"/>
    </xf>
    <xf numFmtId="0" fontId="33" fillId="0" borderId="138" xfId="0" applyFont="1" applyFill="1" applyBorder="1" applyAlignment="1">
      <alignment horizontal="left" vertical="center" wrapText="1" indent="1"/>
    </xf>
    <xf numFmtId="0" fontId="211" fillId="2" borderId="138" xfId="0" applyFont="1" applyFill="1" applyBorder="1" applyAlignment="1">
      <alignment horizontal="left" vertical="center" wrapText="1" indent="1"/>
    </xf>
    <xf numFmtId="0" fontId="226" fillId="0" borderId="138" xfId="0" applyFont="1" applyFill="1" applyBorder="1" applyAlignment="1">
      <alignment horizontal="left" vertical="center" wrapText="1" indent="1"/>
    </xf>
    <xf numFmtId="0" fontId="91" fillId="0" borderId="138" xfId="0" applyFont="1" applyFill="1" applyBorder="1" applyAlignment="1">
      <alignment horizontal="left" vertical="center" wrapText="1" indent="3"/>
    </xf>
    <xf numFmtId="0" fontId="212" fillId="0" borderId="142" xfId="0" applyFont="1" applyFill="1" applyBorder="1" applyAlignment="1">
      <alignment horizontal="left" vertical="center" wrapText="1" indent="3"/>
    </xf>
    <xf numFmtId="0" fontId="165" fillId="0" borderId="138" xfId="0" applyFont="1" applyFill="1" applyBorder="1" applyAlignment="1">
      <alignment horizontal="left" vertical="center" wrapText="1" indent="1"/>
    </xf>
    <xf numFmtId="0" fontId="37" fillId="0" borderId="90" xfId="0" applyFont="1" applyFill="1" applyBorder="1" applyAlignment="1">
      <alignment vertical="center"/>
    </xf>
    <xf numFmtId="0" fontId="72" fillId="0" borderId="138" xfId="0" applyFont="1" applyFill="1" applyBorder="1" applyAlignment="1">
      <alignment horizontal="left" vertical="center" wrapText="1" indent="3"/>
    </xf>
    <xf numFmtId="0" fontId="53" fillId="0" borderId="138" xfId="0" applyFont="1" applyFill="1" applyBorder="1" applyAlignment="1">
      <alignment horizontal="left" vertical="center" wrapText="1" indent="1"/>
    </xf>
    <xf numFmtId="0" fontId="72" fillId="0" borderId="140" xfId="0" applyFont="1" applyFill="1" applyBorder="1" applyAlignment="1">
      <alignment horizontal="left" vertical="center" wrapText="1" indent="3"/>
    </xf>
    <xf numFmtId="0" fontId="35" fillId="0" borderId="138" xfId="0" applyFont="1" applyFill="1" applyBorder="1" applyAlignment="1">
      <alignment horizontal="left" vertical="center" wrapText="1" indent="1"/>
    </xf>
    <xf numFmtId="0" fontId="28" fillId="0" borderId="138" xfId="0" applyFont="1" applyFill="1" applyBorder="1" applyAlignment="1">
      <alignment horizontal="left" vertical="top" wrapText="1" indent="3"/>
    </xf>
    <xf numFmtId="0" fontId="28" fillId="0" borderId="138" xfId="0" applyFont="1" applyFill="1" applyBorder="1" applyAlignment="1">
      <alignment horizontal="left" vertical="top" wrapText="1" indent="5"/>
    </xf>
    <xf numFmtId="0" fontId="75" fillId="0" borderId="142" xfId="0" applyFont="1" applyFill="1" applyBorder="1" applyAlignment="1">
      <alignment vertical="center" wrapText="1"/>
    </xf>
    <xf numFmtId="0" fontId="75" fillId="0" borderId="90" xfId="0" applyFont="1" applyFill="1" applyBorder="1" applyAlignment="1">
      <alignment vertical="center" wrapText="1"/>
    </xf>
    <xf numFmtId="165" fontId="171" fillId="20" borderId="138" xfId="0" applyNumberFormat="1" applyFont="1" applyFill="1" applyBorder="1" applyAlignment="1">
      <alignment horizontal="center" vertical="center"/>
    </xf>
    <xf numFmtId="0" fontId="161" fillId="11" borderId="138" xfId="0" applyFont="1" applyFill="1" applyBorder="1" applyAlignment="1">
      <alignment vertical="center"/>
    </xf>
    <xf numFmtId="0" fontId="133" fillId="0" borderId="90" xfId="0" applyFont="1" applyFill="1" applyBorder="1" applyAlignment="1">
      <alignment horizontal="center" vertical="center" wrapText="1"/>
    </xf>
    <xf numFmtId="0" fontId="172" fillId="0" borderId="90" xfId="1" applyFont="1" applyBorder="1" applyAlignment="1">
      <alignment vertical="top" wrapText="1"/>
    </xf>
    <xf numFmtId="0" fontId="161" fillId="24" borderId="138" xfId="0" applyFont="1" applyFill="1" applyBorder="1" applyAlignment="1">
      <alignment vertical="center"/>
    </xf>
    <xf numFmtId="0" fontId="102" fillId="0" borderId="90" xfId="0" applyFont="1" applyFill="1" applyBorder="1" applyAlignment="1">
      <alignment vertical="center" wrapText="1"/>
    </xf>
    <xf numFmtId="0" fontId="161" fillId="22" borderId="138" xfId="0" applyFont="1" applyFill="1" applyBorder="1" applyAlignment="1">
      <alignment vertical="center"/>
    </xf>
    <xf numFmtId="49" fontId="142" fillId="0" borderId="49" xfId="0" applyNumberFormat="1" applyFont="1" applyFill="1" applyBorder="1" applyAlignment="1">
      <alignment vertical="center"/>
    </xf>
    <xf numFmtId="0" fontId="109" fillId="0" borderId="22" xfId="0" applyFont="1" applyFill="1" applyBorder="1" applyAlignment="1">
      <alignment vertical="center"/>
    </xf>
    <xf numFmtId="49" fontId="1" fillId="0" borderId="88" xfId="0" applyNumberFormat="1" applyFont="1" applyFill="1" applyBorder="1" applyAlignment="1">
      <alignment horizontal="center" vertical="center"/>
    </xf>
    <xf numFmtId="49" fontId="1" fillId="0" borderId="90" xfId="0" applyNumberFormat="1" applyFont="1" applyFill="1" applyBorder="1" applyAlignment="1">
      <alignment horizontal="center" vertical="center"/>
    </xf>
    <xf numFmtId="0" fontId="78" fillId="0" borderId="0" xfId="0" applyFont="1" applyAlignment="1"/>
    <xf numFmtId="0" fontId="26" fillId="0" borderId="0" xfId="0" applyFont="1" applyBorder="1" applyAlignment="1">
      <alignment horizontal="center"/>
    </xf>
    <xf numFmtId="0" fontId="33" fillId="0" borderId="138" xfId="0" applyFont="1" applyFill="1" applyBorder="1" applyAlignment="1">
      <alignment horizontal="left" vertical="center" wrapText="1" indent="2"/>
    </xf>
    <xf numFmtId="0" fontId="91" fillId="0" borderId="138" xfId="0" applyFont="1" applyFill="1" applyBorder="1" applyAlignment="1">
      <alignment horizontal="left" vertical="center" wrapText="1" indent="4"/>
    </xf>
    <xf numFmtId="0" fontId="33" fillId="0" borderId="138" xfId="0" applyFont="1" applyBorder="1" applyAlignment="1">
      <alignment horizontal="left" vertical="center" wrapText="1" indent="2"/>
    </xf>
    <xf numFmtId="0" fontId="91" fillId="0" borderId="138" xfId="0" applyFont="1" applyBorder="1" applyAlignment="1">
      <alignment horizontal="left" vertical="center" wrapText="1" indent="4"/>
    </xf>
    <xf numFmtId="0" fontId="104" fillId="0" borderId="86" xfId="0" applyFont="1" applyBorder="1" applyAlignment="1"/>
    <xf numFmtId="0" fontId="1" fillId="0" borderId="153" xfId="0" applyFont="1" applyFill="1" applyBorder="1" applyAlignment="1">
      <alignment vertical="top"/>
    </xf>
    <xf numFmtId="0" fontId="1" fillId="0" borderId="154" xfId="0" applyFont="1" applyFill="1" applyBorder="1" applyAlignment="1">
      <alignment vertical="top" wrapText="1"/>
    </xf>
    <xf numFmtId="0" fontId="1" fillId="0" borderId="153" xfId="0" applyFont="1" applyFill="1" applyBorder="1" applyAlignment="1">
      <alignment vertical="top" wrapText="1"/>
    </xf>
    <xf numFmtId="0" fontId="1" fillId="0" borderId="157" xfId="0" applyFont="1" applyFill="1" applyBorder="1" applyAlignment="1">
      <alignment vertical="top"/>
    </xf>
    <xf numFmtId="0" fontId="1" fillId="0" borderId="158" xfId="0" applyFont="1" applyFill="1" applyBorder="1" applyAlignment="1">
      <alignment vertical="top" wrapText="1"/>
    </xf>
    <xf numFmtId="0" fontId="1" fillId="0" borderId="155" xfId="0" applyFont="1" applyFill="1" applyBorder="1" applyAlignment="1">
      <alignment vertical="top"/>
    </xf>
    <xf numFmtId="0" fontId="1" fillId="0" borderId="156" xfId="0" applyFont="1" applyFill="1" applyBorder="1" applyAlignment="1">
      <alignment vertical="top" wrapText="1"/>
    </xf>
    <xf numFmtId="0" fontId="2" fillId="6" borderId="159" xfId="0" applyFont="1" applyFill="1" applyBorder="1" applyAlignment="1">
      <alignment horizontal="center"/>
    </xf>
    <xf numFmtId="0" fontId="2" fillId="6" borderId="109" xfId="0" applyFont="1" applyFill="1" applyBorder="1" applyAlignment="1">
      <alignment horizontal="center"/>
    </xf>
    <xf numFmtId="0" fontId="2" fillId="6" borderId="160" xfId="0" applyFont="1" applyFill="1" applyBorder="1" applyAlignment="1">
      <alignment horizontal="center"/>
    </xf>
    <xf numFmtId="0" fontId="2" fillId="6" borderId="130" xfId="0" applyFont="1" applyFill="1" applyBorder="1" applyAlignment="1">
      <alignment horizontal="center"/>
    </xf>
    <xf numFmtId="0" fontId="6" fillId="0" borderId="58" xfId="0" applyFont="1" applyFill="1" applyBorder="1" applyAlignment="1">
      <alignment horizontal="left" vertical="center" wrapText="1" indent="2"/>
    </xf>
    <xf numFmtId="0" fontId="85" fillId="0" borderId="131" xfId="0" applyFont="1" applyFill="1" applyBorder="1" applyAlignment="1">
      <alignment horizontal="centerContinuous" vertical="center"/>
    </xf>
    <xf numFmtId="0" fontId="85" fillId="0" borderId="16" xfId="0" applyFont="1" applyFill="1" applyBorder="1" applyAlignment="1">
      <alignment horizontal="centerContinuous" vertical="center"/>
    </xf>
    <xf numFmtId="0" fontId="85" fillId="0" borderId="161" xfId="0" applyFont="1" applyFill="1" applyBorder="1" applyAlignment="1">
      <alignment horizontal="centerContinuous" vertical="center"/>
    </xf>
    <xf numFmtId="0" fontId="17" fillId="0" borderId="16" xfId="0" applyFont="1" applyFill="1" applyBorder="1" applyAlignment="1">
      <alignment horizontal="centerContinuous" vertical="center"/>
    </xf>
    <xf numFmtId="0" fontId="17" fillId="0" borderId="161" xfId="0" applyFont="1" applyFill="1" applyBorder="1" applyAlignment="1">
      <alignment horizontal="centerContinuous" vertical="center"/>
    </xf>
    <xf numFmtId="0" fontId="85" fillId="0" borderId="162" xfId="0" applyFont="1" applyFill="1" applyBorder="1" applyAlignment="1">
      <alignment horizontal="centerContinuous" vertical="center" wrapText="1"/>
    </xf>
    <xf numFmtId="0" fontId="85" fillId="0" borderId="66" xfId="0" applyFont="1" applyFill="1" applyBorder="1" applyAlignment="1">
      <alignment horizontal="centerContinuous" vertical="center"/>
    </xf>
    <xf numFmtId="0" fontId="85" fillId="0" borderId="131" xfId="0" applyFont="1" applyFill="1" applyBorder="1" applyAlignment="1">
      <alignment horizontal="centerContinuous" vertical="center" wrapText="1"/>
    </xf>
    <xf numFmtId="0" fontId="6" fillId="0" borderId="58" xfId="0" applyFont="1" applyFill="1" applyBorder="1" applyAlignment="1">
      <alignment horizontal="center" vertical="center"/>
    </xf>
    <xf numFmtId="0" fontId="78" fillId="0" borderId="131" xfId="0" applyFont="1" applyFill="1" applyBorder="1" applyAlignment="1">
      <alignment horizontal="centerContinuous" vertical="center"/>
    </xf>
    <xf numFmtId="0" fontId="78" fillId="0" borderId="16" xfId="0" applyFont="1" applyFill="1" applyBorder="1" applyAlignment="1">
      <alignment horizontal="centerContinuous" vertical="center"/>
    </xf>
    <xf numFmtId="0" fontId="78" fillId="0" borderId="161" xfId="0" applyFont="1" applyFill="1" applyBorder="1" applyAlignment="1">
      <alignment horizontal="centerContinuous" vertical="center"/>
    </xf>
    <xf numFmtId="0" fontId="6" fillId="0" borderId="131" xfId="0" applyFont="1" applyFill="1" applyBorder="1" applyAlignment="1">
      <alignment horizontal="left" vertical="center" wrapText="1" indent="2"/>
    </xf>
    <xf numFmtId="0" fontId="17" fillId="0" borderId="58" xfId="0" applyFont="1" applyFill="1" applyBorder="1" applyAlignment="1">
      <alignment horizontal="center" vertical="center"/>
    </xf>
    <xf numFmtId="0" fontId="7" fillId="0" borderId="54" xfId="0" applyFont="1" applyFill="1" applyBorder="1" applyAlignment="1">
      <alignment vertical="center" wrapText="1"/>
    </xf>
    <xf numFmtId="0" fontId="3" fillId="0" borderId="55" xfId="0" applyFont="1" applyFill="1" applyBorder="1" applyAlignment="1">
      <alignment horizontal="center" vertical="center" wrapText="1"/>
    </xf>
    <xf numFmtId="0" fontId="3" fillId="0" borderId="92" xfId="0" applyFont="1" applyFill="1" applyBorder="1" applyAlignment="1">
      <alignment horizontal="center" vertical="center" wrapText="1"/>
    </xf>
    <xf numFmtId="0" fontId="3" fillId="0" borderId="64" xfId="0" applyFont="1" applyFill="1" applyBorder="1" applyAlignment="1">
      <alignment horizontal="center" vertical="center" wrapText="1"/>
    </xf>
    <xf numFmtId="0" fontId="108" fillId="0" borderId="55" xfId="0" applyFont="1" applyFill="1" applyBorder="1" applyAlignment="1">
      <alignment horizontal="center" vertical="center" wrapText="1"/>
    </xf>
    <xf numFmtId="0" fontId="3" fillId="0" borderId="92" xfId="0" applyFont="1" applyFill="1" applyBorder="1" applyAlignment="1">
      <alignment vertical="center"/>
    </xf>
    <xf numFmtId="0" fontId="165" fillId="0" borderId="142" xfId="0" applyFont="1" applyFill="1" applyBorder="1" applyAlignment="1">
      <alignment horizontal="left" vertical="center" wrapText="1" indent="1"/>
    </xf>
    <xf numFmtId="49" fontId="239" fillId="0" borderId="58" xfId="0" applyNumberFormat="1" applyFont="1" applyFill="1" applyBorder="1" applyAlignment="1">
      <alignment horizontal="center" vertical="center" wrapText="1"/>
    </xf>
    <xf numFmtId="0" fontId="6" fillId="0" borderId="16" xfId="0" applyFont="1" applyFill="1" applyBorder="1"/>
    <xf numFmtId="0" fontId="0" fillId="0" borderId="0" xfId="0" applyAlignment="1">
      <alignment vertical="top"/>
    </xf>
    <xf numFmtId="0" fontId="0" fillId="0" borderId="0" xfId="0" applyBorder="1" applyAlignment="1">
      <alignment vertical="top"/>
    </xf>
    <xf numFmtId="0" fontId="240" fillId="11" borderId="165" xfId="0" applyFont="1" applyFill="1" applyBorder="1" applyAlignment="1">
      <alignment horizontal="center"/>
    </xf>
    <xf numFmtId="0" fontId="240" fillId="11" borderId="166" xfId="0" applyFont="1" applyFill="1" applyBorder="1" applyAlignment="1">
      <alignment horizontal="center"/>
    </xf>
    <xf numFmtId="0" fontId="0" fillId="0" borderId="168" xfId="0" applyFill="1" applyBorder="1" applyAlignment="1">
      <alignment vertical="top"/>
    </xf>
    <xf numFmtId="0" fontId="0" fillId="0" borderId="168" xfId="0" applyFill="1" applyBorder="1" applyAlignment="1">
      <alignment horizontal="center" vertical="top"/>
    </xf>
    <xf numFmtId="0" fontId="0" fillId="0" borderId="170" xfId="0" applyFill="1" applyBorder="1" applyAlignment="1">
      <alignment horizontal="center" vertical="top"/>
    </xf>
    <xf numFmtId="0" fontId="157" fillId="0" borderId="168" xfId="0" applyFont="1" applyFill="1" applyBorder="1" applyAlignment="1">
      <alignment horizontal="center" vertical="top"/>
    </xf>
    <xf numFmtId="0" fontId="37" fillId="0" borderId="171" xfId="0" applyFont="1" applyFill="1" applyBorder="1" applyAlignment="1">
      <alignment horizontal="center" vertical="top"/>
    </xf>
    <xf numFmtId="0" fontId="37" fillId="0" borderId="168" xfId="0" applyFont="1" applyFill="1" applyBorder="1" applyAlignment="1">
      <alignment horizontal="center" vertical="top"/>
    </xf>
    <xf numFmtId="0" fontId="0" fillId="0" borderId="172" xfId="0" applyBorder="1" applyAlignment="1">
      <alignment horizontal="center" vertical="top"/>
    </xf>
    <xf numFmtId="0" fontId="0" fillId="0" borderId="5" xfId="0" applyFill="1" applyBorder="1" applyAlignment="1">
      <alignment vertical="top"/>
    </xf>
    <xf numFmtId="0" fontId="0" fillId="0" borderId="5" xfId="0" applyFill="1" applyBorder="1" applyAlignment="1">
      <alignment horizontal="center" vertical="top"/>
    </xf>
    <xf numFmtId="0" fontId="0" fillId="0" borderId="173" xfId="0" applyFill="1" applyBorder="1" applyAlignment="1">
      <alignment horizontal="center" vertical="top"/>
    </xf>
    <xf numFmtId="0" fontId="157" fillId="0" borderId="5" xfId="0" applyFont="1" applyFill="1" applyBorder="1" applyAlignment="1">
      <alignment horizontal="center" vertical="top"/>
    </xf>
    <xf numFmtId="0" fontId="37" fillId="0" borderId="174" xfId="0" applyFont="1" applyFill="1" applyBorder="1" applyAlignment="1">
      <alignment horizontal="center" vertical="top"/>
    </xf>
    <xf numFmtId="0" fontId="37" fillId="0" borderId="5" xfId="0" applyFont="1" applyFill="1" applyBorder="1" applyAlignment="1">
      <alignment horizontal="center" vertical="top"/>
    </xf>
    <xf numFmtId="0" fontId="0" fillId="0" borderId="154" xfId="0" applyBorder="1" applyAlignment="1">
      <alignment horizontal="center" vertical="top"/>
    </xf>
    <xf numFmtId="0" fontId="0" fillId="0" borderId="33" xfId="0" applyFill="1" applyBorder="1" applyAlignment="1">
      <alignment vertical="top"/>
    </xf>
    <xf numFmtId="0" fontId="0" fillId="0" borderId="33" xfId="0" applyFill="1" applyBorder="1" applyAlignment="1">
      <alignment horizontal="center" vertical="top"/>
    </xf>
    <xf numFmtId="0" fontId="0" fillId="0" borderId="175" xfId="0" applyFill="1" applyBorder="1" applyAlignment="1">
      <alignment horizontal="center" vertical="top"/>
    </xf>
    <xf numFmtId="0" fontId="157" fillId="0" borderId="33" xfId="0" applyFont="1" applyFill="1" applyBorder="1" applyAlignment="1">
      <alignment horizontal="center" vertical="top"/>
    </xf>
    <xf numFmtId="0" fontId="37" fillId="0" borderId="176" xfId="0" applyFont="1" applyFill="1" applyBorder="1" applyAlignment="1">
      <alignment horizontal="center" vertical="top"/>
    </xf>
    <xf numFmtId="0" fontId="37" fillId="0" borderId="33" xfId="0" applyFont="1" applyFill="1" applyBorder="1" applyAlignment="1">
      <alignment horizontal="center" vertical="top"/>
    </xf>
    <xf numFmtId="0" fontId="0" fillId="0" borderId="158" xfId="0" applyBorder="1" applyAlignment="1">
      <alignment horizontal="center" vertical="top"/>
    </xf>
    <xf numFmtId="0" fontId="157" fillId="0" borderId="167" xfId="0" applyFont="1" applyFill="1" applyBorder="1" applyAlignment="1">
      <alignment horizontal="center" vertical="top"/>
    </xf>
    <xf numFmtId="0" fontId="0" fillId="0" borderId="172" xfId="0" applyBorder="1" applyAlignment="1">
      <alignment vertical="top"/>
    </xf>
    <xf numFmtId="0" fontId="157" fillId="0" borderId="153" xfId="0" applyFont="1" applyFill="1" applyBorder="1" applyAlignment="1">
      <alignment horizontal="center" vertical="top"/>
    </xf>
    <xf numFmtId="0" fontId="0" fillId="0" borderId="154" xfId="0" applyBorder="1" applyAlignment="1">
      <alignment vertical="top"/>
    </xf>
    <xf numFmtId="0" fontId="157" fillId="0" borderId="157" xfId="0" applyFont="1" applyFill="1" applyBorder="1" applyAlignment="1">
      <alignment horizontal="center" vertical="top"/>
    </xf>
    <xf numFmtId="0" fontId="0" fillId="0" borderId="158" xfId="0" applyBorder="1" applyAlignment="1">
      <alignment vertical="top"/>
    </xf>
    <xf numFmtId="0" fontId="1" fillId="0" borderId="157" xfId="0" applyFont="1" applyBorder="1" applyAlignment="1"/>
    <xf numFmtId="0" fontId="1" fillId="0" borderId="33" xfId="0" applyFont="1" applyBorder="1" applyAlignment="1"/>
    <xf numFmtId="0" fontId="0" fillId="0" borderId="51" xfId="0" applyBorder="1" applyAlignment="1"/>
    <xf numFmtId="0" fontId="0" fillId="0" borderId="33" xfId="0" applyBorder="1" applyAlignment="1"/>
    <xf numFmtId="0" fontId="0" fillId="0" borderId="175" xfId="0" applyBorder="1" applyAlignment="1"/>
    <xf numFmtId="0" fontId="37" fillId="0" borderId="176" xfId="0" applyFont="1" applyBorder="1" applyAlignment="1">
      <alignment horizontal="center"/>
    </xf>
    <xf numFmtId="0" fontId="37" fillId="0" borderId="33" xfId="0" applyFont="1" applyBorder="1" applyAlignment="1">
      <alignment horizontal="center"/>
    </xf>
    <xf numFmtId="0" fontId="0" fillId="0" borderId="158" xfId="0" applyBorder="1" applyAlignment="1">
      <alignment horizontal="center"/>
    </xf>
    <xf numFmtId="0" fontId="37" fillId="0" borderId="157" xfId="0" applyFont="1" applyBorder="1" applyAlignment="1">
      <alignment horizontal="center"/>
    </xf>
    <xf numFmtId="0" fontId="0" fillId="0" borderId="158" xfId="0" applyBorder="1" applyAlignment="1"/>
    <xf numFmtId="0" fontId="28" fillId="0" borderId="23" xfId="0" applyFont="1" applyFill="1" applyBorder="1" applyAlignment="1">
      <alignment vertical="top"/>
    </xf>
    <xf numFmtId="0" fontId="157" fillId="0" borderId="174" xfId="0" applyFont="1" applyFill="1" applyBorder="1" applyAlignment="1">
      <alignment horizontal="center" vertical="top"/>
    </xf>
    <xf numFmtId="0" fontId="37" fillId="7" borderId="5" xfId="0" applyFont="1" applyFill="1" applyBorder="1" applyAlignment="1">
      <alignment horizontal="center" vertical="top"/>
    </xf>
    <xf numFmtId="0" fontId="0" fillId="0" borderId="5" xfId="0" quotePrefix="1" applyFill="1" applyBorder="1" applyAlignment="1">
      <alignment horizontal="center" vertical="top"/>
    </xf>
    <xf numFmtId="0" fontId="0" fillId="0" borderId="173" xfId="0" quotePrefix="1" applyFill="1" applyBorder="1" applyAlignment="1">
      <alignment horizontal="center" vertical="top"/>
    </xf>
    <xf numFmtId="0" fontId="37" fillId="30" borderId="5" xfId="0" applyFont="1" applyFill="1" applyBorder="1" applyAlignment="1">
      <alignment horizontal="center" vertical="top"/>
    </xf>
    <xf numFmtId="0" fontId="28" fillId="0" borderId="51" xfId="0" applyFont="1" applyFill="1" applyBorder="1" applyAlignment="1">
      <alignment vertical="top"/>
    </xf>
    <xf numFmtId="0" fontId="157" fillId="0" borderId="176" xfId="0" applyFont="1" applyFill="1" applyBorder="1" applyAlignment="1">
      <alignment horizontal="center" vertical="top"/>
    </xf>
    <xf numFmtId="0" fontId="37" fillId="7" borderId="33" xfId="0" applyFont="1" applyFill="1" applyBorder="1" applyAlignment="1">
      <alignment horizontal="center" vertical="top"/>
    </xf>
    <xf numFmtId="0" fontId="0" fillId="33" borderId="36" xfId="0" applyFill="1" applyBorder="1" applyAlignment="1"/>
    <xf numFmtId="0" fontId="0" fillId="33" borderId="84" xfId="0" applyFill="1" applyBorder="1" applyAlignment="1"/>
    <xf numFmtId="0" fontId="0" fillId="33" borderId="82" xfId="0" applyFill="1" applyBorder="1" applyAlignment="1"/>
    <xf numFmtId="0" fontId="0" fillId="0" borderId="33" xfId="0" applyFont="1" applyBorder="1" applyAlignment="1">
      <alignment horizontal="center"/>
    </xf>
    <xf numFmtId="0" fontId="0" fillId="0" borderId="0" xfId="0" applyAlignment="1">
      <alignment vertical="top" wrapText="1"/>
    </xf>
    <xf numFmtId="0" fontId="1" fillId="0" borderId="0" xfId="0" applyFont="1" applyAlignment="1">
      <alignment horizontal="center" vertical="top" wrapText="1"/>
    </xf>
    <xf numFmtId="0" fontId="1" fillId="0" borderId="0" xfId="0" applyFont="1" applyAlignment="1">
      <alignment vertical="top" wrapText="1"/>
    </xf>
    <xf numFmtId="0" fontId="28" fillId="0" borderId="0" xfId="0" applyFont="1" applyAlignment="1">
      <alignment vertical="top" wrapText="1"/>
    </xf>
    <xf numFmtId="0" fontId="1" fillId="18" borderId="5" xfId="0" applyFont="1" applyFill="1" applyBorder="1" applyAlignment="1">
      <alignment vertical="top" wrapText="1"/>
    </xf>
    <xf numFmtId="0" fontId="28" fillId="18" borderId="6" xfId="0" applyFont="1" applyFill="1" applyBorder="1" applyAlignment="1">
      <alignment vertical="top" wrapText="1"/>
    </xf>
    <xf numFmtId="0" fontId="241" fillId="32" borderId="2" xfId="0" applyFont="1" applyFill="1" applyBorder="1" applyAlignment="1">
      <alignment horizontal="center" vertical="top" wrapText="1"/>
    </xf>
    <xf numFmtId="0" fontId="241" fillId="32" borderId="5" xfId="0" applyFont="1" applyFill="1" applyBorder="1" applyAlignment="1">
      <alignment vertical="top" wrapText="1"/>
    </xf>
    <xf numFmtId="0" fontId="242" fillId="32" borderId="6" xfId="0" applyFont="1" applyFill="1" applyBorder="1" applyAlignment="1">
      <alignment vertical="top" wrapText="1"/>
    </xf>
    <xf numFmtId="0" fontId="1" fillId="16" borderId="2" xfId="0" applyFont="1" applyFill="1" applyBorder="1" applyAlignment="1">
      <alignment horizontal="center" vertical="top" wrapText="1"/>
    </xf>
    <xf numFmtId="0" fontId="1" fillId="16" borderId="5" xfId="0" applyFont="1" applyFill="1" applyBorder="1" applyAlignment="1">
      <alignment vertical="top" wrapText="1"/>
    </xf>
    <xf numFmtId="0" fontId="1" fillId="35" borderId="2" xfId="0" applyFont="1" applyFill="1" applyBorder="1" applyAlignment="1">
      <alignment horizontal="center" vertical="top" wrapText="1"/>
    </xf>
    <xf numFmtId="0" fontId="1" fillId="35" borderId="5" xfId="0" applyFont="1" applyFill="1" applyBorder="1" applyAlignment="1">
      <alignment vertical="top" wrapText="1"/>
    </xf>
    <xf numFmtId="0" fontId="1" fillId="15" borderId="2" xfId="0" applyFont="1" applyFill="1" applyBorder="1" applyAlignment="1">
      <alignment horizontal="center" vertical="top" wrapText="1"/>
    </xf>
    <xf numFmtId="0" fontId="1" fillId="15" borderId="5" xfId="0" applyFont="1" applyFill="1" applyBorder="1" applyAlignment="1">
      <alignment vertical="top" wrapText="1"/>
    </xf>
    <xf numFmtId="0" fontId="241" fillId="5" borderId="5" xfId="0" applyFont="1" applyFill="1" applyBorder="1" applyAlignment="1">
      <alignment vertical="top" wrapText="1"/>
    </xf>
    <xf numFmtId="0" fontId="242" fillId="5" borderId="6" xfId="0" applyFont="1" applyFill="1" applyBorder="1" applyAlignment="1">
      <alignment vertical="top" wrapText="1"/>
    </xf>
    <xf numFmtId="0" fontId="1" fillId="23" borderId="2" xfId="0" applyFont="1" applyFill="1" applyBorder="1" applyAlignment="1">
      <alignment horizontal="center" vertical="top" wrapText="1"/>
    </xf>
    <xf numFmtId="0" fontId="1" fillId="23" borderId="5" xfId="0" applyFont="1" applyFill="1" applyBorder="1" applyAlignment="1">
      <alignment vertical="top" wrapText="1"/>
    </xf>
    <xf numFmtId="0" fontId="1" fillId="20" borderId="2" xfId="0" applyFont="1" applyFill="1" applyBorder="1" applyAlignment="1">
      <alignment horizontal="center" vertical="top" wrapText="1"/>
    </xf>
    <xf numFmtId="0" fontId="1" fillId="20" borderId="5" xfId="0" applyFont="1" applyFill="1" applyBorder="1" applyAlignment="1">
      <alignment vertical="top" wrapText="1"/>
    </xf>
    <xf numFmtId="0" fontId="241" fillId="22" borderId="2" xfId="0" applyFont="1" applyFill="1" applyBorder="1" applyAlignment="1">
      <alignment horizontal="center" vertical="top" wrapText="1"/>
    </xf>
    <xf numFmtId="0" fontId="241" fillId="22" borderId="5" xfId="0" applyFont="1" applyFill="1" applyBorder="1" applyAlignment="1">
      <alignment vertical="top" wrapText="1"/>
    </xf>
    <xf numFmtId="0" fontId="242" fillId="22" borderId="6" xfId="0" applyFont="1" applyFill="1" applyBorder="1" applyAlignment="1">
      <alignment vertical="top" wrapText="1"/>
    </xf>
    <xf numFmtId="0" fontId="241" fillId="21" borderId="2" xfId="0" applyFont="1" applyFill="1" applyBorder="1" applyAlignment="1">
      <alignment horizontal="center" vertical="top" wrapText="1"/>
    </xf>
    <xf numFmtId="0" fontId="241" fillId="21" borderId="5" xfId="0" applyFont="1" applyFill="1" applyBorder="1" applyAlignment="1">
      <alignment vertical="top" wrapText="1"/>
    </xf>
    <xf numFmtId="0" fontId="242" fillId="21" borderId="6" xfId="0" applyFont="1" applyFill="1" applyBorder="1" applyAlignment="1">
      <alignment vertical="top" wrapText="1"/>
    </xf>
    <xf numFmtId="49" fontId="247" fillId="0" borderId="137" xfId="0" applyNumberFormat="1" applyFont="1" applyFill="1" applyBorder="1" applyAlignment="1">
      <alignment vertical="center"/>
    </xf>
    <xf numFmtId="0" fontId="247" fillId="0" borderId="138" xfId="0" applyFont="1" applyFill="1" applyBorder="1" applyAlignment="1">
      <alignment vertical="center" wrapText="1"/>
    </xf>
    <xf numFmtId="0" fontId="2" fillId="0" borderId="0" xfId="0" applyFont="1" applyFill="1" applyAlignment="1">
      <alignment vertical="center"/>
    </xf>
    <xf numFmtId="0" fontId="2" fillId="0" borderId="0" xfId="0" applyFont="1" applyFill="1" applyBorder="1" applyAlignment="1">
      <alignment vertical="center"/>
    </xf>
    <xf numFmtId="0" fontId="107" fillId="0" borderId="16" xfId="0" applyFont="1" applyFill="1" applyBorder="1" applyAlignment="1">
      <alignment horizontal="center" vertical="top"/>
    </xf>
    <xf numFmtId="0" fontId="95" fillId="11" borderId="35" xfId="0" applyFont="1" applyFill="1" applyBorder="1" applyAlignment="1"/>
    <xf numFmtId="0" fontId="157" fillId="0" borderId="155" xfId="0" applyFont="1" applyFill="1" applyBorder="1" applyAlignment="1">
      <alignment horizontal="center" vertical="top"/>
    </xf>
    <xf numFmtId="0" fontId="157" fillId="0" borderId="4" xfId="0" applyFont="1" applyFill="1" applyBorder="1" applyAlignment="1">
      <alignment horizontal="center" vertical="top"/>
    </xf>
    <xf numFmtId="0" fontId="0" fillId="0" borderId="156" xfId="0" applyBorder="1" applyAlignment="1">
      <alignment vertical="top"/>
    </xf>
    <xf numFmtId="0" fontId="0" fillId="0" borderId="4" xfId="0" applyFill="1" applyBorder="1" applyAlignment="1">
      <alignment vertical="top"/>
    </xf>
    <xf numFmtId="0" fontId="0" fillId="0" borderId="4" xfId="0" applyFill="1" applyBorder="1" applyAlignment="1">
      <alignment horizontal="center" vertical="top"/>
    </xf>
    <xf numFmtId="0" fontId="0" fillId="0" borderId="178" xfId="0" applyFill="1" applyBorder="1" applyAlignment="1">
      <alignment horizontal="center" vertical="top"/>
    </xf>
    <xf numFmtId="0" fontId="37" fillId="0" borderId="179" xfId="0" applyFont="1" applyFill="1" applyBorder="1" applyAlignment="1">
      <alignment horizontal="center" vertical="top"/>
    </xf>
    <xf numFmtId="0" fontId="37" fillId="0" borderId="4" xfId="0" applyFont="1" applyFill="1" applyBorder="1" applyAlignment="1">
      <alignment horizontal="center" vertical="top"/>
    </xf>
    <xf numFmtId="0" fontId="112" fillId="0" borderId="29" xfId="0" applyFont="1" applyBorder="1" applyAlignment="1">
      <alignment vertical="center"/>
    </xf>
    <xf numFmtId="0" fontId="255" fillId="0" borderId="138" xfId="0" applyFont="1" applyFill="1" applyBorder="1" applyAlignment="1">
      <alignment horizontal="left" vertical="center" wrapText="1" indent="1"/>
    </xf>
    <xf numFmtId="49" fontId="109" fillId="0" borderId="137" xfId="0" applyNumberFormat="1" applyFont="1" applyFill="1" applyBorder="1" applyAlignment="1">
      <alignment horizontal="right" vertical="center"/>
    </xf>
    <xf numFmtId="49" fontId="109" fillId="0" borderId="141" xfId="0" applyNumberFormat="1" applyFont="1" applyFill="1" applyBorder="1" applyAlignment="1">
      <alignment horizontal="right" vertical="center"/>
    </xf>
    <xf numFmtId="0" fontId="256" fillId="0" borderId="5" xfId="0" applyFont="1" applyFill="1" applyBorder="1" applyAlignment="1">
      <alignment vertical="top"/>
    </xf>
    <xf numFmtId="0" fontId="256" fillId="0" borderId="5" xfId="0" applyFont="1" applyFill="1" applyBorder="1" applyAlignment="1">
      <alignment horizontal="center" vertical="top"/>
    </xf>
    <xf numFmtId="0" fontId="256" fillId="0" borderId="173" xfId="0" applyFont="1" applyFill="1" applyBorder="1" applyAlignment="1">
      <alignment horizontal="center" vertical="top"/>
    </xf>
    <xf numFmtId="0" fontId="258" fillId="0" borderId="5" xfId="0" applyFont="1" applyFill="1" applyBorder="1" applyAlignment="1">
      <alignment horizontal="center" vertical="top"/>
    </xf>
    <xf numFmtId="0" fontId="259" fillId="0" borderId="174" xfId="0" applyFont="1" applyFill="1" applyBorder="1" applyAlignment="1">
      <alignment horizontal="center" vertical="top"/>
    </xf>
    <xf numFmtId="0" fontId="259" fillId="0" borderId="5" xfId="0" applyFont="1" applyFill="1" applyBorder="1" applyAlignment="1">
      <alignment horizontal="center" vertical="top"/>
    </xf>
    <xf numFmtId="0" fontId="256" fillId="0" borderId="154" xfId="0" applyFont="1" applyBorder="1" applyAlignment="1">
      <alignment horizontal="center" vertical="top"/>
    </xf>
    <xf numFmtId="0" fontId="256" fillId="0" borderId="0" xfId="0" applyFont="1" applyAlignment="1">
      <alignment vertical="top"/>
    </xf>
    <xf numFmtId="0" fontId="258" fillId="0" borderId="153" xfId="0" applyFont="1" applyFill="1" applyBorder="1" applyAlignment="1">
      <alignment horizontal="center" vertical="top"/>
    </xf>
    <xf numFmtId="0" fontId="256" fillId="0" borderId="154" xfId="0" applyFont="1" applyBorder="1" applyAlignment="1">
      <alignment vertical="top"/>
    </xf>
    <xf numFmtId="0" fontId="257" fillId="0" borderId="153" xfId="0" applyFont="1" applyFill="1" applyBorder="1" applyAlignment="1">
      <alignment vertical="top"/>
    </xf>
    <xf numFmtId="0" fontId="166" fillId="0" borderId="28" xfId="0" applyFont="1" applyFill="1" applyBorder="1" applyAlignment="1">
      <alignment horizontal="left" vertical="center" wrapText="1" indent="2"/>
    </xf>
    <xf numFmtId="49" fontId="241" fillId="32" borderId="129" xfId="0" applyNumberFormat="1" applyFont="1" applyFill="1" applyBorder="1" applyAlignment="1">
      <alignment horizontal="center" vertical="center" wrapText="1"/>
    </xf>
    <xf numFmtId="49" fontId="173" fillId="32" borderId="129" xfId="0" applyNumberFormat="1" applyFont="1" applyFill="1" applyBorder="1" applyAlignment="1">
      <alignment horizontal="center" vertical="center" wrapText="1"/>
    </xf>
    <xf numFmtId="49" fontId="112" fillId="16" borderId="32" xfId="0" applyNumberFormat="1" applyFont="1" applyFill="1" applyBorder="1" applyAlignment="1">
      <alignment horizontal="center" vertical="center" wrapText="1"/>
    </xf>
    <xf numFmtId="49" fontId="173" fillId="16" borderId="32" xfId="0" applyNumberFormat="1" applyFont="1" applyFill="1" applyBorder="1" applyAlignment="1">
      <alignment horizontal="center" vertical="center" wrapText="1"/>
    </xf>
    <xf numFmtId="49" fontId="112" fillId="13" borderId="32" xfId="0" applyNumberFormat="1" applyFont="1" applyFill="1" applyBorder="1" applyAlignment="1">
      <alignment horizontal="center" vertical="center" wrapText="1"/>
    </xf>
    <xf numFmtId="49" fontId="173" fillId="13" borderId="32" xfId="0" applyNumberFormat="1" applyFont="1" applyFill="1" applyBorder="1" applyAlignment="1">
      <alignment horizontal="center" vertical="center" wrapText="1"/>
    </xf>
    <xf numFmtId="49" fontId="112" fillId="5" borderId="32" xfId="0" applyNumberFormat="1" applyFont="1" applyFill="1" applyBorder="1" applyAlignment="1">
      <alignment horizontal="center" vertical="center" wrapText="1"/>
    </xf>
    <xf numFmtId="49" fontId="173" fillId="5" borderId="32" xfId="0" applyNumberFormat="1" applyFont="1" applyFill="1" applyBorder="1" applyAlignment="1">
      <alignment horizontal="center" vertical="center" wrapText="1"/>
    </xf>
    <xf numFmtId="49" fontId="241" fillId="14" borderId="129" xfId="0" applyNumberFormat="1" applyFont="1" applyFill="1" applyBorder="1" applyAlignment="1">
      <alignment horizontal="center" vertical="center" wrapText="1"/>
    </xf>
    <xf numFmtId="49" fontId="244" fillId="14" borderId="68" xfId="0" applyNumberFormat="1" applyFont="1" applyFill="1" applyBorder="1" applyAlignment="1">
      <alignment horizontal="center" vertical="center" wrapText="1"/>
    </xf>
    <xf numFmtId="49" fontId="112" fillId="23" borderId="132" xfId="0" applyNumberFormat="1" applyFont="1" applyFill="1" applyBorder="1" applyAlignment="1">
      <alignment horizontal="center" vertical="center" wrapText="1"/>
    </xf>
    <xf numFmtId="49" fontId="173" fillId="23" borderId="32" xfId="0" applyNumberFormat="1" applyFont="1" applyFill="1" applyBorder="1" applyAlignment="1">
      <alignment horizontal="center" vertical="center" wrapText="1"/>
    </xf>
    <xf numFmtId="49" fontId="173" fillId="20" borderId="32" xfId="0" applyNumberFormat="1" applyFont="1" applyFill="1" applyBorder="1" applyAlignment="1">
      <alignment horizontal="center" vertical="center" wrapText="1"/>
    </xf>
    <xf numFmtId="49" fontId="241" fillId="25" borderId="32" xfId="0" applyNumberFormat="1" applyFont="1" applyFill="1" applyBorder="1" applyAlignment="1">
      <alignment horizontal="center" vertical="center" wrapText="1"/>
    </xf>
    <xf numFmtId="49" fontId="244" fillId="25" borderId="32" xfId="0" applyNumberFormat="1" applyFont="1" applyFill="1" applyBorder="1" applyAlignment="1">
      <alignment horizontal="center" vertical="center" wrapText="1"/>
    </xf>
    <xf numFmtId="49" fontId="241" fillId="22" borderId="32" xfId="0" applyNumberFormat="1" applyFont="1" applyFill="1" applyBorder="1" applyAlignment="1">
      <alignment horizontal="center" vertical="center" wrapText="1"/>
    </xf>
    <xf numFmtId="0" fontId="260" fillId="32" borderId="129" xfId="0" applyFont="1" applyFill="1" applyBorder="1" applyAlignment="1">
      <alignment horizontal="center" vertical="center" textRotation="90" wrapText="1"/>
    </xf>
    <xf numFmtId="0" fontId="33" fillId="16" borderId="79" xfId="0" applyFont="1" applyFill="1" applyBorder="1" applyAlignment="1">
      <alignment horizontal="center" vertical="center" textRotation="90" wrapText="1"/>
    </xf>
    <xf numFmtId="0" fontId="33" fillId="13" borderId="79" xfId="0" applyFont="1" applyFill="1" applyBorder="1" applyAlignment="1">
      <alignment horizontal="center" vertical="center" textRotation="90" wrapText="1"/>
    </xf>
    <xf numFmtId="0" fontId="260" fillId="5" borderId="79" xfId="0" applyFont="1" applyFill="1" applyBorder="1" applyAlignment="1">
      <alignment horizontal="center" vertical="center" textRotation="90" wrapText="1"/>
    </xf>
    <xf numFmtId="0" fontId="260" fillId="14" borderId="129" xfId="0" applyFont="1" applyFill="1" applyBorder="1" applyAlignment="1">
      <alignment horizontal="center" vertical="center" textRotation="90" wrapText="1"/>
    </xf>
    <xf numFmtId="0" fontId="33" fillId="23" borderId="132" xfId="0" applyFont="1" applyFill="1" applyBorder="1" applyAlignment="1">
      <alignment horizontal="center" vertical="center" textRotation="90" wrapText="1"/>
    </xf>
    <xf numFmtId="0" fontId="260" fillId="25" borderId="79" xfId="0" applyFont="1" applyFill="1" applyBorder="1" applyAlignment="1">
      <alignment horizontal="center" vertical="center" textRotation="90" wrapText="1"/>
    </xf>
    <xf numFmtId="0" fontId="260" fillId="22" borderId="79" xfId="0" applyFont="1" applyFill="1" applyBorder="1" applyAlignment="1">
      <alignment horizontal="center" vertical="center" textRotation="90" wrapText="1"/>
    </xf>
    <xf numFmtId="9" fontId="121" fillId="5" borderId="17" xfId="2" quotePrefix="1" applyFont="1" applyFill="1" applyBorder="1" applyAlignment="1">
      <alignment horizontal="center" vertical="center" wrapText="1"/>
    </xf>
    <xf numFmtId="0" fontId="241" fillId="32" borderId="129" xfId="0" applyFont="1" applyFill="1" applyBorder="1" applyAlignment="1">
      <alignment horizontal="center" vertical="center" textRotation="90" wrapText="1"/>
    </xf>
    <xf numFmtId="0" fontId="112" fillId="16" borderId="79" xfId="0" applyFont="1" applyFill="1" applyBorder="1" applyAlignment="1">
      <alignment horizontal="center" vertical="center" textRotation="90" wrapText="1"/>
    </xf>
    <xf numFmtId="0" fontId="112" fillId="13" borderId="79" xfId="0" applyFont="1" applyFill="1" applyBorder="1" applyAlignment="1">
      <alignment horizontal="center" vertical="center" textRotation="90" wrapText="1"/>
    </xf>
    <xf numFmtId="0" fontId="241" fillId="5" borderId="79" xfId="0" applyFont="1" applyFill="1" applyBorder="1" applyAlignment="1">
      <alignment horizontal="center" vertical="center" textRotation="90" wrapText="1"/>
    </xf>
    <xf numFmtId="0" fontId="241" fillId="14" borderId="129" xfId="0" applyFont="1" applyFill="1" applyBorder="1" applyAlignment="1">
      <alignment horizontal="center" vertical="center" textRotation="90" wrapText="1"/>
    </xf>
    <xf numFmtId="0" fontId="241" fillId="25" borderId="79" xfId="0" applyFont="1" applyFill="1" applyBorder="1" applyAlignment="1">
      <alignment horizontal="center" vertical="center" textRotation="90" wrapText="1"/>
    </xf>
    <xf numFmtId="0" fontId="165" fillId="0" borderId="28" xfId="0" applyFont="1" applyBorder="1" applyAlignment="1">
      <alignment horizontal="left" vertical="center" wrapText="1" indent="2"/>
    </xf>
    <xf numFmtId="49" fontId="142" fillId="0" borderId="26" xfId="0" applyNumberFormat="1" applyFont="1" applyFill="1" applyBorder="1" applyAlignment="1">
      <alignment horizontal="center" vertical="top"/>
    </xf>
    <xf numFmtId="0" fontId="165" fillId="0" borderId="28" xfId="0" applyFont="1" applyFill="1" applyBorder="1" applyAlignment="1">
      <alignment horizontal="left" vertical="top" wrapText="1" indent="1"/>
    </xf>
    <xf numFmtId="0" fontId="109" fillId="0" borderId="28" xfId="0" applyFont="1" applyFill="1" applyBorder="1" applyAlignment="1">
      <alignment horizontal="left" vertical="center" wrapText="1" indent="3"/>
    </xf>
    <xf numFmtId="0" fontId="72" fillId="0" borderId="0" xfId="0" applyFont="1" applyFill="1" applyBorder="1" applyAlignment="1">
      <alignment vertical="center"/>
    </xf>
    <xf numFmtId="49" fontId="112" fillId="0" borderId="0" xfId="0" applyNumberFormat="1" applyFont="1" applyFill="1" applyBorder="1" applyAlignment="1">
      <alignment horizontal="center" vertical="center"/>
    </xf>
    <xf numFmtId="0" fontId="224" fillId="0" borderId="0" xfId="0" applyFont="1" applyBorder="1" applyAlignment="1">
      <alignment vertical="top"/>
    </xf>
    <xf numFmtId="0" fontId="75" fillId="0" borderId="28" xfId="0" applyFont="1" applyBorder="1" applyAlignment="1">
      <alignment vertical="center" wrapText="1"/>
    </xf>
    <xf numFmtId="0" fontId="112" fillId="0" borderId="30" xfId="0" applyFont="1" applyFill="1" applyBorder="1" applyAlignment="1">
      <alignment horizontal="left" vertical="center" indent="1"/>
    </xf>
    <xf numFmtId="0" fontId="173" fillId="0" borderId="30" xfId="0" applyFont="1" applyFill="1" applyBorder="1" applyAlignment="1">
      <alignment horizontal="left" vertical="center" indent="1"/>
    </xf>
    <xf numFmtId="49" fontId="142" fillId="0" borderId="0" xfId="0" applyNumberFormat="1" applyFont="1" applyFill="1" applyAlignment="1">
      <alignment vertical="top"/>
    </xf>
    <xf numFmtId="0" fontId="109" fillId="0" borderId="0" xfId="0" applyFont="1" applyFill="1"/>
    <xf numFmtId="49" fontId="102" fillId="0" borderId="0" xfId="0" applyNumberFormat="1" applyFont="1" applyFill="1" applyBorder="1" applyAlignment="1">
      <alignment vertical="top"/>
    </xf>
    <xf numFmtId="0" fontId="109" fillId="20" borderId="0" xfId="0" applyFont="1" applyFill="1" applyBorder="1" applyAlignment="1"/>
    <xf numFmtId="0" fontId="109" fillId="11" borderId="0" xfId="0" applyFont="1" applyFill="1" applyBorder="1" applyAlignment="1"/>
    <xf numFmtId="0" fontId="112" fillId="0" borderId="28" xfId="0" applyFont="1" applyFill="1" applyBorder="1" applyAlignment="1">
      <alignment horizontal="left" vertical="center" wrapText="1" indent="2"/>
    </xf>
    <xf numFmtId="0" fontId="109" fillId="24" borderId="0" xfId="0" applyFont="1" applyFill="1" applyBorder="1" applyAlignment="1"/>
    <xf numFmtId="0" fontId="261" fillId="0" borderId="28" xfId="0" applyFont="1" applyBorder="1" applyAlignment="1">
      <alignment horizontal="left" vertical="center"/>
    </xf>
    <xf numFmtId="0" fontId="261" fillId="0" borderId="0" xfId="0" applyFont="1" applyBorder="1" applyAlignment="1">
      <alignment horizontal="left" vertical="center"/>
    </xf>
    <xf numFmtId="0" fontId="261" fillId="0" borderId="30" xfId="0" applyFont="1" applyBorder="1" applyAlignment="1">
      <alignment horizontal="center" vertical="center"/>
    </xf>
    <xf numFmtId="0" fontId="261" fillId="0" borderId="103" xfId="0" applyFont="1" applyBorder="1" applyAlignment="1">
      <alignment horizontal="center" vertical="center"/>
    </xf>
    <xf numFmtId="0" fontId="261" fillId="0" borderId="28" xfId="0" applyFont="1" applyBorder="1" applyAlignment="1">
      <alignment horizontal="right" vertical="center"/>
    </xf>
    <xf numFmtId="0" fontId="261" fillId="0" borderId="30" xfId="0" applyFont="1" applyBorder="1" applyAlignment="1">
      <alignment horizontal="right" vertical="center"/>
    </xf>
    <xf numFmtId="0" fontId="261" fillId="0" borderId="103" xfId="0" applyFont="1" applyBorder="1" applyAlignment="1">
      <alignment horizontal="left" vertical="center"/>
    </xf>
    <xf numFmtId="0" fontId="261" fillId="30" borderId="30" xfId="0" applyFont="1" applyFill="1" applyBorder="1" applyAlignment="1">
      <alignment horizontal="center" vertical="center"/>
    </xf>
    <xf numFmtId="0" fontId="261" fillId="0" borderId="28" xfId="0" applyFont="1" applyBorder="1" applyAlignment="1">
      <alignment horizontal="center" vertical="center"/>
    </xf>
    <xf numFmtId="0" fontId="261" fillId="0" borderId="103" xfId="0" applyFont="1" applyBorder="1" applyAlignment="1">
      <alignment vertical="center"/>
    </xf>
    <xf numFmtId="0" fontId="261" fillId="0" borderId="103" xfId="0" applyFont="1" applyBorder="1" applyAlignment="1">
      <alignment horizontal="left" vertical="center" indent="1"/>
    </xf>
    <xf numFmtId="0" fontId="261" fillId="0" borderId="30" xfId="0" applyFont="1" applyBorder="1" applyAlignment="1">
      <alignment horizontal="left" vertical="center"/>
    </xf>
    <xf numFmtId="0" fontId="263" fillId="25" borderId="79" xfId="0" applyFont="1" applyFill="1" applyBorder="1" applyAlignment="1">
      <alignment horizontal="center" vertical="center" textRotation="90" wrapText="1"/>
    </xf>
    <xf numFmtId="0" fontId="263" fillId="14" borderId="68" xfId="0" applyFont="1" applyFill="1" applyBorder="1" applyAlignment="1">
      <alignment horizontal="center" vertical="center" textRotation="90" wrapText="1"/>
    </xf>
    <xf numFmtId="0" fontId="265" fillId="5" borderId="79" xfId="0" applyFont="1" applyFill="1" applyBorder="1" applyAlignment="1">
      <alignment horizontal="center" vertical="center" textRotation="90" wrapText="1"/>
    </xf>
    <xf numFmtId="0" fontId="265" fillId="13" borderId="79" xfId="0" applyFont="1" applyFill="1" applyBorder="1" applyAlignment="1">
      <alignment horizontal="center" vertical="center" textRotation="90" wrapText="1"/>
    </xf>
    <xf numFmtId="0" fontId="265" fillId="16" borderId="79" xfId="0" applyFont="1" applyFill="1" applyBorder="1" applyAlignment="1">
      <alignment horizontal="center" vertical="center" textRotation="90" wrapText="1"/>
    </xf>
    <xf numFmtId="0" fontId="265" fillId="23" borderId="79" xfId="0" applyFont="1" applyFill="1" applyBorder="1" applyAlignment="1">
      <alignment horizontal="center" vertical="center" textRotation="90" wrapText="1"/>
    </xf>
    <xf numFmtId="0" fontId="265" fillId="20" borderId="79" xfId="0" applyFont="1" applyFill="1" applyBorder="1" applyAlignment="1">
      <alignment horizontal="center" vertical="center" textRotation="90" wrapText="1"/>
    </xf>
    <xf numFmtId="0" fontId="262" fillId="32" borderId="129" xfId="0" applyFont="1" applyFill="1" applyBorder="1" applyAlignment="1">
      <alignment horizontal="center" vertical="center" textRotation="90" wrapText="1"/>
    </xf>
    <xf numFmtId="0" fontId="0" fillId="0" borderId="0" xfId="0" applyFont="1" applyAlignment="1">
      <alignment vertical="top" wrapText="1"/>
    </xf>
    <xf numFmtId="0" fontId="30" fillId="18" borderId="6" xfId="0" applyFont="1" applyFill="1" applyBorder="1" applyAlignment="1">
      <alignment vertical="top" wrapText="1"/>
    </xf>
    <xf numFmtId="0" fontId="269" fillId="18" borderId="2" xfId="0" applyFont="1" applyFill="1" applyBorder="1" applyAlignment="1">
      <alignment horizontal="center" vertical="top" wrapText="1"/>
    </xf>
    <xf numFmtId="0" fontId="30" fillId="16" borderId="6" xfId="0" applyFont="1" applyFill="1" applyBorder="1" applyAlignment="1">
      <alignment vertical="top" wrapText="1"/>
    </xf>
    <xf numFmtId="0" fontId="116" fillId="32" borderId="6" xfId="0" applyFont="1" applyFill="1" applyBorder="1" applyAlignment="1">
      <alignment vertical="top" wrapText="1"/>
    </xf>
    <xf numFmtId="0" fontId="30" fillId="35" borderId="6" xfId="0" applyFont="1" applyFill="1" applyBorder="1" applyAlignment="1">
      <alignment vertical="top" wrapText="1"/>
    </xf>
    <xf numFmtId="0" fontId="30" fillId="15" borderId="6" xfId="0" applyFont="1" applyFill="1" applyBorder="1" applyAlignment="1">
      <alignment vertical="top" wrapText="1"/>
    </xf>
    <xf numFmtId="0" fontId="30" fillId="23" borderId="6" xfId="0" applyFont="1" applyFill="1" applyBorder="1" applyAlignment="1">
      <alignment vertical="top" wrapText="1"/>
    </xf>
    <xf numFmtId="0" fontId="30" fillId="20" borderId="6" xfId="0" applyFont="1" applyFill="1" applyBorder="1" applyAlignment="1">
      <alignment vertical="top" wrapText="1"/>
    </xf>
    <xf numFmtId="0" fontId="116" fillId="21" borderId="6" xfId="0" applyFont="1" applyFill="1" applyBorder="1" applyAlignment="1">
      <alignment vertical="top" wrapText="1"/>
    </xf>
    <xf numFmtId="0" fontId="116" fillId="22" borderId="6" xfId="0" applyFont="1" applyFill="1" applyBorder="1" applyAlignment="1">
      <alignment vertical="top" wrapText="1"/>
    </xf>
    <xf numFmtId="0" fontId="234" fillId="10" borderId="0" xfId="0" applyFont="1" applyFill="1" applyAlignment="1">
      <alignment vertical="center" textRotation="90"/>
    </xf>
    <xf numFmtId="0" fontId="241" fillId="37" borderId="2" xfId="0" applyFont="1" applyFill="1" applyBorder="1" applyAlignment="1">
      <alignment horizontal="center" vertical="top" wrapText="1"/>
    </xf>
    <xf numFmtId="0" fontId="116" fillId="37" borderId="6" xfId="0" applyFont="1" applyFill="1" applyBorder="1" applyAlignment="1">
      <alignment vertical="top" wrapText="1"/>
    </xf>
    <xf numFmtId="49" fontId="142" fillId="0" borderId="26" xfId="0" applyNumberFormat="1" applyFont="1" applyFill="1" applyBorder="1" applyAlignment="1">
      <alignment horizontal="center" vertical="center"/>
    </xf>
    <xf numFmtId="49" fontId="233" fillId="11" borderId="0" xfId="0" applyNumberFormat="1" applyFont="1" applyFill="1" applyBorder="1" applyAlignment="1">
      <alignment vertical="top"/>
    </xf>
    <xf numFmtId="0" fontId="272" fillId="11" borderId="0" xfId="0" applyFont="1" applyFill="1" applyBorder="1" applyAlignment="1">
      <alignment vertical="center"/>
    </xf>
    <xf numFmtId="49" fontId="233" fillId="24" borderId="0" xfId="0" applyNumberFormat="1" applyFont="1" applyFill="1" applyBorder="1" applyAlignment="1">
      <alignment vertical="top"/>
    </xf>
    <xf numFmtId="0" fontId="272" fillId="24" borderId="0" xfId="0" applyFont="1" applyFill="1" applyBorder="1" applyAlignment="1">
      <alignment vertical="center"/>
    </xf>
    <xf numFmtId="49" fontId="233" fillId="22" borderId="0" xfId="0" applyNumberFormat="1" applyFont="1" applyFill="1" applyBorder="1" applyAlignment="1">
      <alignment vertical="top"/>
    </xf>
    <xf numFmtId="0" fontId="272" fillId="22" borderId="0" xfId="0" applyFont="1" applyFill="1" applyBorder="1" applyAlignment="1">
      <alignment vertical="center"/>
    </xf>
    <xf numFmtId="0" fontId="113" fillId="0" borderId="0" xfId="0" applyFont="1" applyFill="1" applyBorder="1" applyAlignment="1">
      <alignment horizontal="center" vertical="center" wrapText="1"/>
    </xf>
    <xf numFmtId="165" fontId="271" fillId="0" borderId="0" xfId="0" applyNumberFormat="1" applyFont="1" applyBorder="1" applyAlignment="1">
      <alignment horizontal="center" vertical="center"/>
    </xf>
    <xf numFmtId="0" fontId="38" fillId="2" borderId="0" xfId="0" applyFont="1" applyFill="1" applyAlignment="1">
      <alignment horizontal="center" vertical="center" textRotation="90" wrapText="1"/>
    </xf>
    <xf numFmtId="0" fontId="140" fillId="0" borderId="92" xfId="0" applyFont="1" applyFill="1" applyBorder="1" applyAlignment="1">
      <alignment horizontal="center" vertical="center" wrapText="1"/>
    </xf>
    <xf numFmtId="0" fontId="1" fillId="7" borderId="180" xfId="0" applyFont="1" applyFill="1" applyBorder="1" applyAlignment="1">
      <alignment horizontal="center" vertical="top" wrapText="1"/>
    </xf>
    <xf numFmtId="0" fontId="1" fillId="38" borderId="180" xfId="0" applyFont="1" applyFill="1" applyBorder="1" applyAlignment="1">
      <alignment horizontal="center" vertical="top" wrapText="1"/>
    </xf>
    <xf numFmtId="0" fontId="1" fillId="9" borderId="4" xfId="0" applyFont="1" applyFill="1" applyBorder="1" applyAlignment="1">
      <alignment vertical="top" wrapText="1"/>
    </xf>
    <xf numFmtId="0" fontId="28" fillId="9" borderId="22" xfId="0" applyFont="1" applyFill="1" applyBorder="1" applyAlignment="1">
      <alignment vertical="top" wrapText="1"/>
    </xf>
    <xf numFmtId="0" fontId="30" fillId="9" borderId="49" xfId="0" applyFont="1" applyFill="1" applyBorder="1" applyAlignment="1">
      <alignment horizontal="center" vertical="top" wrapText="1"/>
    </xf>
    <xf numFmtId="0" fontId="30" fillId="0" borderId="0" xfId="0" applyFont="1" applyAlignment="1">
      <alignment horizontal="center" vertical="top" wrapText="1"/>
    </xf>
    <xf numFmtId="0" fontId="30" fillId="18" borderId="2" xfId="0" applyFont="1" applyFill="1" applyBorder="1" applyAlignment="1">
      <alignment horizontal="center" vertical="top" wrapText="1"/>
    </xf>
    <xf numFmtId="0" fontId="116" fillId="32" borderId="2" xfId="0" applyFont="1" applyFill="1" applyBorder="1" applyAlignment="1">
      <alignment horizontal="center" vertical="top" wrapText="1"/>
    </xf>
    <xf numFmtId="0" fontId="30" fillId="16" borderId="2" xfId="0" applyFont="1" applyFill="1" applyBorder="1" applyAlignment="1">
      <alignment horizontal="center" vertical="top" wrapText="1"/>
    </xf>
    <xf numFmtId="0" fontId="30" fillId="35" borderId="2" xfId="0" applyFont="1" applyFill="1" applyBorder="1" applyAlignment="1">
      <alignment horizontal="center" vertical="top" wrapText="1"/>
    </xf>
    <xf numFmtId="0" fontId="30" fillId="15" borderId="2" xfId="0" applyFont="1" applyFill="1" applyBorder="1" applyAlignment="1">
      <alignment horizontal="center" vertical="top" wrapText="1"/>
    </xf>
    <xf numFmtId="0" fontId="116" fillId="5" borderId="2" xfId="0" applyFont="1" applyFill="1" applyBorder="1" applyAlignment="1">
      <alignment horizontal="center" vertical="top" wrapText="1"/>
    </xf>
    <xf numFmtId="0" fontId="30" fillId="23" borderId="2" xfId="0" applyFont="1" applyFill="1" applyBorder="1" applyAlignment="1">
      <alignment horizontal="center" vertical="top" wrapText="1"/>
    </xf>
    <xf numFmtId="0" fontId="30" fillId="20" borderId="2" xfId="0" applyFont="1" applyFill="1" applyBorder="1" applyAlignment="1">
      <alignment horizontal="center" vertical="top" wrapText="1"/>
    </xf>
    <xf numFmtId="0" fontId="116" fillId="21" borderId="2" xfId="0" applyFont="1" applyFill="1" applyBorder="1" applyAlignment="1">
      <alignment horizontal="center" vertical="top" wrapText="1"/>
    </xf>
    <xf numFmtId="0" fontId="116" fillId="22" borderId="2" xfId="0" applyFont="1" applyFill="1" applyBorder="1" applyAlignment="1">
      <alignment horizontal="center" vertical="top" wrapText="1"/>
    </xf>
    <xf numFmtId="0" fontId="161" fillId="0" borderId="60" xfId="0" applyFont="1" applyFill="1" applyBorder="1" applyAlignment="1">
      <alignment horizontal="center" wrapText="1"/>
    </xf>
    <xf numFmtId="0" fontId="161" fillId="0" borderId="61" xfId="0" applyFont="1" applyFill="1" applyBorder="1" applyAlignment="1"/>
    <xf numFmtId="0" fontId="161" fillId="0" borderId="62" xfId="0" applyFont="1" applyFill="1" applyBorder="1" applyAlignment="1">
      <alignment horizontal="center"/>
    </xf>
    <xf numFmtId="0" fontId="72" fillId="4" borderId="6" xfId="0" applyFont="1" applyFill="1" applyBorder="1" applyAlignment="1">
      <alignment vertical="top" wrapText="1"/>
    </xf>
    <xf numFmtId="0" fontId="72" fillId="16" borderId="6" xfId="0" applyFont="1" applyFill="1" applyBorder="1" applyAlignment="1">
      <alignment vertical="top" wrapText="1"/>
    </xf>
    <xf numFmtId="0" fontId="72" fillId="35" borderId="6" xfId="0" applyFont="1" applyFill="1" applyBorder="1" applyAlignment="1">
      <alignment vertical="top" wrapText="1"/>
    </xf>
    <xf numFmtId="0" fontId="72" fillId="23" borderId="6" xfId="0" applyFont="1" applyFill="1" applyBorder="1" applyAlignment="1">
      <alignment vertical="top" wrapText="1"/>
    </xf>
    <xf numFmtId="0" fontId="72" fillId="20" borderId="6" xfId="0" applyFont="1" applyFill="1" applyBorder="1" applyAlignment="1">
      <alignment vertical="top" wrapText="1"/>
    </xf>
    <xf numFmtId="0" fontId="116" fillId="34" borderId="60" xfId="0" applyFont="1" applyFill="1" applyBorder="1" applyAlignment="1">
      <alignment horizontal="center" vertical="top" wrapText="1"/>
    </xf>
    <xf numFmtId="0" fontId="241" fillId="34" borderId="61" xfId="0" applyFont="1" applyFill="1" applyBorder="1" applyAlignment="1">
      <alignment vertical="top" wrapText="1"/>
    </xf>
    <xf numFmtId="0" fontId="242" fillId="34" borderId="62" xfId="0" applyFont="1" applyFill="1" applyBorder="1" applyAlignment="1">
      <alignment vertical="top" wrapText="1"/>
    </xf>
    <xf numFmtId="0" fontId="30" fillId="7" borderId="60" xfId="0" applyFont="1" applyFill="1" applyBorder="1" applyAlignment="1">
      <alignment horizontal="center" vertical="top" wrapText="1"/>
    </xf>
    <xf numFmtId="0" fontId="1" fillId="7" borderId="61" xfId="0" applyFont="1" applyFill="1" applyBorder="1" applyAlignment="1">
      <alignment vertical="top" wrapText="1"/>
    </xf>
    <xf numFmtId="0" fontId="28" fillId="7" borderId="62" xfId="0" applyFont="1" applyFill="1" applyBorder="1" applyAlignment="1">
      <alignment vertical="top" wrapText="1"/>
    </xf>
    <xf numFmtId="0" fontId="288" fillId="0" borderId="0" xfId="0" applyFont="1" applyAlignment="1">
      <alignment horizontal="center"/>
    </xf>
    <xf numFmtId="0" fontId="44" fillId="0" borderId="139" xfId="0" applyFont="1" applyFill="1" applyBorder="1" applyAlignment="1" applyProtection="1">
      <alignment horizontal="center" vertical="center"/>
      <protection locked="0"/>
    </xf>
    <xf numFmtId="0" fontId="213" fillId="2" borderId="138" xfId="0" applyFont="1" applyFill="1" applyBorder="1" applyAlignment="1" applyProtection="1">
      <alignment horizontal="left" vertical="center" wrapText="1" indent="1"/>
      <protection locked="0"/>
    </xf>
    <xf numFmtId="0" fontId="39" fillId="2" borderId="138" xfId="0" applyFont="1" applyFill="1" applyBorder="1" applyAlignment="1" applyProtection="1">
      <alignment horizontal="left" vertical="center" wrapText="1" indent="3"/>
      <protection locked="0"/>
    </xf>
    <xf numFmtId="0" fontId="211" fillId="2" borderId="138" xfId="0" applyFont="1" applyFill="1" applyBorder="1" applyAlignment="1" applyProtection="1">
      <alignment horizontal="left" vertical="center" wrapText="1" indent="1"/>
      <protection locked="0"/>
    </xf>
    <xf numFmtId="0" fontId="33" fillId="2" borderId="138" xfId="0" applyFont="1" applyFill="1" applyBorder="1" applyAlignment="1" applyProtection="1">
      <alignment horizontal="left" vertical="center" wrapText="1" indent="1"/>
      <protection locked="0"/>
    </xf>
    <xf numFmtId="0" fontId="212" fillId="2" borderId="138" xfId="0" applyFont="1" applyFill="1" applyBorder="1" applyAlignment="1" applyProtection="1">
      <alignment horizontal="left" vertical="center" wrapText="1" indent="3"/>
      <protection locked="0"/>
    </xf>
    <xf numFmtId="0" fontId="213" fillId="0" borderId="138" xfId="0" applyFont="1" applyFill="1" applyBorder="1" applyAlignment="1" applyProtection="1">
      <alignment horizontal="left" vertical="center" wrapText="1" indent="1"/>
      <protection locked="0"/>
    </xf>
    <xf numFmtId="0" fontId="85" fillId="2" borderId="4" xfId="0" applyFont="1" applyFill="1" applyBorder="1" applyAlignment="1" applyProtection="1">
      <alignment horizontal="center" vertical="center"/>
      <protection locked="0"/>
    </xf>
    <xf numFmtId="14" fontId="283" fillId="2" borderId="4" xfId="0" quotePrefix="1" applyNumberFormat="1" applyFont="1" applyFill="1" applyBorder="1" applyAlignment="1" applyProtection="1">
      <alignment horizontal="center" vertical="center"/>
      <protection locked="0"/>
    </xf>
    <xf numFmtId="0" fontId="11" fillId="3" borderId="4" xfId="0" applyFont="1" applyFill="1" applyBorder="1" applyAlignment="1" applyProtection="1">
      <alignment horizontal="center" vertical="center"/>
      <protection locked="0"/>
    </xf>
    <xf numFmtId="49" fontId="283" fillId="2" borderId="4" xfId="0" quotePrefix="1" applyNumberFormat="1" applyFont="1" applyFill="1" applyBorder="1" applyAlignment="1" applyProtection="1">
      <alignment horizontal="center" vertical="center"/>
      <protection locked="0"/>
    </xf>
    <xf numFmtId="0" fontId="55" fillId="3" borderId="4" xfId="0" applyFont="1" applyFill="1" applyBorder="1" applyAlignment="1" applyProtection="1">
      <alignment horizontal="center" vertical="center"/>
      <protection locked="0"/>
    </xf>
    <xf numFmtId="0" fontId="282" fillId="2" borderId="4" xfId="0" applyFont="1" applyFill="1" applyBorder="1" applyAlignment="1" applyProtection="1">
      <alignment horizontal="center" vertical="center"/>
      <protection locked="0"/>
    </xf>
    <xf numFmtId="0" fontId="16" fillId="2" borderId="54" xfId="0" applyFont="1" applyFill="1" applyBorder="1" applyAlignment="1" applyProtection="1">
      <alignment vertical="center" wrapText="1"/>
      <protection locked="0"/>
    </xf>
    <xf numFmtId="0" fontId="7" fillId="0" borderId="54" xfId="0" applyFont="1" applyFill="1" applyBorder="1" applyAlignment="1" applyProtection="1">
      <alignment vertical="center" wrapText="1"/>
      <protection locked="0"/>
    </xf>
    <xf numFmtId="0" fontId="93" fillId="2" borderId="92" xfId="0" applyFont="1" applyFill="1" applyBorder="1" applyAlignment="1" applyProtection="1">
      <alignment horizontal="center" vertical="center" wrapText="1"/>
      <protection locked="0"/>
    </xf>
    <xf numFmtId="0" fontId="93" fillId="2" borderId="64" xfId="0" applyFont="1" applyFill="1" applyBorder="1" applyAlignment="1" applyProtection="1">
      <alignment horizontal="center" vertical="center" wrapText="1"/>
      <protection locked="0"/>
    </xf>
    <xf numFmtId="0" fontId="93" fillId="2" borderId="55" xfId="0" applyFont="1" applyFill="1" applyBorder="1" applyAlignment="1" applyProtection="1">
      <alignment horizontal="center" vertical="center" wrapText="1"/>
      <protection locked="0"/>
    </xf>
    <xf numFmtId="0" fontId="93" fillId="2" borderId="80" xfId="0" applyFont="1" applyFill="1" applyBorder="1" applyAlignment="1" applyProtection="1">
      <alignment horizontal="center" vertical="center" wrapText="1"/>
      <protection locked="0"/>
    </xf>
    <xf numFmtId="0" fontId="110" fillId="2" borderId="55" xfId="0" applyFont="1" applyFill="1" applyBorder="1" applyAlignment="1" applyProtection="1">
      <alignment horizontal="center" vertical="center" wrapText="1"/>
      <protection locked="0"/>
    </xf>
    <xf numFmtId="0" fontId="108" fillId="2" borderId="55" xfId="0" applyFont="1" applyFill="1" applyBorder="1" applyAlignment="1" applyProtection="1">
      <alignment horizontal="center" vertical="center" wrapText="1"/>
      <protection locked="0"/>
    </xf>
    <xf numFmtId="0" fontId="93" fillId="3" borderId="92" xfId="0" applyFont="1" applyFill="1" applyBorder="1" applyAlignment="1" applyProtection="1">
      <alignment horizontal="center" vertical="center"/>
      <protection locked="0"/>
    </xf>
    <xf numFmtId="0" fontId="85" fillId="0" borderId="66" xfId="0" applyFont="1" applyFill="1" applyBorder="1" applyAlignment="1" applyProtection="1">
      <alignment horizontal="centerContinuous" vertical="center"/>
      <protection locked="0"/>
    </xf>
    <xf numFmtId="0" fontId="85" fillId="0" borderId="162" xfId="0" applyFont="1" applyFill="1" applyBorder="1" applyAlignment="1" applyProtection="1">
      <alignment horizontal="centerContinuous" vertical="center" wrapText="1"/>
      <protection locked="0"/>
    </xf>
    <xf numFmtId="0" fontId="85" fillId="0" borderId="131" xfId="0" applyFont="1" applyFill="1" applyBorder="1" applyAlignment="1" applyProtection="1">
      <alignment horizontal="centerContinuous" vertical="center" wrapText="1"/>
      <protection locked="0"/>
    </xf>
    <xf numFmtId="0" fontId="17" fillId="0" borderId="16" xfId="0" applyFont="1" applyFill="1" applyBorder="1" applyAlignment="1" applyProtection="1">
      <alignment horizontal="centerContinuous" vertical="center"/>
      <protection locked="0"/>
    </xf>
    <xf numFmtId="0" fontId="17" fillId="0" borderId="161" xfId="0" applyFont="1" applyFill="1" applyBorder="1" applyAlignment="1" applyProtection="1">
      <alignment horizontal="centerContinuous" vertical="center"/>
      <protection locked="0"/>
    </xf>
    <xf numFmtId="0" fontId="85" fillId="0" borderId="16" xfId="0" applyFont="1" applyFill="1" applyBorder="1" applyAlignment="1" applyProtection="1">
      <alignment horizontal="centerContinuous" vertical="center"/>
      <protection locked="0"/>
    </xf>
    <xf numFmtId="0" fontId="85" fillId="0" borderId="131" xfId="0" applyFont="1" applyFill="1" applyBorder="1" applyAlignment="1" applyProtection="1">
      <alignment horizontal="centerContinuous" vertical="center"/>
      <protection locked="0"/>
    </xf>
    <xf numFmtId="165" fontId="145" fillId="0" borderId="98" xfId="0" applyNumberFormat="1" applyFont="1" applyBorder="1" applyAlignment="1" applyProtection="1">
      <alignment horizontal="center" vertical="center"/>
      <protection locked="0"/>
    </xf>
    <xf numFmtId="0" fontId="31" fillId="0" borderId="26" xfId="0" applyFont="1" applyFill="1" applyBorder="1" applyAlignment="1" applyProtection="1">
      <alignment horizontal="center" vertical="center"/>
      <protection locked="0"/>
    </xf>
    <xf numFmtId="0" fontId="1" fillId="0" borderId="27" xfId="0" applyFont="1" applyBorder="1" applyAlignment="1" applyProtection="1">
      <alignment vertical="center"/>
      <protection locked="0"/>
    </xf>
    <xf numFmtId="0" fontId="1" fillId="0" borderId="28" xfId="0" applyFont="1" applyBorder="1" applyAlignment="1" applyProtection="1">
      <alignment vertical="center"/>
      <protection locked="0"/>
    </xf>
    <xf numFmtId="165" fontId="145" fillId="0" borderId="0" xfId="0" applyNumberFormat="1" applyFont="1" applyFill="1" applyBorder="1" applyAlignment="1" applyProtection="1">
      <alignment horizontal="center" vertical="center" wrapText="1"/>
      <protection locked="0"/>
    </xf>
    <xf numFmtId="0" fontId="6" fillId="0" borderId="0" xfId="0" applyFont="1" applyFill="1" applyBorder="1" applyAlignment="1" applyProtection="1">
      <alignment horizontal="center" vertical="center" wrapText="1"/>
      <protection locked="0"/>
    </xf>
    <xf numFmtId="165" fontId="145" fillId="0" borderId="0" xfId="0" applyNumberFormat="1" applyFont="1" applyBorder="1" applyAlignment="1" applyProtection="1">
      <alignment horizontal="center" vertical="center"/>
      <protection locked="0"/>
    </xf>
    <xf numFmtId="0" fontId="0" fillId="0" borderId="0" xfId="0" applyBorder="1" applyAlignment="1" applyProtection="1">
      <alignment horizontal="center" vertical="center"/>
      <protection locked="0"/>
    </xf>
    <xf numFmtId="0" fontId="0" fillId="0" borderId="0" xfId="0" applyBorder="1" applyAlignment="1" applyProtection="1">
      <alignment vertical="center"/>
      <protection locked="0"/>
    </xf>
    <xf numFmtId="0" fontId="141" fillId="0" borderId="114" xfId="0" applyFont="1" applyFill="1" applyBorder="1" applyAlignment="1" applyProtection="1">
      <alignment horizontal="center" vertical="center"/>
      <protection locked="0"/>
    </xf>
    <xf numFmtId="0" fontId="1" fillId="0" borderId="121" xfId="0" applyFont="1" applyBorder="1" applyAlignment="1" applyProtection="1">
      <alignment vertical="center"/>
      <protection locked="0"/>
    </xf>
    <xf numFmtId="0" fontId="1" fillId="0" borderId="0" xfId="0" applyFont="1" applyBorder="1" applyAlignment="1" applyProtection="1">
      <alignment vertical="center"/>
      <protection locked="0"/>
    </xf>
    <xf numFmtId="0" fontId="238" fillId="2" borderId="4" xfId="0" applyFont="1" applyFill="1" applyBorder="1" applyAlignment="1" applyProtection="1">
      <alignment horizontal="center" vertical="center"/>
      <protection locked="0"/>
    </xf>
    <xf numFmtId="165" fontId="145" fillId="0" borderId="98" xfId="0" applyNumberFormat="1" applyFont="1" applyFill="1" applyBorder="1" applyAlignment="1" applyProtection="1">
      <alignment horizontal="center" vertical="center"/>
      <protection locked="0"/>
    </xf>
    <xf numFmtId="0" fontId="211" fillId="2" borderId="28" xfId="0" applyFont="1" applyFill="1" applyBorder="1" applyAlignment="1" applyProtection="1">
      <alignment horizontal="left" vertical="center" wrapText="1" indent="2"/>
      <protection locked="0"/>
    </xf>
    <xf numFmtId="0" fontId="211" fillId="2" borderId="4" xfId="0" applyFont="1" applyFill="1" applyBorder="1" applyAlignment="1" applyProtection="1">
      <alignment horizontal="left" vertical="center" wrapText="1" indent="2"/>
      <protection locked="0"/>
    </xf>
    <xf numFmtId="0" fontId="253" fillId="2" borderId="28" xfId="0" applyFont="1" applyFill="1" applyBorder="1" applyAlignment="1" applyProtection="1">
      <alignment horizontal="left" vertical="center" wrapText="1" indent="2"/>
      <protection locked="0"/>
    </xf>
    <xf numFmtId="0" fontId="212" fillId="2" borderId="28" xfId="0" applyFont="1" applyFill="1" applyBorder="1" applyAlignment="1" applyProtection="1">
      <alignment horizontal="left" vertical="center" wrapText="1" indent="3"/>
      <protection locked="0"/>
    </xf>
    <xf numFmtId="0" fontId="0" fillId="0" borderId="26" xfId="0" applyFill="1" applyBorder="1" applyAlignment="1" applyProtection="1">
      <alignment horizontal="center" vertical="center"/>
      <protection locked="0"/>
    </xf>
    <xf numFmtId="0" fontId="0" fillId="0" borderId="29" xfId="0" applyBorder="1" applyAlignment="1" applyProtection="1">
      <alignment vertical="center"/>
      <protection locked="0"/>
    </xf>
    <xf numFmtId="0" fontId="44" fillId="0" borderId="116" xfId="0" applyFont="1" applyFill="1" applyBorder="1" applyAlignment="1" applyProtection="1">
      <alignment horizontal="center" vertical="center"/>
      <protection locked="0"/>
    </xf>
    <xf numFmtId="0" fontId="0" fillId="0" borderId="0" xfId="0" applyAlignment="1" applyProtection="1">
      <alignment vertical="center"/>
      <protection locked="0"/>
    </xf>
    <xf numFmtId="0" fontId="0" fillId="0" borderId="4" xfId="0" applyBorder="1" applyAlignment="1" applyProtection="1">
      <alignment vertical="center"/>
      <protection locked="0"/>
    </xf>
    <xf numFmtId="0" fontId="0" fillId="0" borderId="118" xfId="0" applyFill="1" applyBorder="1" applyAlignment="1" applyProtection="1">
      <alignment horizontal="center" vertical="center"/>
      <protection locked="0"/>
    </xf>
    <xf numFmtId="0" fontId="44" fillId="0" borderId="113" xfId="0" applyFont="1" applyFill="1" applyBorder="1" applyAlignment="1" applyProtection="1">
      <alignment horizontal="center" vertical="center"/>
      <protection locked="0"/>
    </xf>
    <xf numFmtId="0" fontId="0" fillId="0" borderId="27" xfId="0" applyBorder="1" applyAlignment="1" applyProtection="1">
      <alignment vertical="center"/>
      <protection locked="0"/>
    </xf>
    <xf numFmtId="0" fontId="133" fillId="2" borderId="28" xfId="0" applyFont="1" applyFill="1" applyBorder="1" applyAlignment="1" applyProtection="1">
      <alignment horizontal="left" vertical="top" wrapText="1"/>
      <protection locked="0"/>
    </xf>
    <xf numFmtId="14" fontId="79" fillId="0" borderId="0" xfId="0" applyNumberFormat="1" applyFont="1" applyFill="1" applyProtection="1">
      <protection locked="0"/>
    </xf>
    <xf numFmtId="165" fontId="171" fillId="0" borderId="0" xfId="0" applyNumberFormat="1" applyFont="1" applyBorder="1" applyAlignment="1" applyProtection="1">
      <alignment horizontal="center" vertical="center"/>
      <protection locked="0"/>
    </xf>
    <xf numFmtId="165" fontId="171" fillId="0" borderId="0" xfId="0" applyNumberFormat="1" applyFont="1" applyFill="1" applyBorder="1" applyAlignment="1" applyProtection="1">
      <alignment horizontal="center" vertical="center"/>
      <protection locked="0"/>
    </xf>
    <xf numFmtId="165" fontId="145" fillId="0" borderId="0" xfId="0" applyNumberFormat="1" applyFont="1" applyFill="1" applyBorder="1" applyAlignment="1" applyProtection="1">
      <alignment horizontal="center" vertical="center"/>
      <protection locked="0"/>
    </xf>
    <xf numFmtId="165" fontId="145" fillId="0" borderId="0" xfId="0" applyNumberFormat="1" applyFont="1" applyFill="1" applyBorder="1" applyAlignment="1" applyProtection="1">
      <alignment horizontal="center"/>
      <protection locked="0"/>
    </xf>
    <xf numFmtId="0" fontId="0" fillId="0" borderId="0" xfId="0" applyFill="1" applyProtection="1">
      <protection locked="0"/>
    </xf>
    <xf numFmtId="165" fontId="171" fillId="0" borderId="98" xfId="0" applyNumberFormat="1" applyFont="1" applyFill="1" applyBorder="1" applyAlignment="1" applyProtection="1">
      <alignment horizontal="center" vertical="center"/>
      <protection locked="0"/>
    </xf>
    <xf numFmtId="165" fontId="171" fillId="0" borderId="0" xfId="0" applyNumberFormat="1" applyFont="1" applyFill="1" applyBorder="1" applyAlignment="1" applyProtection="1">
      <alignment horizontal="center"/>
      <protection locked="0"/>
    </xf>
    <xf numFmtId="165" fontId="171" fillId="0" borderId="98" xfId="0" applyNumberFormat="1" applyFont="1" applyFill="1" applyBorder="1" applyAlignment="1" applyProtection="1">
      <alignment horizontal="center"/>
      <protection locked="0"/>
    </xf>
    <xf numFmtId="165" fontId="171" fillId="20" borderId="0" xfId="0" applyNumberFormat="1" applyFont="1" applyFill="1" applyBorder="1" applyAlignment="1" applyProtection="1">
      <alignment horizontal="center" vertical="center"/>
      <protection locked="0"/>
    </xf>
    <xf numFmtId="165" fontId="147" fillId="11" borderId="0" xfId="0" applyNumberFormat="1" applyFont="1" applyFill="1" applyBorder="1" applyAlignment="1" applyProtection="1">
      <alignment horizontal="center" vertical="center"/>
      <protection locked="0"/>
    </xf>
    <xf numFmtId="165" fontId="147" fillId="24" borderId="0" xfId="0" applyNumberFormat="1" applyFont="1" applyFill="1" applyBorder="1" applyAlignment="1" applyProtection="1">
      <alignment horizontal="center" vertical="center"/>
      <protection locked="0"/>
    </xf>
    <xf numFmtId="165" fontId="147" fillId="22" borderId="0" xfId="0" applyNumberFormat="1" applyFont="1" applyFill="1" applyBorder="1" applyAlignment="1" applyProtection="1">
      <alignment horizontal="center" vertical="center"/>
      <protection locked="0"/>
    </xf>
    <xf numFmtId="165" fontId="171" fillId="11" borderId="0" xfId="0" applyNumberFormat="1" applyFont="1" applyFill="1" applyBorder="1" applyAlignment="1" applyProtection="1">
      <alignment horizontal="center" vertical="center"/>
      <protection locked="0"/>
    </xf>
    <xf numFmtId="165" fontId="171" fillId="24" borderId="0" xfId="0" applyNumberFormat="1" applyFont="1" applyFill="1" applyBorder="1" applyAlignment="1" applyProtection="1">
      <alignment horizontal="center" vertical="center"/>
      <protection locked="0"/>
    </xf>
    <xf numFmtId="165" fontId="149" fillId="20" borderId="0" xfId="0" applyNumberFormat="1" applyFont="1" applyFill="1" applyBorder="1" applyAlignment="1" applyProtection="1">
      <alignment horizontal="center" vertical="center"/>
      <protection locked="0"/>
    </xf>
    <xf numFmtId="0" fontId="0" fillId="0" borderId="0" xfId="0" applyBorder="1" applyProtection="1">
      <protection locked="0"/>
    </xf>
    <xf numFmtId="0" fontId="110" fillId="2" borderId="55" xfId="0" applyFont="1" applyFill="1" applyBorder="1" applyAlignment="1" applyProtection="1">
      <alignment horizontal="center" vertical="center"/>
      <protection locked="0"/>
    </xf>
    <xf numFmtId="0" fontId="108" fillId="3" borderId="92" xfId="0" applyFont="1" applyFill="1" applyBorder="1" applyAlignment="1" applyProtection="1">
      <alignment horizontal="center" vertical="center"/>
      <protection locked="0"/>
    </xf>
    <xf numFmtId="0" fontId="261" fillId="0" borderId="140" xfId="0" quotePrefix="1" applyFont="1" applyFill="1" applyBorder="1" applyAlignment="1">
      <alignment horizontal="center" vertical="center"/>
    </xf>
    <xf numFmtId="0" fontId="261" fillId="0" borderId="140" xfId="0" applyFont="1" applyFill="1" applyBorder="1" applyAlignment="1">
      <alignment horizontal="center" vertical="center"/>
    </xf>
    <xf numFmtId="0" fontId="261" fillId="0" borderId="30" xfId="0" applyFont="1" applyFill="1" applyBorder="1" applyAlignment="1">
      <alignment horizontal="center" vertical="center"/>
    </xf>
    <xf numFmtId="0" fontId="261" fillId="0" borderId="106" xfId="0" applyFont="1" applyFill="1" applyBorder="1" applyAlignment="1">
      <alignment horizontal="center" vertical="center"/>
    </xf>
    <xf numFmtId="49" fontId="242" fillId="22" borderId="33" xfId="0" applyNumberFormat="1" applyFont="1" applyFill="1" applyBorder="1" applyAlignment="1">
      <alignment horizontal="center" vertical="center" wrapText="1"/>
    </xf>
    <xf numFmtId="0" fontId="264" fillId="22" borderId="164" xfId="0" applyFont="1" applyFill="1" applyBorder="1" applyAlignment="1">
      <alignment horizontal="center" vertical="center" textRotation="90" wrapText="1"/>
    </xf>
    <xf numFmtId="49" fontId="215" fillId="36" borderId="107" xfId="0" applyNumberFormat="1" applyFont="1" applyFill="1" applyBorder="1" applyAlignment="1">
      <alignment horizontal="center" vertical="center" wrapText="1"/>
    </xf>
    <xf numFmtId="0" fontId="241" fillId="36" borderId="59" xfId="0" applyFont="1" applyFill="1" applyBorder="1" applyAlignment="1">
      <alignment horizontal="center" vertical="center" textRotation="90" wrapText="1"/>
    </xf>
    <xf numFmtId="49" fontId="1" fillId="0" borderId="185" xfId="0" applyNumberFormat="1" applyFont="1" applyFill="1" applyBorder="1" applyAlignment="1">
      <alignment horizontal="center" vertical="center"/>
    </xf>
    <xf numFmtId="0" fontId="44" fillId="0" borderId="126" xfId="0" applyFont="1" applyBorder="1" applyAlignment="1" applyProtection="1">
      <alignment horizontal="center" vertical="center"/>
      <protection locked="0"/>
    </xf>
    <xf numFmtId="0" fontId="44" fillId="0" borderId="185" xfId="0" applyFont="1" applyBorder="1" applyAlignment="1" applyProtection="1">
      <alignment horizontal="center" vertical="center"/>
      <protection locked="0"/>
    </xf>
    <xf numFmtId="0" fontId="44" fillId="0" borderId="127" xfId="0" applyFont="1" applyBorder="1" applyAlignment="1" applyProtection="1">
      <alignment horizontal="center" vertical="center"/>
      <protection locked="0"/>
    </xf>
    <xf numFmtId="0" fontId="44" fillId="0" borderId="128" xfId="0" applyFont="1" applyBorder="1" applyAlignment="1" applyProtection="1">
      <alignment horizontal="center" vertical="center"/>
      <protection locked="0"/>
    </xf>
    <xf numFmtId="0" fontId="130" fillId="0" borderId="127" xfId="0" applyFont="1" applyBorder="1" applyAlignment="1" applyProtection="1">
      <alignment horizontal="center" vertical="center"/>
      <protection locked="0"/>
    </xf>
    <xf numFmtId="0" fontId="168" fillId="0" borderId="128" xfId="0" applyFont="1" applyBorder="1" applyAlignment="1" applyProtection="1">
      <alignment horizontal="center" vertical="center"/>
      <protection locked="0"/>
    </xf>
    <xf numFmtId="0" fontId="44" fillId="0" borderId="186" xfId="0" applyFont="1" applyBorder="1" applyAlignment="1" applyProtection="1">
      <alignment horizontal="center" vertical="center"/>
      <protection locked="0"/>
    </xf>
    <xf numFmtId="0" fontId="26" fillId="0" borderId="0" xfId="0" applyFont="1" applyBorder="1" applyAlignment="1">
      <alignment horizontal="center"/>
    </xf>
    <xf numFmtId="0" fontId="33" fillId="0" borderId="140" xfId="0" applyFont="1" applyFill="1" applyBorder="1" applyAlignment="1">
      <alignment horizontal="left" vertical="center" wrapText="1" indent="2"/>
    </xf>
    <xf numFmtId="0" fontId="211" fillId="2" borderId="138" xfId="0" applyFont="1" applyFill="1" applyBorder="1" applyAlignment="1">
      <alignment horizontal="left" vertical="center" wrapText="1" indent="2"/>
    </xf>
    <xf numFmtId="0" fontId="165" fillId="0" borderId="138" xfId="0" applyFont="1" applyFill="1" applyBorder="1" applyAlignment="1">
      <alignment horizontal="left" vertical="center" wrapText="1" indent="2"/>
    </xf>
    <xf numFmtId="0" fontId="7" fillId="0" borderId="135" xfId="0" quotePrefix="1" applyFont="1" applyBorder="1" applyAlignment="1">
      <alignment vertical="center" wrapText="1"/>
    </xf>
    <xf numFmtId="0" fontId="104" fillId="17" borderId="63" xfId="0" applyFont="1" applyFill="1" applyBorder="1" applyAlignment="1">
      <alignment horizontal="center" vertical="center" wrapText="1"/>
    </xf>
    <xf numFmtId="0" fontId="29" fillId="17" borderId="130" xfId="0" applyFont="1" applyFill="1" applyBorder="1" applyAlignment="1">
      <alignment horizontal="center" vertical="center"/>
    </xf>
    <xf numFmtId="0" fontId="29" fillId="17" borderId="67" xfId="0" applyFont="1" applyFill="1" applyBorder="1" applyAlignment="1">
      <alignment horizontal="center" vertical="center"/>
    </xf>
    <xf numFmtId="0" fontId="44" fillId="0" borderId="135" xfId="0" applyFont="1" applyFill="1" applyBorder="1" applyAlignment="1" applyProtection="1">
      <alignment horizontal="center" vertical="center"/>
      <protection locked="0"/>
    </xf>
    <xf numFmtId="0" fontId="0" fillId="0" borderId="0" xfId="0" applyFill="1" applyAlignment="1"/>
    <xf numFmtId="0" fontId="172" fillId="0" borderId="0" xfId="1" applyFont="1" applyFill="1" applyAlignment="1">
      <alignment vertical="center" wrapText="1"/>
    </xf>
    <xf numFmtId="0" fontId="254" fillId="2" borderId="28" xfId="0" applyFont="1" applyFill="1" applyBorder="1" applyAlignment="1" applyProtection="1">
      <alignment horizontal="left" vertical="center" wrapText="1" indent="2"/>
      <protection locked="0"/>
    </xf>
    <xf numFmtId="0" fontId="39" fillId="2" borderId="28" xfId="0" applyFont="1" applyFill="1" applyBorder="1" applyAlignment="1" applyProtection="1">
      <alignment horizontal="left" vertical="center" wrapText="1" indent="4"/>
      <protection locked="0"/>
    </xf>
    <xf numFmtId="0" fontId="39" fillId="2" borderId="0" xfId="0" applyFont="1" applyFill="1" applyBorder="1" applyAlignment="1" applyProtection="1">
      <alignment horizontal="left" vertical="center" wrapText="1" indent="4"/>
      <protection locked="0"/>
    </xf>
    <xf numFmtId="0" fontId="0" fillId="0" borderId="114" xfId="0" applyFill="1" applyBorder="1" applyAlignment="1" applyProtection="1">
      <alignment horizontal="center" vertical="center"/>
      <protection locked="0"/>
    </xf>
    <xf numFmtId="0" fontId="0" fillId="0" borderId="117" xfId="0" applyFill="1" applyBorder="1" applyAlignment="1" applyProtection="1">
      <alignment horizontal="center" vertical="center"/>
      <protection locked="0"/>
    </xf>
    <xf numFmtId="0" fontId="33" fillId="0" borderId="4" xfId="0" applyFont="1" applyFill="1" applyBorder="1" applyAlignment="1">
      <alignment horizontal="left" vertical="center" wrapText="1" indent="2"/>
    </xf>
    <xf numFmtId="0" fontId="0" fillId="0" borderId="98" xfId="0" applyBorder="1" applyAlignment="1" applyProtection="1">
      <alignment vertical="center"/>
      <protection locked="0"/>
    </xf>
    <xf numFmtId="0" fontId="0" fillId="0" borderId="29" xfId="0" applyFill="1" applyBorder="1" applyAlignment="1">
      <alignment vertical="center"/>
    </xf>
    <xf numFmtId="0" fontId="0" fillId="0" borderId="29" xfId="0" applyFill="1" applyBorder="1" applyAlignment="1" applyProtection="1">
      <alignment vertical="center"/>
      <protection locked="0"/>
    </xf>
    <xf numFmtId="0" fontId="33" fillId="0" borderId="30" xfId="0" applyFont="1" applyFill="1" applyBorder="1" applyAlignment="1">
      <alignment horizontal="left" vertical="center" wrapText="1" indent="2"/>
    </xf>
    <xf numFmtId="0" fontId="0" fillId="0" borderId="199" xfId="0" applyFill="1" applyBorder="1" applyAlignment="1" applyProtection="1">
      <alignment vertical="center"/>
      <protection locked="0"/>
    </xf>
    <xf numFmtId="49" fontId="109" fillId="0" borderId="29" xfId="0" applyNumberFormat="1" applyFont="1" applyFill="1" applyBorder="1" applyAlignment="1">
      <alignment horizontal="center" vertical="center"/>
    </xf>
    <xf numFmtId="0" fontId="72" fillId="0" borderId="28" xfId="0" applyFont="1" applyFill="1" applyBorder="1" applyAlignment="1">
      <alignment horizontal="left" wrapText="1" indent="3"/>
    </xf>
    <xf numFmtId="0" fontId="109" fillId="0" borderId="114" xfId="0" applyFont="1" applyFill="1" applyBorder="1" applyAlignment="1">
      <alignment horizontal="center" vertical="center"/>
    </xf>
    <xf numFmtId="0" fontId="109" fillId="0" borderId="29" xfId="0" applyFont="1" applyFill="1" applyBorder="1" applyAlignment="1">
      <alignment horizontal="center"/>
    </xf>
    <xf numFmtId="49" fontId="112" fillId="0" borderId="26" xfId="0" applyNumberFormat="1" applyFont="1" applyFill="1" applyBorder="1" applyAlignment="1">
      <alignment horizontal="center" vertical="top"/>
    </xf>
    <xf numFmtId="0" fontId="44" fillId="0" borderId="127" xfId="0" applyFont="1" applyFill="1" applyBorder="1" applyAlignment="1" applyProtection="1">
      <alignment horizontal="center" vertical="center"/>
      <protection locked="0"/>
    </xf>
    <xf numFmtId="0" fontId="257" fillId="0" borderId="154" xfId="0" applyFont="1" applyFill="1" applyBorder="1" applyAlignment="1">
      <alignment vertical="top" wrapText="1"/>
    </xf>
    <xf numFmtId="49" fontId="102" fillId="0" borderId="0" xfId="0" applyNumberFormat="1" applyFont="1" applyFill="1" applyBorder="1" applyAlignment="1">
      <alignment vertical="top" wrapText="1"/>
    </xf>
    <xf numFmtId="0" fontId="154" fillId="0" borderId="88" xfId="0" quotePrefix="1" applyFont="1" applyFill="1" applyBorder="1" applyAlignment="1">
      <alignment vertical="center" wrapText="1"/>
    </xf>
    <xf numFmtId="0" fontId="75" fillId="0" borderId="28" xfId="0" applyNumberFormat="1" applyFont="1" applyFill="1" applyBorder="1" applyAlignment="1">
      <alignment vertical="center"/>
    </xf>
    <xf numFmtId="49" fontId="165" fillId="0" borderId="30" xfId="0" applyNumberFormat="1" applyFont="1" applyFill="1" applyBorder="1" applyAlignment="1">
      <alignment vertical="center"/>
    </xf>
    <xf numFmtId="0" fontId="165" fillId="0" borderId="30" xfId="0" applyFont="1" applyFill="1" applyBorder="1" applyAlignment="1">
      <alignment horizontal="left" vertical="center" indent="1"/>
    </xf>
    <xf numFmtId="14" fontId="224" fillId="0" borderId="30" xfId="0" applyNumberFormat="1" applyFont="1" applyFill="1" applyBorder="1"/>
    <xf numFmtId="0" fontId="173" fillId="0" borderId="30" xfId="0" quotePrefix="1" applyFont="1" applyFill="1" applyBorder="1" applyAlignment="1">
      <alignment horizontal="left" vertical="center" wrapText="1" indent="1"/>
    </xf>
    <xf numFmtId="0" fontId="173" fillId="0" borderId="30" xfId="0" applyFont="1" applyFill="1" applyBorder="1" applyAlignment="1">
      <alignment horizontal="left" indent="1"/>
    </xf>
    <xf numFmtId="14" fontId="224" fillId="0" borderId="0" xfId="0" applyNumberFormat="1" applyFont="1" applyFill="1"/>
    <xf numFmtId="0" fontId="164" fillId="0" borderId="28" xfId="0" applyFont="1" applyFill="1" applyBorder="1" applyAlignment="1">
      <alignment horizontal="left" vertical="center" wrapText="1" indent="4"/>
    </xf>
    <xf numFmtId="0" fontId="72" fillId="0" borderId="28" xfId="0" applyFont="1" applyFill="1" applyBorder="1" applyAlignment="1">
      <alignment horizontal="left" vertical="center" wrapText="1" indent="6"/>
    </xf>
    <xf numFmtId="0" fontId="33" fillId="0" borderId="28" xfId="0" applyFont="1" applyBorder="1" applyAlignment="1">
      <alignment horizontal="left" vertical="top" wrapText="1" indent="2"/>
    </xf>
    <xf numFmtId="0" fontId="91" fillId="0" borderId="28" xfId="0" applyFont="1" applyBorder="1" applyAlignment="1">
      <alignment horizontal="left" vertical="top" wrapText="1" indent="4"/>
    </xf>
    <xf numFmtId="0" fontId="165" fillId="0" borderId="28" xfId="0" applyFont="1" applyBorder="1" applyAlignment="1">
      <alignment horizontal="left" vertical="top" wrapText="1" indent="2"/>
    </xf>
    <xf numFmtId="0" fontId="164" fillId="0" borderId="28" xfId="0" applyFont="1" applyFill="1" applyBorder="1" applyAlignment="1">
      <alignment horizontal="left" vertical="top" wrapText="1" indent="4"/>
    </xf>
    <xf numFmtId="0" fontId="72" fillId="0" borderId="28" xfId="0" applyFont="1" applyFill="1" applyBorder="1" applyAlignment="1">
      <alignment horizontal="left" vertical="top" wrapText="1" indent="6"/>
    </xf>
    <xf numFmtId="0" fontId="72" fillId="0" borderId="0" xfId="0" applyFont="1" applyFill="1" applyBorder="1" applyAlignment="1">
      <alignment horizontal="left" vertical="center" wrapText="1"/>
    </xf>
    <xf numFmtId="0" fontId="72" fillId="0" borderId="0" xfId="0" applyFont="1" applyFill="1" applyBorder="1" applyAlignment="1">
      <alignment horizontal="left" wrapText="1"/>
    </xf>
    <xf numFmtId="0" fontId="165" fillId="0" borderId="28" xfId="0" applyFont="1" applyFill="1" applyBorder="1" applyAlignment="1">
      <alignment horizontal="left" wrapText="1" indent="1"/>
    </xf>
    <xf numFmtId="0" fontId="166" fillId="0" borderId="28" xfId="0" applyFont="1" applyFill="1" applyBorder="1" applyAlignment="1">
      <alignment horizontal="left" wrapText="1" indent="3"/>
    </xf>
    <xf numFmtId="0" fontId="112" fillId="0" borderId="28" xfId="0" applyFont="1" applyFill="1" applyBorder="1" applyAlignment="1">
      <alignment horizontal="left" vertical="top" wrapText="1" indent="2"/>
    </xf>
    <xf numFmtId="0" fontId="173" fillId="0" borderId="28" xfId="0" applyFont="1" applyFill="1" applyBorder="1" applyAlignment="1">
      <alignment horizontal="left" vertical="top" wrapText="1" indent="2"/>
    </xf>
    <xf numFmtId="0" fontId="166" fillId="0" borderId="28" xfId="0" applyFont="1" applyFill="1" applyBorder="1" applyAlignment="1">
      <alignment horizontal="left" vertical="top" wrapText="1" indent="4"/>
    </xf>
    <xf numFmtId="0" fontId="166" fillId="0" borderId="28" xfId="0" applyFont="1" applyFill="1" applyBorder="1" applyAlignment="1">
      <alignment horizontal="left" vertical="center" wrapText="1" indent="4"/>
    </xf>
    <xf numFmtId="0" fontId="72" fillId="0" borderId="30" xfId="0" applyFont="1" applyFill="1" applyBorder="1" applyAlignment="1">
      <alignment horizontal="left" vertical="top" wrapText="1" indent="4"/>
    </xf>
    <xf numFmtId="0" fontId="226" fillId="0" borderId="28" xfId="0" applyFont="1" applyFill="1" applyBorder="1" applyAlignment="1">
      <alignment horizontal="left" vertical="top" wrapText="1" indent="2"/>
    </xf>
    <xf numFmtId="0" fontId="91" fillId="0" borderId="28" xfId="0" applyFont="1" applyFill="1" applyBorder="1" applyAlignment="1">
      <alignment horizontal="left" vertical="top" wrapText="1" indent="2"/>
    </xf>
    <xf numFmtId="0" fontId="166" fillId="0" borderId="28" xfId="0" applyFont="1" applyFill="1" applyBorder="1" applyAlignment="1">
      <alignment horizontal="left" vertical="top" wrapText="1" indent="2"/>
    </xf>
    <xf numFmtId="49" fontId="142" fillId="11" borderId="0" xfId="0" applyNumberFormat="1" applyFont="1" applyFill="1" applyBorder="1" applyAlignment="1">
      <alignment vertical="top"/>
    </xf>
    <xf numFmtId="0" fontId="33" fillId="0" borderId="28" xfId="0" applyFont="1" applyFill="1" applyBorder="1" applyAlignment="1">
      <alignment horizontal="left" wrapText="1" indent="2"/>
    </xf>
    <xf numFmtId="0" fontId="165" fillId="0" borderId="28" xfId="0" applyFont="1" applyFill="1" applyBorder="1" applyAlignment="1">
      <alignment horizontal="left" wrapText="1" indent="2"/>
    </xf>
    <xf numFmtId="0" fontId="226" fillId="0" borderId="28" xfId="0" applyFont="1" applyFill="1" applyBorder="1" applyAlignment="1">
      <alignment horizontal="left" wrapText="1" indent="2"/>
    </xf>
    <xf numFmtId="0" fontId="72" fillId="0" borderId="30" xfId="0" applyFont="1" applyFill="1" applyBorder="1" applyAlignment="1">
      <alignment horizontal="left" vertical="center" wrapText="1" indent="4"/>
    </xf>
    <xf numFmtId="49" fontId="142" fillId="24" borderId="0" xfId="0" applyNumberFormat="1" applyFont="1" applyFill="1" applyBorder="1" applyAlignment="1">
      <alignment vertical="top"/>
    </xf>
    <xf numFmtId="0" fontId="161" fillId="24" borderId="0" xfId="0" applyFont="1" applyFill="1" applyBorder="1" applyAlignment="1">
      <alignment vertical="center"/>
    </xf>
    <xf numFmtId="0" fontId="133" fillId="0" borderId="28" xfId="0" applyFont="1" applyFill="1" applyBorder="1" applyAlignment="1">
      <alignment horizontal="left" vertical="top" wrapText="1" indent="2"/>
    </xf>
    <xf numFmtId="165" fontId="171" fillId="20" borderId="0" xfId="0" applyNumberFormat="1" applyFont="1" applyFill="1" applyBorder="1" applyAlignment="1">
      <alignment horizontal="center" vertical="center"/>
    </xf>
    <xf numFmtId="0" fontId="172" fillId="0" borderId="0" xfId="1" applyFont="1" applyAlignment="1">
      <alignment vertical="center" wrapText="1"/>
    </xf>
    <xf numFmtId="49" fontId="142" fillId="22" borderId="0" xfId="0" applyNumberFormat="1" applyFont="1" applyFill="1" applyBorder="1" applyAlignment="1">
      <alignment vertical="top"/>
    </xf>
    <xf numFmtId="0" fontId="161" fillId="22" borderId="0" xfId="0" applyFont="1" applyFill="1" applyBorder="1" applyAlignment="1">
      <alignment vertical="center"/>
    </xf>
    <xf numFmtId="0" fontId="7" fillId="0" borderId="0" xfId="0" applyFont="1" applyFill="1" applyBorder="1" applyAlignment="1">
      <alignment vertical="top" wrapText="1"/>
    </xf>
    <xf numFmtId="0" fontId="32" fillId="0" borderId="0" xfId="0" applyFont="1" applyBorder="1" applyAlignment="1">
      <alignment horizontal="center"/>
    </xf>
    <xf numFmtId="0" fontId="173" fillId="0" borderId="28" xfId="0" applyFont="1" applyFill="1" applyBorder="1" applyAlignment="1">
      <alignment horizontal="left" vertical="center" wrapText="1" indent="2"/>
    </xf>
    <xf numFmtId="0" fontId="0" fillId="7" borderId="26" xfId="0" applyFill="1" applyBorder="1" applyAlignment="1" applyProtection="1">
      <alignment horizontal="center" vertical="center"/>
      <protection locked="0"/>
    </xf>
    <xf numFmtId="0" fontId="0" fillId="7" borderId="8" xfId="0" applyFill="1" applyBorder="1" applyAlignment="1">
      <alignment vertical="center"/>
    </xf>
    <xf numFmtId="0" fontId="0" fillId="7" borderId="13" xfId="0" applyFont="1" applyFill="1" applyBorder="1" applyAlignment="1">
      <alignment vertical="center"/>
    </xf>
    <xf numFmtId="0" fontId="78" fillId="7" borderId="0" xfId="0" applyFont="1" applyFill="1" applyAlignment="1"/>
    <xf numFmtId="0" fontId="5" fillId="7" borderId="0" xfId="0" applyFont="1" applyFill="1" applyBorder="1" applyAlignment="1">
      <alignment horizontal="center" vertical="center"/>
    </xf>
    <xf numFmtId="0" fontId="0" fillId="7" borderId="0" xfId="0" applyFont="1" applyFill="1" applyAlignment="1">
      <alignment vertical="center"/>
    </xf>
    <xf numFmtId="0" fontId="0" fillId="7" borderId="0" xfId="0" applyFill="1" applyAlignment="1">
      <alignment vertical="center"/>
    </xf>
    <xf numFmtId="0" fontId="109" fillId="0" borderId="98" xfId="0" applyFont="1" applyFill="1" applyBorder="1" applyAlignment="1">
      <alignment horizontal="center"/>
    </xf>
    <xf numFmtId="49" fontId="142" fillId="0" borderId="30" xfId="0" applyNumberFormat="1" applyFont="1" applyFill="1" applyBorder="1" applyAlignment="1"/>
    <xf numFmtId="0" fontId="33" fillId="0" borderId="13" xfId="0" applyFont="1" applyFill="1" applyBorder="1" applyAlignment="1">
      <alignment horizontal="left" wrapText="1"/>
    </xf>
    <xf numFmtId="0" fontId="238" fillId="0" borderId="0" xfId="0" applyFont="1" applyAlignment="1"/>
    <xf numFmtId="0" fontId="5" fillId="0" borderId="0" xfId="0" applyFont="1" applyFill="1" applyBorder="1" applyAlignment="1">
      <alignment horizontal="center" wrapText="1"/>
    </xf>
    <xf numFmtId="0" fontId="0" fillId="0" borderId="8" xfId="0" applyFont="1" applyBorder="1" applyAlignment="1">
      <alignment horizontal="center" vertical="center"/>
    </xf>
    <xf numFmtId="49" fontId="142" fillId="0" borderId="28" xfId="0" applyNumberFormat="1" applyFont="1" applyFill="1" applyBorder="1" applyAlignment="1">
      <alignment horizontal="center" vertical="center"/>
    </xf>
    <xf numFmtId="0" fontId="33" fillId="0" borderId="13" xfId="0" applyFont="1" applyFill="1" applyBorder="1" applyAlignment="1">
      <alignment horizontal="center" vertical="center" wrapText="1"/>
    </xf>
    <xf numFmtId="0" fontId="238" fillId="0" borderId="0" xfId="0" applyFont="1" applyAlignment="1">
      <alignment horizontal="center" vertical="center"/>
    </xf>
    <xf numFmtId="0" fontId="0" fillId="0" borderId="30" xfId="0" applyFill="1" applyBorder="1" applyAlignment="1" applyProtection="1">
      <alignment horizontal="center" vertical="center"/>
      <protection locked="0"/>
    </xf>
    <xf numFmtId="0" fontId="78" fillId="0" borderId="58" xfId="0" applyFont="1" applyFill="1" applyBorder="1" applyAlignment="1">
      <alignment horizontal="center" vertical="center"/>
    </xf>
    <xf numFmtId="0" fontId="0" fillId="0" borderId="0" xfId="0" applyFill="1" applyBorder="1" applyAlignment="1" applyProtection="1">
      <alignment vertical="center"/>
      <protection locked="0"/>
    </xf>
    <xf numFmtId="0" fontId="0" fillId="0" borderId="0" xfId="0" applyFill="1" applyAlignment="1" applyProtection="1">
      <alignment vertical="center"/>
      <protection locked="0"/>
    </xf>
    <xf numFmtId="0" fontId="0" fillId="0" borderId="27" xfId="0" applyFill="1" applyBorder="1" applyAlignment="1" applyProtection="1">
      <alignment vertical="center"/>
      <protection locked="0"/>
    </xf>
    <xf numFmtId="0" fontId="253" fillId="2" borderId="28" xfId="0" applyFont="1" applyFill="1" applyBorder="1" applyAlignment="1">
      <alignment horizontal="left" vertical="top" wrapText="1" indent="2"/>
    </xf>
    <xf numFmtId="0" fontId="211" fillId="2" borderId="28" xfId="0" applyFont="1" applyFill="1" applyBorder="1" applyAlignment="1">
      <alignment horizontal="left" vertical="center" wrapText="1" indent="2"/>
    </xf>
    <xf numFmtId="0" fontId="253" fillId="2" borderId="28" xfId="0" applyFont="1" applyFill="1" applyBorder="1" applyAlignment="1">
      <alignment horizontal="left" vertical="center" wrapText="1" indent="2"/>
    </xf>
    <xf numFmtId="0" fontId="0" fillId="0" borderId="0" xfId="0" applyFill="1" applyBorder="1" applyAlignment="1" applyProtection="1">
      <alignment horizontal="center" vertical="center"/>
      <protection locked="0"/>
    </xf>
    <xf numFmtId="0" fontId="6" fillId="0" borderId="0" xfId="0" applyFont="1" applyFill="1" applyAlignment="1">
      <alignment horizontal="left" vertical="center"/>
    </xf>
    <xf numFmtId="0" fontId="6" fillId="0" borderId="0" xfId="0" applyFont="1" applyFill="1" applyAlignment="1">
      <alignment vertical="top" wrapText="1"/>
    </xf>
    <xf numFmtId="0" fontId="0" fillId="0" borderId="0" xfId="0" applyFill="1" applyAlignment="1">
      <alignment horizontal="right" vertical="top"/>
    </xf>
    <xf numFmtId="0" fontId="300" fillId="0" borderId="138" xfId="0" applyFont="1" applyFill="1" applyBorder="1" applyAlignment="1">
      <alignment horizontal="left" vertical="center" wrapText="1" indent="2"/>
    </xf>
    <xf numFmtId="0" fontId="0" fillId="40" borderId="0" xfId="0" applyFont="1" applyFill="1"/>
    <xf numFmtId="0" fontId="0" fillId="0" borderId="8" xfId="0" applyBorder="1" applyAlignment="1">
      <alignment horizontal="center" vertical="center"/>
    </xf>
    <xf numFmtId="0" fontId="109" fillId="0" borderId="0" xfId="0" applyFont="1" applyFill="1" applyAlignment="1">
      <alignment horizontal="center" vertical="center"/>
    </xf>
    <xf numFmtId="0" fontId="32" fillId="0" borderId="13" xfId="0" applyFont="1" applyFill="1" applyBorder="1" applyAlignment="1">
      <alignment horizontal="center" vertical="center" wrapText="1"/>
    </xf>
    <xf numFmtId="0" fontId="78" fillId="0" borderId="0" xfId="0" applyFont="1" applyAlignment="1">
      <alignment horizontal="center"/>
    </xf>
    <xf numFmtId="0" fontId="0" fillId="40" borderId="0" xfId="0" applyFill="1" applyBorder="1" applyAlignment="1">
      <alignment horizontal="center"/>
    </xf>
    <xf numFmtId="0" fontId="288" fillId="40" borderId="0" xfId="0" applyFont="1" applyFill="1" applyBorder="1" applyAlignment="1">
      <alignment horizontal="center"/>
    </xf>
    <xf numFmtId="0" fontId="289" fillId="40" borderId="0" xfId="0" applyFont="1" applyFill="1" applyBorder="1" applyAlignment="1">
      <alignment horizontal="center" vertical="center" textRotation="90"/>
    </xf>
    <xf numFmtId="0" fontId="0" fillId="40" borderId="9" xfId="0" applyFill="1" applyBorder="1" applyAlignment="1">
      <alignment horizontal="center"/>
    </xf>
    <xf numFmtId="0" fontId="288" fillId="40" borderId="9" xfId="0" applyFont="1" applyFill="1" applyBorder="1" applyAlignment="1">
      <alignment horizontal="center"/>
    </xf>
    <xf numFmtId="0" fontId="50" fillId="40" borderId="0" xfId="0" applyFont="1" applyFill="1" applyBorder="1" applyAlignment="1">
      <alignment horizontal="left" vertical="top" wrapText="1" indent="4"/>
    </xf>
    <xf numFmtId="0" fontId="0" fillId="40" borderId="0" xfId="0" applyFont="1" applyFill="1" applyBorder="1"/>
    <xf numFmtId="0" fontId="2" fillId="40" borderId="0" xfId="0" applyFont="1" applyFill="1" applyBorder="1"/>
    <xf numFmtId="0" fontId="0" fillId="40" borderId="9" xfId="0" applyFont="1" applyFill="1" applyBorder="1"/>
    <xf numFmtId="0" fontId="0" fillId="40" borderId="11" xfId="0" applyFont="1" applyFill="1" applyBorder="1"/>
    <xf numFmtId="0" fontId="52" fillId="40" borderId="0" xfId="0" applyFont="1" applyFill="1" applyAlignment="1">
      <alignment horizontal="left" vertical="center"/>
    </xf>
    <xf numFmtId="0" fontId="52" fillId="40" borderId="0" xfId="0" applyFont="1" applyFill="1" applyAlignment="1">
      <alignment horizontal="centerContinuous" vertical="center"/>
    </xf>
    <xf numFmtId="0" fontId="0" fillId="40" borderId="0" xfId="0" applyFont="1" applyFill="1" applyAlignment="1">
      <alignment vertical="center"/>
    </xf>
    <xf numFmtId="0" fontId="0" fillId="40" borderId="0" xfId="0" quotePrefix="1" applyFont="1" applyFill="1" applyAlignment="1">
      <alignment vertical="center"/>
    </xf>
    <xf numFmtId="0" fontId="0" fillId="40" borderId="0" xfId="0" applyFill="1" applyAlignment="1">
      <alignment vertical="center"/>
    </xf>
    <xf numFmtId="0" fontId="210" fillId="40" borderId="0" xfId="0" applyFont="1" applyFill="1" applyBorder="1" applyAlignment="1">
      <alignment horizontal="left" vertical="center"/>
    </xf>
    <xf numFmtId="0" fontId="39" fillId="40" borderId="0" xfId="0" applyFont="1" applyFill="1" applyAlignment="1">
      <alignment vertical="center"/>
    </xf>
    <xf numFmtId="0" fontId="0" fillId="40" borderId="11" xfId="0" applyFont="1" applyFill="1" applyBorder="1" applyAlignment="1">
      <alignment vertical="center"/>
    </xf>
    <xf numFmtId="0" fontId="0" fillId="40" borderId="0" xfId="0" applyFont="1" applyFill="1" applyBorder="1" applyAlignment="1">
      <alignment vertical="center"/>
    </xf>
    <xf numFmtId="0" fontId="0" fillId="40" borderId="0" xfId="0" applyFont="1" applyFill="1" applyAlignment="1"/>
    <xf numFmtId="0" fontId="0" fillId="40" borderId="0" xfId="0" applyFill="1" applyAlignment="1">
      <alignment horizontal="left" vertical="center"/>
    </xf>
    <xf numFmtId="0" fontId="27" fillId="40" borderId="0" xfId="0" applyFont="1" applyFill="1" applyAlignment="1">
      <alignment horizontal="left" vertical="center"/>
    </xf>
    <xf numFmtId="0" fontId="1" fillId="40" borderId="0" xfId="0" applyFont="1" applyFill="1" applyAlignment="1">
      <alignment horizontal="left" vertical="center"/>
    </xf>
    <xf numFmtId="0" fontId="4" fillId="40" borderId="0" xfId="0" applyFont="1" applyFill="1" applyAlignment="1">
      <alignment horizontal="left" vertical="center"/>
    </xf>
    <xf numFmtId="0" fontId="83" fillId="40" borderId="0" xfId="0" applyFont="1" applyFill="1" applyBorder="1" applyAlignment="1">
      <alignment horizontal="center" vertical="center" wrapText="1"/>
    </xf>
    <xf numFmtId="0" fontId="40" fillId="40" borderId="0" xfId="0" applyFont="1" applyFill="1" applyAlignment="1">
      <alignment horizontal="left" vertical="center"/>
    </xf>
    <xf numFmtId="0" fontId="12" fillId="40" borderId="0" xfId="0" applyFont="1" applyFill="1" applyAlignment="1">
      <alignment vertical="center"/>
    </xf>
    <xf numFmtId="0" fontId="123" fillId="40" borderId="0" xfId="0" applyFont="1" applyFill="1" applyBorder="1" applyAlignment="1">
      <alignment horizontal="center" vertical="center" wrapText="1"/>
    </xf>
    <xf numFmtId="0" fontId="24" fillId="40" borderId="0" xfId="0" applyFont="1" applyFill="1" applyAlignment="1">
      <alignment vertical="center"/>
    </xf>
    <xf numFmtId="0" fontId="24" fillId="40" borderId="0" xfId="0" applyFont="1" applyFill="1" applyAlignment="1">
      <alignment horizontal="left" vertical="center"/>
    </xf>
    <xf numFmtId="0" fontId="56" fillId="40" borderId="0" xfId="0" applyFont="1" applyFill="1" applyAlignment="1">
      <alignment vertical="center"/>
    </xf>
    <xf numFmtId="0" fontId="0" fillId="40" borderId="0" xfId="0" applyFill="1"/>
    <xf numFmtId="0" fontId="0" fillId="40" borderId="11" xfId="0" applyFill="1" applyBorder="1" applyAlignment="1">
      <alignment horizontal="center" vertical="center"/>
    </xf>
    <xf numFmtId="0" fontId="288" fillId="40" borderId="11" xfId="0" applyFont="1" applyFill="1" applyBorder="1" applyAlignment="1">
      <alignment horizontal="center" vertical="center"/>
    </xf>
    <xf numFmtId="0" fontId="0" fillId="40" borderId="10" xfId="0" applyFill="1" applyBorder="1" applyAlignment="1">
      <alignment vertical="center"/>
    </xf>
    <xf numFmtId="0" fontId="28" fillId="40" borderId="0" xfId="0" applyFont="1" applyFill="1" applyAlignment="1">
      <alignment vertical="center"/>
    </xf>
    <xf numFmtId="49" fontId="24" fillId="40" borderId="0" xfId="0" applyNumberFormat="1" applyFont="1" applyFill="1" applyAlignment="1">
      <alignment vertical="center"/>
    </xf>
    <xf numFmtId="49" fontId="24" fillId="40" borderId="13" xfId="0" applyNumberFormat="1" applyFont="1" applyFill="1" applyBorder="1" applyAlignment="1">
      <alignment vertical="center"/>
    </xf>
    <xf numFmtId="0" fontId="0" fillId="40" borderId="11" xfId="0" applyFont="1" applyFill="1" applyBorder="1" applyAlignment="1">
      <alignment horizontal="left" vertical="center"/>
    </xf>
    <xf numFmtId="0" fontId="0" fillId="40" borderId="0" xfId="0" applyFill="1" applyBorder="1" applyAlignment="1">
      <alignment horizontal="center" vertical="center"/>
    </xf>
    <xf numFmtId="0" fontId="288" fillId="40" borderId="0" xfId="0" applyFont="1" applyFill="1" applyBorder="1" applyAlignment="1">
      <alignment horizontal="center" vertical="center"/>
    </xf>
    <xf numFmtId="0" fontId="0" fillId="40" borderId="8" xfId="0" applyFill="1" applyBorder="1" applyAlignment="1">
      <alignment vertical="center"/>
    </xf>
    <xf numFmtId="0" fontId="0" fillId="40" borderId="13" xfId="0" applyFont="1" applyFill="1" applyBorder="1" applyAlignment="1">
      <alignment vertical="center"/>
    </xf>
    <xf numFmtId="0" fontId="0" fillId="40" borderId="0" xfId="0" applyFont="1" applyFill="1" applyBorder="1" applyAlignment="1">
      <alignment horizontal="left" vertical="center"/>
    </xf>
    <xf numFmtId="0" fontId="98" fillId="40" borderId="0" xfId="0" applyFont="1" applyFill="1"/>
    <xf numFmtId="0" fontId="122" fillId="40" borderId="0" xfId="0" applyFont="1" applyFill="1" applyAlignment="1">
      <alignment vertical="center"/>
    </xf>
    <xf numFmtId="0" fontId="98" fillId="40" borderId="0" xfId="0" applyFont="1" applyFill="1" applyAlignment="1">
      <alignment vertical="center"/>
    </xf>
    <xf numFmtId="0" fontId="0" fillId="40" borderId="0" xfId="0" applyFill="1" applyAlignment="1">
      <alignment horizontal="center" vertical="center"/>
    </xf>
    <xf numFmtId="0" fontId="288" fillId="40" borderId="0" xfId="0" applyFont="1" applyFill="1" applyAlignment="1">
      <alignment horizontal="center" vertical="center"/>
    </xf>
    <xf numFmtId="14" fontId="79" fillId="40" borderId="0" xfId="0" applyNumberFormat="1" applyFont="1" applyFill="1" applyAlignment="1">
      <alignment vertical="center"/>
    </xf>
    <xf numFmtId="0" fontId="0" fillId="40" borderId="0" xfId="0" applyFont="1" applyFill="1" applyAlignment="1">
      <alignment horizontal="left" vertical="center"/>
    </xf>
    <xf numFmtId="14" fontId="224" fillId="40" borderId="0" xfId="0" applyNumberFormat="1" applyFont="1" applyFill="1" applyAlignment="1">
      <alignment vertical="center"/>
    </xf>
    <xf numFmtId="165" fontId="90" fillId="40" borderId="0" xfId="0" applyNumberFormat="1" applyFont="1" applyFill="1" applyAlignment="1">
      <alignment vertical="center"/>
    </xf>
    <xf numFmtId="49" fontId="0" fillId="40" borderId="0" xfId="0" applyNumberFormat="1" applyFill="1" applyAlignment="1">
      <alignment vertical="center"/>
    </xf>
    <xf numFmtId="0" fontId="0" fillId="40" borderId="0" xfId="0" applyFill="1" applyAlignment="1">
      <alignment horizontal="center"/>
    </xf>
    <xf numFmtId="0" fontId="288" fillId="40" borderId="0" xfId="0" applyFont="1" applyFill="1" applyAlignment="1">
      <alignment horizontal="center"/>
    </xf>
    <xf numFmtId="0" fontId="28" fillId="40" borderId="0" xfId="0" applyFont="1" applyFill="1"/>
    <xf numFmtId="49" fontId="0" fillId="40" borderId="0" xfId="0" applyNumberFormat="1" applyFill="1" applyAlignment="1">
      <alignment vertical="top"/>
    </xf>
    <xf numFmtId="0" fontId="112" fillId="40" borderId="0" xfId="0" applyFont="1" applyFill="1" applyBorder="1" applyAlignment="1">
      <alignment horizontal="center" vertical="center" textRotation="90"/>
    </xf>
    <xf numFmtId="49" fontId="30" fillId="40" borderId="0" xfId="0" applyNumberFormat="1" applyFont="1" applyFill="1" applyAlignment="1">
      <alignment horizontal="center" vertical="center"/>
    </xf>
    <xf numFmtId="0" fontId="291" fillId="40" borderId="0" xfId="0" quotePrefix="1" applyNumberFormat="1" applyFont="1" applyFill="1" applyAlignment="1">
      <alignment horizontal="left" vertical="center"/>
    </xf>
    <xf numFmtId="49" fontId="289" fillId="40" borderId="0" xfId="0" applyNumberFormat="1" applyFont="1" applyFill="1" applyAlignment="1">
      <alignment horizontal="center" vertical="center"/>
    </xf>
    <xf numFmtId="49" fontId="7" fillId="40" borderId="0" xfId="0" applyNumberFormat="1" applyFont="1" applyFill="1" applyAlignment="1">
      <alignment horizontal="right" vertical="center"/>
    </xf>
    <xf numFmtId="0" fontId="289" fillId="40" borderId="0" xfId="0" quotePrefix="1" applyNumberFormat="1" applyFont="1" applyFill="1" applyAlignment="1">
      <alignment horizontal="center"/>
    </xf>
    <xf numFmtId="0" fontId="293" fillId="40" borderId="0" xfId="0" quotePrefix="1" applyNumberFormat="1" applyFont="1" applyFill="1" applyAlignment="1">
      <alignment horizontal="right" vertical="center"/>
    </xf>
    <xf numFmtId="49" fontId="292" fillId="40" borderId="0" xfId="0" applyNumberFormat="1" applyFont="1" applyFill="1" applyAlignment="1">
      <alignment horizontal="right" vertical="center"/>
    </xf>
    <xf numFmtId="165" fontId="145" fillId="40" borderId="0" xfId="0" applyNumberFormat="1" applyFont="1" applyFill="1" applyBorder="1" applyAlignment="1">
      <alignment horizontal="center" vertical="center"/>
    </xf>
    <xf numFmtId="165" fontId="216" fillId="40" borderId="0" xfId="0" applyNumberFormat="1" applyFont="1" applyFill="1" applyBorder="1" applyAlignment="1">
      <alignment horizontal="center" vertical="center"/>
    </xf>
    <xf numFmtId="49" fontId="75" fillId="40" borderId="0" xfId="0" applyNumberFormat="1" applyFont="1" applyFill="1" applyBorder="1" applyAlignment="1">
      <alignment vertical="center"/>
    </xf>
    <xf numFmtId="0" fontId="75" fillId="40" borderId="0" xfId="0" applyFont="1" applyFill="1" applyBorder="1" applyAlignment="1">
      <alignment vertical="center" wrapText="1"/>
    </xf>
    <xf numFmtId="0" fontId="28" fillId="40" borderId="13" xfId="0" applyFont="1" applyFill="1" applyBorder="1" applyAlignment="1">
      <alignment horizontal="left" vertical="center" wrapText="1"/>
    </xf>
    <xf numFmtId="0" fontId="237" fillId="40" borderId="151" xfId="0" applyFont="1" applyFill="1" applyBorder="1" applyAlignment="1">
      <alignment horizontal="left" vertical="center" wrapText="1"/>
    </xf>
    <xf numFmtId="0" fontId="237" fillId="40" borderId="152" xfId="0" applyFont="1" applyFill="1" applyBorder="1" applyAlignment="1">
      <alignment horizontal="left" vertical="center" wrapText="1"/>
    </xf>
    <xf numFmtId="0" fontId="28" fillId="40" borderId="0" xfId="0" applyFont="1" applyFill="1" applyBorder="1" applyAlignment="1">
      <alignment horizontal="left" vertical="center" wrapText="1"/>
    </xf>
    <xf numFmtId="49" fontId="75" fillId="40" borderId="13" xfId="0" applyNumberFormat="1" applyFont="1" applyFill="1" applyBorder="1" applyAlignment="1">
      <alignment vertical="center"/>
    </xf>
    <xf numFmtId="0" fontId="0" fillId="40" borderId="7" xfId="0" applyFill="1" applyBorder="1" applyAlignment="1">
      <alignment vertical="center"/>
    </xf>
    <xf numFmtId="0" fontId="0" fillId="40" borderId="9" xfId="0" applyFill="1" applyBorder="1" applyAlignment="1">
      <alignment vertical="center"/>
    </xf>
    <xf numFmtId="0" fontId="28" fillId="40" borderId="9" xfId="0" applyFont="1" applyFill="1" applyBorder="1" applyAlignment="1">
      <alignment vertical="center"/>
    </xf>
    <xf numFmtId="49" fontId="24" fillId="40" borderId="9" xfId="0" applyNumberFormat="1" applyFont="1" applyFill="1" applyBorder="1" applyAlignment="1">
      <alignment vertical="center"/>
    </xf>
    <xf numFmtId="49" fontId="24" fillId="40" borderId="14" xfId="0" applyNumberFormat="1" applyFont="1" applyFill="1" applyBorder="1" applyAlignment="1">
      <alignment vertical="center"/>
    </xf>
    <xf numFmtId="0" fontId="0" fillId="40" borderId="8" xfId="0" applyFill="1" applyBorder="1"/>
    <xf numFmtId="0" fontId="0" fillId="40" borderId="7" xfId="0" applyFill="1" applyBorder="1"/>
    <xf numFmtId="0" fontId="0" fillId="40" borderId="10" xfId="0" applyFill="1" applyBorder="1"/>
    <xf numFmtId="0" fontId="0" fillId="40" borderId="8" xfId="0" applyFont="1" applyFill="1" applyBorder="1" applyAlignment="1">
      <alignment vertical="center"/>
    </xf>
    <xf numFmtId="0" fontId="28" fillId="18" borderId="0" xfId="0" applyFont="1" applyFill="1" applyBorder="1" applyAlignment="1">
      <alignment horizontal="centerContinuous"/>
    </xf>
    <xf numFmtId="0" fontId="50" fillId="18" borderId="13" xfId="0" applyFont="1" applyFill="1" applyBorder="1" applyAlignment="1">
      <alignment horizontal="left" vertical="top" wrapText="1" indent="4"/>
    </xf>
    <xf numFmtId="0" fontId="0" fillId="18" borderId="0" xfId="0" applyFill="1" applyBorder="1"/>
    <xf numFmtId="0" fontId="2" fillId="18" borderId="0" xfId="0" applyFont="1" applyFill="1" applyAlignment="1">
      <alignment horizontal="center"/>
    </xf>
    <xf numFmtId="0" fontId="0" fillId="18" borderId="88" xfId="0" applyFill="1" applyBorder="1"/>
    <xf numFmtId="0" fontId="2" fillId="18" borderId="13" xfId="0" applyFont="1" applyFill="1" applyBorder="1"/>
    <xf numFmtId="0" fontId="28" fillId="18" borderId="1" xfId="0" applyFont="1" applyFill="1" applyBorder="1" applyAlignment="1">
      <alignment horizontal="center"/>
    </xf>
    <xf numFmtId="0" fontId="0" fillId="18" borderId="13" xfId="0" applyFont="1" applyFill="1" applyBorder="1"/>
    <xf numFmtId="0" fontId="175" fillId="18" borderId="1" xfId="0" applyFont="1" applyFill="1" applyBorder="1" applyAlignment="1">
      <alignment horizontal="center"/>
    </xf>
    <xf numFmtId="0" fontId="28" fillId="18" borderId="0" xfId="0" applyFont="1" applyFill="1"/>
    <xf numFmtId="0" fontId="178" fillId="18" borderId="1" xfId="0" applyFont="1" applyFill="1" applyBorder="1" applyAlignment="1">
      <alignment horizontal="center"/>
    </xf>
    <xf numFmtId="0" fontId="39" fillId="18" borderId="1" xfId="0" applyFont="1" applyFill="1" applyBorder="1" applyAlignment="1">
      <alignment horizontal="center"/>
    </xf>
    <xf numFmtId="0" fontId="50" fillId="18" borderId="1" xfId="0" applyFont="1" applyFill="1" applyBorder="1" applyAlignment="1">
      <alignment horizontal="center"/>
    </xf>
    <xf numFmtId="0" fontId="86" fillId="18" borderId="1" xfId="0" applyFont="1" applyFill="1" applyBorder="1" applyAlignment="1">
      <alignment horizontal="center"/>
    </xf>
    <xf numFmtId="0" fontId="181" fillId="18" borderId="1" xfId="0" applyFont="1" applyFill="1" applyBorder="1" applyAlignment="1">
      <alignment horizontal="center"/>
    </xf>
    <xf numFmtId="0" fontId="183" fillId="18" borderId="1" xfId="0" applyFont="1" applyFill="1" applyBorder="1" applyAlignment="1">
      <alignment horizontal="center"/>
    </xf>
    <xf numFmtId="0" fontId="185" fillId="18" borderId="1" xfId="0" applyFont="1" applyFill="1" applyBorder="1" applyAlignment="1">
      <alignment horizontal="center"/>
    </xf>
    <xf numFmtId="0" fontId="187" fillId="18" borderId="1" xfId="0" applyFont="1" applyFill="1" applyBorder="1" applyAlignment="1">
      <alignment horizontal="center"/>
    </xf>
    <xf numFmtId="0" fontId="0" fillId="18" borderId="0" xfId="0" applyFill="1"/>
    <xf numFmtId="0" fontId="0" fillId="18" borderId="0" xfId="0" applyFont="1" applyFill="1"/>
    <xf numFmtId="49" fontId="0" fillId="18" borderId="0" xfId="0" applyNumberFormat="1" applyFill="1" applyAlignment="1">
      <alignment vertical="top"/>
    </xf>
    <xf numFmtId="49" fontId="0" fillId="18" borderId="0" xfId="0" applyNumberFormat="1" applyFill="1" applyBorder="1" applyAlignment="1">
      <alignment vertical="top"/>
    </xf>
    <xf numFmtId="0" fontId="198" fillId="18" borderId="2" xfId="0" applyFont="1" applyFill="1" applyBorder="1" applyAlignment="1">
      <alignment horizontal="center"/>
    </xf>
    <xf numFmtId="0" fontId="175" fillId="18" borderId="6" xfId="0" applyFont="1" applyFill="1" applyBorder="1" applyAlignment="1">
      <alignment horizontal="center"/>
    </xf>
    <xf numFmtId="0" fontId="199" fillId="18" borderId="2" xfId="0" applyFont="1" applyFill="1" applyBorder="1" applyAlignment="1">
      <alignment horizontal="center"/>
    </xf>
    <xf numFmtId="0" fontId="39" fillId="18" borderId="6" xfId="0" applyFont="1" applyFill="1" applyBorder="1" applyAlignment="1">
      <alignment horizontal="center"/>
    </xf>
    <xf numFmtId="0" fontId="200" fillId="18" borderId="2" xfId="0" applyFont="1" applyFill="1" applyBorder="1" applyAlignment="1">
      <alignment horizontal="center"/>
    </xf>
    <xf numFmtId="0" fontId="206" fillId="18" borderId="6" xfId="0" applyFont="1" applyFill="1" applyBorder="1" applyAlignment="1">
      <alignment horizontal="center"/>
    </xf>
    <xf numFmtId="0" fontId="201" fillId="18" borderId="2" xfId="0" applyFont="1" applyFill="1" applyBorder="1" applyAlignment="1">
      <alignment horizontal="center"/>
    </xf>
    <xf numFmtId="0" fontId="207" fillId="18" borderId="6" xfId="0" applyFont="1" applyFill="1" applyBorder="1" applyAlignment="1">
      <alignment horizontal="center"/>
    </xf>
    <xf numFmtId="0" fontId="202" fillId="18" borderId="2" xfId="0" applyFont="1" applyFill="1" applyBorder="1" applyAlignment="1">
      <alignment horizontal="center"/>
    </xf>
    <xf numFmtId="0" fontId="181" fillId="18" borderId="6" xfId="0" applyFont="1" applyFill="1" applyBorder="1" applyAlignment="1">
      <alignment horizontal="center"/>
    </xf>
    <xf numFmtId="0" fontId="203" fillId="18" borderId="2" xfId="0" applyFont="1" applyFill="1" applyBorder="1" applyAlignment="1">
      <alignment horizontal="center"/>
    </xf>
    <xf numFmtId="0" fontId="208" fillId="18" borderId="6" xfId="0" applyFont="1" applyFill="1" applyBorder="1" applyAlignment="1">
      <alignment horizontal="center"/>
    </xf>
    <xf numFmtId="0" fontId="204" fillId="18" borderId="2" xfId="0" applyFont="1" applyFill="1" applyBorder="1" applyAlignment="1">
      <alignment horizontal="center"/>
    </xf>
    <xf numFmtId="0" fontId="185" fillId="18" borderId="6" xfId="0" applyFont="1" applyFill="1" applyBorder="1" applyAlignment="1">
      <alignment horizontal="center"/>
    </xf>
    <xf numFmtId="0" fontId="205" fillId="18" borderId="1" xfId="0" applyFont="1" applyFill="1" applyBorder="1" applyAlignment="1">
      <alignment horizontal="center"/>
    </xf>
    <xf numFmtId="0" fontId="187" fillId="18" borderId="6" xfId="0" applyFont="1" applyFill="1" applyBorder="1" applyAlignment="1">
      <alignment horizontal="center"/>
    </xf>
    <xf numFmtId="0" fontId="28" fillId="18" borderId="182" xfId="0" applyFont="1" applyFill="1" applyBorder="1" applyAlignment="1">
      <alignment horizontal="center"/>
    </xf>
    <xf numFmtId="49" fontId="0" fillId="18" borderId="88" xfId="0" applyNumberFormat="1" applyFill="1" applyBorder="1" applyAlignment="1">
      <alignment vertical="top"/>
    </xf>
    <xf numFmtId="0" fontId="0" fillId="40" borderId="15" xfId="0" applyFont="1" applyFill="1" applyBorder="1"/>
    <xf numFmtId="0" fontId="0" fillId="40" borderId="13" xfId="0" applyFont="1" applyFill="1" applyBorder="1"/>
    <xf numFmtId="49" fontId="30" fillId="40" borderId="13" xfId="0" applyNumberFormat="1" applyFont="1" applyFill="1" applyBorder="1" applyAlignment="1">
      <alignment horizontal="center" vertical="center"/>
    </xf>
    <xf numFmtId="49" fontId="1" fillId="40" borderId="13" xfId="0" applyNumberFormat="1" applyFont="1" applyFill="1" applyBorder="1" applyAlignment="1">
      <alignment horizontal="center" vertical="center"/>
    </xf>
    <xf numFmtId="0" fontId="32" fillId="40" borderId="13" xfId="0" applyFont="1" applyFill="1" applyBorder="1" applyAlignment="1">
      <alignment vertical="center" wrapText="1"/>
    </xf>
    <xf numFmtId="0" fontId="32" fillId="40" borderId="0" xfId="0" applyFont="1" applyFill="1" applyBorder="1" applyAlignment="1">
      <alignment vertical="center" wrapText="1"/>
    </xf>
    <xf numFmtId="0" fontId="73" fillId="40" borderId="0" xfId="0" applyFont="1" applyFill="1" applyBorder="1" applyAlignment="1">
      <alignment vertical="center" wrapText="1"/>
    </xf>
    <xf numFmtId="0" fontId="73" fillId="40" borderId="13" xfId="0" applyFont="1" applyFill="1" applyBorder="1" applyAlignment="1">
      <alignment vertical="center" wrapText="1"/>
    </xf>
    <xf numFmtId="0" fontId="70" fillId="40" borderId="13" xfId="0" applyFont="1" applyFill="1" applyBorder="1" applyAlignment="1">
      <alignment vertical="center" wrapText="1"/>
    </xf>
    <xf numFmtId="0" fontId="33" fillId="40" borderId="13" xfId="0" applyFont="1" applyFill="1" applyBorder="1" applyAlignment="1">
      <alignment horizontal="left" vertical="center" wrapText="1"/>
    </xf>
    <xf numFmtId="0" fontId="66" fillId="40" borderId="13" xfId="0" applyFont="1" applyFill="1" applyBorder="1" applyAlignment="1">
      <alignment vertical="center" wrapText="1"/>
    </xf>
    <xf numFmtId="0" fontId="53" fillId="40" borderId="13" xfId="0" applyFont="1" applyFill="1" applyBorder="1" applyAlignment="1">
      <alignment horizontal="left" vertical="center" wrapText="1"/>
    </xf>
    <xf numFmtId="0" fontId="71" fillId="40" borderId="13" xfId="0" applyFont="1" applyFill="1" applyBorder="1" applyAlignment="1">
      <alignment horizontal="left" vertical="center" wrapText="1"/>
    </xf>
    <xf numFmtId="0" fontId="72" fillId="40" borderId="13" xfId="0" applyFont="1" applyFill="1" applyBorder="1" applyAlignment="1">
      <alignment horizontal="left" vertical="center" wrapText="1"/>
    </xf>
    <xf numFmtId="49" fontId="30" fillId="18" borderId="0" xfId="0" applyNumberFormat="1" applyFont="1" applyFill="1" applyBorder="1" applyAlignment="1">
      <alignment horizontal="center" vertical="center"/>
    </xf>
    <xf numFmtId="49" fontId="302" fillId="40" borderId="0" xfId="0" applyNumberFormat="1" applyFont="1" applyFill="1" applyAlignment="1">
      <alignment horizontal="center" vertical="center"/>
    </xf>
    <xf numFmtId="0" fontId="88" fillId="40" borderId="0" xfId="0" applyNumberFormat="1" applyFont="1" applyFill="1" applyAlignment="1">
      <alignment horizontal="center" vertical="center"/>
    </xf>
    <xf numFmtId="49" fontId="88" fillId="40" borderId="0" xfId="0" applyNumberFormat="1" applyFont="1" applyFill="1" applyAlignment="1">
      <alignment horizontal="center" vertical="center"/>
    </xf>
    <xf numFmtId="49" fontId="1" fillId="41" borderId="0" xfId="0" applyNumberFormat="1" applyFont="1" applyFill="1" applyBorder="1" applyAlignment="1">
      <alignment horizontal="left" vertical="center"/>
    </xf>
    <xf numFmtId="49" fontId="1" fillId="41" borderId="0" xfId="0" applyNumberFormat="1" applyFont="1" applyFill="1" applyBorder="1" applyAlignment="1">
      <alignment horizontal="center" vertical="center"/>
    </xf>
    <xf numFmtId="0" fontId="294" fillId="41" borderId="146" xfId="0" applyFont="1" applyFill="1" applyBorder="1" applyAlignment="1" applyProtection="1">
      <alignment horizontal="left" vertical="center"/>
      <protection locked="0"/>
    </xf>
    <xf numFmtId="0" fontId="294" fillId="41" borderId="147" xfId="0" applyFont="1" applyFill="1" applyBorder="1" applyAlignment="1" applyProtection="1">
      <alignment horizontal="left" vertical="center"/>
      <protection locked="0"/>
    </xf>
    <xf numFmtId="0" fontId="100" fillId="41" borderId="145" xfId="0" applyFont="1" applyFill="1" applyBorder="1" applyAlignment="1" applyProtection="1">
      <alignment horizontal="left" vertical="center"/>
      <protection locked="0"/>
    </xf>
    <xf numFmtId="0" fontId="100" fillId="41" borderId="148" xfId="0" applyFont="1" applyFill="1" applyBorder="1" applyAlignment="1" applyProtection="1">
      <alignment horizontal="left" vertical="center"/>
      <protection locked="0"/>
    </xf>
    <xf numFmtId="0" fontId="224" fillId="41" borderId="148" xfId="0" applyFont="1" applyFill="1" applyBorder="1" applyAlignment="1" applyProtection="1">
      <alignment horizontal="left" vertical="center"/>
      <protection locked="0"/>
    </xf>
    <xf numFmtId="0" fontId="294" fillId="41" borderId="149" xfId="0" applyFont="1" applyFill="1" applyBorder="1" applyAlignment="1" applyProtection="1">
      <alignment horizontal="left" vertical="center"/>
      <protection locked="0"/>
    </xf>
    <xf numFmtId="0" fontId="294" fillId="41" borderId="150" xfId="0" applyFont="1" applyFill="1" applyBorder="1" applyAlignment="1" applyProtection="1">
      <alignment horizontal="left" vertical="center"/>
      <protection locked="0"/>
    </xf>
    <xf numFmtId="0" fontId="237" fillId="41" borderId="149" xfId="0" applyFont="1" applyFill="1" applyBorder="1" applyAlignment="1" applyProtection="1">
      <alignment horizontal="left" vertical="center"/>
      <protection locked="0"/>
    </xf>
    <xf numFmtId="0" fontId="237" fillId="41" borderId="150" xfId="0" applyFont="1" applyFill="1" applyBorder="1" applyAlignment="1" applyProtection="1">
      <alignment horizontal="left" vertical="center"/>
      <protection locked="0"/>
    </xf>
    <xf numFmtId="0" fontId="224" fillId="41" borderId="150" xfId="0" applyFont="1" applyFill="1" applyBorder="1" applyAlignment="1" applyProtection="1">
      <alignment horizontal="left" vertical="center"/>
      <protection locked="0"/>
    </xf>
    <xf numFmtId="0" fontId="295" fillId="41" borderId="146" xfId="0" applyFont="1" applyFill="1" applyBorder="1" applyAlignment="1" applyProtection="1">
      <alignment horizontal="left" vertical="center" wrapText="1"/>
      <protection locked="0"/>
    </xf>
    <xf numFmtId="0" fontId="295" fillId="41" borderId="147" xfId="0" applyFont="1" applyFill="1" applyBorder="1" applyAlignment="1" applyProtection="1">
      <alignment horizontal="left" vertical="center" wrapText="1"/>
      <protection locked="0"/>
    </xf>
    <xf numFmtId="0" fontId="295" fillId="41" borderId="147" xfId="0" applyFont="1" applyFill="1" applyBorder="1" applyAlignment="1" applyProtection="1">
      <alignment horizontal="left" vertical="center"/>
      <protection locked="0"/>
    </xf>
    <xf numFmtId="0" fontId="295" fillId="41" borderId="146" xfId="0" applyFont="1" applyFill="1" applyBorder="1" applyAlignment="1" applyProtection="1">
      <alignment horizontal="left" vertical="center"/>
      <protection locked="0"/>
    </xf>
    <xf numFmtId="0" fontId="296" fillId="41" borderId="146" xfId="0" applyFont="1" applyFill="1" applyBorder="1" applyAlignment="1" applyProtection="1">
      <alignment horizontal="left" vertical="center" wrapText="1"/>
      <protection locked="0"/>
    </xf>
    <xf numFmtId="0" fontId="224" fillId="41" borderId="145" xfId="0" applyFont="1" applyFill="1" applyBorder="1" applyAlignment="1" applyProtection="1">
      <alignment horizontal="left" vertical="center"/>
      <protection locked="0"/>
    </xf>
    <xf numFmtId="0" fontId="170" fillId="41" borderId="148" xfId="0" applyFont="1" applyFill="1" applyBorder="1" applyAlignment="1" applyProtection="1">
      <alignment horizontal="left" vertical="center"/>
      <protection locked="0"/>
    </xf>
    <xf numFmtId="0" fontId="252" fillId="41" borderId="149" xfId="0" applyFont="1" applyFill="1" applyBorder="1" applyAlignment="1" applyProtection="1">
      <alignment horizontal="left" vertical="center" wrapText="1"/>
      <protection locked="0"/>
    </xf>
    <xf numFmtId="0" fontId="252" fillId="41" borderId="150" xfId="0" applyFont="1" applyFill="1" applyBorder="1" applyAlignment="1" applyProtection="1">
      <alignment horizontal="left" vertical="center" wrapText="1"/>
      <protection locked="0"/>
    </xf>
    <xf numFmtId="0" fontId="296" fillId="41" borderId="147" xfId="0" applyFont="1" applyFill="1" applyBorder="1" applyAlignment="1" applyProtection="1">
      <alignment horizontal="left" vertical="center" wrapText="1"/>
      <protection locked="0"/>
    </xf>
    <xf numFmtId="0" fontId="100" fillId="41" borderId="146" xfId="0" applyFont="1" applyFill="1" applyBorder="1" applyAlignment="1" applyProtection="1">
      <alignment horizontal="left" vertical="center"/>
      <protection locked="0"/>
    </xf>
    <xf numFmtId="0" fontId="100" fillId="41" borderId="147" xfId="0" applyFont="1" applyFill="1" applyBorder="1" applyAlignment="1" applyProtection="1">
      <alignment horizontal="left" vertical="center"/>
      <protection locked="0"/>
    </xf>
    <xf numFmtId="0" fontId="224" fillId="41" borderId="147" xfId="0" applyFont="1" applyFill="1" applyBorder="1" applyAlignment="1" applyProtection="1">
      <alignment horizontal="left" vertical="center"/>
      <protection locked="0"/>
    </xf>
    <xf numFmtId="0" fontId="237" fillId="41" borderId="146" xfId="0" applyFont="1" applyFill="1" applyBorder="1" applyAlignment="1" applyProtection="1">
      <alignment horizontal="left" vertical="center" wrapText="1"/>
      <protection locked="0"/>
    </xf>
    <xf numFmtId="0" fontId="237" fillId="41" borderId="149" xfId="0" applyFont="1" applyFill="1" applyBorder="1" applyAlignment="1" applyProtection="1">
      <alignment horizontal="left" vertical="center" wrapText="1"/>
      <protection locked="0"/>
    </xf>
    <xf numFmtId="0" fontId="237" fillId="41" borderId="150" xfId="0" applyFont="1" applyFill="1" applyBorder="1" applyAlignment="1" applyProtection="1">
      <alignment horizontal="left" vertical="center" wrapText="1"/>
      <protection locked="0"/>
    </xf>
    <xf numFmtId="0" fontId="251" fillId="41" borderId="150" xfId="0" applyFont="1" applyFill="1" applyBorder="1" applyAlignment="1" applyProtection="1">
      <alignment horizontal="left" vertical="center"/>
      <protection locked="0"/>
    </xf>
    <xf numFmtId="0" fontId="252" fillId="41" borderId="150" xfId="0" applyFont="1" applyFill="1" applyBorder="1" applyAlignment="1" applyProtection="1">
      <alignment horizontal="left" vertical="center"/>
      <protection locked="0"/>
    </xf>
    <xf numFmtId="0" fontId="297" fillId="41" borderId="146" xfId="0" applyFont="1" applyFill="1" applyBorder="1" applyAlignment="1" applyProtection="1">
      <alignment horizontal="left" vertical="center" wrapText="1"/>
      <protection locked="0"/>
    </xf>
    <xf numFmtId="0" fontId="297" fillId="41" borderId="147" xfId="0" applyFont="1" applyFill="1" applyBorder="1" applyAlignment="1" applyProtection="1">
      <alignment horizontal="left" vertical="center" wrapText="1"/>
      <protection locked="0"/>
    </xf>
    <xf numFmtId="0" fontId="295" fillId="41" borderId="145" xfId="0" applyFont="1" applyFill="1" applyBorder="1" applyAlignment="1" applyProtection="1">
      <alignment horizontal="left" vertical="center"/>
      <protection locked="0"/>
    </xf>
    <xf numFmtId="0" fontId="295" fillId="41" borderId="148" xfId="0" applyFont="1" applyFill="1" applyBorder="1" applyAlignment="1" applyProtection="1">
      <alignment horizontal="left" vertical="center"/>
      <protection locked="0"/>
    </xf>
    <xf numFmtId="0" fontId="224" fillId="41" borderId="149" xfId="0" applyFont="1" applyFill="1" applyBorder="1" applyAlignment="1" applyProtection="1">
      <alignment horizontal="left" vertical="center"/>
      <protection locked="0"/>
    </xf>
    <xf numFmtId="0" fontId="252" fillId="41" borderId="150" xfId="0" quotePrefix="1" applyFont="1" applyFill="1" applyBorder="1" applyAlignment="1" applyProtection="1">
      <alignment horizontal="left" vertical="center"/>
      <protection locked="0"/>
    </xf>
    <xf numFmtId="0" fontId="224" fillId="41" borderId="146" xfId="0" applyFont="1" applyFill="1" applyBorder="1" applyAlignment="1" applyProtection="1">
      <alignment horizontal="left" vertical="center"/>
      <protection locked="0"/>
    </xf>
    <xf numFmtId="0" fontId="170" fillId="41" borderId="150" xfId="0" applyFont="1" applyFill="1" applyBorder="1" applyAlignment="1" applyProtection="1">
      <alignment horizontal="left" vertical="center"/>
      <protection locked="0"/>
    </xf>
    <xf numFmtId="0" fontId="170" fillId="41" borderId="147" xfId="0" applyFont="1" applyFill="1" applyBorder="1" applyAlignment="1" applyProtection="1">
      <alignment horizontal="left" vertical="center"/>
      <protection locked="0"/>
    </xf>
    <xf numFmtId="0" fontId="298" fillId="41" borderId="147" xfId="0" applyFont="1" applyFill="1" applyBorder="1" applyAlignment="1" applyProtection="1">
      <alignment horizontal="left" vertical="center"/>
      <protection locked="0"/>
    </xf>
    <xf numFmtId="0" fontId="100" fillId="41" borderId="147" xfId="0" applyFont="1" applyFill="1" applyBorder="1" applyAlignment="1" applyProtection="1">
      <alignment horizontal="left" vertical="center" wrapText="1"/>
      <protection locked="0"/>
    </xf>
    <xf numFmtId="0" fontId="237" fillId="41" borderId="146" xfId="0" applyFont="1" applyFill="1" applyBorder="1" applyAlignment="1" applyProtection="1">
      <alignment horizontal="left" vertical="center"/>
      <protection locked="0"/>
    </xf>
    <xf numFmtId="0" fontId="237" fillId="41" borderId="147" xfId="0" applyFont="1" applyFill="1" applyBorder="1" applyAlignment="1" applyProtection="1">
      <alignment horizontal="left" vertical="center"/>
      <protection locked="0"/>
    </xf>
    <xf numFmtId="0" fontId="100" fillId="41" borderId="146" xfId="0" applyFont="1" applyFill="1" applyBorder="1" applyAlignment="1" applyProtection="1">
      <alignment horizontal="left" vertical="center" wrapText="1"/>
      <protection locked="0"/>
    </xf>
    <xf numFmtId="0" fontId="28" fillId="41" borderId="146" xfId="0" applyFont="1" applyFill="1" applyBorder="1" applyAlignment="1" applyProtection="1">
      <alignment horizontal="left" vertical="center" wrapText="1"/>
      <protection locked="0"/>
    </xf>
    <xf numFmtId="0" fontId="28" fillId="41" borderId="147" xfId="0" applyFont="1" applyFill="1" applyBorder="1" applyAlignment="1" applyProtection="1">
      <alignment horizontal="left" vertical="center" wrapText="1"/>
      <protection locked="0"/>
    </xf>
    <xf numFmtId="0" fontId="72" fillId="41" borderId="147" xfId="0" applyFont="1" applyFill="1" applyBorder="1" applyAlignment="1" applyProtection="1">
      <alignment horizontal="left" vertical="center"/>
      <protection locked="0"/>
    </xf>
    <xf numFmtId="0" fontId="0" fillId="42" borderId="10" xfId="0" applyFill="1" applyBorder="1" applyAlignment="1">
      <alignment vertical="center"/>
    </xf>
    <xf numFmtId="0" fontId="0" fillId="42" borderId="8" xfId="0" applyFill="1" applyBorder="1" applyAlignment="1">
      <alignment vertical="center"/>
    </xf>
    <xf numFmtId="0" fontId="0" fillId="42" borderId="0" xfId="0" applyFill="1" applyAlignment="1">
      <alignment vertical="center"/>
    </xf>
    <xf numFmtId="0" fontId="11" fillId="42" borderId="0" xfId="0" applyFont="1" applyFill="1" applyAlignment="1">
      <alignment vertical="center"/>
    </xf>
    <xf numFmtId="0" fontId="55" fillId="42" borderId="0" xfId="0" applyFont="1" applyFill="1" applyAlignment="1">
      <alignment vertical="center"/>
    </xf>
    <xf numFmtId="0" fontId="117" fillId="42" borderId="0" xfId="0" applyFont="1" applyFill="1" applyAlignment="1">
      <alignment vertical="center"/>
    </xf>
    <xf numFmtId="0" fontId="15" fillId="42" borderId="0" xfId="0" applyFont="1" applyFill="1" applyAlignment="1">
      <alignment vertical="center"/>
    </xf>
    <xf numFmtId="0" fontId="162" fillId="42" borderId="0" xfId="0" applyFont="1" applyFill="1" applyAlignment="1">
      <alignment vertical="center" wrapText="1"/>
    </xf>
    <xf numFmtId="0" fontId="6" fillId="42" borderId="0" xfId="0" applyFont="1" applyFill="1" applyAlignment="1">
      <alignment vertical="center"/>
    </xf>
    <xf numFmtId="0" fontId="3" fillId="42" borderId="0" xfId="0" applyFont="1" applyFill="1" applyAlignment="1">
      <alignment vertical="center"/>
    </xf>
    <xf numFmtId="0" fontId="78" fillId="42" borderId="0" xfId="0" applyFont="1" applyFill="1" applyAlignment="1">
      <alignment vertical="center"/>
    </xf>
    <xf numFmtId="0" fontId="0" fillId="42" borderId="0" xfId="0" applyFill="1" applyAlignment="1">
      <alignment vertical="top"/>
    </xf>
    <xf numFmtId="0" fontId="0" fillId="42" borderId="0" xfId="0" applyFill="1"/>
    <xf numFmtId="0" fontId="0" fillId="42" borderId="0" xfId="0" applyFill="1" applyBorder="1"/>
    <xf numFmtId="0" fontId="0" fillId="42" borderId="13" xfId="0" applyFill="1" applyBorder="1"/>
    <xf numFmtId="0" fontId="98" fillId="42" borderId="0" xfId="0" applyFont="1" applyFill="1"/>
    <xf numFmtId="165" fontId="5" fillId="42" borderId="0" xfId="0" applyNumberFormat="1" applyFont="1" applyFill="1"/>
    <xf numFmtId="165" fontId="90" fillId="42" borderId="0" xfId="0" applyNumberFormat="1" applyFont="1" applyFill="1"/>
    <xf numFmtId="0" fontId="0" fillId="42" borderId="19" xfId="0" applyFill="1" applyBorder="1" applyAlignment="1">
      <alignment horizontal="center"/>
    </xf>
    <xf numFmtId="14" fontId="79" fillId="42" borderId="0" xfId="0" applyNumberFormat="1" applyFont="1" applyFill="1"/>
    <xf numFmtId="0" fontId="0" fillId="42" borderId="53" xfId="0" applyFill="1" applyBorder="1" applyAlignment="1">
      <alignment horizontal="center"/>
    </xf>
    <xf numFmtId="0" fontId="0" fillId="42" borderId="21" xfId="0" applyFill="1" applyBorder="1" applyAlignment="1">
      <alignment horizontal="center"/>
    </xf>
    <xf numFmtId="0" fontId="95" fillId="42" borderId="21" xfId="0" applyFont="1" applyFill="1" applyBorder="1" applyAlignment="1">
      <alignment horizontal="center"/>
    </xf>
    <xf numFmtId="0" fontId="0" fillId="42" borderId="20" xfId="0" applyFill="1" applyBorder="1" applyAlignment="1">
      <alignment horizontal="center"/>
    </xf>
    <xf numFmtId="0" fontId="0" fillId="42" borderId="101" xfId="0" applyFill="1" applyBorder="1" applyAlignment="1">
      <alignment horizontal="center"/>
    </xf>
    <xf numFmtId="14" fontId="79" fillId="42" borderId="0" xfId="0" applyNumberFormat="1" applyFont="1" applyFill="1" applyAlignment="1">
      <alignment vertical="center"/>
    </xf>
    <xf numFmtId="0" fontId="6" fillId="42" borderId="21" xfId="0" applyFont="1" applyFill="1" applyBorder="1" applyAlignment="1">
      <alignment horizontal="center"/>
    </xf>
    <xf numFmtId="0" fontId="115" fillId="42" borderId="53" xfId="0" applyFont="1" applyFill="1" applyBorder="1" applyAlignment="1">
      <alignment horizontal="center" vertical="center"/>
    </xf>
    <xf numFmtId="0" fontId="80" fillId="42" borderId="53" xfId="0" applyFont="1" applyFill="1" applyBorder="1" applyAlignment="1">
      <alignment horizontal="center" vertical="center"/>
    </xf>
    <xf numFmtId="0" fontId="80" fillId="42" borderId="21" xfId="0" applyFont="1" applyFill="1" applyBorder="1" applyAlignment="1">
      <alignment horizontal="center" vertical="center"/>
    </xf>
    <xf numFmtId="165" fontId="134" fillId="42" borderId="0" xfId="0" applyNumberFormat="1" applyFont="1" applyFill="1"/>
    <xf numFmtId="0" fontId="90" fillId="42" borderId="0" xfId="0" applyFont="1" applyFill="1"/>
    <xf numFmtId="0" fontId="80" fillId="42" borderId="20" xfId="0" applyFont="1" applyFill="1" applyBorder="1" applyAlignment="1">
      <alignment horizontal="center" vertical="center"/>
    </xf>
    <xf numFmtId="165" fontId="90" fillId="42" borderId="0" xfId="0" applyNumberFormat="1" applyFont="1" applyFill="1" applyAlignment="1">
      <alignment vertical="top"/>
    </xf>
    <xf numFmtId="0" fontId="2" fillId="42" borderId="0" xfId="0" applyFont="1" applyFill="1" applyAlignment="1">
      <alignment horizontal="center"/>
    </xf>
    <xf numFmtId="0" fontId="43" fillId="42" borderId="0" xfId="0" applyFont="1" applyFill="1"/>
    <xf numFmtId="0" fontId="38" fillId="42" borderId="0" xfId="0" applyFont="1" applyFill="1"/>
    <xf numFmtId="0" fontId="115" fillId="42" borderId="65" xfId="0" applyFont="1" applyFill="1" applyBorder="1" applyAlignment="1">
      <alignment horizontal="center" vertical="center" wrapText="1"/>
    </xf>
    <xf numFmtId="0" fontId="81" fillId="42" borderId="53" xfId="0" applyFont="1" applyFill="1" applyBorder="1" applyAlignment="1">
      <alignment horizontal="center" vertical="center"/>
    </xf>
    <xf numFmtId="0" fontId="156" fillId="42" borderId="53" xfId="0" quotePrefix="1" applyFont="1" applyFill="1" applyBorder="1" applyAlignment="1">
      <alignment horizontal="center" vertical="center"/>
    </xf>
    <xf numFmtId="14" fontId="90" fillId="42" borderId="0" xfId="0" applyNumberFormat="1" applyFont="1" applyFill="1" applyAlignment="1">
      <alignment horizontal="left"/>
    </xf>
    <xf numFmtId="0" fontId="25" fillId="42" borderId="1" xfId="0" applyFont="1" applyFill="1" applyBorder="1" applyAlignment="1">
      <alignment horizontal="center"/>
    </xf>
    <xf numFmtId="0" fontId="155" fillId="42" borderId="53" xfId="0" applyFont="1" applyFill="1" applyBorder="1" applyAlignment="1">
      <alignment horizontal="center" vertical="center"/>
    </xf>
    <xf numFmtId="0" fontId="155" fillId="42" borderId="21" xfId="0" applyFont="1" applyFill="1" applyBorder="1" applyAlignment="1">
      <alignment horizontal="center" vertical="center"/>
    </xf>
    <xf numFmtId="0" fontId="138" fillId="42" borderId="99" xfId="0" quotePrefix="1" applyFont="1" applyFill="1" applyBorder="1" applyAlignment="1">
      <alignment horizontal="center" vertical="center"/>
    </xf>
    <xf numFmtId="0" fontId="138" fillId="42" borderId="99" xfId="0" applyFont="1" applyFill="1" applyBorder="1" applyAlignment="1">
      <alignment horizontal="center" vertical="center"/>
    </xf>
    <xf numFmtId="0" fontId="80" fillId="42" borderId="56" xfId="0" applyFont="1" applyFill="1" applyBorder="1" applyAlignment="1">
      <alignment horizontal="center" vertical="center"/>
    </xf>
    <xf numFmtId="0" fontId="80" fillId="42" borderId="0" xfId="0" applyFont="1" applyFill="1" applyBorder="1" applyAlignment="1">
      <alignment horizontal="center" vertical="center"/>
    </xf>
    <xf numFmtId="0" fontId="67" fillId="6" borderId="52" xfId="0" applyFont="1" applyFill="1" applyBorder="1" applyAlignment="1">
      <alignment horizontal="center" vertical="center" wrapText="1"/>
    </xf>
    <xf numFmtId="0" fontId="1" fillId="6" borderId="0" xfId="0" applyFont="1" applyFill="1" applyAlignment="1">
      <alignment horizontal="center"/>
    </xf>
    <xf numFmtId="0" fontId="299" fillId="6" borderId="0" xfId="0" applyFont="1" applyFill="1" applyBorder="1" applyAlignment="1">
      <alignment horizontal="center" vertical="center"/>
    </xf>
    <xf numFmtId="0" fontId="0" fillId="18" borderId="8" xfId="0" applyFill="1" applyBorder="1"/>
    <xf numFmtId="0" fontId="45" fillId="18" borderId="0" xfId="0" applyFont="1" applyFill="1" applyBorder="1"/>
    <xf numFmtId="0" fontId="22" fillId="18" borderId="0" xfId="0" applyFont="1" applyFill="1" applyBorder="1"/>
    <xf numFmtId="14" fontId="25" fillId="18" borderId="13" xfId="0" applyNumberFormat="1" applyFont="1" applyFill="1" applyBorder="1"/>
    <xf numFmtId="0" fontId="0" fillId="18" borderId="7" xfId="0" applyFill="1" applyBorder="1"/>
    <xf numFmtId="0" fontId="77" fillId="18" borderId="9" xfId="0" applyFont="1" applyFill="1" applyBorder="1" applyAlignment="1"/>
    <xf numFmtId="0" fontId="77" fillId="18" borderId="9" xfId="0" applyFont="1" applyFill="1" applyBorder="1" applyAlignment="1">
      <alignment wrapText="1"/>
    </xf>
    <xf numFmtId="0" fontId="77" fillId="18" borderId="14" xfId="0" applyFont="1" applyFill="1" applyBorder="1" applyAlignment="1">
      <alignment horizontal="left" wrapText="1" indent="12"/>
    </xf>
    <xf numFmtId="0" fontId="0" fillId="42" borderId="0" xfId="0" applyFill="1" applyAlignment="1">
      <alignment horizontal="center"/>
    </xf>
    <xf numFmtId="0" fontId="36" fillId="42" borderId="0" xfId="0" applyFont="1" applyFill="1" applyBorder="1" applyAlignment="1">
      <alignment vertical="top"/>
    </xf>
    <xf numFmtId="0" fontId="0" fillId="42" borderId="0" xfId="0" applyFont="1" applyFill="1"/>
    <xf numFmtId="0" fontId="0" fillId="42" borderId="37" xfId="0" applyFill="1" applyBorder="1"/>
    <xf numFmtId="0" fontId="0" fillId="42" borderId="38" xfId="0" applyFill="1" applyBorder="1" applyAlignment="1">
      <alignment horizontal="center" vertical="center"/>
    </xf>
    <xf numFmtId="0" fontId="1" fillId="42" borderId="39" xfId="0" applyFont="1" applyFill="1" applyBorder="1" applyAlignment="1"/>
    <xf numFmtId="0" fontId="1" fillId="42" borderId="40" xfId="0" applyFont="1" applyFill="1" applyBorder="1" applyAlignment="1"/>
    <xf numFmtId="49" fontId="46" fillId="42" borderId="40" xfId="0" applyNumberFormat="1" applyFont="1" applyFill="1" applyBorder="1" applyAlignment="1">
      <alignment vertical="top"/>
    </xf>
    <xf numFmtId="0" fontId="114" fillId="42" borderId="41" xfId="0" applyFont="1" applyFill="1" applyBorder="1" applyAlignment="1">
      <alignment vertical="top" wrapText="1"/>
    </xf>
    <xf numFmtId="0" fontId="61" fillId="42" borderId="0" xfId="0" applyFont="1" applyFill="1" applyBorder="1" applyAlignment="1">
      <alignment vertical="top" wrapText="1"/>
    </xf>
    <xf numFmtId="0" fontId="55" fillId="42" borderId="0" xfId="0" applyFont="1" applyFill="1"/>
    <xf numFmtId="0" fontId="0" fillId="42" borderId="13" xfId="0" applyFill="1" applyBorder="1" applyAlignment="1">
      <alignment horizontal="center"/>
    </xf>
    <xf numFmtId="0" fontId="0" fillId="42" borderId="42" xfId="0" applyFill="1" applyBorder="1"/>
    <xf numFmtId="0" fontId="0" fillId="42" borderId="0" xfId="0" applyFill="1" applyBorder="1" applyAlignment="1"/>
    <xf numFmtId="0" fontId="0" fillId="42" borderId="26" xfId="0" applyFill="1" applyBorder="1" applyAlignment="1">
      <alignment horizontal="center" vertical="center"/>
    </xf>
    <xf numFmtId="0" fontId="0" fillId="42" borderId="27" xfId="0" applyFill="1" applyBorder="1" applyAlignment="1"/>
    <xf numFmtId="49" fontId="47" fillId="42" borderId="28" xfId="0" applyNumberFormat="1" applyFont="1" applyFill="1" applyBorder="1" applyAlignment="1">
      <alignment vertical="top"/>
    </xf>
    <xf numFmtId="0" fontId="48" fillId="42" borderId="43" xfId="0" applyFont="1" applyFill="1" applyBorder="1" applyAlignment="1">
      <alignment horizontal="left" vertical="top" wrapText="1" indent="2"/>
    </xf>
    <xf numFmtId="0" fontId="48" fillId="42" borderId="0" xfId="0" applyFont="1" applyFill="1" applyBorder="1" applyAlignment="1">
      <alignment horizontal="left" vertical="top" wrapText="1" indent="2"/>
    </xf>
    <xf numFmtId="0" fontId="55" fillId="42" borderId="8" xfId="0" applyFont="1" applyFill="1" applyBorder="1"/>
    <xf numFmtId="0" fontId="0" fillId="42" borderId="0" xfId="0" applyFont="1" applyFill="1" applyBorder="1"/>
    <xf numFmtId="0" fontId="0" fillId="42" borderId="44" xfId="0" applyFill="1" applyBorder="1"/>
    <xf numFmtId="0" fontId="0" fillId="42" borderId="45" xfId="0" applyFill="1" applyBorder="1" applyAlignment="1"/>
    <xf numFmtId="0" fontId="0" fillId="42" borderId="46" xfId="0" applyFill="1" applyBorder="1" applyAlignment="1">
      <alignment horizontal="center" vertical="center"/>
    </xf>
    <xf numFmtId="49" fontId="0" fillId="42" borderId="47" xfId="0" applyNumberFormat="1" applyFill="1" applyBorder="1" applyAlignment="1">
      <alignment vertical="top"/>
    </xf>
    <xf numFmtId="0" fontId="50" fillId="42" borderId="48" xfId="0" applyFont="1" applyFill="1" applyBorder="1" applyAlignment="1">
      <alignment horizontal="left" vertical="top" wrapText="1" indent="4"/>
    </xf>
    <xf numFmtId="0" fontId="50" fillId="42" borderId="0" xfId="0" applyFont="1" applyFill="1" applyBorder="1" applyAlignment="1">
      <alignment horizontal="left" vertical="top" wrapText="1" indent="4"/>
    </xf>
    <xf numFmtId="0" fontId="0" fillId="42" borderId="8" xfId="0" applyFont="1" applyFill="1" applyBorder="1"/>
    <xf numFmtId="0" fontId="2" fillId="42" borderId="0" xfId="0" applyFont="1" applyFill="1" applyAlignment="1"/>
    <xf numFmtId="49" fontId="2" fillId="42" borderId="0" xfId="0" applyNumberFormat="1" applyFont="1" applyFill="1" applyAlignment="1">
      <alignment vertical="top"/>
    </xf>
    <xf numFmtId="0" fontId="2" fillId="42" borderId="0" xfId="0" applyFont="1" applyFill="1"/>
    <xf numFmtId="0" fontId="0" fillId="42" borderId="1" xfId="0" applyFill="1" applyBorder="1" applyAlignment="1"/>
    <xf numFmtId="0" fontId="51" fillId="42" borderId="0" xfId="0" applyFont="1" applyFill="1" applyAlignment="1"/>
    <xf numFmtId="0" fontId="0" fillId="42" borderId="0" xfId="0" applyFill="1" applyAlignment="1"/>
    <xf numFmtId="49" fontId="0" fillId="42" borderId="0" xfId="0" applyNumberFormat="1" applyFill="1" applyAlignment="1">
      <alignment vertical="top"/>
    </xf>
    <xf numFmtId="0" fontId="28" fillId="42" borderId="1" xfId="0" applyFont="1" applyFill="1" applyBorder="1" applyAlignment="1">
      <alignment horizontal="center"/>
    </xf>
    <xf numFmtId="0" fontId="0" fillId="42" borderId="14" xfId="0" applyFill="1" applyBorder="1" applyAlignment="1">
      <alignment horizontal="center"/>
    </xf>
    <xf numFmtId="0" fontId="0" fillId="42" borderId="7" xfId="0" applyFont="1" applyFill="1" applyBorder="1"/>
    <xf numFmtId="0" fontId="0" fillId="42" borderId="9" xfId="0" applyFont="1" applyFill="1" applyBorder="1"/>
    <xf numFmtId="0" fontId="0" fillId="42" borderId="15" xfId="0" applyFill="1" applyBorder="1" applyAlignment="1">
      <alignment horizontal="center"/>
    </xf>
    <xf numFmtId="0" fontId="0" fillId="42" borderId="11" xfId="0" applyFill="1" applyBorder="1"/>
    <xf numFmtId="0" fontId="0" fillId="42" borderId="11" xfId="0" applyFill="1" applyBorder="1" applyAlignment="1"/>
    <xf numFmtId="49" fontId="0" fillId="42" borderId="11" xfId="0" applyNumberFormat="1" applyFill="1" applyBorder="1" applyAlignment="1">
      <alignment vertical="top"/>
    </xf>
    <xf numFmtId="0" fontId="0" fillId="42" borderId="11" xfId="0" applyFont="1" applyFill="1" applyBorder="1"/>
    <xf numFmtId="0" fontId="0" fillId="42" borderId="15" xfId="0" applyFont="1" applyFill="1" applyBorder="1"/>
    <xf numFmtId="0" fontId="38" fillId="42" borderId="0" xfId="0" applyFont="1" applyFill="1" applyAlignment="1">
      <alignment vertical="center"/>
    </xf>
    <xf numFmtId="0" fontId="126" fillId="42" borderId="0" xfId="0" applyFont="1" applyFill="1" applyAlignment="1">
      <alignment vertical="center"/>
    </xf>
    <xf numFmtId="0" fontId="38" fillId="42" borderId="0" xfId="0" quotePrefix="1" applyFont="1" applyFill="1" applyAlignment="1">
      <alignment vertical="center"/>
    </xf>
    <xf numFmtId="0" fontId="52" fillId="42" borderId="0" xfId="0" applyFont="1" applyFill="1" applyAlignment="1">
      <alignment horizontal="centerContinuous" vertical="center"/>
    </xf>
    <xf numFmtId="0" fontId="0" fillId="42" borderId="0" xfId="0" applyFont="1" applyFill="1" applyAlignment="1">
      <alignment horizontal="centerContinuous"/>
    </xf>
    <xf numFmtId="0" fontId="99" fillId="42" borderId="0" xfId="0" applyFont="1" applyFill="1" applyAlignment="1">
      <alignment vertical="center"/>
    </xf>
    <xf numFmtId="0" fontId="0" fillId="42" borderId="0" xfId="0" applyFont="1" applyFill="1" applyAlignment="1">
      <alignment vertical="center"/>
    </xf>
    <xf numFmtId="0" fontId="36" fillId="42" borderId="0" xfId="0" applyFont="1" applyFill="1" applyAlignment="1">
      <alignment vertical="center"/>
    </xf>
    <xf numFmtId="0" fontId="56" fillId="42" borderId="0" xfId="0" applyFont="1" applyFill="1" applyAlignment="1">
      <alignment vertical="center"/>
    </xf>
    <xf numFmtId="0" fontId="37" fillId="42" borderId="0" xfId="0" applyFont="1" applyFill="1" applyAlignment="1">
      <alignment horizontal="left" vertical="center" indent="1"/>
    </xf>
    <xf numFmtId="0" fontId="54" fillId="42" borderId="0" xfId="0" applyFont="1" applyFill="1" applyAlignment="1">
      <alignment horizontal="left" vertical="center" indent="1"/>
    </xf>
    <xf numFmtId="0" fontId="39" fillId="42" borderId="0" xfId="0" applyFont="1" applyFill="1" applyAlignment="1">
      <alignment horizontal="left" vertical="center" indent="3"/>
    </xf>
    <xf numFmtId="0" fontId="95" fillId="42" borderId="0" xfId="0" applyFont="1" applyFill="1" applyAlignment="1">
      <alignment horizontal="left" vertical="center" indent="2"/>
    </xf>
    <xf numFmtId="0" fontId="43" fillId="42" borderId="0" xfId="0" applyFont="1" applyFill="1" applyAlignment="1">
      <alignment horizontal="left" vertical="center" indent="1"/>
    </xf>
    <xf numFmtId="0" fontId="98" fillId="42" borderId="0" xfId="0" applyFont="1" applyFill="1" applyAlignment="1">
      <alignment horizontal="left" vertical="center" indent="1"/>
    </xf>
    <xf numFmtId="0" fontId="39" fillId="42" borderId="0" xfId="0" applyFont="1" applyFill="1" applyAlignment="1">
      <alignment horizontal="left" vertical="center" indent="2"/>
    </xf>
    <xf numFmtId="0" fontId="0" fillId="42" borderId="10" xfId="0" applyFont="1" applyFill="1" applyBorder="1"/>
    <xf numFmtId="0" fontId="0" fillId="42" borderId="8" xfId="0" applyFill="1" applyBorder="1"/>
    <xf numFmtId="0" fontId="144" fillId="42" borderId="0" xfId="0" applyFont="1" applyFill="1" applyBorder="1" applyAlignment="1" applyProtection="1">
      <alignment horizontal="center"/>
      <protection locked="0"/>
    </xf>
    <xf numFmtId="0" fontId="44" fillId="42" borderId="0" xfId="0" applyFont="1" applyFill="1" applyBorder="1" applyAlignment="1">
      <alignment horizontal="center" vertical="center"/>
    </xf>
    <xf numFmtId="0" fontId="1" fillId="42" borderId="0" xfId="0" applyFont="1" applyFill="1" applyBorder="1" applyAlignment="1">
      <alignment vertical="center"/>
    </xf>
    <xf numFmtId="0" fontId="1" fillId="42" borderId="0" xfId="0" applyFont="1" applyFill="1" applyBorder="1" applyAlignment="1"/>
    <xf numFmtId="49" fontId="23" fillId="42" borderId="0" xfId="0" applyNumberFormat="1" applyFont="1" applyFill="1" applyBorder="1" applyAlignment="1">
      <alignment vertical="top"/>
    </xf>
    <xf numFmtId="0" fontId="75" fillId="42" borderId="0" xfId="0" applyFont="1" applyFill="1" applyBorder="1" applyAlignment="1">
      <alignment vertical="top" wrapText="1"/>
    </xf>
    <xf numFmtId="0" fontId="23" fillId="42" borderId="13" xfId="0" applyFont="1" applyFill="1" applyBorder="1" applyAlignment="1">
      <alignment vertical="top" wrapText="1"/>
    </xf>
    <xf numFmtId="0" fontId="125" fillId="42" borderId="0" xfId="0" applyFont="1" applyFill="1" applyBorder="1" applyAlignment="1">
      <alignment horizontal="center" vertical="center" wrapText="1"/>
    </xf>
    <xf numFmtId="0" fontId="95" fillId="42" borderId="0" xfId="0" applyFont="1" applyFill="1" applyAlignment="1">
      <alignment horizontal="right" vertical="center"/>
    </xf>
    <xf numFmtId="0" fontId="28" fillId="42" borderId="13" xfId="0" applyFont="1" applyFill="1" applyBorder="1" applyAlignment="1">
      <alignment horizontal="left" vertical="center" wrapText="1"/>
    </xf>
    <xf numFmtId="0" fontId="123" fillId="42" borderId="0" xfId="0" applyFont="1" applyFill="1" applyBorder="1" applyAlignment="1">
      <alignment horizontal="center" vertical="center" wrapText="1"/>
    </xf>
    <xf numFmtId="0" fontId="0" fillId="42" borderId="7" xfId="0" applyFill="1" applyBorder="1"/>
    <xf numFmtId="0" fontId="0" fillId="42" borderId="14" xfId="0" applyFont="1" applyFill="1" applyBorder="1"/>
    <xf numFmtId="0" fontId="0" fillId="42" borderId="0" xfId="0" applyFill="1" applyAlignment="1">
      <alignment horizontal="center" vertical="center"/>
    </xf>
    <xf numFmtId="0" fontId="12" fillId="42" borderId="0" xfId="0" applyFont="1" applyFill="1" applyAlignment="1">
      <alignment horizontal="center" vertical="center"/>
    </xf>
    <xf numFmtId="0" fontId="95" fillId="42" borderId="0" xfId="0" applyFont="1" applyFill="1" applyAlignment="1">
      <alignment horizontal="center" vertical="center"/>
    </xf>
    <xf numFmtId="0" fontId="12" fillId="42" borderId="0" xfId="0" applyFont="1" applyFill="1" applyAlignment="1">
      <alignment vertical="center"/>
    </xf>
    <xf numFmtId="0" fontId="0" fillId="42" borderId="11" xfId="0" applyFont="1" applyFill="1" applyBorder="1" applyAlignment="1">
      <alignment vertical="center"/>
    </xf>
    <xf numFmtId="0" fontId="18" fillId="42" borderId="0" xfId="1" applyFill="1"/>
    <xf numFmtId="0" fontId="95" fillId="42" borderId="0" xfId="0" applyFont="1" applyFill="1"/>
    <xf numFmtId="0" fontId="0" fillId="42" borderId="15" xfId="0" applyFill="1" applyBorder="1" applyAlignment="1">
      <alignment horizontal="center" vertical="center"/>
    </xf>
    <xf numFmtId="0" fontId="0" fillId="42" borderId="0" xfId="0" applyFill="1" applyBorder="1" applyAlignment="1">
      <alignment vertical="center"/>
    </xf>
    <xf numFmtId="49" fontId="0" fillId="42" borderId="0" xfId="0" applyNumberFormat="1" applyFill="1" applyAlignment="1">
      <alignment vertical="center"/>
    </xf>
    <xf numFmtId="0" fontId="32" fillId="42" borderId="0" xfId="0" applyFont="1" applyFill="1" applyBorder="1" applyAlignment="1">
      <alignment vertical="center" wrapText="1"/>
    </xf>
    <xf numFmtId="165" fontId="79" fillId="42" borderId="0" xfId="0" applyNumberFormat="1" applyFont="1" applyFill="1" applyAlignment="1">
      <alignment vertical="center"/>
    </xf>
    <xf numFmtId="0" fontId="124" fillId="42" borderId="0" xfId="0" applyFont="1" applyFill="1" applyBorder="1" applyAlignment="1">
      <alignment horizontal="center" vertical="center" wrapText="1"/>
    </xf>
    <xf numFmtId="0" fontId="0" fillId="42" borderId="0" xfId="0" applyFill="1" applyBorder="1" applyAlignment="1">
      <alignment horizontal="center" vertical="center"/>
    </xf>
    <xf numFmtId="0" fontId="36" fillId="18" borderId="0" xfId="0" applyFont="1" applyFill="1" applyBorder="1"/>
    <xf numFmtId="0" fontId="0" fillId="18" borderId="37" xfId="0" applyFill="1" applyBorder="1"/>
    <xf numFmtId="0" fontId="0" fillId="18" borderId="38" xfId="0" applyFill="1" applyBorder="1" applyAlignment="1">
      <alignment horizontal="center" vertical="center"/>
    </xf>
    <xf numFmtId="0" fontId="1" fillId="18" borderId="39" xfId="0" applyFont="1" applyFill="1" applyBorder="1" applyAlignment="1"/>
    <xf numFmtId="0" fontId="0" fillId="18" borderId="42" xfId="0" applyFill="1" applyBorder="1"/>
    <xf numFmtId="0" fontId="0" fillId="18" borderId="0" xfId="0" applyFill="1" applyBorder="1" applyAlignment="1"/>
    <xf numFmtId="0" fontId="0" fillId="18" borderId="26" xfId="0" applyFill="1" applyBorder="1" applyAlignment="1">
      <alignment horizontal="center" vertical="center"/>
    </xf>
    <xf numFmtId="0" fontId="0" fillId="18" borderId="27" xfId="0" applyFill="1" applyBorder="1" applyAlignment="1"/>
    <xf numFmtId="49" fontId="47" fillId="18" borderId="28" xfId="0" applyNumberFormat="1" applyFont="1" applyFill="1" applyBorder="1" applyAlignment="1">
      <alignment vertical="top"/>
    </xf>
    <xf numFmtId="0" fontId="48" fillId="18" borderId="43" xfId="0" applyFont="1" applyFill="1" applyBorder="1" applyAlignment="1">
      <alignment horizontal="left" vertical="top" wrapText="1" indent="2"/>
    </xf>
    <xf numFmtId="0" fontId="0" fillId="18" borderId="44" xfId="0" applyFill="1" applyBorder="1"/>
    <xf numFmtId="0" fontId="0" fillId="18" borderId="45" xfId="0" applyFill="1" applyBorder="1" applyAlignment="1"/>
    <xf numFmtId="0" fontId="0" fillId="18" borderId="46" xfId="0" applyFill="1" applyBorder="1" applyAlignment="1">
      <alignment horizontal="center" vertical="center"/>
    </xf>
    <xf numFmtId="49" fontId="0" fillId="18" borderId="47" xfId="0" applyNumberFormat="1" applyFill="1" applyBorder="1" applyAlignment="1">
      <alignment vertical="top"/>
    </xf>
    <xf numFmtId="0" fontId="50" fillId="18" borderId="48" xfId="0" applyFont="1" applyFill="1" applyBorder="1" applyAlignment="1">
      <alignment horizontal="left" vertical="top" wrapText="1" indent="4"/>
    </xf>
    <xf numFmtId="0" fontId="2" fillId="18" borderId="0" xfId="0" applyFont="1" applyFill="1" applyAlignment="1"/>
    <xf numFmtId="49" fontId="2" fillId="18" borderId="0" xfId="0" applyNumberFormat="1" applyFont="1" applyFill="1" applyAlignment="1">
      <alignment vertical="top"/>
    </xf>
    <xf numFmtId="0" fontId="0" fillId="18" borderId="1" xfId="0" applyFill="1" applyBorder="1" applyAlignment="1"/>
    <xf numFmtId="0" fontId="51" fillId="18" borderId="0" xfId="0" applyFont="1" applyFill="1" applyAlignment="1"/>
    <xf numFmtId="0" fontId="0" fillId="18" borderId="0" xfId="0" applyFill="1" applyAlignment="1"/>
    <xf numFmtId="0" fontId="0" fillId="18" borderId="0" xfId="0" applyFont="1" applyFill="1" applyBorder="1"/>
    <xf numFmtId="0" fontId="126" fillId="42" borderId="0" xfId="0" quotePrefix="1" applyFont="1" applyFill="1" applyAlignment="1">
      <alignment vertical="center"/>
    </xf>
    <xf numFmtId="0" fontId="43" fillId="42" borderId="0" xfId="0" quotePrefix="1" applyFont="1" applyFill="1"/>
    <xf numFmtId="0" fontId="27" fillId="42" borderId="0" xfId="0" applyFont="1" applyFill="1" applyAlignment="1">
      <alignment horizontal="left" vertical="center" indent="2"/>
    </xf>
    <xf numFmtId="0" fontId="1" fillId="42" borderId="0" xfId="0" applyFont="1" applyFill="1" applyAlignment="1">
      <alignment horizontal="left" vertical="center" indent="2"/>
    </xf>
    <xf numFmtId="0" fontId="0" fillId="42" borderId="0" xfId="0" applyFill="1" applyAlignment="1">
      <alignment horizontal="left" vertical="center" indent="2"/>
    </xf>
    <xf numFmtId="0" fontId="27" fillId="42" borderId="0" xfId="0" applyFont="1" applyFill="1" applyAlignment="1">
      <alignment horizontal="left" vertical="center"/>
    </xf>
    <xf numFmtId="0" fontId="1" fillId="42" borderId="0" xfId="0" applyFont="1" applyFill="1" applyAlignment="1">
      <alignment horizontal="left" vertical="center"/>
    </xf>
    <xf numFmtId="0" fontId="0" fillId="42" borderId="0" xfId="0" applyFont="1" applyFill="1" applyAlignment="1"/>
    <xf numFmtId="0" fontId="27" fillId="42" borderId="0" xfId="0" applyFont="1" applyFill="1" applyAlignment="1">
      <alignment horizontal="left"/>
    </xf>
    <xf numFmtId="0" fontId="1" fillId="42" borderId="0" xfId="0" applyFont="1" applyFill="1" applyAlignment="1">
      <alignment horizontal="left"/>
    </xf>
    <xf numFmtId="0" fontId="40" fillId="42" borderId="0" xfId="0" applyFont="1" applyFill="1" applyAlignment="1">
      <alignment horizontal="left" vertical="center" indent="8"/>
    </xf>
    <xf numFmtId="0" fontId="4" fillId="42" borderId="0" xfId="0" applyFont="1" applyFill="1" applyAlignment="1">
      <alignment horizontal="left" vertical="center" indent="8"/>
    </xf>
    <xf numFmtId="0" fontId="41" fillId="42" borderId="0" xfId="0" applyFont="1" applyFill="1" applyAlignment="1">
      <alignment horizontal="left" vertical="center" indent="13"/>
    </xf>
    <xf numFmtId="0" fontId="45" fillId="42" borderId="0" xfId="0" applyFont="1" applyFill="1" applyAlignment="1">
      <alignment vertical="center"/>
    </xf>
    <xf numFmtId="0" fontId="0" fillId="42" borderId="0" xfId="0" applyFill="1" applyAlignment="1">
      <alignment horizontal="left" vertical="center" indent="8"/>
    </xf>
    <xf numFmtId="0" fontId="0" fillId="42" borderId="0" xfId="0" applyFill="1" applyAlignment="1">
      <alignment horizontal="left"/>
    </xf>
    <xf numFmtId="0" fontId="42" fillId="42" borderId="0" xfId="0" applyFont="1" applyFill="1" applyAlignment="1">
      <alignment horizontal="left" vertical="center" indent="2"/>
    </xf>
    <xf numFmtId="0" fontId="102" fillId="42" borderId="0" xfId="0" applyFont="1" applyFill="1"/>
    <xf numFmtId="0" fontId="129" fillId="42" borderId="0" xfId="0" applyFont="1" applyFill="1"/>
    <xf numFmtId="0" fontId="128" fillId="42" borderId="0" xfId="0" applyFont="1" applyFill="1"/>
    <xf numFmtId="0" fontId="37" fillId="42" borderId="0" xfId="0" applyFont="1" applyFill="1" applyAlignment="1">
      <alignment horizontal="center" vertical="center"/>
    </xf>
    <xf numFmtId="165" fontId="171" fillId="42" borderId="0" xfId="0" applyNumberFormat="1" applyFont="1" applyFill="1" applyBorder="1" applyAlignment="1">
      <alignment horizontal="center" vertical="center"/>
    </xf>
    <xf numFmtId="0" fontId="109" fillId="42" borderId="0" xfId="0" applyFont="1" applyFill="1" applyBorder="1" applyAlignment="1"/>
    <xf numFmtId="49" fontId="142" fillId="42" borderId="0" xfId="0" applyNumberFormat="1" applyFont="1" applyFill="1" applyBorder="1" applyAlignment="1">
      <alignment vertical="top"/>
    </xf>
    <xf numFmtId="0" fontId="109" fillId="42" borderId="0" xfId="0" applyFont="1" applyFill="1" applyBorder="1"/>
    <xf numFmtId="0" fontId="0" fillId="42" borderId="13" xfId="0" applyFont="1" applyFill="1" applyBorder="1"/>
    <xf numFmtId="0" fontId="238" fillId="42" borderId="0" xfId="0" applyFont="1" applyFill="1" applyAlignment="1">
      <alignment vertical="center"/>
    </xf>
    <xf numFmtId="0" fontId="32" fillId="42" borderId="13" xfId="0" applyFont="1" applyFill="1" applyBorder="1" applyAlignment="1">
      <alignment vertical="center" wrapText="1"/>
    </xf>
    <xf numFmtId="0" fontId="83" fillId="42" borderId="0" xfId="0" applyFont="1" applyFill="1" applyBorder="1" applyAlignment="1">
      <alignment horizontal="center" vertical="center" wrapText="1"/>
    </xf>
    <xf numFmtId="0" fontId="37" fillId="42" borderId="0" xfId="0" applyFont="1" applyFill="1" applyAlignment="1">
      <alignment horizontal="left" vertical="center" indent="2"/>
    </xf>
    <xf numFmtId="0" fontId="39" fillId="42" borderId="0" xfId="0" applyFont="1" applyFill="1" applyAlignment="1">
      <alignment horizontal="left" vertical="center" indent="4"/>
    </xf>
    <xf numFmtId="0" fontId="55" fillId="42" borderId="9" xfId="0" applyFont="1" applyFill="1" applyBorder="1" applyAlignment="1">
      <alignment horizontal="center" vertical="center"/>
    </xf>
    <xf numFmtId="0" fontId="0" fillId="42" borderId="9" xfId="0" applyFill="1" applyBorder="1" applyAlignment="1"/>
    <xf numFmtId="49" fontId="0" fillId="42" borderId="9" xfId="0" applyNumberFormat="1" applyFill="1" applyBorder="1" applyAlignment="1">
      <alignment vertical="top"/>
    </xf>
    <xf numFmtId="0" fontId="37" fillId="42" borderId="15" xfId="0" applyFont="1" applyFill="1" applyBorder="1" applyAlignment="1">
      <alignment horizontal="center" vertical="center"/>
    </xf>
    <xf numFmtId="0" fontId="123" fillId="42" borderId="15" xfId="0" applyFont="1" applyFill="1" applyBorder="1" applyAlignment="1">
      <alignment horizontal="center" vertical="center" wrapText="1"/>
    </xf>
    <xf numFmtId="0" fontId="37" fillId="42" borderId="13" xfId="0" applyFont="1" applyFill="1" applyBorder="1" applyAlignment="1">
      <alignment horizontal="center" vertical="center"/>
    </xf>
    <xf numFmtId="0" fontId="37" fillId="42" borderId="0" xfId="0" applyFont="1" applyFill="1" applyAlignment="1">
      <alignment horizontal="center"/>
    </xf>
    <xf numFmtId="0" fontId="37" fillId="42" borderId="13" xfId="0" applyFont="1" applyFill="1" applyBorder="1" applyAlignment="1">
      <alignment horizontal="center"/>
    </xf>
    <xf numFmtId="0" fontId="37" fillId="42" borderId="14" xfId="0" applyFont="1" applyFill="1" applyBorder="1" applyAlignment="1">
      <alignment horizontal="center"/>
    </xf>
    <xf numFmtId="0" fontId="39" fillId="42" borderId="0" xfId="0" applyFont="1" applyFill="1" applyAlignment="1">
      <alignment horizontal="right" vertical="center"/>
    </xf>
    <xf numFmtId="0" fontId="37" fillId="42" borderId="0" xfId="0" applyFont="1" applyFill="1" applyAlignment="1">
      <alignment horizontal="right" vertical="center"/>
    </xf>
    <xf numFmtId="0" fontId="0" fillId="18" borderId="7" xfId="0" applyFont="1" applyFill="1" applyBorder="1"/>
    <xf numFmtId="0" fontId="12" fillId="42" borderId="0" xfId="0" applyFont="1" applyFill="1" applyAlignment="1"/>
    <xf numFmtId="0" fontId="4" fillId="42" borderId="0" xfId="0" applyFont="1" applyFill="1" applyAlignment="1">
      <alignment horizontal="left"/>
    </xf>
    <xf numFmtId="0" fontId="1" fillId="42" borderId="0" xfId="0" applyFont="1" applyFill="1" applyAlignment="1">
      <alignment horizontal="left" vertical="center" indent="5"/>
    </xf>
    <xf numFmtId="0" fontId="24" fillId="42" borderId="0" xfId="0" applyFont="1" applyFill="1" applyAlignment="1">
      <alignment vertical="center"/>
    </xf>
    <xf numFmtId="0" fontId="24" fillId="42" borderId="0" xfId="0" applyFont="1" applyFill="1" applyAlignment="1">
      <alignment horizontal="left" vertical="center" indent="2"/>
    </xf>
    <xf numFmtId="0" fontId="4" fillId="42" borderId="0" xfId="0" applyFont="1" applyFill="1" applyAlignment="1">
      <alignment horizontal="left" vertical="center"/>
    </xf>
    <xf numFmtId="0" fontId="4" fillId="42" borderId="0" xfId="0" applyFont="1" applyFill="1" applyAlignment="1">
      <alignment horizontal="center" vertical="center"/>
    </xf>
    <xf numFmtId="0" fontId="0" fillId="42" borderId="0" xfId="0" applyFill="1" applyAlignment="1">
      <alignment horizontal="left" vertical="center"/>
    </xf>
    <xf numFmtId="165" fontId="145" fillId="42" borderId="0" xfId="0" applyNumberFormat="1" applyFont="1" applyFill="1" applyBorder="1" applyAlignment="1">
      <alignment horizontal="center" vertical="center"/>
    </xf>
    <xf numFmtId="49" fontId="24" fillId="42" borderId="0" xfId="0" applyNumberFormat="1" applyFont="1" applyFill="1" applyBorder="1" applyAlignment="1">
      <alignment vertical="center"/>
    </xf>
    <xf numFmtId="0" fontId="0" fillId="42" borderId="0" xfId="0" applyFont="1" applyFill="1" applyBorder="1" applyAlignment="1">
      <alignment vertical="center"/>
    </xf>
    <xf numFmtId="0" fontId="0" fillId="42" borderId="13" xfId="0" applyFont="1" applyFill="1" applyBorder="1" applyAlignment="1">
      <alignment vertical="center"/>
    </xf>
    <xf numFmtId="0" fontId="0" fillId="42" borderId="9" xfId="0" applyFill="1" applyBorder="1"/>
    <xf numFmtId="49" fontId="24" fillId="42" borderId="9" xfId="0" applyNumberFormat="1" applyFont="1" applyFill="1" applyBorder="1" applyAlignment="1">
      <alignment vertical="top"/>
    </xf>
    <xf numFmtId="49" fontId="24" fillId="42" borderId="0" xfId="0" applyNumberFormat="1" applyFont="1" applyFill="1" applyAlignment="1">
      <alignment vertical="top"/>
    </xf>
    <xf numFmtId="14" fontId="79" fillId="42" borderId="0" xfId="0" applyNumberFormat="1" applyFont="1" applyFill="1" applyAlignment="1"/>
    <xf numFmtId="0" fontId="30" fillId="42" borderId="0" xfId="0" applyFont="1" applyFill="1" applyAlignment="1">
      <alignment horizontal="left" vertical="center"/>
    </xf>
    <xf numFmtId="0" fontId="30" fillId="42" borderId="13" xfId="0" applyFont="1" applyFill="1" applyBorder="1" applyAlignment="1">
      <alignment horizontal="center" vertical="center"/>
    </xf>
    <xf numFmtId="0" fontId="30" fillId="42" borderId="13" xfId="0" applyFont="1" applyFill="1" applyBorder="1" applyAlignment="1">
      <alignment horizontal="left" vertical="center"/>
    </xf>
    <xf numFmtId="0" fontId="130" fillId="42" borderId="13" xfId="0" applyFont="1" applyFill="1" applyBorder="1" applyAlignment="1">
      <alignment horizontal="right" vertical="center"/>
    </xf>
    <xf numFmtId="0" fontId="130" fillId="42" borderId="13" xfId="0" applyFont="1" applyFill="1" applyBorder="1" applyAlignment="1">
      <alignment horizontal="right"/>
    </xf>
    <xf numFmtId="0" fontId="1" fillId="42" borderId="13" xfId="0" applyFont="1" applyFill="1" applyBorder="1" applyAlignment="1">
      <alignment horizontal="center" vertical="center"/>
    </xf>
    <xf numFmtId="0" fontId="44" fillId="42" borderId="13" xfId="0" applyFont="1" applyFill="1" applyBorder="1" applyAlignment="1">
      <alignment horizontal="center" vertical="center"/>
    </xf>
    <xf numFmtId="0" fontId="0" fillId="42" borderId="13" xfId="0" applyFill="1" applyBorder="1" applyAlignment="1">
      <alignment horizontal="center" vertical="center"/>
    </xf>
    <xf numFmtId="0" fontId="210" fillId="42" borderId="0" xfId="0" applyFont="1" applyFill="1" applyBorder="1" applyAlignment="1">
      <alignment horizontal="left" vertical="center"/>
    </xf>
    <xf numFmtId="0" fontId="0" fillId="42" borderId="0" xfId="0" applyFont="1" applyFill="1" applyAlignment="1">
      <alignment horizontal="center" vertical="center"/>
    </xf>
    <xf numFmtId="0" fontId="5" fillId="42" borderId="0" xfId="0" quotePrefix="1" applyFont="1" applyFill="1" applyBorder="1" applyAlignment="1">
      <alignment horizontal="center" vertical="center"/>
    </xf>
    <xf numFmtId="0" fontId="40" fillId="42" borderId="0" xfId="0" applyFont="1" applyFill="1" applyAlignment="1">
      <alignment horizontal="left" vertical="center"/>
    </xf>
    <xf numFmtId="0" fontId="24" fillId="42" borderId="0" xfId="0" applyFont="1" applyFill="1" applyAlignment="1">
      <alignment horizontal="left" vertical="center"/>
    </xf>
    <xf numFmtId="165" fontId="145" fillId="42" borderId="98" xfId="0" applyNumberFormat="1" applyFont="1" applyFill="1" applyBorder="1" applyAlignment="1">
      <alignment horizontal="center" vertical="center"/>
    </xf>
    <xf numFmtId="0" fontId="0" fillId="42" borderId="14" xfId="0" applyFill="1" applyBorder="1" applyAlignment="1">
      <alignment horizontal="center" vertical="center"/>
    </xf>
    <xf numFmtId="0" fontId="0" fillId="42" borderId="0" xfId="0" applyFont="1" applyFill="1" applyAlignment="1">
      <alignment horizontal="left" vertical="center"/>
    </xf>
    <xf numFmtId="0" fontId="0" fillId="42" borderId="0" xfId="0" applyFont="1" applyFill="1" applyAlignment="1">
      <alignment horizontal="right" vertical="center"/>
    </xf>
    <xf numFmtId="0" fontId="28" fillId="42" borderId="0" xfId="0" applyFont="1" applyFill="1" applyAlignment="1">
      <alignment horizontal="right" vertical="center"/>
    </xf>
    <xf numFmtId="0" fontId="0" fillId="42" borderId="13" xfId="0" applyFill="1" applyBorder="1" applyAlignment="1">
      <alignment horizontal="right" vertical="center"/>
    </xf>
    <xf numFmtId="0" fontId="0" fillId="42" borderId="0" xfId="0" applyFill="1" applyAlignment="1">
      <alignment horizontal="right" vertical="center"/>
    </xf>
    <xf numFmtId="0" fontId="55" fillId="42" borderId="0" xfId="0" applyFont="1" applyFill="1" applyBorder="1"/>
    <xf numFmtId="165" fontId="171" fillId="42" borderId="98" xfId="0" applyNumberFormat="1" applyFont="1" applyFill="1" applyBorder="1" applyAlignment="1" applyProtection="1">
      <alignment horizontal="center" vertical="center"/>
      <protection locked="0"/>
    </xf>
    <xf numFmtId="0" fontId="109" fillId="42" borderId="0" xfId="0" applyFont="1" applyFill="1" applyAlignment="1"/>
    <xf numFmtId="49" fontId="142" fillId="42" borderId="0" xfId="0" applyNumberFormat="1" applyFont="1" applyFill="1" applyAlignment="1">
      <alignment vertical="top"/>
    </xf>
    <xf numFmtId="0" fontId="109" fillId="42" borderId="0" xfId="0" applyFont="1" applyFill="1"/>
    <xf numFmtId="0" fontId="125" fillId="42" borderId="11" xfId="0" applyFont="1" applyFill="1" applyBorder="1" applyAlignment="1">
      <alignment horizontal="center" vertical="center" wrapText="1"/>
    </xf>
    <xf numFmtId="0" fontId="72" fillId="42" borderId="13" xfId="0" applyFont="1" applyFill="1" applyBorder="1" applyAlignment="1">
      <alignment horizontal="left" vertical="top" wrapText="1" indent="4"/>
    </xf>
    <xf numFmtId="0" fontId="5" fillId="42" borderId="0" xfId="0" applyFont="1" applyFill="1" applyBorder="1" applyAlignment="1">
      <alignment horizontal="center" vertical="center"/>
    </xf>
    <xf numFmtId="0" fontId="152" fillId="42" borderId="0" xfId="0" applyFont="1" applyFill="1" applyAlignment="1">
      <alignment vertical="center"/>
    </xf>
    <xf numFmtId="0" fontId="4" fillId="42" borderId="0" xfId="0" applyFont="1" applyFill="1" applyBorder="1" applyAlignment="1">
      <alignment horizontal="left" vertical="center" indent="8"/>
    </xf>
    <xf numFmtId="0" fontId="136" fillId="42" borderId="0" xfId="0" applyFont="1" applyFill="1" applyBorder="1" applyAlignment="1">
      <alignment vertical="center"/>
    </xf>
    <xf numFmtId="0" fontId="70" fillId="42" borderId="0" xfId="0" applyFont="1" applyFill="1" applyBorder="1" applyAlignment="1">
      <alignment horizontal="left" vertical="center"/>
    </xf>
    <xf numFmtId="0" fontId="30" fillId="42" borderId="0" xfId="0" applyFont="1" applyFill="1" applyBorder="1" applyAlignment="1">
      <alignment horizontal="center" vertical="center" wrapText="1"/>
    </xf>
    <xf numFmtId="0" fontId="30" fillId="42" borderId="0" xfId="0" applyFont="1" applyFill="1" applyBorder="1" applyAlignment="1">
      <alignment horizontal="center" vertical="center"/>
    </xf>
    <xf numFmtId="0" fontId="0" fillId="42" borderId="0" xfId="0" applyFill="1" applyBorder="1" applyAlignment="1">
      <alignment horizontal="left" vertical="center"/>
    </xf>
    <xf numFmtId="0" fontId="137" fillId="42" borderId="0" xfId="0" applyFont="1" applyFill="1" applyBorder="1" applyAlignment="1">
      <alignment horizontal="center" vertical="center"/>
    </xf>
    <xf numFmtId="0" fontId="24" fillId="42" borderId="0" xfId="0" applyFont="1" applyFill="1" applyBorder="1" applyAlignment="1">
      <alignment vertical="center"/>
    </xf>
    <xf numFmtId="0" fontId="88" fillId="42" borderId="0" xfId="0" applyFont="1" applyFill="1" applyBorder="1" applyAlignment="1">
      <alignment horizontal="center" vertical="center"/>
    </xf>
    <xf numFmtId="0" fontId="24" fillId="42" borderId="0" xfId="0" applyFont="1" applyFill="1" applyBorder="1" applyAlignment="1">
      <alignment horizontal="left" vertical="center" indent="2"/>
    </xf>
    <xf numFmtId="0" fontId="31" fillId="42" borderId="0" xfId="0" applyFont="1" applyFill="1" applyBorder="1" applyAlignment="1">
      <alignment horizontal="center" vertical="center" wrapText="1"/>
    </xf>
    <xf numFmtId="0" fontId="31" fillId="42" borderId="0" xfId="0" applyFont="1" applyFill="1" applyBorder="1" applyAlignment="1">
      <alignment horizontal="center" vertical="center"/>
    </xf>
    <xf numFmtId="0" fontId="104" fillId="42" borderId="0" xfId="0" applyFont="1" applyFill="1" applyBorder="1" applyAlignment="1">
      <alignment horizontal="center" vertical="center"/>
    </xf>
    <xf numFmtId="0" fontId="28" fillId="42" borderId="0" xfId="0" applyFont="1" applyFill="1" applyBorder="1" applyAlignment="1">
      <alignment horizontal="left" vertical="center" indent="2"/>
    </xf>
    <xf numFmtId="0" fontId="41" fillId="42" borderId="0" xfId="0" applyFont="1" applyFill="1" applyBorder="1" applyAlignment="1">
      <alignment horizontal="left" vertical="center" indent="13"/>
    </xf>
    <xf numFmtId="0" fontId="24" fillId="42" borderId="0" xfId="0" applyFont="1" applyFill="1" applyBorder="1" applyAlignment="1">
      <alignment horizontal="left" vertical="center"/>
    </xf>
    <xf numFmtId="0" fontId="0" fillId="42" borderId="0" xfId="0" applyFont="1" applyFill="1" applyBorder="1" applyAlignment="1"/>
    <xf numFmtId="0" fontId="0" fillId="42" borderId="0" xfId="0" applyFill="1" applyProtection="1">
      <protection locked="0"/>
    </xf>
    <xf numFmtId="49" fontId="233" fillId="42" borderId="0" xfId="0" applyNumberFormat="1" applyFont="1" applyFill="1" applyAlignment="1">
      <alignment vertical="top"/>
    </xf>
    <xf numFmtId="0" fontId="103" fillId="42" borderId="0" xfId="0" applyFont="1" applyFill="1"/>
    <xf numFmtId="0" fontId="32" fillId="42" borderId="0" xfId="0" applyFont="1" applyFill="1" applyBorder="1" applyAlignment="1">
      <alignment horizontal="center"/>
    </xf>
    <xf numFmtId="0" fontId="30" fillId="42" borderId="0" xfId="0" applyFont="1" applyFill="1" applyAlignment="1">
      <alignment horizontal="left"/>
    </xf>
    <xf numFmtId="0" fontId="0" fillId="42" borderId="0" xfId="0" applyFont="1" applyFill="1" applyAlignment="1">
      <alignment horizontal="left"/>
    </xf>
    <xf numFmtId="0" fontId="28" fillId="42" borderId="0" xfId="0" applyFont="1" applyFill="1" applyAlignment="1">
      <alignment horizontal="center" vertical="center"/>
    </xf>
    <xf numFmtId="0" fontId="55" fillId="42" borderId="0" xfId="0" applyFont="1" applyFill="1" applyBorder="1" applyAlignment="1">
      <alignment vertical="center"/>
    </xf>
    <xf numFmtId="0" fontId="0" fillId="42" borderId="9" xfId="0" applyFont="1" applyFill="1" applyBorder="1" applyAlignment="1">
      <alignment vertical="center"/>
    </xf>
    <xf numFmtId="0" fontId="32" fillId="42" borderId="10" xfId="0" applyFont="1" applyFill="1" applyBorder="1" applyAlignment="1">
      <alignment horizontal="center"/>
    </xf>
    <xf numFmtId="0" fontId="32" fillId="42" borderId="8" xfId="0" applyFont="1" applyFill="1" applyBorder="1" applyAlignment="1">
      <alignment horizontal="center"/>
    </xf>
    <xf numFmtId="0" fontId="0" fillId="18" borderId="0" xfId="0" applyFont="1" applyFill="1" applyAlignment="1">
      <alignment vertical="center"/>
    </xf>
    <xf numFmtId="0" fontId="238" fillId="0" borderId="0" xfId="0" applyFont="1" applyFill="1" applyAlignment="1">
      <alignment vertical="center"/>
    </xf>
    <xf numFmtId="0" fontId="28" fillId="42" borderId="0" xfId="0" applyFont="1" applyFill="1" applyAlignment="1">
      <alignment vertical="center"/>
    </xf>
    <xf numFmtId="0" fontId="28" fillId="42" borderId="0" xfId="0" applyFont="1" applyFill="1"/>
    <xf numFmtId="0" fontId="30" fillId="42" borderId="0" xfId="0" applyFont="1" applyFill="1" applyAlignment="1">
      <alignment horizontal="center" vertical="center" wrapText="1"/>
    </xf>
    <xf numFmtId="0" fontId="30" fillId="42" borderId="0" xfId="0" applyFont="1" applyFill="1" applyAlignment="1">
      <alignment horizontal="center" vertical="center"/>
    </xf>
    <xf numFmtId="0" fontId="28" fillId="42" borderId="0" xfId="0" applyFont="1" applyFill="1" applyAlignment="1">
      <alignment horizontal="left" vertical="center" indent="2"/>
    </xf>
    <xf numFmtId="0" fontId="31" fillId="42" borderId="0" xfId="0" applyFont="1" applyFill="1" applyAlignment="1">
      <alignment horizontal="center" vertical="center" wrapText="1"/>
    </xf>
    <xf numFmtId="0" fontId="31" fillId="42" borderId="0" xfId="0" applyFont="1" applyFill="1" applyAlignment="1">
      <alignment horizontal="center" vertical="center"/>
    </xf>
    <xf numFmtId="0" fontId="31" fillId="42" borderId="5" xfId="0" applyFont="1" applyFill="1" applyBorder="1" applyAlignment="1">
      <alignment horizontal="center" vertical="center" wrapText="1"/>
    </xf>
    <xf numFmtId="0" fontId="31" fillId="42" borderId="5" xfId="0" applyFont="1" applyFill="1" applyBorder="1" applyAlignment="1">
      <alignment horizontal="center" vertical="center"/>
    </xf>
    <xf numFmtId="0" fontId="0" fillId="42" borderId="5" xfId="0" applyFill="1" applyBorder="1" applyAlignment="1">
      <alignment horizontal="left" vertical="center"/>
    </xf>
    <xf numFmtId="0" fontId="135" fillId="42" borderId="0" xfId="0" applyFont="1" applyFill="1" applyAlignment="1">
      <alignment horizontal="left" vertical="center"/>
    </xf>
    <xf numFmtId="0" fontId="26" fillId="42" borderId="0" xfId="0" applyFont="1" applyFill="1" applyAlignment="1">
      <alignment vertical="center" wrapText="1"/>
    </xf>
    <xf numFmtId="0" fontId="26" fillId="42" borderId="0" xfId="0" applyFont="1" applyFill="1" applyAlignment="1">
      <alignment vertical="center"/>
    </xf>
    <xf numFmtId="0" fontId="136" fillId="42" borderId="0" xfId="0" applyFont="1" applyFill="1" applyAlignment="1">
      <alignment vertical="center"/>
    </xf>
    <xf numFmtId="0" fontId="23" fillId="42" borderId="88" xfId="0" applyFont="1" applyFill="1" applyBorder="1" applyAlignment="1">
      <alignment vertical="center" textRotation="90" wrapText="1"/>
    </xf>
    <xf numFmtId="0" fontId="32" fillId="42" borderId="11" xfId="0" applyFont="1" applyFill="1" applyBorder="1" applyAlignment="1">
      <alignment horizontal="center"/>
    </xf>
    <xf numFmtId="0" fontId="28" fillId="42" borderId="0" xfId="0" applyFont="1" applyFill="1" applyBorder="1" applyAlignment="1">
      <alignment horizontal="center" vertical="top" wrapText="1"/>
    </xf>
    <xf numFmtId="0" fontId="36" fillId="18" borderId="0" xfId="0" applyFont="1" applyFill="1" applyBorder="1" applyAlignment="1">
      <alignment vertical="top"/>
    </xf>
    <xf numFmtId="0" fontId="0" fillId="9" borderId="0" xfId="0" applyFont="1" applyFill="1" applyAlignment="1">
      <alignment horizontal="center" vertical="center"/>
    </xf>
    <xf numFmtId="0" fontId="0" fillId="9" borderId="0" xfId="0" applyFill="1" applyAlignment="1">
      <alignment horizontal="center" vertical="center"/>
    </xf>
    <xf numFmtId="0" fontId="304" fillId="9" borderId="0" xfId="0" applyFont="1" applyFill="1" applyBorder="1" applyAlignment="1">
      <alignment horizontal="center" vertical="center" textRotation="90" wrapText="1"/>
    </xf>
    <xf numFmtId="0" fontId="45" fillId="18" borderId="0" xfId="0" applyFont="1" applyFill="1"/>
    <xf numFmtId="0" fontId="0" fillId="18" borderId="1" xfId="0" applyFill="1" applyBorder="1"/>
    <xf numFmtId="0" fontId="0" fillId="18" borderId="49" xfId="0" applyFill="1" applyBorder="1"/>
    <xf numFmtId="0" fontId="2" fillId="40" borderId="0" xfId="0" applyFont="1" applyFill="1"/>
    <xf numFmtId="0" fontId="28" fillId="40" borderId="0" xfId="0" applyFont="1" applyFill="1" applyAlignment="1">
      <alignment horizontal="left" vertical="center"/>
    </xf>
    <xf numFmtId="0" fontId="28" fillId="40" borderId="0" xfId="0" applyFont="1" applyFill="1" applyAlignment="1">
      <alignment horizontal="left"/>
    </xf>
    <xf numFmtId="0" fontId="0" fillId="40" borderId="0" xfId="0" applyFill="1" applyAlignment="1"/>
    <xf numFmtId="0" fontId="53" fillId="40" borderId="28" xfId="0" applyFont="1" applyFill="1" applyBorder="1" applyAlignment="1">
      <alignment horizontal="left" vertical="top" wrapText="1" indent="2"/>
    </xf>
    <xf numFmtId="0" fontId="0" fillId="40" borderId="0" xfId="0" applyFont="1" applyFill="1" applyAlignment="1">
      <alignment horizontal="right"/>
    </xf>
    <xf numFmtId="0" fontId="26" fillId="40" borderId="0" xfId="0" applyFont="1" applyFill="1" applyAlignment="1"/>
    <xf numFmtId="0" fontId="274" fillId="40" borderId="0" xfId="0" applyFont="1" applyFill="1" applyAlignment="1">
      <alignment vertical="center"/>
    </xf>
    <xf numFmtId="0" fontId="86" fillId="40" borderId="0" xfId="0" applyFont="1" applyFill="1" applyAlignment="1">
      <alignment vertical="center"/>
    </xf>
    <xf numFmtId="0" fontId="98" fillId="40" borderId="0" xfId="0" quotePrefix="1" applyFont="1" applyFill="1" applyAlignment="1">
      <alignment vertical="center"/>
    </xf>
    <xf numFmtId="0" fontId="3" fillId="40" borderId="0" xfId="0" applyFont="1" applyFill="1" applyAlignment="1">
      <alignment vertical="top" wrapText="1"/>
    </xf>
    <xf numFmtId="0" fontId="86" fillId="40" borderId="0" xfId="0" applyFont="1" applyFill="1" applyAlignment="1"/>
    <xf numFmtId="0" fontId="95" fillId="40" borderId="0" xfId="0" applyFont="1" applyFill="1" applyBorder="1" applyAlignment="1"/>
    <xf numFmtId="0" fontId="0" fillId="3" borderId="0" xfId="0" applyFill="1"/>
    <xf numFmtId="0" fontId="95" fillId="40" borderId="0" xfId="0" applyFont="1" applyFill="1" applyAlignment="1">
      <alignment horizontal="right"/>
    </xf>
    <xf numFmtId="0" fontId="87" fillId="40" borderId="0" xfId="0" applyFont="1" applyFill="1" applyAlignment="1"/>
    <xf numFmtId="0" fontId="0" fillId="40" borderId="0" xfId="0" quotePrefix="1" applyFill="1" applyAlignment="1"/>
    <xf numFmtId="0" fontId="0" fillId="40" borderId="0" xfId="0" applyFont="1" applyFill="1" applyAlignment="1">
      <alignment vertical="top"/>
    </xf>
    <xf numFmtId="14" fontId="79" fillId="40" borderId="0" xfId="0" applyNumberFormat="1" applyFont="1" applyFill="1" applyAlignment="1">
      <alignment horizontal="left"/>
    </xf>
    <xf numFmtId="0" fontId="90" fillId="40" borderId="0" xfId="0" applyFont="1" applyFill="1" applyAlignment="1"/>
    <xf numFmtId="0" fontId="90" fillId="40" borderId="0" xfId="0" applyFont="1" applyFill="1" applyAlignment="1">
      <alignment wrapText="1"/>
    </xf>
    <xf numFmtId="165" fontId="90" fillId="40" borderId="0" xfId="0" applyNumberFormat="1" applyFont="1" applyFill="1"/>
    <xf numFmtId="0" fontId="53" fillId="40" borderId="0" xfId="0" applyFont="1" applyFill="1" applyBorder="1" applyAlignment="1">
      <alignment horizontal="left" vertical="top" wrapText="1" indent="2"/>
    </xf>
    <xf numFmtId="0" fontId="53" fillId="0" borderId="0" xfId="0" applyFont="1" applyFill="1" applyBorder="1" applyAlignment="1">
      <alignment horizontal="left" vertical="top" wrapText="1" indent="2"/>
    </xf>
    <xf numFmtId="0" fontId="6" fillId="0" borderId="0" xfId="0" applyFont="1" applyFill="1" applyAlignment="1">
      <alignment horizontal="left"/>
    </xf>
    <xf numFmtId="0" fontId="7" fillId="0" borderId="135" xfId="0" applyFont="1" applyBorder="1" applyAlignment="1">
      <alignment vertical="center"/>
    </xf>
    <xf numFmtId="0" fontId="306" fillId="41" borderId="150" xfId="0" applyFont="1" applyFill="1" applyBorder="1" applyAlignment="1" applyProtection="1">
      <alignment horizontal="left" vertical="center"/>
      <protection locked="0"/>
    </xf>
    <xf numFmtId="0" fontId="92" fillId="0" borderId="58" xfId="0" applyFont="1" applyFill="1" applyBorder="1" applyAlignment="1" applyProtection="1">
      <alignment horizontal="left" vertical="center" wrapText="1"/>
      <protection locked="0"/>
    </xf>
    <xf numFmtId="0" fontId="6" fillId="0" borderId="0" xfId="0" applyFont="1" applyFill="1" applyAlignment="1">
      <alignment horizontal="left" vertical="top"/>
    </xf>
    <xf numFmtId="0" fontId="0" fillId="40" borderId="84" xfId="0" applyFont="1" applyFill="1" applyBorder="1" applyAlignment="1">
      <alignment vertical="top"/>
    </xf>
    <xf numFmtId="0" fontId="0" fillId="40" borderId="0" xfId="0" applyFill="1" applyBorder="1" applyAlignment="1"/>
    <xf numFmtId="0" fontId="0" fillId="40" borderId="201" xfId="0" applyFill="1" applyBorder="1" applyAlignment="1"/>
    <xf numFmtId="0" fontId="53" fillId="40" borderId="201" xfId="0" applyFont="1" applyFill="1" applyBorder="1" applyAlignment="1">
      <alignment horizontal="left" vertical="top" wrapText="1" indent="2"/>
    </xf>
    <xf numFmtId="0" fontId="224" fillId="0" borderId="0" xfId="0" applyFont="1" applyFill="1" applyBorder="1" applyAlignment="1">
      <alignment horizontal="left" vertical="top"/>
    </xf>
    <xf numFmtId="49" fontId="224" fillId="0" borderId="90" xfId="0" applyNumberFormat="1" applyFont="1" applyFill="1" applyBorder="1" applyAlignment="1">
      <alignment vertical="top"/>
    </xf>
    <xf numFmtId="0" fontId="0" fillId="40" borderId="201" xfId="0" applyFont="1" applyFill="1" applyBorder="1" applyAlignment="1">
      <alignment horizontal="right"/>
    </xf>
    <xf numFmtId="0" fontId="85" fillId="40" borderId="0" xfId="0" applyFont="1" applyFill="1" applyAlignment="1">
      <alignment vertical="center"/>
    </xf>
    <xf numFmtId="0" fontId="6" fillId="40" borderId="0" xfId="0" applyFont="1" applyFill="1" applyAlignment="1">
      <alignment vertical="center"/>
    </xf>
    <xf numFmtId="0" fontId="6" fillId="40" borderId="0" xfId="0" applyFont="1" applyFill="1"/>
    <xf numFmtId="49" fontId="199" fillId="40" borderId="0" xfId="0" applyNumberFormat="1" applyFont="1" applyFill="1" applyAlignment="1">
      <alignment horizontal="center" vertical="center"/>
    </xf>
    <xf numFmtId="0" fontId="102" fillId="0" borderId="90" xfId="0" applyFont="1" applyBorder="1" applyAlignment="1">
      <alignment horizontal="left" vertical="top" indent="1"/>
    </xf>
    <xf numFmtId="0" fontId="102" fillId="0" borderId="90" xfId="0" applyFont="1" applyBorder="1" applyAlignment="1">
      <alignment vertical="top"/>
    </xf>
    <xf numFmtId="0" fontId="102" fillId="0" borderId="90" xfId="0" applyFont="1" applyFill="1" applyBorder="1" applyAlignment="1">
      <alignment vertical="top"/>
    </xf>
    <xf numFmtId="49" fontId="308" fillId="0" borderId="28" xfId="0" applyNumberFormat="1" applyFont="1" applyFill="1" applyBorder="1" applyAlignment="1">
      <alignment vertical="center"/>
    </xf>
    <xf numFmtId="0" fontId="75" fillId="0" borderId="28" xfId="0" applyFont="1" applyFill="1" applyBorder="1" applyAlignment="1">
      <alignment horizontal="left" vertical="center" wrapText="1"/>
    </xf>
    <xf numFmtId="0" fontId="133" fillId="0" borderId="26" xfId="0" applyFont="1" applyFill="1" applyBorder="1" applyAlignment="1">
      <alignment horizontal="center" vertical="center"/>
    </xf>
    <xf numFmtId="49" fontId="142" fillId="0" borderId="103" xfId="0" applyNumberFormat="1" applyFont="1" applyFill="1" applyBorder="1" applyAlignment="1">
      <alignment vertical="center"/>
    </xf>
    <xf numFmtId="0" fontId="102" fillId="0" borderId="103" xfId="0" applyFont="1" applyFill="1" applyBorder="1" applyAlignment="1">
      <alignment horizontal="left" vertical="top" wrapText="1"/>
    </xf>
    <xf numFmtId="0" fontId="165" fillId="0" borderId="28" xfId="0" applyFont="1" applyFill="1" applyBorder="1" applyAlignment="1">
      <alignment horizontal="left" vertical="center" wrapText="1" indent="3"/>
    </xf>
    <xf numFmtId="0" fontId="165" fillId="0" borderId="113" xfId="0" applyFont="1" applyFill="1" applyBorder="1" applyAlignment="1">
      <alignment horizontal="left" vertical="center" wrapText="1" indent="1"/>
    </xf>
    <xf numFmtId="0" fontId="154" fillId="0" borderId="30" xfId="0" applyFont="1" applyFill="1" applyBorder="1" applyAlignment="1">
      <alignment horizontal="left" vertical="center" indent="1"/>
    </xf>
    <xf numFmtId="0" fontId="102" fillId="0" borderId="0" xfId="0" applyFont="1" applyFill="1" applyBorder="1" applyAlignment="1">
      <alignment horizontal="left" vertical="top" wrapText="1"/>
    </xf>
    <xf numFmtId="0" fontId="168" fillId="0" borderId="26" xfId="0" applyFont="1" applyFill="1" applyBorder="1" applyAlignment="1">
      <alignment horizontal="center"/>
    </xf>
    <xf numFmtId="0" fontId="211" fillId="0" borderId="138" xfId="0" applyFont="1" applyBorder="1" applyAlignment="1">
      <alignment horizontal="left" vertical="center" wrapText="1" indent="2"/>
    </xf>
    <xf numFmtId="0" fontId="102" fillId="0" borderId="0" xfId="0" applyFont="1" applyBorder="1" applyAlignment="1">
      <alignment vertical="top"/>
    </xf>
    <xf numFmtId="166" fontId="90" fillId="40" borderId="0" xfId="0" applyNumberFormat="1" applyFont="1" applyFill="1" applyAlignment="1">
      <alignment horizontal="left"/>
    </xf>
    <xf numFmtId="165" fontId="90" fillId="40" borderId="0" xfId="0" applyNumberFormat="1" applyFont="1" applyFill="1"/>
    <xf numFmtId="0" fontId="0" fillId="0" borderId="26" xfId="0" applyFill="1" applyBorder="1" applyAlignment="1">
      <alignment horizontal="center"/>
    </xf>
    <xf numFmtId="0" fontId="0" fillId="9" borderId="0" xfId="0" applyFill="1"/>
    <xf numFmtId="0" fontId="0" fillId="9" borderId="0" xfId="0" applyFill="1" applyBorder="1"/>
    <xf numFmtId="0" fontId="8" fillId="9" borderId="0" xfId="0" applyFont="1" applyFill="1" applyBorder="1" applyAlignment="1">
      <alignment horizontal="center" wrapText="1"/>
    </xf>
    <xf numFmtId="0" fontId="6" fillId="9" borderId="0" xfId="0" applyFont="1" applyFill="1" applyBorder="1" applyAlignment="1">
      <alignment horizontal="left" vertical="center" wrapText="1"/>
    </xf>
    <xf numFmtId="0" fontId="0" fillId="9" borderId="0" xfId="0" applyFill="1" applyBorder="1" applyAlignment="1">
      <alignment vertical="center"/>
    </xf>
    <xf numFmtId="0" fontId="0" fillId="9" borderId="0" xfId="0" applyFill="1" applyBorder="1" applyAlignment="1"/>
    <xf numFmtId="0" fontId="0" fillId="9" borderId="0" xfId="0" applyFill="1" applyAlignment="1"/>
    <xf numFmtId="0" fontId="2" fillId="9" borderId="0" xfId="0" applyFont="1" applyFill="1" applyBorder="1" applyAlignment="1">
      <alignment horizontal="left" wrapText="1"/>
    </xf>
    <xf numFmtId="0" fontId="261" fillId="20" borderId="30" xfId="0" applyFont="1" applyFill="1" applyBorder="1" applyAlignment="1">
      <alignment horizontal="right" vertical="center"/>
    </xf>
    <xf numFmtId="0" fontId="44" fillId="20" borderId="127" xfId="0" applyFont="1" applyFill="1" applyBorder="1" applyAlignment="1" applyProtection="1">
      <alignment horizontal="center" vertical="center"/>
      <protection locked="0"/>
    </xf>
    <xf numFmtId="0" fontId="253" fillId="2" borderId="138" xfId="0" applyFont="1" applyFill="1" applyBorder="1" applyAlignment="1">
      <alignment horizontal="left" vertical="center" wrapText="1" indent="2"/>
    </xf>
    <xf numFmtId="0" fontId="211" fillId="2" borderId="138" xfId="0" applyFont="1" applyFill="1" applyBorder="1" applyAlignment="1" applyProtection="1">
      <alignment horizontal="left" vertical="center" wrapText="1" indent="2"/>
      <protection locked="0"/>
    </xf>
    <xf numFmtId="0" fontId="109" fillId="0" borderId="0" xfId="0" applyFont="1" applyFill="1" applyProtection="1">
      <protection locked="0"/>
    </xf>
    <xf numFmtId="0" fontId="0" fillId="0" borderId="27" xfId="0" applyFill="1" applyBorder="1" applyAlignment="1">
      <alignment vertical="center"/>
    </xf>
    <xf numFmtId="0" fontId="109" fillId="0" borderId="28" xfId="0" applyFont="1" applyFill="1" applyBorder="1" applyAlignment="1">
      <alignment vertical="center"/>
    </xf>
    <xf numFmtId="0" fontId="109" fillId="0" borderId="103" xfId="0" applyFont="1" applyFill="1" applyBorder="1" applyAlignment="1">
      <alignment vertical="center"/>
    </xf>
    <xf numFmtId="0" fontId="308" fillId="0" borderId="27" xfId="0" applyFont="1" applyFill="1" applyBorder="1" applyAlignment="1">
      <alignment vertical="center"/>
    </xf>
    <xf numFmtId="0" fontId="173" fillId="0" borderId="30" xfId="0" applyFont="1" applyFill="1" applyBorder="1" applyAlignment="1">
      <alignment horizontal="left" vertical="center" wrapText="1" indent="1"/>
    </xf>
    <xf numFmtId="165" fontId="79" fillId="42" borderId="0" xfId="0" applyNumberFormat="1" applyFont="1" applyFill="1" applyAlignment="1">
      <alignment horizontal="left" vertical="center" indent="2"/>
    </xf>
    <xf numFmtId="0" fontId="75" fillId="0" borderId="30" xfId="0" applyFont="1" applyBorder="1" applyAlignment="1">
      <alignment vertical="top"/>
    </xf>
    <xf numFmtId="49" fontId="75" fillId="0" borderId="137" xfId="0" applyNumberFormat="1" applyFont="1" applyFill="1" applyBorder="1" applyAlignment="1">
      <alignment horizontal="left" vertical="center"/>
    </xf>
    <xf numFmtId="49" fontId="75" fillId="0" borderId="141" xfId="0" applyNumberFormat="1" applyFont="1" applyFill="1" applyBorder="1" applyAlignment="1">
      <alignment horizontal="left" vertical="center"/>
    </xf>
    <xf numFmtId="49" fontId="75" fillId="0" borderId="88" xfId="0" applyNumberFormat="1" applyFont="1" applyFill="1" applyBorder="1" applyAlignment="1">
      <alignment horizontal="left" vertical="center"/>
    </xf>
    <xf numFmtId="0" fontId="166" fillId="0" borderId="28" xfId="0" applyFont="1" applyFill="1" applyBorder="1" applyAlignment="1">
      <alignment horizontal="left" vertical="top" wrapText="1" indent="3"/>
    </xf>
    <xf numFmtId="0" fontId="278" fillId="0" borderId="28" xfId="0" applyFont="1" applyFill="1" applyBorder="1" applyAlignment="1">
      <alignment horizontal="left" vertical="center" wrapText="1"/>
    </xf>
    <xf numFmtId="165" fontId="79" fillId="40" borderId="0" xfId="0" applyNumberFormat="1" applyFont="1" applyFill="1" applyAlignment="1">
      <alignment vertical="center"/>
    </xf>
    <xf numFmtId="0" fontId="161" fillId="0" borderId="0" xfId="0" applyFont="1" applyFill="1" applyBorder="1" applyAlignment="1">
      <alignment vertical="center"/>
    </xf>
    <xf numFmtId="0" fontId="132" fillId="0" borderId="0" xfId="1" applyFont="1" applyFill="1" applyAlignment="1">
      <alignment vertical="top" wrapText="1"/>
    </xf>
    <xf numFmtId="0" fontId="211" fillId="2" borderId="28" xfId="0" applyFont="1" applyFill="1" applyBorder="1" applyAlignment="1">
      <alignment horizontal="left" vertical="center" wrapText="1"/>
    </xf>
    <xf numFmtId="0" fontId="0" fillId="0" borderId="26" xfId="0" applyBorder="1" applyAlignment="1">
      <alignment horizontal="center" vertical="center"/>
    </xf>
    <xf numFmtId="0" fontId="0" fillId="0" borderId="120" xfId="0" applyFill="1" applyBorder="1" applyAlignment="1">
      <alignment horizontal="center" vertical="center"/>
    </xf>
    <xf numFmtId="0" fontId="0" fillId="0" borderId="98" xfId="0" applyFill="1" applyBorder="1" applyAlignment="1">
      <alignment horizontal="center" vertical="center"/>
    </xf>
    <xf numFmtId="0" fontId="0" fillId="0" borderId="116" xfId="0" applyFill="1" applyBorder="1" applyAlignment="1">
      <alignment horizontal="center" vertical="center"/>
    </xf>
    <xf numFmtId="0" fontId="309" fillId="0" borderId="90" xfId="1" applyFont="1" applyBorder="1" applyAlignment="1">
      <alignment vertical="center" wrapText="1"/>
    </xf>
    <xf numFmtId="0" fontId="112" fillId="0" borderId="138" xfId="0" applyFont="1" applyFill="1" applyBorder="1" applyAlignment="1">
      <alignment horizontal="left" vertical="center" wrapText="1" indent="2"/>
    </xf>
    <xf numFmtId="0" fontId="255" fillId="0" borderId="138" xfId="0" applyFont="1" applyFill="1" applyBorder="1" applyAlignment="1">
      <alignment horizontal="left" vertical="center" wrapText="1" indent="2"/>
    </xf>
    <xf numFmtId="0" fontId="33" fillId="39" borderId="138" xfId="0" applyFont="1" applyFill="1" applyBorder="1" applyAlignment="1" applyProtection="1">
      <alignment horizontal="left" vertical="center" wrapText="1" indent="1"/>
      <protection locked="0"/>
    </xf>
    <xf numFmtId="0" fontId="305" fillId="0" borderId="0" xfId="0" applyFont="1" applyAlignment="1">
      <alignment horizontal="center" vertical="center" textRotation="90"/>
    </xf>
    <xf numFmtId="0" fontId="141" fillId="0" borderId="137" xfId="0" applyFont="1" applyFill="1" applyBorder="1" applyAlignment="1" applyProtection="1">
      <alignment horizontal="left" vertical="center"/>
      <protection locked="0"/>
    </xf>
    <xf numFmtId="0" fontId="261" fillId="0" borderId="138" xfId="0" applyFont="1" applyFill="1" applyBorder="1" applyAlignment="1">
      <alignment horizontal="left" vertical="center"/>
    </xf>
    <xf numFmtId="0" fontId="261" fillId="0" borderId="28" xfId="0" applyFont="1" applyFill="1" applyBorder="1" applyAlignment="1">
      <alignment horizontal="left" vertical="center"/>
    </xf>
    <xf numFmtId="0" fontId="261" fillId="0" borderId="105" xfId="0" applyFont="1" applyFill="1" applyBorder="1" applyAlignment="1">
      <alignment horizontal="left" vertical="center"/>
    </xf>
    <xf numFmtId="0" fontId="141" fillId="0" borderId="134" xfId="0" applyFont="1" applyFill="1" applyBorder="1" applyAlignment="1" applyProtection="1">
      <alignment horizontal="left" vertical="center"/>
      <protection locked="0"/>
    </xf>
    <xf numFmtId="0" fontId="44" fillId="0" borderId="88" xfId="0" applyFont="1" applyFill="1" applyBorder="1" applyAlignment="1" applyProtection="1">
      <alignment horizontal="left" vertical="center"/>
      <protection locked="0"/>
    </xf>
    <xf numFmtId="0" fontId="261" fillId="0" borderId="90" xfId="0" applyFont="1" applyFill="1" applyBorder="1" applyAlignment="1">
      <alignment horizontal="left" vertical="center"/>
    </xf>
    <xf numFmtId="0" fontId="261" fillId="0" borderId="0" xfId="0" applyFont="1" applyFill="1" applyAlignment="1">
      <alignment horizontal="left" vertical="center"/>
    </xf>
    <xf numFmtId="0" fontId="261" fillId="0" borderId="77" xfId="0" applyFont="1" applyFill="1" applyBorder="1" applyAlignment="1">
      <alignment horizontal="left" vertical="center"/>
    </xf>
    <xf numFmtId="0" fontId="44" fillId="0" borderId="133" xfId="0" applyFont="1" applyFill="1" applyBorder="1" applyAlignment="1" applyProtection="1">
      <alignment horizontal="left" vertical="center"/>
      <protection locked="0"/>
    </xf>
    <xf numFmtId="0" fontId="261" fillId="0" borderId="0" xfId="0" applyFont="1" applyFill="1" applyBorder="1" applyAlignment="1">
      <alignment horizontal="left" vertical="center"/>
    </xf>
    <xf numFmtId="0" fontId="44" fillId="0" borderId="137" xfId="0" applyFont="1" applyFill="1" applyBorder="1" applyAlignment="1" applyProtection="1">
      <alignment horizontal="center" vertical="center"/>
      <protection locked="0"/>
    </xf>
    <xf numFmtId="0" fontId="261" fillId="0" borderId="138" xfId="0" applyFont="1" applyFill="1" applyBorder="1" applyAlignment="1">
      <alignment horizontal="center" vertical="center"/>
    </xf>
    <xf numFmtId="0" fontId="44" fillId="0" borderId="141" xfId="0" applyFont="1" applyFill="1" applyBorder="1" applyAlignment="1" applyProtection="1">
      <alignment horizontal="center" vertical="center"/>
      <protection locked="0"/>
    </xf>
    <xf numFmtId="0" fontId="261" fillId="0" borderId="142" xfId="0" applyFont="1" applyFill="1" applyBorder="1" applyAlignment="1">
      <alignment horizontal="center" vertical="center"/>
    </xf>
    <xf numFmtId="0" fontId="261" fillId="0" borderId="103" xfId="0" applyFont="1" applyFill="1" applyBorder="1" applyAlignment="1">
      <alignment horizontal="center" vertical="center"/>
    </xf>
    <xf numFmtId="0" fontId="261" fillId="0" borderId="104" xfId="0" applyFont="1" applyFill="1" applyBorder="1" applyAlignment="1">
      <alignment horizontal="center" vertical="center"/>
    </xf>
    <xf numFmtId="0" fontId="44" fillId="0" borderId="136" xfId="0" applyFont="1" applyFill="1" applyBorder="1" applyAlignment="1" applyProtection="1">
      <alignment horizontal="center" vertical="center"/>
      <protection locked="0"/>
    </xf>
    <xf numFmtId="0" fontId="44" fillId="0" borderId="137" xfId="0" applyFont="1" applyFill="1" applyBorder="1" applyAlignment="1" applyProtection="1">
      <alignment horizontal="right" vertical="center"/>
      <protection locked="0"/>
    </xf>
    <xf numFmtId="0" fontId="261" fillId="0" borderId="138" xfId="0" applyFont="1" applyFill="1" applyBorder="1" applyAlignment="1">
      <alignment horizontal="right" vertical="center"/>
    </xf>
    <xf numFmtId="0" fontId="261" fillId="0" borderId="28" xfId="0" applyFont="1" applyFill="1" applyBorder="1" applyAlignment="1">
      <alignment horizontal="right" vertical="center"/>
    </xf>
    <xf numFmtId="0" fontId="261" fillId="0" borderId="105" xfId="0" applyFont="1" applyFill="1" applyBorder="1" applyAlignment="1">
      <alignment horizontal="right" vertical="center"/>
    </xf>
    <xf numFmtId="0" fontId="44" fillId="0" borderId="134" xfId="0" applyFont="1" applyFill="1" applyBorder="1" applyAlignment="1" applyProtection="1">
      <alignment horizontal="right" vertical="center"/>
      <protection locked="0"/>
    </xf>
    <xf numFmtId="0" fontId="44" fillId="0" borderId="139" xfId="0" applyFont="1" applyFill="1" applyBorder="1" applyAlignment="1" applyProtection="1">
      <alignment horizontal="right" vertical="center"/>
      <protection locked="0"/>
    </xf>
    <xf numFmtId="0" fontId="261" fillId="0" borderId="140" xfId="0" applyFont="1" applyFill="1" applyBorder="1" applyAlignment="1">
      <alignment horizontal="right" vertical="center"/>
    </xf>
    <xf numFmtId="0" fontId="261" fillId="0" borderId="30" xfId="0" applyFont="1" applyFill="1" applyBorder="1" applyAlignment="1">
      <alignment horizontal="right" vertical="center"/>
    </xf>
    <xf numFmtId="0" fontId="261" fillId="0" borderId="106" xfId="0" applyFont="1" applyFill="1" applyBorder="1" applyAlignment="1">
      <alignment horizontal="right" vertical="center"/>
    </xf>
    <xf numFmtId="0" fontId="44" fillId="0" borderId="135" xfId="0" applyFont="1" applyFill="1" applyBorder="1" applyAlignment="1" applyProtection="1">
      <alignment horizontal="right" vertical="center"/>
      <protection locked="0"/>
    </xf>
    <xf numFmtId="0" fontId="44" fillId="0" borderId="141" xfId="0" applyFont="1" applyFill="1" applyBorder="1" applyAlignment="1" applyProtection="1">
      <alignment horizontal="left" vertical="center"/>
      <protection locked="0"/>
    </xf>
    <xf numFmtId="0" fontId="261" fillId="0" borderId="142" xfId="0" applyFont="1" applyFill="1" applyBorder="1" applyAlignment="1">
      <alignment horizontal="left" vertical="center"/>
    </xf>
    <xf numFmtId="0" fontId="261" fillId="0" borderId="103" xfId="0" applyFont="1" applyFill="1" applyBorder="1" applyAlignment="1">
      <alignment horizontal="left" vertical="center"/>
    </xf>
    <xf numFmtId="0" fontId="261" fillId="0" borderId="104" xfId="0" applyFont="1" applyFill="1" applyBorder="1" applyAlignment="1">
      <alignment horizontal="left" vertical="center"/>
    </xf>
    <xf numFmtId="0" fontId="44" fillId="0" borderId="136" xfId="0" applyFont="1" applyFill="1" applyBorder="1" applyAlignment="1" applyProtection="1">
      <alignment horizontal="left" vertical="center"/>
      <protection locked="0"/>
    </xf>
    <xf numFmtId="0" fontId="44" fillId="0" borderId="137" xfId="0" applyFont="1" applyFill="1" applyBorder="1" applyAlignment="1" applyProtection="1">
      <alignment horizontal="left" vertical="center"/>
      <protection locked="0"/>
    </xf>
    <xf numFmtId="0" fontId="44" fillId="0" borderId="134" xfId="0" applyFont="1" applyFill="1" applyBorder="1" applyAlignment="1" applyProtection="1">
      <alignment horizontal="left" vertical="center"/>
      <protection locked="0"/>
    </xf>
    <xf numFmtId="0" fontId="261" fillId="0" borderId="28" xfId="0" applyFont="1" applyFill="1" applyBorder="1" applyAlignment="1">
      <alignment horizontal="center" vertical="center"/>
    </xf>
    <xf numFmtId="0" fontId="261" fillId="0" borderId="105" xfId="0" applyFont="1" applyFill="1" applyBorder="1" applyAlignment="1">
      <alignment horizontal="center" vertical="center"/>
    </xf>
    <xf numFmtId="0" fontId="44" fillId="0" borderId="134" xfId="0" applyFont="1" applyFill="1" applyBorder="1" applyAlignment="1" applyProtection="1">
      <alignment horizontal="center" vertical="center"/>
      <protection locked="0"/>
    </xf>
    <xf numFmtId="0" fontId="130" fillId="0" borderId="139" xfId="0" applyFont="1" applyFill="1" applyBorder="1" applyAlignment="1" applyProtection="1">
      <alignment horizontal="center" vertical="center"/>
      <protection locked="0"/>
    </xf>
    <xf numFmtId="0" fontId="130" fillId="0" borderId="135" xfId="0" applyFont="1" applyFill="1" applyBorder="1" applyAlignment="1" applyProtection="1">
      <alignment horizontal="center" vertical="center"/>
      <protection locked="0"/>
    </xf>
    <xf numFmtId="0" fontId="141" fillId="0" borderId="88" xfId="0" applyFont="1" applyFill="1" applyBorder="1" applyAlignment="1" applyProtection="1">
      <alignment horizontal="left" vertical="center"/>
      <protection locked="0"/>
    </xf>
    <xf numFmtId="0" fontId="141" fillId="0" borderId="133" xfId="0" applyFont="1" applyFill="1" applyBorder="1" applyAlignment="1" applyProtection="1">
      <alignment horizontal="left" vertical="center"/>
      <protection locked="0"/>
    </xf>
    <xf numFmtId="0" fontId="168" fillId="0" borderId="139" xfId="0" applyFont="1" applyFill="1" applyBorder="1" applyAlignment="1" applyProtection="1">
      <alignment horizontal="center" vertical="center"/>
      <protection locked="0"/>
    </xf>
    <xf numFmtId="0" fontId="109" fillId="0" borderId="141" xfId="0" applyFont="1" applyFill="1" applyBorder="1" applyAlignment="1" applyProtection="1">
      <alignment horizontal="center" vertical="center"/>
      <protection locked="0"/>
    </xf>
    <xf numFmtId="0" fontId="261" fillId="0" borderId="142" xfId="0" applyFont="1" applyFill="1" applyBorder="1" applyAlignment="1">
      <alignment vertical="center"/>
    </xf>
    <xf numFmtId="0" fontId="109" fillId="0" borderId="141" xfId="0" applyFont="1" applyFill="1" applyBorder="1" applyAlignment="1" applyProtection="1">
      <alignment vertical="center"/>
      <protection locked="0"/>
    </xf>
    <xf numFmtId="0" fontId="261" fillId="0" borderId="103" xfId="0" applyFont="1" applyFill="1" applyBorder="1" applyAlignment="1">
      <alignment vertical="center"/>
    </xf>
    <xf numFmtId="0" fontId="261" fillId="0" borderId="104" xfId="0" applyFont="1" applyFill="1" applyBorder="1" applyAlignment="1">
      <alignment vertical="center"/>
    </xf>
    <xf numFmtId="0" fontId="109" fillId="0" borderId="136" xfId="0" applyFont="1" applyFill="1" applyBorder="1" applyAlignment="1" applyProtection="1">
      <alignment vertical="center"/>
      <protection locked="0"/>
    </xf>
    <xf numFmtId="0" fontId="109" fillId="0" borderId="141" xfId="0" applyFont="1" applyFill="1" applyBorder="1" applyAlignment="1" applyProtection="1">
      <alignment horizontal="left" vertical="center" indent="1"/>
      <protection locked="0"/>
    </xf>
    <xf numFmtId="0" fontId="261" fillId="0" borderId="142" xfId="0" applyFont="1" applyFill="1" applyBorder="1" applyAlignment="1">
      <alignment horizontal="left" vertical="center" indent="1"/>
    </xf>
    <xf numFmtId="0" fontId="261" fillId="0" borderId="103" xfId="0" applyFont="1" applyFill="1" applyBorder="1" applyAlignment="1">
      <alignment horizontal="left" vertical="center" indent="1"/>
    </xf>
    <xf numFmtId="0" fontId="261" fillId="0" borderId="104" xfId="0" applyFont="1" applyFill="1" applyBorder="1" applyAlignment="1">
      <alignment horizontal="left" vertical="center" indent="1"/>
    </xf>
    <xf numFmtId="0" fontId="109" fillId="0" borderId="136" xfId="0" applyFont="1" applyFill="1" applyBorder="1" applyAlignment="1" applyProtection="1">
      <alignment horizontal="left" vertical="center" indent="1"/>
      <protection locked="0"/>
    </xf>
    <xf numFmtId="0" fontId="0" fillId="0" borderId="139" xfId="0" applyFont="1" applyFill="1" applyBorder="1" applyAlignment="1" applyProtection="1">
      <alignment horizontal="right" vertical="center"/>
      <protection locked="0"/>
    </xf>
    <xf numFmtId="0" fontId="287" fillId="0" borderId="140" xfId="0" applyFont="1" applyFill="1" applyBorder="1" applyAlignment="1">
      <alignment horizontal="right" vertical="center"/>
    </xf>
    <xf numFmtId="0" fontId="287" fillId="0" borderId="30" xfId="0" applyFont="1" applyFill="1" applyBorder="1" applyAlignment="1">
      <alignment horizontal="right" vertical="center"/>
    </xf>
    <xf numFmtId="0" fontId="287" fillId="0" borderId="106" xfId="0" applyFont="1" applyFill="1" applyBorder="1" applyAlignment="1">
      <alignment horizontal="right" vertical="center"/>
    </xf>
    <xf numFmtId="0" fontId="0" fillId="0" borderId="135" xfId="0" applyFont="1" applyFill="1" applyBorder="1" applyAlignment="1" applyProtection="1">
      <alignment horizontal="right" vertical="center"/>
      <protection locked="0"/>
    </xf>
    <xf numFmtId="0" fontId="44" fillId="0" borderId="139" xfId="0" applyFont="1" applyFill="1" applyBorder="1" applyAlignment="1" applyProtection="1">
      <alignment horizontal="left" vertical="center"/>
      <protection locked="0"/>
    </xf>
    <xf numFmtId="0" fontId="261" fillId="0" borderId="140" xfId="0" applyFont="1" applyFill="1" applyBorder="1" applyAlignment="1">
      <alignment horizontal="left" vertical="center"/>
    </xf>
    <xf numFmtId="0" fontId="261" fillId="0" borderId="30" xfId="0" applyFont="1" applyFill="1" applyBorder="1" applyAlignment="1">
      <alignment horizontal="left" vertical="center"/>
    </xf>
    <xf numFmtId="0" fontId="261" fillId="0" borderId="106" xfId="0" applyFont="1" applyFill="1" applyBorder="1" applyAlignment="1">
      <alignment horizontal="left" vertical="center"/>
    </xf>
    <xf numFmtId="0" fontId="44" fillId="0" borderId="135" xfId="0" applyFont="1" applyFill="1" applyBorder="1" applyAlignment="1" applyProtection="1">
      <alignment horizontal="left" vertical="center"/>
      <protection locked="0"/>
    </xf>
    <xf numFmtId="0" fontId="189" fillId="0" borderId="138" xfId="0" applyFont="1" applyFill="1" applyBorder="1" applyAlignment="1">
      <alignment horizontal="left" vertical="center"/>
    </xf>
    <xf numFmtId="0" fontId="189" fillId="0" borderId="28" xfId="0" applyFont="1" applyFill="1" applyBorder="1" applyAlignment="1">
      <alignment horizontal="left" vertical="center"/>
    </xf>
    <xf numFmtId="0" fontId="189" fillId="0" borderId="105" xfId="0" applyFont="1" applyFill="1" applyBorder="1" applyAlignment="1">
      <alignment horizontal="left" vertical="center"/>
    </xf>
    <xf numFmtId="0" fontId="189" fillId="0" borderId="142" xfId="0" applyFont="1" applyFill="1" applyBorder="1" applyAlignment="1">
      <alignment horizontal="left" vertical="center"/>
    </xf>
    <xf numFmtId="0" fontId="189" fillId="0" borderId="103" xfId="0" applyFont="1" applyFill="1" applyBorder="1" applyAlignment="1">
      <alignment horizontal="left" vertical="center"/>
    </xf>
    <xf numFmtId="0" fontId="189" fillId="0" borderId="104" xfId="0" applyFont="1" applyFill="1" applyBorder="1" applyAlignment="1">
      <alignment horizontal="left" vertical="center"/>
    </xf>
    <xf numFmtId="0" fontId="189" fillId="0" borderId="0" xfId="0" applyFont="1" applyFill="1" applyBorder="1" applyAlignment="1">
      <alignment horizontal="left" vertical="center"/>
    </xf>
    <xf numFmtId="0" fontId="0" fillId="0" borderId="49" xfId="0" applyFill="1" applyBorder="1" applyAlignment="1" applyProtection="1">
      <alignment vertical="center"/>
      <protection locked="0"/>
    </xf>
    <xf numFmtId="0" fontId="189" fillId="0" borderId="22" xfId="0" applyFont="1" applyFill="1" applyBorder="1" applyAlignment="1">
      <alignment vertical="center"/>
    </xf>
    <xf numFmtId="0" fontId="189" fillId="0" borderId="143" xfId="0" applyFont="1" applyFill="1" applyBorder="1" applyAlignment="1">
      <alignment vertical="center"/>
    </xf>
    <xf numFmtId="0" fontId="0" fillId="0" borderId="144" xfId="0" applyFill="1" applyBorder="1" applyAlignment="1" applyProtection="1">
      <alignment vertical="center"/>
      <protection locked="0"/>
    </xf>
    <xf numFmtId="0" fontId="189" fillId="0" borderId="4" xfId="0" applyFont="1" applyFill="1" applyBorder="1" applyAlignment="1">
      <alignment vertical="center"/>
    </xf>
    <xf numFmtId="0" fontId="231" fillId="0" borderId="0" xfId="0" applyFont="1" applyAlignment="1"/>
    <xf numFmtId="167" fontId="55" fillId="42" borderId="8" xfId="0" applyNumberFormat="1" applyFont="1" applyFill="1" applyBorder="1" applyAlignment="1">
      <alignment horizontal="left" vertical="center"/>
    </xf>
    <xf numFmtId="0" fontId="112" fillId="23" borderId="163" xfId="0" applyFont="1" applyFill="1" applyBorder="1" applyAlignment="1">
      <alignment horizontal="center" vertical="center" textRotation="90" wrapText="1"/>
    </xf>
    <xf numFmtId="0" fontId="112" fillId="20" borderId="129" xfId="0" applyFont="1" applyFill="1" applyBorder="1" applyAlignment="1">
      <alignment horizontal="center" vertical="center" textRotation="90" wrapText="1"/>
    </xf>
    <xf numFmtId="0" fontId="294" fillId="41" borderId="203" xfId="0" applyFont="1" applyFill="1" applyBorder="1" applyAlignment="1" applyProtection="1">
      <alignment horizontal="left" vertical="center"/>
      <protection locked="0"/>
    </xf>
    <xf numFmtId="0" fontId="100" fillId="41" borderId="204" xfId="0" applyFont="1" applyFill="1" applyBorder="1" applyAlignment="1" applyProtection="1">
      <alignment horizontal="left" vertical="center"/>
      <protection locked="0"/>
    </xf>
    <xf numFmtId="0" fontId="294" fillId="41" borderId="205" xfId="0" applyFont="1" applyFill="1" applyBorder="1" applyAlignment="1" applyProtection="1">
      <alignment horizontal="left" vertical="center"/>
      <protection locked="0"/>
    </xf>
    <xf numFmtId="0" fontId="237" fillId="41" borderId="205" xfId="0" applyFont="1" applyFill="1" applyBorder="1" applyAlignment="1" applyProtection="1">
      <alignment horizontal="left" vertical="center"/>
      <protection locked="0"/>
    </xf>
    <xf numFmtId="0" fontId="295" fillId="41" borderId="203" xfId="0" applyFont="1" applyFill="1" applyBorder="1" applyAlignment="1" applyProtection="1">
      <alignment horizontal="left" vertical="center" wrapText="1"/>
      <protection locked="0"/>
    </xf>
    <xf numFmtId="0" fontId="295" fillId="41" borderId="203" xfId="0" applyFont="1" applyFill="1" applyBorder="1" applyAlignment="1" applyProtection="1">
      <alignment horizontal="left" vertical="center"/>
      <protection locked="0"/>
    </xf>
    <xf numFmtId="0" fontId="224" fillId="41" borderId="204" xfId="0" applyFont="1" applyFill="1" applyBorder="1" applyAlignment="1" applyProtection="1">
      <alignment horizontal="left" vertical="center"/>
      <protection locked="0"/>
    </xf>
    <xf numFmtId="0" fontId="252" fillId="41" borderId="205" xfId="0" applyFont="1" applyFill="1" applyBorder="1" applyAlignment="1" applyProtection="1">
      <alignment horizontal="left" vertical="center" wrapText="1"/>
      <protection locked="0"/>
    </xf>
    <xf numFmtId="0" fontId="296" fillId="41" borderId="203" xfId="0" applyFont="1" applyFill="1" applyBorder="1" applyAlignment="1" applyProtection="1">
      <alignment horizontal="left" vertical="center" wrapText="1"/>
      <protection locked="0"/>
    </xf>
    <xf numFmtId="0" fontId="100" fillId="41" borderId="203" xfId="0" applyFont="1" applyFill="1" applyBorder="1" applyAlignment="1" applyProtection="1">
      <alignment horizontal="left" vertical="center"/>
      <protection locked="0"/>
    </xf>
    <xf numFmtId="0" fontId="252" fillId="41" borderId="205" xfId="0" applyFont="1" applyFill="1" applyBorder="1" applyAlignment="1" applyProtection="1">
      <alignment horizontal="left" vertical="center"/>
      <protection locked="0"/>
    </xf>
    <xf numFmtId="0" fontId="295" fillId="41" borderId="204" xfId="0" applyFont="1" applyFill="1" applyBorder="1" applyAlignment="1" applyProtection="1">
      <alignment horizontal="left" vertical="center"/>
      <protection locked="0"/>
    </xf>
    <xf numFmtId="0" fontId="170" fillId="41" borderId="205" xfId="0" applyFont="1" applyFill="1" applyBorder="1" applyAlignment="1" applyProtection="1">
      <alignment horizontal="left" vertical="center"/>
      <protection locked="0"/>
    </xf>
    <xf numFmtId="0" fontId="100" fillId="41" borderId="203" xfId="0" applyFont="1" applyFill="1" applyBorder="1" applyAlignment="1" applyProtection="1">
      <alignment horizontal="left" vertical="center" wrapText="1"/>
      <protection locked="0"/>
    </xf>
    <xf numFmtId="0" fontId="237" fillId="41" borderId="203" xfId="0" applyFont="1" applyFill="1" applyBorder="1" applyAlignment="1" applyProtection="1">
      <alignment horizontal="left" vertical="center"/>
      <protection locked="0"/>
    </xf>
    <xf numFmtId="0" fontId="237" fillId="41" borderId="205" xfId="0" applyFont="1" applyFill="1" applyBorder="1" applyAlignment="1" applyProtection="1">
      <alignment horizontal="left" vertical="center" wrapText="1"/>
      <protection locked="0"/>
    </xf>
    <xf numFmtId="0" fontId="28" fillId="41" borderId="203" xfId="0" applyFont="1" applyFill="1" applyBorder="1" applyAlignment="1" applyProtection="1">
      <alignment horizontal="left" vertical="center" wrapText="1"/>
      <protection locked="0"/>
    </xf>
    <xf numFmtId="0" fontId="237" fillId="40" borderId="206" xfId="0" applyFont="1" applyFill="1" applyBorder="1" applyAlignment="1">
      <alignment horizontal="left" vertical="center" wrapText="1"/>
    </xf>
    <xf numFmtId="0" fontId="294" fillId="41" borderId="207" xfId="0" applyFont="1" applyFill="1" applyBorder="1" applyAlignment="1" applyProtection="1">
      <alignment horizontal="left" vertical="center"/>
      <protection locked="0"/>
    </xf>
    <xf numFmtId="0" fontId="100" fillId="41" borderId="202" xfId="0" applyFont="1" applyFill="1" applyBorder="1" applyAlignment="1" applyProtection="1">
      <alignment horizontal="left" vertical="center"/>
      <protection locked="0"/>
    </xf>
    <xf numFmtId="0" fontId="294" fillId="41" borderId="208" xfId="0" applyFont="1" applyFill="1" applyBorder="1" applyAlignment="1" applyProtection="1">
      <alignment horizontal="left" vertical="center"/>
      <protection locked="0"/>
    </xf>
    <xf numFmtId="0" fontId="237" fillId="41" borderId="208" xfId="0" applyFont="1" applyFill="1" applyBorder="1" applyAlignment="1" applyProtection="1">
      <alignment horizontal="left" vertical="center"/>
      <protection locked="0"/>
    </xf>
    <xf numFmtId="0" fontId="295" fillId="41" borderId="207" xfId="0" applyFont="1" applyFill="1" applyBorder="1" applyAlignment="1" applyProtection="1">
      <alignment horizontal="left" vertical="center" wrapText="1"/>
      <protection locked="0"/>
    </xf>
    <xf numFmtId="0" fontId="295" fillId="41" borderId="207" xfId="0" applyFont="1" applyFill="1" applyBorder="1" applyAlignment="1" applyProtection="1">
      <alignment horizontal="left" vertical="center"/>
      <protection locked="0"/>
    </xf>
    <xf numFmtId="0" fontId="170" fillId="41" borderId="202" xfId="0" applyFont="1" applyFill="1" applyBorder="1" applyAlignment="1" applyProtection="1">
      <alignment horizontal="left" vertical="center"/>
      <protection locked="0"/>
    </xf>
    <xf numFmtId="0" fontId="252" fillId="41" borderId="208" xfId="0" applyFont="1" applyFill="1" applyBorder="1" applyAlignment="1" applyProtection="1">
      <alignment horizontal="left" vertical="center" wrapText="1"/>
      <protection locked="0"/>
    </xf>
    <xf numFmtId="0" fontId="224" fillId="41" borderId="207" xfId="0" applyFont="1" applyFill="1" applyBorder="1" applyAlignment="1" applyProtection="1">
      <alignment horizontal="left" vertical="center"/>
      <protection locked="0"/>
    </xf>
    <xf numFmtId="0" fontId="224" fillId="41" borderId="202" xfId="0" applyFont="1" applyFill="1" applyBorder="1" applyAlignment="1" applyProtection="1">
      <alignment horizontal="left" vertical="center"/>
      <protection locked="0"/>
    </xf>
    <xf numFmtId="0" fontId="252" fillId="41" borderId="208" xfId="0" applyFont="1" applyFill="1" applyBorder="1" applyAlignment="1" applyProtection="1">
      <alignment horizontal="left" vertical="center"/>
      <protection locked="0"/>
    </xf>
    <xf numFmtId="0" fontId="295" fillId="41" borderId="202" xfId="0" applyFont="1" applyFill="1" applyBorder="1" applyAlignment="1" applyProtection="1">
      <alignment horizontal="left" vertical="center"/>
      <protection locked="0"/>
    </xf>
    <xf numFmtId="0" fontId="306" fillId="41" borderId="208" xfId="0" applyFont="1" applyFill="1" applyBorder="1" applyAlignment="1" applyProtection="1">
      <alignment horizontal="left" vertical="center"/>
      <protection locked="0"/>
    </xf>
    <xf numFmtId="0" fontId="170" fillId="41" borderId="208" xfId="0" applyFont="1" applyFill="1" applyBorder="1" applyAlignment="1" applyProtection="1">
      <alignment horizontal="left" vertical="center"/>
      <protection locked="0"/>
    </xf>
    <xf numFmtId="0" fontId="100" fillId="41" borderId="207" xfId="0" applyFont="1" applyFill="1" applyBorder="1" applyAlignment="1" applyProtection="1">
      <alignment horizontal="left" vertical="center"/>
      <protection locked="0"/>
    </xf>
    <xf numFmtId="0" fontId="237" fillId="41" borderId="207" xfId="0" applyFont="1" applyFill="1" applyBorder="1" applyAlignment="1" applyProtection="1">
      <alignment horizontal="left" vertical="center"/>
      <protection locked="0"/>
    </xf>
    <xf numFmtId="0" fontId="100" fillId="41" borderId="207" xfId="0" applyFont="1" applyFill="1" applyBorder="1" applyAlignment="1" applyProtection="1">
      <alignment horizontal="left" vertical="center" wrapText="1"/>
      <protection locked="0"/>
    </xf>
    <xf numFmtId="0" fontId="237" fillId="41" borderId="208" xfId="0" applyFont="1" applyFill="1" applyBorder="1" applyAlignment="1" applyProtection="1">
      <alignment horizontal="left" vertical="center" wrapText="1"/>
      <protection locked="0"/>
    </xf>
    <xf numFmtId="0" fontId="28" fillId="41" borderId="207" xfId="0" applyFont="1" applyFill="1" applyBorder="1" applyAlignment="1" applyProtection="1">
      <alignment horizontal="left" vertical="center" wrapText="1"/>
      <protection locked="0"/>
    </xf>
    <xf numFmtId="0" fontId="237" fillId="40" borderId="209" xfId="0" applyFont="1" applyFill="1" applyBorder="1" applyAlignment="1">
      <alignment horizontal="left" vertical="center" wrapText="1"/>
    </xf>
    <xf numFmtId="0" fontId="1" fillId="18" borderId="28" xfId="0" applyFont="1" applyFill="1" applyBorder="1" applyAlignment="1"/>
    <xf numFmtId="49" fontId="46" fillId="18" borderId="28" xfId="0" applyNumberFormat="1" applyFont="1" applyFill="1" applyBorder="1" applyAlignment="1">
      <alignment vertical="top"/>
    </xf>
    <xf numFmtId="0" fontId="114" fillId="18" borderId="43" xfId="0" applyFont="1" applyFill="1" applyBorder="1" applyAlignment="1">
      <alignment vertical="top" wrapText="1"/>
    </xf>
    <xf numFmtId="49" fontId="46" fillId="0" borderId="28" xfId="0" applyNumberFormat="1" applyFont="1" applyBorder="1" applyAlignment="1">
      <alignment vertical="top"/>
    </xf>
    <xf numFmtId="0" fontId="114" fillId="0" borderId="43" xfId="0" applyFont="1" applyBorder="1" applyAlignment="1">
      <alignment vertical="top" wrapText="1"/>
    </xf>
    <xf numFmtId="0" fontId="61" fillId="0" borderId="43" xfId="0" applyFont="1" applyBorder="1" applyAlignment="1">
      <alignment vertical="top" wrapText="1"/>
    </xf>
    <xf numFmtId="0" fontId="6" fillId="11" borderId="63" xfId="0" applyFont="1" applyFill="1" applyBorder="1" applyAlignment="1">
      <alignment horizontal="center" textRotation="90" wrapText="1"/>
    </xf>
    <xf numFmtId="0" fontId="0" fillId="0" borderId="16" xfId="0" applyFill="1" applyBorder="1" applyAlignment="1">
      <alignment vertical="top"/>
    </xf>
    <xf numFmtId="0" fontId="0" fillId="0" borderId="16" xfId="0" applyFill="1" applyBorder="1" applyAlignment="1">
      <alignment horizontal="center" vertical="top"/>
    </xf>
    <xf numFmtId="0" fontId="0" fillId="0" borderId="211" xfId="0" applyFill="1" applyBorder="1" applyAlignment="1">
      <alignment horizontal="center" vertical="top"/>
    </xf>
    <xf numFmtId="0" fontId="157" fillId="0" borderId="16" xfId="0" applyFont="1" applyFill="1" applyBorder="1" applyAlignment="1">
      <alignment horizontal="center" vertical="top"/>
    </xf>
    <xf numFmtId="0" fontId="37" fillId="0" borderId="212" xfId="0" applyFont="1" applyFill="1" applyBorder="1" applyAlignment="1">
      <alignment horizontal="center" vertical="top"/>
    </xf>
    <xf numFmtId="0" fontId="37" fillId="0" borderId="16" xfId="0" applyFont="1" applyFill="1" applyBorder="1" applyAlignment="1">
      <alignment horizontal="center" vertical="top"/>
    </xf>
    <xf numFmtId="0" fontId="157" fillId="0" borderId="210" xfId="0" applyFont="1" applyFill="1" applyBorder="1" applyAlignment="1">
      <alignment horizontal="center" vertical="top"/>
    </xf>
    <xf numFmtId="0" fontId="0" fillId="0" borderId="213" xfId="0" applyBorder="1" applyAlignment="1">
      <alignment vertical="top"/>
    </xf>
    <xf numFmtId="0" fontId="1" fillId="0" borderId="210" xfId="0" applyFont="1" applyFill="1" applyBorder="1" applyAlignment="1">
      <alignment vertical="top"/>
    </xf>
    <xf numFmtId="0" fontId="1" fillId="0" borderId="213" xfId="0" applyFont="1" applyFill="1" applyBorder="1" applyAlignment="1">
      <alignment vertical="top" wrapText="1"/>
    </xf>
    <xf numFmtId="0" fontId="1" fillId="0" borderId="155" xfId="0" applyFont="1" applyFill="1" applyBorder="1" applyAlignment="1">
      <alignment vertical="top" wrapText="1"/>
    </xf>
    <xf numFmtId="49" fontId="142" fillId="0" borderId="141" xfId="0" applyNumberFormat="1" applyFont="1" applyFill="1" applyBorder="1" applyAlignment="1">
      <alignment vertical="center"/>
    </xf>
    <xf numFmtId="0" fontId="133" fillId="0" borderId="104" xfId="0" applyFont="1" applyFill="1" applyBorder="1" applyAlignment="1">
      <alignment horizontal="center" vertical="center" wrapText="1"/>
    </xf>
    <xf numFmtId="0" fontId="23" fillId="31" borderId="58" xfId="0" applyFont="1" applyFill="1" applyBorder="1" applyAlignment="1">
      <alignment vertical="center" textRotation="90" wrapText="1"/>
    </xf>
    <xf numFmtId="0" fontId="23" fillId="31" borderId="122" xfId="0" applyFont="1" applyFill="1" applyBorder="1" applyAlignment="1">
      <alignment vertical="center" textRotation="90" wrapText="1"/>
    </xf>
    <xf numFmtId="0" fontId="23" fillId="31" borderId="3" xfId="0" applyFont="1" applyFill="1" applyBorder="1" applyAlignment="1">
      <alignment vertical="center" textRotation="90" wrapText="1"/>
    </xf>
    <xf numFmtId="49" fontId="233" fillId="0" borderId="0" xfId="0" applyNumberFormat="1" applyFont="1" applyFill="1" applyBorder="1" applyAlignment="1">
      <alignment vertical="center"/>
    </xf>
    <xf numFmtId="0" fontId="169" fillId="31" borderId="13" xfId="0" applyFont="1" applyFill="1" applyBorder="1" applyAlignment="1">
      <alignment vertical="center" textRotation="90" wrapText="1"/>
    </xf>
    <xf numFmtId="49" fontId="112" fillId="11" borderId="32" xfId="0" applyNumberFormat="1" applyFont="1" applyFill="1" applyBorder="1" applyAlignment="1">
      <alignment horizontal="center" vertical="center" wrapText="1"/>
    </xf>
    <xf numFmtId="0" fontId="33" fillId="11" borderId="79" xfId="0" applyFont="1" applyFill="1" applyBorder="1" applyAlignment="1">
      <alignment horizontal="center" vertical="center" textRotation="90" wrapText="1"/>
    </xf>
    <xf numFmtId="0" fontId="285" fillId="2" borderId="0" xfId="0" applyFont="1" applyFill="1" applyAlignment="1">
      <alignment horizontal="center" vertical="center" textRotation="90" wrapText="1"/>
    </xf>
    <xf numFmtId="0" fontId="240" fillId="38" borderId="181" xfId="0" applyFont="1" applyFill="1" applyBorder="1" applyAlignment="1">
      <alignment vertical="top" wrapText="1"/>
    </xf>
    <xf numFmtId="0" fontId="240" fillId="7" borderId="181" xfId="0" applyFont="1" applyFill="1" applyBorder="1" applyAlignment="1">
      <alignment vertical="top" wrapText="1"/>
    </xf>
    <xf numFmtId="0" fontId="116" fillId="34" borderId="180" xfId="0" applyFont="1" applyFill="1" applyBorder="1" applyAlignment="1">
      <alignment horizontal="center" vertical="top" wrapText="1"/>
    </xf>
    <xf numFmtId="0" fontId="312" fillId="34" borderId="181" xfId="0" applyFont="1" applyFill="1" applyBorder="1" applyAlignment="1">
      <alignment vertical="top" wrapText="1"/>
    </xf>
    <xf numFmtId="0" fontId="90" fillId="40" borderId="0" xfId="0" applyFont="1" applyFill="1"/>
    <xf numFmtId="165" fontId="134" fillId="40" borderId="0" xfId="0" applyNumberFormat="1" applyFont="1" applyFill="1"/>
    <xf numFmtId="0" fontId="90" fillId="40" borderId="0" xfId="0" applyFont="1" applyFill="1" applyAlignment="1">
      <alignment vertical="center"/>
    </xf>
    <xf numFmtId="165" fontId="134" fillId="40" borderId="0" xfId="0" applyNumberFormat="1" applyFont="1" applyFill="1" applyAlignment="1">
      <alignment vertical="center"/>
    </xf>
    <xf numFmtId="0" fontId="1" fillId="18" borderId="154" xfId="0" applyFont="1" applyFill="1" applyBorder="1" applyAlignment="1">
      <alignment vertical="top" wrapText="1"/>
    </xf>
    <xf numFmtId="0" fontId="1" fillId="18" borderId="158" xfId="0" applyFont="1" applyFill="1" applyBorder="1" applyAlignment="1">
      <alignment vertical="top" wrapText="1"/>
    </xf>
    <xf numFmtId="0" fontId="1" fillId="18" borderId="156" xfId="0" applyFont="1" applyFill="1" applyBorder="1" applyAlignment="1">
      <alignment vertical="top" wrapText="1"/>
    </xf>
    <xf numFmtId="166" fontId="79" fillId="40" borderId="0" xfId="0" applyNumberFormat="1" applyFont="1" applyFill="1" applyAlignment="1">
      <alignment horizontal="left"/>
    </xf>
    <xf numFmtId="166" fontId="90" fillId="42" borderId="0" xfId="0" applyNumberFormat="1" applyFont="1" applyFill="1" applyAlignment="1">
      <alignment horizontal="left"/>
    </xf>
    <xf numFmtId="166" fontId="90" fillId="42" borderId="0" xfId="0" applyNumberFormat="1" applyFont="1" applyFill="1" applyAlignment="1"/>
    <xf numFmtId="166" fontId="90" fillId="42" borderId="0" xfId="0" applyNumberFormat="1" applyFont="1" applyFill="1" applyAlignment="1">
      <alignment horizontal="right"/>
    </xf>
    <xf numFmtId="0" fontId="0" fillId="42" borderId="201" xfId="0" applyFill="1" applyBorder="1"/>
    <xf numFmtId="0" fontId="0" fillId="42" borderId="15" xfId="0" applyFill="1" applyBorder="1"/>
    <xf numFmtId="0" fontId="26" fillId="42" borderId="0" xfId="0" quotePrefix="1" applyFont="1" applyFill="1" applyAlignment="1">
      <alignment horizontal="center" vertical="center"/>
    </xf>
    <xf numFmtId="0" fontId="6" fillId="42" borderId="0" xfId="0" applyFont="1" applyFill="1"/>
    <xf numFmtId="0" fontId="3" fillId="42" borderId="0" xfId="0" applyFont="1" applyFill="1"/>
    <xf numFmtId="0" fontId="29" fillId="3" borderId="75" xfId="0" applyFont="1" applyFill="1" applyBorder="1" applyAlignment="1"/>
    <xf numFmtId="0" fontId="91" fillId="0" borderId="28" xfId="0" applyFont="1" applyFill="1" applyBorder="1" applyAlignment="1">
      <alignment horizontal="left" vertical="center" wrapText="1" indent="2"/>
    </xf>
    <xf numFmtId="49" fontId="3" fillId="0" borderId="66" xfId="0" applyNumberFormat="1" applyFont="1" applyFill="1" applyBorder="1" applyAlignment="1">
      <alignment horizontal="centerContinuous" vertical="center" wrapText="1"/>
    </xf>
    <xf numFmtId="0" fontId="6" fillId="0" borderId="0" xfId="0" quotePrefix="1" applyFont="1" applyFill="1" applyAlignment="1">
      <alignment horizontal="left"/>
    </xf>
    <xf numFmtId="0" fontId="166" fillId="0" borderId="0" xfId="0" applyFont="1" applyFill="1" applyAlignment="1">
      <alignment horizontal="left" vertical="top" indent="1"/>
    </xf>
    <xf numFmtId="0" fontId="319" fillId="3" borderId="12" xfId="0" applyFont="1" applyFill="1" applyBorder="1" applyAlignment="1" applyProtection="1">
      <alignment horizontal="center" vertical="center"/>
      <protection locked="0"/>
    </xf>
    <xf numFmtId="0" fontId="319" fillId="3" borderId="57" xfId="0" applyFont="1" applyFill="1" applyBorder="1" applyAlignment="1" applyProtection="1">
      <alignment horizontal="center" vertical="center"/>
      <protection locked="0"/>
    </xf>
    <xf numFmtId="0" fontId="319" fillId="3" borderId="58" xfId="0" applyFont="1" applyFill="1" applyBorder="1" applyAlignment="1" applyProtection="1">
      <alignment horizontal="center" vertical="center"/>
      <protection locked="0"/>
    </xf>
    <xf numFmtId="0" fontId="319" fillId="3" borderId="24" xfId="0" applyFont="1" applyFill="1" applyBorder="1" applyAlignment="1" applyProtection="1">
      <alignment horizontal="center" vertical="center"/>
      <protection locked="0"/>
    </xf>
    <xf numFmtId="0" fontId="319" fillId="3" borderId="66" xfId="0" applyFont="1" applyFill="1" applyBorder="1" applyAlignment="1" applyProtection="1">
      <alignment horizontal="center" vertical="center"/>
      <protection locked="0"/>
    </xf>
    <xf numFmtId="0" fontId="140" fillId="0" borderId="58" xfId="0" applyFont="1" applyFill="1" applyBorder="1" applyAlignment="1">
      <alignment horizontal="left" vertical="center" wrapText="1" indent="2"/>
    </xf>
    <xf numFmtId="0" fontId="3" fillId="0" borderId="58" xfId="0" applyFont="1" applyFill="1" applyBorder="1" applyAlignment="1" applyProtection="1">
      <alignment horizontal="left" vertical="center" wrapText="1" indent="2"/>
      <protection locked="0"/>
    </xf>
    <xf numFmtId="0" fontId="93" fillId="2" borderId="58" xfId="0" applyFont="1" applyFill="1" applyBorder="1" applyAlignment="1" applyProtection="1">
      <alignment horizontal="left" vertical="top" wrapText="1" indent="2"/>
      <protection locked="0"/>
    </xf>
    <xf numFmtId="0" fontId="316" fillId="0" borderId="0" xfId="0" applyFont="1" applyFill="1"/>
    <xf numFmtId="0" fontId="95" fillId="40" borderId="0" xfId="0" applyFont="1" applyFill="1" applyAlignment="1">
      <alignment vertical="center"/>
    </xf>
    <xf numFmtId="0" fontId="98" fillId="40" borderId="28" xfId="0" applyFont="1" applyFill="1" applyBorder="1" applyAlignment="1">
      <alignment horizontal="left" vertical="center" wrapText="1"/>
    </xf>
    <xf numFmtId="0" fontId="98" fillId="40" borderId="0" xfId="0" applyFont="1" applyFill="1" applyBorder="1" applyAlignment="1">
      <alignment horizontal="left" vertical="center" wrapText="1"/>
    </xf>
    <xf numFmtId="0" fontId="224" fillId="0" borderId="28" xfId="0" applyFont="1" applyFill="1" applyBorder="1" applyAlignment="1">
      <alignment horizontal="left" vertical="center"/>
    </xf>
    <xf numFmtId="0" fontId="0" fillId="0" borderId="0" xfId="0" applyFont="1" applyBorder="1" applyAlignment="1">
      <alignment horizontal="center"/>
    </xf>
    <xf numFmtId="0" fontId="37" fillId="0" borderId="0" xfId="0" applyFont="1" applyBorder="1" applyAlignment="1">
      <alignment horizontal="center"/>
    </xf>
    <xf numFmtId="0" fontId="104" fillId="0" borderId="0" xfId="0" applyFont="1" applyBorder="1" applyAlignment="1"/>
    <xf numFmtId="0" fontId="0" fillId="40" borderId="215" xfId="0" applyFill="1" applyBorder="1" applyAlignment="1"/>
    <xf numFmtId="0" fontId="18" fillId="40" borderId="215" xfId="1" applyFill="1" applyBorder="1" applyAlignment="1"/>
    <xf numFmtId="49" fontId="7" fillId="20" borderId="0" xfId="0" applyNumberFormat="1" applyFont="1" applyFill="1" applyAlignment="1">
      <alignment horizontal="right" vertical="center"/>
    </xf>
    <xf numFmtId="0" fontId="293" fillId="20" borderId="0" xfId="0" quotePrefix="1" applyNumberFormat="1" applyFont="1" applyFill="1" applyAlignment="1">
      <alignment horizontal="right" vertical="center"/>
    </xf>
    <xf numFmtId="0" fontId="0" fillId="20" borderId="8" xfId="0" applyFont="1" applyFill="1" applyBorder="1" applyAlignment="1">
      <alignment vertical="center"/>
    </xf>
    <xf numFmtId="0" fontId="109" fillId="20" borderId="26" xfId="0" applyFont="1" applyFill="1" applyBorder="1" applyAlignment="1">
      <alignment horizontal="center" vertical="center"/>
    </xf>
    <xf numFmtId="0" fontId="72" fillId="20" borderId="28" xfId="0" applyFont="1" applyFill="1" applyBorder="1" applyAlignment="1">
      <alignment horizontal="left" vertical="center" wrapText="1" indent="4"/>
    </xf>
    <xf numFmtId="0" fontId="33" fillId="20" borderId="13" xfId="0" applyFont="1" applyFill="1" applyBorder="1" applyAlignment="1">
      <alignment horizontal="left" vertical="center" wrapText="1"/>
    </xf>
    <xf numFmtId="0" fontId="238" fillId="20" borderId="0" xfId="0" applyFont="1" applyFill="1" applyAlignment="1">
      <alignment vertical="center"/>
    </xf>
    <xf numFmtId="0" fontId="32" fillId="20" borderId="0" xfId="0" applyFont="1" applyFill="1" applyBorder="1" applyAlignment="1">
      <alignment vertical="center" wrapText="1"/>
    </xf>
    <xf numFmtId="0" fontId="12" fillId="20" borderId="0" xfId="0" applyFont="1" applyFill="1" applyAlignment="1">
      <alignment vertical="center"/>
    </xf>
    <xf numFmtId="0" fontId="0" fillId="20" borderId="0" xfId="0" applyFont="1" applyFill="1" applyAlignment="1">
      <alignment vertical="center"/>
    </xf>
    <xf numFmtId="49" fontId="142" fillId="20" borderId="28" xfId="0" applyNumberFormat="1" applyFont="1" applyFill="1" applyBorder="1" applyAlignment="1">
      <alignment vertical="top"/>
    </xf>
    <xf numFmtId="0" fontId="109" fillId="20" borderId="0" xfId="0" applyFont="1" applyFill="1" applyBorder="1" applyAlignment="1">
      <alignment vertical="center"/>
    </xf>
    <xf numFmtId="0" fontId="3" fillId="0" borderId="162" xfId="0" applyFont="1" applyFill="1" applyBorder="1" applyAlignment="1">
      <alignment horizontal="centerContinuous" vertical="center" wrapText="1"/>
    </xf>
    <xf numFmtId="0" fontId="10" fillId="0" borderId="16" xfId="0" applyFont="1" applyFill="1" applyBorder="1" applyAlignment="1">
      <alignment horizontal="centerContinuous" vertical="center" wrapText="1"/>
    </xf>
    <xf numFmtId="0" fontId="10" fillId="0" borderId="161" xfId="0" applyFont="1" applyFill="1" applyBorder="1" applyAlignment="1">
      <alignment horizontal="centerContinuous" vertical="center" wrapText="1"/>
    </xf>
    <xf numFmtId="49" fontId="3" fillId="0" borderId="162" xfId="0" applyNumberFormat="1" applyFont="1" applyFill="1" applyBorder="1" applyAlignment="1">
      <alignment horizontal="centerContinuous" vertical="center" wrapText="1"/>
    </xf>
    <xf numFmtId="49" fontId="10" fillId="0" borderId="66" xfId="0" applyNumberFormat="1" applyFont="1" applyFill="1" applyBorder="1" applyAlignment="1">
      <alignment horizontal="centerContinuous" vertical="center" wrapText="1"/>
    </xf>
    <xf numFmtId="0" fontId="72" fillId="0" borderId="28" xfId="0" applyFont="1" applyFill="1" applyBorder="1" applyAlignment="1">
      <alignment horizontal="left" vertical="center" wrapText="1" indent="2"/>
    </xf>
    <xf numFmtId="0" fontId="39" fillId="2" borderId="28" xfId="0" applyFont="1" applyFill="1" applyBorder="1" applyAlignment="1">
      <alignment horizontal="left" vertical="center" wrapText="1" indent="4"/>
    </xf>
    <xf numFmtId="0" fontId="212" fillId="2" borderId="28" xfId="0" applyFont="1" applyFill="1" applyBorder="1" applyAlignment="1">
      <alignment horizontal="left" vertical="center" wrapText="1" indent="4"/>
    </xf>
    <xf numFmtId="0" fontId="212" fillId="2" borderId="28" xfId="0" applyFont="1" applyFill="1" applyBorder="1" applyAlignment="1">
      <alignment horizontal="left" vertical="center" wrapText="1" indent="2"/>
    </xf>
    <xf numFmtId="0" fontId="211" fillId="0" borderId="28" xfId="0" applyFont="1" applyFill="1" applyBorder="1" applyAlignment="1">
      <alignment horizontal="left" vertical="center" wrapText="1" indent="2"/>
    </xf>
    <xf numFmtId="49" fontId="322" fillId="0" borderId="28" xfId="0" applyNumberFormat="1" applyFont="1" applyFill="1" applyBorder="1" applyAlignment="1">
      <alignment horizontal="right" vertical="center"/>
    </xf>
    <xf numFmtId="49" fontId="321" fillId="0" borderId="28" xfId="0" applyNumberFormat="1" applyFont="1" applyFill="1" applyBorder="1" applyAlignment="1">
      <alignment horizontal="right"/>
    </xf>
    <xf numFmtId="49" fontId="322" fillId="0" borderId="28" xfId="0" applyNumberFormat="1" applyFont="1" applyFill="1" applyBorder="1" applyAlignment="1">
      <alignment horizontal="right"/>
    </xf>
    <xf numFmtId="49" fontId="321" fillId="0" borderId="28" xfId="0" applyNumberFormat="1" applyFont="1" applyFill="1" applyBorder="1" applyAlignment="1">
      <alignment horizontal="right" vertical="center"/>
    </xf>
    <xf numFmtId="0" fontId="165" fillId="0" borderId="138" xfId="0" applyFont="1" applyBorder="1" applyAlignment="1">
      <alignment horizontal="left" vertical="center" wrapText="1" indent="2"/>
    </xf>
    <xf numFmtId="0" fontId="7" fillId="0" borderId="189" xfId="0" applyFont="1" applyBorder="1" applyAlignment="1">
      <alignment vertical="center"/>
    </xf>
    <xf numFmtId="0" fontId="7" fillId="0" borderId="192" xfId="0" applyFont="1" applyBorder="1" applyAlignment="1">
      <alignment vertical="center"/>
    </xf>
    <xf numFmtId="0" fontId="39" fillId="40" borderId="0" xfId="0" applyFont="1" applyFill="1" applyAlignment="1">
      <alignment horizontal="center"/>
    </xf>
    <xf numFmtId="0" fontId="240" fillId="11" borderId="85" xfId="0" applyFont="1" applyFill="1" applyBorder="1" applyAlignment="1">
      <alignment horizontal="center"/>
    </xf>
    <xf numFmtId="0" fontId="240" fillId="11" borderId="71" xfId="0" applyFont="1" applyFill="1" applyBorder="1" applyAlignment="1">
      <alignment horizontal="center"/>
    </xf>
    <xf numFmtId="9" fontId="240" fillId="11" borderId="71" xfId="0" applyNumberFormat="1" applyFont="1" applyFill="1" applyBorder="1" applyAlignment="1">
      <alignment horizontal="center"/>
    </xf>
    <xf numFmtId="0" fontId="240" fillId="11" borderId="86" xfId="0" applyFont="1" applyFill="1" applyBorder="1" applyAlignment="1">
      <alignment horizontal="center"/>
    </xf>
    <xf numFmtId="0" fontId="100" fillId="40" borderId="1" xfId="0" applyFont="1" applyFill="1" applyBorder="1" applyAlignment="1">
      <alignment vertical="center"/>
    </xf>
    <xf numFmtId="0" fontId="100" fillId="40" borderId="1" xfId="0" quotePrefix="1" applyFont="1" applyFill="1" applyBorder="1" applyAlignment="1">
      <alignment vertical="center"/>
    </xf>
    <xf numFmtId="0" fontId="100" fillId="0" borderId="140" xfId="0" applyFont="1" applyBorder="1" applyAlignment="1">
      <alignment horizontal="center" vertical="center" wrapText="1"/>
    </xf>
    <xf numFmtId="0" fontId="7" fillId="0" borderId="0" xfId="0" applyFont="1" applyFill="1" applyAlignment="1">
      <alignment horizontal="right" vertical="top"/>
    </xf>
    <xf numFmtId="0" fontId="3" fillId="42" borderId="8" xfId="0" applyFont="1" applyFill="1" applyBorder="1" applyAlignment="1">
      <alignment horizontal="left" vertical="top" wrapText="1"/>
    </xf>
    <xf numFmtId="49" fontId="1" fillId="41" borderId="122" xfId="0" applyNumberFormat="1" applyFont="1" applyFill="1" applyBorder="1" applyAlignment="1">
      <alignment horizontal="left" vertical="center"/>
    </xf>
    <xf numFmtId="0" fontId="100" fillId="41" borderId="218" xfId="0" applyFont="1" applyFill="1" applyBorder="1" applyAlignment="1" applyProtection="1">
      <alignment horizontal="left" vertical="center"/>
      <protection locked="0"/>
    </xf>
    <xf numFmtId="0" fontId="294" fillId="41" borderId="219" xfId="0" applyFont="1" applyFill="1" applyBorder="1" applyAlignment="1" applyProtection="1">
      <alignment horizontal="left" vertical="center"/>
      <protection locked="0"/>
    </xf>
    <xf numFmtId="0" fontId="237" fillId="41" borderId="219" xfId="0" applyFont="1" applyFill="1" applyBorder="1" applyAlignment="1" applyProtection="1">
      <alignment horizontal="left" vertical="center"/>
      <protection locked="0"/>
    </xf>
    <xf numFmtId="0" fontId="295" fillId="41" borderId="217" xfId="0" applyFont="1" applyFill="1" applyBorder="1" applyAlignment="1" applyProtection="1">
      <alignment horizontal="left" vertical="center" wrapText="1"/>
      <protection locked="0"/>
    </xf>
    <xf numFmtId="0" fontId="295" fillId="41" borderId="217" xfId="0" applyFont="1" applyFill="1" applyBorder="1" applyAlignment="1" applyProtection="1">
      <alignment horizontal="left" vertical="center"/>
      <protection locked="0"/>
    </xf>
    <xf numFmtId="0" fontId="296" fillId="41" borderId="217" xfId="0" applyFont="1" applyFill="1" applyBorder="1" applyAlignment="1" applyProtection="1">
      <alignment horizontal="left" vertical="center" wrapText="1"/>
      <protection locked="0"/>
    </xf>
    <xf numFmtId="0" fontId="224" fillId="41" borderId="218" xfId="0" applyFont="1" applyFill="1" applyBorder="1" applyAlignment="1" applyProtection="1">
      <alignment horizontal="left" vertical="center"/>
      <protection locked="0"/>
    </xf>
    <xf numFmtId="0" fontId="252" fillId="41" borderId="219" xfId="0" applyFont="1" applyFill="1" applyBorder="1" applyAlignment="1" applyProtection="1">
      <alignment horizontal="left" vertical="center" wrapText="1"/>
      <protection locked="0"/>
    </xf>
    <xf numFmtId="0" fontId="100" fillId="41" borderId="217" xfId="0" applyFont="1" applyFill="1" applyBorder="1" applyAlignment="1" applyProtection="1">
      <alignment horizontal="left" vertical="center"/>
      <protection locked="0"/>
    </xf>
    <xf numFmtId="0" fontId="237" fillId="41" borderId="217" xfId="0" applyFont="1" applyFill="1" applyBorder="1" applyAlignment="1" applyProtection="1">
      <alignment horizontal="left" vertical="center" wrapText="1"/>
      <protection locked="0"/>
    </xf>
    <xf numFmtId="0" fontId="237" fillId="41" borderId="219" xfId="0" applyFont="1" applyFill="1" applyBorder="1" applyAlignment="1" applyProtection="1">
      <alignment horizontal="left" vertical="center" wrapText="1"/>
      <protection locked="0"/>
    </xf>
    <xf numFmtId="0" fontId="297" fillId="41" borderId="217" xfId="0" applyFont="1" applyFill="1" applyBorder="1" applyAlignment="1" applyProtection="1">
      <alignment horizontal="left" vertical="center" wrapText="1"/>
      <protection locked="0"/>
    </xf>
    <xf numFmtId="0" fontId="295" fillId="41" borderId="218" xfId="0" applyFont="1" applyFill="1" applyBorder="1" applyAlignment="1" applyProtection="1">
      <alignment horizontal="left" vertical="center"/>
      <protection locked="0"/>
    </xf>
    <xf numFmtId="0" fontId="224" fillId="41" borderId="219" xfId="0" applyFont="1" applyFill="1" applyBorder="1" applyAlignment="1" applyProtection="1">
      <alignment horizontal="left" vertical="center"/>
      <protection locked="0"/>
    </xf>
    <xf numFmtId="0" fontId="224" fillId="41" borderId="217" xfId="0" applyFont="1" applyFill="1" applyBorder="1" applyAlignment="1" applyProtection="1">
      <alignment horizontal="left" vertical="center"/>
      <protection locked="0"/>
    </xf>
    <xf numFmtId="0" fontId="100" fillId="41" borderId="217" xfId="0" applyFont="1" applyFill="1" applyBorder="1" applyAlignment="1" applyProtection="1">
      <alignment horizontal="left" vertical="center" wrapText="1"/>
      <protection locked="0"/>
    </xf>
    <xf numFmtId="0" fontId="28" fillId="41" borderId="217" xfId="0" applyFont="1" applyFill="1" applyBorder="1" applyAlignment="1" applyProtection="1">
      <alignment horizontal="left" vertical="center" wrapText="1"/>
      <protection locked="0"/>
    </xf>
    <xf numFmtId="0" fontId="237" fillId="41" borderId="122" xfId="0" applyFont="1" applyFill="1" applyBorder="1" applyAlignment="1" applyProtection="1">
      <alignment horizontal="left" vertical="center" wrapText="1"/>
      <protection locked="0"/>
    </xf>
    <xf numFmtId="0" fontId="100" fillId="41" borderId="122" xfId="0" applyFont="1" applyFill="1" applyBorder="1" applyAlignment="1" applyProtection="1">
      <alignment horizontal="left" vertical="center"/>
      <protection locked="0"/>
    </xf>
    <xf numFmtId="0" fontId="28" fillId="41" borderId="218" xfId="0" applyFont="1" applyFill="1" applyBorder="1" applyAlignment="1" applyProtection="1">
      <alignment horizontal="left" vertical="center" wrapText="1"/>
      <protection locked="0"/>
    </xf>
    <xf numFmtId="0" fontId="28" fillId="41" borderId="219" xfId="0" applyFont="1" applyFill="1" applyBorder="1" applyAlignment="1" applyProtection="1">
      <alignment horizontal="left" vertical="center" wrapText="1"/>
      <protection locked="0"/>
    </xf>
    <xf numFmtId="14" fontId="79" fillId="0" borderId="0" xfId="0" applyNumberFormat="1" applyFont="1" applyFill="1" applyBorder="1" applyAlignment="1">
      <alignment vertical="center"/>
    </xf>
    <xf numFmtId="14" fontId="224" fillId="0" borderId="0" xfId="0" applyNumberFormat="1" applyFont="1" applyFill="1" applyBorder="1" applyAlignment="1">
      <alignment horizontal="right" vertical="center"/>
    </xf>
    <xf numFmtId="49" fontId="30" fillId="40" borderId="122" xfId="0" applyNumberFormat="1" applyFont="1" applyFill="1" applyBorder="1" applyAlignment="1">
      <alignment horizontal="center" vertical="center"/>
    </xf>
    <xf numFmtId="0" fontId="100" fillId="41" borderId="3" xfId="0" applyFont="1" applyFill="1" applyBorder="1" applyAlignment="1" applyProtection="1">
      <alignment horizontal="left" vertical="center"/>
      <protection locked="0"/>
    </xf>
    <xf numFmtId="0" fontId="6" fillId="42" borderId="0" xfId="0" applyFont="1" applyFill="1" applyAlignment="1">
      <alignment horizontal="right"/>
    </xf>
    <xf numFmtId="14" fontId="90" fillId="42" borderId="0" xfId="0" applyNumberFormat="1" applyFont="1" applyFill="1"/>
    <xf numFmtId="14" fontId="90" fillId="42" borderId="0" xfId="0" applyNumberFormat="1" applyFont="1" applyFill="1" applyAlignment="1">
      <alignment vertical="center"/>
    </xf>
    <xf numFmtId="165" fontId="90" fillId="42" borderId="0" xfId="0" applyNumberFormat="1" applyFont="1" applyFill="1" applyAlignment="1">
      <alignment vertical="center"/>
    </xf>
    <xf numFmtId="165" fontId="90" fillId="42" borderId="0" xfId="0" applyNumberFormat="1" applyFont="1" applyFill="1" applyAlignment="1">
      <alignment horizontal="left" vertical="center" indent="2"/>
    </xf>
    <xf numFmtId="165" fontId="90" fillId="42" borderId="0" xfId="0" applyNumberFormat="1" applyFont="1" applyFill="1" applyAlignment="1">
      <alignment horizontal="right"/>
    </xf>
    <xf numFmtId="14" fontId="90" fillId="40" borderId="0" xfId="0" applyNumberFormat="1" applyFont="1" applyFill="1" applyAlignment="1">
      <alignment vertical="center"/>
    </xf>
    <xf numFmtId="0" fontId="253" fillId="0" borderId="138" xfId="0" applyFont="1" applyFill="1" applyBorder="1" applyAlignment="1" applyProtection="1">
      <alignment horizontal="left" vertical="center" wrapText="1" indent="1"/>
      <protection locked="0"/>
    </xf>
    <xf numFmtId="14" fontId="51" fillId="40" borderId="0" xfId="0" applyNumberFormat="1" applyFont="1" applyFill="1" applyAlignment="1">
      <alignment vertical="center"/>
    </xf>
    <xf numFmtId="0" fontId="0" fillId="40" borderId="0" xfId="0" applyFill="1" applyBorder="1" applyAlignment="1">
      <alignment vertical="center"/>
    </xf>
    <xf numFmtId="0" fontId="2" fillId="40" borderId="0" xfId="0" applyFont="1" applyFill="1" applyAlignment="1">
      <alignment vertical="center"/>
    </xf>
    <xf numFmtId="0" fontId="140" fillId="0" borderId="64" xfId="0" applyFont="1" applyFill="1" applyBorder="1" applyAlignment="1">
      <alignment horizontal="center" vertical="center" wrapText="1"/>
    </xf>
    <xf numFmtId="0" fontId="31" fillId="0" borderId="0" xfId="0" applyFont="1" applyFill="1" applyBorder="1" applyAlignment="1" applyProtection="1">
      <alignment horizontal="center" vertical="center"/>
      <protection locked="0"/>
    </xf>
    <xf numFmtId="49" fontId="241" fillId="32" borderId="220" xfId="0" applyNumberFormat="1" applyFont="1" applyFill="1" applyBorder="1" applyAlignment="1">
      <alignment horizontal="center" vertical="center" wrapText="1"/>
    </xf>
    <xf numFmtId="49" fontId="112" fillId="16" borderId="221" xfId="0" applyNumberFormat="1" applyFont="1" applyFill="1" applyBorder="1" applyAlignment="1">
      <alignment horizontal="center" vertical="center" wrapText="1"/>
    </xf>
    <xf numFmtId="49" fontId="112" fillId="13" borderId="221" xfId="0" applyNumberFormat="1" applyFont="1" applyFill="1" applyBorder="1" applyAlignment="1">
      <alignment horizontal="center" vertical="center" wrapText="1"/>
    </xf>
    <xf numFmtId="49" fontId="112" fillId="5" borderId="221" xfId="0" applyNumberFormat="1" applyFont="1" applyFill="1" applyBorder="1" applyAlignment="1">
      <alignment horizontal="center" vertical="center" wrapText="1"/>
    </xf>
    <xf numFmtId="49" fontId="241" fillId="14" borderId="222" xfId="0" applyNumberFormat="1" applyFont="1" applyFill="1" applyBorder="1" applyAlignment="1">
      <alignment horizontal="center" vertical="center" wrapText="1"/>
    </xf>
    <xf numFmtId="0" fontId="260" fillId="32" borderId="223" xfId="0" applyFont="1" applyFill="1" applyBorder="1" applyAlignment="1">
      <alignment horizontal="center" vertical="center" textRotation="90" wrapText="1"/>
    </xf>
    <xf numFmtId="0" fontId="33" fillId="16" borderId="224" xfId="0" applyFont="1" applyFill="1" applyBorder="1" applyAlignment="1">
      <alignment horizontal="center" vertical="center" textRotation="90" wrapText="1"/>
    </xf>
    <xf numFmtId="0" fontId="33" fillId="13" borderId="224" xfId="0" applyFont="1" applyFill="1" applyBorder="1" applyAlignment="1">
      <alignment horizontal="center" vertical="center" textRotation="90" wrapText="1"/>
    </xf>
    <xf numFmtId="0" fontId="260" fillId="5" borderId="224" xfId="0" applyFont="1" applyFill="1" applyBorder="1" applyAlignment="1">
      <alignment horizontal="center" vertical="center" textRotation="90" wrapText="1"/>
    </xf>
    <xf numFmtId="0" fontId="260" fillId="14" borderId="225" xfId="0" applyFont="1" applyFill="1" applyBorder="1" applyAlignment="1">
      <alignment horizontal="center" vertical="center" textRotation="90" wrapText="1"/>
    </xf>
    <xf numFmtId="0" fontId="0" fillId="0" borderId="0" xfId="0" applyAlignment="1">
      <alignment horizontal="right"/>
    </xf>
    <xf numFmtId="0" fontId="211" fillId="0" borderId="28" xfId="0" applyFont="1" applyFill="1" applyBorder="1" applyAlignment="1">
      <alignment horizontal="left" vertical="top" wrapText="1" indent="2"/>
    </xf>
    <xf numFmtId="0" fontId="0" fillId="0" borderId="0" xfId="0" applyFont="1" applyFill="1" applyAlignment="1">
      <alignment horizontal="left"/>
    </xf>
    <xf numFmtId="0" fontId="0" fillId="0" borderId="8" xfId="0" applyFont="1" applyFill="1" applyBorder="1" applyAlignment="1"/>
    <xf numFmtId="0" fontId="30" fillId="0" borderId="0" xfId="0" applyFont="1" applyFill="1" applyAlignment="1">
      <alignment horizontal="left"/>
    </xf>
    <xf numFmtId="0" fontId="0" fillId="0" borderId="0" xfId="0" applyFont="1" applyFill="1" applyAlignment="1">
      <alignment horizontal="left" vertical="center"/>
    </xf>
    <xf numFmtId="0" fontId="0" fillId="0" borderId="8" xfId="0" applyFont="1" applyFill="1" applyBorder="1"/>
    <xf numFmtId="0" fontId="30" fillId="0" borderId="0" xfId="0" applyFont="1" applyFill="1" applyAlignment="1">
      <alignment horizontal="left" vertical="center"/>
    </xf>
    <xf numFmtId="0" fontId="0" fillId="0" borderId="8" xfId="0" applyFont="1" applyFill="1" applyBorder="1" applyAlignment="1">
      <alignment vertical="center"/>
    </xf>
    <xf numFmtId="0" fontId="0" fillId="0" borderId="0" xfId="0" applyFill="1" applyAlignment="1">
      <alignment horizontal="center" vertical="center"/>
    </xf>
    <xf numFmtId="0" fontId="211" fillId="0" borderId="28" xfId="0" applyFont="1" applyFill="1" applyBorder="1" applyAlignment="1">
      <alignment horizontal="left" vertical="center" wrapText="1" indent="1"/>
    </xf>
    <xf numFmtId="49" fontId="1" fillId="40" borderId="0" xfId="0" applyNumberFormat="1" applyFont="1" applyFill="1" applyAlignment="1">
      <alignment horizontal="right" vertical="center"/>
    </xf>
    <xf numFmtId="0" fontId="1" fillId="0" borderId="26" xfId="0" applyFont="1" applyBorder="1" applyAlignment="1" applyProtection="1">
      <alignment horizontal="center" vertical="center"/>
      <protection locked="0"/>
    </xf>
    <xf numFmtId="0" fontId="33" fillId="0" borderId="28" xfId="0" applyFont="1" applyBorder="1" applyAlignment="1">
      <alignment horizontal="left" vertical="center" wrapText="1" indent="2"/>
    </xf>
    <xf numFmtId="0" fontId="0" fillId="42" borderId="226" xfId="0" applyFill="1" applyBorder="1"/>
    <xf numFmtId="0" fontId="108" fillId="2" borderId="92" xfId="0" applyFont="1" applyFill="1" applyBorder="1" applyAlignment="1" applyProtection="1">
      <alignment horizontal="center" vertical="center"/>
      <protection locked="0"/>
    </xf>
    <xf numFmtId="0" fontId="26" fillId="0" borderId="0" xfId="0" applyFont="1" applyAlignment="1">
      <alignment horizontal="center"/>
    </xf>
    <xf numFmtId="0" fontId="30" fillId="38" borderId="34" xfId="0" applyFont="1" applyFill="1" applyBorder="1" applyAlignment="1">
      <alignment horizontal="center" vertical="top" wrapText="1"/>
    </xf>
    <xf numFmtId="0" fontId="30" fillId="38" borderId="85" xfId="0" applyFont="1" applyFill="1" applyBorder="1" applyAlignment="1">
      <alignment horizontal="center" vertical="top" wrapText="1"/>
    </xf>
    <xf numFmtId="0" fontId="28" fillId="38" borderId="36" xfId="0" applyFont="1" applyFill="1" applyBorder="1" applyAlignment="1">
      <alignment horizontal="left" vertical="top" wrapText="1"/>
    </xf>
    <xf numFmtId="0" fontId="28" fillId="38" borderId="86" xfId="0" applyFont="1" applyFill="1" applyBorder="1" applyAlignment="1">
      <alignment horizontal="left" vertical="top" wrapText="1"/>
    </xf>
    <xf numFmtId="0" fontId="1" fillId="38" borderId="35" xfId="0" applyFont="1" applyFill="1" applyBorder="1" applyAlignment="1">
      <alignment horizontal="center" vertical="top" wrapText="1"/>
    </xf>
    <xf numFmtId="0" fontId="1" fillId="38" borderId="71" xfId="0" applyFont="1" applyFill="1" applyBorder="1" applyAlignment="1">
      <alignment horizontal="center" vertical="top" wrapText="1"/>
    </xf>
    <xf numFmtId="0" fontId="226" fillId="0" borderId="0" xfId="0" applyFont="1" applyFill="1" applyAlignment="1">
      <alignment vertical="center"/>
    </xf>
    <xf numFmtId="0" fontId="0" fillId="0" borderId="0" xfId="0" applyFill="1" applyAlignment="1">
      <alignment horizontal="center"/>
    </xf>
    <xf numFmtId="0" fontId="3" fillId="42" borderId="8" xfId="0" applyFont="1" applyFill="1" applyBorder="1" applyAlignment="1">
      <alignment horizontal="left" vertical="top" wrapText="1"/>
    </xf>
    <xf numFmtId="0" fontId="163" fillId="0" borderId="0" xfId="0" applyFont="1" applyFill="1" applyAlignment="1">
      <alignment horizontal="left" vertical="center"/>
    </xf>
    <xf numFmtId="0" fontId="0" fillId="0" borderId="0" xfId="0" applyFill="1" applyAlignment="1">
      <alignment horizontal="left"/>
    </xf>
    <xf numFmtId="0" fontId="159" fillId="0" borderId="0" xfId="0" applyFont="1" applyFill="1" applyAlignment="1">
      <alignment horizontal="left" vertical="top" indent="1"/>
    </xf>
    <xf numFmtId="0" fontId="132" fillId="0" borderId="0" xfId="0" applyFont="1" applyFill="1" applyAlignment="1">
      <alignment horizontal="left" vertical="top" indent="3"/>
    </xf>
    <xf numFmtId="0" fontId="160" fillId="0" borderId="0" xfId="0" applyFont="1" applyFill="1" applyAlignment="1">
      <alignment horizontal="left" indent="1"/>
    </xf>
    <xf numFmtId="0" fontId="316" fillId="0" borderId="0" xfId="0" applyFont="1" applyFill="1" applyAlignment="1">
      <alignment horizontal="left" indent="1"/>
    </xf>
    <xf numFmtId="0" fontId="18" fillId="0" borderId="0" xfId="1" applyFill="1" applyAlignment="1">
      <alignment horizontal="left" indent="3"/>
    </xf>
    <xf numFmtId="0" fontId="69" fillId="0" borderId="0" xfId="1" applyFont="1" applyFill="1" applyAlignment="1">
      <alignment horizontal="left" indent="3"/>
    </xf>
    <xf numFmtId="0" fontId="6" fillId="0" borderId="0" xfId="0" applyFont="1" applyFill="1" applyAlignment="1">
      <alignment horizontal="left" vertical="top" wrapText="1"/>
    </xf>
    <xf numFmtId="0" fontId="132" fillId="0" borderId="0" xfId="0" applyFont="1" applyFill="1" applyAlignment="1">
      <alignment horizontal="left" vertical="top" indent="1"/>
    </xf>
    <xf numFmtId="0" fontId="318" fillId="0" borderId="0" xfId="0" applyFont="1" applyFill="1" applyAlignment="1">
      <alignment horizontal="left" vertical="center"/>
    </xf>
    <xf numFmtId="0" fontId="316" fillId="0" borderId="0" xfId="0" applyFont="1" applyFill="1" applyAlignment="1">
      <alignment vertical="center" wrapText="1"/>
    </xf>
    <xf numFmtId="0" fontId="6" fillId="3" borderId="54" xfId="0" applyFont="1" applyFill="1" applyBorder="1" applyAlignment="1" applyProtection="1">
      <alignment horizontal="center" vertical="center"/>
      <protection locked="0"/>
    </xf>
    <xf numFmtId="0" fontId="6" fillId="3" borderId="55" xfId="0" applyFont="1" applyFill="1" applyBorder="1" applyAlignment="1" applyProtection="1">
      <alignment horizontal="center" vertical="center"/>
      <protection locked="0"/>
    </xf>
    <xf numFmtId="0" fontId="316" fillId="0" borderId="0" xfId="0" applyFont="1" applyFill="1" applyAlignment="1">
      <alignment horizontal="left" vertical="center"/>
    </xf>
    <xf numFmtId="0" fontId="29" fillId="0" borderId="0" xfId="0" applyFont="1" applyFill="1" applyAlignment="1">
      <alignment horizontal="left" vertical="center"/>
    </xf>
    <xf numFmtId="0" fontId="281" fillId="3" borderId="2" xfId="0" applyFont="1" applyFill="1" applyBorder="1" applyAlignment="1" applyProtection="1">
      <alignment horizontal="center" vertical="center" wrapText="1"/>
      <protection locked="0"/>
    </xf>
    <xf numFmtId="0" fontId="281" fillId="3" borderId="5" xfId="0" applyFont="1" applyFill="1" applyBorder="1" applyAlignment="1" applyProtection="1">
      <alignment horizontal="center" vertical="center" wrapText="1"/>
      <protection locked="0"/>
    </xf>
    <xf numFmtId="0" fontId="281" fillId="3" borderId="23" xfId="0" applyFont="1" applyFill="1" applyBorder="1" applyAlignment="1" applyProtection="1">
      <alignment horizontal="center" vertical="center" wrapText="1"/>
      <protection locked="0"/>
    </xf>
    <xf numFmtId="0" fontId="56" fillId="3" borderId="5" xfId="0" applyFont="1" applyFill="1" applyBorder="1" applyAlignment="1" applyProtection="1">
      <alignment horizontal="center" vertical="center"/>
      <protection locked="0"/>
    </xf>
    <xf numFmtId="0" fontId="56" fillId="3" borderId="6" xfId="0" applyFont="1" applyFill="1" applyBorder="1" applyAlignment="1" applyProtection="1">
      <alignment horizontal="center" vertical="center"/>
      <protection locked="0"/>
    </xf>
    <xf numFmtId="0" fontId="112" fillId="0" borderId="4" xfId="0" quotePrefix="1" applyFont="1" applyFill="1" applyBorder="1" applyAlignment="1">
      <alignment horizontal="center"/>
    </xf>
    <xf numFmtId="0" fontId="112" fillId="0" borderId="4" xfId="0" applyFont="1" applyFill="1" applyBorder="1" applyAlignment="1">
      <alignment horizontal="center"/>
    </xf>
    <xf numFmtId="0" fontId="107" fillId="0" borderId="16" xfId="0" applyFont="1" applyFill="1" applyBorder="1" applyAlignment="1">
      <alignment horizontal="center" vertical="top"/>
    </xf>
    <xf numFmtId="0" fontId="282" fillId="2" borderId="4" xfId="0" applyFont="1" applyFill="1" applyBorder="1" applyAlignment="1" applyProtection="1">
      <alignment horizontal="center" vertical="center" wrapText="1"/>
      <protection locked="0"/>
    </xf>
    <xf numFmtId="0" fontId="301" fillId="0" borderId="0" xfId="0" applyFont="1" applyFill="1" applyAlignment="1">
      <alignment horizontal="left"/>
    </xf>
    <xf numFmtId="0" fontId="316" fillId="0" borderId="0" xfId="0" applyFont="1" applyFill="1" applyAlignment="1">
      <alignment horizontal="left"/>
    </xf>
    <xf numFmtId="0" fontId="7" fillId="0" borderId="0" xfId="0" applyFont="1" applyFill="1" applyBorder="1" applyAlignment="1">
      <alignment horizontal="center"/>
    </xf>
    <xf numFmtId="0" fontId="7" fillId="0" borderId="4" xfId="0" applyFont="1" applyFill="1" applyBorder="1" applyAlignment="1">
      <alignment horizontal="center"/>
    </xf>
    <xf numFmtId="0" fontId="107" fillId="0" borderId="16" xfId="0" applyFont="1" applyFill="1" applyBorder="1" applyAlignment="1">
      <alignment horizontal="center" vertical="top" wrapText="1"/>
    </xf>
    <xf numFmtId="0" fontId="107" fillId="0" borderId="0" xfId="0" applyFont="1" applyFill="1" applyBorder="1" applyAlignment="1">
      <alignment horizontal="center" vertical="top" wrapText="1"/>
    </xf>
    <xf numFmtId="0" fontId="107" fillId="0" borderId="4" xfId="0" applyFont="1" applyFill="1" applyBorder="1" applyAlignment="1">
      <alignment horizontal="center" vertical="top" wrapText="1"/>
    </xf>
    <xf numFmtId="0" fontId="2" fillId="0" borderId="50" xfId="0" applyFont="1" applyFill="1" applyBorder="1" applyAlignment="1">
      <alignment horizontal="center" vertical="center"/>
    </xf>
    <xf numFmtId="0" fontId="2" fillId="0" borderId="33" xfId="0" applyFont="1" applyFill="1" applyBorder="1" applyAlignment="1">
      <alignment horizontal="center" vertical="center"/>
    </xf>
    <xf numFmtId="0" fontId="0" fillId="0" borderId="32" xfId="0" applyFont="1" applyBorder="1" applyAlignment="1">
      <alignment horizontal="center" vertical="center"/>
    </xf>
    <xf numFmtId="0" fontId="6" fillId="0" borderId="131" xfId="0" applyFont="1" applyFill="1" applyBorder="1" applyAlignment="1">
      <alignment horizontal="center" vertical="center"/>
    </xf>
    <xf numFmtId="0" fontId="6" fillId="0" borderId="66" xfId="0" applyFont="1" applyFill="1" applyBorder="1" applyAlignment="1">
      <alignment horizontal="center" vertical="center"/>
    </xf>
    <xf numFmtId="0" fontId="11" fillId="3" borderId="54" xfId="0" applyFont="1" applyFill="1" applyBorder="1" applyAlignment="1" applyProtection="1">
      <alignment horizontal="center" vertical="center"/>
      <protection locked="0"/>
    </xf>
    <xf numFmtId="0" fontId="11" fillId="3" borderId="55" xfId="0" applyFont="1" applyFill="1" applyBorder="1" applyAlignment="1" applyProtection="1">
      <alignment horizontal="center" vertical="center"/>
      <protection locked="0"/>
    </xf>
    <xf numFmtId="0" fontId="15" fillId="43" borderId="131" xfId="0" applyFont="1" applyFill="1" applyBorder="1" applyAlignment="1">
      <alignment horizontal="center" vertical="center"/>
    </xf>
    <xf numFmtId="0" fontId="15" fillId="43" borderId="66" xfId="0" applyFont="1" applyFill="1" applyBorder="1" applyAlignment="1">
      <alignment horizontal="center" vertical="center"/>
    </xf>
    <xf numFmtId="0" fontId="90" fillId="42" borderId="13" xfId="0" applyFont="1" applyFill="1" applyBorder="1" applyAlignment="1">
      <alignment horizontal="center" textRotation="90"/>
    </xf>
    <xf numFmtId="0" fontId="2" fillId="6" borderId="159" xfId="0" applyFont="1" applyFill="1" applyBorder="1" applyAlignment="1">
      <alignment horizontal="center"/>
    </xf>
    <xf numFmtId="0" fontId="100" fillId="0" borderId="35" xfId="0" applyFont="1" applyFill="1" applyBorder="1" applyAlignment="1">
      <alignment horizontal="center" vertical="top"/>
    </xf>
    <xf numFmtId="0" fontId="55" fillId="2" borderId="4" xfId="0" applyFont="1" applyFill="1" applyBorder="1" applyAlignment="1" applyProtection="1">
      <alignment horizontal="center" vertical="center"/>
      <protection locked="0"/>
    </xf>
    <xf numFmtId="0" fontId="56" fillId="3" borderId="69" xfId="0" applyFont="1" applyFill="1" applyBorder="1" applyAlignment="1" applyProtection="1">
      <alignment horizontal="center" vertical="center"/>
      <protection locked="0"/>
    </xf>
    <xf numFmtId="0" fontId="56" fillId="3" borderId="23" xfId="0" applyFont="1" applyFill="1" applyBorder="1" applyAlignment="1" applyProtection="1">
      <alignment horizontal="center" vertical="center"/>
      <protection locked="0"/>
    </xf>
    <xf numFmtId="0" fontId="161" fillId="9" borderId="60" xfId="0" applyFont="1" applyFill="1" applyBorder="1" applyAlignment="1">
      <alignment horizontal="center" vertical="center"/>
    </xf>
    <xf numFmtId="0" fontId="161" fillId="9" borderId="61" xfId="0" applyFont="1" applyFill="1" applyBorder="1" applyAlignment="1">
      <alignment horizontal="center" vertical="center"/>
    </xf>
    <xf numFmtId="0" fontId="161" fillId="9" borderId="62" xfId="0" applyFont="1" applyFill="1" applyBorder="1" applyAlignment="1">
      <alignment horizontal="center" vertical="center"/>
    </xf>
    <xf numFmtId="0" fontId="26" fillId="0" borderId="0" xfId="0" applyFont="1" applyFill="1" applyAlignment="1">
      <alignment horizontal="right"/>
    </xf>
    <xf numFmtId="0" fontId="316" fillId="0" borderId="0" xfId="0" applyFont="1" applyFill="1" applyAlignment="1">
      <alignment horizontal="left" wrapText="1" indent="1"/>
    </xf>
    <xf numFmtId="0" fontId="132" fillId="0" borderId="0" xfId="0" applyFont="1" applyFill="1" applyAlignment="1">
      <alignment horizontal="center" vertical="top"/>
    </xf>
    <xf numFmtId="0" fontId="166" fillId="0" borderId="0" xfId="0" applyFont="1" applyFill="1" applyAlignment="1">
      <alignment horizontal="left" vertical="top" wrapText="1" indent="1"/>
    </xf>
    <xf numFmtId="0" fontId="166" fillId="0" borderId="0" xfId="0" applyFont="1" applyFill="1" applyAlignment="1">
      <alignment horizontal="left" vertical="top" indent="1"/>
    </xf>
    <xf numFmtId="0" fontId="43" fillId="42" borderId="201" xfId="0" applyFont="1" applyFill="1" applyBorder="1" applyAlignment="1">
      <alignment horizontal="center"/>
    </xf>
    <xf numFmtId="0" fontId="12" fillId="42" borderId="13" xfId="0" applyFont="1" applyFill="1" applyBorder="1" applyAlignment="1">
      <alignment horizontal="center" vertical="center" textRotation="90"/>
    </xf>
    <xf numFmtId="0" fontId="12" fillId="42" borderId="226" xfId="0" applyFont="1" applyFill="1" applyBorder="1" applyAlignment="1">
      <alignment horizontal="center" vertical="center" textRotation="90"/>
    </xf>
    <xf numFmtId="0" fontId="316" fillId="0" borderId="0" xfId="0" applyFont="1" applyFill="1" applyAlignment="1">
      <alignment horizontal="left" vertical="center" wrapText="1" indent="1"/>
    </xf>
    <xf numFmtId="0" fontId="29" fillId="0" borderId="0" xfId="0" quotePrefix="1" applyFont="1" applyFill="1" applyAlignment="1">
      <alignment horizontal="left" vertical="center"/>
    </xf>
    <xf numFmtId="0" fontId="307" fillId="0" borderId="0" xfId="0" applyFont="1" applyFill="1" applyAlignment="1">
      <alignment horizontal="left" vertical="center"/>
    </xf>
    <xf numFmtId="0" fontId="316" fillId="0" borderId="0" xfId="0" applyFont="1" applyFill="1" applyAlignment="1">
      <alignment horizontal="left" vertical="top"/>
    </xf>
    <xf numFmtId="0" fontId="29" fillId="0" borderId="0" xfId="0" applyFont="1" applyFill="1" applyAlignment="1">
      <alignment horizontal="left"/>
    </xf>
    <xf numFmtId="0" fontId="317" fillId="0" borderId="0" xfId="0" applyFont="1" applyFill="1" applyAlignment="1">
      <alignment horizontal="left" vertical="center" indent="1"/>
    </xf>
    <xf numFmtId="0" fontId="316" fillId="0" borderId="0" xfId="0" applyFont="1" applyFill="1" applyAlignment="1">
      <alignment horizontal="left" vertical="center" indent="1"/>
    </xf>
    <xf numFmtId="0" fontId="316" fillId="0" borderId="0" xfId="0" applyFont="1" applyFill="1" applyAlignment="1">
      <alignment horizontal="left" vertical="top" wrapText="1" indent="1"/>
    </xf>
    <xf numFmtId="0" fontId="226" fillId="0" borderId="0" xfId="0" applyFont="1" applyFill="1" applyBorder="1" applyAlignment="1">
      <alignment horizontal="left" vertical="center"/>
    </xf>
    <xf numFmtId="0" fontId="19" fillId="0" borderId="0" xfId="0" applyFont="1" applyFill="1" applyAlignment="1">
      <alignment horizontal="left" vertical="top" indent="3"/>
    </xf>
    <xf numFmtId="0" fontId="2" fillId="42" borderId="0" xfId="0" applyFont="1" applyFill="1" applyAlignment="1">
      <alignment horizontal="center"/>
    </xf>
    <xf numFmtId="0" fontId="0" fillId="42" borderId="0" xfId="0" applyFill="1" applyBorder="1" applyAlignment="1">
      <alignment horizontal="center" textRotation="90"/>
    </xf>
    <xf numFmtId="0" fontId="32" fillId="12" borderId="0" xfId="0" applyFont="1" applyFill="1" applyBorder="1" applyAlignment="1">
      <alignment horizontal="center" vertical="center" wrapText="1"/>
    </xf>
    <xf numFmtId="0" fontId="32" fillId="0" borderId="0" xfId="0" applyFont="1" applyBorder="1" applyAlignment="1">
      <alignment horizontal="center"/>
    </xf>
    <xf numFmtId="0" fontId="93" fillId="0" borderId="0" xfId="0" quotePrefix="1" applyFont="1" applyBorder="1" applyAlignment="1">
      <alignment horizontal="center" wrapText="1"/>
    </xf>
    <xf numFmtId="0" fontId="93" fillId="0" borderId="0" xfId="0" applyFont="1" applyBorder="1" applyAlignment="1">
      <alignment horizontal="center" wrapText="1"/>
    </xf>
    <xf numFmtId="0" fontId="26" fillId="0" borderId="0" xfId="0" applyFont="1" applyBorder="1" applyAlignment="1">
      <alignment horizontal="center"/>
    </xf>
    <xf numFmtId="164" fontId="238" fillId="2" borderId="4" xfId="0" applyNumberFormat="1" applyFont="1" applyFill="1" applyBorder="1" applyAlignment="1" applyProtection="1">
      <alignment horizontal="center"/>
      <protection locked="0"/>
    </xf>
    <xf numFmtId="0" fontId="85" fillId="3" borderId="4" xfId="0" applyFont="1" applyFill="1" applyBorder="1" applyAlignment="1" applyProtection="1">
      <alignment horizontal="center"/>
      <protection locked="0"/>
    </xf>
    <xf numFmtId="0" fontId="92" fillId="0" borderId="4" xfId="0" applyFont="1" applyBorder="1" applyAlignment="1">
      <alignment horizontal="center" vertical="top"/>
    </xf>
    <xf numFmtId="0" fontId="6" fillId="12" borderId="31" xfId="0" applyFont="1" applyFill="1" applyBorder="1" applyAlignment="1">
      <alignment horizontal="center" vertical="center" wrapText="1"/>
    </xf>
    <xf numFmtId="14" fontId="79" fillId="42" borderId="0" xfId="0" applyNumberFormat="1" applyFont="1" applyFill="1" applyAlignment="1">
      <alignment horizontal="center" vertical="center"/>
    </xf>
    <xf numFmtId="0" fontId="36" fillId="42" borderId="0" xfId="0" applyFont="1" applyFill="1" applyBorder="1" applyAlignment="1">
      <alignment horizontal="left" vertical="top" wrapText="1"/>
    </xf>
    <xf numFmtId="0" fontId="1" fillId="28" borderId="177" xfId="0" applyFont="1" applyFill="1" applyBorder="1" applyAlignment="1">
      <alignment horizontal="center" vertical="center" textRotation="90"/>
    </xf>
    <xf numFmtId="0" fontId="1" fillId="28" borderId="115" xfId="0" applyFont="1" applyFill="1" applyBorder="1" applyAlignment="1">
      <alignment horizontal="center" vertical="center" textRotation="90"/>
    </xf>
    <xf numFmtId="0" fontId="1" fillId="28" borderId="102" xfId="0" applyFont="1" applyFill="1" applyBorder="1" applyAlignment="1">
      <alignment horizontal="center" vertical="center" textRotation="90"/>
    </xf>
    <xf numFmtId="0" fontId="158" fillId="2" borderId="5" xfId="0" quotePrefix="1" applyNumberFormat="1" applyFont="1" applyFill="1" applyBorder="1" applyAlignment="1">
      <alignment horizontal="center" vertical="top" wrapText="1"/>
    </xf>
    <xf numFmtId="0" fontId="158" fillId="2" borderId="5" xfId="0" applyNumberFormat="1" applyFont="1" applyFill="1" applyBorder="1" applyAlignment="1">
      <alignment horizontal="center" vertical="top" wrapText="1"/>
    </xf>
    <xf numFmtId="49" fontId="30" fillId="12" borderId="33" xfId="0" applyNumberFormat="1" applyFont="1" applyFill="1" applyBorder="1" applyAlignment="1">
      <alignment horizontal="center" vertical="center"/>
    </xf>
    <xf numFmtId="49" fontId="30" fillId="12" borderId="32" xfId="0" applyNumberFormat="1" applyFont="1" applyFill="1" applyBorder="1" applyAlignment="1">
      <alignment horizontal="center" vertical="center"/>
    </xf>
    <xf numFmtId="0" fontId="1" fillId="9" borderId="115" xfId="0" applyFont="1" applyFill="1" applyBorder="1" applyAlignment="1">
      <alignment horizontal="center" vertical="center" textRotation="90"/>
    </xf>
    <xf numFmtId="0" fontId="1" fillId="9" borderId="117" xfId="0" applyFont="1" applyFill="1" applyBorder="1" applyAlignment="1">
      <alignment horizontal="center" vertical="center" textRotation="90"/>
    </xf>
    <xf numFmtId="0" fontId="1" fillId="26" borderId="177" xfId="0" applyFont="1" applyFill="1" applyBorder="1" applyAlignment="1">
      <alignment horizontal="center" vertical="center" textRotation="90"/>
    </xf>
    <xf numFmtId="0" fontId="1" fillId="26" borderId="115" xfId="0" applyFont="1" applyFill="1" applyBorder="1" applyAlignment="1">
      <alignment horizontal="center" vertical="center" textRotation="90"/>
    </xf>
    <xf numFmtId="166" fontId="79" fillId="42" borderId="0" xfId="0" applyNumberFormat="1" applyFont="1" applyFill="1" applyAlignment="1">
      <alignment horizontal="center"/>
    </xf>
    <xf numFmtId="0" fontId="1" fillId="29" borderId="114" xfId="0" applyFont="1" applyFill="1" applyBorder="1" applyAlignment="1">
      <alignment horizontal="center" vertical="center" textRotation="90"/>
    </xf>
    <xf numFmtId="0" fontId="1" fillId="29" borderId="115" xfId="0" applyFont="1" applyFill="1" applyBorder="1" applyAlignment="1">
      <alignment horizontal="center" vertical="center" textRotation="90"/>
    </xf>
    <xf numFmtId="0" fontId="1" fillId="29" borderId="102" xfId="0" applyFont="1" applyFill="1" applyBorder="1" applyAlignment="1">
      <alignment horizontal="center" vertical="center" textRotation="90"/>
    </xf>
    <xf numFmtId="0" fontId="1" fillId="27" borderId="177" xfId="0" applyFont="1" applyFill="1" applyBorder="1" applyAlignment="1">
      <alignment horizontal="center" vertical="center" textRotation="90"/>
    </xf>
    <xf numFmtId="0" fontId="1" fillId="27" borderId="115" xfId="0" applyFont="1" applyFill="1" applyBorder="1" applyAlignment="1">
      <alignment horizontal="center" vertical="center" textRotation="90"/>
    </xf>
    <xf numFmtId="0" fontId="1" fillId="27" borderId="117" xfId="0" applyFont="1" applyFill="1" applyBorder="1" applyAlignment="1">
      <alignment horizontal="center" vertical="center" textRotation="90"/>
    </xf>
    <xf numFmtId="0" fontId="241" fillId="40" borderId="216" xfId="0" applyFont="1" applyFill="1" applyBorder="1" applyAlignment="1">
      <alignment horizontal="center" vertical="center" textRotation="90" wrapText="1"/>
    </xf>
    <xf numFmtId="0" fontId="241" fillId="40" borderId="17" xfId="0" applyFont="1" applyFill="1" applyBorder="1" applyAlignment="1">
      <alignment horizontal="center" vertical="center" textRotation="90" wrapText="1"/>
    </xf>
    <xf numFmtId="14" fontId="79" fillId="40" borderId="0" xfId="0" applyNumberFormat="1" applyFont="1" applyFill="1" applyAlignment="1">
      <alignment horizontal="center" vertical="center"/>
    </xf>
    <xf numFmtId="49" fontId="218" fillId="18" borderId="66" xfId="0" applyNumberFormat="1" applyFont="1" applyFill="1" applyBorder="1" applyAlignment="1">
      <alignment horizontal="center" vertical="center" textRotation="90" wrapText="1"/>
    </xf>
    <xf numFmtId="49" fontId="218" fillId="18" borderId="90" xfId="0" applyNumberFormat="1" applyFont="1" applyFill="1" applyBorder="1" applyAlignment="1">
      <alignment horizontal="center" vertical="center" textRotation="90" wrapText="1"/>
    </xf>
    <xf numFmtId="49" fontId="218" fillId="18" borderId="22" xfId="0" applyNumberFormat="1" applyFont="1" applyFill="1" applyBorder="1" applyAlignment="1">
      <alignment horizontal="center" vertical="center" textRotation="90" wrapText="1"/>
    </xf>
    <xf numFmtId="49" fontId="219" fillId="18" borderId="66" xfId="0" applyNumberFormat="1" applyFont="1" applyFill="1" applyBorder="1" applyAlignment="1">
      <alignment horizontal="center" vertical="center" textRotation="90" wrapText="1"/>
    </xf>
    <xf numFmtId="49" fontId="219" fillId="18" borderId="90" xfId="0" applyNumberFormat="1" applyFont="1" applyFill="1" applyBorder="1" applyAlignment="1">
      <alignment horizontal="center" vertical="center" textRotation="90" wrapText="1"/>
    </xf>
    <xf numFmtId="49" fontId="219" fillId="18" borderId="22" xfId="0" applyNumberFormat="1" applyFont="1" applyFill="1" applyBorder="1" applyAlignment="1">
      <alignment horizontal="center" vertical="center" textRotation="90" wrapText="1"/>
    </xf>
    <xf numFmtId="0" fontId="37" fillId="18" borderId="0" xfId="0" applyFont="1" applyFill="1" applyAlignment="1">
      <alignment horizontal="center"/>
    </xf>
    <xf numFmtId="0" fontId="197" fillId="18" borderId="0" xfId="0" applyFont="1" applyFill="1" applyAlignment="1">
      <alignment horizontal="center"/>
    </xf>
    <xf numFmtId="0" fontId="290" fillId="40" borderId="13" xfId="0" applyFont="1" applyFill="1" applyBorder="1" applyAlignment="1">
      <alignment horizontal="center" textRotation="90"/>
    </xf>
    <xf numFmtId="0" fontId="279" fillId="38" borderId="50" xfId="0" applyFont="1" applyFill="1" applyBorder="1" applyAlignment="1">
      <alignment horizontal="center" vertical="center" wrapText="1"/>
    </xf>
    <xf numFmtId="0" fontId="279" fillId="38" borderId="33" xfId="0" applyFont="1" applyFill="1" applyBorder="1" applyAlignment="1">
      <alignment horizontal="center" vertical="center" wrapText="1"/>
    </xf>
    <xf numFmtId="0" fontId="280" fillId="38" borderId="187" xfId="0" applyFont="1" applyFill="1" applyBorder="1" applyAlignment="1">
      <alignment horizontal="center" vertical="center" wrapText="1"/>
    </xf>
    <xf numFmtId="0" fontId="280" fillId="38" borderId="164" xfId="0" applyFont="1" applyFill="1" applyBorder="1" applyAlignment="1">
      <alignment horizontal="center" vertical="center" wrapText="1"/>
    </xf>
    <xf numFmtId="0" fontId="44" fillId="0" borderId="185" xfId="0" applyFont="1" applyBorder="1" applyAlignment="1" applyProtection="1">
      <alignment horizontal="center" vertical="top"/>
      <protection locked="0"/>
    </xf>
    <xf numFmtId="0" fontId="101" fillId="18" borderId="0" xfId="0" applyFont="1" applyFill="1" applyAlignment="1">
      <alignment horizontal="center"/>
    </xf>
    <xf numFmtId="0" fontId="193" fillId="18" borderId="0" xfId="0" applyFont="1" applyFill="1" applyAlignment="1">
      <alignment horizontal="center"/>
    </xf>
    <xf numFmtId="0" fontId="188" fillId="40" borderId="183" xfId="0" applyFont="1" applyFill="1" applyBorder="1" applyAlignment="1">
      <alignment horizontal="center" vertical="center" textRotation="90"/>
    </xf>
    <xf numFmtId="0" fontId="188" fillId="40" borderId="0" xfId="0" applyFont="1" applyFill="1" applyBorder="1" applyAlignment="1">
      <alignment horizontal="center" vertical="center" textRotation="90"/>
    </xf>
    <xf numFmtId="0" fontId="188" fillId="40" borderId="184" xfId="0" applyFont="1" applyFill="1" applyBorder="1" applyAlignment="1">
      <alignment horizontal="center" vertical="center" textRotation="90"/>
    </xf>
    <xf numFmtId="0" fontId="195" fillId="18" borderId="0" xfId="0" applyFont="1" applyFill="1" applyAlignment="1">
      <alignment horizontal="center"/>
    </xf>
    <xf numFmtId="0" fontId="174" fillId="18" borderId="88" xfId="0" applyFont="1" applyFill="1" applyBorder="1" applyAlignment="1">
      <alignment horizontal="center" vertical="center" textRotation="90" wrapText="1"/>
    </xf>
    <xf numFmtId="0" fontId="174" fillId="18" borderId="49" xfId="0" applyFont="1" applyFill="1" applyBorder="1" applyAlignment="1">
      <alignment horizontal="center" vertical="center" textRotation="90" wrapText="1"/>
    </xf>
    <xf numFmtId="0" fontId="177" fillId="18" borderId="88" xfId="0" applyFont="1" applyFill="1" applyBorder="1" applyAlignment="1">
      <alignment horizontal="center" vertical="center" textRotation="90" wrapText="1"/>
    </xf>
    <xf numFmtId="0" fontId="177" fillId="18" borderId="49" xfId="0" applyFont="1" applyFill="1" applyBorder="1" applyAlignment="1">
      <alignment horizontal="center" vertical="center" textRotation="90" wrapText="1"/>
    </xf>
    <xf numFmtId="0" fontId="143" fillId="18" borderId="88" xfId="0" applyFont="1" applyFill="1" applyBorder="1" applyAlignment="1">
      <alignment horizontal="center" vertical="center" textRotation="90" wrapText="1"/>
    </xf>
    <xf numFmtId="0" fontId="143" fillId="18" borderId="49" xfId="0" applyFont="1" applyFill="1" applyBorder="1" applyAlignment="1">
      <alignment horizontal="center" vertical="center" textRotation="90" wrapText="1"/>
    </xf>
    <xf numFmtId="0" fontId="176" fillId="18" borderId="131" xfId="0" applyFont="1" applyFill="1" applyBorder="1" applyAlignment="1">
      <alignment horizontal="center" vertical="center" textRotation="90" wrapText="1"/>
    </xf>
    <xf numFmtId="0" fontId="176" fillId="18" borderId="88" xfId="0" applyFont="1" applyFill="1" applyBorder="1" applyAlignment="1">
      <alignment horizontal="center" vertical="center" textRotation="90" wrapText="1"/>
    </xf>
    <xf numFmtId="0" fontId="176" fillId="18" borderId="49" xfId="0" applyFont="1" applyFill="1" applyBorder="1" applyAlignment="1">
      <alignment horizontal="center" vertical="center" textRotation="90" wrapText="1"/>
    </xf>
    <xf numFmtId="0" fontId="179" fillId="18" borderId="131" xfId="0" applyFont="1" applyFill="1" applyBorder="1" applyAlignment="1">
      <alignment horizontal="center" vertical="center" textRotation="90" wrapText="1"/>
    </xf>
    <xf numFmtId="0" fontId="179" fillId="18" borderId="88" xfId="0" applyFont="1" applyFill="1" applyBorder="1" applyAlignment="1">
      <alignment horizontal="center" vertical="center" textRotation="90" wrapText="1"/>
    </xf>
    <xf numFmtId="0" fontId="179" fillId="18" borderId="49" xfId="0" applyFont="1" applyFill="1" applyBorder="1" applyAlignment="1">
      <alignment horizontal="center" vertical="center" textRotation="90" wrapText="1"/>
    </xf>
    <xf numFmtId="0" fontId="191" fillId="18" borderId="0" xfId="0" applyFont="1" applyFill="1" applyAlignment="1">
      <alignment horizontal="center"/>
    </xf>
    <xf numFmtId="49" fontId="214" fillId="18" borderId="90" xfId="0" applyNumberFormat="1" applyFont="1" applyFill="1" applyBorder="1" applyAlignment="1">
      <alignment horizontal="center" vertical="center" textRotation="90" wrapText="1"/>
    </xf>
    <xf numFmtId="49" fontId="214" fillId="18" borderId="22" xfId="0" applyNumberFormat="1" applyFont="1" applyFill="1" applyBorder="1" applyAlignment="1">
      <alignment horizontal="center" vertical="center" textRotation="90" wrapText="1"/>
    </xf>
    <xf numFmtId="49" fontId="217" fillId="18" borderId="90" xfId="0" applyNumberFormat="1" applyFont="1" applyFill="1" applyBorder="1" applyAlignment="1">
      <alignment horizontal="center" vertical="center" textRotation="90" wrapText="1"/>
    </xf>
    <xf numFmtId="49" fontId="217" fillId="18" borderId="22" xfId="0" applyNumberFormat="1" applyFont="1" applyFill="1" applyBorder="1" applyAlignment="1">
      <alignment horizontal="center" vertical="center" textRotation="90" wrapText="1"/>
    </xf>
    <xf numFmtId="0" fontId="196" fillId="18" borderId="0" xfId="0" applyFont="1" applyFill="1" applyAlignment="1">
      <alignment horizontal="center"/>
    </xf>
    <xf numFmtId="49" fontId="151" fillId="18" borderId="66" xfId="0" applyNumberFormat="1" applyFont="1" applyFill="1" applyBorder="1" applyAlignment="1">
      <alignment horizontal="center" vertical="center" textRotation="90" wrapText="1"/>
    </xf>
    <xf numFmtId="49" fontId="151" fillId="18" borderId="90" xfId="0" applyNumberFormat="1" applyFont="1" applyFill="1" applyBorder="1" applyAlignment="1">
      <alignment horizontal="center" vertical="center" textRotation="90" wrapText="1"/>
    </xf>
    <xf numFmtId="49" fontId="151" fillId="18" borderId="22" xfId="0" applyNumberFormat="1" applyFont="1" applyFill="1" applyBorder="1" applyAlignment="1">
      <alignment horizontal="center" vertical="center" textRotation="90" wrapText="1"/>
    </xf>
    <xf numFmtId="49" fontId="220" fillId="18" borderId="66" xfId="0" applyNumberFormat="1" applyFont="1" applyFill="1" applyBorder="1" applyAlignment="1">
      <alignment horizontal="center" vertical="center" textRotation="90" wrapText="1"/>
    </xf>
    <xf numFmtId="49" fontId="220" fillId="18" borderId="90" xfId="0" applyNumberFormat="1" applyFont="1" applyFill="1" applyBorder="1" applyAlignment="1">
      <alignment horizontal="center" vertical="center" textRotation="90" wrapText="1"/>
    </xf>
    <xf numFmtId="49" fontId="220" fillId="18" borderId="22" xfId="0" applyNumberFormat="1" applyFont="1" applyFill="1" applyBorder="1" applyAlignment="1">
      <alignment horizontal="center" vertical="center" textRotation="90" wrapText="1"/>
    </xf>
    <xf numFmtId="49" fontId="221" fillId="18" borderId="66" xfId="0" applyNumberFormat="1" applyFont="1" applyFill="1" applyBorder="1" applyAlignment="1">
      <alignment horizontal="center" vertical="center" textRotation="90" wrapText="1"/>
    </xf>
    <xf numFmtId="49" fontId="221" fillId="18" borderId="90" xfId="0" applyNumberFormat="1" applyFont="1" applyFill="1" applyBorder="1" applyAlignment="1">
      <alignment horizontal="center" vertical="center" textRotation="90" wrapText="1"/>
    </xf>
    <xf numFmtId="49" fontId="221" fillId="18" borderId="22" xfId="0" applyNumberFormat="1" applyFont="1" applyFill="1" applyBorder="1" applyAlignment="1">
      <alignment horizontal="center" vertical="center" textRotation="90" wrapText="1"/>
    </xf>
    <xf numFmtId="49" fontId="222" fillId="18" borderId="66" xfId="0" applyNumberFormat="1" applyFont="1" applyFill="1" applyBorder="1" applyAlignment="1">
      <alignment horizontal="center" vertical="center" textRotation="90" wrapText="1"/>
    </xf>
    <xf numFmtId="49" fontId="222" fillId="18" borderId="90" xfId="0" applyNumberFormat="1" applyFont="1" applyFill="1" applyBorder="1" applyAlignment="1">
      <alignment horizontal="center" vertical="center" textRotation="90" wrapText="1"/>
    </xf>
    <xf numFmtId="49" fontId="222" fillId="18" borderId="22" xfId="0" applyNumberFormat="1" applyFont="1" applyFill="1" applyBorder="1" applyAlignment="1">
      <alignment horizontal="center" vertical="center" textRotation="90" wrapText="1"/>
    </xf>
    <xf numFmtId="49" fontId="223" fillId="18" borderId="66" xfId="0" applyNumberFormat="1" applyFont="1" applyFill="1" applyBorder="1" applyAlignment="1">
      <alignment horizontal="center" vertical="center" textRotation="90" wrapText="1"/>
    </xf>
    <xf numFmtId="49" fontId="223" fillId="18" borderId="90" xfId="0" applyNumberFormat="1" applyFont="1" applyFill="1" applyBorder="1" applyAlignment="1">
      <alignment horizontal="center" vertical="center" textRotation="90" wrapText="1"/>
    </xf>
    <xf numFmtId="49" fontId="223" fillId="18" borderId="22" xfId="0" applyNumberFormat="1" applyFont="1" applyFill="1" applyBorder="1" applyAlignment="1">
      <alignment horizontal="center" vertical="center" textRotation="90" wrapText="1"/>
    </xf>
    <xf numFmtId="0" fontId="186" fillId="18" borderId="58" xfId="0" applyFont="1" applyFill="1" applyBorder="1" applyAlignment="1">
      <alignment horizontal="center" vertical="center" textRotation="90" wrapText="1"/>
    </xf>
    <xf numFmtId="0" fontId="186" fillId="18" borderId="122" xfId="0" applyFont="1" applyFill="1" applyBorder="1" applyAlignment="1">
      <alignment horizontal="center" vertical="center" textRotation="90" wrapText="1"/>
    </xf>
    <xf numFmtId="0" fontId="186" fillId="18" borderId="3" xfId="0" applyFont="1" applyFill="1" applyBorder="1" applyAlignment="1">
      <alignment horizontal="center" vertical="center" textRotation="90" wrapText="1"/>
    </xf>
    <xf numFmtId="0" fontId="192" fillId="18" borderId="0" xfId="0" applyFont="1" applyFill="1" applyAlignment="1">
      <alignment horizontal="center"/>
    </xf>
    <xf numFmtId="0" fontId="180" fillId="18" borderId="131" xfId="0" applyFont="1" applyFill="1" applyBorder="1" applyAlignment="1">
      <alignment horizontal="center" vertical="center" textRotation="90" wrapText="1"/>
    </xf>
    <xf numFmtId="0" fontId="180" fillId="18" borderId="88" xfId="0" applyFont="1" applyFill="1" applyBorder="1" applyAlignment="1">
      <alignment horizontal="center" vertical="center" textRotation="90" wrapText="1"/>
    </xf>
    <xf numFmtId="0" fontId="180" fillId="18" borderId="49" xfId="0" applyFont="1" applyFill="1" applyBorder="1" applyAlignment="1">
      <alignment horizontal="center" vertical="center" textRotation="90" wrapText="1"/>
    </xf>
    <xf numFmtId="0" fontId="182" fillId="18" borderId="131" xfId="0" applyFont="1" applyFill="1" applyBorder="1" applyAlignment="1">
      <alignment horizontal="center" vertical="center" textRotation="90" wrapText="1"/>
    </xf>
    <xf numFmtId="0" fontId="182" fillId="18" borderId="88" xfId="0" applyFont="1" applyFill="1" applyBorder="1" applyAlignment="1">
      <alignment horizontal="center" vertical="center" textRotation="90" wrapText="1"/>
    </xf>
    <xf numFmtId="0" fontId="182" fillId="18" borderId="49" xfId="0" applyFont="1" applyFill="1" applyBorder="1" applyAlignment="1">
      <alignment horizontal="center" vertical="center" textRotation="90" wrapText="1"/>
    </xf>
    <xf numFmtId="0" fontId="52" fillId="40" borderId="88" xfId="0" applyFont="1" applyFill="1" applyBorder="1" applyAlignment="1">
      <alignment horizontal="left" vertical="center"/>
    </xf>
    <xf numFmtId="0" fontId="52" fillId="40" borderId="0" xfId="0" applyFont="1" applyFill="1" applyAlignment="1">
      <alignment horizontal="left" vertical="center"/>
    </xf>
    <xf numFmtId="0" fontId="22" fillId="18" borderId="0" xfId="0" applyFont="1" applyFill="1" applyBorder="1" applyAlignment="1">
      <alignment horizontal="right" vertical="top"/>
    </xf>
    <xf numFmtId="0" fontId="230" fillId="40" borderId="8" xfId="0" applyFont="1" applyFill="1" applyBorder="1" applyAlignment="1">
      <alignment horizontal="center" vertical="center" textRotation="90"/>
    </xf>
    <xf numFmtId="0" fontId="230" fillId="40" borderId="7" xfId="0" applyFont="1" applyFill="1" applyBorder="1" applyAlignment="1">
      <alignment horizontal="center" vertical="center" textRotation="90"/>
    </xf>
    <xf numFmtId="0" fontId="85" fillId="3" borderId="4" xfId="0" applyFont="1" applyFill="1" applyBorder="1" applyAlignment="1" applyProtection="1">
      <alignment horizontal="center" vertical="center" wrapText="1"/>
      <protection locked="0"/>
    </xf>
    <xf numFmtId="0" fontId="102" fillId="38" borderId="108" xfId="0" applyNumberFormat="1" applyFont="1" applyFill="1" applyBorder="1" applyAlignment="1">
      <alignment horizontal="center" vertical="center" wrapText="1"/>
    </xf>
    <xf numFmtId="0" fontId="102" fillId="38" borderId="130" xfId="0" applyNumberFormat="1" applyFont="1" applyFill="1" applyBorder="1" applyAlignment="1">
      <alignment horizontal="center" vertical="center"/>
    </xf>
    <xf numFmtId="164" fontId="85" fillId="2" borderId="4" xfId="0" applyNumberFormat="1" applyFont="1" applyFill="1" applyBorder="1" applyAlignment="1" applyProtection="1">
      <alignment horizontal="center" vertical="center"/>
      <protection locked="0"/>
    </xf>
    <xf numFmtId="14" fontId="224" fillId="0" borderId="0" xfId="0" applyNumberFormat="1" applyFont="1" applyFill="1" applyBorder="1" applyAlignment="1">
      <alignment horizontal="right" vertical="center"/>
    </xf>
    <xf numFmtId="49" fontId="277" fillId="38" borderId="89" xfId="0" applyNumberFormat="1" applyFont="1" applyFill="1" applyBorder="1" applyAlignment="1">
      <alignment horizontal="center" vertical="center" wrapText="1"/>
    </xf>
    <xf numFmtId="49" fontId="277" fillId="38" borderId="67" xfId="0" applyNumberFormat="1" applyFont="1" applyFill="1" applyBorder="1" applyAlignment="1">
      <alignment horizontal="center" vertical="center"/>
    </xf>
    <xf numFmtId="0" fontId="45" fillId="18" borderId="0" xfId="0" applyFont="1" applyFill="1" applyBorder="1" applyAlignment="1">
      <alignment horizontal="left" vertical="top" wrapText="1"/>
    </xf>
    <xf numFmtId="0" fontId="184" fillId="18" borderId="131" xfId="0" applyFont="1" applyFill="1" applyBorder="1" applyAlignment="1">
      <alignment horizontal="center" vertical="center" textRotation="90" wrapText="1"/>
    </xf>
    <xf numFmtId="0" fontId="184" fillId="18" borderId="88" xfId="0" applyFont="1" applyFill="1" applyBorder="1" applyAlignment="1">
      <alignment horizontal="center" vertical="center" textRotation="90" wrapText="1"/>
    </xf>
    <xf numFmtId="0" fontId="184" fillId="18" borderId="49" xfId="0" applyFont="1" applyFill="1" applyBorder="1" applyAlignment="1">
      <alignment horizontal="center" vertical="center" textRotation="90" wrapText="1"/>
    </xf>
    <xf numFmtId="0" fontId="194" fillId="18" borderId="0" xfId="0" applyFont="1" applyFill="1" applyAlignment="1">
      <alignment horizontal="center"/>
    </xf>
    <xf numFmtId="49" fontId="133" fillId="18" borderId="2" xfId="0" applyNumberFormat="1" applyFont="1" applyFill="1" applyBorder="1" applyAlignment="1">
      <alignment horizontal="center" vertical="center"/>
    </xf>
    <xf numFmtId="49" fontId="133" fillId="18" borderId="5" xfId="0" applyNumberFormat="1" applyFont="1" applyFill="1" applyBorder="1" applyAlignment="1">
      <alignment horizontal="center" vertical="center"/>
    </xf>
    <xf numFmtId="49" fontId="133" fillId="18" borderId="6" xfId="0" applyNumberFormat="1" applyFont="1" applyFill="1" applyBorder="1" applyAlignment="1">
      <alignment horizontal="center" vertical="center"/>
    </xf>
    <xf numFmtId="49" fontId="88" fillId="40" borderId="2" xfId="0" applyNumberFormat="1" applyFont="1" applyFill="1" applyBorder="1" applyAlignment="1">
      <alignment horizontal="center" vertical="center"/>
    </xf>
    <xf numFmtId="49" fontId="88" fillId="40" borderId="5" xfId="0" applyNumberFormat="1" applyFont="1" applyFill="1" applyBorder="1" applyAlignment="1">
      <alignment horizontal="center" vertical="center"/>
    </xf>
    <xf numFmtId="49" fontId="88" fillId="40" borderId="6" xfId="0" applyNumberFormat="1" applyFont="1" applyFill="1" applyBorder="1" applyAlignment="1">
      <alignment horizontal="center" vertical="center"/>
    </xf>
    <xf numFmtId="0" fontId="6" fillId="0" borderId="2" xfId="0" applyFont="1" applyBorder="1" applyAlignment="1">
      <alignment horizontal="center" vertical="center"/>
    </xf>
    <xf numFmtId="0" fontId="6" fillId="0" borderId="6" xfId="0" applyFont="1" applyBorder="1" applyAlignment="1">
      <alignment horizontal="center" vertical="center"/>
    </xf>
    <xf numFmtId="0" fontId="6" fillId="0" borderId="2" xfId="0" applyFont="1" applyBorder="1" applyAlignment="1">
      <alignment horizontal="center" vertical="center" wrapText="1"/>
    </xf>
    <xf numFmtId="0" fontId="6" fillId="0" borderId="6" xfId="0" applyFont="1" applyBorder="1" applyAlignment="1">
      <alignment horizontal="center" vertical="center" wrapText="1"/>
    </xf>
    <xf numFmtId="0" fontId="324" fillId="18" borderId="131" xfId="0" applyFont="1" applyFill="1" applyBorder="1" applyAlignment="1">
      <alignment horizontal="center"/>
    </xf>
    <xf numFmtId="0" fontId="324" fillId="18" borderId="66" xfId="0" applyFont="1" applyFill="1" applyBorder="1" applyAlignment="1">
      <alignment horizontal="center"/>
    </xf>
    <xf numFmtId="0" fontId="324" fillId="18" borderId="89" xfId="0" applyFont="1" applyFill="1" applyBorder="1" applyAlignment="1">
      <alignment horizontal="center"/>
    </xf>
    <xf numFmtId="0" fontId="324" fillId="18" borderId="67" xfId="0" applyFont="1" applyFill="1" applyBorder="1" applyAlignment="1">
      <alignment horizontal="center"/>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0" fillId="11" borderId="34" xfId="0" applyFill="1" applyBorder="1" applyAlignment="1">
      <alignment horizontal="center"/>
    </xf>
    <xf numFmtId="0" fontId="0" fillId="11" borderId="36" xfId="0" applyFill="1" applyBorder="1" applyAlignment="1">
      <alignment horizontal="center"/>
    </xf>
    <xf numFmtId="0" fontId="89" fillId="11" borderId="83" xfId="0" applyFont="1" applyFill="1" applyBorder="1" applyAlignment="1">
      <alignment horizontal="center"/>
    </xf>
    <xf numFmtId="0" fontId="89" fillId="11" borderId="84" xfId="0" applyFont="1" applyFill="1" applyBorder="1" applyAlignment="1">
      <alignment horizontal="center"/>
    </xf>
    <xf numFmtId="0" fontId="30" fillId="11" borderId="34" xfId="0" applyFont="1" applyFill="1" applyBorder="1" applyAlignment="1">
      <alignment horizontal="center"/>
    </xf>
    <xf numFmtId="0" fontId="30" fillId="11" borderId="35" xfId="0" applyFont="1" applyFill="1" applyBorder="1" applyAlignment="1">
      <alignment horizontal="center"/>
    </xf>
    <xf numFmtId="0" fontId="30" fillId="11" borderId="36" xfId="0" applyFont="1" applyFill="1" applyBorder="1" applyAlignment="1">
      <alignment horizontal="center"/>
    </xf>
    <xf numFmtId="0" fontId="88" fillId="11" borderId="83" xfId="0" applyFont="1" applyFill="1" applyBorder="1" applyAlignment="1">
      <alignment horizontal="center"/>
    </xf>
    <xf numFmtId="0" fontId="88" fillId="11" borderId="0" xfId="0" applyFont="1" applyFill="1" applyBorder="1" applyAlignment="1">
      <alignment horizontal="center"/>
    </xf>
    <xf numFmtId="0" fontId="88" fillId="11" borderId="84" xfId="0" applyFont="1" applyFill="1" applyBorder="1" applyAlignment="1">
      <alignment horizontal="center"/>
    </xf>
    <xf numFmtId="0" fontId="304" fillId="40" borderId="0" xfId="0" applyFont="1" applyFill="1" applyBorder="1" applyAlignment="1">
      <alignment horizontal="center" vertical="center" textRotation="90" wrapText="1"/>
    </xf>
    <xf numFmtId="0" fontId="304" fillId="40" borderId="4" xfId="0" applyFont="1" applyFill="1" applyBorder="1" applyAlignment="1">
      <alignment horizontal="center" vertical="center" textRotation="90" wrapText="1"/>
    </xf>
    <xf numFmtId="0" fontId="6" fillId="0" borderId="54" xfId="0" applyFont="1" applyBorder="1" applyAlignment="1">
      <alignment horizontal="left" vertical="center" wrapText="1"/>
    </xf>
    <xf numFmtId="0" fontId="6" fillId="0" borderId="55" xfId="0" applyFont="1" applyBorder="1" applyAlignment="1">
      <alignment horizontal="left" vertical="center" wrapText="1"/>
    </xf>
    <xf numFmtId="0" fontId="29" fillId="18" borderId="50" xfId="0" applyFont="1" applyFill="1" applyBorder="1" applyAlignment="1">
      <alignment horizontal="center"/>
    </xf>
    <xf numFmtId="0" fontId="29" fillId="18" borderId="32" xfId="0" applyFont="1" applyFill="1" applyBorder="1" applyAlignment="1">
      <alignment horizontal="center"/>
    </xf>
    <xf numFmtId="0" fontId="6" fillId="0" borderId="2" xfId="0" applyFont="1" applyBorder="1" applyAlignment="1">
      <alignment horizontal="left" vertical="center" wrapText="1"/>
    </xf>
    <xf numFmtId="0" fontId="6" fillId="0" borderId="6" xfId="0" applyFont="1" applyBorder="1" applyAlignment="1">
      <alignment horizontal="left" vertical="center" wrapText="1"/>
    </xf>
    <xf numFmtId="0" fontId="2" fillId="0" borderId="0" xfId="0" applyFont="1" applyBorder="1" applyAlignment="1">
      <alignment horizontal="left"/>
    </xf>
    <xf numFmtId="0" fontId="6" fillId="0" borderId="0" xfId="0" applyFont="1" applyFill="1" applyBorder="1" applyAlignment="1">
      <alignment horizontal="left" vertical="center"/>
    </xf>
    <xf numFmtId="0" fontId="7" fillId="0" borderId="0" xfId="0" applyFont="1" applyFill="1" applyBorder="1" applyAlignment="1">
      <alignment horizontal="left" vertical="center"/>
    </xf>
    <xf numFmtId="0" fontId="1" fillId="0" borderId="0" xfId="0" applyFont="1" applyBorder="1" applyAlignment="1">
      <alignment horizontal="left"/>
    </xf>
    <xf numFmtId="0" fontId="7" fillId="0" borderId="0" xfId="0" quotePrefix="1" applyFont="1" applyFill="1" applyBorder="1" applyAlignment="1">
      <alignment horizontal="left" vertical="top" wrapText="1"/>
    </xf>
    <xf numFmtId="0" fontId="83" fillId="0" borderId="0" xfId="0" quotePrefix="1" applyFont="1" applyFill="1" applyBorder="1" applyAlignment="1">
      <alignment horizontal="center" vertical="top" wrapText="1"/>
    </xf>
    <xf numFmtId="0" fontId="29" fillId="11" borderId="34" xfId="0" applyFont="1" applyFill="1" applyBorder="1" applyAlignment="1">
      <alignment horizontal="center"/>
    </xf>
    <xf numFmtId="0" fontId="29" fillId="11" borderId="35" xfId="0" applyFont="1" applyFill="1" applyBorder="1" applyAlignment="1">
      <alignment horizontal="center"/>
    </xf>
    <xf numFmtId="0" fontId="29" fillId="17" borderId="159" xfId="0" applyFont="1" applyFill="1" applyBorder="1" applyAlignment="1">
      <alignment horizontal="center" vertical="center" wrapText="1"/>
    </xf>
    <xf numFmtId="0" fontId="29" fillId="17" borderId="109" xfId="0" applyFont="1" applyFill="1" applyBorder="1" applyAlignment="1">
      <alignment horizontal="center" vertical="center" wrapText="1"/>
    </xf>
    <xf numFmtId="0" fontId="29" fillId="11" borderId="96" xfId="0" applyFont="1" applyFill="1" applyBorder="1" applyAlignment="1">
      <alignment horizontal="center"/>
    </xf>
    <xf numFmtId="0" fontId="29" fillId="11" borderId="97" xfId="0" applyFont="1" applyFill="1" applyBorder="1" applyAlignment="1">
      <alignment horizontal="center"/>
    </xf>
    <xf numFmtId="0" fontId="3" fillId="0" borderId="0" xfId="0" applyFont="1" applyFill="1" applyAlignment="1">
      <alignment horizontal="left" vertical="top" wrapText="1"/>
    </xf>
    <xf numFmtId="0" fontId="95" fillId="40" borderId="0" xfId="0" applyFont="1" applyFill="1" applyBorder="1" applyAlignment="1">
      <alignment horizontal="center"/>
    </xf>
    <xf numFmtId="0" fontId="29" fillId="17" borderId="160" xfId="0" applyFont="1" applyFill="1" applyBorder="1" applyAlignment="1">
      <alignment horizontal="center" vertical="center"/>
    </xf>
    <xf numFmtId="0" fontId="29" fillId="17" borderId="188" xfId="0" applyFont="1" applyFill="1" applyBorder="1" applyAlignment="1">
      <alignment horizontal="center" vertical="center"/>
    </xf>
    <xf numFmtId="0" fontId="29" fillId="18" borderId="163" xfId="0" applyFont="1" applyFill="1" applyBorder="1" applyAlignment="1">
      <alignment horizontal="center"/>
    </xf>
    <xf numFmtId="0" fontId="29" fillId="18" borderId="164" xfId="0" applyFont="1" applyFill="1" applyBorder="1" applyAlignment="1">
      <alignment horizontal="center"/>
    </xf>
    <xf numFmtId="0" fontId="29" fillId="18" borderId="68" xfId="0" applyFont="1" applyFill="1" applyBorder="1" applyAlignment="1">
      <alignment horizontal="center"/>
    </xf>
    <xf numFmtId="0" fontId="7" fillId="0" borderId="135" xfId="0" applyFont="1" applyBorder="1" applyAlignment="1">
      <alignment horizontal="left" vertical="center"/>
    </xf>
    <xf numFmtId="0" fontId="7" fillId="0" borderId="140" xfId="0" applyFont="1" applyBorder="1" applyAlignment="1">
      <alignment horizontal="left" vertical="center"/>
    </xf>
    <xf numFmtId="0" fontId="7" fillId="0" borderId="190" xfId="0" applyFont="1" applyBorder="1" applyAlignment="1">
      <alignment horizontal="left" vertical="center"/>
    </xf>
    <xf numFmtId="0" fontId="7" fillId="0" borderId="193" xfId="0" applyFont="1" applyBorder="1" applyAlignment="1">
      <alignment horizontal="left" vertical="center"/>
    </xf>
    <xf numFmtId="0" fontId="7" fillId="0" borderId="191" xfId="0" applyFont="1" applyBorder="1" applyAlignment="1">
      <alignment horizontal="left"/>
    </xf>
    <xf numFmtId="0" fontId="7" fillId="0" borderId="194" xfId="0" applyFont="1" applyBorder="1" applyAlignment="1">
      <alignment horizontal="left"/>
    </xf>
    <xf numFmtId="0" fontId="7" fillId="0" borderId="135" xfId="0" applyFont="1" applyBorder="1" applyAlignment="1">
      <alignment horizontal="left" wrapText="1"/>
    </xf>
    <xf numFmtId="0" fontId="7" fillId="0" borderId="140" xfId="0" applyFont="1" applyBorder="1" applyAlignment="1">
      <alignment horizontal="left" wrapText="1"/>
    </xf>
    <xf numFmtId="0" fontId="7" fillId="0" borderId="135" xfId="0" applyFont="1" applyBorder="1" applyAlignment="1">
      <alignment horizontal="left" vertical="center" wrapText="1"/>
    </xf>
    <xf numFmtId="0" fontId="7" fillId="0" borderId="140" xfId="0" applyFont="1" applyBorder="1" applyAlignment="1">
      <alignment horizontal="left" vertical="center" wrapText="1"/>
    </xf>
    <xf numFmtId="0" fontId="7" fillId="0" borderId="195" xfId="0" applyFont="1" applyBorder="1" applyAlignment="1">
      <alignment horizontal="left" vertical="center" wrapText="1"/>
    </xf>
    <xf numFmtId="0" fontId="7" fillId="0" borderId="196" xfId="0" applyFont="1" applyBorder="1" applyAlignment="1">
      <alignment horizontal="left" vertical="center" wrapText="1"/>
    </xf>
    <xf numFmtId="0" fontId="100" fillId="40" borderId="0" xfId="0" applyFont="1" applyFill="1" applyBorder="1" applyAlignment="1">
      <alignment horizontal="center" wrapText="1"/>
    </xf>
    <xf numFmtId="0" fontId="100" fillId="40" borderId="0" xfId="0" applyFont="1" applyFill="1" applyAlignment="1">
      <alignment horizontal="center" wrapText="1"/>
    </xf>
    <xf numFmtId="0" fontId="29" fillId="3" borderId="75" xfId="0" applyFont="1" applyFill="1" applyBorder="1" applyAlignment="1">
      <alignment horizontal="center"/>
    </xf>
    <xf numFmtId="0" fontId="29" fillId="3" borderId="0" xfId="0" applyFont="1" applyFill="1" applyAlignment="1">
      <alignment horizontal="center"/>
    </xf>
    <xf numFmtId="0" fontId="29" fillId="18" borderId="0" xfId="0" applyFont="1" applyFill="1" applyBorder="1" applyAlignment="1">
      <alignment horizontal="left" wrapText="1"/>
    </xf>
    <xf numFmtId="0" fontId="8" fillId="17" borderId="0" xfId="0" applyFont="1" applyFill="1" applyBorder="1" applyAlignment="1">
      <alignment horizontal="center" wrapText="1"/>
    </xf>
    <xf numFmtId="0" fontId="143" fillId="0" borderId="0" xfId="0" applyFont="1" applyBorder="1" applyAlignment="1">
      <alignment horizontal="left" wrapText="1"/>
    </xf>
    <xf numFmtId="0" fontId="26" fillId="0" borderId="159" xfId="0" applyFont="1" applyBorder="1" applyAlignment="1">
      <alignment horizontal="center"/>
    </xf>
    <xf numFmtId="0" fontId="8" fillId="17" borderId="63" xfId="0" applyFont="1" applyFill="1" applyBorder="1" applyAlignment="1">
      <alignment horizontal="center" wrapText="1"/>
    </xf>
    <xf numFmtId="0" fontId="31" fillId="17" borderId="4" xfId="0" applyFont="1" applyFill="1" applyBorder="1" applyAlignment="1" applyProtection="1">
      <alignment horizontal="center" vertical="top"/>
      <protection locked="0"/>
    </xf>
    <xf numFmtId="0" fontId="267" fillId="0" borderId="5" xfId="0" applyFont="1" applyBorder="1" applyAlignment="1">
      <alignment horizontal="center" vertical="top"/>
    </xf>
    <xf numFmtId="0" fontId="1" fillId="0" borderId="153" xfId="0" applyFont="1" applyFill="1" applyBorder="1" applyAlignment="1">
      <alignment horizontal="left" vertical="top" wrapText="1"/>
    </xf>
    <xf numFmtId="0" fontId="1" fillId="0" borderId="5" xfId="0" applyFont="1" applyFill="1" applyBorder="1" applyAlignment="1">
      <alignment horizontal="left" vertical="top" wrapText="1"/>
    </xf>
    <xf numFmtId="0" fontId="1" fillId="0" borderId="23" xfId="0" applyFont="1" applyFill="1" applyBorder="1" applyAlignment="1">
      <alignment horizontal="left" vertical="top" wrapText="1"/>
    </xf>
    <xf numFmtId="0" fontId="1" fillId="0" borderId="153" xfId="0" applyFont="1" applyFill="1" applyBorder="1" applyAlignment="1">
      <alignment horizontal="left" vertical="top"/>
    </xf>
    <xf numFmtId="0" fontId="1" fillId="0" borderId="5" xfId="0" applyFont="1" applyFill="1" applyBorder="1" applyAlignment="1">
      <alignment horizontal="left" vertical="top"/>
    </xf>
    <xf numFmtId="0" fontId="1" fillId="0" borderId="23" xfId="0" applyFont="1" applyFill="1" applyBorder="1" applyAlignment="1">
      <alignment horizontal="left" vertical="top"/>
    </xf>
    <xf numFmtId="0" fontId="1" fillId="0" borderId="157" xfId="0" applyFont="1" applyFill="1" applyBorder="1" applyAlignment="1">
      <alignment horizontal="left" vertical="top" wrapText="1"/>
    </xf>
    <xf numFmtId="0" fontId="1" fillId="0" borderId="33" xfId="0" applyFont="1" applyFill="1" applyBorder="1" applyAlignment="1">
      <alignment horizontal="left" vertical="top" wrapText="1"/>
    </xf>
    <xf numFmtId="0" fontId="257" fillId="18" borderId="153" xfId="0" applyFont="1" applyFill="1" applyBorder="1" applyAlignment="1">
      <alignment horizontal="left" vertical="top"/>
    </xf>
    <xf numFmtId="0" fontId="257" fillId="18" borderId="5" xfId="0" applyFont="1" applyFill="1" applyBorder="1" applyAlignment="1">
      <alignment horizontal="left" vertical="top"/>
    </xf>
    <xf numFmtId="0" fontId="257" fillId="18" borderId="23" xfId="0" applyFont="1" applyFill="1" applyBorder="1" applyAlignment="1">
      <alignment horizontal="left" vertical="top"/>
    </xf>
    <xf numFmtId="0" fontId="1" fillId="0" borderId="167" xfId="0" applyFont="1" applyFill="1" applyBorder="1" applyAlignment="1">
      <alignment horizontal="left" vertical="top"/>
    </xf>
    <xf numFmtId="0" fontId="1" fillId="0" borderId="168" xfId="0" applyFont="1" applyFill="1" applyBorder="1" applyAlignment="1">
      <alignment horizontal="left" vertical="top"/>
    </xf>
    <xf numFmtId="0" fontId="1" fillId="0" borderId="169" xfId="0" applyFont="1" applyFill="1" applyBorder="1" applyAlignment="1">
      <alignment horizontal="left" vertical="top"/>
    </xf>
    <xf numFmtId="0" fontId="257" fillId="0" borderId="153" xfId="0" applyFont="1" applyFill="1" applyBorder="1" applyAlignment="1">
      <alignment horizontal="left" vertical="top"/>
    </xf>
    <xf numFmtId="0" fontId="257" fillId="0" borderId="5" xfId="0" applyFont="1" applyFill="1" applyBorder="1" applyAlignment="1">
      <alignment horizontal="left" vertical="top"/>
    </xf>
    <xf numFmtId="0" fontId="257" fillId="0" borderId="23" xfId="0" applyFont="1" applyFill="1" applyBorder="1" applyAlignment="1">
      <alignment horizontal="left" vertical="top"/>
    </xf>
    <xf numFmtId="0" fontId="1" fillId="0" borderId="155" xfId="0" applyFont="1" applyFill="1" applyBorder="1" applyAlignment="1">
      <alignment horizontal="left" vertical="top"/>
    </xf>
    <xf numFmtId="0" fontId="1" fillId="0" borderId="4" xfId="0" applyFont="1" applyFill="1" applyBorder="1" applyAlignment="1">
      <alignment horizontal="left" vertical="top"/>
    </xf>
    <xf numFmtId="0" fontId="1" fillId="0" borderId="143" xfId="0" applyFont="1" applyFill="1" applyBorder="1" applyAlignment="1">
      <alignment horizontal="left" vertical="top"/>
    </xf>
    <xf numFmtId="0" fontId="1" fillId="0" borderId="210" xfId="0" applyFont="1" applyFill="1" applyBorder="1" applyAlignment="1">
      <alignment horizontal="left" vertical="top"/>
    </xf>
    <xf numFmtId="0" fontId="1" fillId="0" borderId="16" xfId="0" applyFont="1" applyFill="1" applyBorder="1" applyAlignment="1">
      <alignment horizontal="left" vertical="top"/>
    </xf>
    <xf numFmtId="0" fontId="1" fillId="0" borderId="161" xfId="0" applyFont="1" applyFill="1" applyBorder="1" applyAlignment="1">
      <alignment horizontal="left" vertical="top"/>
    </xf>
    <xf numFmtId="0" fontId="1" fillId="0" borderId="157" xfId="0" applyFont="1" applyFill="1" applyBorder="1" applyAlignment="1">
      <alignment horizontal="left" vertical="top"/>
    </xf>
    <xf numFmtId="0" fontId="1" fillId="0" borderId="33" xfId="0" applyFont="1" applyFill="1" applyBorder="1" applyAlignment="1">
      <alignment horizontal="left" vertical="top"/>
    </xf>
    <xf numFmtId="0" fontId="1" fillId="0" borderId="51" xfId="0" applyFont="1" applyFill="1" applyBorder="1" applyAlignment="1">
      <alignment horizontal="left" vertical="top"/>
    </xf>
    <xf numFmtId="0" fontId="1" fillId="0" borderId="155" xfId="0" applyFont="1" applyFill="1" applyBorder="1" applyAlignment="1">
      <alignment horizontal="left" vertical="top" wrapText="1"/>
    </xf>
    <xf numFmtId="0" fontId="1" fillId="0" borderId="4" xfId="0" applyFont="1" applyFill="1" applyBorder="1" applyAlignment="1">
      <alignment horizontal="left" vertical="top" wrapText="1"/>
    </xf>
    <xf numFmtId="0" fontId="1" fillId="0" borderId="143" xfId="0" applyFont="1" applyFill="1" applyBorder="1" applyAlignment="1">
      <alignment horizontal="left" vertical="top" wrapText="1"/>
    </xf>
    <xf numFmtId="0" fontId="45" fillId="18" borderId="0" xfId="0" applyFont="1" applyFill="1" applyBorder="1" applyAlignment="1">
      <alignment horizontal="left" wrapText="1"/>
    </xf>
    <xf numFmtId="0" fontId="6" fillId="19" borderId="31" xfId="0" applyFont="1" applyFill="1" applyBorder="1" applyAlignment="1">
      <alignment horizontal="center" vertical="center" wrapText="1"/>
    </xf>
    <xf numFmtId="0" fontId="23" fillId="0" borderId="0" xfId="0" applyFont="1" applyBorder="1" applyAlignment="1">
      <alignment horizontal="center"/>
    </xf>
    <xf numFmtId="49" fontId="30" fillId="19" borderId="33" xfId="0" applyNumberFormat="1" applyFont="1" applyFill="1" applyBorder="1" applyAlignment="1">
      <alignment horizontal="center" vertical="center" wrapText="1"/>
    </xf>
    <xf numFmtId="49" fontId="30" fillId="19" borderId="32" xfId="0" applyNumberFormat="1" applyFont="1" applyFill="1" applyBorder="1" applyAlignment="1">
      <alignment horizontal="center" vertical="center"/>
    </xf>
    <xf numFmtId="0" fontId="32" fillId="19" borderId="0" xfId="0" applyFont="1" applyFill="1" applyBorder="1" applyAlignment="1">
      <alignment horizontal="center" vertical="center" wrapText="1"/>
    </xf>
    <xf numFmtId="164" fontId="85" fillId="0" borderId="4" xfId="0" applyNumberFormat="1" applyFont="1" applyBorder="1" applyAlignment="1">
      <alignment horizontal="center"/>
    </xf>
    <xf numFmtId="0" fontId="85" fillId="0" borderId="4" xfId="0" applyFont="1" applyFill="1" applyBorder="1" applyAlignment="1">
      <alignment horizontal="center"/>
    </xf>
    <xf numFmtId="0" fontId="45" fillId="18" borderId="0" xfId="0" quotePrefix="1" applyFont="1" applyFill="1" applyBorder="1" applyAlignment="1">
      <alignment horizontal="left" vertical="top" wrapText="1"/>
    </xf>
    <xf numFmtId="0" fontId="43" fillId="0" borderId="8" xfId="0" applyFont="1" applyBorder="1" applyAlignment="1">
      <alignment horizontal="center" vertical="center" textRotation="90" wrapText="1"/>
    </xf>
    <xf numFmtId="0" fontId="43" fillId="0" borderId="0" xfId="0" applyFont="1" applyBorder="1" applyAlignment="1">
      <alignment horizontal="center" vertical="center" textRotation="90" wrapText="1"/>
    </xf>
    <xf numFmtId="0" fontId="126" fillId="42" borderId="13" xfId="0" applyFont="1" applyFill="1" applyBorder="1" applyAlignment="1">
      <alignment horizontal="center" vertical="center" textRotation="90" wrapText="1"/>
    </xf>
    <xf numFmtId="0" fontId="32" fillId="16" borderId="0" xfId="0" applyFont="1" applyFill="1" applyBorder="1" applyAlignment="1">
      <alignment horizontal="center" vertical="center" wrapText="1"/>
    </xf>
    <xf numFmtId="0" fontId="6" fillId="16" borderId="31" xfId="0" applyFont="1" applyFill="1" applyBorder="1" applyAlignment="1">
      <alignment horizontal="center" vertical="center" wrapText="1"/>
    </xf>
    <xf numFmtId="49" fontId="30" fillId="16" borderId="33" xfId="0" applyNumberFormat="1" applyFont="1" applyFill="1" applyBorder="1" applyAlignment="1">
      <alignment horizontal="center" vertical="center" wrapText="1"/>
    </xf>
    <xf numFmtId="49" fontId="30" fillId="16" borderId="32" xfId="0" applyNumberFormat="1" applyFont="1" applyFill="1" applyBorder="1" applyAlignment="1">
      <alignment horizontal="center" vertical="center"/>
    </xf>
    <xf numFmtId="0" fontId="100" fillId="0" borderId="0" xfId="0" applyFont="1" applyBorder="1" applyAlignment="1">
      <alignment horizontal="center"/>
    </xf>
    <xf numFmtId="0" fontId="140" fillId="0" borderId="0" xfId="0" quotePrefix="1" applyFont="1" applyBorder="1" applyAlignment="1">
      <alignment horizontal="center" wrapText="1"/>
    </xf>
    <xf numFmtId="0" fontId="140" fillId="0" borderId="0" xfId="0" applyFont="1" applyBorder="1" applyAlignment="1">
      <alignment horizontal="center" wrapText="1"/>
    </xf>
    <xf numFmtId="0" fontId="229" fillId="0" borderId="0" xfId="0" quotePrefix="1" applyNumberFormat="1" applyFont="1" applyFill="1" applyBorder="1" applyAlignment="1">
      <alignment horizontal="center" vertical="top" wrapText="1"/>
    </xf>
    <xf numFmtId="0" fontId="229" fillId="0" borderId="0" xfId="0" applyNumberFormat="1" applyFont="1" applyFill="1" applyBorder="1" applyAlignment="1">
      <alignment horizontal="center" vertical="top" wrapText="1"/>
    </xf>
    <xf numFmtId="0" fontId="112" fillId="42" borderId="13" xfId="0" applyFont="1" applyFill="1" applyBorder="1" applyAlignment="1">
      <alignment horizontal="center" vertical="center" textRotation="90"/>
    </xf>
    <xf numFmtId="0" fontId="32" fillId="13" borderId="0" xfId="0" applyFont="1" applyFill="1" applyBorder="1" applyAlignment="1">
      <alignment horizontal="center" vertical="center" wrapText="1"/>
    </xf>
    <xf numFmtId="0" fontId="6" fillId="13" borderId="31" xfId="0" applyFont="1" applyFill="1" applyBorder="1" applyAlignment="1">
      <alignment horizontal="center" vertical="center" wrapText="1"/>
    </xf>
    <xf numFmtId="49" fontId="30" fillId="13" borderId="33" xfId="0" applyNumberFormat="1" applyFont="1" applyFill="1" applyBorder="1" applyAlignment="1">
      <alignment horizontal="center" vertical="center" wrapText="1"/>
    </xf>
    <xf numFmtId="49" fontId="30" fillId="13" borderId="32" xfId="0" applyNumberFormat="1" applyFont="1" applyFill="1" applyBorder="1" applyAlignment="1">
      <alignment horizontal="center" vertical="center"/>
    </xf>
    <xf numFmtId="0" fontId="45" fillId="18" borderId="200" xfId="0" applyFont="1" applyFill="1" applyBorder="1" applyAlignment="1">
      <alignment horizontal="left" vertical="top" wrapText="1"/>
    </xf>
    <xf numFmtId="0" fontId="32" fillId="15" borderId="0" xfId="0" applyFont="1" applyFill="1" applyBorder="1" applyAlignment="1">
      <alignment horizontal="center" vertical="center" wrapText="1"/>
    </xf>
    <xf numFmtId="0" fontId="6" fillId="4" borderId="31" xfId="0" applyFont="1" applyFill="1" applyBorder="1" applyAlignment="1">
      <alignment horizontal="center" vertical="center" wrapText="1"/>
    </xf>
    <xf numFmtId="49" fontId="30" fillId="4" borderId="33" xfId="0" applyNumberFormat="1" applyFont="1" applyFill="1" applyBorder="1" applyAlignment="1">
      <alignment horizontal="center" vertical="center" wrapText="1"/>
    </xf>
    <xf numFmtId="49" fontId="30" fillId="4" borderId="32" xfId="0" applyNumberFormat="1" applyFont="1" applyFill="1" applyBorder="1" applyAlignment="1">
      <alignment horizontal="center" vertical="center"/>
    </xf>
    <xf numFmtId="0" fontId="30" fillId="0" borderId="0" xfId="0" applyNumberFormat="1" applyFont="1" applyFill="1" applyBorder="1" applyAlignment="1">
      <alignment horizontal="center" vertical="center" textRotation="90" wrapText="1"/>
    </xf>
    <xf numFmtId="0" fontId="118" fillId="14" borderId="0" xfId="0" applyFont="1" applyFill="1" applyBorder="1" applyAlignment="1">
      <alignment horizontal="center" vertical="center" wrapText="1"/>
    </xf>
    <xf numFmtId="0" fontId="120" fillId="14" borderId="31" xfId="0" applyFont="1" applyFill="1" applyBorder="1" applyAlignment="1">
      <alignment horizontal="center" vertical="center" wrapText="1"/>
    </xf>
    <xf numFmtId="49" fontId="116" fillId="14" borderId="33" xfId="0" applyNumberFormat="1" applyFont="1" applyFill="1" applyBorder="1" applyAlignment="1">
      <alignment horizontal="center" vertical="center" wrapText="1"/>
    </xf>
    <xf numFmtId="49" fontId="116" fillId="14" borderId="32" xfId="0" applyNumberFormat="1" applyFont="1" applyFill="1" applyBorder="1" applyAlignment="1">
      <alignment horizontal="center" vertical="center"/>
    </xf>
    <xf numFmtId="0" fontId="109" fillId="42" borderId="0" xfId="0" applyFont="1" applyFill="1" applyAlignment="1">
      <alignment horizontal="left" vertical="center" wrapText="1"/>
    </xf>
    <xf numFmtId="0" fontId="109" fillId="42" borderId="0" xfId="0" applyFont="1" applyFill="1" applyAlignment="1">
      <alignment horizontal="left" vertical="center"/>
    </xf>
    <xf numFmtId="0" fontId="30" fillId="0" borderId="8" xfId="0" applyNumberFormat="1" applyFont="1" applyFill="1" applyBorder="1" applyAlignment="1">
      <alignment horizontal="center" vertical="center" textRotation="90" wrapText="1"/>
    </xf>
    <xf numFmtId="49" fontId="133" fillId="20" borderId="33" xfId="0" applyNumberFormat="1" applyFont="1" applyFill="1" applyBorder="1" applyAlignment="1">
      <alignment horizontal="center" vertical="center" wrapText="1"/>
    </xf>
    <xf numFmtId="49" fontId="133" fillId="20" borderId="32" xfId="0" applyNumberFormat="1" applyFont="1" applyFill="1" applyBorder="1" applyAlignment="1">
      <alignment horizontal="center" vertical="center"/>
    </xf>
    <xf numFmtId="0" fontId="169" fillId="42" borderId="58" xfId="0" applyFont="1" applyFill="1" applyBorder="1" applyAlignment="1">
      <alignment horizontal="center" vertical="center" textRotation="90" wrapText="1"/>
    </xf>
    <xf numFmtId="0" fontId="169" fillId="42" borderId="122" xfId="0" applyFont="1" applyFill="1" applyBorder="1" applyAlignment="1">
      <alignment horizontal="center" vertical="center" textRotation="90" wrapText="1"/>
    </xf>
    <xf numFmtId="0" fontId="169" fillId="42" borderId="3" xfId="0" applyFont="1" applyFill="1" applyBorder="1" applyAlignment="1">
      <alignment horizontal="center" vertical="center" textRotation="90" wrapText="1"/>
    </xf>
    <xf numFmtId="0" fontId="112" fillId="42" borderId="13" xfId="0" applyFont="1" applyFill="1" applyBorder="1" applyAlignment="1">
      <alignment horizontal="center" vertical="center" textRotation="90" wrapText="1"/>
    </xf>
    <xf numFmtId="0" fontId="75" fillId="20" borderId="0" xfId="0" applyFont="1" applyFill="1" applyBorder="1" applyAlignment="1">
      <alignment horizontal="center" vertical="center" wrapText="1"/>
    </xf>
    <xf numFmtId="0" fontId="132" fillId="20" borderId="31" xfId="0" applyFont="1" applyFill="1" applyBorder="1" applyAlignment="1">
      <alignment horizontal="center" vertical="center" wrapText="1"/>
    </xf>
    <xf numFmtId="0" fontId="23" fillId="42" borderId="58" xfId="0" applyFont="1" applyFill="1" applyBorder="1" applyAlignment="1">
      <alignment horizontal="center" vertical="center" textRotation="90" wrapText="1"/>
    </xf>
    <xf numFmtId="0" fontId="23" fillId="42" borderId="122" xfId="0" applyFont="1" applyFill="1" applyBorder="1" applyAlignment="1">
      <alignment horizontal="center" vertical="center" textRotation="90" wrapText="1"/>
    </xf>
    <xf numFmtId="0" fontId="23" fillId="42" borderId="3" xfId="0" applyFont="1" applyFill="1" applyBorder="1" applyAlignment="1">
      <alignment horizontal="center" vertical="center" textRotation="90" wrapText="1"/>
    </xf>
    <xf numFmtId="14" fontId="79" fillId="42" borderId="0" xfId="0" applyNumberFormat="1" applyFont="1" applyFill="1" applyAlignment="1">
      <alignment horizontal="center"/>
    </xf>
    <xf numFmtId="0" fontId="23" fillId="31" borderId="58" xfId="0" applyFont="1" applyFill="1" applyBorder="1" applyAlignment="1">
      <alignment horizontal="center" vertical="center" textRotation="90" wrapText="1"/>
    </xf>
    <xf numFmtId="0" fontId="23" fillId="31" borderId="122" xfId="0" applyFont="1" applyFill="1" applyBorder="1" applyAlignment="1">
      <alignment horizontal="center" vertical="center" textRotation="90" wrapText="1"/>
    </xf>
    <xf numFmtId="0" fontId="23" fillId="31" borderId="3" xfId="0" applyFont="1" applyFill="1" applyBorder="1" applyAlignment="1">
      <alignment horizontal="center" vertical="center" textRotation="90" wrapText="1"/>
    </xf>
    <xf numFmtId="49" fontId="133" fillId="11" borderId="33" xfId="0" applyNumberFormat="1" applyFont="1" applyFill="1" applyBorder="1" applyAlignment="1">
      <alignment horizontal="center" vertical="center" wrapText="1"/>
    </xf>
    <xf numFmtId="49" fontId="133" fillId="11" borderId="32" xfId="0" applyNumberFormat="1" applyFont="1" applyFill="1" applyBorder="1" applyAlignment="1">
      <alignment horizontal="center" vertical="center"/>
    </xf>
    <xf numFmtId="0" fontId="169" fillId="31" borderId="58" xfId="0" applyFont="1" applyFill="1" applyBorder="1" applyAlignment="1">
      <alignment horizontal="center" vertical="center" textRotation="90" wrapText="1"/>
    </xf>
    <xf numFmtId="0" fontId="169" fillId="31" borderId="122" xfId="0" applyFont="1" applyFill="1" applyBorder="1" applyAlignment="1">
      <alignment horizontal="center" vertical="center" textRotation="90" wrapText="1"/>
    </xf>
    <xf numFmtId="0" fontId="169" fillId="31" borderId="3" xfId="0" applyFont="1" applyFill="1" applyBorder="1" applyAlignment="1">
      <alignment horizontal="center" vertical="center" textRotation="90" wrapText="1"/>
    </xf>
    <xf numFmtId="0" fontId="132" fillId="11" borderId="31" xfId="0" applyFont="1" applyFill="1" applyBorder="1" applyAlignment="1">
      <alignment horizontal="center" vertical="center" wrapText="1"/>
    </xf>
    <xf numFmtId="0" fontId="75" fillId="11" borderId="0" xfId="0" applyFont="1" applyFill="1" applyBorder="1" applyAlignment="1">
      <alignment horizontal="center" vertical="center" wrapText="1"/>
    </xf>
    <xf numFmtId="0" fontId="23" fillId="31" borderId="214" xfId="0" applyFont="1" applyFill="1" applyBorder="1" applyAlignment="1">
      <alignment horizontal="center" vertical="center" textRotation="90" wrapText="1"/>
    </xf>
    <xf numFmtId="0" fontId="23" fillId="31" borderId="13" xfId="0" applyFont="1" applyFill="1" applyBorder="1" applyAlignment="1">
      <alignment horizontal="center" vertical="center" textRotation="90" wrapText="1"/>
    </xf>
    <xf numFmtId="0" fontId="23" fillId="31" borderId="100" xfId="0" applyFont="1" applyFill="1" applyBorder="1" applyAlignment="1">
      <alignment horizontal="center" vertical="center" textRotation="90" wrapText="1"/>
    </xf>
    <xf numFmtId="0" fontId="169" fillId="31" borderId="13" xfId="0" applyFont="1" applyFill="1" applyBorder="1" applyAlignment="1">
      <alignment horizontal="center" vertical="center" textRotation="90" wrapText="1"/>
    </xf>
    <xf numFmtId="0" fontId="169" fillId="31" borderId="100" xfId="0" applyFont="1" applyFill="1" applyBorder="1" applyAlignment="1">
      <alignment horizontal="center" vertical="center" textRotation="90" wrapText="1"/>
    </xf>
    <xf numFmtId="0" fontId="118" fillId="21" borderId="0" xfId="0" applyFont="1" applyFill="1" applyBorder="1" applyAlignment="1">
      <alignment horizontal="center" vertical="center" wrapText="1"/>
    </xf>
    <xf numFmtId="0" fontId="120" fillId="21" borderId="31" xfId="0" applyFont="1" applyFill="1" applyBorder="1" applyAlignment="1">
      <alignment horizontal="center" vertical="center" wrapText="1"/>
    </xf>
    <xf numFmtId="49" fontId="116" fillId="21" borderId="33" xfId="0" applyNumberFormat="1" applyFont="1" applyFill="1" applyBorder="1" applyAlignment="1">
      <alignment horizontal="center" vertical="center" wrapText="1"/>
    </xf>
    <xf numFmtId="49" fontId="116" fillId="21" borderId="32" xfId="0" applyNumberFormat="1" applyFont="1" applyFill="1" applyBorder="1" applyAlignment="1">
      <alignment horizontal="center" vertical="center"/>
    </xf>
    <xf numFmtId="0" fontId="75" fillId="31" borderId="197" xfId="0" applyFont="1" applyFill="1" applyBorder="1" applyAlignment="1">
      <alignment horizontal="center" vertical="center" textRotation="90" wrapText="1"/>
    </xf>
    <xf numFmtId="0" fontId="75" fillId="31" borderId="198" xfId="0" applyFont="1" applyFill="1" applyBorder="1" applyAlignment="1">
      <alignment horizontal="center" vertical="center" textRotation="90" wrapText="1"/>
    </xf>
    <xf numFmtId="0" fontId="118" fillId="22" borderId="0" xfId="0" applyFont="1" applyFill="1" applyBorder="1" applyAlignment="1">
      <alignment horizontal="center" vertical="center" wrapText="1"/>
    </xf>
    <xf numFmtId="0" fontId="120" fillId="22" borderId="31" xfId="0" applyFont="1" applyFill="1" applyBorder="1" applyAlignment="1">
      <alignment horizontal="center" vertical="center" wrapText="1"/>
    </xf>
    <xf numFmtId="49" fontId="116" fillId="22" borderId="33" xfId="0" applyNumberFormat="1" applyFont="1" applyFill="1" applyBorder="1" applyAlignment="1">
      <alignment horizontal="center" vertical="center" wrapText="1"/>
    </xf>
    <xf numFmtId="49" fontId="116" fillId="22" borderId="32" xfId="0" applyNumberFormat="1" applyFont="1" applyFill="1" applyBorder="1" applyAlignment="1">
      <alignment horizontal="center" vertical="center"/>
    </xf>
    <xf numFmtId="0" fontId="23" fillId="31" borderId="16" xfId="0" applyFont="1" applyFill="1" applyBorder="1" applyAlignment="1">
      <alignment horizontal="center" vertical="center" textRotation="90" wrapText="1"/>
    </xf>
    <xf numFmtId="0" fontId="23" fillId="31" borderId="0" xfId="0" applyFont="1" applyFill="1" applyBorder="1" applyAlignment="1">
      <alignment horizontal="center" vertical="center" textRotation="90" wrapText="1"/>
    </xf>
    <xf numFmtId="0" fontId="23" fillId="31" borderId="4" xfId="0" applyFont="1" applyFill="1" applyBorder="1" applyAlignment="1">
      <alignment horizontal="center" vertical="center" textRotation="90" wrapText="1"/>
    </xf>
  </cellXfs>
  <cellStyles count="3">
    <cellStyle name="Hyperlink" xfId="1" builtinId="8"/>
    <cellStyle name="Normal" xfId="0" builtinId="0"/>
    <cellStyle name="Percent" xfId="2" builtinId="5"/>
  </cellStyles>
  <dxfs count="1703">
    <dxf>
      <font>
        <b/>
        <i val="0"/>
        <color theme="0"/>
      </font>
      <fill>
        <patternFill>
          <bgColor theme="1" tint="0.34998626667073579"/>
        </patternFill>
      </fill>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color rgb="FFC00000"/>
      </font>
    </dxf>
    <dxf>
      <font>
        <strike/>
      </font>
    </dxf>
    <dxf>
      <font>
        <strike/>
      </font>
    </dxf>
    <dxf>
      <font>
        <strike/>
        <color theme="0" tint="-0.499984740745262"/>
      </font>
    </dxf>
    <dxf>
      <font>
        <strike/>
        <color theme="0" tint="-0.499984740745262"/>
      </font>
    </dxf>
    <dxf>
      <font>
        <b val="0"/>
        <i/>
      </font>
    </dxf>
    <dxf>
      <border>
        <bottom style="hair">
          <color auto="1"/>
        </bottom>
        <vertical/>
        <horizontal/>
      </border>
    </dxf>
    <dxf>
      <border>
        <bottom style="hair">
          <color theme="0" tint="-0.499984740745262"/>
        </bottom>
        <vertical/>
        <horizontal/>
      </border>
    </dxf>
    <dxf>
      <fill>
        <patternFill patternType="none">
          <bgColor auto="1"/>
        </patternFill>
      </fill>
      <border>
        <bottom style="hair">
          <color auto="1"/>
        </bottom>
        <vertical/>
        <horizontal/>
      </border>
    </dxf>
    <dxf>
      <fill>
        <patternFill patternType="none">
          <bgColor auto="1"/>
        </patternFill>
      </fill>
      <border>
        <bottom style="thin">
          <color auto="1"/>
        </bottom>
        <vertical/>
        <horizontal/>
      </border>
    </dxf>
    <dxf>
      <font>
        <b/>
        <i val="0"/>
      </font>
      <fill>
        <patternFill>
          <bgColor theme="5" tint="0.39994506668294322"/>
        </patternFill>
      </fill>
    </dxf>
    <dxf>
      <font>
        <b/>
        <i val="0"/>
        <color auto="1"/>
      </font>
      <fill>
        <patternFill>
          <bgColor theme="6" tint="0.59996337778862885"/>
        </patternFill>
      </fill>
    </dxf>
    <dxf>
      <font>
        <strike/>
        <color theme="0" tint="-0.14996795556505021"/>
      </font>
      <fill>
        <patternFill>
          <bgColor theme="0" tint="-0.499984740745262"/>
        </patternFill>
      </fill>
    </dxf>
    <dxf>
      <font>
        <strike/>
        <color theme="0" tint="-0.14996795556505021"/>
      </font>
      <fill>
        <patternFill>
          <bgColor theme="0" tint="-0.34998626667073579"/>
        </patternFill>
      </fill>
    </dxf>
    <dxf>
      <font>
        <strike/>
        <color theme="0" tint="-0.499984740745262"/>
      </font>
    </dxf>
    <dxf>
      <font>
        <b/>
        <i val="0"/>
        <color rgb="FFC00000"/>
      </font>
    </dxf>
    <dxf>
      <font>
        <b/>
        <i val="0"/>
        <color rgb="FFC00000"/>
      </font>
    </dxf>
    <dxf>
      <font>
        <color rgb="FFC00000"/>
      </font>
    </dxf>
    <dxf>
      <font>
        <color rgb="FFC00000"/>
      </font>
    </dxf>
    <dxf>
      <font>
        <strike/>
      </font>
    </dxf>
    <dxf>
      <font>
        <color rgb="FFC00000"/>
      </font>
    </dxf>
    <dxf>
      <font>
        <color rgb="FFC00000"/>
      </font>
    </dxf>
    <dxf>
      <font>
        <color rgb="FFC00000"/>
      </font>
    </dxf>
    <dxf>
      <font>
        <color rgb="FFC00000"/>
      </font>
    </dxf>
    <dxf>
      <font>
        <strike/>
      </font>
    </dxf>
    <dxf>
      <font>
        <b/>
        <i/>
        <color rgb="FFC00000"/>
      </font>
      <fill>
        <patternFill>
          <bgColor theme="5" tint="0.79998168889431442"/>
        </patternFill>
      </fill>
    </dxf>
    <dxf>
      <font>
        <b/>
        <i/>
        <color rgb="FFC00000"/>
      </font>
      <fill>
        <patternFill>
          <bgColor theme="5" tint="0.79998168889431442"/>
        </patternFill>
      </fill>
    </dxf>
    <dxf>
      <font>
        <b/>
        <i/>
        <color rgb="FFC00000"/>
      </font>
      <fill>
        <patternFill>
          <bgColor theme="5" tint="0.79998168889431442"/>
        </patternFill>
      </fill>
    </dxf>
    <dxf>
      <font>
        <strike/>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b/>
        <i/>
        <strike/>
      </font>
    </dxf>
    <dxf>
      <font>
        <strike/>
      </font>
    </dxf>
    <dxf>
      <font>
        <color rgb="FFC00000"/>
      </font>
    </dxf>
    <dxf>
      <font>
        <color rgb="FFC00000"/>
      </font>
      <fill>
        <patternFill>
          <bgColor theme="5" tint="0.39994506668294322"/>
        </patternFill>
      </fill>
    </dxf>
    <dxf>
      <font>
        <b/>
        <i val="0"/>
        <color rgb="FFC00000"/>
      </font>
      <fill>
        <patternFill>
          <bgColor theme="5" tint="0.59996337778862885"/>
        </patternFill>
      </fill>
    </dxf>
    <dxf>
      <font>
        <strike/>
      </font>
    </dxf>
    <dxf>
      <font>
        <strike/>
      </font>
    </dxf>
    <dxf>
      <font>
        <strike/>
      </font>
    </dxf>
    <dxf>
      <font>
        <color rgb="FFC00000"/>
      </font>
    </dxf>
    <dxf>
      <font>
        <color rgb="FFC00000"/>
      </font>
    </dxf>
    <dxf>
      <font>
        <color rgb="FFC00000"/>
      </font>
    </dxf>
    <dxf>
      <font>
        <b/>
        <i/>
        <strike/>
      </font>
    </dxf>
    <dxf>
      <font>
        <b/>
        <i/>
        <strike/>
      </font>
    </dxf>
    <dxf>
      <font>
        <b/>
        <i/>
        <strike/>
      </font>
    </dxf>
    <dxf>
      <font>
        <b/>
        <i/>
        <strike/>
      </font>
    </dxf>
    <dxf>
      <font>
        <b/>
        <i/>
        <strike/>
      </font>
    </dxf>
    <dxf>
      <font>
        <strike/>
      </font>
    </dxf>
    <dxf>
      <font>
        <b/>
        <i/>
        <strike/>
      </font>
    </dxf>
    <dxf>
      <font>
        <strike/>
      </font>
    </dxf>
    <dxf>
      <font>
        <b/>
        <i/>
        <strike/>
      </font>
    </dxf>
    <dxf>
      <font>
        <b/>
        <i/>
        <strike/>
      </font>
    </dxf>
    <dxf>
      <font>
        <b/>
        <i/>
        <strike/>
      </font>
    </dxf>
    <dxf>
      <font>
        <b/>
        <i/>
        <strike/>
      </font>
    </dxf>
    <dxf>
      <font>
        <strike/>
      </font>
    </dxf>
    <dxf>
      <font>
        <b/>
        <i/>
        <strike/>
      </font>
    </dxf>
    <dxf>
      <font>
        <b/>
        <i/>
        <strike/>
      </font>
    </dxf>
    <dxf>
      <font>
        <strike/>
      </font>
    </dxf>
    <dxf>
      <font>
        <strike/>
      </font>
    </dxf>
    <dxf>
      <font>
        <b/>
        <i/>
        <strike/>
      </font>
    </dxf>
    <dxf>
      <font>
        <b/>
        <i/>
        <strike/>
      </font>
    </dxf>
    <dxf>
      <font>
        <b/>
        <i/>
        <strike/>
      </font>
    </dxf>
    <dxf>
      <font>
        <strike/>
      </font>
    </dxf>
    <dxf>
      <font>
        <b/>
        <i/>
        <strike/>
      </font>
    </dxf>
    <dxf>
      <font>
        <b/>
        <i/>
        <strike/>
      </font>
    </dxf>
    <dxf>
      <font>
        <b/>
        <i/>
        <strike/>
      </font>
    </dxf>
    <dxf>
      <font>
        <strike/>
      </font>
    </dxf>
    <dxf>
      <font>
        <strike/>
      </font>
    </dxf>
    <dxf>
      <font>
        <strike/>
      </font>
    </dxf>
    <dxf>
      <font>
        <b/>
        <i val="0"/>
        <color rgb="FFC00000"/>
      </font>
      <fill>
        <patternFill>
          <bgColor theme="5" tint="0.59996337778862885"/>
        </patternFill>
      </fill>
    </dxf>
    <dxf>
      <font>
        <color rgb="FFC00000"/>
      </font>
      <fill>
        <patternFill>
          <bgColor theme="5" tint="0.39994506668294322"/>
        </patternFill>
      </fill>
    </dxf>
    <dxf>
      <font>
        <b/>
        <i val="0"/>
        <color rgb="FFC00000"/>
      </font>
      <fill>
        <patternFill>
          <bgColor theme="5" tint="0.59996337778862885"/>
        </patternFill>
      </fill>
    </dxf>
    <dxf>
      <font>
        <color rgb="FFC00000"/>
      </font>
      <fill>
        <patternFill>
          <bgColor theme="5" tint="0.39994506668294322"/>
        </patternFill>
      </fill>
    </dxf>
    <dxf>
      <font>
        <b/>
        <i/>
        <strike/>
      </font>
    </dxf>
    <dxf>
      <font>
        <strike/>
      </font>
    </dxf>
    <dxf>
      <font>
        <b/>
        <i/>
        <strike/>
      </font>
    </dxf>
    <dxf>
      <font>
        <b/>
        <i/>
        <strike/>
      </font>
    </dxf>
    <dxf>
      <font>
        <strike/>
      </font>
    </dxf>
    <dxf>
      <font>
        <strike/>
        <color theme="0" tint="-0.499984740745262"/>
      </font>
    </dxf>
    <dxf>
      <font>
        <b/>
        <i/>
        <strike/>
      </font>
    </dxf>
    <dxf>
      <font>
        <b/>
        <i/>
        <strike/>
      </font>
    </dxf>
    <dxf>
      <font>
        <strike/>
      </font>
    </dxf>
    <dxf>
      <font>
        <strike/>
      </font>
    </dxf>
    <dxf>
      <font>
        <b/>
        <i/>
        <strike/>
      </font>
    </dxf>
    <dxf>
      <font>
        <b/>
        <i/>
        <strike/>
      </font>
    </dxf>
    <dxf>
      <font>
        <strike/>
      </font>
    </dxf>
    <dxf>
      <font>
        <strike/>
        <color theme="0" tint="-0.499984740745262"/>
      </font>
    </dxf>
    <dxf>
      <font>
        <strike/>
        <color theme="0" tint="-0.499984740745262"/>
      </font>
    </dxf>
    <dxf>
      <font>
        <strike/>
      </font>
    </dxf>
    <dxf>
      <font>
        <b/>
        <i/>
        <strike/>
      </font>
    </dxf>
    <dxf>
      <font>
        <b/>
        <i/>
        <strike/>
      </font>
    </dxf>
    <dxf>
      <font>
        <b/>
        <i/>
        <strike/>
      </font>
    </dxf>
    <dxf>
      <font>
        <b/>
        <i/>
        <strike/>
      </font>
    </dxf>
    <dxf>
      <font>
        <b/>
        <i/>
        <strike/>
      </font>
    </dxf>
    <dxf>
      <font>
        <b/>
        <i/>
        <strike/>
      </font>
    </dxf>
    <dxf>
      <font>
        <strike/>
      </font>
    </dxf>
    <dxf>
      <font>
        <strike/>
      </font>
    </dxf>
    <dxf>
      <font>
        <strike/>
      </font>
    </dxf>
    <dxf>
      <font>
        <strike/>
      </font>
    </dxf>
    <dxf>
      <font>
        <strike/>
      </font>
    </dxf>
    <dxf>
      <font>
        <strike/>
      </font>
    </dxf>
    <dxf>
      <font>
        <strike/>
      </font>
    </dxf>
    <dxf>
      <font>
        <b/>
        <i/>
        <strike/>
      </font>
    </dxf>
    <dxf>
      <font>
        <strike/>
      </font>
    </dxf>
    <dxf>
      <font>
        <strike/>
      </font>
    </dxf>
    <dxf>
      <font>
        <strike/>
      </font>
    </dxf>
    <dxf>
      <font>
        <strike/>
      </font>
    </dxf>
    <dxf>
      <font>
        <strike/>
      </font>
    </dxf>
    <dxf>
      <font>
        <strike/>
      </font>
    </dxf>
    <dxf>
      <font>
        <strike/>
      </font>
    </dxf>
    <dxf>
      <font>
        <strike/>
      </font>
    </dxf>
    <dxf>
      <font>
        <strike/>
      </font>
    </dxf>
    <dxf>
      <font>
        <b/>
        <i val="0"/>
        <color theme="0"/>
      </font>
      <fill>
        <patternFill>
          <bgColor theme="0" tint="-0.499984740745262"/>
        </patternFill>
      </fill>
    </dxf>
    <dxf>
      <font>
        <b/>
        <i val="0"/>
        <color theme="1"/>
      </font>
      <fill>
        <patternFill>
          <bgColor theme="5" tint="0.59996337778862885"/>
        </patternFill>
      </fill>
    </dxf>
    <dxf>
      <font>
        <b/>
        <i val="0"/>
        <color theme="0"/>
      </font>
      <fill>
        <patternFill>
          <bgColor theme="0" tint="-0.499984740745262"/>
        </patternFill>
      </fill>
    </dxf>
    <dxf>
      <font>
        <b/>
        <i val="0"/>
        <color theme="1"/>
      </font>
      <fill>
        <patternFill>
          <bgColor theme="5" tint="0.59996337778862885"/>
        </patternFill>
      </fill>
    </dxf>
    <dxf>
      <font>
        <b/>
        <i val="0"/>
        <color theme="0"/>
      </font>
      <fill>
        <patternFill>
          <bgColor theme="0" tint="-0.499984740745262"/>
        </patternFill>
      </fill>
    </dxf>
    <dxf>
      <font>
        <b/>
        <i val="0"/>
        <color theme="1"/>
      </font>
      <fill>
        <patternFill>
          <bgColor theme="5" tint="0.59996337778862885"/>
        </patternFill>
      </fill>
    </dxf>
    <dxf>
      <font>
        <b/>
        <i/>
        <strike/>
      </font>
    </dxf>
    <dxf>
      <font>
        <b/>
        <i/>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color theme="0" tint="-0.499984740745262"/>
      </font>
    </dxf>
    <dxf>
      <font>
        <strike/>
        <color theme="0" tint="-0.499984740745262"/>
      </font>
    </dxf>
    <dxf>
      <border>
        <bottom style="hair">
          <color auto="1"/>
        </bottom>
        <vertical/>
        <horizontal/>
      </border>
    </dxf>
    <dxf>
      <border>
        <bottom style="hair">
          <color theme="0" tint="-0.499984740745262"/>
        </bottom>
        <vertical/>
        <horizontal/>
      </border>
    </dxf>
    <dxf>
      <fill>
        <patternFill patternType="none">
          <bgColor auto="1"/>
        </patternFill>
      </fill>
      <border>
        <bottom style="hair">
          <color auto="1"/>
        </bottom>
        <vertical/>
        <horizontal/>
      </border>
    </dxf>
    <dxf>
      <fill>
        <patternFill patternType="none">
          <bgColor auto="1"/>
        </patternFill>
      </fill>
      <border>
        <bottom style="thin">
          <color auto="1"/>
        </bottom>
        <vertical/>
        <horizontal/>
      </border>
    </dxf>
    <dxf>
      <font>
        <b/>
        <i val="0"/>
      </font>
      <fill>
        <patternFill>
          <bgColor theme="5" tint="0.39994506668294322"/>
        </patternFill>
      </fill>
    </dxf>
    <dxf>
      <font>
        <b/>
        <i val="0"/>
        <color auto="1"/>
      </font>
      <fill>
        <patternFill>
          <bgColor theme="6" tint="0.59996337778862885"/>
        </patternFill>
      </fill>
    </dxf>
    <dxf>
      <font>
        <strike/>
        <color theme="0" tint="-0.499984740745262"/>
      </font>
    </dxf>
    <dxf>
      <font>
        <b val="0"/>
        <i/>
      </font>
    </dxf>
    <dxf>
      <font>
        <strike/>
        <color theme="0" tint="-0.14996795556505021"/>
      </font>
      <fill>
        <patternFill>
          <bgColor theme="0" tint="-0.499984740745262"/>
        </patternFill>
      </fill>
    </dxf>
    <dxf>
      <font>
        <strike/>
        <color theme="0" tint="-0.14996795556505021"/>
      </font>
      <fill>
        <patternFill>
          <bgColor theme="0" tint="-0.34998626667073579"/>
        </patternFill>
      </fill>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b/>
        <i val="0"/>
        <color rgb="FFC00000"/>
      </font>
    </dxf>
    <dxf>
      <font>
        <b/>
        <i val="0"/>
        <color rgb="FFC00000"/>
      </font>
    </dxf>
    <dxf>
      <font>
        <color rgb="FFC00000"/>
      </font>
    </dxf>
    <dxf>
      <font>
        <color rgb="FFC00000"/>
      </font>
    </dxf>
    <dxf>
      <font>
        <strike/>
        <color theme="0" tint="-0.499984740745262"/>
      </font>
    </dxf>
    <dxf>
      <font>
        <color rgb="FFC00000"/>
      </font>
    </dxf>
    <dxf>
      <font>
        <color rgb="FFC00000"/>
      </font>
    </dxf>
    <dxf>
      <font>
        <color rgb="FFC00000"/>
      </font>
    </dxf>
    <dxf>
      <font>
        <strike/>
        <color theme="0" tint="-0.499984740745262"/>
      </font>
    </dxf>
    <dxf>
      <font>
        <b/>
        <i/>
        <color rgb="FFC00000"/>
      </font>
      <fill>
        <patternFill>
          <bgColor theme="5" tint="0.79998168889431442"/>
        </patternFill>
      </fill>
    </dxf>
    <dxf>
      <font>
        <b/>
        <i/>
        <color rgb="FFC00000"/>
      </font>
      <fill>
        <patternFill>
          <bgColor theme="5" tint="0.79998168889431442"/>
        </patternFill>
      </fill>
    </dxf>
    <dxf>
      <font>
        <b/>
        <i/>
        <color rgb="FFC00000"/>
      </font>
      <fill>
        <patternFill>
          <bgColor theme="5" tint="0.79998168889431442"/>
        </patternFill>
      </fill>
    </dxf>
    <dxf>
      <font>
        <strike/>
        <color theme="0" tint="-0.49998474074526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b/>
        <i/>
        <strike/>
      </font>
    </dxf>
    <dxf>
      <font>
        <strike/>
        <color theme="0" tint="-0.499984740745262"/>
      </font>
    </dxf>
    <dxf>
      <font>
        <color rgb="FFC00000"/>
      </font>
    </dxf>
    <dxf>
      <font>
        <color rgb="FFC00000"/>
      </font>
    </dxf>
    <dxf>
      <font>
        <strike/>
        <color theme="0" tint="-0.499984740745262"/>
      </font>
    </dxf>
    <dxf>
      <font>
        <strike/>
        <color theme="0" tint="-0.499984740745262"/>
      </font>
    </dxf>
    <dxf>
      <font>
        <strike/>
        <color theme="0" tint="-0.499984740745262"/>
      </font>
    </dxf>
    <dxf>
      <font>
        <strike/>
        <color theme="0" tint="-0.499984740745262"/>
      </font>
    </dxf>
    <dxf>
      <font>
        <b/>
        <i val="0"/>
        <color rgb="FFC00000"/>
      </font>
      <fill>
        <patternFill>
          <bgColor theme="5" tint="0.59996337778862885"/>
        </patternFill>
      </fill>
    </dxf>
    <dxf>
      <font>
        <color rgb="FFC00000"/>
      </font>
      <fill>
        <patternFill>
          <bgColor theme="5" tint="0.39994506668294322"/>
        </patternFill>
      </fill>
    </dxf>
    <dxf>
      <font>
        <color rgb="FFC00000"/>
      </font>
    </dxf>
    <dxf>
      <font>
        <color rgb="FFC00000"/>
      </font>
    </dxf>
    <dxf>
      <font>
        <color rgb="FFC00000"/>
      </font>
    </dxf>
    <dxf>
      <font>
        <color rgb="FFC00000"/>
      </font>
    </dxf>
    <dxf>
      <font>
        <b/>
        <i/>
        <strike/>
      </font>
    </dxf>
    <dxf>
      <font>
        <b/>
        <i/>
        <strike/>
      </font>
    </dxf>
    <dxf>
      <font>
        <b/>
        <i/>
        <strike/>
      </font>
    </dxf>
    <dxf>
      <font>
        <b/>
        <i/>
        <strike/>
      </font>
    </dxf>
    <dxf>
      <font>
        <b/>
        <i/>
        <strike/>
      </font>
    </dxf>
    <dxf>
      <font>
        <strike/>
        <color theme="0" tint="-0.499984740745262"/>
      </font>
    </dxf>
    <dxf>
      <font>
        <b/>
        <i/>
        <strike/>
      </font>
    </dxf>
    <dxf>
      <font>
        <strike/>
        <color theme="0" tint="-0.499984740745262"/>
      </font>
    </dxf>
    <dxf>
      <font>
        <b/>
        <i/>
        <strike/>
      </font>
    </dxf>
    <dxf>
      <font>
        <b/>
        <i/>
        <strike/>
      </font>
    </dxf>
    <dxf>
      <font>
        <b/>
        <i/>
        <strike/>
      </font>
    </dxf>
    <dxf>
      <font>
        <b/>
        <i/>
        <strike/>
      </font>
    </dxf>
    <dxf>
      <font>
        <strike/>
        <color theme="0" tint="-0.499984740745262"/>
      </font>
    </dxf>
    <dxf>
      <font>
        <b/>
        <i/>
        <strike/>
      </font>
    </dxf>
    <dxf>
      <font>
        <b/>
        <i/>
        <strike/>
      </font>
    </dxf>
    <dxf>
      <font>
        <strike/>
        <color theme="0" tint="-0.499984740745262"/>
      </font>
    </dxf>
    <dxf>
      <font>
        <strike/>
        <color theme="0" tint="-0.499984740745262"/>
      </font>
    </dxf>
    <dxf>
      <font>
        <b/>
        <i/>
        <strike/>
      </font>
    </dxf>
    <dxf>
      <font>
        <b/>
        <i/>
        <strike/>
      </font>
    </dxf>
    <dxf>
      <font>
        <b/>
        <i/>
        <strike/>
      </font>
    </dxf>
    <dxf>
      <font>
        <strike/>
        <color theme="0" tint="-0.499984740745262"/>
      </font>
    </dxf>
    <dxf>
      <font>
        <b/>
        <i/>
        <strike/>
      </font>
    </dxf>
    <dxf>
      <font>
        <b/>
        <i/>
        <strike/>
      </font>
    </dxf>
    <dxf>
      <font>
        <b/>
        <i/>
        <strike/>
      </font>
    </dxf>
    <dxf>
      <font>
        <strike/>
        <color theme="0" tint="-0.499984740745262"/>
      </font>
    </dxf>
    <dxf>
      <font>
        <strike/>
      </font>
    </dxf>
    <dxf>
      <font>
        <strike/>
      </font>
    </dxf>
    <dxf>
      <font>
        <b/>
        <i val="0"/>
        <color rgb="FFC00000"/>
      </font>
      <fill>
        <patternFill>
          <bgColor theme="5" tint="0.59996337778862885"/>
        </patternFill>
      </fill>
    </dxf>
    <dxf>
      <font>
        <color rgb="FFC00000"/>
      </font>
      <fill>
        <patternFill>
          <bgColor theme="5" tint="0.39994506668294322"/>
        </patternFill>
      </fill>
    </dxf>
    <dxf>
      <font>
        <b/>
        <i val="0"/>
        <color rgb="FFC00000"/>
      </font>
      <fill>
        <patternFill>
          <bgColor theme="5" tint="0.59996337778862885"/>
        </patternFill>
      </fill>
    </dxf>
    <dxf>
      <font>
        <color rgb="FFC00000"/>
      </font>
      <fill>
        <patternFill>
          <bgColor theme="5" tint="0.39994506668294322"/>
        </patternFill>
      </fill>
    </dxf>
    <dxf>
      <font>
        <b/>
        <i/>
        <strike/>
      </font>
    </dxf>
    <dxf>
      <font>
        <strike/>
        <color theme="0" tint="-0.499984740745262"/>
      </font>
    </dxf>
    <dxf>
      <font>
        <b/>
        <i/>
        <strike/>
      </font>
    </dxf>
    <dxf>
      <font>
        <b/>
        <i/>
        <strike/>
      </font>
    </dxf>
    <dxf>
      <font>
        <strike/>
        <color theme="0" tint="-0.499984740745262"/>
      </font>
    </dxf>
    <dxf>
      <font>
        <strike/>
        <color theme="0" tint="-0.499984740745262"/>
      </font>
    </dxf>
    <dxf>
      <font>
        <strike/>
        <color theme="0" tint="-0.499984740745262"/>
      </font>
    </dxf>
    <dxf>
      <font>
        <b/>
        <i/>
        <strike/>
      </font>
    </dxf>
    <dxf>
      <font>
        <b/>
        <i/>
        <strike/>
        <color theme="0" tint="-0.499984740745262"/>
      </font>
    </dxf>
    <dxf>
      <font>
        <strike/>
        <color theme="0" tint="-0.499984740745262"/>
      </font>
    </dxf>
    <dxf>
      <font>
        <strike/>
        <color theme="0" tint="-0.499984740745262"/>
      </font>
    </dxf>
    <dxf>
      <font>
        <b/>
        <i/>
        <strike/>
      </font>
    </dxf>
    <dxf>
      <font>
        <b/>
        <i/>
        <strike/>
      </font>
    </dxf>
    <dxf>
      <font>
        <strike/>
        <color theme="0" tint="-0.499984740745262"/>
      </font>
    </dxf>
    <dxf>
      <font>
        <strike/>
        <color theme="0" tint="-0.499984740745262"/>
      </font>
    </dxf>
    <dxf>
      <font>
        <b/>
        <i/>
        <strike/>
      </font>
    </dxf>
    <dxf>
      <font>
        <b/>
        <i/>
        <strike/>
      </font>
    </dxf>
    <dxf>
      <font>
        <b/>
        <i/>
        <strike/>
      </font>
    </dxf>
    <dxf>
      <font>
        <strike/>
      </font>
    </dxf>
    <dxf>
      <font>
        <strike/>
      </font>
    </dxf>
    <dxf>
      <font>
        <b/>
        <i/>
        <strike/>
      </font>
    </dxf>
    <dxf>
      <font>
        <b/>
        <i/>
        <strike/>
      </font>
    </dxf>
    <dxf>
      <font>
        <b/>
        <i/>
        <strike/>
      </font>
    </dxf>
    <dxf>
      <font>
        <strike/>
        <color theme="0" tint="-0.499984740745262"/>
      </font>
    </dxf>
    <dxf>
      <font>
        <strike/>
        <color theme="0" tint="-0.499984740745262"/>
      </font>
    </dxf>
    <dxf>
      <font>
        <strike/>
        <color theme="0" tint="-0.499984740745262"/>
      </font>
    </dxf>
    <dxf>
      <font>
        <strike/>
        <color theme="0" tint="-0.499984740745262"/>
      </font>
    </dxf>
    <dxf>
      <font>
        <strike/>
      </font>
    </dxf>
    <dxf>
      <font>
        <strike/>
      </font>
    </dxf>
    <dxf>
      <font>
        <strike/>
      </font>
    </dxf>
    <dxf>
      <font>
        <b/>
        <i/>
        <strike/>
      </font>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theme="0"/>
      </font>
      <fill>
        <patternFill>
          <bgColor theme="0" tint="-0.499984740745262"/>
        </patternFill>
      </fill>
    </dxf>
    <dxf>
      <font>
        <b/>
        <i val="0"/>
        <color theme="1"/>
      </font>
      <fill>
        <patternFill>
          <bgColor theme="5" tint="0.59996337778862885"/>
        </patternFill>
      </fill>
    </dxf>
    <dxf>
      <font>
        <b/>
        <i val="0"/>
        <color theme="0"/>
      </font>
      <fill>
        <patternFill>
          <bgColor theme="0" tint="-0.499984740745262"/>
        </patternFill>
      </fill>
    </dxf>
    <dxf>
      <font>
        <b/>
        <i val="0"/>
        <color theme="1"/>
      </font>
      <fill>
        <patternFill>
          <bgColor theme="5" tint="0.59996337778862885"/>
        </patternFill>
      </fill>
    </dxf>
    <dxf>
      <font>
        <b/>
        <i val="0"/>
        <color theme="0"/>
      </font>
      <fill>
        <patternFill>
          <bgColor theme="0" tint="-0.499984740745262"/>
        </patternFill>
      </fill>
    </dxf>
    <dxf>
      <font>
        <b/>
        <i val="0"/>
        <color theme="1"/>
      </font>
      <fill>
        <patternFill>
          <bgColor theme="5" tint="0.59996337778862885"/>
        </patternFill>
      </fill>
    </dxf>
    <dxf>
      <font>
        <b/>
        <i/>
        <strike/>
      </font>
    </dxf>
    <dxf>
      <font>
        <b/>
        <i/>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color theme="0" tint="-0.499984740745262"/>
      </font>
    </dxf>
    <dxf>
      <font>
        <strike/>
        <color theme="0" tint="-0.499984740745262"/>
      </font>
    </dxf>
    <dxf>
      <border>
        <bottom style="hair">
          <color auto="1"/>
        </bottom>
        <vertical/>
        <horizontal/>
      </border>
    </dxf>
    <dxf>
      <border>
        <bottom style="hair">
          <color theme="0" tint="-0.499984740745262"/>
        </bottom>
        <vertical/>
        <horizontal/>
      </border>
    </dxf>
    <dxf>
      <fill>
        <patternFill patternType="none">
          <bgColor auto="1"/>
        </patternFill>
      </fill>
      <border>
        <bottom style="hair">
          <color auto="1"/>
        </bottom>
        <vertical/>
        <horizontal/>
      </border>
    </dxf>
    <dxf>
      <fill>
        <patternFill patternType="none">
          <bgColor auto="1"/>
        </patternFill>
      </fill>
      <border>
        <bottom style="thin">
          <color auto="1"/>
        </bottom>
        <vertical/>
        <horizontal/>
      </border>
    </dxf>
    <dxf>
      <font>
        <b/>
        <i val="0"/>
      </font>
      <fill>
        <patternFill>
          <bgColor theme="5" tint="0.39994506668294322"/>
        </patternFill>
      </fill>
    </dxf>
    <dxf>
      <font>
        <b/>
        <i val="0"/>
        <color auto="1"/>
      </font>
      <fill>
        <patternFill>
          <bgColor theme="6" tint="0.59996337778862885"/>
        </patternFill>
      </fill>
    </dxf>
    <dxf>
      <font>
        <strike/>
        <color theme="0" tint="-0.499984740745262"/>
      </font>
    </dxf>
    <dxf>
      <font>
        <b val="0"/>
        <i/>
      </font>
    </dxf>
    <dxf>
      <font>
        <strike/>
        <color theme="0" tint="-0.14996795556505021"/>
      </font>
      <fill>
        <patternFill>
          <bgColor theme="0" tint="-0.499984740745262"/>
        </patternFill>
      </fill>
    </dxf>
    <dxf>
      <font>
        <strike/>
        <color theme="0" tint="-0.14996795556505021"/>
      </font>
      <fill>
        <patternFill>
          <bgColor theme="0" tint="-0.34998626667073579"/>
        </patternFill>
      </fill>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b/>
        <i val="0"/>
        <color rgb="FFC00000"/>
      </font>
    </dxf>
    <dxf>
      <font>
        <b/>
        <i val="0"/>
        <color rgb="FFC00000"/>
      </font>
    </dxf>
    <dxf>
      <font>
        <strike/>
        <color theme="0" tint="-0.499984740745262"/>
      </font>
    </dxf>
    <dxf>
      <font>
        <color rgb="FFC00000"/>
      </font>
    </dxf>
    <dxf>
      <font>
        <color rgb="FFC00000"/>
      </font>
    </dxf>
    <dxf>
      <font>
        <color rgb="FFC00000"/>
      </font>
    </dxf>
    <dxf>
      <font>
        <strike/>
        <color theme="0" tint="-0.499984740745262"/>
      </font>
    </dxf>
    <dxf>
      <font>
        <b/>
        <i/>
        <color rgb="FFC00000"/>
      </font>
      <fill>
        <patternFill>
          <bgColor theme="5" tint="0.79998168889431442"/>
        </patternFill>
      </fill>
    </dxf>
    <dxf>
      <font>
        <b/>
        <i/>
        <color rgb="FFC00000"/>
      </font>
      <fill>
        <patternFill>
          <bgColor theme="5" tint="0.79998168889431442"/>
        </patternFill>
      </fill>
    </dxf>
    <dxf>
      <font>
        <b/>
        <i/>
        <color rgb="FFC00000"/>
      </font>
      <fill>
        <patternFill>
          <bgColor theme="5" tint="0.79998168889431442"/>
        </patternFill>
      </fill>
    </dxf>
    <dxf>
      <font>
        <strike/>
        <color theme="0" tint="-0.49998474074526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b/>
        <i/>
        <strike/>
      </font>
    </dxf>
    <dxf>
      <font>
        <strike/>
        <color theme="0" tint="-0.499984740745262"/>
      </font>
    </dxf>
    <dxf>
      <font>
        <color rgb="FFC00000"/>
      </font>
      <fill>
        <patternFill>
          <bgColor theme="5" tint="0.39994506668294322"/>
        </patternFill>
      </fill>
    </dxf>
    <dxf>
      <font>
        <b/>
        <i val="0"/>
        <color rgb="FFC00000"/>
      </font>
      <fill>
        <patternFill>
          <bgColor theme="5" tint="0.59996337778862885"/>
        </patternFill>
      </fill>
    </dxf>
    <dxf>
      <font>
        <b/>
        <i/>
        <strike/>
      </font>
    </dxf>
    <dxf>
      <font>
        <b/>
        <i/>
        <strike/>
      </font>
    </dxf>
    <dxf>
      <font>
        <strike/>
        <color theme="0" tint="-0.499984740745262"/>
      </font>
    </dxf>
    <dxf>
      <font>
        <b val="0"/>
        <i/>
        <strike/>
        <color theme="0" tint="-0.499984740745262"/>
      </font>
    </dxf>
    <dxf>
      <font>
        <b val="0"/>
        <i/>
        <strike/>
        <color theme="0" tint="-0.499984740745262"/>
      </font>
    </dxf>
    <dxf>
      <font>
        <b/>
        <i/>
        <strike/>
      </font>
    </dxf>
    <dxf>
      <font>
        <strike/>
        <color theme="0" tint="-0.499984740745262"/>
      </font>
    </dxf>
    <dxf>
      <font>
        <strike/>
        <color theme="0" tint="-0.499984740745262"/>
      </font>
    </dxf>
    <dxf>
      <font>
        <color rgb="FFC00000"/>
      </font>
    </dxf>
    <dxf>
      <font>
        <color rgb="FFC00000"/>
      </font>
    </dxf>
    <dxf>
      <font>
        <b/>
        <i/>
        <strike/>
      </font>
    </dxf>
    <dxf>
      <font>
        <b/>
        <i/>
        <strike/>
      </font>
    </dxf>
    <dxf>
      <font>
        <strike/>
        <color theme="0" tint="-0.499984740745262"/>
      </font>
    </dxf>
    <dxf>
      <font>
        <b/>
        <i/>
        <strike/>
      </font>
    </dxf>
    <dxf>
      <font>
        <strike/>
      </font>
    </dxf>
    <dxf>
      <font>
        <strike/>
      </font>
    </dxf>
    <dxf>
      <font>
        <b/>
        <i val="0"/>
        <color rgb="FFC00000"/>
      </font>
      <fill>
        <patternFill>
          <bgColor theme="5" tint="0.59996337778862885"/>
        </patternFill>
      </fill>
    </dxf>
    <dxf>
      <font>
        <color rgb="FFC00000"/>
      </font>
      <fill>
        <patternFill>
          <bgColor theme="5" tint="0.39994506668294322"/>
        </patternFill>
      </fill>
    </dxf>
    <dxf>
      <font>
        <b/>
        <i/>
        <strike/>
      </font>
    </dxf>
    <dxf>
      <font>
        <b/>
        <i/>
        <strike/>
      </font>
    </dxf>
    <dxf>
      <font>
        <strike/>
        <color theme="0" tint="-0.499984740745262"/>
      </font>
    </dxf>
    <dxf>
      <font>
        <b/>
        <i/>
        <strike/>
      </font>
    </dxf>
    <dxf>
      <font>
        <strike/>
        <color theme="0" tint="-0.499984740745262"/>
      </font>
    </dxf>
    <dxf>
      <font>
        <b/>
        <i/>
        <strike/>
      </font>
    </dxf>
    <dxf>
      <font>
        <b/>
        <i/>
        <strike/>
      </font>
    </dxf>
    <dxf>
      <font>
        <b/>
        <i/>
        <strike/>
      </font>
    </dxf>
    <dxf>
      <font>
        <strike/>
        <color theme="0" tint="-0.499984740745262"/>
      </font>
    </dxf>
    <dxf>
      <font>
        <b/>
        <i/>
        <strike/>
      </font>
    </dxf>
    <dxf>
      <font>
        <b/>
        <i/>
        <strike/>
      </font>
    </dxf>
    <dxf>
      <font>
        <strike/>
        <color theme="0" tint="-0.499984740745262"/>
      </font>
    </dxf>
    <dxf>
      <font>
        <b/>
        <i/>
        <strike/>
      </font>
    </dxf>
    <dxf>
      <font>
        <b/>
        <i/>
        <strike/>
      </font>
    </dxf>
    <dxf>
      <font>
        <b/>
        <i/>
        <strike/>
      </font>
    </dxf>
    <dxf>
      <font>
        <strike/>
        <color theme="0" tint="-0.499984740745262"/>
      </font>
    </dxf>
    <dxf>
      <font>
        <b/>
        <i/>
        <strike/>
      </font>
    </dxf>
    <dxf>
      <font>
        <b/>
        <i/>
        <strike/>
      </font>
    </dxf>
    <dxf>
      <font>
        <strike/>
        <color theme="0" tint="-0.499984740745262"/>
      </font>
    </dxf>
    <dxf>
      <font>
        <b/>
        <i/>
        <strike/>
      </font>
    </dxf>
    <dxf>
      <font>
        <strike/>
        <color theme="0" tint="-0.499984740745262"/>
      </font>
    </dxf>
    <dxf>
      <font>
        <b/>
        <i/>
        <strike/>
      </font>
    </dxf>
    <dxf>
      <font>
        <strike/>
        <color theme="0" tint="-0.499984740745262"/>
      </font>
    </dxf>
    <dxf>
      <font>
        <strike/>
        <color theme="0" tint="-0.499984740745262"/>
      </font>
    </dxf>
    <dxf>
      <font>
        <b/>
        <i/>
        <strike/>
      </font>
    </dxf>
    <dxf>
      <font>
        <b/>
        <i/>
        <strike/>
      </font>
    </dxf>
    <dxf>
      <font>
        <strike/>
        <color theme="0" tint="-0.499984740745262"/>
      </font>
    </dxf>
    <dxf>
      <font>
        <strike/>
        <color theme="0" tint="-0.499984740745262"/>
      </font>
    </dxf>
    <dxf>
      <font>
        <strike/>
        <color theme="0" tint="-0.499984740745262"/>
      </font>
    </dxf>
    <dxf>
      <font>
        <strike/>
        <color theme="0" tint="-0.499984740745262"/>
      </font>
    </dxf>
    <dxf>
      <font>
        <b/>
        <i/>
        <strike/>
      </font>
    </dxf>
    <dxf>
      <font>
        <b/>
        <i/>
        <strike/>
      </font>
    </dxf>
    <dxf>
      <font>
        <b/>
        <i/>
        <strike/>
      </font>
    </dxf>
    <dxf>
      <font>
        <strike/>
      </font>
    </dxf>
    <dxf>
      <font>
        <strike/>
      </font>
    </dxf>
    <dxf>
      <font>
        <b/>
        <i/>
        <strike/>
      </font>
    </dxf>
    <dxf>
      <font>
        <b/>
        <i/>
        <strike/>
      </font>
    </dxf>
    <dxf>
      <font>
        <b/>
        <i/>
        <strike/>
      </font>
    </dxf>
    <dxf>
      <font>
        <strike/>
        <color theme="0" tint="-0.499984740745262"/>
      </font>
    </dxf>
    <dxf>
      <font>
        <strike/>
        <color theme="0" tint="-0.499984740745262"/>
      </font>
    </dxf>
    <dxf>
      <font>
        <strike/>
        <color theme="0" tint="-0.499984740745262"/>
      </font>
    </dxf>
    <dxf>
      <font>
        <strike/>
        <color theme="0" tint="-0.499984740745262"/>
      </font>
    </dxf>
    <dxf>
      <font>
        <strike/>
      </font>
    </dxf>
    <dxf>
      <font>
        <strike/>
      </font>
    </dxf>
    <dxf>
      <font>
        <strike/>
      </font>
    </dxf>
    <dxf>
      <font>
        <b/>
        <i/>
        <strike/>
      </font>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theme="0"/>
      </font>
      <fill>
        <patternFill>
          <bgColor theme="0" tint="-0.499984740745262"/>
        </patternFill>
      </fill>
    </dxf>
    <dxf>
      <font>
        <b/>
        <i val="0"/>
        <color theme="1"/>
      </font>
      <fill>
        <patternFill>
          <bgColor theme="5" tint="0.59996337778862885"/>
        </patternFill>
      </fill>
    </dxf>
    <dxf>
      <font>
        <b/>
        <i val="0"/>
        <color theme="0"/>
      </font>
      <fill>
        <patternFill>
          <bgColor theme="0" tint="-0.499984740745262"/>
        </patternFill>
      </fill>
    </dxf>
    <dxf>
      <font>
        <b/>
        <i val="0"/>
        <color theme="1"/>
      </font>
      <fill>
        <patternFill>
          <bgColor theme="5" tint="0.59996337778862885"/>
        </patternFill>
      </fill>
    </dxf>
    <dxf>
      <font>
        <b/>
        <i val="0"/>
        <color theme="0"/>
      </font>
      <fill>
        <patternFill>
          <bgColor theme="0" tint="-0.499984740745262"/>
        </patternFill>
      </fill>
    </dxf>
    <dxf>
      <font>
        <b/>
        <i val="0"/>
        <color theme="1"/>
      </font>
      <fill>
        <patternFill>
          <bgColor theme="5" tint="0.59996337778862885"/>
        </patternFill>
      </fill>
    </dxf>
    <dxf>
      <font>
        <b/>
        <i/>
        <strike/>
      </font>
    </dxf>
    <dxf>
      <font>
        <b/>
        <i/>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color theme="0" tint="-0.499984740745262"/>
      </font>
    </dxf>
    <dxf>
      <font>
        <strike/>
        <color theme="0" tint="-0.499984740745262"/>
      </font>
    </dxf>
    <dxf>
      <border>
        <bottom style="hair">
          <color auto="1"/>
        </bottom>
        <vertical/>
        <horizontal/>
      </border>
    </dxf>
    <dxf>
      <border>
        <bottom style="hair">
          <color theme="0" tint="-0.499984740745262"/>
        </bottom>
        <vertical/>
        <horizontal/>
      </border>
    </dxf>
    <dxf>
      <fill>
        <patternFill patternType="none">
          <bgColor auto="1"/>
        </patternFill>
      </fill>
      <border>
        <bottom style="hair">
          <color auto="1"/>
        </bottom>
        <vertical/>
        <horizontal/>
      </border>
    </dxf>
    <dxf>
      <fill>
        <patternFill patternType="none">
          <bgColor auto="1"/>
        </patternFill>
      </fill>
      <border>
        <bottom style="thin">
          <color auto="1"/>
        </bottom>
        <vertical/>
        <horizontal/>
      </border>
    </dxf>
    <dxf>
      <font>
        <b/>
        <i val="0"/>
      </font>
      <fill>
        <patternFill>
          <bgColor theme="5" tint="0.39994506668294322"/>
        </patternFill>
      </fill>
    </dxf>
    <dxf>
      <font>
        <b/>
        <i val="0"/>
        <color auto="1"/>
      </font>
      <fill>
        <patternFill>
          <bgColor theme="6" tint="0.59996337778862885"/>
        </patternFill>
      </fill>
    </dxf>
    <dxf>
      <font>
        <b val="0"/>
        <i/>
      </font>
    </dxf>
    <dxf>
      <font>
        <strike/>
        <color theme="0" tint="-0.14996795556505021"/>
      </font>
      <fill>
        <patternFill>
          <bgColor theme="0" tint="-0.499984740745262"/>
        </patternFill>
      </fill>
    </dxf>
    <dxf>
      <font>
        <strike/>
        <color theme="0" tint="-0.14996795556505021"/>
      </font>
      <fill>
        <patternFill>
          <bgColor theme="0" tint="-0.34998626667073579"/>
        </patternFill>
      </fill>
    </dxf>
    <dxf>
      <font>
        <color rgb="FFC00000"/>
      </font>
    </dxf>
    <dxf>
      <font>
        <color rgb="FFC00000"/>
      </font>
      <fill>
        <patternFill patternType="none">
          <bgColor auto="1"/>
        </patternFill>
      </fill>
    </dxf>
    <dxf>
      <font>
        <color rgb="FFC00000"/>
      </font>
    </dxf>
    <dxf>
      <font>
        <color rgb="FFC00000"/>
      </font>
      <fill>
        <patternFill patternType="none">
          <bgColor auto="1"/>
        </patternFill>
      </fill>
    </dxf>
    <dxf>
      <font>
        <color rgb="FFC00000"/>
      </font>
    </dxf>
    <dxf>
      <font>
        <color rgb="FFC00000"/>
      </font>
      <fill>
        <patternFill patternType="none">
          <bgColor auto="1"/>
        </patternFill>
      </fill>
    </dxf>
    <dxf>
      <font>
        <color rgb="FFC00000"/>
      </font>
    </dxf>
    <dxf>
      <font>
        <color rgb="FFC00000"/>
      </font>
      <fill>
        <patternFill patternType="none">
          <bgColor auto="1"/>
        </patternFill>
      </fill>
    </dxf>
    <dxf>
      <font>
        <strike/>
        <color theme="0" tint="-0.49998474074526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b/>
        <i val="0"/>
        <color rgb="FFC00000"/>
      </font>
    </dxf>
    <dxf>
      <font>
        <b/>
        <i val="0"/>
        <color rgb="FFC00000"/>
      </font>
    </dxf>
    <dxf>
      <font>
        <strike/>
        <color theme="0" tint="-0.499984740745262"/>
      </font>
    </dxf>
    <dxf>
      <font>
        <color rgb="FFC00000"/>
      </font>
    </dxf>
    <dxf>
      <font>
        <color rgb="FFC00000"/>
      </font>
      <fill>
        <patternFill patternType="none">
          <bgColor auto="1"/>
        </patternFill>
      </fill>
    </dxf>
    <dxf>
      <font>
        <color rgb="FFC00000"/>
      </font>
    </dxf>
    <dxf>
      <font>
        <color rgb="FFC00000"/>
      </font>
      <fill>
        <patternFill patternType="none">
          <bgColor auto="1"/>
        </patternFill>
      </fill>
    </dxf>
    <dxf>
      <font>
        <color rgb="FFC00000"/>
      </font>
    </dxf>
    <dxf>
      <font>
        <color rgb="FFC00000"/>
      </font>
      <fill>
        <patternFill patternType="none">
          <bgColor auto="1"/>
        </patternFill>
      </fill>
    </dxf>
    <dxf>
      <font>
        <strike/>
        <color theme="0" tint="-0.499984740745262"/>
      </font>
    </dxf>
    <dxf>
      <font>
        <b/>
        <i/>
        <color rgb="FFC00000"/>
      </font>
      <fill>
        <patternFill>
          <bgColor theme="5" tint="0.79998168889431442"/>
        </patternFill>
      </fill>
    </dxf>
    <dxf>
      <font>
        <b/>
        <i/>
        <color rgb="FFC00000"/>
      </font>
      <fill>
        <patternFill>
          <bgColor theme="5" tint="0.79998168889431442"/>
        </patternFill>
      </fill>
    </dxf>
    <dxf>
      <font>
        <b/>
        <i/>
        <color rgb="FFC00000"/>
      </font>
      <fill>
        <patternFill>
          <bgColor theme="5" tint="0.79998168889431442"/>
        </patternFill>
      </fill>
    </dxf>
    <dxf>
      <font>
        <strike/>
        <color theme="0" tint="-0.499984740745262"/>
      </font>
    </dxf>
    <dxf>
      <font>
        <color rgb="FFC00000"/>
      </font>
    </dxf>
    <dxf>
      <font>
        <color rgb="FFC00000"/>
      </font>
      <fill>
        <patternFill patternType="none">
          <bgColor auto="1"/>
        </patternFill>
      </fill>
    </dxf>
    <dxf>
      <font>
        <color rgb="FFC00000"/>
      </font>
    </dxf>
    <dxf>
      <font>
        <color rgb="FFC00000"/>
      </font>
      <fill>
        <patternFill patternType="none">
          <bgColor auto="1"/>
        </patternFill>
      </fill>
    </dxf>
    <dxf>
      <font>
        <color rgb="FFC00000"/>
      </font>
    </dxf>
    <dxf>
      <font>
        <color rgb="FFC00000"/>
      </font>
    </dxf>
    <dxf>
      <font>
        <color rgb="FFC00000"/>
      </font>
    </dxf>
    <dxf>
      <font>
        <color rgb="FFC00000"/>
      </font>
      <fill>
        <patternFill patternType="none">
          <bgColor auto="1"/>
        </patternFill>
      </fill>
    </dxf>
    <dxf>
      <font>
        <color rgb="FFC00000"/>
      </font>
    </dxf>
    <dxf>
      <font>
        <color rgb="FFC00000"/>
      </font>
      <fill>
        <patternFill patternType="none">
          <bgColor auto="1"/>
        </patternFill>
      </fill>
    </dxf>
    <dxf>
      <font>
        <color rgb="FFC00000"/>
      </font>
    </dxf>
    <dxf>
      <font>
        <color rgb="FFC00000"/>
      </font>
      <fill>
        <patternFill patternType="none">
          <bgColor auto="1"/>
        </patternFill>
      </fill>
    </dxf>
    <dxf>
      <font>
        <color rgb="FFC00000"/>
      </font>
    </dxf>
    <dxf>
      <font>
        <color rgb="FFC00000"/>
      </font>
      <fill>
        <patternFill patternType="none">
          <bgColor auto="1"/>
        </patternFill>
      </fill>
    </dxf>
    <dxf>
      <font>
        <color rgb="FFC00000"/>
      </font>
    </dxf>
    <dxf>
      <font>
        <color rgb="FFC00000"/>
      </font>
      <fill>
        <patternFill patternType="none">
          <bgColor auto="1"/>
        </patternFill>
      </fill>
    </dxf>
    <dxf>
      <font>
        <color rgb="FFC00000"/>
      </font>
    </dxf>
    <dxf>
      <font>
        <color rgb="FFC00000"/>
      </font>
      <fill>
        <patternFill patternType="none">
          <bgColor auto="1"/>
        </patternFill>
      </fill>
    </dxf>
    <dxf>
      <font>
        <color rgb="FFC00000"/>
      </font>
    </dxf>
    <dxf>
      <font>
        <color rgb="FFC00000"/>
      </font>
      <fill>
        <patternFill patternType="none">
          <bgColor auto="1"/>
        </patternFill>
      </fill>
    </dxf>
    <dxf>
      <font>
        <color rgb="FFC00000"/>
      </font>
    </dxf>
    <dxf>
      <font>
        <color rgb="FFC00000"/>
      </font>
      <fill>
        <patternFill patternType="none">
          <bgColor auto="1"/>
        </patternFill>
      </fill>
    </dxf>
    <dxf>
      <font>
        <color rgb="FFC00000"/>
      </font>
    </dxf>
    <dxf>
      <font>
        <color rgb="FFC00000"/>
      </font>
    </dxf>
    <dxf>
      <font>
        <color rgb="FFC00000"/>
      </font>
      <fill>
        <patternFill patternType="none">
          <bgColor auto="1"/>
        </patternFill>
      </fill>
    </dxf>
    <dxf>
      <font>
        <color rgb="FFC00000"/>
      </font>
    </dxf>
    <dxf>
      <font>
        <color rgb="FFC00000"/>
      </font>
      <fill>
        <patternFill patternType="none">
          <bgColor auto="1"/>
        </patternFill>
      </fill>
    </dxf>
    <dxf>
      <font>
        <b/>
        <i/>
        <strike/>
      </font>
    </dxf>
    <dxf>
      <font>
        <strike/>
        <color theme="0" tint="-0.499984740745262"/>
      </font>
    </dxf>
    <dxf>
      <font>
        <color rgb="FFC00000"/>
      </font>
    </dxf>
    <dxf>
      <font>
        <color rgb="FFC00000"/>
      </font>
    </dxf>
    <dxf>
      <fill>
        <patternFill>
          <bgColor theme="0" tint="-0.14996795556505021"/>
        </patternFill>
      </fill>
      <border>
        <bottom style="thin">
          <color auto="1"/>
        </bottom>
        <vertical/>
        <horizontal/>
      </border>
    </dxf>
    <dxf>
      <border>
        <bottom style="hair">
          <color theme="0" tint="-0.499984740745262"/>
        </bottom>
        <vertical/>
        <horizontal/>
      </border>
    </dxf>
    <dxf>
      <fill>
        <patternFill>
          <bgColor theme="0" tint="-4.9989318521683403E-2"/>
        </patternFill>
      </fill>
      <border>
        <bottom style="hair">
          <color auto="1"/>
        </bottom>
        <vertical/>
        <horizontal/>
      </border>
    </dxf>
    <dxf>
      <font>
        <color rgb="FFC00000"/>
      </font>
      <fill>
        <patternFill>
          <bgColor theme="5" tint="0.39994506668294322"/>
        </patternFill>
      </fill>
    </dxf>
    <dxf>
      <font>
        <b/>
        <i val="0"/>
        <color rgb="FFC00000"/>
      </font>
      <fill>
        <patternFill>
          <bgColor theme="5" tint="0.59996337778862885"/>
        </patternFill>
      </fill>
    </dxf>
    <dxf>
      <font>
        <strike/>
        <color theme="0" tint="-0.499984740745262"/>
      </font>
    </dxf>
    <dxf>
      <font>
        <strike/>
        <color theme="0" tint="-0.499984740745262"/>
      </font>
    </dxf>
    <dxf>
      <font>
        <color rgb="FFC00000"/>
      </font>
      <fill>
        <patternFill patternType="none">
          <bgColor auto="1"/>
        </patternFill>
      </fill>
    </dxf>
    <dxf>
      <font>
        <color rgb="FFC00000"/>
      </font>
    </dxf>
    <dxf>
      <font>
        <b/>
        <i/>
        <strike/>
      </font>
    </dxf>
    <dxf>
      <font>
        <b/>
        <i/>
        <strike/>
      </font>
    </dxf>
    <dxf>
      <font>
        <strike/>
        <color theme="0" tint="-0.499984740745262"/>
      </font>
    </dxf>
    <dxf>
      <font>
        <b/>
        <i/>
        <strike/>
      </font>
    </dxf>
    <dxf>
      <font>
        <strike/>
        <color theme="0" tint="-0.499984740745262"/>
      </font>
    </dxf>
    <dxf>
      <font>
        <strike/>
        <color theme="0" tint="-0.499984740745262"/>
      </font>
    </dxf>
    <dxf>
      <font>
        <color rgb="FFC00000"/>
      </font>
    </dxf>
    <dxf>
      <font>
        <b/>
        <i/>
        <strike/>
      </font>
    </dxf>
    <dxf>
      <font>
        <b/>
        <i/>
        <strike/>
      </font>
    </dxf>
    <dxf>
      <font>
        <b/>
        <i/>
        <strike/>
      </font>
    </dxf>
    <dxf>
      <font>
        <b/>
        <i/>
        <strike/>
      </font>
    </dxf>
    <dxf>
      <font>
        <strike/>
        <color theme="0" tint="-0.499984740745262"/>
      </font>
    </dxf>
    <dxf>
      <font>
        <b/>
        <i/>
        <strike/>
      </font>
    </dxf>
    <dxf>
      <font>
        <strike/>
        <color theme="0" tint="-0.499984740745262"/>
      </font>
    </dxf>
    <dxf>
      <font>
        <b/>
        <i/>
        <strike/>
      </font>
    </dxf>
    <dxf>
      <font>
        <b/>
        <i/>
        <strike/>
      </font>
    </dxf>
    <dxf>
      <font>
        <strike/>
        <color theme="0" tint="-0.499984740745262"/>
      </font>
    </dxf>
    <dxf>
      <font>
        <b/>
        <i/>
        <strike/>
      </font>
    </dxf>
    <dxf>
      <font>
        <strike/>
        <color theme="0" tint="-0.499984740745262"/>
      </font>
    </dxf>
    <dxf>
      <font>
        <color rgb="FFC00000"/>
      </font>
      <fill>
        <patternFill patternType="none">
          <bgColor auto="1"/>
        </patternFill>
      </fill>
    </dxf>
    <dxf>
      <font>
        <b/>
        <i/>
        <strike/>
      </font>
    </dxf>
    <dxf>
      <font>
        <b/>
        <i/>
        <strike/>
      </font>
    </dxf>
    <dxf>
      <font>
        <strike/>
        <color theme="0" tint="-0.499984740745262"/>
      </font>
    </dxf>
    <dxf>
      <font>
        <b/>
        <i/>
        <strike/>
      </font>
    </dxf>
    <dxf>
      <font>
        <strike/>
        <color theme="0" tint="-0.499984740745262"/>
      </font>
    </dxf>
    <dxf>
      <font>
        <b/>
        <i/>
        <strike/>
      </font>
    </dxf>
    <dxf>
      <font>
        <b/>
        <i/>
        <strike/>
      </font>
    </dxf>
    <dxf>
      <font>
        <b/>
        <i/>
        <strike/>
      </font>
    </dxf>
    <dxf>
      <font>
        <strike/>
        <color theme="0" tint="-0.499984740745262"/>
      </font>
    </dxf>
    <dxf>
      <font>
        <b/>
        <i/>
        <strike/>
      </font>
    </dxf>
    <dxf>
      <font>
        <strike/>
        <color theme="0" tint="-0.499984740745262"/>
      </font>
    </dxf>
    <dxf>
      <font>
        <b/>
        <i/>
        <strike/>
      </font>
    </dxf>
    <dxf>
      <font>
        <strike/>
        <color theme="0" tint="-0.499984740745262"/>
      </font>
    </dxf>
    <dxf>
      <font>
        <strike/>
        <color theme="0" tint="-0.499984740745262"/>
      </font>
    </dxf>
    <dxf>
      <font>
        <b/>
        <i/>
        <strike/>
      </font>
    </dxf>
    <dxf>
      <font>
        <b/>
        <i/>
        <strike/>
      </font>
    </dxf>
    <dxf>
      <font>
        <strike/>
        <color theme="0" tint="-0.499984740745262"/>
      </font>
    </dxf>
    <dxf>
      <font>
        <strike/>
        <color theme="0" tint="-0.499984740745262"/>
      </font>
    </dxf>
    <dxf>
      <font>
        <b/>
        <i/>
        <strike/>
      </font>
    </dxf>
    <dxf>
      <font>
        <b/>
        <i/>
        <strike/>
      </font>
    </dxf>
    <dxf>
      <font>
        <b/>
        <i/>
        <strike/>
      </font>
    </dxf>
    <dxf>
      <font>
        <strike/>
      </font>
    </dxf>
    <dxf>
      <font>
        <strike/>
      </font>
    </dxf>
    <dxf>
      <font>
        <b/>
        <i/>
        <strike/>
      </font>
    </dxf>
    <dxf>
      <font>
        <b/>
        <i/>
        <strike/>
      </font>
    </dxf>
    <dxf>
      <font>
        <b/>
        <i/>
        <strike/>
      </font>
    </dxf>
    <dxf>
      <font>
        <strike/>
        <color theme="0" tint="-0.499984740745262"/>
      </font>
    </dxf>
    <dxf>
      <font>
        <strike/>
        <color theme="0" tint="-0.499984740745262"/>
      </font>
    </dxf>
    <dxf>
      <font>
        <strike/>
        <color theme="0" tint="-0.499984740745262"/>
      </font>
    </dxf>
    <dxf>
      <font>
        <strike/>
        <color theme="0" tint="-0.499984740745262"/>
      </font>
    </dxf>
    <dxf>
      <font>
        <strike/>
      </font>
    </dxf>
    <dxf>
      <font>
        <strike/>
      </font>
    </dxf>
    <dxf>
      <font>
        <strike/>
      </font>
    </dxf>
    <dxf>
      <font>
        <b/>
        <i/>
        <strike/>
      </font>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theme="0"/>
      </font>
      <fill>
        <patternFill>
          <bgColor theme="0" tint="-0.499984740745262"/>
        </patternFill>
      </fill>
    </dxf>
    <dxf>
      <font>
        <b/>
        <i val="0"/>
        <color theme="1"/>
      </font>
      <fill>
        <patternFill>
          <bgColor theme="5" tint="0.59996337778862885"/>
        </patternFill>
      </fill>
    </dxf>
    <dxf>
      <font>
        <b/>
        <i val="0"/>
        <color theme="0"/>
      </font>
      <fill>
        <patternFill>
          <bgColor theme="0" tint="-0.499984740745262"/>
        </patternFill>
      </fill>
    </dxf>
    <dxf>
      <font>
        <b/>
        <i val="0"/>
        <color theme="1"/>
      </font>
      <fill>
        <patternFill>
          <bgColor theme="5" tint="0.59996337778862885"/>
        </patternFill>
      </fill>
    </dxf>
    <dxf>
      <font>
        <b/>
        <i val="0"/>
        <color theme="0"/>
      </font>
      <fill>
        <patternFill>
          <bgColor theme="0" tint="-0.499984740745262"/>
        </patternFill>
      </fill>
    </dxf>
    <dxf>
      <font>
        <b/>
        <i val="0"/>
        <color theme="1"/>
      </font>
      <fill>
        <patternFill>
          <bgColor theme="5" tint="0.59996337778862885"/>
        </patternFill>
      </fill>
    </dxf>
    <dxf>
      <font>
        <b/>
        <i/>
        <strike/>
      </font>
    </dxf>
    <dxf>
      <font>
        <b/>
        <i/>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color theme="0" tint="-0.499984740745262"/>
      </font>
    </dxf>
    <dxf>
      <font>
        <strike/>
        <color theme="0" tint="-0.499984740745262"/>
      </font>
    </dxf>
    <dxf>
      <border>
        <bottom style="hair">
          <color auto="1"/>
        </bottom>
        <vertical/>
        <horizontal/>
      </border>
    </dxf>
    <dxf>
      <fill>
        <patternFill patternType="none">
          <bgColor auto="1"/>
        </patternFill>
      </fill>
      <border>
        <bottom style="hair">
          <color auto="1"/>
        </bottom>
        <vertical/>
        <horizontal/>
      </border>
    </dxf>
    <dxf>
      <border>
        <bottom style="hair">
          <color theme="0" tint="-0.499984740745262"/>
        </bottom>
        <vertical/>
        <horizontal/>
      </border>
    </dxf>
    <dxf>
      <fill>
        <patternFill patternType="none">
          <bgColor auto="1"/>
        </patternFill>
      </fill>
      <border>
        <bottom style="thin">
          <color auto="1"/>
        </bottom>
        <vertical/>
        <horizontal/>
      </border>
    </dxf>
    <dxf>
      <font>
        <b/>
        <i val="0"/>
      </font>
      <fill>
        <patternFill>
          <bgColor theme="5" tint="0.39994506668294322"/>
        </patternFill>
      </fill>
    </dxf>
    <dxf>
      <font>
        <b/>
        <i val="0"/>
        <color auto="1"/>
      </font>
      <fill>
        <patternFill>
          <bgColor theme="6" tint="0.59996337778862885"/>
        </patternFill>
      </fill>
    </dxf>
    <dxf>
      <font>
        <strike/>
        <color theme="0" tint="-0.499984740745262"/>
      </font>
    </dxf>
    <dxf>
      <font>
        <b val="0"/>
        <i/>
      </font>
    </dxf>
    <dxf>
      <font>
        <strike/>
        <color theme="0" tint="-0.14996795556505021"/>
      </font>
      <fill>
        <patternFill>
          <bgColor theme="0" tint="-0.499984740745262"/>
        </patternFill>
      </fill>
    </dxf>
    <dxf>
      <font>
        <strike/>
        <color theme="0" tint="-0.14996795556505021"/>
      </font>
      <fill>
        <patternFill>
          <bgColor theme="0" tint="-0.34998626667073579"/>
        </patternFill>
      </fill>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b/>
        <i val="0"/>
        <color rgb="FFC00000"/>
      </font>
    </dxf>
    <dxf>
      <font>
        <b/>
        <i val="0"/>
        <color rgb="FFC00000"/>
      </font>
    </dxf>
    <dxf>
      <font>
        <strike/>
        <color theme="0" tint="-0.499984740745262"/>
      </font>
    </dxf>
    <dxf>
      <font>
        <color rgb="FFC00000"/>
      </font>
    </dxf>
    <dxf>
      <font>
        <strike/>
        <color theme="0" tint="-0.499984740745262"/>
      </font>
    </dxf>
    <dxf>
      <font>
        <b/>
        <i/>
        <color rgb="FFC00000"/>
      </font>
      <fill>
        <patternFill>
          <bgColor theme="5" tint="0.79998168889431442"/>
        </patternFill>
      </fill>
    </dxf>
    <dxf>
      <font>
        <b/>
        <i/>
        <color rgb="FFC00000"/>
      </font>
      <fill>
        <patternFill>
          <bgColor theme="5" tint="0.79998168889431442"/>
        </patternFill>
      </fill>
    </dxf>
    <dxf>
      <font>
        <b/>
        <i/>
        <color rgb="FFC00000"/>
      </font>
      <fill>
        <patternFill>
          <bgColor theme="5" tint="0.79998168889431442"/>
        </patternFill>
      </fill>
    </dxf>
    <dxf>
      <font>
        <strike/>
        <color theme="0" tint="-0.49998474074526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strike val="0"/>
        <color rgb="FFC00000"/>
      </font>
    </dxf>
    <dxf>
      <font>
        <color rgb="FFC00000"/>
      </font>
    </dxf>
    <dxf>
      <font>
        <color rgb="FFC00000"/>
      </font>
    </dxf>
    <dxf>
      <font>
        <color rgb="FFC00000"/>
      </font>
    </dxf>
    <dxf>
      <font>
        <color rgb="FFC00000"/>
      </font>
    </dxf>
    <dxf>
      <font>
        <strike/>
        <color theme="0" tint="-0.499984740745262"/>
      </font>
    </dxf>
    <dxf>
      <font>
        <strike val="0"/>
        <color rgb="FFC00000"/>
      </font>
    </dxf>
    <dxf>
      <font>
        <color rgb="FFC00000"/>
      </font>
    </dxf>
    <dxf>
      <font>
        <color rgb="FFC00000"/>
      </font>
    </dxf>
    <dxf>
      <font>
        <color rgb="FFC00000"/>
      </font>
    </dxf>
    <dxf>
      <font>
        <strike/>
        <color theme="0" tint="-0.499984740745262"/>
      </font>
    </dxf>
    <dxf>
      <font>
        <strike/>
        <color theme="0" tint="-0.499984740745262"/>
      </font>
    </dxf>
    <dxf>
      <font>
        <color rgb="FFC00000"/>
      </font>
    </dxf>
    <dxf>
      <font>
        <b/>
        <i/>
        <strike/>
      </font>
    </dxf>
    <dxf>
      <font>
        <strike/>
        <color theme="0" tint="-0.499984740745262"/>
      </font>
    </dxf>
    <dxf>
      <font>
        <color rgb="FFC00000"/>
      </font>
    </dxf>
    <dxf>
      <font>
        <strike/>
        <color theme="0" tint="-0.499984740745262"/>
      </font>
    </dxf>
    <dxf>
      <font>
        <b/>
        <i/>
        <strike/>
      </font>
    </dxf>
    <dxf>
      <font>
        <strike/>
        <color theme="0" tint="-0.499984740745262"/>
      </font>
    </dxf>
    <dxf>
      <font>
        <strike/>
        <color theme="0" tint="-0.499984740745262"/>
      </font>
    </dxf>
    <dxf>
      <font>
        <b/>
        <i/>
        <strike/>
      </font>
    </dxf>
    <dxf>
      <font>
        <b/>
        <i/>
        <strike/>
      </font>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strike/>
      </font>
    </dxf>
    <dxf>
      <font>
        <b/>
        <i/>
        <strike/>
      </font>
    </dxf>
    <dxf>
      <font>
        <b/>
        <i/>
        <strike/>
      </font>
    </dxf>
    <dxf>
      <font>
        <strike/>
      </font>
    </dxf>
    <dxf>
      <font>
        <strike/>
      </font>
    </dxf>
    <dxf>
      <font>
        <b/>
        <i/>
        <strike/>
      </font>
    </dxf>
    <dxf>
      <font>
        <b/>
        <i/>
        <strike/>
      </font>
    </dxf>
    <dxf>
      <font>
        <color rgb="FFC00000"/>
      </font>
      <fill>
        <patternFill>
          <bgColor theme="5" tint="0.39994506668294322"/>
        </patternFill>
      </fill>
    </dxf>
    <dxf>
      <font>
        <b/>
        <i val="0"/>
        <color rgb="FFC00000"/>
      </font>
      <fill>
        <patternFill>
          <bgColor theme="5" tint="0.59996337778862885"/>
        </patternFill>
      </fill>
    </dxf>
    <dxf>
      <font>
        <b/>
        <i/>
        <strike/>
      </font>
    </dxf>
    <dxf>
      <font>
        <strike/>
        <color theme="0" tint="-0.499984740745262"/>
      </font>
    </dxf>
    <dxf>
      <font>
        <strike/>
        <color theme="0" tint="-0.499984740745262"/>
      </font>
    </dxf>
    <dxf>
      <font>
        <strike/>
        <color theme="0" tint="-0.499984740745262"/>
      </font>
    </dxf>
    <dxf>
      <font>
        <strike/>
        <color theme="0" tint="-0.499984740745262"/>
      </font>
    </dxf>
    <dxf>
      <font>
        <strike/>
      </font>
    </dxf>
    <dxf>
      <font>
        <strike/>
      </font>
    </dxf>
    <dxf>
      <font>
        <strike/>
      </font>
    </dxf>
    <dxf>
      <font>
        <b/>
        <i/>
        <strike/>
      </font>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theme="0"/>
      </font>
      <fill>
        <patternFill>
          <bgColor theme="0" tint="-0.499984740745262"/>
        </patternFill>
      </fill>
    </dxf>
    <dxf>
      <font>
        <b/>
        <i val="0"/>
        <color theme="1"/>
      </font>
      <fill>
        <patternFill>
          <bgColor theme="5" tint="0.59996337778862885"/>
        </patternFill>
      </fill>
    </dxf>
    <dxf>
      <font>
        <b/>
        <i val="0"/>
        <color theme="0"/>
      </font>
      <fill>
        <patternFill>
          <bgColor theme="0" tint="-0.499984740745262"/>
        </patternFill>
      </fill>
    </dxf>
    <dxf>
      <font>
        <b/>
        <i val="0"/>
        <color theme="1"/>
      </font>
      <fill>
        <patternFill>
          <bgColor theme="5" tint="0.59996337778862885"/>
        </patternFill>
      </fill>
    </dxf>
    <dxf>
      <font>
        <b/>
        <i val="0"/>
        <color theme="0"/>
      </font>
      <fill>
        <patternFill>
          <bgColor theme="0" tint="-0.499984740745262"/>
        </patternFill>
      </fill>
    </dxf>
    <dxf>
      <font>
        <b/>
        <i val="0"/>
        <color theme="1"/>
      </font>
      <fill>
        <patternFill>
          <bgColor theme="5" tint="0.59996337778862885"/>
        </patternFill>
      </fill>
    </dxf>
    <dxf>
      <font>
        <b/>
        <i/>
        <strike/>
      </font>
    </dxf>
    <dxf>
      <font>
        <b/>
        <i/>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color rgb="FFC00000"/>
      </font>
    </dxf>
    <dxf>
      <font>
        <strike/>
      </font>
    </dxf>
    <dxf>
      <font>
        <strike/>
      </font>
    </dxf>
    <dxf>
      <font>
        <strike/>
      </font>
    </dxf>
    <dxf>
      <font>
        <strike/>
        <color theme="0" tint="-0.499984740745262"/>
      </font>
    </dxf>
    <dxf>
      <font>
        <strike/>
        <color theme="0" tint="-0.499984740745262"/>
      </font>
    </dxf>
    <dxf>
      <border>
        <bottom style="hair">
          <color theme="0" tint="-0.499984740745262"/>
        </bottom>
        <vertical/>
        <horizontal/>
      </border>
    </dxf>
    <dxf>
      <fill>
        <patternFill patternType="none">
          <bgColor auto="1"/>
        </patternFill>
      </fill>
      <border>
        <bottom style="hair">
          <color auto="1"/>
        </bottom>
        <vertical/>
        <horizontal/>
      </border>
    </dxf>
    <dxf>
      <fill>
        <patternFill patternType="none">
          <bgColor auto="1"/>
        </patternFill>
      </fill>
      <border>
        <bottom style="thin">
          <color auto="1"/>
        </bottom>
      </border>
    </dxf>
    <dxf>
      <font>
        <b/>
        <i val="0"/>
        <color theme="1"/>
      </font>
      <fill>
        <patternFill>
          <bgColor theme="5" tint="0.59996337778862885"/>
        </patternFill>
      </fill>
    </dxf>
    <dxf>
      <font>
        <b/>
        <i val="0"/>
        <color auto="1"/>
      </font>
      <fill>
        <patternFill>
          <bgColor theme="6" tint="0.59996337778862885"/>
        </patternFill>
      </fill>
    </dxf>
    <dxf>
      <font>
        <strike/>
        <color theme="0" tint="-0.499984740745262"/>
      </font>
    </dxf>
    <dxf>
      <font>
        <b val="0"/>
        <i/>
      </font>
    </dxf>
    <dxf>
      <font>
        <strike/>
        <color theme="0" tint="-0.14996795556505021"/>
      </font>
      <fill>
        <patternFill>
          <bgColor theme="0" tint="-0.499984740745262"/>
        </patternFill>
      </fill>
    </dxf>
    <dxf>
      <font>
        <strike/>
        <color theme="0" tint="-0.14996795556505021"/>
      </font>
      <fill>
        <patternFill>
          <bgColor theme="0" tint="-0.34998626667073579"/>
        </patternFill>
      </fill>
    </dxf>
    <dxf>
      <font>
        <color rgb="FFC00000"/>
      </font>
    </dxf>
    <dxf>
      <font>
        <color rgb="FFC00000"/>
      </font>
    </dxf>
    <dxf>
      <font>
        <color rgb="FFC00000"/>
      </font>
    </dxf>
    <dxf>
      <border>
        <bottom style="hair">
          <color auto="1"/>
        </bottom>
        <vertical/>
        <horizontal/>
      </border>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b/>
        <i val="0"/>
        <color rgb="FFC00000"/>
      </font>
    </dxf>
    <dxf>
      <font>
        <b/>
        <i val="0"/>
        <color rgb="FFC00000"/>
      </font>
    </dxf>
    <dxf>
      <font>
        <strike/>
        <color theme="0" tint="-0.499984740745262"/>
      </font>
    </dxf>
    <dxf>
      <font>
        <strike/>
        <color theme="0" tint="-0.499984740745262"/>
      </font>
    </dxf>
    <dxf>
      <font>
        <b/>
        <i/>
        <color rgb="FFC00000"/>
      </font>
      <fill>
        <patternFill>
          <bgColor theme="5" tint="0.79998168889431442"/>
        </patternFill>
      </fill>
    </dxf>
    <dxf>
      <font>
        <b/>
        <i/>
        <color rgb="FFC00000"/>
      </font>
      <fill>
        <patternFill>
          <bgColor theme="5" tint="0.79998168889431442"/>
        </patternFill>
      </fill>
    </dxf>
    <dxf>
      <font>
        <b/>
        <i/>
        <color rgb="FFC00000"/>
      </font>
      <fill>
        <patternFill>
          <bgColor theme="5" tint="0.79998168889431442"/>
        </patternFill>
      </fill>
    </dxf>
    <dxf>
      <font>
        <strike/>
        <color theme="0" tint="-0.49998474074526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color rgb="FFC00000"/>
      </font>
    </dxf>
    <dxf>
      <font>
        <strike/>
        <color theme="0" tint="-0.499984740745262"/>
      </font>
    </dxf>
    <dxf>
      <font>
        <strike/>
        <color theme="0" tint="-0.499984740745262"/>
      </font>
    </dxf>
    <dxf>
      <font>
        <strike/>
        <color theme="0" tint="-0.499984740745262"/>
      </font>
    </dxf>
    <dxf>
      <font>
        <color rgb="FFC00000"/>
      </font>
    </dxf>
    <dxf>
      <font>
        <color rgb="FFC00000"/>
      </font>
    </dxf>
    <dxf>
      <font>
        <color rgb="FFC00000"/>
      </font>
    </dxf>
    <dxf>
      <font>
        <strike/>
        <color theme="0" tint="-0.499984740745262"/>
      </font>
    </dxf>
    <dxf>
      <font>
        <b/>
        <i/>
        <strike/>
      </font>
    </dxf>
    <dxf>
      <font>
        <strike/>
        <color theme="0" tint="-0.499984740745262"/>
      </font>
    </dxf>
    <dxf>
      <font>
        <b/>
        <i/>
        <strike/>
      </font>
    </dxf>
    <dxf>
      <font>
        <b/>
        <i/>
        <strike/>
      </font>
    </dxf>
    <dxf>
      <font>
        <strike/>
        <color theme="0" tint="-0.499984740745262"/>
      </font>
    </dxf>
    <dxf>
      <font>
        <b/>
        <i/>
        <strike/>
      </font>
    </dxf>
    <dxf>
      <font>
        <strike/>
        <color theme="0" tint="-0.499984740745262"/>
      </font>
    </dxf>
    <dxf>
      <font>
        <strike/>
        <color theme="0" tint="-0.499984740745262"/>
      </font>
    </dxf>
    <dxf>
      <fill>
        <patternFill>
          <bgColor theme="0" tint="-0.499984740745262"/>
        </patternFill>
      </fill>
    </dxf>
    <dxf>
      <fill>
        <patternFill>
          <bgColor theme="0" tint="-0.499984740745262"/>
        </patternFill>
      </fill>
    </dxf>
    <dxf>
      <font>
        <b/>
        <i/>
        <strike/>
      </font>
    </dxf>
    <dxf>
      <font>
        <b/>
        <i/>
        <strike/>
      </font>
    </dxf>
    <dxf>
      <font>
        <b/>
        <i/>
        <strike/>
      </font>
    </dxf>
    <dxf>
      <font>
        <b/>
        <i/>
        <strike/>
      </font>
    </dxf>
    <dxf>
      <font>
        <b/>
        <i/>
        <strike/>
      </font>
    </dxf>
    <dxf>
      <font>
        <b/>
        <i/>
        <strike/>
      </font>
    </dxf>
    <dxf>
      <font>
        <strike/>
        <color theme="0" tint="-0.499984740745262"/>
      </font>
    </dxf>
    <dxf>
      <font>
        <b/>
        <i/>
        <strike/>
      </font>
    </dxf>
    <dxf>
      <font>
        <strike/>
        <color theme="0" tint="-0.499984740745262"/>
      </font>
    </dxf>
    <dxf>
      <font>
        <color rgb="FFC00000"/>
      </font>
      <fill>
        <patternFill>
          <bgColor theme="5" tint="0.39994506668294322"/>
        </patternFill>
      </fill>
    </dxf>
    <dxf>
      <font>
        <b/>
        <i val="0"/>
        <color rgb="FFC00000"/>
      </font>
      <fill>
        <patternFill>
          <bgColor theme="5" tint="0.59996337778862885"/>
        </patternFill>
      </fill>
    </dxf>
    <dxf>
      <font>
        <b/>
        <i/>
        <strike/>
      </font>
    </dxf>
    <dxf>
      <font>
        <strike/>
        <color theme="0" tint="-0.499984740745262"/>
      </font>
    </dxf>
    <dxf>
      <font>
        <strike/>
        <color theme="0" tint="-0.499984740745262"/>
      </font>
    </dxf>
    <dxf>
      <font>
        <strike/>
        <color theme="0" tint="-0.499984740745262"/>
      </font>
    </dxf>
    <dxf>
      <font>
        <b/>
        <i/>
        <strike/>
      </font>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theme="0"/>
      </font>
      <fill>
        <patternFill>
          <bgColor theme="0" tint="-0.499984740745262"/>
        </patternFill>
      </fill>
    </dxf>
    <dxf>
      <font>
        <b/>
        <i val="0"/>
        <color theme="1"/>
      </font>
      <fill>
        <patternFill>
          <bgColor theme="5" tint="0.59996337778862885"/>
        </patternFill>
      </fill>
    </dxf>
    <dxf>
      <font>
        <b/>
        <i val="0"/>
        <color theme="0"/>
      </font>
      <fill>
        <patternFill>
          <bgColor theme="0" tint="-0.499984740745262"/>
        </patternFill>
      </fill>
    </dxf>
    <dxf>
      <font>
        <b/>
        <i val="0"/>
        <color theme="1"/>
      </font>
      <fill>
        <patternFill>
          <bgColor theme="5" tint="0.59996337778862885"/>
        </patternFill>
      </fill>
    </dxf>
    <dxf>
      <font>
        <b/>
        <i val="0"/>
        <color theme="0"/>
      </font>
      <fill>
        <patternFill>
          <bgColor theme="0" tint="-0.499984740745262"/>
        </patternFill>
      </fill>
    </dxf>
    <dxf>
      <font>
        <b/>
        <i val="0"/>
        <color theme="1"/>
      </font>
      <fill>
        <patternFill>
          <bgColor theme="5" tint="0.59996337778862885"/>
        </patternFill>
      </fill>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color theme="0" tint="-0.499984740745262"/>
      </font>
    </dxf>
    <dxf>
      <font>
        <strike/>
        <color theme="0" tint="-0.499984740745262"/>
      </font>
    </dxf>
    <dxf>
      <border>
        <bottom style="hair">
          <color theme="0" tint="-0.499984740745262"/>
        </bottom>
        <vertical/>
        <horizontal/>
      </border>
    </dxf>
    <dxf>
      <fill>
        <patternFill patternType="none">
          <bgColor auto="1"/>
        </patternFill>
      </fill>
      <border>
        <bottom style="hair">
          <color auto="1"/>
        </bottom>
        <vertical/>
        <horizontal/>
      </border>
    </dxf>
    <dxf>
      <fill>
        <patternFill patternType="none">
          <bgColor auto="1"/>
        </patternFill>
      </fill>
      <border>
        <bottom style="thin">
          <color auto="1"/>
        </bottom>
        <vertical/>
        <horizontal/>
      </border>
    </dxf>
    <dxf>
      <font>
        <b/>
        <i val="0"/>
        <color theme="1"/>
      </font>
      <fill>
        <patternFill>
          <bgColor theme="5" tint="0.59996337778862885"/>
        </patternFill>
      </fill>
    </dxf>
    <dxf>
      <font>
        <b/>
        <i val="0"/>
        <color auto="1"/>
      </font>
      <fill>
        <patternFill>
          <bgColor theme="6" tint="0.59996337778862885"/>
        </patternFill>
      </fill>
    </dxf>
    <dxf>
      <font>
        <strike/>
        <color theme="0" tint="-0.14996795556505021"/>
      </font>
      <fill>
        <patternFill>
          <bgColor theme="0" tint="-0.34998626667073579"/>
        </patternFill>
      </fill>
    </dxf>
    <dxf>
      <font>
        <strike/>
        <color theme="0" tint="-0.14996795556505021"/>
      </font>
      <fill>
        <patternFill>
          <bgColor theme="0" tint="-0.499984740745262"/>
        </patternFill>
      </fill>
    </dxf>
    <dxf>
      <font>
        <strike/>
      </font>
    </dxf>
    <dxf>
      <font>
        <strike/>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b/>
        <i val="0"/>
        <color rgb="FFC00000"/>
      </font>
    </dxf>
    <dxf>
      <font>
        <b/>
        <i val="0"/>
        <color rgb="FFC00000"/>
      </font>
    </dxf>
    <dxf>
      <border>
        <bottom style="hair">
          <color theme="0" tint="-0.499984740745262"/>
        </bottom>
        <vertical/>
        <horizontal/>
      </border>
    </dxf>
    <dxf>
      <fill>
        <patternFill patternType="none">
          <bgColor auto="1"/>
        </patternFill>
      </fill>
      <border>
        <bottom style="hair">
          <color auto="1"/>
        </bottom>
        <vertical/>
        <horizontal/>
      </border>
    </dxf>
    <dxf>
      <fill>
        <patternFill patternType="none">
          <bgColor auto="1"/>
        </patternFill>
      </fill>
      <border>
        <bottom style="thin">
          <color auto="1"/>
        </bottom>
        <vertical/>
        <horizontal/>
      </border>
    </dxf>
    <dxf>
      <font>
        <strike/>
        <color theme="0" tint="-0.499984740745262"/>
      </font>
    </dxf>
    <dxf>
      <font>
        <strike/>
        <color theme="0" tint="-0.499984740745262"/>
      </font>
    </dxf>
    <dxf>
      <font>
        <strike/>
        <color theme="0" tint="-0.499984740745262"/>
      </font>
    </dxf>
    <dxf>
      <font>
        <b/>
        <i/>
        <color rgb="FFC00000"/>
      </font>
      <fill>
        <patternFill>
          <bgColor theme="5" tint="0.79998168889431442"/>
        </patternFill>
      </fill>
    </dxf>
    <dxf>
      <font>
        <b/>
        <i/>
        <color rgb="FFC00000"/>
      </font>
      <fill>
        <patternFill>
          <bgColor theme="5" tint="0.79998168889431442"/>
        </patternFill>
      </fill>
    </dxf>
    <dxf>
      <font>
        <b/>
        <i/>
        <color rgb="FFC00000"/>
      </font>
      <fill>
        <patternFill>
          <bgColor theme="5" tint="0.79998168889431442"/>
        </patternFill>
      </fill>
    </dxf>
    <dxf>
      <font>
        <strike/>
        <color theme="0" tint="-0.499984740745262"/>
      </font>
    </dxf>
    <dxf>
      <font>
        <b val="0"/>
        <i/>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strike/>
        <color theme="0" tint="-0.499984740745262"/>
      </font>
    </dxf>
    <dxf>
      <font>
        <strike/>
        <color theme="0" tint="-0.499984740745262"/>
      </font>
    </dxf>
    <dxf>
      <font>
        <strike/>
        <color theme="0" tint="-0.499984740745262"/>
      </font>
    </dxf>
    <dxf>
      <font>
        <strike/>
        <color theme="0" tint="-0.499984740745262"/>
      </font>
    </dxf>
    <dxf>
      <font>
        <b/>
        <i/>
        <strike/>
      </font>
    </dxf>
    <dxf>
      <font>
        <strike/>
        <color theme="0" tint="-0.499984740745262"/>
      </font>
    </dxf>
    <dxf>
      <font>
        <color rgb="FFC00000"/>
      </font>
    </dxf>
    <dxf>
      <font>
        <color rgb="FFC00000"/>
      </font>
    </dxf>
    <dxf>
      <font>
        <color rgb="FFC00000"/>
      </font>
    </dxf>
    <dxf>
      <font>
        <color rgb="FFC00000"/>
      </font>
    </dxf>
    <dxf>
      <font>
        <strike/>
        <color theme="0" tint="-0.499984740745262"/>
      </font>
    </dxf>
    <dxf>
      <font>
        <strike/>
        <color theme="0" tint="-0.499984740745262"/>
      </font>
    </dxf>
    <dxf>
      <font>
        <color rgb="FFC00000"/>
      </font>
    </dxf>
    <dxf>
      <font>
        <b/>
        <i/>
        <strike/>
      </font>
    </dxf>
    <dxf>
      <font>
        <strike/>
        <color theme="0" tint="-0.499984740745262"/>
      </font>
    </dxf>
    <dxf>
      <font>
        <b/>
        <i/>
        <strike/>
      </font>
    </dxf>
    <dxf>
      <font>
        <strike/>
        <color theme="0" tint="-0.499984740745262"/>
      </font>
    </dxf>
    <dxf>
      <font>
        <b/>
        <i/>
        <strike/>
      </font>
    </dxf>
    <dxf>
      <font>
        <strike/>
        <color theme="0" tint="-0.499984740745262"/>
      </font>
    </dxf>
    <dxf>
      <font>
        <strike/>
        <color theme="0" tint="-0.499984740745262"/>
      </font>
    </dxf>
    <dxf>
      <font>
        <strike/>
        <color theme="0" tint="-0.499984740745262"/>
      </font>
    </dxf>
    <dxf>
      <font>
        <strike/>
        <color theme="0" tint="-0.499984740745262"/>
      </font>
    </dxf>
    <dxf>
      <font>
        <b/>
        <i/>
        <strike/>
      </font>
    </dxf>
    <dxf>
      <font>
        <b/>
        <i/>
        <strike/>
      </font>
    </dxf>
    <dxf>
      <font>
        <b/>
        <i/>
        <strike/>
      </font>
    </dxf>
    <dxf>
      <font>
        <b/>
        <i/>
        <strike/>
      </font>
    </dxf>
    <dxf>
      <font>
        <b/>
        <i/>
        <strike/>
      </font>
    </dxf>
    <dxf>
      <font>
        <b/>
        <i/>
        <strike/>
      </font>
    </dxf>
    <dxf>
      <font>
        <b/>
        <i/>
        <strike/>
      </font>
    </dxf>
    <dxf>
      <font>
        <b/>
        <i/>
        <strike/>
      </font>
    </dxf>
    <dxf>
      <font>
        <b/>
        <i/>
        <strike/>
      </font>
    </dxf>
    <dxf>
      <font>
        <color rgb="FFC00000"/>
      </font>
      <fill>
        <patternFill>
          <bgColor theme="5" tint="0.39994506668294322"/>
        </patternFill>
      </fill>
    </dxf>
    <dxf>
      <font>
        <b/>
        <i val="0"/>
        <color rgb="FFC00000"/>
      </font>
      <fill>
        <patternFill>
          <bgColor theme="5" tint="0.59996337778862885"/>
        </patternFill>
      </fill>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color theme="0" tint="-0.499984740745262"/>
      </font>
    </dxf>
    <dxf>
      <font>
        <strike/>
        <color theme="0" tint="-0.499984740745262"/>
      </font>
    </dxf>
    <dxf>
      <border>
        <bottom style="hair">
          <color theme="0" tint="-0.499984740745262"/>
        </bottom>
        <vertical/>
        <horizontal/>
      </border>
    </dxf>
    <dxf>
      <fill>
        <patternFill patternType="none">
          <bgColor auto="1"/>
        </patternFill>
      </fill>
      <border>
        <bottom style="hair">
          <color auto="1"/>
        </bottom>
        <vertical/>
        <horizontal/>
      </border>
    </dxf>
    <dxf>
      <fill>
        <patternFill patternType="none">
          <bgColor auto="1"/>
        </patternFill>
      </fill>
      <border>
        <bottom style="thin">
          <color auto="1"/>
        </bottom>
        <vertical/>
        <horizontal/>
      </border>
    </dxf>
    <dxf>
      <font>
        <b/>
        <i val="0"/>
        <color theme="1"/>
      </font>
      <fill>
        <patternFill>
          <bgColor theme="5" tint="0.59996337778862885"/>
        </patternFill>
      </fill>
    </dxf>
    <dxf>
      <font>
        <b/>
        <i val="0"/>
        <color auto="1"/>
      </font>
      <fill>
        <patternFill>
          <bgColor theme="6" tint="0.59996337778862885"/>
        </patternFill>
      </fill>
    </dxf>
    <dxf>
      <font>
        <strike/>
        <color theme="0" tint="-0.499984740745262"/>
      </font>
    </dxf>
    <dxf>
      <font>
        <b val="0"/>
        <i/>
      </font>
    </dxf>
    <dxf>
      <font>
        <strike/>
        <color theme="0" tint="-0.14996795556505021"/>
      </font>
      <fill>
        <patternFill>
          <bgColor theme="0" tint="-0.34998626667073579"/>
        </patternFill>
      </fill>
    </dxf>
    <dxf>
      <font>
        <strike/>
        <color theme="0" tint="-0.14996795556505021"/>
      </font>
      <fill>
        <patternFill>
          <bgColor theme="0" tint="-0.34998626667073579"/>
        </patternFill>
      </fill>
    </dxf>
    <dxf>
      <font>
        <strike/>
        <color theme="0" tint="-0.24994659260841701"/>
      </font>
      <fill>
        <patternFill>
          <bgColor theme="0" tint="-0.499984740745262"/>
        </patternFill>
      </fill>
    </dxf>
    <dxf>
      <font>
        <b/>
        <i val="0"/>
        <color rgb="FFC00000"/>
      </font>
    </dxf>
    <dxf>
      <font>
        <b/>
        <i val="0"/>
        <color rgb="FFC00000"/>
      </font>
    </dxf>
    <dxf>
      <font>
        <strike/>
        <color theme="0" tint="-0.499984740745262"/>
      </font>
    </dxf>
    <dxf>
      <font>
        <strike/>
        <color theme="0" tint="-0.499984740745262"/>
      </font>
    </dxf>
    <dxf>
      <font>
        <b/>
        <i/>
        <color rgb="FFC00000"/>
      </font>
      <fill>
        <patternFill>
          <bgColor theme="5" tint="0.79998168889431442"/>
        </patternFill>
      </fill>
    </dxf>
    <dxf>
      <font>
        <b/>
        <i/>
        <color rgb="FFC00000"/>
      </font>
      <fill>
        <patternFill>
          <bgColor theme="5" tint="0.79998168889431442"/>
        </patternFill>
      </fill>
    </dxf>
    <dxf>
      <font>
        <b/>
        <i/>
        <color rgb="FFC00000"/>
      </font>
      <fill>
        <patternFill>
          <bgColor theme="5" tint="0.79998168889431442"/>
        </patternFill>
      </fill>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color rgb="FFC00000"/>
      </font>
    </dxf>
    <dxf>
      <font>
        <color rgb="FFC00000"/>
      </font>
    </dxf>
    <dxf>
      <font>
        <strike/>
        <color theme="0" tint="-0.499984740745262"/>
      </font>
    </dxf>
    <dxf>
      <font>
        <strike/>
        <color theme="0" tint="-0.499984740745262"/>
      </font>
    </dxf>
    <dxf>
      <font>
        <b/>
        <i/>
        <strike/>
      </font>
    </dxf>
    <dxf>
      <font>
        <strike/>
        <color theme="0" tint="-0.499984740745262"/>
      </font>
    </dxf>
    <dxf>
      <font>
        <strike/>
      </font>
    </dxf>
    <dxf>
      <font>
        <strike/>
        <color theme="0" tint="-0.499984740745262"/>
      </font>
    </dxf>
    <dxf>
      <font>
        <strike/>
        <color theme="0" tint="-0.499984740745262"/>
      </font>
    </dxf>
    <dxf>
      <font>
        <b/>
        <i/>
        <strike/>
      </font>
    </dxf>
    <dxf>
      <font>
        <b/>
        <i/>
        <strike/>
      </font>
    </dxf>
    <dxf>
      <font>
        <b/>
        <i/>
        <strike/>
      </font>
    </dxf>
    <dxf>
      <font>
        <b/>
        <i/>
        <strike/>
      </font>
    </dxf>
    <dxf>
      <font>
        <b/>
        <i/>
        <strike/>
      </font>
    </dxf>
    <dxf>
      <font>
        <b/>
        <i/>
        <strike/>
      </font>
    </dxf>
    <dxf>
      <font>
        <b/>
        <i/>
        <strike/>
      </font>
    </dxf>
    <dxf>
      <font>
        <b/>
        <i/>
        <strike/>
        <color theme="0" tint="-0.499984740745262"/>
      </font>
    </dxf>
    <dxf>
      <font>
        <b/>
        <i/>
        <strike/>
      </font>
    </dxf>
    <dxf>
      <font>
        <b/>
        <i/>
        <strike/>
      </font>
    </dxf>
    <dxf>
      <font>
        <b/>
        <i/>
        <strike/>
      </font>
    </dxf>
    <dxf>
      <font>
        <b/>
        <i/>
        <strike/>
      </font>
    </dxf>
    <dxf>
      <font>
        <b/>
        <i/>
        <strike/>
      </font>
    </dxf>
    <dxf>
      <font>
        <b/>
        <i/>
        <strike/>
      </font>
    </dxf>
    <dxf>
      <font>
        <b/>
        <i val="0"/>
        <color theme="0"/>
      </font>
      <fill>
        <patternFill>
          <bgColor theme="0" tint="-0.499984740745262"/>
        </patternFill>
      </fill>
    </dxf>
    <dxf>
      <font>
        <strike/>
      </font>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strike/>
      </font>
    </dxf>
    <dxf>
      <font>
        <strike/>
      </font>
    </dxf>
    <dxf>
      <font>
        <strike/>
      </font>
    </dxf>
    <dxf>
      <font>
        <strike/>
      </font>
    </dxf>
    <dxf>
      <font>
        <strike/>
      </font>
    </dxf>
    <dxf>
      <font>
        <b/>
        <i val="0"/>
        <color rgb="FFC00000"/>
      </font>
      <fill>
        <patternFill>
          <bgColor theme="5" tint="0.59996337778862885"/>
        </patternFill>
      </fill>
    </dxf>
    <dxf>
      <font>
        <color rgb="FFC00000"/>
      </font>
      <fill>
        <patternFill>
          <bgColor theme="5" tint="0.39994506668294322"/>
        </patternFill>
      </fill>
    </dxf>
    <dxf>
      <font>
        <strike/>
        <color theme="0" tint="-0.499984740745262"/>
      </font>
    </dxf>
    <dxf>
      <font>
        <strike/>
      </font>
    </dxf>
    <dxf>
      <font>
        <strike/>
        <color theme="0" tint="-0.499984740745262"/>
      </font>
    </dxf>
    <dxf>
      <font>
        <strike/>
        <color theme="0" tint="-0.499984740745262"/>
      </font>
    </dxf>
    <dxf>
      <font>
        <b/>
        <i val="0"/>
        <color auto="1"/>
      </font>
      <fill>
        <patternFill>
          <bgColor theme="6" tint="0.59996337778862885"/>
        </patternFill>
      </fill>
    </dxf>
    <dxf>
      <font>
        <b/>
        <i val="0"/>
        <color theme="1"/>
      </font>
      <fill>
        <patternFill>
          <bgColor theme="5" tint="0.59996337778862885"/>
        </patternFill>
      </fill>
    </dxf>
    <dxf>
      <font>
        <strike/>
        <color theme="0" tint="-0.499984740745262"/>
      </font>
    </dxf>
    <dxf>
      <border>
        <bottom style="hair">
          <color theme="0" tint="-0.499984740745262"/>
        </bottom>
        <vertical/>
        <horizontal/>
      </border>
    </dxf>
    <dxf>
      <fill>
        <patternFill patternType="none">
          <bgColor auto="1"/>
        </patternFill>
      </fill>
      <border>
        <bottom style="hair">
          <color auto="1"/>
        </bottom>
        <vertical/>
        <horizontal/>
      </border>
    </dxf>
    <dxf>
      <fill>
        <patternFill patternType="none">
          <bgColor auto="1"/>
        </patternFill>
      </fill>
      <border>
        <bottom style="thin">
          <color auto="1"/>
        </bottom>
        <vertical/>
        <horizontal/>
      </border>
    </dxf>
    <dxf>
      <font>
        <strike/>
        <color theme="0" tint="-0.14996795556505021"/>
      </font>
      <fill>
        <patternFill>
          <bgColor theme="0" tint="-0.499984740745262"/>
        </patternFill>
      </fill>
    </dxf>
    <dxf>
      <font>
        <color theme="0" tint="-0.14996795556505021"/>
      </font>
      <fill>
        <patternFill>
          <bgColor theme="0" tint="-0.34998626667073579"/>
        </patternFill>
      </fill>
    </dxf>
    <dxf>
      <font>
        <b/>
        <i/>
        <color rgb="FFC00000"/>
      </font>
      <fill>
        <patternFill>
          <bgColor theme="5" tint="0.79998168889431442"/>
        </patternFill>
      </fill>
    </dxf>
    <dxf>
      <font>
        <b/>
        <i/>
        <color rgb="FFC00000"/>
      </font>
      <fill>
        <patternFill>
          <bgColor theme="5" tint="0.79998168889431442"/>
        </patternFill>
      </fill>
    </dxf>
    <dxf>
      <font>
        <b/>
        <i/>
        <color rgb="FFC00000"/>
      </font>
      <fill>
        <patternFill>
          <bgColor theme="5" tint="0.79998168889431442"/>
        </patternFill>
      </fill>
    </dxf>
    <dxf>
      <font>
        <color auto="1"/>
      </font>
      <fill>
        <patternFill>
          <bgColor theme="5" tint="0.59996337778862885"/>
        </patternFill>
      </fill>
    </dxf>
    <dxf>
      <font>
        <color rgb="FFC00000"/>
      </font>
    </dxf>
    <dxf>
      <font>
        <color rgb="FFC00000"/>
      </font>
      <fill>
        <patternFill patternType="none">
          <bgColor auto="1"/>
        </patternFill>
      </fill>
    </dxf>
    <dxf>
      <font>
        <color rgb="FFC00000"/>
      </font>
      <fill>
        <patternFill patternType="none">
          <bgColor auto="1"/>
        </patternFill>
      </fill>
    </dxf>
    <dxf>
      <font>
        <strike/>
        <color theme="0" tint="-0.499984740745262"/>
      </font>
    </dxf>
    <dxf>
      <font>
        <strike/>
        <color theme="0" tint="-0.499984740745262"/>
      </font>
    </dxf>
    <dxf>
      <font>
        <strike/>
        <color theme="0" tint="-0.499984740745262"/>
      </font>
    </dxf>
    <dxf>
      <font>
        <strike/>
        <color theme="0" tint="-0.499984740745262"/>
      </font>
    </dxf>
    <dxf>
      <font>
        <b val="0"/>
        <i/>
      </font>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color theme="0" tint="-0.499984740745262"/>
      </font>
    </dxf>
    <dxf>
      <font>
        <b/>
        <i/>
        <strike/>
      </font>
    </dxf>
    <dxf>
      <font>
        <b/>
        <i/>
        <strike/>
      </font>
    </dxf>
    <dxf>
      <font>
        <strike/>
      </font>
    </dxf>
    <dxf>
      <font>
        <b/>
        <i/>
        <strike/>
      </font>
    </dxf>
    <dxf>
      <font>
        <b/>
        <i/>
        <strike/>
      </font>
    </dxf>
    <dxf>
      <font>
        <strike/>
      </font>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strike/>
      </font>
    </dxf>
    <dxf>
      <font>
        <b/>
        <i/>
        <strike/>
      </font>
    </dxf>
    <dxf>
      <font>
        <b/>
        <i/>
        <strike/>
      </font>
    </dxf>
    <dxf>
      <font>
        <b/>
        <i/>
        <strike/>
      </font>
    </dxf>
    <dxf>
      <font>
        <b/>
        <i/>
        <strike/>
      </font>
    </dxf>
    <dxf>
      <font>
        <b/>
        <i/>
        <strike/>
      </font>
    </dxf>
    <dxf>
      <font>
        <b/>
        <i/>
        <strike/>
      </font>
    </dxf>
    <dxf>
      <font>
        <b/>
        <i/>
        <strike/>
      </font>
    </dxf>
    <dxf>
      <font>
        <b/>
        <i/>
        <strike/>
      </font>
    </dxf>
    <dxf>
      <font>
        <strike/>
      </font>
    </dxf>
    <dxf>
      <font>
        <strike/>
        <color theme="0" tint="-0.499984740745262"/>
      </font>
    </dxf>
    <dxf>
      <font>
        <strike/>
      </font>
    </dxf>
    <dxf>
      <font>
        <strike/>
      </font>
    </dxf>
    <dxf>
      <font>
        <strike/>
      </font>
    </dxf>
    <dxf>
      <font>
        <strike/>
        <color theme="0" tint="-0.499984740745262"/>
      </font>
    </dxf>
    <dxf>
      <font>
        <strike/>
      </font>
    </dxf>
    <dxf>
      <font>
        <b/>
        <i val="0"/>
        <color rgb="FFC00000"/>
      </font>
      <fill>
        <patternFill>
          <bgColor theme="5" tint="0.59996337778862885"/>
        </patternFill>
      </fill>
    </dxf>
    <dxf>
      <font>
        <strike/>
        <color theme="0" tint="-0.499984740745262"/>
      </font>
    </dxf>
    <dxf>
      <font>
        <b val="0"/>
        <i/>
      </font>
    </dxf>
    <dxf>
      <font>
        <strike/>
      </font>
    </dxf>
    <dxf>
      <font>
        <strike/>
      </font>
      <fill>
        <patternFill>
          <bgColor theme="0" tint="-0.34998626667073579"/>
        </patternFill>
      </fill>
    </dxf>
    <dxf>
      <font>
        <strike/>
      </font>
      <fill>
        <patternFill>
          <bgColor theme="0" tint="-0.499984740745262"/>
        </patternFill>
      </fill>
    </dxf>
    <dxf>
      <font>
        <b val="0"/>
        <i/>
      </font>
    </dxf>
    <dxf>
      <font>
        <strike/>
      </font>
    </dxf>
    <dxf>
      <font>
        <strike/>
      </font>
    </dxf>
    <dxf>
      <font>
        <strike/>
      </font>
    </dxf>
    <dxf>
      <font>
        <strike/>
      </font>
    </dxf>
    <dxf>
      <font>
        <strike/>
      </font>
    </dxf>
    <dxf>
      <fill>
        <patternFill>
          <bgColor theme="0" tint="-0.34998626667073579"/>
        </patternFill>
      </fill>
    </dxf>
    <dxf>
      <font>
        <b/>
        <i/>
        <color rgb="FFC00000"/>
      </font>
      <fill>
        <patternFill>
          <bgColor theme="5" tint="0.59996337778862885"/>
        </patternFill>
      </fill>
    </dxf>
    <dxf>
      <font>
        <b/>
        <i/>
        <color rgb="FFC00000"/>
      </font>
      <fill>
        <patternFill>
          <bgColor theme="5" tint="0.59996337778862885"/>
        </patternFill>
      </fill>
    </dxf>
    <dxf>
      <font>
        <b/>
        <i/>
        <color rgb="FFC00000"/>
      </font>
    </dxf>
    <dxf>
      <font>
        <b/>
        <i/>
        <color rgb="FFC00000"/>
      </font>
      <fill>
        <patternFill>
          <bgColor theme="5" tint="0.79998168889431442"/>
        </patternFill>
      </fill>
    </dxf>
    <dxf>
      <font>
        <b/>
        <i/>
        <color rgb="FFC00000"/>
      </font>
      <fill>
        <patternFill>
          <bgColor theme="5" tint="0.59996337778862885"/>
        </patternFill>
      </fill>
    </dxf>
    <dxf>
      <font>
        <b/>
        <i val="0"/>
      </font>
      <fill>
        <patternFill>
          <bgColor theme="6" tint="0.59996337778862885"/>
        </patternFill>
      </fill>
    </dxf>
    <dxf>
      <fill>
        <patternFill>
          <bgColor theme="0" tint="-0.34998626667073579"/>
        </patternFill>
      </fill>
    </dxf>
    <dxf>
      <font>
        <b/>
        <i/>
        <color rgb="FFC00000"/>
      </font>
    </dxf>
    <dxf>
      <fill>
        <patternFill>
          <bgColor theme="0" tint="-0.34998626667073579"/>
        </patternFill>
      </fill>
    </dxf>
    <dxf>
      <font>
        <b/>
        <i/>
        <color rgb="FFC00000"/>
      </font>
    </dxf>
    <dxf>
      <font>
        <b/>
        <i val="0"/>
        <color rgb="FFC00000"/>
      </font>
    </dxf>
    <dxf>
      <font>
        <b/>
        <i/>
        <color rgb="FFC00000"/>
      </font>
      <fill>
        <patternFill>
          <bgColor theme="5" tint="0.59996337778862885"/>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C00000"/>
      </font>
    </dxf>
    <dxf>
      <font>
        <color rgb="FFC00000"/>
      </font>
    </dxf>
    <dxf>
      <font>
        <color rgb="FFC00000"/>
      </font>
      <fill>
        <patternFill patternType="solid">
          <bgColor theme="0" tint="-0.34998626667073579"/>
        </patternFill>
      </fill>
    </dxf>
    <dxf>
      <font>
        <b/>
        <i val="0"/>
      </font>
      <fill>
        <patternFill>
          <bgColor theme="6" tint="0.59996337778862885"/>
        </patternFill>
      </fill>
    </dxf>
    <dxf>
      <font>
        <b/>
        <i val="0"/>
      </font>
      <fill>
        <patternFill>
          <bgColor theme="6" tint="0.59996337778862885"/>
        </patternFill>
      </fill>
    </dxf>
    <dxf>
      <font>
        <b val="0"/>
        <i/>
        <color rgb="FFC00000"/>
      </font>
    </dxf>
    <dxf>
      <font>
        <b/>
        <i/>
        <color rgb="FFC00000"/>
      </font>
      <fill>
        <patternFill>
          <bgColor theme="5" tint="0.59996337778862885"/>
        </patternFill>
      </fill>
    </dxf>
    <dxf>
      <font>
        <strike/>
        <color theme="0" tint="-0.24994659260841701"/>
      </font>
    </dxf>
    <dxf>
      <font>
        <b val="0"/>
        <i/>
        <color rgb="FF7030A0"/>
      </font>
    </dxf>
    <dxf>
      <font>
        <b/>
        <i val="0"/>
      </font>
    </dxf>
    <dxf>
      <font>
        <b val="0"/>
        <i/>
        <color rgb="FFC0000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strike/>
        <color theme="0" tint="-0.24994659260841701"/>
      </font>
    </dxf>
    <dxf>
      <font>
        <color theme="0" tint="-0.24994659260841701"/>
      </font>
    </dxf>
    <dxf>
      <font>
        <b val="0"/>
        <i/>
        <color rgb="FF7030A0"/>
      </font>
    </dxf>
    <dxf>
      <font>
        <b/>
        <i val="0"/>
      </font>
    </dxf>
    <dxf>
      <font>
        <b val="0"/>
        <i/>
        <color rgb="FFC00000"/>
      </font>
    </dxf>
    <dxf>
      <font>
        <color theme="0" tint="-0.24994659260841701"/>
      </font>
    </dxf>
    <dxf>
      <font>
        <strike/>
        <color theme="0" tint="-0.24994659260841701"/>
      </font>
    </dxf>
    <dxf>
      <font>
        <b/>
        <i/>
        <color rgb="FFC00000"/>
      </font>
    </dxf>
    <dxf>
      <font>
        <b/>
        <i/>
        <color rgb="FFC00000"/>
      </font>
    </dxf>
    <dxf>
      <font>
        <b/>
        <i/>
        <color rgb="FFC00000"/>
      </font>
    </dxf>
    <dxf>
      <font>
        <b/>
        <i/>
        <color rgb="FFC00000"/>
      </font>
    </dxf>
    <dxf>
      <font>
        <b/>
        <i/>
        <color rgb="FFC00000"/>
      </font>
    </dxf>
    <dxf>
      <font>
        <b/>
        <i/>
        <color rgb="FFC00000"/>
      </font>
    </dxf>
    <dxf>
      <font>
        <b/>
        <i/>
        <color rgb="FFC00000"/>
      </font>
    </dxf>
    <dxf>
      <font>
        <b/>
        <i/>
        <color rgb="FFC00000"/>
      </font>
    </dxf>
    <dxf>
      <font>
        <b/>
        <i/>
        <color rgb="FFC00000"/>
      </font>
    </dxf>
    <dxf>
      <font>
        <b/>
        <i/>
        <color rgb="FFC00000"/>
      </font>
    </dxf>
    <dxf>
      <font>
        <b/>
        <i/>
        <color rgb="FFC00000"/>
      </font>
    </dxf>
    <dxf>
      <font>
        <b/>
        <i/>
        <color rgb="FFC00000"/>
      </font>
    </dxf>
    <dxf>
      <font>
        <b/>
        <i/>
        <color rgb="FFC00000"/>
      </font>
    </dxf>
    <dxf>
      <font>
        <b/>
        <i/>
        <color rgb="FFC00000"/>
      </font>
      <fill>
        <patternFill>
          <bgColor theme="5" tint="0.59996337778862885"/>
        </patternFill>
      </fill>
    </dxf>
    <dxf>
      <font>
        <b/>
        <i/>
        <color rgb="FFC00000"/>
      </font>
    </dxf>
    <dxf>
      <font>
        <b/>
        <i/>
        <color rgb="FFC00000"/>
      </font>
      <fill>
        <patternFill>
          <bgColor theme="5" tint="0.59996337778862885"/>
        </patternFill>
      </fill>
    </dxf>
    <dxf>
      <font>
        <b/>
        <i/>
        <color rgb="FFC00000"/>
      </font>
    </dxf>
    <dxf>
      <font>
        <b/>
        <i/>
        <color rgb="FFC00000"/>
      </font>
    </dxf>
    <dxf>
      <font>
        <b/>
        <i/>
        <color rgb="FFC00000"/>
      </font>
      <fill>
        <patternFill>
          <bgColor theme="5" tint="0.59996337778862885"/>
        </patternFill>
      </fill>
    </dxf>
    <dxf>
      <fill>
        <patternFill>
          <bgColor theme="0" tint="-0.34998626667073579"/>
        </patternFill>
      </fill>
    </dxf>
    <dxf>
      <font>
        <color rgb="FFC00000"/>
      </font>
    </dxf>
    <dxf>
      <font>
        <color rgb="FFC00000"/>
      </font>
    </dxf>
    <dxf>
      <font>
        <b/>
        <i val="0"/>
        <color auto="1"/>
      </font>
      <fill>
        <patternFill>
          <bgColor theme="6" tint="-0.24994659260841701"/>
        </patternFill>
      </fill>
    </dxf>
    <dxf>
      <font>
        <b/>
        <i val="0"/>
        <color rgb="FFC00000"/>
      </font>
      <fill>
        <patternFill>
          <bgColor theme="9" tint="0.59996337778862885"/>
        </patternFill>
      </fill>
    </dxf>
    <dxf>
      <font>
        <b/>
        <i val="0"/>
      </font>
      <fill>
        <patternFill>
          <bgColor theme="6" tint="0.59996337778862885"/>
        </patternFill>
      </fill>
    </dxf>
    <dxf>
      <font>
        <strike/>
        <color theme="0" tint="-0.499984740745262"/>
      </font>
      <fill>
        <patternFill>
          <bgColor theme="1" tint="0.34998626667073579"/>
        </patternFill>
      </fill>
    </dxf>
    <dxf>
      <font>
        <color rgb="FFC00000"/>
      </font>
    </dxf>
    <dxf>
      <font>
        <b/>
        <i val="0"/>
        <color theme="0"/>
      </font>
      <fill>
        <patternFill>
          <bgColor theme="1" tint="0.499984740745262"/>
        </patternFill>
      </fill>
    </dxf>
    <dxf>
      <font>
        <color rgb="FFFF0000"/>
      </font>
    </dxf>
    <dxf>
      <font>
        <strike/>
        <color theme="0" tint="-0.499984740745262"/>
      </font>
    </dxf>
    <dxf>
      <font>
        <color theme="0" tint="-0.34998626667073579"/>
      </font>
      <fill>
        <patternFill>
          <bgColor theme="1" tint="0.34998626667073579"/>
        </patternFill>
      </fill>
    </dxf>
    <dxf>
      <font>
        <color rgb="FFFF0000"/>
      </font>
    </dxf>
    <dxf>
      <font>
        <color rgb="FFFF0000"/>
      </font>
    </dxf>
    <dxf>
      <font>
        <color rgb="FFFF0000"/>
      </font>
    </dxf>
    <dxf>
      <font>
        <color rgb="FFC00000"/>
      </font>
    </dxf>
    <dxf>
      <font>
        <color rgb="FFC00000"/>
      </font>
    </dxf>
    <dxf>
      <font>
        <color rgb="FF8E0000"/>
      </font>
    </dxf>
    <dxf>
      <font>
        <color rgb="FFC00000"/>
      </font>
    </dxf>
    <dxf>
      <font>
        <b/>
        <i val="0"/>
        <color rgb="FFC14E4B"/>
      </font>
    </dxf>
    <dxf>
      <font>
        <color rgb="FF8E0000"/>
      </font>
    </dxf>
    <dxf>
      <font>
        <color rgb="FF8E0000"/>
      </font>
    </dxf>
    <dxf>
      <font>
        <strike/>
        <color theme="0" tint="-0.499984740745262"/>
      </font>
    </dxf>
    <dxf>
      <font>
        <color rgb="FFFF0000"/>
      </font>
    </dxf>
    <dxf>
      <font>
        <color rgb="FFFF0000"/>
      </font>
    </dxf>
    <dxf>
      <font>
        <color rgb="FFC00000"/>
      </font>
    </dxf>
    <dxf>
      <font>
        <color rgb="FFC00000"/>
      </font>
    </dxf>
    <dxf>
      <font>
        <color theme="5" tint="-0.24994659260841701"/>
      </font>
    </dxf>
    <dxf>
      <font>
        <color theme="5" tint="-0.24994659260841701"/>
      </font>
    </dxf>
    <dxf>
      <font>
        <color rgb="FFC00000"/>
      </font>
    </dxf>
    <dxf>
      <font>
        <color rgb="FFC00000"/>
      </font>
    </dxf>
    <dxf>
      <font>
        <color rgb="FFFF0000"/>
      </font>
    </dxf>
    <dxf>
      <font>
        <color rgb="FFFF0000"/>
      </font>
    </dxf>
    <dxf>
      <font>
        <color rgb="FFC00000"/>
      </font>
    </dxf>
    <dxf>
      <font>
        <color rgb="FFC0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C00000"/>
      </font>
    </dxf>
    <dxf>
      <font>
        <color rgb="FFC00000"/>
      </font>
    </dxf>
    <dxf>
      <font>
        <color rgb="FFC00000"/>
      </font>
    </dxf>
    <dxf>
      <font>
        <color rgb="FFC00000"/>
      </font>
    </dxf>
    <dxf>
      <font>
        <color rgb="FFC00000"/>
      </font>
    </dxf>
    <dxf>
      <font>
        <color rgb="FFC00000"/>
      </font>
    </dxf>
    <dxf>
      <font>
        <color theme="5" tint="-0.24994659260841701"/>
      </font>
    </dxf>
    <dxf>
      <font>
        <color rgb="FFC00000"/>
      </font>
    </dxf>
    <dxf>
      <font>
        <color rgb="FFC00000"/>
      </font>
    </dxf>
    <dxf>
      <font>
        <color rgb="FFC00000"/>
      </font>
    </dxf>
    <dxf>
      <font>
        <color rgb="FFC00000"/>
      </font>
    </dxf>
    <dxf>
      <font>
        <color rgb="FFC00000"/>
      </font>
    </dxf>
    <dxf>
      <font>
        <color rgb="FFC00000"/>
      </font>
    </dxf>
    <dxf>
      <font>
        <color rgb="FFC00000"/>
      </font>
    </dxf>
    <dxf>
      <border>
        <bottom style="hair">
          <color theme="0" tint="-0.499984740745262"/>
        </bottom>
        <vertical/>
        <horizontal/>
      </border>
    </dxf>
    <dxf>
      <fill>
        <patternFill>
          <bgColor theme="0" tint="-4.9989318521683403E-2"/>
        </patternFill>
      </fill>
      <border>
        <bottom style="hair">
          <color auto="1"/>
        </bottom>
        <vertical/>
        <horizontal/>
      </border>
    </dxf>
    <dxf>
      <fill>
        <patternFill>
          <bgColor theme="0" tint="-0.14996795556505021"/>
        </patternFill>
      </fill>
      <border>
        <bottom style="thin">
          <color auto="1"/>
        </bottom>
        <vertical/>
        <horizontal/>
      </border>
    </dxf>
    <dxf>
      <font>
        <strike/>
      </font>
      <fill>
        <patternFill>
          <bgColor theme="0" tint="-0.499984740745262"/>
        </patternFill>
      </fill>
    </dxf>
    <dxf>
      <font>
        <strike/>
      </font>
      <fill>
        <patternFill>
          <bgColor theme="0" tint="-0.499984740745262"/>
        </patternFill>
      </fill>
    </dxf>
    <dxf>
      <font>
        <strike/>
      </font>
      <fill>
        <patternFill>
          <bgColor theme="0" tint="-0.499984740745262"/>
        </patternFill>
      </fill>
    </dxf>
    <dxf>
      <font>
        <color rgb="FFC00000"/>
      </font>
    </dxf>
    <dxf>
      <font>
        <b/>
        <i val="0"/>
        <color theme="0"/>
      </font>
      <fill>
        <patternFill>
          <bgColor theme="1" tint="0.499984740745262"/>
        </patternFill>
      </fill>
    </dxf>
    <dxf>
      <font>
        <b/>
        <i val="0"/>
        <color theme="0"/>
      </font>
      <fill>
        <patternFill>
          <bgColor theme="1" tint="0.499984740745262"/>
        </patternFill>
      </fill>
    </dxf>
    <dxf>
      <font>
        <b/>
        <i val="0"/>
        <color theme="0"/>
      </font>
      <fill>
        <patternFill>
          <bgColor theme="1" tint="0.499984740745262"/>
        </patternFill>
      </fill>
    </dxf>
    <dxf>
      <font>
        <b/>
        <i val="0"/>
        <color theme="0"/>
      </font>
      <fill>
        <patternFill>
          <bgColor theme="1" tint="0.499984740745262"/>
        </patternFill>
      </fill>
    </dxf>
    <dxf>
      <font>
        <b/>
        <i val="0"/>
        <color theme="0"/>
      </font>
      <fill>
        <patternFill>
          <bgColor theme="1" tint="0.499984740745262"/>
        </patternFill>
      </fill>
    </dxf>
    <dxf>
      <font>
        <b/>
        <i val="0"/>
        <color theme="0"/>
      </font>
      <fill>
        <patternFill>
          <bgColor theme="1" tint="0.499984740745262"/>
        </patternFill>
      </fill>
    </dxf>
    <dxf>
      <font>
        <b/>
        <i val="0"/>
        <color theme="0"/>
      </font>
      <fill>
        <patternFill>
          <bgColor theme="1" tint="0.499984740745262"/>
        </patternFill>
      </fill>
    </dxf>
    <dxf>
      <font>
        <b/>
        <i val="0"/>
      </font>
      <fill>
        <patternFill>
          <bgColor theme="0" tint="-0.24994659260841701"/>
        </patternFill>
      </fill>
    </dxf>
    <dxf>
      <fill>
        <patternFill>
          <bgColor theme="1" tint="0.34998626667073579"/>
        </patternFill>
      </fill>
    </dxf>
    <dxf>
      <font>
        <color rgb="FFC00000"/>
      </font>
    </dxf>
    <dxf>
      <font>
        <b/>
        <i val="0"/>
        <color theme="0"/>
      </font>
      <fill>
        <patternFill>
          <bgColor theme="1" tint="0.34998626667073579"/>
        </patternFill>
      </fill>
    </dxf>
    <dxf>
      <font>
        <b/>
        <i/>
        <color rgb="FFC00000"/>
      </font>
      <fill>
        <patternFill>
          <bgColor theme="5" tint="0.59996337778862885"/>
        </patternFill>
      </fill>
    </dxf>
    <dxf>
      <font>
        <b/>
        <i/>
        <color rgb="FFC00000"/>
      </font>
      <fill>
        <patternFill>
          <bgColor theme="5" tint="0.59996337778862885"/>
        </patternFill>
      </fill>
    </dxf>
    <dxf>
      <font>
        <strike/>
      </font>
    </dxf>
    <dxf>
      <font>
        <strike/>
      </font>
    </dxf>
    <dxf>
      <font>
        <strike/>
      </font>
    </dxf>
    <dxf>
      <font>
        <strike/>
      </font>
    </dxf>
    <dxf>
      <font>
        <strike/>
        <color theme="0" tint="-0.499984740745262"/>
      </font>
    </dxf>
    <dxf>
      <font>
        <strike/>
        <color theme="0" tint="-0.499984740745262"/>
      </font>
    </dxf>
    <dxf>
      <font>
        <b/>
        <i val="0"/>
        <color rgb="FFC00000"/>
      </font>
    </dxf>
    <dxf>
      <font>
        <color rgb="FFC00000"/>
      </font>
    </dxf>
    <dxf>
      <font>
        <color rgb="FFC00000"/>
      </font>
    </dxf>
    <dxf>
      <font>
        <b/>
        <i val="0"/>
        <color auto="1"/>
      </font>
      <fill>
        <patternFill>
          <bgColor theme="6" tint="0.59996337778862885"/>
        </patternFill>
      </fill>
    </dxf>
    <dxf>
      <font>
        <b/>
        <i val="0"/>
      </font>
      <fill>
        <patternFill>
          <bgColor theme="5" tint="0.39994506668294322"/>
        </patternFill>
      </fill>
    </dxf>
    <dxf>
      <border>
        <bottom style="hair">
          <color theme="0" tint="-0.499984740745262"/>
        </bottom>
        <vertical/>
        <horizontal/>
      </border>
    </dxf>
    <dxf>
      <border>
        <bottom style="hair">
          <color auto="1"/>
        </bottom>
        <vertical/>
        <horizontal/>
      </border>
    </dxf>
    <dxf>
      <fill>
        <patternFill patternType="none">
          <bgColor auto="1"/>
        </patternFill>
      </fill>
      <border>
        <bottom style="thin">
          <color auto="1"/>
        </bottom>
        <vertical/>
        <horizontal/>
      </border>
    </dxf>
    <dxf>
      <font>
        <strike/>
        <color theme="0" tint="-0.499984740745262"/>
      </font>
    </dxf>
    <dxf>
      <font>
        <color rgb="FFC00000"/>
      </font>
      <fill>
        <patternFill patternType="none">
          <bgColor auto="1"/>
        </patternFill>
      </fill>
    </dxf>
    <dxf>
      <font>
        <b/>
        <i/>
        <color rgb="FFC00000"/>
      </font>
      <fill>
        <patternFill>
          <bgColor theme="5" tint="0.79998168889431442"/>
        </patternFill>
      </fill>
    </dxf>
    <dxf>
      <font>
        <b/>
        <i/>
        <color rgb="FFC00000"/>
      </font>
      <fill>
        <patternFill>
          <bgColor theme="5" tint="0.79998168889431442"/>
        </patternFill>
      </fill>
    </dxf>
    <dxf>
      <font>
        <b/>
        <i/>
        <color rgb="FFC00000"/>
      </font>
      <fill>
        <patternFill>
          <bgColor theme="5" tint="0.79998168889431442"/>
        </patternFill>
      </fill>
    </dxf>
    <dxf>
      <font>
        <color rgb="FFC00000"/>
      </font>
    </dxf>
    <dxf>
      <font>
        <color rgb="FFC00000"/>
      </font>
    </dxf>
    <dxf>
      <font>
        <b/>
        <i/>
        <strike/>
      </font>
    </dxf>
    <dxf>
      <font>
        <b/>
        <i/>
        <color rgb="FFC00000"/>
      </font>
      <fill>
        <patternFill>
          <bgColor theme="5" tint="0.59996337778862885"/>
        </patternFill>
      </fill>
    </dxf>
    <dxf>
      <font>
        <strike/>
        <color theme="0" tint="-0.499984740745262"/>
      </font>
    </dxf>
    <dxf>
      <font>
        <strike/>
        <color theme="0" tint="-0.499984740745262"/>
      </font>
    </dxf>
    <dxf>
      <font>
        <strike/>
        <color theme="0" tint="-0.499984740745262"/>
      </font>
    </dxf>
    <dxf>
      <font>
        <b/>
        <i/>
        <strike/>
      </font>
    </dxf>
    <dxf>
      <font>
        <b/>
        <i/>
        <strike/>
      </font>
    </dxf>
    <dxf>
      <font>
        <b/>
        <i/>
        <strike/>
      </font>
    </dxf>
    <dxf>
      <font>
        <strike/>
        <color theme="0" tint="-0.499984740745262"/>
      </font>
    </dxf>
    <dxf>
      <font>
        <strike/>
        <color theme="0" tint="-0.499984740745262"/>
      </font>
    </dxf>
    <dxf>
      <font>
        <strike/>
        <color theme="0" tint="-0.24994659260841701"/>
      </font>
      <fill>
        <patternFill>
          <bgColor theme="0" tint="-0.499984740745262"/>
        </patternFill>
      </fill>
    </dxf>
    <dxf>
      <font>
        <strike/>
        <color theme="0" tint="-0.24994659260841701"/>
      </font>
      <fill>
        <patternFill>
          <bgColor theme="0" tint="-0.499984740745262"/>
        </patternFill>
      </fill>
    </dxf>
    <dxf>
      <font>
        <strike/>
        <color theme="0" tint="-0.24994659260841701"/>
      </font>
      <fill>
        <patternFill>
          <bgColor theme="0" tint="-0.499984740745262"/>
        </patternFill>
      </fill>
    </dxf>
    <dxf>
      <font>
        <strike/>
        <color theme="0" tint="-0.24994659260841701"/>
      </font>
      <fill>
        <patternFill>
          <bgColor theme="0" tint="-0.499984740745262"/>
        </patternFill>
      </fill>
    </dxf>
    <dxf>
      <font>
        <color rgb="FFC00000"/>
      </font>
    </dxf>
    <dxf>
      <font>
        <b/>
        <i/>
        <strike/>
      </font>
    </dxf>
    <dxf>
      <font>
        <b/>
        <i/>
        <strike/>
      </font>
    </dxf>
    <dxf>
      <font>
        <strike/>
      </font>
    </dxf>
    <dxf>
      <font>
        <strike/>
        <color theme="0" tint="-0.499984740745262"/>
      </font>
    </dxf>
    <dxf>
      <font>
        <strike/>
      </font>
    </dxf>
    <dxf>
      <font>
        <strike/>
      </font>
    </dxf>
    <dxf>
      <font>
        <strike/>
        <color theme="0" tint="-0.499984740745262"/>
      </font>
    </dxf>
    <dxf>
      <font>
        <b/>
        <i/>
        <strike/>
        <color theme="0" tint="-0.499984740745262"/>
      </font>
    </dxf>
    <dxf>
      <font>
        <b/>
        <i/>
        <strike/>
        <color theme="0" tint="-0.499984740745262"/>
      </font>
    </dxf>
    <dxf>
      <font>
        <strike/>
        <color theme="0" tint="-0.24994659260841701"/>
      </font>
      <fill>
        <patternFill>
          <bgColor theme="0" tint="-0.499984740745262"/>
        </patternFill>
      </fill>
    </dxf>
    <dxf>
      <font>
        <strike/>
        <color theme="0" tint="-0.499984740745262"/>
      </font>
    </dxf>
    <dxf>
      <font>
        <strike/>
        <color theme="0" tint="-0.499984740745262"/>
      </font>
    </dxf>
    <dxf>
      <font>
        <strike/>
        <color theme="0" tint="-0.499984740745262"/>
      </font>
    </dxf>
    <dxf>
      <font>
        <strike/>
        <color theme="0" tint="-0.34998626667073579"/>
      </font>
      <fill>
        <patternFill>
          <bgColor theme="0" tint="-0.499984740745262"/>
        </patternFill>
      </fill>
    </dxf>
    <dxf>
      <font>
        <b/>
        <i/>
        <strike/>
        <color theme="0" tint="-0.499984740745262"/>
      </font>
    </dxf>
    <dxf>
      <font>
        <strike/>
        <color theme="0" tint="-0.499984740745262"/>
      </font>
    </dxf>
    <dxf>
      <font>
        <b/>
        <i/>
        <strike/>
        <color theme="0" tint="-0.499984740745262"/>
      </font>
    </dxf>
    <dxf>
      <font>
        <b/>
        <i/>
        <strike/>
        <color theme="0" tint="-0.499984740745262"/>
      </font>
    </dxf>
    <dxf>
      <font>
        <b/>
        <i/>
        <strike/>
      </font>
    </dxf>
    <dxf>
      <font>
        <b/>
        <i/>
        <strike/>
      </font>
    </dxf>
    <dxf>
      <font>
        <b/>
        <i/>
        <strike/>
      </font>
    </dxf>
    <dxf>
      <font>
        <b/>
        <i/>
        <strike/>
      </font>
    </dxf>
    <dxf>
      <font>
        <b/>
        <i/>
        <strike/>
      </font>
    </dxf>
    <dxf>
      <font>
        <b/>
        <i val="0"/>
        <color rgb="FFC00000"/>
      </font>
      <fill>
        <patternFill>
          <bgColor theme="5" tint="0.59996337778862885"/>
        </patternFill>
      </fill>
    </dxf>
    <dxf>
      <font>
        <b/>
        <i val="0"/>
        <color theme="0"/>
      </font>
      <fill>
        <patternFill>
          <bgColor theme="0" tint="-0.499984740745262"/>
        </patternFill>
      </fill>
    </dxf>
    <dxf>
      <font>
        <b/>
        <i val="0"/>
        <color theme="1"/>
      </font>
      <fill>
        <patternFill>
          <bgColor theme="5" tint="0.59996337778862885"/>
        </patternFill>
      </fill>
    </dxf>
    <dxf>
      <font>
        <b/>
        <i val="0"/>
        <color theme="0"/>
      </font>
      <fill>
        <patternFill>
          <bgColor theme="0" tint="-0.499984740745262"/>
        </patternFill>
      </fill>
    </dxf>
    <dxf>
      <font>
        <b/>
        <i val="0"/>
        <color theme="1"/>
      </font>
      <fill>
        <patternFill>
          <bgColor theme="5" tint="0.59996337778862885"/>
        </patternFill>
      </fill>
    </dxf>
    <dxf>
      <font>
        <b/>
        <i val="0"/>
        <color theme="0"/>
      </font>
      <fill>
        <patternFill>
          <bgColor theme="0" tint="-0.499984740745262"/>
        </patternFill>
      </fill>
    </dxf>
    <dxf>
      <font>
        <b/>
        <i val="0"/>
        <color theme="1"/>
      </font>
      <fill>
        <patternFill>
          <bgColor theme="5" tint="0.59996337778862885"/>
        </patternFill>
      </fill>
    </dxf>
    <dxf>
      <font>
        <b/>
        <i/>
        <color rgb="FFC00000"/>
      </font>
    </dxf>
    <dxf>
      <font>
        <b/>
        <i/>
        <color rgb="FFC00000"/>
      </font>
    </dxf>
    <dxf>
      <font>
        <color rgb="FFC00000"/>
      </font>
    </dxf>
    <dxf>
      <font>
        <color rgb="FFC00000"/>
      </font>
    </dxf>
    <dxf>
      <font>
        <color rgb="FFC00000"/>
      </font>
    </dxf>
    <dxf>
      <font>
        <color rgb="FFC00000"/>
      </font>
    </dxf>
    <dxf>
      <font>
        <b/>
        <i/>
        <color rgb="FFC00000"/>
      </font>
    </dxf>
    <dxf>
      <font>
        <b val="0"/>
        <i val="0"/>
        <color theme="0"/>
      </font>
      <fill>
        <patternFill>
          <bgColor theme="0" tint="-0.34998626667073579"/>
        </patternFill>
      </fill>
    </dxf>
    <dxf>
      <font>
        <strike/>
        <color theme="0" tint="-0.34998626667073579"/>
      </font>
    </dxf>
    <dxf>
      <font>
        <color theme="0" tint="-0.34998626667073579"/>
      </font>
      <fill>
        <patternFill>
          <bgColor theme="0" tint="-0.499984740745262"/>
        </patternFill>
      </fill>
    </dxf>
    <dxf>
      <font>
        <strike/>
        <color theme="0" tint="-0.34998626667073579"/>
      </font>
    </dxf>
    <dxf>
      <font>
        <color theme="0" tint="-0.34998626667073579"/>
      </font>
      <fill>
        <patternFill>
          <bgColor theme="0" tint="-0.499984740745262"/>
        </patternFill>
      </fill>
    </dxf>
    <dxf>
      <font>
        <strike/>
        <color theme="0" tint="-0.34998626667073579"/>
      </font>
      <fill>
        <patternFill>
          <bgColor theme="0" tint="-0.499984740745262"/>
        </patternFill>
      </fill>
    </dxf>
    <dxf>
      <font>
        <strike/>
        <color theme="0" tint="-0.34998626667073579"/>
      </font>
      <fill>
        <patternFill>
          <bgColor theme="0" tint="-0.499984740745262"/>
        </patternFill>
      </fill>
    </dxf>
    <dxf>
      <font>
        <strike/>
        <color theme="0" tint="-0.14996795556505021"/>
      </font>
      <fill>
        <patternFill>
          <bgColor theme="0" tint="-0.499984740745262"/>
        </patternFill>
      </fill>
    </dxf>
    <dxf>
      <font>
        <strike/>
        <color theme="0" tint="-0.14996795556505021"/>
      </font>
      <fill>
        <patternFill>
          <bgColor theme="0" tint="-0.499984740745262"/>
        </patternFill>
      </fill>
    </dxf>
    <dxf>
      <font>
        <color rgb="FF989AF6"/>
      </font>
    </dxf>
    <dxf>
      <font>
        <color theme="9" tint="-0.24994659260841701"/>
      </font>
    </dxf>
    <dxf>
      <font>
        <color rgb="FF989AF6"/>
      </font>
    </dxf>
    <dxf>
      <font>
        <color theme="0" tint="-4.9989318521683403E-2"/>
      </font>
      <fill>
        <patternFill>
          <bgColor theme="0" tint="-0.34998626667073579"/>
        </patternFill>
      </fill>
    </dxf>
    <dxf>
      <font>
        <color theme="0" tint="-4.9989318521683403E-2"/>
      </font>
      <fill>
        <patternFill>
          <bgColor theme="0" tint="-0.34998626667073579"/>
        </patternFill>
      </fill>
    </dxf>
    <dxf>
      <fill>
        <patternFill>
          <bgColor theme="0" tint="-0.34998626667073579"/>
        </patternFill>
      </fill>
    </dxf>
    <dxf>
      <font>
        <b/>
        <i/>
        <color rgb="FFC00000"/>
      </font>
    </dxf>
    <dxf>
      <font>
        <color theme="0"/>
      </font>
      <fill>
        <patternFill>
          <bgColor theme="4" tint="-0.499984740745262"/>
        </patternFill>
      </fill>
    </dxf>
    <dxf>
      <font>
        <b/>
        <i val="0"/>
      </font>
    </dxf>
    <dxf>
      <font>
        <color rgb="FFC00000"/>
      </font>
    </dxf>
    <dxf>
      <font>
        <b/>
        <i/>
        <color rgb="FFC00000"/>
      </font>
    </dxf>
    <dxf>
      <font>
        <color theme="0"/>
      </font>
      <fill>
        <patternFill>
          <bgColor theme="4" tint="-0.499984740745262"/>
        </patternFill>
      </fill>
    </dxf>
    <dxf>
      <font>
        <b/>
        <i/>
        <color rgb="FFC00000"/>
      </font>
    </dxf>
    <dxf>
      <font>
        <b/>
        <i/>
        <color rgb="FFC00000"/>
      </font>
    </dxf>
    <dxf>
      <font>
        <b/>
        <i/>
        <color rgb="FFC00000"/>
      </font>
      <fill>
        <patternFill>
          <bgColor theme="9" tint="0.79998168889431442"/>
        </patternFill>
      </fill>
    </dxf>
    <dxf>
      <font>
        <b/>
        <i/>
        <color rgb="FFC00000"/>
      </font>
      <fill>
        <patternFill>
          <bgColor theme="5" tint="0.79998168889431442"/>
        </patternFill>
      </fill>
    </dxf>
    <dxf>
      <font>
        <color theme="8" tint="-0.24994659260841701"/>
      </font>
    </dxf>
    <dxf>
      <font>
        <strike/>
        <color theme="0" tint="-4.9989318521683403E-2"/>
      </font>
    </dxf>
    <dxf>
      <fill>
        <patternFill>
          <bgColor rgb="FFFFC000"/>
        </patternFill>
      </fill>
    </dxf>
    <dxf>
      <font>
        <b/>
        <i/>
        <color rgb="FFC00000"/>
      </font>
    </dxf>
    <dxf>
      <font>
        <b/>
        <i/>
        <color rgb="FFC00000"/>
      </font>
    </dxf>
    <dxf>
      <font>
        <b/>
        <i/>
        <color rgb="FFC00000"/>
      </font>
    </dxf>
    <dxf>
      <font>
        <color theme="0" tint="-4.9989318521683403E-2"/>
      </font>
      <fill>
        <patternFill>
          <bgColor theme="0" tint="-0.34998626667073579"/>
        </patternFill>
      </fill>
    </dxf>
    <dxf>
      <font>
        <color theme="0" tint="-4.9989318521683403E-2"/>
      </font>
      <fill>
        <patternFill>
          <bgColor theme="0" tint="-0.34998626667073579"/>
        </patternFill>
      </fill>
    </dxf>
    <dxf>
      <font>
        <color theme="0" tint="-4.9989318521683403E-2"/>
      </font>
      <fill>
        <patternFill>
          <bgColor theme="0" tint="-0.34998626667073579"/>
        </patternFill>
      </fill>
    </dxf>
    <dxf>
      <font>
        <color theme="0" tint="-4.9989318521683403E-2"/>
      </font>
      <fill>
        <patternFill>
          <bgColor theme="0" tint="-0.34998626667073579"/>
        </patternFill>
      </fill>
    </dxf>
    <dxf>
      <font>
        <color theme="0" tint="-4.9989318521683403E-2"/>
      </font>
      <fill>
        <patternFill>
          <bgColor theme="0" tint="-0.34998626667073579"/>
        </patternFill>
      </fill>
    </dxf>
    <dxf>
      <font>
        <color theme="0" tint="-4.9989318521683403E-2"/>
      </font>
      <fill>
        <patternFill>
          <bgColor theme="0" tint="-0.34998626667073579"/>
        </patternFill>
      </fill>
    </dxf>
    <dxf>
      <font>
        <color theme="0" tint="-4.9989318521683403E-2"/>
      </font>
      <fill>
        <patternFill>
          <bgColor theme="0" tint="-0.34998626667073579"/>
        </patternFill>
      </fill>
    </dxf>
    <dxf>
      <font>
        <color theme="0" tint="-4.9989318521683403E-2"/>
      </font>
      <fill>
        <patternFill>
          <bgColor theme="0" tint="-0.34998626667073579"/>
        </patternFill>
      </fill>
    </dxf>
    <dxf>
      <font>
        <strike/>
        <color theme="0" tint="-4.9989318521683403E-2"/>
      </font>
    </dxf>
    <dxf>
      <font>
        <b/>
        <i/>
        <color rgb="FFC00000"/>
      </font>
      <fill>
        <patternFill>
          <bgColor theme="5" tint="0.59996337778862885"/>
        </patternFill>
      </fill>
    </dxf>
    <dxf>
      <font>
        <b/>
        <i/>
        <color rgb="FFC00000"/>
      </font>
      <fill>
        <patternFill>
          <bgColor theme="5" tint="0.59996337778862885"/>
        </patternFill>
      </fill>
    </dxf>
    <dxf>
      <font>
        <b/>
        <i/>
        <color rgb="FFC00000"/>
      </font>
    </dxf>
    <dxf>
      <fill>
        <patternFill>
          <bgColor rgb="FFFFC000"/>
        </patternFill>
      </fill>
    </dxf>
    <dxf>
      <font>
        <b/>
        <i val="0"/>
        <color theme="0"/>
      </font>
      <fill>
        <patternFill>
          <bgColor theme="8" tint="-0.24994659260841701"/>
        </patternFill>
      </fill>
    </dxf>
    <dxf>
      <font>
        <b/>
        <i val="0"/>
        <color theme="0"/>
      </font>
      <fill>
        <patternFill>
          <bgColor theme="8" tint="-0.24994659260841701"/>
        </patternFill>
      </fill>
    </dxf>
    <dxf>
      <font>
        <b val="0"/>
        <i/>
        <color rgb="FFC00000"/>
      </font>
    </dxf>
    <dxf>
      <font>
        <color theme="0" tint="-0.34998626667073579"/>
      </font>
      <fill>
        <patternFill>
          <bgColor theme="0" tint="-0.499984740745262"/>
        </patternFill>
      </fill>
    </dxf>
    <dxf>
      <font>
        <b/>
        <i val="0"/>
        <color rgb="FFC00000"/>
      </font>
    </dxf>
    <dxf>
      <font>
        <color theme="0" tint="-4.9989318521683403E-2"/>
      </font>
      <fill>
        <patternFill>
          <bgColor theme="0" tint="-0.34998626667073579"/>
        </patternFill>
      </fill>
    </dxf>
    <dxf>
      <font>
        <color theme="0" tint="-4.9989318521683403E-2"/>
      </font>
      <fill>
        <patternFill>
          <bgColor theme="0" tint="-0.34998626667073579"/>
        </patternFill>
      </fill>
    </dxf>
    <dxf>
      <font>
        <color theme="0" tint="-4.9989318521683403E-2"/>
      </font>
      <fill>
        <patternFill>
          <bgColor theme="0" tint="-0.34998626667073579"/>
        </patternFill>
      </fill>
    </dxf>
    <dxf>
      <font>
        <color theme="0" tint="-4.9989318521683403E-2"/>
      </font>
      <fill>
        <patternFill>
          <bgColor theme="0" tint="-0.34998626667073579"/>
        </patternFill>
      </fill>
    </dxf>
    <dxf>
      <font>
        <strike/>
      </font>
    </dxf>
    <dxf>
      <font>
        <b/>
        <i/>
        <color rgb="FFC00000"/>
      </font>
    </dxf>
    <dxf>
      <font>
        <b/>
        <i/>
        <color rgb="FFC00000"/>
      </font>
    </dxf>
    <dxf>
      <font>
        <strike val="0"/>
        <color theme="0" tint="-4.9989318521683403E-2"/>
      </font>
      <fill>
        <patternFill>
          <bgColor theme="0" tint="-0.34998626667073579"/>
        </patternFill>
      </fill>
    </dxf>
  </dxfs>
  <tableStyles count="0" defaultTableStyle="TableStyleMedium2" defaultPivotStyle="PivotStyleLight16"/>
  <colors>
    <mruColors>
      <color rgb="FFFFFF99"/>
      <color rgb="FF989AF6"/>
      <color rgb="FFB9BBF9"/>
      <color rgb="FFC14E4B"/>
      <color rgb="FFF8634A"/>
      <color rgb="FFF86D56"/>
      <color rgb="FF8E0000"/>
      <color rgb="FFFFB64B"/>
      <color rgb="FFFFFF66"/>
      <color rgb="FFCF757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fs.illinois.edu/services/capital-programs/rpmld"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1</xdr:col>
      <xdr:colOff>1085849</xdr:colOff>
      <xdr:row>1</xdr:row>
      <xdr:rowOff>38099</xdr:rowOff>
    </xdr:from>
    <xdr:to>
      <xdr:col>3</xdr:col>
      <xdr:colOff>3944471</xdr:colOff>
      <xdr:row>1</xdr:row>
      <xdr:rowOff>1557617</xdr:rowOff>
    </xdr:to>
    <xdr:sp macro="" textlink="">
      <xdr:nvSpPr>
        <xdr:cNvPr id="5" name="TextBox 4">
          <a:hlinkClick xmlns:r="http://schemas.openxmlformats.org/officeDocument/2006/relationships" r:id="rId1"/>
        </xdr:cNvPr>
        <xdr:cNvSpPr txBox="1"/>
      </xdr:nvSpPr>
      <xdr:spPr>
        <a:xfrm>
          <a:off x="1422025" y="441511"/>
          <a:ext cx="4696387" cy="1519518"/>
        </a:xfrm>
        <a:prstGeom prst="rect">
          <a:avLst/>
        </a:prstGeom>
        <a:solidFill>
          <a:srgbClr val="00E5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baseline="0">
              <a:solidFill>
                <a:schemeClr val="bg1"/>
              </a:solidFill>
            </a:rPr>
            <a:t>For UIUC PM/Planners:</a:t>
          </a:r>
        </a:p>
        <a:p>
          <a:r>
            <a:rPr lang="en-US" sz="1200" b="1">
              <a:solidFill>
                <a:schemeClr val="bg1"/>
              </a:solidFill>
            </a:rPr>
            <a:t>Read the latest</a:t>
          </a:r>
          <a:r>
            <a:rPr lang="en-US" sz="1200" b="1" baseline="0">
              <a:solidFill>
                <a:schemeClr val="bg1"/>
              </a:solidFill>
            </a:rPr>
            <a:t> directions in the planning manual entitled "</a:t>
          </a:r>
          <a:r>
            <a:rPr lang="en-US" sz="1200" b="1" i="1" baseline="0">
              <a:solidFill>
                <a:schemeClr val="bg1"/>
              </a:solidFill>
            </a:rPr>
            <a:t>RPMLD -UIUC_directions.pdf</a:t>
          </a:r>
          <a:r>
            <a:rPr lang="en-US" sz="1200" b="1" baseline="0">
              <a:solidFill>
                <a:schemeClr val="bg1"/>
              </a:solidFill>
            </a:rPr>
            <a:t>"</a:t>
          </a:r>
        </a:p>
        <a:p>
          <a:endParaRPr lang="en-US" sz="1200" b="1" baseline="0">
            <a:solidFill>
              <a:srgbClr val="FF0000"/>
            </a:solidFill>
          </a:endParaRPr>
        </a:p>
        <a:p>
          <a:r>
            <a:rPr lang="en-US" sz="1200" b="1" i="1" baseline="0">
              <a:solidFill>
                <a:schemeClr val="tx2"/>
              </a:solidFill>
            </a:rPr>
            <a:t>http://www.fs.illinois.edu/services/capital-programs/rpmld</a:t>
          </a:r>
        </a:p>
        <a:p>
          <a:r>
            <a:rPr lang="en-US" sz="1400" b="1" baseline="0">
              <a:solidFill>
                <a:srgbClr val="FF0000"/>
              </a:solidFill>
            </a:rPr>
            <a:t>Do not use regular COPY and PASTE!</a:t>
          </a:r>
          <a:endParaRPr lang="en-US" sz="1400" b="1">
            <a:solidFill>
              <a:srgbClr val="FF0000"/>
            </a:solidFill>
          </a:endParaRPr>
        </a:p>
      </xdr:txBody>
    </xdr:sp>
    <xdr:clientData/>
  </xdr:twoCellAnchor>
  <xdr:twoCellAnchor>
    <xdr:from>
      <xdr:col>3</xdr:col>
      <xdr:colOff>5048249</xdr:colOff>
      <xdr:row>1</xdr:row>
      <xdr:rowOff>38100</xdr:rowOff>
    </xdr:from>
    <xdr:to>
      <xdr:col>5</xdr:col>
      <xdr:colOff>3152775</xdr:colOff>
      <xdr:row>2</xdr:row>
      <xdr:rowOff>28576</xdr:rowOff>
    </xdr:to>
    <xdr:sp macro="" textlink="">
      <xdr:nvSpPr>
        <xdr:cNvPr id="7" name="TextBox 6">
          <a:hlinkClick xmlns:r="http://schemas.openxmlformats.org/officeDocument/2006/relationships" r:id="rId1"/>
        </xdr:cNvPr>
        <xdr:cNvSpPr txBox="1"/>
      </xdr:nvSpPr>
      <xdr:spPr>
        <a:xfrm>
          <a:off x="7219949" y="7381875"/>
          <a:ext cx="4524376" cy="1438276"/>
        </a:xfrm>
        <a:prstGeom prst="rect">
          <a:avLst/>
        </a:prstGeom>
        <a:solidFill>
          <a:srgbClr val="D880EA"/>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baseline="0">
              <a:solidFill>
                <a:schemeClr val="bg1"/>
              </a:solidFill>
            </a:rPr>
            <a:t>For PSC's:</a:t>
          </a:r>
        </a:p>
        <a:p>
          <a:r>
            <a:rPr lang="en-US" sz="1200" b="1" baseline="0">
              <a:solidFill>
                <a:schemeClr val="bg1"/>
              </a:solidFill>
            </a:rPr>
            <a:t>Read directions file provided by PM or Planner </a:t>
          </a:r>
          <a:r>
            <a:rPr lang="en-US" sz="1200" b="1" baseline="0">
              <a:solidFill>
                <a:schemeClr val="bg1"/>
              </a:solidFill>
              <a:latin typeface="+mn-lt"/>
              <a:ea typeface="+mn-ea"/>
              <a:cs typeface="+mn-cs"/>
            </a:rPr>
            <a:t>entitled</a:t>
          </a:r>
          <a:r>
            <a:rPr lang="en-US" sz="1100" b="1" baseline="0">
              <a:solidFill>
                <a:schemeClr val="dk1"/>
              </a:solidFill>
              <a:effectLst/>
              <a:latin typeface="+mn-lt"/>
              <a:ea typeface="+mn-ea"/>
              <a:cs typeface="+mn-cs"/>
            </a:rPr>
            <a:t> </a:t>
          </a:r>
        </a:p>
        <a:p>
          <a:r>
            <a:rPr lang="en-US" sz="1200" b="1" baseline="0">
              <a:solidFill>
                <a:schemeClr val="bg1"/>
              </a:solidFill>
              <a:effectLst/>
              <a:latin typeface="+mn-lt"/>
              <a:ea typeface="+mn-ea"/>
              <a:cs typeface="+mn-cs"/>
            </a:rPr>
            <a:t>"</a:t>
          </a:r>
          <a:r>
            <a:rPr lang="en-US" sz="1200" b="1" i="1" baseline="0">
              <a:solidFill>
                <a:schemeClr val="bg1"/>
              </a:solidFill>
              <a:effectLst/>
              <a:latin typeface="+mn-lt"/>
              <a:ea typeface="+mn-ea"/>
              <a:cs typeface="+mn-cs"/>
            </a:rPr>
            <a:t>RPMLD-PSC_directions .pdf</a:t>
          </a:r>
          <a:r>
            <a:rPr lang="en-US" sz="1200" b="1" baseline="0">
              <a:solidFill>
                <a:schemeClr val="bg1"/>
              </a:solidFill>
              <a:effectLst/>
              <a:latin typeface="+mn-lt"/>
              <a:ea typeface="+mn-ea"/>
              <a:cs typeface="+mn-cs"/>
            </a:rPr>
            <a:t>".  File is available on </a:t>
          </a:r>
          <a:endParaRPr lang="en-US" sz="1400">
            <a:solidFill>
              <a:schemeClr val="bg1"/>
            </a:solidFill>
            <a:effectLst/>
          </a:endParaRPr>
        </a:p>
        <a:p>
          <a:endParaRPr lang="en-US" sz="1200" b="1" baseline="0">
            <a:solidFill>
              <a:schemeClr val="bg1"/>
            </a:solidFill>
            <a:effectLst/>
            <a:latin typeface="+mn-lt"/>
            <a:ea typeface="+mn-ea"/>
            <a:cs typeface="+mn-cs"/>
          </a:endParaRPr>
        </a:p>
        <a:p>
          <a:r>
            <a:rPr lang="en-US" sz="1200" b="1" i="1" baseline="0">
              <a:solidFill>
                <a:schemeClr val="tx2"/>
              </a:solidFill>
              <a:effectLst/>
              <a:latin typeface="+mn-lt"/>
              <a:ea typeface="+mn-ea"/>
              <a:cs typeface="+mn-cs"/>
            </a:rPr>
            <a:t>http://www.fs.illinois.edu/services/capital-programs/rpmld</a:t>
          </a:r>
          <a:endParaRPr lang="en-US" sz="1400" b="1" i="1" baseline="0">
            <a:solidFill>
              <a:schemeClr val="tx2"/>
            </a:solidFill>
            <a:effectLst/>
            <a:latin typeface="+mn-lt"/>
            <a:ea typeface="+mn-ea"/>
            <a:cs typeface="+mn-cs"/>
          </a:endParaRPr>
        </a:p>
        <a:p>
          <a:r>
            <a:rPr lang="en-US" sz="1400" b="1" baseline="0">
              <a:solidFill>
                <a:srgbClr val="C00000"/>
              </a:solidFill>
              <a:effectLst/>
              <a:latin typeface="+mn-lt"/>
              <a:ea typeface="+mn-ea"/>
              <a:cs typeface="+mn-cs"/>
            </a:rPr>
            <a:t>Do not use regular COPY and PASTE!</a:t>
          </a:r>
          <a:endParaRPr lang="en-US" sz="1600">
            <a:solidFill>
              <a:srgbClr val="C00000"/>
            </a:solidFill>
            <a:effectLst/>
          </a:endParaRPr>
        </a:p>
      </xdr:txBody>
    </xdr:sp>
    <xdr:clientData/>
  </xdr:twoCellAnchor>
  <xdr:twoCellAnchor editAs="oneCell">
    <xdr:from>
      <xdr:col>1</xdr:col>
      <xdr:colOff>0</xdr:colOff>
      <xdr:row>2</xdr:row>
      <xdr:rowOff>11206</xdr:rowOff>
    </xdr:from>
    <xdr:to>
      <xdr:col>5</xdr:col>
      <xdr:colOff>5034510</xdr:colOff>
      <xdr:row>4</xdr:row>
      <xdr:rowOff>739588</xdr:rowOff>
    </xdr:to>
    <xdr:pic>
      <xdr:nvPicPr>
        <xdr:cNvPr id="8" name="Picture 7"/>
        <xdr:cNvPicPr>
          <a:picLocks noChangeAspect="1"/>
        </xdr:cNvPicPr>
      </xdr:nvPicPr>
      <xdr:blipFill>
        <a:blip xmlns:r="http://schemas.openxmlformats.org/officeDocument/2006/relationships" r:embed="rId2"/>
        <a:stretch>
          <a:fillRect/>
        </a:stretch>
      </xdr:blipFill>
      <xdr:spPr>
        <a:xfrm>
          <a:off x="336176" y="1860177"/>
          <a:ext cx="13293246" cy="786652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0</xdr:colOff>
      <xdr:row>25</xdr:row>
      <xdr:rowOff>0</xdr:rowOff>
    </xdr:from>
    <xdr:to>
      <xdr:col>7</xdr:col>
      <xdr:colOff>3914775</xdr:colOff>
      <xdr:row>30</xdr:row>
      <xdr:rowOff>228600</xdr:rowOff>
    </xdr:to>
    <xdr:sp macro="" textlink="">
      <xdr:nvSpPr>
        <xdr:cNvPr id="2" name="Text Box 14"/>
        <xdr:cNvSpPr txBox="1"/>
      </xdr:nvSpPr>
      <xdr:spPr>
        <a:xfrm>
          <a:off x="1333500" y="2514600"/>
          <a:ext cx="4448175" cy="1257300"/>
        </a:xfrm>
        <a:prstGeom prst="rect">
          <a:avLst/>
        </a:prstGeom>
        <a:solidFill>
          <a:schemeClr val="bg1">
            <a:lumMod val="85000"/>
          </a:schemeClr>
        </a:solidFill>
        <a:ln w="44450">
          <a:solidFill>
            <a:srgbClr val="C00000"/>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a:spcBef>
              <a:spcPts val="0"/>
            </a:spcBef>
            <a:spcAft>
              <a:spcPts val="0"/>
            </a:spcAft>
            <a:tabLst>
              <a:tab pos="6286500" algn="r"/>
            </a:tabLst>
          </a:pPr>
          <a:r>
            <a:rPr lang="en-US" sz="1100" b="1" baseline="0">
              <a:effectLst/>
              <a:latin typeface="Calibri" panose="020F0502020204030204" pitchFamily="34" charset="0"/>
              <a:ea typeface="Times New Roman" panose="02020603050405020304" pitchFamily="18" charset="0"/>
              <a:cs typeface="Arial" panose="020B0604020202020204" pitchFamily="34" charset="0"/>
            </a:rPr>
            <a:t>                  </a:t>
          </a:r>
          <a:endParaRPr lang="en-US" sz="1100" b="1">
            <a:effectLst/>
            <a:latin typeface="Calibri" panose="020F0502020204030204" pitchFamily="34" charset="0"/>
            <a:ea typeface="Times New Roman" panose="02020603050405020304" pitchFamily="18" charset="0"/>
            <a:cs typeface="Arial" panose="020B0604020202020204" pitchFamily="34" charset="0"/>
          </a:endParaRPr>
        </a:p>
        <a:p>
          <a:pPr marL="0" marR="0">
            <a:spcBef>
              <a:spcPts val="0"/>
            </a:spcBef>
            <a:spcAft>
              <a:spcPts val="0"/>
            </a:spcAft>
            <a:tabLst>
              <a:tab pos="6286500" algn="r"/>
            </a:tabLst>
          </a:pPr>
          <a:r>
            <a:rPr lang="en-US" sz="1400" b="1">
              <a:solidFill>
                <a:srgbClr val="C00000"/>
              </a:solidFill>
              <a:effectLst/>
              <a:latin typeface="Calibri" panose="020F0502020204030204" pitchFamily="34" charset="0"/>
              <a:ea typeface="Times New Roman" panose="02020603050405020304" pitchFamily="18" charset="0"/>
              <a:cs typeface="Arial" panose="020B0604020202020204" pitchFamily="34" charset="0"/>
            </a:rPr>
            <a:t>WARNING - Do not choose the "Y" and "N" in this file.</a:t>
          </a:r>
        </a:p>
        <a:p>
          <a:pPr marL="0" marR="0">
            <a:spcBef>
              <a:spcPts val="0"/>
            </a:spcBef>
            <a:spcAft>
              <a:spcPts val="0"/>
            </a:spcAft>
            <a:tabLst>
              <a:tab pos="6286500" algn="r"/>
            </a:tabLst>
          </a:pPr>
          <a:r>
            <a:rPr lang="en-US" sz="1400" b="1" baseline="0">
              <a:solidFill>
                <a:srgbClr val="00B050"/>
              </a:solidFill>
              <a:effectLst/>
              <a:latin typeface="Calibri" panose="020F0502020204030204" pitchFamily="34" charset="0"/>
              <a:ea typeface="Times New Roman" panose="02020603050405020304" pitchFamily="18" charset="0"/>
              <a:cs typeface="Arial" panose="020B0604020202020204" pitchFamily="34" charset="0"/>
            </a:rPr>
            <a:t>Use Tab C for selections of applicability.</a:t>
          </a:r>
        </a:p>
        <a:p>
          <a:pPr marL="0" marR="0">
            <a:spcBef>
              <a:spcPts val="0"/>
            </a:spcBef>
            <a:spcAft>
              <a:spcPts val="0"/>
            </a:spcAft>
            <a:tabLst>
              <a:tab pos="6286500" algn="r"/>
            </a:tabLst>
          </a:pPr>
          <a:endParaRPr lang="en-US" sz="1400" b="1" baseline="0">
            <a:solidFill>
              <a:srgbClr val="00B050"/>
            </a:solidFill>
            <a:effectLst/>
            <a:latin typeface="Calibri" panose="020F0502020204030204" pitchFamily="34" charset="0"/>
            <a:ea typeface="Times New Roman" panose="02020603050405020304" pitchFamily="18" charset="0"/>
            <a:cs typeface="Arial" panose="020B0604020202020204" pitchFamily="34" charset="0"/>
          </a:endParaRPr>
        </a:p>
        <a:p>
          <a:pPr marL="0" marR="0">
            <a:spcBef>
              <a:spcPts val="0"/>
            </a:spcBef>
            <a:spcAft>
              <a:spcPts val="0"/>
            </a:spcAft>
            <a:tabLst>
              <a:tab pos="6286500" algn="r"/>
            </a:tabLst>
          </a:pPr>
          <a:r>
            <a:rPr lang="en-US" sz="1400" b="1" baseline="0">
              <a:solidFill>
                <a:sysClr val="windowText" lastClr="000000"/>
              </a:solidFill>
              <a:effectLst/>
              <a:latin typeface="Calibri" panose="020F0502020204030204" pitchFamily="34" charset="0"/>
              <a:ea typeface="Times New Roman" panose="02020603050405020304" pitchFamily="18" charset="0"/>
              <a:cs typeface="Arial" panose="020B0604020202020204" pitchFamily="34" charset="0"/>
            </a:rPr>
            <a:t>Delete this message before printing.</a:t>
          </a:r>
        </a:p>
        <a:p>
          <a:pPr marL="0" marR="0">
            <a:spcBef>
              <a:spcPts val="0"/>
            </a:spcBef>
            <a:spcAft>
              <a:spcPts val="0"/>
            </a:spcAft>
            <a:tabLst>
              <a:tab pos="6286500" algn="r"/>
            </a:tabLst>
          </a:pPr>
          <a:endParaRPr lang="en-US" sz="1100" b="1">
            <a:effectLst/>
            <a:latin typeface="Calibri" panose="020F0502020204030204" pitchFamily="34" charset="0"/>
            <a:ea typeface="Times New Roman" panose="02020603050405020304" pitchFamily="18"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257175</xdr:colOff>
      <xdr:row>123</xdr:row>
      <xdr:rowOff>28575</xdr:rowOff>
    </xdr:from>
    <xdr:to>
      <xdr:col>2</xdr:col>
      <xdr:colOff>400050</xdr:colOff>
      <xdr:row>125</xdr:row>
      <xdr:rowOff>95250</xdr:rowOff>
    </xdr:to>
    <xdr:sp macro="" textlink="">
      <xdr:nvSpPr>
        <xdr:cNvPr id="2" name="Down Arrow 1"/>
        <xdr:cNvSpPr/>
      </xdr:nvSpPr>
      <xdr:spPr>
        <a:xfrm>
          <a:off x="552450" y="25088850"/>
          <a:ext cx="142875" cy="466725"/>
        </a:xfrm>
        <a:prstGeom prst="down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447676</xdr:colOff>
      <xdr:row>16</xdr:row>
      <xdr:rowOff>19051</xdr:rowOff>
    </xdr:from>
    <xdr:to>
      <xdr:col>20</xdr:col>
      <xdr:colOff>2153810</xdr:colOff>
      <xdr:row>18</xdr:row>
      <xdr:rowOff>142875</xdr:rowOff>
    </xdr:to>
    <xdr:pic>
      <xdr:nvPicPr>
        <xdr:cNvPr id="5" name="Picture 4"/>
        <xdr:cNvPicPr>
          <a:picLocks noChangeAspect="1"/>
        </xdr:cNvPicPr>
      </xdr:nvPicPr>
      <xdr:blipFill>
        <a:blip xmlns:r="http://schemas.openxmlformats.org/officeDocument/2006/relationships" r:embed="rId1"/>
        <a:stretch>
          <a:fillRect/>
        </a:stretch>
      </xdr:blipFill>
      <xdr:spPr>
        <a:xfrm>
          <a:off x="11325226" y="3657601"/>
          <a:ext cx="1706134" cy="685799"/>
        </a:xfrm>
        <a:prstGeom prst="rect">
          <a:avLst/>
        </a:prstGeom>
        <a:effectLst>
          <a:outerShdw blurRad="63500" sx="102000" sy="102000" algn="ctr" rotWithShape="0">
            <a:prstClr val="black">
              <a:alpha val="40000"/>
            </a:prstClr>
          </a:outerShdw>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29</xdr:col>
      <xdr:colOff>168088</xdr:colOff>
      <xdr:row>24</xdr:row>
      <xdr:rowOff>22411</xdr:rowOff>
    </xdr:from>
    <xdr:to>
      <xdr:col>36</xdr:col>
      <xdr:colOff>838759</xdr:colOff>
      <xdr:row>28</xdr:row>
      <xdr:rowOff>134470</xdr:rowOff>
    </xdr:to>
    <xdr:sp macro="" textlink="">
      <xdr:nvSpPr>
        <xdr:cNvPr id="2" name="Text Box 14"/>
        <xdr:cNvSpPr txBox="1"/>
      </xdr:nvSpPr>
      <xdr:spPr>
        <a:xfrm>
          <a:off x="11441206" y="2902323"/>
          <a:ext cx="6867524" cy="1042147"/>
        </a:xfrm>
        <a:prstGeom prst="rect">
          <a:avLst/>
        </a:prstGeom>
        <a:solidFill>
          <a:schemeClr val="bg1">
            <a:lumMod val="85000"/>
          </a:schemeClr>
        </a:solidFill>
        <a:ln w="44450">
          <a:solidFill>
            <a:srgbClr val="C00000"/>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a:spcBef>
              <a:spcPts val="0"/>
            </a:spcBef>
            <a:spcAft>
              <a:spcPts val="0"/>
            </a:spcAft>
            <a:tabLst>
              <a:tab pos="6286500" algn="r"/>
            </a:tabLst>
          </a:pPr>
          <a:r>
            <a:rPr lang="en-US" sz="1100" b="1" baseline="0">
              <a:effectLst/>
              <a:latin typeface="Calibri" panose="020F0502020204030204" pitchFamily="34" charset="0"/>
              <a:ea typeface="Times New Roman" panose="02020603050405020304" pitchFamily="18" charset="0"/>
              <a:cs typeface="Arial" panose="020B0604020202020204" pitchFamily="34" charset="0"/>
            </a:rPr>
            <a:t>                  </a:t>
          </a:r>
          <a:endParaRPr lang="en-US" sz="1100" b="1">
            <a:effectLst/>
            <a:latin typeface="Calibri" panose="020F0502020204030204" pitchFamily="34" charset="0"/>
            <a:ea typeface="Times New Roman" panose="02020603050405020304" pitchFamily="18" charset="0"/>
            <a:cs typeface="Arial" panose="020B0604020202020204" pitchFamily="34" charset="0"/>
          </a:endParaRPr>
        </a:p>
        <a:p>
          <a:pPr marL="0" marR="0">
            <a:spcBef>
              <a:spcPts val="0"/>
            </a:spcBef>
            <a:spcAft>
              <a:spcPts val="0"/>
            </a:spcAft>
            <a:tabLst>
              <a:tab pos="6286500" algn="r"/>
            </a:tabLst>
          </a:pPr>
          <a:r>
            <a:rPr lang="en-US" sz="1100" b="1">
              <a:effectLst/>
              <a:latin typeface="Calibri" panose="020F0502020204030204" pitchFamily="34" charset="0"/>
              <a:ea typeface="Times New Roman" panose="02020603050405020304" pitchFamily="18" charset="0"/>
              <a:cs typeface="Arial" panose="020B0604020202020204" pitchFamily="34" charset="0"/>
            </a:rPr>
            <a:t>                  </a:t>
          </a:r>
          <a:r>
            <a:rPr lang="en-US" sz="1400" b="1">
              <a:solidFill>
                <a:srgbClr val="C00000"/>
              </a:solidFill>
              <a:effectLst/>
              <a:latin typeface="Calibri" panose="020F0502020204030204" pitchFamily="34" charset="0"/>
              <a:ea typeface="Times New Roman" panose="02020603050405020304" pitchFamily="18" charset="0"/>
              <a:cs typeface="Arial" panose="020B0604020202020204" pitchFamily="34" charset="0"/>
            </a:rPr>
            <a:t>WARNING - This file contains an incredible about of conditional formatting.  </a:t>
          </a:r>
        </a:p>
        <a:p>
          <a:pPr marL="0" marR="0">
            <a:spcBef>
              <a:spcPts val="0"/>
            </a:spcBef>
            <a:spcAft>
              <a:spcPts val="0"/>
            </a:spcAft>
            <a:tabLst>
              <a:tab pos="6286500" algn="r"/>
            </a:tabLst>
          </a:pPr>
          <a:r>
            <a:rPr lang="en-US" sz="1400" b="1">
              <a:solidFill>
                <a:srgbClr val="C00000"/>
              </a:solidFill>
              <a:effectLst/>
              <a:latin typeface="Calibri" panose="020F0502020204030204" pitchFamily="34" charset="0"/>
              <a:ea typeface="Times New Roman" panose="02020603050405020304" pitchFamily="18" charset="0"/>
              <a:cs typeface="Arial" panose="020B0604020202020204" pitchFamily="34" charset="0"/>
            </a:rPr>
            <a:t>              Therefore, DO NOT USE REGULAR COPY AND PASTE</a:t>
          </a:r>
          <a:r>
            <a:rPr lang="en-US" sz="1400" b="1" baseline="0">
              <a:solidFill>
                <a:srgbClr val="C00000"/>
              </a:solidFill>
              <a:effectLst/>
              <a:latin typeface="Calibri" panose="020F0502020204030204" pitchFamily="34" charset="0"/>
              <a:ea typeface="Times New Roman" panose="02020603050405020304" pitchFamily="18" charset="0"/>
              <a:cs typeface="Arial" panose="020B0604020202020204" pitchFamily="34" charset="0"/>
            </a:rPr>
            <a:t> (it will corrupt the file).  </a:t>
          </a:r>
        </a:p>
        <a:p>
          <a:pPr marL="0" marR="0">
            <a:spcBef>
              <a:spcPts val="0"/>
            </a:spcBef>
            <a:spcAft>
              <a:spcPts val="0"/>
            </a:spcAft>
            <a:tabLst>
              <a:tab pos="6286500" algn="r"/>
            </a:tabLst>
          </a:pPr>
          <a:r>
            <a:rPr lang="en-US" sz="1400" b="1" baseline="0">
              <a:solidFill>
                <a:srgbClr val="C00000"/>
              </a:solidFill>
              <a:effectLst/>
              <a:latin typeface="Calibri" panose="020F0502020204030204" pitchFamily="34" charset="0"/>
              <a:ea typeface="Times New Roman" panose="02020603050405020304" pitchFamily="18" charset="0"/>
              <a:cs typeface="Arial" panose="020B0604020202020204" pitchFamily="34" charset="0"/>
            </a:rPr>
            <a:t>              </a:t>
          </a:r>
          <a:r>
            <a:rPr lang="en-US" sz="1400" b="1" baseline="0">
              <a:solidFill>
                <a:srgbClr val="00B050"/>
              </a:solidFill>
              <a:effectLst/>
              <a:latin typeface="Calibri" panose="020F0502020204030204" pitchFamily="34" charset="0"/>
              <a:ea typeface="Times New Roman" panose="02020603050405020304" pitchFamily="18" charset="0"/>
              <a:cs typeface="Arial" panose="020B0604020202020204" pitchFamily="34" charset="0"/>
            </a:rPr>
            <a:t>Use COPY and PASTE SPECIAL, VALUES (123)</a:t>
          </a:r>
        </a:p>
        <a:p>
          <a:pPr marL="0" marR="0">
            <a:spcBef>
              <a:spcPts val="0"/>
            </a:spcBef>
            <a:spcAft>
              <a:spcPts val="0"/>
            </a:spcAft>
            <a:tabLst>
              <a:tab pos="6286500" algn="r"/>
            </a:tabLst>
          </a:pPr>
          <a:endParaRPr lang="en-US" sz="1100" b="1">
            <a:effectLst/>
            <a:latin typeface="Calibri" panose="020F0502020204030204" pitchFamily="34" charset="0"/>
            <a:ea typeface="Times New Roman" panose="02020603050405020304" pitchFamily="18" charset="0"/>
            <a:cs typeface="Arial" panose="020B0604020202020204" pitchFamily="34" charset="0"/>
          </a:endParaRPr>
        </a:p>
      </xdr:txBody>
    </xdr:sp>
    <xdr:clientData/>
  </xdr:twoCellAnchor>
  <xdr:twoCellAnchor>
    <xdr:from>
      <xdr:col>30</xdr:col>
      <xdr:colOff>44823</xdr:colOff>
      <xdr:row>29</xdr:row>
      <xdr:rowOff>22411</xdr:rowOff>
    </xdr:from>
    <xdr:to>
      <xdr:col>32</xdr:col>
      <xdr:colOff>168087</xdr:colOff>
      <xdr:row>32</xdr:row>
      <xdr:rowOff>149741</xdr:rowOff>
    </xdr:to>
    <xdr:pic>
      <xdr:nvPicPr>
        <xdr:cNvPr id="3" name="Picture 2"/>
        <xdr:cNvPicPr>
          <a:picLocks noChangeAspect="1"/>
        </xdr:cNvPicPr>
      </xdr:nvPicPr>
      <xdr:blipFill>
        <a:blip xmlns:r="http://schemas.openxmlformats.org/officeDocument/2006/relationships" r:embed="rId1"/>
        <a:stretch>
          <a:fillRect/>
        </a:stretch>
      </xdr:blipFill>
      <xdr:spPr>
        <a:xfrm>
          <a:off x="12079941" y="4067735"/>
          <a:ext cx="2073087" cy="833300"/>
        </a:xfrm>
        <a:prstGeom prst="rect">
          <a:avLst/>
        </a:prstGeom>
        <a:effectLst>
          <a:outerShdw blurRad="63500" sx="102000" sy="102000" algn="ctr"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24</xdr:col>
      <xdr:colOff>228600</xdr:colOff>
      <xdr:row>12</xdr:row>
      <xdr:rowOff>228600</xdr:rowOff>
    </xdr:from>
    <xdr:to>
      <xdr:col>35</xdr:col>
      <xdr:colOff>105864</xdr:colOff>
      <xdr:row>72</xdr:row>
      <xdr:rowOff>820182</xdr:rowOff>
    </xdr:to>
    <xdr:grpSp>
      <xdr:nvGrpSpPr>
        <xdr:cNvPr id="10" name="Group 9"/>
        <xdr:cNvGrpSpPr/>
      </xdr:nvGrpSpPr>
      <xdr:grpSpPr>
        <a:xfrm>
          <a:off x="11239500" y="2543175"/>
          <a:ext cx="6582864" cy="15002907"/>
          <a:chOff x="11601450" y="2552700"/>
          <a:chExt cx="7821114" cy="16774557"/>
        </a:xfrm>
      </xdr:grpSpPr>
      <xdr:pic>
        <xdr:nvPicPr>
          <xdr:cNvPr id="2" name="Picture 1"/>
          <xdr:cNvPicPr>
            <a:picLocks noChangeAspect="1"/>
          </xdr:cNvPicPr>
        </xdr:nvPicPr>
        <xdr:blipFill>
          <a:blip xmlns:r="http://schemas.openxmlformats.org/officeDocument/2006/relationships" r:embed="rId1"/>
          <a:stretch>
            <a:fillRect/>
          </a:stretch>
        </xdr:blipFill>
        <xdr:spPr>
          <a:xfrm>
            <a:off x="11620500" y="2552700"/>
            <a:ext cx="7802064" cy="8240275"/>
          </a:xfrm>
          <a:prstGeom prst="rect">
            <a:avLst/>
          </a:prstGeom>
        </xdr:spPr>
      </xdr:pic>
      <xdr:pic>
        <xdr:nvPicPr>
          <xdr:cNvPr id="3" name="Picture 2"/>
          <xdr:cNvPicPr>
            <a:picLocks noChangeAspect="1"/>
          </xdr:cNvPicPr>
        </xdr:nvPicPr>
        <xdr:blipFill>
          <a:blip xmlns:r="http://schemas.openxmlformats.org/officeDocument/2006/relationships" r:embed="rId2"/>
          <a:stretch>
            <a:fillRect/>
          </a:stretch>
        </xdr:blipFill>
        <xdr:spPr>
          <a:xfrm>
            <a:off x="11620500" y="10801350"/>
            <a:ext cx="7792537" cy="1181265"/>
          </a:xfrm>
          <a:prstGeom prst="rect">
            <a:avLst/>
          </a:prstGeom>
        </xdr:spPr>
      </xdr:pic>
      <xdr:pic>
        <xdr:nvPicPr>
          <xdr:cNvPr id="4" name="Picture 3"/>
          <xdr:cNvPicPr>
            <a:picLocks noChangeAspect="1"/>
          </xdr:cNvPicPr>
        </xdr:nvPicPr>
        <xdr:blipFill>
          <a:blip xmlns:r="http://schemas.openxmlformats.org/officeDocument/2006/relationships" r:embed="rId3"/>
          <a:stretch>
            <a:fillRect/>
          </a:stretch>
        </xdr:blipFill>
        <xdr:spPr>
          <a:xfrm>
            <a:off x="11601450" y="11934825"/>
            <a:ext cx="7783011" cy="7392432"/>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447675</xdr:colOff>
      <xdr:row>24</xdr:row>
      <xdr:rowOff>9525</xdr:rowOff>
    </xdr:from>
    <xdr:to>
      <xdr:col>7</xdr:col>
      <xdr:colOff>4429125</xdr:colOff>
      <xdr:row>30</xdr:row>
      <xdr:rowOff>38100</xdr:rowOff>
    </xdr:to>
    <xdr:sp macro="" textlink="">
      <xdr:nvSpPr>
        <xdr:cNvPr id="2" name="Text Box 14"/>
        <xdr:cNvSpPr txBox="1"/>
      </xdr:nvSpPr>
      <xdr:spPr>
        <a:xfrm>
          <a:off x="1771650" y="2419350"/>
          <a:ext cx="4448175" cy="1257300"/>
        </a:xfrm>
        <a:prstGeom prst="rect">
          <a:avLst/>
        </a:prstGeom>
        <a:solidFill>
          <a:schemeClr val="bg1">
            <a:lumMod val="85000"/>
          </a:schemeClr>
        </a:solidFill>
        <a:ln w="44450">
          <a:solidFill>
            <a:srgbClr val="C00000"/>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a:spcBef>
              <a:spcPts val="0"/>
            </a:spcBef>
            <a:spcAft>
              <a:spcPts val="0"/>
            </a:spcAft>
            <a:tabLst>
              <a:tab pos="6286500" algn="r"/>
            </a:tabLst>
          </a:pPr>
          <a:r>
            <a:rPr lang="en-US" sz="1100" b="1" baseline="0">
              <a:effectLst/>
              <a:latin typeface="Calibri" panose="020F0502020204030204" pitchFamily="34" charset="0"/>
              <a:ea typeface="Times New Roman" panose="02020603050405020304" pitchFamily="18" charset="0"/>
              <a:cs typeface="Arial" panose="020B0604020202020204" pitchFamily="34" charset="0"/>
            </a:rPr>
            <a:t>                  </a:t>
          </a:r>
          <a:endParaRPr lang="en-US" sz="1100" b="1">
            <a:effectLst/>
            <a:latin typeface="Calibri" panose="020F0502020204030204" pitchFamily="34" charset="0"/>
            <a:ea typeface="Times New Roman" panose="02020603050405020304" pitchFamily="18" charset="0"/>
            <a:cs typeface="Arial" panose="020B0604020202020204" pitchFamily="34" charset="0"/>
          </a:endParaRPr>
        </a:p>
        <a:p>
          <a:pPr marL="0" marR="0">
            <a:spcBef>
              <a:spcPts val="0"/>
            </a:spcBef>
            <a:spcAft>
              <a:spcPts val="0"/>
            </a:spcAft>
            <a:tabLst>
              <a:tab pos="6286500" algn="r"/>
            </a:tabLst>
          </a:pPr>
          <a:r>
            <a:rPr lang="en-US" sz="1400" b="1">
              <a:solidFill>
                <a:srgbClr val="C00000"/>
              </a:solidFill>
              <a:effectLst/>
              <a:latin typeface="Calibri" panose="020F0502020204030204" pitchFamily="34" charset="0"/>
              <a:ea typeface="Times New Roman" panose="02020603050405020304" pitchFamily="18" charset="0"/>
              <a:cs typeface="Arial" panose="020B0604020202020204" pitchFamily="34" charset="0"/>
            </a:rPr>
            <a:t>WARNING - Do not choose the "Y" and "N" in this file.</a:t>
          </a:r>
        </a:p>
        <a:p>
          <a:pPr marL="0" marR="0">
            <a:spcBef>
              <a:spcPts val="0"/>
            </a:spcBef>
            <a:spcAft>
              <a:spcPts val="0"/>
            </a:spcAft>
            <a:tabLst>
              <a:tab pos="6286500" algn="r"/>
            </a:tabLst>
          </a:pPr>
          <a:r>
            <a:rPr lang="en-US" sz="1400" b="1" baseline="0">
              <a:solidFill>
                <a:srgbClr val="00B050"/>
              </a:solidFill>
              <a:effectLst/>
              <a:latin typeface="Calibri" panose="020F0502020204030204" pitchFamily="34" charset="0"/>
              <a:ea typeface="Times New Roman" panose="02020603050405020304" pitchFamily="18" charset="0"/>
              <a:cs typeface="Arial" panose="020B0604020202020204" pitchFamily="34" charset="0"/>
            </a:rPr>
            <a:t>Use Tab C for selections of applicability.</a:t>
          </a:r>
        </a:p>
        <a:p>
          <a:pPr marL="0" marR="0">
            <a:spcBef>
              <a:spcPts val="0"/>
            </a:spcBef>
            <a:spcAft>
              <a:spcPts val="0"/>
            </a:spcAft>
            <a:tabLst>
              <a:tab pos="6286500" algn="r"/>
            </a:tabLst>
          </a:pPr>
          <a:endParaRPr lang="en-US" sz="1400" b="1" baseline="0">
            <a:solidFill>
              <a:srgbClr val="00B050"/>
            </a:solidFill>
            <a:effectLst/>
            <a:latin typeface="Calibri" panose="020F0502020204030204" pitchFamily="34" charset="0"/>
            <a:ea typeface="Times New Roman" panose="02020603050405020304" pitchFamily="18" charset="0"/>
            <a:cs typeface="Arial" panose="020B0604020202020204" pitchFamily="34" charset="0"/>
          </a:endParaRPr>
        </a:p>
        <a:p>
          <a:pPr marL="0" marR="0">
            <a:spcBef>
              <a:spcPts val="0"/>
            </a:spcBef>
            <a:spcAft>
              <a:spcPts val="0"/>
            </a:spcAft>
            <a:tabLst>
              <a:tab pos="6286500" algn="r"/>
            </a:tabLst>
          </a:pPr>
          <a:r>
            <a:rPr lang="en-US" sz="1400" b="1" baseline="0">
              <a:solidFill>
                <a:sysClr val="windowText" lastClr="000000"/>
              </a:solidFill>
              <a:effectLst/>
              <a:latin typeface="Calibri" panose="020F0502020204030204" pitchFamily="34" charset="0"/>
              <a:ea typeface="Times New Roman" panose="02020603050405020304" pitchFamily="18" charset="0"/>
              <a:cs typeface="Arial" panose="020B0604020202020204" pitchFamily="34" charset="0"/>
            </a:rPr>
            <a:t>Delete this message before printing.</a:t>
          </a:r>
        </a:p>
        <a:p>
          <a:pPr marL="0" marR="0">
            <a:spcBef>
              <a:spcPts val="0"/>
            </a:spcBef>
            <a:spcAft>
              <a:spcPts val="0"/>
            </a:spcAft>
            <a:tabLst>
              <a:tab pos="6286500" algn="r"/>
            </a:tabLst>
          </a:pPr>
          <a:endParaRPr lang="en-US" sz="1100" b="1">
            <a:effectLst/>
            <a:latin typeface="Calibri" panose="020F0502020204030204" pitchFamily="34" charset="0"/>
            <a:ea typeface="Times New Roman" panose="02020603050405020304" pitchFamily="18" charset="0"/>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0</xdr:colOff>
      <xdr:row>25</xdr:row>
      <xdr:rowOff>0</xdr:rowOff>
    </xdr:from>
    <xdr:to>
      <xdr:col>7</xdr:col>
      <xdr:colOff>3981450</xdr:colOff>
      <xdr:row>30</xdr:row>
      <xdr:rowOff>247650</xdr:rowOff>
    </xdr:to>
    <xdr:sp macro="" textlink="">
      <xdr:nvSpPr>
        <xdr:cNvPr id="2" name="Text Box 14"/>
        <xdr:cNvSpPr txBox="1"/>
      </xdr:nvSpPr>
      <xdr:spPr>
        <a:xfrm>
          <a:off x="1333500" y="2505075"/>
          <a:ext cx="4448175" cy="1257300"/>
        </a:xfrm>
        <a:prstGeom prst="rect">
          <a:avLst/>
        </a:prstGeom>
        <a:solidFill>
          <a:schemeClr val="bg1">
            <a:lumMod val="85000"/>
          </a:schemeClr>
        </a:solidFill>
        <a:ln w="44450">
          <a:solidFill>
            <a:srgbClr val="C00000"/>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a:spcBef>
              <a:spcPts val="0"/>
            </a:spcBef>
            <a:spcAft>
              <a:spcPts val="0"/>
            </a:spcAft>
            <a:tabLst>
              <a:tab pos="6286500" algn="r"/>
            </a:tabLst>
          </a:pPr>
          <a:r>
            <a:rPr lang="en-US" sz="1100" b="1" baseline="0">
              <a:effectLst/>
              <a:latin typeface="Calibri" panose="020F0502020204030204" pitchFamily="34" charset="0"/>
              <a:ea typeface="Times New Roman" panose="02020603050405020304" pitchFamily="18" charset="0"/>
              <a:cs typeface="Arial" panose="020B0604020202020204" pitchFamily="34" charset="0"/>
            </a:rPr>
            <a:t>                  </a:t>
          </a:r>
          <a:endParaRPr lang="en-US" sz="1100" b="1">
            <a:effectLst/>
            <a:latin typeface="Calibri" panose="020F0502020204030204" pitchFamily="34" charset="0"/>
            <a:ea typeface="Times New Roman" panose="02020603050405020304" pitchFamily="18" charset="0"/>
            <a:cs typeface="Arial" panose="020B0604020202020204" pitchFamily="34" charset="0"/>
          </a:endParaRPr>
        </a:p>
        <a:p>
          <a:pPr marL="0" marR="0">
            <a:spcBef>
              <a:spcPts val="0"/>
            </a:spcBef>
            <a:spcAft>
              <a:spcPts val="0"/>
            </a:spcAft>
            <a:tabLst>
              <a:tab pos="6286500" algn="r"/>
            </a:tabLst>
          </a:pPr>
          <a:r>
            <a:rPr lang="en-US" sz="1400" b="1">
              <a:solidFill>
                <a:srgbClr val="C00000"/>
              </a:solidFill>
              <a:effectLst/>
              <a:latin typeface="Calibri" panose="020F0502020204030204" pitchFamily="34" charset="0"/>
              <a:ea typeface="Times New Roman" panose="02020603050405020304" pitchFamily="18" charset="0"/>
              <a:cs typeface="Arial" panose="020B0604020202020204" pitchFamily="34" charset="0"/>
            </a:rPr>
            <a:t>WARNING - Do not choose the "Y" and "N" in this file.</a:t>
          </a:r>
        </a:p>
        <a:p>
          <a:pPr marL="0" marR="0">
            <a:spcBef>
              <a:spcPts val="0"/>
            </a:spcBef>
            <a:spcAft>
              <a:spcPts val="0"/>
            </a:spcAft>
            <a:tabLst>
              <a:tab pos="6286500" algn="r"/>
            </a:tabLst>
          </a:pPr>
          <a:r>
            <a:rPr lang="en-US" sz="1400" b="1" baseline="0">
              <a:solidFill>
                <a:srgbClr val="00B050"/>
              </a:solidFill>
              <a:effectLst/>
              <a:latin typeface="Calibri" panose="020F0502020204030204" pitchFamily="34" charset="0"/>
              <a:ea typeface="Times New Roman" panose="02020603050405020304" pitchFamily="18" charset="0"/>
              <a:cs typeface="Arial" panose="020B0604020202020204" pitchFamily="34" charset="0"/>
            </a:rPr>
            <a:t>Use Tab C for selections of applicability.</a:t>
          </a:r>
        </a:p>
        <a:p>
          <a:pPr marL="0" marR="0">
            <a:spcBef>
              <a:spcPts val="0"/>
            </a:spcBef>
            <a:spcAft>
              <a:spcPts val="0"/>
            </a:spcAft>
            <a:tabLst>
              <a:tab pos="6286500" algn="r"/>
            </a:tabLst>
          </a:pPr>
          <a:endParaRPr lang="en-US" sz="1400" b="1" baseline="0">
            <a:solidFill>
              <a:srgbClr val="00B050"/>
            </a:solidFill>
            <a:effectLst/>
            <a:latin typeface="Calibri" panose="020F0502020204030204" pitchFamily="34" charset="0"/>
            <a:ea typeface="Times New Roman" panose="02020603050405020304" pitchFamily="18" charset="0"/>
            <a:cs typeface="Arial" panose="020B0604020202020204" pitchFamily="34" charset="0"/>
          </a:endParaRPr>
        </a:p>
        <a:p>
          <a:pPr marL="0" marR="0">
            <a:spcBef>
              <a:spcPts val="0"/>
            </a:spcBef>
            <a:spcAft>
              <a:spcPts val="0"/>
            </a:spcAft>
            <a:tabLst>
              <a:tab pos="6286500" algn="r"/>
            </a:tabLst>
          </a:pPr>
          <a:r>
            <a:rPr lang="en-US" sz="1400" b="1" baseline="0">
              <a:solidFill>
                <a:sysClr val="windowText" lastClr="000000"/>
              </a:solidFill>
              <a:effectLst/>
              <a:latin typeface="Calibri" panose="020F0502020204030204" pitchFamily="34" charset="0"/>
              <a:ea typeface="Times New Roman" panose="02020603050405020304" pitchFamily="18" charset="0"/>
              <a:cs typeface="Arial" panose="020B0604020202020204" pitchFamily="34" charset="0"/>
            </a:rPr>
            <a:t>Delete this message before printing.</a:t>
          </a:r>
        </a:p>
        <a:p>
          <a:pPr marL="0" marR="0">
            <a:spcBef>
              <a:spcPts val="0"/>
            </a:spcBef>
            <a:spcAft>
              <a:spcPts val="0"/>
            </a:spcAft>
            <a:tabLst>
              <a:tab pos="6286500" algn="r"/>
            </a:tabLst>
          </a:pPr>
          <a:endParaRPr lang="en-US" sz="1100" b="1">
            <a:effectLst/>
            <a:latin typeface="Calibri" panose="020F0502020204030204" pitchFamily="34" charset="0"/>
            <a:ea typeface="Times New Roman" panose="02020603050405020304" pitchFamily="18" charset="0"/>
            <a:cs typeface="Arial"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0</xdr:colOff>
      <xdr:row>25</xdr:row>
      <xdr:rowOff>0</xdr:rowOff>
    </xdr:from>
    <xdr:to>
      <xdr:col>7</xdr:col>
      <xdr:colOff>3962400</xdr:colOff>
      <xdr:row>30</xdr:row>
      <xdr:rowOff>0</xdr:rowOff>
    </xdr:to>
    <xdr:sp macro="" textlink="">
      <xdr:nvSpPr>
        <xdr:cNvPr id="2" name="Text Box 14"/>
        <xdr:cNvSpPr txBox="1"/>
      </xdr:nvSpPr>
      <xdr:spPr>
        <a:xfrm>
          <a:off x="1371600" y="2495550"/>
          <a:ext cx="4448175" cy="1257300"/>
        </a:xfrm>
        <a:prstGeom prst="rect">
          <a:avLst/>
        </a:prstGeom>
        <a:solidFill>
          <a:schemeClr val="bg1">
            <a:lumMod val="85000"/>
          </a:schemeClr>
        </a:solidFill>
        <a:ln w="44450">
          <a:solidFill>
            <a:srgbClr val="C00000"/>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a:spcBef>
              <a:spcPts val="0"/>
            </a:spcBef>
            <a:spcAft>
              <a:spcPts val="0"/>
            </a:spcAft>
            <a:tabLst>
              <a:tab pos="6286500" algn="r"/>
            </a:tabLst>
          </a:pPr>
          <a:r>
            <a:rPr lang="en-US" sz="1100" b="1" baseline="0">
              <a:effectLst/>
              <a:latin typeface="Calibri" panose="020F0502020204030204" pitchFamily="34" charset="0"/>
              <a:ea typeface="Times New Roman" panose="02020603050405020304" pitchFamily="18" charset="0"/>
              <a:cs typeface="Arial" panose="020B0604020202020204" pitchFamily="34" charset="0"/>
            </a:rPr>
            <a:t>                  </a:t>
          </a:r>
          <a:endParaRPr lang="en-US" sz="1100" b="1">
            <a:effectLst/>
            <a:latin typeface="Calibri" panose="020F0502020204030204" pitchFamily="34" charset="0"/>
            <a:ea typeface="Times New Roman" panose="02020603050405020304" pitchFamily="18" charset="0"/>
            <a:cs typeface="Arial" panose="020B0604020202020204" pitchFamily="34" charset="0"/>
          </a:endParaRPr>
        </a:p>
        <a:p>
          <a:pPr marL="0" marR="0">
            <a:spcBef>
              <a:spcPts val="0"/>
            </a:spcBef>
            <a:spcAft>
              <a:spcPts val="0"/>
            </a:spcAft>
            <a:tabLst>
              <a:tab pos="6286500" algn="r"/>
            </a:tabLst>
          </a:pPr>
          <a:r>
            <a:rPr lang="en-US" sz="1400" b="1">
              <a:solidFill>
                <a:srgbClr val="C00000"/>
              </a:solidFill>
              <a:effectLst/>
              <a:latin typeface="Calibri" panose="020F0502020204030204" pitchFamily="34" charset="0"/>
              <a:ea typeface="Times New Roman" panose="02020603050405020304" pitchFamily="18" charset="0"/>
              <a:cs typeface="Arial" panose="020B0604020202020204" pitchFamily="34" charset="0"/>
            </a:rPr>
            <a:t>WARNING - Do not choose the "Y" and "N" in this file.</a:t>
          </a:r>
        </a:p>
        <a:p>
          <a:pPr marL="0" marR="0">
            <a:spcBef>
              <a:spcPts val="0"/>
            </a:spcBef>
            <a:spcAft>
              <a:spcPts val="0"/>
            </a:spcAft>
            <a:tabLst>
              <a:tab pos="6286500" algn="r"/>
            </a:tabLst>
          </a:pPr>
          <a:r>
            <a:rPr lang="en-US" sz="1400" b="1" baseline="0">
              <a:solidFill>
                <a:srgbClr val="00B050"/>
              </a:solidFill>
              <a:effectLst/>
              <a:latin typeface="Calibri" panose="020F0502020204030204" pitchFamily="34" charset="0"/>
              <a:ea typeface="Times New Roman" panose="02020603050405020304" pitchFamily="18" charset="0"/>
              <a:cs typeface="Arial" panose="020B0604020202020204" pitchFamily="34" charset="0"/>
            </a:rPr>
            <a:t>Use Tab C for selections of applicability.</a:t>
          </a:r>
        </a:p>
        <a:p>
          <a:pPr marL="0" marR="0">
            <a:spcBef>
              <a:spcPts val="0"/>
            </a:spcBef>
            <a:spcAft>
              <a:spcPts val="0"/>
            </a:spcAft>
            <a:tabLst>
              <a:tab pos="6286500" algn="r"/>
            </a:tabLst>
          </a:pPr>
          <a:endParaRPr lang="en-US" sz="1400" b="1" baseline="0">
            <a:solidFill>
              <a:srgbClr val="00B050"/>
            </a:solidFill>
            <a:effectLst/>
            <a:latin typeface="Calibri" panose="020F0502020204030204" pitchFamily="34" charset="0"/>
            <a:ea typeface="Times New Roman" panose="02020603050405020304" pitchFamily="18" charset="0"/>
            <a:cs typeface="Arial" panose="020B0604020202020204" pitchFamily="34" charset="0"/>
          </a:endParaRPr>
        </a:p>
        <a:p>
          <a:pPr marL="0" marR="0">
            <a:spcBef>
              <a:spcPts val="0"/>
            </a:spcBef>
            <a:spcAft>
              <a:spcPts val="0"/>
            </a:spcAft>
            <a:tabLst>
              <a:tab pos="6286500" algn="r"/>
            </a:tabLst>
          </a:pPr>
          <a:r>
            <a:rPr lang="en-US" sz="1400" b="1" baseline="0">
              <a:solidFill>
                <a:sysClr val="windowText" lastClr="000000"/>
              </a:solidFill>
              <a:effectLst/>
              <a:latin typeface="Calibri" panose="020F0502020204030204" pitchFamily="34" charset="0"/>
              <a:ea typeface="Times New Roman" panose="02020603050405020304" pitchFamily="18" charset="0"/>
              <a:cs typeface="Arial" panose="020B0604020202020204" pitchFamily="34" charset="0"/>
            </a:rPr>
            <a:t>Delete this message before printing.</a:t>
          </a:r>
        </a:p>
        <a:p>
          <a:pPr marL="0" marR="0">
            <a:spcBef>
              <a:spcPts val="0"/>
            </a:spcBef>
            <a:spcAft>
              <a:spcPts val="0"/>
            </a:spcAft>
            <a:tabLst>
              <a:tab pos="6286500" algn="r"/>
            </a:tabLst>
          </a:pPr>
          <a:endParaRPr lang="en-US" sz="1100" b="1">
            <a:effectLst/>
            <a:latin typeface="Calibri" panose="020F0502020204030204" pitchFamily="34" charset="0"/>
            <a:ea typeface="Times New Roman" panose="02020603050405020304" pitchFamily="18" charset="0"/>
            <a:cs typeface="Arial" panose="020B060402020202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0</xdr:colOff>
      <xdr:row>25</xdr:row>
      <xdr:rowOff>0</xdr:rowOff>
    </xdr:from>
    <xdr:to>
      <xdr:col>7</xdr:col>
      <xdr:colOff>3952875</xdr:colOff>
      <xdr:row>30</xdr:row>
      <xdr:rowOff>0</xdr:rowOff>
    </xdr:to>
    <xdr:sp macro="" textlink="">
      <xdr:nvSpPr>
        <xdr:cNvPr id="2" name="Text Box 14"/>
        <xdr:cNvSpPr txBox="1"/>
      </xdr:nvSpPr>
      <xdr:spPr>
        <a:xfrm>
          <a:off x="1333500" y="2505075"/>
          <a:ext cx="4448175" cy="1257300"/>
        </a:xfrm>
        <a:prstGeom prst="rect">
          <a:avLst/>
        </a:prstGeom>
        <a:solidFill>
          <a:schemeClr val="bg1">
            <a:lumMod val="85000"/>
          </a:schemeClr>
        </a:solidFill>
        <a:ln w="44450">
          <a:solidFill>
            <a:srgbClr val="C00000"/>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a:spcBef>
              <a:spcPts val="0"/>
            </a:spcBef>
            <a:spcAft>
              <a:spcPts val="0"/>
            </a:spcAft>
            <a:tabLst>
              <a:tab pos="6286500" algn="r"/>
            </a:tabLst>
          </a:pPr>
          <a:r>
            <a:rPr lang="en-US" sz="1100" b="1" baseline="0">
              <a:effectLst/>
              <a:latin typeface="Calibri" panose="020F0502020204030204" pitchFamily="34" charset="0"/>
              <a:ea typeface="Times New Roman" panose="02020603050405020304" pitchFamily="18" charset="0"/>
              <a:cs typeface="Arial" panose="020B0604020202020204" pitchFamily="34" charset="0"/>
            </a:rPr>
            <a:t>                  </a:t>
          </a:r>
          <a:endParaRPr lang="en-US" sz="1100" b="1">
            <a:effectLst/>
            <a:latin typeface="Calibri" panose="020F0502020204030204" pitchFamily="34" charset="0"/>
            <a:ea typeface="Times New Roman" panose="02020603050405020304" pitchFamily="18" charset="0"/>
            <a:cs typeface="Arial" panose="020B0604020202020204" pitchFamily="34" charset="0"/>
          </a:endParaRPr>
        </a:p>
        <a:p>
          <a:pPr marL="0" marR="0">
            <a:spcBef>
              <a:spcPts val="0"/>
            </a:spcBef>
            <a:spcAft>
              <a:spcPts val="0"/>
            </a:spcAft>
            <a:tabLst>
              <a:tab pos="6286500" algn="r"/>
            </a:tabLst>
          </a:pPr>
          <a:r>
            <a:rPr lang="en-US" sz="1400" b="1">
              <a:solidFill>
                <a:srgbClr val="C00000"/>
              </a:solidFill>
              <a:effectLst/>
              <a:latin typeface="Calibri" panose="020F0502020204030204" pitchFamily="34" charset="0"/>
              <a:ea typeface="Times New Roman" panose="02020603050405020304" pitchFamily="18" charset="0"/>
              <a:cs typeface="Arial" panose="020B0604020202020204" pitchFamily="34" charset="0"/>
            </a:rPr>
            <a:t>WARNING - Do not choose the "Y" and "N" in this file.</a:t>
          </a:r>
        </a:p>
        <a:p>
          <a:pPr marL="0" marR="0">
            <a:spcBef>
              <a:spcPts val="0"/>
            </a:spcBef>
            <a:spcAft>
              <a:spcPts val="0"/>
            </a:spcAft>
            <a:tabLst>
              <a:tab pos="6286500" algn="r"/>
            </a:tabLst>
          </a:pPr>
          <a:r>
            <a:rPr lang="en-US" sz="1400" b="1" baseline="0">
              <a:solidFill>
                <a:srgbClr val="00B050"/>
              </a:solidFill>
              <a:effectLst/>
              <a:latin typeface="Calibri" panose="020F0502020204030204" pitchFamily="34" charset="0"/>
              <a:ea typeface="Times New Roman" panose="02020603050405020304" pitchFamily="18" charset="0"/>
              <a:cs typeface="Arial" panose="020B0604020202020204" pitchFamily="34" charset="0"/>
            </a:rPr>
            <a:t>Use Tab C for selections of applicability.</a:t>
          </a:r>
        </a:p>
        <a:p>
          <a:pPr marL="0" marR="0">
            <a:spcBef>
              <a:spcPts val="0"/>
            </a:spcBef>
            <a:spcAft>
              <a:spcPts val="0"/>
            </a:spcAft>
            <a:tabLst>
              <a:tab pos="6286500" algn="r"/>
            </a:tabLst>
          </a:pPr>
          <a:endParaRPr lang="en-US" sz="1400" b="1" baseline="0">
            <a:solidFill>
              <a:srgbClr val="00B050"/>
            </a:solidFill>
            <a:effectLst/>
            <a:latin typeface="Calibri" panose="020F0502020204030204" pitchFamily="34" charset="0"/>
            <a:ea typeface="Times New Roman" panose="02020603050405020304" pitchFamily="18" charset="0"/>
            <a:cs typeface="Arial" panose="020B0604020202020204" pitchFamily="34" charset="0"/>
          </a:endParaRPr>
        </a:p>
        <a:p>
          <a:pPr marL="0" marR="0">
            <a:spcBef>
              <a:spcPts val="0"/>
            </a:spcBef>
            <a:spcAft>
              <a:spcPts val="0"/>
            </a:spcAft>
            <a:tabLst>
              <a:tab pos="6286500" algn="r"/>
            </a:tabLst>
          </a:pPr>
          <a:r>
            <a:rPr lang="en-US" sz="1400" b="1" baseline="0">
              <a:solidFill>
                <a:sysClr val="windowText" lastClr="000000"/>
              </a:solidFill>
              <a:effectLst/>
              <a:latin typeface="Calibri" panose="020F0502020204030204" pitchFamily="34" charset="0"/>
              <a:ea typeface="Times New Roman" panose="02020603050405020304" pitchFamily="18" charset="0"/>
              <a:cs typeface="Arial" panose="020B0604020202020204" pitchFamily="34" charset="0"/>
            </a:rPr>
            <a:t>Delete this message before printing.</a:t>
          </a:r>
        </a:p>
        <a:p>
          <a:pPr marL="0" marR="0">
            <a:spcBef>
              <a:spcPts val="0"/>
            </a:spcBef>
            <a:spcAft>
              <a:spcPts val="0"/>
            </a:spcAft>
            <a:tabLst>
              <a:tab pos="6286500" algn="r"/>
            </a:tabLst>
          </a:pPr>
          <a:endParaRPr lang="en-US" sz="1100" b="1">
            <a:effectLst/>
            <a:latin typeface="Calibri" panose="020F0502020204030204" pitchFamily="34" charset="0"/>
            <a:ea typeface="Times New Roman" panose="02020603050405020304" pitchFamily="18" charset="0"/>
            <a:cs typeface="Arial" panose="020B06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0</xdr:colOff>
      <xdr:row>25</xdr:row>
      <xdr:rowOff>0</xdr:rowOff>
    </xdr:from>
    <xdr:to>
      <xdr:col>7</xdr:col>
      <xdr:colOff>3962400</xdr:colOff>
      <xdr:row>29</xdr:row>
      <xdr:rowOff>180975</xdr:rowOff>
    </xdr:to>
    <xdr:sp macro="" textlink="">
      <xdr:nvSpPr>
        <xdr:cNvPr id="2" name="Text Box 14"/>
        <xdr:cNvSpPr txBox="1"/>
      </xdr:nvSpPr>
      <xdr:spPr>
        <a:xfrm>
          <a:off x="1333500" y="2505075"/>
          <a:ext cx="4448175" cy="1257300"/>
        </a:xfrm>
        <a:prstGeom prst="rect">
          <a:avLst/>
        </a:prstGeom>
        <a:solidFill>
          <a:schemeClr val="bg1">
            <a:lumMod val="85000"/>
          </a:schemeClr>
        </a:solidFill>
        <a:ln w="44450">
          <a:solidFill>
            <a:srgbClr val="C00000"/>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a:spcBef>
              <a:spcPts val="0"/>
            </a:spcBef>
            <a:spcAft>
              <a:spcPts val="0"/>
            </a:spcAft>
            <a:tabLst>
              <a:tab pos="6286500" algn="r"/>
            </a:tabLst>
          </a:pPr>
          <a:r>
            <a:rPr lang="en-US" sz="1100" b="1" baseline="0">
              <a:effectLst/>
              <a:latin typeface="Calibri" panose="020F0502020204030204" pitchFamily="34" charset="0"/>
              <a:ea typeface="Times New Roman" panose="02020603050405020304" pitchFamily="18" charset="0"/>
              <a:cs typeface="Arial" panose="020B0604020202020204" pitchFamily="34" charset="0"/>
            </a:rPr>
            <a:t>                  </a:t>
          </a:r>
          <a:endParaRPr lang="en-US" sz="1100" b="1">
            <a:effectLst/>
            <a:latin typeface="Calibri" panose="020F0502020204030204" pitchFamily="34" charset="0"/>
            <a:ea typeface="Times New Roman" panose="02020603050405020304" pitchFamily="18" charset="0"/>
            <a:cs typeface="Arial" panose="020B0604020202020204" pitchFamily="34" charset="0"/>
          </a:endParaRPr>
        </a:p>
        <a:p>
          <a:pPr marL="0" marR="0">
            <a:spcBef>
              <a:spcPts val="0"/>
            </a:spcBef>
            <a:spcAft>
              <a:spcPts val="0"/>
            </a:spcAft>
            <a:tabLst>
              <a:tab pos="6286500" algn="r"/>
            </a:tabLst>
          </a:pPr>
          <a:r>
            <a:rPr lang="en-US" sz="1400" b="1">
              <a:solidFill>
                <a:srgbClr val="C00000"/>
              </a:solidFill>
              <a:effectLst/>
              <a:latin typeface="Calibri" panose="020F0502020204030204" pitchFamily="34" charset="0"/>
              <a:ea typeface="Times New Roman" panose="02020603050405020304" pitchFamily="18" charset="0"/>
              <a:cs typeface="Arial" panose="020B0604020202020204" pitchFamily="34" charset="0"/>
            </a:rPr>
            <a:t>WARNING - Do not choose the "Y" and "N" in this file.</a:t>
          </a:r>
        </a:p>
        <a:p>
          <a:pPr marL="0" marR="0">
            <a:spcBef>
              <a:spcPts val="0"/>
            </a:spcBef>
            <a:spcAft>
              <a:spcPts val="0"/>
            </a:spcAft>
            <a:tabLst>
              <a:tab pos="6286500" algn="r"/>
            </a:tabLst>
          </a:pPr>
          <a:r>
            <a:rPr lang="en-US" sz="1400" b="1" baseline="0">
              <a:solidFill>
                <a:srgbClr val="00B050"/>
              </a:solidFill>
              <a:effectLst/>
              <a:latin typeface="Calibri" panose="020F0502020204030204" pitchFamily="34" charset="0"/>
              <a:ea typeface="Times New Roman" panose="02020603050405020304" pitchFamily="18" charset="0"/>
              <a:cs typeface="Arial" panose="020B0604020202020204" pitchFamily="34" charset="0"/>
            </a:rPr>
            <a:t>Use Tab C for selections of applicability.</a:t>
          </a:r>
        </a:p>
        <a:p>
          <a:pPr marL="0" marR="0">
            <a:spcBef>
              <a:spcPts val="0"/>
            </a:spcBef>
            <a:spcAft>
              <a:spcPts val="0"/>
            </a:spcAft>
            <a:tabLst>
              <a:tab pos="6286500" algn="r"/>
            </a:tabLst>
          </a:pPr>
          <a:endParaRPr lang="en-US" sz="1400" b="1" baseline="0">
            <a:solidFill>
              <a:srgbClr val="00B050"/>
            </a:solidFill>
            <a:effectLst/>
            <a:latin typeface="Calibri" panose="020F0502020204030204" pitchFamily="34" charset="0"/>
            <a:ea typeface="Times New Roman" panose="02020603050405020304" pitchFamily="18" charset="0"/>
            <a:cs typeface="Arial" panose="020B0604020202020204" pitchFamily="34" charset="0"/>
          </a:endParaRPr>
        </a:p>
        <a:p>
          <a:pPr marL="0" marR="0">
            <a:spcBef>
              <a:spcPts val="0"/>
            </a:spcBef>
            <a:spcAft>
              <a:spcPts val="0"/>
            </a:spcAft>
            <a:tabLst>
              <a:tab pos="6286500" algn="r"/>
            </a:tabLst>
          </a:pPr>
          <a:r>
            <a:rPr lang="en-US" sz="1400" b="1" baseline="0">
              <a:solidFill>
                <a:sysClr val="windowText" lastClr="000000"/>
              </a:solidFill>
              <a:effectLst/>
              <a:latin typeface="Calibri" panose="020F0502020204030204" pitchFamily="34" charset="0"/>
              <a:ea typeface="Times New Roman" panose="02020603050405020304" pitchFamily="18" charset="0"/>
              <a:cs typeface="Arial" panose="020B0604020202020204" pitchFamily="34" charset="0"/>
            </a:rPr>
            <a:t>Delete this message before printing.</a:t>
          </a:r>
        </a:p>
        <a:p>
          <a:pPr marL="0" marR="0">
            <a:spcBef>
              <a:spcPts val="0"/>
            </a:spcBef>
            <a:spcAft>
              <a:spcPts val="0"/>
            </a:spcAft>
            <a:tabLst>
              <a:tab pos="6286500" algn="r"/>
            </a:tabLst>
          </a:pPr>
          <a:endParaRPr lang="en-US" sz="1100" b="1">
            <a:effectLst/>
            <a:latin typeface="Calibri" panose="020F0502020204030204" pitchFamily="34" charset="0"/>
            <a:ea typeface="Times New Roman" panose="02020603050405020304" pitchFamily="18" charset="0"/>
            <a:cs typeface="Arial" panose="020B06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9.xml"/><Relationship Id="rId1" Type="http://schemas.openxmlformats.org/officeDocument/2006/relationships/printerSettings" Target="../printerSettings/printerSettings10.bin"/><Relationship Id="rId5" Type="http://schemas.openxmlformats.org/officeDocument/2006/relationships/comments" Target="../comments9.xml"/><Relationship Id="rId4" Type="http://schemas.openxmlformats.org/officeDocument/2006/relationships/vmlDrawing" Target="../drawings/vmlDrawing18.v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7" Type="http://schemas.openxmlformats.org/officeDocument/2006/relationships/comments" Target="../comments10.xml"/><Relationship Id="rId2" Type="http://schemas.openxmlformats.org/officeDocument/2006/relationships/hyperlink" Target="http://www.fs.illinois.edu/docs/default-source/facility-standards/technical-sections/division-01---administrative/01-33-23---shop-drawings-product-data-and-samples.docx?sfvrsn=2" TargetMode="External"/><Relationship Id="rId1" Type="http://schemas.openxmlformats.org/officeDocument/2006/relationships/hyperlink" Target="http://www.fs.illinois.edu/docs/default-source/facility-standards/technical-sections/division-01---administrative/01-33-23---shop-drawings-product-data-and-samples.docx?sfvrsn=2" TargetMode="External"/><Relationship Id="rId6" Type="http://schemas.openxmlformats.org/officeDocument/2006/relationships/vmlDrawing" Target="../drawings/vmlDrawing20.vml"/><Relationship Id="rId5" Type="http://schemas.openxmlformats.org/officeDocument/2006/relationships/vmlDrawing" Target="../drawings/vmlDrawing19.vml"/><Relationship Id="rId4"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fs.illinois.edu/docs/default-source/facility-standards/technical-sections/division-01---administrative/01-33-23---shop-drawings-product-data-and-samples.docx?sfvrsn=2" TargetMode="External"/><Relationship Id="rId1" Type="http://schemas.openxmlformats.org/officeDocument/2006/relationships/hyperlink" Target="http://www.fs.illinois.edu/docs/default-source/facility-standards/technical-sections/division-01---administrative/01-33-23---shop-drawings-product-data-and-samples.docx?sfvrsn=2" TargetMode="External"/><Relationship Id="rId6" Type="http://schemas.openxmlformats.org/officeDocument/2006/relationships/comments" Target="../comments11.xml"/><Relationship Id="rId5" Type="http://schemas.openxmlformats.org/officeDocument/2006/relationships/vmlDrawing" Target="../drawings/vmlDrawing22.vml"/><Relationship Id="rId4" Type="http://schemas.openxmlformats.org/officeDocument/2006/relationships/vmlDrawing" Target="../drawings/vmlDrawing21.v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www.fs.illinois.edu/docs/default-source/facility-standards/technical-sections/division-01---administrative/01-33-23---shop-drawings-product-data-and-samples.docx?sfvrsn=2" TargetMode="External"/><Relationship Id="rId1" Type="http://schemas.openxmlformats.org/officeDocument/2006/relationships/hyperlink" Target="http://www.fs.illinois.edu/docs/default-source/facility-standards/technical-sections/division-01---administrative/01-33-23---shop-drawings-product-data-and-samples.docx?sfvrsn=2" TargetMode="External"/><Relationship Id="rId6" Type="http://schemas.openxmlformats.org/officeDocument/2006/relationships/comments" Target="../comments12.xml"/><Relationship Id="rId5" Type="http://schemas.openxmlformats.org/officeDocument/2006/relationships/vmlDrawing" Target="../drawings/vmlDrawing24.vml"/><Relationship Id="rId4" Type="http://schemas.openxmlformats.org/officeDocument/2006/relationships/vmlDrawing" Target="../drawings/vmlDrawing23.v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www.fs.illinois.edu/docs/default-source/facility-standards/technical-sections/division-01---administrative/01-33-23---shop-drawings-product-data-and-samples.docx?sfvrsn=2" TargetMode="External"/><Relationship Id="rId1" Type="http://schemas.openxmlformats.org/officeDocument/2006/relationships/hyperlink" Target="http://www.fs.illinois.edu/docs/default-source/facility-standards/technical-sections/division-01---administrative/01-33-23---shop-drawings-product-data-and-samples.docx?sfvrsn=2" TargetMode="External"/><Relationship Id="rId6" Type="http://schemas.openxmlformats.org/officeDocument/2006/relationships/comments" Target="../comments13.xml"/><Relationship Id="rId5" Type="http://schemas.openxmlformats.org/officeDocument/2006/relationships/vmlDrawing" Target="../drawings/vmlDrawing26.vml"/><Relationship Id="rId4" Type="http://schemas.openxmlformats.org/officeDocument/2006/relationships/vmlDrawing" Target="../drawings/vmlDrawing25.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27.vml"/></Relationships>
</file>

<file path=xl/worksheets/_rels/sheet2.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fs.illinois.edu/docs/default-source/FIR/project-submittal-requirements.pdf" TargetMode="External"/><Relationship Id="rId7" Type="http://schemas.openxmlformats.org/officeDocument/2006/relationships/vmlDrawing" Target="../drawings/vmlDrawing2.vml"/><Relationship Id="rId2" Type="http://schemas.openxmlformats.org/officeDocument/2006/relationships/hyperlink" Target="http://www.fs.illinois.edu/docs/default-source/FIR/project-submittal-requirements.pdf" TargetMode="External"/><Relationship Id="rId1" Type="http://schemas.openxmlformats.org/officeDocument/2006/relationships/hyperlink" Target="https://www.fs.illinois.edu/docs/default-source/FIR/project-submittal-requirements.pdf" TargetMode="External"/><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7" Type="http://schemas.openxmlformats.org/officeDocument/2006/relationships/comments" Target="../comments3.xml"/><Relationship Id="rId2" Type="http://schemas.openxmlformats.org/officeDocument/2006/relationships/hyperlink" Target="http://www.fs.illinois.edu/docs/default-source/facility-standards/technical-sections/division-01---administrative/01-33-23---shop-drawings-product-data-and-samples.docx?sfvrsn=2" TargetMode="External"/><Relationship Id="rId1" Type="http://schemas.openxmlformats.org/officeDocument/2006/relationships/hyperlink" Target="http://www.fs.illinois.edu/docs/default-source/facility-standards/technical-sections/division-01---administrative/01-78-23---operation-and-maintenance-data7eb89bc36b8160c2ad00ff2200358aeb.pdf?sfvrsn=7abbf4ea_4" TargetMode="External"/><Relationship Id="rId6" Type="http://schemas.openxmlformats.org/officeDocument/2006/relationships/vmlDrawing" Target="../drawings/vmlDrawing6.vml"/><Relationship Id="rId5" Type="http://schemas.openxmlformats.org/officeDocument/2006/relationships/vmlDrawing" Target="../drawings/vmlDrawing5.vml"/><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comments" Target="../comments4.xml"/><Relationship Id="rId4" Type="http://schemas.openxmlformats.org/officeDocument/2006/relationships/vmlDrawing" Target="../drawings/vmlDrawing8.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comments" Target="../comments5.xml"/><Relationship Id="rId4" Type="http://schemas.openxmlformats.org/officeDocument/2006/relationships/vmlDrawing" Target="../drawings/vmlDrawing10.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comments" Target="../comments6.xml"/><Relationship Id="rId4" Type="http://schemas.openxmlformats.org/officeDocument/2006/relationships/vmlDrawing" Target="../drawings/vmlDrawing12.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7.xml"/><Relationship Id="rId1" Type="http://schemas.openxmlformats.org/officeDocument/2006/relationships/printerSettings" Target="../printerSettings/printerSettings8.bin"/><Relationship Id="rId5" Type="http://schemas.openxmlformats.org/officeDocument/2006/relationships/comments" Target="../comments7.xml"/><Relationship Id="rId4" Type="http://schemas.openxmlformats.org/officeDocument/2006/relationships/vmlDrawing" Target="../drawings/vmlDrawing14.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8.xml"/><Relationship Id="rId1" Type="http://schemas.openxmlformats.org/officeDocument/2006/relationships/printerSettings" Target="../printerSettings/printerSettings9.bin"/><Relationship Id="rId5" Type="http://schemas.openxmlformats.org/officeDocument/2006/relationships/comments" Target="../comments8.xml"/><Relationship Id="rId4" Type="http://schemas.openxmlformats.org/officeDocument/2006/relationships/vmlDrawing" Target="../drawings/vmlDrawing1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J74"/>
  <sheetViews>
    <sheetView showGridLines="0" zoomScale="85" zoomScaleNormal="85" zoomScaleSheetLayoutView="100" workbookViewId="0">
      <pane ySplit="1" topLeftCell="A2" activePane="bottomLeft" state="frozen"/>
      <selection pane="bottomLeft" activeCell="F3" sqref="F3"/>
    </sheetView>
  </sheetViews>
  <sheetFormatPr defaultRowHeight="15" x14ac:dyDescent="0.25"/>
  <cols>
    <col min="1" max="1" width="5" style="542" customWidth="1"/>
    <col min="2" max="2" width="21.28515625" customWidth="1"/>
    <col min="3" max="3" width="6.28515625" customWidth="1"/>
    <col min="4" max="4" width="88.85546875" customWidth="1"/>
    <col min="5" max="5" width="7.42578125" style="542" customWidth="1"/>
    <col min="6" max="6" width="149.140625" customWidth="1"/>
    <col min="7" max="7" width="4.5703125" hidden="1" customWidth="1"/>
    <col min="8" max="8" width="18.140625" hidden="1" customWidth="1"/>
    <col min="9" max="9" width="64.5703125" hidden="1" customWidth="1"/>
    <col min="10" max="10" width="8.28515625" hidden="1" customWidth="1"/>
  </cols>
  <sheetData>
    <row r="1" spans="1:10" ht="45.75" customHeight="1" x14ac:dyDescent="0.35">
      <c r="B1" s="1756" t="s">
        <v>1085</v>
      </c>
      <c r="C1" s="1756"/>
      <c r="D1" s="1756"/>
      <c r="E1" s="1756"/>
      <c r="F1" s="1756"/>
    </row>
    <row r="2" spans="1:10" s="542" customFormat="1" ht="125.25" customHeight="1" x14ac:dyDescent="0.25">
      <c r="B2" s="91"/>
      <c r="F2" s="91"/>
    </row>
    <row r="3" spans="1:10" ht="409.5" customHeight="1" x14ac:dyDescent="0.25"/>
    <row r="4" spans="1:10" ht="152.25" customHeight="1" x14ac:dyDescent="0.25">
      <c r="E4" s="1679"/>
    </row>
    <row r="5" spans="1:10" ht="65.099999999999994" customHeight="1" thickBot="1" x14ac:dyDescent="0.3">
      <c r="B5" s="1973"/>
      <c r="C5" s="1973"/>
      <c r="D5" s="1973"/>
    </row>
    <row r="6" spans="1:10" ht="21.75" thickBot="1" x14ac:dyDescent="0.4">
      <c r="B6" s="871" t="s">
        <v>582</v>
      </c>
      <c r="C6" s="872"/>
      <c r="D6" s="873" t="s">
        <v>583</v>
      </c>
    </row>
    <row r="7" spans="1:10" s="705" customFormat="1" ht="15.75" x14ac:dyDescent="0.25">
      <c r="B7" s="859" t="s">
        <v>584</v>
      </c>
      <c r="C7" s="857"/>
      <c r="D7" s="858" t="s">
        <v>585</v>
      </c>
    </row>
    <row r="8" spans="1:10" s="705" customFormat="1" ht="16.5" thickBot="1" x14ac:dyDescent="0.3">
      <c r="B8" s="860"/>
      <c r="C8" s="707"/>
      <c r="D8" s="708"/>
    </row>
    <row r="9" spans="1:10" s="705" customFormat="1" ht="62.25" thickTop="1" thickBot="1" x14ac:dyDescent="0.3">
      <c r="A9" s="841" t="s">
        <v>709</v>
      </c>
      <c r="B9" s="882" t="s">
        <v>880</v>
      </c>
      <c r="C9" s="883"/>
      <c r="D9" s="884" t="s">
        <v>1029</v>
      </c>
      <c r="E9" s="853" t="s">
        <v>712</v>
      </c>
      <c r="G9" s="841" t="s">
        <v>709</v>
      </c>
      <c r="H9" s="855" t="s">
        <v>762</v>
      </c>
      <c r="I9" s="1827" t="s">
        <v>708</v>
      </c>
      <c r="J9" s="1825" t="s">
        <v>712</v>
      </c>
    </row>
    <row r="10" spans="1:10" s="705" customFormat="1" ht="16.5" thickBot="1" x14ac:dyDescent="0.3">
      <c r="B10" s="860"/>
      <c r="C10" s="707"/>
      <c r="D10" s="708"/>
      <c r="E10" s="542"/>
      <c r="G10"/>
      <c r="H10" s="706"/>
      <c r="I10" s="708"/>
      <c r="J10"/>
    </row>
    <row r="11" spans="1:10" s="705" customFormat="1" ht="75.75" customHeight="1" thickTop="1" thickBot="1" x14ac:dyDescent="0.3">
      <c r="B11" s="879" t="s">
        <v>879</v>
      </c>
      <c r="C11" s="880"/>
      <c r="D11" s="881" t="s">
        <v>878</v>
      </c>
      <c r="E11" s="853" t="s">
        <v>733</v>
      </c>
      <c r="G11"/>
      <c r="H11" s="1828" t="s">
        <v>1056</v>
      </c>
      <c r="I11" s="1829" t="s">
        <v>1057</v>
      </c>
      <c r="J11" s="1825" t="s">
        <v>1055</v>
      </c>
    </row>
    <row r="12" spans="1:10" s="705" customFormat="1" ht="16.5" thickBot="1" x14ac:dyDescent="0.3">
      <c r="B12" s="860"/>
      <c r="C12" s="707"/>
      <c r="D12" s="708"/>
    </row>
    <row r="13" spans="1:10" s="705" customFormat="1" ht="63.75" customHeight="1" thickTop="1" thickBot="1" x14ac:dyDescent="0.3">
      <c r="B13" s="1974" t="s">
        <v>907</v>
      </c>
      <c r="C13" s="1978"/>
      <c r="D13" s="1976" t="s">
        <v>751</v>
      </c>
      <c r="E13" s="853" t="s">
        <v>733</v>
      </c>
      <c r="H13" s="856" t="s">
        <v>908</v>
      </c>
      <c r="I13" s="1826" t="s">
        <v>742</v>
      </c>
      <c r="J13" s="1825" t="s">
        <v>1055</v>
      </c>
    </row>
    <row r="14" spans="1:10" s="705" customFormat="1" ht="61.5" customHeight="1" thickTop="1" thickBot="1" x14ac:dyDescent="0.3">
      <c r="B14" s="1975"/>
      <c r="C14" s="1979"/>
      <c r="D14" s="1977"/>
      <c r="H14" s="706"/>
      <c r="I14" s="830"/>
      <c r="J14"/>
    </row>
    <row r="15" spans="1:10" s="705" customFormat="1" ht="15.75" x14ac:dyDescent="0.25">
      <c r="B15" s="860"/>
      <c r="C15" s="707"/>
      <c r="D15" s="708"/>
    </row>
    <row r="16" spans="1:10" s="705" customFormat="1" ht="61.5" x14ac:dyDescent="0.25">
      <c r="B16" s="861" t="s">
        <v>581</v>
      </c>
      <c r="C16" s="709"/>
      <c r="D16" s="710" t="s">
        <v>763</v>
      </c>
      <c r="H16" s="832" t="s">
        <v>581</v>
      </c>
      <c r="I16" s="831" t="s">
        <v>752</v>
      </c>
    </row>
    <row r="17" spans="2:9" s="705" customFormat="1" ht="15.75" x14ac:dyDescent="0.25">
      <c r="B17" s="860"/>
      <c r="C17" s="707"/>
      <c r="D17" s="708"/>
    </row>
    <row r="18" spans="2:9" s="705" customFormat="1" ht="75" x14ac:dyDescent="0.25">
      <c r="B18" s="862" t="s">
        <v>750</v>
      </c>
      <c r="C18" s="712"/>
      <c r="D18" s="713" t="s">
        <v>881</v>
      </c>
      <c r="H18" s="711" t="s">
        <v>734</v>
      </c>
      <c r="I18" s="834" t="s">
        <v>882</v>
      </c>
    </row>
    <row r="19" spans="2:9" s="705" customFormat="1" ht="15.75" x14ac:dyDescent="0.25">
      <c r="B19" s="860"/>
      <c r="C19" s="707"/>
      <c r="D19" s="708"/>
      <c r="H19" s="706"/>
      <c r="I19" s="708"/>
    </row>
    <row r="20" spans="2:9" s="705" customFormat="1" ht="60" x14ac:dyDescent="0.25">
      <c r="B20" s="863" t="s">
        <v>749</v>
      </c>
      <c r="C20" s="715"/>
      <c r="D20" s="875" t="s">
        <v>759</v>
      </c>
      <c r="H20" s="714" t="s">
        <v>735</v>
      </c>
      <c r="I20" s="833" t="s">
        <v>726</v>
      </c>
    </row>
    <row r="21" spans="2:9" s="705" customFormat="1" ht="15.75" x14ac:dyDescent="0.25">
      <c r="B21" s="860"/>
      <c r="C21" s="707"/>
      <c r="D21" s="708"/>
      <c r="H21" s="706"/>
      <c r="I21" s="708"/>
    </row>
    <row r="22" spans="2:9" s="705" customFormat="1" ht="60" x14ac:dyDescent="0.25">
      <c r="B22" s="864" t="s">
        <v>748</v>
      </c>
      <c r="C22" s="717"/>
      <c r="D22" s="876" t="s">
        <v>758</v>
      </c>
      <c r="H22" s="716" t="s">
        <v>736</v>
      </c>
      <c r="I22" s="835" t="s">
        <v>727</v>
      </c>
    </row>
    <row r="23" spans="2:9" s="705" customFormat="1" ht="15.75" x14ac:dyDescent="0.25">
      <c r="B23" s="860"/>
      <c r="C23" s="707"/>
      <c r="D23" s="708"/>
      <c r="H23" s="706"/>
      <c r="I23" s="708"/>
    </row>
    <row r="24" spans="2:9" s="705" customFormat="1" ht="60" x14ac:dyDescent="0.25">
      <c r="B24" s="865" t="s">
        <v>747</v>
      </c>
      <c r="C24" s="719"/>
      <c r="D24" s="874" t="s">
        <v>757</v>
      </c>
      <c r="H24" s="718" t="s">
        <v>737</v>
      </c>
      <c r="I24" s="836" t="s">
        <v>728</v>
      </c>
    </row>
    <row r="25" spans="2:9" s="705" customFormat="1" ht="15.75" x14ac:dyDescent="0.25">
      <c r="B25" s="860"/>
      <c r="C25" s="707"/>
      <c r="D25" s="708"/>
      <c r="H25" s="706"/>
      <c r="I25" s="708"/>
    </row>
    <row r="26" spans="2:9" s="705" customFormat="1" ht="60" x14ac:dyDescent="0.25">
      <c r="B26" s="866" t="s">
        <v>746</v>
      </c>
      <c r="C26" s="720"/>
      <c r="D26" s="721" t="s">
        <v>756</v>
      </c>
      <c r="H26" s="842" t="s">
        <v>738</v>
      </c>
      <c r="I26" s="843" t="s">
        <v>729</v>
      </c>
    </row>
    <row r="27" spans="2:9" s="651" customFormat="1" ht="15.75" x14ac:dyDescent="0.25">
      <c r="B27" s="860"/>
      <c r="C27" s="707"/>
      <c r="D27" s="708"/>
      <c r="H27" s="706"/>
      <c r="I27" s="708"/>
    </row>
    <row r="28" spans="2:9" s="651" customFormat="1" ht="50.1" customHeight="1" x14ac:dyDescent="0.25">
      <c r="B28" s="867" t="s">
        <v>745</v>
      </c>
      <c r="C28" s="723"/>
      <c r="D28" s="877" t="s">
        <v>755</v>
      </c>
      <c r="H28" s="722" t="s">
        <v>739</v>
      </c>
      <c r="I28" s="837" t="s">
        <v>730</v>
      </c>
    </row>
    <row r="29" spans="2:9" ht="8.1" customHeight="1" x14ac:dyDescent="0.25">
      <c r="B29" s="860"/>
      <c r="C29" s="707"/>
      <c r="D29" s="708"/>
      <c r="H29" s="706"/>
      <c r="I29" s="708"/>
    </row>
    <row r="30" spans="2:9" ht="50.1" customHeight="1" x14ac:dyDescent="0.25">
      <c r="B30" s="868" t="s">
        <v>744</v>
      </c>
      <c r="C30" s="725"/>
      <c r="D30" s="878" t="s">
        <v>754</v>
      </c>
      <c r="H30" s="724" t="s">
        <v>741</v>
      </c>
      <c r="I30" s="838" t="s">
        <v>731</v>
      </c>
    </row>
    <row r="31" spans="2:9" ht="8.1" customHeight="1" x14ac:dyDescent="0.25">
      <c r="B31" s="860"/>
      <c r="C31" s="707"/>
      <c r="D31" s="708"/>
      <c r="H31" s="706"/>
      <c r="I31" s="708"/>
    </row>
    <row r="32" spans="2:9" ht="50.1" customHeight="1" x14ac:dyDescent="0.25">
      <c r="B32" s="869" t="s">
        <v>1051</v>
      </c>
      <c r="C32" s="730"/>
      <c r="D32" s="731" t="s">
        <v>1052</v>
      </c>
      <c r="H32" s="729" t="s">
        <v>1054</v>
      </c>
      <c r="I32" s="839" t="s">
        <v>1053</v>
      </c>
    </row>
    <row r="33" spans="2:9" ht="8.1" customHeight="1" x14ac:dyDescent="0.25">
      <c r="B33" s="860"/>
      <c r="C33" s="707"/>
      <c r="D33" s="708"/>
      <c r="H33" s="706"/>
      <c r="I33" s="708"/>
    </row>
    <row r="34" spans="2:9" ht="50.1" customHeight="1" x14ac:dyDescent="0.25">
      <c r="B34" s="870" t="s">
        <v>743</v>
      </c>
      <c r="C34" s="727"/>
      <c r="D34" s="728" t="s">
        <v>753</v>
      </c>
      <c r="H34" s="726" t="s">
        <v>740</v>
      </c>
      <c r="I34" s="840" t="s">
        <v>732</v>
      </c>
    </row>
    <row r="35" spans="2:9" x14ac:dyDescent="0.25">
      <c r="B35" s="706"/>
      <c r="C35" s="707"/>
      <c r="D35" s="708"/>
    </row>
    <row r="36" spans="2:9" x14ac:dyDescent="0.25">
      <c r="B36" s="706"/>
      <c r="C36" s="707"/>
      <c r="D36" s="708"/>
    </row>
    <row r="37" spans="2:9" x14ac:dyDescent="0.25">
      <c r="B37" s="706"/>
      <c r="C37" s="707"/>
      <c r="D37" s="708"/>
    </row>
    <row r="38" spans="2:9" x14ac:dyDescent="0.25">
      <c r="B38" s="706"/>
      <c r="C38" s="707"/>
      <c r="D38" s="708"/>
    </row>
    <row r="39" spans="2:9" x14ac:dyDescent="0.25">
      <c r="B39" s="706"/>
      <c r="C39" s="707"/>
      <c r="D39" s="708"/>
    </row>
    <row r="40" spans="2:9" x14ac:dyDescent="0.25">
      <c r="B40" s="706"/>
      <c r="C40" s="707"/>
      <c r="D40" s="708"/>
    </row>
    <row r="41" spans="2:9" x14ac:dyDescent="0.25">
      <c r="B41" s="706"/>
      <c r="C41" s="707"/>
      <c r="D41" s="708"/>
      <c r="H41" s="542"/>
      <c r="I41" s="705"/>
    </row>
    <row r="42" spans="2:9" x14ac:dyDescent="0.25">
      <c r="B42" s="706"/>
      <c r="C42" s="707"/>
      <c r="D42" s="708"/>
      <c r="H42" s="542"/>
      <c r="I42" s="705"/>
    </row>
    <row r="43" spans="2:9" x14ac:dyDescent="0.25">
      <c r="B43" s="706"/>
      <c r="C43" s="707"/>
      <c r="D43" s="708"/>
      <c r="H43" s="542"/>
      <c r="I43" s="705"/>
    </row>
    <row r="44" spans="2:9" x14ac:dyDescent="0.25">
      <c r="B44" s="706"/>
      <c r="C44" s="707"/>
      <c r="D44" s="708"/>
    </row>
    <row r="45" spans="2:9" x14ac:dyDescent="0.25">
      <c r="B45" s="706"/>
      <c r="C45" s="707"/>
      <c r="D45" s="708"/>
    </row>
    <row r="46" spans="2:9" x14ac:dyDescent="0.25">
      <c r="B46" s="706"/>
      <c r="C46" s="707"/>
      <c r="D46" s="708"/>
    </row>
    <row r="47" spans="2:9" x14ac:dyDescent="0.25">
      <c r="B47" s="706"/>
      <c r="C47" s="707"/>
      <c r="D47" s="708"/>
      <c r="H47" s="706"/>
      <c r="I47" s="708"/>
    </row>
    <row r="48" spans="2:9" ht="53.25" customHeight="1" x14ac:dyDescent="0.25">
      <c r="B48" s="706"/>
      <c r="C48" s="707"/>
      <c r="D48" s="708"/>
    </row>
    <row r="49" spans="2:4" x14ac:dyDescent="0.25">
      <c r="B49" s="706"/>
      <c r="C49" s="707"/>
      <c r="D49" s="708"/>
    </row>
    <row r="50" spans="2:4" x14ac:dyDescent="0.25">
      <c r="B50" s="706"/>
      <c r="C50" s="707"/>
      <c r="D50" s="708"/>
    </row>
    <row r="51" spans="2:4" x14ac:dyDescent="0.25">
      <c r="B51" s="706"/>
      <c r="C51" s="707"/>
      <c r="D51" s="708"/>
    </row>
    <row r="52" spans="2:4" x14ac:dyDescent="0.25">
      <c r="B52" s="706"/>
      <c r="C52" s="707"/>
      <c r="D52" s="708"/>
    </row>
    <row r="53" spans="2:4" x14ac:dyDescent="0.25">
      <c r="B53" s="706"/>
      <c r="C53" s="707"/>
      <c r="D53" s="708"/>
    </row>
    <row r="54" spans="2:4" x14ac:dyDescent="0.25">
      <c r="B54" s="706"/>
      <c r="C54" s="707"/>
      <c r="D54" s="708"/>
    </row>
    <row r="55" spans="2:4" x14ac:dyDescent="0.25">
      <c r="B55" s="706"/>
      <c r="C55" s="707"/>
      <c r="D55" s="708"/>
    </row>
    <row r="56" spans="2:4" x14ac:dyDescent="0.25">
      <c r="B56" s="706"/>
      <c r="C56" s="707"/>
      <c r="D56" s="708"/>
    </row>
    <row r="57" spans="2:4" x14ac:dyDescent="0.25">
      <c r="B57" s="706"/>
      <c r="C57" s="707"/>
      <c r="D57" s="708"/>
    </row>
    <row r="58" spans="2:4" x14ac:dyDescent="0.25">
      <c r="B58" s="706"/>
      <c r="C58" s="707"/>
      <c r="D58" s="708"/>
    </row>
    <row r="59" spans="2:4" x14ac:dyDescent="0.25">
      <c r="B59" s="706"/>
      <c r="C59" s="707"/>
      <c r="D59" s="708"/>
    </row>
    <row r="60" spans="2:4" x14ac:dyDescent="0.25">
      <c r="B60" s="706"/>
      <c r="C60" s="707"/>
      <c r="D60" s="708"/>
    </row>
    <row r="61" spans="2:4" x14ac:dyDescent="0.25">
      <c r="B61" s="706"/>
      <c r="C61" s="707"/>
      <c r="D61" s="708"/>
    </row>
    <row r="62" spans="2:4" x14ac:dyDescent="0.25">
      <c r="B62" s="706"/>
      <c r="C62" s="707"/>
      <c r="D62" s="708"/>
    </row>
    <row r="63" spans="2:4" x14ac:dyDescent="0.25">
      <c r="B63" s="706"/>
      <c r="C63" s="707"/>
      <c r="D63" s="708"/>
    </row>
    <row r="64" spans="2:4" x14ac:dyDescent="0.25">
      <c r="B64" s="706"/>
      <c r="C64" s="707"/>
      <c r="D64" s="708"/>
    </row>
    <row r="65" spans="2:4" x14ac:dyDescent="0.25">
      <c r="B65" s="706"/>
      <c r="C65" s="707"/>
      <c r="D65" s="708"/>
    </row>
    <row r="66" spans="2:4" x14ac:dyDescent="0.25">
      <c r="B66" s="706"/>
      <c r="C66" s="707"/>
      <c r="D66" s="708"/>
    </row>
    <row r="67" spans="2:4" x14ac:dyDescent="0.25">
      <c r="D67" s="332"/>
    </row>
    <row r="68" spans="2:4" x14ac:dyDescent="0.25">
      <c r="D68" s="332"/>
    </row>
    <row r="69" spans="2:4" x14ac:dyDescent="0.25">
      <c r="D69" s="332"/>
    </row>
    <row r="70" spans="2:4" x14ac:dyDescent="0.25">
      <c r="D70" s="332"/>
    </row>
    <row r="71" spans="2:4" x14ac:dyDescent="0.25">
      <c r="D71" s="332"/>
    </row>
    <row r="72" spans="2:4" x14ac:dyDescent="0.25">
      <c r="D72" s="332"/>
    </row>
    <row r="73" spans="2:4" x14ac:dyDescent="0.25">
      <c r="D73" s="332"/>
    </row>
    <row r="74" spans="2:4" x14ac:dyDescent="0.25">
      <c r="D74" s="332"/>
    </row>
  </sheetData>
  <mergeCells count="4">
    <mergeCell ref="B5:D5"/>
    <mergeCell ref="B13:B14"/>
    <mergeCell ref="D13:D14"/>
    <mergeCell ref="C13:C14"/>
  </mergeCells>
  <pageMargins left="0.7" right="0.7" top="0.75" bottom="0.75" header="0.3" footer="0.3"/>
  <pageSetup scale="77" fitToHeight="2" orientation="portrait" horizontalDpi="4294967293" r:id="rId1"/>
  <headerFooter>
    <oddFooter>&amp;L&amp;"-,Bold Italic"&amp;8&amp;A- Tab&amp;R&amp;"-,Italic"&amp;8&amp;P of &amp;N</oddFooter>
  </headerFooter>
  <rowBreaks count="1" manualBreakCount="1">
    <brk id="17" min="1" max="3" man="1"/>
  </row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249977111117893"/>
    <pageSetUpPr fitToPage="1"/>
  </sheetPr>
  <dimension ref="A1:AX787"/>
  <sheetViews>
    <sheetView showGridLines="0" view="pageBreakPreview" topLeftCell="B1" zoomScaleNormal="100" zoomScaleSheetLayoutView="100" workbookViewId="0">
      <pane ySplit="23" topLeftCell="A24" activePane="bottomLeft" state="frozen"/>
      <selection pane="bottomLeft" activeCell="G26" sqref="G26"/>
    </sheetView>
  </sheetViews>
  <sheetFormatPr defaultRowHeight="15" x14ac:dyDescent="0.25"/>
  <cols>
    <col min="1" max="1" width="5.7109375" style="91" hidden="1" customWidth="1"/>
    <col min="2" max="2" width="0.85546875" customWidth="1"/>
    <col min="3" max="3" width="9.28515625" customWidth="1"/>
    <col min="4" max="6" width="3.28515625" style="16" customWidth="1"/>
    <col min="7" max="7" width="7.28515625" style="19" customWidth="1"/>
    <col min="8" max="8" width="86" style="17" customWidth="1"/>
    <col min="9" max="9" width="0.85546875" style="17" customWidth="1"/>
    <col min="10" max="10" width="13.5703125" style="17" hidden="1" customWidth="1"/>
    <col min="11" max="11" width="10.85546875" style="17" hidden="1" customWidth="1"/>
    <col min="12" max="12" width="9.140625" style="17"/>
    <col min="13" max="17" width="9.140625" style="17" customWidth="1"/>
    <col min="18" max="49" width="9.140625" style="17"/>
  </cols>
  <sheetData>
    <row r="1" spans="1:49" s="542" customFormat="1" hidden="1" x14ac:dyDescent="0.25">
      <c r="A1" s="91"/>
      <c r="D1" s="543"/>
      <c r="E1" s="543"/>
      <c r="F1" s="543"/>
      <c r="G1" s="19"/>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row>
    <row r="2" spans="1:49" s="542" customFormat="1" hidden="1" x14ac:dyDescent="0.25">
      <c r="A2" s="91"/>
      <c r="D2" s="543"/>
      <c r="E2" s="543"/>
      <c r="F2" s="543"/>
      <c r="G2" s="19"/>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row>
    <row r="3" spans="1:49" ht="30" customHeight="1" x14ac:dyDescent="0.25">
      <c r="A3" s="1331"/>
      <c r="B3" s="1185"/>
      <c r="C3" s="1577" t="s">
        <v>46</v>
      </c>
      <c r="D3" s="1421"/>
      <c r="E3" s="1421"/>
      <c r="F3" s="2160" t="str">
        <f ca="1">CONCATENATE("PSC should print &amp; use at 95% CD submittals. PM/ Planner only should hide non-applicable rows.  Choices for applicability are in the tab [",MID(CELL("filename",Date_edited_TAB_C),FIND("]",CELL("filename",Date_edited_TAB_C))+1,255),"]")</f>
        <v>PSC should print &amp; use at 95% CD submittals. PM/ Planner only should hide non-applicable rows.  Choices for applicability are in the tab [C-Design&amp;Const]</v>
      </c>
      <c r="G3" s="2160"/>
      <c r="H3" s="2160"/>
      <c r="I3" s="1421"/>
      <c r="J3" s="1186"/>
      <c r="K3" s="1441"/>
      <c r="L3" s="1186"/>
      <c r="M3" s="1186"/>
      <c r="N3" s="1186"/>
      <c r="O3" s="1186"/>
      <c r="P3" s="1186"/>
      <c r="Q3" s="1186"/>
      <c r="R3" s="1333"/>
      <c r="S3" s="1333"/>
      <c r="T3" s="1333"/>
      <c r="U3" s="1333"/>
      <c r="V3" s="1333"/>
      <c r="W3" s="1333"/>
      <c r="X3" s="1333"/>
      <c r="Y3" s="1333"/>
      <c r="Z3" s="1333"/>
      <c r="AA3" s="1333"/>
      <c r="AB3" s="1333"/>
      <c r="AC3" s="1333"/>
      <c r="AD3" s="1333"/>
      <c r="AE3" s="1333"/>
      <c r="AF3" s="1333"/>
      <c r="AG3" s="1333"/>
      <c r="AH3" s="1333"/>
      <c r="AI3" s="1333"/>
      <c r="AJ3" s="1333"/>
      <c r="AW3"/>
    </row>
    <row r="4" spans="1:49" ht="19.5" hidden="1" thickTop="1" x14ac:dyDescent="0.25">
      <c r="A4" s="1331"/>
      <c r="C4" s="34"/>
      <c r="D4" s="35" t="s">
        <v>37</v>
      </c>
      <c r="E4" s="36"/>
      <c r="F4" s="28"/>
      <c r="G4" s="1801" t="s">
        <v>39</v>
      </c>
      <c r="H4" s="1803" t="s">
        <v>219</v>
      </c>
      <c r="I4" s="63"/>
      <c r="K4" s="63"/>
      <c r="L4" s="1341" t="s">
        <v>142</v>
      </c>
      <c r="M4" s="1341"/>
      <c r="N4" s="1333"/>
      <c r="O4" s="1333"/>
      <c r="P4" s="1333"/>
      <c r="Q4" s="1333"/>
      <c r="R4" s="1333"/>
      <c r="S4" s="1333"/>
      <c r="T4" s="1333"/>
      <c r="U4" s="1333"/>
      <c r="V4" s="1333"/>
      <c r="W4" s="1333"/>
      <c r="X4" s="1333"/>
      <c r="Y4" s="1333"/>
      <c r="Z4" s="1333"/>
      <c r="AA4" s="1333"/>
      <c r="AB4" s="1333"/>
      <c r="AC4" s="1333"/>
      <c r="AD4" s="1333"/>
      <c r="AE4" s="1333"/>
      <c r="AF4" s="1333"/>
      <c r="AG4" s="1333"/>
      <c r="AH4" s="1333"/>
      <c r="AI4" s="1333"/>
      <c r="AJ4" s="1333"/>
      <c r="AW4"/>
    </row>
    <row r="5" spans="1:49" hidden="1" x14ac:dyDescent="0.25">
      <c r="A5" s="1342"/>
      <c r="C5" s="39"/>
      <c r="D5" s="21"/>
      <c r="E5" s="29" t="s">
        <v>37</v>
      </c>
      <c r="F5" s="22"/>
      <c r="G5" s="33"/>
      <c r="H5" s="40" t="s">
        <v>50</v>
      </c>
      <c r="I5" s="299"/>
      <c r="J5" s="62"/>
      <c r="K5" s="64"/>
      <c r="L5" s="1521" t="s">
        <v>49</v>
      </c>
      <c r="M5" s="1521"/>
      <c r="N5" s="1351"/>
      <c r="O5" s="1333"/>
      <c r="P5" s="1333"/>
      <c r="Q5" s="1333"/>
      <c r="R5" s="1333"/>
      <c r="S5" s="1333"/>
      <c r="T5" s="1333"/>
      <c r="U5" s="1333"/>
      <c r="V5" s="1333"/>
      <c r="W5" s="1333"/>
      <c r="X5" s="1333"/>
      <c r="Y5" s="1333"/>
      <c r="Z5" s="1333"/>
      <c r="AA5" s="1333"/>
      <c r="AB5" s="1333"/>
      <c r="AC5" s="1333"/>
      <c r="AD5" s="1333"/>
      <c r="AE5" s="1333"/>
      <c r="AF5" s="1333"/>
      <c r="AG5" s="1333"/>
      <c r="AH5" s="1333"/>
      <c r="AI5" s="1333"/>
      <c r="AJ5" s="1333"/>
      <c r="AW5"/>
    </row>
    <row r="6" spans="1:49" ht="15.75" hidden="1" thickBot="1" x14ac:dyDescent="0.3">
      <c r="A6" s="1342"/>
      <c r="C6" s="41"/>
      <c r="D6" s="42"/>
      <c r="E6" s="42"/>
      <c r="F6" s="43" t="s">
        <v>37</v>
      </c>
      <c r="G6" s="44"/>
      <c r="H6" s="45" t="s">
        <v>51</v>
      </c>
      <c r="I6" s="300"/>
      <c r="J6" s="62"/>
      <c r="K6" s="65"/>
      <c r="L6" s="1351"/>
      <c r="M6" s="1351"/>
      <c r="N6" s="1351"/>
      <c r="O6" s="1333"/>
      <c r="P6" s="1333"/>
      <c r="Q6" s="1333"/>
      <c r="R6" s="1333"/>
      <c r="S6" s="1333"/>
      <c r="T6" s="1333"/>
      <c r="U6" s="1333"/>
      <c r="V6" s="1333"/>
      <c r="W6" s="1333"/>
      <c r="X6" s="1333"/>
      <c r="Y6" s="1333"/>
      <c r="Z6" s="1333"/>
      <c r="AA6" s="1333"/>
      <c r="AB6" s="1333"/>
      <c r="AC6" s="1333"/>
      <c r="AD6" s="1333"/>
      <c r="AE6" s="1333"/>
      <c r="AF6" s="1333"/>
      <c r="AG6" s="1333"/>
      <c r="AH6" s="1333"/>
      <c r="AI6" s="1333"/>
      <c r="AJ6" s="1333"/>
      <c r="AW6"/>
    </row>
    <row r="7" spans="1:49" hidden="1" x14ac:dyDescent="0.25">
      <c r="A7" s="1342"/>
      <c r="C7" s="47" t="s">
        <v>71</v>
      </c>
      <c r="D7" s="47" t="s">
        <v>45</v>
      </c>
      <c r="E7" s="47"/>
      <c r="F7" s="47"/>
      <c r="G7" s="48"/>
      <c r="H7" s="96" t="s">
        <v>107</v>
      </c>
      <c r="I7" s="301"/>
      <c r="J7" s="62"/>
      <c r="K7" s="107"/>
      <c r="L7" s="1351"/>
      <c r="M7" s="1351"/>
      <c r="N7" s="1351"/>
      <c r="O7" s="1333"/>
      <c r="P7" s="1333"/>
      <c r="Q7" s="1333"/>
      <c r="R7" s="1333"/>
      <c r="S7" s="1333"/>
      <c r="T7" s="1333"/>
      <c r="U7" s="1333"/>
      <c r="V7" s="1333"/>
      <c r="W7" s="1333"/>
      <c r="X7" s="1333"/>
      <c r="Y7" s="1333"/>
      <c r="Z7" s="1333"/>
      <c r="AA7" s="1333"/>
      <c r="AB7" s="1333"/>
      <c r="AC7" s="1333"/>
      <c r="AD7" s="1333"/>
      <c r="AE7" s="1333"/>
      <c r="AF7" s="1333"/>
      <c r="AG7" s="1333"/>
      <c r="AH7" s="1333"/>
      <c r="AI7" s="1333"/>
      <c r="AJ7" s="1333"/>
    </row>
    <row r="8" spans="1:49" hidden="1" x14ac:dyDescent="0.25">
      <c r="A8" s="1342"/>
      <c r="C8" s="20" t="s">
        <v>100</v>
      </c>
      <c r="D8" s="20" t="s">
        <v>37</v>
      </c>
      <c r="E8" s="46" t="s">
        <v>47</v>
      </c>
      <c r="H8" s="97" t="s">
        <v>268</v>
      </c>
      <c r="I8" s="264"/>
      <c r="J8" s="62"/>
      <c r="K8" s="62"/>
      <c r="L8" s="1351"/>
      <c r="M8" s="1351"/>
      <c r="N8" s="1351"/>
      <c r="O8" s="1333"/>
      <c r="P8" s="1333"/>
      <c r="Q8" s="1333"/>
      <c r="R8" s="1333"/>
      <c r="S8" s="1333"/>
      <c r="T8" s="1333"/>
      <c r="U8" s="1333"/>
      <c r="V8" s="1333"/>
      <c r="W8" s="1333"/>
      <c r="X8" s="1333"/>
      <c r="Y8" s="1333"/>
      <c r="Z8" s="1333"/>
      <c r="AA8" s="1333"/>
      <c r="AB8" s="1333"/>
      <c r="AC8" s="1333"/>
      <c r="AD8" s="1333"/>
      <c r="AE8" s="1333"/>
      <c r="AF8" s="1333"/>
      <c r="AG8" s="1333"/>
      <c r="AH8" s="1333"/>
      <c r="AI8" s="1333"/>
      <c r="AJ8" s="1333"/>
    </row>
    <row r="9" spans="1:49" hidden="1" x14ac:dyDescent="0.25">
      <c r="A9" s="1342"/>
      <c r="C9" s="20" t="s">
        <v>72</v>
      </c>
      <c r="D9" s="20" t="s">
        <v>38</v>
      </c>
      <c r="E9" s="46" t="s">
        <v>47</v>
      </c>
      <c r="H9" s="97" t="s">
        <v>53</v>
      </c>
      <c r="I9" s="264"/>
      <c r="J9" s="62"/>
      <c r="K9" s="62"/>
      <c r="L9" s="1351"/>
      <c r="M9" s="1351"/>
      <c r="N9" s="1351"/>
      <c r="O9" s="1333"/>
      <c r="P9" s="1333"/>
      <c r="Q9" s="1333"/>
      <c r="R9" s="1333"/>
      <c r="S9" s="1333"/>
      <c r="T9" s="1333"/>
      <c r="U9" s="1333"/>
      <c r="V9" s="1333"/>
      <c r="W9" s="1333"/>
      <c r="X9" s="1333"/>
      <c r="Y9" s="1333"/>
      <c r="Z9" s="1333"/>
      <c r="AA9" s="1333"/>
      <c r="AB9" s="1333"/>
      <c r="AC9" s="1333"/>
      <c r="AD9" s="1333"/>
      <c r="AE9" s="1333"/>
      <c r="AF9" s="1333"/>
      <c r="AG9" s="1333"/>
      <c r="AH9" s="1333"/>
      <c r="AI9" s="1333"/>
      <c r="AJ9" s="1333"/>
    </row>
    <row r="10" spans="1:49" hidden="1" x14ac:dyDescent="0.25">
      <c r="A10" s="1342"/>
      <c r="C10" s="20"/>
      <c r="D10" s="20" t="s">
        <v>21</v>
      </c>
      <c r="E10" s="46" t="s">
        <v>47</v>
      </c>
      <c r="H10" s="98" t="s">
        <v>109</v>
      </c>
      <c r="I10" s="264"/>
      <c r="J10" s="62"/>
      <c r="K10" s="62"/>
      <c r="L10" s="1351"/>
      <c r="M10" s="1351"/>
      <c r="N10" s="1351"/>
      <c r="O10" s="1333"/>
      <c r="P10" s="1333"/>
      <c r="Q10" s="1333"/>
      <c r="R10" s="1333"/>
      <c r="S10" s="1333"/>
      <c r="T10" s="1333"/>
      <c r="U10" s="1333"/>
      <c r="V10" s="1333"/>
      <c r="W10" s="1333"/>
      <c r="X10" s="1333"/>
      <c r="Y10" s="1333"/>
      <c r="Z10" s="1333"/>
      <c r="AA10" s="1333"/>
      <c r="AB10" s="1333"/>
      <c r="AC10" s="1333"/>
      <c r="AD10" s="1333"/>
      <c r="AE10" s="1333"/>
      <c r="AF10" s="1333"/>
      <c r="AG10" s="1333"/>
      <c r="AH10" s="1333"/>
      <c r="AI10" s="1333"/>
      <c r="AJ10" s="1333"/>
    </row>
    <row r="11" spans="1:49" hidden="1" x14ac:dyDescent="0.25">
      <c r="A11" s="1342"/>
      <c r="C11" s="20"/>
      <c r="D11" s="20"/>
      <c r="I11" s="264"/>
      <c r="J11" s="62"/>
      <c r="K11" s="62"/>
      <c r="L11" s="1351"/>
      <c r="M11" s="1351"/>
      <c r="N11" s="1351"/>
      <c r="O11" s="1333"/>
      <c r="P11" s="1333"/>
      <c r="Q11" s="1333"/>
      <c r="R11" s="1333"/>
      <c r="S11" s="1333"/>
      <c r="T11" s="1333"/>
      <c r="U11" s="1333"/>
      <c r="V11" s="1333"/>
      <c r="W11" s="1333"/>
      <c r="X11" s="1333"/>
      <c r="Y11" s="1333"/>
      <c r="Z11" s="1333"/>
      <c r="AA11" s="1333"/>
      <c r="AB11" s="1333"/>
      <c r="AC11" s="1333"/>
      <c r="AD11" s="1333"/>
      <c r="AE11" s="1333"/>
      <c r="AF11" s="1333"/>
      <c r="AG11" s="1333"/>
      <c r="AH11" s="1333"/>
      <c r="AI11" s="1333"/>
      <c r="AJ11" s="1333"/>
    </row>
    <row r="12" spans="1:49" hidden="1" x14ac:dyDescent="0.25">
      <c r="A12" s="1342"/>
      <c r="I12" s="264"/>
      <c r="J12" s="62"/>
      <c r="K12" s="62"/>
      <c r="L12" s="1351"/>
      <c r="M12" s="1351"/>
      <c r="N12" s="1351"/>
      <c r="O12" s="1333"/>
      <c r="P12" s="1333"/>
      <c r="Q12" s="1333"/>
      <c r="R12" s="1333"/>
      <c r="S12" s="1333"/>
      <c r="T12" s="1333"/>
      <c r="U12" s="1333"/>
      <c r="V12" s="1333"/>
      <c r="W12" s="1333"/>
      <c r="X12" s="1333"/>
      <c r="Y12" s="1333"/>
      <c r="Z12" s="1333"/>
      <c r="AA12" s="1333"/>
      <c r="AB12" s="1333"/>
      <c r="AC12" s="1333"/>
      <c r="AD12" s="1333"/>
      <c r="AE12" s="1333"/>
      <c r="AF12" s="1333"/>
      <c r="AG12" s="1333"/>
      <c r="AH12" s="1333"/>
      <c r="AI12" s="1333"/>
      <c r="AJ12" s="1333"/>
    </row>
    <row r="13" spans="1:49" ht="6" customHeight="1" x14ac:dyDescent="0.25">
      <c r="A13" s="1367"/>
      <c r="I13" s="305"/>
      <c r="J13" s="140"/>
      <c r="K13" s="140"/>
      <c r="L13" s="1369"/>
      <c r="M13" s="1369"/>
      <c r="N13" s="1369"/>
      <c r="O13" s="1333"/>
      <c r="P13" s="1333"/>
      <c r="Q13" s="1333"/>
      <c r="R13" s="1333"/>
      <c r="S13" s="1333"/>
      <c r="T13" s="1333"/>
      <c r="U13" s="1333"/>
      <c r="V13" s="1333"/>
      <c r="W13" s="1333"/>
      <c r="X13" s="1333"/>
      <c r="Y13" s="1333"/>
      <c r="Z13" s="1333"/>
      <c r="AA13" s="1333"/>
      <c r="AB13" s="1333"/>
      <c r="AC13" s="1333"/>
      <c r="AD13" s="1333"/>
      <c r="AE13" s="1333"/>
      <c r="AF13" s="1333"/>
      <c r="AG13" s="1333"/>
      <c r="AH13" s="1333"/>
      <c r="AI13" s="1333"/>
      <c r="AJ13" s="1333"/>
    </row>
    <row r="14" spans="1:49" ht="6" customHeight="1" x14ac:dyDescent="0.25">
      <c r="A14" s="1331"/>
      <c r="B14" s="119"/>
      <c r="C14" s="120"/>
      <c r="D14" s="121"/>
      <c r="E14" s="121"/>
      <c r="F14" s="121"/>
      <c r="G14" s="122"/>
      <c r="H14" s="123"/>
      <c r="I14" s="264"/>
      <c r="K14" s="62"/>
      <c r="L14" s="1333"/>
      <c r="M14" s="1333"/>
      <c r="N14" s="1333"/>
      <c r="O14" s="1333"/>
      <c r="P14" s="1333"/>
      <c r="Q14" s="1333"/>
      <c r="R14" s="1333"/>
      <c r="S14" s="1333"/>
      <c r="T14" s="1333"/>
      <c r="U14" s="1333"/>
      <c r="V14" s="1333"/>
      <c r="W14" s="1333"/>
      <c r="X14" s="1333"/>
      <c r="Y14" s="1333"/>
      <c r="Z14" s="1333"/>
      <c r="AA14" s="1333"/>
      <c r="AB14" s="1333"/>
      <c r="AC14" s="1333"/>
      <c r="AD14" s="1333"/>
      <c r="AE14" s="1333"/>
      <c r="AF14" s="1333"/>
      <c r="AG14" s="1333"/>
      <c r="AH14" s="1333"/>
      <c r="AI14" s="1333"/>
      <c r="AJ14" s="1333"/>
    </row>
    <row r="15" spans="1:49" ht="18.75" customHeight="1" x14ac:dyDescent="0.3">
      <c r="A15" s="2291" t="str">
        <f>IF(CD50_apply="Yes","50%CD list of applicability","-")</f>
        <v>50%CD list of applicability</v>
      </c>
      <c r="B15" s="125"/>
      <c r="C15" s="2302" t="str">
        <f>CONCATENATE(Project_No," - ",Project_Name)</f>
        <v>U12345 - Davenport Hall Addition &amp; Remodel - Example</v>
      </c>
      <c r="D15" s="2302"/>
      <c r="E15" s="2302"/>
      <c r="F15" s="2302"/>
      <c r="G15" s="2302"/>
      <c r="H15" s="2302"/>
      <c r="I15" s="126"/>
      <c r="J15" s="141"/>
      <c r="K15" s="2301" t="str">
        <f>IF(CD50_apply="Yes","Check match w/ 50%CD list","-")</f>
        <v>Check match w/ 50%CD list</v>
      </c>
      <c r="L15" s="1378" t="str">
        <f ca="1">CONCATENATE(IF(ISNUMBER(SEARCH("INSERT",C15))=TRUE,"&lt;----Fill in information in tab [","&lt;----ECHOED from Tab ["),MID(CELL("filename",'A-Info, Phases, Recip.'!D4),FIND("]",CELL("filename",'A-Info, Phases, Recip.'!D4))+1,255),"]")</f>
        <v>&lt;----ECHOED from Tab [A-Info, Phases, Recip.]</v>
      </c>
      <c r="M15" s="1333"/>
      <c r="N15" s="1333"/>
      <c r="O15" s="1333"/>
      <c r="P15" s="1333"/>
      <c r="Q15" s="1333"/>
      <c r="R15" s="1333"/>
      <c r="S15" s="1333"/>
      <c r="T15" s="1333"/>
      <c r="U15" s="1333"/>
      <c r="V15" s="1333"/>
      <c r="W15" s="1333"/>
      <c r="X15" s="1333"/>
      <c r="Y15" s="1333"/>
      <c r="Z15" s="1333"/>
      <c r="AA15" s="1333"/>
      <c r="AB15" s="1333"/>
      <c r="AC15" s="1333"/>
      <c r="AD15" s="1333"/>
      <c r="AE15" s="1333"/>
      <c r="AF15" s="1333"/>
      <c r="AG15" s="1333"/>
      <c r="AH15" s="1333"/>
      <c r="AI15" s="1333"/>
      <c r="AJ15" s="1333"/>
    </row>
    <row r="16" spans="1:49" ht="18.75" x14ac:dyDescent="0.3">
      <c r="A16" s="2291"/>
      <c r="B16" s="125"/>
      <c r="C16" s="2054" t="str">
        <f>IF(OR(Design="Design does not apply",Construction="Construction does not apply",Feasibility_Concept="Conceptualization Only",Feasibility_Concept="Feasibility Study"),"NO DESIGN - 95% CD DOES NOT APPLY",IF(CD95_apply="NO","95% CD DOES NOT APPLY",CONCATENATE(VLOOKUP(_95CD_placeholder,'A-Info, Phases, Recip.'!$E$126:$F$141,2,FALSE)," - PSC Minimum List of Deliverables")))</f>
        <v>95% CD - PSC Minimum List of Deliverables</v>
      </c>
      <c r="D16" s="2054"/>
      <c r="E16" s="2054"/>
      <c r="F16" s="2054"/>
      <c r="G16" s="2054"/>
      <c r="H16" s="2054"/>
      <c r="I16" s="126"/>
      <c r="J16" s="141"/>
      <c r="K16" s="2301"/>
      <c r="L16" s="1442" t="str">
        <f ca="1">CONCATENATE("&lt;----Phase Applicability chosen in Tab [",MID(CELL("filename",'A-Info, Phases, Recip.'!D4),FIND("]",CELL("filename",'A-Info, Phases, Recip.'!D4))+1,255),"]")</f>
        <v>&lt;----Phase Applicability chosen in Tab [A-Info, Phases, Recip.]</v>
      </c>
      <c r="M16" s="1333"/>
      <c r="N16" s="1333"/>
      <c r="O16" s="1333"/>
      <c r="P16" s="1333"/>
      <c r="Q16" s="1333"/>
      <c r="R16" s="1333"/>
      <c r="S16" s="1333"/>
      <c r="T16" s="1333"/>
      <c r="U16" s="1333"/>
      <c r="V16" s="1333"/>
      <c r="W16" s="1333"/>
      <c r="X16" s="1333"/>
      <c r="Y16" s="1333"/>
      <c r="Z16" s="1333"/>
      <c r="AA16" s="1333"/>
      <c r="AB16" s="1333"/>
      <c r="AC16" s="1333"/>
      <c r="AD16" s="1333"/>
      <c r="AE16" s="1333"/>
      <c r="AF16" s="1333"/>
      <c r="AG16" s="1333"/>
      <c r="AH16" s="1333"/>
      <c r="AI16" s="1333"/>
      <c r="AJ16" s="1333"/>
    </row>
    <row r="17" spans="1:49" s="542" customFormat="1" ht="7.5" customHeight="1" x14ac:dyDescent="0.3">
      <c r="A17" s="2291"/>
      <c r="B17" s="125"/>
      <c r="C17" s="1047"/>
      <c r="D17" s="1047"/>
      <c r="E17" s="1047"/>
      <c r="F17" s="1047"/>
      <c r="G17" s="1047"/>
      <c r="H17" s="1047"/>
      <c r="I17" s="126"/>
      <c r="J17" s="141"/>
      <c r="K17" s="2301"/>
      <c r="L17" s="1442"/>
      <c r="M17" s="1333"/>
      <c r="N17" s="1333"/>
      <c r="O17" s="1333"/>
      <c r="P17" s="1333"/>
      <c r="Q17" s="1333"/>
      <c r="R17" s="1333"/>
      <c r="S17" s="1333"/>
      <c r="T17" s="1333"/>
      <c r="U17" s="1333"/>
      <c r="V17" s="1333"/>
      <c r="W17" s="1333"/>
      <c r="X17" s="1333"/>
      <c r="Y17" s="1333"/>
      <c r="Z17" s="1333"/>
      <c r="AA17" s="1333"/>
      <c r="AB17" s="1333"/>
      <c r="AC17" s="1333"/>
      <c r="AD17" s="1333"/>
      <c r="AE17" s="1333"/>
      <c r="AF17" s="1333"/>
      <c r="AG17" s="1333"/>
      <c r="AH17" s="1333"/>
      <c r="AI17" s="1333"/>
      <c r="AJ17" s="1333"/>
      <c r="AK17" s="17"/>
      <c r="AL17" s="17"/>
      <c r="AM17" s="17"/>
      <c r="AN17" s="17"/>
      <c r="AO17" s="17"/>
      <c r="AP17" s="17"/>
      <c r="AQ17" s="17"/>
      <c r="AR17" s="17"/>
      <c r="AS17" s="17"/>
      <c r="AT17" s="17"/>
      <c r="AU17" s="17"/>
      <c r="AV17" s="17"/>
      <c r="AW17" s="17"/>
    </row>
    <row r="18" spans="1:49" ht="11.1" customHeight="1" x14ac:dyDescent="0.25">
      <c r="A18" s="2291"/>
      <c r="B18" s="125"/>
      <c r="C18" s="2055" t="str">
        <f>CONCATENATE("Const. Delivery = ",Const_Delivery_Method," ; Const. Type = ",Const_Type,"; LEED Goal = ",IF(LEED_Goal="none","N/A",LEED_Goal),"; Bldg, lot, or Utility: ",Bldg_No_or_Utility)</f>
        <v>Const. Delivery = BID ; Const. Type = Remodeling/Addition; LEED Goal = Silver - Certified; Bldg, lot, or Utility: 0001</v>
      </c>
      <c r="D18" s="2056"/>
      <c r="E18" s="2056"/>
      <c r="F18" s="2056"/>
      <c r="G18" s="2056"/>
      <c r="H18" s="2056"/>
      <c r="I18" s="127"/>
      <c r="J18" s="141"/>
      <c r="K18" s="2301"/>
      <c r="L18" s="1378" t="str">
        <f ca="1">CONCATENATE(IF(OR(ISNUMBER(SEARCH("Select",C18))=TRUE,ISNUMBER(SEARCH("Choose",D18))=TRUE,ISNUMBER(SEARCH("####",C18))=TRUE),"&lt;----Fill in information in tab [","&lt;----ECHOED from Tab ["),MID(CELL("filename",'A-Info, Phases, Recip.'!D6),FIND("]",CELL("filename",'A-Info, Phases, Recip.'!D6))+1,255),"]")</f>
        <v>&lt;----ECHOED from Tab [A-Info, Phases, Recip.]</v>
      </c>
      <c r="M18" s="1333"/>
      <c r="N18" s="1333"/>
      <c r="O18" s="1333"/>
      <c r="P18" s="1333"/>
      <c r="Q18" s="1333"/>
      <c r="R18" s="1333"/>
      <c r="S18" s="1284"/>
      <c r="T18" s="1509"/>
      <c r="U18" s="1333"/>
      <c r="V18" s="1333"/>
      <c r="W18" s="1333"/>
      <c r="X18" s="1333"/>
      <c r="Y18" s="1333"/>
      <c r="Z18" s="1333"/>
      <c r="AA18" s="1333"/>
      <c r="AB18" s="1333"/>
      <c r="AC18" s="1333"/>
      <c r="AD18" s="1333"/>
      <c r="AE18" s="1333"/>
      <c r="AF18" s="1333"/>
      <c r="AG18" s="1333"/>
      <c r="AH18" s="1333"/>
      <c r="AI18" s="1333"/>
      <c r="AJ18" s="1333"/>
    </row>
    <row r="19" spans="1:49" ht="11.1" customHeight="1" x14ac:dyDescent="0.25">
      <c r="A19" s="2291"/>
      <c r="B19" s="125"/>
      <c r="C19" s="2057" t="str">
        <f>CONCATENATE("Master Template last updated on: ",TEXT(Form_Update,"MM/DD/YYYY"),".  Struck out text is not required.")</f>
        <v>Master Template last updated on: 08/31/2020.  Struck out text is not required.</v>
      </c>
      <c r="D19" s="2057"/>
      <c r="E19" s="2057"/>
      <c r="F19" s="2057"/>
      <c r="G19" s="2057"/>
      <c r="H19" s="2057"/>
      <c r="I19" s="128"/>
      <c r="J19" s="141"/>
      <c r="K19" s="2301"/>
      <c r="L19" s="1333"/>
      <c r="M19" s="1333"/>
      <c r="N19" s="1333"/>
      <c r="O19" s="1333"/>
      <c r="P19" s="1333"/>
      <c r="Q19" s="1333"/>
      <c r="R19" s="1333"/>
      <c r="S19" s="1284"/>
      <c r="T19" s="1509"/>
      <c r="U19" s="1333"/>
      <c r="V19" s="1333"/>
      <c r="W19" s="1333"/>
      <c r="X19" s="1333"/>
      <c r="Y19" s="1333"/>
      <c r="Z19" s="1333"/>
      <c r="AA19" s="1333"/>
      <c r="AB19" s="1333"/>
      <c r="AC19" s="1333"/>
      <c r="AD19" s="1333"/>
      <c r="AE19" s="1333"/>
      <c r="AF19" s="1333"/>
      <c r="AG19" s="1333"/>
      <c r="AH19" s="1333"/>
      <c r="AI19" s="1333"/>
      <c r="AJ19" s="1333"/>
      <c r="AV19"/>
      <c r="AW19"/>
    </row>
    <row r="20" spans="1:49" ht="9" customHeight="1" x14ac:dyDescent="0.25">
      <c r="A20" s="2291"/>
      <c r="B20" s="125"/>
      <c r="C20" s="18"/>
      <c r="D20" s="21"/>
      <c r="E20" s="21"/>
      <c r="F20" s="21"/>
      <c r="G20" s="129"/>
      <c r="H20" s="62"/>
      <c r="I20" s="130"/>
      <c r="J20" s="141"/>
      <c r="K20" s="2301"/>
      <c r="L20" s="1333"/>
      <c r="M20" s="1333"/>
      <c r="N20" s="1333"/>
      <c r="O20" s="1333"/>
      <c r="P20" s="1333"/>
      <c r="Q20" s="1333"/>
      <c r="R20" s="1333"/>
      <c r="S20" s="1284"/>
      <c r="T20" s="1509"/>
      <c r="U20" s="1333"/>
      <c r="V20" s="1333"/>
      <c r="W20" s="1333"/>
      <c r="X20" s="1333"/>
      <c r="Y20" s="1333"/>
      <c r="Z20" s="1333"/>
      <c r="AA20" s="1333"/>
      <c r="AB20" s="1333"/>
      <c r="AC20" s="1333"/>
      <c r="AD20" s="1333"/>
      <c r="AE20" s="1333"/>
      <c r="AF20" s="1333"/>
      <c r="AG20" s="1333"/>
      <c r="AH20" s="1333"/>
      <c r="AI20" s="1333"/>
      <c r="AJ20" s="1333"/>
    </row>
    <row r="21" spans="1:49" ht="12.75" customHeight="1" x14ac:dyDescent="0.25">
      <c r="A21" s="2291"/>
      <c r="B21" s="125"/>
      <c r="C21" s="2276">
        <f>IF(Date_edited_TAB_C="","",Date_edited_TAB_C)</f>
        <v>44069</v>
      </c>
      <c r="D21" s="2276"/>
      <c r="E21" s="112"/>
      <c r="F21" s="2277" t="str">
        <f>IF(Edit_by_Entity_TAB_C="","",Edit_by_Entity_TAB_C)</f>
        <v>PM</v>
      </c>
      <c r="G21" s="2277"/>
      <c r="H21" s="99" t="str">
        <f>IF(Editor_Name_TAB_C="","",Editor_Name_TAB_C)</f>
        <v>Smith</v>
      </c>
      <c r="I21" s="128"/>
      <c r="J21" s="141"/>
      <c r="K21" s="2301"/>
      <c r="L21" s="1443" t="str">
        <f ca="1">CONCATENATE("&lt;----Enter/Update ''EDIT DATE'' / ''ENTITY'' / ''EDITOR NAME'' in TAB [",MID(CELL("filename",Date_edited_TAB_C),FIND("]",CELL("filename",Date_edited_TAB_C))+1,255),"]")</f>
        <v>&lt;----Enter/Update ''EDIT DATE'' / ''ENTITY'' / ''EDITOR NAME'' in TAB [C-Design&amp;Const]</v>
      </c>
      <c r="M21" s="1333"/>
      <c r="N21" s="1333"/>
      <c r="O21" s="1333"/>
      <c r="P21" s="1333"/>
      <c r="Q21" s="1333"/>
      <c r="R21" s="1333"/>
      <c r="S21" s="1284"/>
      <c r="T21" s="1509"/>
      <c r="U21" s="1333"/>
      <c r="V21" s="1333"/>
      <c r="W21" s="1333"/>
      <c r="X21" s="1333"/>
      <c r="Y21" s="1333"/>
      <c r="Z21" s="1333"/>
      <c r="AA21" s="1333"/>
      <c r="AB21" s="1333"/>
      <c r="AC21" s="1333"/>
      <c r="AD21" s="1333"/>
      <c r="AE21" s="1333"/>
      <c r="AF21" s="1333"/>
      <c r="AG21" s="1333"/>
      <c r="AH21" s="1333"/>
      <c r="AI21" s="1333"/>
      <c r="AJ21" s="1333"/>
    </row>
    <row r="22" spans="1:49" ht="15" customHeight="1" x14ac:dyDescent="0.25">
      <c r="A22" s="2291"/>
      <c r="B22" s="125"/>
      <c r="C22" s="2060" t="s">
        <v>106</v>
      </c>
      <c r="D22" s="2060"/>
      <c r="E22" s="21"/>
      <c r="F22" s="2060" t="s">
        <v>267</v>
      </c>
      <c r="G22" s="2060"/>
      <c r="H22" s="114" t="s">
        <v>110</v>
      </c>
      <c r="I22" s="128"/>
      <c r="J22" s="141"/>
      <c r="K22" s="2301"/>
      <c r="L22" s="1333"/>
      <c r="M22" s="1333"/>
      <c r="N22" s="1333"/>
      <c r="O22" s="1333"/>
      <c r="P22" s="1333"/>
      <c r="Q22" s="1333"/>
      <c r="R22" s="1333"/>
      <c r="S22" s="1284"/>
      <c r="T22" s="1509"/>
      <c r="U22" s="1333"/>
      <c r="V22" s="1333"/>
      <c r="W22" s="1333"/>
      <c r="X22" s="1333"/>
      <c r="Y22" s="1333"/>
      <c r="Z22" s="1333"/>
      <c r="AA22" s="1333"/>
      <c r="AB22" s="1333"/>
      <c r="AC22" s="1333"/>
      <c r="AD22" s="1333"/>
      <c r="AE22" s="1333"/>
      <c r="AF22" s="1333"/>
      <c r="AG22" s="1333"/>
      <c r="AH22" s="1333"/>
      <c r="AI22" s="1333"/>
      <c r="AJ22" s="1333"/>
    </row>
    <row r="23" spans="1:49" ht="27.6" customHeight="1" thickBot="1" x14ac:dyDescent="0.3">
      <c r="A23" s="2291"/>
      <c r="B23" s="125"/>
      <c r="C23" s="218" t="s">
        <v>100</v>
      </c>
      <c r="D23" s="2303" t="s">
        <v>36</v>
      </c>
      <c r="E23" s="2303"/>
      <c r="F23" s="2303"/>
      <c r="G23" s="2304" t="s">
        <v>781</v>
      </c>
      <c r="H23" s="2305"/>
      <c r="I23" s="131"/>
      <c r="J23" s="419" t="s">
        <v>389</v>
      </c>
      <c r="K23" s="2301"/>
      <c r="L23" s="1379" t="s">
        <v>48</v>
      </c>
      <c r="M23" s="1379"/>
      <c r="N23" s="1379"/>
      <c r="O23" s="1379"/>
      <c r="P23" s="1379"/>
      <c r="Q23" s="1333"/>
      <c r="R23" s="1333"/>
      <c r="S23" s="1284"/>
      <c r="T23" s="1333"/>
      <c r="U23" s="1333"/>
      <c r="V23" s="1333"/>
      <c r="W23" s="1333"/>
      <c r="X23" s="1333"/>
      <c r="Y23" s="1333"/>
      <c r="Z23" s="1333"/>
      <c r="AA23" s="1333"/>
      <c r="AB23" s="1333"/>
      <c r="AC23" s="1333"/>
      <c r="AD23" s="1333"/>
      <c r="AE23" s="1333"/>
      <c r="AF23" s="1333"/>
      <c r="AG23" s="1333"/>
      <c r="AH23" s="1333"/>
      <c r="AI23" s="1333"/>
      <c r="AJ23" s="1333"/>
    </row>
    <row r="24" spans="1:49" s="1" customFormat="1" ht="6.75" customHeight="1" thickTop="1" x14ac:dyDescent="0.25">
      <c r="A24" s="1331"/>
      <c r="B24" s="67"/>
      <c r="C24" s="25"/>
      <c r="D24" s="26"/>
      <c r="E24" s="26"/>
      <c r="F24" s="26"/>
      <c r="G24" s="27"/>
      <c r="H24" s="27"/>
      <c r="I24" s="132"/>
      <c r="J24" s="17"/>
      <c r="K24" s="27"/>
      <c r="L24" s="1333"/>
      <c r="M24" s="1333"/>
      <c r="N24" s="1333"/>
      <c r="O24" s="1333"/>
      <c r="P24" s="1333"/>
      <c r="Q24" s="1333"/>
      <c r="R24" s="1333"/>
      <c r="S24" s="1284"/>
      <c r="T24" s="1333"/>
      <c r="U24" s="1333"/>
      <c r="V24" s="1333"/>
      <c r="W24" s="1333"/>
      <c r="X24" s="1333"/>
      <c r="Y24" s="1333"/>
      <c r="Z24" s="1333"/>
      <c r="AA24" s="1333"/>
      <c r="AB24" s="1333"/>
      <c r="AC24" s="1333"/>
      <c r="AD24" s="1333"/>
      <c r="AE24" s="1333"/>
      <c r="AF24" s="1333"/>
      <c r="AG24" s="1333"/>
      <c r="AH24" s="1333"/>
      <c r="AI24" s="1333"/>
      <c r="AJ24" s="1333"/>
      <c r="AK24" s="13"/>
      <c r="AL24" s="13"/>
      <c r="AM24" s="13"/>
      <c r="AN24" s="13"/>
      <c r="AO24" s="13"/>
      <c r="AP24" s="13"/>
      <c r="AQ24" s="13"/>
      <c r="AR24" s="13"/>
      <c r="AS24" s="13"/>
      <c r="AT24" s="13"/>
      <c r="AU24" s="13"/>
      <c r="AV24" s="13"/>
      <c r="AW24" s="13"/>
    </row>
    <row r="25" spans="1:49" s="17" customFormat="1" ht="18.75" x14ac:dyDescent="0.25">
      <c r="A25" s="1501" t="str">
        <f>IF(CD50_apply="Yes",IF(COUNTIF('03 - 50% CD'!D25:G25,"Y")&gt;0,"Y",IF(COUNTIF('03 - 50% CD'!D25:G25,"N"),"N","")),"")</f>
        <v>Y</v>
      </c>
      <c r="B25" s="141"/>
      <c r="C25" s="944"/>
      <c r="D25" s="559" t="str">
        <f>IF('C-Design&amp;Const'!$O25="","",'C-Design&amp;Const'!$O25)</f>
        <v>Y</v>
      </c>
      <c r="E25" s="492"/>
      <c r="F25" s="493"/>
      <c r="G25" s="173" t="str">
        <f>IF('C-Design&amp;Const'!Y25="","",'C-Design&amp;Const'!Y25)</f>
        <v>00. *</v>
      </c>
      <c r="H25" s="115" t="str">
        <f>(CONCATENATE('C-Design&amp;Const'!Z25,IF(D25="N"," Not Used In This Design Phase",J25)))</f>
        <v>Minimum List of Deliverables - Current</v>
      </c>
      <c r="I25" s="133"/>
      <c r="J25" s="578" t="str">
        <f>IF('C-Design&amp;Const'!AH25="","",'C-Design&amp;Const'!AH25)</f>
        <v xml:space="preserve"> - Current</v>
      </c>
      <c r="K25" s="285" t="str">
        <f>IF(CD50_apply="Yes",IF((COUNTIF(D25:G25,"Y")=COUNTIF('03 - 50% CD'!D25:G25,"Y")),"match","no 50% match"),"-")</f>
        <v>match</v>
      </c>
      <c r="L25" s="1410" t="str">
        <f>CONCATENATE(IF(ISNUMBER(SEARCH("Placeholder",H25))=TRUE,"&lt;---PM/Planner may hide PLACEHOLDER ROW",""))</f>
        <v/>
      </c>
      <c r="M25" s="1333"/>
      <c r="N25" s="1333"/>
      <c r="O25" s="1333"/>
      <c r="P25" s="1333"/>
      <c r="Q25" s="1333"/>
      <c r="R25" s="1444"/>
      <c r="S25" s="1284"/>
      <c r="T25" s="1382"/>
      <c r="U25" s="1382"/>
      <c r="V25" s="1333"/>
      <c r="W25" s="1333"/>
      <c r="X25" s="1333"/>
      <c r="Y25" s="1333"/>
      <c r="Z25" s="1333"/>
      <c r="AA25" s="1333"/>
      <c r="AB25" s="1333"/>
      <c r="AC25" s="1333"/>
      <c r="AD25" s="1333"/>
      <c r="AE25" s="1333"/>
      <c r="AF25" s="1333"/>
      <c r="AG25" s="1333"/>
      <c r="AH25" s="1333"/>
      <c r="AI25" s="1333"/>
      <c r="AJ25" s="1333"/>
    </row>
    <row r="26" spans="1:49" s="17" customFormat="1" ht="17.25" customHeight="1" x14ac:dyDescent="0.25">
      <c r="A26" s="1516" t="str">
        <f>IF(CD50_apply="Yes",IF(COUNTIF('03 - 50% CD'!D26:G26,"Y")&gt;0,"Y",IF(COUNTIF('03 - 50% CD'!D26:G26,"N"),"N","")),"")</f>
        <v/>
      </c>
      <c r="B26" s="141"/>
      <c r="C26" s="944"/>
      <c r="D26" s="289"/>
      <c r="E26" s="289"/>
      <c r="F26" s="297"/>
      <c r="G26" s="294"/>
      <c r="H26" s="519"/>
      <c r="I26" s="130"/>
      <c r="J26" s="578" t="str">
        <f>IF('C-Design&amp;Const'!AH26="","",'C-Design&amp;Const'!AH26)</f>
        <v/>
      </c>
      <c r="K26" s="285" t="str">
        <f>IF(CD50_apply="Yes",IF((COUNTIF(D26:G26,"Y")=COUNTIF('03 - 50% CD'!D26:G26,"Y")),"match","no 50% match"),"-")</f>
        <v>match</v>
      </c>
      <c r="L26" s="1410" t="str">
        <f t="shared" ref="L26:L100" si="0">CONCATENATE(IF(ISNUMBER(SEARCH("Placeholder",H26))=TRUE,"&lt;---PM/Planner may hide PLACEHOLDER ROW",""))</f>
        <v/>
      </c>
      <c r="M26" s="1333"/>
      <c r="N26" s="1333"/>
      <c r="O26" s="1333"/>
      <c r="P26" s="1333"/>
      <c r="Q26" s="1333"/>
      <c r="R26" s="1446"/>
      <c r="S26" s="1284"/>
      <c r="T26" s="1382"/>
      <c r="U26" s="1382"/>
      <c r="V26" s="1333"/>
      <c r="W26" s="1333"/>
      <c r="X26" s="1333"/>
      <c r="Y26" s="1333"/>
      <c r="Z26" s="1333"/>
      <c r="AA26" s="1333"/>
      <c r="AB26" s="1333"/>
      <c r="AC26" s="1333"/>
      <c r="AD26" s="1333"/>
      <c r="AE26" s="1333"/>
      <c r="AF26" s="1333"/>
      <c r="AG26" s="1333"/>
      <c r="AH26" s="1333"/>
      <c r="AI26" s="1333"/>
      <c r="AJ26" s="1333"/>
    </row>
    <row r="27" spans="1:49" s="17" customFormat="1" ht="37.5" x14ac:dyDescent="0.25">
      <c r="A27" s="1501" t="str">
        <f>IF(CD50_apply="Yes",IF(COUNTIF('03 - 50% CD'!D27:G27,"Y")&gt;0,"Y",IF(COUNTIF('03 - 50% CD'!D27:G27,"N"),"N","")),"")</f>
        <v>Y</v>
      </c>
      <c r="B27" s="141"/>
      <c r="C27" s="944"/>
      <c r="D27" s="559" t="str">
        <f>IF('C-Design&amp;Const'!$O27="","",'C-Design&amp;Const'!$O27)</f>
        <v>Y</v>
      </c>
      <c r="E27" s="234"/>
      <c r="F27" s="444"/>
      <c r="G27" s="173" t="str">
        <f>IF('C-Design&amp;Const'!Y27="","",'C-Design&amp;Const'!Y27)</f>
        <v>01.</v>
      </c>
      <c r="H27" s="115" t="str">
        <f>(CONCATENATE('C-Design&amp;Const'!Z27,IF(D27="N"," Not Used In This Design Phase",J27)))</f>
        <v>Construction Cost Estimate - Quantity Takeoff in CSI Format (Complete with Bid Alts.)</v>
      </c>
      <c r="I27" s="133"/>
      <c r="J27" s="578" t="str">
        <f>IF('C-Design&amp;Const'!AH27="","",'C-Design&amp;Const'!AH27)</f>
        <v xml:space="preserve"> - Quantity Takeoff in CSI Format (Complete with Bid Alts.)</v>
      </c>
      <c r="K27" s="285" t="str">
        <f>IF(CD50_apply="Yes",IF((COUNTIF(D27:G27,"Y")=COUNTIF('03 - 50% CD'!D27:G27,"Y")),"match","no 50% match"),"-")</f>
        <v>match</v>
      </c>
      <c r="L27" s="1410" t="str">
        <f t="shared" si="0"/>
        <v/>
      </c>
      <c r="M27" s="1333"/>
      <c r="N27" s="1333"/>
      <c r="O27" s="1333"/>
      <c r="P27" s="1333"/>
      <c r="Q27" s="1333"/>
      <c r="R27" s="1444"/>
      <c r="S27" s="1284"/>
      <c r="T27" s="1382"/>
      <c r="U27" s="1382"/>
      <c r="V27" s="1333"/>
      <c r="W27" s="1333"/>
      <c r="X27" s="1333"/>
      <c r="Y27" s="1333"/>
      <c r="Z27" s="1333"/>
      <c r="AA27" s="1333"/>
      <c r="AB27" s="1333"/>
      <c r="AC27" s="1333"/>
      <c r="AD27" s="1333"/>
      <c r="AE27" s="1333"/>
      <c r="AF27" s="1333"/>
      <c r="AG27" s="1333"/>
      <c r="AH27" s="1333"/>
      <c r="AI27" s="1333"/>
      <c r="AJ27" s="1333"/>
    </row>
    <row r="28" spans="1:49" s="17" customFormat="1" ht="15" customHeight="1" x14ac:dyDescent="0.25">
      <c r="A28" s="1501"/>
      <c r="B28" s="141"/>
      <c r="C28" s="944"/>
      <c r="D28" s="463"/>
      <c r="E28" s="359" t="str">
        <f>IF('C-Design&amp;Const'!$O28="","",'C-Design&amp;Const'!$O28)</f>
        <v>Y</v>
      </c>
      <c r="F28" s="235"/>
      <c r="G28" s="291"/>
      <c r="H28" s="325" t="str">
        <f>CONCATENATE(IF(ISNUMBER(SEARCH("Placeholder",'C-Design&amp;Const'!Z28))=TRUE,"",IF(E28="N","PLACEHOLDER ROW - ","")),'C-Design&amp;Const'!Z28,IF(E28="N","",J28))</f>
        <v xml:space="preserve">Construction Cost Estimate (Updates to) </v>
      </c>
      <c r="I28" s="552"/>
      <c r="J28" s="578" t="str">
        <f>IF('C-Design&amp;Const'!AH28="","",'C-Design&amp;Const'!AH28)</f>
        <v xml:space="preserve"> (Updates to) </v>
      </c>
      <c r="K28" s="285" t="str">
        <f>IF(CD50_apply="Yes",IF((COUNTIF(D28:G28,"Y")=COUNTIF('03 - 50% CD'!D28:G28,"Y")),"match","no 50% match"),"-")</f>
        <v>match</v>
      </c>
      <c r="L28" s="1410"/>
      <c r="M28" s="1333"/>
      <c r="N28" s="1333"/>
      <c r="O28" s="1333"/>
      <c r="P28" s="1333"/>
      <c r="Q28" s="1333"/>
      <c r="R28" s="1444"/>
      <c r="S28" s="1284"/>
      <c r="T28" s="1382"/>
      <c r="U28" s="1382"/>
      <c r="V28" s="1333"/>
      <c r="W28" s="1333"/>
      <c r="X28" s="1333"/>
      <c r="Y28" s="1333"/>
      <c r="Z28" s="1333"/>
      <c r="AA28" s="1333"/>
      <c r="AB28" s="1333"/>
      <c r="AC28" s="1333"/>
      <c r="AD28" s="1333"/>
      <c r="AE28" s="1333"/>
      <c r="AF28" s="1333"/>
      <c r="AG28" s="1333"/>
      <c r="AH28" s="1333"/>
      <c r="AI28" s="1333"/>
      <c r="AJ28" s="1333"/>
    </row>
    <row r="29" spans="1:49" s="17" customFormat="1" ht="15" customHeight="1" x14ac:dyDescent="0.25">
      <c r="A29" s="1501"/>
      <c r="B29" s="141"/>
      <c r="C29" s="944"/>
      <c r="D29" s="463"/>
      <c r="E29" s="359" t="str">
        <f>IF('C-Design&amp;Const'!$O29="","",'C-Design&amp;Const'!$O29)</f>
        <v>N</v>
      </c>
      <c r="F29" s="235"/>
      <c r="G29" s="291"/>
      <c r="H29" s="325" t="str">
        <f>CONCATENATE(IF(ISNUMBER(SEARCH("Placeholder",'C-Design&amp;Const'!Z29))=TRUE,"",IF(E29="N","PLACEHOLDER ROW - ","")),'C-Design&amp;Const'!Z29,IF(E29="N","",J29))</f>
        <v>PLACEHOLDER ROW - Reconciliation with Owner's 3rd party estimater</v>
      </c>
      <c r="I29" s="552"/>
      <c r="J29" s="578" t="str">
        <f>IF('C-Design&amp;Const'!AH29="","",'C-Design&amp;Const'!AH29)</f>
        <v xml:space="preserve"> (Updates to) </v>
      </c>
      <c r="K29" s="285" t="str">
        <f>IF(CD50_apply="Yes",IF((COUNTIF(D29:G29,"Y")=COUNTIF('03 - 50% CD'!D29:G29,"Y")),"match","no 50% match"),"-")</f>
        <v>no 50% match</v>
      </c>
      <c r="L29" s="1410"/>
      <c r="M29" s="1333"/>
      <c r="N29" s="1333"/>
      <c r="O29" s="1333"/>
      <c r="P29" s="1333"/>
      <c r="Q29" s="1333"/>
      <c r="R29" s="1444"/>
      <c r="S29" s="1284"/>
      <c r="T29" s="1382"/>
      <c r="U29" s="1382"/>
      <c r="V29" s="1333"/>
      <c r="W29" s="1333"/>
      <c r="X29" s="1333"/>
      <c r="Y29" s="1333"/>
      <c r="Z29" s="1333"/>
      <c r="AA29" s="1333"/>
      <c r="AB29" s="1333"/>
      <c r="AC29" s="1333"/>
      <c r="AD29" s="1333"/>
      <c r="AE29" s="1333"/>
      <c r="AF29" s="1333"/>
      <c r="AG29" s="1333"/>
      <c r="AH29" s="1333"/>
      <c r="AI29" s="1333"/>
      <c r="AJ29" s="1333"/>
    </row>
    <row r="30" spans="1:49" s="17" customFormat="1" ht="15" customHeight="1" x14ac:dyDescent="0.25">
      <c r="A30" s="1501"/>
      <c r="B30" s="141"/>
      <c r="C30" s="944"/>
      <c r="D30" s="463"/>
      <c r="E30" s="359" t="str">
        <f>IF('C-Design&amp;Const'!$O30="","",'C-Design&amp;Const'!$O30)</f>
        <v>N</v>
      </c>
      <c r="F30" s="235"/>
      <c r="G30" s="291"/>
      <c r="H30" s="1967" t="str">
        <f>CONCATENATE(IF(ISNUMBER(SEARCH("Placeholder",'C-Design&amp;Const'!Z30))=TRUE,"",IF(E30="N","PLACEHOLDER ROW - ","")),'C-Design&amp;Const'!Z30,IF(E30="N","",J30))</f>
        <v>PLACEHOLDER ROW - CUSTOM ROW - OPTIONAL CLIENT ITEM</v>
      </c>
      <c r="I30" s="552"/>
      <c r="J30" s="578" t="str">
        <f>IF('C-Design&amp;Const'!AH30="","",'C-Design&amp;Const'!AH30)</f>
        <v xml:space="preserve"> (Updates to) </v>
      </c>
      <c r="K30" s="285" t="str">
        <f>IF(CD50_apply="Yes",IF((COUNTIF(D30:G30,"Y")=COUNTIF('03 - 50% CD'!D30:G30,"Y")),"match","no 50% match"),"-")</f>
        <v>match</v>
      </c>
      <c r="L30" s="1410"/>
      <c r="M30" s="1333"/>
      <c r="N30" s="1333"/>
      <c r="O30" s="1333"/>
      <c r="P30" s="1333"/>
      <c r="Q30" s="1333"/>
      <c r="R30" s="1444"/>
      <c r="S30" s="1284"/>
      <c r="T30" s="1382"/>
      <c r="U30" s="1382"/>
      <c r="V30" s="1333"/>
      <c r="W30" s="1333"/>
      <c r="X30" s="1333"/>
      <c r="Y30" s="1333"/>
      <c r="Z30" s="1333"/>
      <c r="AA30" s="1333"/>
      <c r="AB30" s="1333"/>
      <c r="AC30" s="1333"/>
      <c r="AD30" s="1333"/>
      <c r="AE30" s="1333"/>
      <c r="AF30" s="1333"/>
      <c r="AG30" s="1333"/>
      <c r="AH30" s="1333"/>
      <c r="AI30" s="1333"/>
      <c r="AJ30" s="1333"/>
    </row>
    <row r="31" spans="1:49" s="17" customFormat="1" ht="21" customHeight="1" x14ac:dyDescent="0.25">
      <c r="A31" s="1516" t="str">
        <f>IF(CD50_apply="Yes",IF(COUNTIF('03 - 50% CD'!D31:G31,"Y")&gt;0,"Y",IF(COUNTIF('03 - 50% CD'!D31:G31,"N"),"N","")),"")</f>
        <v/>
      </c>
      <c r="B31" s="141"/>
      <c r="C31" s="944"/>
      <c r="D31" s="411"/>
      <c r="E31" s="411"/>
      <c r="F31" s="321"/>
      <c r="G31" s="294"/>
      <c r="H31" s="805" t="str">
        <f>IF(D27="N","",IF('C-Design&amp;Const'!Z31="","",'C-Design&amp;Const'!Z31))</f>
        <v>Estimates for all ADA upgrades and deficiency corrections shall be broken out in an additional estimate</v>
      </c>
      <c r="I31" s="130"/>
      <c r="J31" s="578" t="str">
        <f>IF('C-Design&amp;Const'!AH31="","",'C-Design&amp;Const'!AH31)</f>
        <v/>
      </c>
      <c r="K31" s="285" t="str">
        <f>IF(CD50_apply="Yes",IF((COUNTIF(D31:G31,"Y")=COUNTIF('03 - 50% CD'!D31:G31,"Y")),"match","no 50% match"),"-")</f>
        <v>match</v>
      </c>
      <c r="L31" s="1410" t="str">
        <f t="shared" si="0"/>
        <v/>
      </c>
      <c r="M31" s="1333"/>
      <c r="N31" s="1333"/>
      <c r="O31" s="1333"/>
      <c r="P31" s="1333"/>
      <c r="Q31" s="1333"/>
      <c r="R31" s="1446"/>
      <c r="S31" s="1284"/>
      <c r="T31" s="1382"/>
      <c r="U31" s="1382"/>
      <c r="V31" s="1333"/>
      <c r="W31" s="1333"/>
      <c r="X31" s="1333"/>
      <c r="Y31" s="1333"/>
      <c r="Z31" s="1333"/>
      <c r="AA31" s="1333"/>
      <c r="AB31" s="1333"/>
      <c r="AC31" s="1333"/>
      <c r="AD31" s="1333"/>
      <c r="AE31" s="1333"/>
      <c r="AF31" s="1333"/>
      <c r="AG31" s="1333"/>
      <c r="AH31" s="1333"/>
      <c r="AI31" s="1333"/>
      <c r="AJ31" s="1333"/>
    </row>
    <row r="32" spans="1:49" s="181" customFormat="1" ht="18.75" x14ac:dyDescent="0.25">
      <c r="A32" s="1501" t="str">
        <f>IF(CD50_apply="Yes",IF(COUNTIF('03 - 50% CD'!D32:G32,"Y")&gt;0,"Y",IF(COUNTIF('03 - 50% CD'!D32:G32,"N"),"N","")),"")</f>
        <v>Y</v>
      </c>
      <c r="B32" s="177"/>
      <c r="C32" s="944"/>
      <c r="D32" s="559" t="str">
        <f>IF('C-Design&amp;Const'!$O32="","",'C-Design&amp;Const'!$O32)</f>
        <v>Y</v>
      </c>
      <c r="E32" s="234"/>
      <c r="F32" s="235"/>
      <c r="G32" s="291" t="str">
        <f>IF('C-Design&amp;Const'!Y32="","",'C-Design&amp;Const'!Y32)</f>
        <v>02. *</v>
      </c>
      <c r="H32" s="290" t="str">
        <f>(CONCATENATE('C-Design&amp;Const'!Z32,IF(D32="N"," Not Used In This Design Phase",J32)))</f>
        <v>Project Schedule - Updated</v>
      </c>
      <c r="I32" s="184"/>
      <c r="J32" s="578" t="str">
        <f>IF('C-Design&amp;Const'!AH32="","",'C-Design&amp;Const'!AH32)</f>
        <v xml:space="preserve"> - Updated</v>
      </c>
      <c r="K32" s="285" t="str">
        <f>IF(CD50_apply="Yes",IF((COUNTIF(D32:G32,"Y")=COUNTIF('03 - 50% CD'!D32:G32,"Y")),"match","no 50% match"),"-")</f>
        <v>match</v>
      </c>
      <c r="L32" s="1410" t="str">
        <f t="shared" si="0"/>
        <v/>
      </c>
      <c r="M32" s="1382"/>
      <c r="N32" s="1382"/>
      <c r="O32" s="1382"/>
      <c r="P32" s="1382"/>
      <c r="Q32" s="1382"/>
      <c r="R32" s="1447"/>
      <c r="S32" s="1284"/>
      <c r="T32" s="1382"/>
      <c r="U32" s="1382"/>
      <c r="V32" s="1382"/>
      <c r="W32" s="1382"/>
      <c r="X32" s="1382"/>
      <c r="Y32" s="1382"/>
      <c r="Z32" s="1382"/>
      <c r="AA32" s="1382"/>
      <c r="AB32" s="1382"/>
      <c r="AC32" s="1382"/>
      <c r="AD32" s="1382"/>
      <c r="AE32" s="1382"/>
      <c r="AF32" s="1382"/>
      <c r="AG32" s="1382"/>
      <c r="AH32" s="1382"/>
      <c r="AI32" s="1382"/>
      <c r="AJ32" s="1382"/>
    </row>
    <row r="33" spans="1:50" s="551" customFormat="1" ht="15" customHeight="1" x14ac:dyDescent="0.25">
      <c r="A33" s="1501"/>
      <c r="B33" s="549"/>
      <c r="C33" s="944"/>
      <c r="D33" s="463"/>
      <c r="E33" s="359" t="str">
        <f>IF('C-Design&amp;Const'!$O33="","",'C-Design&amp;Const'!$O33)</f>
        <v>Y</v>
      </c>
      <c r="F33" s="235"/>
      <c r="G33" s="291"/>
      <c r="H33" s="325" t="str">
        <f>CONCATENATE(IF(ISNUMBER(SEARCH("Placeholder",'C-Design&amp;Const'!Z33))=TRUE,"",IF(E33="N","PLACEHOLDER ROW - ","")),'C-Design&amp;Const'!Z33,IF(E33="N","",J33))</f>
        <v xml:space="preserve">Project Schedule (Updates to) </v>
      </c>
      <c r="I33" s="552"/>
      <c r="J33" s="578" t="str">
        <f>IF('C-Design&amp;Const'!AH33="","",'C-Design&amp;Const'!AH33)</f>
        <v xml:space="preserve"> (Updates to) </v>
      </c>
      <c r="K33" s="285" t="str">
        <f>IF(CD50_apply="Yes",IF((COUNTIF(D33:G33,"Y")=COUNTIF('03 - 50% CD'!D33:G33,"Y")),"match","no 50% match"),"-")</f>
        <v>match</v>
      </c>
      <c r="L33" s="1410"/>
      <c r="M33" s="1382"/>
      <c r="N33" s="1382"/>
      <c r="O33" s="1382"/>
      <c r="P33" s="1382"/>
      <c r="Q33" s="1382"/>
      <c r="R33" s="1447"/>
      <c r="S33" s="1284"/>
      <c r="T33" s="1382"/>
      <c r="U33" s="1382"/>
      <c r="V33" s="1382"/>
      <c r="W33" s="1382"/>
      <c r="X33" s="1382"/>
      <c r="Y33" s="1382"/>
      <c r="Z33" s="1382"/>
      <c r="AA33" s="1382"/>
      <c r="AB33" s="1382"/>
      <c r="AC33" s="1382"/>
      <c r="AD33" s="1382"/>
      <c r="AE33" s="1382"/>
      <c r="AF33" s="1382"/>
      <c r="AG33" s="1382"/>
      <c r="AH33" s="1382"/>
      <c r="AI33" s="1382"/>
      <c r="AJ33" s="1382"/>
    </row>
    <row r="34" spans="1:50" s="551" customFormat="1" ht="15" customHeight="1" x14ac:dyDescent="0.25">
      <c r="A34" s="1501"/>
      <c r="B34" s="549"/>
      <c r="C34" s="944"/>
      <c r="D34" s="463"/>
      <c r="E34" s="359" t="str">
        <f>IF('C-Design&amp;Const'!$O34="","",'C-Design&amp;Const'!$O34)</f>
        <v>N</v>
      </c>
      <c r="F34" s="235"/>
      <c r="G34" s="291"/>
      <c r="H34" s="325" t="str">
        <f>CONCATENATE(IF(ISNUMBER(SEARCH("Placeholder",'C-Design&amp;Const'!Z34))=TRUE,"",IF(E34="N","PLACEHOLDER ROW - ","")),'C-Design&amp;Const'!Z34,IF(E34="N","",J34))</f>
        <v>PLACEHOLDER ROW - Summary of Coordination with Owner's 3rd party scheduler</v>
      </c>
      <c r="I34" s="552"/>
      <c r="J34" s="578" t="str">
        <f>IF('C-Design&amp;Const'!AH34="","",'C-Design&amp;Const'!AH34)</f>
        <v xml:space="preserve"> (Updates to) </v>
      </c>
      <c r="K34" s="285" t="str">
        <f>IF(CD50_apply="Yes",IF((COUNTIF(D34:G34,"Y")=COUNTIF('03 - 50% CD'!D34:G34,"Y")),"match","no 50% match"),"-")</f>
        <v>no 50% match</v>
      </c>
      <c r="L34" s="1410"/>
      <c r="M34" s="1382"/>
      <c r="N34" s="1382"/>
      <c r="O34" s="1382"/>
      <c r="P34" s="1382"/>
      <c r="Q34" s="1382"/>
      <c r="R34" s="1447"/>
      <c r="S34" s="1284"/>
      <c r="T34" s="1382"/>
      <c r="U34" s="1382"/>
      <c r="V34" s="1382"/>
      <c r="W34" s="1382"/>
      <c r="X34" s="1382"/>
      <c r="Y34" s="1382"/>
      <c r="Z34" s="1382"/>
      <c r="AA34" s="1382"/>
      <c r="AB34" s="1382"/>
      <c r="AC34" s="1382"/>
      <c r="AD34" s="1382"/>
      <c r="AE34" s="1382"/>
      <c r="AF34" s="1382"/>
      <c r="AG34" s="1382"/>
      <c r="AH34" s="1382"/>
      <c r="AI34" s="1382"/>
      <c r="AJ34" s="1382"/>
    </row>
    <row r="35" spans="1:50" s="551" customFormat="1" ht="15" customHeight="1" x14ac:dyDescent="0.25">
      <c r="A35" s="1501"/>
      <c r="B35" s="549"/>
      <c r="C35" s="944"/>
      <c r="D35" s="463"/>
      <c r="E35" s="359" t="str">
        <f>IF('C-Design&amp;Const'!$O35="","",'C-Design&amp;Const'!$O35)</f>
        <v>N</v>
      </c>
      <c r="F35" s="235"/>
      <c r="G35" s="291"/>
      <c r="H35" s="325" t="str">
        <f>CONCATENATE(IF(ISNUMBER(SEARCH("Placeholder",'C-Design&amp;Const'!Z35))=TRUE,"",IF(E35="N","PLACEHOLDER ROW - ","")),'C-Design&amp;Const'!Z35,IF(E35="N","",J35))</f>
        <v>PLACEHOLDER ROW - Reconciliation with Owner's 3rd party scheduler</v>
      </c>
      <c r="I35" s="552"/>
      <c r="J35" s="578" t="str">
        <f>IF('C-Design&amp;Const'!AH35="","",'C-Design&amp;Const'!AH35)</f>
        <v xml:space="preserve"> (Updates to) </v>
      </c>
      <c r="K35" s="285" t="str">
        <f>IF(CD50_apply="Yes",IF((COUNTIF(D35:G35,"Y")=COUNTIF('03 - 50% CD'!D35:G35,"Y")),"match","no 50% match"),"-")</f>
        <v>match</v>
      </c>
      <c r="L35" s="1410"/>
      <c r="M35" s="1382"/>
      <c r="N35" s="1382"/>
      <c r="O35" s="1382"/>
      <c r="P35" s="1382"/>
      <c r="Q35" s="1382"/>
      <c r="R35" s="1447"/>
      <c r="S35" s="1284"/>
      <c r="T35" s="1382"/>
      <c r="U35" s="1382"/>
      <c r="V35" s="1382"/>
      <c r="W35" s="1382"/>
      <c r="X35" s="1382"/>
      <c r="Y35" s="1382"/>
      <c r="Z35" s="1382"/>
      <c r="AA35" s="1382"/>
      <c r="AB35" s="1382"/>
      <c r="AC35" s="1382"/>
      <c r="AD35" s="1382"/>
      <c r="AE35" s="1382"/>
      <c r="AF35" s="1382"/>
      <c r="AG35" s="1382"/>
      <c r="AH35" s="1382"/>
      <c r="AI35" s="1382"/>
      <c r="AJ35" s="1382"/>
    </row>
    <row r="36" spans="1:50" s="17" customFormat="1" x14ac:dyDescent="0.25">
      <c r="A36" s="1516" t="str">
        <f>IF(CD50_apply="Yes",IF(COUNTIF('03 - 50% CD'!D36:G36,"Y")&gt;0,"Y",IF(COUNTIF('03 - 50% CD'!D36:G36,"N"),"N","")),"")</f>
        <v/>
      </c>
      <c r="B36" s="141"/>
      <c r="C36" s="944"/>
      <c r="D36" s="411"/>
      <c r="E36" s="411"/>
      <c r="F36" s="321"/>
      <c r="G36" s="294"/>
      <c r="H36" s="296"/>
      <c r="I36" s="130"/>
      <c r="J36" s="578" t="str">
        <f>IF('C-Design&amp;Const'!AH36="","",'C-Design&amp;Const'!AH36)</f>
        <v/>
      </c>
      <c r="K36" s="285" t="str">
        <f>IF(CD50_apply="Yes",IF((COUNTIF(D36:G36,"Y")=COUNTIF('03 - 50% CD'!D36:G36,"Y")),"match","no 50% match"),"-")</f>
        <v>match</v>
      </c>
      <c r="L36" s="1410" t="str">
        <f t="shared" si="0"/>
        <v/>
      </c>
      <c r="M36" s="1333"/>
      <c r="N36" s="1333"/>
      <c r="O36" s="1333"/>
      <c r="P36" s="1333"/>
      <c r="Q36" s="1333"/>
      <c r="R36" s="1446"/>
      <c r="S36" s="1284"/>
      <c r="T36" s="1382"/>
      <c r="U36" s="1382"/>
      <c r="V36" s="1333"/>
      <c r="W36" s="1333"/>
      <c r="X36" s="1333"/>
      <c r="Y36" s="1333"/>
      <c r="Z36" s="1333"/>
      <c r="AA36" s="1333"/>
      <c r="AB36" s="1333"/>
      <c r="AC36" s="1333"/>
      <c r="AD36" s="1333"/>
      <c r="AE36" s="1333"/>
      <c r="AF36" s="1333"/>
      <c r="AG36" s="1333"/>
      <c r="AH36" s="1333"/>
      <c r="AI36" s="1333"/>
      <c r="AJ36" s="1333"/>
    </row>
    <row r="37" spans="1:50" s="17" customFormat="1" ht="18.75" x14ac:dyDescent="0.25">
      <c r="A37" s="1501" t="str">
        <f>IF(CD50_apply="Yes",IF(COUNTIF('03 - 50% CD'!D37:G37,"Y")&gt;0,"Y",IF(COUNTIF('03 - 50% CD'!D37:G37,"N"),"N","")),"")</f>
        <v>Y</v>
      </c>
      <c r="B37" s="141"/>
      <c r="C37" s="948"/>
      <c r="D37" s="559" t="str">
        <f>IF('C-Design&amp;Const'!$O37="","",'C-Design&amp;Const'!$O37)</f>
        <v>Y</v>
      </c>
      <c r="E37" s="234"/>
      <c r="F37" s="444"/>
      <c r="G37" s="173" t="str">
        <f>IF('C-Design&amp;Const'!Y37="","",'C-Design&amp;Const'!Y37)</f>
        <v>03.</v>
      </c>
      <c r="H37" s="115" t="str">
        <f>(CONCATENATE('C-Design&amp;Const'!Z37,IF(D37="N"," Not Used In This Design Phase",J37)))</f>
        <v>Written Response to Comments</v>
      </c>
      <c r="I37" s="133"/>
      <c r="J37" s="578" t="str">
        <f>IF('C-Design&amp;Const'!AH37="","",'C-Design&amp;Const'!AH37)</f>
        <v/>
      </c>
      <c r="K37" s="285" t="str">
        <f>IF(CD50_apply="Yes",IF((COUNTIF(D37:G37,"Y")=COUNTIF('03 - 50% CD'!D37:G37,"Y")),"match","no 50% match"),"-")</f>
        <v>match</v>
      </c>
      <c r="L37" s="1410" t="str">
        <f t="shared" si="0"/>
        <v/>
      </c>
      <c r="M37" s="1333"/>
      <c r="N37" s="1333"/>
      <c r="O37" s="1333"/>
      <c r="P37" s="1333"/>
      <c r="Q37" s="1333"/>
      <c r="R37" s="1444"/>
      <c r="S37" s="1284"/>
      <c r="T37" s="1382"/>
      <c r="U37" s="1382"/>
      <c r="V37" s="1333"/>
      <c r="W37" s="1333"/>
      <c r="X37" s="1333"/>
      <c r="Y37" s="1333"/>
      <c r="Z37" s="1333"/>
      <c r="AA37" s="1333"/>
      <c r="AB37" s="1333"/>
      <c r="AC37" s="1333"/>
      <c r="AD37" s="1333"/>
      <c r="AE37" s="1333"/>
      <c r="AF37" s="1333"/>
      <c r="AG37" s="1333"/>
      <c r="AH37" s="1333"/>
      <c r="AI37" s="1333"/>
      <c r="AJ37" s="1333"/>
    </row>
    <row r="38" spans="1:50" s="17" customFormat="1" x14ac:dyDescent="0.25">
      <c r="A38" s="1516" t="str">
        <f>IF(CD50_apply="Yes",IF(COUNTIF('03 - 50% CD'!D38:G38,"Y")&gt;0,"Y",IF(COUNTIF('03 - 50% CD'!D38:G38,"N"),"N","")),"")</f>
        <v/>
      </c>
      <c r="B38" s="141"/>
      <c r="C38" s="944"/>
      <c r="D38" s="411"/>
      <c r="E38" s="411"/>
      <c r="F38" s="321"/>
      <c r="G38" s="294"/>
      <c r="H38" s="296"/>
      <c r="I38" s="130"/>
      <c r="J38" s="578" t="str">
        <f>IF('C-Design&amp;Const'!AH38="","",'C-Design&amp;Const'!AH38)</f>
        <v/>
      </c>
      <c r="K38" s="285" t="str">
        <f>IF(CD50_apply="Yes",IF((COUNTIF(D38:G38,"Y")=COUNTIF('03 - 50% CD'!D38:G38,"Y")),"match","no 50% match"),"-")</f>
        <v>match</v>
      </c>
      <c r="L38" s="1410" t="str">
        <f t="shared" si="0"/>
        <v/>
      </c>
      <c r="M38" s="1333"/>
      <c r="N38" s="1333"/>
      <c r="O38" s="1333"/>
      <c r="P38" s="1333"/>
      <c r="Q38" s="1333"/>
      <c r="R38" s="1445"/>
      <c r="S38" s="1284"/>
      <c r="T38" s="1382"/>
      <c r="U38" s="1382"/>
      <c r="V38" s="1333"/>
      <c r="W38" s="1333"/>
      <c r="X38" s="1333"/>
      <c r="Y38" s="1333"/>
      <c r="Z38" s="1333"/>
      <c r="AA38" s="1333"/>
      <c r="AB38" s="1333"/>
      <c r="AC38" s="1333"/>
      <c r="AD38" s="1333"/>
      <c r="AE38" s="1333"/>
      <c r="AF38" s="1333"/>
      <c r="AG38" s="1333"/>
      <c r="AH38" s="1333"/>
      <c r="AI38" s="1333"/>
      <c r="AJ38" s="1333"/>
    </row>
    <row r="39" spans="1:50" s="181" customFormat="1" ht="21" customHeight="1" x14ac:dyDescent="0.25">
      <c r="A39" s="1501" t="str">
        <f>IF(CD50_apply="Yes",IF(COUNTIF('03 - 50% CD'!D39:G39,"Y")&gt;0,"Y",IF(COUNTIF('03 - 50% CD'!D39:G39,"N"),"N","")),"")</f>
        <v>Y</v>
      </c>
      <c r="B39" s="177"/>
      <c r="C39" s="944"/>
      <c r="D39" s="559" t="str">
        <f>IF('C-Design&amp;Const'!$O39="","",'C-Design&amp;Const'!$O39)</f>
        <v>Y</v>
      </c>
      <c r="E39" s="234"/>
      <c r="F39" s="235"/>
      <c r="G39" s="291" t="str">
        <f>IF('C-Design&amp;Const'!Y39="","",'C-Design&amp;Const'!Y39)</f>
        <v>04a. *</v>
      </c>
      <c r="H39" s="290" t="str">
        <f>(CONCATENATE('C-Design&amp;Const'!Z39,IF(D39="N"," Not Used In This Design Phase",J39)))</f>
        <v>Basis of Design (BOD) - Updates only</v>
      </c>
      <c r="I39" s="180"/>
      <c r="J39" s="578" t="str">
        <f>IF('C-Design&amp;Const'!AH39="","",'C-Design&amp;Const'!AH39)</f>
        <v xml:space="preserve"> - Updates only</v>
      </c>
      <c r="K39" s="285" t="str">
        <f>IF(CD50_apply="Yes",IF((COUNTIF(D39:G39,"Y")=COUNTIF('03 - 50% CD'!D39:G39,"Y")),"match","no 50% match"),"-")</f>
        <v>match</v>
      </c>
      <c r="L39" s="1410" t="str">
        <f t="shared" si="0"/>
        <v/>
      </c>
      <c r="M39" s="1382"/>
      <c r="N39" s="1382"/>
      <c r="O39" s="1382"/>
      <c r="P39" s="1382"/>
      <c r="Q39" s="1382"/>
      <c r="R39" s="1447"/>
      <c r="S39" s="1284"/>
      <c r="T39" s="1382"/>
      <c r="U39" s="1382"/>
      <c r="V39" s="1382"/>
      <c r="W39" s="1382"/>
      <c r="X39" s="1382"/>
      <c r="Y39" s="1382"/>
      <c r="Z39" s="1382"/>
      <c r="AA39" s="1382"/>
      <c r="AB39" s="1382"/>
      <c r="AC39" s="1382"/>
      <c r="AD39" s="1382"/>
      <c r="AE39" s="1382"/>
      <c r="AF39" s="1382"/>
      <c r="AG39" s="1382"/>
      <c r="AH39" s="1382"/>
      <c r="AI39" s="1382"/>
      <c r="AJ39" s="1382"/>
      <c r="AX39" s="30"/>
    </row>
    <row r="40" spans="1:50" s="30" customFormat="1" ht="15" customHeight="1" x14ac:dyDescent="0.25">
      <c r="A40" s="1407" t="str">
        <f>IF(CD50_apply="Yes",IF(COUNTIF('03 - 50% CD'!D40:G40,"Y")&gt;0,"Y",IF(COUNTIF('03 - 50% CD'!D40:G40,"N"),"N","")),"")</f>
        <v>Y</v>
      </c>
      <c r="B40" s="191"/>
      <c r="C40" s="944"/>
      <c r="D40" s="463"/>
      <c r="E40" s="359" t="str">
        <f>IF('C-Design&amp;Const'!$O40="","",'C-Design&amp;Const'!$O40)</f>
        <v>Y</v>
      </c>
      <c r="F40" s="235"/>
      <c r="G40" s="291"/>
      <c r="H40" s="325" t="str">
        <f>CONCATENATE(IF(ISNUMBER(SEARCH("Placeholder",'C-Design&amp;Const'!Z40))=TRUE,"",IF(E40="N","PLACEHOLDER ROW - ","")),'C-Design&amp;Const'!Z40,IF(E40="N","",J40))</f>
        <v xml:space="preserve">Project Description  (Updates to) </v>
      </c>
      <c r="I40" s="184"/>
      <c r="J40" s="578" t="str">
        <f>IF('C-Design&amp;Const'!AH40="","",'C-Design&amp;Const'!AH40)</f>
        <v xml:space="preserve"> (Updates to) </v>
      </c>
      <c r="K40" s="285" t="str">
        <f>IF(CD50_apply="Yes",IF((COUNTIF(D40:G40,"Y")=COUNTIF('03 - 50% CD'!D40:G40,"Y")),"match","no 50% match"),"-")</f>
        <v>match</v>
      </c>
      <c r="L40" s="1410" t="str">
        <f t="shared" si="0"/>
        <v/>
      </c>
      <c r="M40" s="1382"/>
      <c r="N40" s="1382"/>
      <c r="O40" s="1382"/>
      <c r="P40" s="1382"/>
      <c r="Q40" s="1382"/>
      <c r="R40" s="1382"/>
      <c r="S40" s="1284"/>
      <c r="T40" s="1382"/>
      <c r="U40" s="1382"/>
      <c r="V40" s="1382"/>
      <c r="W40" s="1382"/>
      <c r="X40" s="1382"/>
      <c r="Y40" s="1382"/>
      <c r="Z40" s="1382"/>
      <c r="AA40" s="1382"/>
      <c r="AB40" s="1382"/>
      <c r="AC40" s="1382"/>
      <c r="AD40" s="1382"/>
      <c r="AE40" s="1382"/>
      <c r="AF40" s="1382"/>
      <c r="AG40" s="1382"/>
      <c r="AH40" s="1382"/>
      <c r="AI40" s="1382"/>
      <c r="AJ40" s="1382"/>
      <c r="AK40" s="181"/>
      <c r="AL40" s="181"/>
      <c r="AM40" s="181"/>
      <c r="AN40" s="181"/>
      <c r="AO40" s="181"/>
      <c r="AP40" s="181"/>
      <c r="AQ40" s="181"/>
      <c r="AR40" s="181"/>
      <c r="AS40" s="181"/>
      <c r="AT40" s="181"/>
      <c r="AU40" s="181"/>
      <c r="AV40" s="181"/>
      <c r="AW40" s="181"/>
    </row>
    <row r="41" spans="1:50" s="30" customFormat="1" ht="15" customHeight="1" x14ac:dyDescent="0.25">
      <c r="A41" s="1407" t="str">
        <f>IF(CD50_apply="Yes",IF(COUNTIF('03 - 50% CD'!D41:G41,"Y")&gt;0,"Y",IF(COUNTIF('03 - 50% CD'!D41:G41,"N"),"N","")),"")</f>
        <v>N</v>
      </c>
      <c r="B41" s="191"/>
      <c r="C41" s="944"/>
      <c r="D41" s="463"/>
      <c r="E41" s="359" t="str">
        <f>IF('C-Design&amp;Const'!$O41="","",'C-Design&amp;Const'!$O41)</f>
        <v>N</v>
      </c>
      <c r="F41" s="235"/>
      <c r="G41" s="291"/>
      <c r="H41" s="362" t="str">
        <f>CONCATENATE(IF(ISNUMBER(SEARCH("Placeholder",'C-Design&amp;Const'!Z41))=TRUE,"",IF(E41="N","PLACEHOLDER ROW - ","")),'C-Design&amp;Const'!Z41,IF(E41="N","",J41))</f>
        <v xml:space="preserve">PLACEHOLDER ROW - Program Needs Assessment </v>
      </c>
      <c r="I41" s="184"/>
      <c r="J41" s="578" t="str">
        <f>IF('C-Design&amp;Const'!AH41="","",'C-Design&amp;Const'!AH41)</f>
        <v xml:space="preserve"> (Updates to) </v>
      </c>
      <c r="K41" s="285" t="str">
        <f>IF(CD50_apply="Yes",IF((COUNTIF(D41:G41,"Y")=COUNTIF('03 - 50% CD'!D41:G41,"Y")),"match","no 50% match"),"-")</f>
        <v>match</v>
      </c>
      <c r="L41" s="1410" t="str">
        <f t="shared" si="0"/>
        <v>&lt;---PM/Planner may hide PLACEHOLDER ROW</v>
      </c>
      <c r="M41" s="1382"/>
      <c r="N41" s="1382"/>
      <c r="O41" s="1382"/>
      <c r="P41" s="1382"/>
      <c r="Q41" s="1382"/>
      <c r="R41" s="1382"/>
      <c r="S41" s="1284"/>
      <c r="T41" s="1382"/>
      <c r="U41" s="1382"/>
      <c r="V41" s="1382"/>
      <c r="W41" s="1382"/>
      <c r="X41" s="1382"/>
      <c r="Y41" s="1382"/>
      <c r="Z41" s="1382"/>
      <c r="AA41" s="1382"/>
      <c r="AB41" s="1382"/>
      <c r="AC41" s="1382"/>
      <c r="AD41" s="1382"/>
      <c r="AE41" s="1382"/>
      <c r="AF41" s="1382"/>
      <c r="AG41" s="1382"/>
      <c r="AH41" s="1382"/>
      <c r="AI41" s="1382"/>
      <c r="AJ41" s="1382"/>
      <c r="AK41" s="181"/>
      <c r="AL41" s="181"/>
      <c r="AM41" s="181"/>
      <c r="AN41" s="181"/>
      <c r="AO41" s="181"/>
      <c r="AP41" s="181"/>
      <c r="AQ41" s="181"/>
      <c r="AR41" s="181"/>
      <c r="AS41" s="181"/>
      <c r="AT41" s="181"/>
      <c r="AU41" s="181"/>
      <c r="AV41" s="181"/>
      <c r="AW41" s="181"/>
    </row>
    <row r="42" spans="1:50" s="30" customFormat="1" ht="15" customHeight="1" x14ac:dyDescent="0.25">
      <c r="A42" s="1407" t="str">
        <f>IF(CD50_apply="Yes",IF(COUNTIF('03 - 50% CD'!D42:G42,"Y")&gt;0,"Y",IF(COUNTIF('03 - 50% CD'!D42:G42,"N"),"N","")),"")</f>
        <v>N</v>
      </c>
      <c r="B42" s="191"/>
      <c r="C42" s="944"/>
      <c r="D42" s="463"/>
      <c r="E42" s="359" t="str">
        <f>IF('C-Design&amp;Const'!$O42="","",'C-Design&amp;Const'!$O42)</f>
        <v>N</v>
      </c>
      <c r="F42" s="235"/>
      <c r="G42" s="291"/>
      <c r="H42" s="362" t="str">
        <f>CONCATENATE(IF(ISNUMBER(SEARCH("Placeholder",'C-Design&amp;Const'!Z42))=TRUE,"",IF(E42="N","PLACEHOLDER ROW - ","")),'C-Design&amp;Const'!Z42,IF(E42="N","",J42))</f>
        <v xml:space="preserve">PLACEHOLDER ROW - Program Summary / Analysis </v>
      </c>
      <c r="I42" s="184"/>
      <c r="J42" s="578" t="str">
        <f>IF('C-Design&amp;Const'!AH42="","",'C-Design&amp;Const'!AH42)</f>
        <v xml:space="preserve"> (Updates to) </v>
      </c>
      <c r="K42" s="285" t="str">
        <f>IF(CD50_apply="Yes",IF((COUNTIF(D42:G42,"Y")=COUNTIF('03 - 50% CD'!D42:G42,"Y")),"match","no 50% match"),"-")</f>
        <v>match</v>
      </c>
      <c r="L42" s="1410" t="str">
        <f t="shared" si="0"/>
        <v>&lt;---PM/Planner may hide PLACEHOLDER ROW</v>
      </c>
      <c r="M42" s="1382"/>
      <c r="N42" s="1382"/>
      <c r="O42" s="1382"/>
      <c r="P42" s="1382"/>
      <c r="Q42" s="1382"/>
      <c r="R42" s="1382"/>
      <c r="S42" s="1284"/>
      <c r="T42" s="1382"/>
      <c r="U42" s="1382"/>
      <c r="V42" s="1382"/>
      <c r="W42" s="1382"/>
      <c r="X42" s="1382"/>
      <c r="Y42" s="1382"/>
      <c r="Z42" s="1382"/>
      <c r="AA42" s="1382"/>
      <c r="AB42" s="1382"/>
      <c r="AC42" s="1382"/>
      <c r="AD42" s="1382"/>
      <c r="AE42" s="1382"/>
      <c r="AF42" s="1382"/>
      <c r="AG42" s="1382"/>
      <c r="AH42" s="1382"/>
      <c r="AI42" s="1382"/>
      <c r="AJ42" s="1382"/>
      <c r="AK42" s="181"/>
      <c r="AL42" s="181"/>
      <c r="AM42" s="181"/>
      <c r="AN42" s="181"/>
      <c r="AO42" s="181"/>
      <c r="AP42" s="181"/>
      <c r="AQ42" s="181"/>
      <c r="AR42" s="181"/>
      <c r="AS42" s="181"/>
      <c r="AT42" s="181"/>
      <c r="AU42" s="181"/>
      <c r="AV42" s="181"/>
      <c r="AW42" s="181"/>
    </row>
    <row r="43" spans="1:50" s="30" customFormat="1" ht="15" customHeight="1" x14ac:dyDescent="0.25">
      <c r="A43" s="1407" t="str">
        <f>IF(CD50_apply="Yes",IF(COUNTIF('03 - 50% CD'!D43:G43,"Y")&gt;0,"Y",IF(COUNTIF('03 - 50% CD'!D43:G43,"N"),"N","")),"")</f>
        <v>N</v>
      </c>
      <c r="B43" s="191"/>
      <c r="C43" s="944"/>
      <c r="D43" s="463"/>
      <c r="E43" s="359" t="str">
        <f>IF('C-Design&amp;Const'!$O43="","",'C-Design&amp;Const'!$O43)</f>
        <v>N</v>
      </c>
      <c r="F43" s="235"/>
      <c r="G43" s="291"/>
      <c r="H43" s="362" t="str">
        <f>CONCATENATE(IF(ISNUMBER(SEARCH("Placeholder",'C-Design&amp;Const'!Z43))=TRUE,"",IF(E43="N","PLACEHOLDER ROW - ","")),'C-Design&amp;Const'!Z43,IF(E43="N","",J43))</f>
        <v>PLACEHOLDER - Program Study</v>
      </c>
      <c r="I43" s="184"/>
      <c r="J43" s="578" t="str">
        <f>IF('C-Design&amp;Const'!AH43="","",'C-Design&amp;Const'!AH43)</f>
        <v xml:space="preserve"> (Updates to) </v>
      </c>
      <c r="K43" s="285" t="str">
        <f>IF(CD50_apply="Yes",IF((COUNTIF(D43:G43,"Y")=COUNTIF('03 - 50% CD'!D43:G43,"Y")),"match","no 50% match"),"-")</f>
        <v>match</v>
      </c>
      <c r="L43" s="1410" t="str">
        <f t="shared" si="0"/>
        <v>&lt;---PM/Planner may hide PLACEHOLDER ROW</v>
      </c>
      <c r="M43" s="1382"/>
      <c r="N43" s="1382"/>
      <c r="O43" s="1382"/>
      <c r="P43" s="1382"/>
      <c r="Q43" s="1382"/>
      <c r="R43" s="1382"/>
      <c r="S43" s="1284"/>
      <c r="T43" s="1382"/>
      <c r="U43" s="1382"/>
      <c r="V43" s="1382"/>
      <c r="W43" s="1382"/>
      <c r="X43" s="1382"/>
      <c r="Y43" s="1382"/>
      <c r="Z43" s="1382"/>
      <c r="AA43" s="1382"/>
      <c r="AB43" s="1382"/>
      <c r="AC43" s="1382"/>
      <c r="AD43" s="1382"/>
      <c r="AE43" s="1382"/>
      <c r="AF43" s="1382"/>
      <c r="AG43" s="1382"/>
      <c r="AH43" s="1382"/>
      <c r="AI43" s="1382"/>
      <c r="AJ43" s="1382"/>
      <c r="AK43" s="181"/>
      <c r="AL43" s="181"/>
      <c r="AM43" s="181"/>
      <c r="AN43" s="181"/>
      <c r="AO43" s="181"/>
      <c r="AP43" s="181"/>
      <c r="AQ43" s="181"/>
      <c r="AR43" s="181"/>
      <c r="AS43" s="181"/>
      <c r="AT43" s="181"/>
      <c r="AU43" s="181"/>
      <c r="AV43" s="181"/>
      <c r="AW43" s="181"/>
    </row>
    <row r="44" spans="1:50" s="30" customFormat="1" ht="15" customHeight="1" x14ac:dyDescent="0.25">
      <c r="A44" s="1407" t="str">
        <f>IF(CD50_apply="Yes",IF(COUNTIF('03 - 50% CD'!D44:G44,"Y")&gt;0,"Y",IF(COUNTIF('03 - 50% CD'!D44:G44,"N"),"N","")),"")</f>
        <v>N</v>
      </c>
      <c r="B44" s="191"/>
      <c r="C44" s="944"/>
      <c r="D44" s="463"/>
      <c r="E44" s="359" t="str">
        <f>IF('C-Design&amp;Const'!$O44="","",'C-Design&amp;Const'!$O44)</f>
        <v>N</v>
      </c>
      <c r="F44" s="235"/>
      <c r="G44" s="291"/>
      <c r="H44" s="362" t="str">
        <f>CONCATENATE(IF(ISNUMBER(SEARCH("Placeholder",'C-Design&amp;Const'!Z44))=TRUE,"",IF(E44="N","PLACEHOLDER ROW - ","")),'C-Design&amp;Const'!Z44,IF(E44="N","",J44))</f>
        <v xml:space="preserve">PLACEHOLDER ROW - Major Project Goals; Objectives; and Design Requirements </v>
      </c>
      <c r="I44" s="184"/>
      <c r="J44" s="578" t="str">
        <f>IF('C-Design&amp;Const'!AH44="","",'C-Design&amp;Const'!AH44)</f>
        <v xml:space="preserve"> (Updates to) </v>
      </c>
      <c r="K44" s="285" t="str">
        <f>IF(CD50_apply="Yes",IF((COUNTIF(D44:G44,"Y")=COUNTIF('03 - 50% CD'!D44:G44,"Y")),"match","no 50% match"),"-")</f>
        <v>match</v>
      </c>
      <c r="L44" s="1410" t="str">
        <f t="shared" si="0"/>
        <v>&lt;---PM/Planner may hide PLACEHOLDER ROW</v>
      </c>
      <c r="M44" s="1382"/>
      <c r="N44" s="1382"/>
      <c r="O44" s="1382"/>
      <c r="P44" s="1382"/>
      <c r="Q44" s="1382"/>
      <c r="R44" s="1382"/>
      <c r="S44" s="1284"/>
      <c r="T44" s="1382"/>
      <c r="U44" s="1382"/>
      <c r="V44" s="1382"/>
      <c r="W44" s="1382"/>
      <c r="X44" s="1382"/>
      <c r="Y44" s="1382"/>
      <c r="Z44" s="1382"/>
      <c r="AA44" s="1382"/>
      <c r="AB44" s="1382"/>
      <c r="AC44" s="1382"/>
      <c r="AD44" s="1382"/>
      <c r="AE44" s="1382"/>
      <c r="AF44" s="1382"/>
      <c r="AG44" s="1382"/>
      <c r="AH44" s="1382"/>
      <c r="AI44" s="1382"/>
      <c r="AJ44" s="1382"/>
      <c r="AK44" s="181"/>
      <c r="AL44" s="181"/>
      <c r="AM44" s="181"/>
      <c r="AN44" s="181"/>
      <c r="AO44" s="181"/>
      <c r="AP44" s="181"/>
      <c r="AQ44" s="181"/>
      <c r="AR44" s="181"/>
      <c r="AS44" s="181"/>
      <c r="AT44" s="181"/>
      <c r="AU44" s="181"/>
      <c r="AV44" s="181"/>
      <c r="AW44" s="181"/>
    </row>
    <row r="45" spans="1:50" s="30" customFormat="1" x14ac:dyDescent="0.25">
      <c r="A45" s="1407" t="str">
        <f>IF(CD50_apply="Yes",IF(COUNTIF('03 - 50% CD'!D45:G45,"Y")&gt;0,"Y",IF(COUNTIF('03 - 50% CD'!D45:G45,"N"),"N","")),"")</f>
        <v>Y</v>
      </c>
      <c r="B45" s="191"/>
      <c r="C45" s="944"/>
      <c r="D45" s="321"/>
      <c r="E45" s="559" t="str">
        <f>IF('C-Design&amp;Const'!$O45="","",'C-Design&amp;Const'!$O45)</f>
        <v>Y</v>
      </c>
      <c r="F45" s="560"/>
      <c r="G45" s="558"/>
      <c r="H45" s="325" t="str">
        <f>CONCATENATE(IF(ISNUMBER(SEARCH("Placeholder",'C-Design&amp;Const'!Z45))=TRUE,"",IF(E45="N","PLACEHOLDER ROW - ","")),'C-Design&amp;Const'!Z45,IF(E45="N","",J45))</f>
        <v xml:space="preserve">Special Considerations  (Updates to) </v>
      </c>
      <c r="I45" s="186"/>
      <c r="J45" s="578" t="str">
        <f>IF('C-Design&amp;Const'!AH45="","",'C-Design&amp;Const'!AH45)</f>
        <v xml:space="preserve"> (Updates to) </v>
      </c>
      <c r="K45" s="285" t="str">
        <f>IF(CD50_apply="Yes",IF((COUNTIF(D45:G45,"Y")=COUNTIF('03 - 50% CD'!D45:G45,"Y")),"match","no 50% match"),"-")</f>
        <v>match</v>
      </c>
      <c r="L45" s="1410" t="str">
        <f t="shared" si="0"/>
        <v/>
      </c>
      <c r="M45" s="1382"/>
      <c r="N45" s="1382"/>
      <c r="O45" s="1382"/>
      <c r="P45" s="1382"/>
      <c r="Q45" s="1382"/>
      <c r="R45" s="1490"/>
      <c r="S45" s="1284"/>
      <c r="T45" s="1382"/>
      <c r="U45" s="1382"/>
      <c r="V45" s="1382"/>
      <c r="W45" s="1382"/>
      <c r="X45" s="1382"/>
      <c r="Y45" s="1382"/>
      <c r="Z45" s="1382"/>
      <c r="AA45" s="1382"/>
      <c r="AB45" s="1382"/>
      <c r="AC45" s="1382"/>
      <c r="AD45" s="1382"/>
      <c r="AE45" s="1382"/>
      <c r="AF45" s="1382"/>
      <c r="AG45" s="1382"/>
      <c r="AH45" s="1382"/>
      <c r="AI45" s="1382"/>
      <c r="AJ45" s="1382"/>
      <c r="AK45" s="181"/>
      <c r="AL45" s="181"/>
      <c r="AM45" s="181"/>
      <c r="AN45" s="181"/>
      <c r="AO45" s="181"/>
      <c r="AP45" s="181"/>
      <c r="AQ45" s="181"/>
      <c r="AR45" s="181"/>
      <c r="AS45" s="181"/>
      <c r="AT45" s="181"/>
      <c r="AU45" s="181"/>
      <c r="AV45" s="181"/>
      <c r="AW45" s="181"/>
    </row>
    <row r="46" spans="1:50" s="30" customFormat="1" x14ac:dyDescent="0.25">
      <c r="A46" s="1407" t="str">
        <f>IF(CD50_apply="Yes",IF(COUNTIF('03 - 50% CD'!D46:G46,"Y")&gt;0,"Y",IF(COUNTIF('03 - 50% CD'!D46:G46,"N"),"N","")),"")</f>
        <v>Y</v>
      </c>
      <c r="B46" s="191"/>
      <c r="C46" s="944"/>
      <c r="D46" s="321"/>
      <c r="E46" s="559" t="str">
        <f>IF('C-Design&amp;Const'!$O46="","",'C-Design&amp;Const'!$O46)</f>
        <v>Y</v>
      </c>
      <c r="F46" s="560"/>
      <c r="G46" s="558"/>
      <c r="H46" s="325" t="str">
        <f>CONCATENATE(IF(ISNUMBER(SEARCH("Placeholder",'C-Design&amp;Const'!Z46))=TRUE,"",IF(E46="N","PLACEHOLDER ROW - ","")),'C-Design&amp;Const'!Z46,IF(E46="N","",J46))</f>
        <v xml:space="preserve">Code Analysis - As Applicable  (Updates to) </v>
      </c>
      <c r="I46" s="186"/>
      <c r="J46" s="578" t="str">
        <f>IF('C-Design&amp;Const'!AH46="","",'C-Design&amp;Const'!AH46)</f>
        <v xml:space="preserve"> (Updates to) </v>
      </c>
      <c r="K46" s="285" t="str">
        <f>IF(CD50_apply="Yes",IF((COUNTIF(D46:G46,"Y")=COUNTIF('03 - 50% CD'!D46:G46,"Y")),"match","no 50% match"),"-")</f>
        <v>match</v>
      </c>
      <c r="L46" s="1410" t="str">
        <f t="shared" si="0"/>
        <v/>
      </c>
      <c r="M46" s="1382"/>
      <c r="N46" s="1382"/>
      <c r="O46" s="1382"/>
      <c r="P46" s="1382"/>
      <c r="Q46" s="1382"/>
      <c r="R46" s="1490"/>
      <c r="S46" s="1284"/>
      <c r="T46" s="1382"/>
      <c r="U46" s="1382"/>
      <c r="V46" s="1382"/>
      <c r="W46" s="1382"/>
      <c r="X46" s="1382"/>
      <c r="Y46" s="1382"/>
      <c r="Z46" s="1382"/>
      <c r="AA46" s="1382"/>
      <c r="AB46" s="1382"/>
      <c r="AC46" s="1382"/>
      <c r="AD46" s="1382"/>
      <c r="AE46" s="1382"/>
      <c r="AF46" s="1382"/>
      <c r="AG46" s="1382"/>
      <c r="AH46" s="1382"/>
      <c r="AI46" s="1382"/>
      <c r="AJ46" s="1382"/>
      <c r="AK46" s="181"/>
      <c r="AL46" s="181"/>
      <c r="AM46" s="181"/>
      <c r="AN46" s="181"/>
      <c r="AO46" s="181"/>
      <c r="AP46" s="181"/>
      <c r="AQ46" s="181"/>
      <c r="AR46" s="181"/>
      <c r="AS46" s="181"/>
      <c r="AT46" s="181"/>
      <c r="AU46" s="181"/>
      <c r="AV46" s="181"/>
      <c r="AW46" s="181"/>
    </row>
    <row r="47" spans="1:50" s="30" customFormat="1" x14ac:dyDescent="0.25">
      <c r="A47" s="1407" t="str">
        <f>IF(CD50_apply="Yes",IF(COUNTIF('03 - 50% CD'!D47:G47,"Y")&gt;0,"Y",IF(COUNTIF('03 - 50% CD'!D47:G47,"N"),"N","")),"")</f>
        <v>Y</v>
      </c>
      <c r="B47" s="191"/>
      <c r="C47" s="944"/>
      <c r="D47" s="321"/>
      <c r="E47" s="559" t="str">
        <f>IF('C-Design&amp;Const'!$O47="","",'C-Design&amp;Const'!$O47)</f>
        <v>Y</v>
      </c>
      <c r="F47" s="560"/>
      <c r="G47" s="558"/>
      <c r="H47" s="325" t="str">
        <f>CONCATENATE(IF(ISNUMBER(SEARCH("Placeholder",'C-Design&amp;Const'!Z47))=TRUE,"",IF(E47="N","PLACEHOLDER ROW - ","")),'C-Design&amp;Const'!Z47,IF(E47="N","",J47))</f>
        <v xml:space="preserve">Permit Analysis  - As Applicable  (Updates to) </v>
      </c>
      <c r="I47" s="186"/>
      <c r="J47" s="578" t="str">
        <f>IF('C-Design&amp;Const'!AH47="","",'C-Design&amp;Const'!AH47)</f>
        <v xml:space="preserve"> (Updates to) </v>
      </c>
      <c r="K47" s="285" t="str">
        <f>IF(CD50_apply="Yes",IF((COUNTIF(D47:G47,"Y")=COUNTIF('03 - 50% CD'!D47:G47,"Y")),"match","no 50% match"),"-")</f>
        <v>match</v>
      </c>
      <c r="L47" s="1410" t="str">
        <f t="shared" si="0"/>
        <v/>
      </c>
      <c r="M47" s="1382"/>
      <c r="N47" s="1382"/>
      <c r="O47" s="1382"/>
      <c r="P47" s="1382"/>
      <c r="Q47" s="1382"/>
      <c r="R47" s="1490"/>
      <c r="S47" s="1284"/>
      <c r="T47" s="1382"/>
      <c r="U47" s="1382"/>
      <c r="V47" s="1382"/>
      <c r="W47" s="1382"/>
      <c r="X47" s="1382"/>
      <c r="Y47" s="1382"/>
      <c r="Z47" s="1382"/>
      <c r="AA47" s="1382"/>
      <c r="AB47" s="1382"/>
      <c r="AC47" s="1382"/>
      <c r="AD47" s="1382"/>
      <c r="AE47" s="1382"/>
      <c r="AF47" s="1382"/>
      <c r="AG47" s="1382"/>
      <c r="AH47" s="1382"/>
      <c r="AI47" s="1382"/>
      <c r="AJ47" s="1382"/>
      <c r="AK47" s="181"/>
      <c r="AL47" s="181"/>
      <c r="AM47" s="181"/>
      <c r="AN47" s="181"/>
      <c r="AO47" s="181"/>
      <c r="AP47" s="181"/>
      <c r="AQ47" s="181"/>
      <c r="AR47" s="181"/>
      <c r="AS47" s="181"/>
      <c r="AT47" s="181"/>
      <c r="AU47" s="181"/>
      <c r="AV47" s="181"/>
      <c r="AW47" s="181"/>
    </row>
    <row r="48" spans="1:50" s="30" customFormat="1" x14ac:dyDescent="0.25">
      <c r="A48" s="1407" t="str">
        <f>IF(CD50_apply="Yes",IF(COUNTIF('03 - 50% CD'!D48:G48,"Y")&gt;0,"Y",IF(COUNTIF('03 - 50% CD'!D48:G48,"N"),"N","")),"")</f>
        <v>Y</v>
      </c>
      <c r="B48" s="191"/>
      <c r="C48" s="944"/>
      <c r="D48" s="321"/>
      <c r="E48" s="559" t="str">
        <f>IF('C-Design&amp;Const'!$O48="","",'C-Design&amp;Const'!$O48)</f>
        <v>Y</v>
      </c>
      <c r="F48" s="560"/>
      <c r="G48" s="558"/>
      <c r="H48" s="325" t="str">
        <f>CONCATENATE(IF(ISNUMBER(SEARCH("Placeholder",'C-Design&amp;Const'!Z48))=TRUE,"",IF(E48="N","PLACEHOLDER ROW - ","")),'C-Design&amp;Const'!Z48,IF(E48="N","",J48))</f>
        <v>Variances - As Applicable  (approved)</v>
      </c>
      <c r="I48" s="186"/>
      <c r="J48" s="578" t="str">
        <f>IF('C-Design&amp;Const'!AH48="","",'C-Design&amp;Const'!AH48)</f>
        <v xml:space="preserve"> (approved)</v>
      </c>
      <c r="K48" s="285" t="str">
        <f>IF(CD50_apply="Yes",IF((COUNTIF(D48:G48,"Y")=COUNTIF('03 - 50% CD'!D48:G48,"Y")),"match","no 50% match"),"-")</f>
        <v>match</v>
      </c>
      <c r="L48" s="1410" t="str">
        <f t="shared" si="0"/>
        <v/>
      </c>
      <c r="M48" s="1382"/>
      <c r="N48" s="1382"/>
      <c r="O48" s="1382"/>
      <c r="P48" s="1382"/>
      <c r="Q48" s="1382"/>
      <c r="R48" s="1490"/>
      <c r="S48" s="1284"/>
      <c r="T48" s="1382"/>
      <c r="U48" s="1382"/>
      <c r="V48" s="1382"/>
      <c r="W48" s="1382"/>
      <c r="X48" s="1382"/>
      <c r="Y48" s="1382"/>
      <c r="Z48" s="1382"/>
      <c r="AA48" s="1382"/>
      <c r="AB48" s="1382"/>
      <c r="AC48" s="1382"/>
      <c r="AD48" s="1382"/>
      <c r="AE48" s="1382"/>
      <c r="AF48" s="1382"/>
      <c r="AG48" s="1382"/>
      <c r="AH48" s="1382"/>
      <c r="AI48" s="1382"/>
      <c r="AJ48" s="1382"/>
      <c r="AK48" s="181"/>
      <c r="AL48" s="181"/>
      <c r="AM48" s="181"/>
      <c r="AN48" s="181"/>
      <c r="AO48" s="181"/>
      <c r="AP48" s="181"/>
      <c r="AQ48" s="181"/>
      <c r="AR48" s="181"/>
      <c r="AS48" s="181"/>
      <c r="AT48" s="181"/>
      <c r="AU48" s="181"/>
      <c r="AV48" s="181"/>
      <c r="AW48" s="181"/>
    </row>
    <row r="49" spans="1:49" s="30" customFormat="1" ht="28.5" x14ac:dyDescent="0.25">
      <c r="A49" s="1407" t="str">
        <f>IF(CD50_apply="Yes",IF(COUNTIF('03 - 50% CD'!D49:G49,"Y")&gt;0,"Y",IF(COUNTIF('03 - 50% CD'!D49:G49,"N"),"N","")),"")</f>
        <v>N</v>
      </c>
      <c r="B49" s="191"/>
      <c r="C49" s="944"/>
      <c r="D49" s="321"/>
      <c r="E49" s="559" t="str">
        <f>IF('C-Design&amp;Const'!$O49="","",'C-Design&amp;Const'!$O49)</f>
        <v>N</v>
      </c>
      <c r="F49" s="560"/>
      <c r="G49" s="558"/>
      <c r="H49" s="1024" t="str">
        <f>CONCATENATE(IF(ISNUMBER(SEARCH("Placeholder",'C-Design&amp;Const'!Z49))=TRUE,"",IF(E49="N","PLACEHOLDER ROW - ","")),'C-Design&amp;Const'!Z49,IF(E49="N","",J49))</f>
        <v xml:space="preserve">PLACEHOLDER ROW - Results of itemized Area Analysis Comparing the Net-to-Gross Square Feet  - Per Floor; Per Assembly Space; and Per Building as applicable </v>
      </c>
      <c r="I49" s="186"/>
      <c r="J49" s="578" t="str">
        <f>IF('C-Design&amp;Const'!AH49="","",'C-Design&amp;Const'!AH49)</f>
        <v xml:space="preserve"> (Updates to) </v>
      </c>
      <c r="K49" s="285" t="str">
        <f>IF(CD50_apply="Yes",IF((COUNTIF(D49:G49,"Y")=COUNTIF('03 - 50% CD'!D49:G49,"Y")),"match","no 50% match"),"-")</f>
        <v>match</v>
      </c>
      <c r="L49" s="1410" t="str">
        <f t="shared" si="0"/>
        <v>&lt;---PM/Planner may hide PLACEHOLDER ROW</v>
      </c>
      <c r="M49" s="1382"/>
      <c r="N49" s="1382"/>
      <c r="O49" s="1382"/>
      <c r="P49" s="1382"/>
      <c r="Q49" s="1382"/>
      <c r="R49" s="1490"/>
      <c r="S49" s="1284"/>
      <c r="T49" s="1382"/>
      <c r="U49" s="1382"/>
      <c r="V49" s="1382"/>
      <c r="W49" s="1382"/>
      <c r="X49" s="1382"/>
      <c r="Y49" s="1382"/>
      <c r="Z49" s="1382"/>
      <c r="AA49" s="1382"/>
      <c r="AB49" s="1382"/>
      <c r="AC49" s="1382"/>
      <c r="AD49" s="1382"/>
      <c r="AE49" s="1382"/>
      <c r="AF49" s="1382"/>
      <c r="AG49" s="1382"/>
      <c r="AH49" s="1382"/>
      <c r="AI49" s="1382"/>
      <c r="AJ49" s="1382"/>
      <c r="AK49" s="181"/>
      <c r="AL49" s="181"/>
      <c r="AM49" s="181"/>
      <c r="AN49" s="181"/>
      <c r="AO49" s="181"/>
      <c r="AP49" s="181"/>
      <c r="AQ49" s="181"/>
      <c r="AR49" s="181"/>
      <c r="AS49" s="181"/>
      <c r="AT49" s="181"/>
      <c r="AU49" s="181"/>
      <c r="AV49" s="181"/>
      <c r="AW49" s="181"/>
    </row>
    <row r="50" spans="1:49" s="30" customFormat="1" x14ac:dyDescent="0.25">
      <c r="A50" s="1407" t="str">
        <f>IF(CD50_apply="Yes",IF(COUNTIF('03 - 50% CD'!D50:G50,"Y")&gt;0,"Y",IF(COUNTIF('03 - 50% CD'!D50:G50,"N"),"N","")),"")</f>
        <v>N</v>
      </c>
      <c r="B50" s="191"/>
      <c r="C50" s="944"/>
      <c r="D50" s="321"/>
      <c r="E50" s="559" t="str">
        <f>IF('C-Design&amp;Const'!$O50="","",'C-Design&amp;Const'!$O50)</f>
        <v>N</v>
      </c>
      <c r="F50" s="560"/>
      <c r="G50" s="558"/>
      <c r="H50" s="362" t="str">
        <f>CONCATENATE(IF(ISNUMBER(SEARCH("Placeholder",'C-Design&amp;Const'!Z50))=TRUE,"",IF(E50="N","PLACEHOLDER ROW - ","")),'C-Design&amp;Const'!Z50,IF(E50="N","",J50))</f>
        <v xml:space="preserve">PLACEHOLDER ROW - Room Type Alternative Concepts </v>
      </c>
      <c r="I50" s="186"/>
      <c r="J50" s="578" t="str">
        <f>IF('C-Design&amp;Const'!AH50="","",'C-Design&amp;Const'!AH50)</f>
        <v xml:space="preserve"> (Updates to) </v>
      </c>
      <c r="K50" s="285" t="str">
        <f>IF(CD50_apply="Yes",IF((COUNTIF(D50:G50,"Y")=COUNTIF('03 - 50% CD'!D50:G50,"Y")),"match","no 50% match"),"-")</f>
        <v>match</v>
      </c>
      <c r="L50" s="1410" t="str">
        <f t="shared" si="0"/>
        <v>&lt;---PM/Planner may hide PLACEHOLDER ROW</v>
      </c>
      <c r="M50" s="1382"/>
      <c r="N50" s="1382"/>
      <c r="O50" s="1382"/>
      <c r="P50" s="1382"/>
      <c r="Q50" s="1382"/>
      <c r="R50" s="1490"/>
      <c r="S50" s="1284"/>
      <c r="T50" s="1382"/>
      <c r="U50" s="1382"/>
      <c r="V50" s="1382"/>
      <c r="W50" s="1382"/>
      <c r="X50" s="1382"/>
      <c r="Y50" s="1382"/>
      <c r="Z50" s="1382"/>
      <c r="AA50" s="1382"/>
      <c r="AB50" s="1382"/>
      <c r="AC50" s="1382"/>
      <c r="AD50" s="1382"/>
      <c r="AE50" s="1382"/>
      <c r="AF50" s="1382"/>
      <c r="AG50" s="1382"/>
      <c r="AH50" s="1382"/>
      <c r="AI50" s="1382"/>
      <c r="AJ50" s="1382"/>
      <c r="AK50" s="181"/>
      <c r="AL50" s="181"/>
      <c r="AM50" s="181"/>
      <c r="AN50" s="181"/>
      <c r="AO50" s="181"/>
      <c r="AP50" s="181"/>
      <c r="AQ50" s="181"/>
      <c r="AR50" s="181"/>
      <c r="AS50" s="181"/>
      <c r="AT50" s="181"/>
      <c r="AU50" s="181"/>
      <c r="AV50" s="181"/>
      <c r="AW50" s="181"/>
    </row>
    <row r="51" spans="1:49" s="30" customFormat="1" x14ac:dyDescent="0.25">
      <c r="A51" s="1407" t="str">
        <f>IF(CD50_apply="Yes",IF(COUNTIF('03 - 50% CD'!D51:G51,"Y")&gt;0,"Y",IF(COUNTIF('03 - 50% CD'!D51:G51,"N"),"N","")),"")</f>
        <v>N</v>
      </c>
      <c r="B51" s="191"/>
      <c r="C51" s="944"/>
      <c r="D51" s="321"/>
      <c r="E51" s="559" t="str">
        <f>IF('C-Design&amp;Const'!$O51="","",'C-Design&amp;Const'!$O51)</f>
        <v>N</v>
      </c>
      <c r="F51" s="560"/>
      <c r="G51" s="558"/>
      <c r="H51" s="362" t="str">
        <f>CONCATENATE(IF(ISNUMBER(SEARCH("Placeholder",'C-Design&amp;Const'!Z51))=TRUE,"",IF(E51="N","PLACEHOLDER ROW - ","")),'C-Design&amp;Const'!Z51,IF(E51="N","",J51))</f>
        <v xml:space="preserve">PLACEHOLDER ROW - Design Concept(s) </v>
      </c>
      <c r="I51" s="186"/>
      <c r="J51" s="578" t="str">
        <f>IF('C-Design&amp;Const'!AH51="","",'C-Design&amp;Const'!AH51)</f>
        <v/>
      </c>
      <c r="K51" s="285" t="str">
        <f>IF(CD50_apply="Yes",IF((COUNTIF(D51:G51,"Y")=COUNTIF('03 - 50% CD'!D51:G51,"Y")),"match","no 50% match"),"-")</f>
        <v>match</v>
      </c>
      <c r="L51" s="1410" t="str">
        <f t="shared" si="0"/>
        <v>&lt;---PM/Planner may hide PLACEHOLDER ROW</v>
      </c>
      <c r="M51" s="1382"/>
      <c r="N51" s="1382"/>
      <c r="O51" s="1382"/>
      <c r="P51" s="1382"/>
      <c r="Q51" s="1382"/>
      <c r="R51" s="1490"/>
      <c r="S51" s="1284"/>
      <c r="T51" s="1382"/>
      <c r="U51" s="1382"/>
      <c r="V51" s="1382"/>
      <c r="W51" s="1382"/>
      <c r="X51" s="1382"/>
      <c r="Y51" s="1382"/>
      <c r="Z51" s="1382"/>
      <c r="AA51" s="1382"/>
      <c r="AB51" s="1382"/>
      <c r="AC51" s="1382"/>
      <c r="AD51" s="1382"/>
      <c r="AE51" s="1382"/>
      <c r="AF51" s="1382"/>
      <c r="AG51" s="1382"/>
      <c r="AH51" s="1382"/>
      <c r="AI51" s="1382"/>
      <c r="AJ51" s="1382"/>
      <c r="AK51" s="181"/>
      <c r="AL51" s="181"/>
      <c r="AM51" s="181"/>
      <c r="AN51" s="181"/>
      <c r="AO51" s="181"/>
      <c r="AP51" s="181"/>
      <c r="AQ51" s="181"/>
      <c r="AR51" s="181"/>
      <c r="AS51" s="181"/>
      <c r="AT51" s="181"/>
      <c r="AU51" s="181"/>
      <c r="AV51" s="181"/>
      <c r="AW51" s="181"/>
    </row>
    <row r="52" spans="1:49" s="30" customFormat="1" x14ac:dyDescent="0.25">
      <c r="A52" s="1407" t="str">
        <f>IF(CD50_apply="Yes",IF(COUNTIF('03 - 50% CD'!D52:G52,"Y")&gt;0,"Y",IF(COUNTIF('03 - 50% CD'!D52:G52,"N"),"N","")),"")</f>
        <v>N</v>
      </c>
      <c r="B52" s="191"/>
      <c r="C52" s="944"/>
      <c r="D52" s="321"/>
      <c r="E52" s="559" t="str">
        <f>IF('C-Design&amp;Const'!$O52="","",'C-Design&amp;Const'!$O52)</f>
        <v>N</v>
      </c>
      <c r="F52" s="560"/>
      <c r="G52" s="558"/>
      <c r="H52" s="362" t="str">
        <f>CONCATENATE(IF(ISNUMBER(SEARCH("Placeholder",'C-Design&amp;Const'!Z52))=TRUE,"",IF(E52="N","PLACEHOLDER ROW - ","")),'C-Design&amp;Const'!Z52,IF(E52="N","",J52))</f>
        <v xml:space="preserve">PLACEHOLDER ROW - Master Plan Impact and Options </v>
      </c>
      <c r="I52" s="186"/>
      <c r="J52" s="578" t="str">
        <f>IF('C-Design&amp;Const'!AH52="","",'C-Design&amp;Const'!AH52)</f>
        <v xml:space="preserve"> (Updates to) </v>
      </c>
      <c r="K52" s="285" t="str">
        <f>IF(CD50_apply="Yes",IF((COUNTIF(D52:G52,"Y")=COUNTIF('03 - 50% CD'!D52:G52,"Y")),"match","no 50% match"),"-")</f>
        <v>match</v>
      </c>
      <c r="L52" s="1410" t="str">
        <f t="shared" si="0"/>
        <v>&lt;---PM/Planner may hide PLACEHOLDER ROW</v>
      </c>
      <c r="M52" s="1382"/>
      <c r="N52" s="1382"/>
      <c r="O52" s="1382"/>
      <c r="P52" s="1382"/>
      <c r="Q52" s="1382"/>
      <c r="R52" s="1490"/>
      <c r="S52" s="1284"/>
      <c r="T52" s="1382"/>
      <c r="U52" s="1382"/>
      <c r="V52" s="1382"/>
      <c r="W52" s="1382"/>
      <c r="X52" s="1382"/>
      <c r="Y52" s="1382"/>
      <c r="Z52" s="1382"/>
      <c r="AA52" s="1382"/>
      <c r="AB52" s="1382"/>
      <c r="AC52" s="1382"/>
      <c r="AD52" s="1382"/>
      <c r="AE52" s="1382"/>
      <c r="AF52" s="1382"/>
      <c r="AG52" s="1382"/>
      <c r="AH52" s="1382"/>
      <c r="AI52" s="1382"/>
      <c r="AJ52" s="1382"/>
      <c r="AK52" s="181"/>
      <c r="AL52" s="181"/>
      <c r="AM52" s="181"/>
      <c r="AN52" s="181"/>
      <c r="AO52" s="181"/>
      <c r="AP52" s="181"/>
      <c r="AQ52" s="181"/>
      <c r="AR52" s="181"/>
      <c r="AS52" s="181"/>
      <c r="AT52" s="181"/>
      <c r="AU52" s="181"/>
      <c r="AV52" s="181"/>
      <c r="AW52" s="181"/>
    </row>
    <row r="53" spans="1:49" s="30" customFormat="1" x14ac:dyDescent="0.25">
      <c r="A53" s="1407" t="str">
        <f>IF(CD50_apply="Yes",IF(COUNTIF('03 - 50% CD'!D53:G53,"Y")&gt;0,"Y",IF(COUNTIF('03 - 50% CD'!D53:G53,"N"),"N","")),"")</f>
        <v>N</v>
      </c>
      <c r="B53" s="191"/>
      <c r="C53" s="944"/>
      <c r="D53" s="321"/>
      <c r="E53" s="559" t="str">
        <f>IF('C-Design&amp;Const'!$O53="","",'C-Design&amp;Const'!$O53)</f>
        <v>N</v>
      </c>
      <c r="F53" s="560"/>
      <c r="G53" s="558"/>
      <c r="H53" s="795" t="str">
        <f>CONCATENATE(IF(ISNUMBER(SEARCH("Placeholder",'C-Design&amp;Const'!Z53))=TRUE,"",IF(E53="N","PLACEHOLDER ROW - ","")),'C-Design&amp;Const'!Z53,IF(E53="N","",J53))</f>
        <v>PLACEHOLDER ROW - Required adjacent property acquisitions</v>
      </c>
      <c r="I53" s="186"/>
      <c r="J53" s="578" t="str">
        <f>IF('C-Design&amp;Const'!AH53="","",'C-Design&amp;Const'!AH53)</f>
        <v xml:space="preserve"> (Updates to) </v>
      </c>
      <c r="K53" s="285" t="str">
        <f>IF(CD50_apply="Yes",IF((COUNTIF(D53:G53,"Y")=COUNTIF('03 - 50% CD'!D53:G53,"Y")),"match","no 50% match"),"-")</f>
        <v>match</v>
      </c>
      <c r="L53" s="1410" t="str">
        <f t="shared" si="0"/>
        <v>&lt;---PM/Planner may hide PLACEHOLDER ROW</v>
      </c>
      <c r="M53" s="1382"/>
      <c r="N53" s="1382"/>
      <c r="O53" s="1382"/>
      <c r="P53" s="1382"/>
      <c r="Q53" s="1382"/>
      <c r="R53" s="1490"/>
      <c r="S53" s="1284"/>
      <c r="T53" s="1382"/>
      <c r="U53" s="1382"/>
      <c r="V53" s="1382"/>
      <c r="W53" s="1382"/>
      <c r="X53" s="1382"/>
      <c r="Y53" s="1382"/>
      <c r="Z53" s="1382"/>
      <c r="AA53" s="1382"/>
      <c r="AB53" s="1382"/>
      <c r="AC53" s="1382"/>
      <c r="AD53" s="1382"/>
      <c r="AE53" s="1382"/>
      <c r="AF53" s="1382"/>
      <c r="AG53" s="1382"/>
      <c r="AH53" s="1382"/>
      <c r="AI53" s="1382"/>
      <c r="AJ53" s="1382"/>
      <c r="AK53" s="181"/>
      <c r="AL53" s="181"/>
      <c r="AM53" s="181"/>
      <c r="AN53" s="181"/>
      <c r="AO53" s="181"/>
      <c r="AP53" s="181"/>
      <c r="AQ53" s="181"/>
      <c r="AR53" s="181"/>
      <c r="AS53" s="181"/>
      <c r="AT53" s="181"/>
      <c r="AU53" s="181"/>
      <c r="AV53" s="181"/>
      <c r="AW53" s="181"/>
    </row>
    <row r="54" spans="1:49" s="30" customFormat="1" x14ac:dyDescent="0.25">
      <c r="A54" s="1407" t="str">
        <f>IF(CD50_apply="Yes",IF(COUNTIF('03 - 50% CD'!D54:G54,"Y")&gt;0,"Y",IF(COUNTIF('03 - 50% CD'!D54:G54,"N"),"N","")),"")</f>
        <v>N</v>
      </c>
      <c r="B54" s="191"/>
      <c r="C54" s="944"/>
      <c r="D54" s="321"/>
      <c r="E54" s="559" t="str">
        <f>IF('C-Design&amp;Const'!$O54="","",'C-Design&amp;Const'!$O54)</f>
        <v>N</v>
      </c>
      <c r="F54" s="560"/>
      <c r="G54" s="558"/>
      <c r="H54" s="795" t="str">
        <f>CONCATENATE(IF(ISNUMBER(SEARCH("Placeholder",'C-Design&amp;Const'!Z54))=TRUE,"",IF(E54="N","PLACEHOLDER ROW - ","")),'C-Design&amp;Const'!Z54,IF(E54="N","",J54))</f>
        <v>PLACEHOLDER ROW - CUSTOM ROW - OPTIONAL CLIENT ITEM</v>
      </c>
      <c r="I54" s="186"/>
      <c r="J54" s="578" t="str">
        <f>IF('C-Design&amp;Const'!AH54="","",'C-Design&amp;Const'!AH54)</f>
        <v xml:space="preserve"> (Updates to) </v>
      </c>
      <c r="K54" s="285" t="str">
        <f>IF(CD50_apply="Yes",IF((COUNTIF(D54:G54,"Y")=COUNTIF('03 - 50% CD'!D54:G54,"Y")),"match","no 50% match"),"-")</f>
        <v>match</v>
      </c>
      <c r="L54" s="1410" t="str">
        <f t="shared" si="0"/>
        <v>&lt;---PM/Planner may hide PLACEHOLDER ROW</v>
      </c>
      <c r="M54" s="1382"/>
      <c r="N54" s="1382"/>
      <c r="O54" s="1382"/>
      <c r="P54" s="1382"/>
      <c r="Q54" s="1382"/>
      <c r="R54" s="1490"/>
      <c r="S54" s="1284"/>
      <c r="T54" s="1382"/>
      <c r="U54" s="1382"/>
      <c r="V54" s="1382"/>
      <c r="W54" s="1382"/>
      <c r="X54" s="1382"/>
      <c r="Y54" s="1382"/>
      <c r="Z54" s="1382"/>
      <c r="AA54" s="1382"/>
      <c r="AB54" s="1382"/>
      <c r="AC54" s="1382"/>
      <c r="AD54" s="1382"/>
      <c r="AE54" s="1382"/>
      <c r="AF54" s="1382"/>
      <c r="AG54" s="1382"/>
      <c r="AH54" s="1382"/>
      <c r="AI54" s="1382"/>
      <c r="AJ54" s="1382"/>
      <c r="AK54" s="181"/>
      <c r="AL54" s="181"/>
      <c r="AM54" s="181"/>
      <c r="AN54" s="181"/>
      <c r="AO54" s="181"/>
      <c r="AP54" s="181"/>
      <c r="AQ54" s="181"/>
      <c r="AR54" s="181"/>
      <c r="AS54" s="181"/>
      <c r="AT54" s="181"/>
      <c r="AU54" s="181"/>
      <c r="AV54" s="181"/>
      <c r="AW54" s="181"/>
    </row>
    <row r="55" spans="1:49" s="30" customFormat="1" hidden="1" x14ac:dyDescent="0.25">
      <c r="A55" s="1407" t="str">
        <f>IF(CD50_apply="Yes",IF(COUNTIF('03 - 50% CD'!D55:G55,"Y")&gt;0,"Y",IF(COUNTIF('03 - 50% CD'!D55:G55,"N"),"N","")),"")</f>
        <v>N</v>
      </c>
      <c r="B55" s="191"/>
      <c r="C55" s="944"/>
      <c r="D55" s="321"/>
      <c r="E55" s="559" t="str">
        <f>IF('C-Design&amp;Const'!$O55="","",'C-Design&amp;Const'!$O55)</f>
        <v>N</v>
      </c>
      <c r="F55" s="560"/>
      <c r="G55" s="558"/>
      <c r="H55" s="795" t="str">
        <f>CONCATENATE(IF(ISNUMBER(SEARCH("Placeholder",'C-Design&amp;Const'!Z55))=TRUE,"",IF(E55="N","PLACEHOLDER ROW - ","")),'C-Design&amp;Const'!Z55,IF(E55="N","",J55))</f>
        <v>PLACEHOLDER ROW - CUSTOM ROW - OPTIONAL CLIENT ITEM</v>
      </c>
      <c r="I55" s="186"/>
      <c r="J55" s="578" t="str">
        <f>IF('C-Design&amp;Const'!AH55="","",'C-Design&amp;Const'!AH55)</f>
        <v/>
      </c>
      <c r="K55" s="285" t="str">
        <f>IF(CD50_apply="Yes",IF((COUNTIF(D55:G55,"Y")=COUNTIF('03 - 50% CD'!D55:G55,"Y")),"match","no 50% match"),"-")</f>
        <v>match</v>
      </c>
      <c r="L55" s="1410" t="str">
        <f t="shared" si="0"/>
        <v>&lt;---PM/Planner may hide PLACEHOLDER ROW</v>
      </c>
      <c r="M55" s="1382"/>
      <c r="N55" s="1382"/>
      <c r="O55" s="1382"/>
      <c r="P55" s="1382"/>
      <c r="Q55" s="1382"/>
      <c r="R55" s="1490"/>
      <c r="S55" s="1284"/>
      <c r="T55" s="1382"/>
      <c r="U55" s="1382"/>
      <c r="V55" s="1382"/>
      <c r="W55" s="1382"/>
      <c r="X55" s="1382"/>
      <c r="Y55" s="1382"/>
      <c r="Z55" s="1382"/>
      <c r="AA55" s="1382"/>
      <c r="AB55" s="1382"/>
      <c r="AC55" s="1382"/>
      <c r="AD55" s="1382"/>
      <c r="AE55" s="1382"/>
      <c r="AF55" s="1382"/>
      <c r="AG55" s="1382"/>
      <c r="AH55" s="1382"/>
      <c r="AI55" s="1382"/>
      <c r="AJ55" s="1382"/>
      <c r="AK55" s="181"/>
      <c r="AL55" s="181"/>
      <c r="AM55" s="181"/>
      <c r="AN55" s="181"/>
      <c r="AO55" s="181"/>
      <c r="AP55" s="181"/>
      <c r="AQ55" s="181"/>
      <c r="AR55" s="181"/>
      <c r="AS55" s="181"/>
      <c r="AT55" s="181"/>
      <c r="AU55" s="181"/>
      <c r="AV55" s="181"/>
      <c r="AW55" s="181"/>
    </row>
    <row r="56" spans="1:49" s="30" customFormat="1" ht="18.75" customHeight="1" x14ac:dyDescent="0.25">
      <c r="A56" s="1407" t="str">
        <f>IF(CD50_apply="Yes",IF(COUNTIF('03 - 50% CD'!D56:G56,"Y")&gt;0,"Y",IF(COUNTIF('03 - 50% CD'!D56:G56,"N"),"N","")),"")</f>
        <v>Y</v>
      </c>
      <c r="B56" s="191"/>
      <c r="C56" s="944"/>
      <c r="D56" s="321"/>
      <c r="E56" s="559" t="str">
        <f>IF('C-Design&amp;Const'!$O56="","",'C-Design&amp;Const'!$O56)</f>
        <v>Y</v>
      </c>
      <c r="F56" s="560"/>
      <c r="G56" s="558"/>
      <c r="H56" s="462" t="str">
        <f>CONCATENATE(IF(E56="N","PLACEHOLDER ROW - ",""),'C-Design&amp;Const'!Z56,IF(E56="N","",J56))</f>
        <v>Building &amp; Site Systems Narratives  (Complete &amp; Updates/Changes Only)</v>
      </c>
      <c r="I56" s="186"/>
      <c r="J56" s="578" t="str">
        <f>IF('C-Design&amp;Const'!AH56="","",'C-Design&amp;Const'!AH56)</f>
        <v xml:space="preserve">  (Complete &amp; Updates/Changes Only)</v>
      </c>
      <c r="K56" s="285" t="str">
        <f>IF(CD50_apply="Yes",IF((COUNTIF(D56:G56,"Y")=COUNTIF('03 - 50% CD'!D56:G56,"Y")),"match","no 50% match"),"-")</f>
        <v>match</v>
      </c>
      <c r="L56" s="1410" t="str">
        <f t="shared" si="0"/>
        <v/>
      </c>
      <c r="M56" s="1382"/>
      <c r="N56" s="1382"/>
      <c r="O56" s="1382"/>
      <c r="P56" s="1382"/>
      <c r="Q56" s="1382"/>
      <c r="R56" s="1490"/>
      <c r="S56" s="1284"/>
      <c r="T56" s="1382"/>
      <c r="U56" s="1382"/>
      <c r="V56" s="1382"/>
      <c r="W56" s="1382"/>
      <c r="X56" s="1382"/>
      <c r="Y56" s="1382"/>
      <c r="Z56" s="1382"/>
      <c r="AA56" s="1382"/>
      <c r="AB56" s="1382"/>
      <c r="AC56" s="1382"/>
      <c r="AD56" s="1382"/>
      <c r="AE56" s="1382"/>
      <c r="AF56" s="1382"/>
      <c r="AG56" s="1382"/>
      <c r="AH56" s="1382"/>
      <c r="AI56" s="1382"/>
      <c r="AJ56" s="1382"/>
      <c r="AK56" s="181"/>
      <c r="AL56" s="181"/>
      <c r="AM56" s="181"/>
      <c r="AN56" s="181"/>
      <c r="AO56" s="181"/>
      <c r="AP56" s="181"/>
      <c r="AQ56" s="181"/>
      <c r="AR56" s="181"/>
      <c r="AS56" s="181"/>
      <c r="AT56" s="181"/>
      <c r="AU56" s="181"/>
      <c r="AV56" s="181"/>
      <c r="AW56" s="181"/>
    </row>
    <row r="57" spans="1:49" s="30" customFormat="1" ht="28.5" x14ac:dyDescent="0.25">
      <c r="A57" s="1518" t="str">
        <f>IF(CD50_apply="Yes",IF(COUNTIF('03 - 50% CD'!D57:G57,"Y")&gt;0,"Y",IF(COUNTIF('03 - 50% CD'!D57:G57,"N"),"N","")),"")</f>
        <v/>
      </c>
      <c r="B57" s="191"/>
      <c r="C57" s="944"/>
      <c r="D57" s="321"/>
      <c r="E57" s="520"/>
      <c r="F57" s="487"/>
      <c r="G57" s="558"/>
      <c r="H57" s="1024" t="str">
        <f>CONCATENATE(IF(E57="N","PLACEHOLDER ROW - ",""),IF(E57="N","",J57),'C-Design&amp;Const'!Z57,)</f>
        <v>Under separate bound cover, any detailed results, reports, surveys, tests, etc… for existing systems verification.</v>
      </c>
      <c r="I57" s="186"/>
      <c r="J57" s="578" t="str">
        <f>IF('C-Design&amp;Const'!AH57="","",'C-Design&amp;Const'!AH57)</f>
        <v/>
      </c>
      <c r="K57" s="285" t="str">
        <f>IF(CD50_apply="Yes",IF((COUNTIF(D57:G57,"Y")=COUNTIF('03 - 50% CD'!D57:G57,"Y")),"match","no 50% match"),"-")</f>
        <v>match</v>
      </c>
      <c r="L57" s="1410" t="str">
        <f t="shared" si="0"/>
        <v/>
      </c>
      <c r="M57" s="1382"/>
      <c r="N57" s="1382"/>
      <c r="O57" s="1382"/>
      <c r="P57" s="1382"/>
      <c r="Q57" s="1382"/>
      <c r="R57" s="1490"/>
      <c r="S57" s="1284"/>
      <c r="T57" s="1382"/>
      <c r="U57" s="1382"/>
      <c r="V57" s="1382"/>
      <c r="W57" s="1382"/>
      <c r="X57" s="1382"/>
      <c r="Y57" s="1382"/>
      <c r="Z57" s="1382"/>
      <c r="AA57" s="1382"/>
      <c r="AB57" s="1382"/>
      <c r="AC57" s="1382"/>
      <c r="AD57" s="1382"/>
      <c r="AE57" s="1382"/>
      <c r="AF57" s="1382"/>
      <c r="AG57" s="1382"/>
      <c r="AH57" s="1382"/>
      <c r="AI57" s="1382"/>
      <c r="AJ57" s="1382"/>
      <c r="AK57" s="181"/>
      <c r="AL57" s="181"/>
      <c r="AM57" s="181"/>
      <c r="AN57" s="181"/>
      <c r="AO57" s="181"/>
      <c r="AP57" s="181"/>
      <c r="AQ57" s="181"/>
      <c r="AR57" s="181"/>
      <c r="AS57" s="181"/>
      <c r="AT57" s="181"/>
      <c r="AU57" s="181"/>
      <c r="AV57" s="181"/>
      <c r="AW57" s="181"/>
    </row>
    <row r="58" spans="1:49" s="30" customFormat="1" ht="42.75" x14ac:dyDescent="0.25">
      <c r="A58" s="1518" t="str">
        <f>IF(CD50_apply="Yes",IF(COUNTIF('03 - 50% CD'!D58:G58,"Y")&gt;0,"Y",IF(COUNTIF('03 - 50% CD'!D58:G58,"N"),"N","")),"")</f>
        <v>Y</v>
      </c>
      <c r="B58" s="191"/>
      <c r="C58" s="944"/>
      <c r="D58" s="321"/>
      <c r="E58" s="466"/>
      <c r="F58" s="559" t="str">
        <f>IF('C-Design&amp;Const'!$O58="","",'C-Design&amp;Const'!$O58)</f>
        <v>Y</v>
      </c>
      <c r="G58" s="558"/>
      <c r="H58" s="1025" t="str">
        <f>CONCATENATE(IF(F58="N","PLACEHOLDER ROW - ",""),'C-Design&amp;Const'!Z58,IF(F58="N","",J58))</f>
        <v xml:space="preserve">Site / Civil / Landscape - Storm Water Management for changes in impervious area **(List assumptions for mitigation.  Verify existing system.  Any outlet into field tiles must be verified for size, location, and condition) (Updates to) </v>
      </c>
      <c r="I58" s="186"/>
      <c r="J58" s="578" t="str">
        <f>IF('C-Design&amp;Const'!AH58="","",'C-Design&amp;Const'!AH58)</f>
        <v xml:space="preserve"> (Updates to) </v>
      </c>
      <c r="K58" s="285" t="str">
        <f>IF(CD50_apply="Yes",IF((COUNTIF(D58:G58,"Y")=COUNTIF('03 - 50% CD'!D58:G58,"Y")),"match","no 50% match"),"-")</f>
        <v>match</v>
      </c>
      <c r="L58" s="1410" t="str">
        <f t="shared" si="0"/>
        <v/>
      </c>
      <c r="M58" s="1382"/>
      <c r="N58" s="1382"/>
      <c r="O58" s="1382"/>
      <c r="P58" s="1382"/>
      <c r="Q58" s="1382"/>
      <c r="R58" s="1490"/>
      <c r="S58" s="1284"/>
      <c r="T58" s="1382"/>
      <c r="U58" s="1382"/>
      <c r="V58" s="1382"/>
      <c r="W58" s="1382"/>
      <c r="X58" s="1382"/>
      <c r="Y58" s="1382"/>
      <c r="Z58" s="1382"/>
      <c r="AA58" s="1382"/>
      <c r="AB58" s="1382"/>
      <c r="AC58" s="1382"/>
      <c r="AD58" s="1382"/>
      <c r="AE58" s="1382"/>
      <c r="AF58" s="1382"/>
      <c r="AG58" s="1382"/>
      <c r="AH58" s="1382"/>
      <c r="AI58" s="1382"/>
      <c r="AJ58" s="1382"/>
      <c r="AK58" s="181"/>
      <c r="AL58" s="181"/>
      <c r="AM58" s="181"/>
      <c r="AN58" s="181"/>
      <c r="AO58" s="181"/>
      <c r="AP58" s="181"/>
      <c r="AQ58" s="181"/>
      <c r="AR58" s="181"/>
      <c r="AS58" s="181"/>
      <c r="AT58" s="181"/>
      <c r="AU58" s="181"/>
      <c r="AV58" s="181"/>
      <c r="AW58" s="181"/>
    </row>
    <row r="59" spans="1:49" s="30" customFormat="1" ht="28.5" x14ac:dyDescent="0.25">
      <c r="A59" s="1518" t="str">
        <f>IF(CD50_apply="Yes",IF(COUNTIF('03 - 50% CD'!D59:G59,"Y")&gt;0,"Y",IF(COUNTIF('03 - 50% CD'!D59:G59,"N"),"N","")),"")</f>
        <v>Y</v>
      </c>
      <c r="B59" s="191"/>
      <c r="C59" s="944"/>
      <c r="D59" s="321"/>
      <c r="E59" s="466"/>
      <c r="F59" s="559" t="str">
        <f>IF('C-Design&amp;Const'!$O59="","",'C-Design&amp;Const'!$O59)</f>
        <v>Y</v>
      </c>
      <c r="G59" s="558"/>
      <c r="H59" s="408" t="str">
        <f>CONCATENATE(IF(F59="N","PLACEHOLDER ROW - ",""),'C-Design&amp;Const'!Z59,IF(F59="N","",J59))</f>
        <v xml:space="preserve">Site / Civil / Landscape - Bike Parking, Vehicle Parking,  Driveways, Multimodal Transporation (Updates to) </v>
      </c>
      <c r="I59" s="186"/>
      <c r="J59" s="578" t="str">
        <f>IF('C-Design&amp;Const'!AH59="","",'C-Design&amp;Const'!AH59)</f>
        <v xml:space="preserve"> (Updates to) </v>
      </c>
      <c r="K59" s="285" t="str">
        <f>IF(CD50_apply="Yes",IF((COUNTIF(D59:G59,"Y")=COUNTIF('03 - 50% CD'!D59:G59,"Y")),"match","no 50% match"),"-")</f>
        <v>match</v>
      </c>
      <c r="L59" s="1410" t="str">
        <f t="shared" si="0"/>
        <v/>
      </c>
      <c r="M59" s="1382"/>
      <c r="N59" s="1382"/>
      <c r="O59" s="1382"/>
      <c r="P59" s="1382"/>
      <c r="Q59" s="1382"/>
      <c r="R59" s="1490"/>
      <c r="S59" s="1284"/>
      <c r="T59" s="1382"/>
      <c r="U59" s="1382"/>
      <c r="V59" s="1382"/>
      <c r="W59" s="1382"/>
      <c r="X59" s="1382"/>
      <c r="Y59" s="1382"/>
      <c r="Z59" s="1382"/>
      <c r="AA59" s="1382"/>
      <c r="AB59" s="1382"/>
      <c r="AC59" s="1382"/>
      <c r="AD59" s="1382"/>
      <c r="AE59" s="1382"/>
      <c r="AF59" s="1382"/>
      <c r="AG59" s="1382"/>
      <c r="AH59" s="1382"/>
      <c r="AI59" s="1382"/>
      <c r="AJ59" s="1382"/>
      <c r="AK59" s="181"/>
      <c r="AL59" s="181"/>
      <c r="AM59" s="181"/>
      <c r="AN59" s="181"/>
      <c r="AO59" s="181"/>
      <c r="AP59" s="181"/>
      <c r="AQ59" s="181"/>
      <c r="AR59" s="181"/>
      <c r="AS59" s="181"/>
      <c r="AT59" s="181"/>
      <c r="AU59" s="181"/>
      <c r="AV59" s="181"/>
      <c r="AW59" s="181"/>
    </row>
    <row r="60" spans="1:49" s="545" customFormat="1" x14ac:dyDescent="0.25">
      <c r="A60" s="1518" t="str">
        <f>IF(CD50_apply="Yes",IF(COUNTIF('03 - 50% CD'!D60:G60,"Y")&gt;0,"Y",IF(COUNTIF('03 - 50% CD'!D60:G60,"N"),"N","")),"")</f>
        <v>Y</v>
      </c>
      <c r="B60" s="554"/>
      <c r="C60" s="944"/>
      <c r="D60" s="321"/>
      <c r="E60" s="466"/>
      <c r="F60" s="559" t="str">
        <f>IF('C-Design&amp;Const'!$O60="","",'C-Design&amp;Const'!$O60)</f>
        <v>Y</v>
      </c>
      <c r="G60" s="558"/>
      <c r="H60" s="1025" t="str">
        <f>CONCATENATE(IF(F60="N","PLACEHOLDER ROW - ",""),'C-Design&amp;Const'!Z60,IF(F60="N","",J60))</f>
        <v xml:space="preserve">Site / Civil / Landscape - Waste &amp; Recycling Hauling, Service Access, &amp; Loading Zones (Updates to) </v>
      </c>
      <c r="I60" s="186"/>
      <c r="J60" s="578" t="str">
        <f>IF('C-Design&amp;Const'!AH60="","",'C-Design&amp;Const'!AH60)</f>
        <v xml:space="preserve"> (Updates to) </v>
      </c>
      <c r="K60" s="285" t="str">
        <f>IF(CD50_apply="Yes",IF((COUNTIF(D60:G60,"Y")=COUNTIF('03 - 50% CD'!D60:G60,"Y")),"match","no 50% match"),"-")</f>
        <v>match</v>
      </c>
      <c r="L60" s="1410" t="str">
        <f t="shared" ref="L60" si="1">CONCATENATE(IF(ISNUMBER(SEARCH("Placeholder",H60))=TRUE,"&lt;---PM/Planner may hide PLACEHOLDER ROW",""))</f>
        <v/>
      </c>
      <c r="M60" s="1382"/>
      <c r="N60" s="1382"/>
      <c r="O60" s="1382"/>
      <c r="P60" s="1382"/>
      <c r="Q60" s="1382"/>
      <c r="R60" s="1490"/>
      <c r="S60" s="1284"/>
      <c r="T60" s="1382"/>
      <c r="U60" s="1382"/>
      <c r="V60" s="1382"/>
      <c r="W60" s="1382"/>
      <c r="X60" s="1382"/>
      <c r="Y60" s="1382"/>
      <c r="Z60" s="1382"/>
      <c r="AA60" s="1382"/>
      <c r="AB60" s="1382"/>
      <c r="AC60" s="1382"/>
      <c r="AD60" s="1382"/>
      <c r="AE60" s="1382"/>
      <c r="AF60" s="1382"/>
      <c r="AG60" s="1382"/>
      <c r="AH60" s="1382"/>
      <c r="AI60" s="1382"/>
      <c r="AJ60" s="1382"/>
      <c r="AK60" s="551"/>
      <c r="AL60" s="551"/>
      <c r="AM60" s="551"/>
      <c r="AN60" s="551"/>
      <c r="AO60" s="551"/>
      <c r="AP60" s="551"/>
      <c r="AQ60" s="551"/>
      <c r="AR60" s="551"/>
      <c r="AS60" s="551"/>
      <c r="AT60" s="551"/>
      <c r="AU60" s="551"/>
      <c r="AV60" s="551"/>
      <c r="AW60" s="551"/>
    </row>
    <row r="61" spans="1:49" s="30" customFormat="1" x14ac:dyDescent="0.25">
      <c r="A61" s="1518" t="str">
        <f>IF(CD50_apply="Yes",IF(COUNTIF('03 - 50% CD'!D61:G61,"Y")&gt;0,"Y",IF(COUNTIF('03 - 50% CD'!D61:G61,"N"),"N","")),"")</f>
        <v>Y</v>
      </c>
      <c r="B61" s="191"/>
      <c r="C61" s="944"/>
      <c r="D61" s="321"/>
      <c r="E61" s="466"/>
      <c r="F61" s="559" t="str">
        <f>IF('C-Design&amp;Const'!$O61="","",'C-Design&amp;Const'!$O61)</f>
        <v>Y</v>
      </c>
      <c r="G61" s="558"/>
      <c r="H61" s="408" t="str">
        <f>CONCATENATE(IF(F61="N","PLACEHOLDER ROW - ",""),'C-Design&amp;Const'!Z61,IF(F61="N","",J61))</f>
        <v xml:space="preserve">Site / Civil / Landscape - Sidewalks, Plazas, Landscape (Updates to) </v>
      </c>
      <c r="I61" s="186"/>
      <c r="J61" s="578" t="str">
        <f>IF('C-Design&amp;Const'!AH61="","",'C-Design&amp;Const'!AH61)</f>
        <v xml:space="preserve"> (Updates to) </v>
      </c>
      <c r="K61" s="285" t="str">
        <f>IF(CD50_apply="Yes",IF((COUNTIF(D61:G61,"Y")=COUNTIF('03 - 50% CD'!D61:G61,"Y")),"match","no 50% match"),"-")</f>
        <v>match</v>
      </c>
      <c r="L61" s="1410" t="str">
        <f t="shared" si="0"/>
        <v/>
      </c>
      <c r="M61" s="1382"/>
      <c r="N61" s="1382"/>
      <c r="O61" s="1382"/>
      <c r="P61" s="1382"/>
      <c r="Q61" s="1382"/>
      <c r="R61" s="1490"/>
      <c r="S61" s="1284"/>
      <c r="T61" s="1382"/>
      <c r="U61" s="1382"/>
      <c r="V61" s="1382"/>
      <c r="W61" s="1382"/>
      <c r="X61" s="1382"/>
      <c r="Y61" s="1382"/>
      <c r="Z61" s="1382"/>
      <c r="AA61" s="1382"/>
      <c r="AB61" s="1382"/>
      <c r="AC61" s="1382"/>
      <c r="AD61" s="1382"/>
      <c r="AE61" s="1382"/>
      <c r="AF61" s="1382"/>
      <c r="AG61" s="1382"/>
      <c r="AH61" s="1382"/>
      <c r="AI61" s="1382"/>
      <c r="AJ61" s="1382"/>
      <c r="AK61" s="181"/>
      <c r="AL61" s="181"/>
      <c r="AM61" s="181"/>
      <c r="AN61" s="181"/>
      <c r="AO61" s="181"/>
      <c r="AP61" s="181"/>
      <c r="AQ61" s="181"/>
      <c r="AR61" s="181"/>
      <c r="AS61" s="181"/>
      <c r="AT61" s="181"/>
      <c r="AU61" s="181"/>
      <c r="AV61" s="181"/>
      <c r="AW61" s="181"/>
    </row>
    <row r="62" spans="1:49" s="30" customFormat="1" x14ac:dyDescent="0.25">
      <c r="A62" s="1518" t="str">
        <f>IF(CD50_apply="Yes",IF(COUNTIF('03 - 50% CD'!D62:G62,"Y")&gt;0,"Y",IF(COUNTIF('03 - 50% CD'!D62:G62,"N"),"N","")),"")</f>
        <v>Y</v>
      </c>
      <c r="B62" s="191"/>
      <c r="C62" s="944"/>
      <c r="D62" s="321"/>
      <c r="E62" s="466"/>
      <c r="F62" s="559" t="str">
        <f>IF('C-Design&amp;Const'!$O62="","",'C-Design&amp;Const'!$O62)</f>
        <v>Y</v>
      </c>
      <c r="G62" s="558"/>
      <c r="H62" s="408" t="str">
        <f>CONCATENATE(IF(F62="N","PLACEHOLDER ROW - ",""),'C-Design&amp;Const'!Z62,IF(F62="N","",J62))</f>
        <v xml:space="preserve">Site / Civil / Landscape - Demolition &amp; Site Clearing (Updates to) </v>
      </c>
      <c r="I62" s="186"/>
      <c r="J62" s="578" t="str">
        <f>IF('C-Design&amp;Const'!AH62="","",'C-Design&amp;Const'!AH62)</f>
        <v xml:space="preserve"> (Updates to) </v>
      </c>
      <c r="K62" s="285" t="str">
        <f>IF(CD50_apply="Yes",IF((COUNTIF(D62:G62,"Y")=COUNTIF('03 - 50% CD'!D62:G62,"Y")),"match","no 50% match"),"-")</f>
        <v>match</v>
      </c>
      <c r="L62" s="1410" t="str">
        <f t="shared" si="0"/>
        <v/>
      </c>
      <c r="M62" s="1382"/>
      <c r="N62" s="1382"/>
      <c r="O62" s="1382"/>
      <c r="P62" s="1382"/>
      <c r="Q62" s="1382"/>
      <c r="R62" s="1490"/>
      <c r="S62" s="1284"/>
      <c r="T62" s="1382"/>
      <c r="U62" s="1382"/>
      <c r="V62" s="1382"/>
      <c r="W62" s="1382"/>
      <c r="X62" s="1382"/>
      <c r="Y62" s="1382"/>
      <c r="Z62" s="1382"/>
      <c r="AA62" s="1382"/>
      <c r="AB62" s="1382"/>
      <c r="AC62" s="1382"/>
      <c r="AD62" s="1382"/>
      <c r="AE62" s="1382"/>
      <c r="AF62" s="1382"/>
      <c r="AG62" s="1382"/>
      <c r="AH62" s="1382"/>
      <c r="AI62" s="1382"/>
      <c r="AJ62" s="1382"/>
      <c r="AK62" s="181"/>
      <c r="AL62" s="181"/>
      <c r="AM62" s="181"/>
      <c r="AN62" s="181"/>
      <c r="AO62" s="181"/>
      <c r="AP62" s="181"/>
      <c r="AQ62" s="181"/>
      <c r="AR62" s="181"/>
      <c r="AS62" s="181"/>
      <c r="AT62" s="181"/>
      <c r="AU62" s="181"/>
      <c r="AV62" s="181"/>
      <c r="AW62" s="181"/>
    </row>
    <row r="63" spans="1:49" s="30" customFormat="1" x14ac:dyDescent="0.25">
      <c r="A63" s="1518" t="str">
        <f>IF(CD50_apply="Yes",IF(COUNTIF('03 - 50% CD'!D63:G63,"Y")&gt;0,"Y",IF(COUNTIF('03 - 50% CD'!D63:G63,"N"),"N","")),"")</f>
        <v>Y</v>
      </c>
      <c r="B63" s="191"/>
      <c r="C63" s="944"/>
      <c r="D63" s="321"/>
      <c r="E63" s="466"/>
      <c r="F63" s="559" t="str">
        <f>IF('C-Design&amp;Const'!$O63="","",'C-Design&amp;Const'!$O63)</f>
        <v>Y</v>
      </c>
      <c r="G63" s="558"/>
      <c r="H63" s="408" t="str">
        <f>CONCATENATE(IF(F63="N","PLACEHOLDER ROW - ",""),'C-Design&amp;Const'!Z63,IF(F63="N","",J63))</f>
        <v xml:space="preserve">Site / Civil / Landscape - Utility Relocations (Updates to) </v>
      </c>
      <c r="I63" s="186"/>
      <c r="J63" s="578" t="str">
        <f>IF('C-Design&amp;Const'!AH63="","",'C-Design&amp;Const'!AH63)</f>
        <v xml:space="preserve"> (Updates to) </v>
      </c>
      <c r="K63" s="285" t="str">
        <f>IF(CD50_apply="Yes",IF((COUNTIF(D63:G63,"Y")=COUNTIF('03 - 50% CD'!D63:G63,"Y")),"match","no 50% match"),"-")</f>
        <v>match</v>
      </c>
      <c r="L63" s="1410" t="str">
        <f t="shared" si="0"/>
        <v/>
      </c>
      <c r="M63" s="1382"/>
      <c r="N63" s="1382"/>
      <c r="O63" s="1382"/>
      <c r="P63" s="1382"/>
      <c r="Q63" s="1382"/>
      <c r="R63" s="1490"/>
      <c r="S63" s="1284"/>
      <c r="T63" s="1382"/>
      <c r="U63" s="1382"/>
      <c r="V63" s="1382"/>
      <c r="W63" s="1382"/>
      <c r="X63" s="1382"/>
      <c r="Y63" s="1382"/>
      <c r="Z63" s="1382"/>
      <c r="AA63" s="1382"/>
      <c r="AB63" s="1382"/>
      <c r="AC63" s="1382"/>
      <c r="AD63" s="1382"/>
      <c r="AE63" s="1382"/>
      <c r="AF63" s="1382"/>
      <c r="AG63" s="1382"/>
      <c r="AH63" s="1382"/>
      <c r="AI63" s="1382"/>
      <c r="AJ63" s="1382"/>
      <c r="AK63" s="181"/>
      <c r="AL63" s="181"/>
      <c r="AM63" s="181"/>
      <c r="AN63" s="181"/>
      <c r="AO63" s="181"/>
      <c r="AP63" s="181"/>
      <c r="AQ63" s="181"/>
      <c r="AR63" s="181"/>
      <c r="AS63" s="181"/>
      <c r="AT63" s="181"/>
      <c r="AU63" s="181"/>
      <c r="AV63" s="181"/>
      <c r="AW63" s="181"/>
    </row>
    <row r="64" spans="1:49" s="30" customFormat="1" x14ac:dyDescent="0.25">
      <c r="A64" s="1518" t="str">
        <f>IF(CD50_apply="Yes",IF(COUNTIF('03 - 50% CD'!D64:G64,"Y")&gt;0,"Y",IF(COUNTIF('03 - 50% CD'!D64:G64,"N"),"N","")),"")</f>
        <v>Y</v>
      </c>
      <c r="B64" s="191"/>
      <c r="C64" s="944"/>
      <c r="D64" s="321"/>
      <c r="E64" s="466"/>
      <c r="F64" s="559" t="str">
        <f>IF('C-Design&amp;Const'!$O64="","",'C-Design&amp;Const'!$O64)</f>
        <v>Y</v>
      </c>
      <c r="G64" s="558"/>
      <c r="H64" s="408" t="str">
        <f>CONCATENATE(IF(F64="N","PLACEHOLDER ROW - ",""),'C-Design&amp;Const'!Z64,IF(F64="N","",J64))</f>
        <v xml:space="preserve">Site / Civil / Landscape - Utility Abandonments (Updates to) </v>
      </c>
      <c r="I64" s="186"/>
      <c r="J64" s="578" t="str">
        <f>IF('C-Design&amp;Const'!AH64="","",'C-Design&amp;Const'!AH64)</f>
        <v xml:space="preserve"> (Updates to) </v>
      </c>
      <c r="K64" s="285" t="str">
        <f>IF(CD50_apply="Yes",IF((COUNTIF(D64:G64,"Y")=COUNTIF('03 - 50% CD'!D64:G64,"Y")),"match","no 50% match"),"-")</f>
        <v>match</v>
      </c>
      <c r="L64" s="1410" t="str">
        <f t="shared" si="0"/>
        <v/>
      </c>
      <c r="M64" s="1382"/>
      <c r="N64" s="1382"/>
      <c r="O64" s="1382"/>
      <c r="P64" s="1382"/>
      <c r="Q64" s="1382"/>
      <c r="R64" s="1490"/>
      <c r="S64" s="1284"/>
      <c r="T64" s="1382"/>
      <c r="U64" s="1382"/>
      <c r="V64" s="1382"/>
      <c r="W64" s="1382"/>
      <c r="X64" s="1382"/>
      <c r="Y64" s="1382"/>
      <c r="Z64" s="1382"/>
      <c r="AA64" s="1382"/>
      <c r="AB64" s="1382"/>
      <c r="AC64" s="1382"/>
      <c r="AD64" s="1382"/>
      <c r="AE64" s="1382"/>
      <c r="AF64" s="1382"/>
      <c r="AG64" s="1382"/>
      <c r="AH64" s="1382"/>
      <c r="AI64" s="1382"/>
      <c r="AJ64" s="1382"/>
      <c r="AK64" s="181"/>
      <c r="AL64" s="181"/>
      <c r="AM64" s="181"/>
      <c r="AN64" s="181"/>
      <c r="AO64" s="181"/>
      <c r="AP64" s="181"/>
      <c r="AQ64" s="181"/>
      <c r="AR64" s="181"/>
      <c r="AS64" s="181"/>
      <c r="AT64" s="181"/>
      <c r="AU64" s="181"/>
      <c r="AV64" s="181"/>
      <c r="AW64" s="181"/>
    </row>
    <row r="65" spans="1:49" s="30" customFormat="1" x14ac:dyDescent="0.25">
      <c r="A65" s="1518" t="str">
        <f>IF(CD50_apply="Yes",IF(COUNTIF('03 - 50% CD'!D65:G65,"Y")&gt;0,"Y",IF(COUNTIF('03 - 50% CD'!D65:G65,"N"),"N","")),"")</f>
        <v>N</v>
      </c>
      <c r="B65" s="191"/>
      <c r="C65" s="944"/>
      <c r="D65" s="321"/>
      <c r="E65" s="466"/>
      <c r="F65" s="559" t="str">
        <f>IF('C-Design&amp;Const'!$O65="","",'C-Design&amp;Const'!$O65)</f>
        <v>N</v>
      </c>
      <c r="G65" s="558"/>
      <c r="H65" s="408" t="str">
        <f>CONCATENATE(IF(F65="N","PLACEHOLDER ROW - ",""),'C-Design&amp;Const'!Z65,IF(F65="N","",J65))</f>
        <v>PLACEHOLDER ROW - Site / Civil / Landscape - CUSTOM</v>
      </c>
      <c r="I65" s="186"/>
      <c r="J65" s="578" t="str">
        <f>IF('C-Design&amp;Const'!AH65="","",'C-Design&amp;Const'!AH65)</f>
        <v xml:space="preserve"> (Updates to) </v>
      </c>
      <c r="K65" s="285" t="str">
        <f>IF(CD50_apply="Yes",IF((COUNTIF(D65:G65,"Y")=COUNTIF('03 - 50% CD'!D65:G65,"Y")),"match","no 50% match"),"-")</f>
        <v>match</v>
      </c>
      <c r="L65" s="1410" t="str">
        <f t="shared" si="0"/>
        <v>&lt;---PM/Planner may hide PLACEHOLDER ROW</v>
      </c>
      <c r="M65" s="1382"/>
      <c r="N65" s="1382"/>
      <c r="O65" s="1382"/>
      <c r="P65" s="1382"/>
      <c r="Q65" s="1382"/>
      <c r="R65" s="1490"/>
      <c r="S65" s="1284"/>
      <c r="T65" s="1382"/>
      <c r="U65" s="1382"/>
      <c r="V65" s="1382"/>
      <c r="W65" s="1382"/>
      <c r="X65" s="1382"/>
      <c r="Y65" s="1382"/>
      <c r="Z65" s="1382"/>
      <c r="AA65" s="1382"/>
      <c r="AB65" s="1382"/>
      <c r="AC65" s="1382"/>
      <c r="AD65" s="1382"/>
      <c r="AE65" s="1382"/>
      <c r="AF65" s="1382"/>
      <c r="AG65" s="1382"/>
      <c r="AH65" s="1382"/>
      <c r="AI65" s="1382"/>
      <c r="AJ65" s="1382"/>
      <c r="AK65" s="181"/>
      <c r="AL65" s="181"/>
      <c r="AM65" s="181"/>
      <c r="AN65" s="181"/>
      <c r="AO65" s="181"/>
      <c r="AP65" s="181"/>
      <c r="AQ65" s="181"/>
      <c r="AR65" s="181"/>
      <c r="AS65" s="181"/>
      <c r="AT65" s="181"/>
      <c r="AU65" s="181"/>
      <c r="AV65" s="181"/>
      <c r="AW65" s="181"/>
    </row>
    <row r="66" spans="1:49" s="545" customFormat="1" x14ac:dyDescent="0.25">
      <c r="A66" s="1518" t="str">
        <f>IF(CD50_apply="Yes",IF(COUNTIF('03 - 50% CD'!D66:G66,"Y")&gt;0,"Y",IF(COUNTIF('03 - 50% CD'!D66:G66,"N"),"N","")),"")</f>
        <v>Y</v>
      </c>
      <c r="B66" s="554"/>
      <c r="C66" s="944"/>
      <c r="D66" s="321"/>
      <c r="E66" s="466"/>
      <c r="F66" s="559" t="str">
        <f>IF('C-Design&amp;Const'!$O66="","",'C-Design&amp;Const'!$O66)</f>
        <v>Y</v>
      </c>
      <c r="G66" s="558"/>
      <c r="H66" s="408" t="str">
        <f>CONCATENATE(IF(F66="N","PLACEHOLDER ROW - ",""),'C-Design&amp;Const'!Z66,IF(F66="N","",J66))</f>
        <v xml:space="preserve">Architectural - Demolition(s) (Updates to) </v>
      </c>
      <c r="I66" s="186"/>
      <c r="J66" s="578" t="str">
        <f>IF('C-Design&amp;Const'!AH66="","",'C-Design&amp;Const'!AH66)</f>
        <v xml:space="preserve"> (Updates to) </v>
      </c>
      <c r="K66" s="285" t="str">
        <f>IF(CD50_apply="Yes",IF((COUNTIF(D66:G66,"Y")=COUNTIF('03 - 50% CD'!D66:G66,"Y")),"match","no 50% match"),"-")</f>
        <v>match</v>
      </c>
      <c r="L66" s="1410" t="str">
        <f t="shared" ref="L66" si="2">CONCATENATE(IF(ISNUMBER(SEARCH("Placeholder",H66))=TRUE,"&lt;---PM/Planner may hide PLACEHOLDER ROW",""))</f>
        <v/>
      </c>
      <c r="M66" s="1382"/>
      <c r="N66" s="1382"/>
      <c r="O66" s="1382"/>
      <c r="P66" s="1382"/>
      <c r="Q66" s="1382"/>
      <c r="R66" s="1490"/>
      <c r="S66" s="1284"/>
      <c r="T66" s="1382"/>
      <c r="U66" s="1382"/>
      <c r="V66" s="1382"/>
      <c r="W66" s="1382"/>
      <c r="X66" s="1382"/>
      <c r="Y66" s="1382"/>
      <c r="Z66" s="1382"/>
      <c r="AA66" s="1382"/>
      <c r="AB66" s="1382"/>
      <c r="AC66" s="1382"/>
      <c r="AD66" s="1382"/>
      <c r="AE66" s="1382"/>
      <c r="AF66" s="1382"/>
      <c r="AG66" s="1382"/>
      <c r="AH66" s="1382"/>
      <c r="AI66" s="1382"/>
      <c r="AJ66" s="1382"/>
      <c r="AK66" s="551"/>
      <c r="AL66" s="551"/>
      <c r="AM66" s="551"/>
      <c r="AN66" s="551"/>
      <c r="AO66" s="551"/>
      <c r="AP66" s="551"/>
      <c r="AQ66" s="551"/>
      <c r="AR66" s="551"/>
      <c r="AS66" s="551"/>
      <c r="AT66" s="551"/>
      <c r="AU66" s="551"/>
      <c r="AV66" s="551"/>
      <c r="AW66" s="551"/>
    </row>
    <row r="67" spans="1:49" s="30" customFormat="1" x14ac:dyDescent="0.25">
      <c r="A67" s="1518" t="str">
        <f>IF(CD50_apply="Yes",IF(COUNTIF('03 - 50% CD'!D67:G67,"Y")&gt;0,"Y",IF(COUNTIF('03 - 50% CD'!D67:G67,"N"),"N","")),"")</f>
        <v>Y</v>
      </c>
      <c r="B67" s="191"/>
      <c r="C67" s="944"/>
      <c r="D67" s="321"/>
      <c r="E67" s="466"/>
      <c r="F67" s="559" t="str">
        <f>IF('C-Design&amp;Const'!$O67="","",'C-Design&amp;Const'!$O67)</f>
        <v>Y</v>
      </c>
      <c r="G67" s="558"/>
      <c r="H67" s="408" t="str">
        <f>CONCATENATE(IF(F67="N","PLACEHOLDER ROW - ",""),'C-Design&amp;Const'!Z67,IF(F67="N","",J67))</f>
        <v xml:space="preserve">Architectural - Space Use (Updates to) </v>
      </c>
      <c r="I67" s="186"/>
      <c r="J67" s="578" t="str">
        <f>IF('C-Design&amp;Const'!AH67="","",'C-Design&amp;Const'!AH67)</f>
        <v xml:space="preserve"> (Updates to) </v>
      </c>
      <c r="K67" s="285" t="str">
        <f>IF(CD50_apply="Yes",IF((COUNTIF(D67:G67,"Y")=COUNTIF('03 - 50% CD'!D67:G67,"Y")),"match","no 50% match"),"-")</f>
        <v>match</v>
      </c>
      <c r="L67" s="1410" t="str">
        <f t="shared" si="0"/>
        <v/>
      </c>
      <c r="M67" s="1382"/>
      <c r="N67" s="1382"/>
      <c r="O67" s="1382"/>
      <c r="P67" s="1382"/>
      <c r="Q67" s="1382"/>
      <c r="R67" s="1490"/>
      <c r="S67" s="1284"/>
      <c r="T67" s="1382"/>
      <c r="U67" s="1382"/>
      <c r="V67" s="1382"/>
      <c r="W67" s="1382"/>
      <c r="X67" s="1382"/>
      <c r="Y67" s="1382"/>
      <c r="Z67" s="1382"/>
      <c r="AA67" s="1382"/>
      <c r="AB67" s="1382"/>
      <c r="AC67" s="1382"/>
      <c r="AD67" s="1382"/>
      <c r="AE67" s="1382"/>
      <c r="AF67" s="1382"/>
      <c r="AG67" s="1382"/>
      <c r="AH67" s="1382"/>
      <c r="AI67" s="1382"/>
      <c r="AJ67" s="1382"/>
      <c r="AK67" s="181"/>
      <c r="AL67" s="181"/>
      <c r="AM67" s="181"/>
      <c r="AN67" s="181"/>
      <c r="AO67" s="181"/>
      <c r="AP67" s="181"/>
      <c r="AQ67" s="181"/>
      <c r="AR67" s="181"/>
      <c r="AS67" s="181"/>
      <c r="AT67" s="181"/>
      <c r="AU67" s="181"/>
      <c r="AV67" s="181"/>
      <c r="AW67" s="181"/>
    </row>
    <row r="68" spans="1:49" s="30" customFormat="1" x14ac:dyDescent="0.25">
      <c r="A68" s="1518" t="str">
        <f>IF(CD50_apply="Yes",IF(COUNTIF('03 - 50% CD'!D68:G68,"Y")&gt;0,"Y",IF(COUNTIF('03 - 50% CD'!D68:G68,"N"),"N","")),"")</f>
        <v>Y</v>
      </c>
      <c r="B68" s="191"/>
      <c r="C68" s="944"/>
      <c r="D68" s="321"/>
      <c r="E68" s="466"/>
      <c r="F68" s="559" t="str">
        <f>IF('C-Design&amp;Const'!$O68="","",'C-Design&amp;Const'!$O68)</f>
        <v>Y</v>
      </c>
      <c r="G68" s="558"/>
      <c r="H68" s="408" t="str">
        <f>CONCATENATE(IF(F68="N","PLACEHOLDER ROW - ",""),'C-Design&amp;Const'!Z68,IF(F68="N","",J68))</f>
        <v xml:space="preserve">Architectural - Historical Preservation (Updates to) </v>
      </c>
      <c r="I68" s="186"/>
      <c r="J68" s="578" t="str">
        <f>IF('C-Design&amp;Const'!AH68="","",'C-Design&amp;Const'!AH68)</f>
        <v xml:space="preserve"> (Updates to) </v>
      </c>
      <c r="K68" s="285" t="str">
        <f>IF(CD50_apply="Yes",IF((COUNTIF(D68:G68,"Y")=COUNTIF('03 - 50% CD'!D68:G68,"Y")),"match","no 50% match"),"-")</f>
        <v>match</v>
      </c>
      <c r="L68" s="1410" t="str">
        <f t="shared" si="0"/>
        <v/>
      </c>
      <c r="M68" s="1382"/>
      <c r="N68" s="1382"/>
      <c r="O68" s="1382"/>
      <c r="P68" s="1382"/>
      <c r="Q68" s="1382"/>
      <c r="R68" s="1490"/>
      <c r="S68" s="1284"/>
      <c r="T68" s="1382"/>
      <c r="U68" s="1382"/>
      <c r="V68" s="1382"/>
      <c r="W68" s="1382"/>
      <c r="X68" s="1382"/>
      <c r="Y68" s="1382"/>
      <c r="Z68" s="1382"/>
      <c r="AA68" s="1382"/>
      <c r="AB68" s="1382"/>
      <c r="AC68" s="1382"/>
      <c r="AD68" s="1382"/>
      <c r="AE68" s="1382"/>
      <c r="AF68" s="1382"/>
      <c r="AG68" s="1382"/>
      <c r="AH68" s="1382"/>
      <c r="AI68" s="1382"/>
      <c r="AJ68" s="1382"/>
      <c r="AK68" s="181"/>
      <c r="AL68" s="181"/>
      <c r="AM68" s="181"/>
      <c r="AN68" s="181"/>
      <c r="AO68" s="181"/>
      <c r="AP68" s="181"/>
      <c r="AQ68" s="181"/>
      <c r="AR68" s="181"/>
      <c r="AS68" s="181"/>
      <c r="AT68" s="181"/>
      <c r="AU68" s="181"/>
      <c r="AV68" s="181"/>
      <c r="AW68" s="181"/>
    </row>
    <row r="69" spans="1:49" s="30" customFormat="1" ht="28.5" x14ac:dyDescent="0.25">
      <c r="A69" s="1518" t="str">
        <f>IF(CD50_apply="Yes",IF(COUNTIF('03 - 50% CD'!D69:G69,"Y")&gt;0,"Y",IF(COUNTIF('03 - 50% CD'!D69:G69,"N"),"N","")),"")</f>
        <v>Y</v>
      </c>
      <c r="B69" s="191"/>
      <c r="C69" s="944"/>
      <c r="D69" s="321"/>
      <c r="E69" s="466"/>
      <c r="F69" s="559" t="str">
        <f>IF('C-Design&amp;Const'!$O69="","",'C-Design&amp;Const'!$O69)</f>
        <v>Y</v>
      </c>
      <c r="G69" s="558"/>
      <c r="H69" s="408" t="str">
        <f>CONCATENATE(IF(F69="N","PLACEHOLDER ROW - ",""),'C-Design&amp;Const'!Z69,IF(F69="N","",J69))</f>
        <v xml:space="preserve">Architectural - Building Envelope **(existing systems verification recommended on renovations) (Updates to) </v>
      </c>
      <c r="I69" s="186"/>
      <c r="J69" s="578" t="str">
        <f>IF('C-Design&amp;Const'!AH69="","",'C-Design&amp;Const'!AH69)</f>
        <v xml:space="preserve"> (Updates to) </v>
      </c>
      <c r="K69" s="285" t="str">
        <f>IF(CD50_apply="Yes",IF((COUNTIF(D69:G69,"Y")=COUNTIF('03 - 50% CD'!D69:G69,"Y")),"match","no 50% match"),"-")</f>
        <v>match</v>
      </c>
      <c r="L69" s="1410" t="str">
        <f t="shared" si="0"/>
        <v/>
      </c>
      <c r="M69" s="1382"/>
      <c r="N69" s="1382"/>
      <c r="O69" s="1382"/>
      <c r="P69" s="1382"/>
      <c r="Q69" s="1382"/>
      <c r="R69" s="1490"/>
      <c r="S69" s="1284"/>
      <c r="T69" s="1382"/>
      <c r="U69" s="1382"/>
      <c r="V69" s="1382"/>
      <c r="W69" s="1382"/>
      <c r="X69" s="1382"/>
      <c r="Y69" s="1382"/>
      <c r="Z69" s="1382"/>
      <c r="AA69" s="1382"/>
      <c r="AB69" s="1382"/>
      <c r="AC69" s="1382"/>
      <c r="AD69" s="1382"/>
      <c r="AE69" s="1382"/>
      <c r="AF69" s="1382"/>
      <c r="AG69" s="1382"/>
      <c r="AH69" s="1382"/>
      <c r="AI69" s="1382"/>
      <c r="AJ69" s="1382"/>
      <c r="AK69" s="181"/>
      <c r="AL69" s="181"/>
      <c r="AM69" s="181"/>
      <c r="AN69" s="181"/>
      <c r="AO69" s="181"/>
      <c r="AP69" s="181"/>
      <c r="AQ69" s="181"/>
      <c r="AR69" s="181"/>
      <c r="AS69" s="181"/>
      <c r="AT69" s="181"/>
      <c r="AU69" s="181"/>
      <c r="AV69" s="181"/>
      <c r="AW69" s="181"/>
    </row>
    <row r="70" spans="1:49" s="30" customFormat="1" x14ac:dyDescent="0.25">
      <c r="A70" s="1518" t="str">
        <f>IF(CD50_apply="Yes",IF(COUNTIF('03 - 50% CD'!D70:G70,"Y")&gt;0,"Y",IF(COUNTIF('03 - 50% CD'!D70:G70,"N"),"N","")),"")</f>
        <v>Y</v>
      </c>
      <c r="B70" s="191"/>
      <c r="C70" s="944"/>
      <c r="D70" s="321"/>
      <c r="E70" s="466"/>
      <c r="F70" s="559" t="str">
        <f>IF('C-Design&amp;Const'!$O70="","",'C-Design&amp;Const'!$O70)</f>
        <v>Y</v>
      </c>
      <c r="G70" s="558"/>
      <c r="H70" s="408" t="str">
        <f>CONCATENATE(IF(F70="N","PLACEHOLDER ROW - ",""),'C-Design&amp;Const'!Z70,IF(F70="N","",J70))</f>
        <v xml:space="preserve">Architectural - Interiors (Updates to) </v>
      </c>
      <c r="I70" s="186"/>
      <c r="J70" s="578" t="str">
        <f>IF('C-Design&amp;Const'!AH70="","",'C-Design&amp;Const'!AH70)</f>
        <v xml:space="preserve"> (Updates to) </v>
      </c>
      <c r="K70" s="285" t="str">
        <f>IF(CD50_apply="Yes",IF((COUNTIF(D70:G70,"Y")=COUNTIF('03 - 50% CD'!D70:G70,"Y")),"match","no 50% match"),"-")</f>
        <v>match</v>
      </c>
      <c r="L70" s="1410" t="str">
        <f t="shared" si="0"/>
        <v/>
      </c>
      <c r="M70" s="1382"/>
      <c r="N70" s="1382"/>
      <c r="O70" s="1382"/>
      <c r="P70" s="1382"/>
      <c r="Q70" s="1382"/>
      <c r="R70" s="1490"/>
      <c r="S70" s="1284"/>
      <c r="T70" s="1382"/>
      <c r="U70" s="1382"/>
      <c r="V70" s="1382"/>
      <c r="W70" s="1382"/>
      <c r="X70" s="1382"/>
      <c r="Y70" s="1382"/>
      <c r="Z70" s="1382"/>
      <c r="AA70" s="1382"/>
      <c r="AB70" s="1382"/>
      <c r="AC70" s="1382"/>
      <c r="AD70" s="1382"/>
      <c r="AE70" s="1382"/>
      <c r="AF70" s="1382"/>
      <c r="AG70" s="1382"/>
      <c r="AH70" s="1382"/>
      <c r="AI70" s="1382"/>
      <c r="AJ70" s="1382"/>
      <c r="AK70" s="181"/>
      <c r="AL70" s="181"/>
      <c r="AM70" s="181"/>
      <c r="AN70" s="181"/>
      <c r="AO70" s="181"/>
      <c r="AP70" s="181"/>
      <c r="AQ70" s="181"/>
      <c r="AR70" s="181"/>
      <c r="AS70" s="181"/>
      <c r="AT70" s="181"/>
      <c r="AU70" s="181"/>
      <c r="AV70" s="181"/>
      <c r="AW70" s="181"/>
    </row>
    <row r="71" spans="1:49" s="30" customFormat="1" x14ac:dyDescent="0.25">
      <c r="A71" s="1518" t="str">
        <f>IF(CD50_apply="Yes",IF(COUNTIF('03 - 50% CD'!D71:G71,"Y")&gt;0,"Y",IF(COUNTIF('03 - 50% CD'!D71:G71,"N"),"N","")),"")</f>
        <v>Y</v>
      </c>
      <c r="B71" s="191"/>
      <c r="C71" s="944"/>
      <c r="D71" s="321"/>
      <c r="E71" s="466"/>
      <c r="F71" s="559" t="str">
        <f>IF('C-Design&amp;Const'!$O71="","",'C-Design&amp;Const'!$O71)</f>
        <v>Y</v>
      </c>
      <c r="G71" s="558"/>
      <c r="H71" s="408" t="str">
        <f>CONCATENATE(IF(F71="N","PLACEHOLDER ROW - ",""),'C-Design&amp;Const'!Z71,IF(F71="N","",J71))</f>
        <v xml:space="preserve">Architectural - Interior and Exterior Signage  (Updates to) </v>
      </c>
      <c r="I71" s="186"/>
      <c r="J71" s="578" t="str">
        <f>IF('C-Design&amp;Const'!AH71="","",'C-Design&amp;Const'!AH71)</f>
        <v xml:space="preserve"> (Updates to) </v>
      </c>
      <c r="K71" s="285" t="str">
        <f>IF(CD50_apply="Yes",IF((COUNTIF(D71:G71,"Y")=COUNTIF('03 - 50% CD'!D71:G71,"Y")),"match","no 50% match"),"-")</f>
        <v>match</v>
      </c>
      <c r="L71" s="1410" t="str">
        <f t="shared" si="0"/>
        <v/>
      </c>
      <c r="M71" s="1382"/>
      <c r="N71" s="1382"/>
      <c r="O71" s="1382"/>
      <c r="P71" s="1382"/>
      <c r="Q71" s="1382"/>
      <c r="R71" s="1490"/>
      <c r="S71" s="1284"/>
      <c r="T71" s="1382"/>
      <c r="U71" s="1382"/>
      <c r="V71" s="1382"/>
      <c r="W71" s="1382"/>
      <c r="X71" s="1382"/>
      <c r="Y71" s="1382"/>
      <c r="Z71" s="1382"/>
      <c r="AA71" s="1382"/>
      <c r="AB71" s="1382"/>
      <c r="AC71" s="1382"/>
      <c r="AD71" s="1382"/>
      <c r="AE71" s="1382"/>
      <c r="AF71" s="1382"/>
      <c r="AG71" s="1382"/>
      <c r="AH71" s="1382"/>
      <c r="AI71" s="1382"/>
      <c r="AJ71" s="1382"/>
      <c r="AK71" s="181"/>
      <c r="AL71" s="181"/>
      <c r="AM71" s="181"/>
      <c r="AN71" s="181"/>
      <c r="AO71" s="181"/>
      <c r="AP71" s="181"/>
      <c r="AQ71" s="181"/>
      <c r="AR71" s="181"/>
      <c r="AS71" s="181"/>
      <c r="AT71" s="181"/>
      <c r="AU71" s="181"/>
      <c r="AV71" s="181"/>
      <c r="AW71" s="181"/>
    </row>
    <row r="72" spans="1:49" s="30" customFormat="1" ht="18.75" customHeight="1" x14ac:dyDescent="0.25">
      <c r="A72" s="1518" t="str">
        <f>IF(CD50_apply="Yes",IF(COUNTIF('03 - 50% CD'!D72:G72,"Y")&gt;0,"Y",IF(COUNTIF('03 - 50% CD'!D72:G72,"N"),"N","")),"")</f>
        <v>Y</v>
      </c>
      <c r="B72" s="191"/>
      <c r="C72" s="944"/>
      <c r="D72" s="321"/>
      <c r="E72" s="466"/>
      <c r="F72" s="559" t="str">
        <f>IF('C-Design&amp;Const'!$O72="","",'C-Design&amp;Const'!$O72)</f>
        <v>Y</v>
      </c>
      <c r="G72" s="558"/>
      <c r="H72" s="408" t="str">
        <f>CONCATENATE(IF(F72="N","PLACEHOLDER ROW - ",""),'C-Design&amp;Const'!Z72,IF(F72="N","",J72))</f>
        <v xml:space="preserve">Architectural - Elevators  **(existing systems verification recommended on renovations) (Updates to) </v>
      </c>
      <c r="I72" s="186"/>
      <c r="J72" s="578" t="str">
        <f>IF('C-Design&amp;Const'!AH72="","",'C-Design&amp;Const'!AH72)</f>
        <v xml:space="preserve"> (Updates to) </v>
      </c>
      <c r="K72" s="285" t="str">
        <f>IF(CD50_apply="Yes",IF((COUNTIF(D72:G72,"Y")=COUNTIF('03 - 50% CD'!D72:G72,"Y")),"match","no 50% match"),"-")</f>
        <v>match</v>
      </c>
      <c r="L72" s="1410" t="str">
        <f t="shared" si="0"/>
        <v/>
      </c>
      <c r="M72" s="1382"/>
      <c r="N72" s="1382"/>
      <c r="O72" s="1382"/>
      <c r="P72" s="1382"/>
      <c r="Q72" s="1382"/>
      <c r="R72" s="1490"/>
      <c r="S72" s="1284"/>
      <c r="T72" s="1382"/>
      <c r="U72" s="1382"/>
      <c r="V72" s="1382"/>
      <c r="W72" s="1382"/>
      <c r="X72" s="1382"/>
      <c r="Y72" s="1382"/>
      <c r="Z72" s="1382"/>
      <c r="AA72" s="1382"/>
      <c r="AB72" s="1382"/>
      <c r="AC72" s="1382"/>
      <c r="AD72" s="1382"/>
      <c r="AE72" s="1382"/>
      <c r="AF72" s="1382"/>
      <c r="AG72" s="1382"/>
      <c r="AH72" s="1382"/>
      <c r="AI72" s="1382"/>
      <c r="AJ72" s="1382"/>
      <c r="AK72" s="181"/>
      <c r="AL72" s="181"/>
      <c r="AM72" s="181"/>
      <c r="AN72" s="181"/>
      <c r="AO72" s="181"/>
      <c r="AP72" s="181"/>
      <c r="AQ72" s="181"/>
      <c r="AR72" s="181"/>
      <c r="AS72" s="181"/>
      <c r="AT72" s="181"/>
      <c r="AU72" s="181"/>
      <c r="AV72" s="181"/>
      <c r="AW72" s="181"/>
    </row>
    <row r="73" spans="1:49" s="30" customFormat="1" x14ac:dyDescent="0.25">
      <c r="A73" s="1518" t="str">
        <f>IF(CD50_apply="Yes",IF(COUNTIF('03 - 50% CD'!D73:G73,"Y")&gt;0,"Y",IF(COUNTIF('03 - 50% CD'!D73:G73,"N"),"N","")),"")</f>
        <v>N</v>
      </c>
      <c r="B73" s="191"/>
      <c r="C73" s="944"/>
      <c r="D73" s="321"/>
      <c r="E73" s="466"/>
      <c r="F73" s="559" t="str">
        <f>IF('C-Design&amp;Const'!$O73="","",'C-Design&amp;Const'!$O73)</f>
        <v>N</v>
      </c>
      <c r="G73" s="558"/>
      <c r="H73" s="408" t="str">
        <f>CONCATENATE(IF(F73="N","PLACEHOLDER ROW - ",""),'C-Design&amp;Const'!Z73,IF(F73="N","",J73))</f>
        <v>PLACEHOLDER ROW - Architectural - CUSTOM</v>
      </c>
      <c r="I73" s="186"/>
      <c r="J73" s="578" t="str">
        <f>IF('C-Design&amp;Const'!AH73="","",'C-Design&amp;Const'!AH73)</f>
        <v xml:space="preserve"> (Updates to) </v>
      </c>
      <c r="K73" s="285" t="str">
        <f>IF(CD50_apply="Yes",IF((COUNTIF(D73:G73,"Y")=COUNTIF('03 - 50% CD'!D73:G73,"Y")),"match","no 50% match"),"-")</f>
        <v>match</v>
      </c>
      <c r="L73" s="1410" t="str">
        <f t="shared" si="0"/>
        <v>&lt;---PM/Planner may hide PLACEHOLDER ROW</v>
      </c>
      <c r="M73" s="1382"/>
      <c r="N73" s="1382"/>
      <c r="O73" s="1382"/>
      <c r="P73" s="1382"/>
      <c r="Q73" s="1382"/>
      <c r="R73" s="1490"/>
      <c r="S73" s="1284"/>
      <c r="T73" s="1382"/>
      <c r="U73" s="1382"/>
      <c r="V73" s="1382"/>
      <c r="W73" s="1382"/>
      <c r="X73" s="1382"/>
      <c r="Y73" s="1382"/>
      <c r="Z73" s="1382"/>
      <c r="AA73" s="1382"/>
      <c r="AB73" s="1382"/>
      <c r="AC73" s="1382"/>
      <c r="AD73" s="1382"/>
      <c r="AE73" s="1382"/>
      <c r="AF73" s="1382"/>
      <c r="AG73" s="1382"/>
      <c r="AH73" s="1382"/>
      <c r="AI73" s="1382"/>
      <c r="AJ73" s="1382"/>
      <c r="AK73" s="181"/>
      <c r="AL73" s="181"/>
      <c r="AM73" s="181"/>
      <c r="AN73" s="181"/>
      <c r="AO73" s="181"/>
      <c r="AP73" s="181"/>
      <c r="AQ73" s="181"/>
      <c r="AR73" s="181"/>
      <c r="AS73" s="181"/>
      <c r="AT73" s="181"/>
      <c r="AU73" s="181"/>
      <c r="AV73" s="181"/>
      <c r="AW73" s="181"/>
    </row>
    <row r="74" spans="1:49" s="30" customFormat="1" x14ac:dyDescent="0.25">
      <c r="A74" s="1518" t="str">
        <f>IF(CD50_apply="Yes",IF(COUNTIF('03 - 50% CD'!D74:G74,"Y")&gt;0,"Y",IF(COUNTIF('03 - 50% CD'!D74:G74,"N"),"N","")),"")</f>
        <v>N</v>
      </c>
      <c r="B74" s="191"/>
      <c r="C74" s="944"/>
      <c r="D74" s="321"/>
      <c r="E74" s="466"/>
      <c r="F74" s="559" t="str">
        <f>IF('C-Design&amp;Const'!$O74="","",'C-Design&amp;Const'!$O74)</f>
        <v>N</v>
      </c>
      <c r="G74" s="558"/>
      <c r="H74" s="408" t="str">
        <f>CONCATENATE(IF(F74="N","PLACEHOLDER ROW - ",""),'C-Design&amp;Const'!Z74,IF(F74="N","",J74))</f>
        <v>PLACEHOLDER ROW - Architectural - CUSTOM</v>
      </c>
      <c r="I74" s="186"/>
      <c r="J74" s="578" t="str">
        <f>IF('C-Design&amp;Const'!AH74="","",'C-Design&amp;Const'!AH74)</f>
        <v xml:space="preserve"> (Updates to) </v>
      </c>
      <c r="K74" s="285" t="str">
        <f>IF(CD50_apply="Yes",IF((COUNTIF(D74:G74,"Y")=COUNTIF('03 - 50% CD'!D74:G74,"Y")),"match","no 50% match"),"-")</f>
        <v>match</v>
      </c>
      <c r="L74" s="1410" t="str">
        <f t="shared" si="0"/>
        <v>&lt;---PM/Planner may hide PLACEHOLDER ROW</v>
      </c>
      <c r="M74" s="1382"/>
      <c r="N74" s="1382"/>
      <c r="O74" s="1382"/>
      <c r="P74" s="1382"/>
      <c r="Q74" s="1382"/>
      <c r="R74" s="1490"/>
      <c r="S74" s="1284"/>
      <c r="T74" s="1382"/>
      <c r="U74" s="1382"/>
      <c r="V74" s="1382"/>
      <c r="W74" s="1382"/>
      <c r="X74" s="1382"/>
      <c r="Y74" s="1382"/>
      <c r="Z74" s="1382"/>
      <c r="AA74" s="1382"/>
      <c r="AB74" s="1382"/>
      <c r="AC74" s="1382"/>
      <c r="AD74" s="1382"/>
      <c r="AE74" s="1382"/>
      <c r="AF74" s="1382"/>
      <c r="AG74" s="1382"/>
      <c r="AH74" s="1382"/>
      <c r="AI74" s="1382"/>
      <c r="AJ74" s="1382"/>
      <c r="AK74" s="181"/>
      <c r="AL74" s="181"/>
      <c r="AM74" s="181"/>
      <c r="AN74" s="181"/>
      <c r="AO74" s="181"/>
      <c r="AP74" s="181"/>
      <c r="AQ74" s="181"/>
      <c r="AR74" s="181"/>
      <c r="AS74" s="181"/>
      <c r="AT74" s="181"/>
      <c r="AU74" s="181"/>
      <c r="AV74" s="181"/>
      <c r="AW74" s="181"/>
    </row>
    <row r="75" spans="1:49" s="30" customFormat="1" x14ac:dyDescent="0.25">
      <c r="A75" s="1518" t="str">
        <f>IF(CD50_apply="Yes",IF(COUNTIF('03 - 50% CD'!D75:G75,"Y")&gt;0,"Y",IF(COUNTIF('03 - 50% CD'!D75:G75,"N"),"N","")),"")</f>
        <v>Y</v>
      </c>
      <c r="B75" s="191"/>
      <c r="C75" s="944"/>
      <c r="D75" s="321"/>
      <c r="E75" s="466"/>
      <c r="F75" s="559" t="str">
        <f>IF('C-Design&amp;Const'!$O75="","",'C-Design&amp;Const'!$O75)</f>
        <v>Y</v>
      </c>
      <c r="G75" s="558"/>
      <c r="H75" s="408" t="str">
        <f>CONCATENATE(IF(F75="N","PLACEHOLDER ROW - ",""),'C-Design&amp;Const'!Z75,IF(F75="N","",J75))</f>
        <v xml:space="preserve">Structural - Demolition(s) (Updates to) </v>
      </c>
      <c r="I75" s="186"/>
      <c r="J75" s="578" t="str">
        <f>IF('C-Design&amp;Const'!AH75="","",'C-Design&amp;Const'!AH75)</f>
        <v xml:space="preserve"> (Updates to) </v>
      </c>
      <c r="K75" s="285" t="str">
        <f>IF(CD50_apply="Yes",IF((COUNTIF(D75:G75,"Y")=COUNTIF('03 - 50% CD'!D75:G75,"Y")),"match","no 50% match"),"-")</f>
        <v>match</v>
      </c>
      <c r="L75" s="1410" t="str">
        <f t="shared" si="0"/>
        <v/>
      </c>
      <c r="M75" s="1382"/>
      <c r="N75" s="1382"/>
      <c r="O75" s="1382"/>
      <c r="P75" s="1382"/>
      <c r="Q75" s="1382"/>
      <c r="R75" s="1490"/>
      <c r="S75" s="1284"/>
      <c r="T75" s="1382"/>
      <c r="U75" s="1382"/>
      <c r="V75" s="1382"/>
      <c r="W75" s="1382"/>
      <c r="X75" s="1382"/>
      <c r="Y75" s="1382"/>
      <c r="Z75" s="1382"/>
      <c r="AA75" s="1382"/>
      <c r="AB75" s="1382"/>
      <c r="AC75" s="1382"/>
      <c r="AD75" s="1382"/>
      <c r="AE75" s="1382"/>
      <c r="AF75" s="1382"/>
      <c r="AG75" s="1382"/>
      <c r="AH75" s="1382"/>
      <c r="AI75" s="1382"/>
      <c r="AJ75" s="1382"/>
      <c r="AK75" s="181"/>
      <c r="AL75" s="181"/>
      <c r="AM75" s="181"/>
      <c r="AN75" s="181"/>
      <c r="AO75" s="181"/>
      <c r="AP75" s="181"/>
      <c r="AQ75" s="181"/>
      <c r="AR75" s="181"/>
      <c r="AS75" s="181"/>
      <c r="AT75" s="181"/>
      <c r="AU75" s="181"/>
      <c r="AV75" s="181"/>
      <c r="AW75" s="181"/>
    </row>
    <row r="76" spans="1:49" s="30" customFormat="1" x14ac:dyDescent="0.25">
      <c r="A76" s="1518" t="str">
        <f>IF(CD50_apply="Yes",IF(COUNTIF('03 - 50% CD'!D76:G76,"Y")&gt;0,"Y",IF(COUNTIF('03 - 50% CD'!D76:G76,"N"),"N","")),"")</f>
        <v>Y</v>
      </c>
      <c r="B76" s="191"/>
      <c r="C76" s="944"/>
      <c r="D76" s="321"/>
      <c r="E76" s="466"/>
      <c r="F76" s="559" t="str">
        <f>IF('C-Design&amp;Const'!$O76="","",'C-Design&amp;Const'!$O76)</f>
        <v>Y</v>
      </c>
      <c r="G76" s="558"/>
      <c r="H76" s="408" t="str">
        <f>CONCATENATE(IF(F76="N","PLACEHOLDER ROW - ",""),'C-Design&amp;Const'!Z76,IF(F76="N","",J76))</f>
        <v xml:space="preserve">Structural - Gravity Loads (Updates to) </v>
      </c>
      <c r="I76" s="186"/>
      <c r="J76" s="578" t="str">
        <f>IF('C-Design&amp;Const'!AH76="","",'C-Design&amp;Const'!AH76)</f>
        <v xml:space="preserve"> (Updates to) </v>
      </c>
      <c r="K76" s="285" t="str">
        <f>IF(CD50_apply="Yes",IF((COUNTIF(D76:G76,"Y")=COUNTIF('03 - 50% CD'!D76:G76,"Y")),"match","no 50% match"),"-")</f>
        <v>match</v>
      </c>
      <c r="L76" s="1410" t="str">
        <f t="shared" si="0"/>
        <v/>
      </c>
      <c r="M76" s="1382"/>
      <c r="N76" s="1382"/>
      <c r="O76" s="1382"/>
      <c r="P76" s="1382"/>
      <c r="Q76" s="1382"/>
      <c r="R76" s="1490"/>
      <c r="S76" s="1284"/>
      <c r="T76" s="1382"/>
      <c r="U76" s="1382"/>
      <c r="V76" s="1382"/>
      <c r="W76" s="1382"/>
      <c r="X76" s="1382"/>
      <c r="Y76" s="1382"/>
      <c r="Z76" s="1382"/>
      <c r="AA76" s="1382"/>
      <c r="AB76" s="1382"/>
      <c r="AC76" s="1382"/>
      <c r="AD76" s="1382"/>
      <c r="AE76" s="1382"/>
      <c r="AF76" s="1382"/>
      <c r="AG76" s="1382"/>
      <c r="AH76" s="1382"/>
      <c r="AI76" s="1382"/>
      <c r="AJ76" s="1382"/>
      <c r="AK76" s="181"/>
      <c r="AL76" s="181"/>
      <c r="AM76" s="181"/>
      <c r="AN76" s="181"/>
      <c r="AO76" s="181"/>
      <c r="AP76" s="181"/>
      <c r="AQ76" s="181"/>
      <c r="AR76" s="181"/>
      <c r="AS76" s="181"/>
      <c r="AT76" s="181"/>
      <c r="AU76" s="181"/>
      <c r="AV76" s="181"/>
      <c r="AW76" s="181"/>
    </row>
    <row r="77" spans="1:49" s="30" customFormat="1" x14ac:dyDescent="0.25">
      <c r="A77" s="1518" t="str">
        <f>IF(CD50_apply="Yes",IF(COUNTIF('03 - 50% CD'!D77:G77,"Y")&gt;0,"Y",IF(COUNTIF('03 - 50% CD'!D77:G77,"N"),"N","")),"")</f>
        <v>Y</v>
      </c>
      <c r="B77" s="191"/>
      <c r="C77" s="944"/>
      <c r="D77" s="321"/>
      <c r="E77" s="466"/>
      <c r="F77" s="559" t="str">
        <f>IF('C-Design&amp;Const'!$O77="","",'C-Design&amp;Const'!$O77)</f>
        <v>Y</v>
      </c>
      <c r="G77" s="558"/>
      <c r="H77" s="408" t="str">
        <f>CONCATENATE(IF(F77="N","PLACEHOLDER ROW - ",""),'C-Design&amp;Const'!Z77,IF(F77="N","",J77))</f>
        <v xml:space="preserve">Structural - Lateral loads and force resisting systems (Updates to) </v>
      </c>
      <c r="I77" s="186"/>
      <c r="J77" s="578" t="str">
        <f>IF('C-Design&amp;Const'!AH77="","",'C-Design&amp;Const'!AH77)</f>
        <v xml:space="preserve"> (Updates to) </v>
      </c>
      <c r="K77" s="285" t="str">
        <f>IF(CD50_apply="Yes",IF((COUNTIF(D77:G77,"Y")=COUNTIF('03 - 50% CD'!D77:G77,"Y")),"match","no 50% match"),"-")</f>
        <v>match</v>
      </c>
      <c r="L77" s="1410" t="str">
        <f t="shared" si="0"/>
        <v/>
      </c>
      <c r="M77" s="1382"/>
      <c r="N77" s="1382"/>
      <c r="O77" s="1382"/>
      <c r="P77" s="1382"/>
      <c r="Q77" s="1382"/>
      <c r="R77" s="1490"/>
      <c r="S77" s="1284"/>
      <c r="T77" s="1382"/>
      <c r="U77" s="1382"/>
      <c r="V77" s="1382"/>
      <c r="W77" s="1382"/>
      <c r="X77" s="1382"/>
      <c r="Y77" s="1382"/>
      <c r="Z77" s="1382"/>
      <c r="AA77" s="1382"/>
      <c r="AB77" s="1382"/>
      <c r="AC77" s="1382"/>
      <c r="AD77" s="1382"/>
      <c r="AE77" s="1382"/>
      <c r="AF77" s="1382"/>
      <c r="AG77" s="1382"/>
      <c r="AH77" s="1382"/>
      <c r="AI77" s="1382"/>
      <c r="AJ77" s="1382"/>
      <c r="AK77" s="181"/>
      <c r="AL77" s="181"/>
      <c r="AM77" s="181"/>
      <c r="AN77" s="181"/>
      <c r="AO77" s="181"/>
      <c r="AP77" s="181"/>
      <c r="AQ77" s="181"/>
      <c r="AR77" s="181"/>
      <c r="AS77" s="181"/>
      <c r="AT77" s="181"/>
      <c r="AU77" s="181"/>
      <c r="AV77" s="181"/>
      <c r="AW77" s="181"/>
    </row>
    <row r="78" spans="1:49" s="30" customFormat="1" x14ac:dyDescent="0.25">
      <c r="A78" s="1518" t="str">
        <f>IF(CD50_apply="Yes",IF(COUNTIF('03 - 50% CD'!D78:G78,"Y")&gt;0,"Y",IF(COUNTIF('03 - 50% CD'!D78:G78,"N"),"N","")),"")</f>
        <v>Y</v>
      </c>
      <c r="B78" s="191"/>
      <c r="C78" s="944"/>
      <c r="D78" s="321"/>
      <c r="E78" s="466"/>
      <c r="F78" s="559" t="str">
        <f>IF('C-Design&amp;Const'!$O78="","",'C-Design&amp;Const'!$O78)</f>
        <v>Y</v>
      </c>
      <c r="G78" s="558"/>
      <c r="H78" s="408" t="str">
        <f>CONCATENATE(IF(F78="N","PLACEHOLDER ROW - ",""),'C-Design&amp;Const'!Z78,IF(F78="N","",J78))</f>
        <v xml:space="preserve">Structural - Foundation Systems (Updates to) </v>
      </c>
      <c r="I78" s="186"/>
      <c r="J78" s="578" t="str">
        <f>IF('C-Design&amp;Const'!AH78="","",'C-Design&amp;Const'!AH78)</f>
        <v xml:space="preserve"> (Updates to) </v>
      </c>
      <c r="K78" s="285" t="str">
        <f>IF(CD50_apply="Yes",IF((COUNTIF(D78:G78,"Y")=COUNTIF('03 - 50% CD'!D78:G78,"Y")),"match","no 50% match"),"-")</f>
        <v>match</v>
      </c>
      <c r="L78" s="1410" t="str">
        <f t="shared" si="0"/>
        <v/>
      </c>
      <c r="M78" s="1382"/>
      <c r="N78" s="1382"/>
      <c r="O78" s="1382"/>
      <c r="P78" s="1382"/>
      <c r="Q78" s="1382"/>
      <c r="R78" s="1490"/>
      <c r="S78" s="1284"/>
      <c r="T78" s="1382"/>
      <c r="U78" s="1382"/>
      <c r="V78" s="1382"/>
      <c r="W78" s="1382"/>
      <c r="X78" s="1382"/>
      <c r="Y78" s="1382"/>
      <c r="Z78" s="1382"/>
      <c r="AA78" s="1382"/>
      <c r="AB78" s="1382"/>
      <c r="AC78" s="1382"/>
      <c r="AD78" s="1382"/>
      <c r="AE78" s="1382"/>
      <c r="AF78" s="1382"/>
      <c r="AG78" s="1382"/>
      <c r="AH78" s="1382"/>
      <c r="AI78" s="1382"/>
      <c r="AJ78" s="1382"/>
      <c r="AK78" s="181"/>
      <c r="AL78" s="181"/>
      <c r="AM78" s="181"/>
      <c r="AN78" s="181"/>
      <c r="AO78" s="181"/>
      <c r="AP78" s="181"/>
      <c r="AQ78" s="181"/>
      <c r="AR78" s="181"/>
      <c r="AS78" s="181"/>
      <c r="AT78" s="181"/>
      <c r="AU78" s="181"/>
      <c r="AV78" s="181"/>
      <c r="AW78" s="181"/>
    </row>
    <row r="79" spans="1:49" s="30" customFormat="1" ht="28.5" x14ac:dyDescent="0.25">
      <c r="A79" s="1518" t="str">
        <f>IF(CD50_apply="Yes",IF(COUNTIF('03 - 50% CD'!D79:G79,"Y")&gt;0,"Y",IF(COUNTIF('03 - 50% CD'!D79:G79,"N"),"N","")),"")</f>
        <v>Y</v>
      </c>
      <c r="B79" s="191"/>
      <c r="C79" s="944"/>
      <c r="D79" s="321"/>
      <c r="E79" s="466"/>
      <c r="F79" s="559" t="str">
        <f>IF('C-Design&amp;Const'!$O79="","",'C-Design&amp;Const'!$O79)</f>
        <v>Y</v>
      </c>
      <c r="G79" s="558"/>
      <c r="H79" s="408" t="str">
        <f>CONCATENATE(IF(F79="N","PLACEHOLDER ROW - ",""),'C-Design&amp;Const'!Z79,IF(F79="N","",J79))</f>
        <v xml:space="preserve">Structural - Block, concrete, &amp; steel  **(existing systems verification recommended on renovations) (Updates to) </v>
      </c>
      <c r="I79" s="186"/>
      <c r="J79" s="578" t="str">
        <f>IF('C-Design&amp;Const'!AH79="","",'C-Design&amp;Const'!AH79)</f>
        <v xml:space="preserve"> (Updates to) </v>
      </c>
      <c r="K79" s="285" t="str">
        <f>IF(CD50_apply="Yes",IF((COUNTIF(D79:G79,"Y")=COUNTIF('03 - 50% CD'!D79:G79,"Y")),"match","no 50% match"),"-")</f>
        <v>match</v>
      </c>
      <c r="L79" s="1410" t="str">
        <f t="shared" si="0"/>
        <v/>
      </c>
      <c r="M79" s="1382"/>
      <c r="N79" s="1382"/>
      <c r="O79" s="1382"/>
      <c r="P79" s="1382"/>
      <c r="Q79" s="1382"/>
      <c r="R79" s="1490"/>
      <c r="S79" s="1284"/>
      <c r="T79" s="1382"/>
      <c r="U79" s="1382"/>
      <c r="V79" s="1382"/>
      <c r="W79" s="1382"/>
      <c r="X79" s="1382"/>
      <c r="Y79" s="1382"/>
      <c r="Z79" s="1382"/>
      <c r="AA79" s="1382"/>
      <c r="AB79" s="1382"/>
      <c r="AC79" s="1382"/>
      <c r="AD79" s="1382"/>
      <c r="AE79" s="1382"/>
      <c r="AF79" s="1382"/>
      <c r="AG79" s="1382"/>
      <c r="AH79" s="1382"/>
      <c r="AI79" s="1382"/>
      <c r="AJ79" s="1382"/>
      <c r="AK79" s="181"/>
      <c r="AL79" s="181"/>
      <c r="AM79" s="181"/>
      <c r="AN79" s="181"/>
      <c r="AO79" s="181"/>
      <c r="AP79" s="181"/>
      <c r="AQ79" s="181"/>
      <c r="AR79" s="181"/>
      <c r="AS79" s="181"/>
      <c r="AT79" s="181"/>
      <c r="AU79" s="181"/>
      <c r="AV79" s="181"/>
      <c r="AW79" s="181"/>
    </row>
    <row r="80" spans="1:49" s="30" customFormat="1" x14ac:dyDescent="0.25">
      <c r="A80" s="1518" t="str">
        <f>IF(CD50_apply="Yes",IF(COUNTIF('03 - 50% CD'!D80:G80,"Y")&gt;0,"Y",IF(COUNTIF('03 - 50% CD'!D80:G80,"N"),"N","")),"")</f>
        <v>N</v>
      </c>
      <c r="B80" s="191"/>
      <c r="C80" s="944"/>
      <c r="D80" s="321"/>
      <c r="E80" s="466"/>
      <c r="F80" s="559" t="str">
        <f>IF('C-Design&amp;Const'!$O80="","",'C-Design&amp;Const'!$O80)</f>
        <v>N</v>
      </c>
      <c r="G80" s="558"/>
      <c r="H80" s="408" t="str">
        <f>CONCATENATE(IF(F80="N","PLACEHOLDER ROW - ",""),'C-Design&amp;Const'!Z80,IF(F80="N","",J80))</f>
        <v>PLACEHOLDER ROW - Structural - CUSTOM</v>
      </c>
      <c r="I80" s="186"/>
      <c r="J80" s="578" t="str">
        <f>IF('C-Design&amp;Const'!AH80="","",'C-Design&amp;Const'!AH80)</f>
        <v xml:space="preserve"> (Updates to) </v>
      </c>
      <c r="K80" s="285" t="str">
        <f>IF(CD50_apply="Yes",IF((COUNTIF(D80:G80,"Y")=COUNTIF('03 - 50% CD'!D80:G80,"Y")),"match","no 50% match"),"-")</f>
        <v>match</v>
      </c>
      <c r="L80" s="1410" t="str">
        <f t="shared" si="0"/>
        <v>&lt;---PM/Planner may hide PLACEHOLDER ROW</v>
      </c>
      <c r="M80" s="1382"/>
      <c r="N80" s="1382"/>
      <c r="O80" s="1382"/>
      <c r="P80" s="1382"/>
      <c r="Q80" s="1382"/>
      <c r="R80" s="1490"/>
      <c r="S80" s="1284"/>
      <c r="T80" s="1382"/>
      <c r="U80" s="1382"/>
      <c r="V80" s="1382"/>
      <c r="W80" s="1382"/>
      <c r="X80" s="1382"/>
      <c r="Y80" s="1382"/>
      <c r="Z80" s="1382"/>
      <c r="AA80" s="1382"/>
      <c r="AB80" s="1382"/>
      <c r="AC80" s="1382"/>
      <c r="AD80" s="1382"/>
      <c r="AE80" s="1382"/>
      <c r="AF80" s="1382"/>
      <c r="AG80" s="1382"/>
      <c r="AH80" s="1382"/>
      <c r="AI80" s="1382"/>
      <c r="AJ80" s="1382"/>
      <c r="AK80" s="181"/>
      <c r="AL80" s="181"/>
      <c r="AM80" s="181"/>
      <c r="AN80" s="181"/>
      <c r="AO80" s="181"/>
      <c r="AP80" s="181"/>
      <c r="AQ80" s="181"/>
      <c r="AR80" s="181"/>
      <c r="AS80" s="181"/>
      <c r="AT80" s="181"/>
      <c r="AU80" s="181"/>
      <c r="AV80" s="181"/>
      <c r="AW80" s="181"/>
    </row>
    <row r="81" spans="1:49" s="30" customFormat="1" x14ac:dyDescent="0.25">
      <c r="A81" s="1518" t="str">
        <f>IF(CD50_apply="Yes",IF(COUNTIF('03 - 50% CD'!D81:G81,"Y")&gt;0,"Y",IF(COUNTIF('03 - 50% CD'!D81:G81,"N"),"N","")),"")</f>
        <v>N</v>
      </c>
      <c r="B81" s="191"/>
      <c r="C81" s="944"/>
      <c r="D81" s="321"/>
      <c r="E81" s="466"/>
      <c r="F81" s="559" t="str">
        <f>IF('C-Design&amp;Const'!$O81="","",'C-Design&amp;Const'!$O81)</f>
        <v>N</v>
      </c>
      <c r="G81" s="558"/>
      <c r="H81" s="408" t="str">
        <f>CONCATENATE(IF(F81="N","PLACEHOLDER ROW - ",""),'C-Design&amp;Const'!Z81,IF(F81="N","",J81))</f>
        <v>PLACEHOLDER ROW - Structural - CUSTOM</v>
      </c>
      <c r="I81" s="186"/>
      <c r="J81" s="578" t="str">
        <f>IF('C-Design&amp;Const'!AH81="","",'C-Design&amp;Const'!AH81)</f>
        <v xml:space="preserve"> (Updates to) </v>
      </c>
      <c r="K81" s="285" t="str">
        <f>IF(CD50_apply="Yes",IF((COUNTIF(D81:G81,"Y")=COUNTIF('03 - 50% CD'!D81:G81,"Y")),"match","no 50% match"),"-")</f>
        <v>match</v>
      </c>
      <c r="L81" s="1410" t="str">
        <f t="shared" si="0"/>
        <v>&lt;---PM/Planner may hide PLACEHOLDER ROW</v>
      </c>
      <c r="M81" s="1382"/>
      <c r="N81" s="1382"/>
      <c r="O81" s="1382"/>
      <c r="P81" s="1382"/>
      <c r="Q81" s="1382"/>
      <c r="R81" s="1490"/>
      <c r="S81" s="1284"/>
      <c r="T81" s="1382"/>
      <c r="U81" s="1382"/>
      <c r="V81" s="1382"/>
      <c r="W81" s="1382"/>
      <c r="X81" s="1382"/>
      <c r="Y81" s="1382"/>
      <c r="Z81" s="1382"/>
      <c r="AA81" s="1382"/>
      <c r="AB81" s="1382"/>
      <c r="AC81" s="1382"/>
      <c r="AD81" s="1382"/>
      <c r="AE81" s="1382"/>
      <c r="AF81" s="1382"/>
      <c r="AG81" s="1382"/>
      <c r="AH81" s="1382"/>
      <c r="AI81" s="1382"/>
      <c r="AJ81" s="1382"/>
      <c r="AK81" s="181"/>
      <c r="AL81" s="181"/>
      <c r="AM81" s="181"/>
      <c r="AN81" s="181"/>
      <c r="AO81" s="181"/>
      <c r="AP81" s="181"/>
      <c r="AQ81" s="181"/>
      <c r="AR81" s="181"/>
      <c r="AS81" s="181"/>
      <c r="AT81" s="181"/>
      <c r="AU81" s="181"/>
      <c r="AV81" s="181"/>
      <c r="AW81" s="181"/>
    </row>
    <row r="82" spans="1:49" s="30" customFormat="1" x14ac:dyDescent="0.25">
      <c r="A82" s="1518" t="str">
        <f>IF(CD50_apply="Yes",IF(COUNTIF('03 - 50% CD'!D82:G82,"Y")&gt;0,"Y",IF(COUNTIF('03 - 50% CD'!D82:G82,"N"),"N","")),"")</f>
        <v>Y</v>
      </c>
      <c r="B82" s="191"/>
      <c r="C82" s="944"/>
      <c r="D82" s="321"/>
      <c r="E82" s="466"/>
      <c r="F82" s="559" t="str">
        <f>IF('C-Design&amp;Const'!$O82="","",'C-Design&amp;Const'!$O82)</f>
        <v>Y</v>
      </c>
      <c r="G82" s="558"/>
      <c r="H82" s="408" t="str">
        <f>CONCATENATE(IF(F82="N","PLACEHOLDER ROW - ",""),'C-Design&amp;Const'!Z82,IF(F82="N","",J82))</f>
        <v xml:space="preserve">Plumbing  - General System(s) - **(verify existing system for renovations) (Updates to) </v>
      </c>
      <c r="I82" s="186"/>
      <c r="J82" s="578" t="str">
        <f>IF('C-Design&amp;Const'!AH82="","",'C-Design&amp;Const'!AH82)</f>
        <v xml:space="preserve"> (Updates to) </v>
      </c>
      <c r="K82" s="285" t="str">
        <f>IF(CD50_apply="Yes",IF((COUNTIF(D82:G82,"Y")=COUNTIF('03 - 50% CD'!D82:G82,"Y")),"match","no 50% match"),"-")</f>
        <v>match</v>
      </c>
      <c r="L82" s="1410" t="str">
        <f t="shared" si="0"/>
        <v/>
      </c>
      <c r="M82" s="1382"/>
      <c r="N82" s="1382"/>
      <c r="O82" s="1382"/>
      <c r="P82" s="1382"/>
      <c r="Q82" s="1382"/>
      <c r="R82" s="1490"/>
      <c r="S82" s="1284"/>
      <c r="T82" s="1382"/>
      <c r="U82" s="1382"/>
      <c r="V82" s="1382"/>
      <c r="W82" s="1382"/>
      <c r="X82" s="1382"/>
      <c r="Y82" s="1382"/>
      <c r="Z82" s="1382"/>
      <c r="AA82" s="1382"/>
      <c r="AB82" s="1382"/>
      <c r="AC82" s="1382"/>
      <c r="AD82" s="1382"/>
      <c r="AE82" s="1382"/>
      <c r="AF82" s="1382"/>
      <c r="AG82" s="1382"/>
      <c r="AH82" s="1382"/>
      <c r="AI82" s="1382"/>
      <c r="AJ82" s="1382"/>
      <c r="AK82" s="181"/>
      <c r="AL82" s="181"/>
      <c r="AM82" s="181"/>
      <c r="AN82" s="181"/>
      <c r="AO82" s="181"/>
      <c r="AP82" s="181"/>
      <c r="AQ82" s="181"/>
      <c r="AR82" s="181"/>
      <c r="AS82" s="181"/>
      <c r="AT82" s="181"/>
      <c r="AU82" s="181"/>
      <c r="AV82" s="181"/>
      <c r="AW82" s="181"/>
    </row>
    <row r="83" spans="1:49" s="545" customFormat="1" x14ac:dyDescent="0.25">
      <c r="A83" s="1518" t="str">
        <f>IF(CD50_apply="Yes",IF(COUNTIF('03 - 50% CD'!D83:G83,"Y")&gt;0,"Y",IF(COUNTIF('03 - 50% CD'!D83:G83,"N"),"N","")),"")</f>
        <v>Y</v>
      </c>
      <c r="B83" s="554"/>
      <c r="C83" s="944"/>
      <c r="D83" s="321"/>
      <c r="E83" s="466"/>
      <c r="F83" s="559" t="str">
        <f>IF('C-Design&amp;Const'!$O83="","",'C-Design&amp;Const'!$O83)</f>
        <v>Y</v>
      </c>
      <c r="G83" s="558"/>
      <c r="H83" s="408" t="str">
        <f>CONCATENATE(IF(F83="N","PLACEHOLDER ROW - ",""),'C-Design&amp;Const'!Z83,IF(F83="N","",J83))</f>
        <v xml:space="preserve">Plumbing - Demolition(s) (Updates to) </v>
      </c>
      <c r="I83" s="186"/>
      <c r="J83" s="578" t="str">
        <f>IF('C-Design&amp;Const'!AH83="","",'C-Design&amp;Const'!AH83)</f>
        <v xml:space="preserve"> (Updates to) </v>
      </c>
      <c r="K83" s="285" t="str">
        <f>IF(CD50_apply="Yes",IF((COUNTIF(D83:G83,"Y")=COUNTIF('03 - 50% CD'!D83:G83,"Y")),"match","no 50% match"),"-")</f>
        <v>match</v>
      </c>
      <c r="L83" s="1410" t="str">
        <f t="shared" si="0"/>
        <v/>
      </c>
      <c r="M83" s="1382"/>
      <c r="N83" s="1382"/>
      <c r="O83" s="1382"/>
      <c r="P83" s="1382"/>
      <c r="Q83" s="1382"/>
      <c r="R83" s="1490"/>
      <c r="S83" s="1284"/>
      <c r="T83" s="1382"/>
      <c r="U83" s="1382"/>
      <c r="V83" s="1382"/>
      <c r="W83" s="1382"/>
      <c r="X83" s="1382"/>
      <c r="Y83" s="1382"/>
      <c r="Z83" s="1382"/>
      <c r="AA83" s="1382"/>
      <c r="AB83" s="1382"/>
      <c r="AC83" s="1382"/>
      <c r="AD83" s="1382"/>
      <c r="AE83" s="1382"/>
      <c r="AF83" s="1382"/>
      <c r="AG83" s="1382"/>
      <c r="AH83" s="1382"/>
      <c r="AI83" s="1382"/>
      <c r="AJ83" s="1382"/>
      <c r="AK83" s="551"/>
      <c r="AL83" s="551"/>
      <c r="AM83" s="551"/>
      <c r="AN83" s="551"/>
      <c r="AO83" s="551"/>
      <c r="AP83" s="551"/>
      <c r="AQ83" s="551"/>
      <c r="AR83" s="551"/>
      <c r="AS83" s="551"/>
      <c r="AT83" s="551"/>
      <c r="AU83" s="551"/>
      <c r="AV83" s="551"/>
      <c r="AW83" s="551"/>
    </row>
    <row r="84" spans="1:49" s="30" customFormat="1" ht="28.5" x14ac:dyDescent="0.25">
      <c r="A84" s="1518" t="str">
        <f>IF(CD50_apply="Yes",IF(COUNTIF('03 - 50% CD'!D84:G84,"Y")&gt;0,"Y",IF(COUNTIF('03 - 50% CD'!D84:G84,"N"),"N","")),"")</f>
        <v>Y</v>
      </c>
      <c r="B84" s="191"/>
      <c r="C84" s="944"/>
      <c r="D84" s="321"/>
      <c r="E84" s="466"/>
      <c r="F84" s="559" t="str">
        <f>IF('C-Design&amp;Const'!$O84="","",'C-Design&amp;Const'!$O84)</f>
        <v>Y</v>
      </c>
      <c r="G84" s="558"/>
      <c r="H84" s="408" t="str">
        <f>CONCATENATE(IF(F84="N","PLACEHOLDER ROW - ",""),'C-Design&amp;Const'!Z84,IF(F84="N","",J84))</f>
        <v xml:space="preserve">Plumbing - Fixtures  **(Fixture Unit Analysis as verification of existing systems on renovations) (Updates to) </v>
      </c>
      <c r="I84" s="186"/>
      <c r="J84" s="578" t="str">
        <f>IF('C-Design&amp;Const'!AH84="","",'C-Design&amp;Const'!AH84)</f>
        <v xml:space="preserve"> (Updates to) </v>
      </c>
      <c r="K84" s="285" t="str">
        <f>IF(CD50_apply="Yes",IF((COUNTIF(D84:G84,"Y")=COUNTIF('03 - 50% CD'!D84:G84,"Y")),"match","no 50% match"),"-")</f>
        <v>match</v>
      </c>
      <c r="L84" s="1410" t="str">
        <f t="shared" si="0"/>
        <v/>
      </c>
      <c r="M84" s="1382"/>
      <c r="N84" s="1382"/>
      <c r="O84" s="1382"/>
      <c r="P84" s="1382"/>
      <c r="Q84" s="1382"/>
      <c r="R84" s="1490"/>
      <c r="S84" s="1284"/>
      <c r="T84" s="1382"/>
      <c r="U84" s="1382"/>
      <c r="V84" s="1382"/>
      <c r="W84" s="1382"/>
      <c r="X84" s="1382"/>
      <c r="Y84" s="1382"/>
      <c r="Z84" s="1382"/>
      <c r="AA84" s="1382"/>
      <c r="AB84" s="1382"/>
      <c r="AC84" s="1382"/>
      <c r="AD84" s="1382"/>
      <c r="AE84" s="1382"/>
      <c r="AF84" s="1382"/>
      <c r="AG84" s="1382"/>
      <c r="AH84" s="1382"/>
      <c r="AI84" s="1382"/>
      <c r="AJ84" s="1382"/>
      <c r="AK84" s="181"/>
      <c r="AL84" s="181"/>
      <c r="AM84" s="181"/>
      <c r="AN84" s="181"/>
      <c r="AO84" s="181"/>
      <c r="AP84" s="181"/>
      <c r="AQ84" s="181"/>
      <c r="AR84" s="181"/>
      <c r="AS84" s="181"/>
      <c r="AT84" s="181"/>
      <c r="AU84" s="181"/>
      <c r="AV84" s="181"/>
      <c r="AW84" s="181"/>
    </row>
    <row r="85" spans="1:49" s="30" customFormat="1" x14ac:dyDescent="0.25">
      <c r="A85" s="1518" t="str">
        <f>IF(CD50_apply="Yes",IF(COUNTIF('03 - 50% CD'!D85:G85,"Y")&gt;0,"Y",IF(COUNTIF('03 - 50% CD'!D85:G85,"N"),"N","")),"")</f>
        <v>Y</v>
      </c>
      <c r="B85" s="191"/>
      <c r="C85" s="944"/>
      <c r="D85" s="321"/>
      <c r="E85" s="466"/>
      <c r="F85" s="559" t="str">
        <f>IF('C-Design&amp;Const'!$O85="","",'C-Design&amp;Const'!$O85)</f>
        <v>Y</v>
      </c>
      <c r="G85" s="558"/>
      <c r="H85" s="408" t="str">
        <f>CONCATENATE(IF(F85="N","PLACEHOLDER ROW - ",""),'C-Design&amp;Const'!Z85,IF(F85="N","",J85))</f>
        <v xml:space="preserve">Plumbing - Air/Gas  **(verify existing system for renovations) (Updates to) </v>
      </c>
      <c r="I85" s="186"/>
      <c r="J85" s="578" t="str">
        <f>IF('C-Design&amp;Const'!AH85="","",'C-Design&amp;Const'!AH85)</f>
        <v xml:space="preserve"> (Updates to) </v>
      </c>
      <c r="K85" s="285" t="str">
        <f>IF(CD50_apply="Yes",IF((COUNTIF(D85:G85,"Y")=COUNTIF('03 - 50% CD'!D85:G85,"Y")),"match","no 50% match"),"-")</f>
        <v>match</v>
      </c>
      <c r="L85" s="1410" t="str">
        <f t="shared" si="0"/>
        <v/>
      </c>
      <c r="M85" s="1382"/>
      <c r="N85" s="1382"/>
      <c r="O85" s="1382"/>
      <c r="P85" s="1382"/>
      <c r="Q85" s="1382"/>
      <c r="R85" s="1490"/>
      <c r="S85" s="1284"/>
      <c r="T85" s="1382"/>
      <c r="U85" s="1382"/>
      <c r="V85" s="1382"/>
      <c r="W85" s="1382"/>
      <c r="X85" s="1382"/>
      <c r="Y85" s="1382"/>
      <c r="Z85" s="1382"/>
      <c r="AA85" s="1382"/>
      <c r="AB85" s="1382"/>
      <c r="AC85" s="1382"/>
      <c r="AD85" s="1382"/>
      <c r="AE85" s="1382"/>
      <c r="AF85" s="1382"/>
      <c r="AG85" s="1382"/>
      <c r="AH85" s="1382"/>
      <c r="AI85" s="1382"/>
      <c r="AJ85" s="1382"/>
      <c r="AK85" s="181"/>
      <c r="AL85" s="181"/>
      <c r="AM85" s="181"/>
      <c r="AN85" s="181"/>
      <c r="AO85" s="181"/>
      <c r="AP85" s="181"/>
      <c r="AQ85" s="181"/>
      <c r="AR85" s="181"/>
      <c r="AS85" s="181"/>
      <c r="AT85" s="181"/>
      <c r="AU85" s="181"/>
      <c r="AV85" s="181"/>
      <c r="AW85" s="181"/>
    </row>
    <row r="86" spans="1:49" s="30" customFormat="1" x14ac:dyDescent="0.25">
      <c r="A86" s="1518" t="str">
        <f>IF(CD50_apply="Yes",IF(COUNTIF('03 - 50% CD'!D86:G86,"Y")&gt;0,"Y",IF(COUNTIF('03 - 50% CD'!D86:G86,"N"),"N","")),"")</f>
        <v>Y</v>
      </c>
      <c r="B86" s="191"/>
      <c r="C86" s="944"/>
      <c r="D86" s="321"/>
      <c r="E86" s="466"/>
      <c r="F86" s="559" t="str">
        <f>IF('C-Design&amp;Const'!$O86="","",'C-Design&amp;Const'!$O86)</f>
        <v>Y</v>
      </c>
      <c r="G86" s="558"/>
      <c r="H86" s="408" t="str">
        <f>CONCATENATE(IF(F86="N","PLACEHOLDER ROW - ",""),'C-Design&amp;Const'!Z86,IF(F86="N","",J86))</f>
        <v xml:space="preserve">Plumbing - Water  **(verify existing system for renovations) (Updates to) </v>
      </c>
      <c r="I86" s="186"/>
      <c r="J86" s="578" t="str">
        <f>IF('C-Design&amp;Const'!AH86="","",'C-Design&amp;Const'!AH86)</f>
        <v xml:space="preserve"> (Updates to) </v>
      </c>
      <c r="K86" s="285" t="str">
        <f>IF(CD50_apply="Yes",IF((COUNTIF(D86:G86,"Y")=COUNTIF('03 - 50% CD'!D86:G86,"Y")),"match","no 50% match"),"-")</f>
        <v>match</v>
      </c>
      <c r="L86" s="1410" t="str">
        <f t="shared" si="0"/>
        <v/>
      </c>
      <c r="M86" s="1382"/>
      <c r="N86" s="1382"/>
      <c r="O86" s="1382"/>
      <c r="P86" s="1382"/>
      <c r="Q86" s="1382"/>
      <c r="R86" s="1490"/>
      <c r="S86" s="1284"/>
      <c r="T86" s="1382"/>
      <c r="U86" s="1382"/>
      <c r="V86" s="1382"/>
      <c r="W86" s="1382"/>
      <c r="X86" s="1382"/>
      <c r="Y86" s="1382"/>
      <c r="Z86" s="1382"/>
      <c r="AA86" s="1382"/>
      <c r="AB86" s="1382"/>
      <c r="AC86" s="1382"/>
      <c r="AD86" s="1382"/>
      <c r="AE86" s="1382"/>
      <c r="AF86" s="1382"/>
      <c r="AG86" s="1382"/>
      <c r="AH86" s="1382"/>
      <c r="AI86" s="1382"/>
      <c r="AJ86" s="1382"/>
      <c r="AK86" s="181"/>
      <c r="AL86" s="181"/>
      <c r="AM86" s="181"/>
      <c r="AN86" s="181"/>
      <c r="AO86" s="181"/>
      <c r="AP86" s="181"/>
      <c r="AQ86" s="181"/>
      <c r="AR86" s="181"/>
      <c r="AS86" s="181"/>
      <c r="AT86" s="181"/>
      <c r="AU86" s="181"/>
      <c r="AV86" s="181"/>
      <c r="AW86" s="181"/>
    </row>
    <row r="87" spans="1:49" s="30" customFormat="1" x14ac:dyDescent="0.25">
      <c r="A87" s="1518" t="str">
        <f>IF(CD50_apply="Yes",IF(COUNTIF('03 - 50% CD'!D87:G87,"Y")&gt;0,"Y",IF(COUNTIF('03 - 50% CD'!D87:G87,"N"),"N","")),"")</f>
        <v>Y</v>
      </c>
      <c r="B87" s="191"/>
      <c r="C87" s="944"/>
      <c r="D87" s="321"/>
      <c r="E87" s="466"/>
      <c r="F87" s="559" t="str">
        <f>IF('C-Design&amp;Const'!$O87="","",'C-Design&amp;Const'!$O87)</f>
        <v>Y</v>
      </c>
      <c r="G87" s="558"/>
      <c r="H87" s="408" t="str">
        <f>CONCATENATE(IF(F87="N","PLACEHOLDER ROW - ",""),'C-Design&amp;Const'!Z87,IF(F87="N","",J87))</f>
        <v xml:space="preserve">Plumbing - Sanitary **(verify existing system for renovations) (Updates to) </v>
      </c>
      <c r="I87" s="186"/>
      <c r="J87" s="578" t="str">
        <f>IF('C-Design&amp;Const'!AH87="","",'C-Design&amp;Const'!AH87)</f>
        <v xml:space="preserve"> (Updates to) </v>
      </c>
      <c r="K87" s="285" t="str">
        <f>IF(CD50_apply="Yes",IF((COUNTIF(D87:G87,"Y")=COUNTIF('03 - 50% CD'!D87:G87,"Y")),"match","no 50% match"),"-")</f>
        <v>match</v>
      </c>
      <c r="L87" s="1410" t="str">
        <f t="shared" si="0"/>
        <v/>
      </c>
      <c r="M87" s="1382"/>
      <c r="N87" s="1382"/>
      <c r="O87" s="1382"/>
      <c r="P87" s="1382"/>
      <c r="Q87" s="1382"/>
      <c r="R87" s="1490"/>
      <c r="S87" s="1284"/>
      <c r="T87" s="1382"/>
      <c r="U87" s="1382"/>
      <c r="V87" s="1382"/>
      <c r="W87" s="1382"/>
      <c r="X87" s="1382"/>
      <c r="Y87" s="1382"/>
      <c r="Z87" s="1382"/>
      <c r="AA87" s="1382"/>
      <c r="AB87" s="1382"/>
      <c r="AC87" s="1382"/>
      <c r="AD87" s="1382"/>
      <c r="AE87" s="1382"/>
      <c r="AF87" s="1382"/>
      <c r="AG87" s="1382"/>
      <c r="AH87" s="1382"/>
      <c r="AI87" s="1382"/>
      <c r="AJ87" s="1382"/>
      <c r="AK87" s="181"/>
      <c r="AL87" s="181"/>
      <c r="AM87" s="181"/>
      <c r="AN87" s="181"/>
      <c r="AO87" s="181"/>
      <c r="AP87" s="181"/>
      <c r="AQ87" s="181"/>
      <c r="AR87" s="181"/>
      <c r="AS87" s="181"/>
      <c r="AT87" s="181"/>
      <c r="AU87" s="181"/>
      <c r="AV87" s="181"/>
      <c r="AW87" s="181"/>
    </row>
    <row r="88" spans="1:49" s="30" customFormat="1" x14ac:dyDescent="0.25">
      <c r="A88" s="1518" t="str">
        <f>IF(CD50_apply="Yes",IF(COUNTIF('03 - 50% CD'!D88:G88,"Y")&gt;0,"Y",IF(COUNTIF('03 - 50% CD'!D88:G88,"N"),"N","")),"")</f>
        <v>N</v>
      </c>
      <c r="B88" s="191"/>
      <c r="C88" s="944"/>
      <c r="D88" s="321"/>
      <c r="E88" s="466"/>
      <c r="F88" s="559" t="str">
        <f>IF('C-Design&amp;Const'!$O88="","",'C-Design&amp;Const'!$O88)</f>
        <v>N</v>
      </c>
      <c r="G88" s="558"/>
      <c r="H88" s="408" t="str">
        <f>CONCATENATE(IF(F88="N","PLACEHOLDER ROW - ",""),'C-Design&amp;Const'!Z88,IF(F88="N","",J88))</f>
        <v>PLACEHOLDER ROW - Plumbing - Cut Sheets or Product Data Sheets on Plumbing Fixtures</v>
      </c>
      <c r="I88" s="186"/>
      <c r="J88" s="578" t="str">
        <f>IF('C-Design&amp;Const'!AH88="","",'C-Design&amp;Const'!AH88)</f>
        <v xml:space="preserve"> (Updates to) </v>
      </c>
      <c r="K88" s="285" t="str">
        <f>IF(CD50_apply="Yes",IF((COUNTIF(D88:G88,"Y")=COUNTIF('03 - 50% CD'!D88:G88,"Y")),"match","no 50% match"),"-")</f>
        <v>match</v>
      </c>
      <c r="L88" s="1410" t="str">
        <f t="shared" si="0"/>
        <v>&lt;---PM/Planner may hide PLACEHOLDER ROW</v>
      </c>
      <c r="M88" s="1382"/>
      <c r="N88" s="1382"/>
      <c r="O88" s="1382"/>
      <c r="P88" s="1382"/>
      <c r="Q88" s="1382"/>
      <c r="R88" s="1490"/>
      <c r="S88" s="1284"/>
      <c r="T88" s="1382"/>
      <c r="U88" s="1382"/>
      <c r="V88" s="1382"/>
      <c r="W88" s="1382"/>
      <c r="X88" s="1382"/>
      <c r="Y88" s="1382"/>
      <c r="Z88" s="1382"/>
      <c r="AA88" s="1382"/>
      <c r="AB88" s="1382"/>
      <c r="AC88" s="1382"/>
      <c r="AD88" s="1382"/>
      <c r="AE88" s="1382"/>
      <c r="AF88" s="1382"/>
      <c r="AG88" s="1382"/>
      <c r="AH88" s="1382"/>
      <c r="AI88" s="1382"/>
      <c r="AJ88" s="1382"/>
      <c r="AK88" s="181"/>
      <c r="AL88" s="181"/>
      <c r="AM88" s="181"/>
      <c r="AN88" s="181"/>
      <c r="AO88" s="181"/>
      <c r="AP88" s="181"/>
      <c r="AQ88" s="181"/>
      <c r="AR88" s="181"/>
      <c r="AS88" s="181"/>
      <c r="AT88" s="181"/>
      <c r="AU88" s="181"/>
      <c r="AV88" s="181"/>
      <c r="AW88" s="181"/>
    </row>
    <row r="89" spans="1:49" s="30" customFormat="1" x14ac:dyDescent="0.25">
      <c r="A89" s="1518" t="str">
        <f>IF(CD50_apply="Yes",IF(COUNTIF('03 - 50% CD'!D89:G89,"Y")&gt;0,"Y",IF(COUNTIF('03 - 50% CD'!D89:G89,"N"),"N","")),"")</f>
        <v>Y</v>
      </c>
      <c r="B89" s="191"/>
      <c r="C89" s="944"/>
      <c r="D89" s="321"/>
      <c r="E89" s="466"/>
      <c r="F89" s="559" t="str">
        <f>IF('C-Design&amp;Const'!$O89="","",'C-Design&amp;Const'!$O89)</f>
        <v>Y</v>
      </c>
      <c r="G89" s="558"/>
      <c r="H89" s="408" t="str">
        <f>CONCATENATE(IF(F89="N","PLACEHOLDER ROW - ",""),'C-Design&amp;Const'!Z89,IF(F89="N","",J89))</f>
        <v xml:space="preserve">Fire Suppression System(s) **(verify existing system for renovations) (Updates to) </v>
      </c>
      <c r="I89" s="186"/>
      <c r="J89" s="578" t="str">
        <f>IF('C-Design&amp;Const'!AH89="","",'C-Design&amp;Const'!AH89)</f>
        <v xml:space="preserve"> (Updates to) </v>
      </c>
      <c r="K89" s="285" t="str">
        <f>IF(CD50_apply="Yes",IF((COUNTIF(D89:G89,"Y")=COUNTIF('03 - 50% CD'!D89:G89,"Y")),"match","no 50% match"),"-")</f>
        <v>match</v>
      </c>
      <c r="L89" s="1410" t="str">
        <f t="shared" si="0"/>
        <v/>
      </c>
      <c r="M89" s="1382"/>
      <c r="N89" s="1382"/>
      <c r="O89" s="1382"/>
      <c r="P89" s="1382"/>
      <c r="Q89" s="1382"/>
      <c r="R89" s="1490"/>
      <c r="S89" s="1284"/>
      <c r="T89" s="1382"/>
      <c r="U89" s="1382"/>
      <c r="V89" s="1382"/>
      <c r="W89" s="1382"/>
      <c r="X89" s="1382"/>
      <c r="Y89" s="1382"/>
      <c r="Z89" s="1382"/>
      <c r="AA89" s="1382"/>
      <c r="AB89" s="1382"/>
      <c r="AC89" s="1382"/>
      <c r="AD89" s="1382"/>
      <c r="AE89" s="1382"/>
      <c r="AF89" s="1382"/>
      <c r="AG89" s="1382"/>
      <c r="AH89" s="1382"/>
      <c r="AI89" s="1382"/>
      <c r="AJ89" s="1382"/>
      <c r="AK89" s="181"/>
      <c r="AL89" s="181"/>
      <c r="AM89" s="181"/>
      <c r="AN89" s="181"/>
      <c r="AO89" s="181"/>
      <c r="AP89" s="181"/>
      <c r="AQ89" s="181"/>
      <c r="AR89" s="181"/>
      <c r="AS89" s="181"/>
      <c r="AT89" s="181"/>
      <c r="AU89" s="181"/>
      <c r="AV89" s="181"/>
      <c r="AW89" s="181"/>
    </row>
    <row r="90" spans="1:49" s="30" customFormat="1" x14ac:dyDescent="0.25">
      <c r="A90" s="1518" t="str">
        <f>IF(CD50_apply="Yes",IF(COUNTIF('03 - 50% CD'!D90:G90,"Y")&gt;0,"Y",IF(COUNTIF('03 - 50% CD'!D90:G90,"N"),"N","")),"")</f>
        <v>Y</v>
      </c>
      <c r="B90" s="191"/>
      <c r="C90" s="944"/>
      <c r="D90" s="321"/>
      <c r="E90" s="466"/>
      <c r="F90" s="559" t="str">
        <f>IF('C-Design&amp;Const'!$O90="","",'C-Design&amp;Const'!$O90)</f>
        <v>Y</v>
      </c>
      <c r="G90" s="558"/>
      <c r="H90" s="796" t="str">
        <f>CONCATENATE(IF(F90="N","PLACEHOLDER ROW - ",""),'C-Design&amp;Const'!Z90,IF(F90="N","",J90))</f>
        <v xml:space="preserve">Heating - General System(s) **(verify existing system for renovations) (Updates to) </v>
      </c>
      <c r="I90" s="186"/>
      <c r="J90" s="578" t="str">
        <f>IF('C-Design&amp;Const'!AH90="","",'C-Design&amp;Const'!AH90)</f>
        <v xml:space="preserve"> (Updates to) </v>
      </c>
      <c r="K90" s="285" t="str">
        <f>IF(CD50_apply="Yes",IF((COUNTIF(D90:G90,"Y")=COUNTIF('03 - 50% CD'!D90:G90,"Y")),"match","no 50% match"),"-")</f>
        <v>match</v>
      </c>
      <c r="L90" s="1410" t="str">
        <f t="shared" si="0"/>
        <v/>
      </c>
      <c r="M90" s="1382"/>
      <c r="N90" s="1382"/>
      <c r="O90" s="1382"/>
      <c r="P90" s="1382"/>
      <c r="Q90" s="1382"/>
      <c r="R90" s="1490"/>
      <c r="S90" s="1284"/>
      <c r="T90" s="1382"/>
      <c r="U90" s="1382"/>
      <c r="V90" s="1382"/>
      <c r="W90" s="1382"/>
      <c r="X90" s="1382"/>
      <c r="Y90" s="1382"/>
      <c r="Z90" s="1382"/>
      <c r="AA90" s="1382"/>
      <c r="AB90" s="1382"/>
      <c r="AC90" s="1382"/>
      <c r="AD90" s="1382"/>
      <c r="AE90" s="1382"/>
      <c r="AF90" s="1382"/>
      <c r="AG90" s="1382"/>
      <c r="AH90" s="1382"/>
      <c r="AI90" s="1382"/>
      <c r="AJ90" s="1382"/>
      <c r="AK90" s="181"/>
      <c r="AL90" s="181"/>
      <c r="AM90" s="181"/>
      <c r="AN90" s="181"/>
      <c r="AO90" s="181"/>
      <c r="AP90" s="181"/>
      <c r="AQ90" s="181"/>
      <c r="AR90" s="181"/>
      <c r="AS90" s="181"/>
      <c r="AT90" s="181"/>
      <c r="AU90" s="181"/>
      <c r="AV90" s="181"/>
      <c r="AW90" s="181"/>
    </row>
    <row r="91" spans="1:49" s="545" customFormat="1" x14ac:dyDescent="0.25">
      <c r="A91" s="1518" t="str">
        <f>IF(CD50_apply="Yes",IF(COUNTIF('03 - 50% CD'!D91:G91,"Y")&gt;0,"Y",IF(COUNTIF('03 - 50% CD'!D91:G91,"N"),"N","")),"")</f>
        <v>Y</v>
      </c>
      <c r="B91" s="554"/>
      <c r="C91" s="944"/>
      <c r="D91" s="321"/>
      <c r="E91" s="466"/>
      <c r="F91" s="559" t="str">
        <f>IF('C-Design&amp;Const'!$O91="","",'C-Design&amp;Const'!$O91)</f>
        <v>Y</v>
      </c>
      <c r="G91" s="558"/>
      <c r="H91" s="408" t="str">
        <f>CONCATENATE(IF(F91="N","PLACEHOLDER ROW - ",""),'C-Design&amp;Const'!Z91,IF(F91="N","",J91))</f>
        <v xml:space="preserve">Heating - Demolition(s) (Updates to) </v>
      </c>
      <c r="I91" s="186"/>
      <c r="J91" s="578" t="str">
        <f>IF('C-Design&amp;Const'!AH91="","",'C-Design&amp;Const'!AH91)</f>
        <v xml:space="preserve"> (Updates to) </v>
      </c>
      <c r="K91" s="285" t="str">
        <f>IF(CD50_apply="Yes",IF((COUNTIF(D91:G91,"Y")=COUNTIF('03 - 50% CD'!D91:G91,"Y")),"match","no 50% match"),"-")</f>
        <v>match</v>
      </c>
      <c r="L91" s="1410" t="str">
        <f t="shared" ref="L91" si="3">CONCATENATE(IF(ISNUMBER(SEARCH("Placeholder",H91))=TRUE,"&lt;---PM/Planner may hide PLACEHOLDER ROW",""))</f>
        <v/>
      </c>
      <c r="M91" s="1382"/>
      <c r="N91" s="1382"/>
      <c r="O91" s="1382"/>
      <c r="P91" s="1382"/>
      <c r="Q91" s="1382"/>
      <c r="R91" s="1490"/>
      <c r="S91" s="1284"/>
      <c r="T91" s="1382"/>
      <c r="U91" s="1382"/>
      <c r="V91" s="1382"/>
      <c r="W91" s="1382"/>
      <c r="X91" s="1382"/>
      <c r="Y91" s="1382"/>
      <c r="Z91" s="1382"/>
      <c r="AA91" s="1382"/>
      <c r="AB91" s="1382"/>
      <c r="AC91" s="1382"/>
      <c r="AD91" s="1382"/>
      <c r="AE91" s="1382"/>
      <c r="AF91" s="1382"/>
      <c r="AG91" s="1382"/>
      <c r="AH91" s="1382"/>
      <c r="AI91" s="1382"/>
      <c r="AJ91" s="1382"/>
      <c r="AK91" s="551"/>
      <c r="AL91" s="551"/>
      <c r="AM91" s="551"/>
      <c r="AN91" s="551"/>
      <c r="AO91" s="551"/>
      <c r="AP91" s="551"/>
      <c r="AQ91" s="551"/>
      <c r="AR91" s="551"/>
      <c r="AS91" s="551"/>
      <c r="AT91" s="551"/>
      <c r="AU91" s="551"/>
      <c r="AV91" s="551"/>
      <c r="AW91" s="551"/>
    </row>
    <row r="92" spans="1:49" s="30" customFormat="1" x14ac:dyDescent="0.25">
      <c r="A92" s="1518" t="str">
        <f>IF(CD50_apply="Yes",IF(COUNTIF('03 - 50% CD'!D92:G92,"Y")&gt;0,"Y",IF(COUNTIF('03 - 50% CD'!D92:G92,"N"),"N","")),"")</f>
        <v>Y</v>
      </c>
      <c r="B92" s="191"/>
      <c r="C92" s="944"/>
      <c r="D92" s="321"/>
      <c r="E92" s="466"/>
      <c r="F92" s="559" t="str">
        <f>IF('C-Design&amp;Const'!$O92="","",'C-Design&amp;Const'!$O92)</f>
        <v>Y</v>
      </c>
      <c r="G92" s="558"/>
      <c r="H92" s="796" t="str">
        <f>CONCATENATE(IF(F92="N","PLACEHOLDER ROW - ",""),'C-Design&amp;Const'!Z92,IF(F92="N","",J92))</f>
        <v xml:space="preserve">Heating - Gas (and verify existing system for renovations)* (Updates to) </v>
      </c>
      <c r="I92" s="186"/>
      <c r="J92" s="578" t="str">
        <f>IF('C-Design&amp;Const'!AH92="","",'C-Design&amp;Const'!AH92)</f>
        <v xml:space="preserve"> (Updates to) </v>
      </c>
      <c r="K92" s="285" t="str">
        <f>IF(CD50_apply="Yes",IF((COUNTIF(D92:G92,"Y")=COUNTIF('03 - 50% CD'!D92:G92,"Y")),"match","no 50% match"),"-")</f>
        <v>match</v>
      </c>
      <c r="L92" s="1410" t="str">
        <f t="shared" si="0"/>
        <v/>
      </c>
      <c r="M92" s="1382"/>
      <c r="N92" s="1382"/>
      <c r="O92" s="1382"/>
      <c r="P92" s="1382"/>
      <c r="Q92" s="1382"/>
      <c r="R92" s="1490"/>
      <c r="S92" s="1284"/>
      <c r="T92" s="1382"/>
      <c r="U92" s="1382"/>
      <c r="V92" s="1382"/>
      <c r="W92" s="1382"/>
      <c r="X92" s="1382"/>
      <c r="Y92" s="1382"/>
      <c r="Z92" s="1382"/>
      <c r="AA92" s="1382"/>
      <c r="AB92" s="1382"/>
      <c r="AC92" s="1382"/>
      <c r="AD92" s="1382"/>
      <c r="AE92" s="1382"/>
      <c r="AF92" s="1382"/>
      <c r="AG92" s="1382"/>
      <c r="AH92" s="1382"/>
      <c r="AI92" s="1382"/>
      <c r="AJ92" s="1382"/>
      <c r="AK92" s="181"/>
      <c r="AL92" s="181"/>
      <c r="AM92" s="181"/>
      <c r="AN92" s="181"/>
      <c r="AO92" s="181"/>
      <c r="AP92" s="181"/>
      <c r="AQ92" s="181"/>
      <c r="AR92" s="181"/>
      <c r="AS92" s="181"/>
      <c r="AT92" s="181"/>
      <c r="AU92" s="181"/>
      <c r="AV92" s="181"/>
      <c r="AW92" s="181"/>
    </row>
    <row r="93" spans="1:49" s="30" customFormat="1" x14ac:dyDescent="0.25">
      <c r="A93" s="1518" t="str">
        <f>IF(CD50_apply="Yes",IF(COUNTIF('03 - 50% CD'!D93:G93,"Y")&gt;0,"Y",IF(COUNTIF('03 - 50% CD'!D93:G93,"N"),"N","")),"")</f>
        <v>Y</v>
      </c>
      <c r="B93" s="191"/>
      <c r="C93" s="944"/>
      <c r="D93" s="321"/>
      <c r="E93" s="466"/>
      <c r="F93" s="559" t="str">
        <f>IF('C-Design&amp;Const'!$O93="","",'C-Design&amp;Const'!$O93)</f>
        <v>Y</v>
      </c>
      <c r="G93" s="558"/>
      <c r="H93" s="408" t="str">
        <f>CONCATENATE(IF(F93="N","PLACEHOLDER ROW - ",""),'C-Design&amp;Const'!Z93,IF(F93="N","",J93))</f>
        <v xml:space="preserve">Heating -  Steam  (and verify existing system for renovations)* (Updates to) </v>
      </c>
      <c r="I93" s="186"/>
      <c r="J93" s="578" t="str">
        <f>IF('C-Design&amp;Const'!AH93="","",'C-Design&amp;Const'!AH93)</f>
        <v xml:space="preserve"> (Updates to) </v>
      </c>
      <c r="K93" s="285" t="str">
        <f>IF(CD50_apply="Yes",IF((COUNTIF(D93:G93,"Y")=COUNTIF('03 - 50% CD'!D93:G93,"Y")),"match","no 50% match"),"-")</f>
        <v>match</v>
      </c>
      <c r="L93" s="1410" t="str">
        <f t="shared" si="0"/>
        <v/>
      </c>
      <c r="M93" s="1382"/>
      <c r="N93" s="1382"/>
      <c r="O93" s="1382"/>
      <c r="P93" s="1382"/>
      <c r="Q93" s="1382"/>
      <c r="R93" s="1490"/>
      <c r="S93" s="1284"/>
      <c r="T93" s="1382"/>
      <c r="U93" s="1382"/>
      <c r="V93" s="1382"/>
      <c r="W93" s="1382"/>
      <c r="X93" s="1382"/>
      <c r="Y93" s="1382"/>
      <c r="Z93" s="1382"/>
      <c r="AA93" s="1382"/>
      <c r="AB93" s="1382"/>
      <c r="AC93" s="1382"/>
      <c r="AD93" s="1382"/>
      <c r="AE93" s="1382"/>
      <c r="AF93" s="1382"/>
      <c r="AG93" s="1382"/>
      <c r="AH93" s="1382"/>
      <c r="AI93" s="1382"/>
      <c r="AJ93" s="1382"/>
      <c r="AK93" s="181"/>
      <c r="AL93" s="181"/>
      <c r="AM93" s="181"/>
      <c r="AN93" s="181"/>
      <c r="AO93" s="181"/>
      <c r="AP93" s="181"/>
      <c r="AQ93" s="181"/>
      <c r="AR93" s="181"/>
      <c r="AS93" s="181"/>
      <c r="AT93" s="181"/>
      <c r="AU93" s="181"/>
      <c r="AV93" s="181"/>
      <c r="AW93" s="181"/>
    </row>
    <row r="94" spans="1:49" s="30" customFormat="1" x14ac:dyDescent="0.25">
      <c r="A94" s="1518" t="str">
        <f>IF(CD50_apply="Yes",IF(COUNTIF('03 - 50% CD'!D94:G94,"Y")&gt;0,"Y",IF(COUNTIF('03 - 50% CD'!D94:G94,"N"),"N","")),"")</f>
        <v>N</v>
      </c>
      <c r="B94" s="191"/>
      <c r="C94" s="944"/>
      <c r="D94" s="321"/>
      <c r="E94" s="466"/>
      <c r="F94" s="559" t="str">
        <f>IF('C-Design&amp;Const'!$O94="","",'C-Design&amp;Const'!$O94)</f>
        <v>N</v>
      </c>
      <c r="G94" s="558"/>
      <c r="H94" s="408" t="str">
        <f>CONCATENATE(IF(F94="N","PLACEHOLDER ROW - ",""),'C-Design&amp;Const'!Z94,IF(F94="N","",J94))</f>
        <v>PLACEHOLDER ROW - Heating - CUSTOM</v>
      </c>
      <c r="I94" s="186"/>
      <c r="J94" s="578" t="str">
        <f>IF('C-Design&amp;Const'!AH94="","",'C-Design&amp;Const'!AH94)</f>
        <v xml:space="preserve"> (Updates to) </v>
      </c>
      <c r="K94" s="285" t="str">
        <f>IF(CD50_apply="Yes",IF((COUNTIF(D94:G94,"Y")=COUNTIF('03 - 50% CD'!D94:G94,"Y")),"match","no 50% match"),"-")</f>
        <v>match</v>
      </c>
      <c r="L94" s="1410" t="str">
        <f t="shared" si="0"/>
        <v>&lt;---PM/Planner may hide PLACEHOLDER ROW</v>
      </c>
      <c r="M94" s="1382"/>
      <c r="N94" s="1382"/>
      <c r="O94" s="1382"/>
      <c r="P94" s="1382"/>
      <c r="Q94" s="1382"/>
      <c r="R94" s="1490"/>
      <c r="S94" s="1284"/>
      <c r="T94" s="1382"/>
      <c r="U94" s="1382"/>
      <c r="V94" s="1382"/>
      <c r="W94" s="1382"/>
      <c r="X94" s="1382"/>
      <c r="Y94" s="1382"/>
      <c r="Z94" s="1382"/>
      <c r="AA94" s="1382"/>
      <c r="AB94" s="1382"/>
      <c r="AC94" s="1382"/>
      <c r="AD94" s="1382"/>
      <c r="AE94" s="1382"/>
      <c r="AF94" s="1382"/>
      <c r="AG94" s="1382"/>
      <c r="AH94" s="1382"/>
      <c r="AI94" s="1382"/>
      <c r="AJ94" s="1382"/>
      <c r="AK94" s="181"/>
      <c r="AL94" s="181"/>
      <c r="AM94" s="181"/>
      <c r="AN94" s="181"/>
      <c r="AO94" s="181"/>
      <c r="AP94" s="181"/>
      <c r="AQ94" s="181"/>
      <c r="AR94" s="181"/>
      <c r="AS94" s="181"/>
      <c r="AT94" s="181"/>
      <c r="AU94" s="181"/>
      <c r="AV94" s="181"/>
      <c r="AW94" s="181"/>
    </row>
    <row r="95" spans="1:49" s="30" customFormat="1" x14ac:dyDescent="0.25">
      <c r="A95" s="1518" t="str">
        <f>IF(CD50_apply="Yes",IF(COUNTIF('03 - 50% CD'!D95:G95,"Y")&gt;0,"Y",IF(COUNTIF('03 - 50% CD'!D95:G95,"N"),"N","")),"")</f>
        <v>Y</v>
      </c>
      <c r="B95" s="191"/>
      <c r="C95" s="944"/>
      <c r="D95" s="321"/>
      <c r="E95" s="466"/>
      <c r="F95" s="559" t="str">
        <f>IF('C-Design&amp;Const'!$O95="","",'C-Design&amp;Const'!$O95)</f>
        <v>Y</v>
      </c>
      <c r="G95" s="558"/>
      <c r="H95" s="796" t="str">
        <f>CONCATENATE(IF(F95="N","PLACEHOLDER ROW - ",""),'C-Design&amp;Const'!Z95,IF(F95="N","",J95))</f>
        <v xml:space="preserve">Ventilation - General System(s)  **(verify existing system for renovations) (Updates to) </v>
      </c>
      <c r="I95" s="186"/>
      <c r="J95" s="578" t="str">
        <f>IF('C-Design&amp;Const'!AH95="","",'C-Design&amp;Const'!AH95)</f>
        <v xml:space="preserve"> (Updates to) </v>
      </c>
      <c r="K95" s="285" t="str">
        <f>IF(CD50_apply="Yes",IF((COUNTIF(D95:G95,"Y")=COUNTIF('03 - 50% CD'!D95:G95,"Y")),"match","no 50% match"),"-")</f>
        <v>match</v>
      </c>
      <c r="L95" s="1410" t="str">
        <f t="shared" si="0"/>
        <v/>
      </c>
      <c r="M95" s="1382"/>
      <c r="N95" s="1382"/>
      <c r="O95" s="1382"/>
      <c r="P95" s="1382"/>
      <c r="Q95" s="1382"/>
      <c r="R95" s="1490"/>
      <c r="S95" s="1284"/>
      <c r="T95" s="1382"/>
      <c r="U95" s="1382"/>
      <c r="V95" s="1382"/>
      <c r="W95" s="1382"/>
      <c r="X95" s="1382"/>
      <c r="Y95" s="1382"/>
      <c r="Z95" s="1382"/>
      <c r="AA95" s="1382"/>
      <c r="AB95" s="1382"/>
      <c r="AC95" s="1382"/>
      <c r="AD95" s="1382"/>
      <c r="AE95" s="1382"/>
      <c r="AF95" s="1382"/>
      <c r="AG95" s="1382"/>
      <c r="AH95" s="1382"/>
      <c r="AI95" s="1382"/>
      <c r="AJ95" s="1382"/>
      <c r="AK95" s="181"/>
      <c r="AL95" s="181"/>
      <c r="AM95" s="181"/>
      <c r="AN95" s="181"/>
      <c r="AO95" s="181"/>
      <c r="AP95" s="181"/>
      <c r="AQ95" s="181"/>
      <c r="AR95" s="181"/>
      <c r="AS95" s="181"/>
      <c r="AT95" s="181"/>
      <c r="AU95" s="181"/>
      <c r="AV95" s="181"/>
      <c r="AW95" s="181"/>
    </row>
    <row r="96" spans="1:49" s="545" customFormat="1" x14ac:dyDescent="0.25">
      <c r="A96" s="1518" t="str">
        <f>IF(CD50_apply="Yes",IF(COUNTIF('03 - 50% CD'!D96:G96,"Y")&gt;0,"Y",IF(COUNTIF('03 - 50% CD'!D96:G96,"N"),"N","")),"")</f>
        <v>Y</v>
      </c>
      <c r="B96" s="554"/>
      <c r="C96" s="944"/>
      <c r="D96" s="321"/>
      <c r="E96" s="466"/>
      <c r="F96" s="559" t="str">
        <f>IF('C-Design&amp;Const'!$O96="","",'C-Design&amp;Const'!$O96)</f>
        <v>Y</v>
      </c>
      <c r="G96" s="558"/>
      <c r="H96" s="408" t="str">
        <f>CONCATENATE(IF(F96="N","PLACEHOLDER ROW - ",""),'C-Design&amp;Const'!Z96,IF(F96="N","",J96))</f>
        <v xml:space="preserve">Ventilation - Demolition(s) (Updates to) </v>
      </c>
      <c r="I96" s="186"/>
      <c r="J96" s="578" t="str">
        <f>IF('C-Design&amp;Const'!AH96="","",'C-Design&amp;Const'!AH96)</f>
        <v xml:space="preserve"> (Updates to) </v>
      </c>
      <c r="K96" s="285" t="str">
        <f>IF(CD50_apply="Yes",IF((COUNTIF(D96:G96,"Y")=COUNTIF('03 - 50% CD'!D96:G96,"Y")),"match","no 50% match"),"-")</f>
        <v>match</v>
      </c>
      <c r="L96" s="1410" t="str">
        <f t="shared" si="0"/>
        <v/>
      </c>
      <c r="M96" s="1382"/>
      <c r="N96" s="1382"/>
      <c r="O96" s="1382"/>
      <c r="P96" s="1382"/>
      <c r="Q96" s="1382"/>
      <c r="R96" s="1490"/>
      <c r="S96" s="1284"/>
      <c r="T96" s="1382"/>
      <c r="U96" s="1382"/>
      <c r="V96" s="1382"/>
      <c r="W96" s="1382"/>
      <c r="X96" s="1382"/>
      <c r="Y96" s="1382"/>
      <c r="Z96" s="1382"/>
      <c r="AA96" s="1382"/>
      <c r="AB96" s="1382"/>
      <c r="AC96" s="1382"/>
      <c r="AD96" s="1382"/>
      <c r="AE96" s="1382"/>
      <c r="AF96" s="1382"/>
      <c r="AG96" s="1382"/>
      <c r="AH96" s="1382"/>
      <c r="AI96" s="1382"/>
      <c r="AJ96" s="1382"/>
      <c r="AK96" s="551"/>
      <c r="AL96" s="551"/>
      <c r="AM96" s="551"/>
      <c r="AN96" s="551"/>
      <c r="AO96" s="551"/>
      <c r="AP96" s="551"/>
      <c r="AQ96" s="551"/>
      <c r="AR96" s="551"/>
      <c r="AS96" s="551"/>
      <c r="AT96" s="551"/>
      <c r="AU96" s="551"/>
      <c r="AV96" s="551"/>
      <c r="AW96" s="551"/>
    </row>
    <row r="97" spans="1:49" s="30" customFormat="1" x14ac:dyDescent="0.25">
      <c r="A97" s="1518" t="str">
        <f>IF(CD50_apply="Yes",IF(COUNTIF('03 - 50% CD'!D97:G97,"Y")&gt;0,"Y",IF(COUNTIF('03 - 50% CD'!D97:G97,"N"),"N","")),"")</f>
        <v>Y</v>
      </c>
      <c r="B97" s="191"/>
      <c r="C97" s="944"/>
      <c r="D97" s="321"/>
      <c r="E97" s="466"/>
      <c r="F97" s="559" t="str">
        <f>IF('C-Design&amp;Const'!$O97="","",'C-Design&amp;Const'!$O97)</f>
        <v>Y</v>
      </c>
      <c r="G97" s="558"/>
      <c r="H97" s="408" t="str">
        <f>CONCATENATE(IF(F97="N","PLACEHOLDER ROW - ",""),'C-Design&amp;Const'!Z97,IF(F97="N","",J97))</f>
        <v xml:space="preserve">Ventilation - Refrigeration Systems **(verify existing system for renovations) (Updates to) </v>
      </c>
      <c r="I97" s="186"/>
      <c r="J97" s="578" t="str">
        <f>IF('C-Design&amp;Const'!AH97="","",'C-Design&amp;Const'!AH97)</f>
        <v xml:space="preserve"> (Updates to) </v>
      </c>
      <c r="K97" s="285" t="str">
        <f>IF(CD50_apply="Yes",IF((COUNTIF(D97:G97,"Y")=COUNTIF('03 - 50% CD'!D97:G97,"Y")),"match","no 50% match"),"-")</f>
        <v>match</v>
      </c>
      <c r="L97" s="1410" t="str">
        <f t="shared" si="0"/>
        <v/>
      </c>
      <c r="M97" s="1382"/>
      <c r="N97" s="1382"/>
      <c r="O97" s="1382"/>
      <c r="P97" s="1382"/>
      <c r="Q97" s="1382"/>
      <c r="R97" s="1490"/>
      <c r="S97" s="1284"/>
      <c r="T97" s="1382"/>
      <c r="U97" s="1382"/>
      <c r="V97" s="1382"/>
      <c r="W97" s="1382"/>
      <c r="X97" s="1382"/>
      <c r="Y97" s="1382"/>
      <c r="Z97" s="1382"/>
      <c r="AA97" s="1382"/>
      <c r="AB97" s="1382"/>
      <c r="AC97" s="1382"/>
      <c r="AD97" s="1382"/>
      <c r="AE97" s="1382"/>
      <c r="AF97" s="1382"/>
      <c r="AG97" s="1382"/>
      <c r="AH97" s="1382"/>
      <c r="AI97" s="1382"/>
      <c r="AJ97" s="1382"/>
      <c r="AK97" s="181"/>
      <c r="AL97" s="181"/>
      <c r="AM97" s="181"/>
      <c r="AN97" s="181"/>
      <c r="AO97" s="181"/>
      <c r="AP97" s="181"/>
      <c r="AQ97" s="181"/>
      <c r="AR97" s="181"/>
      <c r="AS97" s="181"/>
      <c r="AT97" s="181"/>
      <c r="AU97" s="181"/>
      <c r="AV97" s="181"/>
      <c r="AW97" s="181"/>
    </row>
    <row r="98" spans="1:49" s="30" customFormat="1" x14ac:dyDescent="0.25">
      <c r="A98" s="1518" t="str">
        <f>IF(CD50_apply="Yes",IF(COUNTIF('03 - 50% CD'!D98:G98,"Y")&gt;0,"Y",IF(COUNTIF('03 - 50% CD'!D98:G98,"N"),"N","")),"")</f>
        <v>Y</v>
      </c>
      <c r="B98" s="191"/>
      <c r="C98" s="944"/>
      <c r="D98" s="321"/>
      <c r="E98" s="466"/>
      <c r="F98" s="559" t="str">
        <f>IF('C-Design&amp;Const'!$O98="","",'C-Design&amp;Const'!$O98)</f>
        <v>Y</v>
      </c>
      <c r="G98" s="558"/>
      <c r="H98" s="408" t="str">
        <f>CONCATENATE(IF(F98="N","PLACEHOLDER ROW - ",""),'C-Design&amp;Const'!Z98,IF(F98="N","",J98))</f>
        <v xml:space="preserve">Ventilation - Chilled Water  **(verify existing system for renovations) (Updates to) </v>
      </c>
      <c r="I98" s="186"/>
      <c r="J98" s="578" t="str">
        <f>IF('C-Design&amp;Const'!AH98="","",'C-Design&amp;Const'!AH98)</f>
        <v xml:space="preserve"> (Updates to) </v>
      </c>
      <c r="K98" s="285" t="str">
        <f>IF(CD50_apply="Yes",IF((COUNTIF(D98:G98,"Y")=COUNTIF('03 - 50% CD'!D98:G98,"Y")),"match","no 50% match"),"-")</f>
        <v>match</v>
      </c>
      <c r="L98" s="1410" t="str">
        <f t="shared" si="0"/>
        <v/>
      </c>
      <c r="M98" s="1382"/>
      <c r="N98" s="1382"/>
      <c r="O98" s="1382"/>
      <c r="P98" s="1382"/>
      <c r="Q98" s="1382"/>
      <c r="R98" s="1490"/>
      <c r="S98" s="1284"/>
      <c r="T98" s="1382"/>
      <c r="U98" s="1382"/>
      <c r="V98" s="1382"/>
      <c r="W98" s="1382"/>
      <c r="X98" s="1382"/>
      <c r="Y98" s="1382"/>
      <c r="Z98" s="1382"/>
      <c r="AA98" s="1382"/>
      <c r="AB98" s="1382"/>
      <c r="AC98" s="1382"/>
      <c r="AD98" s="1382"/>
      <c r="AE98" s="1382"/>
      <c r="AF98" s="1382"/>
      <c r="AG98" s="1382"/>
      <c r="AH98" s="1382"/>
      <c r="AI98" s="1382"/>
      <c r="AJ98" s="1382"/>
      <c r="AK98" s="181"/>
      <c r="AL98" s="181"/>
      <c r="AM98" s="181"/>
      <c r="AN98" s="181"/>
      <c r="AO98" s="181"/>
      <c r="AP98" s="181"/>
      <c r="AQ98" s="181"/>
      <c r="AR98" s="181"/>
      <c r="AS98" s="181"/>
      <c r="AT98" s="181"/>
      <c r="AU98" s="181"/>
      <c r="AV98" s="181"/>
      <c r="AW98" s="181"/>
    </row>
    <row r="99" spans="1:49" s="30" customFormat="1" x14ac:dyDescent="0.25">
      <c r="A99" s="1518" t="str">
        <f>IF(CD50_apply="Yes",IF(COUNTIF('03 - 50% CD'!D99:G99,"Y")&gt;0,"Y",IF(COUNTIF('03 - 50% CD'!D99:G99,"N"),"N","")),"")</f>
        <v>N</v>
      </c>
      <c r="B99" s="191"/>
      <c r="C99" s="944"/>
      <c r="D99" s="321"/>
      <c r="E99" s="466"/>
      <c r="F99" s="559" t="str">
        <f>IF('C-Design&amp;Const'!$O99="","",'C-Design&amp;Const'!$O99)</f>
        <v>N</v>
      </c>
      <c r="G99" s="558"/>
      <c r="H99" s="408" t="str">
        <f>CONCATENATE(IF(F99="N","PLACEHOLDER ROW - ",""),'C-Design&amp;Const'!Z99,IF(F99="N","",J99))</f>
        <v>PLACEHOLDER ROW - Ventilation - CUSTOM</v>
      </c>
      <c r="I99" s="186"/>
      <c r="J99" s="578" t="str">
        <f>IF('C-Design&amp;Const'!AH99="","",'C-Design&amp;Const'!AH99)</f>
        <v xml:space="preserve"> (Updates to) </v>
      </c>
      <c r="K99" s="285" t="str">
        <f>IF(CD50_apply="Yes",IF((COUNTIF(D99:G99,"Y")=COUNTIF('03 - 50% CD'!D99:G99,"Y")),"match","no 50% match"),"-")</f>
        <v>match</v>
      </c>
      <c r="L99" s="1410" t="str">
        <f t="shared" si="0"/>
        <v>&lt;---PM/Planner may hide PLACEHOLDER ROW</v>
      </c>
      <c r="M99" s="1382"/>
      <c r="N99" s="1382"/>
      <c r="O99" s="1382"/>
      <c r="P99" s="1382"/>
      <c r="Q99" s="1382"/>
      <c r="R99" s="1490"/>
      <c r="S99" s="1284"/>
      <c r="T99" s="1382"/>
      <c r="U99" s="1382"/>
      <c r="V99" s="1382"/>
      <c r="W99" s="1382"/>
      <c r="X99" s="1382"/>
      <c r="Y99" s="1382"/>
      <c r="Z99" s="1382"/>
      <c r="AA99" s="1382"/>
      <c r="AB99" s="1382"/>
      <c r="AC99" s="1382"/>
      <c r="AD99" s="1382"/>
      <c r="AE99" s="1382"/>
      <c r="AF99" s="1382"/>
      <c r="AG99" s="1382"/>
      <c r="AH99" s="1382"/>
      <c r="AI99" s="1382"/>
      <c r="AJ99" s="1382"/>
      <c r="AK99" s="181"/>
      <c r="AL99" s="181"/>
      <c r="AM99" s="181"/>
      <c r="AN99" s="181"/>
      <c r="AO99" s="181"/>
      <c r="AP99" s="181"/>
      <c r="AQ99" s="181"/>
      <c r="AR99" s="181"/>
      <c r="AS99" s="181"/>
      <c r="AT99" s="181"/>
      <c r="AU99" s="181"/>
      <c r="AV99" s="181"/>
      <c r="AW99" s="181"/>
    </row>
    <row r="100" spans="1:49" s="30" customFormat="1" x14ac:dyDescent="0.25">
      <c r="A100" s="1518" t="str">
        <f>IF(CD50_apply="Yes",IF(COUNTIF('03 - 50% CD'!D100:G100,"Y")&gt;0,"Y",IF(COUNTIF('03 - 50% CD'!D100:G100,"N"),"N","")),"")</f>
        <v>Y</v>
      </c>
      <c r="B100" s="191"/>
      <c r="C100" s="944"/>
      <c r="D100" s="321"/>
      <c r="E100" s="466"/>
      <c r="F100" s="559" t="str">
        <f>IF('C-Design&amp;Const'!$O100="","",'C-Design&amp;Const'!$O100)</f>
        <v>Y</v>
      </c>
      <c r="G100" s="558"/>
      <c r="H100" s="408" t="str">
        <f>CONCATENATE(IF(F100="N","PLACEHOLDER ROW - ",""),'C-Design&amp;Const'!Z100,IF(F100="N","",J100))</f>
        <v xml:space="preserve">Electrical - General System(s) - **(verify existing system for renovations) (Updates to) </v>
      </c>
      <c r="I100" s="186"/>
      <c r="J100" s="578" t="str">
        <f>IF('C-Design&amp;Const'!AH100="","",'C-Design&amp;Const'!AH100)</f>
        <v xml:space="preserve"> (Updates to) </v>
      </c>
      <c r="K100" s="285" t="str">
        <f>IF(CD50_apply="Yes",IF((COUNTIF(D100:G100,"Y")=COUNTIF('03 - 50% CD'!D100:G100,"Y")),"match","no 50% match"),"-")</f>
        <v>match</v>
      </c>
      <c r="L100" s="1410" t="str">
        <f t="shared" si="0"/>
        <v/>
      </c>
      <c r="M100" s="1382"/>
      <c r="N100" s="1382"/>
      <c r="O100" s="1382"/>
      <c r="P100" s="1382"/>
      <c r="Q100" s="1382"/>
      <c r="R100" s="1490"/>
      <c r="S100" s="1284"/>
      <c r="T100" s="1382"/>
      <c r="U100" s="1382"/>
      <c r="V100" s="1382"/>
      <c r="W100" s="1382"/>
      <c r="X100" s="1382"/>
      <c r="Y100" s="1382"/>
      <c r="Z100" s="1382"/>
      <c r="AA100" s="1382"/>
      <c r="AB100" s="1382"/>
      <c r="AC100" s="1382"/>
      <c r="AD100" s="1382"/>
      <c r="AE100" s="1382"/>
      <c r="AF100" s="1382"/>
      <c r="AG100" s="1382"/>
      <c r="AH100" s="1382"/>
      <c r="AI100" s="1382"/>
      <c r="AJ100" s="1382"/>
      <c r="AK100" s="181"/>
      <c r="AL100" s="181"/>
      <c r="AM100" s="181"/>
      <c r="AN100" s="181"/>
      <c r="AO100" s="181"/>
      <c r="AP100" s="181"/>
      <c r="AQ100" s="181"/>
      <c r="AR100" s="181"/>
      <c r="AS100" s="181"/>
      <c r="AT100" s="181"/>
      <c r="AU100" s="181"/>
      <c r="AV100" s="181"/>
      <c r="AW100" s="181"/>
    </row>
    <row r="101" spans="1:49" s="545" customFormat="1" x14ac:dyDescent="0.25">
      <c r="A101" s="1518" t="str">
        <f>IF(CD50_apply="Yes",IF(COUNTIF('03 - 50% CD'!D101:G101,"Y")&gt;0,"Y",IF(COUNTIF('03 - 50% CD'!D101:G101,"N"),"N","")),"")</f>
        <v>Y</v>
      </c>
      <c r="B101" s="554"/>
      <c r="C101" s="944"/>
      <c r="D101" s="321"/>
      <c r="E101" s="466"/>
      <c r="F101" s="559" t="str">
        <f>IF('C-Design&amp;Const'!$O101="","",'C-Design&amp;Const'!$O101)</f>
        <v>Y</v>
      </c>
      <c r="G101" s="558"/>
      <c r="H101" s="408" t="str">
        <f>CONCATENATE(IF(F101="N","PLACEHOLDER ROW - ",""),'C-Design&amp;Const'!Z101,IF(F101="N","",J101))</f>
        <v xml:space="preserve">Electrical - Demolition(s) (Updates to) </v>
      </c>
      <c r="I101" s="186"/>
      <c r="J101" s="578" t="str">
        <f>IF('C-Design&amp;Const'!AH101="","",'C-Design&amp;Const'!AH101)</f>
        <v xml:space="preserve"> (Updates to) </v>
      </c>
      <c r="K101" s="285" t="str">
        <f>IF(CD50_apply="Yes",IF((COUNTIF(D101:G101,"Y")=COUNTIF('03 - 50% CD'!D101:G101,"Y")),"match","no 50% match"),"-")</f>
        <v>match</v>
      </c>
      <c r="L101" s="1410" t="str">
        <f t="shared" ref="L101" si="4">CONCATENATE(IF(ISNUMBER(SEARCH("Placeholder",H101))=TRUE,"&lt;---PM/Planner may hide PLACEHOLDER ROW",""))</f>
        <v/>
      </c>
      <c r="M101" s="1382"/>
      <c r="N101" s="1382"/>
      <c r="O101" s="1382"/>
      <c r="P101" s="1382"/>
      <c r="Q101" s="1382"/>
      <c r="R101" s="1490"/>
      <c r="S101" s="1284"/>
      <c r="T101" s="1382"/>
      <c r="U101" s="1382"/>
      <c r="V101" s="1382"/>
      <c r="W101" s="1382"/>
      <c r="X101" s="1382"/>
      <c r="Y101" s="1382"/>
      <c r="Z101" s="1382"/>
      <c r="AA101" s="1382"/>
      <c r="AB101" s="1382"/>
      <c r="AC101" s="1382"/>
      <c r="AD101" s="1382"/>
      <c r="AE101" s="1382"/>
      <c r="AF101" s="1382"/>
      <c r="AG101" s="1382"/>
      <c r="AH101" s="1382"/>
      <c r="AI101" s="1382"/>
      <c r="AJ101" s="1382"/>
      <c r="AK101" s="551"/>
      <c r="AL101" s="551"/>
      <c r="AM101" s="551"/>
      <c r="AN101" s="551"/>
      <c r="AO101" s="551"/>
      <c r="AP101" s="551"/>
      <c r="AQ101" s="551"/>
      <c r="AR101" s="551"/>
      <c r="AS101" s="551"/>
      <c r="AT101" s="551"/>
      <c r="AU101" s="551"/>
      <c r="AV101" s="551"/>
      <c r="AW101" s="551"/>
    </row>
    <row r="102" spans="1:49" s="30" customFormat="1" x14ac:dyDescent="0.25">
      <c r="A102" s="1518" t="str">
        <f>IF(CD50_apply="Yes",IF(COUNTIF('03 - 50% CD'!D102:G102,"Y")&gt;0,"Y",IF(COUNTIF('03 - 50% CD'!D102:G102,"N"),"N","")),"")</f>
        <v>Y</v>
      </c>
      <c r="B102" s="191"/>
      <c r="C102" s="944"/>
      <c r="D102" s="321"/>
      <c r="E102" s="466"/>
      <c r="F102" s="559" t="str">
        <f>IF('C-Design&amp;Const'!$O102="","",'C-Design&amp;Const'!$O102)</f>
        <v>Y</v>
      </c>
      <c r="G102" s="558"/>
      <c r="H102" s="408" t="str">
        <f>CONCATENATE(IF(F102="N","PLACEHOLDER ROW - ",""),'C-Design&amp;Const'!Z102,IF(F102="N","",J102))</f>
        <v xml:space="preserve">Electrical - Lighting **(verify existing system for renovations) (Updates to) </v>
      </c>
      <c r="I102" s="186"/>
      <c r="J102" s="578" t="str">
        <f>IF('C-Design&amp;Const'!AH102="","",'C-Design&amp;Const'!AH102)</f>
        <v xml:space="preserve"> (Updates to) </v>
      </c>
      <c r="K102" s="285" t="str">
        <f>IF(CD50_apply="Yes",IF((COUNTIF(D102:G102,"Y")=COUNTIF('03 - 50% CD'!D102:G102,"Y")),"match","no 50% match"),"-")</f>
        <v>match</v>
      </c>
      <c r="L102" s="1410" t="str">
        <f t="shared" ref="L102:L174" si="5">CONCATENATE(IF(ISNUMBER(SEARCH("Placeholder",H102))=TRUE,"&lt;---PM/Planner may hide PLACEHOLDER ROW",""))</f>
        <v/>
      </c>
      <c r="M102" s="1382"/>
      <c r="N102" s="1382"/>
      <c r="O102" s="1382"/>
      <c r="P102" s="1382"/>
      <c r="Q102" s="1382"/>
      <c r="R102" s="1490"/>
      <c r="S102" s="1284"/>
      <c r="T102" s="1382"/>
      <c r="U102" s="1382"/>
      <c r="V102" s="1382"/>
      <c r="W102" s="1382"/>
      <c r="X102" s="1382"/>
      <c r="Y102" s="1382"/>
      <c r="Z102" s="1382"/>
      <c r="AA102" s="1382"/>
      <c r="AB102" s="1382"/>
      <c r="AC102" s="1382"/>
      <c r="AD102" s="1382"/>
      <c r="AE102" s="1382"/>
      <c r="AF102" s="1382"/>
      <c r="AG102" s="1382"/>
      <c r="AH102" s="1382"/>
      <c r="AI102" s="1382"/>
      <c r="AJ102" s="1382"/>
      <c r="AK102" s="181"/>
      <c r="AL102" s="181"/>
      <c r="AM102" s="181"/>
      <c r="AN102" s="181"/>
      <c r="AO102" s="181"/>
      <c r="AP102" s="181"/>
      <c r="AQ102" s="181"/>
      <c r="AR102" s="181"/>
      <c r="AS102" s="181"/>
      <c r="AT102" s="181"/>
      <c r="AU102" s="181"/>
      <c r="AV102" s="181"/>
      <c r="AW102" s="181"/>
    </row>
    <row r="103" spans="1:49" s="30" customFormat="1" x14ac:dyDescent="0.25">
      <c r="A103" s="1518" t="str">
        <f>IF(CD50_apply="Yes",IF(COUNTIF('03 - 50% CD'!D103:G103,"Y")&gt;0,"Y",IF(COUNTIF('03 - 50% CD'!D103:G103,"N"),"N","")),"")</f>
        <v>Y</v>
      </c>
      <c r="B103" s="191"/>
      <c r="C103" s="944"/>
      <c r="D103" s="321"/>
      <c r="E103" s="466"/>
      <c r="F103" s="559" t="str">
        <f>IF('C-Design&amp;Const'!$O103="","",'C-Design&amp;Const'!$O103)</f>
        <v>Y</v>
      </c>
      <c r="G103" s="558"/>
      <c r="H103" s="796" t="str">
        <f>CONCATENATE(IF(F103="N","PLACEHOLDER ROW - ",""),'C-Design&amp;Const'!Z103,IF(F103="N","",J103))</f>
        <v xml:space="preserve">Electrical - Elevators **(verify existing system for renovations) (Updates to) </v>
      </c>
      <c r="I103" s="186"/>
      <c r="J103" s="578" t="str">
        <f>IF('C-Design&amp;Const'!AH103="","",'C-Design&amp;Const'!AH103)</f>
        <v xml:space="preserve"> (Updates to) </v>
      </c>
      <c r="K103" s="285" t="str">
        <f>IF(CD50_apply="Yes",IF((COUNTIF(D103:G103,"Y")=COUNTIF('03 - 50% CD'!D103:G103,"Y")),"match","no 50% match"),"-")</f>
        <v>match</v>
      </c>
      <c r="L103" s="1410" t="str">
        <f t="shared" si="5"/>
        <v/>
      </c>
      <c r="M103" s="1382"/>
      <c r="N103" s="1382"/>
      <c r="O103" s="1382"/>
      <c r="P103" s="1382"/>
      <c r="Q103" s="1382"/>
      <c r="R103" s="1490"/>
      <c r="S103" s="1284"/>
      <c r="T103" s="1382"/>
      <c r="U103" s="1382"/>
      <c r="V103" s="1382"/>
      <c r="W103" s="1382"/>
      <c r="X103" s="1382"/>
      <c r="Y103" s="1382"/>
      <c r="Z103" s="1382"/>
      <c r="AA103" s="1382"/>
      <c r="AB103" s="1382"/>
      <c r="AC103" s="1382"/>
      <c r="AD103" s="1382"/>
      <c r="AE103" s="1382"/>
      <c r="AF103" s="1382"/>
      <c r="AG103" s="1382"/>
      <c r="AH103" s="1382"/>
      <c r="AI103" s="1382"/>
      <c r="AJ103" s="1382"/>
      <c r="AK103" s="181"/>
      <c r="AL103" s="181"/>
      <c r="AM103" s="181"/>
      <c r="AN103" s="181"/>
      <c r="AO103" s="181"/>
      <c r="AP103" s="181"/>
      <c r="AQ103" s="181"/>
      <c r="AR103" s="181"/>
      <c r="AS103" s="181"/>
      <c r="AT103" s="181"/>
      <c r="AU103" s="181"/>
      <c r="AV103" s="181"/>
      <c r="AW103" s="181"/>
    </row>
    <row r="104" spans="1:49" s="30" customFormat="1" x14ac:dyDescent="0.25">
      <c r="A104" s="1518" t="str">
        <f>IF(CD50_apply="Yes",IF(COUNTIF('03 - 50% CD'!D104:G104,"Y")&gt;0,"Y",IF(COUNTIF('03 - 50% CD'!D104:G104,"N"),"N","")),"")</f>
        <v>Y</v>
      </c>
      <c r="B104" s="191"/>
      <c r="C104" s="944"/>
      <c r="D104" s="321"/>
      <c r="E104" s="466"/>
      <c r="F104" s="559" t="str">
        <f>IF('C-Design&amp;Const'!$O104="","",'C-Design&amp;Const'!$O104)</f>
        <v>Y</v>
      </c>
      <c r="G104" s="558"/>
      <c r="H104" s="408" t="str">
        <f>CONCATENATE(IF(F104="N","PLACEHOLDER ROW - ",""),'C-Design&amp;Const'!Z104,IF(F104="N","",J104))</f>
        <v xml:space="preserve">Electrical - Lightning Protection System(s) **(verify existing system for renovations) (Updates to) </v>
      </c>
      <c r="I104" s="186"/>
      <c r="J104" s="578" t="str">
        <f>IF('C-Design&amp;Const'!AH104="","",'C-Design&amp;Const'!AH104)</f>
        <v xml:space="preserve"> (Updates to) </v>
      </c>
      <c r="K104" s="285" t="str">
        <f>IF(CD50_apply="Yes",IF((COUNTIF(D104:G104,"Y")=COUNTIF('03 - 50% CD'!D104:G104,"Y")),"match","no 50% match"),"-")</f>
        <v>match</v>
      </c>
      <c r="L104" s="1410" t="str">
        <f t="shared" si="5"/>
        <v/>
      </c>
      <c r="M104" s="1382"/>
      <c r="N104" s="1382"/>
      <c r="O104" s="1382"/>
      <c r="P104" s="1382"/>
      <c r="Q104" s="1382"/>
      <c r="R104" s="1490"/>
      <c r="S104" s="1284"/>
      <c r="T104" s="1382"/>
      <c r="U104" s="1382"/>
      <c r="V104" s="1382"/>
      <c r="W104" s="1382"/>
      <c r="X104" s="1382"/>
      <c r="Y104" s="1382"/>
      <c r="Z104" s="1382"/>
      <c r="AA104" s="1382"/>
      <c r="AB104" s="1382"/>
      <c r="AC104" s="1382"/>
      <c r="AD104" s="1382"/>
      <c r="AE104" s="1382"/>
      <c r="AF104" s="1382"/>
      <c r="AG104" s="1382"/>
      <c r="AH104" s="1382"/>
      <c r="AI104" s="1382"/>
      <c r="AJ104" s="1382"/>
      <c r="AK104" s="181"/>
      <c r="AL104" s="181"/>
      <c r="AM104" s="181"/>
      <c r="AN104" s="181"/>
      <c r="AO104" s="181"/>
      <c r="AP104" s="181"/>
      <c r="AQ104" s="181"/>
      <c r="AR104" s="181"/>
      <c r="AS104" s="181"/>
      <c r="AT104" s="181"/>
      <c r="AU104" s="181"/>
      <c r="AV104" s="181"/>
      <c r="AW104" s="181"/>
    </row>
    <row r="105" spans="1:49" s="30" customFormat="1" x14ac:dyDescent="0.25">
      <c r="A105" s="1518" t="str">
        <f>IF(CD50_apply="Yes",IF(COUNTIF('03 - 50% CD'!D105:G105,"Y")&gt;0,"Y",IF(COUNTIF('03 - 50% CD'!D105:G105,"N"),"N","")),"")</f>
        <v>Y</v>
      </c>
      <c r="B105" s="191"/>
      <c r="C105" s="944"/>
      <c r="D105" s="321"/>
      <c r="E105" s="466"/>
      <c r="F105" s="559" t="str">
        <f>IF('C-Design&amp;Const'!$O105="","",'C-Design&amp;Const'!$O105)</f>
        <v>Y</v>
      </c>
      <c r="G105" s="558"/>
      <c r="H105" s="408" t="str">
        <f>CONCATENATE(IF(F105="N","PLACEHOLDER ROW - ",""),'C-Design&amp;Const'!Z105,IF(F105="N","",J105))</f>
        <v xml:space="preserve">Electrical - Fire Alarm System(s) **(verify existing system for renovations) (Updates to) </v>
      </c>
      <c r="I105" s="186"/>
      <c r="J105" s="578" t="str">
        <f>IF('C-Design&amp;Const'!AH105="","",'C-Design&amp;Const'!AH105)</f>
        <v xml:space="preserve"> (Updates to) </v>
      </c>
      <c r="K105" s="285" t="str">
        <f>IF(CD50_apply="Yes",IF((COUNTIF(D105:G105,"Y")=COUNTIF('03 - 50% CD'!D105:G105,"Y")),"match","no 50% match"),"-")</f>
        <v>match</v>
      </c>
      <c r="L105" s="1410" t="str">
        <f t="shared" si="5"/>
        <v/>
      </c>
      <c r="M105" s="1382"/>
      <c r="N105" s="1382"/>
      <c r="O105" s="1382"/>
      <c r="P105" s="1382"/>
      <c r="Q105" s="1382"/>
      <c r="R105" s="1490"/>
      <c r="S105" s="1284"/>
      <c r="T105" s="1382"/>
      <c r="U105" s="1382"/>
      <c r="V105" s="1382"/>
      <c r="W105" s="1382"/>
      <c r="X105" s="1382"/>
      <c r="Y105" s="1382"/>
      <c r="Z105" s="1382"/>
      <c r="AA105" s="1382"/>
      <c r="AB105" s="1382"/>
      <c r="AC105" s="1382"/>
      <c r="AD105" s="1382"/>
      <c r="AE105" s="1382"/>
      <c r="AF105" s="1382"/>
      <c r="AG105" s="1382"/>
      <c r="AH105" s="1382"/>
      <c r="AI105" s="1382"/>
      <c r="AJ105" s="1382"/>
      <c r="AK105" s="181"/>
      <c r="AL105" s="181"/>
      <c r="AM105" s="181"/>
      <c r="AN105" s="181"/>
      <c r="AO105" s="181"/>
      <c r="AP105" s="181"/>
      <c r="AQ105" s="181"/>
      <c r="AR105" s="181"/>
      <c r="AS105" s="181"/>
      <c r="AT105" s="181"/>
      <c r="AU105" s="181"/>
      <c r="AV105" s="181"/>
      <c r="AW105" s="181"/>
    </row>
    <row r="106" spans="1:49" s="30" customFormat="1" ht="28.5" x14ac:dyDescent="0.25">
      <c r="A106" s="1518" t="str">
        <f>IF(CD50_apply="Yes",IF(COUNTIF('03 - 50% CD'!D106:G106,"Y")&gt;0,"Y",IF(COUNTIF('03 - 50% CD'!D106:G106,"N"),"N","")),"")</f>
        <v>Y</v>
      </c>
      <c r="B106" s="191"/>
      <c r="C106" s="944"/>
      <c r="D106" s="321"/>
      <c r="E106" s="466"/>
      <c r="F106" s="559" t="str">
        <f>IF('C-Design&amp;Const'!$O106="","",'C-Design&amp;Const'!$O106)</f>
        <v>Y</v>
      </c>
      <c r="G106" s="558"/>
      <c r="H106" s="408" t="str">
        <f>CONCATENATE(IF(F106="N","PLACEHOLDER ROW - ",""),'C-Design&amp;Const'!Z106,IF(F106="N","",J106))</f>
        <v xml:space="preserve">Electrical - Emergency Generator systems to support **(verify existing systems for renovations) (Updates to) </v>
      </c>
      <c r="I106" s="186"/>
      <c r="J106" s="578" t="str">
        <f>IF('C-Design&amp;Const'!AH106="","",'C-Design&amp;Const'!AH106)</f>
        <v xml:space="preserve"> (Updates to) </v>
      </c>
      <c r="K106" s="285" t="str">
        <f>IF(CD50_apply="Yes",IF((COUNTIF(D106:G106,"Y")=COUNTIF('03 - 50% CD'!D106:G106,"Y")),"match","no 50% match"),"-")</f>
        <v>match</v>
      </c>
      <c r="L106" s="1410" t="str">
        <f t="shared" si="5"/>
        <v/>
      </c>
      <c r="M106" s="1382"/>
      <c r="N106" s="1382"/>
      <c r="O106" s="1382"/>
      <c r="P106" s="1382"/>
      <c r="Q106" s="1382"/>
      <c r="R106" s="1490"/>
      <c r="S106" s="1284"/>
      <c r="T106" s="1382"/>
      <c r="U106" s="1382"/>
      <c r="V106" s="1382"/>
      <c r="W106" s="1382"/>
      <c r="X106" s="1382"/>
      <c r="Y106" s="1382"/>
      <c r="Z106" s="1382"/>
      <c r="AA106" s="1382"/>
      <c r="AB106" s="1382"/>
      <c r="AC106" s="1382"/>
      <c r="AD106" s="1382"/>
      <c r="AE106" s="1382"/>
      <c r="AF106" s="1382"/>
      <c r="AG106" s="1382"/>
      <c r="AH106" s="1382"/>
      <c r="AI106" s="1382"/>
      <c r="AJ106" s="1382"/>
      <c r="AK106" s="181"/>
      <c r="AL106" s="181"/>
      <c r="AM106" s="181"/>
      <c r="AN106" s="181"/>
      <c r="AO106" s="181"/>
      <c r="AP106" s="181"/>
      <c r="AQ106" s="181"/>
      <c r="AR106" s="181"/>
      <c r="AS106" s="181"/>
      <c r="AT106" s="181"/>
      <c r="AU106" s="181"/>
      <c r="AV106" s="181"/>
      <c r="AW106" s="181"/>
    </row>
    <row r="107" spans="1:49" s="30" customFormat="1" x14ac:dyDescent="0.25">
      <c r="A107" s="1518" t="str">
        <f>IF(CD50_apply="Yes",IF(COUNTIF('03 - 50% CD'!D107:G107,"Y")&gt;0,"Y",IF(COUNTIF('03 - 50% CD'!D107:G107,"N"),"N","")),"")</f>
        <v>N</v>
      </c>
      <c r="B107" s="191"/>
      <c r="C107" s="944"/>
      <c r="D107" s="321"/>
      <c r="E107" s="466"/>
      <c r="F107" s="559" t="str">
        <f>IF('C-Design&amp;Const'!$O107="","",'C-Design&amp;Const'!$O107)</f>
        <v>N</v>
      </c>
      <c r="G107" s="558"/>
      <c r="H107" s="408" t="str">
        <f>CONCATENATE(IF(F107="N","PLACEHOLDER ROW - ",""),'C-Design&amp;Const'!Z107,IF(F107="N","",J107))</f>
        <v>PLACEHOLDER ROW - Electrical - Cut Sheets or Product Sheets on Lighting fixtures</v>
      </c>
      <c r="I107" s="186"/>
      <c r="J107" s="578" t="str">
        <f>IF('C-Design&amp;Const'!AH107="","",'C-Design&amp;Const'!AH107)</f>
        <v xml:space="preserve"> (Updates to) </v>
      </c>
      <c r="K107" s="285" t="str">
        <f>IF(CD50_apply="Yes",IF((COUNTIF(D107:G107,"Y")=COUNTIF('03 - 50% CD'!D107:G107,"Y")),"match","no 50% match"),"-")</f>
        <v>match</v>
      </c>
      <c r="L107" s="1410" t="str">
        <f t="shared" si="5"/>
        <v>&lt;---PM/Planner may hide PLACEHOLDER ROW</v>
      </c>
      <c r="M107" s="1382"/>
      <c r="N107" s="1382"/>
      <c r="O107" s="1382"/>
      <c r="P107" s="1382"/>
      <c r="Q107" s="1382"/>
      <c r="R107" s="1490"/>
      <c r="S107" s="1284"/>
      <c r="T107" s="1382"/>
      <c r="U107" s="1382"/>
      <c r="V107" s="1382"/>
      <c r="W107" s="1382"/>
      <c r="X107" s="1382"/>
      <c r="Y107" s="1382"/>
      <c r="Z107" s="1382"/>
      <c r="AA107" s="1382"/>
      <c r="AB107" s="1382"/>
      <c r="AC107" s="1382"/>
      <c r="AD107" s="1382"/>
      <c r="AE107" s="1382"/>
      <c r="AF107" s="1382"/>
      <c r="AG107" s="1382"/>
      <c r="AH107" s="1382"/>
      <c r="AI107" s="1382"/>
      <c r="AJ107" s="1382"/>
      <c r="AK107" s="181"/>
      <c r="AL107" s="181"/>
      <c r="AM107" s="181"/>
      <c r="AN107" s="181"/>
      <c r="AO107" s="181"/>
      <c r="AP107" s="181"/>
      <c r="AQ107" s="181"/>
      <c r="AR107" s="181"/>
      <c r="AS107" s="181"/>
      <c r="AT107" s="181"/>
      <c r="AU107" s="181"/>
      <c r="AV107" s="181"/>
      <c r="AW107" s="181"/>
    </row>
    <row r="108" spans="1:49" s="30" customFormat="1" x14ac:dyDescent="0.25">
      <c r="A108" s="1518" t="str">
        <f>IF(CD50_apply="Yes",IF(COUNTIF('03 - 50% CD'!D108:G108,"Y")&gt;0,"Y",IF(COUNTIF('03 - 50% CD'!D108:G108,"N"),"N","")),"")</f>
        <v>N</v>
      </c>
      <c r="B108" s="191"/>
      <c r="C108" s="944"/>
      <c r="D108" s="321"/>
      <c r="E108" s="466"/>
      <c r="F108" s="559" t="str">
        <f>IF('C-Design&amp;Const'!$O108="","",'C-Design&amp;Const'!$O108)</f>
        <v>N</v>
      </c>
      <c r="G108" s="558"/>
      <c r="H108" s="408" t="str">
        <f>CONCATENATE(IF(F108="N","PLACEHOLDER ROW - ",""),'C-Design&amp;Const'!Z108,IF(F108="N","",J108))</f>
        <v>PLACEHOLDER ROW - Electrical - CUSTOM</v>
      </c>
      <c r="I108" s="186"/>
      <c r="J108" s="578" t="str">
        <f>IF('C-Design&amp;Const'!AH108="","",'C-Design&amp;Const'!AH108)</f>
        <v xml:space="preserve"> (Updates to) </v>
      </c>
      <c r="K108" s="285" t="str">
        <f>IF(CD50_apply="Yes",IF((COUNTIF(D108:G108,"Y")=COUNTIF('03 - 50% CD'!D108:G108,"Y")),"match","no 50% match"),"-")</f>
        <v>match</v>
      </c>
      <c r="L108" s="1410" t="str">
        <f t="shared" si="5"/>
        <v>&lt;---PM/Planner may hide PLACEHOLDER ROW</v>
      </c>
      <c r="M108" s="1382"/>
      <c r="N108" s="1382"/>
      <c r="O108" s="1382"/>
      <c r="P108" s="1382"/>
      <c r="Q108" s="1382"/>
      <c r="R108" s="1490"/>
      <c r="S108" s="1284"/>
      <c r="T108" s="1382"/>
      <c r="U108" s="1382"/>
      <c r="V108" s="1382"/>
      <c r="W108" s="1382"/>
      <c r="X108" s="1382"/>
      <c r="Y108" s="1382"/>
      <c r="Z108" s="1382"/>
      <c r="AA108" s="1382"/>
      <c r="AB108" s="1382"/>
      <c r="AC108" s="1382"/>
      <c r="AD108" s="1382"/>
      <c r="AE108" s="1382"/>
      <c r="AF108" s="1382"/>
      <c r="AG108" s="1382"/>
      <c r="AH108" s="1382"/>
      <c r="AI108" s="1382"/>
      <c r="AJ108" s="1382"/>
      <c r="AK108" s="181"/>
      <c r="AL108" s="181"/>
      <c r="AM108" s="181"/>
      <c r="AN108" s="181"/>
      <c r="AO108" s="181"/>
      <c r="AP108" s="181"/>
      <c r="AQ108" s="181"/>
      <c r="AR108" s="181"/>
      <c r="AS108" s="181"/>
      <c r="AT108" s="181"/>
      <c r="AU108" s="181"/>
      <c r="AV108" s="181"/>
      <c r="AW108" s="181"/>
    </row>
    <row r="109" spans="1:49" s="30" customFormat="1" x14ac:dyDescent="0.25">
      <c r="A109" s="1518" t="str">
        <f>IF(CD50_apply="Yes",IF(COUNTIF('03 - 50% CD'!D109:G109,"Y")&gt;0,"Y",IF(COUNTIF('03 - 50% CD'!D109:G109,"N"),"N","")),"")</f>
        <v>Y</v>
      </c>
      <c r="B109" s="191"/>
      <c r="C109" s="944"/>
      <c r="D109" s="321"/>
      <c r="E109" s="466"/>
      <c r="F109" s="559" t="str">
        <f>IF('C-Design&amp;Const'!$O109="","",'C-Design&amp;Const'!$O109)</f>
        <v>Y</v>
      </c>
      <c r="G109" s="558"/>
      <c r="H109" s="408" t="str">
        <f>CONCATENATE(IF(F109="N","PLACEHOLDER ROW - ",""),'C-Design&amp;Const'!Z109,IF(F109="N","",J109))</f>
        <v xml:space="preserve">Building Automation Systems- General - **(verify existing system for renovations) (Updates to) </v>
      </c>
      <c r="I109" s="186"/>
      <c r="J109" s="578" t="str">
        <f>IF('C-Design&amp;Const'!AH109="","",'C-Design&amp;Const'!AH109)</f>
        <v xml:space="preserve"> (Updates to) </v>
      </c>
      <c r="K109" s="285" t="str">
        <f>IF(CD50_apply="Yes",IF((COUNTIF(D109:G109,"Y")=COUNTIF('03 - 50% CD'!D109:G109,"Y")),"match","no 50% match"),"-")</f>
        <v>match</v>
      </c>
      <c r="L109" s="1410" t="str">
        <f>CONCATENATE(IF(ISNUMBER(SEARCH("Placeholder",H109))=TRUE,"&lt;---PM/Planner may hide PLACEHOLDER ROW",""))</f>
        <v/>
      </c>
      <c r="M109" s="1382"/>
      <c r="N109" s="1382"/>
      <c r="O109" s="1382"/>
      <c r="P109" s="1382"/>
      <c r="Q109" s="1382"/>
      <c r="R109" s="1490"/>
      <c r="S109" s="1284"/>
      <c r="T109" s="1382"/>
      <c r="U109" s="1382"/>
      <c r="V109" s="1382"/>
      <c r="W109" s="1382"/>
      <c r="X109" s="1382"/>
      <c r="Y109" s="1382"/>
      <c r="Z109" s="1382"/>
      <c r="AA109" s="1382"/>
      <c r="AB109" s="1382"/>
      <c r="AC109" s="1382"/>
      <c r="AD109" s="1382"/>
      <c r="AE109" s="1382"/>
      <c r="AF109" s="1382"/>
      <c r="AG109" s="1382"/>
      <c r="AH109" s="1382"/>
      <c r="AI109" s="1382"/>
      <c r="AJ109" s="1382"/>
      <c r="AK109" s="181"/>
      <c r="AL109" s="181"/>
      <c r="AM109" s="181"/>
      <c r="AN109" s="181"/>
      <c r="AO109" s="181"/>
      <c r="AP109" s="181"/>
      <c r="AQ109" s="181"/>
      <c r="AR109" s="181"/>
      <c r="AS109" s="181"/>
      <c r="AT109" s="181"/>
      <c r="AU109" s="181"/>
      <c r="AV109" s="181"/>
      <c r="AW109" s="181"/>
    </row>
    <row r="110" spans="1:49" s="545" customFormat="1" x14ac:dyDescent="0.25">
      <c r="A110" s="1518" t="str">
        <f>IF(CD50_apply="Yes",IF(COUNTIF('03 - 50% CD'!D110:G110,"Y")&gt;0,"Y",IF(COUNTIF('03 - 50% CD'!D110:G110,"N"),"N","")),"")</f>
        <v>Y</v>
      </c>
      <c r="B110" s="554"/>
      <c r="C110" s="944"/>
      <c r="D110" s="321"/>
      <c r="E110" s="466"/>
      <c r="F110" s="559" t="str">
        <f>IF('C-Design&amp;Const'!$O110="","",'C-Design&amp;Const'!$O110)</f>
        <v>Y</v>
      </c>
      <c r="G110" s="558"/>
      <c r="H110" s="408" t="str">
        <f>CONCATENATE(IF(F110="N","PLACEHOLDER ROW - ",""),'C-Design&amp;Const'!Z110,IF(F110="N","",J110))</f>
        <v xml:space="preserve">Building Automation Systems - Demolition(s) (Updates to) </v>
      </c>
      <c r="I110" s="186"/>
      <c r="J110" s="578" t="str">
        <f>IF('C-Design&amp;Const'!AH110="","",'C-Design&amp;Const'!AH110)</f>
        <v xml:space="preserve"> (Updates to) </v>
      </c>
      <c r="K110" s="285" t="str">
        <f>IF(CD50_apply="Yes",IF((COUNTIF(D110:G110,"Y")=COUNTIF('03 - 50% CD'!D110:G110,"Y")),"match","no 50% match"),"-")</f>
        <v>match</v>
      </c>
      <c r="L110" s="1410" t="str">
        <f t="shared" ref="L110" si="6">CONCATENATE(IF(ISNUMBER(SEARCH("Placeholder",H110))=TRUE,"&lt;---PM/Planner may hide PLACEHOLDER ROW",""))</f>
        <v/>
      </c>
      <c r="M110" s="1382"/>
      <c r="N110" s="1382"/>
      <c r="O110" s="1382"/>
      <c r="P110" s="1382"/>
      <c r="Q110" s="1382"/>
      <c r="R110" s="1490"/>
      <c r="S110" s="1284"/>
      <c r="T110" s="1382"/>
      <c r="U110" s="1382"/>
      <c r="V110" s="1382"/>
      <c r="W110" s="1382"/>
      <c r="X110" s="1382"/>
      <c r="Y110" s="1382"/>
      <c r="Z110" s="1382"/>
      <c r="AA110" s="1382"/>
      <c r="AB110" s="1382"/>
      <c r="AC110" s="1382"/>
      <c r="AD110" s="1382"/>
      <c r="AE110" s="1382"/>
      <c r="AF110" s="1382"/>
      <c r="AG110" s="1382"/>
      <c r="AH110" s="1382"/>
      <c r="AI110" s="1382"/>
      <c r="AJ110" s="1382"/>
      <c r="AK110" s="551"/>
      <c r="AL110" s="551"/>
      <c r="AM110" s="551"/>
      <c r="AN110" s="551"/>
      <c r="AO110" s="551"/>
      <c r="AP110" s="551"/>
      <c r="AQ110" s="551"/>
      <c r="AR110" s="551"/>
      <c r="AS110" s="551"/>
      <c r="AT110" s="551"/>
      <c r="AU110" s="551"/>
      <c r="AV110" s="551"/>
      <c r="AW110" s="551"/>
    </row>
    <row r="111" spans="1:49" s="30" customFormat="1" x14ac:dyDescent="0.25">
      <c r="A111" s="1518" t="str">
        <f>IF(CD50_apply="Yes",IF(COUNTIF('03 - 50% CD'!D111:G111,"Y")&gt;0,"Y",IF(COUNTIF('03 - 50% CD'!D111:G111,"N"),"N","")),"")</f>
        <v>Y</v>
      </c>
      <c r="B111" s="191"/>
      <c r="C111" s="944"/>
      <c r="D111" s="321"/>
      <c r="E111" s="466"/>
      <c r="F111" s="559" t="str">
        <f>IF('C-Design&amp;Const'!$O111="","",'C-Design&amp;Const'!$O111)</f>
        <v>Y</v>
      </c>
      <c r="G111" s="558"/>
      <c r="H111" s="408" t="str">
        <f>CONCATENATE(IF(F111="N","PLACEHOLDER ROW - ",""),'C-Design&amp;Const'!Z111,IF(F111="N","",J111))</f>
        <v xml:space="preserve">Building Automation Systems - Systems Network Architecture (Updates to) </v>
      </c>
      <c r="I111" s="186"/>
      <c r="J111" s="578" t="str">
        <f>IF('C-Design&amp;Const'!AH111="","",'C-Design&amp;Const'!AH111)</f>
        <v xml:space="preserve"> (Updates to) </v>
      </c>
      <c r="K111" s="285" t="str">
        <f>IF(CD50_apply="Yes",IF((COUNTIF(D111:G111,"Y")=COUNTIF('03 - 50% CD'!D111:G111,"Y")),"match","no 50% match"),"-")</f>
        <v>match</v>
      </c>
      <c r="L111" s="1410" t="str">
        <f>CONCATENATE(IF(ISNUMBER(SEARCH("Placeholder",H111))=TRUE,"&lt;---PM/Planner may hide PLACEHOLDER ROW",""))</f>
        <v/>
      </c>
      <c r="M111" s="1382"/>
      <c r="N111" s="1382"/>
      <c r="O111" s="1382"/>
      <c r="P111" s="1382"/>
      <c r="Q111" s="1382"/>
      <c r="R111" s="1490"/>
      <c r="S111" s="1284"/>
      <c r="T111" s="1382"/>
      <c r="U111" s="1382"/>
      <c r="V111" s="1382"/>
      <c r="W111" s="1382"/>
      <c r="X111" s="1382"/>
      <c r="Y111" s="1382"/>
      <c r="Z111" s="1382"/>
      <c r="AA111" s="1382"/>
      <c r="AB111" s="1382"/>
      <c r="AC111" s="1382"/>
      <c r="AD111" s="1382"/>
      <c r="AE111" s="1382"/>
      <c r="AF111" s="1382"/>
      <c r="AG111" s="1382"/>
      <c r="AH111" s="1382"/>
      <c r="AI111" s="1382"/>
      <c r="AJ111" s="1382"/>
      <c r="AK111" s="181"/>
      <c r="AL111" s="181"/>
      <c r="AM111" s="181"/>
      <c r="AN111" s="181"/>
      <c r="AO111" s="181"/>
      <c r="AP111" s="181"/>
      <c r="AQ111" s="181"/>
      <c r="AR111" s="181"/>
      <c r="AS111" s="181"/>
      <c r="AT111" s="181"/>
      <c r="AU111" s="181"/>
      <c r="AV111" s="181"/>
      <c r="AW111" s="181"/>
    </row>
    <row r="112" spans="1:49" s="30" customFormat="1" x14ac:dyDescent="0.25">
      <c r="A112" s="1518" t="str">
        <f>IF(CD50_apply="Yes",IF(COUNTIF('03 - 50% CD'!D112:G112,"Y")&gt;0,"Y",IF(COUNTIF('03 - 50% CD'!D112:G112,"N"),"N","")),"")</f>
        <v>Y</v>
      </c>
      <c r="B112" s="191"/>
      <c r="C112" s="944"/>
      <c r="D112" s="321"/>
      <c r="E112" s="466"/>
      <c r="F112" s="559" t="str">
        <f>IF('C-Design&amp;Const'!$O112="","",'C-Design&amp;Const'!$O112)</f>
        <v>Y</v>
      </c>
      <c r="G112" s="558"/>
      <c r="H112" s="408" t="str">
        <f>CONCATENATE(IF(F112="N","PLACEHOLDER ROW - ",""),'C-Design&amp;Const'!Z112,IF(F112="N","",J112))</f>
        <v xml:space="preserve">Building Automation Systems - HVAC Temperature Controls System(s) (Updates to) </v>
      </c>
      <c r="I112" s="186"/>
      <c r="J112" s="578" t="str">
        <f>IF('C-Design&amp;Const'!AH112="","",'C-Design&amp;Const'!AH112)</f>
        <v xml:space="preserve"> (Updates to) </v>
      </c>
      <c r="K112" s="285" t="str">
        <f>IF(CD50_apply="Yes",IF((COUNTIF(D112:G112,"Y")=COUNTIF('03 - 50% CD'!D112:G112,"Y")),"match","no 50% match"),"-")</f>
        <v>match</v>
      </c>
      <c r="L112" s="1410" t="str">
        <f>CONCATENATE(IF(ISNUMBER(SEARCH("Placeholder",H112))=TRUE,"&lt;---PM/Planner may hide PLACEHOLDER ROW",""))</f>
        <v/>
      </c>
      <c r="M112" s="1382"/>
      <c r="N112" s="1382"/>
      <c r="O112" s="1382"/>
      <c r="P112" s="1382"/>
      <c r="Q112" s="1382"/>
      <c r="R112" s="1490"/>
      <c r="S112" s="1284"/>
      <c r="T112" s="1382"/>
      <c r="U112" s="1382"/>
      <c r="V112" s="1382"/>
      <c r="W112" s="1382"/>
      <c r="X112" s="1382"/>
      <c r="Y112" s="1382"/>
      <c r="Z112" s="1382"/>
      <c r="AA112" s="1382"/>
      <c r="AB112" s="1382"/>
      <c r="AC112" s="1382"/>
      <c r="AD112" s="1382"/>
      <c r="AE112" s="1382"/>
      <c r="AF112" s="1382"/>
      <c r="AG112" s="1382"/>
      <c r="AH112" s="1382"/>
      <c r="AI112" s="1382"/>
      <c r="AJ112" s="1382"/>
      <c r="AK112" s="181"/>
      <c r="AL112" s="181"/>
      <c r="AM112" s="181"/>
      <c r="AN112" s="181"/>
      <c r="AO112" s="181"/>
      <c r="AP112" s="181"/>
      <c r="AQ112" s="181"/>
      <c r="AR112" s="181"/>
      <c r="AS112" s="181"/>
      <c r="AT112" s="181"/>
      <c r="AU112" s="181"/>
      <c r="AV112" s="181"/>
      <c r="AW112" s="181"/>
    </row>
    <row r="113" spans="1:50" s="30" customFormat="1" ht="15" customHeight="1" x14ac:dyDescent="0.25">
      <c r="A113" s="1518" t="str">
        <f>IF(CD50_apply="Yes",IF(COUNTIF('03 - 50% CD'!D113:G113,"Y")&gt;0,"Y",IF(COUNTIF('03 - 50% CD'!D113:G113,"N"),"N","")),"")</f>
        <v>N</v>
      </c>
      <c r="B113" s="191"/>
      <c r="C113" s="944"/>
      <c r="D113" s="463"/>
      <c r="E113" s="467"/>
      <c r="F113" s="559" t="str">
        <f>IF('C-Design&amp;Const'!$O113="","",'C-Design&amp;Const'!$O113)</f>
        <v>N</v>
      </c>
      <c r="G113" s="291"/>
      <c r="H113" s="408" t="str">
        <f>CONCATENATE(IF(F113="N","PLACEHOLDER ROW - ",""),'C-Design&amp;Const'!Z113,IF(F113="N","",J113))</f>
        <v>PLACEHOLDER ROW - Building Automation Systems - CUSTOM</v>
      </c>
      <c r="I113" s="184"/>
      <c r="J113" s="578" t="str">
        <f>IF('C-Design&amp;Const'!AH113="","",'C-Design&amp;Const'!AH113)</f>
        <v xml:space="preserve"> (Updates to) </v>
      </c>
      <c r="K113" s="285" t="str">
        <f>IF(CD50_apply="Yes",IF((COUNTIF(D113:G113,"Y")=COUNTIF('03 - 50% CD'!D113:G113,"Y")),"match","no 50% match"),"-")</f>
        <v>match</v>
      </c>
      <c r="L113" s="1410" t="str">
        <f>CONCATENATE(IF(ISNUMBER(SEARCH("Placeholder",H113))=TRUE,"&lt;---PM/Planner may hide PLACEHOLDER ROW",""))</f>
        <v>&lt;---PM/Planner may hide PLACEHOLDER ROW</v>
      </c>
      <c r="M113" s="1382"/>
      <c r="N113" s="1382"/>
      <c r="O113" s="1382"/>
      <c r="P113" s="1382"/>
      <c r="Q113" s="1382"/>
      <c r="R113" s="1382"/>
      <c r="S113" s="1284"/>
      <c r="T113" s="1382"/>
      <c r="U113" s="1382"/>
      <c r="V113" s="1382"/>
      <c r="W113" s="1382"/>
      <c r="X113" s="1382"/>
      <c r="Y113" s="1382"/>
      <c r="Z113" s="1382"/>
      <c r="AA113" s="1382"/>
      <c r="AB113" s="1382"/>
      <c r="AC113" s="1382"/>
      <c r="AD113" s="1382"/>
      <c r="AE113" s="1382"/>
      <c r="AF113" s="1382"/>
      <c r="AG113" s="1382"/>
      <c r="AH113" s="1382"/>
      <c r="AI113" s="1382"/>
      <c r="AJ113" s="1382"/>
      <c r="AK113" s="181"/>
      <c r="AL113" s="181"/>
      <c r="AM113" s="181"/>
      <c r="AN113" s="181"/>
      <c r="AO113" s="181"/>
      <c r="AP113" s="181"/>
      <c r="AQ113" s="181"/>
      <c r="AR113" s="181"/>
      <c r="AS113" s="181"/>
      <c r="AT113" s="181"/>
      <c r="AU113" s="181"/>
      <c r="AV113" s="181"/>
      <c r="AW113" s="181"/>
    </row>
    <row r="114" spans="1:50" s="30" customFormat="1" ht="15" customHeight="1" x14ac:dyDescent="0.25">
      <c r="A114" s="1518" t="str">
        <f>IF(CD50_apply="Yes",IF(COUNTIF('03 - 50% CD'!D114:G114,"Y")&gt;0,"Y",IF(COUNTIF('03 - 50% CD'!D114:G114,"N"),"N","")),"")</f>
        <v>Y</v>
      </c>
      <c r="B114" s="191"/>
      <c r="C114" s="944"/>
      <c r="D114" s="463"/>
      <c r="E114" s="467"/>
      <c r="F114" s="559" t="str">
        <f>IF('C-Design&amp;Const'!$O114="","",'C-Design&amp;Const'!$O114)</f>
        <v>Y</v>
      </c>
      <c r="G114" s="291"/>
      <c r="H114" s="408" t="str">
        <f>CONCATENATE(IF(F114="N","PLACEHOLDER ROW - ",""),'C-Design&amp;Const'!Z114,IF(F114="N","",J114))</f>
        <v xml:space="preserve">Access Controls - General Systems (Updates to) </v>
      </c>
      <c r="I114" s="184"/>
      <c r="J114" s="578" t="str">
        <f>IF('C-Design&amp;Const'!AH114="","",'C-Design&amp;Const'!AH114)</f>
        <v xml:space="preserve"> (Updates to) </v>
      </c>
      <c r="K114" s="285" t="str">
        <f>IF(CD50_apply="Yes",IF((COUNTIF(D114:G114,"Y")=COUNTIF('03 - 50% CD'!D114:G114,"Y")),"match","no 50% match"),"-")</f>
        <v>match</v>
      </c>
      <c r="L114" s="1410" t="str">
        <f>CONCATENATE(IF(ISNUMBER(SEARCH("Placeholder",H114))=TRUE,"&lt;---PM/Planner may hide PLACEHOLDER ROW",""))</f>
        <v/>
      </c>
      <c r="M114" s="1382"/>
      <c r="N114" s="1382"/>
      <c r="O114" s="1382"/>
      <c r="P114" s="1382"/>
      <c r="Q114" s="1382"/>
      <c r="R114" s="1382"/>
      <c r="S114" s="1284"/>
      <c r="T114" s="1382"/>
      <c r="U114" s="1382"/>
      <c r="V114" s="1382"/>
      <c r="W114" s="1382"/>
      <c r="X114" s="1382"/>
      <c r="Y114" s="1382"/>
      <c r="Z114" s="1382"/>
      <c r="AA114" s="1382"/>
      <c r="AB114" s="1382"/>
      <c r="AC114" s="1382"/>
      <c r="AD114" s="1382"/>
      <c r="AE114" s="1382"/>
      <c r="AF114" s="1382"/>
      <c r="AG114" s="1382"/>
      <c r="AH114" s="1382"/>
      <c r="AI114" s="1382"/>
      <c r="AJ114" s="1382"/>
      <c r="AK114" s="181"/>
      <c r="AL114" s="181"/>
      <c r="AM114" s="181"/>
      <c r="AN114" s="181"/>
      <c r="AO114" s="181"/>
      <c r="AP114" s="181"/>
      <c r="AQ114" s="181"/>
      <c r="AR114" s="181"/>
      <c r="AS114" s="181"/>
      <c r="AT114" s="181"/>
      <c r="AU114" s="181"/>
      <c r="AV114" s="181"/>
      <c r="AW114" s="181"/>
    </row>
    <row r="115" spans="1:50" s="545" customFormat="1" x14ac:dyDescent="0.25">
      <c r="A115" s="1518" t="str">
        <f>IF(CD50_apply="Yes",IF(COUNTIF('03 - 50% CD'!D115:G115,"Y")&gt;0,"Y",IF(COUNTIF('03 - 50% CD'!D115:G115,"N"),"N","")),"")</f>
        <v>Y</v>
      </c>
      <c r="B115" s="554"/>
      <c r="C115" s="944"/>
      <c r="D115" s="321"/>
      <c r="E115" s="466"/>
      <c r="F115" s="559" t="str">
        <f>IF('C-Design&amp;Const'!$O115="","",'C-Design&amp;Const'!$O115)</f>
        <v>Y</v>
      </c>
      <c r="G115" s="558"/>
      <c r="H115" s="408" t="str">
        <f>CONCATENATE(IF(F115="N","PLACEHOLDER ROW - ",""),'C-Design&amp;Const'!Z115,IF(F115="N","",J115))</f>
        <v xml:space="preserve">Access Controls - Demolition(s) (Updates to) </v>
      </c>
      <c r="I115" s="186"/>
      <c r="J115" s="578" t="str">
        <f>IF('C-Design&amp;Const'!AH115="","",'C-Design&amp;Const'!AH115)</f>
        <v xml:space="preserve"> (Updates to) </v>
      </c>
      <c r="K115" s="285" t="str">
        <f>IF(CD50_apply="Yes",IF((COUNTIF(D115:G115,"Y")=COUNTIF('03 - 50% CD'!D115:G115,"Y")),"match","no 50% match"),"-")</f>
        <v>match</v>
      </c>
      <c r="L115" s="1410" t="str">
        <f t="shared" ref="L115" si="7">CONCATENATE(IF(ISNUMBER(SEARCH("Placeholder",H115))=TRUE,"&lt;---PM/Planner may hide PLACEHOLDER ROW",""))</f>
        <v/>
      </c>
      <c r="M115" s="1382"/>
      <c r="N115" s="1382"/>
      <c r="O115" s="1382"/>
      <c r="P115" s="1382"/>
      <c r="Q115" s="1382"/>
      <c r="R115" s="1490"/>
      <c r="S115" s="1284"/>
      <c r="T115" s="1382"/>
      <c r="U115" s="1382"/>
      <c r="V115" s="1382"/>
      <c r="W115" s="1382"/>
      <c r="X115" s="1382"/>
      <c r="Y115" s="1382"/>
      <c r="Z115" s="1382"/>
      <c r="AA115" s="1382"/>
      <c r="AB115" s="1382"/>
      <c r="AC115" s="1382"/>
      <c r="AD115" s="1382"/>
      <c r="AE115" s="1382"/>
      <c r="AF115" s="1382"/>
      <c r="AG115" s="1382"/>
      <c r="AH115" s="1382"/>
      <c r="AI115" s="1382"/>
      <c r="AJ115" s="1382"/>
      <c r="AK115" s="551"/>
      <c r="AL115" s="551"/>
      <c r="AM115" s="551"/>
      <c r="AN115" s="551"/>
      <c r="AO115" s="551"/>
      <c r="AP115" s="551"/>
      <c r="AQ115" s="551"/>
      <c r="AR115" s="551"/>
      <c r="AS115" s="551"/>
      <c r="AT115" s="551"/>
      <c r="AU115" s="551"/>
      <c r="AV115" s="551"/>
      <c r="AW115" s="551"/>
    </row>
    <row r="116" spans="1:50" s="30" customFormat="1" x14ac:dyDescent="0.25">
      <c r="A116" s="1518" t="str">
        <f>IF(CD50_apply="Yes",IF(COUNTIF('03 - 50% CD'!D116:G116,"Y")&gt;0,"Y",IF(COUNTIF('03 - 50% CD'!D116:G116,"N"),"N","")),"")</f>
        <v>N</v>
      </c>
      <c r="B116" s="191"/>
      <c r="C116" s="944"/>
      <c r="D116" s="321"/>
      <c r="E116" s="466"/>
      <c r="F116" s="559" t="str">
        <f>IF('C-Design&amp;Const'!$O116="","",'C-Design&amp;Const'!$O116)</f>
        <v>N</v>
      </c>
      <c r="G116" s="558"/>
      <c r="H116" s="408" t="str">
        <f>CONCATENATE(IF(F116="N","PLACEHOLDER ROW - ",""),'C-Design&amp;Const'!Z116,IF(F116="N","",J116))</f>
        <v>PLACEHOLDER ROW - Access Controls - CUSTOM</v>
      </c>
      <c r="I116" s="186"/>
      <c r="J116" s="578" t="str">
        <f>IF('C-Design&amp;Const'!AH117="","",'C-Design&amp;Const'!AH117)</f>
        <v xml:space="preserve"> (Updates to) </v>
      </c>
      <c r="K116" s="285" t="str">
        <f>IF(CD50_apply="Yes",IF((COUNTIF(D116:G116,"Y")=COUNTIF('03 - 50% CD'!D116:G116,"Y")),"match","no 50% match"),"-")</f>
        <v>match</v>
      </c>
      <c r="L116" s="1410" t="str">
        <f t="shared" si="5"/>
        <v>&lt;---PM/Planner may hide PLACEHOLDER ROW</v>
      </c>
      <c r="M116" s="1382"/>
      <c r="N116" s="1382"/>
      <c r="O116" s="1382"/>
      <c r="P116" s="1382"/>
      <c r="Q116" s="1382"/>
      <c r="R116" s="1490"/>
      <c r="S116" s="1284"/>
      <c r="T116" s="1382"/>
      <c r="U116" s="1382"/>
      <c r="V116" s="1382"/>
      <c r="W116" s="1382"/>
      <c r="X116" s="1382"/>
      <c r="Y116" s="1382"/>
      <c r="Z116" s="1382"/>
      <c r="AA116" s="1382"/>
      <c r="AB116" s="1382"/>
      <c r="AC116" s="1382"/>
      <c r="AD116" s="1382"/>
      <c r="AE116" s="1382"/>
      <c r="AF116" s="1382"/>
      <c r="AG116" s="1382"/>
      <c r="AH116" s="1382"/>
      <c r="AI116" s="1382"/>
      <c r="AJ116" s="1382"/>
      <c r="AK116" s="181"/>
      <c r="AL116" s="181"/>
      <c r="AM116" s="181"/>
      <c r="AN116" s="181"/>
      <c r="AO116" s="181"/>
      <c r="AP116" s="181"/>
      <c r="AQ116" s="181"/>
      <c r="AR116" s="181"/>
      <c r="AS116" s="181"/>
      <c r="AT116" s="181"/>
      <c r="AU116" s="181"/>
      <c r="AV116" s="181"/>
      <c r="AW116" s="181"/>
    </row>
    <row r="117" spans="1:50" s="30" customFormat="1" x14ac:dyDescent="0.25">
      <c r="A117" s="1518" t="str">
        <f>IF(CD50_apply="Yes",IF(COUNTIF('03 - 50% CD'!D117:G117,"Y")&gt;0,"Y",IF(COUNTIF('03 - 50% CD'!D117:G117,"N"),"N","")),"")</f>
        <v>Y</v>
      </c>
      <c r="B117" s="191"/>
      <c r="C117" s="944"/>
      <c r="D117" s="321"/>
      <c r="E117" s="466"/>
      <c r="F117" s="559" t="str">
        <f>IF('C-Design&amp;Const'!$O117="","",'C-Design&amp;Const'!$O117)</f>
        <v>Y</v>
      </c>
      <c r="G117" s="558"/>
      <c r="H117" s="408" t="str">
        <f>CONCATENATE(IF(F117="N","PLACEHOLDER ROW - ",""),'C-Design&amp;Const'!Z117,IF(F117="N","",J117))</f>
        <v xml:space="preserve">Telecom - General Systems  (Updates to) </v>
      </c>
      <c r="I117" s="186"/>
      <c r="J117" s="578" t="str">
        <f>IF('C-Design&amp;Const'!AH119="","",'C-Design&amp;Const'!AH119)</f>
        <v xml:space="preserve"> (Updates to) </v>
      </c>
      <c r="K117" s="285" t="str">
        <f>IF(CD50_apply="Yes",IF((COUNTIF(D117:G117,"Y")=COUNTIF('03 - 50% CD'!D117:G117,"Y")),"match","no 50% match"),"-")</f>
        <v>match</v>
      </c>
      <c r="L117" s="1410" t="str">
        <f t="shared" si="5"/>
        <v/>
      </c>
      <c r="M117" s="1382"/>
      <c r="N117" s="1382"/>
      <c r="O117" s="1382"/>
      <c r="P117" s="1382"/>
      <c r="Q117" s="1382"/>
      <c r="R117" s="1490"/>
      <c r="S117" s="1284"/>
      <c r="T117" s="1382"/>
      <c r="U117" s="1382"/>
      <c r="V117" s="1382"/>
      <c r="W117" s="1382"/>
      <c r="X117" s="1382"/>
      <c r="Y117" s="1382"/>
      <c r="Z117" s="1382"/>
      <c r="AA117" s="1382"/>
      <c r="AB117" s="1382"/>
      <c r="AC117" s="1382"/>
      <c r="AD117" s="1382"/>
      <c r="AE117" s="1382"/>
      <c r="AF117" s="1382"/>
      <c r="AG117" s="1382"/>
      <c r="AH117" s="1382"/>
      <c r="AI117" s="1382"/>
      <c r="AJ117" s="1382"/>
      <c r="AK117" s="181"/>
      <c r="AL117" s="181"/>
      <c r="AM117" s="181"/>
      <c r="AN117" s="181"/>
      <c r="AO117" s="181"/>
      <c r="AP117" s="181"/>
      <c r="AQ117" s="181"/>
      <c r="AR117" s="181"/>
      <c r="AS117" s="181"/>
      <c r="AT117" s="181"/>
      <c r="AU117" s="181"/>
      <c r="AV117" s="181"/>
      <c r="AW117" s="181"/>
    </row>
    <row r="118" spans="1:50" s="545" customFormat="1" x14ac:dyDescent="0.25">
      <c r="A118" s="1518" t="str">
        <f>IF(CD50_apply="Yes",IF(COUNTIF('03 - 50% CD'!D118:G118,"Y")&gt;0,"Y",IF(COUNTIF('03 - 50% CD'!D118:G118,"N"),"N","")),"")</f>
        <v>Y</v>
      </c>
      <c r="B118" s="554"/>
      <c r="C118" s="944"/>
      <c r="D118" s="321"/>
      <c r="E118" s="466"/>
      <c r="F118" s="559" t="str">
        <f>IF('C-Design&amp;Const'!$O118="","",'C-Design&amp;Const'!$O118)</f>
        <v>Y</v>
      </c>
      <c r="G118" s="558"/>
      <c r="H118" s="408" t="str">
        <f>CONCATENATE(IF(F118="N","PLACEHOLDER ROW - ",""),'C-Design&amp;Const'!Z118,IF(F118="N","",J118))</f>
        <v xml:space="preserve">Telecom - Demolition(s) (Updates to) </v>
      </c>
      <c r="I118" s="186"/>
      <c r="J118" s="578" t="str">
        <f>IF('C-Design&amp;Const'!AH118="","",'C-Design&amp;Const'!AH118)</f>
        <v xml:space="preserve"> (Updates to) </v>
      </c>
      <c r="K118" s="285" t="str">
        <f>IF(CD50_apply="Yes",IF((COUNTIF(D118:G118,"Y")=COUNTIF('03 - 50% CD'!D118:G118,"Y")),"match","no 50% match"),"-")</f>
        <v>match</v>
      </c>
      <c r="L118" s="1410" t="str">
        <f t="shared" si="5"/>
        <v/>
      </c>
      <c r="M118" s="1382"/>
      <c r="N118" s="1382"/>
      <c r="O118" s="1382"/>
      <c r="P118" s="1382"/>
      <c r="Q118" s="1382"/>
      <c r="R118" s="1490"/>
      <c r="S118" s="1284"/>
      <c r="T118" s="1382"/>
      <c r="U118" s="1382"/>
      <c r="V118" s="1382"/>
      <c r="W118" s="1382"/>
      <c r="X118" s="1382"/>
      <c r="Y118" s="1382"/>
      <c r="Z118" s="1382"/>
      <c r="AA118" s="1382"/>
      <c r="AB118" s="1382"/>
      <c r="AC118" s="1382"/>
      <c r="AD118" s="1382"/>
      <c r="AE118" s="1382"/>
      <c r="AF118" s="1382"/>
      <c r="AG118" s="1382"/>
      <c r="AH118" s="1382"/>
      <c r="AI118" s="1382"/>
      <c r="AJ118" s="1382"/>
      <c r="AK118" s="551"/>
      <c r="AL118" s="551"/>
      <c r="AM118" s="551"/>
      <c r="AN118" s="551"/>
      <c r="AO118" s="551"/>
      <c r="AP118" s="551"/>
      <c r="AQ118" s="551"/>
      <c r="AR118" s="551"/>
      <c r="AS118" s="551"/>
      <c r="AT118" s="551"/>
      <c r="AU118" s="551"/>
      <c r="AV118" s="551"/>
      <c r="AW118" s="551"/>
    </row>
    <row r="119" spans="1:50" s="30" customFormat="1" x14ac:dyDescent="0.25">
      <c r="A119" s="1518" t="str">
        <f>IF(CD50_apply="Yes",IF(COUNTIF('03 - 50% CD'!D119:G119,"Y")&gt;0,"Y",IF(COUNTIF('03 - 50% CD'!D119:G119,"N"),"N","")),"")</f>
        <v>N</v>
      </c>
      <c r="B119" s="191"/>
      <c r="C119" s="944"/>
      <c r="D119" s="321"/>
      <c r="E119" s="466"/>
      <c r="F119" s="559" t="str">
        <f>IF('C-Design&amp;Const'!$O119="","",'C-Design&amp;Const'!$O119)</f>
        <v>N</v>
      </c>
      <c r="G119" s="558"/>
      <c r="H119" s="408" t="str">
        <f>CONCATENATE(IF(F119="N","PLACEHOLDER ROW - ",""),'C-Design&amp;Const'!Z119,IF(F119="N","",J119))</f>
        <v>PLACEHOLDER ROW - Telecom - CUSTOM</v>
      </c>
      <c r="I119" s="186"/>
      <c r="J119" s="578" t="str">
        <f>IF('C-Design&amp;Const'!AH120="","",'C-Design&amp;Const'!AH120)</f>
        <v xml:space="preserve"> (Updates to) </v>
      </c>
      <c r="K119" s="285" t="str">
        <f>IF(CD50_apply="Yes",IF((COUNTIF(D119:G119,"Y")=COUNTIF('03 - 50% CD'!D119:G119,"Y")),"match","no 50% match"),"-")</f>
        <v>match</v>
      </c>
      <c r="L119" s="1410" t="str">
        <f t="shared" si="5"/>
        <v>&lt;---PM/Planner may hide PLACEHOLDER ROW</v>
      </c>
      <c r="M119" s="1382"/>
      <c r="N119" s="1382"/>
      <c r="O119" s="1382"/>
      <c r="P119" s="1382"/>
      <c r="Q119" s="1382"/>
      <c r="R119" s="1490"/>
      <c r="S119" s="1284"/>
      <c r="T119" s="1382"/>
      <c r="U119" s="1382"/>
      <c r="V119" s="1382"/>
      <c r="W119" s="1382"/>
      <c r="X119" s="1382"/>
      <c r="Y119" s="1382"/>
      <c r="Z119" s="1382"/>
      <c r="AA119" s="1382"/>
      <c r="AB119" s="1382"/>
      <c r="AC119" s="1382"/>
      <c r="AD119" s="1382"/>
      <c r="AE119" s="1382"/>
      <c r="AF119" s="1382"/>
      <c r="AG119" s="1382"/>
      <c r="AH119" s="1382"/>
      <c r="AI119" s="1382"/>
      <c r="AJ119" s="1382"/>
      <c r="AK119" s="181"/>
      <c r="AL119" s="181"/>
      <c r="AM119" s="181"/>
      <c r="AN119" s="181"/>
      <c r="AO119" s="181"/>
      <c r="AP119" s="181"/>
      <c r="AQ119" s="181"/>
      <c r="AR119" s="181"/>
      <c r="AS119" s="181"/>
      <c r="AT119" s="181"/>
      <c r="AU119" s="181"/>
      <c r="AV119" s="181"/>
      <c r="AW119" s="181"/>
    </row>
    <row r="120" spans="1:50" s="30" customFormat="1" x14ac:dyDescent="0.25">
      <c r="A120" s="1518" t="str">
        <f>IF(CD50_apply="Yes",IF(COUNTIF('03 - 50% CD'!D120:G120,"Y")&gt;0,"Y",IF(COUNTIF('03 - 50% CD'!D120:G120,"N"),"N","")),"")</f>
        <v>Y</v>
      </c>
      <c r="B120" s="191"/>
      <c r="C120" s="944"/>
      <c r="D120" s="321"/>
      <c r="E120" s="466"/>
      <c r="F120" s="559" t="str">
        <f>IF('C-Design&amp;Const'!$O120="","",'C-Design&amp;Const'!$O120)</f>
        <v>Y</v>
      </c>
      <c r="G120" s="558"/>
      <c r="H120" s="408" t="str">
        <f>CONCATENATE(IF(F120="N","PLACEHOLDER ROW - ",""),'C-Design&amp;Const'!Z120,IF(F120="N","",J120))</f>
        <v xml:space="preserve">Audio Visual - General Systems (Updates to) </v>
      </c>
      <c r="I120" s="186"/>
      <c r="J120" s="578" t="str">
        <f>IF('C-Design&amp;Const'!AH122="","",'C-Design&amp;Const'!AH122)</f>
        <v xml:space="preserve"> (Updates to) </v>
      </c>
      <c r="K120" s="285" t="str">
        <f>IF(CD50_apply="Yes",IF((COUNTIF(D120:G120,"Y")=COUNTIF('03 - 50% CD'!D120:G120,"Y")),"match","no 50% match"),"-")</f>
        <v>match</v>
      </c>
      <c r="L120" s="1410" t="str">
        <f t="shared" si="5"/>
        <v/>
      </c>
      <c r="M120" s="1382"/>
      <c r="N120" s="1382"/>
      <c r="O120" s="1382"/>
      <c r="P120" s="1382"/>
      <c r="Q120" s="1382"/>
      <c r="R120" s="1490"/>
      <c r="S120" s="1284"/>
      <c r="T120" s="1382"/>
      <c r="U120" s="1382"/>
      <c r="V120" s="1382"/>
      <c r="W120" s="1382"/>
      <c r="X120" s="1382"/>
      <c r="Y120" s="1382"/>
      <c r="Z120" s="1382"/>
      <c r="AA120" s="1382"/>
      <c r="AB120" s="1382"/>
      <c r="AC120" s="1382"/>
      <c r="AD120" s="1382"/>
      <c r="AE120" s="1382"/>
      <c r="AF120" s="1382"/>
      <c r="AG120" s="1382"/>
      <c r="AH120" s="1382"/>
      <c r="AI120" s="1382"/>
      <c r="AJ120" s="1382"/>
      <c r="AK120" s="181"/>
      <c r="AL120" s="181"/>
      <c r="AM120" s="181"/>
      <c r="AN120" s="181"/>
      <c r="AO120" s="181"/>
      <c r="AP120" s="181"/>
      <c r="AQ120" s="181"/>
      <c r="AR120" s="181"/>
      <c r="AS120" s="181"/>
      <c r="AT120" s="181"/>
      <c r="AU120" s="181"/>
      <c r="AV120" s="181"/>
      <c r="AW120" s="181"/>
    </row>
    <row r="121" spans="1:50" s="545" customFormat="1" x14ac:dyDescent="0.25">
      <c r="A121" s="1518" t="str">
        <f>IF(CD50_apply="Yes",IF(COUNTIF('03 - 50% CD'!D121:G121,"Y")&gt;0,"Y",IF(COUNTIF('03 - 50% CD'!D121:G121,"N"),"N","")),"")</f>
        <v>Y</v>
      </c>
      <c r="B121" s="554"/>
      <c r="C121" s="944"/>
      <c r="D121" s="321"/>
      <c r="E121" s="466"/>
      <c r="F121" s="559" t="str">
        <f>IF('C-Design&amp;Const'!$O121="","",'C-Design&amp;Const'!$O121)</f>
        <v>Y</v>
      </c>
      <c r="G121" s="558"/>
      <c r="H121" s="408" t="str">
        <f>CONCATENATE(IF(F121="N","PLACEHOLDER ROW - ",""),'C-Design&amp;Const'!Z121,IF(F121="N","",J121))</f>
        <v xml:space="preserve">Audio Visual - Demolition(s) (Updates to) </v>
      </c>
      <c r="I121" s="186"/>
      <c r="J121" s="578" t="str">
        <f>IF('C-Design&amp;Const'!AH121="","",'C-Design&amp;Const'!AH121)</f>
        <v xml:space="preserve"> (Updates to) </v>
      </c>
      <c r="K121" s="285" t="str">
        <f>IF(CD50_apply="Yes",IF((COUNTIF(D121:G121,"Y")=COUNTIF('03 - 50% CD'!D121:G121,"Y")),"match","no 50% match"),"-")</f>
        <v>match</v>
      </c>
      <c r="L121" s="1410" t="str">
        <f t="shared" ref="L121" si="8">CONCATENATE(IF(ISNUMBER(SEARCH("Placeholder",H121))=TRUE,"&lt;---PM/Planner may hide PLACEHOLDER ROW",""))</f>
        <v/>
      </c>
      <c r="M121" s="1382"/>
      <c r="N121" s="1382"/>
      <c r="O121" s="1382"/>
      <c r="P121" s="1382"/>
      <c r="Q121" s="1382"/>
      <c r="R121" s="1490"/>
      <c r="S121" s="1284"/>
      <c r="T121" s="1382"/>
      <c r="U121" s="1382"/>
      <c r="V121" s="1382"/>
      <c r="W121" s="1382"/>
      <c r="X121" s="1382"/>
      <c r="Y121" s="1382"/>
      <c r="Z121" s="1382"/>
      <c r="AA121" s="1382"/>
      <c r="AB121" s="1382"/>
      <c r="AC121" s="1382"/>
      <c r="AD121" s="1382"/>
      <c r="AE121" s="1382"/>
      <c r="AF121" s="1382"/>
      <c r="AG121" s="1382"/>
      <c r="AH121" s="1382"/>
      <c r="AI121" s="1382"/>
      <c r="AJ121" s="1382"/>
      <c r="AK121" s="551"/>
      <c r="AL121" s="551"/>
      <c r="AM121" s="551"/>
      <c r="AN121" s="551"/>
      <c r="AO121" s="551"/>
      <c r="AP121" s="551"/>
      <c r="AQ121" s="551"/>
      <c r="AR121" s="551"/>
      <c r="AS121" s="551"/>
      <c r="AT121" s="551"/>
      <c r="AU121" s="551"/>
      <c r="AV121" s="551"/>
      <c r="AW121" s="551"/>
    </row>
    <row r="122" spans="1:50" s="30" customFormat="1" ht="15" customHeight="1" x14ac:dyDescent="0.25">
      <c r="A122" s="1518" t="str">
        <f>IF(CD50_apply="Yes",IF(COUNTIF('03 - 50% CD'!D122:G122,"Y")&gt;0,"Y",IF(COUNTIF('03 - 50% CD'!D122:G122,"N"),"N","")),"")</f>
        <v>N</v>
      </c>
      <c r="B122" s="191"/>
      <c r="C122" s="944"/>
      <c r="D122" s="463"/>
      <c r="E122" s="467"/>
      <c r="F122" s="559" t="str">
        <f>IF('C-Design&amp;Const'!$O122="","",'C-Design&amp;Const'!$O122)</f>
        <v>N</v>
      </c>
      <c r="G122" s="291"/>
      <c r="H122" s="408" t="str">
        <f>CONCATENATE(IF(F122="N","PLACEHOLDER ROW - ",""),'C-Design&amp;Const'!Z122,IF(F122="N","",J122))</f>
        <v>PLACEHOLDER ROW - Audio Visual - CUSTOM</v>
      </c>
      <c r="I122" s="184"/>
      <c r="J122" s="578" t="str">
        <f>IF('C-Design&amp;Const'!AH116="","",'C-Design&amp;Const'!AH116)</f>
        <v xml:space="preserve"> (Updates to) </v>
      </c>
      <c r="K122" s="285" t="str">
        <f>IF(CD50_apply="Yes",IF((COUNTIF(D122:G122,"Y")=COUNTIF('03 - 50% CD'!D122:G122,"Y")),"match","no 50% match"),"-")</f>
        <v>match</v>
      </c>
      <c r="L122" s="1410" t="str">
        <f t="shared" si="5"/>
        <v>&lt;---PM/Planner may hide PLACEHOLDER ROW</v>
      </c>
      <c r="M122" s="1382"/>
      <c r="N122" s="1382"/>
      <c r="O122" s="1382"/>
      <c r="P122" s="1382"/>
      <c r="Q122" s="1382"/>
      <c r="R122" s="1382"/>
      <c r="S122" s="1284"/>
      <c r="T122" s="1382"/>
      <c r="U122" s="1382"/>
      <c r="V122" s="1382"/>
      <c r="W122" s="1382"/>
      <c r="X122" s="1382"/>
      <c r="Y122" s="1382"/>
      <c r="Z122" s="1382"/>
      <c r="AA122" s="1382"/>
      <c r="AB122" s="1382"/>
      <c r="AC122" s="1382"/>
      <c r="AD122" s="1382"/>
      <c r="AE122" s="1382"/>
      <c r="AF122" s="1382"/>
      <c r="AG122" s="1382"/>
      <c r="AH122" s="1382"/>
      <c r="AI122" s="1382"/>
      <c r="AJ122" s="1382"/>
      <c r="AK122" s="181"/>
      <c r="AL122" s="181"/>
      <c r="AM122" s="181"/>
      <c r="AN122" s="181"/>
      <c r="AO122" s="181"/>
      <c r="AP122" s="181"/>
      <c r="AQ122" s="181"/>
      <c r="AR122" s="181"/>
      <c r="AS122" s="181"/>
      <c r="AT122" s="181"/>
      <c r="AU122" s="181"/>
      <c r="AV122" s="181"/>
      <c r="AW122" s="181"/>
    </row>
    <row r="123" spans="1:50" s="30" customFormat="1" ht="15" customHeight="1" x14ac:dyDescent="0.25">
      <c r="A123" s="1518" t="str">
        <f>IF(CD50_apply="Yes",IF(COUNTIF('03 - 50% CD'!D123:G123,"Y")&gt;0,"Y",IF(COUNTIF('03 - 50% CD'!D123:G123,"N"),"N","")),"")</f>
        <v>N</v>
      </c>
      <c r="B123" s="191"/>
      <c r="C123" s="944"/>
      <c r="D123" s="463"/>
      <c r="E123" s="467"/>
      <c r="F123" s="559" t="str">
        <f>IF('C-Design&amp;Const'!$O123="","",'C-Design&amp;Const'!$O123)</f>
        <v>N</v>
      </c>
      <c r="G123" s="291"/>
      <c r="H123" s="408" t="str">
        <f>CONCATENATE(IF(F123="N","PLACEHOLDER ROW - ",""),'C-Design&amp;Const'!Z123,IF(F123="N","",J123))</f>
        <v>PLACEHOLDER ROW - CUSTOM ROW - OPTIONAL CLIENT ITEM</v>
      </c>
      <c r="I123" s="184"/>
      <c r="J123" s="578" t="str">
        <f>IF('C-Design&amp;Const'!AH123="","",'C-Design&amp;Const'!AH123)</f>
        <v xml:space="preserve"> (Updates to) </v>
      </c>
      <c r="K123" s="285" t="str">
        <f>IF(CD50_apply="Yes",IF((COUNTIF(D123:G123,"Y")=COUNTIF('03 - 50% CD'!D123:G123,"Y")),"match","no 50% match"),"-")</f>
        <v>match</v>
      </c>
      <c r="L123" s="1410" t="str">
        <f t="shared" si="5"/>
        <v>&lt;---PM/Planner may hide PLACEHOLDER ROW</v>
      </c>
      <c r="M123" s="1382"/>
      <c r="N123" s="1382"/>
      <c r="O123" s="1382"/>
      <c r="P123" s="1382"/>
      <c r="Q123" s="1382"/>
      <c r="R123" s="1382"/>
      <c r="S123" s="1284"/>
      <c r="T123" s="1382"/>
      <c r="U123" s="1382"/>
      <c r="V123" s="1382"/>
      <c r="W123" s="1382"/>
      <c r="X123" s="1382"/>
      <c r="Y123" s="1382"/>
      <c r="Z123" s="1382"/>
      <c r="AA123" s="1382"/>
      <c r="AB123" s="1382"/>
      <c r="AC123" s="1382"/>
      <c r="AD123" s="1382"/>
      <c r="AE123" s="1382"/>
      <c r="AF123" s="1382"/>
      <c r="AG123" s="1382"/>
      <c r="AH123" s="1382"/>
      <c r="AI123" s="1382"/>
      <c r="AJ123" s="1382"/>
      <c r="AK123" s="181"/>
      <c r="AL123" s="181"/>
      <c r="AM123" s="181"/>
      <c r="AN123" s="181"/>
      <c r="AO123" s="181"/>
      <c r="AP123" s="181"/>
      <c r="AQ123" s="181"/>
      <c r="AR123" s="181"/>
      <c r="AS123" s="181"/>
      <c r="AT123" s="181"/>
      <c r="AU123" s="181"/>
      <c r="AV123" s="181"/>
      <c r="AW123" s="181"/>
    </row>
    <row r="124" spans="1:50" s="30" customFormat="1" ht="15" customHeight="1" x14ac:dyDescent="0.25">
      <c r="A124" s="1518" t="str">
        <f>IF(CD50_apply="Yes",IF(COUNTIF('03 - 50% CD'!D124:G124,"Y")&gt;0,"Y",IF(COUNTIF('03 - 50% CD'!D124:G124,"N"),"N","")),"")</f>
        <v>N</v>
      </c>
      <c r="B124" s="191"/>
      <c r="C124" s="944"/>
      <c r="D124" s="463"/>
      <c r="E124" s="467"/>
      <c r="F124" s="559" t="str">
        <f>IF('C-Design&amp;Const'!$O124="","",'C-Design&amp;Const'!$O124)</f>
        <v>N</v>
      </c>
      <c r="G124" s="291"/>
      <c r="H124" s="408" t="str">
        <f>CONCATENATE(IF(F124="N","PLACEHOLDER ROW - ",""),'C-Design&amp;Const'!Z124,IF(F124="N","",J124))</f>
        <v>PLACEHOLDER ROW - CUSTOM ROW - OPTIONAL CLIENT ITEM</v>
      </c>
      <c r="I124" s="184"/>
      <c r="J124" s="578" t="str">
        <f>IF('C-Design&amp;Const'!AH124="","",'C-Design&amp;Const'!AH124)</f>
        <v xml:space="preserve"> (Updates to) </v>
      </c>
      <c r="K124" s="285" t="str">
        <f>IF(CD50_apply="Yes",IF((COUNTIF(D124:G124,"Y")=COUNTIF('03 - 50% CD'!D124:G124,"Y")),"match","no 50% match"),"-")</f>
        <v>match</v>
      </c>
      <c r="L124" s="1410" t="str">
        <f t="shared" si="5"/>
        <v>&lt;---PM/Planner may hide PLACEHOLDER ROW</v>
      </c>
      <c r="M124" s="1382"/>
      <c r="N124" s="1382"/>
      <c r="O124" s="1382"/>
      <c r="P124" s="1382"/>
      <c r="Q124" s="1382"/>
      <c r="R124" s="1382"/>
      <c r="S124" s="1284"/>
      <c r="T124" s="1382"/>
      <c r="U124" s="1382"/>
      <c r="V124" s="1382"/>
      <c r="W124" s="1382"/>
      <c r="X124" s="1382"/>
      <c r="Y124" s="1382"/>
      <c r="Z124" s="1382"/>
      <c r="AA124" s="1382"/>
      <c r="AB124" s="1382"/>
      <c r="AC124" s="1382"/>
      <c r="AD124" s="1382"/>
      <c r="AE124" s="1382"/>
      <c r="AF124" s="1382"/>
      <c r="AG124" s="1382"/>
      <c r="AH124" s="1382"/>
      <c r="AI124" s="1382"/>
      <c r="AJ124" s="1382"/>
      <c r="AK124" s="181"/>
      <c r="AL124" s="181"/>
      <c r="AM124" s="181"/>
      <c r="AN124" s="181"/>
      <c r="AO124" s="181"/>
      <c r="AP124" s="181"/>
      <c r="AQ124" s="181"/>
      <c r="AR124" s="181"/>
      <c r="AS124" s="181"/>
      <c r="AT124" s="181"/>
      <c r="AU124" s="181"/>
      <c r="AV124" s="181"/>
      <c r="AW124" s="181"/>
    </row>
    <row r="125" spans="1:50" s="17" customFormat="1" x14ac:dyDescent="0.25">
      <c r="A125" s="1516" t="str">
        <f>IF(CD50_apply="Yes",IF(COUNTIF('03 - 50% CD'!D125:G125,"Y")&gt;0,"Y",IF(COUNTIF('03 - 50% CD'!D125:G125,"N"),"N","")),"")</f>
        <v/>
      </c>
      <c r="B125" s="141"/>
      <c r="C125" s="944"/>
      <c r="D125" s="411"/>
      <c r="E125" s="411"/>
      <c r="F125" s="321"/>
      <c r="G125" s="294"/>
      <c r="H125" s="296" t="str">
        <f>CONCATENATE(IF(F125="N","PLACEHOLDER ROW - ",""),'C-Design&amp;Const'!Z125,IF(F125="N","",J125))</f>
        <v/>
      </c>
      <c r="I125" s="130"/>
      <c r="J125" s="578" t="str">
        <f>IF('C-Design&amp;Const'!AH125="","",'C-Design&amp;Const'!AH125)</f>
        <v/>
      </c>
      <c r="K125" s="285" t="str">
        <f>IF(CD50_apply="Yes",IF((COUNTIF(D125:G125,"Y")=COUNTIF('03 - 50% CD'!D125:G125,"Y")),"match","no 50% match"),"-")</f>
        <v>match</v>
      </c>
      <c r="L125" s="1410" t="str">
        <f t="shared" si="5"/>
        <v/>
      </c>
      <c r="M125" s="1333"/>
      <c r="N125" s="1382"/>
      <c r="O125" s="1333"/>
      <c r="P125" s="1333"/>
      <c r="Q125" s="1333"/>
      <c r="R125" s="1446"/>
      <c r="S125" s="1284"/>
      <c r="T125" s="1382"/>
      <c r="U125" s="1382"/>
      <c r="V125" s="1333"/>
      <c r="W125" s="1333"/>
      <c r="X125" s="1333"/>
      <c r="Y125" s="1333"/>
      <c r="Z125" s="1333"/>
      <c r="AA125" s="1333"/>
      <c r="AB125" s="1333"/>
      <c r="AC125" s="1333"/>
      <c r="AD125" s="1333"/>
      <c r="AE125" s="1333"/>
      <c r="AF125" s="1333"/>
      <c r="AG125" s="1333"/>
      <c r="AH125" s="1333"/>
      <c r="AI125" s="1333"/>
      <c r="AJ125" s="1333"/>
    </row>
    <row r="126" spans="1:50" s="181" customFormat="1" ht="19.5" customHeight="1" x14ac:dyDescent="0.25">
      <c r="A126" s="1501" t="str">
        <f>IF(CD50_apply="Yes",IF(COUNTIF('03 - 50% CD'!D126:G126,"Y")&gt;0,"Y",IF(COUNTIF('03 - 50% CD'!D126:G126,"N"),"N","")),"")</f>
        <v>Y</v>
      </c>
      <c r="B126" s="177"/>
      <c r="C126" s="944"/>
      <c r="D126" s="559" t="str">
        <f>IF('C-Design&amp;Const'!$O126="","",'C-Design&amp;Const'!$O126)</f>
        <v>Y</v>
      </c>
      <c r="E126" s="234"/>
      <c r="F126" s="235"/>
      <c r="G126" s="291" t="str">
        <f>IF('C-Design&amp;Const'!Y126="","",'C-Design&amp;Const'!Y126)</f>
        <v>04b.</v>
      </c>
      <c r="H126" s="290" t="str">
        <f>(CONCATENATE('C-Design&amp;Const'!Z126,IF(D126="N"," Not Used In This Design Phase",J126)))</f>
        <v>Project Applicable Information / Calculations - Updated</v>
      </c>
      <c r="I126" s="180"/>
      <c r="J126" s="578" t="str">
        <f>IF('C-Design&amp;Const'!AH126="","",'C-Design&amp;Const'!AH126)</f>
        <v xml:space="preserve"> - Updated</v>
      </c>
      <c r="K126" s="285" t="str">
        <f>IF(CD50_apply="Yes",IF((COUNTIF(D126:G126,"Y")=COUNTIF('03 - 50% CD'!D126:G126,"Y")),"match","no 50% match"),"-")</f>
        <v>match</v>
      </c>
      <c r="L126" s="1410" t="str">
        <f t="shared" si="5"/>
        <v/>
      </c>
      <c r="M126" s="1382"/>
      <c r="N126" s="1382"/>
      <c r="O126" s="1382"/>
      <c r="P126" s="1382"/>
      <c r="Q126" s="1382"/>
      <c r="R126" s="1447"/>
      <c r="S126" s="1284"/>
      <c r="T126" s="1382"/>
      <c r="U126" s="1382"/>
      <c r="V126" s="1382"/>
      <c r="W126" s="1382"/>
      <c r="X126" s="1382"/>
      <c r="Y126" s="1382"/>
      <c r="Z126" s="1382"/>
      <c r="AA126" s="1382"/>
      <c r="AB126" s="1382"/>
      <c r="AC126" s="1382"/>
      <c r="AD126" s="1382"/>
      <c r="AE126" s="1382"/>
      <c r="AF126" s="1382"/>
      <c r="AG126" s="1382"/>
      <c r="AH126" s="1382"/>
      <c r="AI126" s="1382"/>
      <c r="AJ126" s="1382"/>
      <c r="AX126" s="30"/>
    </row>
    <row r="127" spans="1:50" s="30" customFormat="1" ht="15" customHeight="1" x14ac:dyDescent="0.25">
      <c r="A127" s="1407" t="str">
        <f>IF(CD50_apply="Yes",IF(COUNTIF('03 - 50% CD'!D127:G127,"Y")&gt;0,"Y",IF(COUNTIF('03 - 50% CD'!D127:G127,"N"),"N","")),"")</f>
        <v>Y</v>
      </c>
      <c r="B127" s="191"/>
      <c r="C127" s="944"/>
      <c r="D127" s="463"/>
      <c r="E127" s="359" t="str">
        <f>IF('C-Design&amp;Const'!$O127="","",'C-Design&amp;Const'!$O127)</f>
        <v>Y</v>
      </c>
      <c r="F127" s="235"/>
      <c r="G127" s="291"/>
      <c r="H127" s="340" t="str">
        <f>CONCATENATE(IF(E127="N","PLACEHOLDER ROW - ",""),IF(E127="N","",J127),'C-Design&amp;Const'!Z127,)</f>
        <v>(Updates to) Occupancy calculations between existing and proposed; breaking down the FTE</v>
      </c>
      <c r="I127" s="184"/>
      <c r="J127" s="578" t="str">
        <f>IF('C-Design&amp;Const'!AH127="","",'C-Design&amp;Const'!AH127)</f>
        <v xml:space="preserve">(Updates to) </v>
      </c>
      <c r="K127" s="285" t="str">
        <f>IF(CD50_apply="Yes",IF((COUNTIF(D127:G127,"Y")=COUNTIF('03 - 50% CD'!D127:G127,"Y")),"match","no 50% match"),"-")</f>
        <v>match</v>
      </c>
      <c r="L127" s="1410" t="str">
        <f t="shared" si="5"/>
        <v/>
      </c>
      <c r="M127" s="1382"/>
      <c r="N127" s="1382"/>
      <c r="O127" s="1382"/>
      <c r="P127" s="1382"/>
      <c r="Q127" s="1382"/>
      <c r="R127" s="1382"/>
      <c r="S127" s="1284"/>
      <c r="T127" s="1382"/>
      <c r="U127" s="1382"/>
      <c r="V127" s="1382"/>
      <c r="W127" s="1382"/>
      <c r="X127" s="1382"/>
      <c r="Y127" s="1382"/>
      <c r="Z127" s="1382"/>
      <c r="AA127" s="1382"/>
      <c r="AB127" s="1382"/>
      <c r="AC127" s="1382"/>
      <c r="AD127" s="1382"/>
      <c r="AE127" s="1382"/>
      <c r="AF127" s="1382"/>
      <c r="AG127" s="1382"/>
      <c r="AH127" s="1382"/>
      <c r="AI127" s="1382"/>
      <c r="AJ127" s="1382"/>
      <c r="AK127" s="181"/>
      <c r="AL127" s="181"/>
      <c r="AM127" s="181"/>
      <c r="AN127" s="181"/>
      <c r="AO127" s="181"/>
      <c r="AP127" s="181"/>
      <c r="AQ127" s="181"/>
      <c r="AR127" s="181"/>
      <c r="AS127" s="181"/>
      <c r="AT127" s="181"/>
      <c r="AU127" s="181"/>
      <c r="AV127" s="181"/>
      <c r="AW127" s="181"/>
    </row>
    <row r="128" spans="1:50" s="30" customFormat="1" ht="15" hidden="1" customHeight="1" x14ac:dyDescent="0.25">
      <c r="A128" s="1407" t="str">
        <f>IF(CD50_apply="Yes",IF(COUNTIF('03 - 50% CD'!D128:G128,"Y")&gt;0,"Y",IF(COUNTIF('03 - 50% CD'!D128:G128,"N"),"N","")),"")</f>
        <v>N</v>
      </c>
      <c r="B128" s="191"/>
      <c r="C128" s="944"/>
      <c r="D128" s="463"/>
      <c r="E128" s="359" t="str">
        <f>IF('C-Design&amp;Const'!$O128="","",'C-Design&amp;Const'!$O128)</f>
        <v>N</v>
      </c>
      <c r="F128" s="235"/>
      <c r="G128" s="291"/>
      <c r="H128" s="358" t="str">
        <f>CONCATENATE(IF(E128="N","PLACEHOLDER ROW - ",""),IF(E128="N","",J128),'C-Design&amp;Const'!Z128,)</f>
        <v>PLACEHOLDER ROW - Soil Borings and Soils Report</v>
      </c>
      <c r="I128" s="184"/>
      <c r="J128" s="578" t="str">
        <f>IF('C-Design&amp;Const'!AH128="","",'C-Design&amp;Const'!AH128)</f>
        <v xml:space="preserve">(Complete) </v>
      </c>
      <c r="K128" s="285" t="str">
        <f>IF(CD50_apply="Yes",IF((COUNTIF(D128:G128,"Y")=COUNTIF('03 - 50% CD'!D128:G128,"Y")),"match","no 50% match"),"-")</f>
        <v>match</v>
      </c>
      <c r="L128" s="1410" t="str">
        <f t="shared" si="5"/>
        <v>&lt;---PM/Planner may hide PLACEHOLDER ROW</v>
      </c>
      <c r="M128" s="1382"/>
      <c r="N128" s="1382"/>
      <c r="O128" s="1382"/>
      <c r="P128" s="1382"/>
      <c r="Q128" s="1382"/>
      <c r="R128" s="1382"/>
      <c r="S128" s="1284"/>
      <c r="T128" s="1382"/>
      <c r="U128" s="1382"/>
      <c r="V128" s="1382"/>
      <c r="W128" s="1382"/>
      <c r="X128" s="1382"/>
      <c r="Y128" s="1382"/>
      <c r="Z128" s="1382"/>
      <c r="AA128" s="1382"/>
      <c r="AB128" s="1382"/>
      <c r="AC128" s="1382"/>
      <c r="AD128" s="1382"/>
      <c r="AE128" s="1382"/>
      <c r="AF128" s="1382"/>
      <c r="AG128" s="1382"/>
      <c r="AH128" s="1382"/>
      <c r="AI128" s="1382"/>
      <c r="AJ128" s="1382"/>
      <c r="AK128" s="181"/>
      <c r="AL128" s="181"/>
      <c r="AM128" s="181"/>
      <c r="AN128" s="181"/>
      <c r="AO128" s="181"/>
      <c r="AP128" s="181"/>
      <c r="AQ128" s="181"/>
      <c r="AR128" s="181"/>
      <c r="AS128" s="181"/>
      <c r="AT128" s="181"/>
      <c r="AU128" s="181"/>
      <c r="AV128" s="181"/>
      <c r="AW128" s="181"/>
    </row>
    <row r="129" spans="1:49" s="30" customFormat="1" ht="15" customHeight="1" x14ac:dyDescent="0.25">
      <c r="A129" s="1407" t="str">
        <f>IF(CD50_apply="Yes",IF(COUNTIF('03 - 50% CD'!D129:G129,"Y")&gt;0,"Y",IF(COUNTIF('03 - 50% CD'!D129:G129,"N"),"N","")),"")</f>
        <v>Y</v>
      </c>
      <c r="B129" s="191"/>
      <c r="C129" s="944"/>
      <c r="D129" s="463"/>
      <c r="E129" s="359" t="str">
        <f>IF('C-Design&amp;Const'!$O129="","",'C-Design&amp;Const'!$O129)</f>
        <v>Y</v>
      </c>
      <c r="F129" s="235"/>
      <c r="G129" s="291"/>
      <c r="H129" s="340" t="str">
        <f>CONCATENATE(IF(E129="N","PLACEHOLDER ROW - ",""),IF(E129="N","",J129),'C-Design&amp;Const'!Z129,)</f>
        <v>(Updates to) Stormwater Runoff Rate Calculation/Model Results and Water Detention</v>
      </c>
      <c r="I129" s="184"/>
      <c r="J129" s="578" t="str">
        <f>IF('C-Design&amp;Const'!AH129="","",'C-Design&amp;Const'!AH129)</f>
        <v xml:space="preserve">(Updates to) </v>
      </c>
      <c r="K129" s="285" t="str">
        <f>IF(CD50_apply="Yes",IF((COUNTIF(D129:G129,"Y")=COUNTIF('03 - 50% CD'!D129:G129,"Y")),"match","no 50% match"),"-")</f>
        <v>match</v>
      </c>
      <c r="L129" s="1410" t="str">
        <f t="shared" si="5"/>
        <v/>
      </c>
      <c r="M129" s="1382"/>
      <c r="N129" s="1382"/>
      <c r="O129" s="1382"/>
      <c r="P129" s="1382"/>
      <c r="Q129" s="1382"/>
      <c r="R129" s="1382"/>
      <c r="S129" s="1284"/>
      <c r="T129" s="1382"/>
      <c r="U129" s="1382"/>
      <c r="V129" s="1382"/>
      <c r="W129" s="1382"/>
      <c r="X129" s="1382"/>
      <c r="Y129" s="1382"/>
      <c r="Z129" s="1382"/>
      <c r="AA129" s="1382"/>
      <c r="AB129" s="1382"/>
      <c r="AC129" s="1382"/>
      <c r="AD129" s="1382"/>
      <c r="AE129" s="1382"/>
      <c r="AF129" s="1382"/>
      <c r="AG129" s="1382"/>
      <c r="AH129" s="1382"/>
      <c r="AI129" s="1382"/>
      <c r="AJ129" s="1382"/>
      <c r="AK129" s="181"/>
      <c r="AL129" s="181"/>
      <c r="AM129" s="181"/>
      <c r="AN129" s="181"/>
      <c r="AO129" s="181"/>
      <c r="AP129" s="181"/>
      <c r="AQ129" s="181"/>
      <c r="AR129" s="181"/>
      <c r="AS129" s="181"/>
      <c r="AT129" s="181"/>
      <c r="AU129" s="181"/>
      <c r="AV129" s="181"/>
      <c r="AW129" s="181"/>
    </row>
    <row r="130" spans="1:49" s="30" customFormat="1" ht="15" customHeight="1" x14ac:dyDescent="0.25">
      <c r="A130" s="1407" t="str">
        <f>IF(CD50_apply="Yes",IF(COUNTIF('03 - 50% CD'!D130:G130,"Y")&gt;0,"Y",IF(COUNTIF('03 - 50% CD'!D130:G130,"N"),"N","")),"")</f>
        <v>Y</v>
      </c>
      <c r="B130" s="191"/>
      <c r="C130" s="944"/>
      <c r="D130" s="463"/>
      <c r="E130" s="359" t="str">
        <f>IF('C-Design&amp;Const'!$O130="","",'C-Design&amp;Const'!$O130)</f>
        <v>Y</v>
      </c>
      <c r="F130" s="235"/>
      <c r="G130" s="291"/>
      <c r="H130" s="340" t="str">
        <f>CONCATENATE(IF(E130="N","PLACEHOLDER ROW - ",""),IF(E130="N","",J130),'C-Design&amp;Const'!Z130,)</f>
        <v>(Updates to) Asbestos and Lead Survey and Recommendations</v>
      </c>
      <c r="I130" s="184"/>
      <c r="J130" s="578" t="str">
        <f>IF('C-Design&amp;Const'!AH130="","",'C-Design&amp;Const'!AH130)</f>
        <v xml:space="preserve">(Updates to) </v>
      </c>
      <c r="K130" s="285" t="str">
        <f>IF(CD50_apply="Yes",IF((COUNTIF(D130:G130,"Y")=COUNTIF('03 - 50% CD'!D130:G130,"Y")),"match","no 50% match"),"-")</f>
        <v>match</v>
      </c>
      <c r="L130" s="1410" t="str">
        <f t="shared" si="5"/>
        <v/>
      </c>
      <c r="M130" s="1382"/>
      <c r="N130" s="1382"/>
      <c r="O130" s="1382"/>
      <c r="P130" s="1382"/>
      <c r="Q130" s="1382"/>
      <c r="R130" s="1382"/>
      <c r="S130" s="1284"/>
      <c r="T130" s="1382"/>
      <c r="U130" s="1382"/>
      <c r="V130" s="1382"/>
      <c r="W130" s="1382"/>
      <c r="X130" s="1382"/>
      <c r="Y130" s="1382"/>
      <c r="Z130" s="1382"/>
      <c r="AA130" s="1382"/>
      <c r="AB130" s="1382"/>
      <c r="AC130" s="1382"/>
      <c r="AD130" s="1382"/>
      <c r="AE130" s="1382"/>
      <c r="AF130" s="1382"/>
      <c r="AG130" s="1382"/>
      <c r="AH130" s="1382"/>
      <c r="AI130" s="1382"/>
      <c r="AJ130" s="1382"/>
      <c r="AK130" s="181"/>
      <c r="AL130" s="181"/>
      <c r="AM130" s="181"/>
      <c r="AN130" s="181"/>
      <c r="AO130" s="181"/>
      <c r="AP130" s="181"/>
      <c r="AQ130" s="181"/>
      <c r="AR130" s="181"/>
      <c r="AS130" s="181"/>
      <c r="AT130" s="181"/>
      <c r="AU130" s="181"/>
      <c r="AV130" s="181"/>
      <c r="AW130" s="181"/>
    </row>
    <row r="131" spans="1:49" s="30" customFormat="1" ht="18" hidden="1" customHeight="1" x14ac:dyDescent="0.25">
      <c r="A131" s="1407" t="str">
        <f>IF(CD50_apply="Yes",IF(COUNTIF('03 - 50% CD'!D131:G131,"Y")&gt;0,"Y",IF(COUNTIF('03 - 50% CD'!D131:G131,"N"),"N","")),"")</f>
        <v>N</v>
      </c>
      <c r="B131" s="191"/>
      <c r="C131" s="944"/>
      <c r="D131" s="463"/>
      <c r="E131" s="359" t="str">
        <f>IF('C-Design&amp;Const'!$O131="","",'C-Design&amp;Const'!$O131)</f>
        <v>N</v>
      </c>
      <c r="F131" s="235"/>
      <c r="G131" s="291"/>
      <c r="H131" s="358" t="str">
        <f>CONCATENATE(IF(E131="N","PLACEHOLDER ROW - ",""),IF(E131="N","",J131),'C-Design&amp;Const'!Z131,)</f>
        <v>PLACEHOLDER ROW - Results of Hazardous Materials Testing and Hazardous Materials Mediation Plan</v>
      </c>
      <c r="I131" s="184"/>
      <c r="J131" s="578" t="str">
        <f>IF('C-Design&amp;Const'!AH131="","",'C-Design&amp;Const'!AH131)</f>
        <v/>
      </c>
      <c r="K131" s="285" t="str">
        <f>IF(CD50_apply="Yes",IF((COUNTIF(D131:G131,"Y")=COUNTIF('03 - 50% CD'!D131:G131,"Y")),"match","no 50% match"),"-")</f>
        <v>match</v>
      </c>
      <c r="L131" s="1410" t="str">
        <f t="shared" si="5"/>
        <v>&lt;---PM/Planner may hide PLACEHOLDER ROW</v>
      </c>
      <c r="M131" s="1382"/>
      <c r="N131" s="1382"/>
      <c r="O131" s="1382"/>
      <c r="P131" s="1382"/>
      <c r="Q131" s="1382"/>
      <c r="R131" s="1382"/>
      <c r="S131" s="1284"/>
      <c r="T131" s="1382"/>
      <c r="U131" s="1382"/>
      <c r="V131" s="1382"/>
      <c r="W131" s="1382"/>
      <c r="X131" s="1382"/>
      <c r="Y131" s="1382"/>
      <c r="Z131" s="1382"/>
      <c r="AA131" s="1382"/>
      <c r="AB131" s="1382"/>
      <c r="AC131" s="1382"/>
      <c r="AD131" s="1382"/>
      <c r="AE131" s="1382"/>
      <c r="AF131" s="1382"/>
      <c r="AG131" s="1382"/>
      <c r="AH131" s="1382"/>
      <c r="AI131" s="1382"/>
      <c r="AJ131" s="1382"/>
      <c r="AK131" s="181"/>
      <c r="AL131" s="181"/>
      <c r="AM131" s="181"/>
      <c r="AN131" s="181"/>
      <c r="AO131" s="181"/>
      <c r="AP131" s="181"/>
      <c r="AQ131" s="181"/>
      <c r="AR131" s="181"/>
      <c r="AS131" s="181"/>
      <c r="AT131" s="181"/>
      <c r="AU131" s="181"/>
      <c r="AV131" s="181"/>
      <c r="AW131" s="181"/>
    </row>
    <row r="132" spans="1:49" s="30" customFormat="1" ht="15" hidden="1" customHeight="1" x14ac:dyDescent="0.25">
      <c r="A132" s="1407" t="str">
        <f>IF(CD50_apply="Yes",IF(COUNTIF('03 - 50% CD'!D132:G132,"Y")&gt;0,"Y",IF(COUNTIF('03 - 50% CD'!D132:G132,"N"),"N","")),"")</f>
        <v>N</v>
      </c>
      <c r="B132" s="191"/>
      <c r="C132" s="944"/>
      <c r="D132" s="463"/>
      <c r="E132" s="359" t="str">
        <f>IF('C-Design&amp;Const'!$O132="","",'C-Design&amp;Const'!$O132)</f>
        <v>N</v>
      </c>
      <c r="F132" s="235"/>
      <c r="G132" s="291"/>
      <c r="H132" s="358" t="str">
        <f>CONCATENATE(IF(E132="N","PLACEHOLDER ROW - ",""),IF(E132="N","",J132),'C-Design&amp;Const'!Z132,)</f>
        <v>PLACEHOLDER ROW - EPA &amp; State Permits (including but not limited to SWPPP)</v>
      </c>
      <c r="I132" s="184"/>
      <c r="J132" s="578" t="str">
        <f>IF('C-Design&amp;Const'!AH132="","",'C-Design&amp;Const'!AH132)</f>
        <v/>
      </c>
      <c r="K132" s="285" t="str">
        <f>IF(CD50_apply="Yes",IF((COUNTIF(D132:G132,"Y")=COUNTIF('03 - 50% CD'!D132:G132,"Y")),"match","no 50% match"),"-")</f>
        <v>match</v>
      </c>
      <c r="L132" s="1410" t="str">
        <f t="shared" si="5"/>
        <v>&lt;---PM/Planner may hide PLACEHOLDER ROW</v>
      </c>
      <c r="M132" s="1382"/>
      <c r="N132" s="1382"/>
      <c r="O132" s="1382"/>
      <c r="P132" s="1382"/>
      <c r="Q132" s="1382"/>
      <c r="R132" s="1382"/>
      <c r="S132" s="1284"/>
      <c r="T132" s="1382"/>
      <c r="U132" s="1382"/>
      <c r="V132" s="1382"/>
      <c r="W132" s="1382"/>
      <c r="X132" s="1382"/>
      <c r="Y132" s="1382"/>
      <c r="Z132" s="1382"/>
      <c r="AA132" s="1382"/>
      <c r="AB132" s="1382"/>
      <c r="AC132" s="1382"/>
      <c r="AD132" s="1382"/>
      <c r="AE132" s="1382"/>
      <c r="AF132" s="1382"/>
      <c r="AG132" s="1382"/>
      <c r="AH132" s="1382"/>
      <c r="AI132" s="1382"/>
      <c r="AJ132" s="1382"/>
      <c r="AK132" s="181"/>
      <c r="AL132" s="181"/>
      <c r="AM132" s="181"/>
      <c r="AN132" s="181"/>
      <c r="AO132" s="181"/>
      <c r="AP132" s="181"/>
      <c r="AQ132" s="181"/>
      <c r="AR132" s="181"/>
      <c r="AS132" s="181"/>
      <c r="AT132" s="181"/>
      <c r="AU132" s="181"/>
      <c r="AV132" s="181"/>
      <c r="AW132" s="181"/>
    </row>
    <row r="133" spans="1:49" s="30" customFormat="1" ht="15" customHeight="1" x14ac:dyDescent="0.25">
      <c r="A133" s="1407" t="str">
        <f>IF(CD50_apply="Yes",IF(COUNTIF('03 - 50% CD'!D133:G133,"Y")&gt;0,"Y",IF(COUNTIF('03 - 50% CD'!D133:G133,"N"),"N","")),"")</f>
        <v>Y</v>
      </c>
      <c r="B133" s="191"/>
      <c r="C133" s="944"/>
      <c r="D133" s="463"/>
      <c r="E133" s="359" t="str">
        <f>IF('C-Design&amp;Const'!$O133="","",'C-Design&amp;Const'!$O133)</f>
        <v>Y</v>
      </c>
      <c r="F133" s="235"/>
      <c r="G133" s="291"/>
      <c r="H133" s="340" t="str">
        <f>CONCATENATE(IF(E133="N","PLACEHOLDER ROW - ",""),IF(E133="N","",J133),'C-Design&amp;Const'!Z133,)</f>
        <v xml:space="preserve">(Final/Complete) Saftey &amp; Compliance / Environmental - Checklist   </v>
      </c>
      <c r="I133" s="184"/>
      <c r="J133" s="578" t="str">
        <f>IF('C-Design&amp;Const'!AH133="","",'C-Design&amp;Const'!AH133)</f>
        <v xml:space="preserve">(Final/Complete) </v>
      </c>
      <c r="K133" s="285" t="str">
        <f>IF(CD50_apply="Yes",IF((COUNTIF(D133:G133,"Y")=COUNTIF('03 - 50% CD'!D133:G133,"Y")),"match","no 50% match"),"-")</f>
        <v>match</v>
      </c>
      <c r="L133" s="1410" t="str">
        <f t="shared" si="5"/>
        <v/>
      </c>
      <c r="M133" s="1382"/>
      <c r="N133" s="1382"/>
      <c r="O133" s="1382"/>
      <c r="P133" s="1382"/>
      <c r="Q133" s="1382"/>
      <c r="R133" s="1382"/>
      <c r="S133" s="1284"/>
      <c r="T133" s="1382"/>
      <c r="U133" s="1382"/>
      <c r="V133" s="1382"/>
      <c r="W133" s="1382"/>
      <c r="X133" s="1382"/>
      <c r="Y133" s="1382"/>
      <c r="Z133" s="1382"/>
      <c r="AA133" s="1382"/>
      <c r="AB133" s="1382"/>
      <c r="AC133" s="1382"/>
      <c r="AD133" s="1382"/>
      <c r="AE133" s="1382"/>
      <c r="AF133" s="1382"/>
      <c r="AG133" s="1382"/>
      <c r="AH133" s="1382"/>
      <c r="AI133" s="1382"/>
      <c r="AJ133" s="1382"/>
      <c r="AK133" s="181"/>
      <c r="AL133" s="181"/>
      <c r="AM133" s="181"/>
      <c r="AN133" s="181"/>
      <c r="AO133" s="181"/>
      <c r="AP133" s="181"/>
      <c r="AQ133" s="181"/>
      <c r="AR133" s="181"/>
      <c r="AS133" s="181"/>
      <c r="AT133" s="181"/>
      <c r="AU133" s="181"/>
      <c r="AV133" s="181"/>
      <c r="AW133" s="181"/>
    </row>
    <row r="134" spans="1:49" s="545" customFormat="1" ht="15" customHeight="1" x14ac:dyDescent="0.25">
      <c r="A134" s="1407" t="str">
        <f>IF(CD50_apply="Yes",IF(COUNTIF('03 - 50% CD'!D134:G134,"Y")&gt;0,"Y",IF(COUNTIF('03 - 50% CD'!D134:G134,"N"),"N","")),"")</f>
        <v>Y</v>
      </c>
      <c r="B134" s="554"/>
      <c r="C134" s="944"/>
      <c r="D134" s="463"/>
      <c r="E134" s="359" t="str">
        <f>IF('C-Design&amp;Const'!$O134="","",'C-Design&amp;Const'!$O134)</f>
        <v>Y</v>
      </c>
      <c r="F134" s="235"/>
      <c r="G134" s="291"/>
      <c r="H134" s="340" t="str">
        <f>CONCATENATE(IF(E134="N","PLACEHOLDER ROW - ",""),IF(E134="N","",J134),'C-Design&amp;Const'!Z134,)</f>
        <v>(Substantially Complete) Excel files of all equipment schedules for all disciplines.</v>
      </c>
      <c r="I134" s="552"/>
      <c r="J134" s="578" t="str">
        <f>IF('C-Design&amp;Const'!AH134="","",'C-Design&amp;Const'!AH134)</f>
        <v xml:space="preserve">(Substantially Complete) </v>
      </c>
      <c r="K134" s="285" t="str">
        <f>IF(CD50_apply="Yes",IF((COUNTIF(D134:G134,"Y")=COUNTIF('03 - 50% CD'!D134:G134,"Y")),"match","no 50% match"),"-")</f>
        <v>match</v>
      </c>
      <c r="L134" s="1410" t="str">
        <f t="shared" ref="L134" si="9">CONCATENATE(IF(ISNUMBER(SEARCH("Placeholder",H134))=TRUE,"&lt;---PM/Planner may hide PLACEHOLDER ROW",""))</f>
        <v/>
      </c>
      <c r="M134" s="1382"/>
      <c r="N134" s="1382"/>
      <c r="O134" s="1382"/>
      <c r="P134" s="1382"/>
      <c r="Q134" s="1382"/>
      <c r="R134" s="1382"/>
      <c r="S134" s="1284"/>
      <c r="T134" s="1382"/>
      <c r="U134" s="1382"/>
      <c r="V134" s="1382"/>
      <c r="W134" s="1382"/>
      <c r="X134" s="1382"/>
      <c r="Y134" s="1382"/>
      <c r="Z134" s="1382"/>
      <c r="AA134" s="1382"/>
      <c r="AB134" s="1382"/>
      <c r="AC134" s="1382"/>
      <c r="AD134" s="1382"/>
      <c r="AE134" s="1382"/>
      <c r="AF134" s="1382"/>
      <c r="AG134" s="1382"/>
      <c r="AH134" s="1382"/>
      <c r="AI134" s="1382"/>
      <c r="AJ134" s="1382"/>
      <c r="AK134" s="551"/>
      <c r="AL134" s="551"/>
      <c r="AM134" s="551"/>
      <c r="AN134" s="551"/>
      <c r="AO134" s="551"/>
      <c r="AP134" s="551"/>
      <c r="AQ134" s="551"/>
      <c r="AR134" s="551"/>
      <c r="AS134" s="551"/>
      <c r="AT134" s="551"/>
      <c r="AU134" s="551"/>
      <c r="AV134" s="551"/>
      <c r="AW134" s="551"/>
    </row>
    <row r="135" spans="1:49" s="30" customFormat="1" ht="29.25" customHeight="1" x14ac:dyDescent="0.25">
      <c r="A135" s="1407" t="str">
        <f>IF(CD50_apply="Yes",IF(COUNTIF('03 - 50% CD'!D135:G135,"Y")&gt;0,"Y",IF(COUNTIF('03 - 50% CD'!D135:G135,"N"),"N","")),"")</f>
        <v>N</v>
      </c>
      <c r="B135" s="191"/>
      <c r="C135" s="944"/>
      <c r="D135" s="463"/>
      <c r="E135" s="359" t="str">
        <f>IF('C-Design&amp;Const'!$O135="","",'C-Design&amp;Const'!$O135)</f>
        <v>N</v>
      </c>
      <c r="F135" s="235"/>
      <c r="G135" s="291"/>
      <c r="H135" s="340" t="str">
        <f>CONCATENATE(IF(E135="N","PLACEHOLDER ROW - ",""),IF(E135="N","",J135),'C-Design&amp;Const'!Z135,)</f>
        <v>PLACEHOLDER ROW - Results of existing exterior envelope material tests or strengths (i.e. brick and mortar tests, pull tests of existing mechanical fasteners, etc…)</v>
      </c>
      <c r="I135" s="184"/>
      <c r="J135" s="578" t="str">
        <f>IF('C-Design&amp;Const'!AH135="","",'C-Design&amp;Const'!AH135)</f>
        <v/>
      </c>
      <c r="K135" s="285" t="str">
        <f>IF(CD50_apply="Yes",IF((COUNTIF(D135:G135,"Y")=COUNTIF('03 - 50% CD'!D135:G135,"Y")),"match","no 50% match"),"-")</f>
        <v>match</v>
      </c>
      <c r="L135" s="1410" t="str">
        <f t="shared" si="5"/>
        <v>&lt;---PM/Planner may hide PLACEHOLDER ROW</v>
      </c>
      <c r="M135" s="1382"/>
      <c r="N135" s="1382"/>
      <c r="O135" s="1382"/>
      <c r="P135" s="1382"/>
      <c r="Q135" s="1382"/>
      <c r="R135" s="1382"/>
      <c r="S135" s="1284"/>
      <c r="T135" s="1382"/>
      <c r="U135" s="1382"/>
      <c r="V135" s="1382"/>
      <c r="W135" s="1382"/>
      <c r="X135" s="1382"/>
      <c r="Y135" s="1382"/>
      <c r="Z135" s="1382"/>
      <c r="AA135" s="1382"/>
      <c r="AB135" s="1382"/>
      <c r="AC135" s="1382"/>
      <c r="AD135" s="1382"/>
      <c r="AE135" s="1382"/>
      <c r="AF135" s="1382"/>
      <c r="AG135" s="1382"/>
      <c r="AH135" s="1382"/>
      <c r="AI135" s="1382"/>
      <c r="AJ135" s="1382"/>
      <c r="AK135" s="181"/>
      <c r="AL135" s="181"/>
      <c r="AM135" s="181"/>
      <c r="AN135" s="181"/>
      <c r="AO135" s="181"/>
      <c r="AP135" s="181"/>
      <c r="AQ135" s="181"/>
      <c r="AR135" s="181"/>
      <c r="AS135" s="181"/>
      <c r="AT135" s="181"/>
      <c r="AU135" s="181"/>
      <c r="AV135" s="181"/>
      <c r="AW135" s="181"/>
    </row>
    <row r="136" spans="1:49" s="30" customFormat="1" ht="28.5" x14ac:dyDescent="0.25">
      <c r="A136" s="1407" t="str">
        <f>IF(CD50_apply="Yes",IF(COUNTIF('03 - 50% CD'!D136:G136,"Y")&gt;0,"Y",IF(COUNTIF('03 - 50% CD'!D136:G136,"N"),"N","")),"")</f>
        <v>N</v>
      </c>
      <c r="B136" s="191"/>
      <c r="C136" s="944"/>
      <c r="D136" s="321"/>
      <c r="E136" s="559" t="str">
        <f>IF('C-Design&amp;Const'!$O136="","",'C-Design&amp;Const'!$O136)</f>
        <v>N</v>
      </c>
      <c r="F136" s="560"/>
      <c r="G136" s="558"/>
      <c r="H136" s="340" t="str">
        <f>CONCATENATE(IF(E136="N","PLACEHOLDER ROW - ",""),IF(E136="N","",J136),'C-Design&amp;Const'!Z136,)</f>
        <v>PLACEHOLDER ROW - Results of any existing structural materials tests or verification / scans of structure layout.</v>
      </c>
      <c r="I136" s="186"/>
      <c r="J136" s="578" t="str">
        <f>IF('C-Design&amp;Const'!AH136="","",'C-Design&amp;Const'!AH136)</f>
        <v/>
      </c>
      <c r="K136" s="285" t="str">
        <f>IF(CD50_apply="Yes",IF((COUNTIF(D136:G136,"Y")=COUNTIF('03 - 50% CD'!D136:G136,"Y")),"match","no 50% match"),"-")</f>
        <v>match</v>
      </c>
      <c r="L136" s="1410" t="str">
        <f t="shared" si="5"/>
        <v>&lt;---PM/Planner may hide PLACEHOLDER ROW</v>
      </c>
      <c r="M136" s="1382"/>
      <c r="N136" s="1382"/>
      <c r="O136" s="1382"/>
      <c r="P136" s="1382"/>
      <c r="Q136" s="1382"/>
      <c r="R136" s="1490"/>
      <c r="S136" s="1284"/>
      <c r="T136" s="1382"/>
      <c r="U136" s="1382"/>
      <c r="V136" s="1382"/>
      <c r="W136" s="1382"/>
      <c r="X136" s="1382"/>
      <c r="Y136" s="1382"/>
      <c r="Z136" s="1382"/>
      <c r="AA136" s="1382"/>
      <c r="AB136" s="1382"/>
      <c r="AC136" s="1382"/>
      <c r="AD136" s="1382"/>
      <c r="AE136" s="1382"/>
      <c r="AF136" s="1382"/>
      <c r="AG136" s="1382"/>
      <c r="AH136" s="1382"/>
      <c r="AI136" s="1382"/>
      <c r="AJ136" s="1382"/>
      <c r="AK136" s="181"/>
      <c r="AL136" s="181"/>
      <c r="AM136" s="181"/>
      <c r="AN136" s="181"/>
      <c r="AO136" s="181"/>
      <c r="AP136" s="181"/>
      <c r="AQ136" s="181"/>
      <c r="AR136" s="181"/>
      <c r="AS136" s="181"/>
      <c r="AT136" s="181"/>
      <c r="AU136" s="181"/>
      <c r="AV136" s="181"/>
      <c r="AW136" s="181"/>
    </row>
    <row r="137" spans="1:49" s="30" customFormat="1" ht="24.75" customHeight="1" x14ac:dyDescent="0.25">
      <c r="A137" s="1407" t="str">
        <f>IF(CD50_apply="Yes",IF(COUNTIF('03 - 50% CD'!D137:G137,"Y")&gt;0,"Y",IF(COUNTIF('03 - 50% CD'!D137:G137,"N"),"N","")),"")</f>
        <v>Y</v>
      </c>
      <c r="B137" s="191"/>
      <c r="C137" s="944"/>
      <c r="D137" s="321"/>
      <c r="E137" s="559" t="str">
        <f>IF('C-Design&amp;Const'!$O137="","",'C-Design&amp;Const'!$O137)</f>
        <v>Y</v>
      </c>
      <c r="F137" s="560"/>
      <c r="G137" s="558"/>
      <c r="H137" s="340" t="str">
        <f>CONCATENATE(IF(E137="N","PLACEHOLDER ROW - ",""),IF(E137="N","",J137),'C-Design&amp;Const'!Z137,)</f>
        <v>(Complete) Summary of floor analysis for required strengthening (for new walls, materials, mechanical equipment change in use).</v>
      </c>
      <c r="I137" s="186"/>
      <c r="J137" s="578" t="str">
        <f>IF('C-Design&amp;Const'!AH137="","",'C-Design&amp;Const'!AH137)</f>
        <v xml:space="preserve">(Complete) </v>
      </c>
      <c r="K137" s="285" t="str">
        <f>IF(CD50_apply="Yes",IF((COUNTIF(D137:G137,"Y")=COUNTIF('03 - 50% CD'!D137:G137,"Y")),"match","no 50% match"),"-")</f>
        <v>match</v>
      </c>
      <c r="L137" s="1410" t="str">
        <f t="shared" si="5"/>
        <v/>
      </c>
      <c r="M137" s="1382"/>
      <c r="N137" s="1382"/>
      <c r="O137" s="1382"/>
      <c r="P137" s="1382"/>
      <c r="Q137" s="1382"/>
      <c r="R137" s="1490"/>
      <c r="S137" s="1284"/>
      <c r="T137" s="1382"/>
      <c r="U137" s="1382"/>
      <c r="V137" s="1382"/>
      <c r="W137" s="1382"/>
      <c r="X137" s="1382"/>
      <c r="Y137" s="1382"/>
      <c r="Z137" s="1382"/>
      <c r="AA137" s="1382"/>
      <c r="AB137" s="1382"/>
      <c r="AC137" s="1382"/>
      <c r="AD137" s="1382"/>
      <c r="AE137" s="1382"/>
      <c r="AF137" s="1382"/>
      <c r="AG137" s="1382"/>
      <c r="AH137" s="1382"/>
      <c r="AI137" s="1382"/>
      <c r="AJ137" s="1382"/>
      <c r="AK137" s="181"/>
      <c r="AL137" s="181"/>
      <c r="AM137" s="181"/>
      <c r="AN137" s="181"/>
      <c r="AO137" s="181"/>
      <c r="AP137" s="181"/>
      <c r="AQ137" s="181"/>
      <c r="AR137" s="181"/>
      <c r="AS137" s="181"/>
      <c r="AT137" s="181"/>
      <c r="AU137" s="181"/>
      <c r="AV137" s="181"/>
      <c r="AW137" s="181"/>
    </row>
    <row r="138" spans="1:49" s="30" customFormat="1" ht="28.5" x14ac:dyDescent="0.25">
      <c r="A138" s="1407" t="str">
        <f>IF(CD50_apply="Yes",IF(COUNTIF('03 - 50% CD'!D138:G138,"Y")&gt;0,"Y",IF(COUNTIF('03 - 50% CD'!D138:G138,"N"),"N","")),"")</f>
        <v>Y</v>
      </c>
      <c r="B138" s="191"/>
      <c r="C138" s="944"/>
      <c r="D138" s="321"/>
      <c r="E138" s="559" t="str">
        <f>IF('C-Design&amp;Const'!$O138="","",'C-Design&amp;Const'!$O138)</f>
        <v>Y</v>
      </c>
      <c r="F138" s="560"/>
      <c r="G138" s="558"/>
      <c r="H138" s="340" t="str">
        <f>CONCATENATE(IF(E138="N","PLACEHOLDER ROW - ",""),IF(E138="N","",J138),'C-Design&amp;Const'!Z138,)</f>
        <v>(Complete) Summary of lateral force resisting systems (for new tributary load or compromising of existing system).</v>
      </c>
      <c r="I138" s="186"/>
      <c r="J138" s="578" t="str">
        <f>IF('C-Design&amp;Const'!AH138="","",'C-Design&amp;Const'!AH138)</f>
        <v xml:space="preserve">(Complete) </v>
      </c>
      <c r="K138" s="285" t="str">
        <f>IF(CD50_apply="Yes",IF((COUNTIF(D138:G138,"Y")=COUNTIF('03 - 50% CD'!D138:G138,"Y")),"match","no 50% match"),"-")</f>
        <v>match</v>
      </c>
      <c r="L138" s="1410" t="str">
        <f t="shared" si="5"/>
        <v/>
      </c>
      <c r="M138" s="1382"/>
      <c r="N138" s="1382"/>
      <c r="O138" s="1382"/>
      <c r="P138" s="1382"/>
      <c r="Q138" s="1382"/>
      <c r="R138" s="1490"/>
      <c r="S138" s="1284"/>
      <c r="T138" s="1382"/>
      <c r="U138" s="1382"/>
      <c r="V138" s="1382"/>
      <c r="W138" s="1382"/>
      <c r="X138" s="1382"/>
      <c r="Y138" s="1382"/>
      <c r="Z138" s="1382"/>
      <c r="AA138" s="1382"/>
      <c r="AB138" s="1382"/>
      <c r="AC138" s="1382"/>
      <c r="AD138" s="1382"/>
      <c r="AE138" s="1382"/>
      <c r="AF138" s="1382"/>
      <c r="AG138" s="1382"/>
      <c r="AH138" s="1382"/>
      <c r="AI138" s="1382"/>
      <c r="AJ138" s="1382"/>
      <c r="AK138" s="181"/>
      <c r="AL138" s="181"/>
      <c r="AM138" s="181"/>
      <c r="AN138" s="181"/>
      <c r="AO138" s="181"/>
      <c r="AP138" s="181"/>
      <c r="AQ138" s="181"/>
      <c r="AR138" s="181"/>
      <c r="AS138" s="181"/>
      <c r="AT138" s="181"/>
      <c r="AU138" s="181"/>
      <c r="AV138" s="181"/>
      <c r="AW138" s="181"/>
    </row>
    <row r="139" spans="1:49" s="30" customFormat="1" x14ac:dyDescent="0.25">
      <c r="A139" s="1407" t="str">
        <f>IF(CD50_apply="Yes",IF(COUNTIF('03 - 50% CD'!D139:G139,"Y")&gt;0,"Y",IF(COUNTIF('03 - 50% CD'!D139:G139,"N"),"N","")),"")</f>
        <v>Y</v>
      </c>
      <c r="B139" s="191"/>
      <c r="C139" s="944"/>
      <c r="D139" s="321"/>
      <c r="E139" s="559" t="str">
        <f>IF('C-Design&amp;Const'!$O139="","",'C-Design&amp;Const'!$O139)</f>
        <v>Y</v>
      </c>
      <c r="F139" s="560"/>
      <c r="G139" s="558"/>
      <c r="H139" s="340" t="str">
        <f>CONCATENATE(IF(E139="N","PLACEHOLDER ROW - ",""),IF(E139="N","",J139),'C-Design&amp;Const'!Z139,)</f>
        <v xml:space="preserve"> (Updates to) LEED Version (v4) Prerequisites Narrative</v>
      </c>
      <c r="I139" s="186"/>
      <c r="J139" s="578" t="str">
        <f>IF('C-Design&amp;Const'!AH139="","",'C-Design&amp;Const'!AH139)</f>
        <v xml:space="preserve"> (Updates to) </v>
      </c>
      <c r="K139" s="285" t="str">
        <f>IF(CD50_apply="Yes",IF((COUNTIF(D139:G139,"Y")=COUNTIF('03 - 50% CD'!D139:G139,"Y")),"match","no 50% match"),"-")</f>
        <v>match</v>
      </c>
      <c r="L139" s="1410" t="str">
        <f t="shared" si="5"/>
        <v/>
      </c>
      <c r="M139" s="1382"/>
      <c r="N139" s="1382"/>
      <c r="O139" s="1382"/>
      <c r="P139" s="1382"/>
      <c r="Q139" s="1382"/>
      <c r="R139" s="1490"/>
      <c r="S139" s="1284"/>
      <c r="T139" s="1382"/>
      <c r="U139" s="1382"/>
      <c r="V139" s="1382"/>
      <c r="W139" s="1382"/>
      <c r="X139" s="1382"/>
      <c r="Y139" s="1382"/>
      <c r="Z139" s="1382"/>
      <c r="AA139" s="1382"/>
      <c r="AB139" s="1382"/>
      <c r="AC139" s="1382"/>
      <c r="AD139" s="1382"/>
      <c r="AE139" s="1382"/>
      <c r="AF139" s="1382"/>
      <c r="AG139" s="1382"/>
      <c r="AH139" s="1382"/>
      <c r="AI139" s="1382"/>
      <c r="AJ139" s="1382"/>
      <c r="AK139" s="181"/>
      <c r="AL139" s="181"/>
      <c r="AM139" s="181"/>
      <c r="AN139" s="181"/>
      <c r="AO139" s="181"/>
      <c r="AP139" s="181"/>
      <c r="AQ139" s="181"/>
      <c r="AR139" s="181"/>
      <c r="AS139" s="181"/>
      <c r="AT139" s="181"/>
      <c r="AU139" s="181"/>
      <c r="AV139" s="181"/>
      <c r="AW139" s="181"/>
    </row>
    <row r="140" spans="1:49" s="30" customFormat="1" ht="27.75" customHeight="1" x14ac:dyDescent="0.25">
      <c r="A140" s="1407" t="str">
        <f>IF(CD50_apply="Yes",IF(COUNTIF('03 - 50% CD'!D140:G140,"Y")&gt;0,"Y",IF(COUNTIF('03 - 50% CD'!D140:G140,"N"),"N","")),"")</f>
        <v>Y</v>
      </c>
      <c r="B140" s="191"/>
      <c r="C140" s="944"/>
      <c r="D140" s="321"/>
      <c r="E140" s="559" t="str">
        <f>IF('C-Design&amp;Const'!$O140="","",'C-Design&amp;Const'!$O140)</f>
        <v>Y</v>
      </c>
      <c r="F140" s="560"/>
      <c r="G140" s="558"/>
      <c r="H140" s="340" t="str">
        <f>CONCATENATE(IF(E140="N","PLACEHOLDER ROW - ",""),IF(E140="N","",J140),'C-Design&amp;Const'!Z140,)</f>
        <v>LEED Minimum Silver or better Registration (&gt;10,000 sqft and/or Capital Projects &gt;= $5million; Major renovations or New Construction)</v>
      </c>
      <c r="I140" s="186"/>
      <c r="J140" s="578" t="str">
        <f>IF('C-Design&amp;Const'!AH140="","",'C-Design&amp;Const'!AH140)</f>
        <v/>
      </c>
      <c r="K140" s="285" t="str">
        <f>IF(CD50_apply="Yes",IF((COUNTIF(D140:G140,"Y")=COUNTIF('03 - 50% CD'!D140:G140,"Y")),"match","no 50% match"),"-")</f>
        <v>match</v>
      </c>
      <c r="L140" s="1410" t="str">
        <f t="shared" si="5"/>
        <v/>
      </c>
      <c r="M140" s="1382"/>
      <c r="N140" s="1382"/>
      <c r="O140" s="1382"/>
      <c r="P140" s="1382"/>
      <c r="Q140" s="1382"/>
      <c r="R140" s="1490"/>
      <c r="S140" s="1284"/>
      <c r="T140" s="1382"/>
      <c r="U140" s="1382"/>
      <c r="V140" s="1382"/>
      <c r="W140" s="1382"/>
      <c r="X140" s="1382"/>
      <c r="Y140" s="1382"/>
      <c r="Z140" s="1382"/>
      <c r="AA140" s="1382"/>
      <c r="AB140" s="1382"/>
      <c r="AC140" s="1382"/>
      <c r="AD140" s="1382"/>
      <c r="AE140" s="1382"/>
      <c r="AF140" s="1382"/>
      <c r="AG140" s="1382"/>
      <c r="AH140" s="1382"/>
      <c r="AI140" s="1382"/>
      <c r="AJ140" s="1382"/>
      <c r="AK140" s="181"/>
      <c r="AL140" s="181"/>
      <c r="AM140" s="181"/>
      <c r="AN140" s="181"/>
      <c r="AO140" s="181"/>
      <c r="AP140" s="181"/>
      <c r="AQ140" s="181"/>
      <c r="AR140" s="181"/>
      <c r="AS140" s="181"/>
      <c r="AT140" s="181"/>
      <c r="AU140" s="181"/>
      <c r="AV140" s="181"/>
      <c r="AW140" s="181"/>
    </row>
    <row r="141" spans="1:49" s="30" customFormat="1" x14ac:dyDescent="0.25">
      <c r="A141" s="1407" t="str">
        <f>IF(CD50_apply="Yes",IF(COUNTIF('03 - 50% CD'!D141:G141,"Y")&gt;0,"Y",IF(COUNTIF('03 - 50% CD'!D141:G141,"N"),"N","")),"")</f>
        <v>Y</v>
      </c>
      <c r="B141" s="191"/>
      <c r="C141" s="944"/>
      <c r="D141" s="321"/>
      <c r="E141" s="559" t="str">
        <f>IF('C-Design&amp;Const'!$O141="","",'C-Design&amp;Const'!$O141)</f>
        <v>Y</v>
      </c>
      <c r="F141" s="560"/>
      <c r="G141" s="558"/>
      <c r="H141" s="340" t="str">
        <f>CONCATENATE(IF(E141="N","PLACEHOLDER ROW - ",""),IF(E141="N","",J141),'C-Design&amp;Const'!Z141,)</f>
        <v xml:space="preserve"> (Updates to) LEED Project Checklist - (previously referred to as LEED Scorecard) </v>
      </c>
      <c r="I141" s="186"/>
      <c r="J141" s="578" t="str">
        <f>IF('C-Design&amp;Const'!AH141="","",'C-Design&amp;Const'!AH141)</f>
        <v xml:space="preserve"> (Updates to) </v>
      </c>
      <c r="K141" s="285" t="str">
        <f>IF(CD50_apply="Yes",IF((COUNTIF(D141:G141,"Y")=COUNTIF('03 - 50% CD'!D141:G141,"Y")),"match","no 50% match"),"-")</f>
        <v>match</v>
      </c>
      <c r="L141" s="1410" t="str">
        <f t="shared" si="5"/>
        <v/>
      </c>
      <c r="M141" s="1382"/>
      <c r="N141" s="1382"/>
      <c r="O141" s="1382"/>
      <c r="P141" s="1382"/>
      <c r="Q141" s="1382"/>
      <c r="R141" s="1490"/>
      <c r="S141" s="1284"/>
      <c r="T141" s="1382"/>
      <c r="U141" s="1382"/>
      <c r="V141" s="1382"/>
      <c r="W141" s="1382"/>
      <c r="X141" s="1382"/>
      <c r="Y141" s="1382"/>
      <c r="Z141" s="1382"/>
      <c r="AA141" s="1382"/>
      <c r="AB141" s="1382"/>
      <c r="AC141" s="1382"/>
      <c r="AD141" s="1382"/>
      <c r="AE141" s="1382"/>
      <c r="AF141" s="1382"/>
      <c r="AG141" s="1382"/>
      <c r="AH141" s="1382"/>
      <c r="AI141" s="1382"/>
      <c r="AJ141" s="1382"/>
      <c r="AK141" s="181"/>
      <c r="AL141" s="181"/>
      <c r="AM141" s="181"/>
      <c r="AN141" s="181"/>
      <c r="AO141" s="181"/>
      <c r="AP141" s="181"/>
      <c r="AQ141" s="181"/>
      <c r="AR141" s="181"/>
      <c r="AS141" s="181"/>
      <c r="AT141" s="181"/>
      <c r="AU141" s="181"/>
      <c r="AV141" s="181"/>
      <c r="AW141" s="181"/>
    </row>
    <row r="142" spans="1:49" s="30" customFormat="1" x14ac:dyDescent="0.25">
      <c r="A142" s="1407" t="str">
        <f>IF(CD50_apply="Yes",IF(COUNTIF('03 - 50% CD'!D142:G142,"Y")&gt;0,"Y",IF(COUNTIF('03 - 50% CD'!D142:G142,"N"),"N","")),"")</f>
        <v>Y</v>
      </c>
      <c r="B142" s="191"/>
      <c r="C142" s="944"/>
      <c r="D142" s="321"/>
      <c r="E142" s="559" t="str">
        <f>IF('C-Design&amp;Const'!$O142="","",'C-Design&amp;Const'!$O142)</f>
        <v>Y</v>
      </c>
      <c r="F142" s="560"/>
      <c r="G142" s="558"/>
      <c r="H142" s="340" t="str">
        <f>CONCATENATE(IF(E142="N","PLACEHOLDER ROW - ",""),IF(E142="N","",J142),'C-Design&amp;Const'!Z142,)</f>
        <v xml:space="preserve"> (Complete) Energy Model (per ASHRAE 90.1, version from 2013  ) </v>
      </c>
      <c r="I142" s="186"/>
      <c r="J142" s="578" t="str">
        <f>IF('C-Design&amp;Const'!AH142="","",'C-Design&amp;Const'!AH142)</f>
        <v xml:space="preserve"> (Complete) </v>
      </c>
      <c r="K142" s="285" t="str">
        <f>IF(CD50_apply="Yes",IF((COUNTIF(D142:G142,"Y")=COUNTIF('03 - 50% CD'!D142:G142,"Y")),"match","no 50% match"),"-")</f>
        <v>match</v>
      </c>
      <c r="L142" s="1410" t="str">
        <f t="shared" si="5"/>
        <v/>
      </c>
      <c r="M142" s="1382"/>
      <c r="N142" s="1382"/>
      <c r="O142" s="1382"/>
      <c r="P142" s="1382"/>
      <c r="Q142" s="1382"/>
      <c r="R142" s="1490"/>
      <c r="S142" s="1284"/>
      <c r="T142" s="1382"/>
      <c r="U142" s="1382"/>
      <c r="V142" s="1382"/>
      <c r="W142" s="1382"/>
      <c r="X142" s="1382"/>
      <c r="Y142" s="1382"/>
      <c r="Z142" s="1382"/>
      <c r="AA142" s="1382"/>
      <c r="AB142" s="1382"/>
      <c r="AC142" s="1382"/>
      <c r="AD142" s="1382"/>
      <c r="AE142" s="1382"/>
      <c r="AF142" s="1382"/>
      <c r="AG142" s="1382"/>
      <c r="AH142" s="1382"/>
      <c r="AI142" s="1382"/>
      <c r="AJ142" s="1382"/>
      <c r="AK142" s="181"/>
      <c r="AL142" s="181"/>
      <c r="AM142" s="181"/>
      <c r="AN142" s="181"/>
      <c r="AO142" s="181"/>
      <c r="AP142" s="181"/>
      <c r="AQ142" s="181"/>
      <c r="AR142" s="181"/>
      <c r="AS142" s="181"/>
      <c r="AT142" s="181"/>
      <c r="AU142" s="181"/>
      <c r="AV142" s="181"/>
      <c r="AW142" s="181"/>
    </row>
    <row r="143" spans="1:49" s="30" customFormat="1" x14ac:dyDescent="0.25">
      <c r="A143" s="1407" t="str">
        <f>IF(CD50_apply="Yes",IF(COUNTIF('03 - 50% CD'!D143:G143,"Y")&gt;0,"Y",IF(COUNTIF('03 - 50% CD'!D143:G143,"N"),"N","")),"")</f>
        <v>Y</v>
      </c>
      <c r="B143" s="191"/>
      <c r="C143" s="944"/>
      <c r="D143" s="321"/>
      <c r="E143" s="559" t="str">
        <f>IF('C-Design&amp;Const'!$O143="","",'C-Design&amp;Const'!$O143)</f>
        <v>Y</v>
      </c>
      <c r="F143" s="560"/>
      <c r="G143" s="558"/>
      <c r="H143" s="340" t="str">
        <f>CONCATENATE(IF(E143="N","PLACEHOLDER ROW - ",""),IF(E143="N","",J143),'C-Design&amp;Const'!Z143,)</f>
        <v xml:space="preserve"> (Updates to) Life Cycle Cost Analysis for selected systems (for projects exceeding 25,000 SF)</v>
      </c>
      <c r="I143" s="186"/>
      <c r="J143" s="578" t="str">
        <f>IF('C-Design&amp;Const'!AH143="","",'C-Design&amp;Const'!AH143)</f>
        <v xml:space="preserve"> (Updates to) </v>
      </c>
      <c r="K143" s="285" t="str">
        <f>IF(CD50_apply="Yes",IF((COUNTIF(D143:G143,"Y")=COUNTIF('03 - 50% CD'!D143:G143,"Y")),"match","no 50% match"),"-")</f>
        <v>match</v>
      </c>
      <c r="L143" s="1410" t="str">
        <f t="shared" si="5"/>
        <v/>
      </c>
      <c r="M143" s="1382"/>
      <c r="N143" s="1382"/>
      <c r="O143" s="1382"/>
      <c r="P143" s="1382"/>
      <c r="Q143" s="1382"/>
      <c r="R143" s="1490"/>
      <c r="S143" s="1284"/>
      <c r="T143" s="1382"/>
      <c r="U143" s="1382"/>
      <c r="V143" s="1382"/>
      <c r="W143" s="1382"/>
      <c r="X143" s="1382"/>
      <c r="Y143" s="1382"/>
      <c r="Z143" s="1382"/>
      <c r="AA143" s="1382"/>
      <c r="AB143" s="1382"/>
      <c r="AC143" s="1382"/>
      <c r="AD143" s="1382"/>
      <c r="AE143" s="1382"/>
      <c r="AF143" s="1382"/>
      <c r="AG143" s="1382"/>
      <c r="AH143" s="1382"/>
      <c r="AI143" s="1382"/>
      <c r="AJ143" s="1382"/>
      <c r="AK143" s="181"/>
      <c r="AL143" s="181"/>
      <c r="AM143" s="181"/>
      <c r="AN143" s="181"/>
      <c r="AO143" s="181"/>
      <c r="AP143" s="181"/>
      <c r="AQ143" s="181"/>
      <c r="AR143" s="181"/>
      <c r="AS143" s="181"/>
      <c r="AT143" s="181"/>
      <c r="AU143" s="181"/>
      <c r="AV143" s="181"/>
      <c r="AW143" s="181"/>
    </row>
    <row r="144" spans="1:49" s="30" customFormat="1" x14ac:dyDescent="0.25">
      <c r="A144" s="1407" t="str">
        <f>IF(CD50_apply="Yes",IF(COUNTIF('03 - 50% CD'!D144:G144,"Y")&gt;0,"Y",IF(COUNTIF('03 - 50% CD'!D144:G144,"N"),"N","")),"")</f>
        <v>Y</v>
      </c>
      <c r="B144" s="191"/>
      <c r="C144" s="944"/>
      <c r="D144" s="321"/>
      <c r="E144" s="559" t="str">
        <f>IF('C-Design&amp;Const'!$O144="","",'C-Design&amp;Const'!$O144)</f>
        <v>Y</v>
      </c>
      <c r="F144" s="560"/>
      <c r="G144" s="558"/>
      <c r="H144" s="340" t="str">
        <f>CONCATENATE(IF(E144="N","PLACEHOLDER ROW - ",""),IF(E144="N","",J144),'C-Design&amp;Const'!Z144,)</f>
        <v xml:space="preserve"> (Updates to) Energy Budget </v>
      </c>
      <c r="I144" s="186"/>
      <c r="J144" s="578" t="str">
        <f>IF('C-Design&amp;Const'!AH144="","",'C-Design&amp;Const'!AH144)</f>
        <v xml:space="preserve"> (Updates to) </v>
      </c>
      <c r="K144" s="285" t="str">
        <f>IF(CD50_apply="Yes",IF((COUNTIF(D144:G144,"Y")=COUNTIF('03 - 50% CD'!D144:G144,"Y")),"match","no 50% match"),"-")</f>
        <v>match</v>
      </c>
      <c r="L144" s="1410" t="str">
        <f t="shared" si="5"/>
        <v/>
      </c>
      <c r="M144" s="1382"/>
      <c r="N144" s="1382"/>
      <c r="O144" s="1382"/>
      <c r="P144" s="1382"/>
      <c r="Q144" s="1382"/>
      <c r="R144" s="1490"/>
      <c r="S144" s="1284"/>
      <c r="T144" s="1382"/>
      <c r="U144" s="1382"/>
      <c r="V144" s="1382"/>
      <c r="W144" s="1382"/>
      <c r="X144" s="1382"/>
      <c r="Y144" s="1382"/>
      <c r="Z144" s="1382"/>
      <c r="AA144" s="1382"/>
      <c r="AB144" s="1382"/>
      <c r="AC144" s="1382"/>
      <c r="AD144" s="1382"/>
      <c r="AE144" s="1382"/>
      <c r="AF144" s="1382"/>
      <c r="AG144" s="1382"/>
      <c r="AH144" s="1382"/>
      <c r="AI144" s="1382"/>
      <c r="AJ144" s="1382"/>
      <c r="AK144" s="181"/>
      <c r="AL144" s="181"/>
      <c r="AM144" s="181"/>
      <c r="AN144" s="181"/>
      <c r="AO144" s="181"/>
      <c r="AP144" s="181"/>
      <c r="AQ144" s="181"/>
      <c r="AR144" s="181"/>
      <c r="AS144" s="181"/>
      <c r="AT144" s="181"/>
      <c r="AU144" s="181"/>
      <c r="AV144" s="181"/>
      <c r="AW144" s="181"/>
    </row>
    <row r="145" spans="1:49" s="30" customFormat="1" x14ac:dyDescent="0.25">
      <c r="A145" s="1407" t="str">
        <f>IF(CD50_apply="Yes",IF(COUNTIF('03 - 50% CD'!D145:G145,"Y")&gt;0,"Y",IF(COUNTIF('03 - 50% CD'!D145:G145,"N"),"N","")),"")</f>
        <v>N</v>
      </c>
      <c r="B145" s="191"/>
      <c r="C145" s="944"/>
      <c r="D145" s="321"/>
      <c r="E145" s="559" t="str">
        <f>IF('C-Design&amp;Const'!$O146="","",'C-Design&amp;Const'!$O146)</f>
        <v>N</v>
      </c>
      <c r="F145" s="560"/>
      <c r="G145" s="558"/>
      <c r="H145" s="358" t="str">
        <f>CONCATENATE(IF(E145="N","PLACEHOLDER ROW - ",""),IF(E145="N","",J145),'C-Design&amp;Const'!Z146,)</f>
        <v xml:space="preserve">PLACEHOLDER ROW - Chilled Water Capacity Charge form </v>
      </c>
      <c r="I145" s="186"/>
      <c r="J145" s="578" t="str">
        <f>IF('C-Design&amp;Const'!AH146="","",'C-Design&amp;Const'!AH146)</f>
        <v/>
      </c>
      <c r="K145" s="285" t="str">
        <f>IF(CD50_apply="Yes",IF((COUNTIF(D145:G145,"Y")=COUNTIF('03 - 50% CD'!D145:G145,"Y")),"match","no 50% match"),"-")</f>
        <v>match</v>
      </c>
      <c r="L145" s="1410" t="str">
        <f>CONCATENATE(IF(ISNUMBER(SEARCH("Placeholder",H145))=TRUE,"&lt;---PM/Planner may hide PLACEHOLDER ROW",""))</f>
        <v>&lt;---PM/Planner may hide PLACEHOLDER ROW</v>
      </c>
      <c r="M145" s="1382"/>
      <c r="N145" s="1382"/>
      <c r="O145" s="1382"/>
      <c r="P145" s="1382"/>
      <c r="Q145" s="1382"/>
      <c r="R145" s="1490"/>
      <c r="S145" s="1284"/>
      <c r="T145" s="1382"/>
      <c r="U145" s="1382"/>
      <c r="V145" s="1382"/>
      <c r="W145" s="1382"/>
      <c r="X145" s="1382"/>
      <c r="Y145" s="1382"/>
      <c r="Z145" s="1382"/>
      <c r="AA145" s="1382"/>
      <c r="AB145" s="1382"/>
      <c r="AC145" s="1382"/>
      <c r="AD145" s="1382"/>
      <c r="AE145" s="1382"/>
      <c r="AF145" s="1382"/>
      <c r="AG145" s="1382"/>
      <c r="AH145" s="1382"/>
      <c r="AI145" s="1382"/>
      <c r="AJ145" s="1382"/>
      <c r="AK145" s="181"/>
      <c r="AL145" s="181"/>
      <c r="AM145" s="181"/>
      <c r="AN145" s="181"/>
      <c r="AO145" s="181"/>
      <c r="AP145" s="181"/>
      <c r="AQ145" s="181"/>
      <c r="AR145" s="181"/>
      <c r="AS145" s="181"/>
      <c r="AT145" s="181"/>
      <c r="AU145" s="181"/>
      <c r="AV145" s="181"/>
      <c r="AW145" s="181"/>
    </row>
    <row r="146" spans="1:49" s="30" customFormat="1" x14ac:dyDescent="0.25">
      <c r="A146" s="1407" t="str">
        <f>IF(CD50_apply="Yes",IF(COUNTIF('03 - 50% CD'!D146:G146,"Y")&gt;0,"Y",IF(COUNTIF('03 - 50% CD'!D146:G146,"N"),"N","")),"")</f>
        <v>Y</v>
      </c>
      <c r="B146" s="191"/>
      <c r="C146" s="944"/>
      <c r="D146" s="321"/>
      <c r="E146" s="559" t="str">
        <f>IF('C-Design&amp;Const'!$O145="","",'C-Design&amp;Const'!$O145)</f>
        <v>Y</v>
      </c>
      <c r="F146" s="560"/>
      <c r="G146" s="558"/>
      <c r="H146" s="340" t="str">
        <f>CONCATENATE(IF(E146="N","PLACEHOLDER ROW - ",""),IF(E146="N","",J146),'C-Design&amp;Const'!Z145,)</f>
        <v xml:space="preserve"> (Updates to) Utilities Peak Load Estimates</v>
      </c>
      <c r="I146" s="186"/>
      <c r="J146" s="578" t="str">
        <f>IF('C-Design&amp;Const'!AH145="","",'C-Design&amp;Const'!AH145)</f>
        <v xml:space="preserve"> (Updates to) </v>
      </c>
      <c r="K146" s="285" t="str">
        <f>IF(CD50_apply="Yes",IF((COUNTIF(D146:G146,"Y")=COUNTIF('03 - 50% CD'!D146:G146,"Y")),"match","no 50% match"),"-")</f>
        <v>match</v>
      </c>
      <c r="L146" s="1410" t="str">
        <f t="shared" si="5"/>
        <v/>
      </c>
      <c r="M146" s="1382"/>
      <c r="N146" s="1382"/>
      <c r="O146" s="1382"/>
      <c r="P146" s="1382"/>
      <c r="Q146" s="1382"/>
      <c r="R146" s="1490"/>
      <c r="S146" s="1284"/>
      <c r="T146" s="1382"/>
      <c r="U146" s="1382"/>
      <c r="V146" s="1382"/>
      <c r="W146" s="1382"/>
      <c r="X146" s="1382"/>
      <c r="Y146" s="1382"/>
      <c r="Z146" s="1382"/>
      <c r="AA146" s="1382"/>
      <c r="AB146" s="1382"/>
      <c r="AC146" s="1382"/>
      <c r="AD146" s="1382"/>
      <c r="AE146" s="1382"/>
      <c r="AF146" s="1382"/>
      <c r="AG146" s="1382"/>
      <c r="AH146" s="1382"/>
      <c r="AI146" s="1382"/>
      <c r="AJ146" s="1382"/>
      <c r="AK146" s="181"/>
      <c r="AL146" s="181"/>
      <c r="AM146" s="181"/>
      <c r="AN146" s="181"/>
      <c r="AO146" s="181"/>
      <c r="AP146" s="181"/>
      <c r="AQ146" s="181"/>
      <c r="AR146" s="181"/>
      <c r="AS146" s="181"/>
      <c r="AT146" s="181"/>
      <c r="AU146" s="181"/>
      <c r="AV146" s="181"/>
      <c r="AW146" s="181"/>
    </row>
    <row r="147" spans="1:49" s="30" customFormat="1" x14ac:dyDescent="0.25">
      <c r="A147" s="1407" t="str">
        <f>IF(CD50_apply="Yes",IF(COUNTIF('03 - 50% CD'!D147:G147,"Y")&gt;0,"Y",IF(COUNTIF('03 - 50% CD'!D147:G147,"N"),"N","")),"")</f>
        <v>Y</v>
      </c>
      <c r="B147" s="191"/>
      <c r="C147" s="944"/>
      <c r="D147" s="321"/>
      <c r="E147" s="559" t="str">
        <f>IF('C-Design&amp;Const'!$O147="","",'C-Design&amp;Const'!$O147)</f>
        <v>Y</v>
      </c>
      <c r="F147" s="560"/>
      <c r="G147" s="558"/>
      <c r="H147" s="340" t="str">
        <f>CONCATENATE(IF(E147="N","PLACEHOLDER ROW - ",""),IF(E147="N","",J147),'C-Design&amp;Const'!Z147,)</f>
        <v xml:space="preserve">Energy Standards – proof of compliance </v>
      </c>
      <c r="I147" s="186"/>
      <c r="J147" s="578" t="str">
        <f>IF('C-Design&amp;Const'!AH147="","",'C-Design&amp;Const'!AH147)</f>
        <v/>
      </c>
      <c r="K147" s="285" t="str">
        <f>IF(CD50_apply="Yes",IF((COUNTIF(D147:G147,"Y")=COUNTIF('03 - 50% CD'!D147:G147,"Y")),"match","no 50% match"),"-")</f>
        <v>match</v>
      </c>
      <c r="L147" s="1410" t="str">
        <f t="shared" si="5"/>
        <v/>
      </c>
      <c r="M147" s="1382"/>
      <c r="N147" s="1382"/>
      <c r="O147" s="1382"/>
      <c r="P147" s="1382"/>
      <c r="Q147" s="1382"/>
      <c r="R147" s="1490"/>
      <c r="S147" s="1284"/>
      <c r="T147" s="1382"/>
      <c r="U147" s="1382"/>
      <c r="V147" s="1382"/>
      <c r="W147" s="1382"/>
      <c r="X147" s="1382"/>
      <c r="Y147" s="1382"/>
      <c r="Z147" s="1382"/>
      <c r="AA147" s="1382"/>
      <c r="AB147" s="1382"/>
      <c r="AC147" s="1382"/>
      <c r="AD147" s="1382"/>
      <c r="AE147" s="1382"/>
      <c r="AF147" s="1382"/>
      <c r="AG147" s="1382"/>
      <c r="AH147" s="1382"/>
      <c r="AI147" s="1382"/>
      <c r="AJ147" s="1382"/>
      <c r="AK147" s="181"/>
      <c r="AL147" s="181"/>
      <c r="AM147" s="181"/>
      <c r="AN147" s="181"/>
      <c r="AO147" s="181"/>
      <c r="AP147" s="181"/>
      <c r="AQ147" s="181"/>
      <c r="AR147" s="181"/>
      <c r="AS147" s="181"/>
      <c r="AT147" s="181"/>
      <c r="AU147" s="181"/>
      <c r="AV147" s="181"/>
      <c r="AW147" s="181"/>
    </row>
    <row r="148" spans="1:49" s="30" customFormat="1" x14ac:dyDescent="0.25">
      <c r="A148" s="1407" t="str">
        <f>IF(CD50_apply="Yes",IF(COUNTIF('03 - 50% CD'!D148:G148,"Y")&gt;0,"Y",IF(COUNTIF('03 - 50% CD'!D148:G148,"N"),"N","")),"")</f>
        <v>Y</v>
      </c>
      <c r="B148" s="191"/>
      <c r="C148" s="944"/>
      <c r="D148" s="321"/>
      <c r="E148" s="559" t="str">
        <f>IF('C-Design&amp;Const'!$O148="","",'C-Design&amp;Const'!$O148)</f>
        <v>Y</v>
      </c>
      <c r="F148" s="560"/>
      <c r="G148" s="558"/>
      <c r="H148" s="340" t="str">
        <f>CONCATENATE(IF(E148="N","PLACEHOLDER ROW - ",""),IF(E148="N","",J148),'C-Design&amp;Const'!Z148,)</f>
        <v xml:space="preserve">(Complete) Hydraulic Analysis for water and waste - ** calculations available upon request </v>
      </c>
      <c r="I148" s="186"/>
      <c r="J148" s="578" t="str">
        <f>IF('C-Design&amp;Const'!AH148="","",'C-Design&amp;Const'!AH148)</f>
        <v xml:space="preserve">(Complete) </v>
      </c>
      <c r="K148" s="285" t="str">
        <f>IF(CD50_apply="Yes",IF((COUNTIF(D148:G148,"Y")=COUNTIF('03 - 50% CD'!D148:G148,"Y")),"match","no 50% match"),"-")</f>
        <v>match</v>
      </c>
      <c r="L148" s="1410" t="str">
        <f t="shared" si="5"/>
        <v/>
      </c>
      <c r="M148" s="1382"/>
      <c r="N148" s="1382"/>
      <c r="O148" s="1382"/>
      <c r="P148" s="1382"/>
      <c r="Q148" s="1382"/>
      <c r="R148" s="1490"/>
      <c r="S148" s="1284"/>
      <c r="T148" s="1382"/>
      <c r="U148" s="1382"/>
      <c r="V148" s="1382"/>
      <c r="W148" s="1382"/>
      <c r="X148" s="1382"/>
      <c r="Y148" s="1382"/>
      <c r="Z148" s="1382"/>
      <c r="AA148" s="1382"/>
      <c r="AB148" s="1382"/>
      <c r="AC148" s="1382"/>
      <c r="AD148" s="1382"/>
      <c r="AE148" s="1382"/>
      <c r="AF148" s="1382"/>
      <c r="AG148" s="1382"/>
      <c r="AH148" s="1382"/>
      <c r="AI148" s="1382"/>
      <c r="AJ148" s="1382"/>
      <c r="AK148" s="181"/>
      <c r="AL148" s="181"/>
      <c r="AM148" s="181"/>
      <c r="AN148" s="181"/>
      <c r="AO148" s="181"/>
      <c r="AP148" s="181"/>
      <c r="AQ148" s="181"/>
      <c r="AR148" s="181"/>
      <c r="AS148" s="181"/>
      <c r="AT148" s="181"/>
      <c r="AU148" s="181"/>
      <c r="AV148" s="181"/>
      <c r="AW148" s="181"/>
    </row>
    <row r="149" spans="1:49" s="30" customFormat="1" x14ac:dyDescent="0.25">
      <c r="A149" s="1407" t="str">
        <f>IF(CD50_apply="Yes",IF(COUNTIF('03 - 50% CD'!D149:G149,"Y")&gt;0,"Y",IF(COUNTIF('03 - 50% CD'!D149:G149,"N"),"N","")),"")</f>
        <v>Y</v>
      </c>
      <c r="B149" s="191"/>
      <c r="C149" s="944"/>
      <c r="D149" s="321"/>
      <c r="E149" s="559" t="str">
        <f>IF('C-Design&amp;Const'!$O149="","",'C-Design&amp;Const'!$O149)</f>
        <v>Y</v>
      </c>
      <c r="F149" s="560"/>
      <c r="G149" s="558"/>
      <c r="H149" s="340" t="str">
        <f>CONCATENATE(IF(E149="N","PLACEHOLDER ROW - ",""),IF(E149="N","",J149),'C-Design&amp;Const'!Z149,)</f>
        <v xml:space="preserve">(Complete) Hydraulic Analysis for fire protection - ** calculations available upon request </v>
      </c>
      <c r="I149" s="186"/>
      <c r="J149" s="578" t="str">
        <f>IF('C-Design&amp;Const'!AH149="","",'C-Design&amp;Const'!AH149)</f>
        <v xml:space="preserve">(Complete) </v>
      </c>
      <c r="K149" s="285" t="str">
        <f>IF(CD50_apply="Yes",IF((COUNTIF(D149:G149,"Y")=COUNTIF('03 - 50% CD'!D149:G149,"Y")),"match","no 50% match"),"-")</f>
        <v>match</v>
      </c>
      <c r="L149" s="1410" t="str">
        <f t="shared" si="5"/>
        <v/>
      </c>
      <c r="M149" s="1382"/>
      <c r="N149" s="1382"/>
      <c r="O149" s="1382"/>
      <c r="P149" s="1382"/>
      <c r="Q149" s="1382"/>
      <c r="R149" s="1490"/>
      <c r="S149" s="1284"/>
      <c r="T149" s="1382"/>
      <c r="U149" s="1382"/>
      <c r="V149" s="1382"/>
      <c r="W149" s="1382"/>
      <c r="X149" s="1382"/>
      <c r="Y149" s="1382"/>
      <c r="Z149" s="1382"/>
      <c r="AA149" s="1382"/>
      <c r="AB149" s="1382"/>
      <c r="AC149" s="1382"/>
      <c r="AD149" s="1382"/>
      <c r="AE149" s="1382"/>
      <c r="AF149" s="1382"/>
      <c r="AG149" s="1382"/>
      <c r="AH149" s="1382"/>
      <c r="AI149" s="1382"/>
      <c r="AJ149" s="1382"/>
      <c r="AK149" s="181"/>
      <c r="AL149" s="181"/>
      <c r="AM149" s="181"/>
      <c r="AN149" s="181"/>
      <c r="AO149" s="181"/>
      <c r="AP149" s="181"/>
      <c r="AQ149" s="181"/>
      <c r="AR149" s="181"/>
      <c r="AS149" s="181"/>
      <c r="AT149" s="181"/>
      <c r="AU149" s="181"/>
      <c r="AV149" s="181"/>
      <c r="AW149" s="181"/>
    </row>
    <row r="150" spans="1:49" s="30" customFormat="1" hidden="1" x14ac:dyDescent="0.25">
      <c r="A150" s="1407" t="str">
        <f>IF(CD50_apply="Yes",IF(COUNTIF('03 - 50% CD'!D150:G150,"Y")&gt;0,"Y",IF(COUNTIF('03 - 50% CD'!D150:G150,"N"),"N","")),"")</f>
        <v>N</v>
      </c>
      <c r="B150" s="191"/>
      <c r="C150" s="944"/>
      <c r="D150" s="321"/>
      <c r="E150" s="559" t="str">
        <f>IF('C-Design&amp;Const'!$O150="","",'C-Design&amp;Const'!$O150)</f>
        <v>N</v>
      </c>
      <c r="F150" s="560"/>
      <c r="G150" s="558"/>
      <c r="H150" s="340" t="str">
        <f>CONCATENATE(IF(E150="N","PLACEHOLDER ROW - ",""),IF(E150="N","",J150),'C-Design&amp;Const'!Z150,)</f>
        <v>PLACEHOLDER ROW - Harmonic Analysis Report for VFDs (N/A till construction)</v>
      </c>
      <c r="I150" s="186"/>
      <c r="J150" s="578" t="str">
        <f>IF('C-Design&amp;Const'!AH150="","",'C-Design&amp;Const'!AH150)</f>
        <v/>
      </c>
      <c r="K150" s="285" t="str">
        <f>IF(CD50_apply="Yes",IF((COUNTIF(D150:G150,"Y")=COUNTIF('03 - 50% CD'!D150:G150,"Y")),"match","no 50% match"),"-")</f>
        <v>match</v>
      </c>
      <c r="L150" s="1410" t="str">
        <f t="shared" si="5"/>
        <v>&lt;---PM/Planner may hide PLACEHOLDER ROW</v>
      </c>
      <c r="M150" s="1382"/>
      <c r="N150" s="1382"/>
      <c r="O150" s="1382"/>
      <c r="P150" s="1382"/>
      <c r="Q150" s="1382"/>
      <c r="R150" s="1490"/>
      <c r="S150" s="1284"/>
      <c r="T150" s="1382"/>
      <c r="U150" s="1382"/>
      <c r="V150" s="1382"/>
      <c r="W150" s="1382"/>
      <c r="X150" s="1382"/>
      <c r="Y150" s="1382"/>
      <c r="Z150" s="1382"/>
      <c r="AA150" s="1382"/>
      <c r="AB150" s="1382"/>
      <c r="AC150" s="1382"/>
      <c r="AD150" s="1382"/>
      <c r="AE150" s="1382"/>
      <c r="AF150" s="1382"/>
      <c r="AG150" s="1382"/>
      <c r="AH150" s="1382"/>
      <c r="AI150" s="1382"/>
      <c r="AJ150" s="1382"/>
      <c r="AK150" s="181"/>
      <c r="AL150" s="181"/>
      <c r="AM150" s="181"/>
      <c r="AN150" s="181"/>
      <c r="AO150" s="181"/>
      <c r="AP150" s="181"/>
      <c r="AQ150" s="181"/>
      <c r="AR150" s="181"/>
      <c r="AS150" s="181"/>
      <c r="AT150" s="181"/>
      <c r="AU150" s="181"/>
      <c r="AV150" s="181"/>
      <c r="AW150" s="181"/>
    </row>
    <row r="151" spans="1:49" s="30" customFormat="1" ht="27" customHeight="1" x14ac:dyDescent="0.25">
      <c r="A151" s="1407" t="str">
        <f>IF(CD50_apply="Yes",IF(COUNTIF('03 - 50% CD'!D151:G151,"Y")&gt;0,"Y",IF(COUNTIF('03 - 50% CD'!D151:G151,"N"),"N","")),"")</f>
        <v>Y</v>
      </c>
      <c r="B151" s="191"/>
      <c r="C151" s="944"/>
      <c r="D151" s="321"/>
      <c r="E151" s="559" t="str">
        <f>IF('C-Design&amp;Const'!$O151="","",'C-Design&amp;Const'!$O151)</f>
        <v>Y</v>
      </c>
      <c r="F151" s="560"/>
      <c r="G151" s="558"/>
      <c r="H151" s="340" t="str">
        <f>CONCATENATE(IF(E151="N","PLACEHOLDER ROW - ",""),IF(E151="N","",J151),'C-Design&amp;Const'!Z151,)</f>
        <v xml:space="preserve">(Complete) Results of Emergency Generator Load Calculation - ** calculations available upon request </v>
      </c>
      <c r="I151" s="186"/>
      <c r="J151" s="578" t="str">
        <f>IF('C-Design&amp;Const'!AH151="","",'C-Design&amp;Const'!AH151)</f>
        <v xml:space="preserve">(Complete) </v>
      </c>
      <c r="K151" s="285" t="str">
        <f>IF(CD50_apply="Yes",IF((COUNTIF(D151:G151,"Y")=COUNTIF('03 - 50% CD'!D151:G151,"Y")),"match","no 50% match"),"-")</f>
        <v>match</v>
      </c>
      <c r="L151" s="1410" t="str">
        <f t="shared" si="5"/>
        <v/>
      </c>
      <c r="M151" s="1382"/>
      <c r="N151" s="1382"/>
      <c r="O151" s="1382"/>
      <c r="P151" s="1382"/>
      <c r="Q151" s="1382"/>
      <c r="R151" s="1490"/>
      <c r="S151" s="1284"/>
      <c r="T151" s="1382"/>
      <c r="U151" s="1382"/>
      <c r="V151" s="1382"/>
      <c r="W151" s="1382"/>
      <c r="X151" s="1382"/>
      <c r="Y151" s="1382"/>
      <c r="Z151" s="1382"/>
      <c r="AA151" s="1382"/>
      <c r="AB151" s="1382"/>
      <c r="AC151" s="1382"/>
      <c r="AD151" s="1382"/>
      <c r="AE151" s="1382"/>
      <c r="AF151" s="1382"/>
      <c r="AG151" s="1382"/>
      <c r="AH151" s="1382"/>
      <c r="AI151" s="1382"/>
      <c r="AJ151" s="1382"/>
      <c r="AK151" s="181"/>
      <c r="AL151" s="181"/>
      <c r="AM151" s="181"/>
      <c r="AN151" s="181"/>
      <c r="AO151" s="181"/>
      <c r="AP151" s="181"/>
      <c r="AQ151" s="181"/>
      <c r="AR151" s="181"/>
      <c r="AS151" s="181"/>
      <c r="AT151" s="181"/>
      <c r="AU151" s="181"/>
      <c r="AV151" s="181"/>
      <c r="AW151" s="181"/>
    </row>
    <row r="152" spans="1:49" s="30" customFormat="1" x14ac:dyDescent="0.25">
      <c r="A152" s="1407" t="str">
        <f>IF(CD50_apply="Yes",IF(COUNTIF('03 - 50% CD'!D152:G152,"Y")&gt;0,"Y",IF(COUNTIF('03 - 50% CD'!D152:G152,"N"),"N","")),"")</f>
        <v>N</v>
      </c>
      <c r="B152" s="191"/>
      <c r="C152" s="944"/>
      <c r="D152" s="321"/>
      <c r="E152" s="559" t="str">
        <f>IF('C-Design&amp;Const'!$O152="","",'C-Design&amp;Const'!$O152)</f>
        <v>N</v>
      </c>
      <c r="F152" s="560"/>
      <c r="G152" s="558"/>
      <c r="H152" s="340" t="str">
        <f>CONCATENATE(IF(E152="N","PLACEHOLDER ROW - ",""),IF(E152="N","",J152),'C-Design&amp;Const'!Z152,)</f>
        <v>PLACEHOLDER ROW - CUSTOM ROW - OPTIONAL CLIENT ITEM</v>
      </c>
      <c r="I152" s="186"/>
      <c r="J152" s="578" t="str">
        <f>IF('C-Design&amp;Const'!AH152="","",'C-Design&amp;Const'!AH152)</f>
        <v xml:space="preserve">(Complete) </v>
      </c>
      <c r="K152" s="285" t="str">
        <f>IF(CD50_apply="Yes",IF((COUNTIF(D152:G152,"Y")=COUNTIF('03 - 50% CD'!D152:G152,"Y")),"match","no 50% match"),"-")</f>
        <v>match</v>
      </c>
      <c r="L152" s="1410" t="str">
        <f t="shared" si="5"/>
        <v>&lt;---PM/Planner may hide PLACEHOLDER ROW</v>
      </c>
      <c r="M152" s="1382"/>
      <c r="N152" s="1382"/>
      <c r="O152" s="1382"/>
      <c r="P152" s="1382"/>
      <c r="Q152" s="1382"/>
      <c r="R152" s="1490"/>
      <c r="S152" s="1284"/>
      <c r="T152" s="1382"/>
      <c r="U152" s="1382"/>
      <c r="V152" s="1382"/>
      <c r="W152" s="1382"/>
      <c r="X152" s="1382"/>
      <c r="Y152" s="1382"/>
      <c r="Z152" s="1382"/>
      <c r="AA152" s="1382"/>
      <c r="AB152" s="1382"/>
      <c r="AC152" s="1382"/>
      <c r="AD152" s="1382"/>
      <c r="AE152" s="1382"/>
      <c r="AF152" s="1382"/>
      <c r="AG152" s="1382"/>
      <c r="AH152" s="1382"/>
      <c r="AI152" s="1382"/>
      <c r="AJ152" s="1382"/>
      <c r="AK152" s="181"/>
      <c r="AL152" s="181"/>
      <c r="AM152" s="181"/>
      <c r="AN152" s="181"/>
      <c r="AO152" s="181"/>
      <c r="AP152" s="181"/>
      <c r="AQ152" s="181"/>
      <c r="AR152" s="181"/>
      <c r="AS152" s="181"/>
      <c r="AT152" s="181"/>
      <c r="AU152" s="181"/>
      <c r="AV152" s="181"/>
      <c r="AW152" s="181"/>
    </row>
    <row r="153" spans="1:49" s="30" customFormat="1" x14ac:dyDescent="0.25">
      <c r="A153" s="1407" t="str">
        <f>IF(CD50_apply="Yes",IF(COUNTIF('03 - 50% CD'!D153:G153,"Y")&gt;0,"Y",IF(COUNTIF('03 - 50% CD'!D153:G153,"N"),"N","")),"")</f>
        <v>Y</v>
      </c>
      <c r="B153" s="191"/>
      <c r="C153" s="944"/>
      <c r="D153" s="321"/>
      <c r="E153" s="559" t="str">
        <f>IF('C-Design&amp;Const'!$O153="","",'C-Design&amp;Const'!$O153)</f>
        <v>Y</v>
      </c>
      <c r="F153" s="560"/>
      <c r="G153" s="558"/>
      <c r="H153" s="340" t="str">
        <f>CONCATENATE(IF(E153="N","PLACEHOLDER ROW - ",""),IF(E153="N","",J153),'C-Design&amp;Const'!Z153,)</f>
        <v xml:space="preserve">(Complete) Results of Transformer Load Calculation -** calculations available upon request </v>
      </c>
      <c r="I153" s="186"/>
      <c r="J153" s="578" t="str">
        <f>IF('C-Design&amp;Const'!AH153="","",'C-Design&amp;Const'!AH153)</f>
        <v xml:space="preserve">(Complete) </v>
      </c>
      <c r="K153" s="285" t="str">
        <f>IF(CD50_apply="Yes",IF((COUNTIF(D153:G153,"Y")=COUNTIF('03 - 50% CD'!D153:G153,"Y")),"match","no 50% match"),"-")</f>
        <v>match</v>
      </c>
      <c r="L153" s="1410" t="str">
        <f t="shared" si="5"/>
        <v/>
      </c>
      <c r="M153" s="1382"/>
      <c r="N153" s="1382"/>
      <c r="O153" s="1382"/>
      <c r="P153" s="1382"/>
      <c r="Q153" s="1382"/>
      <c r="R153" s="1490"/>
      <c r="S153" s="1284"/>
      <c r="T153" s="1382"/>
      <c r="U153" s="1382"/>
      <c r="V153" s="1382"/>
      <c r="W153" s="1382"/>
      <c r="X153" s="1382"/>
      <c r="Y153" s="1382"/>
      <c r="Z153" s="1382"/>
      <c r="AA153" s="1382"/>
      <c r="AB153" s="1382"/>
      <c r="AC153" s="1382"/>
      <c r="AD153" s="1382"/>
      <c r="AE153" s="1382"/>
      <c r="AF153" s="1382"/>
      <c r="AG153" s="1382"/>
      <c r="AH153" s="1382"/>
      <c r="AI153" s="1382"/>
      <c r="AJ153" s="1382"/>
      <c r="AK153" s="181"/>
      <c r="AL153" s="181"/>
      <c r="AM153" s="181"/>
      <c r="AN153" s="181"/>
      <c r="AO153" s="181"/>
      <c r="AP153" s="181"/>
      <c r="AQ153" s="181"/>
      <c r="AR153" s="181"/>
      <c r="AS153" s="181"/>
      <c r="AT153" s="181"/>
      <c r="AU153" s="181"/>
      <c r="AV153" s="181"/>
      <c r="AW153" s="181"/>
    </row>
    <row r="154" spans="1:49" s="30" customFormat="1" ht="27" customHeight="1" x14ac:dyDescent="0.25">
      <c r="A154" s="1407" t="str">
        <f>IF(CD50_apply="Yes",IF(COUNTIF('03 - 50% CD'!D154:G154,"Y")&gt;0,"Y",IF(COUNTIF('03 - 50% CD'!D154:G154,"N"),"N","")),"")</f>
        <v>Y</v>
      </c>
      <c r="B154" s="191"/>
      <c r="C154" s="944"/>
      <c r="D154" s="321"/>
      <c r="E154" s="559" t="str">
        <f>IF('C-Design&amp;Const'!$O154="","",'C-Design&amp;Const'!$O154)</f>
        <v>Y</v>
      </c>
      <c r="F154" s="560"/>
      <c r="G154" s="558"/>
      <c r="H154" s="340" t="str">
        <f>CONCATENATE(IF(E154="N","PLACEHOLDER ROW - ",""),IF(E154="N","",J154),'C-Design&amp;Const'!Z154,)</f>
        <v xml:space="preserve">(Complete) Results of Short-Circuit (Fault) Analysis of Building Electrical System- ** calculations available upon request </v>
      </c>
      <c r="I154" s="186"/>
      <c r="J154" s="578" t="str">
        <f>IF('C-Design&amp;Const'!AH154="","",'C-Design&amp;Const'!AH154)</f>
        <v xml:space="preserve">(Complete) </v>
      </c>
      <c r="K154" s="285" t="str">
        <f>IF(CD50_apply="Yes",IF((COUNTIF(D154:G154,"Y")=COUNTIF('03 - 50% CD'!D154:G154,"Y")),"match","no 50% match"),"-")</f>
        <v>match</v>
      </c>
      <c r="L154" s="1410" t="str">
        <f t="shared" si="5"/>
        <v/>
      </c>
      <c r="M154" s="1382"/>
      <c r="N154" s="1382"/>
      <c r="O154" s="1382"/>
      <c r="P154" s="1382"/>
      <c r="Q154" s="1382"/>
      <c r="R154" s="1490"/>
      <c r="S154" s="1284"/>
      <c r="T154" s="1382"/>
      <c r="U154" s="1382"/>
      <c r="V154" s="1382"/>
      <c r="W154" s="1382"/>
      <c r="X154" s="1382"/>
      <c r="Y154" s="1382"/>
      <c r="Z154" s="1382"/>
      <c r="AA154" s="1382"/>
      <c r="AB154" s="1382"/>
      <c r="AC154" s="1382"/>
      <c r="AD154" s="1382"/>
      <c r="AE154" s="1382"/>
      <c r="AF154" s="1382"/>
      <c r="AG154" s="1382"/>
      <c r="AH154" s="1382"/>
      <c r="AI154" s="1382"/>
      <c r="AJ154" s="1382"/>
      <c r="AK154" s="181"/>
      <c r="AL154" s="181"/>
      <c r="AM154" s="181"/>
      <c r="AN154" s="181"/>
      <c r="AO154" s="181"/>
      <c r="AP154" s="181"/>
      <c r="AQ154" s="181"/>
      <c r="AR154" s="181"/>
      <c r="AS154" s="181"/>
      <c r="AT154" s="181"/>
      <c r="AU154" s="181"/>
      <c r="AV154" s="181"/>
      <c r="AW154" s="181"/>
    </row>
    <row r="155" spans="1:49" s="30" customFormat="1" ht="15" customHeight="1" x14ac:dyDescent="0.25">
      <c r="A155" s="1407" t="str">
        <f>IF(CD50_apply="Yes",IF(COUNTIF('03 - 50% CD'!D155:G155,"Y")&gt;0,"Y",IF(COUNTIF('03 - 50% CD'!D155:G155,"N"),"N","")),"")</f>
        <v>Y</v>
      </c>
      <c r="B155" s="191"/>
      <c r="C155" s="944"/>
      <c r="D155" s="321"/>
      <c r="E155" s="559" t="str">
        <f>IF('C-Design&amp;Const'!$O155="","",'C-Design&amp;Const'!$O155)</f>
        <v>Y</v>
      </c>
      <c r="F155" s="560"/>
      <c r="G155" s="558"/>
      <c r="H155" s="340" t="str">
        <f>CONCATENATE(IF(E155="N","PLACEHOLDER ROW - ",""),IF(E155="N","",J155),'C-Design&amp;Const'!Z155,)</f>
        <v xml:space="preserve">(Complete) Extensions of Primary Electrical Distribution-** calculations available upon request </v>
      </c>
      <c r="I155" s="186"/>
      <c r="J155" s="578" t="str">
        <f>IF('C-Design&amp;Const'!AH155="","",'C-Design&amp;Const'!AH155)</f>
        <v xml:space="preserve">(Complete) </v>
      </c>
      <c r="K155" s="285" t="str">
        <f>IF(CD50_apply="Yes",IF((COUNTIF(D155:G155,"Y")=COUNTIF('03 - 50% CD'!D155:G155,"Y")),"match","no 50% match"),"-")</f>
        <v>match</v>
      </c>
      <c r="L155" s="1410" t="str">
        <f t="shared" si="5"/>
        <v/>
      </c>
      <c r="M155" s="1382"/>
      <c r="N155" s="1382"/>
      <c r="O155" s="1382"/>
      <c r="P155" s="1382"/>
      <c r="Q155" s="1382"/>
      <c r="R155" s="1490"/>
      <c r="S155" s="1284"/>
      <c r="T155" s="1382"/>
      <c r="U155" s="1382"/>
      <c r="V155" s="1382"/>
      <c r="W155" s="1382"/>
      <c r="X155" s="1382"/>
      <c r="Y155" s="1382"/>
      <c r="Z155" s="1382"/>
      <c r="AA155" s="1382"/>
      <c r="AB155" s="1382"/>
      <c r="AC155" s="1382"/>
      <c r="AD155" s="1382"/>
      <c r="AE155" s="1382"/>
      <c r="AF155" s="1382"/>
      <c r="AG155" s="1382"/>
      <c r="AH155" s="1382"/>
      <c r="AI155" s="1382"/>
      <c r="AJ155" s="1382"/>
      <c r="AK155" s="181"/>
      <c r="AL155" s="181"/>
      <c r="AM155" s="181"/>
      <c r="AN155" s="181"/>
      <c r="AO155" s="181"/>
      <c r="AP155" s="181"/>
      <c r="AQ155" s="181"/>
      <c r="AR155" s="181"/>
      <c r="AS155" s="181"/>
      <c r="AT155" s="181"/>
      <c r="AU155" s="181"/>
      <c r="AV155" s="181"/>
      <c r="AW155" s="181"/>
    </row>
    <row r="156" spans="1:49" s="30" customFormat="1" ht="39" customHeight="1" x14ac:dyDescent="0.25">
      <c r="A156" s="1407" t="str">
        <f>IF(CD50_apply="Yes",IF(COUNTIF('03 - 50% CD'!D156:G156,"Y")&gt;0,"Y",IF(COUNTIF('03 - 50% CD'!D156:G156,"N"),"N","")),"")</f>
        <v>Y</v>
      </c>
      <c r="B156" s="191"/>
      <c r="C156" s="944"/>
      <c r="D156" s="321"/>
      <c r="E156" s="559" t="str">
        <f>IF('C-Design&amp;Const'!$O156="","",'C-Design&amp;Const'!$O156)</f>
        <v>Y</v>
      </c>
      <c r="F156" s="560"/>
      <c r="G156" s="558"/>
      <c r="H156" s="340" t="str">
        <f>CONCATENATE(IF(E156="N","PLACEHOLDER ROW - ",""),IF(E156="N","",J156),'C-Design&amp;Const'!Z156,)</f>
        <v xml:space="preserve">(Complete) Results of Proposed Lighting Power Density Calculation (output from COMcheck software or similar) showing Compliance with Energy Codes and Standards -** calculations available upon request </v>
      </c>
      <c r="I156" s="186"/>
      <c r="J156" s="578" t="str">
        <f>IF('C-Design&amp;Const'!AH156="","",'C-Design&amp;Const'!AH156)</f>
        <v xml:space="preserve">(Complete) </v>
      </c>
      <c r="K156" s="285" t="str">
        <f>IF(CD50_apply="Yes",IF((COUNTIF(D156:G156,"Y")=COUNTIF('03 - 50% CD'!D156:G156,"Y")),"match","no 50% match"),"-")</f>
        <v>match</v>
      </c>
      <c r="L156" s="1410" t="str">
        <f t="shared" si="5"/>
        <v/>
      </c>
      <c r="M156" s="1382"/>
      <c r="N156" s="1382"/>
      <c r="O156" s="1382"/>
      <c r="P156" s="1382"/>
      <c r="Q156" s="1382"/>
      <c r="R156" s="1490"/>
      <c r="S156" s="1284"/>
      <c r="T156" s="1382"/>
      <c r="U156" s="1382"/>
      <c r="V156" s="1382"/>
      <c r="W156" s="1382"/>
      <c r="X156" s="1382"/>
      <c r="Y156" s="1382"/>
      <c r="Z156" s="1382"/>
      <c r="AA156" s="1382"/>
      <c r="AB156" s="1382"/>
      <c r="AC156" s="1382"/>
      <c r="AD156" s="1382"/>
      <c r="AE156" s="1382"/>
      <c r="AF156" s="1382"/>
      <c r="AG156" s="1382"/>
      <c r="AH156" s="1382"/>
      <c r="AI156" s="1382"/>
      <c r="AJ156" s="1382"/>
      <c r="AK156" s="181"/>
      <c r="AL156" s="181"/>
      <c r="AM156" s="181"/>
      <c r="AN156" s="181"/>
      <c r="AO156" s="181"/>
      <c r="AP156" s="181"/>
      <c r="AQ156" s="181"/>
      <c r="AR156" s="181"/>
      <c r="AS156" s="181"/>
      <c r="AT156" s="181"/>
      <c r="AU156" s="181"/>
      <c r="AV156" s="181"/>
      <c r="AW156" s="181"/>
    </row>
    <row r="157" spans="1:49" s="30" customFormat="1" ht="30.75" customHeight="1" x14ac:dyDescent="0.25">
      <c r="A157" s="1407" t="str">
        <f>IF(CD50_apply="Yes",IF(COUNTIF('03 - 50% CD'!D157:G157,"Y")&gt;0,"Y",IF(COUNTIF('03 - 50% CD'!D157:G157,"N"),"N","")),"")</f>
        <v>Y</v>
      </c>
      <c r="B157" s="191"/>
      <c r="C157" s="944"/>
      <c r="D157" s="321"/>
      <c r="E157" s="559" t="str">
        <f>IF('C-Design&amp;Const'!$O157="","",'C-Design&amp;Const'!$O157)</f>
        <v>Y</v>
      </c>
      <c r="F157" s="560"/>
      <c r="G157" s="558"/>
      <c r="H157" s="340" t="str">
        <f>CONCATENATE(IF(E157="N","PLACEHOLDER ROW - ",""),IF(E157="N","",J157),'C-Design&amp;Const'!Z157,)</f>
        <v>(Complete) Results of Point-by-Point Exterior Lighting Calculations Showing Compliance with IESNA Recommendations</v>
      </c>
      <c r="I157" s="186"/>
      <c r="J157" s="578" t="str">
        <f>IF('C-Design&amp;Const'!AH157="","",'C-Design&amp;Const'!AH157)</f>
        <v xml:space="preserve">(Complete) </v>
      </c>
      <c r="K157" s="285" t="str">
        <f>IF(CD50_apply="Yes",IF((COUNTIF(D157:G157,"Y")=COUNTIF('03 - 50% CD'!D157:G157,"Y")),"match","no 50% match"),"-")</f>
        <v>match</v>
      </c>
      <c r="L157" s="1410" t="str">
        <f t="shared" si="5"/>
        <v/>
      </c>
      <c r="M157" s="1382"/>
      <c r="N157" s="1382"/>
      <c r="O157" s="1382"/>
      <c r="P157" s="1382"/>
      <c r="Q157" s="1382"/>
      <c r="R157" s="1490"/>
      <c r="S157" s="1284"/>
      <c r="T157" s="1382"/>
      <c r="U157" s="1382"/>
      <c r="V157" s="1382"/>
      <c r="W157" s="1382"/>
      <c r="X157" s="1382"/>
      <c r="Y157" s="1382"/>
      <c r="Z157" s="1382"/>
      <c r="AA157" s="1382"/>
      <c r="AB157" s="1382"/>
      <c r="AC157" s="1382"/>
      <c r="AD157" s="1382"/>
      <c r="AE157" s="1382"/>
      <c r="AF157" s="1382"/>
      <c r="AG157" s="1382"/>
      <c r="AH157" s="1382"/>
      <c r="AI157" s="1382"/>
      <c r="AJ157" s="1382"/>
      <c r="AK157" s="181"/>
      <c r="AL157" s="181"/>
      <c r="AM157" s="181"/>
      <c r="AN157" s="181"/>
      <c r="AO157" s="181"/>
      <c r="AP157" s="181"/>
      <c r="AQ157" s="181"/>
      <c r="AR157" s="181"/>
      <c r="AS157" s="181"/>
      <c r="AT157" s="181"/>
      <c r="AU157" s="181"/>
      <c r="AV157" s="181"/>
      <c r="AW157" s="181"/>
    </row>
    <row r="158" spans="1:49" s="30" customFormat="1" x14ac:dyDescent="0.25">
      <c r="A158" s="1407" t="str">
        <f>IF(CD50_apply="Yes",IF(COUNTIF('03 - 50% CD'!D158:G158,"Y")&gt;0,"Y",IF(COUNTIF('03 - 50% CD'!D158:G158,"N"),"N","")),"")</f>
        <v>Y</v>
      </c>
      <c r="B158" s="191"/>
      <c r="C158" s="944"/>
      <c r="D158" s="321"/>
      <c r="E158" s="559" t="str">
        <f>IF('C-Design&amp;Const'!$O158="","",'C-Design&amp;Const'!$O158)</f>
        <v>Y</v>
      </c>
      <c r="F158" s="560"/>
      <c r="G158" s="558"/>
      <c r="H158" s="340" t="str">
        <f>CONCATENATE(IF(E158="N","PLACEHOLDER ROW - ",""),IF(E158="N","",J158),'C-Design&amp;Const'!Z158,)</f>
        <v>(Complete) Results of Point-by-Point Interior Lighting Calculations for Each Typical Space</v>
      </c>
      <c r="I158" s="186"/>
      <c r="J158" s="578" t="str">
        <f>IF('C-Design&amp;Const'!AH158="","",'C-Design&amp;Const'!AH158)</f>
        <v xml:space="preserve">(Complete) </v>
      </c>
      <c r="K158" s="285" t="str">
        <f>IF(CD50_apply="Yes",IF((COUNTIF(D158:G158,"Y")=COUNTIF('03 - 50% CD'!D158:G158,"Y")),"match","no 50% match"),"-")</f>
        <v>match</v>
      </c>
      <c r="L158" s="1410" t="str">
        <f t="shared" si="5"/>
        <v/>
      </c>
      <c r="M158" s="1382"/>
      <c r="N158" s="1382"/>
      <c r="O158" s="1382"/>
      <c r="P158" s="1382"/>
      <c r="Q158" s="1382"/>
      <c r="R158" s="1490"/>
      <c r="S158" s="1284"/>
      <c r="T158" s="1382"/>
      <c r="U158" s="1382"/>
      <c r="V158" s="1382"/>
      <c r="W158" s="1382"/>
      <c r="X158" s="1382"/>
      <c r="Y158" s="1382"/>
      <c r="Z158" s="1382"/>
      <c r="AA158" s="1382"/>
      <c r="AB158" s="1382"/>
      <c r="AC158" s="1382"/>
      <c r="AD158" s="1382"/>
      <c r="AE158" s="1382"/>
      <c r="AF158" s="1382"/>
      <c r="AG158" s="1382"/>
      <c r="AH158" s="1382"/>
      <c r="AI158" s="1382"/>
      <c r="AJ158" s="1382"/>
      <c r="AK158" s="181"/>
      <c r="AL158" s="181"/>
      <c r="AM158" s="181"/>
      <c r="AN158" s="181"/>
      <c r="AO158" s="181"/>
      <c r="AP158" s="181"/>
      <c r="AQ158" s="181"/>
      <c r="AR158" s="181"/>
      <c r="AS158" s="181"/>
      <c r="AT158" s="181"/>
      <c r="AU158" s="181"/>
      <c r="AV158" s="181"/>
      <c r="AW158" s="181"/>
    </row>
    <row r="159" spans="1:49" s="30" customFormat="1" x14ac:dyDescent="0.25">
      <c r="A159" s="1407" t="str">
        <f>IF(CD50_apply="Yes",IF(COUNTIF('03 - 50% CD'!D159:G159,"Y")&gt;0,"Y",IF(COUNTIF('03 - 50% CD'!D159:G159,"N"),"N","")),"")</f>
        <v>Y</v>
      </c>
      <c r="B159" s="191"/>
      <c r="C159" s="944"/>
      <c r="D159" s="321"/>
      <c r="E159" s="559" t="str">
        <f>IF('C-Design&amp;Const'!$O159="","",'C-Design&amp;Const'!$O159)</f>
        <v>Y</v>
      </c>
      <c r="F159" s="560"/>
      <c r="G159" s="558"/>
      <c r="H159" s="340" t="str">
        <f>CONCATENATE(IF(E159="N","PLACEHOLDER ROW - ",""),IF(E159="N","",J159),'C-Design&amp;Const'!Z159,)</f>
        <v xml:space="preserve">(Complete) Extensions of Primary Building Automation Systems </v>
      </c>
      <c r="I159" s="186"/>
      <c r="J159" s="578" t="str">
        <f>IF('C-Design&amp;Const'!AH159="","",'C-Design&amp;Const'!AH159)</f>
        <v xml:space="preserve">(Complete) </v>
      </c>
      <c r="K159" s="285" t="str">
        <f>IF(CD50_apply="Yes",IF((COUNTIF(D159:G159,"Y")=COUNTIF('03 - 50% CD'!D159:G159,"Y")),"match","no 50% match"),"-")</f>
        <v>match</v>
      </c>
      <c r="L159" s="1410" t="str">
        <f t="shared" si="5"/>
        <v/>
      </c>
      <c r="M159" s="1382"/>
      <c r="N159" s="1382"/>
      <c r="O159" s="1382"/>
      <c r="P159" s="1382"/>
      <c r="Q159" s="1382"/>
      <c r="R159" s="1490"/>
      <c r="S159" s="1284"/>
      <c r="T159" s="1382"/>
      <c r="U159" s="1382"/>
      <c r="V159" s="1382"/>
      <c r="W159" s="1382"/>
      <c r="X159" s="1382"/>
      <c r="Y159" s="1382"/>
      <c r="Z159" s="1382"/>
      <c r="AA159" s="1382"/>
      <c r="AB159" s="1382"/>
      <c r="AC159" s="1382"/>
      <c r="AD159" s="1382"/>
      <c r="AE159" s="1382"/>
      <c r="AF159" s="1382"/>
      <c r="AG159" s="1382"/>
      <c r="AH159" s="1382"/>
      <c r="AI159" s="1382"/>
      <c r="AJ159" s="1382"/>
      <c r="AK159" s="181"/>
      <c r="AL159" s="181"/>
      <c r="AM159" s="181"/>
      <c r="AN159" s="181"/>
      <c r="AO159" s="181"/>
      <c r="AP159" s="181"/>
      <c r="AQ159" s="181"/>
      <c r="AR159" s="181"/>
      <c r="AS159" s="181"/>
      <c r="AT159" s="181"/>
      <c r="AU159" s="181"/>
      <c r="AV159" s="181"/>
      <c r="AW159" s="181"/>
    </row>
    <row r="160" spans="1:49" s="30" customFormat="1" x14ac:dyDescent="0.25">
      <c r="A160" s="1407" t="str">
        <f>IF(CD50_apply="Yes",IF(COUNTIF('03 - 50% CD'!D160:G160,"Y")&gt;0,"Y",IF(COUNTIF('03 - 50% CD'!D160:G160,"N"),"N","")),"")</f>
        <v>Y</v>
      </c>
      <c r="B160" s="191"/>
      <c r="C160" s="944"/>
      <c r="D160" s="321"/>
      <c r="E160" s="559" t="str">
        <f>IF('C-Design&amp;Const'!$O160="","",'C-Design&amp;Const'!$O160)</f>
        <v>N</v>
      </c>
      <c r="F160" s="560"/>
      <c r="G160" s="558"/>
      <c r="H160" s="358" t="str">
        <f>CONCATENATE(IF(E160="N","PLACEHOLDER ROW - ",""),IF(E160="N","",J160),'C-Design&amp;Const'!Z160,)</f>
        <v>PLACEHOLDER ROW - IDNR Consultation (EcoCAT and results)</v>
      </c>
      <c r="I160" s="186"/>
      <c r="J160" s="578" t="str">
        <f>IF('C-Design&amp;Const'!AH160="","",'C-Design&amp;Const'!AH160)</f>
        <v xml:space="preserve">(IDNR Consultation Results &amp; if required, Consultant Response) </v>
      </c>
      <c r="K160" s="285" t="str">
        <f>IF(CD50_apply="Yes",IF((COUNTIF(D160:G160,"Y")=COUNTIF('03 - 50% CD'!D160:G160,"Y")),"match","no 50% match"),"-")</f>
        <v>no 50% match</v>
      </c>
      <c r="L160" s="1410" t="str">
        <f t="shared" si="5"/>
        <v>&lt;---PM/Planner may hide PLACEHOLDER ROW</v>
      </c>
      <c r="M160" s="1382"/>
      <c r="N160" s="1382"/>
      <c r="O160" s="1382"/>
      <c r="P160" s="1382"/>
      <c r="Q160" s="1382"/>
      <c r="R160" s="1490"/>
      <c r="S160" s="1284"/>
      <c r="T160" s="1382"/>
      <c r="U160" s="1382"/>
      <c r="V160" s="1382"/>
      <c r="W160" s="1382"/>
      <c r="X160" s="1382"/>
      <c r="Y160" s="1382"/>
      <c r="Z160" s="1382"/>
      <c r="AA160" s="1382"/>
      <c r="AB160" s="1382"/>
      <c r="AC160" s="1382"/>
      <c r="AD160" s="1382"/>
      <c r="AE160" s="1382"/>
      <c r="AF160" s="1382"/>
      <c r="AG160" s="1382"/>
      <c r="AH160" s="1382"/>
      <c r="AI160" s="1382"/>
      <c r="AJ160" s="1382"/>
      <c r="AK160" s="181"/>
      <c r="AL160" s="181"/>
      <c r="AM160" s="181"/>
      <c r="AN160" s="181"/>
      <c r="AO160" s="181"/>
      <c r="AP160" s="181"/>
      <c r="AQ160" s="181"/>
      <c r="AR160" s="181"/>
      <c r="AS160" s="181"/>
      <c r="AT160" s="181"/>
      <c r="AU160" s="181"/>
      <c r="AV160" s="181"/>
      <c r="AW160" s="181"/>
    </row>
    <row r="161" spans="1:50" s="30" customFormat="1" x14ac:dyDescent="0.25">
      <c r="A161" s="1407" t="str">
        <f>IF(CD50_apply="Yes",IF(COUNTIF('03 - 50% CD'!D161:G161,"Y")&gt;0,"Y",IF(COUNTIF('03 - 50% CD'!D161:G161,"N"),"N","")),"")</f>
        <v>N</v>
      </c>
      <c r="B161" s="191"/>
      <c r="C161" s="944"/>
      <c r="D161" s="321"/>
      <c r="E161" s="559" t="str">
        <f>IF('C-Design&amp;Const'!$O161="","",'C-Design&amp;Const'!$O161)</f>
        <v>N</v>
      </c>
      <c r="F161" s="560"/>
      <c r="G161" s="558"/>
      <c r="H161" s="358" t="str">
        <f>CONCATENATE(IF(E161="N","PLACEHOLDER ROW - ",""),IF(E161="N","",J161),'C-Design&amp;Const'!Z161,)</f>
        <v>PLACEHOLDER ROW - Results of Environmental Impact Assessments or Statements</v>
      </c>
      <c r="I161" s="186"/>
      <c r="J161" s="578" t="str">
        <f>IF('C-Design&amp;Const'!AH161="","",'C-Design&amp;Const'!AH161)</f>
        <v xml:space="preserve">(Complete) </v>
      </c>
      <c r="K161" s="285" t="str">
        <f>IF(CD50_apply="Yes",IF((COUNTIF(D161:G161,"Y")=COUNTIF('03 - 50% CD'!D161:G161,"Y")),"match","no 50% match"),"-")</f>
        <v>match</v>
      </c>
      <c r="L161" s="1410" t="str">
        <f t="shared" si="5"/>
        <v>&lt;---PM/Planner may hide PLACEHOLDER ROW</v>
      </c>
      <c r="M161" s="1382"/>
      <c r="N161" s="1382"/>
      <c r="O161" s="1382"/>
      <c r="P161" s="1382"/>
      <c r="Q161" s="1382"/>
      <c r="R161" s="1490"/>
      <c r="S161" s="1284"/>
      <c r="T161" s="1382"/>
      <c r="U161" s="1382"/>
      <c r="V161" s="1382"/>
      <c r="W161" s="1382"/>
      <c r="X161" s="1382"/>
      <c r="Y161" s="1382"/>
      <c r="Z161" s="1382"/>
      <c r="AA161" s="1382"/>
      <c r="AB161" s="1382"/>
      <c r="AC161" s="1382"/>
      <c r="AD161" s="1382"/>
      <c r="AE161" s="1382"/>
      <c r="AF161" s="1382"/>
      <c r="AG161" s="1382"/>
      <c r="AH161" s="1382"/>
      <c r="AI161" s="1382"/>
      <c r="AJ161" s="1382"/>
      <c r="AK161" s="181"/>
      <c r="AL161" s="181"/>
      <c r="AM161" s="181"/>
      <c r="AN161" s="181"/>
      <c r="AO161" s="181"/>
      <c r="AP161" s="181"/>
      <c r="AQ161" s="181"/>
      <c r="AR161" s="181"/>
      <c r="AS161" s="181"/>
      <c r="AT161" s="181"/>
      <c r="AU161" s="181"/>
      <c r="AV161" s="181"/>
      <c r="AW161" s="181"/>
    </row>
    <row r="162" spans="1:50" s="30" customFormat="1" x14ac:dyDescent="0.25">
      <c r="A162" s="1407" t="str">
        <f>IF(CD50_apply="Yes",IF(COUNTIF('03 - 50% CD'!D162:G162,"Y")&gt;0,"Y",IF(COUNTIF('03 - 50% CD'!D162:G162,"N"),"N","")),"")</f>
        <v>N</v>
      </c>
      <c r="B162" s="191"/>
      <c r="C162" s="944"/>
      <c r="D162" s="321"/>
      <c r="E162" s="559" t="str">
        <f>IF('C-Design&amp;Const'!$O162="","",'C-Design&amp;Const'!$O162)</f>
        <v>N</v>
      </c>
      <c r="F162" s="560"/>
      <c r="G162" s="558"/>
      <c r="H162" s="358" t="str">
        <f>CONCATENATE(IF(E162="N","PLACEHOLDER ROW - ",""),IF(E162="N","",J162),'C-Design&amp;Const'!Z162,)</f>
        <v>PLACEHOLDER ROW - Results of Archealogical Field Reports or Assessments</v>
      </c>
      <c r="I162" s="186"/>
      <c r="J162" s="578" t="str">
        <f>IF('C-Design&amp;Const'!AH162="","",'C-Design&amp;Const'!AH162)</f>
        <v xml:space="preserve">(Complete) </v>
      </c>
      <c r="K162" s="285" t="str">
        <f>IF(CD50_apply="Yes",IF((COUNTIF(D162:G162,"Y")=COUNTIF('03 - 50% CD'!D162:G162,"Y")),"match","no 50% match"),"-")</f>
        <v>match</v>
      </c>
      <c r="L162" s="1410" t="str">
        <f t="shared" si="5"/>
        <v>&lt;---PM/Planner may hide PLACEHOLDER ROW</v>
      </c>
      <c r="M162" s="1382"/>
      <c r="N162" s="1382"/>
      <c r="O162" s="1382"/>
      <c r="P162" s="1382"/>
      <c r="Q162" s="1382"/>
      <c r="R162" s="1490"/>
      <c r="S162" s="1284"/>
      <c r="T162" s="1382"/>
      <c r="U162" s="1382"/>
      <c r="V162" s="1382"/>
      <c r="W162" s="1382"/>
      <c r="X162" s="1382"/>
      <c r="Y162" s="1382"/>
      <c r="Z162" s="1382"/>
      <c r="AA162" s="1382"/>
      <c r="AB162" s="1382"/>
      <c r="AC162" s="1382"/>
      <c r="AD162" s="1382"/>
      <c r="AE162" s="1382"/>
      <c r="AF162" s="1382"/>
      <c r="AG162" s="1382"/>
      <c r="AH162" s="1382"/>
      <c r="AI162" s="1382"/>
      <c r="AJ162" s="1382"/>
      <c r="AK162" s="181"/>
      <c r="AL162" s="181"/>
      <c r="AM162" s="181"/>
      <c r="AN162" s="181"/>
      <c r="AO162" s="181"/>
      <c r="AP162" s="181"/>
      <c r="AQ162" s="181"/>
      <c r="AR162" s="181"/>
      <c r="AS162" s="181"/>
      <c r="AT162" s="181"/>
      <c r="AU162" s="181"/>
      <c r="AV162" s="181"/>
      <c r="AW162" s="181"/>
    </row>
    <row r="163" spans="1:50" s="30" customFormat="1" ht="15" customHeight="1" x14ac:dyDescent="0.25">
      <c r="A163" s="1407" t="str">
        <f>IF(CD50_apply="Yes",IF(COUNTIF('03 - 50% CD'!D163:G163,"Y")&gt;0,"Y",IF(COUNTIF('03 - 50% CD'!D163:G163,"N"),"N","")),"")</f>
        <v>N</v>
      </c>
      <c r="B163" s="191"/>
      <c r="C163" s="944"/>
      <c r="D163" s="463"/>
      <c r="E163" s="359" t="str">
        <f>IF('C-Design&amp;Const'!$O163="","",'C-Design&amp;Const'!$O163)</f>
        <v>N</v>
      </c>
      <c r="F163" s="235"/>
      <c r="G163" s="291"/>
      <c r="H163" s="358" t="str">
        <f>CONCATENATE(IF(E163="N","PLACEHOLDER ROW - ",""),IF(E163="N","",J163),'C-Design&amp;Const'!Z163,)</f>
        <v>PLACEHOLDER ROW - CUSTOM ROW - OPTIONAL CLIENT ITEM</v>
      </c>
      <c r="I163" s="184"/>
      <c r="J163" s="578" t="str">
        <f>IF('C-Design&amp;Const'!AH163="","",'C-Design&amp;Const'!AH163)</f>
        <v xml:space="preserve">(Complete) </v>
      </c>
      <c r="K163" s="285" t="str">
        <f>IF(CD50_apply="Yes",IF((COUNTIF(D163:G163,"Y")=COUNTIF('03 - 50% CD'!D163:G163,"Y")),"match","no 50% match"),"-")</f>
        <v>match</v>
      </c>
      <c r="L163" s="1410" t="str">
        <f t="shared" si="5"/>
        <v>&lt;---PM/Planner may hide PLACEHOLDER ROW</v>
      </c>
      <c r="M163" s="1382"/>
      <c r="N163" s="1382"/>
      <c r="O163" s="1382"/>
      <c r="P163" s="1382"/>
      <c r="Q163" s="1382"/>
      <c r="R163" s="1382"/>
      <c r="S163" s="1284"/>
      <c r="T163" s="1382"/>
      <c r="U163" s="1382"/>
      <c r="V163" s="1382"/>
      <c r="W163" s="1382"/>
      <c r="X163" s="1382"/>
      <c r="Y163" s="1382"/>
      <c r="Z163" s="1382"/>
      <c r="AA163" s="1382"/>
      <c r="AB163" s="1382"/>
      <c r="AC163" s="1382"/>
      <c r="AD163" s="1382"/>
      <c r="AE163" s="1382"/>
      <c r="AF163" s="1382"/>
      <c r="AG163" s="1382"/>
      <c r="AH163" s="1382"/>
      <c r="AI163" s="1382"/>
      <c r="AJ163" s="1382"/>
      <c r="AK163" s="181"/>
      <c r="AL163" s="181"/>
      <c r="AM163" s="181"/>
      <c r="AN163" s="181"/>
      <c r="AO163" s="181"/>
      <c r="AP163" s="181"/>
      <c r="AQ163" s="181"/>
      <c r="AR163" s="181"/>
      <c r="AS163" s="181"/>
      <c r="AT163" s="181"/>
      <c r="AU163" s="181"/>
      <c r="AV163" s="181"/>
      <c r="AW163" s="181"/>
    </row>
    <row r="164" spans="1:50" s="30" customFormat="1" ht="15" customHeight="1" x14ac:dyDescent="0.25">
      <c r="A164" s="1407" t="str">
        <f>IF(CD50_apply="Yes",IF(COUNTIF('03 - 50% CD'!D164:G164,"Y")&gt;0,"Y",IF(COUNTIF('03 - 50% CD'!D164:G164,"N"),"N","")),"")</f>
        <v>N</v>
      </c>
      <c r="B164" s="191"/>
      <c r="C164" s="944"/>
      <c r="D164" s="463"/>
      <c r="E164" s="359" t="str">
        <f>IF('C-Design&amp;Const'!$O164="","",'C-Design&amp;Const'!$O164)</f>
        <v>N</v>
      </c>
      <c r="F164" s="235"/>
      <c r="G164" s="291"/>
      <c r="H164" s="358" t="str">
        <f>CONCATENATE(IF(E164="N","PLACEHOLDER ROW - ",""),IF(E164="N","",J164),'C-Design&amp;Const'!Z164,)</f>
        <v>PLACEHOLDER ROW - CUSTOM ROW - OPTIONAL CLIENT ITEM</v>
      </c>
      <c r="I164" s="184"/>
      <c r="J164" s="578" t="str">
        <f>IF('C-Design&amp;Const'!AH164="","",'C-Design&amp;Const'!AH164)</f>
        <v xml:space="preserve">(Complete) </v>
      </c>
      <c r="K164" s="285" t="str">
        <f>IF(CD50_apply="Yes",IF((COUNTIF(D164:G164,"Y")=COUNTIF('03 - 50% CD'!D164:G164,"Y")),"match","no 50% match"),"-")</f>
        <v>match</v>
      </c>
      <c r="L164" s="1410" t="str">
        <f t="shared" si="5"/>
        <v>&lt;---PM/Planner may hide PLACEHOLDER ROW</v>
      </c>
      <c r="M164" s="1382"/>
      <c r="N164" s="1382"/>
      <c r="O164" s="1382"/>
      <c r="P164" s="1382"/>
      <c r="Q164" s="1382"/>
      <c r="R164" s="1382"/>
      <c r="S164" s="1284"/>
      <c r="T164" s="1382"/>
      <c r="U164" s="1382"/>
      <c r="V164" s="1382"/>
      <c r="W164" s="1382"/>
      <c r="X164" s="1382"/>
      <c r="Y164" s="1382"/>
      <c r="Z164" s="1382"/>
      <c r="AA164" s="1382"/>
      <c r="AB164" s="1382"/>
      <c r="AC164" s="1382"/>
      <c r="AD164" s="1382"/>
      <c r="AE164" s="1382"/>
      <c r="AF164" s="1382"/>
      <c r="AG164" s="1382"/>
      <c r="AH164" s="1382"/>
      <c r="AI164" s="1382"/>
      <c r="AJ164" s="1382"/>
      <c r="AK164" s="181"/>
      <c r="AL164" s="181"/>
      <c r="AM164" s="181"/>
      <c r="AN164" s="181"/>
      <c r="AO164" s="181"/>
      <c r="AP164" s="181"/>
      <c r="AQ164" s="181"/>
      <c r="AR164" s="181"/>
      <c r="AS164" s="181"/>
      <c r="AT164" s="181"/>
      <c r="AU164" s="181"/>
      <c r="AV164" s="181"/>
      <c r="AW164" s="181"/>
    </row>
    <row r="165" spans="1:50" s="30" customFormat="1" ht="15" customHeight="1" x14ac:dyDescent="0.25">
      <c r="A165" s="1407" t="str">
        <f>IF(CD50_apply="Yes",IF(COUNTIF('03 - 50% CD'!D165:G165,"Y")&gt;0,"Y",IF(COUNTIF('03 - 50% CD'!D165:G165,"N"),"N","")),"")</f>
        <v>N</v>
      </c>
      <c r="B165" s="191"/>
      <c r="C165" s="944"/>
      <c r="D165" s="463"/>
      <c r="E165" s="359" t="str">
        <f>IF('C-Design&amp;Const'!$O165="","",'C-Design&amp;Const'!$O165)</f>
        <v>N</v>
      </c>
      <c r="F165" s="235"/>
      <c r="G165" s="291"/>
      <c r="H165" s="358" t="str">
        <f>CONCATENATE(IF(E165="N","PLACEHOLDER ROW - ",""),IF(E165="N","",J165),'C-Design&amp;Const'!Z165,)</f>
        <v>PLACEHOLDER ROW - CUSTOM ROW - OPTIONAL CLIENT ITEM</v>
      </c>
      <c r="I165" s="184"/>
      <c r="J165" s="578" t="str">
        <f>IF('C-Design&amp;Const'!AH165="","",'C-Design&amp;Const'!AH165)</f>
        <v xml:space="preserve">(Complete) </v>
      </c>
      <c r="K165" s="285" t="str">
        <f>IF(CD50_apply="Yes",IF((COUNTIF(D165:G165,"Y")=COUNTIF('03 - 50% CD'!D165:G165,"Y")),"match","no 50% match"),"-")</f>
        <v>match</v>
      </c>
      <c r="L165" s="1410" t="str">
        <f t="shared" si="5"/>
        <v>&lt;---PM/Planner may hide PLACEHOLDER ROW</v>
      </c>
      <c r="M165" s="1382"/>
      <c r="N165" s="1382"/>
      <c r="O165" s="1382"/>
      <c r="P165" s="1382"/>
      <c r="Q165" s="1382"/>
      <c r="R165" s="1382"/>
      <c r="S165" s="1284"/>
      <c r="T165" s="1382"/>
      <c r="U165" s="1382"/>
      <c r="V165" s="1382"/>
      <c r="W165" s="1382"/>
      <c r="X165" s="1382"/>
      <c r="Y165" s="1382"/>
      <c r="Z165" s="1382"/>
      <c r="AA165" s="1382"/>
      <c r="AB165" s="1382"/>
      <c r="AC165" s="1382"/>
      <c r="AD165" s="1382"/>
      <c r="AE165" s="1382"/>
      <c r="AF165" s="1382"/>
      <c r="AG165" s="1382"/>
      <c r="AH165" s="1382"/>
      <c r="AI165" s="1382"/>
      <c r="AJ165" s="1382"/>
      <c r="AK165" s="181"/>
      <c r="AL165" s="181"/>
      <c r="AM165" s="181"/>
      <c r="AN165" s="181"/>
      <c r="AO165" s="181"/>
      <c r="AP165" s="181"/>
      <c r="AQ165" s="181"/>
      <c r="AR165" s="181"/>
      <c r="AS165" s="181"/>
      <c r="AT165" s="181"/>
      <c r="AU165" s="181"/>
      <c r="AV165" s="181"/>
      <c r="AW165" s="181"/>
    </row>
    <row r="166" spans="1:50" s="30" customFormat="1" ht="15" customHeight="1" x14ac:dyDescent="0.25">
      <c r="A166" s="1407" t="str">
        <f>IF(CD50_apply="Yes",IF(COUNTIF('03 - 50% CD'!D166:G166,"Y")&gt;0,"Y",IF(COUNTIF('03 - 50% CD'!D166:G166,"N"),"N","")),"")</f>
        <v>N</v>
      </c>
      <c r="B166" s="191"/>
      <c r="C166" s="944"/>
      <c r="D166" s="463"/>
      <c r="E166" s="359" t="str">
        <f>IF('C-Design&amp;Const'!$O166="","",'C-Design&amp;Const'!$O166)</f>
        <v>N</v>
      </c>
      <c r="F166" s="235"/>
      <c r="G166" s="291"/>
      <c r="H166" s="358" t="str">
        <f>CONCATENATE(IF(E166="N","PLACEHOLDER ROW - ",""),IF(E166="N","",J166),'C-Design&amp;Const'!Z166,)</f>
        <v>PLACEHOLDER ROW - CUSTOM ROW - OPTIONAL CLIENT ITEM</v>
      </c>
      <c r="I166" s="184"/>
      <c r="J166" s="578" t="str">
        <f>IF('C-Design&amp;Const'!AH166="","",'C-Design&amp;Const'!AH166)</f>
        <v xml:space="preserve">(Complete) </v>
      </c>
      <c r="K166" s="285" t="str">
        <f>IF(CD50_apply="Yes",IF((COUNTIF(D166:G166,"Y")=COUNTIF('03 - 50% CD'!D166:G166,"Y")),"match","no 50% match"),"-")</f>
        <v>match</v>
      </c>
      <c r="L166" s="1410" t="str">
        <f t="shared" si="5"/>
        <v>&lt;---PM/Planner may hide PLACEHOLDER ROW</v>
      </c>
      <c r="M166" s="1382"/>
      <c r="N166" s="1382"/>
      <c r="O166" s="1382"/>
      <c r="P166" s="1382"/>
      <c r="Q166" s="1382"/>
      <c r="R166" s="1382"/>
      <c r="S166" s="1284"/>
      <c r="T166" s="1382"/>
      <c r="U166" s="1382"/>
      <c r="V166" s="1382"/>
      <c r="W166" s="1382"/>
      <c r="X166" s="1382"/>
      <c r="Y166" s="1382"/>
      <c r="Z166" s="1382"/>
      <c r="AA166" s="1382"/>
      <c r="AB166" s="1382"/>
      <c r="AC166" s="1382"/>
      <c r="AD166" s="1382"/>
      <c r="AE166" s="1382"/>
      <c r="AF166" s="1382"/>
      <c r="AG166" s="1382"/>
      <c r="AH166" s="1382"/>
      <c r="AI166" s="1382"/>
      <c r="AJ166" s="1382"/>
      <c r="AK166" s="181"/>
      <c r="AL166" s="181"/>
      <c r="AM166" s="181"/>
      <c r="AN166" s="181"/>
      <c r="AO166" s="181"/>
      <c r="AP166" s="181"/>
      <c r="AQ166" s="181"/>
      <c r="AR166" s="181"/>
      <c r="AS166" s="181"/>
      <c r="AT166" s="181"/>
      <c r="AU166" s="181"/>
      <c r="AV166" s="181"/>
      <c r="AW166" s="181"/>
    </row>
    <row r="167" spans="1:50" s="17" customFormat="1" x14ac:dyDescent="0.25">
      <c r="A167" s="1516" t="str">
        <f>IF(CD50_apply="Yes",IF(COUNTIF('03 - 50% CD'!D167:G167,"Y")&gt;0,"Y",IF(COUNTIF('03 - 50% CD'!D167:G167,"N"),"N","")),"")</f>
        <v/>
      </c>
      <c r="B167" s="141"/>
      <c r="C167" s="944"/>
      <c r="D167" s="411"/>
      <c r="E167" s="411"/>
      <c r="F167" s="321"/>
      <c r="G167" s="294"/>
      <c r="H167" s="420" t="str">
        <f>CONCATENATE(IF(E167="N","PLACEHOLDER ROW - ",""),IF(E167="N","",J167),'C-Design&amp;Const'!Z167,)</f>
        <v/>
      </c>
      <c r="I167" s="130"/>
      <c r="J167" s="578" t="str">
        <f>IF('C-Design&amp;Const'!AH167="","",'C-Design&amp;Const'!AH167)</f>
        <v/>
      </c>
      <c r="K167" s="285" t="str">
        <f>IF(CD50_apply="Yes",IF((COUNTIF(D167:G167,"Y")=COUNTIF('03 - 50% CD'!D167:G167,"Y")),"match","no 50% match"),"-")</f>
        <v>match</v>
      </c>
      <c r="L167" s="1410" t="str">
        <f t="shared" si="5"/>
        <v/>
      </c>
      <c r="M167" s="1333"/>
      <c r="N167" s="1382"/>
      <c r="O167" s="1333"/>
      <c r="P167" s="1333"/>
      <c r="Q167" s="1333"/>
      <c r="R167" s="1446"/>
      <c r="S167" s="1284"/>
      <c r="T167" s="1382"/>
      <c r="U167" s="1382"/>
      <c r="V167" s="1333"/>
      <c r="W167" s="1333"/>
      <c r="X167" s="1333"/>
      <c r="Y167" s="1333"/>
      <c r="Z167" s="1333"/>
      <c r="AA167" s="1333"/>
      <c r="AB167" s="1333"/>
      <c r="AC167" s="1333"/>
      <c r="AD167" s="1333"/>
      <c r="AE167" s="1333"/>
      <c r="AF167" s="1333"/>
      <c r="AG167" s="1333"/>
      <c r="AH167" s="1333"/>
      <c r="AI167" s="1333"/>
      <c r="AJ167" s="1333"/>
    </row>
    <row r="168" spans="1:50" s="181" customFormat="1" ht="33.75" customHeight="1" x14ac:dyDescent="0.25">
      <c r="A168" s="1501" t="str">
        <f>IF(CD50_apply="Yes",IF(COUNTIF('03 - 50% CD'!D168:G168,"Y")&gt;0,"Y",IF(COUNTIF('03 - 50% CD'!D168:G168,"N"),"N","")),"")</f>
        <v>Y</v>
      </c>
      <c r="B168" s="177"/>
      <c r="C168" s="948"/>
      <c r="D168" s="559" t="str">
        <f>IF('C-Design&amp;Const'!$O168="","",'C-Design&amp;Const'!$O168)</f>
        <v>Y</v>
      </c>
      <c r="E168" s="234"/>
      <c r="F168" s="235"/>
      <c r="G168" s="291" t="str">
        <f>IF('C-Design&amp;Const'!Y168="","",'C-Design&amp;Const'!Y168)</f>
        <v>05a.</v>
      </c>
      <c r="H168" s="290" t="str">
        <f>(CONCATENATE('C-Design&amp;Const'!Z168,IF(D168="N"," Not Used In This Design Phase",J168)))</f>
        <v>Ext. &amp; Int. Finishes Binder(s)/Finishes Board(s)  - Updates - Including Bid Alts.</v>
      </c>
      <c r="I168" s="185"/>
      <c r="J168" s="578" t="str">
        <f>IF('C-Design&amp;Const'!AH168="","",'C-Design&amp;Const'!AH168)</f>
        <v xml:space="preserve"> - Updates - Including Bid Alts.</v>
      </c>
      <c r="K168" s="285" t="str">
        <f>IF(CD50_apply="Yes",IF((COUNTIF(D168:G168,"Y")=COUNTIF('03 - 50% CD'!D168:G168,"Y")),"match","no 50% match"),"-")</f>
        <v>match</v>
      </c>
      <c r="L168" s="1410" t="str">
        <f t="shared" si="5"/>
        <v/>
      </c>
      <c r="M168" s="1382"/>
      <c r="N168" s="1382"/>
      <c r="O168" s="1382"/>
      <c r="P168" s="1382"/>
      <c r="Q168" s="1382"/>
      <c r="R168" s="1447"/>
      <c r="S168" s="1284"/>
      <c r="T168" s="1382"/>
      <c r="U168" s="1382"/>
      <c r="V168" s="1382"/>
      <c r="W168" s="1382"/>
      <c r="X168" s="1382"/>
      <c r="Y168" s="1382"/>
      <c r="Z168" s="1382"/>
      <c r="AA168" s="1382"/>
      <c r="AB168" s="1382"/>
      <c r="AC168" s="1382"/>
      <c r="AD168" s="1382"/>
      <c r="AE168" s="1382"/>
      <c r="AF168" s="1382"/>
      <c r="AG168" s="1382"/>
      <c r="AH168" s="1382"/>
      <c r="AI168" s="1382"/>
      <c r="AJ168" s="1382"/>
    </row>
    <row r="169" spans="1:50" s="17" customFormat="1" ht="28.5" x14ac:dyDescent="0.25">
      <c r="A169" s="1510" t="str">
        <f>IF(CD50_apply="Yes",IF(COUNTIF('03 - 50% CD'!D169:G169,"Y")&gt;0,"Y",IF(COUNTIF('03 - 50% CD'!D169:G169,"N"),"N","")),"")</f>
        <v>Y</v>
      </c>
      <c r="B169" s="141"/>
      <c r="C169" s="944"/>
      <c r="D169" s="321"/>
      <c r="E169" s="559" t="str">
        <f>IF('C-Design&amp;Const'!$O169="","",'C-Design&amp;Const'!$O169)</f>
        <v>Y</v>
      </c>
      <c r="F169" s="560"/>
      <c r="G169" s="558"/>
      <c r="H169" s="238" t="str">
        <f>CONCATENATE(IF(E169="N","PLACEHOLDER ROW - ",""),IF(E169="N","",J169),'C-Design&amp;Const'!Z169,)</f>
        <v xml:space="preserve">(Complete) Product Samples of Floor Coverings, Wall Covering, Window Treatment, Ceiling Tile, etc... </v>
      </c>
      <c r="I169" s="136"/>
      <c r="J169" s="578" t="str">
        <f>IF('C-Design&amp;Const'!AH169="","",'C-Design&amp;Const'!AH169)</f>
        <v xml:space="preserve">(Complete) </v>
      </c>
      <c r="K169" s="285" t="str">
        <f>IF(CD50_apply="Yes",IF((COUNTIF(D169:G169,"Y")=COUNTIF('03 - 50% CD'!D169:G169,"Y")),"match","no 50% match"),"-")</f>
        <v>match</v>
      </c>
      <c r="L169" s="1410" t="str">
        <f t="shared" si="5"/>
        <v/>
      </c>
      <c r="M169" s="1333"/>
      <c r="N169" s="1333"/>
      <c r="O169" s="1333"/>
      <c r="P169" s="1333"/>
      <c r="Q169" s="1333"/>
      <c r="R169" s="1453"/>
      <c r="S169" s="1284"/>
      <c r="T169" s="1382"/>
      <c r="U169" s="1382"/>
      <c r="V169" s="1333"/>
      <c r="W169" s="1333"/>
      <c r="X169" s="1333"/>
      <c r="Y169" s="1333"/>
      <c r="Z169" s="1333"/>
      <c r="AA169" s="1333"/>
      <c r="AB169" s="1333"/>
      <c r="AC169" s="1333"/>
      <c r="AD169" s="1333"/>
      <c r="AE169" s="1333"/>
      <c r="AF169" s="1333"/>
      <c r="AG169" s="1333"/>
      <c r="AH169" s="1333"/>
      <c r="AI169" s="1333"/>
      <c r="AJ169" s="1333"/>
      <c r="AX169" s="542"/>
    </row>
    <row r="170" spans="1:50" s="17" customFormat="1" x14ac:dyDescent="0.25">
      <c r="A170" s="1510" t="str">
        <f>IF(CD50_apply="Yes",IF(COUNTIF('03 - 50% CD'!D170:G170,"Y")&gt;0,"Y",IF(COUNTIF('03 - 50% CD'!D170:G170,"N"),"N","")),"")</f>
        <v>Y</v>
      </c>
      <c r="B170" s="141"/>
      <c r="C170" s="944"/>
      <c r="D170" s="321"/>
      <c r="E170" s="559" t="str">
        <f>IF('C-Design&amp;Const'!$O170="","",'C-Design&amp;Const'!$O170)</f>
        <v>Y</v>
      </c>
      <c r="F170" s="478"/>
      <c r="G170" s="485"/>
      <c r="H170" s="238" t="str">
        <f>CONCATENATE(IF(E170="N","PLACEHOLDER ROW - ",""),IF(E170="N","",J170),'C-Design&amp;Const'!Z170,)</f>
        <v>(Complete) Paint selections and combinations</v>
      </c>
      <c r="I170" s="136"/>
      <c r="J170" s="578" t="str">
        <f>IF('C-Design&amp;Const'!AH170="","",'C-Design&amp;Const'!AH170)</f>
        <v xml:space="preserve">(Complete) </v>
      </c>
      <c r="K170" s="285" t="str">
        <f>IF(CD50_apply="Yes",IF((COUNTIF(D170:G170,"Y")=COUNTIF('03 - 50% CD'!D170:G170,"Y")),"match","no 50% match"),"-")</f>
        <v>match</v>
      </c>
      <c r="L170" s="1410" t="str">
        <f t="shared" si="5"/>
        <v/>
      </c>
      <c r="M170" s="1333"/>
      <c r="N170" s="1333"/>
      <c r="O170" s="1333"/>
      <c r="P170" s="1333"/>
      <c r="Q170" s="1333"/>
      <c r="R170" s="1453"/>
      <c r="S170" s="1284"/>
      <c r="T170" s="1382"/>
      <c r="U170" s="1382"/>
      <c r="V170" s="1333"/>
      <c r="W170" s="1333"/>
      <c r="X170" s="1333"/>
      <c r="Y170" s="1333"/>
      <c r="Z170" s="1333"/>
      <c r="AA170" s="1333"/>
      <c r="AB170" s="1333"/>
      <c r="AC170" s="1333"/>
      <c r="AD170" s="1333"/>
      <c r="AE170" s="1333"/>
      <c r="AF170" s="1333"/>
      <c r="AG170" s="1333"/>
      <c r="AH170" s="1333"/>
      <c r="AI170" s="1333"/>
      <c r="AJ170" s="1333"/>
      <c r="AX170" s="542"/>
    </row>
    <row r="171" spans="1:50" s="17" customFormat="1" ht="15" customHeight="1" x14ac:dyDescent="0.25">
      <c r="A171" s="1510" t="str">
        <f>IF(CD50_apply="Yes",IF(COUNTIF('03 - 50% CD'!D171:G171,"Y")&gt;0,"Y",IF(COUNTIF('03 - 50% CD'!D171:G171,"N"),"N","")),"")</f>
        <v>Y</v>
      </c>
      <c r="B171" s="141"/>
      <c r="C171" s="944"/>
      <c r="D171" s="296"/>
      <c r="E171" s="559" t="str">
        <f>IF('C-Design&amp;Const'!$O171="","",'C-Design&amp;Const'!$O171)</f>
        <v>Y</v>
      </c>
      <c r="F171" s="444"/>
      <c r="G171" s="94"/>
      <c r="H171" s="340" t="str">
        <f>CONCATENATE(IF(E171="N","PLACEHOLDER ROW - ",""),IF(E171="N","",J171),'C-Design&amp;Const'!Z171,)</f>
        <v>(revisions to) PSC contracted mock-ups to match existing brick</v>
      </c>
      <c r="I171" s="145"/>
      <c r="J171" s="578" t="str">
        <f>IF('C-Design&amp;Const'!AH171="","",'C-Design&amp;Const'!AH171)</f>
        <v xml:space="preserve">(revisions to) </v>
      </c>
      <c r="K171" s="285" t="str">
        <f>IF(CD50_apply="Yes",IF((COUNTIF(D171:G171,"Y")=COUNTIF('03 - 50% CD'!D171:G171,"Y")),"match","no 50% match"),"-")</f>
        <v>match</v>
      </c>
      <c r="L171" s="1410" t="str">
        <f t="shared" si="5"/>
        <v/>
      </c>
      <c r="M171" s="1333"/>
      <c r="N171" s="1333"/>
      <c r="O171" s="1333"/>
      <c r="P171" s="1333"/>
      <c r="Q171" s="1333"/>
      <c r="R171" s="1444"/>
      <c r="S171" s="1284"/>
      <c r="T171" s="1382"/>
      <c r="U171" s="1382"/>
      <c r="V171" s="1333"/>
      <c r="W171" s="1333"/>
      <c r="X171" s="1333"/>
      <c r="Y171" s="1333"/>
      <c r="Z171" s="1333"/>
      <c r="AA171" s="1333"/>
      <c r="AB171" s="1333"/>
      <c r="AC171" s="1333"/>
      <c r="AD171" s="1333"/>
      <c r="AE171" s="1333"/>
      <c r="AF171" s="1333"/>
      <c r="AG171" s="1333"/>
      <c r="AH171" s="1333"/>
      <c r="AI171" s="1333"/>
      <c r="AJ171" s="1333"/>
      <c r="AX171" s="542"/>
    </row>
    <row r="172" spans="1:50" s="545" customFormat="1" ht="15" customHeight="1" x14ac:dyDescent="0.25">
      <c r="A172" s="1407" t="str">
        <f>IF(CD50_apply="Yes",IF(COUNTIF('03 - 50% CD'!D172:G172,"Y")&gt;0,"Y",IF(COUNTIF('03 - 50% CD'!D172:G172,"N"),"N","")),"")</f>
        <v>N</v>
      </c>
      <c r="B172" s="554"/>
      <c r="C172" s="944"/>
      <c r="D172" s="463"/>
      <c r="E172" s="359" t="str">
        <f>IF('C-Design&amp;Const'!$O172="","",'C-Design&amp;Const'!$O172)</f>
        <v>N</v>
      </c>
      <c r="F172" s="235"/>
      <c r="G172" s="291"/>
      <c r="H172" s="340" t="str">
        <f>CONCATENATE(IF(E172="N","PLACEHOLDER ROW - ",""),IF(E172="N","",J172),'C-Design&amp;Const'!Z172,)</f>
        <v>PLACEHOLDER ROW - CUSTOM ROW - OPTIONAL CLIENT ITEM</v>
      </c>
      <c r="I172" s="552"/>
      <c r="J172" s="578" t="str">
        <f>IF('C-Design&amp;Const'!AH172="","",'C-Design&amp;Const'!AH172)</f>
        <v xml:space="preserve">(Complete) </v>
      </c>
      <c r="K172" s="285" t="str">
        <f>IF(CD50_apply="Yes",IF((COUNTIF(D172:G172,"Y")=COUNTIF('03 - 50% CD'!D172:G172,"Y")),"match","no 50% match"),"-")</f>
        <v>match</v>
      </c>
      <c r="L172" s="1410" t="str">
        <f t="shared" si="5"/>
        <v>&lt;---PM/Planner may hide PLACEHOLDER ROW</v>
      </c>
      <c r="M172" s="1382"/>
      <c r="N172" s="1333"/>
      <c r="O172" s="1382"/>
      <c r="P172" s="1382"/>
      <c r="Q172" s="1382"/>
      <c r="R172" s="1382"/>
      <c r="S172" s="1284"/>
      <c r="T172" s="1382"/>
      <c r="U172" s="1382"/>
      <c r="V172" s="1382"/>
      <c r="W172" s="1382"/>
      <c r="X172" s="1382"/>
      <c r="Y172" s="1382"/>
      <c r="Z172" s="1382"/>
      <c r="AA172" s="1382"/>
      <c r="AB172" s="1382"/>
      <c r="AC172" s="1382"/>
      <c r="AD172" s="1382"/>
      <c r="AE172" s="1382"/>
      <c r="AF172" s="1382"/>
      <c r="AG172" s="1382"/>
      <c r="AH172" s="1382"/>
      <c r="AI172" s="1382"/>
      <c r="AJ172" s="1382"/>
      <c r="AK172" s="551"/>
      <c r="AL172" s="551"/>
      <c r="AM172" s="551"/>
      <c r="AN172" s="551"/>
      <c r="AO172" s="551"/>
      <c r="AP172" s="551"/>
      <c r="AQ172" s="551"/>
      <c r="AR172" s="551"/>
      <c r="AS172" s="551"/>
      <c r="AT172" s="551"/>
      <c r="AU172" s="551"/>
      <c r="AV172" s="551"/>
      <c r="AW172" s="551"/>
    </row>
    <row r="173" spans="1:50" s="181" customFormat="1" ht="18.75" x14ac:dyDescent="0.25">
      <c r="A173" s="1501" t="str">
        <f>IF(CD50_apply="Yes",IF(COUNTIF('03 - 50% CD'!D173:G173,"Y")&gt;0,"Y",IF(COUNTIF('03 - 50% CD'!D173:G173,"N"),"N","")),"")</f>
        <v/>
      </c>
      <c r="B173" s="177"/>
      <c r="C173" s="944"/>
      <c r="D173" s="411"/>
      <c r="E173" s="411"/>
      <c r="F173" s="321"/>
      <c r="G173" s="294"/>
      <c r="H173" s="296"/>
      <c r="I173" s="185"/>
      <c r="J173" s="578" t="str">
        <f>IF('C-Design&amp;Const'!AH173="","",'C-Design&amp;Const'!AH173)</f>
        <v/>
      </c>
      <c r="K173" s="285" t="str">
        <f>IF(CD50_apply="Yes",IF((COUNTIF(D173:G173,"Y")=COUNTIF('03 - 50% CD'!D173:G173,"Y")),"match","no 50% match"),"-")</f>
        <v>match</v>
      </c>
      <c r="L173" s="1410" t="str">
        <f t="shared" si="5"/>
        <v/>
      </c>
      <c r="M173" s="1382"/>
      <c r="N173" s="1382"/>
      <c r="O173" s="1382"/>
      <c r="P173" s="1382"/>
      <c r="Q173" s="1382"/>
      <c r="R173" s="1447"/>
      <c r="S173" s="1284"/>
      <c r="T173" s="1382"/>
      <c r="U173" s="1382"/>
      <c r="V173" s="1382"/>
      <c r="W173" s="1382"/>
      <c r="X173" s="1382"/>
      <c r="Y173" s="1382"/>
      <c r="Z173" s="1382"/>
      <c r="AA173" s="1382"/>
      <c r="AB173" s="1382"/>
      <c r="AC173" s="1382"/>
      <c r="AD173" s="1382"/>
      <c r="AE173" s="1382"/>
      <c r="AF173" s="1382"/>
      <c r="AG173" s="1382"/>
      <c r="AH173" s="1382"/>
      <c r="AI173" s="1382"/>
      <c r="AJ173" s="1382"/>
    </row>
    <row r="174" spans="1:50" s="181" customFormat="1" ht="32.25" customHeight="1" x14ac:dyDescent="0.25">
      <c r="A174" s="1501" t="str">
        <f>IF(CD50_apply="Yes",IF(COUNTIF('03 - 50% CD'!D174:G174,"Y")&gt;0,"Y",IF(COUNTIF('03 - 50% CD'!D174:G174,"N"),"N","")),"")</f>
        <v>Y</v>
      </c>
      <c r="B174" s="177"/>
      <c r="C174" s="948"/>
      <c r="D174" s="559" t="str">
        <f>IF('C-Design&amp;Const'!$O174="","",'C-Design&amp;Const'!$O174)</f>
        <v>Y</v>
      </c>
      <c r="E174" s="234"/>
      <c r="F174" s="235"/>
      <c r="G174" s="291" t="str">
        <f>IF('C-Design&amp;Const'!Y174="","",'C-Design&amp;Const'!Y174)</f>
        <v>05b.</v>
      </c>
      <c r="H174" s="290" t="str">
        <f>(CONCATENATE('C-Design&amp;Const'!Z174,IF(D174="N"," Not Used In This Design Phase",J174)))</f>
        <v>Furnitures, Fixtures, and Equipment Binder(s) - Updates - Including Bid Alts.</v>
      </c>
      <c r="I174" s="185"/>
      <c r="J174" s="578" t="str">
        <f>IF('C-Design&amp;Const'!AH174="","",'C-Design&amp;Const'!AH174)</f>
        <v xml:space="preserve"> - Updates - Including Bid Alts.</v>
      </c>
      <c r="K174" s="285" t="str">
        <f>IF(CD50_apply="Yes",IF((COUNTIF(D174:G174,"Y")=COUNTIF('03 - 50% CD'!D174:G174,"Y")),"match","no 50% match"),"-")</f>
        <v>match</v>
      </c>
      <c r="L174" s="1410" t="str">
        <f t="shared" si="5"/>
        <v/>
      </c>
      <c r="M174" s="1382"/>
      <c r="N174" s="1382"/>
      <c r="O174" s="1382"/>
      <c r="P174" s="1382"/>
      <c r="Q174" s="1382"/>
      <c r="R174" s="1447"/>
      <c r="S174" s="1284"/>
      <c r="T174" s="1382"/>
      <c r="U174" s="1382"/>
      <c r="V174" s="1382"/>
      <c r="W174" s="1382"/>
      <c r="X174" s="1382"/>
      <c r="Y174" s="1382"/>
      <c r="Z174" s="1382"/>
      <c r="AA174" s="1382"/>
      <c r="AB174" s="1382"/>
      <c r="AC174" s="1382"/>
      <c r="AD174" s="1382"/>
      <c r="AE174" s="1382"/>
      <c r="AF174" s="1382"/>
      <c r="AG174" s="1382"/>
      <c r="AH174" s="1382"/>
      <c r="AI174" s="1382"/>
      <c r="AJ174" s="1382"/>
    </row>
    <row r="175" spans="1:50" s="17" customFormat="1" x14ac:dyDescent="0.25">
      <c r="A175" s="1510" t="str">
        <f>IF(CD50_apply="Yes",IF(COUNTIF('03 - 50% CD'!D175:G175,"Y")&gt;0,"Y",IF(COUNTIF('03 - 50% CD'!D175:G175,"N"),"N","")),"")</f>
        <v>Y</v>
      </c>
      <c r="B175" s="141"/>
      <c r="C175" s="944"/>
      <c r="D175" s="321"/>
      <c r="E175" s="559" t="str">
        <f>IF('C-Design&amp;Const'!$O175="","",'C-Design&amp;Const'!$O175)</f>
        <v>Y</v>
      </c>
      <c r="F175" s="560"/>
      <c r="G175" s="558"/>
      <c r="H175" s="238" t="str">
        <f>CONCATENATE(IF(E175="N","PLACEHOLDER ROW - ",""),IF(E175="N","",J175),'C-Design&amp;Const'!Z175,)</f>
        <v>(Complete) Cut Sheets</v>
      </c>
      <c r="I175" s="136"/>
      <c r="J175" s="578" t="str">
        <f>IF('C-Design&amp;Const'!AH175="","",'C-Design&amp;Const'!AH175)</f>
        <v xml:space="preserve">(Complete) </v>
      </c>
      <c r="K175" s="285" t="str">
        <f>IF(CD50_apply="Yes",IF((COUNTIF(D175:G175,"Y")=COUNTIF('03 - 50% CD'!D175:G175,"Y")),"match","no 50% match"),"-")</f>
        <v>match</v>
      </c>
      <c r="L175" s="1410" t="str">
        <f t="shared" ref="L175:L249" si="10">CONCATENATE(IF(ISNUMBER(SEARCH("Placeholder",H175))=TRUE,"&lt;---PM/Planner may hide PLACEHOLDER ROW",""))</f>
        <v/>
      </c>
      <c r="M175" s="1333"/>
      <c r="N175" s="1333"/>
      <c r="O175" s="1333"/>
      <c r="P175" s="1333"/>
      <c r="Q175" s="1333"/>
      <c r="R175" s="1453"/>
      <c r="S175" s="1284"/>
      <c r="T175" s="1382"/>
      <c r="U175" s="1382"/>
      <c r="V175" s="1333"/>
      <c r="W175" s="1333"/>
      <c r="X175" s="1333"/>
      <c r="Y175" s="1333"/>
      <c r="Z175" s="1333"/>
      <c r="AA175" s="1333"/>
      <c r="AB175" s="1333"/>
      <c r="AC175" s="1333"/>
      <c r="AD175" s="1333"/>
      <c r="AE175" s="1333"/>
      <c r="AF175" s="1333"/>
      <c r="AG175" s="1333"/>
      <c r="AH175" s="1333"/>
      <c r="AI175" s="1333"/>
      <c r="AJ175" s="1333"/>
      <c r="AX175"/>
    </row>
    <row r="176" spans="1:50" s="17" customFormat="1" x14ac:dyDescent="0.25">
      <c r="A176" s="1510" t="str">
        <f>IF(CD50_apply="Yes",IF(COUNTIF('03 - 50% CD'!D176:G176,"Y")&gt;0,"Y",IF(COUNTIF('03 - 50% CD'!D176:G176,"N"),"N","")),"")</f>
        <v>Y</v>
      </c>
      <c r="B176" s="141"/>
      <c r="C176" s="944"/>
      <c r="D176" s="321"/>
      <c r="E176" s="559" t="str">
        <f>IF('C-Design&amp;Const'!$O176="","",'C-Design&amp;Const'!$O176)</f>
        <v>Y</v>
      </c>
      <c r="F176" s="478"/>
      <c r="G176" s="485"/>
      <c r="H176" s="238" t="str">
        <f>CONCATENATE(IF(E176="N","PLACEHOLDER ROW - ",""),IF(E176="N","",J176),'C-Design&amp;Const'!Z176,)</f>
        <v>(Complete) Product Samples</v>
      </c>
      <c r="I176" s="136"/>
      <c r="J176" s="578" t="str">
        <f>IF('C-Design&amp;Const'!AH176="","",'C-Design&amp;Const'!AH176)</f>
        <v xml:space="preserve">(Complete) </v>
      </c>
      <c r="K176" s="285" t="str">
        <f>IF(CD50_apply="Yes",IF((COUNTIF(D176:G176,"Y")=COUNTIF('03 - 50% CD'!D176:G176,"Y")),"match","no 50% match"),"-")</f>
        <v>match</v>
      </c>
      <c r="L176" s="1410" t="str">
        <f t="shared" si="10"/>
        <v/>
      </c>
      <c r="M176" s="1333"/>
      <c r="N176" s="1333"/>
      <c r="O176" s="1333"/>
      <c r="P176" s="1333"/>
      <c r="Q176" s="1333"/>
      <c r="R176" s="1453"/>
      <c r="S176" s="1284"/>
      <c r="T176" s="1382"/>
      <c r="U176" s="1382"/>
      <c r="V176" s="1333"/>
      <c r="W176" s="1333"/>
      <c r="X176" s="1333"/>
      <c r="Y176" s="1333"/>
      <c r="Z176" s="1333"/>
      <c r="AA176" s="1333"/>
      <c r="AB176" s="1333"/>
      <c r="AC176" s="1333"/>
      <c r="AD176" s="1333"/>
      <c r="AE176" s="1333"/>
      <c r="AF176" s="1333"/>
      <c r="AG176" s="1333"/>
      <c r="AH176" s="1333"/>
      <c r="AI176" s="1333"/>
      <c r="AJ176" s="1333"/>
      <c r="AX176"/>
    </row>
    <row r="177" spans="1:50" s="17" customFormat="1" ht="15" customHeight="1" x14ac:dyDescent="0.25">
      <c r="A177" s="1510" t="str">
        <f>IF(CD50_apply="Yes",IF(COUNTIF('03 - 50% CD'!D177:G177,"Y")&gt;0,"Y",IF(COUNTIF('03 - 50% CD'!D177:G177,"N"),"N","")),"")</f>
        <v>Y</v>
      </c>
      <c r="B177" s="141"/>
      <c r="C177" s="944"/>
      <c r="D177" s="296"/>
      <c r="E177" s="559" t="str">
        <f>IF('C-Design&amp;Const'!$O177="","",'C-Design&amp;Const'!$O177)</f>
        <v>Y</v>
      </c>
      <c r="F177" s="444"/>
      <c r="G177" s="94"/>
      <c r="H177" s="340" t="str">
        <f>CONCATENATE(IF(E177="N","PLACEHOLDER ROW - ",""),IF(E177="N","",J177),'C-Design&amp;Const'!Z177,)</f>
        <v>(Complete) "Furniture Information Form" (electronic)</v>
      </c>
      <c r="I177" s="145"/>
      <c r="J177" s="578" t="str">
        <f>IF('C-Design&amp;Const'!AH177="","",'C-Design&amp;Const'!AH177)</f>
        <v xml:space="preserve">(Complete) </v>
      </c>
      <c r="K177" s="285" t="str">
        <f>IF(CD50_apply="Yes",IF((COUNTIF(D177:G177,"Y")=COUNTIF('03 - 50% CD'!D177:G177,"Y")),"match","no 50% match"),"-")</f>
        <v>match</v>
      </c>
      <c r="L177" s="1410" t="str">
        <f t="shared" si="10"/>
        <v/>
      </c>
      <c r="M177" s="1333"/>
      <c r="N177" s="1333"/>
      <c r="O177" s="1333"/>
      <c r="P177" s="1333"/>
      <c r="Q177" s="1333"/>
      <c r="R177" s="1444"/>
      <c r="S177" s="1284"/>
      <c r="T177" s="1382"/>
      <c r="U177" s="1382"/>
      <c r="V177" s="1333"/>
      <c r="W177" s="1333"/>
      <c r="X177" s="1333"/>
      <c r="Y177" s="1333"/>
      <c r="Z177" s="1333"/>
      <c r="AA177" s="1333"/>
      <c r="AB177" s="1333"/>
      <c r="AC177" s="1333"/>
      <c r="AD177" s="1333"/>
      <c r="AE177" s="1333"/>
      <c r="AF177" s="1333"/>
      <c r="AG177" s="1333"/>
      <c r="AH177" s="1333"/>
      <c r="AI177" s="1333"/>
      <c r="AJ177" s="1333"/>
      <c r="AX177"/>
    </row>
    <row r="178" spans="1:50" s="30" customFormat="1" ht="15" customHeight="1" x14ac:dyDescent="0.25">
      <c r="A178" s="1407" t="str">
        <f>IF(CD50_apply="Yes",IF(COUNTIF('03 - 50% CD'!D178:G178,"Y")&gt;0,"Y",IF(COUNTIF('03 - 50% CD'!D178:G178,"N"),"N","")),"")</f>
        <v>N</v>
      </c>
      <c r="B178" s="191"/>
      <c r="C178" s="944"/>
      <c r="D178" s="463"/>
      <c r="E178" s="359" t="str">
        <f>IF('C-Design&amp;Const'!$O178="","",'C-Design&amp;Const'!$O178)</f>
        <v>N</v>
      </c>
      <c r="F178" s="235"/>
      <c r="G178" s="291"/>
      <c r="H178" s="358" t="str">
        <f>CONCATENATE(IF(E178="N","PLACEHOLDER ROW - ",""),IF(E178="N","",J178),'C-Design&amp;Const'!Z178,)</f>
        <v>PLACEHOLDER ROW - CUSTOM ROW - OPTIONAL CLIENT ITEM</v>
      </c>
      <c r="I178" s="184"/>
      <c r="J178" s="578" t="str">
        <f>IF('C-Design&amp;Const'!AH178="","",'C-Design&amp;Const'!AH178)</f>
        <v xml:space="preserve">(Complete) </v>
      </c>
      <c r="K178" s="285" t="str">
        <f>IF(CD50_apply="Yes",IF((COUNTIF(D178:G178,"Y")=COUNTIF('03 - 50% CD'!D178:G178,"Y")),"match","no 50% match"),"-")</f>
        <v>match</v>
      </c>
      <c r="L178" s="1410" t="str">
        <f t="shared" si="10"/>
        <v>&lt;---PM/Planner may hide PLACEHOLDER ROW</v>
      </c>
      <c r="M178" s="1382"/>
      <c r="N178" s="1333"/>
      <c r="O178" s="1382"/>
      <c r="P178" s="1382"/>
      <c r="Q178" s="1382"/>
      <c r="R178" s="1382"/>
      <c r="S178" s="1284"/>
      <c r="T178" s="1382"/>
      <c r="U178" s="1382"/>
      <c r="V178" s="1382"/>
      <c r="W178" s="1382"/>
      <c r="X178" s="1382"/>
      <c r="Y178" s="1382"/>
      <c r="Z178" s="1382"/>
      <c r="AA178" s="1382"/>
      <c r="AB178" s="1382"/>
      <c r="AC178" s="1382"/>
      <c r="AD178" s="1382"/>
      <c r="AE178" s="1382"/>
      <c r="AF178" s="1382"/>
      <c r="AG178" s="1382"/>
      <c r="AH178" s="1382"/>
      <c r="AI178" s="1382"/>
      <c r="AJ178" s="1382"/>
      <c r="AK178" s="181"/>
      <c r="AL178" s="181"/>
      <c r="AM178" s="181"/>
      <c r="AN178" s="181"/>
      <c r="AO178" s="181"/>
      <c r="AP178" s="181"/>
      <c r="AQ178" s="181"/>
      <c r="AR178" s="181"/>
      <c r="AS178" s="181"/>
      <c r="AT178" s="181"/>
      <c r="AU178" s="181"/>
      <c r="AV178" s="181"/>
      <c r="AW178" s="181"/>
    </row>
    <row r="179" spans="1:50" s="17" customFormat="1" x14ac:dyDescent="0.25">
      <c r="A179" s="1510" t="str">
        <f>IF(CD50_apply="Yes",IF(COUNTIF('03 - 50% CD'!D179:G179,"Y")&gt;0,"Y",IF(COUNTIF('03 - 50% CD'!D179:G179,"N"),"N","")),"")</f>
        <v/>
      </c>
      <c r="B179" s="141"/>
      <c r="C179" s="944"/>
      <c r="D179" s="411"/>
      <c r="E179" s="411"/>
      <c r="F179" s="321"/>
      <c r="G179" s="294"/>
      <c r="H179" s="296"/>
      <c r="I179" s="130"/>
      <c r="J179" s="578" t="str">
        <f>IF('C-Design&amp;Const'!AH179="","",'C-Design&amp;Const'!AH179)</f>
        <v/>
      </c>
      <c r="K179" s="285" t="str">
        <f>IF(CD50_apply="Yes",IF((COUNTIF(D179:G179,"Y")=COUNTIF('03 - 50% CD'!D179:G179,"Y")),"match","no 50% match"),"-")</f>
        <v>match</v>
      </c>
      <c r="L179" s="1410" t="str">
        <f t="shared" si="10"/>
        <v/>
      </c>
      <c r="M179" s="1333"/>
      <c r="N179" s="1333"/>
      <c r="O179" s="1333"/>
      <c r="P179" s="1333"/>
      <c r="Q179" s="1333"/>
      <c r="R179" s="1445"/>
      <c r="S179" s="1284"/>
      <c r="T179" s="1382"/>
      <c r="U179" s="1382"/>
      <c r="V179" s="1333"/>
      <c r="W179" s="1333"/>
      <c r="X179" s="1333"/>
      <c r="Y179" s="1333"/>
      <c r="Z179" s="1333"/>
      <c r="AA179" s="1333"/>
      <c r="AB179" s="1333"/>
      <c r="AC179" s="1333"/>
      <c r="AD179" s="1333"/>
      <c r="AE179" s="1333"/>
      <c r="AF179" s="1333"/>
      <c r="AG179" s="1333"/>
      <c r="AH179" s="1333"/>
      <c r="AI179" s="1333"/>
      <c r="AJ179" s="1333"/>
    </row>
    <row r="180" spans="1:50" s="181" customFormat="1" ht="18.75" x14ac:dyDescent="0.25">
      <c r="A180" s="1501" t="str">
        <f>IF(CD50_apply="Yes",IF(COUNTIF('03 - 50% CD'!D180:G180,"Y")&gt;0,"Y",IF(COUNTIF('03 - 50% CD'!D180:G180,"N"),"N","")),"")</f>
        <v>Y</v>
      </c>
      <c r="B180" s="177"/>
      <c r="C180" s="944"/>
      <c r="D180" s="559" t="str">
        <f>IF('C-Design&amp;Const'!$O180="","",'C-Design&amp;Const'!$O180)</f>
        <v>Y</v>
      </c>
      <c r="E180" s="234"/>
      <c r="F180" s="235"/>
      <c r="G180" s="291" t="str">
        <f>IF('C-Design&amp;Const'!Y180="","",'C-Design&amp;Const'!Y180)</f>
        <v>06.</v>
      </c>
      <c r="H180" s="290" t="str">
        <f>(CONCATENATE('C-Design&amp;Const'!Z180,IF(D180="N"," Not Used In This Design Phase",J180)))</f>
        <v>Project Manual  (Including Bid Alts.)</v>
      </c>
      <c r="I180" s="184"/>
      <c r="J180" s="578" t="str">
        <f>IF('C-Design&amp;Const'!AH180="","",'C-Design&amp;Const'!AH180)</f>
        <v xml:space="preserve"> (Including Bid Alts.)</v>
      </c>
      <c r="K180" s="285" t="str">
        <f>IF(CD50_apply="Yes",IF((COUNTIF(D180:G180,"Y")=COUNTIF('03 - 50% CD'!D180:G180,"Y")),"match","no 50% match"),"-")</f>
        <v>match</v>
      </c>
      <c r="L180" s="1410" t="str">
        <f t="shared" si="10"/>
        <v/>
      </c>
      <c r="M180" s="1382"/>
      <c r="N180" s="1382"/>
      <c r="O180" s="1382"/>
      <c r="P180" s="1382"/>
      <c r="Q180" s="1382"/>
      <c r="R180" s="1447"/>
      <c r="S180" s="1284"/>
      <c r="T180" s="1382"/>
      <c r="U180" s="1382"/>
      <c r="V180" s="1382"/>
      <c r="W180" s="1382"/>
      <c r="X180" s="1382"/>
      <c r="Y180" s="1382"/>
      <c r="Z180" s="1382"/>
      <c r="AA180" s="1382"/>
      <c r="AB180" s="1382"/>
      <c r="AC180" s="1382"/>
      <c r="AD180" s="1382"/>
      <c r="AE180" s="1382"/>
      <c r="AF180" s="1382"/>
      <c r="AG180" s="1382"/>
      <c r="AH180" s="1382"/>
      <c r="AI180" s="1382"/>
      <c r="AJ180" s="1382"/>
      <c r="AX180" s="30"/>
    </row>
    <row r="181" spans="1:50" s="17" customFormat="1" ht="16.5" customHeight="1" x14ac:dyDescent="0.25">
      <c r="A181" s="1510" t="str">
        <f>IF(CD50_apply="Yes",IF(COUNTIF('03 - 50% CD'!D181:G181,"Y")&gt;0,"Y",IF(COUNTIF('03 - 50% CD'!D181:G181,"N"),"N","")),"")</f>
        <v>N</v>
      </c>
      <c r="B181" s="141"/>
      <c r="C181" s="944"/>
      <c r="D181" s="321"/>
      <c r="E181" s="559" t="str">
        <f>IF('C-Design&amp;Const'!$O181="","",'C-Design&amp;Const'!$O181)</f>
        <v>Y</v>
      </c>
      <c r="F181" s="560"/>
      <c r="G181" s="1894" t="s">
        <v>652</v>
      </c>
      <c r="H181" s="1890" t="str">
        <f>CONCATENATE(IF(E181="N","PLACEHOLDER ROW - ",""),'C-Design&amp;Const'!Z181,IF(E181="N","",J181))</f>
        <v>Summary of Changes by Discipline (beyond corrections from comments) - UNDER SEPARATE COVER &amp; NOT BOUND WITH MANUAL.</v>
      </c>
      <c r="I181" s="136"/>
      <c r="J181" s="578" t="str">
        <f>IF('C-Design&amp;Const'!AH181="","",'C-Design&amp;Const'!AH181)</f>
        <v/>
      </c>
      <c r="K181" s="285" t="str">
        <f>IF(CD50_apply="Yes",IF((COUNTIF(D181:G181,"Y")=COUNTIF('03 - 50% CD'!D181:G181,"Y")),"match","no 50% match"),"-")</f>
        <v>no 50% match</v>
      </c>
      <c r="L181" s="1410" t="str">
        <f t="shared" si="10"/>
        <v/>
      </c>
      <c r="M181" s="1333"/>
      <c r="N181" s="1333"/>
      <c r="O181" s="1333"/>
      <c r="P181" s="1333"/>
      <c r="Q181" s="1333"/>
      <c r="R181" s="1453"/>
      <c r="S181" s="1284"/>
      <c r="T181" s="1382"/>
      <c r="U181" s="1382"/>
      <c r="V181" s="1333"/>
      <c r="W181" s="1333"/>
      <c r="X181" s="1333"/>
      <c r="Y181" s="1333"/>
      <c r="Z181" s="1333"/>
      <c r="AA181" s="1333"/>
      <c r="AB181" s="1333"/>
      <c r="AC181" s="1333"/>
      <c r="AD181" s="1333"/>
      <c r="AE181" s="1333"/>
      <c r="AF181" s="1333"/>
      <c r="AG181" s="1333"/>
      <c r="AH181" s="1333"/>
      <c r="AI181" s="1333"/>
      <c r="AJ181" s="1333"/>
      <c r="AX181"/>
    </row>
    <row r="182" spans="1:50" s="30" customFormat="1" ht="25.5" customHeight="1" x14ac:dyDescent="0.25">
      <c r="A182" s="1510" t="str">
        <f>IF(CD50_apply="Yes",IF(COUNTIF('03 - 50% CD'!D182:G182,"Y")&gt;0,"Y",IF(COUNTIF('03 - 50% CD'!D182:G182,"N"),"N","")),"")</f>
        <v>N</v>
      </c>
      <c r="B182" s="191"/>
      <c r="C182" s="944"/>
      <c r="D182" s="463"/>
      <c r="E182" s="559" t="str">
        <f>IF('C-Design&amp;Const'!$O182="","",'C-Design&amp;Const'!$O182)</f>
        <v>Y</v>
      </c>
      <c r="F182" s="461"/>
      <c r="G182" s="1891" t="s">
        <v>652</v>
      </c>
      <c r="H182" s="1890" t="str">
        <f>CONCATENATE(IF(E182="N","PLACEHOLDER ROW - ",""),'C-Design&amp;Const'!Z182,IF(E182="N","",J182))</f>
        <v>Checklist for specification sections with submittals required (materials, shop drawings, calcs, etc…) - UNDER SEPARATE COVER &amp; NOT BOUND WITH MANUAL.</v>
      </c>
      <c r="I182" s="184"/>
      <c r="J182" s="578" t="str">
        <f>IF('C-Design&amp;Const'!AH182="","",'C-Design&amp;Const'!AH182)</f>
        <v/>
      </c>
      <c r="K182" s="285" t="str">
        <f>IF(CD50_apply="Yes",IF((COUNTIF(D182:G182,"Y")=COUNTIF('03 - 50% CD'!D182:G182,"Y")),"match","no 50% match"),"-")</f>
        <v>no 50% match</v>
      </c>
      <c r="L182" s="1410" t="str">
        <f>CONCATENATE(IF(ISNUMBER(SEARCH("Placeholder",H182))=TRUE,"&lt;---PM/Planner may hide PLACEHOLDER ROW",""))</f>
        <v/>
      </c>
      <c r="M182" s="1382"/>
      <c r="N182" s="1382"/>
      <c r="O182" s="1382"/>
      <c r="P182" s="1382"/>
      <c r="Q182" s="1382"/>
      <c r="R182" s="1382"/>
      <c r="S182" s="1284"/>
      <c r="T182" s="1382"/>
      <c r="U182" s="1382"/>
      <c r="V182" s="1382"/>
      <c r="W182" s="1382"/>
      <c r="X182" s="1382"/>
      <c r="Y182" s="1382"/>
      <c r="Z182" s="1382"/>
      <c r="AA182" s="1382"/>
      <c r="AB182" s="1382"/>
      <c r="AC182" s="1382"/>
      <c r="AD182" s="1382"/>
      <c r="AE182" s="1382"/>
      <c r="AF182" s="1382"/>
      <c r="AG182" s="1382"/>
      <c r="AH182" s="1382"/>
      <c r="AI182" s="1382"/>
      <c r="AJ182" s="1382"/>
      <c r="AK182" s="181"/>
      <c r="AL182" s="181"/>
      <c r="AM182" s="181"/>
      <c r="AN182" s="181"/>
      <c r="AO182" s="181"/>
      <c r="AP182" s="181"/>
      <c r="AQ182" s="181"/>
      <c r="AR182" s="181"/>
      <c r="AS182" s="181"/>
      <c r="AT182" s="181"/>
      <c r="AU182" s="181"/>
      <c r="AV182" s="181"/>
      <c r="AW182" s="181"/>
    </row>
    <row r="183" spans="1:50" s="17" customFormat="1" x14ac:dyDescent="0.25">
      <c r="A183" s="1510" t="str">
        <f>IF(CD50_apply="Yes",IF(COUNTIF('03 - 50% CD'!D183:G183,"Y")&gt;0,"Y",IF(COUNTIF('03 - 50% CD'!D183:G183,"N"),"N","")),"")</f>
        <v>Y</v>
      </c>
      <c r="B183" s="141"/>
      <c r="C183" s="944"/>
      <c r="D183" s="321"/>
      <c r="E183" s="559" t="str">
        <f>IF('C-Design&amp;Const'!$O183="","",'C-Design&amp;Const'!$O183)</f>
        <v>Y</v>
      </c>
      <c r="F183" s="478"/>
      <c r="G183" s="558"/>
      <c r="H183" s="340" t="str">
        <f>CONCATENATE(IF(E183="N","PLACEHOLDER ROW - ",""),'C-Design&amp;Const'!Z183,IF(E183="N","",J183))</f>
        <v xml:space="preserve">Front End Documents  [Div 00] </v>
      </c>
      <c r="I183" s="136"/>
      <c r="J183" s="578" t="str">
        <f>IF('C-Design&amp;Const'!AH183="","",'C-Design&amp;Const'!AH183)</f>
        <v/>
      </c>
      <c r="K183" s="285" t="str">
        <f>IF(CD50_apply="Yes",IF((COUNTIF(D183:G183,"Y")=COUNTIF('03 - 50% CD'!D183:G183,"Y")),"match","no 50% match"),"-")</f>
        <v>match</v>
      </c>
      <c r="L183" s="1410" t="str">
        <f t="shared" si="10"/>
        <v/>
      </c>
      <c r="M183" s="1333"/>
      <c r="N183" s="1382"/>
      <c r="O183" s="1333"/>
      <c r="P183" s="1333"/>
      <c r="Q183" s="1333"/>
      <c r="R183" s="1452"/>
      <c r="S183" s="1284"/>
      <c r="T183" s="1382"/>
      <c r="U183" s="1382"/>
      <c r="V183" s="1333"/>
      <c r="W183" s="1333"/>
      <c r="X183" s="1333"/>
      <c r="Y183" s="1333"/>
      <c r="Z183" s="1333"/>
      <c r="AA183" s="1333"/>
      <c r="AB183" s="1333"/>
      <c r="AC183" s="1333"/>
      <c r="AD183" s="1333"/>
      <c r="AE183" s="1333"/>
      <c r="AF183" s="1333"/>
      <c r="AG183" s="1333"/>
      <c r="AH183" s="1333"/>
      <c r="AI183" s="1333"/>
      <c r="AJ183" s="1333"/>
      <c r="AX183"/>
    </row>
    <row r="184" spans="1:50" s="17" customFormat="1" x14ac:dyDescent="0.25">
      <c r="A184" s="1510" t="str">
        <f>IF(CD50_apply="Yes",IF(COUNTIF('03 - 50% CD'!D184:G184,"Y")&gt;0,"Y",IF(COUNTIF('03 - 50% CD'!D184:G184,"N"),"N","")),"")</f>
        <v>N</v>
      </c>
      <c r="B184" s="141"/>
      <c r="C184" s="944"/>
      <c r="D184" s="321"/>
      <c r="E184" s="559" t="str">
        <f>IF('C-Design&amp;Const'!$O184="","",'C-Design&amp;Const'!$O184)</f>
        <v>N</v>
      </c>
      <c r="F184" s="478"/>
      <c r="G184" s="485"/>
      <c r="H184" s="358" t="str">
        <f>CONCATENATE(IF(E184="N","PLACEHOLDER ROW - ",""),'C-Design&amp;Const'!Z184,IF(E184="N","",J184))</f>
        <v>PLACEHOLDER ROW - Outline Specifications (CSI Format)</v>
      </c>
      <c r="I184" s="136"/>
      <c r="J184" s="578" t="str">
        <f>IF('C-Design&amp;Const'!AH184="","",'C-Design&amp;Const'!AH184)</f>
        <v/>
      </c>
      <c r="K184" s="285" t="str">
        <f>IF(CD50_apply="Yes",IF((COUNTIF(D184:G184,"Y")=COUNTIF('03 - 50% CD'!D184:G184,"Y")),"match","no 50% match"),"-")</f>
        <v>match</v>
      </c>
      <c r="L184" s="1410" t="str">
        <f t="shared" si="10"/>
        <v>&lt;---PM/Planner may hide PLACEHOLDER ROW</v>
      </c>
      <c r="M184" s="1333"/>
      <c r="N184" s="1382"/>
      <c r="O184" s="1333"/>
      <c r="P184" s="1333"/>
      <c r="Q184" s="1333"/>
      <c r="R184" s="1453"/>
      <c r="S184" s="1284"/>
      <c r="T184" s="1382"/>
      <c r="U184" s="1382"/>
      <c r="V184" s="1333"/>
      <c r="W184" s="1333"/>
      <c r="X184" s="1333"/>
      <c r="Y184" s="1333"/>
      <c r="Z184" s="1333"/>
      <c r="AA184" s="1333"/>
      <c r="AB184" s="1333"/>
      <c r="AC184" s="1333"/>
      <c r="AD184" s="1333"/>
      <c r="AE184" s="1333"/>
      <c r="AF184" s="1333"/>
      <c r="AG184" s="1333"/>
      <c r="AH184" s="1333"/>
      <c r="AI184" s="1333"/>
      <c r="AJ184" s="1333"/>
      <c r="AX184"/>
    </row>
    <row r="185" spans="1:50" s="17" customFormat="1" x14ac:dyDescent="0.25">
      <c r="A185" s="1510" t="str">
        <f>IF(CD50_apply="Yes",IF(COUNTIF('03 - 50% CD'!D185:G185,"Y")&gt;0,"Y",IF(COUNTIF('03 - 50% CD'!D185:G185,"N"),"N","")),"")</f>
        <v>Y</v>
      </c>
      <c r="B185" s="141"/>
      <c r="C185" s="944"/>
      <c r="D185" s="321"/>
      <c r="E185" s="559" t="str">
        <f>IF('C-Design&amp;Const'!$O185="","",'C-Design&amp;Const'!$O185)</f>
        <v>Y</v>
      </c>
      <c r="F185" s="478"/>
      <c r="G185" s="485"/>
      <c r="H185" s="340" t="str">
        <f>CONCATENATE(IF(E185="N","PLACEHOLDER ROW - ",""),'C-Design&amp;Const'!Z185,IF(E185="N","",J185))</f>
        <v xml:space="preserve">Technical Specifications  [Div 01 and after](Complete) </v>
      </c>
      <c r="I185" s="136"/>
      <c r="J185" s="578" t="str">
        <f>IF('C-Design&amp;Const'!AH185="","",'C-Design&amp;Const'!AH185)</f>
        <v xml:space="preserve">(Complete) </v>
      </c>
      <c r="K185" s="285" t="str">
        <f>IF(CD50_apply="Yes",IF((COUNTIF(D185:G185,"Y")=COUNTIF('03 - 50% CD'!D185:G185,"Y")),"match","no 50% match"),"-")</f>
        <v>match</v>
      </c>
      <c r="L185" s="1410" t="str">
        <f t="shared" si="10"/>
        <v/>
      </c>
      <c r="M185" s="1333"/>
      <c r="N185" s="1333"/>
      <c r="O185" s="1333"/>
      <c r="P185" s="1333"/>
      <c r="Q185" s="1333"/>
      <c r="R185" s="1453"/>
      <c r="S185" s="1284"/>
      <c r="T185" s="1382"/>
      <c r="U185" s="1382"/>
      <c r="V185" s="1333"/>
      <c r="W185" s="1333"/>
      <c r="X185" s="1333"/>
      <c r="Y185" s="1333"/>
      <c r="Z185" s="1333"/>
      <c r="AA185" s="1333"/>
      <c r="AB185" s="1333"/>
      <c r="AC185" s="1333"/>
      <c r="AD185" s="1333"/>
      <c r="AE185" s="1333"/>
      <c r="AF185" s="1333"/>
      <c r="AG185" s="1333"/>
      <c r="AH185" s="1333"/>
      <c r="AI185" s="1333"/>
      <c r="AJ185" s="1333"/>
      <c r="AX185"/>
    </row>
    <row r="186" spans="1:50" s="17" customFormat="1" ht="18.75" x14ac:dyDescent="0.25">
      <c r="A186" s="1510" t="str">
        <f>IF(CD50_apply="Yes",IF(COUNTIF('03 - 50% CD'!D186:G186,"Y")&gt;0,"Y",IF(COUNTIF('03 - 50% CD'!D186:G186,"N"),"N","")),"")</f>
        <v>Y</v>
      </c>
      <c r="B186" s="141"/>
      <c r="C186" s="944"/>
      <c r="D186" s="296"/>
      <c r="E186" s="559" t="str">
        <f>IF('C-Design&amp;Const'!$O186="","",'C-Design&amp;Const'!$O186)</f>
        <v>Y</v>
      </c>
      <c r="F186" s="444"/>
      <c r="G186" s="94"/>
      <c r="H186" s="340" t="str">
        <f>CONCATENATE(IF(E186="N","PLACEHOLDER ROW - ",""),'C-Design&amp;Const'!Z186,IF(E186="N","",J186))</f>
        <v xml:space="preserve">FF&amp;E Outline Specification for at least 2 competitor packages (Complete) </v>
      </c>
      <c r="I186" s="145"/>
      <c r="J186" s="578" t="str">
        <f>IF('C-Design&amp;Const'!AH186="","",'C-Design&amp;Const'!AH186)</f>
        <v xml:space="preserve">(Complete) </v>
      </c>
      <c r="K186" s="285" t="str">
        <f>IF(CD50_apply="Yes",IF((COUNTIF(D186:G186,"Y")=COUNTIF('03 - 50% CD'!D186:G186,"Y")),"match","no 50% match"),"-")</f>
        <v>match</v>
      </c>
      <c r="L186" s="1410" t="str">
        <f t="shared" si="10"/>
        <v/>
      </c>
      <c r="M186" s="1333"/>
      <c r="N186" s="1333"/>
      <c r="O186" s="1333"/>
      <c r="P186" s="1333"/>
      <c r="Q186" s="1333"/>
      <c r="R186" s="1444"/>
      <c r="S186" s="1284"/>
      <c r="T186" s="1382"/>
      <c r="U186" s="1382"/>
      <c r="V186" s="1333"/>
      <c r="W186" s="1333"/>
      <c r="X186" s="1333"/>
      <c r="Y186" s="1333"/>
      <c r="Z186" s="1333"/>
      <c r="AA186" s="1333"/>
      <c r="AB186" s="1333"/>
      <c r="AC186" s="1333"/>
      <c r="AD186" s="1333"/>
      <c r="AE186" s="1333"/>
      <c r="AF186" s="1333"/>
      <c r="AG186" s="1333"/>
      <c r="AH186" s="1333"/>
      <c r="AI186" s="1333"/>
      <c r="AJ186" s="1333"/>
      <c r="AX186"/>
    </row>
    <row r="187" spans="1:50" s="17" customFormat="1" x14ac:dyDescent="0.25">
      <c r="A187" s="1510" t="str">
        <f>IF(CD50_apply="Yes",IF(COUNTIF('03 - 50% CD'!D187:G187,"Y")&gt;0,"Y",IF(COUNTIF('03 - 50% CD'!D187:G187,"N"),"N","")),"")</f>
        <v>Y</v>
      </c>
      <c r="B187" s="141"/>
      <c r="C187" s="944"/>
      <c r="D187" s="321"/>
      <c r="E187" s="559" t="str">
        <f>IF('C-Design&amp;Const'!$O187="","",'C-Design&amp;Const'!$O187)</f>
        <v>Y</v>
      </c>
      <c r="F187" s="460"/>
      <c r="G187" s="485"/>
      <c r="H187" s="340" t="str">
        <f>CONCATENATE(IF(E187="N","PLACEHOLDER ROW - ",""),'C-Design&amp;Const'!Z187,IF(E187="N","",J187))</f>
        <v xml:space="preserve">Furniture Information Form (FIF)(Complete) </v>
      </c>
      <c r="I187" s="136"/>
      <c r="J187" s="578" t="str">
        <f>IF('C-Design&amp;Const'!AH187="","",'C-Design&amp;Const'!AH187)</f>
        <v xml:space="preserve">(Complete) </v>
      </c>
      <c r="K187" s="285" t="str">
        <f>IF(CD50_apply="Yes",IF((COUNTIF(D187:G187,"Y")=COUNTIF('03 - 50% CD'!D187:G187,"Y")),"match","no 50% match"),"-")</f>
        <v>match</v>
      </c>
      <c r="L187" s="1410" t="str">
        <f>CONCATENATE(IF(ISNUMBER(SEARCH("Placeholder",H187))=TRUE,"&lt;---PM/Planner may hide PLACEHOLDER ROW",""))</f>
        <v/>
      </c>
      <c r="M187" s="1333"/>
      <c r="N187" s="1382"/>
      <c r="O187" s="1333"/>
      <c r="P187" s="1333"/>
      <c r="Q187" s="1333"/>
      <c r="R187" s="1453"/>
      <c r="S187" s="1284"/>
      <c r="T187" s="1382"/>
      <c r="U187" s="1382"/>
      <c r="V187" s="1333"/>
      <c r="W187" s="1333"/>
      <c r="X187" s="1333"/>
      <c r="Y187" s="1333"/>
      <c r="Z187" s="1333"/>
      <c r="AA187" s="1333"/>
      <c r="AB187" s="1333"/>
      <c r="AC187" s="1333"/>
      <c r="AD187" s="1333"/>
      <c r="AE187" s="1333"/>
      <c r="AF187" s="1333"/>
      <c r="AG187" s="1333"/>
      <c r="AH187" s="1333"/>
      <c r="AI187" s="1333"/>
      <c r="AJ187" s="1333"/>
      <c r="AX187"/>
    </row>
    <row r="188" spans="1:50" s="17" customFormat="1" x14ac:dyDescent="0.25">
      <c r="A188" s="1510" t="str">
        <f>IF(CD50_apply="Yes",IF(COUNTIF('03 - 50% CD'!D188:G188,"Y")&gt;0,"Y",IF(COUNTIF('03 - 50% CD'!D188:G188,"N"),"N","")),"")</f>
        <v>Y</v>
      </c>
      <c r="B188" s="141"/>
      <c r="C188" s="944"/>
      <c r="D188" s="321"/>
      <c r="E188" s="559" t="str">
        <f>IF('C-Design&amp;Const'!$O188="","",'C-Design&amp;Const'!$O188)</f>
        <v>Y</v>
      </c>
      <c r="F188" s="460"/>
      <c r="G188" s="485"/>
      <c r="H188" s="340" t="str">
        <f>CONCATENATE(IF(E188="N","PLACEHOLDER ROW - ",""),'C-Design&amp;Const'!Z188,IF(E188="N","",J188))</f>
        <v xml:space="preserve">Voice/Data Communications System Requirements (Complete) </v>
      </c>
      <c r="I188" s="136"/>
      <c r="J188" s="578" t="str">
        <f>IF('C-Design&amp;Const'!AH188="","",'C-Design&amp;Const'!AH188)</f>
        <v xml:space="preserve">(Complete) </v>
      </c>
      <c r="K188" s="285" t="str">
        <f>IF(CD50_apply="Yes",IF((COUNTIF(D188:G188,"Y")=COUNTIF('03 - 50% CD'!D188:G188,"Y")),"match","no 50% match"),"-")</f>
        <v>match</v>
      </c>
      <c r="L188" s="1410" t="str">
        <f t="shared" si="10"/>
        <v/>
      </c>
      <c r="M188" s="1333"/>
      <c r="N188" s="1382"/>
      <c r="O188" s="1333"/>
      <c r="P188" s="1333"/>
      <c r="Q188" s="1333"/>
      <c r="R188" s="1453"/>
      <c r="S188" s="1284"/>
      <c r="T188" s="1382"/>
      <c r="U188" s="1382"/>
      <c r="V188" s="1333"/>
      <c r="W188" s="1333"/>
      <c r="X188" s="1333"/>
      <c r="Y188" s="1333"/>
      <c r="Z188" s="1333"/>
      <c r="AA188" s="1333"/>
      <c r="AB188" s="1333"/>
      <c r="AC188" s="1333"/>
      <c r="AD188" s="1333"/>
      <c r="AE188" s="1333"/>
      <c r="AF188" s="1333"/>
      <c r="AG188" s="1333"/>
      <c r="AH188" s="1333"/>
      <c r="AI188" s="1333"/>
      <c r="AJ188" s="1333"/>
      <c r="AX188"/>
    </row>
    <row r="189" spans="1:50" s="17" customFormat="1" ht="42.75" x14ac:dyDescent="0.25">
      <c r="A189" s="1510" t="str">
        <f>IF(CD50_apply="Yes",IF(COUNTIF('03 - 50% CD'!D189:G189,"Y")&gt;0,"Y",IF(COUNTIF('03 - 50% CD'!D189:G189,"N"),"N","")),"")</f>
        <v>Y</v>
      </c>
      <c r="B189" s="141"/>
      <c r="C189" s="944"/>
      <c r="D189" s="321"/>
      <c r="E189" s="559" t="str">
        <f>IF('C-Design&amp;Const'!$O189="","",'C-Design&amp;Const'!$O189)</f>
        <v>Y</v>
      </c>
      <c r="F189" s="460"/>
      <c r="G189" s="485"/>
      <c r="H189" s="340" t="str">
        <f>CONCATENATE(IF(E189="N","PLACEHOLDER ROW - ",""),'C-Design&amp;Const'!Z189,IF(E189="N","",J189))</f>
        <v xml:space="preserve">AV Systems Requirements, including Millwork, Associated Cooling, Power, Grounding, Data / Telecomm, Acoustics &amp; Noise Control, and Lighting System. Cables Identified by Manufacturer/Model Number. (Complete) </v>
      </c>
      <c r="I189" s="136"/>
      <c r="J189" s="578" t="str">
        <f>IF('C-Design&amp;Const'!AH189="","",'C-Design&amp;Const'!AH189)</f>
        <v xml:space="preserve">(Complete) </v>
      </c>
      <c r="K189" s="285" t="str">
        <f>IF(CD50_apply="Yes",IF((COUNTIF(D189:G189,"Y")=COUNTIF('03 - 50% CD'!D189:G189,"Y")),"match","no 50% match"),"-")</f>
        <v>match</v>
      </c>
      <c r="L189" s="1410" t="str">
        <f t="shared" si="10"/>
        <v/>
      </c>
      <c r="M189" s="1333"/>
      <c r="N189" s="1382"/>
      <c r="O189" s="1333"/>
      <c r="P189" s="1333"/>
      <c r="Q189" s="1333"/>
      <c r="R189" s="1453"/>
      <c r="S189" s="1284"/>
      <c r="T189" s="1382"/>
      <c r="U189" s="1382"/>
      <c r="V189" s="1333"/>
      <c r="W189" s="1333"/>
      <c r="X189" s="1333"/>
      <c r="Y189" s="1333"/>
      <c r="Z189" s="1333"/>
      <c r="AA189" s="1333"/>
      <c r="AB189" s="1333"/>
      <c r="AC189" s="1333"/>
      <c r="AD189" s="1333"/>
      <c r="AE189" s="1333"/>
      <c r="AF189" s="1333"/>
      <c r="AG189" s="1333"/>
      <c r="AH189" s="1333"/>
      <c r="AI189" s="1333"/>
      <c r="AJ189" s="1333"/>
      <c r="AX189"/>
    </row>
    <row r="190" spans="1:50" s="17" customFormat="1" x14ac:dyDescent="0.25">
      <c r="A190" s="1510" t="str">
        <f>IF(CD50_apply="Yes",IF(COUNTIF('03 - 50% CD'!D190:G190,"Y")&gt;0,"Y",IF(COUNTIF('03 - 50% CD'!D190:G190,"N"),"N","")),"")</f>
        <v>Y</v>
      </c>
      <c r="B190" s="141"/>
      <c r="C190" s="944"/>
      <c r="D190" s="321"/>
      <c r="E190" s="559" t="str">
        <f>IF('C-Design&amp;Const'!$O190="","",'C-Design&amp;Const'!$O190)</f>
        <v>Y</v>
      </c>
      <c r="F190" s="460"/>
      <c r="G190" s="485"/>
      <c r="H190" s="340" t="str">
        <f>CONCATENATE(IF(E190="N","PLACEHOLDER ROW - ",""),'C-Design&amp;Const'!Z190,IF(E190="N","",J190))</f>
        <v xml:space="preserve">Audio / Visual Basis of Material (AV BOM)(Complete) </v>
      </c>
      <c r="I190" s="136"/>
      <c r="J190" s="578" t="str">
        <f>IF('C-Design&amp;Const'!AH190="","",'C-Design&amp;Const'!AH190)</f>
        <v xml:space="preserve">(Complete) </v>
      </c>
      <c r="K190" s="285" t="str">
        <f>IF(CD50_apply="Yes",IF((COUNTIF(D190:G190,"Y")=COUNTIF('03 - 50% CD'!D190:G190,"Y")),"match","no 50% match"),"-")</f>
        <v>match</v>
      </c>
      <c r="L190" s="1410" t="str">
        <f>CONCATENATE(IF(ISNUMBER(SEARCH("Placeholder",H190))=TRUE,"&lt;---PM/Planner may hide PLACEHOLDER ROW",""))</f>
        <v/>
      </c>
      <c r="M190" s="1333"/>
      <c r="N190" s="1382"/>
      <c r="O190" s="1333"/>
      <c r="P190" s="1333"/>
      <c r="Q190" s="1333"/>
      <c r="R190" s="1453"/>
      <c r="S190" s="1284"/>
      <c r="T190" s="1382"/>
      <c r="U190" s="1382"/>
      <c r="V190" s="1333"/>
      <c r="W190" s="1333"/>
      <c r="X190" s="1333"/>
      <c r="Y190" s="1333"/>
      <c r="Z190" s="1333"/>
      <c r="AA190" s="1333"/>
      <c r="AB190" s="1333"/>
      <c r="AC190" s="1333"/>
      <c r="AD190" s="1333"/>
      <c r="AE190" s="1333"/>
      <c r="AF190" s="1333"/>
      <c r="AG190" s="1333"/>
      <c r="AH190" s="1333"/>
      <c r="AI190" s="1333"/>
      <c r="AJ190" s="1333"/>
      <c r="AX190"/>
    </row>
    <row r="191" spans="1:50" s="17" customFormat="1" x14ac:dyDescent="0.25">
      <c r="A191" s="1510" t="str">
        <f>IF(CD50_apply="Yes",IF(COUNTIF('03 - 50% CD'!D191:G191,"Y")&gt;0,"Y",IF(COUNTIF('03 - 50% CD'!D191:G191,"N"),"N","")),"")</f>
        <v>Y</v>
      </c>
      <c r="B191" s="141"/>
      <c r="C191" s="944"/>
      <c r="D191" s="321"/>
      <c r="E191" s="559" t="str">
        <f>IF('C-Design&amp;Const'!$O191="","",'C-Design&amp;Const'!$O191)</f>
        <v>Y</v>
      </c>
      <c r="F191" s="460"/>
      <c r="G191" s="485"/>
      <c r="H191" s="358" t="str">
        <f>CONCATENATE(IF(E191="N","PLACEHOLDER ROW - ",""),'C-Design&amp;Const'!Z191,IF(E191="N","",J191))</f>
        <v>Soil Borings and Soils Report (With Applicable Section)</v>
      </c>
      <c r="I191" s="136"/>
      <c r="J191" s="578" t="str">
        <f>IF('C-Design&amp;Const'!AH191="","",'C-Design&amp;Const'!AH191)</f>
        <v/>
      </c>
      <c r="K191" s="285" t="str">
        <f>IF(CD50_apply="Yes",IF((COUNTIF(D191:G191,"Y")=COUNTIF('03 - 50% CD'!D191:G191,"Y")),"match","no 50% match"),"-")</f>
        <v>match</v>
      </c>
      <c r="L191" s="1410" t="str">
        <f t="shared" si="10"/>
        <v/>
      </c>
      <c r="M191" s="1333"/>
      <c r="N191" s="1382"/>
      <c r="O191" s="1333"/>
      <c r="P191" s="1333"/>
      <c r="Q191" s="1333"/>
      <c r="R191" s="1410"/>
      <c r="S191" s="1284"/>
      <c r="T191" s="1382"/>
      <c r="U191" s="1382"/>
      <c r="V191" s="1333"/>
      <c r="W191" s="1333"/>
      <c r="X191" s="1333"/>
      <c r="Y191" s="1333"/>
      <c r="Z191" s="1333"/>
      <c r="AA191" s="1333"/>
      <c r="AB191" s="1333"/>
      <c r="AC191" s="1333"/>
      <c r="AD191" s="1333"/>
      <c r="AE191" s="1333"/>
      <c r="AF191" s="1333"/>
      <c r="AG191" s="1333"/>
      <c r="AH191" s="1333"/>
      <c r="AI191" s="1333"/>
      <c r="AJ191" s="1333"/>
      <c r="AX191"/>
    </row>
    <row r="192" spans="1:50" s="17" customFormat="1" ht="28.5" x14ac:dyDescent="0.25">
      <c r="A192" s="1510" t="str">
        <f>IF(CD50_apply="Yes",IF(COUNTIF('03 - 50% CD'!D192:G192,"Y")&gt;0,"Y",IF(COUNTIF('03 - 50% CD'!D192:G192,"N"),"N","")),"")</f>
        <v>Y</v>
      </c>
      <c r="B192" s="141"/>
      <c r="C192" s="944"/>
      <c r="D192" s="321"/>
      <c r="E192" s="559" t="str">
        <f>IF('C-Design&amp;Const'!$O192="","",'C-Design&amp;Const'!$O192)</f>
        <v>Y</v>
      </c>
      <c r="F192" s="460"/>
      <c r="G192" s="485"/>
      <c r="H192" s="358" t="str">
        <f>CONCATENATE(IF(E192="N","PLACEHOLDER ROW - ",""),'C-Design&amp;Const'!Z192,IF(E192="N","",J192))</f>
        <v>Results of Hazardous Materials Testing and Hazardous Materials Mediation Plan (With Applicable Section)</v>
      </c>
      <c r="I192" s="136"/>
      <c r="J192" s="578" t="str">
        <f>IF('C-Design&amp;Const'!AH192="","",'C-Design&amp;Const'!AH192)</f>
        <v/>
      </c>
      <c r="K192" s="285" t="str">
        <f>IF(CD50_apply="Yes",IF((COUNTIF(D192:G192,"Y")=COUNTIF('03 - 50% CD'!D192:G192,"Y")),"match","no 50% match"),"-")</f>
        <v>match</v>
      </c>
      <c r="L192" s="1410" t="str">
        <f t="shared" si="10"/>
        <v/>
      </c>
      <c r="M192" s="1333"/>
      <c r="N192" s="1382"/>
      <c r="O192" s="1333"/>
      <c r="P192" s="1333"/>
      <c r="Q192" s="1333"/>
      <c r="R192" s="1453"/>
      <c r="S192" s="1284"/>
      <c r="T192" s="1382"/>
      <c r="U192" s="1382"/>
      <c r="V192" s="1333"/>
      <c r="W192" s="1333"/>
      <c r="X192" s="1333"/>
      <c r="Y192" s="1333"/>
      <c r="Z192" s="1333"/>
      <c r="AA192" s="1333"/>
      <c r="AB192" s="1333"/>
      <c r="AC192" s="1333"/>
      <c r="AD192" s="1333"/>
      <c r="AE192" s="1333"/>
      <c r="AF192" s="1333"/>
      <c r="AG192" s="1333"/>
      <c r="AH192" s="1333"/>
      <c r="AI192" s="1333"/>
      <c r="AJ192" s="1333"/>
      <c r="AX192"/>
    </row>
    <row r="193" spans="1:50" s="30" customFormat="1" ht="18" customHeight="1" x14ac:dyDescent="0.25">
      <c r="A193" s="1510" t="str">
        <f>IF(CD50_apply="Yes",IF(COUNTIF('03 - 50% CD'!D193:G193,"Y")&gt;0,"Y",IF(COUNTIF('03 - 50% CD'!D193:G193,"N"),"N","")),"")</f>
        <v>Y</v>
      </c>
      <c r="B193" s="191"/>
      <c r="C193" s="944"/>
      <c r="D193" s="463"/>
      <c r="E193" s="559" t="str">
        <f>IF('C-Design&amp;Const'!$O193="","",'C-Design&amp;Const'!$O193)</f>
        <v>Y</v>
      </c>
      <c r="F193" s="461"/>
      <c r="G193" s="291"/>
      <c r="H193" s="358" t="str">
        <f>CONCATENATE(IF(E193="N","PLACEHOLDER ROW - ",""),'C-Design&amp;Const'!Z193,IF(E193="N","",J193))</f>
        <v xml:space="preserve">EPA &amp; State Permits (With Applicable Section)(All received) </v>
      </c>
      <c r="I193" s="184"/>
      <c r="J193" s="578" t="str">
        <f>IF('C-Design&amp;Const'!AH193="","",'C-Design&amp;Const'!AH193)</f>
        <v xml:space="preserve">(All received) </v>
      </c>
      <c r="K193" s="285" t="str">
        <f>IF(CD50_apply="Yes",IF((COUNTIF(D193:G193,"Y")=COUNTIF('03 - 50% CD'!D193:G193,"Y")),"match","no 50% match"),"-")</f>
        <v>match</v>
      </c>
      <c r="L193" s="1410" t="str">
        <f t="shared" si="10"/>
        <v/>
      </c>
      <c r="M193" s="1382"/>
      <c r="N193" s="1382"/>
      <c r="O193" s="1382"/>
      <c r="P193" s="1382"/>
      <c r="Q193" s="1382"/>
      <c r="R193" s="1382"/>
      <c r="S193" s="1284"/>
      <c r="T193" s="1382"/>
      <c r="U193" s="1382"/>
      <c r="V193" s="1382"/>
      <c r="W193" s="1382"/>
      <c r="X193" s="1382"/>
      <c r="Y193" s="1382"/>
      <c r="Z193" s="1382"/>
      <c r="AA193" s="1382"/>
      <c r="AB193" s="1382"/>
      <c r="AC193" s="1382"/>
      <c r="AD193" s="1382"/>
      <c r="AE193" s="1382"/>
      <c r="AF193" s="1382"/>
      <c r="AG193" s="1382"/>
      <c r="AH193" s="1382"/>
      <c r="AI193" s="1382"/>
      <c r="AJ193" s="1382"/>
      <c r="AK193" s="181"/>
      <c r="AL193" s="181"/>
      <c r="AM193" s="181"/>
      <c r="AN193" s="181"/>
      <c r="AO193" s="181"/>
      <c r="AP193" s="181"/>
      <c r="AQ193" s="181"/>
      <c r="AR193" s="181"/>
      <c r="AS193" s="181"/>
      <c r="AT193" s="181"/>
      <c r="AU193" s="181"/>
      <c r="AV193" s="181"/>
      <c r="AW193" s="181"/>
    </row>
    <row r="194" spans="1:50" s="17" customFormat="1" x14ac:dyDescent="0.25">
      <c r="A194" s="1510" t="str">
        <f>IF(CD50_apply="Yes",IF(COUNTIF('03 - 50% CD'!D194:G194,"Y")&gt;0,"Y",IF(COUNTIF('03 - 50% CD'!D194:G194,"N"),"N","")),"")</f>
        <v>Y</v>
      </c>
      <c r="B194" s="141"/>
      <c r="C194" s="944"/>
      <c r="D194" s="321"/>
      <c r="E194" s="559" t="str">
        <f>IF('C-Design&amp;Const'!$O194="","",'C-Design&amp;Const'!$O194)</f>
        <v>Y</v>
      </c>
      <c r="F194" s="460"/>
      <c r="G194" s="485"/>
      <c r="H194" s="358" t="str">
        <f>CONCATENATE(IF(E194="N","PLACEHOLDER ROW - ",""),'C-Design&amp;Const'!Z194,IF(E194="N","",J194))</f>
        <v>Results of flow testing (With Applicable Section)</v>
      </c>
      <c r="I194" s="136"/>
      <c r="J194" s="578" t="str">
        <f>IF('C-Design&amp;Const'!AH194="","",'C-Design&amp;Const'!AH194)</f>
        <v/>
      </c>
      <c r="K194" s="285" t="str">
        <f>IF(CD50_apply="Yes",IF((COUNTIF(D194:G194,"Y")=COUNTIF('03 - 50% CD'!D194:G194,"Y")),"match","no 50% match"),"-")</f>
        <v>match</v>
      </c>
      <c r="L194" s="1410" t="str">
        <f t="shared" si="10"/>
        <v/>
      </c>
      <c r="M194" s="1333"/>
      <c r="N194" s="1382"/>
      <c r="O194" s="1333"/>
      <c r="P194" s="1333"/>
      <c r="Q194" s="1333"/>
      <c r="R194" s="1453"/>
      <c r="S194" s="1284"/>
      <c r="T194" s="1382"/>
      <c r="U194" s="1382"/>
      <c r="V194" s="1333"/>
      <c r="W194" s="1333"/>
      <c r="X194" s="1333"/>
      <c r="Y194" s="1333"/>
      <c r="Z194" s="1333"/>
      <c r="AA194" s="1333"/>
      <c r="AB194" s="1333"/>
      <c r="AC194" s="1333"/>
      <c r="AD194" s="1333"/>
      <c r="AE194" s="1333"/>
      <c r="AF194" s="1333"/>
      <c r="AG194" s="1333"/>
      <c r="AH194" s="1333"/>
      <c r="AI194" s="1333"/>
      <c r="AJ194" s="1333"/>
      <c r="AX194"/>
    </row>
    <row r="195" spans="1:50" s="30" customFormat="1" ht="15" customHeight="1" x14ac:dyDescent="0.25">
      <c r="A195" s="1510" t="str">
        <f>IF(CD50_apply="Yes",IF(COUNTIF('03 - 50% CD'!D195:G195,"Y")&gt;0,"Y",IF(COUNTIF('03 - 50% CD'!D195:G195,"N"),"N","")),"")</f>
        <v>Y</v>
      </c>
      <c r="B195" s="191"/>
      <c r="C195" s="944"/>
      <c r="D195" s="463"/>
      <c r="E195" s="559" t="str">
        <f>IF('C-Design&amp;Const'!$O195="","",'C-Design&amp;Const'!$O195)</f>
        <v>Y</v>
      </c>
      <c r="F195" s="461"/>
      <c r="G195" s="291"/>
      <c r="H195" s="358" t="str">
        <f>CONCATENATE(IF(E195="N","PLACEHOLDER ROW - ",""),'C-Design&amp;Const'!Z195,IF(E195="N","",J195))</f>
        <v>Results of existing exterior envelope material tests or strengths (With Applicable section)</v>
      </c>
      <c r="I195" s="184"/>
      <c r="J195" s="578" t="str">
        <f>IF('C-Design&amp;Const'!AH195="","",'C-Design&amp;Const'!AH195)</f>
        <v/>
      </c>
      <c r="K195" s="285" t="str">
        <f>IF(CD50_apply="Yes",IF((COUNTIF(D195:G195,"Y")=COUNTIF('03 - 50% CD'!D195:G195,"Y")),"match","no 50% match"),"-")</f>
        <v>match</v>
      </c>
      <c r="L195" s="1410" t="str">
        <f t="shared" si="10"/>
        <v/>
      </c>
      <c r="M195" s="1382"/>
      <c r="N195" s="1382"/>
      <c r="O195" s="1382"/>
      <c r="P195" s="1382"/>
      <c r="Q195" s="1382"/>
      <c r="R195" s="1382"/>
      <c r="S195" s="1284"/>
      <c r="T195" s="1382"/>
      <c r="U195" s="1382"/>
      <c r="V195" s="1382"/>
      <c r="W195" s="1382"/>
      <c r="X195" s="1382"/>
      <c r="Y195" s="1382"/>
      <c r="Z195" s="1382"/>
      <c r="AA195" s="1382"/>
      <c r="AB195" s="1382"/>
      <c r="AC195" s="1382"/>
      <c r="AD195" s="1382"/>
      <c r="AE195" s="1382"/>
      <c r="AF195" s="1382"/>
      <c r="AG195" s="1382"/>
      <c r="AH195" s="1382"/>
      <c r="AI195" s="1382"/>
      <c r="AJ195" s="1382"/>
      <c r="AK195" s="181"/>
      <c r="AL195" s="181"/>
      <c r="AM195" s="181"/>
      <c r="AN195" s="181"/>
      <c r="AO195" s="181"/>
      <c r="AP195" s="181"/>
      <c r="AQ195" s="181"/>
      <c r="AR195" s="181"/>
      <c r="AS195" s="181"/>
      <c r="AT195" s="181"/>
      <c r="AU195" s="181"/>
      <c r="AV195" s="181"/>
      <c r="AW195" s="181"/>
    </row>
    <row r="196" spans="1:50" s="17" customFormat="1" ht="28.5" x14ac:dyDescent="0.25">
      <c r="A196" s="1510" t="str">
        <f>IF(CD50_apply="Yes",IF(COUNTIF('03 - 50% CD'!D196:G196,"Y")&gt;0,"Y",IF(COUNTIF('03 - 50% CD'!D196:G196,"N"),"N","")),"")</f>
        <v>Y</v>
      </c>
      <c r="B196" s="141"/>
      <c r="C196" s="944"/>
      <c r="D196" s="321"/>
      <c r="E196" s="559" t="str">
        <f>IF('C-Design&amp;Const'!$O196="","",'C-Design&amp;Const'!$O196)</f>
        <v>Y</v>
      </c>
      <c r="F196" s="460"/>
      <c r="G196" s="485"/>
      <c r="H196" s="358" t="str">
        <f>CONCATENATE(IF(E196="N","PLACEHOLDER ROW - ",""),'C-Design&amp;Const'!Z196,IF(E196="N","",J196))</f>
        <v>Results of any existing structural materials tests or verification / scans of structure layout. (With Applicable section)</v>
      </c>
      <c r="I196" s="136"/>
      <c r="J196" s="578" t="str">
        <f>IF('C-Design&amp;Const'!AH196="","",'C-Design&amp;Const'!AH196)</f>
        <v/>
      </c>
      <c r="K196" s="285" t="str">
        <f>IF(CD50_apply="Yes",IF((COUNTIF(D196:G196,"Y")=COUNTIF('03 - 50% CD'!D196:G196,"Y")),"match","no 50% match"),"-")</f>
        <v>match</v>
      </c>
      <c r="L196" s="1410" t="str">
        <f t="shared" si="10"/>
        <v/>
      </c>
      <c r="M196" s="1333"/>
      <c r="N196" s="1382"/>
      <c r="O196" s="1333"/>
      <c r="P196" s="1333"/>
      <c r="Q196" s="1333"/>
      <c r="R196" s="1453"/>
      <c r="S196" s="1284"/>
      <c r="T196" s="1382"/>
      <c r="U196" s="1382"/>
      <c r="V196" s="1333"/>
      <c r="W196" s="1333"/>
      <c r="X196" s="1333"/>
      <c r="Y196" s="1333"/>
      <c r="Z196" s="1333"/>
      <c r="AA196" s="1333"/>
      <c r="AB196" s="1333"/>
      <c r="AC196" s="1333"/>
      <c r="AD196" s="1333"/>
      <c r="AE196" s="1333"/>
      <c r="AF196" s="1333"/>
      <c r="AG196" s="1333"/>
      <c r="AH196" s="1333"/>
      <c r="AI196" s="1333"/>
      <c r="AJ196" s="1333"/>
      <c r="AX196"/>
    </row>
    <row r="197" spans="1:50" s="30" customFormat="1" ht="15" customHeight="1" x14ac:dyDescent="0.25">
      <c r="A197" s="1510" t="str">
        <f>IF(CD50_apply="Yes",IF(COUNTIF('03 - 50% CD'!D197:G197,"Y")&gt;0,"Y",IF(COUNTIF('03 - 50% CD'!D197:G197,"N"),"N","")),"")</f>
        <v>N</v>
      </c>
      <c r="B197" s="191"/>
      <c r="C197" s="944"/>
      <c r="D197" s="463"/>
      <c r="E197" s="559" t="str">
        <f>IF('C-Design&amp;Const'!$O197="","",'C-Design&amp;Const'!$O197)</f>
        <v>N</v>
      </c>
      <c r="F197" s="461"/>
      <c r="G197" s="291"/>
      <c r="H197" s="358" t="str">
        <f>CONCATENATE(IF(E197="N","PLACEHOLDER ROW - ",""),'C-Design&amp;Const'!Z197,IF(E197="N","",J197))</f>
        <v>PLACEHOLDER ROW - CUSTOM ROW - OPTIONAL CLIENT ITEM</v>
      </c>
      <c r="I197" s="184"/>
      <c r="J197" s="578" t="str">
        <f>IF('C-Design&amp;Const'!AH197="","",'C-Design&amp;Const'!AH197)</f>
        <v/>
      </c>
      <c r="K197" s="285" t="str">
        <f>IF(CD50_apply="Yes",IF((COUNTIF(D197:G197,"Y")=COUNTIF('03 - 50% CD'!D197:G197,"Y")),"match","no 50% match"),"-")</f>
        <v>match</v>
      </c>
      <c r="L197" s="1410" t="str">
        <f t="shared" si="10"/>
        <v>&lt;---PM/Planner may hide PLACEHOLDER ROW</v>
      </c>
      <c r="M197" s="1382"/>
      <c r="N197" s="1333"/>
      <c r="O197" s="1382"/>
      <c r="P197" s="1382"/>
      <c r="Q197" s="1382"/>
      <c r="R197" s="1382"/>
      <c r="S197" s="1284"/>
      <c r="T197" s="1382"/>
      <c r="U197" s="1382"/>
      <c r="V197" s="1382"/>
      <c r="W197" s="1382"/>
      <c r="X197" s="1382"/>
      <c r="Y197" s="1382"/>
      <c r="Z197" s="1382"/>
      <c r="AA197" s="1382"/>
      <c r="AB197" s="1382"/>
      <c r="AC197" s="1382"/>
      <c r="AD197" s="1382"/>
      <c r="AE197" s="1382"/>
      <c r="AF197" s="1382"/>
      <c r="AG197" s="1382"/>
      <c r="AH197" s="1382"/>
      <c r="AI197" s="1382"/>
      <c r="AJ197" s="1382"/>
      <c r="AK197" s="181"/>
      <c r="AL197" s="181"/>
      <c r="AM197" s="181"/>
      <c r="AN197" s="181"/>
      <c r="AO197" s="181"/>
      <c r="AP197" s="181"/>
      <c r="AQ197" s="181"/>
      <c r="AR197" s="181"/>
      <c r="AS197" s="181"/>
      <c r="AT197" s="181"/>
      <c r="AU197" s="181"/>
      <c r="AV197" s="181"/>
      <c r="AW197" s="181"/>
    </row>
    <row r="198" spans="1:50" s="30" customFormat="1" ht="15" customHeight="1" x14ac:dyDescent="0.25">
      <c r="A198" s="1510" t="str">
        <f>IF(CD50_apply="Yes",IF(COUNTIF('03 - 50% CD'!D198:G198,"Y")&gt;0,"Y",IF(COUNTIF('03 - 50% CD'!D198:G198,"N"),"N","")),"")</f>
        <v>N</v>
      </c>
      <c r="B198" s="191"/>
      <c r="C198" s="944"/>
      <c r="D198" s="463"/>
      <c r="E198" s="559" t="str">
        <f>IF('C-Design&amp;Const'!$O198="","",'C-Design&amp;Const'!$O198)</f>
        <v>N</v>
      </c>
      <c r="F198" s="461"/>
      <c r="G198" s="291"/>
      <c r="H198" s="358" t="str">
        <f>CONCATENATE(IF(E198="N","PLACEHOLDER ROW - ",""),'C-Design&amp;Const'!Z198,IF(E198="N","",J198))</f>
        <v>PLACEHOLDER ROW - CUSTOM ROW - OPTIONAL CLIENT ITEM</v>
      </c>
      <c r="I198" s="184"/>
      <c r="J198" s="578" t="str">
        <f>IF('C-Design&amp;Const'!AH198="","",'C-Design&amp;Const'!AH198)</f>
        <v/>
      </c>
      <c r="K198" s="285" t="str">
        <f>IF(CD50_apply="Yes",IF((COUNTIF(D198:G198,"Y")=COUNTIF('03 - 50% CD'!D198:G198,"Y")),"match","no 50% match"),"-")</f>
        <v>match</v>
      </c>
      <c r="L198" s="1410" t="str">
        <f t="shared" si="10"/>
        <v>&lt;---PM/Planner may hide PLACEHOLDER ROW</v>
      </c>
      <c r="M198" s="1382"/>
      <c r="N198" s="1382"/>
      <c r="O198" s="1382"/>
      <c r="P198" s="1382"/>
      <c r="Q198" s="1382"/>
      <c r="R198" s="1382"/>
      <c r="S198" s="1284"/>
      <c r="T198" s="1382"/>
      <c r="U198" s="1382"/>
      <c r="V198" s="1382"/>
      <c r="W198" s="1382"/>
      <c r="X198" s="1382"/>
      <c r="Y198" s="1382"/>
      <c r="Z198" s="1382"/>
      <c r="AA198" s="1382"/>
      <c r="AB198" s="1382"/>
      <c r="AC198" s="1382"/>
      <c r="AD198" s="1382"/>
      <c r="AE198" s="1382"/>
      <c r="AF198" s="1382"/>
      <c r="AG198" s="1382"/>
      <c r="AH198" s="1382"/>
      <c r="AI198" s="1382"/>
      <c r="AJ198" s="1382"/>
      <c r="AK198" s="181"/>
      <c r="AL198" s="181"/>
      <c r="AM198" s="181"/>
      <c r="AN198" s="181"/>
      <c r="AO198" s="181"/>
      <c r="AP198" s="181"/>
      <c r="AQ198" s="181"/>
      <c r="AR198" s="181"/>
      <c r="AS198" s="181"/>
      <c r="AT198" s="181"/>
      <c r="AU198" s="181"/>
      <c r="AV198" s="181"/>
      <c r="AW198" s="181"/>
    </row>
    <row r="199" spans="1:50" s="30" customFormat="1" ht="15" hidden="1" customHeight="1" x14ac:dyDescent="0.25">
      <c r="A199" s="1510" t="str">
        <f>IF(CD50_apply="Yes",IF(COUNTIF('03 - 50% CD'!D199:G199,"Y")&gt;0,"Y",IF(COUNTIF('03 - 50% CD'!D199:G199,"N"),"N","")),"")</f>
        <v>N</v>
      </c>
      <c r="B199" s="191"/>
      <c r="C199" s="944"/>
      <c r="D199" s="463"/>
      <c r="E199" s="559" t="str">
        <f>IF('C-Design&amp;Const'!$O199="","",'C-Design&amp;Const'!$O199)</f>
        <v>N</v>
      </c>
      <c r="F199" s="461"/>
      <c r="G199" s="291"/>
      <c r="H199" s="358" t="str">
        <f>CONCATENATE(IF(E199="N","PLACEHOLDER ROW - ",""),'C-Design&amp;Const'!Z199,IF(E199="N","",J199))</f>
        <v>PLACEHOLDER ROW - CUSTOM ROW - OPTIONAL CLIENT ITEM</v>
      </c>
      <c r="I199" s="184"/>
      <c r="J199" s="578" t="str">
        <f>IF('C-Design&amp;Const'!AH199="","",'C-Design&amp;Const'!AH199)</f>
        <v/>
      </c>
      <c r="K199" s="285" t="str">
        <f>IF(CD50_apply="Yes",IF((COUNTIF(D199:G199,"Y")=COUNTIF('03 - 50% CD'!D199:G199,"Y")),"match","no 50% match"),"-")</f>
        <v>match</v>
      </c>
      <c r="L199" s="1410" t="str">
        <f t="shared" si="10"/>
        <v>&lt;---PM/Planner may hide PLACEHOLDER ROW</v>
      </c>
      <c r="M199" s="1382"/>
      <c r="N199" s="1382"/>
      <c r="O199" s="1382"/>
      <c r="P199" s="1382"/>
      <c r="Q199" s="1382"/>
      <c r="R199" s="1382"/>
      <c r="S199" s="1284"/>
      <c r="T199" s="1382"/>
      <c r="U199" s="1382"/>
      <c r="V199" s="1382"/>
      <c r="W199" s="1382"/>
      <c r="X199" s="1382"/>
      <c r="Y199" s="1382"/>
      <c r="Z199" s="1382"/>
      <c r="AA199" s="1382"/>
      <c r="AB199" s="1382"/>
      <c r="AC199" s="1382"/>
      <c r="AD199" s="1382"/>
      <c r="AE199" s="1382"/>
      <c r="AF199" s="1382"/>
      <c r="AG199" s="1382"/>
      <c r="AH199" s="1382"/>
      <c r="AI199" s="1382"/>
      <c r="AJ199" s="1382"/>
      <c r="AK199" s="181"/>
      <c r="AL199" s="181"/>
      <c r="AM199" s="181"/>
      <c r="AN199" s="181"/>
      <c r="AO199" s="181"/>
      <c r="AP199" s="181"/>
      <c r="AQ199" s="181"/>
      <c r="AR199" s="181"/>
      <c r="AS199" s="181"/>
      <c r="AT199" s="181"/>
      <c r="AU199" s="181"/>
      <c r="AV199" s="181"/>
      <c r="AW199" s="181"/>
    </row>
    <row r="200" spans="1:50" s="17" customFormat="1" hidden="1" x14ac:dyDescent="0.25">
      <c r="A200" s="1510" t="str">
        <f>IF(CD50_apply="Yes",IF(COUNTIF('03 - 50% CD'!D200:G200,"Y")&gt;0,"Y",IF(COUNTIF('03 - 50% CD'!D200:G200,"N"),"N","")),"")</f>
        <v>N</v>
      </c>
      <c r="B200" s="141"/>
      <c r="C200" s="944"/>
      <c r="D200" s="321"/>
      <c r="E200" s="559" t="str">
        <f>IF('C-Design&amp;Const'!$O200="","",'C-Design&amp;Const'!$O200)</f>
        <v>N</v>
      </c>
      <c r="F200" s="460"/>
      <c r="G200" s="485"/>
      <c r="H200" s="358" t="str">
        <f>CONCATENATE(IF(E200="N","PLACEHOLDER ROW - ",""),'C-Design&amp;Const'!Z200,IF(E200="N","",J200))</f>
        <v>PLACEHOLDER ROW - CUSTOM ROW - OPTIONAL CLIENT ITEM</v>
      </c>
      <c r="I200" s="136"/>
      <c r="J200" s="578" t="str">
        <f>IF('C-Design&amp;Const'!AH200="","",'C-Design&amp;Const'!AH200)</f>
        <v/>
      </c>
      <c r="K200" s="285" t="str">
        <f>IF(CD50_apply="Yes",IF((COUNTIF(D200:G200,"Y")=COUNTIF('03 - 50% CD'!D200:G200,"Y")),"match","no 50% match"),"-")</f>
        <v>match</v>
      </c>
      <c r="L200" s="1410" t="str">
        <f t="shared" si="10"/>
        <v>&lt;---PM/Planner may hide PLACEHOLDER ROW</v>
      </c>
      <c r="M200" s="1333"/>
      <c r="N200" s="1382"/>
      <c r="O200" s="1333"/>
      <c r="P200" s="1333"/>
      <c r="Q200" s="1333"/>
      <c r="R200" s="1453"/>
      <c r="S200" s="1284"/>
      <c r="T200" s="1382"/>
      <c r="U200" s="1382"/>
      <c r="V200" s="1333"/>
      <c r="W200" s="1333"/>
      <c r="X200" s="1333"/>
      <c r="Y200" s="1333"/>
      <c r="Z200" s="1333"/>
      <c r="AA200" s="1333"/>
      <c r="AB200" s="1333"/>
      <c r="AC200" s="1333"/>
      <c r="AD200" s="1333"/>
      <c r="AE200" s="1333"/>
      <c r="AF200" s="1333"/>
      <c r="AG200" s="1333"/>
      <c r="AH200" s="1333"/>
      <c r="AI200" s="1333"/>
      <c r="AJ200" s="1333"/>
      <c r="AX200"/>
    </row>
    <row r="201" spans="1:50" s="30" customFormat="1" ht="15" hidden="1" customHeight="1" x14ac:dyDescent="0.25">
      <c r="A201" s="1510" t="str">
        <f>IF(CD50_apply="Yes",IF(COUNTIF('03 - 50% CD'!D201:G201,"Y")&gt;0,"Y",IF(COUNTIF('03 - 50% CD'!D201:G201,"N"),"N","")),"")</f>
        <v>N</v>
      </c>
      <c r="B201" s="191"/>
      <c r="C201" s="944"/>
      <c r="D201" s="463"/>
      <c r="E201" s="559" t="str">
        <f>IF('C-Design&amp;Const'!$O201="","",'C-Design&amp;Const'!$O201)</f>
        <v>N</v>
      </c>
      <c r="F201" s="461"/>
      <c r="G201" s="291"/>
      <c r="H201" s="358" t="str">
        <f>CONCATENATE(IF(E201="N","PLACEHOLDER ROW - ",""),'C-Design&amp;Const'!Z201,IF(E201="N","",J201))</f>
        <v>PLACEHOLDER ROW - CUSTOM ROW - OPTIONAL CLIENT ITEM</v>
      </c>
      <c r="I201" s="184"/>
      <c r="J201" s="578" t="str">
        <f>IF('C-Design&amp;Const'!AH201="","",'C-Design&amp;Const'!AH201)</f>
        <v/>
      </c>
      <c r="K201" s="285" t="str">
        <f>IF(CD50_apply="Yes",IF((COUNTIF(D201:G201,"Y")=COUNTIF('03 - 50% CD'!D201:G201,"Y")),"match","no 50% match"),"-")</f>
        <v>match</v>
      </c>
      <c r="L201" s="1410" t="str">
        <f t="shared" si="10"/>
        <v>&lt;---PM/Planner may hide PLACEHOLDER ROW</v>
      </c>
      <c r="M201" s="1382"/>
      <c r="N201" s="1382"/>
      <c r="O201" s="1382"/>
      <c r="P201" s="1382"/>
      <c r="Q201" s="1382"/>
      <c r="R201" s="1382"/>
      <c r="S201" s="1284"/>
      <c r="T201" s="1382"/>
      <c r="U201" s="1382"/>
      <c r="V201" s="1382"/>
      <c r="W201" s="1382"/>
      <c r="X201" s="1382"/>
      <c r="Y201" s="1382"/>
      <c r="Z201" s="1382"/>
      <c r="AA201" s="1382"/>
      <c r="AB201" s="1382"/>
      <c r="AC201" s="1382"/>
      <c r="AD201" s="1382"/>
      <c r="AE201" s="1382"/>
      <c r="AF201" s="1382"/>
      <c r="AG201" s="1382"/>
      <c r="AH201" s="1382"/>
      <c r="AI201" s="1382"/>
      <c r="AJ201" s="1382"/>
      <c r="AK201" s="181"/>
      <c r="AL201" s="181"/>
      <c r="AM201" s="181"/>
      <c r="AN201" s="181"/>
      <c r="AO201" s="181"/>
      <c r="AP201" s="181"/>
      <c r="AQ201" s="181"/>
      <c r="AR201" s="181"/>
      <c r="AS201" s="181"/>
      <c r="AT201" s="181"/>
      <c r="AU201" s="181"/>
      <c r="AV201" s="181"/>
      <c r="AW201" s="181"/>
    </row>
    <row r="202" spans="1:50" s="17" customFormat="1" hidden="1" x14ac:dyDescent="0.25">
      <c r="A202" s="1510" t="str">
        <f>IF(CD50_apply="Yes",IF(COUNTIF('03 - 50% CD'!D202:G202,"Y")&gt;0,"Y",IF(COUNTIF('03 - 50% CD'!D202:G202,"N"),"N","")),"")</f>
        <v>N</v>
      </c>
      <c r="B202" s="141"/>
      <c r="C202" s="944"/>
      <c r="D202" s="321"/>
      <c r="E202" s="559" t="str">
        <f>IF('C-Design&amp;Const'!$O202="","",'C-Design&amp;Const'!$O202)</f>
        <v>N</v>
      </c>
      <c r="F202" s="460"/>
      <c r="G202" s="485"/>
      <c r="H202" s="358" t="str">
        <f>CONCATENATE(IF(E202="N","PLACEHOLDER ROW - ",""),'C-Design&amp;Const'!Z202,IF(E202="N","",J202))</f>
        <v>PLACEHOLDER ROW - CUSTOM ROW - OPTIONAL CLIENT ITEM</v>
      </c>
      <c r="I202" s="136"/>
      <c r="J202" s="578" t="str">
        <f>IF('C-Design&amp;Const'!AH202="","",'C-Design&amp;Const'!AH202)</f>
        <v/>
      </c>
      <c r="K202" s="285" t="str">
        <f>IF(CD50_apply="Yes",IF((COUNTIF(D202:G202,"Y")=COUNTIF('03 - 50% CD'!D202:G202,"Y")),"match","no 50% match"),"-")</f>
        <v>match</v>
      </c>
      <c r="L202" s="1410" t="str">
        <f t="shared" si="10"/>
        <v>&lt;---PM/Planner may hide PLACEHOLDER ROW</v>
      </c>
      <c r="M202" s="1333"/>
      <c r="N202" s="1382"/>
      <c r="O202" s="1333"/>
      <c r="P202" s="1333"/>
      <c r="Q202" s="1333"/>
      <c r="R202" s="1453"/>
      <c r="S202" s="1284"/>
      <c r="T202" s="1382"/>
      <c r="U202" s="1382"/>
      <c r="V202" s="1333"/>
      <c r="W202" s="1333"/>
      <c r="X202" s="1333"/>
      <c r="Y202" s="1333"/>
      <c r="Z202" s="1333"/>
      <c r="AA202" s="1333"/>
      <c r="AB202" s="1333"/>
      <c r="AC202" s="1333"/>
      <c r="AD202" s="1333"/>
      <c r="AE202" s="1333"/>
      <c r="AF202" s="1333"/>
      <c r="AG202" s="1333"/>
      <c r="AH202" s="1333"/>
      <c r="AI202" s="1333"/>
      <c r="AJ202" s="1333"/>
      <c r="AX202"/>
    </row>
    <row r="203" spans="1:50" s="17" customFormat="1" hidden="1" x14ac:dyDescent="0.25">
      <c r="A203" s="1510" t="str">
        <f>IF(CD50_apply="Yes",IF(COUNTIF('03 - 50% CD'!D203:G203,"Y")&gt;0,"Y",IF(COUNTIF('03 - 50% CD'!D203:G203,"N"),"N","")),"")</f>
        <v>N</v>
      </c>
      <c r="B203" s="141"/>
      <c r="C203" s="944"/>
      <c r="D203" s="321"/>
      <c r="E203" s="559" t="str">
        <f>IF('C-Design&amp;Const'!$O203="","",'C-Design&amp;Const'!$O203)</f>
        <v>N</v>
      </c>
      <c r="F203" s="460"/>
      <c r="G203" s="485"/>
      <c r="H203" s="358" t="str">
        <f>CONCATENATE(IF(E203="N","PLACEHOLDER ROW - ",""),'C-Design&amp;Const'!Z203,IF(E203="N","",J203))</f>
        <v>PLACEHOLDER ROW - CUSTOM ROW - OPTIONAL CLIENT ITEM</v>
      </c>
      <c r="I203" s="136"/>
      <c r="J203" s="578" t="str">
        <f>IF('C-Design&amp;Const'!AH203="","",'C-Design&amp;Const'!AH203)</f>
        <v/>
      </c>
      <c r="K203" s="285" t="str">
        <f>IF(CD50_apply="Yes",IF((COUNTIF(D203:G203,"Y")=COUNTIF('03 - 50% CD'!D203:G203,"Y")),"match","no 50% match"),"-")</f>
        <v>match</v>
      </c>
      <c r="L203" s="1410" t="str">
        <f t="shared" si="10"/>
        <v>&lt;---PM/Planner may hide PLACEHOLDER ROW</v>
      </c>
      <c r="M203" s="1333"/>
      <c r="N203" s="1382"/>
      <c r="O203" s="1333"/>
      <c r="P203" s="1333"/>
      <c r="Q203" s="1333"/>
      <c r="R203" s="1453"/>
      <c r="S203" s="1284"/>
      <c r="T203" s="1382"/>
      <c r="U203" s="1382"/>
      <c r="V203" s="1333"/>
      <c r="W203" s="1333"/>
      <c r="X203" s="1333"/>
      <c r="Y203" s="1333"/>
      <c r="Z203" s="1333"/>
      <c r="AA203" s="1333"/>
      <c r="AB203" s="1333"/>
      <c r="AC203" s="1333"/>
      <c r="AD203" s="1333"/>
      <c r="AE203" s="1333"/>
      <c r="AF203" s="1333"/>
      <c r="AG203" s="1333"/>
      <c r="AH203" s="1333"/>
      <c r="AI203" s="1333"/>
      <c r="AJ203" s="1333"/>
      <c r="AX203"/>
    </row>
    <row r="204" spans="1:50" s="17" customFormat="1" hidden="1" x14ac:dyDescent="0.25">
      <c r="A204" s="1510" t="str">
        <f>IF(CD50_apply="Yes",IF(COUNTIF('03 - 50% CD'!D204:G204,"Y")&gt;0,"Y",IF(COUNTIF('03 - 50% CD'!D204:G204,"N"),"N","")),"")</f>
        <v>N</v>
      </c>
      <c r="B204" s="141"/>
      <c r="C204" s="944"/>
      <c r="D204" s="321"/>
      <c r="E204" s="559" t="str">
        <f>IF('C-Design&amp;Const'!$O204="","",'C-Design&amp;Const'!$O204)</f>
        <v>N</v>
      </c>
      <c r="F204" s="460"/>
      <c r="G204" s="485"/>
      <c r="H204" s="358" t="str">
        <f>CONCATENATE(IF(E204="N","PLACEHOLDER ROW - ",""),'C-Design&amp;Const'!Z204,IF(E204="N","",J204))</f>
        <v>PLACEHOLDER ROW - CUSTOM ROW - OPTIONAL CLIENT ITEM</v>
      </c>
      <c r="I204" s="136"/>
      <c r="J204" s="578" t="str">
        <f>IF('C-Design&amp;Const'!AH204="","",'C-Design&amp;Const'!AH204)</f>
        <v/>
      </c>
      <c r="K204" s="285" t="str">
        <f>IF(CD50_apply="Yes",IF((COUNTIF(D204:G204,"Y")=COUNTIF('03 - 50% CD'!D204:G204,"Y")),"match","no 50% match"),"-")</f>
        <v>match</v>
      </c>
      <c r="L204" s="1410" t="str">
        <f t="shared" si="10"/>
        <v>&lt;---PM/Planner may hide PLACEHOLDER ROW</v>
      </c>
      <c r="M204" s="1333"/>
      <c r="N204" s="1382"/>
      <c r="O204" s="1333"/>
      <c r="P204" s="1333"/>
      <c r="Q204" s="1333"/>
      <c r="R204" s="1453"/>
      <c r="S204" s="1284"/>
      <c r="T204" s="1382"/>
      <c r="U204" s="1382"/>
      <c r="V204" s="1333"/>
      <c r="W204" s="1333"/>
      <c r="X204" s="1333"/>
      <c r="Y204" s="1333"/>
      <c r="Z204" s="1333"/>
      <c r="AA204" s="1333"/>
      <c r="AB204" s="1333"/>
      <c r="AC204" s="1333"/>
      <c r="AD204" s="1333"/>
      <c r="AE204" s="1333"/>
      <c r="AF204" s="1333"/>
      <c r="AG204" s="1333"/>
      <c r="AH204" s="1333"/>
      <c r="AI204" s="1333"/>
      <c r="AJ204" s="1333"/>
      <c r="AX204"/>
    </row>
    <row r="205" spans="1:50" s="17" customFormat="1" ht="15.75" x14ac:dyDescent="0.25">
      <c r="A205" s="1501" t="str">
        <f>IF(CD50_apply="Yes",IF(COUNTIF('03 - 50% CD'!D205:G205,"Y")&gt;0,"Y",IF(COUNTIF('03 - 50% CD'!D205:G205,"N"),"N","")),"")</f>
        <v/>
      </c>
      <c r="B205" s="141"/>
      <c r="C205" s="944"/>
      <c r="D205" s="411"/>
      <c r="E205" s="411"/>
      <c r="F205" s="321"/>
      <c r="G205" s="294"/>
      <c r="H205" s="420" t="str">
        <f>CONCATENATE(IF(E205="N","PLACEHOLDER ROW - ",""),'C-Design&amp;Const'!Z205,IF(E205="N","",J205))</f>
        <v/>
      </c>
      <c r="I205" s="130"/>
      <c r="J205" s="578" t="str">
        <f>IF('C-Design&amp;Const'!AH205="","",'C-Design&amp;Const'!AH205)</f>
        <v/>
      </c>
      <c r="K205" s="285" t="str">
        <f>IF(CD50_apply="Yes",IF((COUNTIF(D205:G205,"Y")=COUNTIF('03 - 50% CD'!D205:G205,"Y")),"match","no 50% match"),"-")</f>
        <v>match</v>
      </c>
      <c r="L205" s="1410" t="str">
        <f t="shared" si="10"/>
        <v/>
      </c>
      <c r="M205" s="1333"/>
      <c r="N205" s="1382"/>
      <c r="O205" s="1333"/>
      <c r="P205" s="1333"/>
      <c r="Q205" s="1333"/>
      <c r="R205" s="1453"/>
      <c r="S205" s="1284"/>
      <c r="T205" s="1382"/>
      <c r="U205" s="1382"/>
      <c r="V205" s="1333"/>
      <c r="W205" s="1333"/>
      <c r="X205" s="1333"/>
      <c r="Y205" s="1333"/>
      <c r="Z205" s="1333"/>
      <c r="AA205" s="1333"/>
      <c r="AB205" s="1333"/>
      <c r="AC205" s="1333"/>
      <c r="AD205" s="1333"/>
      <c r="AE205" s="1333"/>
      <c r="AF205" s="1333"/>
      <c r="AG205" s="1333"/>
      <c r="AH205" s="1333"/>
      <c r="AI205" s="1333"/>
      <c r="AJ205" s="1333"/>
    </row>
    <row r="206" spans="1:50" s="181" customFormat="1" ht="18.75" x14ac:dyDescent="0.25">
      <c r="A206" s="1448" t="str">
        <f>IF(CD50_apply="Yes",IF(COUNTIF('03 - 50% CD'!D206:G206,"Y")&gt;0,"Y",IF(COUNTIF('03 - 50% CD'!D206:G206,"N"),"N","")),"")</f>
        <v>Y</v>
      </c>
      <c r="B206" s="177"/>
      <c r="C206" s="948"/>
      <c r="D206" s="359" t="str">
        <f>IF('C-Design&amp;Const'!$O206="","",'C-Design&amp;Const'!$O206)</f>
        <v>Y</v>
      </c>
      <c r="E206" s="234"/>
      <c r="F206" s="235"/>
      <c r="G206" s="291" t="str">
        <f>IF('C-Design&amp;Const'!Y206="","",'C-Design&amp;Const'!Y206)</f>
        <v>07a.</v>
      </c>
      <c r="H206" s="290" t="str">
        <f>(CONCATENATE('C-Design&amp;Const'!Z206,IF(D206="N"," Not Used In This Design Phase",J206)))</f>
        <v>Drawing Set (Updates - Including Bid Alts.)</v>
      </c>
      <c r="I206" s="184"/>
      <c r="J206" s="578" t="str">
        <f>IF('C-Design&amp;Const'!AH206="","",'C-Design&amp;Const'!AH206)</f>
        <v xml:space="preserve"> (Updates - Including Bid Alts.)</v>
      </c>
      <c r="K206" s="285" t="str">
        <f>IF(CD50_apply="Yes",IF((COUNTIF(D206:G206,"Y")=COUNTIF('03 - 50% CD'!D206:G206,"Y")),"match","no 50% match"),"-")</f>
        <v>match</v>
      </c>
      <c r="L206" s="1410" t="str">
        <f t="shared" si="10"/>
        <v/>
      </c>
      <c r="M206" s="1382"/>
      <c r="N206" s="1333"/>
      <c r="O206" s="1382"/>
      <c r="P206" s="1382"/>
      <c r="Q206" s="1382"/>
      <c r="R206" s="1447"/>
      <c r="S206" s="1284"/>
      <c r="T206" s="1382"/>
      <c r="U206" s="1382"/>
      <c r="V206" s="1382"/>
      <c r="W206" s="1382"/>
      <c r="X206" s="1382"/>
      <c r="Y206" s="1382"/>
      <c r="Z206" s="1382"/>
      <c r="AA206" s="1382"/>
      <c r="AB206" s="1382"/>
      <c r="AC206" s="1382"/>
      <c r="AD206" s="1382"/>
      <c r="AE206" s="1382"/>
      <c r="AF206" s="1382"/>
      <c r="AG206" s="1382"/>
      <c r="AH206" s="1382"/>
      <c r="AI206" s="1382"/>
      <c r="AJ206" s="1382"/>
    </row>
    <row r="207" spans="1:50" s="17" customFormat="1" x14ac:dyDescent="0.25">
      <c r="A207" s="1518" t="str">
        <f>IF(CD50_apply="Yes",IF(COUNTIF('03 - 50% CD'!D207:G207,"Y")&gt;0,"Y",IF(COUNTIF('03 - 50% CD'!D207:G207,"N"),"N","")),"")</f>
        <v>Y</v>
      </c>
      <c r="B207" s="141"/>
      <c r="C207" s="944"/>
      <c r="D207" s="411"/>
      <c r="E207" s="321"/>
      <c r="F207" s="559" t="str">
        <f>IF('C-Design&amp;Const'!$O207="","",'C-Design&amp;Const'!$O207)</f>
        <v>Y</v>
      </c>
      <c r="G207" s="485"/>
      <c r="H207" s="355" t="str">
        <f>CONCATENATE(IF(F207="N","PLACEHOLDER ROW - ",""),'C-Design&amp;Const'!Z207,IF(F207="N","",J207))</f>
        <v>Title Sheet (Complete)</v>
      </c>
      <c r="I207" s="137"/>
      <c r="J207" s="578" t="str">
        <f>IF('C-Design&amp;Const'!AH207="","",'C-Design&amp;Const'!AH207)</f>
        <v>(Complete)</v>
      </c>
      <c r="K207" s="285" t="str">
        <f>IF(CD50_apply="Yes",IF((COUNTIF(D207:G207,"Y")=COUNTIF('03 - 50% CD'!D207:G207,"Y")),"match","no 50% match"),"-")</f>
        <v>match</v>
      </c>
      <c r="L207" s="1410" t="str">
        <f t="shared" si="10"/>
        <v/>
      </c>
      <c r="M207" s="1333"/>
      <c r="N207" s="1333"/>
      <c r="O207" s="1333"/>
      <c r="P207" s="1333"/>
      <c r="Q207" s="1333"/>
      <c r="R207" s="1453"/>
      <c r="S207" s="1284"/>
      <c r="T207" s="1382"/>
      <c r="U207" s="1382"/>
      <c r="V207" s="1333"/>
      <c r="W207" s="1333"/>
      <c r="X207" s="1333"/>
      <c r="Y207" s="1333"/>
      <c r="Z207" s="1333"/>
      <c r="AA207" s="1333"/>
      <c r="AB207" s="1333"/>
      <c r="AC207" s="1333"/>
      <c r="AD207" s="1333"/>
      <c r="AE207" s="1333"/>
      <c r="AF207" s="1333"/>
      <c r="AG207" s="1333"/>
      <c r="AH207" s="1333"/>
      <c r="AI207" s="1333"/>
      <c r="AJ207" s="1333"/>
    </row>
    <row r="208" spans="1:50" s="30" customFormat="1" ht="15" customHeight="1" x14ac:dyDescent="0.25">
      <c r="A208" s="1518" t="str">
        <f>IF(CD50_apply="Yes",IF(COUNTIF('03 - 50% CD'!D208:G208,"Y")&gt;0,"Y",IF(COUNTIF('03 - 50% CD'!D208:G208,"N"),"N","")),"")</f>
        <v>Y</v>
      </c>
      <c r="B208" s="191"/>
      <c r="C208" s="944"/>
      <c r="D208" s="463"/>
      <c r="E208" s="463"/>
      <c r="F208" s="359" t="str">
        <f>IF('C-Design&amp;Const'!$O208="","",'C-Design&amp;Const'!$O208)</f>
        <v>Y</v>
      </c>
      <c r="G208" s="291"/>
      <c r="H208" s="341" t="str">
        <f>CONCATENATE(IF(F208="N","PLACEHOLDER ROW - ",""),'C-Design&amp;Const'!Z208,IF(F208="N","",J208))</f>
        <v>Code Compliance (Complete)</v>
      </c>
      <c r="I208" s="184"/>
      <c r="J208" s="578" t="str">
        <f>IF('C-Design&amp;Const'!AH208="","",'C-Design&amp;Const'!AH208)</f>
        <v>(Complete)</v>
      </c>
      <c r="K208" s="285" t="str">
        <f>IF(CD50_apply="Yes",IF((COUNTIF(D208:G208,"Y")=COUNTIF('03 - 50% CD'!D208:G208,"Y")),"match","no 50% match"),"-")</f>
        <v>match</v>
      </c>
      <c r="L208" s="1410" t="str">
        <f t="shared" si="10"/>
        <v/>
      </c>
      <c r="M208" s="1382"/>
      <c r="N208" s="1333"/>
      <c r="O208" s="1382"/>
      <c r="P208" s="1382"/>
      <c r="Q208" s="1382"/>
      <c r="R208" s="1382"/>
      <c r="S208" s="1284"/>
      <c r="T208" s="1382"/>
      <c r="U208" s="1382"/>
      <c r="V208" s="1382"/>
      <c r="W208" s="1382"/>
      <c r="X208" s="1382"/>
      <c r="Y208" s="1382"/>
      <c r="Z208" s="1382"/>
      <c r="AA208" s="1382"/>
      <c r="AB208" s="1382"/>
      <c r="AC208" s="1382"/>
      <c r="AD208" s="1382"/>
      <c r="AE208" s="1382"/>
      <c r="AF208" s="1382"/>
      <c r="AG208" s="1382"/>
      <c r="AH208" s="1382"/>
      <c r="AI208" s="1382"/>
      <c r="AJ208" s="1382"/>
      <c r="AK208" s="181"/>
      <c r="AL208" s="181"/>
      <c r="AM208" s="181"/>
      <c r="AN208" s="181"/>
      <c r="AO208" s="181"/>
      <c r="AP208" s="181"/>
      <c r="AQ208" s="181"/>
      <c r="AR208" s="181"/>
      <c r="AS208" s="181"/>
      <c r="AT208" s="181"/>
      <c r="AU208" s="181"/>
      <c r="AV208" s="181"/>
      <c r="AW208" s="181"/>
    </row>
    <row r="209" spans="1:49" s="30" customFormat="1" ht="15" customHeight="1" x14ac:dyDescent="0.25">
      <c r="A209" s="1518" t="str">
        <f>IF(CD50_apply="Yes",IF(COUNTIF('03 - 50% CD'!D209:G209,"Y")&gt;0,"Y",IF(COUNTIF('03 - 50% CD'!D209:G209,"N"),"N","")),"")</f>
        <v>Y</v>
      </c>
      <c r="B209" s="191"/>
      <c r="C209" s="944"/>
      <c r="D209" s="463"/>
      <c r="E209" s="463"/>
      <c r="F209" s="359" t="str">
        <f>IF('C-Design&amp;Const'!$O209="","",'C-Design&amp;Const'!$O209)</f>
        <v>Y</v>
      </c>
      <c r="G209" s="291"/>
      <c r="H209" s="341" t="str">
        <f>CONCATENATE(IF(F209="N","PLACEHOLDER ROW - ",""),'C-Design&amp;Const'!Z209,IF(F209="N","",J209))</f>
        <v>Life Safety (Complete)</v>
      </c>
      <c r="I209" s="184"/>
      <c r="J209" s="578" t="str">
        <f>IF('C-Design&amp;Const'!AH209="","",'C-Design&amp;Const'!AH209)</f>
        <v>(Complete)</v>
      </c>
      <c r="K209" s="285" t="str">
        <f>IF(CD50_apply="Yes",IF((COUNTIF(D209:G209,"Y")=COUNTIF('03 - 50% CD'!D209:G209,"Y")),"match","no 50% match"),"-")</f>
        <v>match</v>
      </c>
      <c r="L209" s="1410" t="str">
        <f t="shared" si="10"/>
        <v/>
      </c>
      <c r="M209" s="1382"/>
      <c r="N209" s="1333"/>
      <c r="O209" s="1382"/>
      <c r="P209" s="1382"/>
      <c r="Q209" s="1382"/>
      <c r="R209" s="1382"/>
      <c r="S209" s="1284"/>
      <c r="T209" s="1382"/>
      <c r="U209" s="1382"/>
      <c r="V209" s="1382"/>
      <c r="W209" s="1382"/>
      <c r="X209" s="1382"/>
      <c r="Y209" s="1382"/>
      <c r="Z209" s="1382"/>
      <c r="AA209" s="1382"/>
      <c r="AB209" s="1382"/>
      <c r="AC209" s="1382"/>
      <c r="AD209" s="1382"/>
      <c r="AE209" s="1382"/>
      <c r="AF209" s="1382"/>
      <c r="AG209" s="1382"/>
      <c r="AH209" s="1382"/>
      <c r="AI209" s="1382"/>
      <c r="AJ209" s="1382"/>
      <c r="AK209" s="181"/>
      <c r="AL209" s="181"/>
      <c r="AM209" s="181"/>
      <c r="AN209" s="181"/>
      <c r="AO209" s="181"/>
      <c r="AP209" s="181"/>
      <c r="AQ209" s="181"/>
      <c r="AR209" s="181"/>
      <c r="AS209" s="181"/>
      <c r="AT209" s="181"/>
      <c r="AU209" s="181"/>
      <c r="AV209" s="181"/>
      <c r="AW209" s="181"/>
    </row>
    <row r="210" spans="1:49" s="30" customFormat="1" ht="15" customHeight="1" x14ac:dyDescent="0.25">
      <c r="A210" s="1518" t="str">
        <f>IF(CD50_apply="Yes",IF(COUNTIF('03 - 50% CD'!D210:G210,"Y")&gt;0,"Y",IF(COUNTIF('03 - 50% CD'!D210:G210,"N"),"N","")),"")</f>
        <v>Y</v>
      </c>
      <c r="B210" s="191"/>
      <c r="C210" s="944"/>
      <c r="D210" s="463"/>
      <c r="E210" s="463"/>
      <c r="F210" s="359" t="str">
        <f>IF('C-Design&amp;Const'!$O210="","",'C-Design&amp;Const'!$O210)</f>
        <v>Y</v>
      </c>
      <c r="G210" s="291"/>
      <c r="H210" s="341" t="str">
        <f>CONCATENATE(IF(F210="N","PLACEHOLDER ROW - ",""),'C-Design&amp;Const'!Z210,IF(F210="N","",J210))</f>
        <v>General Project Info (Complete)</v>
      </c>
      <c r="I210" s="184"/>
      <c r="J210" s="578" t="str">
        <f>IF('C-Design&amp;Const'!AH210="","",'C-Design&amp;Const'!AH210)</f>
        <v>(Complete)</v>
      </c>
      <c r="K210" s="285" t="str">
        <f>IF(CD50_apply="Yes",IF((COUNTIF(D210:G210,"Y")=COUNTIF('03 - 50% CD'!D210:G210,"Y")),"match","no 50% match"),"-")</f>
        <v>match</v>
      </c>
      <c r="L210" s="1410" t="str">
        <f t="shared" si="10"/>
        <v/>
      </c>
      <c r="M210" s="1382"/>
      <c r="N210" s="1333"/>
      <c r="O210" s="1382"/>
      <c r="P210" s="1382"/>
      <c r="Q210" s="1382"/>
      <c r="R210" s="1382"/>
      <c r="S210" s="1284"/>
      <c r="T210" s="1382"/>
      <c r="U210" s="1382"/>
      <c r="V210" s="1382"/>
      <c r="W210" s="1382"/>
      <c r="X210" s="1382"/>
      <c r="Y210" s="1382"/>
      <c r="Z210" s="1382"/>
      <c r="AA210" s="1382"/>
      <c r="AB210" s="1382"/>
      <c r="AC210" s="1382"/>
      <c r="AD210" s="1382"/>
      <c r="AE210" s="1382"/>
      <c r="AF210" s="1382"/>
      <c r="AG210" s="1382"/>
      <c r="AH210" s="1382"/>
      <c r="AI210" s="1382"/>
      <c r="AJ210" s="1382"/>
      <c r="AK210" s="181"/>
      <c r="AL210" s="181"/>
      <c r="AM210" s="181"/>
      <c r="AN210" s="181"/>
      <c r="AO210" s="181"/>
      <c r="AP210" s="181"/>
      <c r="AQ210" s="181"/>
      <c r="AR210" s="181"/>
      <c r="AS210" s="181"/>
      <c r="AT210" s="181"/>
      <c r="AU210" s="181"/>
      <c r="AV210" s="181"/>
      <c r="AW210" s="181"/>
    </row>
    <row r="211" spans="1:49" s="17" customFormat="1" x14ac:dyDescent="0.25">
      <c r="A211" s="1510" t="str">
        <f>IF(CD50_apply="Yes",IF(COUNTIF('03 - 50% CD'!D211:G211,"Y")&gt;0,"Y",IF(COUNTIF('03 - 50% CD'!D211:G211,"N"),"N","")),"")</f>
        <v>Y</v>
      </c>
      <c r="B211" s="141"/>
      <c r="C211" s="944"/>
      <c r="D211" s="411"/>
      <c r="E211" s="559" t="str">
        <f>IF('C-Design&amp;Const'!$O211="","",'C-Design&amp;Const'!$O211)</f>
        <v>Y</v>
      </c>
      <c r="F211" s="478"/>
      <c r="G211" s="485"/>
      <c r="H211" s="356" t="str">
        <f>CONCATENATE(IF(F211="N","PLACEHOLDER ROW - ",""),'C-Design&amp;Const'!Z211,IF(F211="N","",J211))</f>
        <v>Asbestos, Lead Based Paint, &amp; Hazardous Materials Drawings (Including Bid Alts.)</v>
      </c>
      <c r="I211" s="146"/>
      <c r="J211" s="578" t="str">
        <f>IF('C-Design&amp;Const'!AH211="","",'C-Design&amp;Const'!AH211)</f>
        <v xml:space="preserve"> (Including Bid Alts.)</v>
      </c>
      <c r="K211" s="285" t="str">
        <f>IF(CD50_apply="Yes",IF((COUNTIF(D211:G211,"Y")=COUNTIF('03 - 50% CD'!D211:G211,"Y")),"match","no 50% match"),"-")</f>
        <v>match</v>
      </c>
      <c r="L211" s="1410" t="str">
        <f t="shared" ref="L211" si="11">CONCATENATE(IF(ISNUMBER(SEARCH("Placeholder",H211))=TRUE,"&lt;---PM/Planner may hide PLACEHOLDER ROW",""))</f>
        <v/>
      </c>
      <c r="M211" s="1333"/>
      <c r="N211" s="1333"/>
      <c r="O211" s="1333"/>
      <c r="P211" s="1333"/>
      <c r="Q211" s="1333"/>
      <c r="R211" s="1284"/>
      <c r="S211" s="1284"/>
      <c r="T211" s="1382"/>
      <c r="U211" s="1382"/>
      <c r="V211" s="1333"/>
      <c r="W211" s="1333"/>
      <c r="X211" s="1333"/>
      <c r="Y211" s="1333"/>
      <c r="Z211" s="1333"/>
      <c r="AA211" s="1333"/>
      <c r="AB211" s="1333"/>
      <c r="AC211" s="1333"/>
      <c r="AD211" s="1333"/>
      <c r="AE211" s="1333"/>
      <c r="AF211" s="1333"/>
      <c r="AG211" s="1333"/>
      <c r="AH211" s="1333"/>
      <c r="AI211" s="1333"/>
      <c r="AJ211" s="1333"/>
    </row>
    <row r="212" spans="1:49" s="17" customFormat="1" x14ac:dyDescent="0.25">
      <c r="A212" s="1518" t="str">
        <f>IF(CD50_apply="Yes",IF(COUNTIF('03 - 50% CD'!D212:G212,"Y")&gt;0,"Y",IF(COUNTIF('03 - 50% CD'!D212:G212,"N"),"N","")),"")</f>
        <v>N</v>
      </c>
      <c r="B212" s="141"/>
      <c r="C212" s="944"/>
      <c r="D212" s="411"/>
      <c r="E212" s="321"/>
      <c r="F212" s="559" t="str">
        <f>IF('C-Design&amp;Const'!$O212="","",'C-Design&amp;Const'!$O212)</f>
        <v>N</v>
      </c>
      <c r="G212" s="491"/>
      <c r="H212" s="355" t="str">
        <f>CONCATENATE(IF(F212="N","PLACEHOLDER ROW - ",""),'C-Design&amp;Const'!Z212,IF(F212="N","",J212))</f>
        <v>PLACEHOLDER ROW - CUSTOM - Asbestos</v>
      </c>
      <c r="I212" s="151"/>
      <c r="J212" s="578" t="str">
        <f>IF('C-Design&amp;Const'!AH212="","",'C-Design&amp;Const'!AH212)</f>
        <v>(Complete)</v>
      </c>
      <c r="K212" s="285" t="str">
        <f>IF(CD50_apply="Yes",IF((COUNTIF(D212:G212,"Y")=COUNTIF('03 - 50% CD'!D212:G212,"Y")),"match","no 50% match"),"-")</f>
        <v>match</v>
      </c>
      <c r="L212" s="1410" t="str">
        <f>CONCATENATE(IF(ISNUMBER(SEARCH("Placeholder",H212))=TRUE,"&lt;---PM/Planner may hide PLACEHOLDER ROW",""))</f>
        <v>&lt;---PM/Planner may hide PLACEHOLDER ROW</v>
      </c>
      <c r="M212" s="1333"/>
      <c r="N212" s="1333"/>
      <c r="O212" s="1333"/>
      <c r="P212" s="1333"/>
      <c r="Q212" s="1333"/>
      <c r="R212" s="1453"/>
      <c r="S212" s="1284"/>
      <c r="T212" s="1382"/>
      <c r="U212" s="1382"/>
      <c r="V212" s="1333"/>
      <c r="W212" s="1333"/>
      <c r="X212" s="1333"/>
      <c r="Y212" s="1333"/>
      <c r="Z212" s="1333"/>
      <c r="AA212" s="1333"/>
      <c r="AB212" s="1333"/>
      <c r="AC212" s="1333"/>
      <c r="AD212" s="1333"/>
      <c r="AE212" s="1333"/>
      <c r="AF212" s="1333"/>
      <c r="AG212" s="1333"/>
      <c r="AH212" s="1333"/>
      <c r="AI212" s="1333"/>
      <c r="AJ212" s="1333"/>
    </row>
    <row r="213" spans="1:49" s="17" customFormat="1" x14ac:dyDescent="0.25">
      <c r="A213" s="1518" t="str">
        <f>IF(CD50_apply="Yes",IF(COUNTIF('03 - 50% CD'!D213:G213,"Y")&gt;0,"Y",IF(COUNTIF('03 - 50% CD'!D213:G213,"N"),"N","")),"")</f>
        <v>Y</v>
      </c>
      <c r="B213" s="141"/>
      <c r="C213" s="944"/>
      <c r="D213" s="411"/>
      <c r="E213" s="321"/>
      <c r="F213" s="559" t="str">
        <f>IF('C-Design&amp;Const'!$O213="","",'C-Design&amp;Const'!$O213)</f>
        <v>Y</v>
      </c>
      <c r="G213" s="491"/>
      <c r="H213" s="355" t="str">
        <f>CONCATENATE(IF(F213="N","PLACEHOLDER ROW - ",""),'C-Design&amp;Const'!Z213,IF(F213="N","",J213))</f>
        <v>Asbestos Removal, Remediation, Containment (Complete)</v>
      </c>
      <c r="I213" s="151"/>
      <c r="J213" s="578" t="str">
        <f>IF('C-Design&amp;Const'!AH213="","",'C-Design&amp;Const'!AH213)</f>
        <v>(Complete)</v>
      </c>
      <c r="K213" s="285" t="str">
        <f>IF(CD50_apply="Yes",IF((COUNTIF(D213:G213,"Y")=COUNTIF('03 - 50% CD'!D213:G213,"Y")),"match","no 50% match"),"-")</f>
        <v>match</v>
      </c>
      <c r="L213" s="1410" t="str">
        <f>CONCATENATE(IF(ISNUMBER(SEARCH("Placeholder",H213))=TRUE,"&lt;---PM/Planner may hide PLACEHOLDER ROW",""))</f>
        <v/>
      </c>
      <c r="M213" s="1333"/>
      <c r="N213" s="1333"/>
      <c r="O213" s="1333"/>
      <c r="P213" s="1333"/>
      <c r="Q213" s="1333"/>
      <c r="R213" s="1453"/>
      <c r="S213" s="1284"/>
      <c r="T213" s="1382"/>
      <c r="U213" s="1382"/>
      <c r="V213" s="1333"/>
      <c r="W213" s="1333"/>
      <c r="X213" s="1333"/>
      <c r="Y213" s="1333"/>
      <c r="Z213" s="1333"/>
      <c r="AA213" s="1333"/>
      <c r="AB213" s="1333"/>
      <c r="AC213" s="1333"/>
      <c r="AD213" s="1333"/>
      <c r="AE213" s="1333"/>
      <c r="AF213" s="1333"/>
      <c r="AG213" s="1333"/>
      <c r="AH213" s="1333"/>
      <c r="AI213" s="1333"/>
      <c r="AJ213" s="1333"/>
    </row>
    <row r="214" spans="1:49" s="17" customFormat="1" x14ac:dyDescent="0.25">
      <c r="A214" s="1518" t="str">
        <f>IF(CD50_apply="Yes",IF(COUNTIF('03 - 50% CD'!D214:G214,"Y")&gt;0,"Y",IF(COUNTIF('03 - 50% CD'!D214:G214,"N"),"N","")),"")</f>
        <v>N</v>
      </c>
      <c r="B214" s="141"/>
      <c r="C214" s="944"/>
      <c r="D214" s="411"/>
      <c r="E214" s="321"/>
      <c r="F214" s="559" t="str">
        <f>IF('C-Design&amp;Const'!$O214="","",'C-Design&amp;Const'!$O214)</f>
        <v>N</v>
      </c>
      <c r="G214" s="491"/>
      <c r="H214" s="355" t="str">
        <f>CONCATENATE(IF(F214="N","PLACEHOLDER ROW - ",""),'C-Design&amp;Const'!Z214,IF(F214="N","",J214))</f>
        <v>PLACEHOLDER ROW - CUSTOM - Lead Based Paint</v>
      </c>
      <c r="I214" s="151"/>
      <c r="J214" s="578" t="str">
        <f>IF('C-Design&amp;Const'!AH214="","",'C-Design&amp;Const'!AH214)</f>
        <v>(Complete)</v>
      </c>
      <c r="K214" s="285" t="str">
        <f>IF(CD50_apply="Yes",IF((COUNTIF(D214:G214,"Y")=COUNTIF('03 - 50% CD'!D214:G214,"Y")),"match","no 50% match"),"-")</f>
        <v>match</v>
      </c>
      <c r="L214" s="1410" t="str">
        <f t="shared" ref="L214:L217" si="12">CONCATENATE(IF(ISNUMBER(SEARCH("Placeholder",H214))=TRUE,"&lt;---PM/Planner may hide PLACEHOLDER ROW",""))</f>
        <v>&lt;---PM/Planner may hide PLACEHOLDER ROW</v>
      </c>
      <c r="M214" s="1333"/>
      <c r="N214" s="1333"/>
      <c r="O214" s="1333"/>
      <c r="P214" s="1333"/>
      <c r="Q214" s="1333"/>
      <c r="R214" s="1453"/>
      <c r="S214" s="1284"/>
      <c r="T214" s="1382"/>
      <c r="U214" s="1382"/>
      <c r="V214" s="1333"/>
      <c r="W214" s="1333"/>
      <c r="X214" s="1333"/>
      <c r="Y214" s="1333"/>
      <c r="Z214" s="1333"/>
      <c r="AA214" s="1333"/>
      <c r="AB214" s="1333"/>
      <c r="AC214" s="1333"/>
      <c r="AD214" s="1333"/>
      <c r="AE214" s="1333"/>
      <c r="AF214" s="1333"/>
      <c r="AG214" s="1333"/>
      <c r="AH214" s="1333"/>
      <c r="AI214" s="1333"/>
      <c r="AJ214" s="1333"/>
    </row>
    <row r="215" spans="1:49" s="17" customFormat="1" x14ac:dyDescent="0.25">
      <c r="A215" s="1518" t="str">
        <f>IF(CD50_apply="Yes",IF(COUNTIF('03 - 50% CD'!D215:G215,"Y")&gt;0,"Y",IF(COUNTIF('03 - 50% CD'!D215:G215,"N"),"N","")),"")</f>
        <v>Y</v>
      </c>
      <c r="B215" s="141"/>
      <c r="C215" s="944"/>
      <c r="D215" s="411"/>
      <c r="E215" s="321"/>
      <c r="F215" s="559" t="str">
        <f>IF('C-Design&amp;Const'!$O215="","",'C-Design&amp;Const'!$O215)</f>
        <v>Y</v>
      </c>
      <c r="G215" s="485"/>
      <c r="H215" s="355" t="str">
        <f>CONCATENATE(IF(F215="N","PLACEHOLDER ROW - ",""),'C-Design&amp;Const'!Z215,IF(F215="N","",J215))</f>
        <v>Lead Based Paint Removal, Remediation, Containment (Complete)</v>
      </c>
      <c r="I215" s="137"/>
      <c r="J215" s="578" t="str">
        <f>IF('C-Design&amp;Const'!AH215="","",'C-Design&amp;Const'!AH215)</f>
        <v>(Complete)</v>
      </c>
      <c r="K215" s="285" t="str">
        <f>IF(CD50_apply="Yes",IF((COUNTIF(D215:G215,"Y")=COUNTIF('03 - 50% CD'!D215:G215,"Y")),"match","no 50% match"),"-")</f>
        <v>match</v>
      </c>
      <c r="L215" s="1410" t="str">
        <f t="shared" si="12"/>
        <v/>
      </c>
      <c r="M215" s="1333"/>
      <c r="N215" s="1333"/>
      <c r="O215" s="1333"/>
      <c r="P215" s="1333"/>
      <c r="Q215" s="1333"/>
      <c r="R215" s="1453"/>
      <c r="S215" s="1284"/>
      <c r="T215" s="1382"/>
      <c r="U215" s="1382"/>
      <c r="V215" s="1333"/>
      <c r="W215" s="1333"/>
      <c r="X215" s="1333"/>
      <c r="Y215" s="1333"/>
      <c r="Z215" s="1333"/>
      <c r="AA215" s="1333"/>
      <c r="AB215" s="1333"/>
      <c r="AC215" s="1333"/>
      <c r="AD215" s="1333"/>
      <c r="AE215" s="1333"/>
      <c r="AF215" s="1333"/>
      <c r="AG215" s="1333"/>
      <c r="AH215" s="1333"/>
      <c r="AI215" s="1333"/>
      <c r="AJ215" s="1333"/>
    </row>
    <row r="216" spans="1:49" s="17" customFormat="1" x14ac:dyDescent="0.25">
      <c r="A216" s="1518" t="str">
        <f>IF(CD50_apply="Yes",IF(COUNTIF('03 - 50% CD'!D216:G216,"Y")&gt;0,"Y",IF(COUNTIF('03 - 50% CD'!D216:G216,"N"),"N","")),"")</f>
        <v>N</v>
      </c>
      <c r="B216" s="141"/>
      <c r="C216" s="944"/>
      <c r="D216" s="411"/>
      <c r="E216" s="321"/>
      <c r="F216" s="559" t="str">
        <f>IF('C-Design&amp;Const'!$O216="","",'C-Design&amp;Const'!$O216)</f>
        <v>N</v>
      </c>
      <c r="G216" s="491"/>
      <c r="H216" s="355" t="str">
        <f>CONCATENATE(IF(F216="N","PLACEHOLDER ROW - ",""),'C-Design&amp;Const'!Z216,IF(F216="N","",J216))</f>
        <v>PLACEHOLDER ROW - CUSTOM - Hazardous Materials</v>
      </c>
      <c r="I216" s="151"/>
      <c r="J216" s="578" t="str">
        <f>IF('C-Design&amp;Const'!AH216="","",'C-Design&amp;Const'!AH216)</f>
        <v>(Complete)</v>
      </c>
      <c r="K216" s="285" t="str">
        <f>IF(CD50_apply="Yes",IF((COUNTIF(D216:G216,"Y")=COUNTIF('03 - 50% CD'!D216:G216,"Y")),"match","no 50% match"),"-")</f>
        <v>match</v>
      </c>
      <c r="L216" s="1410" t="str">
        <f t="shared" si="12"/>
        <v>&lt;---PM/Planner may hide PLACEHOLDER ROW</v>
      </c>
      <c r="M216" s="1333"/>
      <c r="N216" s="1333"/>
      <c r="O216" s="1333"/>
      <c r="P216" s="1333"/>
      <c r="Q216" s="1333"/>
      <c r="R216" s="1453"/>
      <c r="S216" s="1284"/>
      <c r="T216" s="1382"/>
      <c r="U216" s="1382"/>
      <c r="V216" s="1333"/>
      <c r="W216" s="1333"/>
      <c r="X216" s="1333"/>
      <c r="Y216" s="1333"/>
      <c r="Z216" s="1333"/>
      <c r="AA216" s="1333"/>
      <c r="AB216" s="1333"/>
      <c r="AC216" s="1333"/>
      <c r="AD216" s="1333"/>
      <c r="AE216" s="1333"/>
      <c r="AF216" s="1333"/>
      <c r="AG216" s="1333"/>
      <c r="AH216" s="1333"/>
      <c r="AI216" s="1333"/>
      <c r="AJ216" s="1333"/>
    </row>
    <row r="217" spans="1:49" s="17" customFormat="1" x14ac:dyDescent="0.25">
      <c r="A217" s="1518" t="str">
        <f>IF(CD50_apply="Yes",IF(COUNTIF('03 - 50% CD'!D217:G217,"Y")&gt;0,"Y",IF(COUNTIF('03 - 50% CD'!D217:G217,"N"),"N","")),"")</f>
        <v>Y</v>
      </c>
      <c r="B217" s="141"/>
      <c r="C217" s="944"/>
      <c r="D217" s="411"/>
      <c r="E217" s="321"/>
      <c r="F217" s="559" t="str">
        <f>IF('C-Design&amp;Const'!$O217="","",'C-Design&amp;Const'!$O217)</f>
        <v>Y</v>
      </c>
      <c r="G217" s="491"/>
      <c r="H217" s="355" t="str">
        <f>CONCATENATE(IF(F217="N","PLACEHOLDER ROW - ",""),'C-Design&amp;Const'!Z217,IF(F217="N","",J217))</f>
        <v>Other Hazardous Materials Removal, Remediation, Containment (Complete)</v>
      </c>
      <c r="I217" s="151"/>
      <c r="J217" s="578" t="str">
        <f>IF('C-Design&amp;Const'!AH217="","",'C-Design&amp;Const'!AH217)</f>
        <v>(Complete)</v>
      </c>
      <c r="K217" s="285" t="str">
        <f>IF(CD50_apply="Yes",IF((COUNTIF(D217:G217,"Y")=COUNTIF('03 - 50% CD'!D217:G217,"Y")),"match","no 50% match"),"-")</f>
        <v>match</v>
      </c>
      <c r="L217" s="1410" t="str">
        <f t="shared" si="12"/>
        <v/>
      </c>
      <c r="M217" s="1333"/>
      <c r="N217" s="1333"/>
      <c r="O217" s="1333"/>
      <c r="P217" s="1333"/>
      <c r="Q217" s="1333"/>
      <c r="R217" s="1453"/>
      <c r="S217" s="1284"/>
      <c r="T217" s="1382"/>
      <c r="U217" s="1382"/>
      <c r="V217" s="1333"/>
      <c r="W217" s="1333"/>
      <c r="X217" s="1333"/>
      <c r="Y217" s="1333"/>
      <c r="Z217" s="1333"/>
      <c r="AA217" s="1333"/>
      <c r="AB217" s="1333"/>
      <c r="AC217" s="1333"/>
      <c r="AD217" s="1333"/>
      <c r="AE217" s="1333"/>
      <c r="AF217" s="1333"/>
      <c r="AG217" s="1333"/>
      <c r="AH217" s="1333"/>
      <c r="AI217" s="1333"/>
      <c r="AJ217" s="1333"/>
    </row>
    <row r="218" spans="1:49" s="17" customFormat="1" x14ac:dyDescent="0.25">
      <c r="A218" s="1510" t="str">
        <f>IF(CD50_apply="Yes",IF(COUNTIF('03 - 50% CD'!D218:G218,"Y")&gt;0,"Y",IF(COUNTIF('03 - 50% CD'!D218:G218,"N"),"N","")),"")</f>
        <v>Y</v>
      </c>
      <c r="B218" s="141"/>
      <c r="C218" s="944"/>
      <c r="D218" s="411"/>
      <c r="E218" s="559" t="str">
        <f>IF('C-Design&amp;Const'!$O218="","",'C-Design&amp;Const'!$O218)</f>
        <v>Y</v>
      </c>
      <c r="F218" s="478"/>
      <c r="G218" s="485"/>
      <c r="H218" s="356" t="str">
        <f>CONCATENATE(IF(F218="N","PLACEHOLDER ROW - ",""),'C-Design&amp;Const'!Z218,IF(F218="N","",J218))</f>
        <v>Site, Civil, &amp; Landscape Drawings (Including Bid Alts.)</v>
      </c>
      <c r="I218" s="146"/>
      <c r="J218" s="578" t="str">
        <f>IF('C-Design&amp;Const'!AH218="","",'C-Design&amp;Const'!AH218)</f>
        <v xml:space="preserve"> (Including Bid Alts.)</v>
      </c>
      <c r="K218" s="285" t="str">
        <f>IF(CD50_apply="Yes",IF((COUNTIF(D218:G218,"Y")=COUNTIF('03 - 50% CD'!D218:G218,"Y")),"match","no 50% match"),"-")</f>
        <v>match</v>
      </c>
      <c r="L218" s="1410" t="str">
        <f t="shared" si="10"/>
        <v/>
      </c>
      <c r="M218" s="1333"/>
      <c r="N218" s="1333"/>
      <c r="O218" s="1333"/>
      <c r="P218" s="1333"/>
      <c r="Q218" s="1333"/>
      <c r="R218" s="1284"/>
      <c r="S218" s="1284"/>
      <c r="T218" s="1382"/>
      <c r="U218" s="1382"/>
      <c r="V218" s="1333"/>
      <c r="W218" s="1333"/>
      <c r="X218" s="1333"/>
      <c r="Y218" s="1333"/>
      <c r="Z218" s="1333"/>
      <c r="AA218" s="1333"/>
      <c r="AB218" s="1333"/>
      <c r="AC218" s="1333"/>
      <c r="AD218" s="1333"/>
      <c r="AE218" s="1333"/>
      <c r="AF218" s="1333"/>
      <c r="AG218" s="1333"/>
      <c r="AH218" s="1333"/>
      <c r="AI218" s="1333"/>
      <c r="AJ218" s="1333"/>
    </row>
    <row r="219" spans="1:49" s="17" customFormat="1" x14ac:dyDescent="0.25">
      <c r="A219" s="1518" t="str">
        <f>IF(CD50_apply="Yes",IF(COUNTIF('03 - 50% CD'!D219:G219,"Y")&gt;0,"Y",IF(COUNTIF('03 - 50% CD'!D219:G219,"N"),"N","")),"")</f>
        <v>N</v>
      </c>
      <c r="B219" s="141"/>
      <c r="C219" s="944"/>
      <c r="D219" s="411"/>
      <c r="E219" s="321"/>
      <c r="F219" s="559" t="str">
        <f>IF('C-Design&amp;Const'!$O219="","",'C-Design&amp;Const'!$O219)</f>
        <v>N</v>
      </c>
      <c r="G219" s="491"/>
      <c r="H219" s="355" t="str">
        <f>CONCATENATE(IF(F219="N","PLACEHOLDER ROW - ",""),'C-Design&amp;Const'!Z219,IF(F219="N","",J219))</f>
        <v>PLACEHOLDER ROW - CUSTOM - Site / Civil / Landscape</v>
      </c>
      <c r="I219" s="151"/>
      <c r="J219" s="578" t="str">
        <f>IF('C-Design&amp;Const'!AH219="","",'C-Design&amp;Const'!AH219)</f>
        <v>(Complete)</v>
      </c>
      <c r="K219" s="285" t="str">
        <f>IF(CD50_apply="Yes",IF((COUNTIF(D219:G219,"Y")=COUNTIF('03 - 50% CD'!D219:G219,"Y")),"match","no 50% match"),"-")</f>
        <v>match</v>
      </c>
      <c r="L219" s="1410" t="str">
        <f>CONCATENATE(IF(ISNUMBER(SEARCH("Placeholder",H219))=TRUE,"&lt;---PM/Planner may hide PLACEHOLDER ROW",""))</f>
        <v>&lt;---PM/Planner may hide PLACEHOLDER ROW</v>
      </c>
      <c r="M219" s="1333"/>
      <c r="N219" s="1333"/>
      <c r="O219" s="1333"/>
      <c r="P219" s="1333"/>
      <c r="Q219" s="1333"/>
      <c r="R219" s="1453"/>
      <c r="S219" s="1284"/>
      <c r="T219" s="1382"/>
      <c r="U219" s="1382"/>
      <c r="V219" s="1333"/>
      <c r="W219" s="1333"/>
      <c r="X219" s="1333"/>
      <c r="Y219" s="1333"/>
      <c r="Z219" s="1333"/>
      <c r="AA219" s="1333"/>
      <c r="AB219" s="1333"/>
      <c r="AC219" s="1333"/>
      <c r="AD219" s="1333"/>
      <c r="AE219" s="1333"/>
      <c r="AF219" s="1333"/>
      <c r="AG219" s="1333"/>
      <c r="AH219" s="1333"/>
      <c r="AI219" s="1333"/>
      <c r="AJ219" s="1333"/>
    </row>
    <row r="220" spans="1:49" s="17" customFormat="1" x14ac:dyDescent="0.25">
      <c r="A220" s="1518" t="str">
        <f>IF(CD50_apply="Yes",IF(COUNTIF('03 - 50% CD'!D220:G220,"Y")&gt;0,"Y",IF(COUNTIF('03 - 50% CD'!D220:G220,"N"),"N","")),"")</f>
        <v>N</v>
      </c>
      <c r="B220" s="141"/>
      <c r="C220" s="944"/>
      <c r="D220" s="411"/>
      <c r="E220" s="321"/>
      <c r="F220" s="559" t="str">
        <f>IF('C-Design&amp;Const'!$O220="","",'C-Design&amp;Const'!$O220)</f>
        <v>N</v>
      </c>
      <c r="G220" s="491"/>
      <c r="H220" s="355" t="str">
        <f>CONCATENATE(IF(F220="N","PLACEHOLDER ROW - ",""),'C-Design&amp;Const'!Z220,IF(F220="N","",J220))</f>
        <v>PLACEHOLDER ROW - CUSTOM - Site / Civil / Landscape</v>
      </c>
      <c r="I220" s="151"/>
      <c r="J220" s="578" t="str">
        <f>IF('C-Design&amp;Const'!AH220="","",'C-Design&amp;Const'!AH220)</f>
        <v>(Complete)</v>
      </c>
      <c r="K220" s="285" t="str">
        <f>IF(CD50_apply="Yes",IF((COUNTIF(D220:G220,"Y")=COUNTIF('03 - 50% CD'!D220:G220,"Y")),"match","no 50% match"),"-")</f>
        <v>match</v>
      </c>
      <c r="L220" s="1410" t="str">
        <f>CONCATENATE(IF(ISNUMBER(SEARCH("Placeholder",H220))=TRUE,"&lt;---PM/Planner may hide PLACEHOLDER ROW",""))</f>
        <v>&lt;---PM/Planner may hide PLACEHOLDER ROW</v>
      </c>
      <c r="M220" s="1333"/>
      <c r="N220" s="1333"/>
      <c r="O220" s="1333"/>
      <c r="P220" s="1333"/>
      <c r="Q220" s="1333"/>
      <c r="R220" s="1453"/>
      <c r="S220" s="1284"/>
      <c r="T220" s="1382"/>
      <c r="U220" s="1382"/>
      <c r="V220" s="1333"/>
      <c r="W220" s="1333"/>
      <c r="X220" s="1333"/>
      <c r="Y220" s="1333"/>
      <c r="Z220" s="1333"/>
      <c r="AA220" s="1333"/>
      <c r="AB220" s="1333"/>
      <c r="AC220" s="1333"/>
      <c r="AD220" s="1333"/>
      <c r="AE220" s="1333"/>
      <c r="AF220" s="1333"/>
      <c r="AG220" s="1333"/>
      <c r="AH220" s="1333"/>
      <c r="AI220" s="1333"/>
      <c r="AJ220" s="1333"/>
    </row>
    <row r="221" spans="1:49" s="17" customFormat="1" x14ac:dyDescent="0.25">
      <c r="A221" s="1518" t="str">
        <f>IF(CD50_apply="Yes",IF(COUNTIF('03 - 50% CD'!D218:G218,"Y")&gt;0,"Y",IF(COUNTIF('03 - 50% CD'!D218:G218,"N"),"N","")),"")</f>
        <v>Y</v>
      </c>
      <c r="B221" s="141"/>
      <c r="C221" s="944"/>
      <c r="D221" s="411"/>
      <c r="E221" s="321"/>
      <c r="F221" s="559" t="str">
        <f>IF('C-Design&amp;Const'!$O221="","",'C-Design&amp;Const'!$O221)</f>
        <v>Y</v>
      </c>
      <c r="G221" s="485"/>
      <c r="H221" s="355" t="str">
        <f>CONCATENATE(IF(F221="N","PLACEHOLDER ROW - ",""),'C-Design&amp;Const'!Z221,IF(F221="N","",J221))</f>
        <v>Civil, Site, Landscape Symbols, Abbreviations, and General Notes (Complete)</v>
      </c>
      <c r="I221" s="151"/>
      <c r="J221" s="578" t="str">
        <f>IF('C-Design&amp;Const'!AH221="","",'C-Design&amp;Const'!AH221)</f>
        <v>(Complete)</v>
      </c>
      <c r="K221" s="285" t="str">
        <f>IF(CD50_apply="Yes",IF((COUNTIF(D221:G221,"Y")=COUNTIF('03 - 50% CD'!D218:G218,"Y")),"match","no 50% match"),"-")</f>
        <v>match</v>
      </c>
      <c r="L221" s="1410" t="str">
        <f>CONCATENATE(IF(ISNUMBER(SEARCH("Placeholder",H221))=TRUE,"&lt;---PM/Planner may hide PLACEHOLDER ROW",""))</f>
        <v/>
      </c>
      <c r="M221" s="1333"/>
      <c r="N221" s="1333"/>
      <c r="O221" s="1333"/>
      <c r="P221" s="1333"/>
      <c r="Q221" s="1333"/>
      <c r="R221" s="1453"/>
      <c r="S221" s="1284"/>
      <c r="T221" s="1382"/>
      <c r="U221" s="1382"/>
      <c r="V221" s="1333"/>
      <c r="W221" s="1333"/>
      <c r="X221" s="1333"/>
      <c r="Y221" s="1333"/>
      <c r="Z221" s="1333"/>
      <c r="AA221" s="1333"/>
      <c r="AB221" s="1333"/>
      <c r="AC221" s="1333"/>
      <c r="AD221" s="1333"/>
      <c r="AE221" s="1333"/>
      <c r="AF221" s="1333"/>
      <c r="AG221" s="1333"/>
      <c r="AH221" s="1333"/>
      <c r="AI221" s="1333"/>
      <c r="AJ221" s="1333"/>
    </row>
    <row r="222" spans="1:49" s="17" customFormat="1" x14ac:dyDescent="0.25">
      <c r="A222" s="1518" t="str">
        <f>IF(CD50_apply="Yes",IF(COUNTIF('03 - 50% CD'!D222:G222,"Y")&gt;0,"Y",IF(COUNTIF('03 - 50% CD'!D222:G222,"N"),"N","")),"")</f>
        <v>Y</v>
      </c>
      <c r="B222" s="141"/>
      <c r="C222" s="944"/>
      <c r="D222" s="411"/>
      <c r="E222" s="321"/>
      <c r="F222" s="559" t="str">
        <f>IF('C-Design&amp;Const'!$O222="","",'C-Design&amp;Const'!$O222)</f>
        <v>Y</v>
      </c>
      <c r="G222" s="491"/>
      <c r="H222" s="355" t="str">
        <f>CONCATENATE(IF(F222="N","PLACEHOLDER ROW - ",""),'C-Design&amp;Const'!Z222,IF(F222="N","",J222))</f>
        <v>Site Clearing, Demolitions, &amp; Abandonments (Complete)</v>
      </c>
      <c r="I222" s="151"/>
      <c r="J222" s="578" t="str">
        <f>IF('C-Design&amp;Const'!AH222="","",'C-Design&amp;Const'!AH222)</f>
        <v>(Complete)</v>
      </c>
      <c r="K222" s="285" t="str">
        <f>IF(CD50_apply="Yes",IF((COUNTIF(D222:G222,"Y")=COUNTIF('03 - 50% CD'!D222:G222,"Y")),"match","no 50% match"),"-")</f>
        <v>match</v>
      </c>
      <c r="L222" s="1410" t="str">
        <f t="shared" si="10"/>
        <v/>
      </c>
      <c r="M222" s="1333"/>
      <c r="N222" s="1333"/>
      <c r="O222" s="1333"/>
      <c r="P222" s="1333"/>
      <c r="Q222" s="1333"/>
      <c r="R222" s="1453"/>
      <c r="S222" s="1284"/>
      <c r="T222" s="1382"/>
      <c r="U222" s="1382"/>
      <c r="V222" s="1333"/>
      <c r="W222" s="1333"/>
      <c r="X222" s="1333"/>
      <c r="Y222" s="1333"/>
      <c r="Z222" s="1333"/>
      <c r="AA222" s="1333"/>
      <c r="AB222" s="1333"/>
      <c r="AC222" s="1333"/>
      <c r="AD222" s="1333"/>
      <c r="AE222" s="1333"/>
      <c r="AF222" s="1333"/>
      <c r="AG222" s="1333"/>
      <c r="AH222" s="1333"/>
      <c r="AI222" s="1333"/>
      <c r="AJ222" s="1333"/>
    </row>
    <row r="223" spans="1:49" s="17" customFormat="1" x14ac:dyDescent="0.25">
      <c r="A223" s="1518" t="str">
        <f>IF(CD50_apply="Yes",IF(COUNTIF('03 - 50% CD'!D223:G223,"Y")&gt;0,"Y",IF(COUNTIF('03 - 50% CD'!D223:G223,"N"),"N","")),"")</f>
        <v>Y</v>
      </c>
      <c r="B223" s="141"/>
      <c r="C223" s="944"/>
      <c r="D223" s="411"/>
      <c r="E223" s="321"/>
      <c r="F223" s="559" t="str">
        <f>IF('C-Design&amp;Const'!$O223="","",'C-Design&amp;Const'!$O223)</f>
        <v>Y</v>
      </c>
      <c r="G223" s="485"/>
      <c r="H223" s="355" t="str">
        <f>CONCATENATE(IF(F223="N","PLACEHOLDER ROW - ",""),'C-Design&amp;Const'!Z223,IF(F223="N","",J223))</f>
        <v>Site Plan (show tree protection if not yet shown in laydown plan)(Complete)</v>
      </c>
      <c r="I223" s="137"/>
      <c r="J223" s="578" t="str">
        <f>IF('C-Design&amp;Const'!AH223="","",'C-Design&amp;Const'!AH223)</f>
        <v>(Complete)</v>
      </c>
      <c r="K223" s="285" t="str">
        <f>IF(CD50_apply="Yes",IF((COUNTIF(D223:G223,"Y")=COUNTIF('03 - 50% CD'!D223:G223,"Y")),"match","no 50% match"),"-")</f>
        <v>match</v>
      </c>
      <c r="L223" s="1410" t="str">
        <f t="shared" si="10"/>
        <v/>
      </c>
      <c r="M223" s="1333"/>
      <c r="N223" s="1333"/>
      <c r="O223" s="1333"/>
      <c r="P223" s="1333"/>
      <c r="Q223" s="1333"/>
      <c r="R223" s="1453"/>
      <c r="S223" s="1284"/>
      <c r="T223" s="1382"/>
      <c r="U223" s="1382"/>
      <c r="V223" s="1333"/>
      <c r="W223" s="1333"/>
      <c r="X223" s="1333"/>
      <c r="Y223" s="1333"/>
      <c r="Z223" s="1333"/>
      <c r="AA223" s="1333"/>
      <c r="AB223" s="1333"/>
      <c r="AC223" s="1333"/>
      <c r="AD223" s="1333"/>
      <c r="AE223" s="1333"/>
      <c r="AF223" s="1333"/>
      <c r="AG223" s="1333"/>
      <c r="AH223" s="1333"/>
      <c r="AI223" s="1333"/>
      <c r="AJ223" s="1333"/>
    </row>
    <row r="224" spans="1:49" s="17" customFormat="1" x14ac:dyDescent="0.25">
      <c r="A224" s="1518" t="str">
        <f>IF(CD50_apply="Yes",IF(COUNTIF('03 - 50% CD'!D224:G224,"Y")&gt;0,"Y",IF(COUNTIF('03 - 50% CD'!D224:G224,"N"),"N","")),"")</f>
        <v>Y</v>
      </c>
      <c r="B224" s="141"/>
      <c r="C224" s="944"/>
      <c r="D224" s="411"/>
      <c r="E224" s="321"/>
      <c r="F224" s="559" t="str">
        <f>IF('C-Design&amp;Const'!$O224="","",'C-Design&amp;Const'!$O224)</f>
        <v>Y</v>
      </c>
      <c r="G224" s="485"/>
      <c r="H224" s="355" t="str">
        <f>CONCATENATE(IF(F224="N","PLACEHOLDER ROW - ",""),'C-Design&amp;Const'!Z224,IF(F224="N","",J224))</f>
        <v>Storm Water Detention Plan (Complete)</v>
      </c>
      <c r="I224" s="149"/>
      <c r="J224" s="578" t="str">
        <f>IF('C-Design&amp;Const'!AH224="","",'C-Design&amp;Const'!AH224)</f>
        <v>(Complete)</v>
      </c>
      <c r="K224" s="285" t="str">
        <f>IF(CD50_apply="Yes",IF((COUNTIF(D224:G224,"Y")=COUNTIF('03 - 50% CD'!D224:G224,"Y")),"match","no 50% match"),"-")</f>
        <v>match</v>
      </c>
      <c r="L224" s="1410" t="str">
        <f>CONCATENATE(IF(ISNUMBER(SEARCH("Placeholder",H224))=TRUE,"&lt;---PM/Planner may hide PLACEHOLDER ROW",""))</f>
        <v/>
      </c>
      <c r="M224" s="1333"/>
      <c r="N224" s="1333"/>
      <c r="O224" s="1333"/>
      <c r="P224" s="1333"/>
      <c r="Q224" s="1333"/>
      <c r="R224" s="1453"/>
      <c r="S224" s="1284"/>
      <c r="T224" s="1382"/>
      <c r="U224" s="1382"/>
      <c r="V224" s="1333"/>
      <c r="W224" s="1333"/>
      <c r="X224" s="1333"/>
      <c r="Y224" s="1333"/>
      <c r="Z224" s="1333"/>
      <c r="AA224" s="1333"/>
      <c r="AB224" s="1333"/>
      <c r="AC224" s="1333"/>
      <c r="AD224" s="1333"/>
      <c r="AE224" s="1333"/>
      <c r="AF224" s="1333"/>
      <c r="AG224" s="1333"/>
      <c r="AH224" s="1333"/>
      <c r="AI224" s="1333"/>
      <c r="AJ224" s="1333"/>
    </row>
    <row r="225" spans="1:49" s="17" customFormat="1" x14ac:dyDescent="0.25">
      <c r="A225" s="1518" t="str">
        <f>IF(CD50_apply="Yes",IF(COUNTIF('03 - 50% CD'!D225:G225,"Y")&gt;0,"Y",IF(COUNTIF('03 - 50% CD'!D225:G225,"N"),"N","")),"")</f>
        <v>Y</v>
      </c>
      <c r="B225" s="141"/>
      <c r="C225" s="944"/>
      <c r="D225" s="411"/>
      <c r="E225" s="321"/>
      <c r="F225" s="559" t="str">
        <f>IF('C-Design&amp;Const'!$O225="","",'C-Design&amp;Const'!$O225)</f>
        <v>Y</v>
      </c>
      <c r="G225" s="491"/>
      <c r="H225" s="355" t="str">
        <f>CONCATENATE(IF(F225="N","PLACEHOLDER ROW - ",""),'C-Design&amp;Const'!Z225,IF(F225="N","",J225))</f>
        <v>Pavement, Sidewalks, and/or Utility Sections (Complete)</v>
      </c>
      <c r="I225" s="151"/>
      <c r="J225" s="578" t="str">
        <f>IF('C-Design&amp;Const'!AH225="","",'C-Design&amp;Const'!AH225)</f>
        <v>(Complete)</v>
      </c>
      <c r="K225" s="285" t="str">
        <f>IF(CD50_apply="Yes",IF((COUNTIF(D225:G225,"Y")=COUNTIF('03 - 50% CD'!D225:G225,"Y")),"match","no 50% match"),"-")</f>
        <v>match</v>
      </c>
      <c r="L225" s="1410" t="str">
        <f t="shared" si="10"/>
        <v/>
      </c>
      <c r="M225" s="1333"/>
      <c r="N225" s="1333"/>
      <c r="O225" s="1333"/>
      <c r="P225" s="1333"/>
      <c r="Q225" s="1333"/>
      <c r="R225" s="1453"/>
      <c r="S225" s="1284"/>
      <c r="T225" s="1382"/>
      <c r="U225" s="1382"/>
      <c r="V225" s="1333"/>
      <c r="W225" s="1333"/>
      <c r="X225" s="1333"/>
      <c r="Y225" s="1333"/>
      <c r="Z225" s="1333"/>
      <c r="AA225" s="1333"/>
      <c r="AB225" s="1333"/>
      <c r="AC225" s="1333"/>
      <c r="AD225" s="1333"/>
      <c r="AE225" s="1333"/>
      <c r="AF225" s="1333"/>
      <c r="AG225" s="1333"/>
      <c r="AH225" s="1333"/>
      <c r="AI225" s="1333"/>
      <c r="AJ225" s="1333"/>
    </row>
    <row r="226" spans="1:49" s="17" customFormat="1" x14ac:dyDescent="0.25">
      <c r="A226" s="1518" t="str">
        <f>IF(CD50_apply="Yes",IF(COUNTIF('03 - 50% CD'!D226:G226,"Y")&gt;0,"Y",IF(COUNTIF('03 - 50% CD'!D226:G226,"N"),"N","")),"")</f>
        <v>Y</v>
      </c>
      <c r="B226" s="141"/>
      <c r="C226" s="944"/>
      <c r="D226" s="411"/>
      <c r="E226" s="321"/>
      <c r="F226" s="559" t="str">
        <f>IF('C-Design&amp;Const'!$O226="","",'C-Design&amp;Const'!$O226)</f>
        <v>Y</v>
      </c>
      <c r="G226" s="491"/>
      <c r="H226" s="355" t="str">
        <f>CONCATENATE(IF(F226="N","PLACEHOLDER ROW - ",""),'C-Design&amp;Const'!Z226,IF(F226="N","",J226))</f>
        <v>Utility Relocations (Complete)</v>
      </c>
      <c r="I226" s="151"/>
      <c r="J226" s="578" t="str">
        <f>IF('C-Design&amp;Const'!AH226="","",'C-Design&amp;Const'!AH226)</f>
        <v>(Complete)</v>
      </c>
      <c r="K226" s="285" t="str">
        <f>IF(CD50_apply="Yes",IF((COUNTIF(D226:G226,"Y")=COUNTIF('03 - 50% CD'!D226:G226,"Y")),"match","no 50% match"),"-")</f>
        <v>match</v>
      </c>
      <c r="L226" s="1410" t="str">
        <f t="shared" si="10"/>
        <v/>
      </c>
      <c r="M226" s="1333"/>
      <c r="N226" s="1333"/>
      <c r="O226" s="1333"/>
      <c r="P226" s="1333"/>
      <c r="Q226" s="1333"/>
      <c r="R226" s="1453"/>
      <c r="S226" s="1284"/>
      <c r="T226" s="1382"/>
      <c r="U226" s="1382"/>
      <c r="V226" s="1333"/>
      <c r="W226" s="1333"/>
      <c r="X226" s="1333"/>
      <c r="Y226" s="1333"/>
      <c r="Z226" s="1333"/>
      <c r="AA226" s="1333"/>
      <c r="AB226" s="1333"/>
      <c r="AC226" s="1333"/>
      <c r="AD226" s="1333"/>
      <c r="AE226" s="1333"/>
      <c r="AF226" s="1333"/>
      <c r="AG226" s="1333"/>
      <c r="AH226" s="1333"/>
      <c r="AI226" s="1333"/>
      <c r="AJ226" s="1333"/>
    </row>
    <row r="227" spans="1:49" s="17" customFormat="1" x14ac:dyDescent="0.25">
      <c r="A227" s="1518" t="str">
        <f>IF(CD50_apply="Yes",IF(COUNTIF('03 - 50% CD'!D227:G227,"Y")&gt;0,"Y",IF(COUNTIF('03 - 50% CD'!D227:G227,"N"),"N","")),"")</f>
        <v>Y</v>
      </c>
      <c r="B227" s="141"/>
      <c r="C227" s="944"/>
      <c r="D227" s="411"/>
      <c r="E227" s="321"/>
      <c r="F227" s="559" t="str">
        <f>IF('C-Design&amp;Const'!$O227="","",'C-Design&amp;Const'!$O227)</f>
        <v>Y</v>
      </c>
      <c r="G227" s="485"/>
      <c r="H227" s="355" t="str">
        <f>CONCATENATE(IF(F227="N","PLACEHOLDER ROW - ",""),'C-Design&amp;Const'!Z227,IF(F227="N","",J227))</f>
        <v>Utility Site Plan and Details (Complete)</v>
      </c>
      <c r="I227" s="137"/>
      <c r="J227" s="578" t="str">
        <f>IF('C-Design&amp;Const'!AH227="","",'C-Design&amp;Const'!AH227)</f>
        <v>(Complete)</v>
      </c>
      <c r="K227" s="285" t="str">
        <f>IF(CD50_apply="Yes",IF((COUNTIF(D227:G227,"Y")=COUNTIF('03 - 50% CD'!D227:G227,"Y")),"match","no 50% match"),"-")</f>
        <v>match</v>
      </c>
      <c r="L227" s="1410" t="str">
        <f t="shared" si="10"/>
        <v/>
      </c>
      <c r="M227" s="1333"/>
      <c r="N227" s="1333"/>
      <c r="O227" s="1333"/>
      <c r="P227" s="1333"/>
      <c r="Q227" s="1333"/>
      <c r="R227" s="1453"/>
      <c r="S227" s="1284"/>
      <c r="T227" s="1382"/>
      <c r="U227" s="1382"/>
      <c r="V227" s="1333"/>
      <c r="W227" s="1333"/>
      <c r="X227" s="1333"/>
      <c r="Y227" s="1333"/>
      <c r="Z227" s="1333"/>
      <c r="AA227" s="1333"/>
      <c r="AB227" s="1333"/>
      <c r="AC227" s="1333"/>
      <c r="AD227" s="1333"/>
      <c r="AE227" s="1333"/>
      <c r="AF227" s="1333"/>
      <c r="AG227" s="1333"/>
      <c r="AH227" s="1333"/>
      <c r="AI227" s="1333"/>
      <c r="AJ227" s="1333"/>
    </row>
    <row r="228" spans="1:49" s="17" customFormat="1" x14ac:dyDescent="0.25">
      <c r="A228" s="1518"/>
      <c r="B228" s="141"/>
      <c r="C228" s="944"/>
      <c r="D228" s="411"/>
      <c r="E228" s="321"/>
      <c r="F228" s="559" t="str">
        <f>IF('C-Design&amp;Const'!$O228="","",'C-Design&amp;Const'!$O228)</f>
        <v>Y</v>
      </c>
      <c r="G228" s="558"/>
      <c r="H228" s="355" t="str">
        <f>CONCATENATE(IF(F228="N","PLACEHOLDER ROW - ",""),'C-Design&amp;Const'!Z228,IF(F228="N","",J228))</f>
        <v>Traffic Control Plans - Vehicular &amp; Pedestrian (Complete)</v>
      </c>
      <c r="I228" s="137"/>
      <c r="J228" s="578" t="str">
        <f>IF('C-Design&amp;Const'!AH228="","",'C-Design&amp;Const'!AH228)</f>
        <v>(Complete)</v>
      </c>
      <c r="K228" s="285" t="str">
        <f>IF(CD50_apply="Yes",IF((COUNTIF(D228:G228,"Y")=COUNTIF('03 - 50% CD'!D228:G228,"Y")),"match","no 50% match"),"-")</f>
        <v>match</v>
      </c>
      <c r="L228" s="1410" t="str">
        <f t="shared" ref="L228" si="13">CONCATENATE(IF(ISNUMBER(SEARCH("Placeholder",H228))=TRUE,"&lt;---PM/Planner may hide PLACEHOLDER ROW",""))</f>
        <v/>
      </c>
      <c r="M228" s="1333"/>
      <c r="N228" s="1333"/>
      <c r="O228" s="1333"/>
      <c r="P228" s="1333"/>
      <c r="Q228" s="1333"/>
      <c r="R228" s="1453"/>
      <c r="S228" s="1284"/>
      <c r="T228" s="1382"/>
      <c r="U228" s="1382"/>
      <c r="V228" s="1333"/>
      <c r="W228" s="1333"/>
      <c r="X228" s="1333"/>
      <c r="Y228" s="1333"/>
      <c r="Z228" s="1333"/>
      <c r="AA228" s="1333"/>
      <c r="AB228" s="1333"/>
      <c r="AC228" s="1333"/>
      <c r="AD228" s="1333"/>
      <c r="AE228" s="1333"/>
      <c r="AF228" s="1333"/>
      <c r="AG228" s="1333"/>
      <c r="AH228" s="1333"/>
      <c r="AI228" s="1333"/>
      <c r="AJ228" s="1333"/>
    </row>
    <row r="229" spans="1:49" s="30" customFormat="1" ht="15" customHeight="1" x14ac:dyDescent="0.25">
      <c r="A229" s="1518" t="str">
        <f>IF(CD50_apply="Yes",IF(COUNTIF('03 - 50% CD'!D229:G229,"Y")&gt;0,"Y",IF(COUNTIF('03 - 50% CD'!D229:G229,"N"),"N","")),"")</f>
        <v>Y</v>
      </c>
      <c r="B229" s="191"/>
      <c r="C229" s="944"/>
      <c r="D229" s="463"/>
      <c r="E229" s="463"/>
      <c r="F229" s="359" t="str">
        <f>IF('C-Design&amp;Const'!$O229="","",'C-Design&amp;Const'!$O229)</f>
        <v>Y</v>
      </c>
      <c r="G229" s="291"/>
      <c r="H229" s="341" t="str">
        <f>CONCATENATE(IF(F229="N","PLACEHOLDER ROW - ",""),'C-Design&amp;Const'!Z229,IF(F229="N","",J229))</f>
        <v>Construction Layout/Laydown Plan with tree protection(Complete)</v>
      </c>
      <c r="I229" s="184"/>
      <c r="J229" s="578" t="str">
        <f>IF('C-Design&amp;Const'!AH229="","",'C-Design&amp;Const'!AH229)</f>
        <v>(Complete)</v>
      </c>
      <c r="K229" s="285" t="str">
        <f>IF(CD50_apply="Yes",IF((COUNTIF(D229:G229,"Y")=COUNTIF('03 - 50% CD'!D229:G229,"Y")),"match","no 50% match"),"-")</f>
        <v>match</v>
      </c>
      <c r="L229" s="1410" t="str">
        <f t="shared" si="10"/>
        <v/>
      </c>
      <c r="M229" s="1382"/>
      <c r="N229" s="1333"/>
      <c r="O229" s="1382"/>
      <c r="P229" s="1382"/>
      <c r="Q229" s="1382"/>
      <c r="R229" s="1382"/>
      <c r="S229" s="1284"/>
      <c r="T229" s="1382"/>
      <c r="U229" s="1382"/>
      <c r="V229" s="1382"/>
      <c r="W229" s="1382"/>
      <c r="X229" s="1382"/>
      <c r="Y229" s="1382"/>
      <c r="Z229" s="1382"/>
      <c r="AA229" s="1382"/>
      <c r="AB229" s="1382"/>
      <c r="AC229" s="1382"/>
      <c r="AD229" s="1382"/>
      <c r="AE229" s="1382"/>
      <c r="AF229" s="1382"/>
      <c r="AG229" s="1382"/>
      <c r="AH229" s="1382"/>
      <c r="AI229" s="1382"/>
      <c r="AJ229" s="1382"/>
      <c r="AK229" s="181"/>
      <c r="AL229" s="181"/>
      <c r="AM229" s="181"/>
      <c r="AN229" s="181"/>
      <c r="AO229" s="181"/>
      <c r="AP229" s="181"/>
      <c r="AQ229" s="181"/>
      <c r="AR229" s="181"/>
      <c r="AS229" s="181"/>
      <c r="AT229" s="181"/>
      <c r="AU229" s="181"/>
      <c r="AV229" s="181"/>
      <c r="AW229" s="181"/>
    </row>
    <row r="230" spans="1:49" s="17" customFormat="1" x14ac:dyDescent="0.25">
      <c r="A230" s="1518" t="str">
        <f>IF(CD50_apply="Yes",IF(COUNTIF('03 - 50% CD'!D230:G230,"Y")&gt;0,"Y",IF(COUNTIF('03 - 50% CD'!D230:G230,"N"),"N","")),"")</f>
        <v>Y</v>
      </c>
      <c r="B230" s="141"/>
      <c r="C230" s="944"/>
      <c r="D230" s="411"/>
      <c r="E230" s="321"/>
      <c r="F230" s="559" t="str">
        <f>IF('C-Design&amp;Const'!$O230="","",'C-Design&amp;Const'!$O230)</f>
        <v>Y</v>
      </c>
      <c r="G230" s="485"/>
      <c r="H230" s="355" t="str">
        <f>CONCATENATE(IF(F230="N","PLACEHOLDER ROW - ",""),'C-Design&amp;Const'!Z230,IF(F230="N","",J230))</f>
        <v>Landscape Plan (Complete)</v>
      </c>
      <c r="I230" s="137"/>
      <c r="J230" s="578" t="str">
        <f>IF('C-Design&amp;Const'!AH230="","",'C-Design&amp;Const'!AH230)</f>
        <v>(Complete)</v>
      </c>
      <c r="K230" s="285" t="str">
        <f>IF(CD50_apply="Yes",IF((COUNTIF(D230:G230,"Y")=COUNTIF('03 - 50% CD'!D230:G230,"Y")),"match","no 50% match"),"-")</f>
        <v>match</v>
      </c>
      <c r="L230" s="1410" t="str">
        <f t="shared" si="10"/>
        <v/>
      </c>
      <c r="M230" s="1333"/>
      <c r="N230" s="1333"/>
      <c r="O230" s="1333"/>
      <c r="P230" s="1333"/>
      <c r="Q230" s="1333"/>
      <c r="R230" s="1453"/>
      <c r="S230" s="1284"/>
      <c r="T230" s="1382"/>
      <c r="U230" s="1382"/>
      <c r="V230" s="1333"/>
      <c r="W230" s="1333"/>
      <c r="X230" s="1333"/>
      <c r="Y230" s="1333"/>
      <c r="Z230" s="1333"/>
      <c r="AA230" s="1333"/>
      <c r="AB230" s="1333"/>
      <c r="AC230" s="1333"/>
      <c r="AD230" s="1333"/>
      <c r="AE230" s="1333"/>
      <c r="AF230" s="1333"/>
      <c r="AG230" s="1333"/>
      <c r="AH230" s="1333"/>
      <c r="AI230" s="1333"/>
      <c r="AJ230" s="1333"/>
    </row>
    <row r="231" spans="1:49" s="17" customFormat="1" x14ac:dyDescent="0.25">
      <c r="A231" s="1510" t="str">
        <f>IF(CD50_apply="Yes",IF(COUNTIF('03 - 50% CD'!D231:G231,"Y")&gt;0,"Y",IF(COUNTIF('03 - 50% CD'!D231:G231,"N"),"N","")),"")</f>
        <v>Y</v>
      </c>
      <c r="B231" s="141"/>
      <c r="C231" s="944"/>
      <c r="D231" s="411"/>
      <c r="E231" s="559" t="str">
        <f>IF('C-Design&amp;Const'!$O231="","",'C-Design&amp;Const'!$O231)</f>
        <v>Y</v>
      </c>
      <c r="F231" s="478"/>
      <c r="G231" s="485"/>
      <c r="H231" s="356" t="str">
        <f>CONCATENATE(IF(F231="N","PLACEHOLDER ROW - ",""),'C-Design&amp;Const'!Z231,IF(F231="N","",J231))</f>
        <v>Architectural Drawings (Including Bid Alts.)</v>
      </c>
      <c r="I231" s="146"/>
      <c r="J231" s="578" t="str">
        <f>IF('C-Design&amp;Const'!AH231="","",'C-Design&amp;Const'!AH231)</f>
        <v xml:space="preserve"> (Including Bid Alts.)</v>
      </c>
      <c r="K231" s="285" t="str">
        <f>IF(CD50_apply="Yes",IF((COUNTIF(D231:G231,"Y")=COUNTIF('03 - 50% CD'!D231:G231,"Y")),"match","no 50% match"),"-")</f>
        <v>match</v>
      </c>
      <c r="L231" s="1410" t="str">
        <f t="shared" si="10"/>
        <v/>
      </c>
      <c r="M231" s="1333"/>
      <c r="N231" s="1382"/>
      <c r="O231" s="1333"/>
      <c r="P231" s="1333"/>
      <c r="Q231" s="1333"/>
      <c r="R231" s="1284"/>
      <c r="S231" s="1284"/>
      <c r="T231" s="1382"/>
      <c r="U231" s="1382"/>
      <c r="V231" s="1333"/>
      <c r="W231" s="1333"/>
      <c r="X231" s="1333"/>
      <c r="Y231" s="1333"/>
      <c r="Z231" s="1333"/>
      <c r="AA231" s="1333"/>
      <c r="AB231" s="1333"/>
      <c r="AC231" s="1333"/>
      <c r="AD231" s="1333"/>
      <c r="AE231" s="1333"/>
      <c r="AF231" s="1333"/>
      <c r="AG231" s="1333"/>
      <c r="AH231" s="1333"/>
      <c r="AI231" s="1333"/>
      <c r="AJ231" s="1333"/>
    </row>
    <row r="232" spans="1:49" s="17" customFormat="1" x14ac:dyDescent="0.25">
      <c r="A232" s="1518" t="str">
        <f>IF(CD50_apply="Yes",IF(COUNTIF('03 - 50% CD'!D232:G232,"Y")&gt;0,"Y",IF(COUNTIF('03 - 50% CD'!D232:G232,"N"),"N","")),"")</f>
        <v/>
      </c>
      <c r="B232" s="141"/>
      <c r="C232" s="944"/>
      <c r="D232" s="411"/>
      <c r="E232" s="321"/>
      <c r="F232" s="559" t="str">
        <f>IF('C-Design&amp;Const'!$O232="","",'C-Design&amp;Const'!$O232)</f>
        <v>?</v>
      </c>
      <c r="G232" s="491"/>
      <c r="H232" s="355" t="str">
        <f>CONCATENATE(IF(F232="N","PLACEHOLDER ROW - ",""),'C-Design&amp;Const'!Z232,IF(F232="N","",J232))</f>
        <v>CUSTOM - Architectural  (Complete)</v>
      </c>
      <c r="I232" s="151"/>
      <c r="J232" s="578" t="str">
        <f>IF('C-Design&amp;Const'!AH232="","",'C-Design&amp;Const'!AH232)</f>
        <v>(Complete)</v>
      </c>
      <c r="K232" s="285" t="str">
        <f>IF(CD50_apply="Yes",IF((COUNTIF(D232:G232,"Y")=COUNTIF('03 - 50% CD'!D232:G232,"Y")),"match","no 50% match"),"-")</f>
        <v>match</v>
      </c>
      <c r="L232" s="1410" t="str">
        <f t="shared" si="10"/>
        <v/>
      </c>
      <c r="M232" s="1333"/>
      <c r="N232" s="1333"/>
      <c r="O232" s="1333"/>
      <c r="P232" s="1333"/>
      <c r="Q232" s="1333"/>
      <c r="R232" s="1453"/>
      <c r="S232" s="1284"/>
      <c r="T232" s="1382"/>
      <c r="U232" s="1382"/>
      <c r="V232" s="1333"/>
      <c r="W232" s="1333"/>
      <c r="X232" s="1333"/>
      <c r="Y232" s="1333"/>
      <c r="Z232" s="1333"/>
      <c r="AA232" s="1333"/>
      <c r="AB232" s="1333"/>
      <c r="AC232" s="1333"/>
      <c r="AD232" s="1333"/>
      <c r="AE232" s="1333"/>
      <c r="AF232" s="1333"/>
      <c r="AG232" s="1333"/>
      <c r="AH232" s="1333"/>
      <c r="AI232" s="1333"/>
      <c r="AJ232" s="1333"/>
    </row>
    <row r="233" spans="1:49" s="17" customFormat="1" x14ac:dyDescent="0.25">
      <c r="A233" s="1518" t="str">
        <f>IF(CD50_apply="Yes",IF(COUNTIF('03 - 50% CD'!D233:G233,"Y")&gt;0,"Y",IF(COUNTIF('03 - 50% CD'!D233:G233,"N"),"N","")),"")</f>
        <v/>
      </c>
      <c r="B233" s="141"/>
      <c r="C233" s="944"/>
      <c r="D233" s="411"/>
      <c r="E233" s="321"/>
      <c r="F233" s="559" t="str">
        <f>IF('C-Design&amp;Const'!$O233="","",'C-Design&amp;Const'!$O233)</f>
        <v>?</v>
      </c>
      <c r="G233" s="491"/>
      <c r="H233" s="355" t="str">
        <f>CONCATENATE(IF(F233="N","PLACEHOLDER ROW - ",""),'C-Design&amp;Const'!Z233,IF(F233="N","",J233))</f>
        <v>CUSTOM - Architectural  (Complete)</v>
      </c>
      <c r="I233" s="151"/>
      <c r="J233" s="578" t="str">
        <f>IF('C-Design&amp;Const'!AH233="","",'C-Design&amp;Const'!AH233)</f>
        <v>(Complete)</v>
      </c>
      <c r="K233" s="285" t="str">
        <f>IF(CD50_apply="Yes",IF((COUNTIF(D233:G233,"Y")=COUNTIF('03 - 50% CD'!D233:G233,"Y")),"match","no 50% match"),"-")</f>
        <v>match</v>
      </c>
      <c r="L233" s="1410" t="str">
        <f t="shared" si="10"/>
        <v/>
      </c>
      <c r="M233" s="1333"/>
      <c r="N233" s="1333"/>
      <c r="O233" s="1333"/>
      <c r="P233" s="1333"/>
      <c r="Q233" s="1333"/>
      <c r="R233" s="1453"/>
      <c r="S233" s="1284"/>
      <c r="T233" s="1382"/>
      <c r="U233" s="1382"/>
      <c r="V233" s="1333"/>
      <c r="W233" s="1333"/>
      <c r="X233" s="1333"/>
      <c r="Y233" s="1333"/>
      <c r="Z233" s="1333"/>
      <c r="AA233" s="1333"/>
      <c r="AB233" s="1333"/>
      <c r="AC233" s="1333"/>
      <c r="AD233" s="1333"/>
      <c r="AE233" s="1333"/>
      <c r="AF233" s="1333"/>
      <c r="AG233" s="1333"/>
      <c r="AH233" s="1333"/>
      <c r="AI233" s="1333"/>
      <c r="AJ233" s="1333"/>
    </row>
    <row r="234" spans="1:49" s="17" customFormat="1" x14ac:dyDescent="0.25">
      <c r="A234" s="1518" t="str">
        <f>IF(CD50_apply="Yes",IF(COUNTIF('03 - 50% CD'!D232:G232,"Y")&gt;0,"Y",IF(COUNTIF('03 - 50% CD'!D232:G232,"N"),"N","")),"")</f>
        <v/>
      </c>
      <c r="B234" s="141"/>
      <c r="C234" s="944"/>
      <c r="D234" s="411"/>
      <c r="E234" s="321"/>
      <c r="F234" s="559" t="str">
        <f>IF('C-Design&amp;Const'!$O234="","",'C-Design&amp;Const'!$O234)</f>
        <v>Y</v>
      </c>
      <c r="G234" s="485"/>
      <c r="H234" s="355" t="str">
        <f>CONCATENATE(IF(F234="N","PLACEHOLDER ROW - ",""),'C-Design&amp;Const'!Z234,IF(F234="N","",J234))</f>
        <v>Architectural Symbols, Abbreviations, and General Notes (Complete)</v>
      </c>
      <c r="I234" s="151"/>
      <c r="J234" s="578" t="str">
        <f>IF('C-Design&amp;Const'!AH234="","",'C-Design&amp;Const'!AH234)</f>
        <v>(Complete)</v>
      </c>
      <c r="K234" s="285" t="str">
        <f>IF(CD50_apply="Yes",IF((COUNTIF(D234:G234,"Y")=COUNTIF('03 - 50% CD'!D232:G232,"Y")),"match","no 50% match"),"-")</f>
        <v>no 50% match</v>
      </c>
      <c r="L234" s="1410" t="str">
        <f>CONCATENATE(IF(ISNUMBER(SEARCH("Placeholder",H234))=TRUE,"&lt;---PM/Planner may hide PLACEHOLDER ROW",""))</f>
        <v/>
      </c>
      <c r="M234" s="1333"/>
      <c r="N234" s="1333"/>
      <c r="O234" s="1333"/>
      <c r="P234" s="1333"/>
      <c r="Q234" s="1333"/>
      <c r="R234" s="1453"/>
      <c r="S234" s="1284"/>
      <c r="T234" s="1382"/>
      <c r="U234" s="1382"/>
      <c r="V234" s="1333"/>
      <c r="W234" s="1333"/>
      <c r="X234" s="1333"/>
      <c r="Y234" s="1333"/>
      <c r="Z234" s="1333"/>
      <c r="AA234" s="1333"/>
      <c r="AB234" s="1333"/>
      <c r="AC234" s="1333"/>
      <c r="AD234" s="1333"/>
      <c r="AE234" s="1333"/>
      <c r="AF234" s="1333"/>
      <c r="AG234" s="1333"/>
      <c r="AH234" s="1333"/>
      <c r="AI234" s="1333"/>
      <c r="AJ234" s="1333"/>
    </row>
    <row r="235" spans="1:49" s="17" customFormat="1" x14ac:dyDescent="0.25">
      <c r="A235" s="1518" t="str">
        <f>IF(CD50_apply="Yes",IF(COUNTIF('03 - 50% CD'!D235:G235,"Y")&gt;0,"Y",IF(COUNTIF('03 - 50% CD'!D235:G235,"N"),"N","")),"")</f>
        <v>N</v>
      </c>
      <c r="B235" s="141"/>
      <c r="C235" s="944"/>
      <c r="D235" s="411"/>
      <c r="E235" s="321"/>
      <c r="F235" s="559" t="str">
        <f>IF('C-Design&amp;Const'!$O235="","",'C-Design&amp;Const'!$O235)</f>
        <v>N</v>
      </c>
      <c r="G235" s="491"/>
      <c r="H235" s="355" t="str">
        <f>CONCATENATE(IF(F235="N","PLACEHOLDER ROW - ",""),'C-Design&amp;Const'!Z235,IF(F235="N","",J235))</f>
        <v xml:space="preserve">PLACEHOLDER ROW - Renderings </v>
      </c>
      <c r="I235" s="151"/>
      <c r="J235" s="578" t="str">
        <f>IF('C-Design&amp;Const'!AH235="","",'C-Design&amp;Const'!AH235)</f>
        <v>(Complete)</v>
      </c>
      <c r="K235" s="285" t="str">
        <f>IF(CD50_apply="Yes",IF((COUNTIF(D235:G235,"Y")=COUNTIF('03 - 50% CD'!D235:G235,"Y")),"match","no 50% match"),"-")</f>
        <v>match</v>
      </c>
      <c r="L235" s="1410" t="str">
        <f t="shared" si="10"/>
        <v>&lt;---PM/Planner may hide PLACEHOLDER ROW</v>
      </c>
      <c r="M235" s="1333"/>
      <c r="N235" s="1333"/>
      <c r="O235" s="1333"/>
      <c r="P235" s="1333"/>
      <c r="Q235" s="1333"/>
      <c r="R235" s="1453"/>
      <c r="S235" s="1284"/>
      <c r="T235" s="1382"/>
      <c r="U235" s="1382"/>
      <c r="V235" s="1333"/>
      <c r="W235" s="1333"/>
      <c r="X235" s="1333"/>
      <c r="Y235" s="1333"/>
      <c r="Z235" s="1333"/>
      <c r="AA235" s="1333"/>
      <c r="AB235" s="1333"/>
      <c r="AC235" s="1333"/>
      <c r="AD235" s="1333"/>
      <c r="AE235" s="1333"/>
      <c r="AF235" s="1333"/>
      <c r="AG235" s="1333"/>
      <c r="AH235" s="1333"/>
      <c r="AI235" s="1333"/>
      <c r="AJ235" s="1333"/>
    </row>
    <row r="236" spans="1:49" s="17" customFormat="1" x14ac:dyDescent="0.25">
      <c r="A236" s="1518" t="str">
        <f>IF(CD50_apply="Yes",IF(COUNTIF('03 - 50% CD'!D236:G236,"Y")&gt;0,"Y",IF(COUNTIF('03 - 50% CD'!D236:G236,"N"),"N","")),"")</f>
        <v>Y</v>
      </c>
      <c r="B236" s="141"/>
      <c r="C236" s="944"/>
      <c r="D236" s="411"/>
      <c r="E236" s="321"/>
      <c r="F236" s="559" t="str">
        <f>IF('C-Design&amp;Const'!$O236="","",'C-Design&amp;Const'!$O236)</f>
        <v>Y</v>
      </c>
      <c r="G236" s="485"/>
      <c r="H236" s="355" t="str">
        <f>CONCATENATE(IF(F236="N","PLACEHOLDER ROW - ",""),'C-Design&amp;Const'!Z236,IF(F236="N","",J236))</f>
        <v>Demolition(s) (Complete)</v>
      </c>
      <c r="I236" s="151"/>
      <c r="J236" s="578" t="str">
        <f>IF('C-Design&amp;Const'!AH236="","",'C-Design&amp;Const'!AH236)</f>
        <v>(Complete)</v>
      </c>
      <c r="K236" s="285" t="str">
        <f>IF(CD50_apply="Yes",IF((COUNTIF(D236:G236,"Y")=COUNTIF('03 - 50% CD'!D236:G236,"Y")),"match","no 50% match"),"-")</f>
        <v>match</v>
      </c>
      <c r="L236" s="1410" t="str">
        <f>CONCATENATE(IF(ISNUMBER(SEARCH("Placeholder",H236))=TRUE,"&lt;---PM/Planner may hide PLACEHOLDER ROW",""))</f>
        <v/>
      </c>
      <c r="M236" s="1333"/>
      <c r="N236" s="1333"/>
      <c r="O236" s="1333"/>
      <c r="P236" s="1333"/>
      <c r="Q236" s="1333"/>
      <c r="R236" s="1453"/>
      <c r="S236" s="1284"/>
      <c r="T236" s="1382"/>
      <c r="U236" s="1382"/>
      <c r="V236" s="1333"/>
      <c r="W236" s="1333"/>
      <c r="X236" s="1333"/>
      <c r="Y236" s="1333"/>
      <c r="Z236" s="1333"/>
      <c r="AA236" s="1333"/>
      <c r="AB236" s="1333"/>
      <c r="AC236" s="1333"/>
      <c r="AD236" s="1333"/>
      <c r="AE236" s="1333"/>
      <c r="AF236" s="1333"/>
      <c r="AG236" s="1333"/>
      <c r="AH236" s="1333"/>
      <c r="AI236" s="1333"/>
      <c r="AJ236" s="1333"/>
    </row>
    <row r="237" spans="1:49" s="17" customFormat="1" x14ac:dyDescent="0.25">
      <c r="A237" s="1518" t="str">
        <f>IF(CD50_apply="Yes",IF(COUNTIF('03 - 50% CD'!D237:G237,"Y")&gt;0,"Y",IF(COUNTIF('03 - 50% CD'!D237:G237,"N"),"N","")),"")</f>
        <v>Y</v>
      </c>
      <c r="B237" s="141"/>
      <c r="C237" s="944"/>
      <c r="D237" s="411"/>
      <c r="E237" s="321"/>
      <c r="F237" s="559" t="str">
        <f>IF('C-Design&amp;Const'!$O237="","",'C-Design&amp;Const'!$O237)</f>
        <v>Y</v>
      </c>
      <c r="G237" s="485"/>
      <c r="H237" s="355" t="str">
        <f>CONCATENATE(IF(F237="N","PLACEHOLDER ROW - ",""),'C-Design&amp;Const'!Z237,IF(F237="N","",J237))</f>
        <v>Floor Plans - Large Scale (Complete)</v>
      </c>
      <c r="I237" s="151"/>
      <c r="J237" s="578" t="str">
        <f>IF('C-Design&amp;Const'!AH237="","",'C-Design&amp;Const'!AH237)</f>
        <v>(Complete)</v>
      </c>
      <c r="K237" s="285" t="str">
        <f>IF(CD50_apply="Yes",IF((COUNTIF(D237:G237,"Y")=COUNTIF('03 - 50% CD'!D237:G237,"Y")),"match","no 50% match"),"-")</f>
        <v>match</v>
      </c>
      <c r="L237" s="1410" t="str">
        <f>CONCATENATE(IF(ISNUMBER(SEARCH("Placeholder",H237))=TRUE,"&lt;---PM/Planner may hide PLACEHOLDER ROW",""))</f>
        <v/>
      </c>
      <c r="M237" s="1333"/>
      <c r="N237" s="1333"/>
      <c r="O237" s="1333"/>
      <c r="P237" s="1333"/>
      <c r="Q237" s="1333"/>
      <c r="R237" s="1453"/>
      <c r="S237" s="1284"/>
      <c r="T237" s="1382"/>
      <c r="U237" s="1382"/>
      <c r="V237" s="1333"/>
      <c r="W237" s="1333"/>
      <c r="X237" s="1333"/>
      <c r="Y237" s="1333"/>
      <c r="Z237" s="1333"/>
      <c r="AA237" s="1333"/>
      <c r="AB237" s="1333"/>
      <c r="AC237" s="1333"/>
      <c r="AD237" s="1333"/>
      <c r="AE237" s="1333"/>
      <c r="AF237" s="1333"/>
      <c r="AG237" s="1333"/>
      <c r="AH237" s="1333"/>
      <c r="AI237" s="1333"/>
      <c r="AJ237" s="1333"/>
    </row>
    <row r="238" spans="1:49" s="17" customFormat="1" x14ac:dyDescent="0.25">
      <c r="A238" s="1518" t="str">
        <f>IF(CD50_apply="Yes",IF(COUNTIF('03 - 50% CD'!D238:G238,"Y")&gt;0,"Y",IF(COUNTIF('03 - 50% CD'!D238:G238,"N"),"N","")),"")</f>
        <v>Y</v>
      </c>
      <c r="B238" s="141"/>
      <c r="C238" s="944"/>
      <c r="D238" s="411"/>
      <c r="E238" s="321"/>
      <c r="F238" s="559" t="str">
        <f>IF('C-Design&amp;Const'!$O238="","",'C-Design&amp;Const'!$O238)</f>
        <v>Y</v>
      </c>
      <c r="G238" s="485"/>
      <c r="H238" s="355" t="str">
        <f>CONCATENATE(IF(F238="N","PLACEHOLDER ROW - ",""),'C-Design&amp;Const'!Z238,IF(F238="N","",J238))</f>
        <v>Floor Plans (Complete)</v>
      </c>
      <c r="I238" s="151"/>
      <c r="J238" s="578" t="str">
        <f>IF('C-Design&amp;Const'!AH238="","",'C-Design&amp;Const'!AH238)</f>
        <v>(Complete)</v>
      </c>
      <c r="K238" s="285" t="str">
        <f>IF(CD50_apply="Yes",IF((COUNTIF(D238:G238,"Y")=COUNTIF('03 - 50% CD'!D238:G238,"Y")),"match","no 50% match"),"-")</f>
        <v>match</v>
      </c>
      <c r="L238" s="1410" t="str">
        <f t="shared" si="10"/>
        <v/>
      </c>
      <c r="M238" s="1333"/>
      <c r="N238" s="1382"/>
      <c r="O238" s="1333"/>
      <c r="P238" s="1333"/>
      <c r="Q238" s="1333"/>
      <c r="R238" s="1453"/>
      <c r="S238" s="1284"/>
      <c r="T238" s="1382"/>
      <c r="U238" s="1382"/>
      <c r="V238" s="1333"/>
      <c r="W238" s="1333"/>
      <c r="X238" s="1333"/>
      <c r="Y238" s="1333"/>
      <c r="Z238" s="1333"/>
      <c r="AA238" s="1333"/>
      <c r="AB238" s="1333"/>
      <c r="AC238" s="1333"/>
      <c r="AD238" s="1333"/>
      <c r="AE238" s="1333"/>
      <c r="AF238" s="1333"/>
      <c r="AG238" s="1333"/>
      <c r="AH238" s="1333"/>
      <c r="AI238" s="1333"/>
      <c r="AJ238" s="1333"/>
    </row>
    <row r="239" spans="1:49" s="17" customFormat="1" x14ac:dyDescent="0.25">
      <c r="A239" s="1518" t="str">
        <f>IF(CD50_apply="Yes",IF(COUNTIF('03 - 50% CD'!D239:G239,"Y")&gt;0,"Y",IF(COUNTIF('03 - 50% CD'!D239:G239,"N"),"N","")),"")</f>
        <v>Y</v>
      </c>
      <c r="B239" s="141"/>
      <c r="C239" s="944"/>
      <c r="D239" s="411"/>
      <c r="E239" s="321"/>
      <c r="F239" s="559" t="str">
        <f>IF('C-Design&amp;Const'!$O239="","",'C-Design&amp;Const'!$O239)</f>
        <v>Y</v>
      </c>
      <c r="G239" s="485"/>
      <c r="H239" s="355" t="str">
        <f>CONCATENATE(IF(F239="N","PLACEHOLDER ROW - ",""),'C-Design&amp;Const'!Z239,IF(F239="N","",J239))</f>
        <v>Roof Plan (Complete)</v>
      </c>
      <c r="I239" s="151"/>
      <c r="J239" s="578" t="str">
        <f>IF('C-Design&amp;Const'!AH239="","",'C-Design&amp;Const'!AH239)</f>
        <v>(Complete)</v>
      </c>
      <c r="K239" s="285" t="str">
        <f>IF(CD50_apply="Yes",IF((COUNTIF(D239:G239,"Y")=COUNTIF('03 - 50% CD'!D239:G239,"Y")),"match","no 50% match"),"-")</f>
        <v>match</v>
      </c>
      <c r="L239" s="1410" t="str">
        <f t="shared" si="10"/>
        <v/>
      </c>
      <c r="M239" s="1333"/>
      <c r="N239" s="1382"/>
      <c r="O239" s="1333"/>
      <c r="P239" s="1333"/>
      <c r="Q239" s="1333"/>
      <c r="R239" s="1453"/>
      <c r="S239" s="1284"/>
      <c r="T239" s="1382"/>
      <c r="U239" s="1382"/>
      <c r="V239" s="1333"/>
      <c r="W239" s="1333"/>
      <c r="X239" s="1333"/>
      <c r="Y239" s="1333"/>
      <c r="Z239" s="1333"/>
      <c r="AA239" s="1333"/>
      <c r="AB239" s="1333"/>
      <c r="AC239" s="1333"/>
      <c r="AD239" s="1333"/>
      <c r="AE239" s="1333"/>
      <c r="AF239" s="1333"/>
      <c r="AG239" s="1333"/>
      <c r="AH239" s="1333"/>
      <c r="AI239" s="1333"/>
      <c r="AJ239" s="1333"/>
    </row>
    <row r="240" spans="1:49" s="17" customFormat="1" x14ac:dyDescent="0.25">
      <c r="A240" s="1518" t="str">
        <f>IF(CD50_apply="Yes",IF(COUNTIF('03 - 50% CD'!D240:G240,"Y")&gt;0,"Y",IF(COUNTIF('03 - 50% CD'!D240:G240,"N"),"N","")),"")</f>
        <v>Y</v>
      </c>
      <c r="B240" s="141"/>
      <c r="C240" s="944"/>
      <c r="D240" s="411"/>
      <c r="E240" s="321"/>
      <c r="F240" s="559" t="str">
        <f>IF('C-Design&amp;Const'!$O240="","",'C-Design&amp;Const'!$O240)</f>
        <v>Y</v>
      </c>
      <c r="G240" s="485"/>
      <c r="H240" s="355" t="str">
        <f>CONCATENATE(IF(F240="N","PLACEHOLDER ROW - ",""),'C-Design&amp;Const'!Z240,IF(F240="N","",J240))</f>
        <v>Building Elevations - Exterior Including Large Scale Critical Items (Complete)</v>
      </c>
      <c r="I240" s="151"/>
      <c r="J240" s="578" t="str">
        <f>IF('C-Design&amp;Const'!AH240="","",'C-Design&amp;Const'!AH240)</f>
        <v>Including Large Scale Critical Items (Complete)</v>
      </c>
      <c r="K240" s="285" t="str">
        <f>IF(CD50_apply="Yes",IF((COUNTIF(D240:G240,"Y")=COUNTIF('03 - 50% CD'!D240:G240,"Y")),"match","no 50% match"),"-")</f>
        <v>match</v>
      </c>
      <c r="L240" s="1410" t="str">
        <f t="shared" si="10"/>
        <v/>
      </c>
      <c r="M240" s="1333"/>
      <c r="N240" s="1333"/>
      <c r="O240" s="1333"/>
      <c r="P240" s="1333"/>
      <c r="Q240" s="1333"/>
      <c r="R240" s="1453"/>
      <c r="S240" s="1284"/>
      <c r="T240" s="1382"/>
      <c r="U240" s="1382"/>
      <c r="V240" s="1333"/>
      <c r="W240" s="1333"/>
      <c r="X240" s="1333"/>
      <c r="Y240" s="1333"/>
      <c r="Z240" s="1333"/>
      <c r="AA240" s="1333"/>
      <c r="AB240" s="1333"/>
      <c r="AC240" s="1333"/>
      <c r="AD240" s="1333"/>
      <c r="AE240" s="1333"/>
      <c r="AF240" s="1333"/>
      <c r="AG240" s="1333"/>
      <c r="AH240" s="1333"/>
      <c r="AI240" s="1333"/>
      <c r="AJ240" s="1333"/>
    </row>
    <row r="241" spans="1:49" s="17" customFormat="1" x14ac:dyDescent="0.25">
      <c r="A241" s="1518" t="str">
        <f>IF(CD50_apply="Yes",IF(COUNTIF('03 - 50% CD'!D241:G241,"Y")&gt;0,"Y",IF(COUNTIF('03 - 50% CD'!D241:G241,"N"),"N","")),"")</f>
        <v>Y</v>
      </c>
      <c r="B241" s="141"/>
      <c r="C241" s="944"/>
      <c r="D241" s="411"/>
      <c r="E241" s="321"/>
      <c r="F241" s="559" t="str">
        <f>IF('C-Design&amp;Const'!$O241="","",'C-Design&amp;Const'!$O241)</f>
        <v>Y</v>
      </c>
      <c r="G241" s="485"/>
      <c r="H241" s="355" t="str">
        <f>CONCATENATE(IF(F241="N","PLACEHOLDER ROW - ",""),'C-Design&amp;Const'!Z241,IF(F241="N","",J241))</f>
        <v>Transverse and Longitudinal Sections (Complete)</v>
      </c>
      <c r="I241" s="151"/>
      <c r="J241" s="578" t="str">
        <f>IF('C-Design&amp;Const'!AH241="","",'C-Design&amp;Const'!AH241)</f>
        <v>(Complete)</v>
      </c>
      <c r="K241" s="285" t="str">
        <f>IF(CD50_apply="Yes",IF((COUNTIF(D241:G241,"Y")=COUNTIF('03 - 50% CD'!D241:G241,"Y")),"match","no 50% match"),"-")</f>
        <v>match</v>
      </c>
      <c r="L241" s="1410" t="str">
        <f t="shared" si="10"/>
        <v/>
      </c>
      <c r="M241" s="1333"/>
      <c r="N241" s="1333"/>
      <c r="O241" s="1333"/>
      <c r="P241" s="1333"/>
      <c r="Q241" s="1333"/>
      <c r="R241" s="1453"/>
      <c r="S241" s="1284"/>
      <c r="T241" s="1382"/>
      <c r="U241" s="1382"/>
      <c r="V241" s="1333"/>
      <c r="W241" s="1333"/>
      <c r="X241" s="1333"/>
      <c r="Y241" s="1333"/>
      <c r="Z241" s="1333"/>
      <c r="AA241" s="1333"/>
      <c r="AB241" s="1333"/>
      <c r="AC241" s="1333"/>
      <c r="AD241" s="1333"/>
      <c r="AE241" s="1333"/>
      <c r="AF241" s="1333"/>
      <c r="AG241" s="1333"/>
      <c r="AH241" s="1333"/>
      <c r="AI241" s="1333"/>
      <c r="AJ241" s="1333"/>
    </row>
    <row r="242" spans="1:49" s="17" customFormat="1" x14ac:dyDescent="0.25">
      <c r="A242" s="1518" t="str">
        <f>IF(CD50_apply="Yes",IF(COUNTIF('03 - 50% CD'!D242:G242,"Y")&gt;0,"Y",IF(COUNTIF('03 - 50% CD'!D242:G242,"N"),"N","")),"")</f>
        <v>Y</v>
      </c>
      <c r="B242" s="141"/>
      <c r="C242" s="944"/>
      <c r="D242" s="411"/>
      <c r="E242" s="321"/>
      <c r="F242" s="559" t="str">
        <f>IF('C-Design&amp;Const'!$O242="","",'C-Design&amp;Const'!$O242)</f>
        <v>Y</v>
      </c>
      <c r="G242" s="485"/>
      <c r="H242" s="355" t="str">
        <f>CONCATENATE(IF(F242="N","PLACEHOLDER ROW - ",""),'C-Design&amp;Const'!Z242,IF(F242="N","",J242))</f>
        <v>Wall Sections - All Major Exterior (Complete)</v>
      </c>
      <c r="I242" s="151"/>
      <c r="J242" s="578" t="str">
        <f>IF('C-Design&amp;Const'!AH242="","",'C-Design&amp;Const'!AH242)</f>
        <v>(Complete)</v>
      </c>
      <c r="K242" s="285" t="str">
        <f>IF(CD50_apply="Yes",IF((COUNTIF(D242:G242,"Y")=COUNTIF('03 - 50% CD'!D242:G242,"Y")),"match","no 50% match"),"-")</f>
        <v>match</v>
      </c>
      <c r="L242" s="1410" t="str">
        <f t="shared" si="10"/>
        <v/>
      </c>
      <c r="M242" s="1333"/>
      <c r="N242" s="1333"/>
      <c r="O242" s="1333"/>
      <c r="P242" s="1333"/>
      <c r="Q242" s="1333"/>
      <c r="R242" s="1453"/>
      <c r="S242" s="1284"/>
      <c r="T242" s="1382"/>
      <c r="U242" s="1382"/>
      <c r="V242" s="1333"/>
      <c r="W242" s="1333"/>
      <c r="X242" s="1333"/>
      <c r="Y242" s="1333"/>
      <c r="Z242" s="1333"/>
      <c r="AA242" s="1333"/>
      <c r="AB242" s="1333"/>
      <c r="AC242" s="1333"/>
      <c r="AD242" s="1333"/>
      <c r="AE242" s="1333"/>
      <c r="AF242" s="1333"/>
      <c r="AG242" s="1333"/>
      <c r="AH242" s="1333"/>
      <c r="AI242" s="1333"/>
      <c r="AJ242" s="1333"/>
    </row>
    <row r="243" spans="1:49" s="30" customFormat="1" ht="15" customHeight="1" x14ac:dyDescent="0.25">
      <c r="A243" s="1518" t="str">
        <f>IF(CD50_apply="Yes",IF(COUNTIF('03 - 50% CD'!D243:G243,"Y")&gt;0,"Y",IF(COUNTIF('03 - 50% CD'!D243:G243,"N"),"N","")),"")</f>
        <v>Y</v>
      </c>
      <c r="B243" s="191"/>
      <c r="C243" s="944"/>
      <c r="D243" s="463"/>
      <c r="E243" s="463"/>
      <c r="F243" s="359" t="str">
        <f>IF('C-Design&amp;Const'!$O243="","",'C-Design&amp;Const'!$O243)</f>
        <v>Y</v>
      </c>
      <c r="G243" s="291"/>
      <c r="H243" s="341" t="str">
        <f>CONCATENATE(IF(F243="N","PLACEHOLDER ROW - ",""),'C-Design&amp;Const'!Z243,IF(F243="N","",J243))</f>
        <v>Partial Sections and Details (Complete)</v>
      </c>
      <c r="I243" s="184"/>
      <c r="J243" s="578" t="str">
        <f>IF('C-Design&amp;Const'!AH243="","",'C-Design&amp;Const'!AH243)</f>
        <v>(Complete)</v>
      </c>
      <c r="K243" s="285" t="str">
        <f>IF(CD50_apply="Yes",IF((COUNTIF(D243:G243,"Y")=COUNTIF('03 - 50% CD'!D243:G243,"Y")),"match","no 50% match"),"-")</f>
        <v>match</v>
      </c>
      <c r="L243" s="1410" t="str">
        <f t="shared" si="10"/>
        <v/>
      </c>
      <c r="M243" s="1382"/>
      <c r="N243" s="1333"/>
      <c r="O243" s="1382"/>
      <c r="P243" s="1382"/>
      <c r="Q243" s="1382"/>
      <c r="R243" s="1382"/>
      <c r="S243" s="1284"/>
      <c r="T243" s="1382"/>
      <c r="U243" s="1382"/>
      <c r="V243" s="1382"/>
      <c r="W243" s="1382"/>
      <c r="X243" s="1382"/>
      <c r="Y243" s="1382"/>
      <c r="Z243" s="1382"/>
      <c r="AA243" s="1382"/>
      <c r="AB243" s="1382"/>
      <c r="AC243" s="1382"/>
      <c r="AD243" s="1382"/>
      <c r="AE243" s="1382"/>
      <c r="AF243" s="1382"/>
      <c r="AG243" s="1382"/>
      <c r="AH243" s="1382"/>
      <c r="AI243" s="1382"/>
      <c r="AJ243" s="1382"/>
      <c r="AK243" s="181"/>
      <c r="AL243" s="181"/>
      <c r="AM243" s="181"/>
      <c r="AN243" s="181"/>
      <c r="AO243" s="181"/>
      <c r="AP243" s="181"/>
      <c r="AQ243" s="181"/>
      <c r="AR243" s="181"/>
      <c r="AS243" s="181"/>
      <c r="AT243" s="181"/>
      <c r="AU243" s="181"/>
      <c r="AV243" s="181"/>
      <c r="AW243" s="181"/>
    </row>
    <row r="244" spans="1:49" s="30" customFormat="1" ht="15" customHeight="1" x14ac:dyDescent="0.25">
      <c r="A244" s="1518" t="str">
        <f>IF(CD50_apply="Yes",IF(COUNTIF('03 - 50% CD'!D244:G244,"Y")&gt;0,"Y",IF(COUNTIF('03 - 50% CD'!D244:G244,"N"),"N","")),"")</f>
        <v>Y</v>
      </c>
      <c r="B244" s="191"/>
      <c r="C244" s="944"/>
      <c r="D244" s="463"/>
      <c r="E244" s="463"/>
      <c r="F244" s="359" t="str">
        <f>IF('C-Design&amp;Const'!$O244="","",'C-Design&amp;Const'!$O244)</f>
        <v>Y</v>
      </c>
      <c r="G244" s="291"/>
      <c r="H244" s="341" t="str">
        <f>CONCATENATE(IF(F244="N","PLACEHOLDER ROW - ",""),'C-Design&amp;Const'!Z244,IF(F244="N","",J244))</f>
        <v>Wall / Window Details (Complete)</v>
      </c>
      <c r="I244" s="184"/>
      <c r="J244" s="578" t="str">
        <f>IF('C-Design&amp;Const'!AH244="","",'C-Design&amp;Const'!AH244)</f>
        <v>(Complete)</v>
      </c>
      <c r="K244" s="285" t="str">
        <f>IF(CD50_apply="Yes",IF((COUNTIF(D244:G244,"Y")=COUNTIF('03 - 50% CD'!D244:G244,"Y")),"match","no 50% match"),"-")</f>
        <v>match</v>
      </c>
      <c r="L244" s="1410" t="str">
        <f t="shared" si="10"/>
        <v/>
      </c>
      <c r="M244" s="1382"/>
      <c r="N244" s="1333"/>
      <c r="O244" s="1382"/>
      <c r="P244" s="1382"/>
      <c r="Q244" s="1382"/>
      <c r="R244" s="1382"/>
      <c r="S244" s="1284"/>
      <c r="T244" s="1382"/>
      <c r="U244" s="1382"/>
      <c r="V244" s="1382"/>
      <c r="W244" s="1382"/>
      <c r="X244" s="1382"/>
      <c r="Y244" s="1382"/>
      <c r="Z244" s="1382"/>
      <c r="AA244" s="1382"/>
      <c r="AB244" s="1382"/>
      <c r="AC244" s="1382"/>
      <c r="AD244" s="1382"/>
      <c r="AE244" s="1382"/>
      <c r="AF244" s="1382"/>
      <c r="AG244" s="1382"/>
      <c r="AH244" s="1382"/>
      <c r="AI244" s="1382"/>
      <c r="AJ244" s="1382"/>
      <c r="AK244" s="181"/>
      <c r="AL244" s="181"/>
      <c r="AM244" s="181"/>
      <c r="AN244" s="181"/>
      <c r="AO244" s="181"/>
      <c r="AP244" s="181"/>
      <c r="AQ244" s="181"/>
      <c r="AR244" s="181"/>
      <c r="AS244" s="181"/>
      <c r="AT244" s="181"/>
      <c r="AU244" s="181"/>
      <c r="AV244" s="181"/>
      <c r="AW244" s="181"/>
    </row>
    <row r="245" spans="1:49" s="30" customFormat="1" ht="15" customHeight="1" x14ac:dyDescent="0.25">
      <c r="A245" s="1518" t="str">
        <f>IF(CD50_apply="Yes",IF(COUNTIF('03 - 50% CD'!D245:G245,"Y")&gt;0,"Y",IF(COUNTIF('03 - 50% CD'!D245:G245,"N"),"N","")),"")</f>
        <v>Y</v>
      </c>
      <c r="B245" s="191"/>
      <c r="C245" s="944"/>
      <c r="D245" s="463"/>
      <c r="E245" s="463"/>
      <c r="F245" s="359" t="str">
        <f>IF('C-Design&amp;Const'!$O245="","",'C-Design&amp;Const'!$O245)</f>
        <v>Y</v>
      </c>
      <c r="G245" s="291"/>
      <c r="H245" s="341" t="str">
        <f>CONCATENATE(IF(F245="N","PLACEHOLDER ROW - ",""),'C-Design&amp;Const'!Z245,IF(F245="N","",J245))</f>
        <v>Sections through Elevators (Complete)</v>
      </c>
      <c r="I245" s="184"/>
      <c r="J245" s="578" t="str">
        <f>IF('C-Design&amp;Const'!AH245="","",'C-Design&amp;Const'!AH245)</f>
        <v>(Complete)</v>
      </c>
      <c r="K245" s="285" t="str">
        <f>IF(CD50_apply="Yes",IF((COUNTIF(D245:G245,"Y")=COUNTIF('03 - 50% CD'!D245:G245,"Y")),"match","no 50% match"),"-")</f>
        <v>match</v>
      </c>
      <c r="L245" s="1410" t="str">
        <f t="shared" si="10"/>
        <v/>
      </c>
      <c r="M245" s="1382"/>
      <c r="N245" s="1333"/>
      <c r="O245" s="1382"/>
      <c r="P245" s="1382"/>
      <c r="Q245" s="1382"/>
      <c r="R245" s="1382"/>
      <c r="S245" s="1284"/>
      <c r="T245" s="1382"/>
      <c r="U245" s="1382"/>
      <c r="V245" s="1382"/>
      <c r="W245" s="1382"/>
      <c r="X245" s="1382"/>
      <c r="Y245" s="1382"/>
      <c r="Z245" s="1382"/>
      <c r="AA245" s="1382"/>
      <c r="AB245" s="1382"/>
      <c r="AC245" s="1382"/>
      <c r="AD245" s="1382"/>
      <c r="AE245" s="1382"/>
      <c r="AF245" s="1382"/>
      <c r="AG245" s="1382"/>
      <c r="AH245" s="1382"/>
      <c r="AI245" s="1382"/>
      <c r="AJ245" s="1382"/>
      <c r="AK245" s="181"/>
      <c r="AL245" s="181"/>
      <c r="AM245" s="181"/>
      <c r="AN245" s="181"/>
      <c r="AO245" s="181"/>
      <c r="AP245" s="181"/>
      <c r="AQ245" s="181"/>
      <c r="AR245" s="181"/>
      <c r="AS245" s="181"/>
      <c r="AT245" s="181"/>
      <c r="AU245" s="181"/>
      <c r="AV245" s="181"/>
      <c r="AW245" s="181"/>
    </row>
    <row r="246" spans="1:49" s="17" customFormat="1" x14ac:dyDescent="0.25">
      <c r="A246" s="1518" t="str">
        <f>IF(CD50_apply="Yes",IF(COUNTIF('03 - 50% CD'!D246:G246,"Y")&gt;0,"Y",IF(COUNTIF('03 - 50% CD'!D246:G246,"N"),"N","")),"")</f>
        <v>Y</v>
      </c>
      <c r="B246" s="141"/>
      <c r="C246" s="944"/>
      <c r="D246" s="411"/>
      <c r="E246" s="321"/>
      <c r="F246" s="559" t="str">
        <f>IF('C-Design&amp;Const'!$O246="","",'C-Design&amp;Const'!$O246)</f>
        <v>Y</v>
      </c>
      <c r="G246" s="485"/>
      <c r="H246" s="355" t="str">
        <f>CONCATENATE(IF(F246="N","PLACEHOLDER ROW - ",""),'C-Design&amp;Const'!Z246,IF(F246="N","",J246))</f>
        <v>Exterior Wall and Roof Details (Complete)</v>
      </c>
      <c r="I246" s="151"/>
      <c r="J246" s="578" t="str">
        <f>IF('C-Design&amp;Const'!AH246="","",'C-Design&amp;Const'!AH246)</f>
        <v>(Complete)</v>
      </c>
      <c r="K246" s="285" t="str">
        <f>IF(CD50_apply="Yes",IF((COUNTIF(D246:G246,"Y")=COUNTIF('03 - 50% CD'!D246:G246,"Y")),"match","no 50% match"),"-")</f>
        <v>match</v>
      </c>
      <c r="L246" s="1410" t="str">
        <f t="shared" si="10"/>
        <v/>
      </c>
      <c r="M246" s="1333"/>
      <c r="N246" s="1333"/>
      <c r="O246" s="1333"/>
      <c r="P246" s="1333"/>
      <c r="Q246" s="1333"/>
      <c r="R246" s="1453"/>
      <c r="S246" s="1284"/>
      <c r="T246" s="1382"/>
      <c r="U246" s="1382"/>
      <c r="V246" s="1333"/>
      <c r="W246" s="1333"/>
      <c r="X246" s="1333"/>
      <c r="Y246" s="1333"/>
      <c r="Z246" s="1333"/>
      <c r="AA246" s="1333"/>
      <c r="AB246" s="1333"/>
      <c r="AC246" s="1333"/>
      <c r="AD246" s="1333"/>
      <c r="AE246" s="1333"/>
      <c r="AF246" s="1333"/>
      <c r="AG246" s="1333"/>
      <c r="AH246" s="1333"/>
      <c r="AI246" s="1333"/>
      <c r="AJ246" s="1333"/>
    </row>
    <row r="247" spans="1:49" s="17" customFormat="1" x14ac:dyDescent="0.25">
      <c r="A247" s="1518" t="str">
        <f>IF(CD50_apply="Yes",IF(COUNTIF('03 - 50% CD'!D247:G247,"Y")&gt;0,"Y",IF(COUNTIF('03 - 50% CD'!D247:G247,"N"),"N","")),"")</f>
        <v>Y</v>
      </c>
      <c r="B247" s="141"/>
      <c r="C247" s="944"/>
      <c r="D247" s="411"/>
      <c r="E247" s="321"/>
      <c r="F247" s="559" t="str">
        <f>IF('C-Design&amp;Const'!$O247="","",'C-Design&amp;Const'!$O247)</f>
        <v>Y</v>
      </c>
      <c r="G247" s="485"/>
      <c r="H247" s="355" t="str">
        <f>CONCATENATE(IF(F247="N","PLACEHOLDER ROW - ",""),'C-Design&amp;Const'!Z247,IF(F247="N","",J247))</f>
        <v>Reflected Ceiling Plan (Complete)</v>
      </c>
      <c r="I247" s="151"/>
      <c r="J247" s="578" t="str">
        <f>IF('C-Design&amp;Const'!AH247="","",'C-Design&amp;Const'!AH247)</f>
        <v>(Complete)</v>
      </c>
      <c r="K247" s="285" t="str">
        <f>IF(CD50_apply="Yes",IF((COUNTIF(D247:G247,"Y")=COUNTIF('03 - 50% CD'!D247:G247,"Y")),"match","no 50% match"),"-")</f>
        <v>match</v>
      </c>
      <c r="L247" s="1410" t="str">
        <f t="shared" si="10"/>
        <v/>
      </c>
      <c r="M247" s="1333"/>
      <c r="N247" s="1333"/>
      <c r="O247" s="1333"/>
      <c r="P247" s="1333"/>
      <c r="Q247" s="1333"/>
      <c r="R247" s="1453"/>
      <c r="S247" s="1284"/>
      <c r="T247" s="1382"/>
      <c r="U247" s="1382"/>
      <c r="V247" s="1333"/>
      <c r="W247" s="1333"/>
      <c r="X247" s="1333"/>
      <c r="Y247" s="1333"/>
      <c r="Z247" s="1333"/>
      <c r="AA247" s="1333"/>
      <c r="AB247" s="1333"/>
      <c r="AC247" s="1333"/>
      <c r="AD247" s="1333"/>
      <c r="AE247" s="1333"/>
      <c r="AF247" s="1333"/>
      <c r="AG247" s="1333"/>
      <c r="AH247" s="1333"/>
      <c r="AI247" s="1333"/>
      <c r="AJ247" s="1333"/>
    </row>
    <row r="248" spans="1:49" s="17" customFormat="1" x14ac:dyDescent="0.25">
      <c r="A248" s="1518" t="str">
        <f>IF(CD50_apply="Yes",IF(COUNTIF('03 - 50% CD'!D248:G248,"Y")&gt;0,"Y",IF(COUNTIF('03 - 50% CD'!D248:G248,"N"),"N","")),"")</f>
        <v>Y</v>
      </c>
      <c r="B248" s="141"/>
      <c r="C248" s="944"/>
      <c r="D248" s="411"/>
      <c r="E248" s="321"/>
      <c r="F248" s="559" t="str">
        <f>IF('C-Design&amp;Const'!$O248="","",'C-Design&amp;Const'!$O248)</f>
        <v>Y</v>
      </c>
      <c r="G248" s="485"/>
      <c r="H248" s="355" t="str">
        <f>CONCATENATE(IF(F248="N","PLACEHOLDER ROW - ",""),'C-Design&amp;Const'!Z248,IF(F248="N","",J248))</f>
        <v>Interior Elevations and Details(Complete)</v>
      </c>
      <c r="I248" s="151"/>
      <c r="J248" s="578" t="str">
        <f>IF('C-Design&amp;Const'!AH248="","",'C-Design&amp;Const'!AH248)</f>
        <v>(Complete)</v>
      </c>
      <c r="K248" s="285" t="str">
        <f>IF(CD50_apply="Yes",IF((COUNTIF(D248:G248,"Y")=COUNTIF('03 - 50% CD'!D248:G248,"Y")),"match","no 50% match"),"-")</f>
        <v>match</v>
      </c>
      <c r="L248" s="1410" t="str">
        <f t="shared" si="10"/>
        <v/>
      </c>
      <c r="M248" s="1333"/>
      <c r="N248" s="1333"/>
      <c r="O248" s="1333"/>
      <c r="P248" s="1333"/>
      <c r="Q248" s="1333"/>
      <c r="R248" s="1453"/>
      <c r="S248" s="1284"/>
      <c r="T248" s="1382"/>
      <c r="U248" s="1382"/>
      <c r="V248" s="1333"/>
      <c r="W248" s="1333"/>
      <c r="X248" s="1333"/>
      <c r="Y248" s="1333"/>
      <c r="Z248" s="1333"/>
      <c r="AA248" s="1333"/>
      <c r="AB248" s="1333"/>
      <c r="AC248" s="1333"/>
      <c r="AD248" s="1333"/>
      <c r="AE248" s="1333"/>
      <c r="AF248" s="1333"/>
      <c r="AG248" s="1333"/>
      <c r="AH248" s="1333"/>
      <c r="AI248" s="1333"/>
      <c r="AJ248" s="1333"/>
    </row>
    <row r="249" spans="1:49" ht="30" x14ac:dyDescent="0.25">
      <c r="A249" s="1518" t="str">
        <f>IF(CD50_apply="Yes",IF(COUNTIF('03 - 50% CD'!D249:G249,"Y")&gt;0,"Y",IF(COUNTIF('03 - 50% CD'!D249:G249,"N"),"N","")),"")</f>
        <v>Y</v>
      </c>
      <c r="B249" s="125"/>
      <c r="C249" s="944"/>
      <c r="D249" s="411"/>
      <c r="E249" s="321"/>
      <c r="F249" s="559" t="str">
        <f>IF('C-Design&amp;Const'!$O249="","",'C-Design&amp;Const'!$O249)</f>
        <v>Y</v>
      </c>
      <c r="G249" s="485"/>
      <c r="H249" s="341" t="str">
        <f>CONCATENATE(IF(F249="N","PLACEHOLDER ROW - ",""),'C-Design&amp;Const'!Z249,IF(F249="N","",J249))</f>
        <v>Door/Hardware; Room Finish; Window; and Equipment Schedules (Substantially Complete)</v>
      </c>
      <c r="I249" s="151"/>
      <c r="J249" s="578" t="str">
        <f>IF('C-Design&amp;Const'!AH249="","",'C-Design&amp;Const'!AH249)</f>
        <v>(Substantially Complete)</v>
      </c>
      <c r="K249" s="285" t="str">
        <f>IF(CD50_apply="Yes",IF((COUNTIF(D249:G249,"Y")=COUNTIF('03 - 50% CD'!D249:G249,"Y")),"match","no 50% match"),"-")</f>
        <v>match</v>
      </c>
      <c r="L249" s="1410" t="str">
        <f t="shared" si="10"/>
        <v/>
      </c>
      <c r="M249" s="1333"/>
      <c r="N249" s="1333"/>
      <c r="O249" s="1333"/>
      <c r="P249" s="1333"/>
      <c r="Q249" s="1333"/>
      <c r="R249" s="1453"/>
      <c r="S249" s="1284"/>
      <c r="T249" s="1382"/>
      <c r="U249" s="1382"/>
      <c r="V249" s="1333"/>
      <c r="W249" s="1333"/>
      <c r="X249" s="1333"/>
      <c r="Y249" s="1333"/>
      <c r="Z249" s="1333"/>
      <c r="AA249" s="1333"/>
      <c r="AB249" s="1333"/>
      <c r="AC249" s="1333"/>
      <c r="AD249" s="1333"/>
      <c r="AE249" s="1333"/>
      <c r="AF249" s="1333"/>
      <c r="AG249" s="1333"/>
      <c r="AH249" s="1333"/>
      <c r="AI249" s="1333"/>
      <c r="AJ249" s="1333"/>
    </row>
    <row r="250" spans="1:49" x14ac:dyDescent="0.25">
      <c r="A250" s="1518" t="str">
        <f>IF(CD50_apply="Yes",IF(COUNTIF('03 - 50% CD'!D250:G250,"Y")&gt;0,"Y",IF(COUNTIF('03 - 50% CD'!D250:G250,"N"),"N","")),"")</f>
        <v>Y</v>
      </c>
      <c r="B250" s="125"/>
      <c r="C250" s="944"/>
      <c r="D250" s="411"/>
      <c r="E250" s="321"/>
      <c r="F250" s="559" t="str">
        <f>IF('C-Design&amp;Const'!$O250="","",'C-Design&amp;Const'!$O250)</f>
        <v>Y</v>
      </c>
      <c r="G250" s="485"/>
      <c r="H250" s="355" t="str">
        <f>CONCATENATE(IF(F250="N","PLACEHOLDER ROW - ",""),'C-Design&amp;Const'!Z250,IF(F250="N","",J250))</f>
        <v>Interior Partition Types; Door and Window Details (Complete)</v>
      </c>
      <c r="I250" s="151"/>
      <c r="J250" s="578" t="str">
        <f>IF('C-Design&amp;Const'!AH250="","",'C-Design&amp;Const'!AH250)</f>
        <v>(Complete)</v>
      </c>
      <c r="K250" s="285" t="str">
        <f>IF(CD50_apply="Yes",IF((COUNTIF(D250:G250,"Y")=COUNTIF('03 - 50% CD'!D250:G250,"Y")),"match","no 50% match"),"-")</f>
        <v>match</v>
      </c>
      <c r="L250" s="1410" t="str">
        <f t="shared" ref="L250:L327" si="14">CONCATENATE(IF(ISNUMBER(SEARCH("Placeholder",H250))=TRUE,"&lt;---PM/Planner may hide PLACEHOLDER ROW",""))</f>
        <v/>
      </c>
      <c r="M250" s="1333"/>
      <c r="N250" s="1333"/>
      <c r="O250" s="1333"/>
      <c r="P250" s="1333"/>
      <c r="Q250" s="1333"/>
      <c r="R250" s="1453"/>
      <c r="S250" s="1284"/>
      <c r="T250" s="1382"/>
      <c r="U250" s="1382"/>
      <c r="V250" s="1333"/>
      <c r="W250" s="1333"/>
      <c r="X250" s="1333"/>
      <c r="Y250" s="1333"/>
      <c r="Z250" s="1333"/>
      <c r="AA250" s="1333"/>
      <c r="AB250" s="1333"/>
      <c r="AC250" s="1333"/>
      <c r="AD250" s="1333"/>
      <c r="AE250" s="1333"/>
      <c r="AF250" s="1333"/>
      <c r="AG250" s="1333"/>
      <c r="AH250" s="1333"/>
      <c r="AI250" s="1333"/>
      <c r="AJ250" s="1333"/>
    </row>
    <row r="251" spans="1:49" x14ac:dyDescent="0.25">
      <c r="A251" s="1518" t="str">
        <f>IF(CD50_apply="Yes",IF(COUNTIF('03 - 50% CD'!D251:G251,"Y")&gt;0,"Y",IF(COUNTIF('03 - 50% CD'!D251:G251,"N"),"N","")),"")</f>
        <v>Y</v>
      </c>
      <c r="B251" s="125"/>
      <c r="C251" s="944"/>
      <c r="D251" s="411"/>
      <c r="E251" s="321"/>
      <c r="F251" s="559" t="str">
        <f>IF('C-Design&amp;Const'!$O251="","",'C-Design&amp;Const'!$O251)</f>
        <v>Y</v>
      </c>
      <c r="G251" s="485"/>
      <c r="H251" s="355" t="str">
        <f>CONCATENATE(IF(F251="N","PLACEHOLDER ROW - ",""),'C-Design&amp;Const'!Z251,IF(F251="N","",J251))</f>
        <v>Interior Signage (Complete)</v>
      </c>
      <c r="I251" s="151"/>
      <c r="J251" s="578" t="str">
        <f>IF('C-Design&amp;Const'!AH251="","",'C-Design&amp;Const'!AH251)</f>
        <v>(Complete)</v>
      </c>
      <c r="K251" s="285" t="str">
        <f>IF(CD50_apply="Yes",IF((COUNTIF(D251:G251,"Y")=COUNTIF('03 - 50% CD'!D251:G251,"Y")),"match","no 50% match"),"-")</f>
        <v>match</v>
      </c>
      <c r="L251" s="1410" t="str">
        <f t="shared" si="14"/>
        <v/>
      </c>
      <c r="M251" s="1333"/>
      <c r="N251" s="1333"/>
      <c r="O251" s="1333"/>
      <c r="P251" s="1333"/>
      <c r="Q251" s="1333"/>
      <c r="R251" s="1453"/>
      <c r="S251" s="1284"/>
      <c r="T251" s="1382"/>
      <c r="U251" s="1382"/>
      <c r="V251" s="1333"/>
      <c r="W251" s="1333"/>
      <c r="X251" s="1333"/>
      <c r="Y251" s="1333"/>
      <c r="Z251" s="1333"/>
      <c r="AA251" s="1333"/>
      <c r="AB251" s="1333"/>
      <c r="AC251" s="1333"/>
      <c r="AD251" s="1333"/>
      <c r="AE251" s="1333"/>
      <c r="AF251" s="1333"/>
      <c r="AG251" s="1333"/>
      <c r="AH251" s="1333"/>
      <c r="AI251" s="1333"/>
      <c r="AJ251" s="1333"/>
    </row>
    <row r="252" spans="1:49" x14ac:dyDescent="0.25">
      <c r="A252" s="1518" t="str">
        <f>IF(CD50_apply="Yes",IF(COUNTIF('03 - 50% CD'!D252:G252,"Y")&gt;0,"Y",IF(COUNTIF('03 - 50% CD'!D252:G252,"N"),"N","")),"")</f>
        <v>Y</v>
      </c>
      <c r="B252" s="125"/>
      <c r="C252" s="944"/>
      <c r="D252" s="411"/>
      <c r="E252" s="321"/>
      <c r="F252" s="559" t="str">
        <f>IF('C-Design&amp;Const'!$O252="","",'C-Design&amp;Const'!$O252)</f>
        <v>Y</v>
      </c>
      <c r="G252" s="485"/>
      <c r="H252" s="355" t="str">
        <f>CONCATENATE(IF(F252="N","PLACEHOLDER ROW - ",""),'C-Design&amp;Const'!Z252,IF(F252="N","",J252))</f>
        <v>Fixed Equipment; Casework; and Millwork (Complete)</v>
      </c>
      <c r="I252" s="151"/>
      <c r="J252" s="578" t="str">
        <f>IF('C-Design&amp;Const'!AH252="","",'C-Design&amp;Const'!AH252)</f>
        <v>(Complete)</v>
      </c>
      <c r="K252" s="285" t="str">
        <f>IF(CD50_apply="Yes",IF((COUNTIF(D252:G252,"Y")=COUNTIF('03 - 50% CD'!D252:G252,"Y")),"match","no 50% match"),"-")</f>
        <v>match</v>
      </c>
      <c r="L252" s="1410" t="str">
        <f t="shared" si="14"/>
        <v/>
      </c>
      <c r="M252" s="1333"/>
      <c r="N252" s="1333"/>
      <c r="O252" s="1333"/>
      <c r="P252" s="1333"/>
      <c r="Q252" s="1333"/>
      <c r="R252" s="1453"/>
      <c r="S252" s="1284"/>
      <c r="T252" s="1382"/>
      <c r="U252" s="1382"/>
      <c r="V252" s="1333"/>
      <c r="W252" s="1333"/>
      <c r="X252" s="1333"/>
      <c r="Y252" s="1333"/>
      <c r="Z252" s="1333"/>
      <c r="AA252" s="1333"/>
      <c r="AB252" s="1333"/>
      <c r="AC252" s="1333"/>
      <c r="AD252" s="1333"/>
      <c r="AE252" s="1333"/>
      <c r="AF252" s="1333"/>
      <c r="AG252" s="1333"/>
      <c r="AH252" s="1333"/>
      <c r="AI252" s="1333"/>
      <c r="AJ252" s="1333"/>
    </row>
    <row r="253" spans="1:49" x14ac:dyDescent="0.25">
      <c r="A253" s="1518" t="str">
        <f>IF(CD50_apply="Yes",IF(COUNTIF('03 - 50% CD'!D253:G253,"Y")&gt;0,"Y",IF(COUNTIF('03 - 50% CD'!D253:G253,"N"),"N","")),"")</f>
        <v>Y</v>
      </c>
      <c r="B253" s="125"/>
      <c r="C253" s="944"/>
      <c r="D253" s="411"/>
      <c r="E253" s="321"/>
      <c r="F253" s="559" t="str">
        <f>IF('C-Design&amp;Const'!$O253="","",'C-Design&amp;Const'!$O253)</f>
        <v>Y</v>
      </c>
      <c r="G253" s="485"/>
      <c r="H253" s="355" t="str">
        <f>CONCATENATE(IF(F253="N","PLACEHOLDER ROW - ",""),'C-Design&amp;Const'!Z253,IF(F253="N","",J253))</f>
        <v>FF&amp;E Plans (Complete)</v>
      </c>
      <c r="I253" s="151"/>
      <c r="J253" s="578" t="str">
        <f>IF('C-Design&amp;Const'!AH253="","",'C-Design&amp;Const'!AH253)</f>
        <v>(Complete)</v>
      </c>
      <c r="K253" s="285" t="str">
        <f>IF(CD50_apply="Yes",IF((COUNTIF(D253:G253,"Y")=COUNTIF('03 - 50% CD'!D253:G253,"Y")),"match","no 50% match"),"-")</f>
        <v>match</v>
      </c>
      <c r="L253" s="1410" t="str">
        <f t="shared" si="14"/>
        <v/>
      </c>
      <c r="M253" s="1333"/>
      <c r="N253" s="1333"/>
      <c r="O253" s="1333"/>
      <c r="P253" s="1333"/>
      <c r="Q253" s="1333"/>
      <c r="R253" s="1284"/>
      <c r="S253" s="1284"/>
      <c r="T253" s="1382"/>
      <c r="U253" s="1382"/>
      <c r="V253" s="1333"/>
      <c r="W253" s="1333"/>
      <c r="X253" s="1333"/>
      <c r="Y253" s="1333"/>
      <c r="Z253" s="1333"/>
      <c r="AA253" s="1333"/>
      <c r="AB253" s="1333"/>
      <c r="AC253" s="1333"/>
      <c r="AD253" s="1333"/>
      <c r="AE253" s="1333"/>
      <c r="AF253" s="1333"/>
      <c r="AG253" s="1333"/>
      <c r="AH253" s="1333"/>
      <c r="AI253" s="1333"/>
      <c r="AJ253" s="1333"/>
    </row>
    <row r="254" spans="1:49" x14ac:dyDescent="0.25">
      <c r="A254" s="1518" t="str">
        <f>IF(CD50_apply="Yes",IF(COUNTIF('03 - 50% CD'!D254:G254,"Y")&gt;0,"Y",IF(COUNTIF('03 - 50% CD'!D254:G254,"N"),"N","")),"")</f>
        <v>N</v>
      </c>
      <c r="B254" s="125"/>
      <c r="C254" s="944"/>
      <c r="D254" s="411"/>
      <c r="E254" s="321"/>
      <c r="F254" s="559" t="str">
        <f>IF('C-Design&amp;Const'!$O254="","",'C-Design&amp;Const'!$O254)</f>
        <v>N</v>
      </c>
      <c r="G254" s="485"/>
      <c r="H254" s="355" t="str">
        <f>CONCATENATE(IF(F254="N","PLACEHOLDER ROW - ",""),'C-Design&amp;Const'!Z254,IF(F254="N","",J254))</f>
        <v xml:space="preserve">PLACEHOLDER ROW - CUSTOM - Architectural  </v>
      </c>
      <c r="I254" s="149"/>
      <c r="J254" s="578" t="str">
        <f>IF('C-Design&amp;Const'!AH254="","",'C-Design&amp;Const'!AH254)</f>
        <v>(Complete)</v>
      </c>
      <c r="K254" s="285" t="str">
        <f>IF(CD50_apply="Yes",IF((COUNTIF(D254:G254,"Y")=COUNTIF('03 - 50% CD'!D254:G254,"Y")),"match","no 50% match"),"-")</f>
        <v>match</v>
      </c>
      <c r="L254" s="1410" t="str">
        <f t="shared" si="14"/>
        <v>&lt;---PM/Planner may hide PLACEHOLDER ROW</v>
      </c>
      <c r="M254" s="1333"/>
      <c r="N254" s="1333"/>
      <c r="O254" s="1333"/>
      <c r="P254" s="1333"/>
      <c r="Q254" s="1333"/>
      <c r="R254" s="1453"/>
      <c r="S254" s="1284"/>
      <c r="T254" s="1382"/>
      <c r="U254" s="1382"/>
      <c r="V254" s="1333"/>
      <c r="W254" s="1333"/>
      <c r="X254" s="1333"/>
      <c r="Y254" s="1333"/>
      <c r="Z254" s="1333"/>
      <c r="AA254" s="1333"/>
      <c r="AB254" s="1333"/>
      <c r="AC254" s="1333"/>
      <c r="AD254" s="1333"/>
      <c r="AE254" s="1333"/>
      <c r="AF254" s="1333"/>
      <c r="AG254" s="1333"/>
      <c r="AH254" s="1333"/>
      <c r="AI254" s="1333"/>
      <c r="AJ254" s="1333"/>
    </row>
    <row r="255" spans="1:49" x14ac:dyDescent="0.25">
      <c r="A255" s="1407" t="str">
        <f>IF(CD50_apply="Yes",IF(COUNTIF('03 - 50% CD'!D255:G255,"Y")&gt;0,"Y",IF(COUNTIF('03 - 50% CD'!D255:G255,"N"),"N","")),"")</f>
        <v>Y</v>
      </c>
      <c r="B255" s="125"/>
      <c r="C255" s="944"/>
      <c r="D255" s="411"/>
      <c r="E255" s="559" t="str">
        <f>IF('C-Design&amp;Const'!$O255="","",'C-Design&amp;Const'!$O255)</f>
        <v>Y</v>
      </c>
      <c r="F255" s="478"/>
      <c r="G255" s="485"/>
      <c r="H255" s="356" t="str">
        <f>CONCATENATE(IF(F255="N","PLACEHOLDER ROW - ",""),'C-Design&amp;Const'!Z255,IF(F255="N","",J255))</f>
        <v>Structural Drawings (Including Bid Alts.)</v>
      </c>
      <c r="I255" s="146"/>
      <c r="J255" s="578" t="str">
        <f>IF('C-Design&amp;Const'!AH255="","",'C-Design&amp;Const'!AH255)</f>
        <v xml:space="preserve"> (Including Bid Alts.)</v>
      </c>
      <c r="K255" s="285" t="str">
        <f>IF(CD50_apply="Yes",IF((COUNTIF(D255:G255,"Y")=COUNTIF('03 - 50% CD'!D255:G255,"Y")),"match","no 50% match"),"-")</f>
        <v>match</v>
      </c>
      <c r="L255" s="1410" t="str">
        <f t="shared" si="14"/>
        <v/>
      </c>
      <c r="M255" s="1333"/>
      <c r="N255" s="1333"/>
      <c r="O255" s="1333"/>
      <c r="P255" s="1333"/>
      <c r="Q255" s="1333"/>
      <c r="R255" s="1453"/>
      <c r="S255" s="1284"/>
      <c r="T255" s="1382"/>
      <c r="U255" s="1382"/>
      <c r="V255" s="1333"/>
      <c r="W255" s="1333"/>
      <c r="X255" s="1333"/>
      <c r="Y255" s="1333"/>
      <c r="Z255" s="1333"/>
      <c r="AA255" s="1333"/>
      <c r="AB255" s="1333"/>
      <c r="AC255" s="1333"/>
      <c r="AD255" s="1333"/>
      <c r="AE255" s="1333"/>
      <c r="AF255" s="1333"/>
      <c r="AG255" s="1333"/>
      <c r="AH255" s="1333"/>
      <c r="AI255" s="1333"/>
      <c r="AJ255" s="1333"/>
    </row>
    <row r="256" spans="1:49" s="17" customFormat="1" x14ac:dyDescent="0.25">
      <c r="A256" s="1518" t="str">
        <f>IF(CD50_apply="Yes",IF(COUNTIF('03 - 50% CD'!D256:G256,"Y")&gt;0,"Y",IF(COUNTIF('03 - 50% CD'!D256:G256,"N"),"N","")),"")</f>
        <v>N</v>
      </c>
      <c r="B256" s="141"/>
      <c r="C256" s="944"/>
      <c r="D256" s="411"/>
      <c r="E256" s="321"/>
      <c r="F256" s="559" t="str">
        <f>IF('C-Design&amp;Const'!$O256="","",'C-Design&amp;Const'!$O256)</f>
        <v>N</v>
      </c>
      <c r="G256" s="491"/>
      <c r="H256" s="355" t="str">
        <f>CONCATENATE(IF(F256="N","PLACEHOLDER ROW - ",""),'C-Design&amp;Const'!Z256,IF(F256="N","",J256))</f>
        <v xml:space="preserve">PLACEHOLDER ROW - CUSTOM - Structural  </v>
      </c>
      <c r="I256" s="151"/>
      <c r="J256" s="578" t="str">
        <f>IF('C-Design&amp;Const'!AH256="","",'C-Design&amp;Const'!AH256)</f>
        <v>(Complete)</v>
      </c>
      <c r="K256" s="285" t="str">
        <f>IF(CD50_apply="Yes",IF((COUNTIF(D256:G256,"Y")=COUNTIF('03 - 50% CD'!D256:G256,"Y")),"match","no 50% match"),"-")</f>
        <v>match</v>
      </c>
      <c r="L256" s="1410" t="str">
        <f t="shared" si="14"/>
        <v>&lt;---PM/Planner may hide PLACEHOLDER ROW</v>
      </c>
      <c r="M256" s="1333"/>
      <c r="N256" s="1333"/>
      <c r="O256" s="1333"/>
      <c r="P256" s="1333"/>
      <c r="Q256" s="1333"/>
      <c r="R256" s="1453"/>
      <c r="S256" s="1284"/>
      <c r="T256" s="1382"/>
      <c r="U256" s="1382"/>
      <c r="V256" s="1333"/>
      <c r="W256" s="1333"/>
      <c r="X256" s="1333"/>
      <c r="Y256" s="1333"/>
      <c r="Z256" s="1333"/>
      <c r="AA256" s="1333"/>
      <c r="AB256" s="1333"/>
      <c r="AC256" s="1333"/>
      <c r="AD256" s="1333"/>
      <c r="AE256" s="1333"/>
      <c r="AF256" s="1333"/>
      <c r="AG256" s="1333"/>
      <c r="AH256" s="1333"/>
      <c r="AI256" s="1333"/>
      <c r="AJ256" s="1333"/>
    </row>
    <row r="257" spans="1:49" s="17" customFormat="1" x14ac:dyDescent="0.25">
      <c r="A257" s="1518" t="str">
        <f>IF(CD50_apply="Yes",IF(COUNTIF('03 - 50% CD'!D257:G257,"Y")&gt;0,"Y",IF(COUNTIF('03 - 50% CD'!D257:G257,"N"),"N","")),"")</f>
        <v>N</v>
      </c>
      <c r="B257" s="141"/>
      <c r="C257" s="944"/>
      <c r="D257" s="411"/>
      <c r="E257" s="321"/>
      <c r="F257" s="559" t="str">
        <f>IF('C-Design&amp;Const'!$O257="","",'C-Design&amp;Const'!$O257)</f>
        <v>N</v>
      </c>
      <c r="G257" s="491"/>
      <c r="H257" s="355" t="str">
        <f>CONCATENATE(IF(F257="N","PLACEHOLDER ROW - ",""),'C-Design&amp;Const'!Z257,IF(F257="N","",J257))</f>
        <v xml:space="preserve">PLACEHOLDER ROW - CUSTOM - Structural  </v>
      </c>
      <c r="I257" s="151"/>
      <c r="J257" s="578" t="str">
        <f>IF('C-Design&amp;Const'!AH257="","",'C-Design&amp;Const'!AH257)</f>
        <v>(Complete)</v>
      </c>
      <c r="K257" s="285" t="str">
        <f>IF(CD50_apply="Yes",IF((COUNTIF(D257:G257,"Y")=COUNTIF('03 - 50% CD'!D257:G257,"Y")),"match","no 50% match"),"-")</f>
        <v>match</v>
      </c>
      <c r="L257" s="1410" t="str">
        <f t="shared" si="14"/>
        <v>&lt;---PM/Planner may hide PLACEHOLDER ROW</v>
      </c>
      <c r="M257" s="1333"/>
      <c r="N257" s="1333"/>
      <c r="O257" s="1333"/>
      <c r="P257" s="1333"/>
      <c r="Q257" s="1333"/>
      <c r="R257" s="1453"/>
      <c r="S257" s="1284"/>
      <c r="T257" s="1382"/>
      <c r="U257" s="1382"/>
      <c r="V257" s="1333"/>
      <c r="W257" s="1333"/>
      <c r="X257" s="1333"/>
      <c r="Y257" s="1333"/>
      <c r="Z257" s="1333"/>
      <c r="AA257" s="1333"/>
      <c r="AB257" s="1333"/>
      <c r="AC257" s="1333"/>
      <c r="AD257" s="1333"/>
      <c r="AE257" s="1333"/>
      <c r="AF257" s="1333"/>
      <c r="AG257" s="1333"/>
      <c r="AH257" s="1333"/>
      <c r="AI257" s="1333"/>
      <c r="AJ257" s="1333"/>
    </row>
    <row r="258" spans="1:49" s="17" customFormat="1" x14ac:dyDescent="0.25">
      <c r="A258" s="1518" t="str">
        <f>IF(CD50_apply="Yes",IF(COUNTIF('03 - 50% CD'!D257:G257,"Y")&gt;0,"Y",IF(COUNTIF('03 - 50% CD'!D257:G257,"N"),"N","")),"")</f>
        <v>N</v>
      </c>
      <c r="B258" s="141"/>
      <c r="C258" s="944"/>
      <c r="D258" s="411"/>
      <c r="E258" s="321"/>
      <c r="F258" s="559" t="str">
        <f>IF('C-Design&amp;Const'!$O258="","",'C-Design&amp;Const'!$O258)</f>
        <v>Y</v>
      </c>
      <c r="G258" s="485"/>
      <c r="H258" s="355" t="str">
        <f>CONCATENATE(IF(F258="N","PLACEHOLDER ROW - ",""),'C-Design&amp;Const'!Z258,IF(F258="N","",J258))</f>
        <v>Structural Symbols, Abbreviations, and General Notes (Complete)</v>
      </c>
      <c r="I258" s="151"/>
      <c r="J258" s="578" t="str">
        <f>IF('C-Design&amp;Const'!AH258="","",'C-Design&amp;Const'!AH258)</f>
        <v>(Complete)</v>
      </c>
      <c r="K258" s="285" t="str">
        <f>IF(CD50_apply="Yes",IF((COUNTIF(D258:G258,"Y")=COUNTIF('03 - 50% CD'!D257:G257,"Y")),"match","no 50% match"),"-")</f>
        <v>no 50% match</v>
      </c>
      <c r="L258" s="1410" t="str">
        <f>CONCATENATE(IF(ISNUMBER(SEARCH("Placeholder",H258))=TRUE,"&lt;---PM/Planner may hide PLACEHOLDER ROW",""))</f>
        <v/>
      </c>
      <c r="M258" s="1333"/>
      <c r="N258" s="1333"/>
      <c r="O258" s="1333"/>
      <c r="P258" s="1333"/>
      <c r="Q258" s="1333"/>
      <c r="R258" s="1453"/>
      <c r="S258" s="1284"/>
      <c r="T258" s="1382"/>
      <c r="U258" s="1382"/>
      <c r="V258" s="1333"/>
      <c r="W258" s="1333"/>
      <c r="X258" s="1333"/>
      <c r="Y258" s="1333"/>
      <c r="Z258" s="1333"/>
      <c r="AA258" s="1333"/>
      <c r="AB258" s="1333"/>
      <c r="AC258" s="1333"/>
      <c r="AD258" s="1333"/>
      <c r="AE258" s="1333"/>
      <c r="AF258" s="1333"/>
      <c r="AG258" s="1333"/>
      <c r="AH258" s="1333"/>
      <c r="AI258" s="1333"/>
      <c r="AJ258" s="1333"/>
    </row>
    <row r="259" spans="1:49" s="17" customFormat="1" x14ac:dyDescent="0.25">
      <c r="A259" s="1518" t="str">
        <f>IF(CD50_apply="Yes",IF(COUNTIF('03 - 50% CD'!D259:G259,"Y")&gt;0,"Y",IF(COUNTIF('03 - 50% CD'!D259:G259,"N"),"N","")),"")</f>
        <v>Y</v>
      </c>
      <c r="B259" s="141"/>
      <c r="C259" s="944"/>
      <c r="D259" s="411"/>
      <c r="E259" s="321"/>
      <c r="F259" s="559" t="str">
        <f>IF('C-Design&amp;Const'!$O259="","",'C-Design&amp;Const'!$O259)</f>
        <v>Y</v>
      </c>
      <c r="G259" s="485"/>
      <c r="H259" s="355" t="str">
        <f>CONCATENATE(IF(F259="N","PLACEHOLDER ROW - ",""),'C-Design&amp;Const'!Z259,IF(F259="N","",J259))</f>
        <v>Structural Demolition(s) (Complete)</v>
      </c>
      <c r="I259" s="151"/>
      <c r="J259" s="578" t="str">
        <f>IF('C-Design&amp;Const'!AH259="","",'C-Design&amp;Const'!AH259)</f>
        <v>(Complete)</v>
      </c>
      <c r="K259" s="285" t="str">
        <f>IF(CD50_apply="Yes",IF((COUNTIF(D259:G259,"Y")=COUNTIF('03 - 50% CD'!D259:G259,"Y")),"match","no 50% match"),"-")</f>
        <v>match</v>
      </c>
      <c r="L259" s="1410" t="str">
        <f>CONCATENATE(IF(ISNUMBER(SEARCH("Placeholder",H259))=TRUE,"&lt;---PM/Planner may hide PLACEHOLDER ROW",""))</f>
        <v/>
      </c>
      <c r="M259" s="1333"/>
      <c r="N259" s="1333"/>
      <c r="O259" s="1333"/>
      <c r="P259" s="1333"/>
      <c r="Q259" s="1333"/>
      <c r="R259" s="1453"/>
      <c r="S259" s="1284"/>
      <c r="T259" s="1382"/>
      <c r="U259" s="1382"/>
      <c r="V259" s="1333"/>
      <c r="W259" s="1333"/>
      <c r="X259" s="1333"/>
      <c r="Y259" s="1333"/>
      <c r="Z259" s="1333"/>
      <c r="AA259" s="1333"/>
      <c r="AB259" s="1333"/>
      <c r="AC259" s="1333"/>
      <c r="AD259" s="1333"/>
      <c r="AE259" s="1333"/>
      <c r="AF259" s="1333"/>
      <c r="AG259" s="1333"/>
      <c r="AH259" s="1333"/>
      <c r="AI259" s="1333"/>
      <c r="AJ259" s="1333"/>
    </row>
    <row r="260" spans="1:49" x14ac:dyDescent="0.25">
      <c r="A260" s="1518" t="str">
        <f>IF(CD50_apply="Yes",IF(COUNTIF('03 - 50% CD'!D260:G260,"Y")&gt;0,"Y",IF(COUNTIF('03 - 50% CD'!D260:G260,"N"),"N","")),"")</f>
        <v>Y</v>
      </c>
      <c r="B260" s="125"/>
      <c r="C260" s="944"/>
      <c r="D260" s="411"/>
      <c r="E260" s="321"/>
      <c r="F260" s="559" t="str">
        <f>IF('C-Design&amp;Const'!$O260="","",'C-Design&amp;Const'!$O260)</f>
        <v>Y</v>
      </c>
      <c r="G260" s="485"/>
      <c r="H260" s="355" t="str">
        <f>CONCATENATE(IF(F260="N","PLACEHOLDER ROW - ",""),'C-Design&amp;Const'!Z260,IF(F260="N","",J260))</f>
        <v>Foundation Plan (Complete)</v>
      </c>
      <c r="I260" s="137"/>
      <c r="J260" s="578" t="str">
        <f>IF('C-Design&amp;Const'!AH260="","",'C-Design&amp;Const'!AH260)</f>
        <v>(Complete)</v>
      </c>
      <c r="K260" s="285" t="str">
        <f>IF(CD50_apply="Yes",IF((COUNTIF(D260:G260,"Y")=COUNTIF('03 - 50% CD'!D260:G260,"Y")),"match","no 50% match"),"-")</f>
        <v>match</v>
      </c>
      <c r="L260" s="1410" t="str">
        <f t="shared" si="14"/>
        <v/>
      </c>
      <c r="M260" s="1333"/>
      <c r="N260" s="1333"/>
      <c r="O260" s="1333"/>
      <c r="P260" s="1333"/>
      <c r="Q260" s="1333"/>
      <c r="R260" s="1284"/>
      <c r="S260" s="1284"/>
      <c r="T260" s="1382"/>
      <c r="U260" s="1382"/>
      <c r="V260" s="1333"/>
      <c r="W260" s="1333"/>
      <c r="X260" s="1333"/>
      <c r="Y260" s="1333"/>
      <c r="Z260" s="1333"/>
      <c r="AA260" s="1333"/>
      <c r="AB260" s="1333"/>
      <c r="AC260" s="1333"/>
      <c r="AD260" s="1333"/>
      <c r="AE260" s="1333"/>
      <c r="AF260" s="1333"/>
      <c r="AG260" s="1333"/>
      <c r="AH260" s="1333"/>
      <c r="AI260" s="1333"/>
      <c r="AJ260" s="1333"/>
    </row>
    <row r="261" spans="1:49" s="1" customFormat="1" x14ac:dyDescent="0.25">
      <c r="A261" s="1518" t="str">
        <f>IF(CD50_apply="Yes",IF(COUNTIF('03 - 50% CD'!D261:G261,"Y")&gt;0,"Y",IF(COUNTIF('03 - 50% CD'!D261:G261,"N"),"N","")),"")</f>
        <v>Y</v>
      </c>
      <c r="B261" s="67"/>
      <c r="C261" s="944"/>
      <c r="D261" s="411"/>
      <c r="E261" s="321"/>
      <c r="F261" s="559" t="str">
        <f>IF('C-Design&amp;Const'!$O261="","",'C-Design&amp;Const'!$O261)</f>
        <v>Y</v>
      </c>
      <c r="G261" s="485"/>
      <c r="H261" s="355" t="str">
        <f>CONCATENATE(IF(F261="N","PLACEHOLDER ROW - ",""),'C-Design&amp;Const'!Z261,IF(F261="N","",J261))</f>
        <v>Foundation to wall connections (bolted/reinforcing bar dowels) (Complete)</v>
      </c>
      <c r="I261" s="137"/>
      <c r="J261" s="578" t="str">
        <f>IF('C-Design&amp;Const'!AH261="","",'C-Design&amp;Const'!AH261)</f>
        <v>(Complete)</v>
      </c>
      <c r="K261" s="285" t="str">
        <f>IF(CD50_apply="Yes",IF((COUNTIF(D261:G261,"Y")=COUNTIF('03 - 50% CD'!D261:G261,"Y")),"match","no 50% match"),"-")</f>
        <v>match</v>
      </c>
      <c r="L261" s="1410" t="str">
        <f t="shared" si="14"/>
        <v/>
      </c>
      <c r="M261" s="1333"/>
      <c r="N261" s="1333"/>
      <c r="O261" s="1333"/>
      <c r="P261" s="1333"/>
      <c r="Q261" s="1333"/>
      <c r="R261" s="1284"/>
      <c r="S261" s="1284"/>
      <c r="T261" s="1382"/>
      <c r="U261" s="1382"/>
      <c r="V261" s="1333"/>
      <c r="W261" s="1333"/>
      <c r="X261" s="1333"/>
      <c r="Y261" s="1333"/>
      <c r="Z261" s="1333"/>
      <c r="AA261" s="1333"/>
      <c r="AB261" s="1333"/>
      <c r="AC261" s="1333"/>
      <c r="AD261" s="1333"/>
      <c r="AE261" s="1333"/>
      <c r="AF261" s="1333"/>
      <c r="AG261" s="1333"/>
      <c r="AH261" s="1333"/>
      <c r="AI261" s="1333"/>
      <c r="AJ261" s="1333"/>
      <c r="AK261" s="13"/>
      <c r="AL261" s="13"/>
      <c r="AM261" s="13"/>
      <c r="AN261" s="13"/>
      <c r="AO261" s="13"/>
      <c r="AP261" s="13"/>
      <c r="AQ261" s="13"/>
      <c r="AR261" s="13"/>
      <c r="AS261" s="13"/>
      <c r="AT261" s="13"/>
      <c r="AU261" s="13"/>
      <c r="AV261" s="13"/>
      <c r="AW261" s="13"/>
    </row>
    <row r="262" spans="1:49" s="1" customFormat="1" x14ac:dyDescent="0.25">
      <c r="A262" s="1518" t="str">
        <f>IF(CD50_apply="Yes",IF(COUNTIF('03 - 50% CD'!D262:G262,"Y")&gt;0,"Y",IF(COUNTIF('03 - 50% CD'!D262:G262,"N"),"N","")),"")</f>
        <v>Y</v>
      </c>
      <c r="B262" s="67"/>
      <c r="C262" s="944"/>
      <c r="D262" s="411"/>
      <c r="E262" s="321"/>
      <c r="F262" s="559" t="str">
        <f>IF('C-Design&amp;Const'!$O262="","",'C-Design&amp;Const'!$O262)</f>
        <v>Y</v>
      </c>
      <c r="G262" s="485"/>
      <c r="H262" s="355" t="str">
        <f>CONCATENATE(IF(F262="N","PLACEHOLDER ROW - ",""),'C-Design&amp;Const'!Z262,IF(F262="N","",J262))</f>
        <v>Column and Base Plate Schedule (Substantially Complete)</v>
      </c>
      <c r="I262" s="137"/>
      <c r="J262" s="578" t="str">
        <f>IF('C-Design&amp;Const'!AH262="","",'C-Design&amp;Const'!AH262)</f>
        <v>(Substantially Complete)</v>
      </c>
      <c r="K262" s="285" t="str">
        <f>IF(CD50_apply="Yes",IF((COUNTIF(D262:G262,"Y")=COUNTIF('03 - 50% CD'!D262:G262,"Y")),"match","no 50% match"),"-")</f>
        <v>match</v>
      </c>
      <c r="L262" s="1410" t="str">
        <f t="shared" si="14"/>
        <v/>
      </c>
      <c r="M262" s="1333"/>
      <c r="N262" s="1333"/>
      <c r="O262" s="1333"/>
      <c r="P262" s="1333"/>
      <c r="Q262" s="1333"/>
      <c r="R262" s="1284"/>
      <c r="S262" s="1284"/>
      <c r="T262" s="1382"/>
      <c r="U262" s="1382"/>
      <c r="V262" s="1333"/>
      <c r="W262" s="1333"/>
      <c r="X262" s="1333"/>
      <c r="Y262" s="1333"/>
      <c r="Z262" s="1333"/>
      <c r="AA262" s="1333"/>
      <c r="AB262" s="1333"/>
      <c r="AC262" s="1333"/>
      <c r="AD262" s="1333"/>
      <c r="AE262" s="1333"/>
      <c r="AF262" s="1333"/>
      <c r="AG262" s="1333"/>
      <c r="AH262" s="1333"/>
      <c r="AI262" s="1333"/>
      <c r="AJ262" s="1333"/>
      <c r="AK262" s="13"/>
      <c r="AL262" s="13"/>
      <c r="AM262" s="13"/>
      <c r="AN262" s="13"/>
      <c r="AO262" s="13"/>
      <c r="AP262" s="13"/>
      <c r="AQ262" s="13"/>
      <c r="AR262" s="13"/>
      <c r="AS262" s="13"/>
      <c r="AT262" s="13"/>
      <c r="AU262" s="13"/>
      <c r="AV262" s="13"/>
      <c r="AW262" s="13"/>
    </row>
    <row r="263" spans="1:49" s="1" customFormat="1" x14ac:dyDescent="0.25">
      <c r="A263" s="1518" t="str">
        <f>IF(CD50_apply="Yes",IF(COUNTIF('03 - 50% CD'!D263:G263,"Y")&gt;0,"Y",IF(COUNTIF('03 - 50% CD'!D263:G263,"N"),"N","")),"")</f>
        <v>Y</v>
      </c>
      <c r="B263" s="67"/>
      <c r="C263" s="944"/>
      <c r="D263" s="411"/>
      <c r="E263" s="321"/>
      <c r="F263" s="559" t="str">
        <f>IF('C-Design&amp;Const'!$O263="","",'C-Design&amp;Const'!$O263)</f>
        <v>Y</v>
      </c>
      <c r="G263" s="485"/>
      <c r="H263" s="355" t="str">
        <f>CONCATENATE(IF(F263="N","PLACEHOLDER ROW - ",""),'C-Design&amp;Const'!Z263,IF(F263="N","",J263))</f>
        <v>Foundation Individual Details (Complete)</v>
      </c>
      <c r="I263" s="137"/>
      <c r="J263" s="578" t="str">
        <f>IF('C-Design&amp;Const'!AH263="","",'C-Design&amp;Const'!AH263)</f>
        <v>(Complete)</v>
      </c>
      <c r="K263" s="285" t="str">
        <f>IF(CD50_apply="Yes",IF((COUNTIF(D263:G263,"Y")=COUNTIF('03 - 50% CD'!D263:G263,"Y")),"match","no 50% match"),"-")</f>
        <v>match</v>
      </c>
      <c r="L263" s="1410" t="str">
        <f t="shared" si="14"/>
        <v/>
      </c>
      <c r="M263" s="1333"/>
      <c r="N263" s="1333"/>
      <c r="O263" s="1333"/>
      <c r="P263" s="1333"/>
      <c r="Q263" s="1333"/>
      <c r="R263" s="1284"/>
      <c r="S263" s="1284"/>
      <c r="T263" s="1382"/>
      <c r="U263" s="1382"/>
      <c r="V263" s="1333"/>
      <c r="W263" s="1333"/>
      <c r="X263" s="1333"/>
      <c r="Y263" s="1333"/>
      <c r="Z263" s="1333"/>
      <c r="AA263" s="1333"/>
      <c r="AB263" s="1333"/>
      <c r="AC263" s="1333"/>
      <c r="AD263" s="1333"/>
      <c r="AE263" s="1333"/>
      <c r="AF263" s="1333"/>
      <c r="AG263" s="1333"/>
      <c r="AH263" s="1333"/>
      <c r="AI263" s="1333"/>
      <c r="AJ263" s="1333"/>
      <c r="AK263" s="13"/>
      <c r="AL263" s="13"/>
      <c r="AM263" s="13"/>
      <c r="AN263" s="13"/>
      <c r="AO263" s="13"/>
      <c r="AP263" s="13"/>
      <c r="AQ263" s="13"/>
      <c r="AR263" s="13"/>
      <c r="AS263" s="13"/>
      <c r="AT263" s="13"/>
      <c r="AU263" s="13"/>
      <c r="AV263" s="13"/>
      <c r="AW263" s="13"/>
    </row>
    <row r="264" spans="1:49" s="1" customFormat="1" x14ac:dyDescent="0.25">
      <c r="A264" s="1518" t="str">
        <f>IF(CD50_apply="Yes",IF(COUNTIF('03 - 50% CD'!D264:G264,"Y")&gt;0,"Y",IF(COUNTIF('03 - 50% CD'!D264:G264,"N"),"N","")),"")</f>
        <v>Y</v>
      </c>
      <c r="B264" s="67"/>
      <c r="C264" s="944"/>
      <c r="D264" s="411"/>
      <c r="E264" s="321"/>
      <c r="F264" s="559" t="str">
        <f>IF('C-Design&amp;Const'!$O264="","",'C-Design&amp;Const'!$O264)</f>
        <v>Y</v>
      </c>
      <c r="G264" s="485"/>
      <c r="H264" s="355" t="str">
        <f>CONCATENATE(IF(F264="N","PLACEHOLDER ROW - ",""),'C-Design&amp;Const'!Z264,IF(F264="N","",J264))</f>
        <v>Structural Masonry Wall Plan (Complete)</v>
      </c>
      <c r="I264" s="137"/>
      <c r="J264" s="578" t="str">
        <f>IF('C-Design&amp;Const'!AH264="","",'C-Design&amp;Const'!AH264)</f>
        <v>(Complete)</v>
      </c>
      <c r="K264" s="285" t="str">
        <f>IF(CD50_apply="Yes",IF((COUNTIF(D264:G264,"Y")=COUNTIF('03 - 50% CD'!D264:G264,"Y")),"match","no 50% match"),"-")</f>
        <v>match</v>
      </c>
      <c r="L264" s="1410" t="str">
        <f t="shared" si="14"/>
        <v/>
      </c>
      <c r="M264" s="1333"/>
      <c r="N264" s="1333"/>
      <c r="O264" s="1333"/>
      <c r="P264" s="1333"/>
      <c r="Q264" s="1333"/>
      <c r="R264" s="1284"/>
      <c r="S264" s="1284"/>
      <c r="T264" s="1382"/>
      <c r="U264" s="1382"/>
      <c r="V264" s="1333"/>
      <c r="W264" s="1333"/>
      <c r="X264" s="1333"/>
      <c r="Y264" s="1333"/>
      <c r="Z264" s="1333"/>
      <c r="AA264" s="1333"/>
      <c r="AB264" s="1333"/>
      <c r="AC264" s="1333"/>
      <c r="AD264" s="1333"/>
      <c r="AE264" s="1333"/>
      <c r="AF264" s="1333"/>
      <c r="AG264" s="1333"/>
      <c r="AH264" s="1333"/>
      <c r="AI264" s="1333"/>
      <c r="AJ264" s="1333"/>
      <c r="AK264" s="13"/>
      <c r="AL264" s="13"/>
      <c r="AM264" s="13"/>
      <c r="AN264" s="13"/>
      <c r="AO264" s="13"/>
      <c r="AP264" s="13"/>
      <c r="AQ264" s="13"/>
      <c r="AR264" s="13"/>
      <c r="AS264" s="13"/>
      <c r="AT264" s="13"/>
      <c r="AU264" s="13"/>
      <c r="AV264" s="13"/>
      <c r="AW264" s="13"/>
    </row>
    <row r="265" spans="1:49" s="1" customFormat="1" x14ac:dyDescent="0.25">
      <c r="A265" s="1518" t="str">
        <f>IF(CD50_apply="Yes",IF(COUNTIF('03 - 50% CD'!D265:G265,"Y")&gt;0,"Y",IF(COUNTIF('03 - 50% CD'!D265:G265,"N"),"N","")),"")</f>
        <v>Y</v>
      </c>
      <c r="B265" s="67"/>
      <c r="C265" s="944"/>
      <c r="D265" s="411"/>
      <c r="E265" s="321"/>
      <c r="F265" s="559" t="str">
        <f>IF('C-Design&amp;Const'!$O265="","",'C-Design&amp;Const'!$O265)</f>
        <v>Y</v>
      </c>
      <c r="G265" s="485"/>
      <c r="H265" s="355" t="str">
        <f>CONCATENATE(IF(F265="N","PLACEHOLDER ROW - ",""),'C-Design&amp;Const'!Z265,IF(F265="N","",J265))</f>
        <v>Structural Masonry Details (Complete)</v>
      </c>
      <c r="I265" s="137"/>
      <c r="J265" s="578" t="str">
        <f>IF('C-Design&amp;Const'!AH265="","",'C-Design&amp;Const'!AH265)</f>
        <v>(Complete)</v>
      </c>
      <c r="K265" s="285" t="str">
        <f>IF(CD50_apply="Yes",IF((COUNTIF(D265:G265,"Y")=COUNTIF('03 - 50% CD'!D265:G265,"Y")),"match","no 50% match"),"-")</f>
        <v>match</v>
      </c>
      <c r="L265" s="1410" t="str">
        <f t="shared" si="14"/>
        <v/>
      </c>
      <c r="M265" s="1333"/>
      <c r="N265" s="1333"/>
      <c r="O265" s="1333"/>
      <c r="P265" s="1333"/>
      <c r="Q265" s="1333"/>
      <c r="R265" s="1284"/>
      <c r="S265" s="1284"/>
      <c r="T265" s="1382"/>
      <c r="U265" s="1382"/>
      <c r="V265" s="1333"/>
      <c r="W265" s="1333"/>
      <c r="X265" s="1333"/>
      <c r="Y265" s="1333"/>
      <c r="Z265" s="1333"/>
      <c r="AA265" s="1333"/>
      <c r="AB265" s="1333"/>
      <c r="AC265" s="1333"/>
      <c r="AD265" s="1333"/>
      <c r="AE265" s="1333"/>
      <c r="AF265" s="1333"/>
      <c r="AG265" s="1333"/>
      <c r="AH265" s="1333"/>
      <c r="AI265" s="1333"/>
      <c r="AJ265" s="1333"/>
      <c r="AK265" s="13"/>
      <c r="AL265" s="13"/>
      <c r="AM265" s="13"/>
      <c r="AN265" s="13"/>
      <c r="AO265" s="13"/>
      <c r="AP265" s="13"/>
      <c r="AQ265" s="13"/>
      <c r="AR265" s="13"/>
      <c r="AS265" s="13"/>
      <c r="AT265" s="13"/>
      <c r="AU265" s="13"/>
      <c r="AV265" s="13"/>
      <c r="AW265" s="13"/>
    </row>
    <row r="266" spans="1:49" s="1" customFormat="1" x14ac:dyDescent="0.25">
      <c r="A266" s="1518" t="str">
        <f>IF(CD50_apply="Yes",IF(COUNTIF('03 - 50% CD'!D266:G266,"Y")&gt;0,"Y",IF(COUNTIF('03 - 50% CD'!D266:G266,"N"),"N","")),"")</f>
        <v>Y</v>
      </c>
      <c r="B266" s="67"/>
      <c r="C266" s="944"/>
      <c r="D266" s="411"/>
      <c r="E266" s="321"/>
      <c r="F266" s="559" t="str">
        <f>IF('C-Design&amp;Const'!$O266="","",'C-Design&amp;Const'!$O266)</f>
        <v>Y</v>
      </c>
      <c r="G266" s="485"/>
      <c r="H266" s="355" t="str">
        <f>CONCATENATE(IF(F266="N","PLACEHOLDER ROW - ",""),'C-Design&amp;Const'!Z266,IF(F266="N","",J266))</f>
        <v>Lintel Details (Substantially Complete)</v>
      </c>
      <c r="I266" s="137"/>
      <c r="J266" s="578" t="str">
        <f>IF('C-Design&amp;Const'!AH266="","",'C-Design&amp;Const'!AH266)</f>
        <v>(Substantially Complete)</v>
      </c>
      <c r="K266" s="285" t="str">
        <f>IF(CD50_apply="Yes",IF((COUNTIF(D266:G266,"Y")=COUNTIF('03 - 50% CD'!D266:G266,"Y")),"match","no 50% match"),"-")</f>
        <v>match</v>
      </c>
      <c r="L266" s="1410" t="str">
        <f t="shared" si="14"/>
        <v/>
      </c>
      <c r="M266" s="1333"/>
      <c r="N266" s="1333"/>
      <c r="O266" s="1333"/>
      <c r="P266" s="1333"/>
      <c r="Q266" s="1333"/>
      <c r="R266" s="1284"/>
      <c r="S266" s="1284"/>
      <c r="T266" s="1382"/>
      <c r="U266" s="1382"/>
      <c r="V266" s="1333"/>
      <c r="W266" s="1333"/>
      <c r="X266" s="1333"/>
      <c r="Y266" s="1333"/>
      <c r="Z266" s="1333"/>
      <c r="AA266" s="1333"/>
      <c r="AB266" s="1333"/>
      <c r="AC266" s="1333"/>
      <c r="AD266" s="1333"/>
      <c r="AE266" s="1333"/>
      <c r="AF266" s="1333"/>
      <c r="AG266" s="1333"/>
      <c r="AH266" s="1333"/>
      <c r="AI266" s="1333"/>
      <c r="AJ266" s="1333"/>
      <c r="AK266" s="13"/>
      <c r="AL266" s="13"/>
      <c r="AM266" s="13"/>
      <c r="AN266" s="13"/>
      <c r="AO266" s="13"/>
      <c r="AP266" s="13"/>
      <c r="AQ266" s="13"/>
      <c r="AR266" s="13"/>
      <c r="AS266" s="13"/>
      <c r="AT266" s="13"/>
      <c r="AU266" s="13"/>
      <c r="AV266" s="13"/>
      <c r="AW266" s="13"/>
    </row>
    <row r="267" spans="1:49" s="1" customFormat="1" x14ac:dyDescent="0.25">
      <c r="A267" s="1518" t="str">
        <f>IF(CD50_apply="Yes",IF(COUNTIF('03 - 50% CD'!D267:G267,"Y")&gt;0,"Y",IF(COUNTIF('03 - 50% CD'!D267:G267,"N"),"N","")),"")</f>
        <v>Y</v>
      </c>
      <c r="B267" s="67"/>
      <c r="C267" s="944"/>
      <c r="D267" s="411"/>
      <c r="E267" s="321"/>
      <c r="F267" s="559" t="str">
        <f>IF('C-Design&amp;Const'!$O267="","",'C-Design&amp;Const'!$O267)</f>
        <v>Y</v>
      </c>
      <c r="G267" s="485"/>
      <c r="H267" s="355" t="str">
        <f>CONCATENATE(IF(F267="N","PLACEHOLDER ROW - ",""),'C-Design&amp;Const'!Z267,IF(F267="N","",J267))</f>
        <v>Lateral Force Resisting System Plan and Details (Complete)</v>
      </c>
      <c r="I267" s="137"/>
      <c r="J267" s="578" t="str">
        <f>IF('C-Design&amp;Const'!AH267="","",'C-Design&amp;Const'!AH267)</f>
        <v>(Complete)</v>
      </c>
      <c r="K267" s="285" t="str">
        <f>IF(CD50_apply="Yes",IF((COUNTIF(D267:G267,"Y")=COUNTIF('03 - 50% CD'!D267:G267,"Y")),"match","no 50% match"),"-")</f>
        <v>match</v>
      </c>
      <c r="L267" s="1410" t="str">
        <f t="shared" si="14"/>
        <v/>
      </c>
      <c r="M267" s="1333"/>
      <c r="N267" s="1333"/>
      <c r="O267" s="1333"/>
      <c r="P267" s="1333"/>
      <c r="Q267" s="1333"/>
      <c r="R267" s="1284"/>
      <c r="S267" s="1284"/>
      <c r="T267" s="1382"/>
      <c r="U267" s="1382"/>
      <c r="V267" s="1333"/>
      <c r="W267" s="1333"/>
      <c r="X267" s="1333"/>
      <c r="Y267" s="1333"/>
      <c r="Z267" s="1333"/>
      <c r="AA267" s="1333"/>
      <c r="AB267" s="1333"/>
      <c r="AC267" s="1333"/>
      <c r="AD267" s="1333"/>
      <c r="AE267" s="1333"/>
      <c r="AF267" s="1333"/>
      <c r="AG267" s="1333"/>
      <c r="AH267" s="1333"/>
      <c r="AI267" s="1333"/>
      <c r="AJ267" s="1333"/>
      <c r="AK267" s="13"/>
      <c r="AL267" s="13"/>
      <c r="AM267" s="13"/>
      <c r="AN267" s="13"/>
      <c r="AO267" s="13"/>
      <c r="AP267" s="13"/>
      <c r="AQ267" s="13"/>
      <c r="AR267" s="13"/>
      <c r="AS267" s="13"/>
      <c r="AT267" s="13"/>
      <c r="AU267" s="13"/>
      <c r="AV267" s="13"/>
      <c r="AW267" s="13"/>
    </row>
    <row r="268" spans="1:49" x14ac:dyDescent="0.25">
      <c r="A268" s="1518" t="str">
        <f>IF(CD50_apply="Yes",IF(COUNTIF('03 - 50% CD'!D268:G268,"Y")&gt;0,"Y",IF(COUNTIF('03 - 50% CD'!D268:G268,"N"),"N","")),"")</f>
        <v>Y</v>
      </c>
      <c r="B268" s="125"/>
      <c r="C268" s="944"/>
      <c r="D268" s="411"/>
      <c r="E268" s="321"/>
      <c r="F268" s="559" t="str">
        <f>IF('C-Design&amp;Const'!$O268="","",'C-Design&amp;Const'!$O268)</f>
        <v>Y</v>
      </c>
      <c r="G268" s="485"/>
      <c r="H268" s="355" t="str">
        <f>CONCATENATE(IF(F268="N","PLACEHOLDER ROW - ",""),'C-Design&amp;Const'!Z268,IF(F268="N","",J268))</f>
        <v>Floor Framing Plans (Complete)</v>
      </c>
      <c r="I268" s="137"/>
      <c r="J268" s="578" t="str">
        <f>IF('C-Design&amp;Const'!AH268="","",'C-Design&amp;Const'!AH268)</f>
        <v>(Complete)</v>
      </c>
      <c r="K268" s="285" t="str">
        <f>IF(CD50_apply="Yes",IF((COUNTIF(D268:G268,"Y")=COUNTIF('03 - 50% CD'!D268:G268,"Y")),"match","no 50% match"),"-")</f>
        <v>match</v>
      </c>
      <c r="L268" s="1410" t="str">
        <f t="shared" si="14"/>
        <v/>
      </c>
      <c r="M268" s="1333"/>
      <c r="N268" s="1333"/>
      <c r="O268" s="1333"/>
      <c r="P268" s="1333"/>
      <c r="Q268" s="1333"/>
      <c r="R268" s="1453"/>
      <c r="S268" s="1284"/>
      <c r="T268" s="1382"/>
      <c r="U268" s="1382"/>
      <c r="V268" s="1333"/>
      <c r="W268" s="1333"/>
      <c r="X268" s="1333"/>
      <c r="Y268" s="1333"/>
      <c r="Z268" s="1333"/>
      <c r="AA268" s="1333"/>
      <c r="AB268" s="1333"/>
      <c r="AC268" s="1333"/>
      <c r="AD268" s="1333"/>
      <c r="AE268" s="1333"/>
      <c r="AF268" s="1333"/>
      <c r="AG268" s="1333"/>
      <c r="AH268" s="1333"/>
      <c r="AI268" s="1333"/>
      <c r="AJ268" s="1333"/>
    </row>
    <row r="269" spans="1:49" x14ac:dyDescent="0.25">
      <c r="A269" s="1518" t="str">
        <f>IF(CD50_apply="Yes",IF(COUNTIF('03 - 50% CD'!D269:G269,"Y")&gt;0,"Y",IF(COUNTIF('03 - 50% CD'!D269:G269,"N"),"N","")),"")</f>
        <v>Y</v>
      </c>
      <c r="B269" s="125"/>
      <c r="C269" s="944"/>
      <c r="D269" s="411"/>
      <c r="E269" s="321"/>
      <c r="F269" s="559" t="str">
        <f>IF('C-Design&amp;Const'!$O269="","",'C-Design&amp;Const'!$O269)</f>
        <v>Y</v>
      </c>
      <c r="G269" s="485"/>
      <c r="H269" s="355" t="str">
        <f>CONCATENATE(IF(F269="N","PLACEHOLDER ROW - ",""),'C-Design&amp;Const'!Z269,IF(F269="N","",J269))</f>
        <v>Roof Framing Details (Complete)</v>
      </c>
      <c r="I269" s="137"/>
      <c r="J269" s="578" t="str">
        <f>IF('C-Design&amp;Const'!AH269="","",'C-Design&amp;Const'!AH269)</f>
        <v>(Complete)</v>
      </c>
      <c r="K269" s="285" t="str">
        <f>IF(CD50_apply="Yes",IF((COUNTIF(D269:G269,"Y")=COUNTIF('03 - 50% CD'!D269:G269,"Y")),"match","no 50% match"),"-")</f>
        <v>match</v>
      </c>
      <c r="L269" s="1410" t="str">
        <f t="shared" si="14"/>
        <v/>
      </c>
      <c r="M269" s="1333"/>
      <c r="N269" s="1333"/>
      <c r="O269" s="1333"/>
      <c r="P269" s="1333"/>
      <c r="Q269" s="1333"/>
      <c r="R269" s="1453"/>
      <c r="S269" s="1284"/>
      <c r="T269" s="1382"/>
      <c r="U269" s="1382"/>
      <c r="V269" s="1333"/>
      <c r="W269" s="1333"/>
      <c r="X269" s="1333"/>
      <c r="Y269" s="1333"/>
      <c r="Z269" s="1333"/>
      <c r="AA269" s="1333"/>
      <c r="AB269" s="1333"/>
      <c r="AC269" s="1333"/>
      <c r="AD269" s="1333"/>
      <c r="AE269" s="1333"/>
      <c r="AF269" s="1333"/>
      <c r="AG269" s="1333"/>
      <c r="AH269" s="1333"/>
      <c r="AI269" s="1333"/>
      <c r="AJ269" s="1333"/>
    </row>
    <row r="270" spans="1:49" x14ac:dyDescent="0.25">
      <c r="A270" s="1407" t="str">
        <f>IF(CD50_apply="Yes",IF(COUNTIF('03 - 50% CD'!D270:G270,"Y")&gt;0,"Y",IF(COUNTIF('03 - 50% CD'!D270:G270,"N"),"N","")),"")</f>
        <v>Y</v>
      </c>
      <c r="B270" s="125"/>
      <c r="C270" s="944"/>
      <c r="D270" s="411"/>
      <c r="E270" s="559" t="str">
        <f>IF('C-Design&amp;Const'!$O270="","",'C-Design&amp;Const'!$O270)</f>
        <v>Y</v>
      </c>
      <c r="F270" s="478"/>
      <c r="G270" s="485"/>
      <c r="H270" s="356" t="str">
        <f>CONCATENATE(IF(F270="N","PLACEHOLDER ROW - ",""),'C-Design&amp;Const'!Z270,IF(F270="N","",J270))</f>
        <v>Plumbing Drawings (Including Bid Alts.)</v>
      </c>
      <c r="I270" s="146"/>
      <c r="J270" s="578" t="str">
        <f>IF('C-Design&amp;Const'!AH270="","",'C-Design&amp;Const'!AH270)</f>
        <v xml:space="preserve"> (Including Bid Alts.)</v>
      </c>
      <c r="K270" s="285" t="str">
        <f>IF(CD50_apply="Yes",IF((COUNTIF(D270:G270,"Y")=COUNTIF('03 - 50% CD'!D270:G270,"Y")),"match","no 50% match"),"-")</f>
        <v>match</v>
      </c>
      <c r="L270" s="1410" t="str">
        <f t="shared" si="14"/>
        <v/>
      </c>
      <c r="M270" s="1333"/>
      <c r="N270" s="1333"/>
      <c r="O270" s="1333"/>
      <c r="P270" s="1333"/>
      <c r="Q270" s="1333"/>
      <c r="R270" s="1453"/>
      <c r="S270" s="1284"/>
      <c r="T270" s="1382"/>
      <c r="U270" s="1382"/>
      <c r="V270" s="1333"/>
      <c r="W270" s="1333"/>
      <c r="X270" s="1333"/>
      <c r="Y270" s="1333"/>
      <c r="Z270" s="1333"/>
      <c r="AA270" s="1333"/>
      <c r="AB270" s="1333"/>
      <c r="AC270" s="1333"/>
      <c r="AD270" s="1333"/>
      <c r="AE270" s="1333"/>
      <c r="AF270" s="1333"/>
      <c r="AG270" s="1333"/>
      <c r="AH270" s="1333"/>
      <c r="AI270" s="1333"/>
      <c r="AJ270" s="1333"/>
    </row>
    <row r="271" spans="1:49" s="17" customFormat="1" x14ac:dyDescent="0.25">
      <c r="A271" s="1518" t="str">
        <f>IF(CD50_apply="Yes",IF(COUNTIF('03 - 50% CD'!D271:G271,"Y")&gt;0,"Y",IF(COUNTIF('03 - 50% CD'!D271:G271,"N"),"N","")),"")</f>
        <v>N</v>
      </c>
      <c r="B271" s="141"/>
      <c r="C271" s="944"/>
      <c r="D271" s="411"/>
      <c r="E271" s="321"/>
      <c r="F271" s="559" t="str">
        <f>IF('C-Design&amp;Const'!$O271="","",'C-Design&amp;Const'!$O271)</f>
        <v>N</v>
      </c>
      <c r="G271" s="491"/>
      <c r="H271" s="355" t="str">
        <f>CONCATENATE(IF(F271="N","PLACEHOLDER ROW - ",""),'C-Design&amp;Const'!Z271,IF(F271="N","",J271))</f>
        <v xml:space="preserve">PLACEHOLDER ROW - CUSTOM - Plumbing  </v>
      </c>
      <c r="I271" s="151"/>
      <c r="J271" s="578" t="str">
        <f>IF('C-Design&amp;Const'!AH271="","",'C-Design&amp;Const'!AH271)</f>
        <v>(Complete)</v>
      </c>
      <c r="K271" s="285" t="str">
        <f>IF(CD50_apply="Yes",IF((COUNTIF(D271:G271,"Y")=COUNTIF('03 - 50% CD'!D271:G271,"Y")),"match","no 50% match"),"-")</f>
        <v>match</v>
      </c>
      <c r="L271" s="1410" t="str">
        <f t="shared" si="14"/>
        <v>&lt;---PM/Planner may hide PLACEHOLDER ROW</v>
      </c>
      <c r="M271" s="1333"/>
      <c r="N271" s="1333"/>
      <c r="O271" s="1333"/>
      <c r="P271" s="1333"/>
      <c r="Q271" s="1333"/>
      <c r="R271" s="1453"/>
      <c r="S271" s="1284"/>
      <c r="T271" s="1382"/>
      <c r="U271" s="1382"/>
      <c r="V271" s="1333"/>
      <c r="W271" s="1333"/>
      <c r="X271" s="1333"/>
      <c r="Y271" s="1333"/>
      <c r="Z271" s="1333"/>
      <c r="AA271" s="1333"/>
      <c r="AB271" s="1333"/>
      <c r="AC271" s="1333"/>
      <c r="AD271" s="1333"/>
      <c r="AE271" s="1333"/>
      <c r="AF271" s="1333"/>
      <c r="AG271" s="1333"/>
      <c r="AH271" s="1333"/>
      <c r="AI271" s="1333"/>
      <c r="AJ271" s="1333"/>
    </row>
    <row r="272" spans="1:49" s="17" customFormat="1" x14ac:dyDescent="0.25">
      <c r="A272" s="1518" t="str">
        <f>IF(CD50_apply="Yes",IF(COUNTIF('03 - 50% CD'!D272:G272,"Y")&gt;0,"Y",IF(COUNTIF('03 - 50% CD'!D272:G272,"N"),"N","")),"")</f>
        <v>N</v>
      </c>
      <c r="B272" s="141"/>
      <c r="C272" s="944"/>
      <c r="D272" s="411"/>
      <c r="E272" s="321"/>
      <c r="F272" s="559" t="str">
        <f>IF('C-Design&amp;Const'!$O272="","",'C-Design&amp;Const'!$O272)</f>
        <v>N</v>
      </c>
      <c r="G272" s="491"/>
      <c r="H272" s="355" t="str">
        <f>CONCATENATE(IF(F272="N","PLACEHOLDER ROW - ",""),'C-Design&amp;Const'!Z272,IF(F272="N","",J272))</f>
        <v xml:space="preserve">PLACEHOLDER ROW - CUSTOM - Plumbing  </v>
      </c>
      <c r="I272" s="151"/>
      <c r="J272" s="578" t="str">
        <f>IF('C-Design&amp;Const'!AH272="","",'C-Design&amp;Const'!AH272)</f>
        <v>(Complete)</v>
      </c>
      <c r="K272" s="285" t="str">
        <f>IF(CD50_apply="Yes",IF((COUNTIF(D272:G272,"Y")=COUNTIF('03 - 50% CD'!D272:G272,"Y")),"match","no 50% match"),"-")</f>
        <v>match</v>
      </c>
      <c r="L272" s="1410" t="str">
        <f t="shared" si="14"/>
        <v>&lt;---PM/Planner may hide PLACEHOLDER ROW</v>
      </c>
      <c r="M272" s="1333"/>
      <c r="N272" s="1333"/>
      <c r="O272" s="1333"/>
      <c r="P272" s="1333"/>
      <c r="Q272" s="1333"/>
      <c r="R272" s="1453"/>
      <c r="S272" s="1284"/>
      <c r="T272" s="1382"/>
      <c r="U272" s="1382"/>
      <c r="V272" s="1333"/>
      <c r="W272" s="1333"/>
      <c r="X272" s="1333"/>
      <c r="Y272" s="1333"/>
      <c r="Z272" s="1333"/>
      <c r="AA272" s="1333"/>
      <c r="AB272" s="1333"/>
      <c r="AC272" s="1333"/>
      <c r="AD272" s="1333"/>
      <c r="AE272" s="1333"/>
      <c r="AF272" s="1333"/>
      <c r="AG272" s="1333"/>
      <c r="AH272" s="1333"/>
      <c r="AI272" s="1333"/>
      <c r="AJ272" s="1333"/>
    </row>
    <row r="273" spans="1:36" x14ac:dyDescent="0.25">
      <c r="A273" s="1518" t="str">
        <f>IF(CD50_apply="Yes",IF(COUNTIF('03 - 50% CD'!D273:G273,"Y")&gt;0,"Y",IF(COUNTIF('03 - 50% CD'!D273:G273,"N"),"N","")),"")</f>
        <v>Y</v>
      </c>
      <c r="B273" s="125"/>
      <c r="C273" s="944"/>
      <c r="D273" s="411"/>
      <c r="E273" s="321"/>
      <c r="F273" s="559" t="str">
        <f>IF('C-Design&amp;Const'!$O273="","",'C-Design&amp;Const'!$O273)</f>
        <v>Y</v>
      </c>
      <c r="G273" s="485"/>
      <c r="H273" s="355" t="str">
        <f>CONCATENATE(IF(F273="N","PLACEHOLDER ROW - ",""),'C-Design&amp;Const'!Z273,IF(F273="N","",J273))</f>
        <v>Plumbing Symbols, Abbreviations, and General Notes (Complete)</v>
      </c>
      <c r="I273" s="137"/>
      <c r="J273" s="578" t="str">
        <f>IF('C-Design&amp;Const'!AH273="","",'C-Design&amp;Const'!AH273)</f>
        <v>(Complete)</v>
      </c>
      <c r="K273" s="285" t="str">
        <f>IF(CD50_apply="Yes",IF((COUNTIF(D273:G273,"Y")=COUNTIF('03 - 50% CD'!D273:G273,"Y")),"match","no 50% match"),"-")</f>
        <v>match</v>
      </c>
      <c r="L273" s="1410" t="str">
        <f t="shared" si="14"/>
        <v/>
      </c>
      <c r="M273" s="1333"/>
      <c r="N273" s="1333"/>
      <c r="O273" s="1333"/>
      <c r="P273" s="1333"/>
      <c r="Q273" s="1333"/>
      <c r="R273" s="1453"/>
      <c r="S273" s="1284"/>
      <c r="T273" s="1382"/>
      <c r="U273" s="1382"/>
      <c r="V273" s="1333"/>
      <c r="W273" s="1333"/>
      <c r="X273" s="1333"/>
      <c r="Y273" s="1333"/>
      <c r="Z273" s="1333"/>
      <c r="AA273" s="1333"/>
      <c r="AB273" s="1333"/>
      <c r="AC273" s="1333"/>
      <c r="AD273" s="1333"/>
      <c r="AE273" s="1333"/>
      <c r="AF273" s="1333"/>
      <c r="AG273" s="1333"/>
      <c r="AH273" s="1333"/>
      <c r="AI273" s="1333"/>
      <c r="AJ273" s="1333"/>
    </row>
    <row r="274" spans="1:36" s="17" customFormat="1" x14ac:dyDescent="0.25">
      <c r="A274" s="1518" t="str">
        <f>IF(CD50_apply="Yes",IF(COUNTIF('03 - 50% CD'!D274:G274,"Y")&gt;0,"Y",IF(COUNTIF('03 - 50% CD'!D274:G274,"N"),"N","")),"")</f>
        <v>Y</v>
      </c>
      <c r="B274" s="141"/>
      <c r="C274" s="944"/>
      <c r="D274" s="411"/>
      <c r="E274" s="321"/>
      <c r="F274" s="559" t="str">
        <f>IF('C-Design&amp;Const'!$O274="","",'C-Design&amp;Const'!$O274)</f>
        <v>Y</v>
      </c>
      <c r="G274" s="485"/>
      <c r="H274" s="355" t="str">
        <f>CONCATENATE(IF(F274="N","PLACEHOLDER ROW - ",""),'C-Design&amp;Const'!Z274,IF(F274="N","",J274))</f>
        <v>Plumbing Demolition(s) (Complete)</v>
      </c>
      <c r="I274" s="151"/>
      <c r="J274" s="578" t="str">
        <f>IF('C-Design&amp;Const'!AH274="","",'C-Design&amp;Const'!AH274)</f>
        <v>(Complete)</v>
      </c>
      <c r="K274" s="285" t="str">
        <f>IF(CD50_apply="Yes",IF((COUNTIF(D274:G274,"Y")=COUNTIF('03 - 50% CD'!D274:G274,"Y")),"match","no 50% match"),"-")</f>
        <v>match</v>
      </c>
      <c r="L274" s="1410" t="str">
        <f>CONCATENATE(IF(ISNUMBER(SEARCH("Placeholder",H274))=TRUE,"&lt;---PM/Planner may hide PLACEHOLDER ROW",""))</f>
        <v/>
      </c>
      <c r="M274" s="1333"/>
      <c r="N274" s="1333"/>
      <c r="O274" s="1333"/>
      <c r="P274" s="1333"/>
      <c r="Q274" s="1333"/>
      <c r="R274" s="1453"/>
      <c r="S274" s="1284"/>
      <c r="T274" s="1382"/>
      <c r="U274" s="1382"/>
      <c r="V274" s="1333"/>
      <c r="W274" s="1333"/>
      <c r="X274" s="1333"/>
      <c r="Y274" s="1333"/>
      <c r="Z274" s="1333"/>
      <c r="AA274" s="1333"/>
      <c r="AB274" s="1333"/>
      <c r="AC274" s="1333"/>
      <c r="AD274" s="1333"/>
      <c r="AE274" s="1333"/>
      <c r="AF274" s="1333"/>
      <c r="AG274" s="1333"/>
      <c r="AH274" s="1333"/>
      <c r="AI274" s="1333"/>
      <c r="AJ274" s="1333"/>
    </row>
    <row r="275" spans="1:36" x14ac:dyDescent="0.25">
      <c r="A275" s="1518" t="str">
        <f>IF(CD50_apply="Yes",IF(COUNTIF('03 - 50% CD'!D275:G275,"Y")&gt;0,"Y",IF(COUNTIF('03 - 50% CD'!D275:G275,"N"),"N","")),"")</f>
        <v>Y</v>
      </c>
      <c r="B275" s="125"/>
      <c r="C275" s="944"/>
      <c r="D275" s="411"/>
      <c r="E275" s="321"/>
      <c r="F275" s="559" t="str">
        <f>IF('C-Design&amp;Const'!$O275="","",'C-Design&amp;Const'!$O275)</f>
        <v>Y</v>
      </c>
      <c r="G275" s="485"/>
      <c r="H275" s="355" t="str">
        <f>CONCATENATE(IF(F275="N","PLACEHOLDER ROW - ",""),'C-Design&amp;Const'!Z275,IF(F275="N","",J275))</f>
        <v>Plumbing Floor Plans and Roof Plan (Complete)</v>
      </c>
      <c r="I275" s="137"/>
      <c r="J275" s="578" t="str">
        <f>IF('C-Design&amp;Const'!AH275="","",'C-Design&amp;Const'!AH275)</f>
        <v>(Complete)</v>
      </c>
      <c r="K275" s="285" t="str">
        <f>IF(CD50_apply="Yes",IF((COUNTIF(D275:G275,"Y")=COUNTIF('03 - 50% CD'!D275:G275,"Y")),"match","no 50% match"),"-")</f>
        <v>match</v>
      </c>
      <c r="L275" s="1410" t="str">
        <f t="shared" si="14"/>
        <v/>
      </c>
      <c r="M275" s="1333"/>
      <c r="N275" s="1333"/>
      <c r="O275" s="1333"/>
      <c r="P275" s="1333"/>
      <c r="Q275" s="1333"/>
      <c r="R275" s="1453"/>
      <c r="S275" s="1284"/>
      <c r="T275" s="1382"/>
      <c r="U275" s="1382"/>
      <c r="V275" s="1333"/>
      <c r="W275" s="1333"/>
      <c r="X275" s="1333"/>
      <c r="Y275" s="1333"/>
      <c r="Z275" s="1333"/>
      <c r="AA275" s="1333"/>
      <c r="AB275" s="1333"/>
      <c r="AC275" s="1333"/>
      <c r="AD275" s="1333"/>
      <c r="AE275" s="1333"/>
      <c r="AF275" s="1333"/>
      <c r="AG275" s="1333"/>
      <c r="AH275" s="1333"/>
      <c r="AI275" s="1333"/>
      <c r="AJ275" s="1333"/>
    </row>
    <row r="276" spans="1:36" x14ac:dyDescent="0.25">
      <c r="A276" s="1518" t="str">
        <f>IF(CD50_apply="Yes",IF(COUNTIF('03 - 50% CD'!D276:G276,"Y")&gt;0,"Y",IF(COUNTIF('03 - 50% CD'!D276:G276,"N"),"N","")),"")</f>
        <v>Y</v>
      </c>
      <c r="B276" s="125"/>
      <c r="C276" s="944"/>
      <c r="D276" s="411"/>
      <c r="E276" s="321"/>
      <c r="F276" s="559" t="str">
        <f>IF('C-Design&amp;Const'!$O276="","",'C-Design&amp;Const'!$O276)</f>
        <v>Y</v>
      </c>
      <c r="G276" s="485"/>
      <c r="H276" s="355" t="str">
        <f>CONCATENATE(IF(F276="N","PLACEHOLDER ROW - ",""),'C-Design&amp;Const'!Z276,IF(F276="N","",J276))</f>
        <v>Plumbing Sanitary, Vent, Storm, Water Riser Diagram (Complete)</v>
      </c>
      <c r="I276" s="137"/>
      <c r="J276" s="578" t="str">
        <f>IF('C-Design&amp;Const'!AH276="","",'C-Design&amp;Const'!AH276)</f>
        <v>(Complete)</v>
      </c>
      <c r="K276" s="285" t="str">
        <f>IF(CD50_apply="Yes",IF((COUNTIF(D276:G276,"Y")=COUNTIF('03 - 50% CD'!D276:G276,"Y")),"match","no 50% match"),"-")</f>
        <v>match</v>
      </c>
      <c r="L276" s="1410" t="str">
        <f t="shared" si="14"/>
        <v/>
      </c>
      <c r="M276" s="1333"/>
      <c r="N276" s="1333"/>
      <c r="O276" s="1333"/>
      <c r="P276" s="1333"/>
      <c r="Q276" s="1333"/>
      <c r="R276" s="1453"/>
      <c r="S276" s="1284"/>
      <c r="T276" s="1382"/>
      <c r="U276" s="1382"/>
      <c r="V276" s="1333"/>
      <c r="W276" s="1333"/>
      <c r="X276" s="1333"/>
      <c r="Y276" s="1333"/>
      <c r="Z276" s="1333"/>
      <c r="AA276" s="1333"/>
      <c r="AB276" s="1333"/>
      <c r="AC276" s="1333"/>
      <c r="AD276" s="1333"/>
      <c r="AE276" s="1333"/>
      <c r="AF276" s="1333"/>
      <c r="AG276" s="1333"/>
      <c r="AH276" s="1333"/>
      <c r="AI276" s="1333"/>
      <c r="AJ276" s="1333"/>
    </row>
    <row r="277" spans="1:36" x14ac:dyDescent="0.25">
      <c r="A277" s="1518" t="str">
        <f>IF(CD50_apply="Yes",IF(COUNTIF('03 - 50% CD'!D277:G277,"Y")&gt;0,"Y",IF(COUNTIF('03 - 50% CD'!D277:G277,"N"),"N","")),"")</f>
        <v>Y</v>
      </c>
      <c r="B277" s="125"/>
      <c r="C277" s="944"/>
      <c r="D277" s="411"/>
      <c r="E277" s="321"/>
      <c r="F277" s="559" t="str">
        <f>IF('C-Design&amp;Const'!$O277="","",'C-Design&amp;Const'!$O277)</f>
        <v>Y</v>
      </c>
      <c r="G277" s="485"/>
      <c r="H277" s="355" t="str">
        <f>CONCATENATE(IF(F277="N","PLACEHOLDER ROW - ",""),'C-Design&amp;Const'!Z277,IF(F277="N","",J277))</f>
        <v>Plumbing Details and Sections (Complete)</v>
      </c>
      <c r="I277" s="137"/>
      <c r="J277" s="578" t="str">
        <f>IF('C-Design&amp;Const'!AH277="","",'C-Design&amp;Const'!AH277)</f>
        <v>(Complete)</v>
      </c>
      <c r="K277" s="285" t="str">
        <f>IF(CD50_apply="Yes",IF((COUNTIF(D277:G277,"Y")=COUNTIF('03 - 50% CD'!D277:G277,"Y")),"match","no 50% match"),"-")</f>
        <v>match</v>
      </c>
      <c r="L277" s="1410" t="str">
        <f t="shared" si="14"/>
        <v/>
      </c>
      <c r="M277" s="1333"/>
      <c r="N277" s="1333"/>
      <c r="O277" s="1333"/>
      <c r="P277" s="1333"/>
      <c r="Q277" s="1333"/>
      <c r="R277" s="1284"/>
      <c r="S277" s="1284"/>
      <c r="T277" s="1382"/>
      <c r="U277" s="1382"/>
      <c r="V277" s="1333"/>
      <c r="W277" s="1333"/>
      <c r="X277" s="1333"/>
      <c r="Y277" s="1333"/>
      <c r="Z277" s="1333"/>
      <c r="AA277" s="1333"/>
      <c r="AB277" s="1333"/>
      <c r="AC277" s="1333"/>
      <c r="AD277" s="1333"/>
      <c r="AE277" s="1333"/>
      <c r="AF277" s="1333"/>
      <c r="AG277" s="1333"/>
      <c r="AH277" s="1333"/>
      <c r="AI277" s="1333"/>
      <c r="AJ277" s="1333"/>
    </row>
    <row r="278" spans="1:36" x14ac:dyDescent="0.25">
      <c r="A278" s="1518" t="str">
        <f>IF(CD50_apply="Yes",IF(COUNTIF('03 - 50% CD'!D278:G278,"Y")&gt;0,"Y",IF(COUNTIF('03 - 50% CD'!D278:G278,"N"),"N","")),"")</f>
        <v>Y</v>
      </c>
      <c r="B278" s="125"/>
      <c r="C278" s="944"/>
      <c r="D278" s="411"/>
      <c r="E278" s="321"/>
      <c r="F278" s="559" t="str">
        <f>IF('C-Design&amp;Const'!$O278="","",'C-Design&amp;Const'!$O278)</f>
        <v>Y</v>
      </c>
      <c r="G278" s="485"/>
      <c r="H278" s="355" t="str">
        <f>CONCATENATE(IF(F278="N","PLACEHOLDER ROW - ",""),'C-Design&amp;Const'!Z278,IF(F278="N","",J278))</f>
        <v>Plumbing Fixture Schedule (Substantially Complete)</v>
      </c>
      <c r="I278" s="137"/>
      <c r="J278" s="578" t="str">
        <f>IF('C-Design&amp;Const'!AH278="","",'C-Design&amp;Const'!AH278)</f>
        <v>(Substantially Complete)</v>
      </c>
      <c r="K278" s="285" t="str">
        <f>IF(CD50_apply="Yes",IF((COUNTIF(D278:G278,"Y")=COUNTIF('03 - 50% CD'!D278:G278,"Y")),"match","no 50% match"),"-")</f>
        <v>match</v>
      </c>
      <c r="L278" s="1410" t="str">
        <f t="shared" si="14"/>
        <v/>
      </c>
      <c r="M278" s="1333"/>
      <c r="N278" s="1333"/>
      <c r="O278" s="1333"/>
      <c r="P278" s="1333"/>
      <c r="Q278" s="1333"/>
      <c r="R278" s="1453"/>
      <c r="S278" s="1284"/>
      <c r="T278" s="1382"/>
      <c r="U278" s="1382"/>
      <c r="V278" s="1333"/>
      <c r="W278" s="1333"/>
      <c r="X278" s="1333"/>
      <c r="Y278" s="1333"/>
      <c r="Z278" s="1333"/>
      <c r="AA278" s="1333"/>
      <c r="AB278" s="1333"/>
      <c r="AC278" s="1333"/>
      <c r="AD278" s="1333"/>
      <c r="AE278" s="1333"/>
      <c r="AF278" s="1333"/>
      <c r="AG278" s="1333"/>
      <c r="AH278" s="1333"/>
      <c r="AI278" s="1333"/>
      <c r="AJ278" s="1333"/>
    </row>
    <row r="279" spans="1:36" x14ac:dyDescent="0.25">
      <c r="A279" s="1407" t="str">
        <f>IF(CD50_apply="Yes",IF(COUNTIF('03 - 50% CD'!D279:G279,"Y")&gt;0,"Y",IF(COUNTIF('03 - 50% CD'!D279:G279,"N"),"N","")),"")</f>
        <v>Y</v>
      </c>
      <c r="B279" s="125"/>
      <c r="C279" s="944"/>
      <c r="D279" s="411"/>
      <c r="E279" s="559" t="str">
        <f>IF('C-Design&amp;Const'!$O279="","",'C-Design&amp;Const'!$O279)</f>
        <v>Y</v>
      </c>
      <c r="F279" s="478"/>
      <c r="G279" s="485"/>
      <c r="H279" s="356" t="str">
        <f>CONCATENATE(IF(F279="N","PLACEHOLDER ROW - ",""),'C-Design&amp;Const'!Z279,IF(F279="N","",J279))</f>
        <v>Fire Protection / Fire Suppression Drawings (Including Bid Alts.)</v>
      </c>
      <c r="I279" s="146"/>
      <c r="J279" s="578" t="str">
        <f>IF('C-Design&amp;Const'!AH279="","",'C-Design&amp;Const'!AH279)</f>
        <v xml:space="preserve"> (Including Bid Alts.)</v>
      </c>
      <c r="K279" s="285" t="str">
        <f>IF(CD50_apply="Yes",IF((COUNTIF(D279:G279,"Y")=COUNTIF('03 - 50% CD'!D279:G279,"Y")),"match","no 50% match"),"-")</f>
        <v>match</v>
      </c>
      <c r="L279" s="1410" t="str">
        <f t="shared" si="14"/>
        <v/>
      </c>
      <c r="M279" s="1333"/>
      <c r="N279" s="1333"/>
      <c r="O279" s="1333"/>
      <c r="P279" s="1333"/>
      <c r="Q279" s="1333"/>
      <c r="R279" s="1453"/>
      <c r="S279" s="1284"/>
      <c r="T279" s="1382"/>
      <c r="U279" s="1382"/>
      <c r="V279" s="1333"/>
      <c r="W279" s="1333"/>
      <c r="X279" s="1333"/>
      <c r="Y279" s="1333"/>
      <c r="Z279" s="1333"/>
      <c r="AA279" s="1333"/>
      <c r="AB279" s="1333"/>
      <c r="AC279" s="1333"/>
      <c r="AD279" s="1333"/>
      <c r="AE279" s="1333"/>
      <c r="AF279" s="1333"/>
      <c r="AG279" s="1333"/>
      <c r="AH279" s="1333"/>
      <c r="AI279" s="1333"/>
      <c r="AJ279" s="1333"/>
    </row>
    <row r="280" spans="1:36" s="17" customFormat="1" x14ac:dyDescent="0.25">
      <c r="A280" s="1518" t="str">
        <f>IF(CD50_apply="Yes",IF(COUNTIF('03 - 50% CD'!D280:G280,"Y")&gt;0,"Y",IF(COUNTIF('03 - 50% CD'!D280:G280,"N"),"N","")),"")</f>
        <v>N</v>
      </c>
      <c r="B280" s="141"/>
      <c r="C280" s="944"/>
      <c r="D280" s="411"/>
      <c r="E280" s="321"/>
      <c r="F280" s="559" t="str">
        <f>IF('C-Design&amp;Const'!$O280="","",'C-Design&amp;Const'!$O280)</f>
        <v>N</v>
      </c>
      <c r="G280" s="491"/>
      <c r="H280" s="355" t="str">
        <f>CONCATENATE(IF(F280="N","PLACEHOLDER ROW - ",""),'C-Design&amp;Const'!Z280,IF(F280="N","",J280))</f>
        <v xml:space="preserve">PLACEHOLDER ROW - CUSTOM - Fire Suppression  </v>
      </c>
      <c r="I280" s="151"/>
      <c r="J280" s="578" t="str">
        <f>IF('C-Design&amp;Const'!AH280="","",'C-Design&amp;Const'!AH280)</f>
        <v>(Complete)</v>
      </c>
      <c r="K280" s="285" t="str">
        <f>IF(CD50_apply="Yes",IF((COUNTIF(D280:G280,"Y")=COUNTIF('03 - 50% CD'!D280:G280,"Y")),"match","no 50% match"),"-")</f>
        <v>match</v>
      </c>
      <c r="L280" s="1410" t="str">
        <f t="shared" si="14"/>
        <v>&lt;---PM/Planner may hide PLACEHOLDER ROW</v>
      </c>
      <c r="M280" s="1333"/>
      <c r="N280" s="1333"/>
      <c r="O280" s="1333"/>
      <c r="P280" s="1333"/>
      <c r="Q280" s="1333"/>
      <c r="R280" s="1453"/>
      <c r="S280" s="1284"/>
      <c r="T280" s="1382"/>
      <c r="U280" s="1382"/>
      <c r="V280" s="1333"/>
      <c r="W280" s="1333"/>
      <c r="X280" s="1333"/>
      <c r="Y280" s="1333"/>
      <c r="Z280" s="1333"/>
      <c r="AA280" s="1333"/>
      <c r="AB280" s="1333"/>
      <c r="AC280" s="1333"/>
      <c r="AD280" s="1333"/>
      <c r="AE280" s="1333"/>
      <c r="AF280" s="1333"/>
      <c r="AG280" s="1333"/>
      <c r="AH280" s="1333"/>
      <c r="AI280" s="1333"/>
      <c r="AJ280" s="1333"/>
    </row>
    <row r="281" spans="1:36" s="17" customFormat="1" x14ac:dyDescent="0.25">
      <c r="A281" s="1518" t="str">
        <f>IF(CD50_apply="Yes",IF(COUNTIF('03 - 50% CD'!D281:G281,"Y")&gt;0,"Y",IF(COUNTIF('03 - 50% CD'!D281:G281,"N"),"N","")),"")</f>
        <v>N</v>
      </c>
      <c r="B281" s="141"/>
      <c r="C281" s="944"/>
      <c r="D281" s="411"/>
      <c r="E281" s="321"/>
      <c r="F281" s="559" t="str">
        <f>IF('C-Design&amp;Const'!$O281="","",'C-Design&amp;Const'!$O281)</f>
        <v>N</v>
      </c>
      <c r="G281" s="491"/>
      <c r="H281" s="355" t="str">
        <f>CONCATENATE(IF(F281="N","PLACEHOLDER ROW - ",""),'C-Design&amp;Const'!Z281,IF(F281="N","",J281))</f>
        <v xml:space="preserve">PLACEHOLDER ROW - CUSTOM - Fire Suppression  </v>
      </c>
      <c r="I281" s="151"/>
      <c r="J281" s="578" t="str">
        <f>IF('C-Design&amp;Const'!AH281="","",'C-Design&amp;Const'!AH281)</f>
        <v>(Complete)</v>
      </c>
      <c r="K281" s="285" t="str">
        <f>IF(CD50_apply="Yes",IF((COUNTIF(D281:G281,"Y")=COUNTIF('03 - 50% CD'!D281:G281,"Y")),"match","no 50% match"),"-")</f>
        <v>match</v>
      </c>
      <c r="L281" s="1410" t="str">
        <f t="shared" si="14"/>
        <v>&lt;---PM/Planner may hide PLACEHOLDER ROW</v>
      </c>
      <c r="M281" s="1333"/>
      <c r="N281" s="1333"/>
      <c r="O281" s="1333"/>
      <c r="P281" s="1333"/>
      <c r="Q281" s="1333"/>
      <c r="R281" s="1453"/>
      <c r="S281" s="1284"/>
      <c r="T281" s="1382"/>
      <c r="U281" s="1382"/>
      <c r="V281" s="1333"/>
      <c r="W281" s="1333"/>
      <c r="X281" s="1333"/>
      <c r="Y281" s="1333"/>
      <c r="Z281" s="1333"/>
      <c r="AA281" s="1333"/>
      <c r="AB281" s="1333"/>
      <c r="AC281" s="1333"/>
      <c r="AD281" s="1333"/>
      <c r="AE281" s="1333"/>
      <c r="AF281" s="1333"/>
      <c r="AG281" s="1333"/>
      <c r="AH281" s="1333"/>
      <c r="AI281" s="1333"/>
      <c r="AJ281" s="1333"/>
    </row>
    <row r="282" spans="1:36" x14ac:dyDescent="0.25">
      <c r="A282" s="1518" t="str">
        <f>IF(CD50_apply="Yes",IF(COUNTIF('03 - 50% CD'!D282:G282,"Y")&gt;0,"Y",IF(COUNTIF('03 - 50% CD'!D282:G282,"N"),"N","")),"")</f>
        <v>Y</v>
      </c>
      <c r="B282" s="125"/>
      <c r="C282" s="944"/>
      <c r="D282" s="411"/>
      <c r="E282" s="321"/>
      <c r="F282" s="559" t="str">
        <f>IF('C-Design&amp;Const'!$O282="","",'C-Design&amp;Const'!$O282)</f>
        <v>Y</v>
      </c>
      <c r="G282" s="485"/>
      <c r="H282" s="355" t="str">
        <f>CONCATENATE(IF(F282="N","PLACEHOLDER ROW - ",""),'C-Design&amp;Const'!Z282,IF(F282="N","",J282))</f>
        <v>Sprinkler System Symbols, Abbreviations, and General Notes (Complete)</v>
      </c>
      <c r="I282" s="137"/>
      <c r="J282" s="578" t="str">
        <f>IF('C-Design&amp;Const'!AH282="","",'C-Design&amp;Const'!AH282)</f>
        <v>(Complete)</v>
      </c>
      <c r="K282" s="285" t="str">
        <f>IF(CD50_apply="Yes",IF((COUNTIF(D282:G282,"Y")=COUNTIF('03 - 50% CD'!D282:G282,"Y")),"match","no 50% match"),"-")</f>
        <v>match</v>
      </c>
      <c r="L282" s="1410" t="str">
        <f t="shared" si="14"/>
        <v/>
      </c>
      <c r="M282" s="1333"/>
      <c r="N282" s="1333"/>
      <c r="O282" s="1333"/>
      <c r="P282" s="1333"/>
      <c r="Q282" s="1333"/>
      <c r="R282" s="1453"/>
      <c r="S282" s="1284"/>
      <c r="T282" s="1382"/>
      <c r="U282" s="1382"/>
      <c r="V282" s="1333"/>
      <c r="W282" s="1333"/>
      <c r="X282" s="1333"/>
      <c r="Y282" s="1333"/>
      <c r="Z282" s="1333"/>
      <c r="AA282" s="1333"/>
      <c r="AB282" s="1333"/>
      <c r="AC282" s="1333"/>
      <c r="AD282" s="1333"/>
      <c r="AE282" s="1333"/>
      <c r="AF282" s="1333"/>
      <c r="AG282" s="1333"/>
      <c r="AH282" s="1333"/>
      <c r="AI282" s="1333"/>
      <c r="AJ282" s="1333"/>
    </row>
    <row r="283" spans="1:36" s="17" customFormat="1" x14ac:dyDescent="0.25">
      <c r="A283" s="1518" t="str">
        <f>IF(CD50_apply="Yes",IF(COUNTIF('03 - 50% CD'!D283:G283,"Y")&gt;0,"Y",IF(COUNTIF('03 - 50% CD'!D283:G283,"N"),"N","")),"")</f>
        <v>Y</v>
      </c>
      <c r="B283" s="141"/>
      <c r="C283" s="944"/>
      <c r="D283" s="411"/>
      <c r="E283" s="321"/>
      <c r="F283" s="559" t="str">
        <f>IF('C-Design&amp;Const'!$O283="","",'C-Design&amp;Const'!$O283)</f>
        <v>Y</v>
      </c>
      <c r="G283" s="485"/>
      <c r="H283" s="355" t="str">
        <f>CONCATENATE(IF(F283="N","PLACEHOLDER ROW - ",""),'C-Design&amp;Const'!Z283,IF(F283="N","",J283))</f>
        <v>Sprinkler System Demolition(s) (Complete)</v>
      </c>
      <c r="I283" s="151"/>
      <c r="J283" s="578" t="str">
        <f>IF('C-Design&amp;Const'!AH283="","",'C-Design&amp;Const'!AH283)</f>
        <v>(Complete)</v>
      </c>
      <c r="K283" s="285" t="str">
        <f>IF(CD50_apply="Yes",IF((COUNTIF(D283:G283,"Y")=COUNTIF('03 - 50% CD'!D283:G283,"Y")),"match","no 50% match"),"-")</f>
        <v>match</v>
      </c>
      <c r="L283" s="1410" t="str">
        <f>CONCATENATE(IF(ISNUMBER(SEARCH("Placeholder",H283))=TRUE,"&lt;---PM/Planner may hide PLACEHOLDER ROW",""))</f>
        <v/>
      </c>
      <c r="M283" s="1333"/>
      <c r="N283" s="1333"/>
      <c r="O283" s="1333"/>
      <c r="P283" s="1333"/>
      <c r="Q283" s="1333"/>
      <c r="R283" s="1453"/>
      <c r="S283" s="1284"/>
      <c r="T283" s="1382"/>
      <c r="U283" s="1382"/>
      <c r="V283" s="1333"/>
      <c r="W283" s="1333"/>
      <c r="X283" s="1333"/>
      <c r="Y283" s="1333"/>
      <c r="Z283" s="1333"/>
      <c r="AA283" s="1333"/>
      <c r="AB283" s="1333"/>
      <c r="AC283" s="1333"/>
      <c r="AD283" s="1333"/>
      <c r="AE283" s="1333"/>
      <c r="AF283" s="1333"/>
      <c r="AG283" s="1333"/>
      <c r="AH283" s="1333"/>
      <c r="AI283" s="1333"/>
      <c r="AJ283" s="1333"/>
    </row>
    <row r="284" spans="1:36" x14ac:dyDescent="0.25">
      <c r="A284" s="1518" t="str">
        <f>IF(CD50_apply="Yes",IF(COUNTIF('03 - 50% CD'!D284:G284,"Y")&gt;0,"Y",IF(COUNTIF('03 - 50% CD'!D284:G284,"N"),"N","")),"")</f>
        <v>Y</v>
      </c>
      <c r="B284" s="125"/>
      <c r="C284" s="944"/>
      <c r="D284" s="411"/>
      <c r="E284" s="321"/>
      <c r="F284" s="559" t="str">
        <f>IF('C-Design&amp;Const'!$O284="","",'C-Design&amp;Const'!$O284)</f>
        <v>Y</v>
      </c>
      <c r="G284" s="485"/>
      <c r="H284" s="355" t="str">
        <f>CONCATENATE(IF(F284="N","PLACEHOLDER ROW - ",""),'C-Design&amp;Const'!Z284,IF(F284="N","",J284))</f>
        <v>Sprinkler System Floor Plans (Complete)</v>
      </c>
      <c r="I284" s="137"/>
      <c r="J284" s="578" t="str">
        <f>IF('C-Design&amp;Const'!AH284="","",'C-Design&amp;Const'!AH284)</f>
        <v>(Complete)</v>
      </c>
      <c r="K284" s="285" t="str">
        <f>IF(CD50_apply="Yes",IF((COUNTIF(D284:G284,"Y")=COUNTIF('03 - 50% CD'!D284:G284,"Y")),"match","no 50% match"),"-")</f>
        <v>match</v>
      </c>
      <c r="L284" s="1410" t="str">
        <f t="shared" si="14"/>
        <v/>
      </c>
      <c r="M284" s="1333"/>
      <c r="N284" s="1333"/>
      <c r="O284" s="1333"/>
      <c r="P284" s="1333"/>
      <c r="Q284" s="1333"/>
      <c r="R284" s="1453"/>
      <c r="S284" s="1284"/>
      <c r="T284" s="1382"/>
      <c r="U284" s="1382"/>
      <c r="V284" s="1333"/>
      <c r="W284" s="1333"/>
      <c r="X284" s="1333"/>
      <c r="Y284" s="1333"/>
      <c r="Z284" s="1333"/>
      <c r="AA284" s="1333"/>
      <c r="AB284" s="1333"/>
      <c r="AC284" s="1333"/>
      <c r="AD284" s="1333"/>
      <c r="AE284" s="1333"/>
      <c r="AF284" s="1333"/>
      <c r="AG284" s="1333"/>
      <c r="AH284" s="1333"/>
      <c r="AI284" s="1333"/>
      <c r="AJ284" s="1333"/>
    </row>
    <row r="285" spans="1:36" x14ac:dyDescent="0.25">
      <c r="A285" s="1518" t="str">
        <f>IF(CD50_apply="Yes",IF(COUNTIF('03 - 50% CD'!D285:G285,"Y")&gt;0,"Y",IF(COUNTIF('03 - 50% CD'!D285:G285,"N"),"N","")),"")</f>
        <v>Y</v>
      </c>
      <c r="B285" s="125"/>
      <c r="C285" s="944"/>
      <c r="D285" s="411"/>
      <c r="E285" s="321"/>
      <c r="F285" s="559" t="str">
        <f>IF('C-Design&amp;Const'!$O285="","",'C-Design&amp;Const'!$O285)</f>
        <v>Y</v>
      </c>
      <c r="G285" s="485"/>
      <c r="H285" s="355" t="str">
        <f>CONCATENATE(IF(F285="N","PLACEHOLDER ROW - ",""),'C-Design&amp;Const'!Z285,IF(F285="N","",J285))</f>
        <v>Sprinkler System Flow and Riser Diagrams (Complete)</v>
      </c>
      <c r="I285" s="137"/>
      <c r="J285" s="578" t="str">
        <f>IF('C-Design&amp;Const'!AH285="","",'C-Design&amp;Const'!AH285)</f>
        <v>(Complete)</v>
      </c>
      <c r="K285" s="285" t="str">
        <f>IF(CD50_apply="Yes",IF((COUNTIF(D285:G285,"Y")=COUNTIF('03 - 50% CD'!D285:G285,"Y")),"match","no 50% match"),"-")</f>
        <v>match</v>
      </c>
      <c r="L285" s="1410" t="str">
        <f t="shared" si="14"/>
        <v/>
      </c>
      <c r="M285" s="1333"/>
      <c r="N285" s="1333"/>
      <c r="O285" s="1333"/>
      <c r="P285" s="1333"/>
      <c r="Q285" s="1333"/>
      <c r="R285" s="1284"/>
      <c r="S285" s="1284"/>
      <c r="T285" s="1382"/>
      <c r="U285" s="1382"/>
      <c r="V285" s="1333"/>
      <c r="W285" s="1333"/>
      <c r="X285" s="1333"/>
      <c r="Y285" s="1333"/>
      <c r="Z285" s="1333"/>
      <c r="AA285" s="1333"/>
      <c r="AB285" s="1333"/>
      <c r="AC285" s="1333"/>
      <c r="AD285" s="1333"/>
      <c r="AE285" s="1333"/>
      <c r="AF285" s="1333"/>
      <c r="AG285" s="1333"/>
      <c r="AH285" s="1333"/>
      <c r="AI285" s="1333"/>
      <c r="AJ285" s="1333"/>
    </row>
    <row r="286" spans="1:36" x14ac:dyDescent="0.25">
      <c r="A286" s="1518" t="str">
        <f>IF(CD50_apply="Yes",IF(COUNTIF('03 - 50% CD'!D286:G286,"Y")&gt;0,"Y",IF(COUNTIF('03 - 50% CD'!D286:G286,"N"),"N","")),"")</f>
        <v>Y</v>
      </c>
      <c r="B286" s="125"/>
      <c r="C286" s="944"/>
      <c r="D286" s="411"/>
      <c r="E286" s="321"/>
      <c r="F286" s="559" t="str">
        <f>IF('C-Design&amp;Const'!$O286="","",'C-Design&amp;Const'!$O286)</f>
        <v>Y</v>
      </c>
      <c r="G286" s="485"/>
      <c r="H286" s="355" t="str">
        <f>CONCATENATE(IF(F286="N","PLACEHOLDER ROW - ",""),'C-Design&amp;Const'!Z286,IF(F286="N","",J286))</f>
        <v>Sprinkler/Fire Pump Room Large Scale Plan (Complete)</v>
      </c>
      <c r="I286" s="137"/>
      <c r="J286" s="578" t="str">
        <f>IF('C-Design&amp;Const'!AH286="","",'C-Design&amp;Const'!AH286)</f>
        <v>(Complete)</v>
      </c>
      <c r="K286" s="285" t="str">
        <f>IF(CD50_apply="Yes",IF((COUNTIF(D286:G286,"Y")=COUNTIF('03 - 50% CD'!D286:G286,"Y")),"match","no 50% match"),"-")</f>
        <v>match</v>
      </c>
      <c r="L286" s="1410" t="str">
        <f t="shared" si="14"/>
        <v/>
      </c>
      <c r="M286" s="1333"/>
      <c r="N286" s="1333"/>
      <c r="O286" s="1333"/>
      <c r="P286" s="1333"/>
      <c r="Q286" s="1333"/>
      <c r="R286" s="1453"/>
      <c r="S286" s="1284"/>
      <c r="T286" s="1382"/>
      <c r="U286" s="1382"/>
      <c r="V286" s="1333"/>
      <c r="W286" s="1333"/>
      <c r="X286" s="1333"/>
      <c r="Y286" s="1333"/>
      <c r="Z286" s="1333"/>
      <c r="AA286" s="1333"/>
      <c r="AB286" s="1333"/>
      <c r="AC286" s="1333"/>
      <c r="AD286" s="1333"/>
      <c r="AE286" s="1333"/>
      <c r="AF286" s="1333"/>
      <c r="AG286" s="1333"/>
      <c r="AH286" s="1333"/>
      <c r="AI286" s="1333"/>
      <c r="AJ286" s="1333"/>
    </row>
    <row r="287" spans="1:36" x14ac:dyDescent="0.25">
      <c r="A287" s="1518" t="str">
        <f>IF(CD50_apply="Yes",IF(COUNTIF('03 - 50% CD'!D287:G287,"Y")&gt;0,"Y",IF(COUNTIF('03 - 50% CD'!D287:G287,"N"),"N","")),"")</f>
        <v>Y</v>
      </c>
      <c r="B287" s="125"/>
      <c r="C287" s="944"/>
      <c r="D287" s="411"/>
      <c r="E287" s="321"/>
      <c r="F287" s="559" t="str">
        <f>IF('C-Design&amp;Const'!$O287="","",'C-Design&amp;Const'!$O287)</f>
        <v>Y</v>
      </c>
      <c r="G287" s="485"/>
      <c r="H287" s="355" t="str">
        <f>CONCATENATE(IF(F287="N","PLACEHOLDER ROW - ",""),'C-Design&amp;Const'!Z287,IF(F287="N","",J287))</f>
        <v>Sprinkler System Equipment Schedule (Substantially Complete)</v>
      </c>
      <c r="I287" s="137"/>
      <c r="J287" s="578" t="str">
        <f>IF('C-Design&amp;Const'!AH287="","",'C-Design&amp;Const'!AH287)</f>
        <v>(Substantially Complete)</v>
      </c>
      <c r="K287" s="285" t="str">
        <f>IF(CD50_apply="Yes",IF((COUNTIF(D287:G287,"Y")=COUNTIF('03 - 50% CD'!D287:G287,"Y")),"match","no 50% match"),"-")</f>
        <v>match</v>
      </c>
      <c r="L287" s="1410" t="str">
        <f t="shared" si="14"/>
        <v/>
      </c>
      <c r="M287" s="1333"/>
      <c r="N287" s="1333"/>
      <c r="O287" s="1333"/>
      <c r="P287" s="1333"/>
      <c r="Q287" s="1333"/>
      <c r="R287" s="1453"/>
      <c r="S287" s="1284"/>
      <c r="T287" s="1382"/>
      <c r="U287" s="1382"/>
      <c r="V287" s="1333"/>
      <c r="W287" s="1333"/>
      <c r="X287" s="1333"/>
      <c r="Y287" s="1333"/>
      <c r="Z287" s="1333"/>
      <c r="AA287" s="1333"/>
      <c r="AB287" s="1333"/>
      <c r="AC287" s="1333"/>
      <c r="AD287" s="1333"/>
      <c r="AE287" s="1333"/>
      <c r="AF287" s="1333"/>
      <c r="AG287" s="1333"/>
      <c r="AH287" s="1333"/>
      <c r="AI287" s="1333"/>
      <c r="AJ287" s="1333"/>
    </row>
    <row r="288" spans="1:36" x14ac:dyDescent="0.25">
      <c r="A288" s="1518" t="str">
        <f>IF(CD50_apply="Yes",IF(COUNTIF('03 - 50% CD'!D288:G288,"Y")&gt;0,"Y",IF(COUNTIF('03 - 50% CD'!D288:G288,"N"),"N","")),"")</f>
        <v>Y</v>
      </c>
      <c r="B288" s="125"/>
      <c r="C288" s="944"/>
      <c r="D288" s="411"/>
      <c r="E288" s="321"/>
      <c r="F288" s="559" t="str">
        <f>IF('C-Design&amp;Const'!$O288="","",'C-Design&amp;Const'!$O288)</f>
        <v>Y</v>
      </c>
      <c r="G288" s="485"/>
      <c r="H288" s="355" t="str">
        <f>CONCATENATE(IF(F288="N","PLACEHOLDER ROW - ",""),'C-Design&amp;Const'!Z288,IF(F288="N","",J288))</f>
        <v>Sprinkler System Details and Sections (Complete)</v>
      </c>
      <c r="I288" s="137"/>
      <c r="J288" s="578" t="str">
        <f>IF('C-Design&amp;Const'!AH288="","",'C-Design&amp;Const'!AH288)</f>
        <v>(Complete)</v>
      </c>
      <c r="K288" s="285" t="str">
        <f>IF(CD50_apply="Yes",IF((COUNTIF(D288:G288,"Y")=COUNTIF('03 - 50% CD'!D288:G288,"Y")),"match","no 50% match"),"-")</f>
        <v>match</v>
      </c>
      <c r="L288" s="1410" t="str">
        <f t="shared" si="14"/>
        <v/>
      </c>
      <c r="M288" s="1333"/>
      <c r="N288" s="1333"/>
      <c r="O288" s="1333"/>
      <c r="P288" s="1333"/>
      <c r="Q288" s="1333"/>
      <c r="R288" s="1453"/>
      <c r="S288" s="1284"/>
      <c r="T288" s="1382"/>
      <c r="U288" s="1382"/>
      <c r="V288" s="1333"/>
      <c r="W288" s="1333"/>
      <c r="X288" s="1333"/>
      <c r="Y288" s="1333"/>
      <c r="Z288" s="1333"/>
      <c r="AA288" s="1333"/>
      <c r="AB288" s="1333"/>
      <c r="AC288" s="1333"/>
      <c r="AD288" s="1333"/>
      <c r="AE288" s="1333"/>
      <c r="AF288" s="1333"/>
      <c r="AG288" s="1333"/>
      <c r="AH288" s="1333"/>
      <c r="AI288" s="1333"/>
      <c r="AJ288" s="1333"/>
    </row>
    <row r="289" spans="1:36" x14ac:dyDescent="0.25">
      <c r="A289" s="1407" t="str">
        <f>IF(CD50_apply="Yes",IF(COUNTIF('03 - 50% CD'!D289:G289,"Y")&gt;0,"Y",IF(COUNTIF('03 - 50% CD'!D289:G289,"N"),"N","")),"")</f>
        <v>Y</v>
      </c>
      <c r="B289" s="125"/>
      <c r="C289" s="944"/>
      <c r="D289" s="411"/>
      <c r="E289" s="559" t="str">
        <f>IF('C-Design&amp;Const'!$O289="","",'C-Design&amp;Const'!$O289)</f>
        <v>Y</v>
      </c>
      <c r="F289" s="478"/>
      <c r="G289" s="485"/>
      <c r="H289" s="356" t="str">
        <f>CONCATENATE(IF(F289="N","PLACEHOLDER ROW - ",""),'C-Design&amp;Const'!Z289,IF(F289="N","",J289))</f>
        <v>Heating Drawings (Including Bid Alts.)</v>
      </c>
      <c r="I289" s="146"/>
      <c r="J289" s="578" t="str">
        <f>IF('C-Design&amp;Const'!AH289="","",'C-Design&amp;Const'!AH289)</f>
        <v xml:space="preserve"> (Including Bid Alts.)</v>
      </c>
      <c r="K289" s="285" t="str">
        <f>IF(CD50_apply="Yes",IF((COUNTIF(D289:G289,"Y")=COUNTIF('03 - 50% CD'!D289:G289,"Y")),"match","no 50% match"),"-")</f>
        <v>match</v>
      </c>
      <c r="L289" s="1410" t="str">
        <f t="shared" si="14"/>
        <v/>
      </c>
      <c r="M289" s="1333"/>
      <c r="N289" s="1333"/>
      <c r="O289" s="1333"/>
      <c r="P289" s="1333"/>
      <c r="Q289" s="1333"/>
      <c r="R289" s="1453"/>
      <c r="S289" s="1284"/>
      <c r="T289" s="1382"/>
      <c r="U289" s="1382"/>
      <c r="V289" s="1333"/>
      <c r="W289" s="1333"/>
      <c r="X289" s="1333"/>
      <c r="Y289" s="1333"/>
      <c r="Z289" s="1333"/>
      <c r="AA289" s="1333"/>
      <c r="AB289" s="1333"/>
      <c r="AC289" s="1333"/>
      <c r="AD289" s="1333"/>
      <c r="AE289" s="1333"/>
      <c r="AF289" s="1333"/>
      <c r="AG289" s="1333"/>
      <c r="AH289" s="1333"/>
      <c r="AI289" s="1333"/>
      <c r="AJ289" s="1333"/>
    </row>
    <row r="290" spans="1:36" s="17" customFormat="1" x14ac:dyDescent="0.25">
      <c r="A290" s="1518" t="str">
        <f>IF(CD50_apply="Yes",IF(COUNTIF('03 - 50% CD'!D290:G290,"Y")&gt;0,"Y",IF(COUNTIF('03 - 50% CD'!D290:G290,"N"),"N","")),"")</f>
        <v>N</v>
      </c>
      <c r="B290" s="141"/>
      <c r="C290" s="944"/>
      <c r="D290" s="411"/>
      <c r="E290" s="321"/>
      <c r="F290" s="559" t="str">
        <f>IF('C-Design&amp;Const'!$O290="","",'C-Design&amp;Const'!$O290)</f>
        <v>N</v>
      </c>
      <c r="G290" s="491"/>
      <c r="H290" s="355" t="str">
        <f>CONCATENATE(IF(F290="N","PLACEHOLDER ROW - ",""),'C-Design&amp;Const'!Z290,IF(F290="N","",J290))</f>
        <v xml:space="preserve">PLACEHOLDER ROW - CUSTOM - Heating  </v>
      </c>
      <c r="I290" s="151"/>
      <c r="J290" s="578" t="str">
        <f>IF('C-Design&amp;Const'!AH290="","",'C-Design&amp;Const'!AH290)</f>
        <v>(Complete)</v>
      </c>
      <c r="K290" s="285" t="str">
        <f>IF(CD50_apply="Yes",IF((COUNTIF(D290:G290,"Y")=COUNTIF('03 - 50% CD'!D290:G290,"Y")),"match","no 50% match"),"-")</f>
        <v>match</v>
      </c>
      <c r="L290" s="1410" t="str">
        <f t="shared" si="14"/>
        <v>&lt;---PM/Planner may hide PLACEHOLDER ROW</v>
      </c>
      <c r="M290" s="1333"/>
      <c r="N290" s="1333"/>
      <c r="O290" s="1333"/>
      <c r="P290" s="1333"/>
      <c r="Q290" s="1333"/>
      <c r="R290" s="1453"/>
      <c r="S290" s="1284"/>
      <c r="T290" s="1382"/>
      <c r="U290" s="1382"/>
      <c r="V290" s="1333"/>
      <c r="W290" s="1333"/>
      <c r="X290" s="1333"/>
      <c r="Y290" s="1333"/>
      <c r="Z290" s="1333"/>
      <c r="AA290" s="1333"/>
      <c r="AB290" s="1333"/>
      <c r="AC290" s="1333"/>
      <c r="AD290" s="1333"/>
      <c r="AE290" s="1333"/>
      <c r="AF290" s="1333"/>
      <c r="AG290" s="1333"/>
      <c r="AH290" s="1333"/>
      <c r="AI290" s="1333"/>
      <c r="AJ290" s="1333"/>
    </row>
    <row r="291" spans="1:36" s="17" customFormat="1" x14ac:dyDescent="0.25">
      <c r="A291" s="1518" t="str">
        <f>IF(CD50_apply="Yes",IF(COUNTIF('03 - 50% CD'!D291:G291,"Y")&gt;0,"Y",IF(COUNTIF('03 - 50% CD'!D291:G291,"N"),"N","")),"")</f>
        <v>N</v>
      </c>
      <c r="B291" s="141"/>
      <c r="C291" s="944"/>
      <c r="D291" s="411"/>
      <c r="E291" s="321"/>
      <c r="F291" s="559" t="str">
        <f>IF('C-Design&amp;Const'!$O291="","",'C-Design&amp;Const'!$O291)</f>
        <v>N</v>
      </c>
      <c r="G291" s="491"/>
      <c r="H291" s="355" t="str">
        <f>CONCATENATE(IF(F291="N","PLACEHOLDER ROW - ",""),'C-Design&amp;Const'!Z291,IF(F291="N","",J291))</f>
        <v xml:space="preserve">PLACEHOLDER ROW - CUSTOM - Heating  </v>
      </c>
      <c r="I291" s="151"/>
      <c r="J291" s="578" t="str">
        <f>IF('C-Design&amp;Const'!AH291="","",'C-Design&amp;Const'!AH291)</f>
        <v>(Complete)</v>
      </c>
      <c r="K291" s="285" t="str">
        <f>IF(CD50_apply="Yes",IF((COUNTIF(D291:G291,"Y")=COUNTIF('03 - 50% CD'!D291:G291,"Y")),"match","no 50% match"),"-")</f>
        <v>match</v>
      </c>
      <c r="L291" s="1410" t="str">
        <f t="shared" si="14"/>
        <v>&lt;---PM/Planner may hide PLACEHOLDER ROW</v>
      </c>
      <c r="M291" s="1333"/>
      <c r="N291" s="1333"/>
      <c r="O291" s="1333"/>
      <c r="P291" s="1333"/>
      <c r="Q291" s="1333"/>
      <c r="R291" s="1453"/>
      <c r="S291" s="1284"/>
      <c r="T291" s="1382"/>
      <c r="U291" s="1382"/>
      <c r="V291" s="1333"/>
      <c r="W291" s="1333"/>
      <c r="X291" s="1333"/>
      <c r="Y291" s="1333"/>
      <c r="Z291" s="1333"/>
      <c r="AA291" s="1333"/>
      <c r="AB291" s="1333"/>
      <c r="AC291" s="1333"/>
      <c r="AD291" s="1333"/>
      <c r="AE291" s="1333"/>
      <c r="AF291" s="1333"/>
      <c r="AG291" s="1333"/>
      <c r="AH291" s="1333"/>
      <c r="AI291" s="1333"/>
      <c r="AJ291" s="1333"/>
    </row>
    <row r="292" spans="1:36" x14ac:dyDescent="0.25">
      <c r="A292" s="1518" t="str">
        <f>IF(CD50_apply="Yes",IF(COUNTIF('03 - 50% CD'!D292:G292,"Y")&gt;0,"Y",IF(COUNTIF('03 - 50% CD'!D292:G292,"N"),"N","")),"")</f>
        <v>Y</v>
      </c>
      <c r="B292" s="125"/>
      <c r="C292" s="944"/>
      <c r="D292" s="411"/>
      <c r="E292" s="321"/>
      <c r="F292" s="559" t="str">
        <f>IF('C-Design&amp;Const'!$O292="","",'C-Design&amp;Const'!$O292)</f>
        <v>Y</v>
      </c>
      <c r="G292" s="485"/>
      <c r="H292" s="355" t="str">
        <f>CONCATENATE(IF(F292="N","PLACEHOLDER ROW - ",""),'C-Design&amp;Const'!Z292,IF(F292="N","",J292))</f>
        <v>Heating and A/C Symbols, Abbreviations, and General Notes (Complete)</v>
      </c>
      <c r="I292" s="137"/>
      <c r="J292" s="578" t="str">
        <f>IF('C-Design&amp;Const'!AH292="","",'C-Design&amp;Const'!AH292)</f>
        <v>(Complete)</v>
      </c>
      <c r="K292" s="285" t="str">
        <f>IF(CD50_apply="Yes",IF((COUNTIF(D292:G292,"Y")=COUNTIF('03 - 50% CD'!D292:G292,"Y")),"match","no 50% match"),"-")</f>
        <v>match</v>
      </c>
      <c r="L292" s="1410" t="str">
        <f t="shared" si="14"/>
        <v/>
      </c>
      <c r="M292" s="1333"/>
      <c r="N292" s="1333"/>
      <c r="O292" s="1333"/>
      <c r="P292" s="1333"/>
      <c r="Q292" s="1333"/>
      <c r="R292" s="1453"/>
      <c r="S292" s="1284"/>
      <c r="T292" s="1382"/>
      <c r="U292" s="1382"/>
      <c r="V292" s="1333"/>
      <c r="W292" s="1333"/>
      <c r="X292" s="1333"/>
      <c r="Y292" s="1333"/>
      <c r="Z292" s="1333"/>
      <c r="AA292" s="1333"/>
      <c r="AB292" s="1333"/>
      <c r="AC292" s="1333"/>
      <c r="AD292" s="1333"/>
      <c r="AE292" s="1333"/>
      <c r="AF292" s="1333"/>
      <c r="AG292" s="1333"/>
      <c r="AH292" s="1333"/>
      <c r="AI292" s="1333"/>
      <c r="AJ292" s="1333"/>
    </row>
    <row r="293" spans="1:36" s="17" customFormat="1" x14ac:dyDescent="0.25">
      <c r="A293" s="1518" t="str">
        <f>IF(CD50_apply="Yes",IF(COUNTIF('03 - 50% CD'!D293:G293,"Y")&gt;0,"Y",IF(COUNTIF('03 - 50% CD'!D293:G293,"N"),"N","")),"")</f>
        <v>Y</v>
      </c>
      <c r="B293" s="141"/>
      <c r="C293" s="944"/>
      <c r="D293" s="411"/>
      <c r="E293" s="321"/>
      <c r="F293" s="559" t="str">
        <f>IF('C-Design&amp;Const'!$O293="","",'C-Design&amp;Const'!$O293)</f>
        <v>Y</v>
      </c>
      <c r="G293" s="485"/>
      <c r="H293" s="355" t="str">
        <f>CONCATENATE(IF(F293="N","PLACEHOLDER ROW - ",""),'C-Design&amp;Const'!Z293,IF(F293="N","",J293))</f>
        <v>Heating and A/C Demolition(s) (Complete)</v>
      </c>
      <c r="I293" s="151"/>
      <c r="J293" s="578" t="str">
        <f>IF('C-Design&amp;Const'!AH293="","",'C-Design&amp;Const'!AH293)</f>
        <v>(Complete)</v>
      </c>
      <c r="K293" s="285" t="str">
        <f>IF(CD50_apply="Yes",IF((COUNTIF(D293:G293,"Y")=COUNTIF('03 - 50% CD'!D293:G293,"Y")),"match","no 50% match"),"-")</f>
        <v>match</v>
      </c>
      <c r="L293" s="1410" t="str">
        <f>CONCATENATE(IF(ISNUMBER(SEARCH("Placeholder",H293))=TRUE,"&lt;---PM/Planner may hide PLACEHOLDER ROW",""))</f>
        <v/>
      </c>
      <c r="M293" s="1333"/>
      <c r="N293" s="1333"/>
      <c r="O293" s="1333"/>
      <c r="P293" s="1333"/>
      <c r="Q293" s="1333"/>
      <c r="R293" s="1453"/>
      <c r="S293" s="1284"/>
      <c r="T293" s="1382"/>
      <c r="U293" s="1382"/>
      <c r="V293" s="1333"/>
      <c r="W293" s="1333"/>
      <c r="X293" s="1333"/>
      <c r="Y293" s="1333"/>
      <c r="Z293" s="1333"/>
      <c r="AA293" s="1333"/>
      <c r="AB293" s="1333"/>
      <c r="AC293" s="1333"/>
      <c r="AD293" s="1333"/>
      <c r="AE293" s="1333"/>
      <c r="AF293" s="1333"/>
      <c r="AG293" s="1333"/>
      <c r="AH293" s="1333"/>
      <c r="AI293" s="1333"/>
      <c r="AJ293" s="1333"/>
    </row>
    <row r="294" spans="1:36" x14ac:dyDescent="0.25">
      <c r="A294" s="1518" t="str">
        <f>IF(CD50_apply="Yes",IF(COUNTIF('03 - 50% CD'!D294:G294,"Y")&gt;0,"Y",IF(COUNTIF('03 - 50% CD'!D294:G294,"N"),"N","")),"")</f>
        <v>Y</v>
      </c>
      <c r="B294" s="125"/>
      <c r="C294" s="944"/>
      <c r="D294" s="411"/>
      <c r="E294" s="321"/>
      <c r="F294" s="559" t="str">
        <f>IF('C-Design&amp;Const'!$O294="","",'C-Design&amp;Const'!$O294)</f>
        <v>Y</v>
      </c>
      <c r="G294" s="485"/>
      <c r="H294" s="355" t="str">
        <f>CONCATENATE(IF(F294="N","PLACEHOLDER ROW - ",""),'C-Design&amp;Const'!Z294,IF(F294="N","",J294))</f>
        <v>Heating and A/C Floor Plans (Complete)</v>
      </c>
      <c r="I294" s="137"/>
      <c r="J294" s="578" t="str">
        <f>IF('C-Design&amp;Const'!AH294="","",'C-Design&amp;Const'!AH294)</f>
        <v>(Complete)</v>
      </c>
      <c r="K294" s="285" t="str">
        <f>IF(CD50_apply="Yes",IF((COUNTIF(D294:G294,"Y")=COUNTIF('03 - 50% CD'!D294:G294,"Y")),"match","no 50% match"),"-")</f>
        <v>match</v>
      </c>
      <c r="L294" s="1410" t="str">
        <f t="shared" si="14"/>
        <v/>
      </c>
      <c r="M294" s="1333"/>
      <c r="N294" s="1333"/>
      <c r="O294" s="1333"/>
      <c r="P294" s="1333"/>
      <c r="Q294" s="1333"/>
      <c r="R294" s="1284"/>
      <c r="S294" s="1284"/>
      <c r="T294" s="1382"/>
      <c r="U294" s="1382"/>
      <c r="V294" s="1333"/>
      <c r="W294" s="1333"/>
      <c r="X294" s="1333"/>
      <c r="Y294" s="1333"/>
      <c r="Z294" s="1333"/>
      <c r="AA294" s="1333"/>
      <c r="AB294" s="1333"/>
      <c r="AC294" s="1333"/>
      <c r="AD294" s="1333"/>
      <c r="AE294" s="1333"/>
      <c r="AF294" s="1333"/>
      <c r="AG294" s="1333"/>
      <c r="AH294" s="1333"/>
      <c r="AI294" s="1333"/>
      <c r="AJ294" s="1333"/>
    </row>
    <row r="295" spans="1:36" x14ac:dyDescent="0.25">
      <c r="A295" s="1518" t="str">
        <f>IF(CD50_apply="Yes",IF(COUNTIF('03 - 50% CD'!D295:G295,"Y")&gt;0,"Y",IF(COUNTIF('03 - 50% CD'!D295:G295,"N"),"N","")),"")</f>
        <v>Y</v>
      </c>
      <c r="B295" s="125"/>
      <c r="C295" s="944"/>
      <c r="D295" s="411"/>
      <c r="E295" s="321"/>
      <c r="F295" s="559" t="str">
        <f>IF('C-Design&amp;Const'!$O295="","",'C-Design&amp;Const'!$O295)</f>
        <v>Y</v>
      </c>
      <c r="G295" s="485"/>
      <c r="H295" s="355" t="str">
        <f>CONCATENATE(IF(F295="N","PLACEHOLDER ROW - ",""),'C-Design&amp;Const'!Z295,IF(F295="N","",J295))</f>
        <v>Heating and Cooling Piping Isometrics/Flow Diagrams (Complete)</v>
      </c>
      <c r="I295" s="137"/>
      <c r="J295" s="578" t="str">
        <f>IF('C-Design&amp;Const'!AH295="","",'C-Design&amp;Const'!AH295)</f>
        <v>(Complete)</v>
      </c>
      <c r="K295" s="285" t="str">
        <f>IF(CD50_apply="Yes",IF((COUNTIF(D295:G295,"Y")=COUNTIF('03 - 50% CD'!D295:G295,"Y")),"match","no 50% match"),"-")</f>
        <v>match</v>
      </c>
      <c r="L295" s="1410" t="str">
        <f t="shared" si="14"/>
        <v/>
      </c>
      <c r="M295" s="1333"/>
      <c r="N295" s="1333"/>
      <c r="O295" s="1333"/>
      <c r="P295" s="1333"/>
      <c r="Q295" s="1333"/>
      <c r="R295" s="1453"/>
      <c r="S295" s="1284"/>
      <c r="T295" s="1382"/>
      <c r="U295" s="1382"/>
      <c r="V295" s="1333"/>
      <c r="W295" s="1333"/>
      <c r="X295" s="1333"/>
      <c r="Y295" s="1333"/>
      <c r="Z295" s="1333"/>
      <c r="AA295" s="1333"/>
      <c r="AB295" s="1333"/>
      <c r="AC295" s="1333"/>
      <c r="AD295" s="1333"/>
      <c r="AE295" s="1333"/>
      <c r="AF295" s="1333"/>
      <c r="AG295" s="1333"/>
      <c r="AH295" s="1333"/>
      <c r="AI295" s="1333"/>
      <c r="AJ295" s="1333"/>
    </row>
    <row r="296" spans="1:36" x14ac:dyDescent="0.25">
      <c r="A296" s="1518" t="str">
        <f>IF(CD50_apply="Yes",IF(COUNTIF('03 - 50% CD'!D296:G296,"Y")&gt;0,"Y",IF(COUNTIF('03 - 50% CD'!D296:G296,"N"),"N","")),"")</f>
        <v>Y</v>
      </c>
      <c r="B296" s="125"/>
      <c r="C296" s="944"/>
      <c r="D296" s="411"/>
      <c r="E296" s="321"/>
      <c r="F296" s="559" t="str">
        <f>IF('C-Design&amp;Const'!$O296="","",'C-Design&amp;Const'!$O296)</f>
        <v>Y</v>
      </c>
      <c r="G296" s="485"/>
      <c r="H296" s="355" t="str">
        <f>CONCATENATE(IF(F296="N","PLACEHOLDER ROW - ",""),'C-Design&amp;Const'!Z296,IF(F296="N","",J296))</f>
        <v>Heating and A/C Large Scale Mechanical Room Plans (Complete)</v>
      </c>
      <c r="I296" s="137"/>
      <c r="J296" s="578" t="str">
        <f>IF('C-Design&amp;Const'!AH296="","",'C-Design&amp;Const'!AH296)</f>
        <v>(Complete)</v>
      </c>
      <c r="K296" s="285" t="str">
        <f>IF(CD50_apply="Yes",IF((COUNTIF(D296:G296,"Y")=COUNTIF('03 - 50% CD'!D296:G296,"Y")),"match","no 50% match"),"-")</f>
        <v>match</v>
      </c>
      <c r="L296" s="1410" t="str">
        <f t="shared" si="14"/>
        <v/>
      </c>
      <c r="M296" s="1333"/>
      <c r="N296" s="1333"/>
      <c r="O296" s="1333"/>
      <c r="P296" s="1333"/>
      <c r="Q296" s="1333"/>
      <c r="R296" s="1453"/>
      <c r="S296" s="1284"/>
      <c r="T296" s="1382"/>
      <c r="U296" s="1382"/>
      <c r="V296" s="1333"/>
      <c r="W296" s="1333"/>
      <c r="X296" s="1333"/>
      <c r="Y296" s="1333"/>
      <c r="Z296" s="1333"/>
      <c r="AA296" s="1333"/>
      <c r="AB296" s="1333"/>
      <c r="AC296" s="1333"/>
      <c r="AD296" s="1333"/>
      <c r="AE296" s="1333"/>
      <c r="AF296" s="1333"/>
      <c r="AG296" s="1333"/>
      <c r="AH296" s="1333"/>
      <c r="AI296" s="1333"/>
      <c r="AJ296" s="1333"/>
    </row>
    <row r="297" spans="1:36" x14ac:dyDescent="0.25">
      <c r="A297" s="1518" t="str">
        <f>IF(CD50_apply="Yes",IF(COUNTIF('03 - 50% CD'!D297:G297,"Y")&gt;0,"Y",IF(COUNTIF('03 - 50% CD'!D297:G297,"N"),"N","")),"")</f>
        <v>Y</v>
      </c>
      <c r="B297" s="125"/>
      <c r="C297" s="944"/>
      <c r="D297" s="411"/>
      <c r="E297" s="321"/>
      <c r="F297" s="559" t="str">
        <f>IF('C-Design&amp;Const'!$O297="","",'C-Design&amp;Const'!$O297)</f>
        <v>Y</v>
      </c>
      <c r="G297" s="485"/>
      <c r="H297" s="355" t="str">
        <f>CONCATENATE(IF(F297="N","PLACEHOLDER ROW - ",""),'C-Design&amp;Const'!Z297,IF(F297="N","",J297))</f>
        <v>Heating and A/C Equipment Schedule (Substantially Complete)</v>
      </c>
      <c r="I297" s="137"/>
      <c r="J297" s="578" t="str">
        <f>IF('C-Design&amp;Const'!AH297="","",'C-Design&amp;Const'!AH297)</f>
        <v>(Substantially Complete)</v>
      </c>
      <c r="K297" s="285" t="str">
        <f>IF(CD50_apply="Yes",IF((COUNTIF(D297:G297,"Y")=COUNTIF('03 - 50% CD'!D297:G297,"Y")),"match","no 50% match"),"-")</f>
        <v>match</v>
      </c>
      <c r="L297" s="1410" t="str">
        <f t="shared" si="14"/>
        <v/>
      </c>
      <c r="M297" s="1333"/>
      <c r="N297" s="1333"/>
      <c r="O297" s="1333"/>
      <c r="P297" s="1333"/>
      <c r="Q297" s="1333"/>
      <c r="R297" s="1453"/>
      <c r="S297" s="1284"/>
      <c r="T297" s="1382"/>
      <c r="U297" s="1382"/>
      <c r="V297" s="1333"/>
      <c r="W297" s="1333"/>
      <c r="X297" s="1333"/>
      <c r="Y297" s="1333"/>
      <c r="Z297" s="1333"/>
      <c r="AA297" s="1333"/>
      <c r="AB297" s="1333"/>
      <c r="AC297" s="1333"/>
      <c r="AD297" s="1333"/>
      <c r="AE297" s="1333"/>
      <c r="AF297" s="1333"/>
      <c r="AG297" s="1333"/>
      <c r="AH297" s="1333"/>
      <c r="AI297" s="1333"/>
      <c r="AJ297" s="1333"/>
    </row>
    <row r="298" spans="1:36" x14ac:dyDescent="0.25">
      <c r="A298" s="1518" t="str">
        <f>IF(CD50_apply="Yes",IF(COUNTIF('03 - 50% CD'!D298:G298,"Y")&gt;0,"Y",IF(COUNTIF('03 - 50% CD'!D298:G298,"N"),"N","")),"")</f>
        <v>Y</v>
      </c>
      <c r="B298" s="125"/>
      <c r="C298" s="944"/>
      <c r="D298" s="411"/>
      <c r="E298" s="321"/>
      <c r="F298" s="559" t="str">
        <f>IF('C-Design&amp;Const'!$O298="","",'C-Design&amp;Const'!$O298)</f>
        <v>Y</v>
      </c>
      <c r="G298" s="521"/>
      <c r="H298" s="522" t="str">
        <f>CONCATENATE(IF(F298="N","PLACEHOLDER ROW - ",""),'C-Design&amp;Const'!Z298,IF(F298="N","",J298))</f>
        <v>Heating and A/C Details and Sections (Complete)</v>
      </c>
      <c r="I298" s="137"/>
      <c r="J298" s="578" t="str">
        <f>IF('C-Design&amp;Const'!AH298="","",'C-Design&amp;Const'!AH298)</f>
        <v>(Complete)</v>
      </c>
      <c r="K298" s="285" t="str">
        <f>IF(CD50_apply="Yes",IF((COUNTIF(D298:G298,"Y")=COUNTIF('03 - 50% CD'!D298:G298,"Y")),"match","no 50% match"),"-")</f>
        <v>match</v>
      </c>
      <c r="L298" s="1410" t="str">
        <f t="shared" si="14"/>
        <v/>
      </c>
      <c r="M298" s="1333"/>
      <c r="N298" s="1333"/>
      <c r="O298" s="1333"/>
      <c r="P298" s="1333"/>
      <c r="Q298" s="1333"/>
      <c r="R298" s="1453"/>
      <c r="S298" s="1284"/>
      <c r="T298" s="1382"/>
      <c r="U298" s="1382"/>
      <c r="V298" s="1333"/>
      <c r="W298" s="1333"/>
      <c r="X298" s="1333"/>
      <c r="Y298" s="1333"/>
      <c r="Z298" s="1333"/>
      <c r="AA298" s="1333"/>
      <c r="AB298" s="1333"/>
      <c r="AC298" s="1333"/>
      <c r="AD298" s="1333"/>
      <c r="AE298" s="1333"/>
      <c r="AF298" s="1333"/>
      <c r="AG298" s="1333"/>
      <c r="AH298" s="1333"/>
      <c r="AI298" s="1333"/>
      <c r="AJ298" s="1333"/>
    </row>
    <row r="299" spans="1:36" x14ac:dyDescent="0.25">
      <c r="A299" s="1407" t="str">
        <f>IF(CD50_apply="Yes",IF(COUNTIF('03 - 50% CD'!D299:G299,"Y")&gt;0,"Y",IF(COUNTIF('03 - 50% CD'!D299:G299,"N"),"N","")),"")</f>
        <v>Y</v>
      </c>
      <c r="B299" s="125"/>
      <c r="C299" s="944"/>
      <c r="D299" s="411"/>
      <c r="E299" s="559" t="str">
        <f>IF('C-Design&amp;Const'!$O299="","",'C-Design&amp;Const'!$O299)</f>
        <v>Y</v>
      </c>
      <c r="F299" s="560"/>
      <c r="G299" s="558"/>
      <c r="H299" s="356" t="str">
        <f>CONCATENATE(IF(F299="N","PLACEHOLDER ROW - ",""),'C-Design&amp;Const'!Z299,IF(F299="N","",J299))</f>
        <v>Ventilation Drawings (Including Bid Alts.)</v>
      </c>
      <c r="I299" s="146"/>
      <c r="J299" s="578" t="str">
        <f>IF('C-Design&amp;Const'!AH299="","",'C-Design&amp;Const'!AH299)</f>
        <v xml:space="preserve"> (Including Bid Alts.)</v>
      </c>
      <c r="K299" s="285" t="str">
        <f>IF(CD50_apply="Yes",IF((COUNTIF(D299:G299,"Y")=COUNTIF('03 - 50% CD'!D299:G299,"Y")),"match","no 50% match"),"-")</f>
        <v>match</v>
      </c>
      <c r="L299" s="1410" t="str">
        <f t="shared" si="14"/>
        <v/>
      </c>
      <c r="M299" s="1333"/>
      <c r="N299" s="1333"/>
      <c r="O299" s="1333"/>
      <c r="P299" s="1333"/>
      <c r="Q299" s="1333"/>
      <c r="R299" s="1453"/>
      <c r="S299" s="1284"/>
      <c r="T299" s="1382"/>
      <c r="U299" s="1382"/>
      <c r="V299" s="1333"/>
      <c r="W299" s="1333"/>
      <c r="X299" s="1333"/>
      <c r="Y299" s="1333"/>
      <c r="Z299" s="1333"/>
      <c r="AA299" s="1333"/>
      <c r="AB299" s="1333"/>
      <c r="AC299" s="1333"/>
      <c r="AD299" s="1333"/>
      <c r="AE299" s="1333"/>
      <c r="AF299" s="1333"/>
      <c r="AG299" s="1333"/>
      <c r="AH299" s="1333"/>
      <c r="AI299" s="1333"/>
      <c r="AJ299" s="1333"/>
    </row>
    <row r="300" spans="1:36" s="17" customFormat="1" x14ac:dyDescent="0.25">
      <c r="A300" s="1518" t="str">
        <f>IF(CD50_apply="Yes",IF(COUNTIF('03 - 50% CD'!D300:G300,"Y")&gt;0,"Y",IF(COUNTIF('03 - 50% CD'!D300:G300,"N"),"N","")),"")</f>
        <v>N</v>
      </c>
      <c r="B300" s="141"/>
      <c r="C300" s="944"/>
      <c r="D300" s="411"/>
      <c r="E300" s="321"/>
      <c r="F300" s="559" t="str">
        <f>IF('C-Design&amp;Const'!$O300="","",'C-Design&amp;Const'!$O300)</f>
        <v>N</v>
      </c>
      <c r="G300" s="491"/>
      <c r="H300" s="355" t="str">
        <f>CONCATENATE(IF(F300="N","PLACEHOLDER ROW - ",""),'C-Design&amp;Const'!Z300,IF(F300="N","",J300))</f>
        <v xml:space="preserve">PLACEHOLDER ROW - CUSTOM - Ventilation  </v>
      </c>
      <c r="I300" s="151"/>
      <c r="J300" s="578" t="str">
        <f>IF('C-Design&amp;Const'!AH300="","",'C-Design&amp;Const'!AH300)</f>
        <v>(Complete)</v>
      </c>
      <c r="K300" s="285" t="str">
        <f>IF(CD50_apply="Yes",IF((COUNTIF(D300:G300,"Y")=COUNTIF('03 - 50% CD'!D300:G300,"Y")),"match","no 50% match"),"-")</f>
        <v>match</v>
      </c>
      <c r="L300" s="1410" t="str">
        <f t="shared" si="14"/>
        <v>&lt;---PM/Planner may hide PLACEHOLDER ROW</v>
      </c>
      <c r="M300" s="1333"/>
      <c r="N300" s="1333"/>
      <c r="O300" s="1333"/>
      <c r="P300" s="1333"/>
      <c r="Q300" s="1333"/>
      <c r="R300" s="1453"/>
      <c r="S300" s="1284"/>
      <c r="T300" s="1382"/>
      <c r="U300" s="1382"/>
      <c r="V300" s="1333"/>
      <c r="W300" s="1333"/>
      <c r="X300" s="1333"/>
      <c r="Y300" s="1333"/>
      <c r="Z300" s="1333"/>
      <c r="AA300" s="1333"/>
      <c r="AB300" s="1333"/>
      <c r="AC300" s="1333"/>
      <c r="AD300" s="1333"/>
      <c r="AE300" s="1333"/>
      <c r="AF300" s="1333"/>
      <c r="AG300" s="1333"/>
      <c r="AH300" s="1333"/>
      <c r="AI300" s="1333"/>
      <c r="AJ300" s="1333"/>
    </row>
    <row r="301" spans="1:36" s="17" customFormat="1" x14ac:dyDescent="0.25">
      <c r="A301" s="1518" t="str">
        <f>IF(CD50_apply="Yes",IF(COUNTIF('03 - 50% CD'!D301:G301,"Y")&gt;0,"Y",IF(COUNTIF('03 - 50% CD'!D301:G301,"N"),"N","")),"")</f>
        <v>N</v>
      </c>
      <c r="B301" s="141"/>
      <c r="C301" s="944"/>
      <c r="D301" s="411"/>
      <c r="E301" s="321"/>
      <c r="F301" s="559" t="str">
        <f>IF('C-Design&amp;Const'!$O301="","",'C-Design&amp;Const'!$O301)</f>
        <v>N</v>
      </c>
      <c r="G301" s="491"/>
      <c r="H301" s="355" t="str">
        <f>CONCATENATE(IF(F301="N","PLACEHOLDER ROW - ",""),'C-Design&amp;Const'!Z301,IF(F301="N","",J301))</f>
        <v xml:space="preserve">PLACEHOLDER ROW - CUSTOM - Ventilation  </v>
      </c>
      <c r="I301" s="151"/>
      <c r="J301" s="578" t="str">
        <f>IF('C-Design&amp;Const'!AH301="","",'C-Design&amp;Const'!AH301)</f>
        <v>(Complete)</v>
      </c>
      <c r="K301" s="285" t="str">
        <f>IF(CD50_apply="Yes",IF((COUNTIF(D301:G301,"Y")=COUNTIF('03 - 50% CD'!D301:G301,"Y")),"match","no 50% match"),"-")</f>
        <v>match</v>
      </c>
      <c r="L301" s="1410" t="str">
        <f t="shared" si="14"/>
        <v>&lt;---PM/Planner may hide PLACEHOLDER ROW</v>
      </c>
      <c r="M301" s="1333"/>
      <c r="N301" s="1333"/>
      <c r="O301" s="1333"/>
      <c r="P301" s="1333"/>
      <c r="Q301" s="1333"/>
      <c r="R301" s="1453"/>
      <c r="S301" s="1284"/>
      <c r="T301" s="1382"/>
      <c r="U301" s="1382"/>
      <c r="V301" s="1333"/>
      <c r="W301" s="1333"/>
      <c r="X301" s="1333"/>
      <c r="Y301" s="1333"/>
      <c r="Z301" s="1333"/>
      <c r="AA301" s="1333"/>
      <c r="AB301" s="1333"/>
      <c r="AC301" s="1333"/>
      <c r="AD301" s="1333"/>
      <c r="AE301" s="1333"/>
      <c r="AF301" s="1333"/>
      <c r="AG301" s="1333"/>
      <c r="AH301" s="1333"/>
      <c r="AI301" s="1333"/>
      <c r="AJ301" s="1333"/>
    </row>
    <row r="302" spans="1:36" x14ac:dyDescent="0.25">
      <c r="A302" s="1518" t="str">
        <f>IF(CD50_apply="Yes",IF(COUNTIF('03 - 50% CD'!D302:G302,"Y")&gt;0,"Y",IF(COUNTIF('03 - 50% CD'!D302:G302,"N"),"N","")),"")</f>
        <v>Y</v>
      </c>
      <c r="B302" s="125"/>
      <c r="C302" s="944"/>
      <c r="D302" s="411"/>
      <c r="E302" s="321"/>
      <c r="F302" s="559" t="str">
        <f>IF('C-Design&amp;Const'!$O302="","",'C-Design&amp;Const'!$O302)</f>
        <v>Y</v>
      </c>
      <c r="G302" s="485"/>
      <c r="H302" s="355" t="str">
        <f>CONCATENATE(IF(F302="N","PLACEHOLDER ROW - ",""),'C-Design&amp;Const'!Z302,IF(F302="N","",J302))</f>
        <v>Ventilation Symbols, Abbreviations, and General Notes (Complete)</v>
      </c>
      <c r="I302" s="137"/>
      <c r="J302" s="578" t="str">
        <f>IF('C-Design&amp;Const'!AH302="","",'C-Design&amp;Const'!AH302)</f>
        <v>(Complete)</v>
      </c>
      <c r="K302" s="285" t="str">
        <f>IF(CD50_apply="Yes",IF((COUNTIF(D302:G302,"Y")=COUNTIF('03 - 50% CD'!D302:G302,"Y")),"match","no 50% match"),"-")</f>
        <v>match</v>
      </c>
      <c r="L302" s="1410" t="str">
        <f t="shared" si="14"/>
        <v/>
      </c>
      <c r="M302" s="1333"/>
      <c r="N302" s="1333"/>
      <c r="O302" s="1333"/>
      <c r="P302" s="1333"/>
      <c r="Q302" s="1333"/>
      <c r="R302" s="1284"/>
      <c r="S302" s="1284"/>
      <c r="T302" s="1382"/>
      <c r="U302" s="1382"/>
      <c r="V302" s="1333"/>
      <c r="W302" s="1333"/>
      <c r="X302" s="1333"/>
      <c r="Y302" s="1333"/>
      <c r="Z302" s="1333"/>
      <c r="AA302" s="1333"/>
      <c r="AB302" s="1333"/>
      <c r="AC302" s="1333"/>
      <c r="AD302" s="1333"/>
      <c r="AE302" s="1333"/>
      <c r="AF302" s="1333"/>
      <c r="AG302" s="1333"/>
      <c r="AH302" s="1333"/>
      <c r="AI302" s="1333"/>
      <c r="AJ302" s="1333"/>
    </row>
    <row r="303" spans="1:36" s="17" customFormat="1" x14ac:dyDescent="0.25">
      <c r="A303" s="1518" t="str">
        <f>IF(CD50_apply="Yes",IF(COUNTIF('03 - 50% CD'!D303:G303,"Y")&gt;0,"Y",IF(COUNTIF('03 - 50% CD'!D303:G303,"N"),"N","")),"")</f>
        <v>Y</v>
      </c>
      <c r="B303" s="141"/>
      <c r="C303" s="944"/>
      <c r="D303" s="411"/>
      <c r="E303" s="321"/>
      <c r="F303" s="559" t="str">
        <f>IF('C-Design&amp;Const'!$O303="","",'C-Design&amp;Const'!$O303)</f>
        <v>Y</v>
      </c>
      <c r="G303" s="485"/>
      <c r="H303" s="355" t="str">
        <f>CONCATENATE(IF(F303="N","PLACEHOLDER ROW - ",""),'C-Design&amp;Const'!Z303,IF(F303="N","",J303))</f>
        <v>Ventilation Demolition(s) (Complete)</v>
      </c>
      <c r="I303" s="151"/>
      <c r="J303" s="578" t="str">
        <f>IF('C-Design&amp;Const'!AH303="","",'C-Design&amp;Const'!AH303)</f>
        <v>(Complete)</v>
      </c>
      <c r="K303" s="285" t="str">
        <f>IF(CD50_apply="Yes",IF((COUNTIF(D303:G303,"Y")=COUNTIF('03 - 50% CD'!D303:G303,"Y")),"match","no 50% match"),"-")</f>
        <v>match</v>
      </c>
      <c r="L303" s="1410" t="str">
        <f>CONCATENATE(IF(ISNUMBER(SEARCH("Placeholder",H303))=TRUE,"&lt;---PM/Planner may hide PLACEHOLDER ROW",""))</f>
        <v/>
      </c>
      <c r="M303" s="1333"/>
      <c r="N303" s="1333"/>
      <c r="O303" s="1333"/>
      <c r="P303" s="1333"/>
      <c r="Q303" s="1333"/>
      <c r="R303" s="1453"/>
      <c r="S303" s="1284"/>
      <c r="T303" s="1382"/>
      <c r="U303" s="1382"/>
      <c r="V303" s="1333"/>
      <c r="W303" s="1333"/>
      <c r="X303" s="1333"/>
      <c r="Y303" s="1333"/>
      <c r="Z303" s="1333"/>
      <c r="AA303" s="1333"/>
      <c r="AB303" s="1333"/>
      <c r="AC303" s="1333"/>
      <c r="AD303" s="1333"/>
      <c r="AE303" s="1333"/>
      <c r="AF303" s="1333"/>
      <c r="AG303" s="1333"/>
      <c r="AH303" s="1333"/>
      <c r="AI303" s="1333"/>
      <c r="AJ303" s="1333"/>
    </row>
    <row r="304" spans="1:36" x14ac:dyDescent="0.25">
      <c r="A304" s="1518" t="str">
        <f>IF(CD50_apply="Yes",IF(COUNTIF('03 - 50% CD'!D304:G304,"Y")&gt;0,"Y",IF(COUNTIF('03 - 50% CD'!D304:G304,"N"),"N","")),"")</f>
        <v>Y</v>
      </c>
      <c r="B304" s="125"/>
      <c r="C304" s="944"/>
      <c r="D304" s="411"/>
      <c r="E304" s="321"/>
      <c r="F304" s="559" t="str">
        <f>IF('C-Design&amp;Const'!$O304="","",'C-Design&amp;Const'!$O304)</f>
        <v>Y</v>
      </c>
      <c r="G304" s="485"/>
      <c r="H304" s="355" t="str">
        <f>CONCATENATE(IF(F304="N","PLACEHOLDER ROW - ",""),'C-Design&amp;Const'!Z304,IF(F304="N","",J304))</f>
        <v>Ventilation Floor Plans (Complete)</v>
      </c>
      <c r="I304" s="137"/>
      <c r="J304" s="578" t="str">
        <f>IF('C-Design&amp;Const'!AH304="","",'C-Design&amp;Const'!AH304)</f>
        <v>(Complete)</v>
      </c>
      <c r="K304" s="285" t="str">
        <f>IF(CD50_apply="Yes",IF((COUNTIF(D304:G304,"Y")=COUNTIF('03 - 50% CD'!D304:G304,"Y")),"match","no 50% match"),"-")</f>
        <v>match</v>
      </c>
      <c r="L304" s="1410" t="str">
        <f t="shared" si="14"/>
        <v/>
      </c>
      <c r="M304" s="1333"/>
      <c r="N304" s="1333"/>
      <c r="O304" s="1333"/>
      <c r="P304" s="1333"/>
      <c r="Q304" s="1333"/>
      <c r="R304" s="1453"/>
      <c r="S304" s="1284"/>
      <c r="T304" s="1382"/>
      <c r="U304" s="1382"/>
      <c r="V304" s="1333"/>
      <c r="W304" s="1333"/>
      <c r="X304" s="1333"/>
      <c r="Y304" s="1333"/>
      <c r="Z304" s="1333"/>
      <c r="AA304" s="1333"/>
      <c r="AB304" s="1333"/>
      <c r="AC304" s="1333"/>
      <c r="AD304" s="1333"/>
      <c r="AE304" s="1333"/>
      <c r="AF304" s="1333"/>
      <c r="AG304" s="1333"/>
      <c r="AH304" s="1333"/>
      <c r="AI304" s="1333"/>
      <c r="AJ304" s="1333"/>
    </row>
    <row r="305" spans="1:49" x14ac:dyDescent="0.25">
      <c r="A305" s="1518" t="str">
        <f>IF(CD50_apply="Yes",IF(COUNTIF('03 - 50% CD'!D305:G305,"Y")&gt;0,"Y",IF(COUNTIF('03 - 50% CD'!D305:G305,"N"),"N","")),"")</f>
        <v>Y</v>
      </c>
      <c r="B305" s="125"/>
      <c r="C305" s="944"/>
      <c r="D305" s="411"/>
      <c r="E305" s="321"/>
      <c r="F305" s="559" t="str">
        <f>IF('C-Design&amp;Const'!$O305="","",'C-Design&amp;Const'!$O305)</f>
        <v>Y</v>
      </c>
      <c r="G305" s="485"/>
      <c r="H305" s="355" t="str">
        <f>CONCATENATE(IF(F305="N","PLACEHOLDER ROW - ",""),'C-Design&amp;Const'!Z305,IF(F305="N","",J305))</f>
        <v>Ventilation Air Flow Diagrams (Complete)</v>
      </c>
      <c r="I305" s="137"/>
      <c r="J305" s="578" t="str">
        <f>IF('C-Design&amp;Const'!AH305="","",'C-Design&amp;Const'!AH305)</f>
        <v>(Complete)</v>
      </c>
      <c r="K305" s="285" t="str">
        <f>IF(CD50_apply="Yes",IF((COUNTIF(D305:G305,"Y")=COUNTIF('03 - 50% CD'!D305:G305,"Y")),"match","no 50% match"),"-")</f>
        <v>match</v>
      </c>
      <c r="L305" s="1410" t="str">
        <f t="shared" si="14"/>
        <v/>
      </c>
      <c r="M305" s="1333"/>
      <c r="N305" s="1333"/>
      <c r="O305" s="1333"/>
      <c r="P305" s="1333"/>
      <c r="Q305" s="1333"/>
      <c r="R305" s="1453"/>
      <c r="S305" s="1284"/>
      <c r="T305" s="1382"/>
      <c r="U305" s="1382"/>
      <c r="V305" s="1333"/>
      <c r="W305" s="1333"/>
      <c r="X305" s="1333"/>
      <c r="Y305" s="1333"/>
      <c r="Z305" s="1333"/>
      <c r="AA305" s="1333"/>
      <c r="AB305" s="1333"/>
      <c r="AC305" s="1333"/>
      <c r="AD305" s="1333"/>
      <c r="AE305" s="1333"/>
      <c r="AF305" s="1333"/>
      <c r="AG305" s="1333"/>
      <c r="AH305" s="1333"/>
      <c r="AI305" s="1333"/>
      <c r="AJ305" s="1333"/>
    </row>
    <row r="306" spans="1:49" x14ac:dyDescent="0.25">
      <c r="A306" s="1518" t="str">
        <f>IF(CD50_apply="Yes",IF(COUNTIF('03 - 50% CD'!D306:G306,"Y")&gt;0,"Y",IF(COUNTIF('03 - 50% CD'!D306:G306,"N"),"N","")),"")</f>
        <v>Y</v>
      </c>
      <c r="B306" s="125"/>
      <c r="C306" s="944"/>
      <c r="D306" s="411"/>
      <c r="E306" s="321"/>
      <c r="F306" s="559" t="str">
        <f>IF('C-Design&amp;Const'!$O306="","",'C-Design&amp;Const'!$O306)</f>
        <v>Y</v>
      </c>
      <c r="G306" s="485"/>
      <c r="H306" s="355" t="str">
        <f>CONCATENATE(IF(F306="N","PLACEHOLDER ROW - ",""),'C-Design&amp;Const'!Z306,IF(F306="N","",J306))</f>
        <v>Ventilation Large Scale Mechanical Room Plans (Complete)</v>
      </c>
      <c r="I306" s="137"/>
      <c r="J306" s="578" t="str">
        <f>IF('C-Design&amp;Const'!AH306="","",'C-Design&amp;Const'!AH306)</f>
        <v>(Complete)</v>
      </c>
      <c r="K306" s="285" t="str">
        <f>IF(CD50_apply="Yes",IF((COUNTIF(D306:G306,"Y")=COUNTIF('03 - 50% CD'!D306:G306,"Y")),"match","no 50% match"),"-")</f>
        <v>match</v>
      </c>
      <c r="L306" s="1410" t="str">
        <f t="shared" si="14"/>
        <v/>
      </c>
      <c r="M306" s="1333"/>
      <c r="N306" s="1333"/>
      <c r="O306" s="1333"/>
      <c r="P306" s="1333"/>
      <c r="Q306" s="1333"/>
      <c r="R306" s="1453"/>
      <c r="S306" s="1284"/>
      <c r="T306" s="1382"/>
      <c r="U306" s="1382"/>
      <c r="V306" s="1333"/>
      <c r="W306" s="1333"/>
      <c r="X306" s="1333"/>
      <c r="Y306" s="1333"/>
      <c r="Z306" s="1333"/>
      <c r="AA306" s="1333"/>
      <c r="AB306" s="1333"/>
      <c r="AC306" s="1333"/>
      <c r="AD306" s="1333"/>
      <c r="AE306" s="1333"/>
      <c r="AF306" s="1333"/>
      <c r="AG306" s="1333"/>
      <c r="AH306" s="1333"/>
      <c r="AI306" s="1333"/>
      <c r="AJ306" s="1333"/>
    </row>
    <row r="307" spans="1:49" x14ac:dyDescent="0.25">
      <c r="A307" s="1518" t="str">
        <f>IF(CD50_apply="Yes",IF(COUNTIF('03 - 50% CD'!D307:G307,"Y")&gt;0,"Y",IF(COUNTIF('03 - 50% CD'!D307:G307,"N"),"N","")),"")</f>
        <v>Y</v>
      </c>
      <c r="B307" s="125"/>
      <c r="C307" s="944"/>
      <c r="D307" s="411"/>
      <c r="E307" s="321"/>
      <c r="F307" s="559" t="str">
        <f>IF('C-Design&amp;Const'!$O307="","",'C-Design&amp;Const'!$O307)</f>
        <v>Y</v>
      </c>
      <c r="G307" s="485"/>
      <c r="H307" s="355" t="str">
        <f>CONCATENATE(IF(F307="N","PLACEHOLDER ROW - ",""),'C-Design&amp;Const'!Z307,IF(F307="N","",J307))</f>
        <v>Ventilation Details and Sections (Complete)</v>
      </c>
      <c r="I307" s="137"/>
      <c r="J307" s="578" t="str">
        <f>IF('C-Design&amp;Const'!AH307="","",'C-Design&amp;Const'!AH307)</f>
        <v>(Complete)</v>
      </c>
      <c r="K307" s="285" t="str">
        <f>IF(CD50_apply="Yes",IF((COUNTIF(D307:G307,"Y")=COUNTIF('03 - 50% CD'!D307:G307,"Y")),"match","no 50% match"),"-")</f>
        <v>match</v>
      </c>
      <c r="L307" s="1410" t="str">
        <f t="shared" si="14"/>
        <v/>
      </c>
      <c r="M307" s="1333"/>
      <c r="N307" s="1333"/>
      <c r="O307" s="1333"/>
      <c r="P307" s="1333"/>
      <c r="Q307" s="1333"/>
      <c r="R307" s="1453"/>
      <c r="S307" s="1284"/>
      <c r="T307" s="1382"/>
      <c r="U307" s="1382"/>
      <c r="V307" s="1333"/>
      <c r="W307" s="1333"/>
      <c r="X307" s="1333"/>
      <c r="Y307" s="1333"/>
      <c r="Z307" s="1333"/>
      <c r="AA307" s="1333"/>
      <c r="AB307" s="1333"/>
      <c r="AC307" s="1333"/>
      <c r="AD307" s="1333"/>
      <c r="AE307" s="1333"/>
      <c r="AF307" s="1333"/>
      <c r="AG307" s="1333"/>
      <c r="AH307" s="1333"/>
      <c r="AI307" s="1333"/>
      <c r="AJ307" s="1333"/>
    </row>
    <row r="308" spans="1:49" x14ac:dyDescent="0.25">
      <c r="A308" s="1518" t="str">
        <f>IF(CD50_apply="Yes",IF(COUNTIF('03 - 50% CD'!D308:G308,"Y")&gt;0,"Y",IF(COUNTIF('03 - 50% CD'!D308:G308,"N"),"N","")),"")</f>
        <v>Y</v>
      </c>
      <c r="B308" s="125"/>
      <c r="C308" s="944"/>
      <c r="D308" s="411"/>
      <c r="E308" s="321"/>
      <c r="F308" s="559" t="str">
        <f>IF('C-Design&amp;Const'!$O308="","",'C-Design&amp;Const'!$O308)</f>
        <v>Y</v>
      </c>
      <c r="G308" s="485"/>
      <c r="H308" s="355" t="str">
        <f>CONCATENATE(IF(F308="N","PLACEHOLDER ROW - ",""),'C-Design&amp;Const'!Z308,IF(F308="N","",J308))</f>
        <v>Ventilation Equipment Schedule (Substantially Complete)</v>
      </c>
      <c r="I308" s="137"/>
      <c r="J308" s="578" t="str">
        <f>IF('C-Design&amp;Const'!AH308="","",'C-Design&amp;Const'!AH308)</f>
        <v>(Substantially Complete)</v>
      </c>
      <c r="K308" s="285" t="str">
        <f>IF(CD50_apply="Yes",IF((COUNTIF(D308:G308,"Y")=COUNTIF('03 - 50% CD'!D308:G308,"Y")),"match","no 50% match"),"-")</f>
        <v>match</v>
      </c>
      <c r="L308" s="1410" t="str">
        <f t="shared" si="14"/>
        <v/>
      </c>
      <c r="M308" s="1333"/>
      <c r="N308" s="1333"/>
      <c r="O308" s="1333"/>
      <c r="P308" s="1333"/>
      <c r="Q308" s="1333"/>
      <c r="R308" s="1453"/>
      <c r="S308" s="1284"/>
      <c r="T308" s="1382"/>
      <c r="U308" s="1382"/>
      <c r="V308" s="1333"/>
      <c r="W308" s="1333"/>
      <c r="X308" s="1333"/>
      <c r="Y308" s="1333"/>
      <c r="Z308" s="1333"/>
      <c r="AA308" s="1333"/>
      <c r="AB308" s="1333"/>
      <c r="AC308" s="1333"/>
      <c r="AD308" s="1333"/>
      <c r="AE308" s="1333"/>
      <c r="AF308" s="1333"/>
      <c r="AG308" s="1333"/>
      <c r="AH308" s="1333"/>
      <c r="AI308" s="1333"/>
      <c r="AJ308" s="1333"/>
    </row>
    <row r="309" spans="1:49" s="542" customFormat="1" x14ac:dyDescent="0.25">
      <c r="A309" s="1407" t="str">
        <f>IF(CD50_apply="Yes",IF(COUNTIF('03 - 50% CD'!D309:G309,"Y")&gt;0,"Y",IF(COUNTIF('03 - 50% CD'!D309:G309,"N"),"N","")),"")</f>
        <v>Y</v>
      </c>
      <c r="B309" s="125"/>
      <c r="C309" s="944"/>
      <c r="D309" s="411"/>
      <c r="E309" s="559" t="str">
        <f>IF('C-Design&amp;Const'!$O309="","",'C-Design&amp;Const'!$O309)</f>
        <v>Y</v>
      </c>
      <c r="F309" s="478"/>
      <c r="G309" s="485"/>
      <c r="H309" s="356" t="str">
        <f>CONCATENATE(IF(F309="N","PLACEHOLDER ROW - ",""),'C-Design&amp;Const'!Z309,IF(F309="N","",J309))</f>
        <v>Temperature Control Drawings (Including Bid Alts.)</v>
      </c>
      <c r="I309" s="146"/>
      <c r="J309" s="578" t="str">
        <f>IF('C-Design&amp;Const'!AH309="","",'C-Design&amp;Const'!AH309)</f>
        <v xml:space="preserve"> (Including Bid Alts.)</v>
      </c>
      <c r="K309" s="285" t="str">
        <f>IF(CD50_apply="Yes",IF((COUNTIF(D309:G309,"Y")=COUNTIF('03 - 50% CD'!D309:G309,"Y")),"match","no 50% match"),"-")</f>
        <v>match</v>
      </c>
      <c r="L309" s="1410" t="str">
        <f t="shared" ref="L309:L315" si="15">CONCATENATE(IF(ISNUMBER(SEARCH("Placeholder",H309))=TRUE,"&lt;---PM/Planner may hide PLACEHOLDER ROW",""))</f>
        <v/>
      </c>
      <c r="M309" s="1333"/>
      <c r="N309" s="1333"/>
      <c r="O309" s="1333"/>
      <c r="P309" s="1333"/>
      <c r="Q309" s="1333"/>
      <c r="R309" s="1453"/>
      <c r="S309" s="1284"/>
      <c r="T309" s="1382"/>
      <c r="U309" s="1382"/>
      <c r="V309" s="1333"/>
      <c r="W309" s="1333"/>
      <c r="X309" s="1333"/>
      <c r="Y309" s="1333"/>
      <c r="Z309" s="1333"/>
      <c r="AA309" s="1333"/>
      <c r="AB309" s="1333"/>
      <c r="AC309" s="1333"/>
      <c r="AD309" s="1333"/>
      <c r="AE309" s="1333"/>
      <c r="AF309" s="1333"/>
      <c r="AG309" s="1333"/>
      <c r="AH309" s="1333"/>
      <c r="AI309" s="1333"/>
      <c r="AJ309" s="1333"/>
      <c r="AK309" s="17"/>
      <c r="AL309" s="17"/>
      <c r="AM309" s="17"/>
      <c r="AN309" s="17"/>
      <c r="AO309" s="17"/>
      <c r="AP309" s="17"/>
      <c r="AQ309" s="17"/>
      <c r="AR309" s="17"/>
      <c r="AS309" s="17"/>
      <c r="AT309" s="17"/>
      <c r="AU309" s="17"/>
      <c r="AV309" s="17"/>
      <c r="AW309" s="17"/>
    </row>
    <row r="310" spans="1:49" s="17" customFormat="1" x14ac:dyDescent="0.25">
      <c r="A310" s="1518" t="str">
        <f>IF(CD50_apply="Yes",IF(COUNTIF('03 - 50% CD'!D310:G310,"Y")&gt;0,"Y",IF(COUNTIF('03 - 50% CD'!D310:G310,"N"),"N","")),"")</f>
        <v>N</v>
      </c>
      <c r="B310" s="141"/>
      <c r="C310" s="944"/>
      <c r="D310" s="411"/>
      <c r="E310" s="321"/>
      <c r="F310" s="559" t="str">
        <f>IF('C-Design&amp;Const'!$O310="","",'C-Design&amp;Const'!$O310)</f>
        <v>N</v>
      </c>
      <c r="G310" s="491"/>
      <c r="H310" s="355" t="str">
        <f>CONCATENATE(IF(F310="N","PLACEHOLDER ROW - ",""),'C-Design&amp;Const'!Z310,IF(F310="N","",J310))</f>
        <v>PLACEHOLDER ROW - CUSTOM - Temperature Control</v>
      </c>
      <c r="I310" s="151"/>
      <c r="J310" s="578" t="str">
        <f>IF('C-Design&amp;Const'!AH310="","",'C-Design&amp;Const'!AH310)</f>
        <v>(Complete)</v>
      </c>
      <c r="K310" s="285" t="str">
        <f>IF(CD50_apply="Yes",IF((COUNTIF(D310:G310,"Y")=COUNTIF('03 - 50% CD'!D310:G310,"Y")),"match","no 50% match"),"-")</f>
        <v>match</v>
      </c>
      <c r="L310" s="1410" t="str">
        <f t="shared" si="15"/>
        <v>&lt;---PM/Planner may hide PLACEHOLDER ROW</v>
      </c>
      <c r="M310" s="1333"/>
      <c r="N310" s="1333"/>
      <c r="O310" s="1333"/>
      <c r="P310" s="1333"/>
      <c r="Q310" s="1333"/>
      <c r="R310" s="1453"/>
      <c r="S310" s="1284"/>
      <c r="T310" s="1382"/>
      <c r="U310" s="1382"/>
      <c r="V310" s="1333"/>
      <c r="W310" s="1333"/>
      <c r="X310" s="1333"/>
      <c r="Y310" s="1333"/>
      <c r="Z310" s="1333"/>
      <c r="AA310" s="1333"/>
      <c r="AB310" s="1333"/>
      <c r="AC310" s="1333"/>
      <c r="AD310" s="1333"/>
      <c r="AE310" s="1333"/>
      <c r="AF310" s="1333"/>
      <c r="AG310" s="1333"/>
      <c r="AH310" s="1333"/>
      <c r="AI310" s="1333"/>
      <c r="AJ310" s="1333"/>
    </row>
    <row r="311" spans="1:49" s="17" customFormat="1" x14ac:dyDescent="0.25">
      <c r="A311" s="1518" t="str">
        <f>IF(CD50_apply="Yes",IF(COUNTIF('03 - 50% CD'!D311:G311,"Y")&gt;0,"Y",IF(COUNTIF('03 - 50% CD'!D311:G311,"N"),"N","")),"")</f>
        <v>N</v>
      </c>
      <c r="B311" s="141"/>
      <c r="C311" s="944"/>
      <c r="D311" s="411"/>
      <c r="E311" s="321"/>
      <c r="F311" s="559" t="str">
        <f>IF('C-Design&amp;Const'!$O311="","",'C-Design&amp;Const'!$O311)</f>
        <v>N</v>
      </c>
      <c r="G311" s="491"/>
      <c r="H311" s="355" t="str">
        <f>CONCATENATE(IF(F311="N","PLACEHOLDER ROW - ",""),'C-Design&amp;Const'!Z311,IF(F311="N","",J311))</f>
        <v>PLACEHOLDER ROW - CUSTOM - Temperature Control</v>
      </c>
      <c r="I311" s="151"/>
      <c r="J311" s="578" t="str">
        <f>IF('C-Design&amp;Const'!AH311="","",'C-Design&amp;Const'!AH311)</f>
        <v>(Complete)</v>
      </c>
      <c r="K311" s="285" t="str">
        <f>IF(CD50_apply="Yes",IF((COUNTIF(D311:G311,"Y")=COUNTIF('03 - 50% CD'!D311:G311,"Y")),"match","no 50% match"),"-")</f>
        <v>match</v>
      </c>
      <c r="L311" s="1410" t="str">
        <f t="shared" si="15"/>
        <v>&lt;---PM/Planner may hide PLACEHOLDER ROW</v>
      </c>
      <c r="M311" s="1333"/>
      <c r="N311" s="1333"/>
      <c r="O311" s="1333"/>
      <c r="P311" s="1333"/>
      <c r="Q311" s="1333"/>
      <c r="R311" s="1453"/>
      <c r="S311" s="1284"/>
      <c r="T311" s="1382"/>
      <c r="U311" s="1382"/>
      <c r="V311" s="1333"/>
      <c r="W311" s="1333"/>
      <c r="X311" s="1333"/>
      <c r="Y311" s="1333"/>
      <c r="Z311" s="1333"/>
      <c r="AA311" s="1333"/>
      <c r="AB311" s="1333"/>
      <c r="AC311" s="1333"/>
      <c r="AD311" s="1333"/>
      <c r="AE311" s="1333"/>
      <c r="AF311" s="1333"/>
      <c r="AG311" s="1333"/>
      <c r="AH311" s="1333"/>
      <c r="AI311" s="1333"/>
      <c r="AJ311" s="1333"/>
    </row>
    <row r="312" spans="1:49" s="542" customFormat="1" x14ac:dyDescent="0.25">
      <c r="A312" s="1518" t="str">
        <f>IF(CD50_apply="Yes",IF(COUNTIF('03 - 50% CD'!D312:G312,"Y")&gt;0,"Y",IF(COUNTIF('03 - 50% CD'!D312:G312,"N"),"N","")),"")</f>
        <v>Y</v>
      </c>
      <c r="B312" s="125"/>
      <c r="C312" s="944"/>
      <c r="D312" s="411"/>
      <c r="E312" s="321"/>
      <c r="F312" s="559" t="str">
        <f>IF('C-Design&amp;Const'!$O312="","",'C-Design&amp;Const'!$O312)</f>
        <v>Y</v>
      </c>
      <c r="G312" s="485"/>
      <c r="H312" s="355" t="str">
        <f>CONCATENATE(IF(F312="N","PLACEHOLDER ROW - ",""),'C-Design&amp;Const'!Z312,IF(F312="N","",J312))</f>
        <v>Temperature Control Symbols, Abbreviations, and General Notes (Complete)</v>
      </c>
      <c r="I312" s="137"/>
      <c r="J312" s="578" t="str">
        <f>IF('C-Design&amp;Const'!AH312="","",'C-Design&amp;Const'!AH312)</f>
        <v>(Complete)</v>
      </c>
      <c r="K312" s="285" t="str">
        <f>IF(CD50_apply="Yes",IF((COUNTIF(D312:G312,"Y")=COUNTIF('03 - 50% CD'!D312:G312,"Y")),"match","no 50% match"),"-")</f>
        <v>match</v>
      </c>
      <c r="L312" s="1410" t="str">
        <f t="shared" si="15"/>
        <v/>
      </c>
      <c r="M312" s="1333"/>
      <c r="N312" s="1333"/>
      <c r="O312" s="1333"/>
      <c r="P312" s="1333"/>
      <c r="Q312" s="1333"/>
      <c r="R312" s="1453"/>
      <c r="S312" s="1284"/>
      <c r="T312" s="1382"/>
      <c r="U312" s="1382"/>
      <c r="V312" s="1333"/>
      <c r="W312" s="1333"/>
      <c r="X312" s="1333"/>
      <c r="Y312" s="1333"/>
      <c r="Z312" s="1333"/>
      <c r="AA312" s="1333"/>
      <c r="AB312" s="1333"/>
      <c r="AC312" s="1333"/>
      <c r="AD312" s="1333"/>
      <c r="AE312" s="1333"/>
      <c r="AF312" s="1333"/>
      <c r="AG312" s="1333"/>
      <c r="AH312" s="1333"/>
      <c r="AI312" s="1333"/>
      <c r="AJ312" s="1333"/>
      <c r="AK312" s="17"/>
      <c r="AL312" s="17"/>
      <c r="AM312" s="17"/>
      <c r="AN312" s="17"/>
      <c r="AO312" s="17"/>
      <c r="AP312" s="17"/>
      <c r="AQ312" s="17"/>
      <c r="AR312" s="17"/>
      <c r="AS312" s="17"/>
      <c r="AT312" s="17"/>
      <c r="AU312" s="17"/>
      <c r="AV312" s="17"/>
      <c r="AW312" s="17"/>
    </row>
    <row r="313" spans="1:49" s="17" customFormat="1" x14ac:dyDescent="0.25">
      <c r="A313" s="1518" t="str">
        <f>IF(CD50_apply="Yes",IF(COUNTIF('03 - 50% CD'!D313:G313,"Y")&gt;0,"Y",IF(COUNTIF('03 - 50% CD'!D313:G313,"N"),"N","")),"")</f>
        <v>Y</v>
      </c>
      <c r="B313" s="141"/>
      <c r="C313" s="944"/>
      <c r="D313" s="411"/>
      <c r="E313" s="321"/>
      <c r="F313" s="559" t="str">
        <f>IF('C-Design&amp;Const'!$O313="","",'C-Design&amp;Const'!$O313)</f>
        <v>Y</v>
      </c>
      <c r="G313" s="485"/>
      <c r="H313" s="355" t="str">
        <f>CONCATENATE(IF(F313="N","PLACEHOLDER ROW - ",""),'C-Design&amp;Const'!Z313,IF(F313="N","",J313))</f>
        <v>Temperature Control Demolition(s) (Complete)</v>
      </c>
      <c r="I313" s="151"/>
      <c r="J313" s="578" t="str">
        <f>IF('C-Design&amp;Const'!AH313="","",'C-Design&amp;Const'!AH313)</f>
        <v>(Complete)</v>
      </c>
      <c r="K313" s="285" t="str">
        <f>IF(CD50_apply="Yes",IF((COUNTIF(D313:G313,"Y")=COUNTIF('03 - 50% CD'!D313:G313,"Y")),"match","no 50% match"),"-")</f>
        <v>match</v>
      </c>
      <c r="L313" s="1410" t="str">
        <f>CONCATENATE(IF(ISNUMBER(SEARCH("Placeholder",H313))=TRUE,"&lt;---PM/Planner may hide PLACEHOLDER ROW",""))</f>
        <v/>
      </c>
      <c r="M313" s="1333"/>
      <c r="N313" s="1333"/>
      <c r="O313" s="1333"/>
      <c r="P313" s="1333"/>
      <c r="Q313" s="1333"/>
      <c r="R313" s="1453"/>
      <c r="S313" s="1284"/>
      <c r="T313" s="1382"/>
      <c r="U313" s="1382"/>
      <c r="V313" s="1333"/>
      <c r="W313" s="1333"/>
      <c r="X313" s="1333"/>
      <c r="Y313" s="1333"/>
      <c r="Z313" s="1333"/>
      <c r="AA313" s="1333"/>
      <c r="AB313" s="1333"/>
      <c r="AC313" s="1333"/>
      <c r="AD313" s="1333"/>
      <c r="AE313" s="1333"/>
      <c r="AF313" s="1333"/>
      <c r="AG313" s="1333"/>
      <c r="AH313" s="1333"/>
      <c r="AI313" s="1333"/>
      <c r="AJ313" s="1333"/>
    </row>
    <row r="314" spans="1:49" s="542" customFormat="1" x14ac:dyDescent="0.25">
      <c r="A314" s="1518" t="str">
        <f>IF(CD50_apply="Yes",IF(COUNTIF('03 - 50% CD'!D314:G314,"Y")&gt;0,"Y",IF(COUNTIF('03 - 50% CD'!D314:G314,"N"),"N","")),"")</f>
        <v>Y</v>
      </c>
      <c r="B314" s="125"/>
      <c r="C314" s="944"/>
      <c r="D314" s="411"/>
      <c r="E314" s="321"/>
      <c r="F314" s="559" t="str">
        <f>IF('C-Design&amp;Const'!$O314="","",'C-Design&amp;Const'!$O314)</f>
        <v>Y</v>
      </c>
      <c r="G314" s="485"/>
      <c r="H314" s="355" t="str">
        <f>CONCATENATE(IF(F314="N","PLACEHOLDER ROW - ",""),'C-Design&amp;Const'!Z314,IF(F314="N","",J314))</f>
        <v>Temperature Control Floor Plans (Complete)</v>
      </c>
      <c r="I314" s="137"/>
      <c r="J314" s="578" t="str">
        <f>IF('C-Design&amp;Const'!AH314="","",'C-Design&amp;Const'!AH314)</f>
        <v>(Complete)</v>
      </c>
      <c r="K314" s="285" t="str">
        <f>IF(CD50_apply="Yes",IF((COUNTIF(D314:G314,"Y")=COUNTIF('03 - 50% CD'!D314:G314,"Y")),"match","no 50% match"),"-")</f>
        <v>match</v>
      </c>
      <c r="L314" s="1410" t="str">
        <f t="shared" si="15"/>
        <v/>
      </c>
      <c r="M314" s="1333"/>
      <c r="N314" s="1333"/>
      <c r="O314" s="1333"/>
      <c r="P314" s="1333"/>
      <c r="Q314" s="1333"/>
      <c r="R314" s="1453"/>
      <c r="S314" s="1284"/>
      <c r="T314" s="1382"/>
      <c r="U314" s="1382"/>
      <c r="V314" s="1333"/>
      <c r="W314" s="1333"/>
      <c r="X314" s="1333"/>
      <c r="Y314" s="1333"/>
      <c r="Z314" s="1333"/>
      <c r="AA314" s="1333"/>
      <c r="AB314" s="1333"/>
      <c r="AC314" s="1333"/>
      <c r="AD314" s="1333"/>
      <c r="AE314" s="1333"/>
      <c r="AF314" s="1333"/>
      <c r="AG314" s="1333"/>
      <c r="AH314" s="1333"/>
      <c r="AI314" s="1333"/>
      <c r="AJ314" s="1333"/>
      <c r="AK314" s="17"/>
      <c r="AL314" s="17"/>
      <c r="AM314" s="17"/>
      <c r="AN314" s="17"/>
      <c r="AO314" s="17"/>
      <c r="AP314" s="17"/>
      <c r="AQ314" s="17"/>
      <c r="AR314" s="17"/>
      <c r="AS314" s="17"/>
      <c r="AT314" s="17"/>
      <c r="AU314" s="17"/>
      <c r="AV314" s="17"/>
      <c r="AW314" s="17"/>
    </row>
    <row r="315" spans="1:49" s="542" customFormat="1" x14ac:dyDescent="0.25">
      <c r="A315" s="1518" t="str">
        <f>IF(CD50_apply="Yes",IF(COUNTIF('03 - 50% CD'!D315:G315,"Y")&gt;0,"Y",IF(COUNTIF('03 - 50% CD'!D315:G315,"N"),"N","")),"")</f>
        <v>Y</v>
      </c>
      <c r="B315" s="125"/>
      <c r="C315" s="944"/>
      <c r="D315" s="411"/>
      <c r="E315" s="321"/>
      <c r="F315" s="559" t="str">
        <f>IF('C-Design&amp;Const'!$O315="","",'C-Design&amp;Const'!$O315)</f>
        <v>Y</v>
      </c>
      <c r="G315" s="485"/>
      <c r="H315" s="355" t="str">
        <f>CONCATENATE(IF(F315="N","PLACEHOLDER ROW - ",""),'C-Design&amp;Const'!Z315,IF(F315="N","",J315))</f>
        <v>Temperature Control Sequences, Schedules, and Diagrams(Substantially Complete)</v>
      </c>
      <c r="I315" s="137"/>
      <c r="J315" s="578" t="str">
        <f>IF('C-Design&amp;Const'!AH315="","",'C-Design&amp;Const'!AH315)</f>
        <v>(Substantially Complete)</v>
      </c>
      <c r="K315" s="285" t="str">
        <f>IF(CD50_apply="Yes",IF((COUNTIF(D315:G315,"Y")=COUNTIF('03 - 50% CD'!D315:G315,"Y")),"match","no 50% match"),"-")</f>
        <v>match</v>
      </c>
      <c r="L315" s="1410" t="str">
        <f t="shared" si="15"/>
        <v/>
      </c>
      <c r="M315" s="1333"/>
      <c r="N315" s="1333"/>
      <c r="O315" s="1333"/>
      <c r="P315" s="1333"/>
      <c r="Q315" s="1333"/>
      <c r="R315" s="1453"/>
      <c r="S315" s="1284"/>
      <c r="T315" s="1382"/>
      <c r="U315" s="1382"/>
      <c r="V315" s="1333"/>
      <c r="W315" s="1333"/>
      <c r="X315" s="1333"/>
      <c r="Y315" s="1333"/>
      <c r="Z315" s="1333"/>
      <c r="AA315" s="1333"/>
      <c r="AB315" s="1333"/>
      <c r="AC315" s="1333"/>
      <c r="AD315" s="1333"/>
      <c r="AE315" s="1333"/>
      <c r="AF315" s="1333"/>
      <c r="AG315" s="1333"/>
      <c r="AH315" s="1333"/>
      <c r="AI315" s="1333"/>
      <c r="AJ315" s="1333"/>
      <c r="AK315" s="17"/>
      <c r="AL315" s="17"/>
      <c r="AM315" s="17"/>
      <c r="AN315" s="17"/>
      <c r="AO315" s="17"/>
      <c r="AP315" s="17"/>
      <c r="AQ315" s="17"/>
      <c r="AR315" s="17"/>
      <c r="AS315" s="17"/>
      <c r="AT315" s="17"/>
      <c r="AU315" s="17"/>
      <c r="AV315" s="17"/>
      <c r="AW315" s="17"/>
    </row>
    <row r="316" spans="1:49" x14ac:dyDescent="0.25">
      <c r="A316" s="1407" t="str">
        <f>IF(CD50_apply="Yes",IF(COUNTIF('03 - 50% CD'!D316:G316,"Y")&gt;0,"Y",IF(COUNTIF('03 - 50% CD'!D316:G316,"N"),"N","")),"")</f>
        <v>Y</v>
      </c>
      <c r="B316" s="125"/>
      <c r="C316" s="944"/>
      <c r="D316" s="411"/>
      <c r="E316" s="559" t="str">
        <f>IF('C-Design&amp;Const'!$O316="","",'C-Design&amp;Const'!$O316)</f>
        <v>Y</v>
      </c>
      <c r="F316" s="478"/>
      <c r="G316" s="485"/>
      <c r="H316" s="356" t="str">
        <f>CONCATENATE(IF(F316="N","PLACEHOLDER ROW - ",""),'C-Design&amp;Const'!Z316,IF(F316="N","",J316))</f>
        <v>Electrical Drawings (Including Bid Alts.)</v>
      </c>
      <c r="I316" s="146"/>
      <c r="J316" s="578" t="str">
        <f>IF('C-Design&amp;Const'!AH316="","",'C-Design&amp;Const'!AH316)</f>
        <v xml:space="preserve"> (Including Bid Alts.)</v>
      </c>
      <c r="K316" s="285" t="str">
        <f>IF(CD50_apply="Yes",IF((COUNTIF(D316:G316,"Y")=COUNTIF('03 - 50% CD'!D316:G316,"Y")),"match","no 50% match"),"-")</f>
        <v>match</v>
      </c>
      <c r="L316" s="1410" t="str">
        <f t="shared" si="14"/>
        <v/>
      </c>
      <c r="M316" s="1333"/>
      <c r="N316" s="1333"/>
      <c r="O316" s="1333"/>
      <c r="P316" s="1333"/>
      <c r="Q316" s="1333"/>
      <c r="R316" s="1453"/>
      <c r="S316" s="1284"/>
      <c r="T316" s="1382"/>
      <c r="U316" s="1382"/>
      <c r="V316" s="1333"/>
      <c r="W316" s="1333"/>
      <c r="X316" s="1333"/>
      <c r="Y316" s="1333"/>
      <c r="Z316" s="1333"/>
      <c r="AA316" s="1333"/>
      <c r="AB316" s="1333"/>
      <c r="AC316" s="1333"/>
      <c r="AD316" s="1333"/>
      <c r="AE316" s="1333"/>
      <c r="AF316" s="1333"/>
      <c r="AG316" s="1333"/>
      <c r="AH316" s="1333"/>
      <c r="AI316" s="1333"/>
      <c r="AJ316" s="1333"/>
    </row>
    <row r="317" spans="1:49" s="17" customFormat="1" x14ac:dyDescent="0.25">
      <c r="A317" s="1518" t="str">
        <f>IF(CD50_apply="Yes",IF(COUNTIF('03 - 50% CD'!D317:G317,"Y")&gt;0,"Y",IF(COUNTIF('03 - 50% CD'!D317:G317,"N"),"N","")),"")</f>
        <v>N</v>
      </c>
      <c r="B317" s="141"/>
      <c r="C317" s="944"/>
      <c r="D317" s="411"/>
      <c r="E317" s="321"/>
      <c r="F317" s="559" t="str">
        <f>IF('C-Design&amp;Const'!$O317="","",'C-Design&amp;Const'!$O317)</f>
        <v>N</v>
      </c>
      <c r="G317" s="491"/>
      <c r="H317" s="355" t="str">
        <f>CONCATENATE(IF(F317="N","PLACEHOLDER ROW - ",""),'C-Design&amp;Const'!Z317,IF(F317="N","",J317))</f>
        <v xml:space="preserve">PLACEHOLDER ROW - CUSTOM - Electrical  </v>
      </c>
      <c r="I317" s="151"/>
      <c r="J317" s="578" t="str">
        <f>IF('C-Design&amp;Const'!AH317="","",'C-Design&amp;Const'!AH317)</f>
        <v>(Complete)</v>
      </c>
      <c r="K317" s="285" t="str">
        <f>IF(CD50_apply="Yes",IF((COUNTIF(D317:G317,"Y")=COUNTIF('03 - 50% CD'!D317:G317,"Y")),"match","no 50% match"),"-")</f>
        <v>match</v>
      </c>
      <c r="L317" s="1410" t="str">
        <f t="shared" si="14"/>
        <v>&lt;---PM/Planner may hide PLACEHOLDER ROW</v>
      </c>
      <c r="M317" s="1333"/>
      <c r="N317" s="1333"/>
      <c r="O317" s="1333"/>
      <c r="P317" s="1333"/>
      <c r="Q317" s="1333"/>
      <c r="R317" s="1453"/>
      <c r="S317" s="1284"/>
      <c r="T317" s="1382"/>
      <c r="U317" s="1382"/>
      <c r="V317" s="1333"/>
      <c r="W317" s="1333"/>
      <c r="X317" s="1333"/>
      <c r="Y317" s="1333"/>
      <c r="Z317" s="1333"/>
      <c r="AA317" s="1333"/>
      <c r="AB317" s="1333"/>
      <c r="AC317" s="1333"/>
      <c r="AD317" s="1333"/>
      <c r="AE317" s="1333"/>
      <c r="AF317" s="1333"/>
      <c r="AG317" s="1333"/>
      <c r="AH317" s="1333"/>
      <c r="AI317" s="1333"/>
      <c r="AJ317" s="1333"/>
    </row>
    <row r="318" spans="1:49" s="17" customFormat="1" x14ac:dyDescent="0.25">
      <c r="A318" s="1518" t="str">
        <f>IF(CD50_apply="Yes",IF(COUNTIF('03 - 50% CD'!D318:G318,"Y")&gt;0,"Y",IF(COUNTIF('03 - 50% CD'!D318:G318,"N"),"N","")),"")</f>
        <v>N</v>
      </c>
      <c r="B318" s="141"/>
      <c r="C318" s="944"/>
      <c r="D318" s="411"/>
      <c r="E318" s="321"/>
      <c r="F318" s="559" t="str">
        <f>IF('C-Design&amp;Const'!$O318="","",'C-Design&amp;Const'!$O318)</f>
        <v>N</v>
      </c>
      <c r="G318" s="491"/>
      <c r="H318" s="355" t="str">
        <f>CONCATENATE(IF(F318="N","PLACEHOLDER ROW - ",""),'C-Design&amp;Const'!Z318,IF(F318="N","",J318))</f>
        <v xml:space="preserve">PLACEHOLDER ROW - CUSTOM - Electrical  </v>
      </c>
      <c r="I318" s="151"/>
      <c r="J318" s="578" t="str">
        <f>IF('C-Design&amp;Const'!AH318="","",'C-Design&amp;Const'!AH318)</f>
        <v>(Complete)</v>
      </c>
      <c r="K318" s="285" t="str">
        <f>IF(CD50_apply="Yes",IF((COUNTIF(D318:G318,"Y")=COUNTIF('03 - 50% CD'!D318:G318,"Y")),"match","no 50% match"),"-")</f>
        <v>match</v>
      </c>
      <c r="L318" s="1410" t="str">
        <f t="shared" si="14"/>
        <v>&lt;---PM/Planner may hide PLACEHOLDER ROW</v>
      </c>
      <c r="M318" s="1333"/>
      <c r="N318" s="1333"/>
      <c r="O318" s="1333"/>
      <c r="P318" s="1333"/>
      <c r="Q318" s="1333"/>
      <c r="R318" s="1453"/>
      <c r="S318" s="1284"/>
      <c r="T318" s="1382"/>
      <c r="U318" s="1382"/>
      <c r="V318" s="1333"/>
      <c r="W318" s="1333"/>
      <c r="X318" s="1333"/>
      <c r="Y318" s="1333"/>
      <c r="Z318" s="1333"/>
      <c r="AA318" s="1333"/>
      <c r="AB318" s="1333"/>
      <c r="AC318" s="1333"/>
      <c r="AD318" s="1333"/>
      <c r="AE318" s="1333"/>
      <c r="AF318" s="1333"/>
      <c r="AG318" s="1333"/>
      <c r="AH318" s="1333"/>
      <c r="AI318" s="1333"/>
      <c r="AJ318" s="1333"/>
    </row>
    <row r="319" spans="1:49" x14ac:dyDescent="0.25">
      <c r="A319" s="1518" t="str">
        <f>IF(CD50_apply="Yes",IF(COUNTIF('03 - 50% CD'!D319:G319,"Y")&gt;0,"Y",IF(COUNTIF('03 - 50% CD'!D319:G319,"N"),"N","")),"")</f>
        <v>Y</v>
      </c>
      <c r="B319" s="125"/>
      <c r="C319" s="944"/>
      <c r="D319" s="411"/>
      <c r="E319" s="321"/>
      <c r="F319" s="559" t="str">
        <f>IF('C-Design&amp;Const'!$O319="","",'C-Design&amp;Const'!$O319)</f>
        <v>Y</v>
      </c>
      <c r="G319" s="485"/>
      <c r="H319" s="355" t="str">
        <f>CONCATENATE(IF(F319="N","PLACEHOLDER ROW - ",""),'C-Design&amp;Const'!Z319,IF(F319="N","",J319))</f>
        <v>Electrical Symbols, Abbreviations, and General Notes (Complete)</v>
      </c>
      <c r="I319" s="137"/>
      <c r="J319" s="578" t="str">
        <f>IF('C-Design&amp;Const'!AH319="","",'C-Design&amp;Const'!AH319)</f>
        <v>(Complete)</v>
      </c>
      <c r="K319" s="285" t="str">
        <f>IF(CD50_apply="Yes",IF((COUNTIF(D319:G319,"Y")=COUNTIF('03 - 50% CD'!D319:G319,"Y")),"match","no 50% match"),"-")</f>
        <v>match</v>
      </c>
      <c r="L319" s="1410" t="str">
        <f t="shared" si="14"/>
        <v/>
      </c>
      <c r="M319" s="1333"/>
      <c r="N319" s="1333"/>
      <c r="O319" s="1333"/>
      <c r="P319" s="1333"/>
      <c r="Q319" s="1333"/>
      <c r="R319" s="1453"/>
      <c r="S319" s="1284"/>
      <c r="T319" s="1382"/>
      <c r="U319" s="1382"/>
      <c r="V319" s="1333"/>
      <c r="W319" s="1333"/>
      <c r="X319" s="1333"/>
      <c r="Y319" s="1333"/>
      <c r="Z319" s="1333"/>
      <c r="AA319" s="1333"/>
      <c r="AB319" s="1333"/>
      <c r="AC319" s="1333"/>
      <c r="AD319" s="1333"/>
      <c r="AE319" s="1333"/>
      <c r="AF319" s="1333"/>
      <c r="AG319" s="1333"/>
      <c r="AH319" s="1333"/>
      <c r="AI319" s="1333"/>
      <c r="AJ319" s="1333"/>
    </row>
    <row r="320" spans="1:49" s="17" customFormat="1" x14ac:dyDescent="0.25">
      <c r="A320" s="1518" t="str">
        <f>IF(CD50_apply="Yes",IF(COUNTIF('03 - 50% CD'!D320:G320,"Y")&gt;0,"Y",IF(COUNTIF('03 - 50% CD'!D320:G320,"N"),"N","")),"")</f>
        <v>Y</v>
      </c>
      <c r="B320" s="141"/>
      <c r="C320" s="944"/>
      <c r="D320" s="411"/>
      <c r="E320" s="321"/>
      <c r="F320" s="559" t="str">
        <f>IF('C-Design&amp;Const'!$O320="","",'C-Design&amp;Const'!$O320)</f>
        <v>Y</v>
      </c>
      <c r="G320" s="485"/>
      <c r="H320" s="355" t="str">
        <f>CONCATENATE(IF(F320="N","PLACEHOLDER ROW - ",""),'C-Design&amp;Const'!Z320,IF(F320="N","",J320))</f>
        <v>Electrical Demolition(s) (Complete)</v>
      </c>
      <c r="I320" s="151"/>
      <c r="J320" s="578" t="str">
        <f>IF('C-Design&amp;Const'!AH320="","",'C-Design&amp;Const'!AH320)</f>
        <v>(Complete)</v>
      </c>
      <c r="K320" s="285" t="str">
        <f>IF(CD50_apply="Yes",IF((COUNTIF(D320:G320,"Y")=COUNTIF('03 - 50% CD'!D320:G320,"Y")),"match","no 50% match"),"-")</f>
        <v>match</v>
      </c>
      <c r="L320" s="1410" t="str">
        <f>CONCATENATE(IF(ISNUMBER(SEARCH("Placeholder",H320))=TRUE,"&lt;---PM/Planner may hide PLACEHOLDER ROW",""))</f>
        <v/>
      </c>
      <c r="M320" s="1333"/>
      <c r="N320" s="1333"/>
      <c r="O320" s="1333"/>
      <c r="P320" s="1333"/>
      <c r="Q320" s="1333"/>
      <c r="R320" s="1453"/>
      <c r="S320" s="1284"/>
      <c r="T320" s="1382"/>
      <c r="U320" s="1382"/>
      <c r="V320" s="1333"/>
      <c r="W320" s="1333"/>
      <c r="X320" s="1333"/>
      <c r="Y320" s="1333"/>
      <c r="Z320" s="1333"/>
      <c r="AA320" s="1333"/>
      <c r="AB320" s="1333"/>
      <c r="AC320" s="1333"/>
      <c r="AD320" s="1333"/>
      <c r="AE320" s="1333"/>
      <c r="AF320" s="1333"/>
      <c r="AG320" s="1333"/>
      <c r="AH320" s="1333"/>
      <c r="AI320" s="1333"/>
      <c r="AJ320" s="1333"/>
    </row>
    <row r="321" spans="1:49" x14ac:dyDescent="0.25">
      <c r="A321" s="1518" t="str">
        <f>IF(CD50_apply="Yes",IF(COUNTIF('03 - 50% CD'!D321:G321,"Y")&gt;0,"Y",IF(COUNTIF('03 - 50% CD'!D321:G321,"N"),"N","")),"")</f>
        <v>Y</v>
      </c>
      <c r="B321" s="125"/>
      <c r="C321" s="944"/>
      <c r="D321" s="411"/>
      <c r="E321" s="321"/>
      <c r="F321" s="559" t="str">
        <f>IF('C-Design&amp;Const'!$O321="","",'C-Design&amp;Const'!$O321)</f>
        <v>Y</v>
      </c>
      <c r="G321" s="485"/>
      <c r="H321" s="355" t="str">
        <f>CONCATENATE(IF(F321="N","PLACEHOLDER ROW - ",""),'C-Design&amp;Const'!Z321,IF(F321="N","",J321))</f>
        <v>Electrical Floor Plans w/ Devices for Power (Complete)</v>
      </c>
      <c r="I321" s="137"/>
      <c r="J321" s="578" t="str">
        <f>IF('C-Design&amp;Const'!AH321="","",'C-Design&amp;Const'!AH321)</f>
        <v>(Complete)</v>
      </c>
      <c r="K321" s="285" t="str">
        <f>IF(CD50_apply="Yes",IF((COUNTIF(D321:G321,"Y")=COUNTIF('03 - 50% CD'!D321:G321,"Y")),"match","no 50% match"),"-")</f>
        <v>match</v>
      </c>
      <c r="L321" s="1410" t="str">
        <f t="shared" si="14"/>
        <v/>
      </c>
      <c r="M321" s="1333"/>
      <c r="N321" s="1333"/>
      <c r="O321" s="1333"/>
      <c r="P321" s="1333"/>
      <c r="Q321" s="1333"/>
      <c r="R321" s="1453"/>
      <c r="S321" s="1284"/>
      <c r="T321" s="1382"/>
      <c r="U321" s="1382"/>
      <c r="V321" s="1333"/>
      <c r="W321" s="1333"/>
      <c r="X321" s="1333"/>
      <c r="Y321" s="1333"/>
      <c r="Z321" s="1333"/>
      <c r="AA321" s="1333"/>
      <c r="AB321" s="1333"/>
      <c r="AC321" s="1333"/>
      <c r="AD321" s="1333"/>
      <c r="AE321" s="1333"/>
      <c r="AF321" s="1333"/>
      <c r="AG321" s="1333"/>
      <c r="AH321" s="1333"/>
      <c r="AI321" s="1333"/>
      <c r="AJ321" s="1333"/>
    </row>
    <row r="322" spans="1:49" x14ac:dyDescent="0.25">
      <c r="A322" s="1518" t="str">
        <f>IF(CD50_apply="Yes",IF(COUNTIF('03 - 50% CD'!D322:G322,"Y")&gt;0,"Y",IF(COUNTIF('03 - 50% CD'!D322:G322,"N"),"N","")),"")</f>
        <v>Y</v>
      </c>
      <c r="B322" s="125"/>
      <c r="C322" s="944"/>
      <c r="D322" s="411"/>
      <c r="E322" s="321"/>
      <c r="F322" s="559" t="str">
        <f>IF('C-Design&amp;Const'!$O322="","",'C-Design&amp;Const'!$O322)</f>
        <v>Y</v>
      </c>
      <c r="G322" s="485"/>
      <c r="H322" s="355" t="str">
        <f>CONCATENATE(IF(F322="N","PLACEHOLDER ROW - ",""),'C-Design&amp;Const'!Z322,IF(F322="N","",J322))</f>
        <v>Electrical Lighting Plans; Power Plans (Complete)</v>
      </c>
      <c r="I322" s="137"/>
      <c r="J322" s="578" t="str">
        <f>IF('C-Design&amp;Const'!AH322="","",'C-Design&amp;Const'!AH322)</f>
        <v>(Complete)</v>
      </c>
      <c r="K322" s="285" t="str">
        <f>IF(CD50_apply="Yes",IF((COUNTIF(D322:G322,"Y")=COUNTIF('03 - 50% CD'!D322:G322,"Y")),"match","no 50% match"),"-")</f>
        <v>match</v>
      </c>
      <c r="L322" s="1410" t="str">
        <f t="shared" si="14"/>
        <v/>
      </c>
      <c r="M322" s="1333"/>
      <c r="N322" s="1333"/>
      <c r="O322" s="1333"/>
      <c r="P322" s="1333"/>
      <c r="Q322" s="1333"/>
      <c r="R322" s="1453"/>
      <c r="S322" s="1284"/>
      <c r="T322" s="1382"/>
      <c r="U322" s="1382"/>
      <c r="V322" s="1333"/>
      <c r="W322" s="1333"/>
      <c r="X322" s="1333"/>
      <c r="Y322" s="1333"/>
      <c r="Z322" s="1333"/>
      <c r="AA322" s="1333"/>
      <c r="AB322" s="1333"/>
      <c r="AC322" s="1333"/>
      <c r="AD322" s="1333"/>
      <c r="AE322" s="1333"/>
      <c r="AF322" s="1333"/>
      <c r="AG322" s="1333"/>
      <c r="AH322" s="1333"/>
      <c r="AI322" s="1333"/>
      <c r="AJ322" s="1333"/>
    </row>
    <row r="323" spans="1:49" x14ac:dyDescent="0.25">
      <c r="A323" s="1518" t="str">
        <f>IF(CD50_apply="Yes",IF(COUNTIF('03 - 50% CD'!D323:G323,"Y")&gt;0,"Y",IF(COUNTIF('03 - 50% CD'!D323:G323,"N"),"N","")),"")</f>
        <v>Y</v>
      </c>
      <c r="B323" s="125"/>
      <c r="C323" s="944"/>
      <c r="D323" s="411"/>
      <c r="E323" s="321"/>
      <c r="F323" s="559" t="str">
        <f>IF('C-Design&amp;Const'!$O323="","",'C-Design&amp;Const'!$O323)</f>
        <v>Y</v>
      </c>
      <c r="G323" s="485"/>
      <c r="H323" s="355" t="str">
        <f>CONCATENATE(IF(F323="N","PLACEHOLDER ROW - ",""),'C-Design&amp;Const'!Z323,IF(F323="N","",J323))</f>
        <v>Electrical Primary Feed Diagrams (Complete)</v>
      </c>
      <c r="I323" s="137"/>
      <c r="J323" s="578" t="str">
        <f>IF('C-Design&amp;Const'!AH323="","",'C-Design&amp;Const'!AH323)</f>
        <v>(Complete)</v>
      </c>
      <c r="K323" s="285" t="str">
        <f>IF(CD50_apply="Yes",IF((COUNTIF(D323:G323,"Y")=COUNTIF('03 - 50% CD'!D323:G323,"Y")),"match","no 50% match"),"-")</f>
        <v>match</v>
      </c>
      <c r="L323" s="1410" t="str">
        <f t="shared" si="14"/>
        <v/>
      </c>
      <c r="M323" s="1333"/>
      <c r="N323" s="1333"/>
      <c r="O323" s="1333"/>
      <c r="P323" s="1333"/>
      <c r="Q323" s="1333"/>
      <c r="R323" s="1453"/>
      <c r="S323" s="1284"/>
      <c r="T323" s="1382"/>
      <c r="U323" s="1382"/>
      <c r="V323" s="1333"/>
      <c r="W323" s="1333"/>
      <c r="X323" s="1333"/>
      <c r="Y323" s="1333"/>
      <c r="Z323" s="1333"/>
      <c r="AA323" s="1333"/>
      <c r="AB323" s="1333"/>
      <c r="AC323" s="1333"/>
      <c r="AD323" s="1333"/>
      <c r="AE323" s="1333"/>
      <c r="AF323" s="1333"/>
      <c r="AG323" s="1333"/>
      <c r="AH323" s="1333"/>
      <c r="AI323" s="1333"/>
      <c r="AJ323" s="1333"/>
    </row>
    <row r="324" spans="1:49" x14ac:dyDescent="0.25">
      <c r="A324" s="1518" t="str">
        <f>IF(CD50_apply="Yes",IF(COUNTIF('03 - 50% CD'!D324:G324,"Y")&gt;0,"Y",IF(COUNTIF('03 - 50% CD'!D324:G324,"N"),"N","")),"")</f>
        <v>Y</v>
      </c>
      <c r="B324" s="125"/>
      <c r="C324" s="944"/>
      <c r="D324" s="411"/>
      <c r="E324" s="321"/>
      <c r="F324" s="559" t="str">
        <f>IF('C-Design&amp;Const'!$O324="","",'C-Design&amp;Const'!$O324)</f>
        <v>Y</v>
      </c>
      <c r="G324" s="485"/>
      <c r="H324" s="355" t="str">
        <f>CONCATENATE(IF(F324="N","PLACEHOLDER ROW - ",""),'C-Design&amp;Const'!Z324,IF(F324="N","",J324))</f>
        <v>Electrical Feeder Schedule (Substantially Complete)</v>
      </c>
      <c r="I324" s="137"/>
      <c r="J324" s="578" t="str">
        <f>IF('C-Design&amp;Const'!AH324="","",'C-Design&amp;Const'!AH324)</f>
        <v>(Substantially Complete)</v>
      </c>
      <c r="K324" s="285" t="str">
        <f>IF(CD50_apply="Yes",IF((COUNTIF(D324:G324,"Y")=COUNTIF('03 - 50% CD'!D324:G324,"Y")),"match","no 50% match"),"-")</f>
        <v>match</v>
      </c>
      <c r="L324" s="1410" t="str">
        <f t="shared" si="14"/>
        <v/>
      </c>
      <c r="M324" s="1333"/>
      <c r="N324" s="1382"/>
      <c r="O324" s="1333"/>
      <c r="P324" s="1333"/>
      <c r="Q324" s="1333"/>
      <c r="R324" s="1453"/>
      <c r="S324" s="1284"/>
      <c r="T324" s="1382"/>
      <c r="U324" s="1382"/>
      <c r="V324" s="1333"/>
      <c r="W324" s="1333"/>
      <c r="X324" s="1333"/>
      <c r="Y324" s="1333"/>
      <c r="Z324" s="1333"/>
      <c r="AA324" s="1333"/>
      <c r="AB324" s="1333"/>
      <c r="AC324" s="1333"/>
      <c r="AD324" s="1333"/>
      <c r="AE324" s="1333"/>
      <c r="AF324" s="1333"/>
      <c r="AG324" s="1333"/>
      <c r="AH324" s="1333"/>
      <c r="AI324" s="1333"/>
      <c r="AJ324" s="1333"/>
    </row>
    <row r="325" spans="1:49" x14ac:dyDescent="0.25">
      <c r="A325" s="1518" t="str">
        <f>IF(CD50_apply="Yes",IF(COUNTIF('03 - 50% CD'!D325:G325,"Y")&gt;0,"Y",IF(COUNTIF('03 - 50% CD'!D325:G325,"N"),"N","")),"")</f>
        <v>Y</v>
      </c>
      <c r="B325" s="125"/>
      <c r="C325" s="944"/>
      <c r="D325" s="411"/>
      <c r="E325" s="321"/>
      <c r="F325" s="559" t="str">
        <f>IF('C-Design&amp;Const'!$O325="","",'C-Design&amp;Const'!$O325)</f>
        <v>Y</v>
      </c>
      <c r="G325" s="485"/>
      <c r="H325" s="355" t="str">
        <f>CONCATENATE(IF(F325="N","PLACEHOLDER ROW - ",""),'C-Design&amp;Const'!Z325,IF(F325="N","",J325))</f>
        <v>Electrical Secondary Riser Diagrams (Complete)</v>
      </c>
      <c r="I325" s="137"/>
      <c r="J325" s="578" t="str">
        <f>IF('C-Design&amp;Const'!AH325="","",'C-Design&amp;Const'!AH325)</f>
        <v>(Complete)</v>
      </c>
      <c r="K325" s="285" t="str">
        <f>IF(CD50_apply="Yes",IF((COUNTIF(D325:G325,"Y")=COUNTIF('03 - 50% CD'!D325:G325,"Y")),"match","no 50% match"),"-")</f>
        <v>match</v>
      </c>
      <c r="L325" s="1410" t="str">
        <f t="shared" si="14"/>
        <v/>
      </c>
      <c r="M325" s="1333"/>
      <c r="N325" s="1333"/>
      <c r="O325" s="1333"/>
      <c r="P325" s="1333"/>
      <c r="Q325" s="1333"/>
      <c r="R325" s="1284"/>
      <c r="S325" s="1284"/>
      <c r="T325" s="1382"/>
      <c r="U325" s="1382"/>
      <c r="V325" s="1333"/>
      <c r="W325" s="1333"/>
      <c r="X325" s="1333"/>
      <c r="Y325" s="1333"/>
      <c r="Z325" s="1333"/>
      <c r="AA325" s="1333"/>
      <c r="AB325" s="1333"/>
      <c r="AC325" s="1333"/>
      <c r="AD325" s="1333"/>
      <c r="AE325" s="1333"/>
      <c r="AF325" s="1333"/>
      <c r="AG325" s="1333"/>
      <c r="AH325" s="1333"/>
      <c r="AI325" s="1333"/>
      <c r="AJ325" s="1333"/>
    </row>
    <row r="326" spans="1:49" x14ac:dyDescent="0.25">
      <c r="A326" s="1518" t="str">
        <f>IF(CD50_apply="Yes",IF(COUNTIF('03 - 50% CD'!D326:G326,"Y")&gt;0,"Y",IF(COUNTIF('03 - 50% CD'!D326:G326,"N"),"N","")),"")</f>
        <v>Y</v>
      </c>
      <c r="B326" s="125"/>
      <c r="C326" s="944"/>
      <c r="D326" s="411"/>
      <c r="E326" s="321"/>
      <c r="F326" s="559" t="str">
        <f>IF('C-Design&amp;Const'!$O326="","",'C-Design&amp;Const'!$O326)</f>
        <v>Y</v>
      </c>
      <c r="G326" s="485"/>
      <c r="H326" s="355" t="str">
        <f>CONCATENATE(IF(F326="N","PLACEHOLDER ROW - ",""),'C-Design&amp;Const'!Z326,IF(F326="N","",J326))</f>
        <v>Electrical Power Distribution Schedule (Complete)</v>
      </c>
      <c r="I326" s="137"/>
      <c r="J326" s="578" t="str">
        <f>IF('C-Design&amp;Const'!AH326="","",'C-Design&amp;Const'!AH326)</f>
        <v>(Complete)</v>
      </c>
      <c r="K326" s="285" t="str">
        <f>IF(CD50_apply="Yes",IF((COUNTIF(D326:G326,"Y")=COUNTIF('03 - 50% CD'!D326:G326,"Y")),"match","no 50% match"),"-")</f>
        <v>match</v>
      </c>
      <c r="L326" s="1410" t="str">
        <f t="shared" si="14"/>
        <v/>
      </c>
      <c r="M326" s="1333"/>
      <c r="N326" s="1333"/>
      <c r="O326" s="1333"/>
      <c r="P326" s="1333"/>
      <c r="Q326" s="1333"/>
      <c r="R326" s="1453"/>
      <c r="S326" s="1284"/>
      <c r="T326" s="1382"/>
      <c r="U326" s="1382"/>
      <c r="V326" s="1333"/>
      <c r="W326" s="1333"/>
      <c r="X326" s="1333"/>
      <c r="Y326" s="1333"/>
      <c r="Z326" s="1333"/>
      <c r="AA326" s="1333"/>
      <c r="AB326" s="1333"/>
      <c r="AC326" s="1333"/>
      <c r="AD326" s="1333"/>
      <c r="AE326" s="1333"/>
      <c r="AF326" s="1333"/>
      <c r="AG326" s="1333"/>
      <c r="AH326" s="1333"/>
      <c r="AI326" s="1333"/>
      <c r="AJ326" s="1333"/>
    </row>
    <row r="327" spans="1:49" x14ac:dyDescent="0.25">
      <c r="A327" s="1518" t="str">
        <f>IF(CD50_apply="Yes",IF(COUNTIF('03 - 50% CD'!D327:G327,"Y")&gt;0,"Y",IF(COUNTIF('03 - 50% CD'!D327:G327,"N"),"N","")),"")</f>
        <v>Y</v>
      </c>
      <c r="B327" s="125"/>
      <c r="C327" s="944"/>
      <c r="D327" s="411"/>
      <c r="E327" s="321"/>
      <c r="F327" s="559" t="str">
        <f>IF('C-Design&amp;Const'!$O327="","",'C-Design&amp;Const'!$O327)</f>
        <v>Y</v>
      </c>
      <c r="G327" s="485"/>
      <c r="H327" s="355" t="str">
        <f>CONCATENATE(IF(F327="N","PLACEHOLDER ROW - ",""),'C-Design&amp;Const'!Z327,IF(F327="N","",J327))</f>
        <v>Electrical Grounding Riser Diagram (Complete)</v>
      </c>
      <c r="I327" s="137"/>
      <c r="J327" s="578" t="str">
        <f>IF('C-Design&amp;Const'!AH327="","",'C-Design&amp;Const'!AH327)</f>
        <v>(Complete)</v>
      </c>
      <c r="K327" s="285" t="str">
        <f>IF(CD50_apply="Yes",IF((COUNTIF(D327:G327,"Y")=COUNTIF('03 - 50% CD'!D327:G327,"Y")),"match","no 50% match"),"-")</f>
        <v>match</v>
      </c>
      <c r="L327" s="1410" t="str">
        <f t="shared" si="14"/>
        <v/>
      </c>
      <c r="M327" s="1333"/>
      <c r="N327" s="1333"/>
      <c r="O327" s="1333"/>
      <c r="P327" s="1333"/>
      <c r="Q327" s="1333"/>
      <c r="R327" s="1453"/>
      <c r="S327" s="1284"/>
      <c r="T327" s="1382"/>
      <c r="U327" s="1382"/>
      <c r="V327" s="1333"/>
      <c r="W327" s="1333"/>
      <c r="X327" s="1333"/>
      <c r="Y327" s="1333"/>
      <c r="Z327" s="1333"/>
      <c r="AA327" s="1333"/>
      <c r="AB327" s="1333"/>
      <c r="AC327" s="1333"/>
      <c r="AD327" s="1333"/>
      <c r="AE327" s="1333"/>
      <c r="AF327" s="1333"/>
      <c r="AG327" s="1333"/>
      <c r="AH327" s="1333"/>
      <c r="AI327" s="1333"/>
      <c r="AJ327" s="1333"/>
    </row>
    <row r="328" spans="1:49" x14ac:dyDescent="0.25">
      <c r="A328" s="1518" t="str">
        <f>IF(CD50_apply="Yes",IF(COUNTIF('03 - 50% CD'!D328:G328,"Y")&gt;0,"Y",IF(COUNTIF('03 - 50% CD'!D328:G328,"N"),"N","")),"")</f>
        <v>Y</v>
      </c>
      <c r="B328" s="125"/>
      <c r="C328" s="944"/>
      <c r="D328" s="411"/>
      <c r="E328" s="321"/>
      <c r="F328" s="559" t="str">
        <f>IF('C-Design&amp;Const'!$O328="","",'C-Design&amp;Const'!$O328)</f>
        <v>Y</v>
      </c>
      <c r="G328" s="485"/>
      <c r="H328" s="355" t="str">
        <f>CONCATENATE(IF(F328="N","PLACEHOLDER ROW - ",""),'C-Design&amp;Const'!Z328,IF(F328="N","",J328))</f>
        <v>Electrical Details (Complete)</v>
      </c>
      <c r="I328" s="137"/>
      <c r="J328" s="578" t="str">
        <f>IF('C-Design&amp;Const'!AH328="","",'C-Design&amp;Const'!AH328)</f>
        <v>(Complete)</v>
      </c>
      <c r="K328" s="285" t="str">
        <f>IF(CD50_apply="Yes",IF((COUNTIF(D328:G328,"Y")=COUNTIF('03 - 50% CD'!D328:G328,"Y")),"match","no 50% match"),"-")</f>
        <v>match</v>
      </c>
      <c r="L328" s="1410" t="str">
        <f t="shared" ref="L328:L401" si="16">CONCATENATE(IF(ISNUMBER(SEARCH("Placeholder",H328))=TRUE,"&lt;---PM/Planner may hide PLACEHOLDER ROW",""))</f>
        <v/>
      </c>
      <c r="M328" s="1333"/>
      <c r="N328" s="1333"/>
      <c r="O328" s="1333"/>
      <c r="P328" s="1333"/>
      <c r="Q328" s="1333"/>
      <c r="R328" s="1284"/>
      <c r="S328" s="1284"/>
      <c r="T328" s="1382"/>
      <c r="U328" s="1382"/>
      <c r="V328" s="1333"/>
      <c r="W328" s="1333"/>
      <c r="X328" s="1333"/>
      <c r="Y328" s="1333"/>
      <c r="Z328" s="1333"/>
      <c r="AA328" s="1333"/>
      <c r="AB328" s="1333"/>
      <c r="AC328" s="1333"/>
      <c r="AD328" s="1333"/>
      <c r="AE328" s="1333"/>
      <c r="AF328" s="1333"/>
      <c r="AG328" s="1333"/>
      <c r="AH328" s="1333"/>
      <c r="AI328" s="1333"/>
      <c r="AJ328" s="1333"/>
    </row>
    <row r="329" spans="1:49" x14ac:dyDescent="0.25">
      <c r="A329" s="1518" t="str">
        <f>IF(CD50_apply="Yes",IF(COUNTIF('03 - 50% CD'!D329:G329,"Y")&gt;0,"Y",IF(COUNTIF('03 - 50% CD'!D329:G329,"N"),"N","")),"")</f>
        <v>Y</v>
      </c>
      <c r="B329" s="125"/>
      <c r="C329" s="944"/>
      <c r="D329" s="411"/>
      <c r="E329" s="321"/>
      <c r="F329" s="559" t="str">
        <f>IF('C-Design&amp;Const'!$O329="","",'C-Design&amp;Const'!$O329)</f>
        <v>Y</v>
      </c>
      <c r="G329" s="485"/>
      <c r="H329" s="355" t="str">
        <f>CONCATENATE(IF(F329="N","PLACEHOLDER ROW - ",""),'C-Design&amp;Const'!Z329,IF(F329="N","",J329))</f>
        <v>Electrical Fixture Schedule and Equipment (Complete)</v>
      </c>
      <c r="I329" s="137"/>
      <c r="J329" s="578" t="str">
        <f>IF('C-Design&amp;Const'!AH329="","",'C-Design&amp;Const'!AH329)</f>
        <v>(Complete)</v>
      </c>
      <c r="K329" s="285" t="str">
        <f>IF(CD50_apply="Yes",IF((COUNTIF(D329:G329,"Y")=COUNTIF('03 - 50% CD'!D329:G329,"Y")),"match","no 50% match"),"-")</f>
        <v>match</v>
      </c>
      <c r="L329" s="1410" t="str">
        <f t="shared" si="16"/>
        <v/>
      </c>
      <c r="M329" s="1333"/>
      <c r="N329" s="1333"/>
      <c r="O329" s="1333"/>
      <c r="P329" s="1333"/>
      <c r="Q329" s="1333"/>
      <c r="R329" s="1453"/>
      <c r="S329" s="1284"/>
      <c r="T329" s="1382"/>
      <c r="U329" s="1382"/>
      <c r="V329" s="1333"/>
      <c r="W329" s="1333"/>
      <c r="X329" s="1333"/>
      <c r="Y329" s="1333"/>
      <c r="Z329" s="1333"/>
      <c r="AA329" s="1333"/>
      <c r="AB329" s="1333"/>
      <c r="AC329" s="1333"/>
      <c r="AD329" s="1333"/>
      <c r="AE329" s="1333"/>
      <c r="AF329" s="1333"/>
      <c r="AG329" s="1333"/>
      <c r="AH329" s="1333"/>
      <c r="AI329" s="1333"/>
      <c r="AJ329" s="1333"/>
    </row>
    <row r="330" spans="1:49" x14ac:dyDescent="0.25">
      <c r="A330" s="1518" t="str">
        <f>IF(CD50_apply="Yes",IF(COUNTIF('03 - 50% CD'!D330:G330,"Y")&gt;0,"Y",IF(COUNTIF('03 - 50% CD'!D330:G330,"N"),"N","")),"")</f>
        <v>Y</v>
      </c>
      <c r="B330" s="125"/>
      <c r="C330" s="944"/>
      <c r="D330" s="411"/>
      <c r="E330" s="321"/>
      <c r="F330" s="559" t="str">
        <f>IF('C-Design&amp;Const'!$O330="","",'C-Design&amp;Const'!$O330)</f>
        <v>Y</v>
      </c>
      <c r="G330" s="485"/>
      <c r="H330" s="355" t="str">
        <f>CONCATENATE(IF(F330="N","PLACEHOLDER ROW - ",""),'C-Design&amp;Const'!Z330,IF(F330="N","",J330))</f>
        <v>Electrical Lightning Protection Sections / Diagrams(Complete)</v>
      </c>
      <c r="I330" s="137"/>
      <c r="J330" s="578" t="str">
        <f>IF('C-Design&amp;Const'!AH330="","",'C-Design&amp;Const'!AH330)</f>
        <v>(Complete)</v>
      </c>
      <c r="K330" s="285" t="str">
        <f>IF(CD50_apply="Yes",IF((COUNTIF(D330:G330,"Y")=COUNTIF('03 - 50% CD'!D330:G330,"Y")),"match","no 50% match"),"-")</f>
        <v>match</v>
      </c>
      <c r="L330" s="1410" t="str">
        <f t="shared" si="16"/>
        <v/>
      </c>
      <c r="M330" s="1333"/>
      <c r="N330" s="1333"/>
      <c r="O330" s="1333"/>
      <c r="P330" s="1333"/>
      <c r="Q330" s="1333"/>
      <c r="R330" s="1453"/>
      <c r="S330" s="1284"/>
      <c r="T330" s="1382"/>
      <c r="U330" s="1382"/>
      <c r="V330" s="1333"/>
      <c r="W330" s="1333"/>
      <c r="X330" s="1333"/>
      <c r="Y330" s="1333"/>
      <c r="Z330" s="1333"/>
      <c r="AA330" s="1333"/>
      <c r="AB330" s="1333"/>
      <c r="AC330" s="1333"/>
      <c r="AD330" s="1333"/>
      <c r="AE330" s="1333"/>
      <c r="AF330" s="1333"/>
      <c r="AG330" s="1333"/>
      <c r="AH330" s="1333"/>
      <c r="AI330" s="1333"/>
      <c r="AJ330" s="1333"/>
    </row>
    <row r="331" spans="1:49" s="30" customFormat="1" ht="15" customHeight="1" x14ac:dyDescent="0.25">
      <c r="A331" s="1518" t="str">
        <f>IF(CD50_apply="Yes",IF(COUNTIF('03 - 50% CD'!D331:G331,"Y")&gt;0,"Y",IF(COUNTIF('03 - 50% CD'!D331:G331,"N"),"N","")),"")</f>
        <v>Y</v>
      </c>
      <c r="B331" s="191"/>
      <c r="C331" s="944"/>
      <c r="D331" s="463"/>
      <c r="E331" s="463"/>
      <c r="F331" s="359" t="str">
        <f>IF('C-Design&amp;Const'!$O331="","",'C-Design&amp;Const'!$O331)</f>
        <v>Y</v>
      </c>
      <c r="G331" s="291"/>
      <c r="H331" s="341" t="str">
        <f>CONCATENATE(IF(F331="N","PLACEHOLDER ROW - ",""),'C-Design&amp;Const'!Z331,IF(F331="N","",J331))</f>
        <v>Electrical Lightning Protection Details (Complete)</v>
      </c>
      <c r="I331" s="184"/>
      <c r="J331" s="578" t="str">
        <f>IF('C-Design&amp;Const'!AH331="","",'C-Design&amp;Const'!AH331)</f>
        <v>(Complete)</v>
      </c>
      <c r="K331" s="285" t="str">
        <f>IF(CD50_apply="Yes",IF((COUNTIF(D331:G331,"Y")=COUNTIF('03 - 50% CD'!D331:G331,"Y")),"match","no 50% match"),"-")</f>
        <v>match</v>
      </c>
      <c r="L331" s="1410" t="str">
        <f t="shared" si="16"/>
        <v/>
      </c>
      <c r="M331" s="1382"/>
      <c r="N331" s="1333"/>
      <c r="O331" s="1382"/>
      <c r="P331" s="1382"/>
      <c r="Q331" s="1382"/>
      <c r="R331" s="1382"/>
      <c r="S331" s="1284"/>
      <c r="T331" s="1382"/>
      <c r="U331" s="1382"/>
      <c r="V331" s="1382"/>
      <c r="W331" s="1382"/>
      <c r="X331" s="1382"/>
      <c r="Y331" s="1382"/>
      <c r="Z331" s="1382"/>
      <c r="AA331" s="1382"/>
      <c r="AB331" s="1382"/>
      <c r="AC331" s="1382"/>
      <c r="AD331" s="1382"/>
      <c r="AE331" s="1382"/>
      <c r="AF331" s="1382"/>
      <c r="AG331" s="1382"/>
      <c r="AH331" s="1382"/>
      <c r="AI331" s="1382"/>
      <c r="AJ331" s="1382"/>
      <c r="AK331" s="181"/>
      <c r="AL331" s="181"/>
      <c r="AM331" s="181"/>
      <c r="AN331" s="181"/>
      <c r="AO331" s="181"/>
      <c r="AP331" s="181"/>
      <c r="AQ331" s="181"/>
      <c r="AR331" s="181"/>
      <c r="AS331" s="181"/>
      <c r="AT331" s="181"/>
      <c r="AU331" s="181"/>
      <c r="AV331" s="181"/>
      <c r="AW331" s="181"/>
    </row>
    <row r="332" spans="1:49" x14ac:dyDescent="0.25">
      <c r="A332" s="1407" t="str">
        <f>IF(CD50_apply="Yes",IF(COUNTIF('03 - 50% CD'!D332:G332,"Y")&gt;0,"Y",IF(COUNTIF('03 - 50% CD'!D332:G332,"N"),"N","")),"")</f>
        <v>Y</v>
      </c>
      <c r="B332" s="125"/>
      <c r="C332" s="944"/>
      <c r="D332" s="321"/>
      <c r="E332" s="559" t="str">
        <f>IF('C-Design&amp;Const'!$O332="","",'C-Design&amp;Const'!$O332)</f>
        <v>Y</v>
      </c>
      <c r="F332" s="478"/>
      <c r="G332" s="485"/>
      <c r="H332" s="356" t="str">
        <f>CONCATENATE(IF(F332="N","PLACEHOLDER ROW - ",""),'C-Design&amp;Const'!Z332,IF(F332="N","",J332))</f>
        <v>Fire Alarm Drawings (Including Bid Alts.)</v>
      </c>
      <c r="I332" s="146"/>
      <c r="J332" s="578" t="str">
        <f>IF('C-Design&amp;Const'!AH332="","",'C-Design&amp;Const'!AH332)</f>
        <v xml:space="preserve"> (Including Bid Alts.)</v>
      </c>
      <c r="K332" s="285" t="str">
        <f>IF(CD50_apply="Yes",IF((COUNTIF(D332:G332,"Y")=COUNTIF('03 - 50% CD'!D332:G332,"Y")),"match","no 50% match"),"-")</f>
        <v>match</v>
      </c>
      <c r="L332" s="1410" t="str">
        <f t="shared" si="16"/>
        <v/>
      </c>
      <c r="M332" s="1333"/>
      <c r="N332" s="1333"/>
      <c r="O332" s="1333"/>
      <c r="P332" s="1333"/>
      <c r="Q332" s="1333"/>
      <c r="R332" s="1453"/>
      <c r="S332" s="1284"/>
      <c r="T332" s="1382"/>
      <c r="U332" s="1382"/>
      <c r="V332" s="1333"/>
      <c r="W332" s="1333"/>
      <c r="X332" s="1333"/>
      <c r="Y332" s="1333"/>
      <c r="Z332" s="1333"/>
      <c r="AA332" s="1333"/>
      <c r="AB332" s="1333"/>
      <c r="AC332" s="1333"/>
      <c r="AD332" s="1333"/>
      <c r="AE332" s="1333"/>
      <c r="AF332" s="1333"/>
      <c r="AG332" s="1333"/>
      <c r="AH332" s="1333"/>
      <c r="AI332" s="1333"/>
      <c r="AJ332" s="1333"/>
    </row>
    <row r="333" spans="1:49" s="17" customFormat="1" x14ac:dyDescent="0.25">
      <c r="A333" s="1518" t="str">
        <f>IF(CD50_apply="Yes",IF(COUNTIF('03 - 50% CD'!D333:G333,"Y")&gt;0,"Y",IF(COUNTIF('03 - 50% CD'!D333:G333,"N"),"N","")),"")</f>
        <v>N</v>
      </c>
      <c r="B333" s="141"/>
      <c r="C333" s="944"/>
      <c r="D333" s="411"/>
      <c r="E333" s="321"/>
      <c r="F333" s="559" t="str">
        <f>IF('C-Design&amp;Const'!$O333="","",'C-Design&amp;Const'!$O333)</f>
        <v>N</v>
      </c>
      <c r="G333" s="491"/>
      <c r="H333" s="355" t="str">
        <f>CONCATENATE(IF(F333="N","PLACEHOLDER ROW - ",""),'C-Design&amp;Const'!Z333,IF(F333="N","",J333))</f>
        <v xml:space="preserve">PLACEHOLDER ROW - CUSTOM - Fire Alarm  </v>
      </c>
      <c r="I333" s="151"/>
      <c r="J333" s="578" t="str">
        <f>IF('C-Design&amp;Const'!AH333="","",'C-Design&amp;Const'!AH333)</f>
        <v>(Complete)</v>
      </c>
      <c r="K333" s="285" t="str">
        <f>IF(CD50_apply="Yes",IF((COUNTIF(D333:G333,"Y")=COUNTIF('03 - 50% CD'!D333:G333,"Y")),"match","no 50% match"),"-")</f>
        <v>match</v>
      </c>
      <c r="L333" s="1410" t="str">
        <f t="shared" si="16"/>
        <v>&lt;---PM/Planner may hide PLACEHOLDER ROW</v>
      </c>
      <c r="M333" s="1333"/>
      <c r="N333" s="1333"/>
      <c r="O333" s="1333"/>
      <c r="P333" s="1333"/>
      <c r="Q333" s="1333"/>
      <c r="R333" s="1453"/>
      <c r="S333" s="1284"/>
      <c r="T333" s="1382"/>
      <c r="U333" s="1382"/>
      <c r="V333" s="1333"/>
      <c r="W333" s="1333"/>
      <c r="X333" s="1333"/>
      <c r="Y333" s="1333"/>
      <c r="Z333" s="1333"/>
      <c r="AA333" s="1333"/>
      <c r="AB333" s="1333"/>
      <c r="AC333" s="1333"/>
      <c r="AD333" s="1333"/>
      <c r="AE333" s="1333"/>
      <c r="AF333" s="1333"/>
      <c r="AG333" s="1333"/>
      <c r="AH333" s="1333"/>
      <c r="AI333" s="1333"/>
      <c r="AJ333" s="1333"/>
    </row>
    <row r="334" spans="1:49" s="17" customFormat="1" x14ac:dyDescent="0.25">
      <c r="A334" s="1518" t="str">
        <f>IF(CD50_apply="Yes",IF(COUNTIF('03 - 50% CD'!D334:G334,"Y")&gt;0,"Y",IF(COUNTIF('03 - 50% CD'!D334:G334,"N"),"N","")),"")</f>
        <v>N</v>
      </c>
      <c r="B334" s="141"/>
      <c r="C334" s="944"/>
      <c r="D334" s="411"/>
      <c r="E334" s="321"/>
      <c r="F334" s="559" t="str">
        <f>IF('C-Design&amp;Const'!$O334="","",'C-Design&amp;Const'!$O334)</f>
        <v>N</v>
      </c>
      <c r="G334" s="491"/>
      <c r="H334" s="355" t="str">
        <f>CONCATENATE(IF(F334="N","PLACEHOLDER ROW - ",""),'C-Design&amp;Const'!Z334,IF(F334="N","",J334))</f>
        <v xml:space="preserve">PLACEHOLDER ROW - CUSTOM - Fire Alarm  </v>
      </c>
      <c r="I334" s="151"/>
      <c r="J334" s="578" t="str">
        <f>IF('C-Design&amp;Const'!AH334="","",'C-Design&amp;Const'!AH334)</f>
        <v>(Complete)</v>
      </c>
      <c r="K334" s="285" t="str">
        <f>IF(CD50_apply="Yes",IF((COUNTIF(D334:G334,"Y")=COUNTIF('03 - 50% CD'!D334:G334,"Y")),"match","no 50% match"),"-")</f>
        <v>match</v>
      </c>
      <c r="L334" s="1410" t="str">
        <f t="shared" si="16"/>
        <v>&lt;---PM/Planner may hide PLACEHOLDER ROW</v>
      </c>
      <c r="M334" s="1333"/>
      <c r="N334" s="1333"/>
      <c r="O334" s="1333"/>
      <c r="P334" s="1333"/>
      <c r="Q334" s="1333"/>
      <c r="R334" s="1453"/>
      <c r="S334" s="1284"/>
      <c r="T334" s="1382"/>
      <c r="U334" s="1382"/>
      <c r="V334" s="1333"/>
      <c r="W334" s="1333"/>
      <c r="X334" s="1333"/>
      <c r="Y334" s="1333"/>
      <c r="Z334" s="1333"/>
      <c r="AA334" s="1333"/>
      <c r="AB334" s="1333"/>
      <c r="AC334" s="1333"/>
      <c r="AD334" s="1333"/>
      <c r="AE334" s="1333"/>
      <c r="AF334" s="1333"/>
      <c r="AG334" s="1333"/>
      <c r="AH334" s="1333"/>
      <c r="AI334" s="1333"/>
      <c r="AJ334" s="1333"/>
    </row>
    <row r="335" spans="1:49" s="17" customFormat="1" x14ac:dyDescent="0.25">
      <c r="A335" s="1518" t="str">
        <f>IF(CD50_apply="Yes",IF(COUNTIF('03 - 50% CD'!D335:G335,"Y")&gt;0,"Y",IF(COUNTIF('03 - 50% CD'!D335:G335,"N"),"N","")),"")</f>
        <v>Y</v>
      </c>
      <c r="B335" s="141"/>
      <c r="C335" s="944"/>
      <c r="D335" s="411"/>
      <c r="E335" s="321"/>
      <c r="F335" s="559" t="str">
        <f>IF('C-Design&amp;Const'!$O335="","",'C-Design&amp;Const'!$O335)</f>
        <v>Y</v>
      </c>
      <c r="G335" s="485"/>
      <c r="H335" s="355" t="str">
        <f>CONCATENATE(IF(F335="N","PLACEHOLDER ROW - ",""),'C-Design&amp;Const'!Z335,IF(F335="N","",J335))</f>
        <v>Fire Alarm Symbols, Abbreviations, and General Notes (Complete)</v>
      </c>
      <c r="I335" s="151"/>
      <c r="J335" s="578" t="str">
        <f>IF('C-Design&amp;Const'!AH335="","",'C-Design&amp;Const'!AH335)</f>
        <v>(Complete)</v>
      </c>
      <c r="K335" s="285" t="str">
        <f>IF(CD50_apply="Yes",IF((COUNTIF(D335:G335,"Y")=COUNTIF('03 - 50% CD'!D335:G335,"Y")),"match","no 50% match"),"-")</f>
        <v>match</v>
      </c>
      <c r="L335" s="1410" t="str">
        <f>CONCATENATE(IF(ISNUMBER(SEARCH("Placeholder",H335))=TRUE,"&lt;---PM/Planner may hide PLACEHOLDER ROW",""))</f>
        <v/>
      </c>
      <c r="M335" s="1333"/>
      <c r="N335" s="1333"/>
      <c r="O335" s="1333"/>
      <c r="P335" s="1333"/>
      <c r="Q335" s="1333"/>
      <c r="R335" s="1453"/>
      <c r="S335" s="1284"/>
      <c r="T335" s="1382"/>
      <c r="U335" s="1382"/>
      <c r="V335" s="1333"/>
      <c r="W335" s="1333"/>
      <c r="X335" s="1333"/>
      <c r="Y335" s="1333"/>
      <c r="Z335" s="1333"/>
      <c r="AA335" s="1333"/>
      <c r="AB335" s="1333"/>
      <c r="AC335" s="1333"/>
      <c r="AD335" s="1333"/>
      <c r="AE335" s="1333"/>
      <c r="AF335" s="1333"/>
      <c r="AG335" s="1333"/>
      <c r="AH335" s="1333"/>
      <c r="AI335" s="1333"/>
      <c r="AJ335" s="1333"/>
    </row>
    <row r="336" spans="1:49" s="17" customFormat="1" x14ac:dyDescent="0.25">
      <c r="A336" s="1518" t="str">
        <f>IF(CD50_apply="Yes",IF(COUNTIF('03 - 50% CD'!D336:G336,"Y")&gt;0,"Y",IF(COUNTIF('03 - 50% CD'!D336:G336,"N"),"N","")),"")</f>
        <v>Y</v>
      </c>
      <c r="B336" s="141"/>
      <c r="C336" s="944"/>
      <c r="D336" s="411"/>
      <c r="E336" s="321"/>
      <c r="F336" s="559" t="str">
        <f>IF('C-Design&amp;Const'!$O336="","",'C-Design&amp;Const'!$O336)</f>
        <v>Y</v>
      </c>
      <c r="G336" s="485"/>
      <c r="H336" s="355" t="str">
        <f>CONCATENATE(IF(F336="N","PLACEHOLDER ROW - ",""),'C-Design&amp;Const'!Z336,IF(F336="N","",J336))</f>
        <v>Fire Alarm Demolition(s) (Complete)</v>
      </c>
      <c r="I336" s="151"/>
      <c r="J336" s="578" t="str">
        <f>IF('C-Design&amp;Const'!AH336="","",'C-Design&amp;Const'!AH336)</f>
        <v>(Complete)</v>
      </c>
      <c r="K336" s="285" t="str">
        <f>IF(CD50_apply="Yes",IF((COUNTIF(D336:G336,"Y")=COUNTIF('03 - 50% CD'!D336:G336,"Y")),"match","no 50% match"),"-")</f>
        <v>match</v>
      </c>
      <c r="L336" s="1410" t="str">
        <f>CONCATENATE(IF(ISNUMBER(SEARCH("Placeholder",H336))=TRUE,"&lt;---PM/Planner may hide PLACEHOLDER ROW",""))</f>
        <v/>
      </c>
      <c r="M336" s="1333"/>
      <c r="N336" s="1333"/>
      <c r="O336" s="1333"/>
      <c r="P336" s="1333"/>
      <c r="Q336" s="1333"/>
      <c r="R336" s="1453"/>
      <c r="S336" s="1284"/>
      <c r="T336" s="1382"/>
      <c r="U336" s="1382"/>
      <c r="V336" s="1333"/>
      <c r="W336" s="1333"/>
      <c r="X336" s="1333"/>
      <c r="Y336" s="1333"/>
      <c r="Z336" s="1333"/>
      <c r="AA336" s="1333"/>
      <c r="AB336" s="1333"/>
      <c r="AC336" s="1333"/>
      <c r="AD336" s="1333"/>
      <c r="AE336" s="1333"/>
      <c r="AF336" s="1333"/>
      <c r="AG336" s="1333"/>
      <c r="AH336" s="1333"/>
      <c r="AI336" s="1333"/>
      <c r="AJ336" s="1333"/>
    </row>
    <row r="337" spans="1:49" x14ac:dyDescent="0.25">
      <c r="A337" s="1518" t="str">
        <f>IF(CD50_apply="Yes",IF(COUNTIF('03 - 50% CD'!D337:G337,"Y")&gt;0,"Y",IF(COUNTIF('03 - 50% CD'!D337:G337,"N"),"N","")),"")</f>
        <v>Y</v>
      </c>
      <c r="B337" s="125"/>
      <c r="C337" s="944"/>
      <c r="D337" s="411"/>
      <c r="E337" s="321"/>
      <c r="F337" s="559" t="str">
        <f>IF('C-Design&amp;Const'!$O337="","",'C-Design&amp;Const'!$O337)</f>
        <v>Y</v>
      </c>
      <c r="G337" s="485"/>
      <c r="H337" s="355" t="str">
        <f>CONCATENATE(IF(F337="N","PLACEHOLDER ROW - ",""),'C-Design&amp;Const'!Z337,IF(F337="N","",J337))</f>
        <v>Fire Alarm Floor Plans (Complete)</v>
      </c>
      <c r="I337" s="137"/>
      <c r="J337" s="578" t="str">
        <f>IF('C-Design&amp;Const'!AH337="","",'C-Design&amp;Const'!AH337)</f>
        <v>(Complete)</v>
      </c>
      <c r="K337" s="285" t="str">
        <f>IF(CD50_apply="Yes",IF((COUNTIF(D337:G337,"Y")=COUNTIF('03 - 50% CD'!D337:G337,"Y")),"match","no 50% match"),"-")</f>
        <v>match</v>
      </c>
      <c r="L337" s="1410" t="str">
        <f>CONCATENATE(IF(ISNUMBER(SEARCH("Placeholder",H337))=TRUE,"&lt;---PM/Planner may hide PLACEHOLDER ROW",""))</f>
        <v/>
      </c>
      <c r="M337" s="1333"/>
      <c r="N337" s="1333"/>
      <c r="O337" s="1333"/>
      <c r="P337" s="1333"/>
      <c r="Q337" s="1333"/>
      <c r="R337" s="1453"/>
      <c r="S337" s="1284"/>
      <c r="T337" s="1382"/>
      <c r="U337" s="1382"/>
      <c r="V337" s="1333"/>
      <c r="W337" s="1333"/>
      <c r="X337" s="1333"/>
      <c r="Y337" s="1333"/>
      <c r="Z337" s="1333"/>
      <c r="AA337" s="1333"/>
      <c r="AB337" s="1333"/>
      <c r="AC337" s="1333"/>
      <c r="AD337" s="1333"/>
      <c r="AE337" s="1333"/>
      <c r="AF337" s="1333"/>
      <c r="AG337" s="1333"/>
      <c r="AH337" s="1333"/>
      <c r="AI337" s="1333"/>
      <c r="AJ337" s="1333"/>
    </row>
    <row r="338" spans="1:49" x14ac:dyDescent="0.25">
      <c r="A338" s="1518" t="str">
        <f>IF(CD50_apply="Yes",IF(COUNTIF('03 - 50% CD'!D338:G338,"Y")&gt;0,"Y",IF(COUNTIF('03 - 50% CD'!D338:G338,"N"),"N","")),"")</f>
        <v>Y</v>
      </c>
      <c r="B338" s="125"/>
      <c r="C338" s="944"/>
      <c r="D338" s="411"/>
      <c r="E338" s="321"/>
      <c r="F338" s="559" t="str">
        <f>IF('C-Design&amp;Const'!$O338="","",'C-Design&amp;Const'!$O338)</f>
        <v>Y</v>
      </c>
      <c r="G338" s="485"/>
      <c r="H338" s="355" t="str">
        <f>CONCATENATE(IF(F338="N","PLACEHOLDER ROW - ",""),'C-Design&amp;Const'!Z338,IF(F338="N","",J338))</f>
        <v>Fire Alarm Riser Diagrams and Connections (Complete)</v>
      </c>
      <c r="I338" s="137"/>
      <c r="J338" s="578" t="str">
        <f>IF('C-Design&amp;Const'!AH338="","",'C-Design&amp;Const'!AH338)</f>
        <v>(Complete)</v>
      </c>
      <c r="K338" s="285" t="str">
        <f>IF(CD50_apply="Yes",IF((COUNTIF(D338:G338,"Y")=COUNTIF('03 - 50% CD'!D338:G338,"Y")),"match","no 50% match"),"-")</f>
        <v>match</v>
      </c>
      <c r="L338" s="1410" t="str">
        <f t="shared" si="16"/>
        <v/>
      </c>
      <c r="M338" s="1333"/>
      <c r="N338" s="1382"/>
      <c r="O338" s="1333"/>
      <c r="P338" s="1333"/>
      <c r="Q338" s="1333"/>
      <c r="R338" s="1453"/>
      <c r="S338" s="1284"/>
      <c r="T338" s="1382"/>
      <c r="U338" s="1382"/>
      <c r="V338" s="1333"/>
      <c r="W338" s="1333"/>
      <c r="X338" s="1333"/>
      <c r="Y338" s="1333"/>
      <c r="Z338" s="1333"/>
      <c r="AA338" s="1333"/>
      <c r="AB338" s="1333"/>
      <c r="AC338" s="1333"/>
      <c r="AD338" s="1333"/>
      <c r="AE338" s="1333"/>
      <c r="AF338" s="1333"/>
      <c r="AG338" s="1333"/>
      <c r="AH338" s="1333"/>
      <c r="AI338" s="1333"/>
      <c r="AJ338" s="1333"/>
    </row>
    <row r="339" spans="1:49" x14ac:dyDescent="0.25">
      <c r="A339" s="1518" t="str">
        <f>IF(CD50_apply="Yes",IF(COUNTIF('03 - 50% CD'!D339:G339,"Y")&gt;0,"Y",IF(COUNTIF('03 - 50% CD'!D339:G339,"N"),"N","")),"")</f>
        <v>Y</v>
      </c>
      <c r="B339" s="125"/>
      <c r="C339" s="944"/>
      <c r="D339" s="411"/>
      <c r="E339" s="321"/>
      <c r="F339" s="559" t="str">
        <f>IF('C-Design&amp;Const'!$O339="","",'C-Design&amp;Const'!$O339)</f>
        <v>Y</v>
      </c>
      <c r="G339" s="485"/>
      <c r="H339" s="355" t="str">
        <f>CONCATENATE(IF(F339="N","PLACEHOLDER ROW - ",""),'C-Design&amp;Const'!Z339,IF(F339="N","",J339))</f>
        <v>Fire Alarm Details (Complete)</v>
      </c>
      <c r="I339" s="137"/>
      <c r="J339" s="578" t="str">
        <f>IF('C-Design&amp;Const'!AH339="","",'C-Design&amp;Const'!AH339)</f>
        <v>(Complete)</v>
      </c>
      <c r="K339" s="285" t="str">
        <f>IF(CD50_apply="Yes",IF((COUNTIF(D339:G339,"Y")=COUNTIF('03 - 50% CD'!D339:G339,"Y")),"match","no 50% match"),"-")</f>
        <v>match</v>
      </c>
      <c r="L339" s="1410" t="str">
        <f t="shared" si="16"/>
        <v/>
      </c>
      <c r="M339" s="1333"/>
      <c r="N339" s="1333"/>
      <c r="O339" s="1333"/>
      <c r="P339" s="1333"/>
      <c r="Q339" s="1333"/>
      <c r="R339" s="1453"/>
      <c r="S339" s="1284"/>
      <c r="T339" s="1382"/>
      <c r="U339" s="1382"/>
      <c r="V339" s="1333"/>
      <c r="W339" s="1333"/>
      <c r="X339" s="1333"/>
      <c r="Y339" s="1333"/>
      <c r="Z339" s="1333"/>
      <c r="AA339" s="1333"/>
      <c r="AB339" s="1333"/>
      <c r="AC339" s="1333"/>
      <c r="AD339" s="1333"/>
      <c r="AE339" s="1333"/>
      <c r="AF339" s="1333"/>
      <c r="AG339" s="1333"/>
      <c r="AH339" s="1333"/>
      <c r="AI339" s="1333"/>
      <c r="AJ339" s="1333"/>
    </row>
    <row r="340" spans="1:49" ht="30" x14ac:dyDescent="0.25">
      <c r="A340" s="1407" t="str">
        <f>IF(CD50_apply="Yes",IF(COUNTIF('03 - 50% CD'!D340:G340,"Y")&gt;0,"Y",IF(COUNTIF('03 - 50% CD'!D340:G340,"N"),"N","")),"")</f>
        <v>Y</v>
      </c>
      <c r="B340" s="125"/>
      <c r="C340" s="944"/>
      <c r="D340" s="411"/>
      <c r="E340" s="559" t="str">
        <f>IF('C-Design&amp;Const'!$O340="","",'C-Design&amp;Const'!$O340)</f>
        <v>Y</v>
      </c>
      <c r="F340" s="321"/>
      <c r="G340" s="485"/>
      <c r="H340" s="356" t="str">
        <f>CONCATENATE(IF(F340="N","PLACEHOLDER ROW - ",""),'C-Design&amp;Const'!Z340,IF(F340="N","",J340))</f>
        <v>Building Automation Systems Drawings (HVAC Instrumentation and Control) (Including Bid Alts.)</v>
      </c>
      <c r="I340" s="146"/>
      <c r="J340" s="578" t="str">
        <f>IF('C-Design&amp;Const'!AH340="","",'C-Design&amp;Const'!AH340)</f>
        <v xml:space="preserve"> (Including Bid Alts.)</v>
      </c>
      <c r="K340" s="285" t="str">
        <f>IF(CD50_apply="Yes",IF((COUNTIF(D340:G340,"Y")=COUNTIF('03 - 50% CD'!D340:G340,"Y")),"match","no 50% match"),"-")</f>
        <v>match</v>
      </c>
      <c r="L340" s="1410" t="str">
        <f t="shared" ref="L340:L357" si="17">CONCATENATE(IF(ISNUMBER(SEARCH("Placeholder",H340))=TRUE,"&lt;---PM/Planner may hide PLACEHOLDER ROW",""))</f>
        <v/>
      </c>
      <c r="M340" s="1333"/>
      <c r="N340" s="1333"/>
      <c r="O340" s="1333"/>
      <c r="P340" s="1333"/>
      <c r="Q340" s="1333"/>
      <c r="R340" s="1453"/>
      <c r="S340" s="1284"/>
      <c r="T340" s="1382"/>
      <c r="U340" s="1382"/>
      <c r="V340" s="1333"/>
      <c r="W340" s="1333"/>
      <c r="X340" s="1333"/>
      <c r="Y340" s="1333"/>
      <c r="Z340" s="1333"/>
      <c r="AA340" s="1333"/>
      <c r="AB340" s="1333"/>
      <c r="AC340" s="1333"/>
      <c r="AD340" s="1333"/>
      <c r="AE340" s="1333"/>
      <c r="AF340" s="1333"/>
      <c r="AG340" s="1333"/>
      <c r="AH340" s="1333"/>
      <c r="AI340" s="1333"/>
      <c r="AJ340" s="1333"/>
    </row>
    <row r="341" spans="1:49" s="17" customFormat="1" x14ac:dyDescent="0.25">
      <c r="A341" s="1518" t="str">
        <f>IF(CD50_apply="Yes",IF(COUNTIF('03 - 50% CD'!D341:G341,"Y")&gt;0,"Y",IF(COUNTIF('03 - 50% CD'!D341:G341,"N"),"N","")),"")</f>
        <v>N</v>
      </c>
      <c r="B341" s="141"/>
      <c r="C341" s="944"/>
      <c r="D341" s="411"/>
      <c r="E341" s="321"/>
      <c r="F341" s="559" t="str">
        <f>IF('C-Design&amp;Const'!$O341="","",'C-Design&amp;Const'!$O341)</f>
        <v>N</v>
      </c>
      <c r="G341" s="491"/>
      <c r="H341" s="355" t="str">
        <f>CONCATENATE(IF(F341="N","PLACEHOLDER ROW - ",""),'C-Design&amp;Const'!Z341,IF(F341="N","",J341))</f>
        <v>PLACEHOLDER ROW - CUSTOM - Building Automation Systems</v>
      </c>
      <c r="I341" s="151"/>
      <c r="J341" s="578" t="str">
        <f>IF('C-Design&amp;Const'!AH341="","",'C-Design&amp;Const'!AH341)</f>
        <v>(Complete)</v>
      </c>
      <c r="K341" s="285" t="str">
        <f>IF(CD50_apply="Yes",IF((COUNTIF(D341:G341,"Y")=COUNTIF('03 - 50% CD'!D341:G341,"Y")),"match","no 50% match"),"-")</f>
        <v>match</v>
      </c>
      <c r="L341" s="1410" t="str">
        <f t="shared" si="17"/>
        <v>&lt;---PM/Planner may hide PLACEHOLDER ROW</v>
      </c>
      <c r="M341" s="1333"/>
      <c r="N341" s="1333"/>
      <c r="O341" s="1333"/>
      <c r="P341" s="1333"/>
      <c r="Q341" s="1333"/>
      <c r="R341" s="1453"/>
      <c r="S341" s="1284"/>
      <c r="T341" s="1382"/>
      <c r="U341" s="1382"/>
      <c r="V341" s="1333"/>
      <c r="W341" s="1333"/>
      <c r="X341" s="1333"/>
      <c r="Y341" s="1333"/>
      <c r="Z341" s="1333"/>
      <c r="AA341" s="1333"/>
      <c r="AB341" s="1333"/>
      <c r="AC341" s="1333"/>
      <c r="AD341" s="1333"/>
      <c r="AE341" s="1333"/>
      <c r="AF341" s="1333"/>
      <c r="AG341" s="1333"/>
      <c r="AH341" s="1333"/>
      <c r="AI341" s="1333"/>
      <c r="AJ341" s="1333"/>
    </row>
    <row r="342" spans="1:49" s="17" customFormat="1" x14ac:dyDescent="0.25">
      <c r="A342" s="1518" t="str">
        <f>IF(CD50_apply="Yes",IF(COUNTIF('03 - 50% CD'!D342:G342,"Y")&gt;0,"Y",IF(COUNTIF('03 - 50% CD'!D342:G342,"N"),"N","")),"")</f>
        <v>N</v>
      </c>
      <c r="B342" s="141"/>
      <c r="C342" s="944"/>
      <c r="D342" s="411"/>
      <c r="E342" s="321"/>
      <c r="F342" s="559" t="str">
        <f>IF('C-Design&amp;Const'!$O342="","",'C-Design&amp;Const'!$O342)</f>
        <v>N</v>
      </c>
      <c r="G342" s="491"/>
      <c r="H342" s="355" t="str">
        <f>CONCATENATE(IF(F342="N","PLACEHOLDER ROW - ",""),'C-Design&amp;Const'!Z342,IF(F342="N","",J342))</f>
        <v>PLACEHOLDER ROW - CUSTOM - Building Automation Systems</v>
      </c>
      <c r="I342" s="151"/>
      <c r="J342" s="578" t="str">
        <f>IF('C-Design&amp;Const'!AH342="","",'C-Design&amp;Const'!AH342)</f>
        <v>(Complete)</v>
      </c>
      <c r="K342" s="285" t="str">
        <f>IF(CD50_apply="Yes",IF((COUNTIF(D342:G342,"Y")=COUNTIF('03 - 50% CD'!D342:G342,"Y")),"match","no 50% match"),"-")</f>
        <v>match</v>
      </c>
      <c r="L342" s="1410" t="str">
        <f t="shared" si="17"/>
        <v>&lt;---PM/Planner may hide PLACEHOLDER ROW</v>
      </c>
      <c r="M342" s="1333"/>
      <c r="N342" s="1333"/>
      <c r="O342" s="1333"/>
      <c r="P342" s="1333"/>
      <c r="Q342" s="1333"/>
      <c r="R342" s="1453"/>
      <c r="S342" s="1284"/>
      <c r="T342" s="1382"/>
      <c r="U342" s="1382"/>
      <c r="V342" s="1333"/>
      <c r="W342" s="1333"/>
      <c r="X342" s="1333"/>
      <c r="Y342" s="1333"/>
      <c r="Z342" s="1333"/>
      <c r="AA342" s="1333"/>
      <c r="AB342" s="1333"/>
      <c r="AC342" s="1333"/>
      <c r="AD342" s="1333"/>
      <c r="AE342" s="1333"/>
      <c r="AF342" s="1333"/>
      <c r="AG342" s="1333"/>
      <c r="AH342" s="1333"/>
      <c r="AI342" s="1333"/>
      <c r="AJ342" s="1333"/>
    </row>
    <row r="343" spans="1:49" s="17" customFormat="1" x14ac:dyDescent="0.25">
      <c r="A343" s="1518" t="str">
        <f>IF(CD50_apply="Yes",IF(COUNTIF('03 - 50% CD'!D343:G343,"Y")&gt;0,"Y",IF(COUNTIF('03 - 50% CD'!D343:G343,"N"),"N","")),"")</f>
        <v>Y</v>
      </c>
      <c r="B343" s="141"/>
      <c r="C343" s="944"/>
      <c r="D343" s="411"/>
      <c r="E343" s="321"/>
      <c r="F343" s="559" t="str">
        <f>IF('C-Design&amp;Const'!$O343="","",'C-Design&amp;Const'!$O343)</f>
        <v>Y</v>
      </c>
      <c r="G343" s="485"/>
      <c r="H343" s="355" t="str">
        <f>CONCATENATE(IF(F343="N","PLACEHOLDER ROW - ",""),'C-Design&amp;Const'!Z343,IF(F343="N","",J343))</f>
        <v>Building Automation Symbols, Abbreviations, and General Notes (Complete)</v>
      </c>
      <c r="I343" s="151"/>
      <c r="J343" s="578" t="str">
        <f>IF('C-Design&amp;Const'!AH343="","",'C-Design&amp;Const'!AH343)</f>
        <v>(Complete)</v>
      </c>
      <c r="K343" s="285" t="str">
        <f>IF(CD50_apply="Yes",IF((COUNTIF(D343:G343,"Y")=COUNTIF('03 - 50% CD'!D343:G343,"Y")),"match","no 50% match"),"-")</f>
        <v>match</v>
      </c>
      <c r="L343" s="1410" t="str">
        <f t="shared" si="17"/>
        <v/>
      </c>
      <c r="M343" s="1333"/>
      <c r="N343" s="1333"/>
      <c r="O343" s="1333"/>
      <c r="P343" s="1333"/>
      <c r="Q343" s="1333"/>
      <c r="R343" s="1453"/>
      <c r="S343" s="1284"/>
      <c r="T343" s="1382"/>
      <c r="U343" s="1382"/>
      <c r="V343" s="1333"/>
      <c r="W343" s="1333"/>
      <c r="X343" s="1333"/>
      <c r="Y343" s="1333"/>
      <c r="Z343" s="1333"/>
      <c r="AA343" s="1333"/>
      <c r="AB343" s="1333"/>
      <c r="AC343" s="1333"/>
      <c r="AD343" s="1333"/>
      <c r="AE343" s="1333"/>
      <c r="AF343" s="1333"/>
      <c r="AG343" s="1333"/>
      <c r="AH343" s="1333"/>
      <c r="AI343" s="1333"/>
      <c r="AJ343" s="1333"/>
    </row>
    <row r="344" spans="1:49" s="17" customFormat="1" x14ac:dyDescent="0.25">
      <c r="A344" s="1518" t="str">
        <f>IF(CD50_apply="Yes",IF(COUNTIF('03 - 50% CD'!D344:G344,"Y")&gt;0,"Y",IF(COUNTIF('03 - 50% CD'!D344:G344,"N"),"N","")),"")</f>
        <v>Y</v>
      </c>
      <c r="B344" s="141"/>
      <c r="C344" s="944"/>
      <c r="D344" s="411"/>
      <c r="E344" s="321"/>
      <c r="F344" s="559" t="str">
        <f>IF('C-Design&amp;Const'!$O344="","",'C-Design&amp;Const'!$O344)</f>
        <v>Y</v>
      </c>
      <c r="G344" s="485"/>
      <c r="H344" s="355" t="str">
        <f>CONCATENATE(IF(F344="N","PLACEHOLDER ROW - ",""),'C-Design&amp;Const'!Z344,IF(F344="N","",J344))</f>
        <v>Building Automation Systems Demolition(s) (Complete)</v>
      </c>
      <c r="I344" s="151"/>
      <c r="J344" s="578" t="str">
        <f>IF('C-Design&amp;Const'!AH344="","",'C-Design&amp;Const'!AH344)</f>
        <v>(Complete)</v>
      </c>
      <c r="K344" s="285" t="str">
        <f>IF(CD50_apply="Yes",IF((COUNTIF(D344:G344,"Y")=COUNTIF('03 - 50% CD'!D344:G344,"Y")),"match","no 50% match"),"-")</f>
        <v>match</v>
      </c>
      <c r="L344" s="1410" t="str">
        <f t="shared" si="17"/>
        <v/>
      </c>
      <c r="M344" s="1333"/>
      <c r="N344" s="1333"/>
      <c r="O344" s="1333"/>
      <c r="P344" s="1333"/>
      <c r="Q344" s="1333"/>
      <c r="R344" s="1453"/>
      <c r="S344" s="1284"/>
      <c r="T344" s="1382"/>
      <c r="U344" s="1382"/>
      <c r="V344" s="1333"/>
      <c r="W344" s="1333"/>
      <c r="X344" s="1333"/>
      <c r="Y344" s="1333"/>
      <c r="Z344" s="1333"/>
      <c r="AA344" s="1333"/>
      <c r="AB344" s="1333"/>
      <c r="AC344" s="1333"/>
      <c r="AD344" s="1333"/>
      <c r="AE344" s="1333"/>
      <c r="AF344" s="1333"/>
      <c r="AG344" s="1333"/>
      <c r="AH344" s="1333"/>
      <c r="AI344" s="1333"/>
      <c r="AJ344" s="1333"/>
    </row>
    <row r="345" spans="1:49" ht="30" x14ac:dyDescent="0.25">
      <c r="A345" s="1518" t="str">
        <f>IF(CD50_apply="Yes",IF(COUNTIF('03 - 50% CD'!D345:G345,"Y")&gt;0,"Y",IF(COUNTIF('03 - 50% CD'!D345:G345,"N"),"N","")),"")</f>
        <v>Y</v>
      </c>
      <c r="B345" s="125"/>
      <c r="C345" s="944"/>
      <c r="D345" s="411"/>
      <c r="E345" s="321"/>
      <c r="F345" s="559" t="str">
        <f>IF('C-Design&amp;Const'!$O345="","",'C-Design&amp;Const'!$O345)</f>
        <v>Y</v>
      </c>
      <c r="G345" s="485"/>
      <c r="H345" s="355" t="str">
        <f>CONCATENATE(IF(F345="N","PLACEHOLDER ROW - ",""),'C-Design&amp;Const'!Z345,IF(F345="N","",J345))</f>
        <v>Building Automation Floor Plans and Approximate Control Panel Locations &amp; Other Instruments or Device Locations (Complete)</v>
      </c>
      <c r="I345" s="137"/>
      <c r="J345" s="578" t="str">
        <f>IF('C-Design&amp;Const'!AH345="","",'C-Design&amp;Const'!AH345)</f>
        <v>(Complete)</v>
      </c>
      <c r="K345" s="285" t="str">
        <f>IF(CD50_apply="Yes",IF((COUNTIF(D345:G345,"Y")=COUNTIF('03 - 50% CD'!D345:G345,"Y")),"match","no 50% match"),"-")</f>
        <v>match</v>
      </c>
      <c r="L345" s="1410" t="str">
        <f t="shared" si="17"/>
        <v/>
      </c>
      <c r="M345" s="1333"/>
      <c r="N345" s="1333"/>
      <c r="O345" s="1333"/>
      <c r="P345" s="1333"/>
      <c r="Q345" s="1333"/>
      <c r="R345" s="1453"/>
      <c r="S345" s="1284"/>
      <c r="T345" s="1382"/>
      <c r="U345" s="1382"/>
      <c r="V345" s="1333"/>
      <c r="W345" s="1333"/>
      <c r="X345" s="1333"/>
      <c r="Y345" s="1333"/>
      <c r="Z345" s="1333"/>
      <c r="AA345" s="1333"/>
      <c r="AB345" s="1333"/>
      <c r="AC345" s="1333"/>
      <c r="AD345" s="1333"/>
      <c r="AE345" s="1333"/>
      <c r="AF345" s="1333"/>
      <c r="AG345" s="1333"/>
      <c r="AH345" s="1333"/>
      <c r="AI345" s="1333"/>
      <c r="AJ345" s="1333"/>
    </row>
    <row r="346" spans="1:49" ht="30" x14ac:dyDescent="0.25">
      <c r="A346" s="1518" t="str">
        <f>IF(CD50_apply="Yes",IF(COUNTIF('03 - 50% CD'!D346:G346,"Y")&gt;0,"Y",IF(COUNTIF('03 - 50% CD'!D346:G346,"N"),"N","")),"")</f>
        <v>Y</v>
      </c>
      <c r="B346" s="125"/>
      <c r="C346" s="944"/>
      <c r="D346" s="411"/>
      <c r="E346" s="321"/>
      <c r="F346" s="559" t="str">
        <f>IF('C-Design&amp;Const'!$O346="","",'C-Design&amp;Const'!$O346)</f>
        <v>Y</v>
      </c>
      <c r="G346" s="485"/>
      <c r="H346" s="355" t="str">
        <f>CONCATENATE(IF(F346="N","PLACEHOLDER ROW - ",""),'C-Design&amp;Const'!Z346,IF(F346="N","",J346))</f>
        <v>Building Automation Systems Diagrams, Points List (Diagrammatical or Spreadsheet), Device Schedule, and Sequences of Operation (Substantially Complete)</v>
      </c>
      <c r="I346" s="137"/>
      <c r="J346" s="578" t="str">
        <f>IF('C-Design&amp;Const'!AH346="","",'C-Design&amp;Const'!AH346)</f>
        <v>(Substantially Complete)</v>
      </c>
      <c r="K346" s="285" t="str">
        <f>IF(CD50_apply="Yes",IF((COUNTIF(D346:G346,"Y")=COUNTIF('03 - 50% CD'!D346:G346,"Y")),"match","no 50% match"),"-")</f>
        <v>match</v>
      </c>
      <c r="L346" s="1410" t="str">
        <f t="shared" si="17"/>
        <v/>
      </c>
      <c r="M346" s="1333"/>
      <c r="N346" s="1333"/>
      <c r="O346" s="1333"/>
      <c r="P346" s="1333"/>
      <c r="Q346" s="1333"/>
      <c r="R346" s="1284"/>
      <c r="S346" s="1284"/>
      <c r="T346" s="1382"/>
      <c r="U346" s="1382"/>
      <c r="V346" s="1333"/>
      <c r="W346" s="1333"/>
      <c r="X346" s="1333"/>
      <c r="Y346" s="1333"/>
      <c r="Z346" s="1333"/>
      <c r="AA346" s="1333"/>
      <c r="AB346" s="1333"/>
      <c r="AC346" s="1333"/>
      <c r="AD346" s="1333"/>
      <c r="AE346" s="1333"/>
      <c r="AF346" s="1333"/>
      <c r="AG346" s="1333"/>
      <c r="AH346" s="1333"/>
      <c r="AI346" s="1333"/>
      <c r="AJ346" s="1333"/>
    </row>
    <row r="347" spans="1:49" s="30" customFormat="1" ht="15" customHeight="1" x14ac:dyDescent="0.25">
      <c r="A347" s="1518" t="str">
        <f>IF(CD50_apply="Yes",IF(COUNTIF('03 - 50% CD'!D347:G347,"Y")&gt;0,"Y",IF(COUNTIF('03 - 50% CD'!D347:G347,"N"),"N","")),"")</f>
        <v>Y</v>
      </c>
      <c r="B347" s="191"/>
      <c r="C347" s="944"/>
      <c r="D347" s="463"/>
      <c r="E347" s="463"/>
      <c r="F347" s="359" t="str">
        <f>IF('C-Design&amp;Const'!$O347="","",'C-Design&amp;Const'!$O347)</f>
        <v>Y</v>
      </c>
      <c r="G347" s="291"/>
      <c r="H347" s="341" t="str">
        <f>CONCATENATE(IF(F347="N","PLACEHOLDER ROW - ",""),'C-Design&amp;Const'!Z347,IF(F347="N","",J347))</f>
        <v>Building Network Connections and Integration (Complete)</v>
      </c>
      <c r="I347" s="184"/>
      <c r="J347" s="578" t="str">
        <f>IF('C-Design&amp;Const'!AH347="","",'C-Design&amp;Const'!AH347)</f>
        <v>(Complete)</v>
      </c>
      <c r="K347" s="285" t="str">
        <f>IF(CD50_apply="Yes",IF((COUNTIF(D347:G347,"Y")=COUNTIF('03 - 50% CD'!D347:G347,"Y")),"match","no 50% match"),"-")</f>
        <v>match</v>
      </c>
      <c r="L347" s="1410" t="str">
        <f t="shared" si="17"/>
        <v/>
      </c>
      <c r="M347" s="1382"/>
      <c r="N347" s="1382"/>
      <c r="O347" s="1382"/>
      <c r="P347" s="1382"/>
      <c r="Q347" s="1382"/>
      <c r="R347" s="1382"/>
      <c r="S347" s="1284"/>
      <c r="T347" s="1382"/>
      <c r="U347" s="1382"/>
      <c r="V347" s="1382"/>
      <c r="W347" s="1382"/>
      <c r="X347" s="1382"/>
      <c r="Y347" s="1382"/>
      <c r="Z347" s="1382"/>
      <c r="AA347" s="1382"/>
      <c r="AB347" s="1382"/>
      <c r="AC347" s="1382"/>
      <c r="AD347" s="1382"/>
      <c r="AE347" s="1382"/>
      <c r="AF347" s="1382"/>
      <c r="AG347" s="1382"/>
      <c r="AH347" s="1382"/>
      <c r="AI347" s="1382"/>
      <c r="AJ347" s="1382"/>
      <c r="AK347" s="181"/>
      <c r="AL347" s="181"/>
      <c r="AM347" s="181"/>
      <c r="AN347" s="181"/>
      <c r="AO347" s="181"/>
      <c r="AP347" s="181"/>
      <c r="AQ347" s="181"/>
      <c r="AR347" s="181"/>
      <c r="AS347" s="181"/>
      <c r="AT347" s="181"/>
      <c r="AU347" s="181"/>
      <c r="AV347" s="181"/>
      <c r="AW347" s="181"/>
    </row>
    <row r="348" spans="1:49" s="30" customFormat="1" ht="15" customHeight="1" x14ac:dyDescent="0.25">
      <c r="A348" s="1518" t="str">
        <f>IF(CD50_apply="Yes",IF(COUNTIF('03 - 50% CD'!D348:G348,"Y")&gt;0,"Y",IF(COUNTIF('03 - 50% CD'!D348:G348,"N"),"N","")),"")</f>
        <v>Y</v>
      </c>
      <c r="B348" s="191"/>
      <c r="C348" s="944"/>
      <c r="D348" s="463"/>
      <c r="E348" s="463"/>
      <c r="F348" s="359" t="str">
        <f>IF('C-Design&amp;Const'!$O348="","",'C-Design&amp;Const'!$O348)</f>
        <v>Y</v>
      </c>
      <c r="G348" s="291"/>
      <c r="H348" s="341" t="str">
        <f>CONCATENATE(IF(F348="N","PLACEHOLDER ROW - ",""),'C-Design&amp;Const'!Z348,IF(F348="N","",J348))</f>
        <v>Temperature Controls Building Automation Systems - Sequence of Operation (Complete)</v>
      </c>
      <c r="I348" s="184"/>
      <c r="J348" s="578" t="str">
        <f>IF('C-Design&amp;Const'!AH348="","",'C-Design&amp;Const'!AH348)</f>
        <v>(Complete)</v>
      </c>
      <c r="K348" s="285" t="str">
        <f>IF(CD50_apply="Yes",IF((COUNTIF(D348:G348,"Y")=COUNTIF('03 - 50% CD'!D348:G348,"Y")),"match","no 50% match"),"-")</f>
        <v>match</v>
      </c>
      <c r="L348" s="1410" t="str">
        <f t="shared" si="17"/>
        <v/>
      </c>
      <c r="M348" s="1382"/>
      <c r="N348" s="1333"/>
      <c r="O348" s="1382"/>
      <c r="P348" s="1382"/>
      <c r="Q348" s="1382"/>
      <c r="R348" s="1382"/>
      <c r="S348" s="1284"/>
      <c r="T348" s="1382"/>
      <c r="U348" s="1382"/>
      <c r="V348" s="1382"/>
      <c r="W348" s="1382"/>
      <c r="X348" s="1382"/>
      <c r="Y348" s="1382"/>
      <c r="Z348" s="1382"/>
      <c r="AA348" s="1382"/>
      <c r="AB348" s="1382"/>
      <c r="AC348" s="1382"/>
      <c r="AD348" s="1382"/>
      <c r="AE348" s="1382"/>
      <c r="AF348" s="1382"/>
      <c r="AG348" s="1382"/>
      <c r="AH348" s="1382"/>
      <c r="AI348" s="1382"/>
      <c r="AJ348" s="1382"/>
      <c r="AK348" s="181"/>
      <c r="AL348" s="181"/>
      <c r="AM348" s="181"/>
      <c r="AN348" s="181"/>
      <c r="AO348" s="181"/>
      <c r="AP348" s="181"/>
      <c r="AQ348" s="181"/>
      <c r="AR348" s="181"/>
      <c r="AS348" s="181"/>
      <c r="AT348" s="181"/>
      <c r="AU348" s="181"/>
      <c r="AV348" s="181"/>
      <c r="AW348" s="181"/>
    </row>
    <row r="349" spans="1:49" x14ac:dyDescent="0.25">
      <c r="A349" s="1518" t="str">
        <f>IF(CD50_apply="Yes",IF(COUNTIF('03 - 50% CD'!D349:G349,"Y")&gt;0,"Y",IF(COUNTIF('03 - 50% CD'!D349:G349,"N"),"N","")),"")</f>
        <v>Y</v>
      </c>
      <c r="B349" s="125"/>
      <c r="C349" s="944"/>
      <c r="D349" s="411"/>
      <c r="E349" s="321"/>
      <c r="F349" s="559" t="str">
        <f>IF('C-Design&amp;Const'!$O349="","",'C-Design&amp;Const'!$O349)</f>
        <v>Y</v>
      </c>
      <c r="G349" s="485"/>
      <c r="H349" s="355" t="str">
        <f>CONCATENATE(IF(F349="N","PLACEHOLDER ROW - ",""),'C-Design&amp;Const'!Z349,IF(F349="N","",J349))</f>
        <v>Building Automation Systems Details (Complete)</v>
      </c>
      <c r="I349" s="137"/>
      <c r="J349" s="578" t="str">
        <f>IF('C-Design&amp;Const'!AH349="","",'C-Design&amp;Const'!AH349)</f>
        <v>(Complete)</v>
      </c>
      <c r="K349" s="285" t="str">
        <f>IF(CD50_apply="Yes",IF((COUNTIF(D349:G349,"Y")=COUNTIF('03 - 50% CD'!D349:G349,"Y")),"match","no 50% match"),"-")</f>
        <v>match</v>
      </c>
      <c r="L349" s="1410" t="str">
        <f t="shared" si="17"/>
        <v/>
      </c>
      <c r="M349" s="1333"/>
      <c r="N349" s="1333"/>
      <c r="O349" s="1333"/>
      <c r="P349" s="1333"/>
      <c r="Q349" s="1333"/>
      <c r="R349" s="1284"/>
      <c r="S349" s="1284"/>
      <c r="T349" s="1382"/>
      <c r="U349" s="1382"/>
      <c r="V349" s="1333"/>
      <c r="W349" s="1333"/>
      <c r="X349" s="1333"/>
      <c r="Y349" s="1333"/>
      <c r="Z349" s="1333"/>
      <c r="AA349" s="1333"/>
      <c r="AB349" s="1333"/>
      <c r="AC349" s="1333"/>
      <c r="AD349" s="1333"/>
      <c r="AE349" s="1333"/>
      <c r="AF349" s="1333"/>
      <c r="AG349" s="1333"/>
      <c r="AH349" s="1333"/>
      <c r="AI349" s="1333"/>
      <c r="AJ349" s="1333"/>
    </row>
    <row r="350" spans="1:49" x14ac:dyDescent="0.25">
      <c r="A350" s="1407" t="str">
        <f>IF(CD50_apply="Yes",IF(COUNTIF('03 - 50% CD'!D350:G350,"Y")&gt;0,"Y",IF(COUNTIF('03 - 50% CD'!D350:G350,"N"),"N","")),"")</f>
        <v>Y</v>
      </c>
      <c r="B350" s="125"/>
      <c r="C350" s="944"/>
      <c r="D350" s="411"/>
      <c r="E350" s="559" t="str">
        <f>IF('C-Design&amp;Const'!$O350="","",'C-Design&amp;Const'!$O350)</f>
        <v>Y</v>
      </c>
      <c r="F350" s="321"/>
      <c r="G350" s="485"/>
      <c r="H350" s="356" t="str">
        <f>CONCATENATE(IF(F350="N","PLACEHOLDER ROW - ",""),'C-Design&amp;Const'!Z350,IF(F350="N","",J350))</f>
        <v>Access Controls Drawings (Including Bid Alts.)</v>
      </c>
      <c r="I350" s="146"/>
      <c r="J350" s="578" t="str">
        <f>IF('C-Design&amp;Const'!AH350="","",'C-Design&amp;Const'!AH350)</f>
        <v xml:space="preserve"> (Including Bid Alts.)</v>
      </c>
      <c r="K350" s="285" t="str">
        <f>IF(CD50_apply="Yes",IF((COUNTIF(D350:G350,"Y")=COUNTIF('03 - 50% CD'!D350:G350,"Y")),"match","no 50% match"),"-")</f>
        <v>match</v>
      </c>
      <c r="L350" s="1410" t="str">
        <f t="shared" si="17"/>
        <v/>
      </c>
      <c r="M350" s="1333"/>
      <c r="N350" s="1333"/>
      <c r="O350" s="1333"/>
      <c r="P350" s="1333"/>
      <c r="Q350" s="1333"/>
      <c r="R350" s="1453"/>
      <c r="S350" s="1284"/>
      <c r="T350" s="1382"/>
      <c r="U350" s="1382"/>
      <c r="V350" s="1333"/>
      <c r="W350" s="1333"/>
      <c r="X350" s="1333"/>
      <c r="Y350" s="1333"/>
      <c r="Z350" s="1333"/>
      <c r="AA350" s="1333"/>
      <c r="AB350" s="1333"/>
      <c r="AC350" s="1333"/>
      <c r="AD350" s="1333"/>
      <c r="AE350" s="1333"/>
      <c r="AF350" s="1333"/>
      <c r="AG350" s="1333"/>
      <c r="AH350" s="1333"/>
      <c r="AI350" s="1333"/>
      <c r="AJ350" s="1333"/>
    </row>
    <row r="351" spans="1:49" s="17" customFormat="1" x14ac:dyDescent="0.25">
      <c r="A351" s="1518" t="str">
        <f>IF(CD50_apply="Yes",IF(COUNTIF('03 - 50% CD'!D351:G351,"Y")&gt;0,"Y",IF(COUNTIF('03 - 50% CD'!D351:G351,"N"),"N","")),"")</f>
        <v>N</v>
      </c>
      <c r="B351" s="141"/>
      <c r="C351" s="944"/>
      <c r="D351" s="411"/>
      <c r="E351" s="321"/>
      <c r="F351" s="559" t="str">
        <f>IF('C-Design&amp;Const'!$O351="","",'C-Design&amp;Const'!$O351)</f>
        <v>N</v>
      </c>
      <c r="G351" s="491"/>
      <c r="H351" s="355" t="str">
        <f>CONCATENATE(IF(F351="N","PLACEHOLDER ROW - ",""),'C-Design&amp;Const'!Z351,IF(F351="N","",J351))</f>
        <v xml:space="preserve">PLACEHOLDER ROW - CUSTOM Access Controls </v>
      </c>
      <c r="I351" s="151"/>
      <c r="J351" s="578" t="str">
        <f>IF('C-Design&amp;Const'!AH351="","",'C-Design&amp;Const'!AH351)</f>
        <v>(Complete)</v>
      </c>
      <c r="K351" s="285" t="str">
        <f>IF(CD50_apply="Yes",IF((COUNTIF(D351:G351,"Y")=COUNTIF('03 - 50% CD'!D351:G351,"Y")),"match","no 50% match"),"-")</f>
        <v>match</v>
      </c>
      <c r="L351" s="1410" t="str">
        <f t="shared" si="17"/>
        <v>&lt;---PM/Planner may hide PLACEHOLDER ROW</v>
      </c>
      <c r="M351" s="1333"/>
      <c r="N351" s="1333"/>
      <c r="O351" s="1333"/>
      <c r="P351" s="1333"/>
      <c r="Q351" s="1333"/>
      <c r="R351" s="1453"/>
      <c r="S351" s="1284"/>
      <c r="T351" s="1382"/>
      <c r="U351" s="1382"/>
      <c r="V351" s="1333"/>
      <c r="W351" s="1333"/>
      <c r="X351" s="1333"/>
      <c r="Y351" s="1333"/>
      <c r="Z351" s="1333"/>
      <c r="AA351" s="1333"/>
      <c r="AB351" s="1333"/>
      <c r="AC351" s="1333"/>
      <c r="AD351" s="1333"/>
      <c r="AE351" s="1333"/>
      <c r="AF351" s="1333"/>
      <c r="AG351" s="1333"/>
      <c r="AH351" s="1333"/>
      <c r="AI351" s="1333"/>
      <c r="AJ351" s="1333"/>
    </row>
    <row r="352" spans="1:49" s="17" customFormat="1" x14ac:dyDescent="0.25">
      <c r="A352" s="1518" t="str">
        <f>IF(CD50_apply="Yes",IF(COUNTIF('03 - 50% CD'!D352:G352,"Y")&gt;0,"Y",IF(COUNTIF('03 - 50% CD'!D352:G352,"N"),"N","")),"")</f>
        <v>N</v>
      </c>
      <c r="B352" s="141"/>
      <c r="C352" s="944"/>
      <c r="D352" s="411"/>
      <c r="E352" s="321"/>
      <c r="F352" s="559" t="str">
        <f>IF('C-Design&amp;Const'!$O352="","",'C-Design&amp;Const'!$O352)</f>
        <v>N</v>
      </c>
      <c r="G352" s="491"/>
      <c r="H352" s="355" t="str">
        <f>CONCATENATE(IF(F352="N","PLACEHOLDER ROW - ",""),'C-Design&amp;Const'!Z352,IF(F352="N","",J352))</f>
        <v xml:space="preserve">PLACEHOLDER ROW - CUSTOM Access Controls </v>
      </c>
      <c r="I352" s="151"/>
      <c r="J352" s="578" t="str">
        <f>IF('C-Design&amp;Const'!AH352="","",'C-Design&amp;Const'!AH352)</f>
        <v>(Complete)</v>
      </c>
      <c r="K352" s="285" t="str">
        <f>IF(CD50_apply="Yes",IF((COUNTIF(D352:G352,"Y")=COUNTIF('03 - 50% CD'!D352:G352,"Y")),"match","no 50% match"),"-")</f>
        <v>match</v>
      </c>
      <c r="L352" s="1410" t="str">
        <f t="shared" si="17"/>
        <v>&lt;---PM/Planner may hide PLACEHOLDER ROW</v>
      </c>
      <c r="M352" s="1333"/>
      <c r="N352" s="1333"/>
      <c r="O352" s="1333"/>
      <c r="P352" s="1333"/>
      <c r="Q352" s="1333"/>
      <c r="R352" s="1453"/>
      <c r="S352" s="1284"/>
      <c r="T352" s="1382"/>
      <c r="U352" s="1382"/>
      <c r="V352" s="1333"/>
      <c r="W352" s="1333"/>
      <c r="X352" s="1333"/>
      <c r="Y352" s="1333"/>
      <c r="Z352" s="1333"/>
      <c r="AA352" s="1333"/>
      <c r="AB352" s="1333"/>
      <c r="AC352" s="1333"/>
      <c r="AD352" s="1333"/>
      <c r="AE352" s="1333"/>
      <c r="AF352" s="1333"/>
      <c r="AG352" s="1333"/>
      <c r="AH352" s="1333"/>
      <c r="AI352" s="1333"/>
      <c r="AJ352" s="1333"/>
    </row>
    <row r="353" spans="1:49" s="17" customFormat="1" x14ac:dyDescent="0.25">
      <c r="A353" s="1518" t="str">
        <f>IF(CD50_apply="Yes",IF(COUNTIF('03 - 50% CD'!D353:G353,"Y")&gt;0,"Y",IF(COUNTIF('03 - 50% CD'!D353:G353,"N"),"N","")),"")</f>
        <v>Y</v>
      </c>
      <c r="B353" s="141"/>
      <c r="C353" s="944"/>
      <c r="D353" s="411"/>
      <c r="E353" s="321"/>
      <c r="F353" s="559" t="str">
        <f>IF('C-Design&amp;Const'!$O353="","",'C-Design&amp;Const'!$O353)</f>
        <v>Y</v>
      </c>
      <c r="G353" s="485"/>
      <c r="H353" s="355" t="str">
        <f>CONCATENATE(IF(F353="N","PLACEHOLDER ROW - ",""),'C-Design&amp;Const'!Z353,IF(F353="N","",J353))</f>
        <v>Access Control Symbols, Abbreviations, and General Notes (Complete)</v>
      </c>
      <c r="I353" s="151"/>
      <c r="J353" s="578" t="str">
        <f>IF('C-Design&amp;Const'!AH353="","",'C-Design&amp;Const'!AH353)</f>
        <v>(Complete)</v>
      </c>
      <c r="K353" s="285" t="str">
        <f>IF(CD50_apply="Yes",IF((COUNTIF(D353:G353,"Y")=COUNTIF('03 - 50% CD'!D353:G353,"Y")),"match","no 50% match"),"-")</f>
        <v>match</v>
      </c>
      <c r="L353" s="1410" t="str">
        <f t="shared" ref="L353:L354" si="18">CONCATENATE(IF(ISNUMBER(SEARCH("Placeholder",H353))=TRUE,"&lt;---PM/Planner may hide PLACEHOLDER ROW",""))</f>
        <v/>
      </c>
      <c r="M353" s="1333"/>
      <c r="N353" s="1333"/>
      <c r="O353" s="1333"/>
      <c r="P353" s="1333"/>
      <c r="Q353" s="1333"/>
      <c r="R353" s="1453"/>
      <c r="S353" s="1284"/>
      <c r="T353" s="1382"/>
      <c r="U353" s="1382"/>
      <c r="V353" s="1333"/>
      <c r="W353" s="1333"/>
      <c r="X353" s="1333"/>
      <c r="Y353" s="1333"/>
      <c r="Z353" s="1333"/>
      <c r="AA353" s="1333"/>
      <c r="AB353" s="1333"/>
      <c r="AC353" s="1333"/>
      <c r="AD353" s="1333"/>
      <c r="AE353" s="1333"/>
      <c r="AF353" s="1333"/>
      <c r="AG353" s="1333"/>
      <c r="AH353" s="1333"/>
      <c r="AI353" s="1333"/>
      <c r="AJ353" s="1333"/>
    </row>
    <row r="354" spans="1:49" s="17" customFormat="1" x14ac:dyDescent="0.25">
      <c r="A354" s="1518" t="str">
        <f>IF(CD50_apply="Yes",IF(COUNTIF('03 - 50% CD'!D354:G354,"Y")&gt;0,"Y",IF(COUNTIF('03 - 50% CD'!D354:G354,"N"),"N","")),"")</f>
        <v>Y</v>
      </c>
      <c r="B354" s="141"/>
      <c r="C354" s="944"/>
      <c r="D354" s="411"/>
      <c r="E354" s="321"/>
      <c r="F354" s="559" t="str">
        <f>IF('C-Design&amp;Const'!$O354="","",'C-Design&amp;Const'!$O354)</f>
        <v>Y</v>
      </c>
      <c r="G354" s="485"/>
      <c r="H354" s="355" t="str">
        <f>CONCATENATE(IF(F354="N","PLACEHOLDER ROW - ",""),'C-Design&amp;Const'!Z354,IF(F354="N","",J354))</f>
        <v>Access Control Demolition(s) (Complete)</v>
      </c>
      <c r="I354" s="151"/>
      <c r="J354" s="578" t="str">
        <f>IF('C-Design&amp;Const'!AH354="","",'C-Design&amp;Const'!AH354)</f>
        <v>(Complete)</v>
      </c>
      <c r="K354" s="285" t="str">
        <f>IF(CD50_apply="Yes",IF((COUNTIF(D354:G354,"Y")=COUNTIF('03 - 50% CD'!D354:G354,"Y")),"match","no 50% match"),"-")</f>
        <v>match</v>
      </c>
      <c r="L354" s="1410" t="str">
        <f t="shared" si="18"/>
        <v/>
      </c>
      <c r="M354" s="1333"/>
      <c r="N354" s="1333"/>
      <c r="O354" s="1333"/>
      <c r="P354" s="1333"/>
      <c r="Q354" s="1333"/>
      <c r="R354" s="1453"/>
      <c r="S354" s="1284"/>
      <c r="T354" s="1382"/>
      <c r="U354" s="1382"/>
      <c r="V354" s="1333"/>
      <c r="W354" s="1333"/>
      <c r="X354" s="1333"/>
      <c r="Y354" s="1333"/>
      <c r="Z354" s="1333"/>
      <c r="AA354" s="1333"/>
      <c r="AB354" s="1333"/>
      <c r="AC354" s="1333"/>
      <c r="AD354" s="1333"/>
      <c r="AE354" s="1333"/>
      <c r="AF354" s="1333"/>
      <c r="AG354" s="1333"/>
      <c r="AH354" s="1333"/>
      <c r="AI354" s="1333"/>
      <c r="AJ354" s="1333"/>
    </row>
    <row r="355" spans="1:49" x14ac:dyDescent="0.25">
      <c r="A355" s="1518" t="str">
        <f>IF(CD50_apply="Yes",IF(COUNTIF('03 - 50% CD'!D355:G355,"Y")&gt;0,"Y",IF(COUNTIF('03 - 50% CD'!D355:G355,"N"),"N","")),"")</f>
        <v>Y</v>
      </c>
      <c r="B355" s="125"/>
      <c r="C355" s="944"/>
      <c r="D355" s="411"/>
      <c r="E355" s="321"/>
      <c r="F355" s="559" t="str">
        <f>IF('C-Design&amp;Const'!$O355="","",'C-Design&amp;Const'!$O355)</f>
        <v>Y</v>
      </c>
      <c r="G355" s="485"/>
      <c r="H355" s="355" t="str">
        <f>CONCATENATE(IF(F355="N","PLACEHOLDER ROW - ",""),'C-Design&amp;Const'!Z355,IF(F355="N","",J355))</f>
        <v>Access Control Floor Plans (Complete)</v>
      </c>
      <c r="I355" s="137"/>
      <c r="J355" s="578" t="str">
        <f>IF('C-Design&amp;Const'!AH355="","",'C-Design&amp;Const'!AH355)</f>
        <v>(Complete)</v>
      </c>
      <c r="K355" s="285" t="str">
        <f>IF(CD50_apply="Yes",IF((COUNTIF(D355:G355,"Y")=COUNTIF('03 - 50% CD'!D355:G355,"Y")),"match","no 50% match"),"-")</f>
        <v>match</v>
      </c>
      <c r="L355" s="1410" t="str">
        <f t="shared" si="17"/>
        <v/>
      </c>
      <c r="M355" s="1333"/>
      <c r="N355" s="1382"/>
      <c r="O355" s="1333"/>
      <c r="P355" s="1333"/>
      <c r="Q355" s="1333"/>
      <c r="R355" s="1453"/>
      <c r="S355" s="1284"/>
      <c r="T355" s="1382"/>
      <c r="U355" s="1382"/>
      <c r="V355" s="1333"/>
      <c r="W355" s="1333"/>
      <c r="X355" s="1333"/>
      <c r="Y355" s="1333"/>
      <c r="Z355" s="1333"/>
      <c r="AA355" s="1333"/>
      <c r="AB355" s="1333"/>
      <c r="AC355" s="1333"/>
      <c r="AD355" s="1333"/>
      <c r="AE355" s="1333"/>
      <c r="AF355" s="1333"/>
      <c r="AG355" s="1333"/>
      <c r="AH355" s="1333"/>
      <c r="AI355" s="1333"/>
      <c r="AJ355" s="1333"/>
    </row>
    <row r="356" spans="1:49" x14ac:dyDescent="0.25">
      <c r="A356" s="1518" t="str">
        <f>IF(CD50_apply="Yes",IF(COUNTIF('03 - 50% CD'!D356:G356,"Y")&gt;0,"Y",IF(COUNTIF('03 - 50% CD'!D356:G356,"N"),"N","")),"")</f>
        <v>Y</v>
      </c>
      <c r="B356" s="125"/>
      <c r="C356" s="944"/>
      <c r="D356" s="411"/>
      <c r="E356" s="321"/>
      <c r="F356" s="559" t="str">
        <f>IF('C-Design&amp;Const'!$O356="","",'C-Design&amp;Const'!$O356)</f>
        <v>Y</v>
      </c>
      <c r="G356" s="485"/>
      <c r="H356" s="355" t="str">
        <f>CONCATENATE(IF(F356="N","PLACEHOLDER ROW - ",""),'C-Design&amp;Const'!Z356,IF(F356="N","",J356))</f>
        <v>Access Control Logic Diagrams, Points Lists and Device Schedule (Substantially Complete)</v>
      </c>
      <c r="I356" s="137"/>
      <c r="J356" s="578" t="str">
        <f>IF('C-Design&amp;Const'!AH356="","",'C-Design&amp;Const'!AH356)</f>
        <v>(Substantially Complete)</v>
      </c>
      <c r="K356" s="285" t="str">
        <f>IF(CD50_apply="Yes",IF((COUNTIF(D356:G356,"Y")=COUNTIF('03 - 50% CD'!D356:G356,"Y")),"match","no 50% match"),"-")</f>
        <v>match</v>
      </c>
      <c r="L356" s="1410" t="str">
        <f t="shared" si="17"/>
        <v/>
      </c>
      <c r="M356" s="1333"/>
      <c r="N356" s="1382"/>
      <c r="O356" s="1333"/>
      <c r="P356" s="1333"/>
      <c r="Q356" s="1333"/>
      <c r="R356" s="1453"/>
      <c r="S356" s="1284"/>
      <c r="T356" s="1382"/>
      <c r="U356" s="1382"/>
      <c r="V356" s="1333"/>
      <c r="W356" s="1333"/>
      <c r="X356" s="1333"/>
      <c r="Y356" s="1333"/>
      <c r="Z356" s="1333"/>
      <c r="AA356" s="1333"/>
      <c r="AB356" s="1333"/>
      <c r="AC356" s="1333"/>
      <c r="AD356" s="1333"/>
      <c r="AE356" s="1333"/>
      <c r="AF356" s="1333"/>
      <c r="AG356" s="1333"/>
      <c r="AH356" s="1333"/>
      <c r="AI356" s="1333"/>
      <c r="AJ356" s="1333"/>
    </row>
    <row r="357" spans="1:49" x14ac:dyDescent="0.25">
      <c r="A357" s="1518" t="str">
        <f>IF(CD50_apply="Yes",IF(COUNTIF('03 - 50% CD'!D357:G357,"Y")&gt;0,"Y",IF(COUNTIF('03 - 50% CD'!D357:G357,"N"),"N","")),"")</f>
        <v>Y</v>
      </c>
      <c r="B357" s="125"/>
      <c r="C357" s="944"/>
      <c r="D357" s="411"/>
      <c r="E357" s="321"/>
      <c r="F357" s="559" t="str">
        <f>IF('C-Design&amp;Const'!$O357="","",'C-Design&amp;Const'!$O357)</f>
        <v>Y</v>
      </c>
      <c r="G357" s="485"/>
      <c r="H357" s="355" t="str">
        <f>CONCATENATE(IF(F357="N","PLACEHOLDER ROW - ",""),'C-Design&amp;Const'!Z357,IF(F357="N","",J357))</f>
        <v>Access Control Details (Complete)</v>
      </c>
      <c r="I357" s="137"/>
      <c r="J357" s="578" t="str">
        <f>IF('C-Design&amp;Const'!AH357="","",'C-Design&amp;Const'!AH357)</f>
        <v>(Complete)</v>
      </c>
      <c r="K357" s="285" t="str">
        <f>IF(CD50_apply="Yes",IF((COUNTIF(D357:G357,"Y")=COUNTIF('03 - 50% CD'!D357:G357,"Y")),"match","no 50% match"),"-")</f>
        <v>match</v>
      </c>
      <c r="L357" s="1410" t="str">
        <f t="shared" si="17"/>
        <v/>
      </c>
      <c r="M357" s="1333"/>
      <c r="N357" s="1382"/>
      <c r="O357" s="1333"/>
      <c r="P357" s="1333"/>
      <c r="Q357" s="1333"/>
      <c r="R357" s="1453"/>
      <c r="S357" s="1284"/>
      <c r="T357" s="1382"/>
      <c r="U357" s="1382"/>
      <c r="V357" s="1333"/>
      <c r="W357" s="1333"/>
      <c r="X357" s="1333"/>
      <c r="Y357" s="1333"/>
      <c r="Z357" s="1333"/>
      <c r="AA357" s="1333"/>
      <c r="AB357" s="1333"/>
      <c r="AC357" s="1333"/>
      <c r="AD357" s="1333"/>
      <c r="AE357" s="1333"/>
      <c r="AF357" s="1333"/>
      <c r="AG357" s="1333"/>
      <c r="AH357" s="1333"/>
      <c r="AI357" s="1333"/>
      <c r="AJ357" s="1333"/>
    </row>
    <row r="358" spans="1:49" x14ac:dyDescent="0.25">
      <c r="A358" s="1407" t="str">
        <f>IF(CD50_apply="Yes",IF(COUNTIF('03 - 50% CD'!D358:G358,"Y")&gt;0,"Y",IF(COUNTIF('03 - 50% CD'!D358:G358,"N"),"N","")),"")</f>
        <v>Y</v>
      </c>
      <c r="B358" s="125"/>
      <c r="C358" s="944"/>
      <c r="D358" s="411"/>
      <c r="E358" s="559" t="str">
        <f>IF('C-Design&amp;Const'!$O358="","",'C-Design&amp;Const'!$O358)</f>
        <v>Y</v>
      </c>
      <c r="F358" s="321"/>
      <c r="G358" s="485"/>
      <c r="H358" s="356" t="str">
        <f>CONCATENATE(IF(F358="N","PLACEHOLDER ROW - ",""),'C-Design&amp;Const'!Z358,IF(F358="N","",J358))</f>
        <v>Telecom Drawings (Including Bid Alts.)</v>
      </c>
      <c r="I358" s="148"/>
      <c r="J358" s="578" t="str">
        <f>IF('C-Design&amp;Const'!AH358="","",'C-Design&amp;Const'!AH358)</f>
        <v xml:space="preserve"> (Including Bid Alts.)</v>
      </c>
      <c r="K358" s="285" t="str">
        <f>IF(CD50_apply="Yes",IF((COUNTIF(D358:G358,"Y")=COUNTIF('03 - 50% CD'!D358:G358,"Y")),"match","no 50% match"),"-")</f>
        <v>match</v>
      </c>
      <c r="L358" s="1410" t="str">
        <f t="shared" si="16"/>
        <v/>
      </c>
      <c r="M358" s="1333"/>
      <c r="N358" s="1333"/>
      <c r="O358" s="1333"/>
      <c r="P358" s="1333"/>
      <c r="Q358" s="1333"/>
      <c r="R358" s="1284"/>
      <c r="S358" s="1284"/>
      <c r="T358" s="1382"/>
      <c r="U358" s="1382"/>
      <c r="V358" s="1333"/>
      <c r="W358" s="1333"/>
      <c r="X358" s="1333"/>
      <c r="Y358" s="1333"/>
      <c r="Z358" s="1333"/>
      <c r="AA358" s="1333"/>
      <c r="AB358" s="1333"/>
      <c r="AC358" s="1333"/>
      <c r="AD358" s="1333"/>
      <c r="AE358" s="1333"/>
      <c r="AF358" s="1333"/>
      <c r="AG358" s="1333"/>
      <c r="AH358" s="1333"/>
      <c r="AI358" s="1333"/>
      <c r="AJ358" s="1333"/>
    </row>
    <row r="359" spans="1:49" s="17" customFormat="1" x14ac:dyDescent="0.25">
      <c r="A359" s="1518" t="str">
        <f>IF(CD50_apply="Yes",IF(COUNTIF('03 - 50% CD'!D359:G359,"Y")&gt;0,"Y",IF(COUNTIF('03 - 50% CD'!D359:G359,"N"),"N","")),"")</f>
        <v>N</v>
      </c>
      <c r="B359" s="141"/>
      <c r="C359" s="944"/>
      <c r="D359" s="411"/>
      <c r="E359" s="321"/>
      <c r="F359" s="559" t="str">
        <f>IF('C-Design&amp;Const'!$O359="","",'C-Design&amp;Const'!$O359)</f>
        <v>N</v>
      </c>
      <c r="G359" s="491"/>
      <c r="H359" s="355" t="str">
        <f>CONCATENATE(IF(F359="N","PLACEHOLDER ROW - ",""),'C-Design&amp;Const'!Z359,IF(F359="N","",J359))</f>
        <v xml:space="preserve">PLACEHOLDER ROW - CUSTOM - Telecom  </v>
      </c>
      <c r="I359" s="151"/>
      <c r="J359" s="578" t="str">
        <f>IF('C-Design&amp;Const'!AH359="","",'C-Design&amp;Const'!AH359)</f>
        <v>(Complete)</v>
      </c>
      <c r="K359" s="285" t="str">
        <f>IF(CD50_apply="Yes",IF((COUNTIF(D359:G359,"Y")=COUNTIF('03 - 50% CD'!D359:G359,"Y")),"match","no 50% match"),"-")</f>
        <v>match</v>
      </c>
      <c r="L359" s="1410" t="str">
        <f t="shared" si="16"/>
        <v>&lt;---PM/Planner may hide PLACEHOLDER ROW</v>
      </c>
      <c r="M359" s="1333"/>
      <c r="N359" s="1333"/>
      <c r="O359" s="1333"/>
      <c r="P359" s="1333"/>
      <c r="Q359" s="1333"/>
      <c r="R359" s="1453"/>
      <c r="S359" s="1284"/>
      <c r="T359" s="1382"/>
      <c r="U359" s="1382"/>
      <c r="V359" s="1333"/>
      <c r="W359" s="1333"/>
      <c r="X359" s="1333"/>
      <c r="Y359" s="1333"/>
      <c r="Z359" s="1333"/>
      <c r="AA359" s="1333"/>
      <c r="AB359" s="1333"/>
      <c r="AC359" s="1333"/>
      <c r="AD359" s="1333"/>
      <c r="AE359" s="1333"/>
      <c r="AF359" s="1333"/>
      <c r="AG359" s="1333"/>
      <c r="AH359" s="1333"/>
      <c r="AI359" s="1333"/>
      <c r="AJ359" s="1333"/>
    </row>
    <row r="360" spans="1:49" s="17" customFormat="1" x14ac:dyDescent="0.25">
      <c r="A360" s="1518" t="str">
        <f>IF(CD50_apply="Yes",IF(COUNTIF('03 - 50% CD'!D360:G360,"Y")&gt;0,"Y",IF(COUNTIF('03 - 50% CD'!D360:G360,"N"),"N","")),"")</f>
        <v>N</v>
      </c>
      <c r="B360" s="141"/>
      <c r="C360" s="944"/>
      <c r="D360" s="411"/>
      <c r="E360" s="321"/>
      <c r="F360" s="559" t="str">
        <f>IF('C-Design&amp;Const'!$O360="","",'C-Design&amp;Const'!$O360)</f>
        <v>N</v>
      </c>
      <c r="G360" s="491"/>
      <c r="H360" s="355" t="str">
        <f>CONCATENATE(IF(F360="N","PLACEHOLDER ROW - ",""),'C-Design&amp;Const'!Z360,IF(F360="N","",J360))</f>
        <v xml:space="preserve">PLACEHOLDER ROW - CUSTOM - Telecom  </v>
      </c>
      <c r="I360" s="151"/>
      <c r="J360" s="578" t="str">
        <f>IF('C-Design&amp;Const'!AH360="","",'C-Design&amp;Const'!AH360)</f>
        <v>(Complete)</v>
      </c>
      <c r="K360" s="285" t="str">
        <f>IF(CD50_apply="Yes",IF((COUNTIF(D360:G360,"Y")=COUNTIF('03 - 50% CD'!D360:G360,"Y")),"match","no 50% match"),"-")</f>
        <v>match</v>
      </c>
      <c r="L360" s="1410" t="str">
        <f t="shared" si="16"/>
        <v>&lt;---PM/Planner may hide PLACEHOLDER ROW</v>
      </c>
      <c r="M360" s="1333"/>
      <c r="N360" s="1333"/>
      <c r="O360" s="1333"/>
      <c r="P360" s="1333"/>
      <c r="Q360" s="1333"/>
      <c r="R360" s="1453"/>
      <c r="S360" s="1284"/>
      <c r="T360" s="1382"/>
      <c r="U360" s="1382"/>
      <c r="V360" s="1333"/>
      <c r="W360" s="1333"/>
      <c r="X360" s="1333"/>
      <c r="Y360" s="1333"/>
      <c r="Z360" s="1333"/>
      <c r="AA360" s="1333"/>
      <c r="AB360" s="1333"/>
      <c r="AC360" s="1333"/>
      <c r="AD360" s="1333"/>
      <c r="AE360" s="1333"/>
      <c r="AF360" s="1333"/>
      <c r="AG360" s="1333"/>
      <c r="AH360" s="1333"/>
      <c r="AI360" s="1333"/>
      <c r="AJ360" s="1333"/>
    </row>
    <row r="361" spans="1:49" s="17" customFormat="1" x14ac:dyDescent="0.25">
      <c r="A361" s="1518" t="str">
        <f>IF(CD50_apply="Yes",IF(COUNTIF('03 - 50% CD'!D361:G361,"Y")&gt;0,"Y",IF(COUNTIF('03 - 50% CD'!D361:G361,"N"),"N","")),"")</f>
        <v>Y</v>
      </c>
      <c r="B361" s="141"/>
      <c r="C361" s="944"/>
      <c r="D361" s="411"/>
      <c r="E361" s="321"/>
      <c r="F361" s="559" t="str">
        <f>IF('C-Design&amp;Const'!$O361="","",'C-Design&amp;Const'!$O361)</f>
        <v>Y</v>
      </c>
      <c r="G361" s="485"/>
      <c r="H361" s="355" t="str">
        <f>CONCATENATE(IF(F361="N","PLACEHOLDER ROW - ",""),'C-Design&amp;Const'!Z361,IF(F361="N","",J361))</f>
        <v>Telecom Symbols, Abbreviations, and General Notes (Complete)</v>
      </c>
      <c r="I361" s="151"/>
      <c r="J361" s="578" t="str">
        <f>IF('C-Design&amp;Const'!AH361="","",'C-Design&amp;Const'!AH361)</f>
        <v>(Complete)</v>
      </c>
      <c r="K361" s="285" t="str">
        <f>IF(CD50_apply="Yes",IF((COUNTIF(D361:G361,"Y")=COUNTIF('03 - 50% CD'!D361:G361,"Y")),"match","no 50% match"),"-")</f>
        <v>match</v>
      </c>
      <c r="L361" s="1410" t="str">
        <f t="shared" si="16"/>
        <v/>
      </c>
      <c r="M361" s="1333"/>
      <c r="N361" s="1333"/>
      <c r="O361" s="1333"/>
      <c r="P361" s="1333"/>
      <c r="Q361" s="1333"/>
      <c r="R361" s="1453"/>
      <c r="S361" s="1284"/>
      <c r="T361" s="1382"/>
      <c r="U361" s="1382"/>
      <c r="V361" s="1333"/>
      <c r="W361" s="1333"/>
      <c r="X361" s="1333"/>
      <c r="Y361" s="1333"/>
      <c r="Z361" s="1333"/>
      <c r="AA361" s="1333"/>
      <c r="AB361" s="1333"/>
      <c r="AC361" s="1333"/>
      <c r="AD361" s="1333"/>
      <c r="AE361" s="1333"/>
      <c r="AF361" s="1333"/>
      <c r="AG361" s="1333"/>
      <c r="AH361" s="1333"/>
      <c r="AI361" s="1333"/>
      <c r="AJ361" s="1333"/>
    </row>
    <row r="362" spans="1:49" s="17" customFormat="1" x14ac:dyDescent="0.25">
      <c r="A362" s="1518" t="str">
        <f>IF(CD50_apply="Yes",IF(COUNTIF('03 - 50% CD'!D362:G362,"Y")&gt;0,"Y",IF(COUNTIF('03 - 50% CD'!D362:G362,"N"),"N","")),"")</f>
        <v>Y</v>
      </c>
      <c r="B362" s="141"/>
      <c r="C362" s="944"/>
      <c r="D362" s="411"/>
      <c r="E362" s="321"/>
      <c r="F362" s="559" t="str">
        <f>IF('C-Design&amp;Const'!$O362="","",'C-Design&amp;Const'!$O362)</f>
        <v>Y</v>
      </c>
      <c r="G362" s="485"/>
      <c r="H362" s="355" t="str">
        <f>CONCATENATE(IF(F362="N","PLACEHOLDER ROW - ",""),'C-Design&amp;Const'!Z362,IF(F362="N","",J362))</f>
        <v>Telecom Demolition(s) (Complete)</v>
      </c>
      <c r="I362" s="151"/>
      <c r="J362" s="578" t="str">
        <f>IF('C-Design&amp;Const'!AH362="","",'C-Design&amp;Const'!AH362)</f>
        <v>(Complete)</v>
      </c>
      <c r="K362" s="285" t="str">
        <f>IF(CD50_apply="Yes",IF((COUNTIF(D362:G362,"Y")=COUNTIF('03 - 50% CD'!D362:G362,"Y")),"match","no 50% match"),"-")</f>
        <v>match</v>
      </c>
      <c r="L362" s="1410" t="str">
        <f t="shared" si="16"/>
        <v/>
      </c>
      <c r="M362" s="1333"/>
      <c r="N362" s="1333"/>
      <c r="O362" s="1333"/>
      <c r="P362" s="1333"/>
      <c r="Q362" s="1333"/>
      <c r="R362" s="1453"/>
      <c r="S362" s="1284"/>
      <c r="T362" s="1382"/>
      <c r="U362" s="1382"/>
      <c r="V362" s="1333"/>
      <c r="W362" s="1333"/>
      <c r="X362" s="1333"/>
      <c r="Y362" s="1333"/>
      <c r="Z362" s="1333"/>
      <c r="AA362" s="1333"/>
      <c r="AB362" s="1333"/>
      <c r="AC362" s="1333"/>
      <c r="AD362" s="1333"/>
      <c r="AE362" s="1333"/>
      <c r="AF362" s="1333"/>
      <c r="AG362" s="1333"/>
      <c r="AH362" s="1333"/>
      <c r="AI362" s="1333"/>
      <c r="AJ362" s="1333"/>
    </row>
    <row r="363" spans="1:49" x14ac:dyDescent="0.25">
      <c r="A363" s="1518" t="str">
        <f>IF(CD50_apply="Yes",IF(COUNTIF('03 - 50% CD'!D363:G363,"Y")&gt;0,"Y",IF(COUNTIF('03 - 50% CD'!D363:G363,"N"),"N","")),"")</f>
        <v>Y</v>
      </c>
      <c r="B363" s="125"/>
      <c r="C363" s="944"/>
      <c r="D363" s="411"/>
      <c r="E363" s="321"/>
      <c r="F363" s="559" t="str">
        <f>IF('C-Design&amp;Const'!$O363="","",'C-Design&amp;Const'!$O363)</f>
        <v>Y</v>
      </c>
      <c r="G363" s="485"/>
      <c r="H363" s="355" t="str">
        <f>CONCATENATE(IF(F363="N","PLACEHOLDER ROW - ",""),'C-Design&amp;Const'!Z363,IF(F363="N","",J363))</f>
        <v>Telecom/Data Floor Plans w/ Devices   (Complete)</v>
      </c>
      <c r="I363" s="137"/>
      <c r="J363" s="578" t="str">
        <f>IF('C-Design&amp;Const'!AH363="","",'C-Design&amp;Const'!AH363)</f>
        <v>(Complete)</v>
      </c>
      <c r="K363" s="285" t="str">
        <f>IF(CD50_apply="Yes",IF((COUNTIF(D363:G363,"Y")=COUNTIF('03 - 50% CD'!D363:G363,"Y")),"match","no 50% match"),"-")</f>
        <v>match</v>
      </c>
      <c r="L363" s="1410" t="str">
        <f t="shared" si="16"/>
        <v/>
      </c>
      <c r="M363" s="1333"/>
      <c r="N363" s="1333"/>
      <c r="O363" s="1333"/>
      <c r="P363" s="1333"/>
      <c r="Q363" s="1333"/>
      <c r="R363" s="1453"/>
      <c r="S363" s="1284"/>
      <c r="T363" s="1382"/>
      <c r="U363" s="1382"/>
      <c r="V363" s="1333"/>
      <c r="W363" s="1333"/>
      <c r="X363" s="1333"/>
      <c r="Y363" s="1333"/>
      <c r="Z363" s="1333"/>
      <c r="AA363" s="1333"/>
      <c r="AB363" s="1333"/>
      <c r="AC363" s="1333"/>
      <c r="AD363" s="1333"/>
      <c r="AE363" s="1333"/>
      <c r="AF363" s="1333"/>
      <c r="AG363" s="1333"/>
      <c r="AH363" s="1333"/>
      <c r="AI363" s="1333"/>
      <c r="AJ363" s="1333"/>
    </row>
    <row r="364" spans="1:49" x14ac:dyDescent="0.25">
      <c r="A364" s="1518" t="str">
        <f>IF(CD50_apply="Yes",IF(COUNTIF('03 - 50% CD'!D364:G364,"Y")&gt;0,"Y",IF(COUNTIF('03 - 50% CD'!D364:G364,"N"),"N","")),"")</f>
        <v>Y</v>
      </c>
      <c r="B364" s="125"/>
      <c r="C364" s="944"/>
      <c r="D364" s="411"/>
      <c r="E364" s="321"/>
      <c r="F364" s="559" t="str">
        <f>IF('C-Design&amp;Const'!$O364="","",'C-Design&amp;Const'!$O364)</f>
        <v>Y</v>
      </c>
      <c r="G364" s="485"/>
      <c r="H364" s="355" t="str">
        <f>CONCATENATE(IF(F364="N","PLACEHOLDER ROW - ",""),'C-Design&amp;Const'!Z364,IF(F364="N","",J364))</f>
        <v>Telecom/Data Raceway Distribution   (Complete)</v>
      </c>
      <c r="I364" s="137"/>
      <c r="J364" s="578" t="str">
        <f>IF('C-Design&amp;Const'!AH364="","",'C-Design&amp;Const'!AH364)</f>
        <v>(Complete)</v>
      </c>
      <c r="K364" s="285" t="str">
        <f>IF(CD50_apply="Yes",IF((COUNTIF(D364:G364,"Y")=COUNTIF('03 - 50% CD'!D364:G364,"Y")),"match","no 50% match"),"-")</f>
        <v>match</v>
      </c>
      <c r="L364" s="1410" t="str">
        <f t="shared" si="16"/>
        <v/>
      </c>
      <c r="M364" s="1333"/>
      <c r="N364" s="1333"/>
      <c r="O364" s="1333"/>
      <c r="P364" s="1333"/>
      <c r="Q364" s="1333"/>
      <c r="R364" s="1453"/>
      <c r="S364" s="1284"/>
      <c r="T364" s="1382"/>
      <c r="U364" s="1382"/>
      <c r="V364" s="1333"/>
      <c r="W364" s="1333"/>
      <c r="X364" s="1333"/>
      <c r="Y364" s="1333"/>
      <c r="Z364" s="1333"/>
      <c r="AA364" s="1333"/>
      <c r="AB364" s="1333"/>
      <c r="AC364" s="1333"/>
      <c r="AD364" s="1333"/>
      <c r="AE364" s="1333"/>
      <c r="AF364" s="1333"/>
      <c r="AG364" s="1333"/>
      <c r="AH364" s="1333"/>
      <c r="AI364" s="1333"/>
      <c r="AJ364" s="1333"/>
    </row>
    <row r="365" spans="1:49" x14ac:dyDescent="0.25">
      <c r="A365" s="1518" t="str">
        <f>IF(CD50_apply="Yes",IF(COUNTIF('03 - 50% CD'!D365:G365,"Y")&gt;0,"Y",IF(COUNTIF('03 - 50% CD'!D365:G365,"N"),"N","")),"")</f>
        <v>Y</v>
      </c>
      <c r="B365" s="125"/>
      <c r="C365" s="944"/>
      <c r="D365" s="411"/>
      <c r="E365" s="321"/>
      <c r="F365" s="559" t="str">
        <f>IF('C-Design&amp;Const'!$O365="","",'C-Design&amp;Const'!$O365)</f>
        <v>Y</v>
      </c>
      <c r="G365" s="485"/>
      <c r="H365" s="355" t="str">
        <f>CONCATENATE(IF(F365="N","PLACEHOLDER ROW - ",""),'C-Design&amp;Const'!Z365,IF(F365="N","",J365))</f>
        <v>Telecom/Data Riser Diagram   (Complete)</v>
      </c>
      <c r="I365" s="137"/>
      <c r="J365" s="578" t="str">
        <f>IF('C-Design&amp;Const'!AH365="","",'C-Design&amp;Const'!AH365)</f>
        <v>(Complete)</v>
      </c>
      <c r="K365" s="285" t="str">
        <f>IF(CD50_apply="Yes",IF((COUNTIF(D365:G365,"Y")=COUNTIF('03 - 50% CD'!D365:G365,"Y")),"match","no 50% match"),"-")</f>
        <v>match</v>
      </c>
      <c r="L365" s="1410" t="str">
        <f t="shared" si="16"/>
        <v/>
      </c>
      <c r="M365" s="1333"/>
      <c r="N365" s="1333"/>
      <c r="O365" s="1333"/>
      <c r="P365" s="1333"/>
      <c r="Q365" s="1333"/>
      <c r="R365" s="1284"/>
      <c r="S365" s="1284"/>
      <c r="T365" s="1382"/>
      <c r="U365" s="1382"/>
      <c r="V365" s="1333"/>
      <c r="W365" s="1333"/>
      <c r="X365" s="1333"/>
      <c r="Y365" s="1333"/>
      <c r="Z365" s="1333"/>
      <c r="AA365" s="1333"/>
      <c r="AB365" s="1333"/>
      <c r="AC365" s="1333"/>
      <c r="AD365" s="1333"/>
      <c r="AE365" s="1333"/>
      <c r="AF365" s="1333"/>
      <c r="AG365" s="1333"/>
      <c r="AH365" s="1333"/>
      <c r="AI365" s="1333"/>
      <c r="AJ365" s="1333"/>
    </row>
    <row r="366" spans="1:49" x14ac:dyDescent="0.25">
      <c r="A366" s="1518" t="str">
        <f>IF(CD50_apply="Yes",IF(COUNTIF('03 - 50% CD'!D366:G366,"Y")&gt;0,"Y",IF(COUNTIF('03 - 50% CD'!D366:G366,"N"),"N","")),"")</f>
        <v>Y</v>
      </c>
      <c r="B366" s="125"/>
      <c r="C366" s="944"/>
      <c r="D366" s="411"/>
      <c r="E366" s="321"/>
      <c r="F366" s="559" t="str">
        <f>IF('C-Design&amp;Const'!$O366="","",'C-Design&amp;Const'!$O366)</f>
        <v>Y</v>
      </c>
      <c r="G366" s="485"/>
      <c r="H366" s="355" t="str">
        <f>CONCATENATE(IF(F366="N","PLACEHOLDER ROW - ",""),'C-Design&amp;Const'!Z366,IF(F366="N","",J366))</f>
        <v>Telecom/Data Details and Sections (Complete)</v>
      </c>
      <c r="I366" s="137"/>
      <c r="J366" s="578" t="str">
        <f>IF('C-Design&amp;Const'!AH366="","",'C-Design&amp;Const'!AH366)</f>
        <v>(Complete)</v>
      </c>
      <c r="K366" s="285" t="str">
        <f>IF(CD50_apply="Yes",IF((COUNTIF(D366:G366,"Y")=COUNTIF('03 - 50% CD'!D366:G366,"Y")),"match","no 50% match"),"-")</f>
        <v>match</v>
      </c>
      <c r="L366" s="1410" t="str">
        <f t="shared" si="16"/>
        <v/>
      </c>
      <c r="M366" s="1333"/>
      <c r="N366" s="1333"/>
      <c r="O366" s="1333"/>
      <c r="P366" s="1333"/>
      <c r="Q366" s="1333"/>
      <c r="R366" s="1453"/>
      <c r="S366" s="1284"/>
      <c r="T366" s="1382"/>
      <c r="U366" s="1382"/>
      <c r="V366" s="1333"/>
      <c r="W366" s="1333"/>
      <c r="X366" s="1333"/>
      <c r="Y366" s="1333"/>
      <c r="Z366" s="1333"/>
      <c r="AA366" s="1333"/>
      <c r="AB366" s="1333"/>
      <c r="AC366" s="1333"/>
      <c r="AD366" s="1333"/>
      <c r="AE366" s="1333"/>
      <c r="AF366" s="1333"/>
      <c r="AG366" s="1333"/>
      <c r="AH366" s="1333"/>
      <c r="AI366" s="1333"/>
      <c r="AJ366" s="1333"/>
    </row>
    <row r="367" spans="1:49" s="30" customFormat="1" ht="15" customHeight="1" x14ac:dyDescent="0.25">
      <c r="A367" s="1407" t="str">
        <f>IF(CD50_apply="Yes",IF(COUNTIF('03 - 50% CD'!D367:G367,"Y")&gt;0,"Y",IF(COUNTIF('03 - 50% CD'!D367:G367,"N"),"N","")),"")</f>
        <v>Y</v>
      </c>
      <c r="B367" s="191"/>
      <c r="C367" s="944"/>
      <c r="D367" s="463"/>
      <c r="E367" s="359" t="str">
        <f>IF('C-Design&amp;Const'!$O367="","",'C-Design&amp;Const'!$O367)</f>
        <v>Y</v>
      </c>
      <c r="F367" s="235"/>
      <c r="G367" s="291"/>
      <c r="H367" s="416" t="str">
        <f>CONCATENATE(IF(F367="N","PLACEHOLDER ROW - ",""),'C-Design&amp;Const'!Z367,IF(F367="N","",J367))</f>
        <v>Audio Visual Drawings (Including Bid Alts.)</v>
      </c>
      <c r="I367" s="184"/>
      <c r="J367" s="578" t="str">
        <f>IF('C-Design&amp;Const'!AH367="","",'C-Design&amp;Const'!AH367)</f>
        <v xml:space="preserve"> (Including Bid Alts.)</v>
      </c>
      <c r="K367" s="285" t="str">
        <f>IF(CD50_apply="Yes",IF((COUNTIF(D367:G367,"Y")=COUNTIF('03 - 50% CD'!D367:G367,"Y")),"match","no 50% match"),"-")</f>
        <v>match</v>
      </c>
      <c r="L367" s="1410" t="str">
        <f t="shared" si="16"/>
        <v/>
      </c>
      <c r="M367" s="1382"/>
      <c r="N367" s="1333"/>
      <c r="O367" s="1382"/>
      <c r="P367" s="1382"/>
      <c r="Q367" s="1382"/>
      <c r="R367" s="1382"/>
      <c r="S367" s="1284"/>
      <c r="T367" s="1382"/>
      <c r="U367" s="1382"/>
      <c r="V367" s="1382"/>
      <c r="W367" s="1382"/>
      <c r="X367" s="1382"/>
      <c r="Y367" s="1382"/>
      <c r="Z367" s="1382"/>
      <c r="AA367" s="1382"/>
      <c r="AB367" s="1382"/>
      <c r="AC367" s="1382"/>
      <c r="AD367" s="1382"/>
      <c r="AE367" s="1382"/>
      <c r="AF367" s="1382"/>
      <c r="AG367" s="1382"/>
      <c r="AH367" s="1382"/>
      <c r="AI367" s="1382"/>
      <c r="AJ367" s="1382"/>
      <c r="AK367" s="181"/>
      <c r="AL367" s="181"/>
      <c r="AM367" s="181"/>
      <c r="AN367" s="181"/>
      <c r="AO367" s="181"/>
      <c r="AP367" s="181"/>
      <c r="AQ367" s="181"/>
      <c r="AR367" s="181"/>
      <c r="AS367" s="181"/>
      <c r="AT367" s="181"/>
      <c r="AU367" s="181"/>
      <c r="AV367" s="181"/>
      <c r="AW367" s="181"/>
    </row>
    <row r="368" spans="1:49" s="17" customFormat="1" x14ac:dyDescent="0.25">
      <c r="A368" s="1518" t="str">
        <f>IF(CD50_apply="Yes",IF(COUNTIF('03 - 50% CD'!D368:G368,"Y")&gt;0,"Y",IF(COUNTIF('03 - 50% CD'!D368:G368,"N"),"N","")),"")</f>
        <v>Y</v>
      </c>
      <c r="B368" s="141"/>
      <c r="C368" s="944"/>
      <c r="D368" s="411"/>
      <c r="E368" s="321"/>
      <c r="F368" s="559" t="str">
        <f>IF('C-Design&amp;Const'!$O368="","",'C-Design&amp;Const'!$O368)</f>
        <v>Y</v>
      </c>
      <c r="G368" s="485"/>
      <c r="H368" s="355" t="str">
        <f>CONCATENATE(IF(F368="N","PLACEHOLDER ROW - ",""),'C-Design&amp;Const'!Z368,IF(F368="N","",J368))</f>
        <v>Audio Visual Symbols, Abbreviations, and General Notes (Complete)</v>
      </c>
      <c r="I368" s="151"/>
      <c r="J368" s="578" t="str">
        <f>IF('C-Design&amp;Const'!AH368="","",'C-Design&amp;Const'!AH368)</f>
        <v>(Complete)</v>
      </c>
      <c r="K368" s="285" t="str">
        <f>IF(CD50_apply="Yes",IF((COUNTIF(D368:G368,"Y")=COUNTIF('03 - 50% CD'!D368:G368,"Y")),"match","no 50% match"),"-")</f>
        <v>match</v>
      </c>
      <c r="L368" s="1410" t="str">
        <f t="shared" ref="L368:L369" si="19">CONCATENATE(IF(ISNUMBER(SEARCH("Placeholder",H368))=TRUE,"&lt;---PM/Planner may hide PLACEHOLDER ROW",""))</f>
        <v/>
      </c>
      <c r="M368" s="1333"/>
      <c r="N368" s="1333"/>
      <c r="O368" s="1333"/>
      <c r="P368" s="1333"/>
      <c r="Q368" s="1333"/>
      <c r="R368" s="1453"/>
      <c r="S368" s="1284"/>
      <c r="T368" s="1382"/>
      <c r="U368" s="1382"/>
      <c r="V368" s="1333"/>
      <c r="W368" s="1333"/>
      <c r="X368" s="1333"/>
      <c r="Y368" s="1333"/>
      <c r="Z368" s="1333"/>
      <c r="AA368" s="1333"/>
      <c r="AB368" s="1333"/>
      <c r="AC368" s="1333"/>
      <c r="AD368" s="1333"/>
      <c r="AE368" s="1333"/>
      <c r="AF368" s="1333"/>
      <c r="AG368" s="1333"/>
      <c r="AH368" s="1333"/>
      <c r="AI368" s="1333"/>
      <c r="AJ368" s="1333"/>
    </row>
    <row r="369" spans="1:36" s="17" customFormat="1" x14ac:dyDescent="0.25">
      <c r="A369" s="1518" t="str">
        <f>IF(CD50_apply="Yes",IF(COUNTIF('03 - 50% CD'!D369:G369,"Y")&gt;0,"Y",IF(COUNTIF('03 - 50% CD'!D369:G369,"N"),"N","")),"")</f>
        <v>Y</v>
      </c>
      <c r="B369" s="141"/>
      <c r="C369" s="944"/>
      <c r="D369" s="411"/>
      <c r="E369" s="321"/>
      <c r="F369" s="559" t="str">
        <f>IF('C-Design&amp;Const'!$O369="","",'C-Design&amp;Const'!$O369)</f>
        <v>Y</v>
      </c>
      <c r="G369" s="485"/>
      <c r="H369" s="355" t="str">
        <f>CONCATENATE(IF(F369="N","PLACEHOLDER ROW - ",""),'C-Design&amp;Const'!Z369,IF(F369="N","",J369))</f>
        <v>A/V Demolition(s) (Complete)</v>
      </c>
      <c r="I369" s="151"/>
      <c r="J369" s="578" t="str">
        <f>IF('C-Design&amp;Const'!AH369="","",'C-Design&amp;Const'!AH369)</f>
        <v>(Complete)</v>
      </c>
      <c r="K369" s="285" t="str">
        <f>IF(CD50_apply="Yes",IF((COUNTIF(D369:G369,"Y")=COUNTIF('03 - 50% CD'!D369:G369,"Y")),"match","no 50% match"),"-")</f>
        <v>match</v>
      </c>
      <c r="L369" s="1410" t="str">
        <f t="shared" si="19"/>
        <v/>
      </c>
      <c r="M369" s="1333"/>
      <c r="N369" s="1333"/>
      <c r="O369" s="1333"/>
      <c r="P369" s="1333"/>
      <c r="Q369" s="1333"/>
      <c r="R369" s="1453"/>
      <c r="S369" s="1284"/>
      <c r="T369" s="1382"/>
      <c r="U369" s="1382"/>
      <c r="V369" s="1333"/>
      <c r="W369" s="1333"/>
      <c r="X369" s="1333"/>
      <c r="Y369" s="1333"/>
      <c r="Z369" s="1333"/>
      <c r="AA369" s="1333"/>
      <c r="AB369" s="1333"/>
      <c r="AC369" s="1333"/>
      <c r="AD369" s="1333"/>
      <c r="AE369" s="1333"/>
      <c r="AF369" s="1333"/>
      <c r="AG369" s="1333"/>
      <c r="AH369" s="1333"/>
      <c r="AI369" s="1333"/>
      <c r="AJ369" s="1333"/>
    </row>
    <row r="370" spans="1:36" ht="45" x14ac:dyDescent="0.25">
      <c r="A370" s="1518" t="str">
        <f>IF(CD50_apply="Yes",IF(COUNTIF('03 - 50% CD'!D370:G370,"Y")&gt;0,"Y",IF(COUNTIF('03 - 50% CD'!D370:G370,"N"),"N","")),"")</f>
        <v>Y</v>
      </c>
      <c r="B370" s="125"/>
      <c r="C370" s="944"/>
      <c r="D370" s="411"/>
      <c r="E370" s="321"/>
      <c r="F370" s="559" t="str">
        <f>IF('C-Design&amp;Const'!$O370="","",'C-Design&amp;Const'!$O370)</f>
        <v>Y</v>
      </c>
      <c r="G370" s="485"/>
      <c r="H370" s="355" t="str">
        <f>CONCATENATE(IF(F370="N","PLACEHOLDER ROW - ",""),'C-Design&amp;Const'!Z370,IF(F370="N","",J370))</f>
        <v>AV System Floor Plans.  Equipment identified, Equipment Clearance &amp; Throw Distances Dimensioned, Power, Conduit &amp; Backbox Layouts Shown.  Cables shown separated by type/signal level; all Cables Leaving Room Clearly Shown. (Complete)</v>
      </c>
      <c r="I370" s="137"/>
      <c r="J370" s="578" t="str">
        <f>IF('C-Design&amp;Const'!AH370="","",'C-Design&amp;Const'!AH370)</f>
        <v>(Complete)</v>
      </c>
      <c r="K370" s="285" t="str">
        <f>IF(CD50_apply="Yes",IF((COUNTIF(D370:G370,"Y")=COUNTIF('03 - 50% CD'!D370:G370,"Y")),"match","no 50% match"),"-")</f>
        <v>match</v>
      </c>
      <c r="L370" s="1410" t="str">
        <f t="shared" si="16"/>
        <v/>
      </c>
      <c r="M370" s="1333"/>
      <c r="N370" s="1333"/>
      <c r="O370" s="1333"/>
      <c r="P370" s="1333"/>
      <c r="Q370" s="1333"/>
      <c r="R370" s="1453"/>
      <c r="S370" s="1284"/>
      <c r="T370" s="1382"/>
      <c r="U370" s="1382"/>
      <c r="V370" s="1333"/>
      <c r="W370" s="1333"/>
      <c r="X370" s="1333"/>
      <c r="Y370" s="1333"/>
      <c r="Z370" s="1333"/>
      <c r="AA370" s="1333"/>
      <c r="AB370" s="1333"/>
      <c r="AC370" s="1333"/>
      <c r="AD370" s="1333"/>
      <c r="AE370" s="1333"/>
      <c r="AF370" s="1333"/>
      <c r="AG370" s="1333"/>
      <c r="AH370" s="1333"/>
      <c r="AI370" s="1333"/>
      <c r="AJ370" s="1333"/>
    </row>
    <row r="371" spans="1:36" ht="75" x14ac:dyDescent="0.25">
      <c r="A371" s="1518" t="str">
        <f>IF(CD50_apply="Yes",IF(COUNTIF('03 - 50% CD'!D371:G371,"Y")&gt;0,"Y",IF(COUNTIF('03 - 50% CD'!D371:G371,"N"),"N","")),"")</f>
        <v>Y</v>
      </c>
      <c r="B371" s="125"/>
      <c r="C371" s="944"/>
      <c r="D371" s="411"/>
      <c r="E371" s="321"/>
      <c r="F371" s="559" t="str">
        <f>IF('C-Design&amp;Const'!$O371="","",'C-Design&amp;Const'!$O371)</f>
        <v>Y</v>
      </c>
      <c r="G371" s="485"/>
      <c r="H371" s="355" t="str">
        <f>CONCATENATE(IF(F371="N","PLACEHOLDER ROW - ",""),'C-Design&amp;Const'!Z371,IF(F371="N","",J371))</f>
        <v>AV System Details:  Equipment Installation Details, AV Rack Elevations for each Rack, Major Equipment Components Located in the Rack, Custom Plate Details, and Plates Associated with Equipment Plans and System Line Diagrams.  Equipment Mounting Details which Support More than 40 Pounds shall be stamped by a Licensed Structural Engineer. (Complete)</v>
      </c>
      <c r="I371" s="137"/>
      <c r="J371" s="578" t="str">
        <f>IF('C-Design&amp;Const'!AH371="","",'C-Design&amp;Const'!AH371)</f>
        <v>(Complete)</v>
      </c>
      <c r="K371" s="285" t="str">
        <f>IF(CD50_apply="Yes",IF((COUNTIF(D371:G371,"Y")=COUNTIF('03 - 50% CD'!D371:G371,"Y")),"match","no 50% match"),"-")</f>
        <v>match</v>
      </c>
      <c r="L371" s="1410" t="str">
        <f t="shared" si="16"/>
        <v/>
      </c>
      <c r="M371" s="1333"/>
      <c r="N371" s="1333"/>
      <c r="O371" s="1333"/>
      <c r="P371" s="1333"/>
      <c r="Q371" s="1333"/>
      <c r="R371" s="1453"/>
      <c r="S371" s="1284"/>
      <c r="T371" s="1382"/>
      <c r="U371" s="1382"/>
      <c r="V371" s="1333"/>
      <c r="W371" s="1333"/>
      <c r="X371" s="1333"/>
      <c r="Y371" s="1333"/>
      <c r="Z371" s="1333"/>
      <c r="AA371" s="1333"/>
      <c r="AB371" s="1333"/>
      <c r="AC371" s="1333"/>
      <c r="AD371" s="1333"/>
      <c r="AE371" s="1333"/>
      <c r="AF371" s="1333"/>
      <c r="AG371" s="1333"/>
      <c r="AH371" s="1333"/>
      <c r="AI371" s="1333"/>
      <c r="AJ371" s="1333"/>
    </row>
    <row r="372" spans="1:36" x14ac:dyDescent="0.25">
      <c r="A372" s="1518" t="str">
        <f>IF(CD50_apply="Yes",IF(COUNTIF('03 - 50% CD'!D372:G372,"Y")&gt;0,"Y",IF(COUNTIF('03 - 50% CD'!D372:G372,"N"),"N","")),"")</f>
        <v>Y</v>
      </c>
      <c r="B372" s="125"/>
      <c r="C372" s="944"/>
      <c r="D372" s="411"/>
      <c r="E372" s="321"/>
      <c r="F372" s="559" t="str">
        <f>IF('C-Design&amp;Const'!$O372="","",'C-Design&amp;Const'!$O372)</f>
        <v>Y</v>
      </c>
      <c r="G372" s="485"/>
      <c r="H372" s="523" t="str">
        <f>CONCATENATE(IF(F372="N","PLACEHOLDER ROW - ",""),'C-Design&amp;Const'!Z372,IF(F372="N","",J372))</f>
        <v>AV System Line Diagrams, showing: (Complete)</v>
      </c>
      <c r="I372" s="137"/>
      <c r="J372" s="578" t="str">
        <f>IF('C-Design&amp;Const'!AH372="","",'C-Design&amp;Const'!AH372)</f>
        <v>(Complete)</v>
      </c>
      <c r="K372" s="285" t="str">
        <f>IF(CD50_apply="Yes",IF((COUNTIF(D372:G372,"Y")=COUNTIF('03 - 50% CD'!D372:G372,"Y")),"match","no 50% match"),"-")</f>
        <v>match</v>
      </c>
      <c r="L372" s="1410" t="str">
        <f t="shared" si="16"/>
        <v/>
      </c>
      <c r="M372" s="1333"/>
      <c r="N372" s="1333"/>
      <c r="O372" s="1333"/>
      <c r="P372" s="1333"/>
      <c r="Q372" s="1333"/>
      <c r="R372" s="1453"/>
      <c r="S372" s="1284"/>
      <c r="T372" s="1382"/>
      <c r="U372" s="1382"/>
      <c r="V372" s="1333"/>
      <c r="W372" s="1333"/>
      <c r="X372" s="1333"/>
      <c r="Y372" s="1333"/>
      <c r="Z372" s="1333"/>
      <c r="AA372" s="1333"/>
      <c r="AB372" s="1333"/>
      <c r="AC372" s="1333"/>
      <c r="AD372" s="1333"/>
      <c r="AE372" s="1333"/>
      <c r="AF372" s="1333"/>
      <c r="AG372" s="1333"/>
      <c r="AH372" s="1333"/>
      <c r="AI372" s="1333"/>
      <c r="AJ372" s="1333"/>
    </row>
    <row r="373" spans="1:36" x14ac:dyDescent="0.25">
      <c r="A373" s="1518" t="str">
        <f>IF(CD50_apply="Yes",IF(COUNTIF('03 - 50% CD'!D373:G373,"Y")&gt;0,"Y",IF(COUNTIF('03 - 50% CD'!D373:G373,"N"),"N","")),"")</f>
        <v>Y</v>
      </c>
      <c r="B373" s="125"/>
      <c r="C373" s="944"/>
      <c r="D373" s="411"/>
      <c r="E373" s="321"/>
      <c r="F373" s="524"/>
      <c r="G373" s="559" t="str">
        <f>IF('C-Design&amp;Const'!$O373="","",'C-Design&amp;Const'!$O373)</f>
        <v>Y</v>
      </c>
      <c r="H373" s="525" t="str">
        <f>CONCATENATE(IF(G373="N","PLACEHOLDER ROW - ",""),'C-Design&amp;Const'!Z373,IF(G373="N","",J373))</f>
        <v>Signal flow from input to output, left to right (Complete)</v>
      </c>
      <c r="I373" s="150"/>
      <c r="J373" s="578" t="str">
        <f>IF('C-Design&amp;Const'!AH373="","",'C-Design&amp;Const'!AH373)</f>
        <v>(Complete)</v>
      </c>
      <c r="K373" s="285" t="str">
        <f>IF(CD50_apply="Yes",IF((COUNTIF(D373:G373,"Y")=COUNTIF('03 - 50% CD'!D373:G373,"Y")),"match","no 50% match"),"-")</f>
        <v>match</v>
      </c>
      <c r="L373" s="1410" t="str">
        <f t="shared" si="16"/>
        <v/>
      </c>
      <c r="M373" s="1333"/>
      <c r="N373" s="1333"/>
      <c r="O373" s="1333"/>
      <c r="P373" s="1333"/>
      <c r="Q373" s="1333"/>
      <c r="R373" s="1446"/>
      <c r="S373" s="1284"/>
      <c r="T373" s="1382"/>
      <c r="U373" s="1382"/>
      <c r="V373" s="1333"/>
      <c r="W373" s="1333"/>
      <c r="X373" s="1333"/>
      <c r="Y373" s="1333"/>
      <c r="Z373" s="1333"/>
      <c r="AA373" s="1333"/>
      <c r="AB373" s="1333"/>
      <c r="AC373" s="1333"/>
      <c r="AD373" s="1333"/>
      <c r="AE373" s="1333"/>
      <c r="AF373" s="1333"/>
      <c r="AG373" s="1333"/>
      <c r="AH373" s="1333"/>
      <c r="AI373" s="1333"/>
      <c r="AJ373" s="1333"/>
    </row>
    <row r="374" spans="1:36" ht="30" x14ac:dyDescent="0.25">
      <c r="A374" s="1518" t="str">
        <f>IF(CD50_apply="Yes",IF(COUNTIF('03 - 50% CD'!D374:G374,"Y")&gt;0,"Y",IF(COUNTIF('03 - 50% CD'!D374:G374,"N"),"N","")),"")</f>
        <v>Y</v>
      </c>
      <c r="B374" s="125"/>
      <c r="C374" s="944"/>
      <c r="D374" s="411"/>
      <c r="E374" s="321"/>
      <c r="F374" s="524"/>
      <c r="G374" s="559" t="str">
        <f>IF('C-Design&amp;Const'!$O374="","",'C-Design&amp;Const'!$O374)</f>
        <v>Y</v>
      </c>
      <c r="H374" s="525" t="str">
        <f>CONCATENATE(IF(G374="N","PLACEHOLDER ROW - ",""),'C-Design&amp;Const'!Z374,IF(G374="N","",J374))</f>
        <v>Major pieces of equipment identified by manufacturer, model number &amp; description (Complete)</v>
      </c>
      <c r="I374" s="150"/>
      <c r="J374" s="578" t="str">
        <f>IF('C-Design&amp;Const'!AH374="","",'C-Design&amp;Const'!AH374)</f>
        <v>(Complete)</v>
      </c>
      <c r="K374" s="285" t="str">
        <f>IF(CD50_apply="Yes",IF((COUNTIF(D374:G374,"Y")=COUNTIF('03 - 50% CD'!D374:G374,"Y")),"match","no 50% match"),"-")</f>
        <v>match</v>
      </c>
      <c r="L374" s="1410" t="str">
        <f t="shared" si="16"/>
        <v/>
      </c>
      <c r="M374" s="1333"/>
      <c r="N374" s="1333"/>
      <c r="O374" s="1333"/>
      <c r="P374" s="1333"/>
      <c r="Q374" s="1333"/>
      <c r="R374" s="1444"/>
      <c r="S374" s="1284"/>
      <c r="T374" s="1382"/>
      <c r="U374" s="1382"/>
      <c r="V374" s="1333"/>
      <c r="W374" s="1333"/>
      <c r="X374" s="1333"/>
      <c r="Y374" s="1333"/>
      <c r="Z374" s="1333"/>
      <c r="AA374" s="1333"/>
      <c r="AB374" s="1333"/>
      <c r="AC374" s="1333"/>
      <c r="AD374" s="1333"/>
      <c r="AE374" s="1333"/>
      <c r="AF374" s="1333"/>
      <c r="AG374" s="1333"/>
      <c r="AH374" s="1333"/>
      <c r="AI374" s="1333"/>
      <c r="AJ374" s="1333"/>
    </row>
    <row r="375" spans="1:36" x14ac:dyDescent="0.25">
      <c r="A375" s="1518" t="str">
        <f>IF(CD50_apply="Yes",IF(COUNTIF('03 - 50% CD'!D375:G375,"Y")&gt;0,"Y",IF(COUNTIF('03 - 50% CD'!D375:G375,"N"),"N","")),"")</f>
        <v>Y</v>
      </c>
      <c r="B375" s="125"/>
      <c r="C375" s="944"/>
      <c r="D375" s="411"/>
      <c r="E375" s="321"/>
      <c r="F375" s="524"/>
      <c r="G375" s="559" t="str">
        <f>IF('C-Design&amp;Const'!$O375="","",'C-Design&amp;Const'!$O375)</f>
        <v>Y</v>
      </c>
      <c r="H375" s="525" t="str">
        <f>CONCATENATE(IF(G375="N","PLACEHOLDER ROW - ",""),'C-Design&amp;Const'!Z375,IF(G375="N","",J375))</f>
        <v>Equipment associated with plans and details (Complete)</v>
      </c>
      <c r="I375" s="150"/>
      <c r="J375" s="578" t="str">
        <f>IF('C-Design&amp;Const'!AH375="","",'C-Design&amp;Const'!AH375)</f>
        <v>(Complete)</v>
      </c>
      <c r="K375" s="285" t="str">
        <f>IF(CD50_apply="Yes",IF((COUNTIF(D375:G375,"Y")=COUNTIF('03 - 50% CD'!D375:G375,"Y")),"match","no 50% match"),"-")</f>
        <v>match</v>
      </c>
      <c r="L375" s="1410" t="str">
        <f t="shared" si="16"/>
        <v/>
      </c>
      <c r="M375" s="1333"/>
      <c r="N375" s="1333"/>
      <c r="O375" s="1333"/>
      <c r="P375" s="1333"/>
      <c r="Q375" s="1333"/>
      <c r="R375" s="1487"/>
      <c r="S375" s="1284"/>
      <c r="T375" s="1382"/>
      <c r="U375" s="1382"/>
      <c r="V375" s="1333"/>
      <c r="W375" s="1333"/>
      <c r="X375" s="1333"/>
      <c r="Y375" s="1333"/>
      <c r="Z375" s="1333"/>
      <c r="AA375" s="1333"/>
      <c r="AB375" s="1333"/>
      <c r="AC375" s="1333"/>
      <c r="AD375" s="1333"/>
      <c r="AE375" s="1333"/>
      <c r="AF375" s="1333"/>
      <c r="AG375" s="1333"/>
      <c r="AH375" s="1333"/>
      <c r="AI375" s="1333"/>
      <c r="AJ375" s="1333"/>
    </row>
    <row r="376" spans="1:36" x14ac:dyDescent="0.25">
      <c r="A376" s="1518" t="str">
        <f>IF(CD50_apply="Yes",IF(COUNTIF('03 - 50% CD'!D376:G376,"Y")&gt;0,"Y",IF(COUNTIF('03 - 50% CD'!D376:G376,"N"),"N","")),"")</f>
        <v>Y</v>
      </c>
      <c r="B376" s="125"/>
      <c r="C376" s="944"/>
      <c r="D376" s="411"/>
      <c r="E376" s="321"/>
      <c r="F376" s="524"/>
      <c r="G376" s="559" t="str">
        <f>IF('C-Design&amp;Const'!$O376="","",'C-Design&amp;Const'!$O376)</f>
        <v>Y</v>
      </c>
      <c r="H376" s="525" t="str">
        <f>CONCATENATE(IF(G376="N","PLACEHOLDER ROW - ",""),'C-Design&amp;Const'!Z376,IF(G376="N","",J376))</f>
        <v>All field and rack cabling and signal type (Complete)</v>
      </c>
      <c r="I376" s="150"/>
      <c r="J376" s="578" t="str">
        <f>IF('C-Design&amp;Const'!AH376="","",'C-Design&amp;Const'!AH376)</f>
        <v>(Complete)</v>
      </c>
      <c r="K376" s="285" t="str">
        <f>IF(CD50_apply="Yes",IF((COUNTIF(D376:G376,"Y")=COUNTIF('03 - 50% CD'!D376:G376,"Y")),"match","no 50% match"),"-")</f>
        <v>match</v>
      </c>
      <c r="L376" s="1410" t="str">
        <f t="shared" si="16"/>
        <v/>
      </c>
      <c r="M376" s="1333"/>
      <c r="N376" s="1333"/>
      <c r="O376" s="1333"/>
      <c r="P376" s="1333"/>
      <c r="Q376" s="1333"/>
      <c r="R376" s="1444"/>
      <c r="S376" s="1284"/>
      <c r="T376" s="1382"/>
      <c r="U376" s="1382"/>
      <c r="V376" s="1333"/>
      <c r="W376" s="1333"/>
      <c r="X376" s="1333"/>
      <c r="Y376" s="1333"/>
      <c r="Z376" s="1333"/>
      <c r="AA376" s="1333"/>
      <c r="AB376" s="1333"/>
      <c r="AC376" s="1333"/>
      <c r="AD376" s="1333"/>
      <c r="AE376" s="1333"/>
      <c r="AF376" s="1333"/>
      <c r="AG376" s="1333"/>
      <c r="AH376" s="1333"/>
      <c r="AI376" s="1333"/>
      <c r="AJ376" s="1333"/>
    </row>
    <row r="377" spans="1:36" x14ac:dyDescent="0.25">
      <c r="A377" s="1518" t="str">
        <f>IF(CD50_apply="Yes",IF(COUNTIF('03 - 50% CD'!D377:G377,"Y")&gt;0,"Y",IF(COUNTIF('03 - 50% CD'!D377:G377,"N"),"N","")),"")</f>
        <v>Y</v>
      </c>
      <c r="B377" s="125"/>
      <c r="C377" s="944"/>
      <c r="D377" s="411"/>
      <c r="E377" s="321"/>
      <c r="F377" s="524"/>
      <c r="G377" s="559" t="str">
        <f>IF('C-Design&amp;Const'!$O377="","",'C-Design&amp;Const'!$O377)</f>
        <v>Y</v>
      </c>
      <c r="H377" s="525" t="str">
        <f>CONCATENATE(IF(G377="N","PLACEHOLDER ROW - ",""),'C-Design&amp;Const'!Z377,IF(G377="N","",J377))</f>
        <v>Video signal resolutions (Complete)</v>
      </c>
      <c r="I377" s="150"/>
      <c r="J377" s="578" t="str">
        <f>IF('C-Design&amp;Const'!AH377="","",'C-Design&amp;Const'!AH377)</f>
        <v>(Complete)</v>
      </c>
      <c r="K377" s="285" t="str">
        <f>IF(CD50_apply="Yes",IF((COUNTIF(D377:G377,"Y")=COUNTIF('03 - 50% CD'!D377:G377,"Y")),"match","no 50% match"),"-")</f>
        <v>match</v>
      </c>
      <c r="L377" s="1410" t="str">
        <f t="shared" si="16"/>
        <v/>
      </c>
      <c r="M377" s="1333"/>
      <c r="N377" s="1382"/>
      <c r="O377" s="1333"/>
      <c r="P377" s="1333"/>
      <c r="Q377" s="1333"/>
      <c r="R377" s="1284"/>
      <c r="S377" s="1284"/>
      <c r="T377" s="1382"/>
      <c r="U377" s="1382"/>
      <c r="V377" s="1333"/>
      <c r="W377" s="1333"/>
      <c r="X377" s="1333"/>
      <c r="Y377" s="1333"/>
      <c r="Z377" s="1333"/>
      <c r="AA377" s="1333"/>
      <c r="AB377" s="1333"/>
      <c r="AC377" s="1333"/>
      <c r="AD377" s="1333"/>
      <c r="AE377" s="1333"/>
      <c r="AF377" s="1333"/>
      <c r="AG377" s="1333"/>
      <c r="AH377" s="1333"/>
      <c r="AI377" s="1333"/>
      <c r="AJ377" s="1333"/>
    </row>
    <row r="378" spans="1:36" x14ac:dyDescent="0.25">
      <c r="A378" s="1518" t="str">
        <f>IF(CD50_apply="Yes",IF(COUNTIF('03 - 50% CD'!D378:G378,"Y")&gt;0,"Y",IF(COUNTIF('03 - 50% CD'!D378:G378,"N"),"N","")),"")</f>
        <v>Y</v>
      </c>
      <c r="B378" s="125"/>
      <c r="C378" s="944"/>
      <c r="D378" s="411"/>
      <c r="E378" s="321"/>
      <c r="F378" s="524"/>
      <c r="G378" s="559" t="str">
        <f>IF('C-Design&amp;Const'!$O378="","",'C-Design&amp;Const'!$O378)</f>
        <v>Y</v>
      </c>
      <c r="H378" s="525" t="str">
        <f>CONCATENATE(IF(G378="N","PLACEHOLDER ROW - ",""),'C-Design&amp;Const'!Z378,IF(G378="N","",J378))</f>
        <v>Manufacturer &amp; model number of all premade cables  (Complete)</v>
      </c>
      <c r="I378" s="150"/>
      <c r="J378" s="578" t="str">
        <f>IF('C-Design&amp;Const'!AH378="","",'C-Design&amp;Const'!AH378)</f>
        <v>(Complete)</v>
      </c>
      <c r="K378" s="285" t="str">
        <f>IF(CD50_apply="Yes",IF((COUNTIF(D378:G378,"Y")=COUNTIF('03 - 50% CD'!D378:G378,"Y")),"match","no 50% match"),"-")</f>
        <v>match</v>
      </c>
      <c r="L378" s="1410" t="str">
        <f t="shared" si="16"/>
        <v/>
      </c>
      <c r="M378" s="1333"/>
      <c r="N378" s="1333"/>
      <c r="O378" s="1333"/>
      <c r="P378" s="1333"/>
      <c r="Q378" s="1333"/>
      <c r="R378" s="1453"/>
      <c r="S378" s="1284"/>
      <c r="T378" s="1382"/>
      <c r="U378" s="1382"/>
      <c r="V378" s="1333"/>
      <c r="W378" s="1333"/>
      <c r="X378" s="1333"/>
      <c r="Y378" s="1333"/>
      <c r="Z378" s="1333"/>
      <c r="AA378" s="1333"/>
      <c r="AB378" s="1333"/>
      <c r="AC378" s="1333"/>
      <c r="AD378" s="1333"/>
      <c r="AE378" s="1333"/>
      <c r="AF378" s="1333"/>
      <c r="AG378" s="1333"/>
      <c r="AH378" s="1333"/>
      <c r="AI378" s="1333"/>
      <c r="AJ378" s="1333"/>
    </row>
    <row r="379" spans="1:36" x14ac:dyDescent="0.25">
      <c r="A379" s="1518" t="str">
        <f>IF(CD50_apply="Yes",IF(COUNTIF('03 - 50% CD'!D379:G379,"Y")&gt;0,"Y",IF(COUNTIF('03 - 50% CD'!D379:G379,"N"),"N","")),"")</f>
        <v>Y</v>
      </c>
      <c r="B379" s="125"/>
      <c r="C379" s="944"/>
      <c r="D379" s="411"/>
      <c r="E379" s="321"/>
      <c r="F379" s="524"/>
      <c r="G379" s="559" t="str">
        <f>IF('C-Design&amp;Const'!$O379="","",'C-Design&amp;Const'!$O379)</f>
        <v>Y</v>
      </c>
      <c r="H379" s="525" t="str">
        <f>CONCATENATE(IF(G379="N","PLACEHOLDER ROW - ",""),'C-Design&amp;Const'!Z379,IF(G379="N","",J379))</f>
        <v>Typical pin out details (Complete)</v>
      </c>
      <c r="I379" s="150"/>
      <c r="J379" s="578" t="str">
        <f>IF('C-Design&amp;Const'!AH379="","",'C-Design&amp;Const'!AH379)</f>
        <v>(Complete)</v>
      </c>
      <c r="K379" s="285" t="str">
        <f>IF(CD50_apply="Yes",IF((COUNTIF(D379:G379,"Y")=COUNTIF('03 - 50% CD'!D379:G379,"Y")),"match","no 50% match"),"-")</f>
        <v>match</v>
      </c>
      <c r="L379" s="1410" t="str">
        <f t="shared" si="16"/>
        <v/>
      </c>
      <c r="M379" s="1333"/>
      <c r="N379" s="1333"/>
      <c r="O379" s="1333"/>
      <c r="P379" s="1333"/>
      <c r="Q379" s="1333"/>
      <c r="R379" s="1453"/>
      <c r="S379" s="1284"/>
      <c r="T379" s="1382"/>
      <c r="U379" s="1382"/>
      <c r="V379" s="1333"/>
      <c r="W379" s="1333"/>
      <c r="X379" s="1333"/>
      <c r="Y379" s="1333"/>
      <c r="Z379" s="1333"/>
      <c r="AA379" s="1333"/>
      <c r="AB379" s="1333"/>
      <c r="AC379" s="1333"/>
      <c r="AD379" s="1333"/>
      <c r="AE379" s="1333"/>
      <c r="AF379" s="1333"/>
      <c r="AG379" s="1333"/>
      <c r="AH379" s="1333"/>
      <c r="AI379" s="1333"/>
      <c r="AJ379" s="1333"/>
    </row>
    <row r="380" spans="1:36" x14ac:dyDescent="0.25">
      <c r="A380" s="1518" t="str">
        <f>IF(CD50_apply="Yes",IF(COUNTIF('03 - 50% CD'!D380:G380,"Y")&gt;0,"Y",IF(COUNTIF('03 - 50% CD'!D380:G380,"N"),"N","")),"")</f>
        <v>Y</v>
      </c>
      <c r="B380" s="125"/>
      <c r="C380" s="944"/>
      <c r="D380" s="411"/>
      <c r="E380" s="321"/>
      <c r="F380" s="489" t="str">
        <f>IF('C-Design&amp;Const'!$O380="","",'C-Design&amp;Const'!$O380)</f>
        <v>Y</v>
      </c>
      <c r="G380" s="460"/>
      <c r="H380" s="355" t="str">
        <f>CONCATENATE(IF(F380="N","PLACEHOLDER ROW - ",""),'C-Design&amp;Const'!Z380,IF(F380="N","",J380))</f>
        <v>Video Security System – Approved Camera Locations (Complete)</v>
      </c>
      <c r="I380" s="150"/>
      <c r="J380" s="578" t="str">
        <f>IF('C-Design&amp;Const'!AH380="","",'C-Design&amp;Const'!AH380)</f>
        <v>(Complete)</v>
      </c>
      <c r="K380" s="285" t="str">
        <f>IF(CD50_apply="Yes",IF((COUNTIF(D380:G380,"Y")=COUNTIF('03 - 50% CD'!D380:G380,"Y")),"match","no 50% match"),"-")</f>
        <v>match</v>
      </c>
      <c r="L380" s="1410" t="str">
        <f t="shared" si="16"/>
        <v/>
      </c>
      <c r="M380" s="1333"/>
      <c r="N380" s="1333"/>
      <c r="O380" s="1333"/>
      <c r="P380" s="1333"/>
      <c r="Q380" s="1333"/>
      <c r="R380" s="1453"/>
      <c r="S380" s="1284"/>
      <c r="T380" s="1382"/>
      <c r="U380" s="1382"/>
      <c r="V380" s="1333"/>
      <c r="W380" s="1333"/>
      <c r="X380" s="1333"/>
      <c r="Y380" s="1333"/>
      <c r="Z380" s="1333"/>
      <c r="AA380" s="1333"/>
      <c r="AB380" s="1333"/>
      <c r="AC380" s="1333"/>
      <c r="AD380" s="1333"/>
      <c r="AE380" s="1333"/>
      <c r="AF380" s="1333"/>
      <c r="AG380" s="1333"/>
      <c r="AH380" s="1333"/>
      <c r="AI380" s="1333"/>
      <c r="AJ380" s="1333"/>
    </row>
    <row r="381" spans="1:36" s="17" customFormat="1" ht="15.75" x14ac:dyDescent="0.25">
      <c r="A381" s="1501" t="str">
        <f>IF(CD50_apply="Yes",IF(COUNTIF('03 - 50% CD'!D381:G381,"Y")&gt;0,"Y",IF(COUNTIF('03 - 50% CD'!D381:G381,"N"),"N","")),"")</f>
        <v/>
      </c>
      <c r="B381" s="141"/>
      <c r="C381" s="944"/>
      <c r="D381" s="411"/>
      <c r="E381" s="411"/>
      <c r="F381" s="321"/>
      <c r="G381" s="294"/>
      <c r="H381" s="296"/>
      <c r="I381" s="130"/>
      <c r="J381" s="578" t="str">
        <f>IF('C-Design&amp;Const'!AH381="","",'C-Design&amp;Const'!AH381)</f>
        <v/>
      </c>
      <c r="K381" s="285" t="str">
        <f>IF(CD50_apply="Yes",IF((COUNTIF(D381:G381,"Y")=COUNTIF('03 - 50% CD'!D381:G381,"Y")),"match","no 50% match"),"-")</f>
        <v>match</v>
      </c>
      <c r="L381" s="1410" t="str">
        <f t="shared" si="16"/>
        <v/>
      </c>
      <c r="M381" s="1333"/>
      <c r="N381" s="1382"/>
      <c r="O381" s="1333"/>
      <c r="P381" s="1333"/>
      <c r="Q381" s="1333"/>
      <c r="R381" s="1453"/>
      <c r="S381" s="1284"/>
      <c r="T381" s="1404"/>
      <c r="U381" s="1333"/>
      <c r="V381" s="1333"/>
      <c r="W381" s="1333"/>
      <c r="X381" s="1333"/>
      <c r="Y381" s="1333"/>
      <c r="Z381" s="1333"/>
      <c r="AA381" s="1333"/>
      <c r="AB381" s="1333"/>
      <c r="AC381" s="1333"/>
      <c r="AD381" s="1333"/>
      <c r="AE381" s="1333"/>
      <c r="AF381" s="1333"/>
      <c r="AG381" s="1333"/>
      <c r="AH381" s="1333"/>
      <c r="AI381" s="1333"/>
      <c r="AJ381" s="1333"/>
    </row>
    <row r="382" spans="1:36" s="181" customFormat="1" ht="18.75" x14ac:dyDescent="0.25">
      <c r="A382" s="1407" t="str">
        <f>IF(CD50_apply="Yes",IF(COUNTIF('03 - 50% CD'!D382:G382,"Y")&gt;0,"Y",IF(COUNTIF('03 - 50% CD'!D382:G382,"N"),"N","")),"")</f>
        <v>N</v>
      </c>
      <c r="B382" s="177"/>
      <c r="C382" s="948"/>
      <c r="D382" s="359" t="str">
        <f>IF('C-Design&amp;Const'!$O382="","",'C-Design&amp;Const'!$O382)</f>
        <v>N</v>
      </c>
      <c r="E382" s="234"/>
      <c r="F382" s="235"/>
      <c r="G382" s="291" t="str">
        <f>IF('C-Design&amp;Const'!Y382="","",'C-Design&amp;Const'!Y382)</f>
        <v>07b.</v>
      </c>
      <c r="H382" s="290" t="str">
        <f>CONCATENATE('C-Design&amp;Const'!Z382,IF(D382="N"," Not Used In This Design Phase",J382))</f>
        <v>Building Information Model (BIM) Not Used In This Design Phase</v>
      </c>
      <c r="I382" s="184"/>
      <c r="J382" s="578" t="str">
        <f>IF('C-Design&amp;Const'!AH382="","",'C-Design&amp;Const'!AH382)</f>
        <v xml:space="preserve"> (LOD of 300)</v>
      </c>
      <c r="K382" s="285" t="str">
        <f>IF(CD50_apply="Yes",IF((COUNTIF(D382:G382,"Y")=COUNTIF('03 - 50% CD'!D382:G382,"Y")),"match","no 50% match"),"-")</f>
        <v>match</v>
      </c>
      <c r="L382" s="1410" t="str">
        <f t="shared" si="16"/>
        <v/>
      </c>
      <c r="M382" s="1382"/>
      <c r="N382" s="1382"/>
      <c r="O382" s="1382"/>
      <c r="P382" s="1382"/>
      <c r="Q382" s="1382"/>
      <c r="R382" s="1447"/>
      <c r="S382" s="1448"/>
      <c r="T382" s="1404"/>
      <c r="U382" s="1382"/>
      <c r="V382" s="1382"/>
      <c r="W382" s="1382"/>
      <c r="X382" s="1382"/>
      <c r="Y382" s="1382"/>
      <c r="Z382" s="1382"/>
      <c r="AA382" s="1382"/>
      <c r="AB382" s="1382"/>
      <c r="AC382" s="1382"/>
      <c r="AD382" s="1382"/>
      <c r="AE382" s="1382"/>
      <c r="AF382" s="1382"/>
      <c r="AG382" s="1382"/>
      <c r="AH382" s="1382"/>
      <c r="AI382" s="1382"/>
      <c r="AJ382" s="1382"/>
    </row>
    <row r="383" spans="1:36" x14ac:dyDescent="0.25">
      <c r="A383" s="1407" t="str">
        <f>IF(CD50_apply="Yes",IF(COUNTIF('03 - 50% CD'!D383:G383,"Y")&gt;0,"Y",IF(COUNTIF('03 - 50% CD'!D383:G383,"N"),"N","")),"")</f>
        <v/>
      </c>
      <c r="B383" s="125"/>
      <c r="C383" s="944"/>
      <c r="D383" s="321"/>
      <c r="E383" s="321"/>
      <c r="F383" s="321"/>
      <c r="G383" s="294"/>
      <c r="H383" s="296"/>
      <c r="I383" s="130"/>
      <c r="J383" s="578" t="str">
        <f>IF('C-Design&amp;Const'!AH383="","",'C-Design&amp;Const'!AH383)</f>
        <v/>
      </c>
      <c r="K383" s="285" t="str">
        <f>IF(CD50_apply="Yes",IF((COUNTIF(D383:G383,"Y")=COUNTIF('03 - 50% CD'!D383:G383,"Y")),"match","no 50% match"),"-")</f>
        <v>match</v>
      </c>
      <c r="L383" s="1410" t="str">
        <f t="shared" si="16"/>
        <v/>
      </c>
      <c r="M383" s="1333"/>
      <c r="N383" s="1382"/>
      <c r="O383" s="1333"/>
      <c r="P383" s="1333"/>
      <c r="Q383" s="1333"/>
      <c r="R383" s="1453"/>
      <c r="S383" s="1284"/>
      <c r="T383" s="1284"/>
      <c r="U383" s="1333"/>
      <c r="V383" s="1333"/>
      <c r="W383" s="1333"/>
      <c r="X383" s="1333"/>
      <c r="Y383" s="1333"/>
      <c r="Z383" s="1333"/>
      <c r="AA383" s="1333"/>
      <c r="AB383" s="1333"/>
      <c r="AC383" s="1333"/>
      <c r="AD383" s="1333"/>
      <c r="AE383" s="1333"/>
      <c r="AF383" s="1333"/>
      <c r="AG383" s="1333"/>
      <c r="AH383" s="1333"/>
      <c r="AI383" s="1333"/>
      <c r="AJ383" s="1333"/>
    </row>
    <row r="384" spans="1:36" ht="15.75" hidden="1" x14ac:dyDescent="0.25">
      <c r="A384" s="1501" t="str">
        <f>IF(CD50_apply="Yes",IF(COUNTIF('03 - 50% CD'!D384:G384,"Y")&gt;0,"Y",IF(COUNTIF('03 - 50% CD'!D384:G384,"N"),"N","")),"")</f>
        <v/>
      </c>
      <c r="B384" s="125"/>
      <c r="C384" s="944"/>
      <c r="D384" s="321"/>
      <c r="E384" s="321"/>
      <c r="F384" s="321"/>
      <c r="G384" s="294"/>
      <c r="H384" s="296"/>
      <c r="I384" s="130"/>
      <c r="J384" s="578" t="str">
        <f>IF('C-Design&amp;Const'!AH384="","",'C-Design&amp;Const'!AH384)</f>
        <v/>
      </c>
      <c r="K384" s="285" t="str">
        <f>IF(CD50_apply="Yes",IF((COUNTIF(D384:G384,"Y")=COUNTIF('03 - 50% CD'!D384:G384,"Y")),"match","no 50% match"),"-")</f>
        <v>match</v>
      </c>
      <c r="L384" s="1410" t="str">
        <f t="shared" si="16"/>
        <v/>
      </c>
      <c r="M384" s="1333"/>
      <c r="N384" s="1382"/>
      <c r="O384" s="1333"/>
      <c r="P384" s="1333"/>
      <c r="Q384" s="1333"/>
      <c r="R384" s="1453"/>
      <c r="S384" s="1284"/>
      <c r="T384" s="1284"/>
      <c r="U384" s="1333"/>
      <c r="V384" s="1333"/>
      <c r="W384" s="1333"/>
      <c r="X384" s="1333"/>
      <c r="Y384" s="1333"/>
      <c r="Z384" s="1333"/>
      <c r="AA384" s="1333"/>
      <c r="AB384" s="1333"/>
      <c r="AC384" s="1333"/>
      <c r="AD384" s="1333"/>
      <c r="AE384" s="1333"/>
      <c r="AF384" s="1333"/>
      <c r="AG384" s="1333"/>
      <c r="AH384" s="1333"/>
      <c r="AI384" s="1333"/>
      <c r="AJ384" s="1333"/>
    </row>
    <row r="385" spans="1:50" s="181" customFormat="1" ht="18.75" x14ac:dyDescent="0.25">
      <c r="A385" s="1407" t="str">
        <f>IF(CD50_apply="Yes",IF(COUNTIF('03 - 50% CD'!D385:G385,"Y")&gt;0,"Y",IF(COUNTIF('03 - 50% CD'!D385:G385,"N"),"N","")),"")</f>
        <v>N</v>
      </c>
      <c r="B385" s="177"/>
      <c r="C385" s="944"/>
      <c r="D385" s="559" t="str">
        <f>IF('C-Design&amp;Const'!$O385="","",'C-Design&amp;Const'!$O385)</f>
        <v>N</v>
      </c>
      <c r="E385" s="234"/>
      <c r="F385" s="235"/>
      <c r="G385" s="291" t="str">
        <f>IF('C-Design&amp;Const'!Y385="","",'C-Design&amp;Const'!Y385)</f>
        <v>08a.</v>
      </c>
      <c r="H385" s="290" t="str">
        <f>CONCATENATE('C-Design&amp;Const'!Z385,IF(D385="N"," Not Used In This Design Phase",J385))</f>
        <v>Design Presentation Not Used In This Design Phase</v>
      </c>
      <c r="I385" s="184"/>
      <c r="J385" s="578" t="str">
        <f>IF('C-Design&amp;Const'!AH385="","",'C-Design&amp;Const'!AH385)</f>
        <v/>
      </c>
      <c r="K385" s="285" t="str">
        <f>IF(CD50_apply="Yes",IF((COUNTIF(D385:G385,"Y")=COUNTIF('03 - 50% CD'!D385:G385,"Y")),"match","no 50% match"),"-")</f>
        <v>match</v>
      </c>
      <c r="L385" s="1410" t="str">
        <f t="shared" si="16"/>
        <v/>
      </c>
      <c r="M385" s="1382"/>
      <c r="N385" s="1382"/>
      <c r="O385" s="1382"/>
      <c r="P385" s="1382"/>
      <c r="Q385" s="1382"/>
      <c r="R385" s="1447"/>
      <c r="S385" s="1448"/>
      <c r="T385" s="1274"/>
      <c r="U385" s="1382"/>
      <c r="V385" s="1382"/>
      <c r="W385" s="1382"/>
      <c r="X385" s="1382"/>
      <c r="Y385" s="1382"/>
      <c r="Z385" s="1382"/>
      <c r="AA385" s="1382"/>
      <c r="AB385" s="1382"/>
      <c r="AC385" s="1382"/>
      <c r="AD385" s="1382"/>
      <c r="AE385" s="1382"/>
      <c r="AF385" s="1382"/>
      <c r="AG385" s="1382"/>
      <c r="AH385" s="1382"/>
      <c r="AI385" s="1382"/>
      <c r="AJ385" s="1382"/>
      <c r="AX385" s="30"/>
    </row>
    <row r="386" spans="1:50" s="30" customFormat="1" hidden="1" x14ac:dyDescent="0.25">
      <c r="A386" s="1407" t="str">
        <f>IF(CD50_apply="Yes",IF(COUNTIF('03 - 50% CD'!D386:G386,"Y")&gt;0,"Y",IF(COUNTIF('03 - 50% CD'!D386:G386,"N"),"N","")),"")</f>
        <v>N</v>
      </c>
      <c r="B386" s="191"/>
      <c r="C386" s="944"/>
      <c r="D386" s="321"/>
      <c r="E386" s="559" t="str">
        <f>IF('C-Design&amp;Const'!$O386="","",'C-Design&amp;Const'!$O386)</f>
        <v>N</v>
      </c>
      <c r="F386" s="560"/>
      <c r="G386" s="558"/>
      <c r="H386" s="410" t="s">
        <v>305</v>
      </c>
      <c r="I386" s="186"/>
      <c r="J386" s="578" t="str">
        <f>IF('C-Design&amp;Const'!AH386="","",'C-Design&amp;Const'!AH386)</f>
        <v/>
      </c>
      <c r="K386" s="285" t="str">
        <f>IF(CD50_apply="Yes",IF((COUNTIF(D386:G386,"Y")=COUNTIF('03 - 50% CD'!D386:G386,"Y")),"match","no 50% match"),"-")</f>
        <v>match</v>
      </c>
      <c r="L386" s="1410" t="str">
        <f t="shared" si="16"/>
        <v>&lt;---PM/Planner may hide PLACEHOLDER ROW</v>
      </c>
      <c r="M386" s="1382"/>
      <c r="N386" s="1382"/>
      <c r="O386" s="1382"/>
      <c r="P386" s="1382"/>
      <c r="Q386" s="1382"/>
      <c r="R386" s="1490"/>
      <c r="S386" s="1274"/>
      <c r="T386" s="1274"/>
      <c r="U386" s="1382"/>
      <c r="V386" s="1382"/>
      <c r="W386" s="1382"/>
      <c r="X386" s="1382"/>
      <c r="Y386" s="1382"/>
      <c r="Z386" s="1382"/>
      <c r="AA386" s="1382"/>
      <c r="AB386" s="1382"/>
      <c r="AC386" s="1382"/>
      <c r="AD386" s="1382"/>
      <c r="AE386" s="1382"/>
      <c r="AF386" s="1382"/>
      <c r="AG386" s="1382"/>
      <c r="AH386" s="1382"/>
      <c r="AI386" s="1382"/>
      <c r="AJ386" s="1382"/>
      <c r="AK386" s="181"/>
      <c r="AL386" s="181"/>
      <c r="AM386" s="181"/>
      <c r="AN386" s="181"/>
      <c r="AO386" s="181"/>
      <c r="AP386" s="181"/>
      <c r="AQ386" s="181"/>
      <c r="AR386" s="181"/>
      <c r="AS386" s="181"/>
      <c r="AT386" s="181"/>
      <c r="AU386" s="181"/>
      <c r="AV386" s="181"/>
      <c r="AW386" s="181"/>
    </row>
    <row r="387" spans="1:50" s="30" customFormat="1" hidden="1" x14ac:dyDescent="0.25">
      <c r="A387" s="1407" t="str">
        <f>IF(CD50_apply="Yes",IF(COUNTIF('03 - 50% CD'!D387:G387,"Y")&gt;0,"Y",IF(COUNTIF('03 - 50% CD'!D387:G387,"N"),"N","")),"")</f>
        <v>N</v>
      </c>
      <c r="B387" s="191"/>
      <c r="C387" s="944"/>
      <c r="D387" s="321"/>
      <c r="E387" s="559" t="str">
        <f>IF('C-Design&amp;Const'!$O387="","",'C-Design&amp;Const'!$O387)</f>
        <v>N</v>
      </c>
      <c r="F387" s="560"/>
      <c r="G387" s="558"/>
      <c r="H387" s="410" t="s">
        <v>305</v>
      </c>
      <c r="I387" s="186"/>
      <c r="J387" s="578" t="str">
        <f>IF('C-Design&amp;Const'!AH387="","",'C-Design&amp;Const'!AH387)</f>
        <v/>
      </c>
      <c r="K387" s="285" t="str">
        <f>IF(CD50_apply="Yes",IF((COUNTIF(D387:G387,"Y")=COUNTIF('03 - 50% CD'!D387:G387,"Y")),"match","no 50% match"),"-")</f>
        <v>match</v>
      </c>
      <c r="L387" s="1410" t="str">
        <f t="shared" si="16"/>
        <v>&lt;---PM/Planner may hide PLACEHOLDER ROW</v>
      </c>
      <c r="M387" s="1382"/>
      <c r="N387" s="1382"/>
      <c r="O387" s="1382"/>
      <c r="P387" s="1382"/>
      <c r="Q387" s="1382"/>
      <c r="R387" s="1490"/>
      <c r="S387" s="1274"/>
      <c r="T387" s="1274"/>
      <c r="U387" s="1382"/>
      <c r="V387" s="1382"/>
      <c r="W387" s="1382"/>
      <c r="X387" s="1382"/>
      <c r="Y387" s="1382"/>
      <c r="Z387" s="1382"/>
      <c r="AA387" s="1382"/>
      <c r="AB387" s="1382"/>
      <c r="AC387" s="1382"/>
      <c r="AD387" s="1382"/>
      <c r="AE387" s="1382"/>
      <c r="AF387" s="1382"/>
      <c r="AG387" s="1382"/>
      <c r="AH387" s="1382"/>
      <c r="AI387" s="1382"/>
      <c r="AJ387" s="1382"/>
      <c r="AK387" s="181"/>
      <c r="AL387" s="181"/>
      <c r="AM387" s="181"/>
      <c r="AN387" s="181"/>
      <c r="AO387" s="181"/>
      <c r="AP387" s="181"/>
      <c r="AQ387" s="181"/>
      <c r="AR387" s="181"/>
      <c r="AS387" s="181"/>
      <c r="AT387" s="181"/>
      <c r="AU387" s="181"/>
      <c r="AV387" s="181"/>
      <c r="AW387" s="181"/>
    </row>
    <row r="388" spans="1:50" s="30" customFormat="1" hidden="1" x14ac:dyDescent="0.25">
      <c r="A388" s="1407" t="str">
        <f>IF(CD50_apply="Yes",IF(COUNTIF('03 - 50% CD'!D388:G388,"Y")&gt;0,"Y",IF(COUNTIF('03 - 50% CD'!D388:G388,"N"),"N","")),"")</f>
        <v>N</v>
      </c>
      <c r="B388" s="191"/>
      <c r="C388" s="944"/>
      <c r="D388" s="321"/>
      <c r="E388" s="559" t="str">
        <f>IF('C-Design&amp;Const'!$O388="","",'C-Design&amp;Const'!$O388)</f>
        <v>N</v>
      </c>
      <c r="F388" s="560"/>
      <c r="G388" s="558"/>
      <c r="H388" s="410" t="s">
        <v>305</v>
      </c>
      <c r="I388" s="186"/>
      <c r="J388" s="578" t="str">
        <f>IF('C-Design&amp;Const'!AH388="","",'C-Design&amp;Const'!AH388)</f>
        <v/>
      </c>
      <c r="K388" s="285" t="str">
        <f>IF(CD50_apply="Yes",IF((COUNTIF(D388:G388,"Y")=COUNTIF('03 - 50% CD'!D388:G388,"Y")),"match","no 50% match"),"-")</f>
        <v>match</v>
      </c>
      <c r="L388" s="1410" t="str">
        <f t="shared" si="16"/>
        <v>&lt;---PM/Planner may hide PLACEHOLDER ROW</v>
      </c>
      <c r="M388" s="1382"/>
      <c r="N388" s="1382"/>
      <c r="O388" s="1382"/>
      <c r="P388" s="1382"/>
      <c r="Q388" s="1382"/>
      <c r="R388" s="1490"/>
      <c r="S388" s="1274"/>
      <c r="T388" s="1274"/>
      <c r="U388" s="1382"/>
      <c r="V388" s="1382"/>
      <c r="W388" s="1382"/>
      <c r="X388" s="1382"/>
      <c r="Y388" s="1382"/>
      <c r="Z388" s="1382"/>
      <c r="AA388" s="1382"/>
      <c r="AB388" s="1382"/>
      <c r="AC388" s="1382"/>
      <c r="AD388" s="1382"/>
      <c r="AE388" s="1382"/>
      <c r="AF388" s="1382"/>
      <c r="AG388" s="1382"/>
      <c r="AH388" s="1382"/>
      <c r="AI388" s="1382"/>
      <c r="AJ388" s="1382"/>
      <c r="AK388" s="181"/>
      <c r="AL388" s="181"/>
      <c r="AM388" s="181"/>
      <c r="AN388" s="181"/>
      <c r="AO388" s="181"/>
      <c r="AP388" s="181"/>
      <c r="AQ388" s="181"/>
      <c r="AR388" s="181"/>
      <c r="AS388" s="181"/>
      <c r="AT388" s="181"/>
      <c r="AU388" s="181"/>
      <c r="AV388" s="181"/>
      <c r="AW388" s="181"/>
    </row>
    <row r="389" spans="1:50" s="30" customFormat="1" hidden="1" x14ac:dyDescent="0.25">
      <c r="A389" s="1407" t="str">
        <f>IF(CD50_apply="Yes",IF(COUNTIF('03 - 50% CD'!D389:G389,"Y")&gt;0,"Y",IF(COUNTIF('03 - 50% CD'!D389:G389,"N"),"N","")),"")</f>
        <v>N</v>
      </c>
      <c r="B389" s="191"/>
      <c r="C389" s="944"/>
      <c r="D389" s="321"/>
      <c r="E389" s="559" t="str">
        <f>IF('C-Design&amp;Const'!$O389="","",'C-Design&amp;Const'!$O389)</f>
        <v>N</v>
      </c>
      <c r="F389" s="560"/>
      <c r="G389" s="558"/>
      <c r="H389" s="410" t="s">
        <v>305</v>
      </c>
      <c r="I389" s="186"/>
      <c r="J389" s="578" t="str">
        <f>IF('C-Design&amp;Const'!AH389="","",'C-Design&amp;Const'!AH389)</f>
        <v/>
      </c>
      <c r="K389" s="285" t="str">
        <f>IF(CD50_apply="Yes",IF((COUNTIF(D389:G389,"Y")=COUNTIF('03 - 50% CD'!D389:G389,"Y")),"match","no 50% match"),"-")</f>
        <v>match</v>
      </c>
      <c r="L389" s="1410" t="str">
        <f t="shared" si="16"/>
        <v>&lt;---PM/Planner may hide PLACEHOLDER ROW</v>
      </c>
      <c r="M389" s="1382"/>
      <c r="N389" s="1382"/>
      <c r="O389" s="1382"/>
      <c r="P389" s="1382"/>
      <c r="Q389" s="1382"/>
      <c r="R389" s="1490"/>
      <c r="S389" s="1274"/>
      <c r="T389" s="1274"/>
      <c r="U389" s="1382"/>
      <c r="V389" s="1382"/>
      <c r="W389" s="1382"/>
      <c r="X389" s="1382"/>
      <c r="Y389" s="1382"/>
      <c r="Z389" s="1382"/>
      <c r="AA389" s="1382"/>
      <c r="AB389" s="1382"/>
      <c r="AC389" s="1382"/>
      <c r="AD389" s="1382"/>
      <c r="AE389" s="1382"/>
      <c r="AF389" s="1382"/>
      <c r="AG389" s="1382"/>
      <c r="AH389" s="1382"/>
      <c r="AI389" s="1382"/>
      <c r="AJ389" s="1382"/>
      <c r="AK389" s="181"/>
      <c r="AL389" s="181"/>
      <c r="AM389" s="181"/>
      <c r="AN389" s="181"/>
      <c r="AO389" s="181"/>
      <c r="AP389" s="181"/>
      <c r="AQ389" s="181"/>
      <c r="AR389" s="181"/>
      <c r="AS389" s="181"/>
      <c r="AT389" s="181"/>
      <c r="AU389" s="181"/>
      <c r="AV389" s="181"/>
      <c r="AW389" s="181"/>
    </row>
    <row r="390" spans="1:50" s="30" customFormat="1" hidden="1" x14ac:dyDescent="0.25">
      <c r="A390" s="1407" t="str">
        <f>IF(CD50_apply="Yes",IF(COUNTIF('03 - 50% CD'!D390:G390,"Y")&gt;0,"Y",IF(COUNTIF('03 - 50% CD'!D390:G390,"N"),"N","")),"")</f>
        <v>N</v>
      </c>
      <c r="B390" s="191"/>
      <c r="C390" s="944"/>
      <c r="D390" s="321"/>
      <c r="E390" s="559" t="str">
        <f>IF('C-Design&amp;Const'!$O390="","",'C-Design&amp;Const'!$O390)</f>
        <v>N</v>
      </c>
      <c r="F390" s="560"/>
      <c r="G390" s="558"/>
      <c r="H390" s="410" t="s">
        <v>305</v>
      </c>
      <c r="I390" s="186"/>
      <c r="J390" s="578" t="str">
        <f>IF('C-Design&amp;Const'!AH390="","",'C-Design&amp;Const'!AH390)</f>
        <v/>
      </c>
      <c r="K390" s="285" t="str">
        <f>IF(CD50_apply="Yes",IF((COUNTIF(D390:G390,"Y")=COUNTIF('03 - 50% CD'!D390:G390,"Y")),"match","no 50% match"),"-")</f>
        <v>match</v>
      </c>
      <c r="L390" s="1410" t="str">
        <f t="shared" si="16"/>
        <v>&lt;---PM/Planner may hide PLACEHOLDER ROW</v>
      </c>
      <c r="M390" s="1382"/>
      <c r="N390" s="1382"/>
      <c r="O390" s="1382"/>
      <c r="P390" s="1382"/>
      <c r="Q390" s="1382"/>
      <c r="R390" s="1490"/>
      <c r="S390" s="1274"/>
      <c r="T390" s="1274"/>
      <c r="U390" s="1382"/>
      <c r="V390" s="1382"/>
      <c r="W390" s="1382"/>
      <c r="X390" s="1382"/>
      <c r="Y390" s="1382"/>
      <c r="Z390" s="1382"/>
      <c r="AA390" s="1382"/>
      <c r="AB390" s="1382"/>
      <c r="AC390" s="1382"/>
      <c r="AD390" s="1382"/>
      <c r="AE390" s="1382"/>
      <c r="AF390" s="1382"/>
      <c r="AG390" s="1382"/>
      <c r="AH390" s="1382"/>
      <c r="AI390" s="1382"/>
      <c r="AJ390" s="1382"/>
      <c r="AK390" s="181"/>
      <c r="AL390" s="181"/>
      <c r="AM390" s="181"/>
      <c r="AN390" s="181"/>
      <c r="AO390" s="181"/>
      <c r="AP390" s="181"/>
      <c r="AQ390" s="181"/>
      <c r="AR390" s="181"/>
      <c r="AS390" s="181"/>
      <c r="AT390" s="181"/>
      <c r="AU390" s="181"/>
      <c r="AV390" s="181"/>
      <c r="AW390" s="181"/>
    </row>
    <row r="391" spans="1:50" s="30" customFormat="1" hidden="1" x14ac:dyDescent="0.25">
      <c r="A391" s="1407" t="str">
        <f>IF(CD50_apply="Yes",IF(COUNTIF('03 - 50% CD'!D391:G391,"Y")&gt;0,"Y",IF(COUNTIF('03 - 50% CD'!D391:G391,"N"),"N","")),"")</f>
        <v>N</v>
      </c>
      <c r="B391" s="191"/>
      <c r="C391" s="944"/>
      <c r="D391" s="321"/>
      <c r="E391" s="559" t="str">
        <f>IF('C-Design&amp;Const'!$O391="","",'C-Design&amp;Const'!$O391)</f>
        <v>N</v>
      </c>
      <c r="F391" s="560"/>
      <c r="G391" s="558"/>
      <c r="H391" s="410" t="s">
        <v>305</v>
      </c>
      <c r="I391" s="186"/>
      <c r="J391" s="578" t="str">
        <f>IF('C-Design&amp;Const'!AH391="","",'C-Design&amp;Const'!AH391)</f>
        <v/>
      </c>
      <c r="K391" s="285" t="str">
        <f>IF(CD50_apply="Yes",IF((COUNTIF(D391:G391,"Y")=COUNTIF('03 - 50% CD'!D391:G391,"Y")),"match","no 50% match"),"-")</f>
        <v>match</v>
      </c>
      <c r="L391" s="1410" t="str">
        <f t="shared" si="16"/>
        <v>&lt;---PM/Planner may hide PLACEHOLDER ROW</v>
      </c>
      <c r="M391" s="1382"/>
      <c r="N391" s="1382"/>
      <c r="O391" s="1382"/>
      <c r="P391" s="1382"/>
      <c r="Q391" s="1382"/>
      <c r="R391" s="1490"/>
      <c r="S391" s="1274"/>
      <c r="T391" s="1274"/>
      <c r="U391" s="1382"/>
      <c r="V391" s="1382"/>
      <c r="W391" s="1382"/>
      <c r="X391" s="1382"/>
      <c r="Y391" s="1382"/>
      <c r="Z391" s="1382"/>
      <c r="AA391" s="1382"/>
      <c r="AB391" s="1382"/>
      <c r="AC391" s="1382"/>
      <c r="AD391" s="1382"/>
      <c r="AE391" s="1382"/>
      <c r="AF391" s="1382"/>
      <c r="AG391" s="1382"/>
      <c r="AH391" s="1382"/>
      <c r="AI391" s="1382"/>
      <c r="AJ391" s="1382"/>
      <c r="AK391" s="181"/>
      <c r="AL391" s="181"/>
      <c r="AM391" s="181"/>
      <c r="AN391" s="181"/>
      <c r="AO391" s="181"/>
      <c r="AP391" s="181"/>
      <c r="AQ391" s="181"/>
      <c r="AR391" s="181"/>
      <c r="AS391" s="181"/>
      <c r="AT391" s="181"/>
      <c r="AU391" s="181"/>
      <c r="AV391" s="181"/>
      <c r="AW391" s="181"/>
    </row>
    <row r="392" spans="1:50" s="30" customFormat="1" hidden="1" x14ac:dyDescent="0.25">
      <c r="A392" s="1407" t="str">
        <f>IF(CD50_apply="Yes",IF(COUNTIF('03 - 50% CD'!D392:G392,"Y")&gt;0,"Y",IF(COUNTIF('03 - 50% CD'!D392:G392,"N"),"N","")),"")</f>
        <v>N</v>
      </c>
      <c r="B392" s="191"/>
      <c r="C392" s="944"/>
      <c r="D392" s="321"/>
      <c r="E392" s="559" t="str">
        <f>IF('C-Design&amp;Const'!$O395="","",'C-Design&amp;Const'!$O395)</f>
        <v>N</v>
      </c>
      <c r="F392" s="560"/>
      <c r="G392" s="558"/>
      <c r="H392" s="410" t="s">
        <v>305</v>
      </c>
      <c r="I392" s="186"/>
      <c r="J392" s="578" t="str">
        <f>IF('C-Design&amp;Const'!AH395="","",'C-Design&amp;Const'!AH395)</f>
        <v/>
      </c>
      <c r="K392" s="285" t="str">
        <f>IF(CD50_apply="Yes",IF((COUNTIF(D392:G392,"Y")=COUNTIF('03 - 50% CD'!D392:G392,"Y")),"match","no 50% match"),"-")</f>
        <v>match</v>
      </c>
      <c r="L392" s="1410" t="str">
        <f t="shared" si="16"/>
        <v>&lt;---PM/Planner may hide PLACEHOLDER ROW</v>
      </c>
      <c r="M392" s="1382"/>
      <c r="N392" s="1382"/>
      <c r="O392" s="1382"/>
      <c r="P392" s="1382"/>
      <c r="Q392" s="1382"/>
      <c r="R392" s="1490"/>
      <c r="S392" s="1274"/>
      <c r="T392" s="1274"/>
      <c r="U392" s="1382"/>
      <c r="V392" s="1382"/>
      <c r="W392" s="1382"/>
      <c r="X392" s="1382"/>
      <c r="Y392" s="1382"/>
      <c r="Z392" s="1382"/>
      <c r="AA392" s="1382"/>
      <c r="AB392" s="1382"/>
      <c r="AC392" s="1382"/>
      <c r="AD392" s="1382"/>
      <c r="AE392" s="1382"/>
      <c r="AF392" s="1382"/>
      <c r="AG392" s="1382"/>
      <c r="AH392" s="1382"/>
      <c r="AI392" s="1382"/>
      <c r="AJ392" s="1382"/>
      <c r="AK392" s="181"/>
      <c r="AL392" s="181"/>
      <c r="AM392" s="181"/>
      <c r="AN392" s="181"/>
      <c r="AO392" s="181"/>
      <c r="AP392" s="181"/>
      <c r="AQ392" s="181"/>
      <c r="AR392" s="181"/>
      <c r="AS392" s="181"/>
      <c r="AT392" s="181"/>
      <c r="AU392" s="181"/>
      <c r="AV392" s="181"/>
      <c r="AW392" s="181"/>
    </row>
    <row r="393" spans="1:50" s="30" customFormat="1" hidden="1" x14ac:dyDescent="0.25">
      <c r="A393" s="1407" t="str">
        <f>IF(CD50_apply="Yes",IF(COUNTIF('03 - 50% CD'!D393:G393,"Y")&gt;0,"Y",IF(COUNTIF('03 - 50% CD'!D393:G393,"N"),"N","")),"")</f>
        <v>N</v>
      </c>
      <c r="B393" s="191"/>
      <c r="C393" s="944"/>
      <c r="D393" s="321"/>
      <c r="E393" s="559" t="str">
        <f>IF('C-Design&amp;Const'!$O392="","",'C-Design&amp;Const'!$O392)</f>
        <v>N</v>
      </c>
      <c r="F393" s="560"/>
      <c r="G393" s="558"/>
      <c r="H393" s="410" t="s">
        <v>305</v>
      </c>
      <c r="I393" s="186"/>
      <c r="J393" s="578" t="str">
        <f>IF('C-Design&amp;Const'!AH392="","",'C-Design&amp;Const'!AH392)</f>
        <v/>
      </c>
      <c r="K393" s="285" t="str">
        <f>IF(CD50_apply="Yes",IF((COUNTIF(D393:G393,"Y")=COUNTIF('03 - 50% CD'!D393:G393,"Y")),"match","no 50% match"),"-")</f>
        <v>match</v>
      </c>
      <c r="L393" s="1410" t="str">
        <f t="shared" si="16"/>
        <v>&lt;---PM/Planner may hide PLACEHOLDER ROW</v>
      </c>
      <c r="M393" s="1382"/>
      <c r="N393" s="1382"/>
      <c r="O393" s="1382"/>
      <c r="P393" s="1382"/>
      <c r="Q393" s="1382"/>
      <c r="R393" s="1490"/>
      <c r="S393" s="1274"/>
      <c r="T393" s="1274"/>
      <c r="U393" s="1382"/>
      <c r="V393" s="1382"/>
      <c r="W393" s="1382"/>
      <c r="X393" s="1382"/>
      <c r="Y393" s="1382"/>
      <c r="Z393" s="1382"/>
      <c r="AA393" s="1382"/>
      <c r="AB393" s="1382"/>
      <c r="AC393" s="1382"/>
      <c r="AD393" s="1382"/>
      <c r="AE393" s="1382"/>
      <c r="AF393" s="1382"/>
      <c r="AG393" s="1382"/>
      <c r="AH393" s="1382"/>
      <c r="AI393" s="1382"/>
      <c r="AJ393" s="1382"/>
      <c r="AK393" s="181"/>
      <c r="AL393" s="181"/>
      <c r="AM393" s="181"/>
      <c r="AN393" s="181"/>
      <c r="AO393" s="181"/>
      <c r="AP393" s="181"/>
      <c r="AQ393" s="181"/>
      <c r="AR393" s="181"/>
      <c r="AS393" s="181"/>
      <c r="AT393" s="181"/>
      <c r="AU393" s="181"/>
      <c r="AV393" s="181"/>
      <c r="AW393" s="181"/>
    </row>
    <row r="394" spans="1:50" s="30" customFormat="1" hidden="1" x14ac:dyDescent="0.25">
      <c r="A394" s="1407" t="str">
        <f>IF(CD50_apply="Yes",IF(COUNTIF('03 - 50% CD'!D394:G394,"Y")&gt;0,"Y",IF(COUNTIF('03 - 50% CD'!D394:G394,"N"),"N","")),"")</f>
        <v>N</v>
      </c>
      <c r="B394" s="191"/>
      <c r="C394" s="944"/>
      <c r="D394" s="321"/>
      <c r="E394" s="559" t="str">
        <f>IF('C-Design&amp;Const'!$O393="","",'C-Design&amp;Const'!$O393)</f>
        <v>N</v>
      </c>
      <c r="F394" s="560"/>
      <c r="G394" s="558"/>
      <c r="H394" s="410" t="s">
        <v>305</v>
      </c>
      <c r="I394" s="186"/>
      <c r="J394" s="578" t="str">
        <f>IF('C-Design&amp;Const'!AH393="","",'C-Design&amp;Const'!AH393)</f>
        <v/>
      </c>
      <c r="K394" s="285" t="str">
        <f>IF(CD50_apply="Yes",IF((COUNTIF(D394:G394,"Y")=COUNTIF('03 - 50% CD'!D394:G394,"Y")),"match","no 50% match"),"-")</f>
        <v>match</v>
      </c>
      <c r="L394" s="1410" t="str">
        <f t="shared" si="16"/>
        <v>&lt;---PM/Planner may hide PLACEHOLDER ROW</v>
      </c>
      <c r="M394" s="1382"/>
      <c r="N394" s="1382"/>
      <c r="O394" s="1382"/>
      <c r="P394" s="1382"/>
      <c r="Q394" s="1382"/>
      <c r="R394" s="1490"/>
      <c r="S394" s="1274"/>
      <c r="T394" s="1274"/>
      <c r="U394" s="1382"/>
      <c r="V394" s="1382"/>
      <c r="W394" s="1382"/>
      <c r="X394" s="1382"/>
      <c r="Y394" s="1382"/>
      <c r="Z394" s="1382"/>
      <c r="AA394" s="1382"/>
      <c r="AB394" s="1382"/>
      <c r="AC394" s="1382"/>
      <c r="AD394" s="1382"/>
      <c r="AE394" s="1382"/>
      <c r="AF394" s="1382"/>
      <c r="AG394" s="1382"/>
      <c r="AH394" s="1382"/>
      <c r="AI394" s="1382"/>
      <c r="AJ394" s="1382"/>
      <c r="AK394" s="181"/>
      <c r="AL394" s="181"/>
      <c r="AM394" s="181"/>
      <c r="AN394" s="181"/>
      <c r="AO394" s="181"/>
      <c r="AP394" s="181"/>
      <c r="AQ394" s="181"/>
      <c r="AR394" s="181"/>
      <c r="AS394" s="181"/>
      <c r="AT394" s="181"/>
      <c r="AU394" s="181"/>
      <c r="AV394" s="181"/>
      <c r="AW394" s="181"/>
    </row>
    <row r="395" spans="1:50" s="30" customFormat="1" hidden="1" x14ac:dyDescent="0.25">
      <c r="A395" s="1407" t="str">
        <f>IF(CD50_apply="Yes",IF(COUNTIF('03 - 50% CD'!D395:G395,"Y")&gt;0,"Y",IF(COUNTIF('03 - 50% CD'!D395:G395,"N"),"N","")),"")</f>
        <v>N</v>
      </c>
      <c r="B395" s="191"/>
      <c r="C395" s="944"/>
      <c r="D395" s="321"/>
      <c r="E395" s="559" t="str">
        <f>IF('C-Design&amp;Const'!$O394="","",'C-Design&amp;Const'!$O394)</f>
        <v>N</v>
      </c>
      <c r="F395" s="560"/>
      <c r="G395" s="558"/>
      <c r="H395" s="410" t="s">
        <v>305</v>
      </c>
      <c r="I395" s="186"/>
      <c r="J395" s="578" t="str">
        <f>IF('C-Design&amp;Const'!AH394="","",'C-Design&amp;Const'!AH394)</f>
        <v/>
      </c>
      <c r="K395" s="285" t="str">
        <f>IF(CD50_apply="Yes",IF((COUNTIF(D395:G395,"Y")=COUNTIF('03 - 50% CD'!D395:G395,"Y")),"match","no 50% match"),"-")</f>
        <v>match</v>
      </c>
      <c r="L395" s="1410" t="str">
        <f t="shared" si="16"/>
        <v>&lt;---PM/Planner may hide PLACEHOLDER ROW</v>
      </c>
      <c r="M395" s="1382"/>
      <c r="N395" s="1382"/>
      <c r="O395" s="1382"/>
      <c r="P395" s="1382"/>
      <c r="Q395" s="1382"/>
      <c r="R395" s="1490"/>
      <c r="S395" s="1274"/>
      <c r="T395" s="1274"/>
      <c r="U395" s="1382"/>
      <c r="V395" s="1382"/>
      <c r="W395" s="1382"/>
      <c r="X395" s="1382"/>
      <c r="Y395" s="1382"/>
      <c r="Z395" s="1382"/>
      <c r="AA395" s="1382"/>
      <c r="AB395" s="1382"/>
      <c r="AC395" s="1382"/>
      <c r="AD395" s="1382"/>
      <c r="AE395" s="1382"/>
      <c r="AF395" s="1382"/>
      <c r="AG395" s="1382"/>
      <c r="AH395" s="1382"/>
      <c r="AI395" s="1382"/>
      <c r="AJ395" s="1382"/>
      <c r="AK395" s="181"/>
      <c r="AL395" s="181"/>
      <c r="AM395" s="181"/>
      <c r="AN395" s="181"/>
      <c r="AO395" s="181"/>
      <c r="AP395" s="181"/>
      <c r="AQ395" s="181"/>
      <c r="AR395" s="181"/>
      <c r="AS395" s="181"/>
      <c r="AT395" s="181"/>
      <c r="AU395" s="181"/>
      <c r="AV395" s="181"/>
      <c r="AW395" s="181"/>
    </row>
    <row r="396" spans="1:50" s="30" customFormat="1" hidden="1" x14ac:dyDescent="0.25">
      <c r="A396" s="1407" t="str">
        <f>IF(CD50_apply="Yes",IF(COUNTIF('03 - 50% CD'!D396:G396,"Y")&gt;0,"Y",IF(COUNTIF('03 - 50% CD'!D396:G396,"N"),"N","")),"")</f>
        <v>N</v>
      </c>
      <c r="B396" s="191"/>
      <c r="C396" s="944"/>
      <c r="D396" s="321"/>
      <c r="E396" s="559" t="str">
        <f>IF('C-Design&amp;Const'!$O396="","",'C-Design&amp;Const'!$O396)</f>
        <v>N</v>
      </c>
      <c r="F396" s="560"/>
      <c r="G396" s="558"/>
      <c r="H396" s="410" t="s">
        <v>305</v>
      </c>
      <c r="I396" s="186"/>
      <c r="J396" s="578" t="str">
        <f>IF('C-Design&amp;Const'!AH396="","",'C-Design&amp;Const'!AH396)</f>
        <v/>
      </c>
      <c r="K396" s="285" t="str">
        <f>IF(CD50_apply="Yes",IF((COUNTIF(D396:G396,"Y")=COUNTIF('03 - 50% CD'!D396:G396,"Y")),"match","no 50% match"),"-")</f>
        <v>match</v>
      </c>
      <c r="L396" s="1410" t="str">
        <f t="shared" si="16"/>
        <v>&lt;---PM/Planner may hide PLACEHOLDER ROW</v>
      </c>
      <c r="M396" s="1382"/>
      <c r="N396" s="1382"/>
      <c r="O396" s="1382"/>
      <c r="P396" s="1382"/>
      <c r="Q396" s="1382"/>
      <c r="R396" s="1490"/>
      <c r="S396" s="1274"/>
      <c r="T396" s="1274"/>
      <c r="U396" s="1382"/>
      <c r="V396" s="1382"/>
      <c r="W396" s="1382"/>
      <c r="X396" s="1382"/>
      <c r="Y396" s="1382"/>
      <c r="Z396" s="1382"/>
      <c r="AA396" s="1382"/>
      <c r="AB396" s="1382"/>
      <c r="AC396" s="1382"/>
      <c r="AD396" s="1382"/>
      <c r="AE396" s="1382"/>
      <c r="AF396" s="1382"/>
      <c r="AG396" s="1382"/>
      <c r="AH396" s="1382"/>
      <c r="AI396" s="1382"/>
      <c r="AJ396" s="1382"/>
      <c r="AK396" s="181"/>
      <c r="AL396" s="181"/>
      <c r="AM396" s="181"/>
      <c r="AN396" s="181"/>
      <c r="AO396" s="181"/>
      <c r="AP396" s="181"/>
      <c r="AQ396" s="181"/>
      <c r="AR396" s="181"/>
      <c r="AS396" s="181"/>
      <c r="AT396" s="181"/>
      <c r="AU396" s="181"/>
      <c r="AV396" s="181"/>
      <c r="AW396" s="181"/>
    </row>
    <row r="397" spans="1:50" s="30" customFormat="1" hidden="1" x14ac:dyDescent="0.25">
      <c r="A397" s="1407" t="str">
        <f>IF(CD50_apply="Yes",IF(COUNTIF('03 - 50% CD'!D397:G397,"Y")&gt;0,"Y",IF(COUNTIF('03 - 50% CD'!D397:G397,"N"),"N","")),"")</f>
        <v>N</v>
      </c>
      <c r="B397" s="191"/>
      <c r="C397" s="944"/>
      <c r="D397" s="321"/>
      <c r="E397" s="559" t="str">
        <f>IF('C-Design&amp;Const'!$O397="","",'C-Design&amp;Const'!$O397)</f>
        <v>N</v>
      </c>
      <c r="F397" s="560"/>
      <c r="G397" s="558"/>
      <c r="H397" s="410" t="s">
        <v>305</v>
      </c>
      <c r="I397" s="186"/>
      <c r="J397" s="578" t="str">
        <f>IF('C-Design&amp;Const'!AH397="","",'C-Design&amp;Const'!AH397)</f>
        <v/>
      </c>
      <c r="K397" s="285" t="str">
        <f>IF(CD50_apply="Yes",IF((COUNTIF(D397:G397,"Y")=COUNTIF('03 - 50% CD'!D397:G397,"Y")),"match","no 50% match"),"-")</f>
        <v>match</v>
      </c>
      <c r="L397" s="1410" t="str">
        <f t="shared" si="16"/>
        <v>&lt;---PM/Planner may hide PLACEHOLDER ROW</v>
      </c>
      <c r="M397" s="1382"/>
      <c r="N397" s="1382"/>
      <c r="O397" s="1382"/>
      <c r="P397" s="1382"/>
      <c r="Q397" s="1382"/>
      <c r="R397" s="1490"/>
      <c r="S397" s="1274"/>
      <c r="T397" s="1274"/>
      <c r="U397" s="1382"/>
      <c r="V397" s="1382"/>
      <c r="W397" s="1382"/>
      <c r="X397" s="1382"/>
      <c r="Y397" s="1382"/>
      <c r="Z397" s="1382"/>
      <c r="AA397" s="1382"/>
      <c r="AB397" s="1382"/>
      <c r="AC397" s="1382"/>
      <c r="AD397" s="1382"/>
      <c r="AE397" s="1382"/>
      <c r="AF397" s="1382"/>
      <c r="AG397" s="1382"/>
      <c r="AH397" s="1382"/>
      <c r="AI397" s="1382"/>
      <c r="AJ397" s="1382"/>
      <c r="AK397" s="181"/>
      <c r="AL397" s="181"/>
      <c r="AM397" s="181"/>
      <c r="AN397" s="181"/>
      <c r="AO397" s="181"/>
      <c r="AP397" s="181"/>
      <c r="AQ397" s="181"/>
      <c r="AR397" s="181"/>
      <c r="AS397" s="181"/>
      <c r="AT397" s="181"/>
      <c r="AU397" s="181"/>
      <c r="AV397" s="181"/>
      <c r="AW397" s="181"/>
    </row>
    <row r="398" spans="1:50" s="30" customFormat="1" hidden="1" x14ac:dyDescent="0.25">
      <c r="A398" s="1407" t="str">
        <f>IF(CD50_apply="Yes",IF(COUNTIF('03 - 50% CD'!D398:G398,"Y")&gt;0,"Y",IF(COUNTIF('03 - 50% CD'!D398:G398,"N"),"N","")),"")</f>
        <v>N</v>
      </c>
      <c r="B398" s="191"/>
      <c r="C398" s="944"/>
      <c r="D398" s="321"/>
      <c r="E398" s="559" t="str">
        <f>IF('C-Design&amp;Const'!$O398="","",'C-Design&amp;Const'!$O398)</f>
        <v>N</v>
      </c>
      <c r="F398" s="560"/>
      <c r="G398" s="558"/>
      <c r="H398" s="410" t="s">
        <v>305</v>
      </c>
      <c r="I398" s="186"/>
      <c r="J398" s="578" t="str">
        <f>IF('C-Design&amp;Const'!AH398="","",'C-Design&amp;Const'!AH398)</f>
        <v/>
      </c>
      <c r="K398" s="285" t="str">
        <f>IF(CD50_apply="Yes",IF((COUNTIF(D398:G398,"Y")=COUNTIF('03 - 50% CD'!D398:G398,"Y")),"match","no 50% match"),"-")</f>
        <v>match</v>
      </c>
      <c r="L398" s="1410" t="str">
        <f t="shared" si="16"/>
        <v>&lt;---PM/Planner may hide PLACEHOLDER ROW</v>
      </c>
      <c r="M398" s="1382"/>
      <c r="N398" s="1382"/>
      <c r="O398" s="1382"/>
      <c r="P398" s="1382"/>
      <c r="Q398" s="1382"/>
      <c r="R398" s="1490"/>
      <c r="S398" s="1274"/>
      <c r="T398" s="1274"/>
      <c r="U398" s="1382"/>
      <c r="V398" s="1382"/>
      <c r="W398" s="1382"/>
      <c r="X398" s="1382"/>
      <c r="Y398" s="1382"/>
      <c r="Z398" s="1382"/>
      <c r="AA398" s="1382"/>
      <c r="AB398" s="1382"/>
      <c r="AC398" s="1382"/>
      <c r="AD398" s="1382"/>
      <c r="AE398" s="1382"/>
      <c r="AF398" s="1382"/>
      <c r="AG398" s="1382"/>
      <c r="AH398" s="1382"/>
      <c r="AI398" s="1382"/>
      <c r="AJ398" s="1382"/>
      <c r="AK398" s="181"/>
      <c r="AL398" s="181"/>
      <c r="AM398" s="181"/>
      <c r="AN398" s="181"/>
      <c r="AO398" s="181"/>
      <c r="AP398" s="181"/>
      <c r="AQ398" s="181"/>
      <c r="AR398" s="181"/>
      <c r="AS398" s="181"/>
      <c r="AT398" s="181"/>
      <c r="AU398" s="181"/>
      <c r="AV398" s="181"/>
      <c r="AW398" s="181"/>
    </row>
    <row r="399" spans="1:50" s="30" customFormat="1" hidden="1" x14ac:dyDescent="0.25">
      <c r="A399" s="1407" t="str">
        <f>IF(CD50_apply="Yes",IF(COUNTIF('03 - 50% CD'!D399:G399,"Y")&gt;0,"Y",IF(COUNTIF('03 - 50% CD'!D399:G399,"N"),"N","")),"")</f>
        <v>N</v>
      </c>
      <c r="B399" s="191"/>
      <c r="C399" s="944"/>
      <c r="D399" s="321"/>
      <c r="E399" s="559" t="str">
        <f>IF('C-Design&amp;Const'!$O399="","",'C-Design&amp;Const'!$O399)</f>
        <v>N</v>
      </c>
      <c r="F399" s="560"/>
      <c r="G399" s="558"/>
      <c r="H399" s="410" t="s">
        <v>305</v>
      </c>
      <c r="I399" s="186"/>
      <c r="J399" s="578" t="str">
        <f>IF('C-Design&amp;Const'!AH399="","",'C-Design&amp;Const'!AH399)</f>
        <v/>
      </c>
      <c r="K399" s="285" t="str">
        <f>IF(CD50_apply="Yes",IF((COUNTIF(D399:G399,"Y")=COUNTIF('03 - 50% CD'!D399:G399,"Y")),"match","no 50% match"),"-")</f>
        <v>match</v>
      </c>
      <c r="L399" s="1410" t="str">
        <f t="shared" si="16"/>
        <v>&lt;---PM/Planner may hide PLACEHOLDER ROW</v>
      </c>
      <c r="M399" s="1382"/>
      <c r="N399" s="1382"/>
      <c r="O399" s="1382"/>
      <c r="P399" s="1382"/>
      <c r="Q399" s="1382"/>
      <c r="R399" s="1490"/>
      <c r="S399" s="1274"/>
      <c r="T399" s="1274"/>
      <c r="U399" s="1382"/>
      <c r="V399" s="1382"/>
      <c r="W399" s="1382"/>
      <c r="X399" s="1382"/>
      <c r="Y399" s="1382"/>
      <c r="Z399" s="1382"/>
      <c r="AA399" s="1382"/>
      <c r="AB399" s="1382"/>
      <c r="AC399" s="1382"/>
      <c r="AD399" s="1382"/>
      <c r="AE399" s="1382"/>
      <c r="AF399" s="1382"/>
      <c r="AG399" s="1382"/>
      <c r="AH399" s="1382"/>
      <c r="AI399" s="1382"/>
      <c r="AJ399" s="1382"/>
      <c r="AK399" s="181"/>
      <c r="AL399" s="181"/>
      <c r="AM399" s="181"/>
      <c r="AN399" s="181"/>
      <c r="AO399" s="181"/>
      <c r="AP399" s="181"/>
      <c r="AQ399" s="181"/>
      <c r="AR399" s="181"/>
      <c r="AS399" s="181"/>
      <c r="AT399" s="181"/>
      <c r="AU399" s="181"/>
      <c r="AV399" s="181"/>
      <c r="AW399" s="181"/>
    </row>
    <row r="400" spans="1:50" s="30" customFormat="1" hidden="1" x14ac:dyDescent="0.25">
      <c r="A400" s="1407" t="str">
        <f>IF(CD50_apply="Yes",IF(COUNTIF('03 - 50% CD'!D400:G400,"Y")&gt;0,"Y",IF(COUNTIF('03 - 50% CD'!D400:G400,"N"),"N","")),"")</f>
        <v>N</v>
      </c>
      <c r="B400" s="191"/>
      <c r="C400" s="944"/>
      <c r="D400" s="321"/>
      <c r="E400" s="559" t="str">
        <f>IF('C-Design&amp;Const'!$O400="","",'C-Design&amp;Const'!$O400)</f>
        <v>N</v>
      </c>
      <c r="F400" s="560"/>
      <c r="G400" s="558"/>
      <c r="H400" s="410" t="s">
        <v>305</v>
      </c>
      <c r="I400" s="186"/>
      <c r="J400" s="578" t="str">
        <f>IF('C-Design&amp;Const'!AH400="","",'C-Design&amp;Const'!AH400)</f>
        <v/>
      </c>
      <c r="K400" s="285" t="str">
        <f>IF(CD50_apply="Yes",IF((COUNTIF(D400:G400,"Y")=COUNTIF('03 - 50% CD'!D400:G400,"Y")),"match","no 50% match"),"-")</f>
        <v>match</v>
      </c>
      <c r="L400" s="1410" t="str">
        <f t="shared" si="16"/>
        <v>&lt;---PM/Planner may hide PLACEHOLDER ROW</v>
      </c>
      <c r="M400" s="1382"/>
      <c r="N400" s="1382"/>
      <c r="O400" s="1382"/>
      <c r="P400" s="1382"/>
      <c r="Q400" s="1382"/>
      <c r="R400" s="1490"/>
      <c r="S400" s="1274"/>
      <c r="T400" s="1274"/>
      <c r="U400" s="1382"/>
      <c r="V400" s="1382"/>
      <c r="W400" s="1382"/>
      <c r="X400" s="1382"/>
      <c r="Y400" s="1382"/>
      <c r="Z400" s="1382"/>
      <c r="AA400" s="1382"/>
      <c r="AB400" s="1382"/>
      <c r="AC400" s="1382"/>
      <c r="AD400" s="1382"/>
      <c r="AE400" s="1382"/>
      <c r="AF400" s="1382"/>
      <c r="AG400" s="1382"/>
      <c r="AH400" s="1382"/>
      <c r="AI400" s="1382"/>
      <c r="AJ400" s="1382"/>
      <c r="AK400" s="181"/>
      <c r="AL400" s="181"/>
      <c r="AM400" s="181"/>
      <c r="AN400" s="181"/>
      <c r="AO400" s="181"/>
      <c r="AP400" s="181"/>
      <c r="AQ400" s="181"/>
      <c r="AR400" s="181"/>
      <c r="AS400" s="181"/>
      <c r="AT400" s="181"/>
      <c r="AU400" s="181"/>
      <c r="AV400" s="181"/>
      <c r="AW400" s="181"/>
    </row>
    <row r="401" spans="1:49" s="30" customFormat="1" hidden="1" x14ac:dyDescent="0.25">
      <c r="A401" s="1407" t="str">
        <f>IF(CD50_apply="Yes",IF(COUNTIF('03 - 50% CD'!D401:G401,"Y")&gt;0,"Y",IF(COUNTIF('03 - 50% CD'!D401:G401,"N"),"N","")),"")</f>
        <v>N</v>
      </c>
      <c r="B401" s="191"/>
      <c r="C401" s="944"/>
      <c r="D401" s="321"/>
      <c r="E401" s="559" t="str">
        <f>IF('C-Design&amp;Const'!$O401="","",'C-Design&amp;Const'!$O401)</f>
        <v>N</v>
      </c>
      <c r="F401" s="560"/>
      <c r="G401" s="558"/>
      <c r="H401" s="410" t="s">
        <v>305</v>
      </c>
      <c r="I401" s="186"/>
      <c r="J401" s="578" t="str">
        <f>IF('C-Design&amp;Const'!AH401="","",'C-Design&amp;Const'!AH401)</f>
        <v/>
      </c>
      <c r="K401" s="285" t="str">
        <f>IF(CD50_apply="Yes",IF((COUNTIF(D401:G401,"Y")=COUNTIF('03 - 50% CD'!D401:G401,"Y")),"match","no 50% match"),"-")</f>
        <v>match</v>
      </c>
      <c r="L401" s="1410" t="str">
        <f t="shared" si="16"/>
        <v>&lt;---PM/Planner may hide PLACEHOLDER ROW</v>
      </c>
      <c r="M401" s="1382"/>
      <c r="N401" s="1382"/>
      <c r="O401" s="1382"/>
      <c r="P401" s="1382"/>
      <c r="Q401" s="1382"/>
      <c r="R401" s="1490"/>
      <c r="S401" s="1274"/>
      <c r="T401" s="1274"/>
      <c r="U401" s="1382"/>
      <c r="V401" s="1382"/>
      <c r="W401" s="1382"/>
      <c r="X401" s="1382"/>
      <c r="Y401" s="1382"/>
      <c r="Z401" s="1382"/>
      <c r="AA401" s="1382"/>
      <c r="AB401" s="1382"/>
      <c r="AC401" s="1382"/>
      <c r="AD401" s="1382"/>
      <c r="AE401" s="1382"/>
      <c r="AF401" s="1382"/>
      <c r="AG401" s="1382"/>
      <c r="AH401" s="1382"/>
      <c r="AI401" s="1382"/>
      <c r="AJ401" s="1382"/>
      <c r="AK401" s="181"/>
      <c r="AL401" s="181"/>
      <c r="AM401" s="181"/>
      <c r="AN401" s="181"/>
      <c r="AO401" s="181"/>
      <c r="AP401" s="181"/>
      <c r="AQ401" s="181"/>
      <c r="AR401" s="181"/>
      <c r="AS401" s="181"/>
      <c r="AT401" s="181"/>
      <c r="AU401" s="181"/>
      <c r="AV401" s="181"/>
      <c r="AW401" s="181"/>
    </row>
    <row r="402" spans="1:49" s="30" customFormat="1" hidden="1" x14ac:dyDescent="0.25">
      <c r="A402" s="1407" t="str">
        <f>IF(CD50_apply="Yes",IF(COUNTIF('03 - 50% CD'!D402:G402,"Y")&gt;0,"Y",IF(COUNTIF('03 - 50% CD'!D402:G402,"N"),"N","")),"")</f>
        <v/>
      </c>
      <c r="B402" s="191"/>
      <c r="C402" s="944"/>
      <c r="D402" s="321"/>
      <c r="E402" s="559" t="str">
        <f>IF('C-Design&amp;Const'!$O402="","",'C-Design&amp;Const'!$O402)</f>
        <v/>
      </c>
      <c r="F402" s="560"/>
      <c r="G402" s="558"/>
      <c r="H402" s="410" t="s">
        <v>305</v>
      </c>
      <c r="I402" s="186"/>
      <c r="J402" s="578" t="str">
        <f>IF('C-Design&amp;Const'!AH402="","",'C-Design&amp;Const'!AH402)</f>
        <v/>
      </c>
      <c r="K402" s="285" t="str">
        <f>IF(CD50_apply="Yes",IF((COUNTIF(D402:G402,"Y")=COUNTIF('03 - 50% CD'!D402:G402,"Y")),"match","no 50% match"),"-")</f>
        <v>match</v>
      </c>
      <c r="L402" s="1410" t="str">
        <f t="shared" ref="L402:L455" si="20">CONCATENATE(IF(ISNUMBER(SEARCH("Placeholder",H402))=TRUE,"&lt;---PM/Planner may hide PLACEHOLDER ROW",""))</f>
        <v>&lt;---PM/Planner may hide PLACEHOLDER ROW</v>
      </c>
      <c r="M402" s="1382"/>
      <c r="N402" s="1382"/>
      <c r="O402" s="1382"/>
      <c r="P402" s="1382"/>
      <c r="Q402" s="1382"/>
      <c r="R402" s="1490"/>
      <c r="S402" s="1274"/>
      <c r="T402" s="1274"/>
      <c r="U402" s="1382"/>
      <c r="V402" s="1382"/>
      <c r="W402" s="1382"/>
      <c r="X402" s="1382"/>
      <c r="Y402" s="1382"/>
      <c r="Z402" s="1382"/>
      <c r="AA402" s="1382"/>
      <c r="AB402" s="1382"/>
      <c r="AC402" s="1382"/>
      <c r="AD402" s="1382"/>
      <c r="AE402" s="1382"/>
      <c r="AF402" s="1382"/>
      <c r="AG402" s="1382"/>
      <c r="AH402" s="1382"/>
      <c r="AI402" s="1382"/>
      <c r="AJ402" s="1382"/>
      <c r="AK402" s="181"/>
      <c r="AL402" s="181"/>
      <c r="AM402" s="181"/>
      <c r="AN402" s="181"/>
      <c r="AO402" s="181"/>
      <c r="AP402" s="181"/>
      <c r="AQ402" s="181"/>
      <c r="AR402" s="181"/>
      <c r="AS402" s="181"/>
      <c r="AT402" s="181"/>
      <c r="AU402" s="181"/>
      <c r="AV402" s="181"/>
      <c r="AW402" s="181"/>
    </row>
    <row r="403" spans="1:49" s="30" customFormat="1" hidden="1" x14ac:dyDescent="0.25">
      <c r="A403" s="1407" t="str">
        <f>IF(CD50_apply="Yes",IF(COUNTIF('03 - 50% CD'!D403:G403,"Y")&gt;0,"Y",IF(COUNTIF('03 - 50% CD'!D403:G403,"N"),"N","")),"")</f>
        <v>N</v>
      </c>
      <c r="B403" s="191"/>
      <c r="C403" s="944"/>
      <c r="D403" s="321"/>
      <c r="E403" s="559" t="str">
        <f>IF('C-Design&amp;Const'!$O403="","",'C-Design&amp;Const'!$O403)</f>
        <v>N</v>
      </c>
      <c r="F403" s="560"/>
      <c r="G403" s="558"/>
      <c r="H403" s="410" t="s">
        <v>305</v>
      </c>
      <c r="I403" s="186"/>
      <c r="J403" s="578" t="str">
        <f>IF('C-Design&amp;Const'!AH403="","",'C-Design&amp;Const'!AH403)</f>
        <v/>
      </c>
      <c r="K403" s="285" t="str">
        <f>IF(CD50_apply="Yes",IF((COUNTIF(D403:G403,"Y")=COUNTIF('03 - 50% CD'!D403:G403,"Y")),"match","no 50% match"),"-")</f>
        <v>match</v>
      </c>
      <c r="L403" s="1410" t="str">
        <f t="shared" si="20"/>
        <v>&lt;---PM/Planner may hide PLACEHOLDER ROW</v>
      </c>
      <c r="M403" s="1382"/>
      <c r="N403" s="1382"/>
      <c r="O403" s="1382"/>
      <c r="P403" s="1382"/>
      <c r="Q403" s="1382"/>
      <c r="R403" s="1490"/>
      <c r="S403" s="1274"/>
      <c r="T403" s="1274"/>
      <c r="U403" s="1382"/>
      <c r="V403" s="1382"/>
      <c r="W403" s="1382"/>
      <c r="X403" s="1382"/>
      <c r="Y403" s="1382"/>
      <c r="Z403" s="1382"/>
      <c r="AA403" s="1382"/>
      <c r="AB403" s="1382"/>
      <c r="AC403" s="1382"/>
      <c r="AD403" s="1382"/>
      <c r="AE403" s="1382"/>
      <c r="AF403" s="1382"/>
      <c r="AG403" s="1382"/>
      <c r="AH403" s="1382"/>
      <c r="AI403" s="1382"/>
      <c r="AJ403" s="1382"/>
      <c r="AK403" s="181"/>
      <c r="AL403" s="181"/>
      <c r="AM403" s="181"/>
      <c r="AN403" s="181"/>
      <c r="AO403" s="181"/>
      <c r="AP403" s="181"/>
      <c r="AQ403" s="181"/>
      <c r="AR403" s="181"/>
      <c r="AS403" s="181"/>
      <c r="AT403" s="181"/>
      <c r="AU403" s="181"/>
      <c r="AV403" s="181"/>
      <c r="AW403" s="181"/>
    </row>
    <row r="404" spans="1:49" s="30" customFormat="1" hidden="1" x14ac:dyDescent="0.25">
      <c r="A404" s="1407" t="str">
        <f>IF(CD50_apply="Yes",IF(COUNTIF('03 - 50% CD'!D404:G404,"Y")&gt;0,"Y",IF(COUNTIF('03 - 50% CD'!D404:G404,"N"),"N","")),"")</f>
        <v>N</v>
      </c>
      <c r="B404" s="191"/>
      <c r="C404" s="944"/>
      <c r="D404" s="321"/>
      <c r="E404" s="559" t="str">
        <f>IF('C-Design&amp;Const'!$O404="","",'C-Design&amp;Const'!$O404)</f>
        <v>N</v>
      </c>
      <c r="F404" s="560"/>
      <c r="G404" s="558"/>
      <c r="H404" s="410" t="s">
        <v>305</v>
      </c>
      <c r="I404" s="186"/>
      <c r="J404" s="578" t="str">
        <f>IF('C-Design&amp;Const'!AH404="","",'C-Design&amp;Const'!AH404)</f>
        <v/>
      </c>
      <c r="K404" s="285" t="str">
        <f>IF(CD50_apply="Yes",IF((COUNTIF(D404:G404,"Y")=COUNTIF('03 - 50% CD'!D404:G404,"Y")),"match","no 50% match"),"-")</f>
        <v>match</v>
      </c>
      <c r="L404" s="1410" t="str">
        <f t="shared" si="20"/>
        <v>&lt;---PM/Planner may hide PLACEHOLDER ROW</v>
      </c>
      <c r="M404" s="1382"/>
      <c r="N404" s="1382"/>
      <c r="O404" s="1382"/>
      <c r="P404" s="1382"/>
      <c r="Q404" s="1382"/>
      <c r="R404" s="1490"/>
      <c r="S404" s="1274"/>
      <c r="T404" s="1274"/>
      <c r="U404" s="1382"/>
      <c r="V404" s="1382"/>
      <c r="W404" s="1382"/>
      <c r="X404" s="1382"/>
      <c r="Y404" s="1382"/>
      <c r="Z404" s="1382"/>
      <c r="AA404" s="1382"/>
      <c r="AB404" s="1382"/>
      <c r="AC404" s="1382"/>
      <c r="AD404" s="1382"/>
      <c r="AE404" s="1382"/>
      <c r="AF404" s="1382"/>
      <c r="AG404" s="1382"/>
      <c r="AH404" s="1382"/>
      <c r="AI404" s="1382"/>
      <c r="AJ404" s="1382"/>
      <c r="AK404" s="181"/>
      <c r="AL404" s="181"/>
      <c r="AM404" s="181"/>
      <c r="AN404" s="181"/>
      <c r="AO404" s="181"/>
      <c r="AP404" s="181"/>
      <c r="AQ404" s="181"/>
      <c r="AR404" s="181"/>
      <c r="AS404" s="181"/>
      <c r="AT404" s="181"/>
      <c r="AU404" s="181"/>
      <c r="AV404" s="181"/>
      <c r="AW404" s="181"/>
    </row>
    <row r="405" spans="1:49" s="30" customFormat="1" hidden="1" x14ac:dyDescent="0.25">
      <c r="A405" s="1407" t="str">
        <f>IF(CD50_apply="Yes",IF(COUNTIF('03 - 50% CD'!D405:G405,"Y")&gt;0,"Y",IF(COUNTIF('03 - 50% CD'!D405:G405,"N"),"N","")),"")</f>
        <v>N</v>
      </c>
      <c r="B405" s="191"/>
      <c r="C405" s="944"/>
      <c r="D405" s="321"/>
      <c r="E405" s="559" t="str">
        <f>IF('C-Design&amp;Const'!$O405="","",'C-Design&amp;Const'!$O405)</f>
        <v>N</v>
      </c>
      <c r="F405" s="560"/>
      <c r="G405" s="558"/>
      <c r="H405" s="410" t="s">
        <v>305</v>
      </c>
      <c r="I405" s="186"/>
      <c r="J405" s="578" t="str">
        <f>IF('C-Design&amp;Const'!AH405="","",'C-Design&amp;Const'!AH405)</f>
        <v/>
      </c>
      <c r="K405" s="285" t="str">
        <f>IF(CD50_apply="Yes",IF((COUNTIF(D405:G405,"Y")=COUNTIF('03 - 50% CD'!D405:G405,"Y")),"match","no 50% match"),"-")</f>
        <v>match</v>
      </c>
      <c r="L405" s="1410" t="str">
        <f t="shared" si="20"/>
        <v>&lt;---PM/Planner may hide PLACEHOLDER ROW</v>
      </c>
      <c r="M405" s="1382"/>
      <c r="N405" s="1382"/>
      <c r="O405" s="1382"/>
      <c r="P405" s="1382"/>
      <c r="Q405" s="1382"/>
      <c r="R405" s="1490"/>
      <c r="S405" s="1274"/>
      <c r="T405" s="1274"/>
      <c r="U405" s="1382"/>
      <c r="V405" s="1382"/>
      <c r="W405" s="1382"/>
      <c r="X405" s="1382"/>
      <c r="Y405" s="1382"/>
      <c r="Z405" s="1382"/>
      <c r="AA405" s="1382"/>
      <c r="AB405" s="1382"/>
      <c r="AC405" s="1382"/>
      <c r="AD405" s="1382"/>
      <c r="AE405" s="1382"/>
      <c r="AF405" s="1382"/>
      <c r="AG405" s="1382"/>
      <c r="AH405" s="1382"/>
      <c r="AI405" s="1382"/>
      <c r="AJ405" s="1382"/>
      <c r="AK405" s="181"/>
      <c r="AL405" s="181"/>
      <c r="AM405" s="181"/>
      <c r="AN405" s="181"/>
      <c r="AO405" s="181"/>
      <c r="AP405" s="181"/>
      <c r="AQ405" s="181"/>
      <c r="AR405" s="181"/>
      <c r="AS405" s="181"/>
      <c r="AT405" s="181"/>
      <c r="AU405" s="181"/>
      <c r="AV405" s="181"/>
      <c r="AW405" s="181"/>
    </row>
    <row r="406" spans="1:49" s="30" customFormat="1" hidden="1" x14ac:dyDescent="0.25">
      <c r="A406" s="1407" t="str">
        <f>IF(CD50_apply="Yes",IF(COUNTIF('03 - 50% CD'!D406:G406,"Y")&gt;0,"Y",IF(COUNTIF('03 - 50% CD'!D406:G406,"N"),"N","")),"")</f>
        <v>N</v>
      </c>
      <c r="B406" s="191"/>
      <c r="C406" s="944"/>
      <c r="D406" s="321"/>
      <c r="E406" s="559" t="str">
        <f>IF('C-Design&amp;Const'!$O406="","",'C-Design&amp;Const'!$O406)</f>
        <v>N</v>
      </c>
      <c r="F406" s="560"/>
      <c r="G406" s="558"/>
      <c r="H406" s="410" t="s">
        <v>305</v>
      </c>
      <c r="I406" s="186"/>
      <c r="J406" s="578" t="str">
        <f>IF('C-Design&amp;Const'!AH406="","",'C-Design&amp;Const'!AH406)</f>
        <v/>
      </c>
      <c r="K406" s="285" t="str">
        <f>IF(CD50_apply="Yes",IF((COUNTIF(D406:G406,"Y")=COUNTIF('03 - 50% CD'!D406:G406,"Y")),"match","no 50% match"),"-")</f>
        <v>match</v>
      </c>
      <c r="L406" s="1410" t="str">
        <f t="shared" si="20"/>
        <v>&lt;---PM/Planner may hide PLACEHOLDER ROW</v>
      </c>
      <c r="M406" s="1382"/>
      <c r="N406" s="1382"/>
      <c r="O406" s="1382"/>
      <c r="P406" s="1382"/>
      <c r="Q406" s="1382"/>
      <c r="R406" s="1490"/>
      <c r="S406" s="1274"/>
      <c r="T406" s="1274"/>
      <c r="U406" s="1382"/>
      <c r="V406" s="1382"/>
      <c r="W406" s="1382"/>
      <c r="X406" s="1382"/>
      <c r="Y406" s="1382"/>
      <c r="Z406" s="1382"/>
      <c r="AA406" s="1382"/>
      <c r="AB406" s="1382"/>
      <c r="AC406" s="1382"/>
      <c r="AD406" s="1382"/>
      <c r="AE406" s="1382"/>
      <c r="AF406" s="1382"/>
      <c r="AG406" s="1382"/>
      <c r="AH406" s="1382"/>
      <c r="AI406" s="1382"/>
      <c r="AJ406" s="1382"/>
      <c r="AK406" s="181"/>
      <c r="AL406" s="181"/>
      <c r="AM406" s="181"/>
      <c r="AN406" s="181"/>
      <c r="AO406" s="181"/>
      <c r="AP406" s="181"/>
      <c r="AQ406" s="181"/>
      <c r="AR406" s="181"/>
      <c r="AS406" s="181"/>
      <c r="AT406" s="181"/>
      <c r="AU406" s="181"/>
      <c r="AV406" s="181"/>
      <c r="AW406" s="181"/>
    </row>
    <row r="407" spans="1:49" s="30" customFormat="1" hidden="1" x14ac:dyDescent="0.25">
      <c r="A407" s="1407" t="str">
        <f>IF(CD50_apply="Yes",IF(COUNTIF('03 - 50% CD'!D407:G407,"Y")&gt;0,"Y",IF(COUNTIF('03 - 50% CD'!D407:G407,"N"),"N","")),"")</f>
        <v>N</v>
      </c>
      <c r="B407" s="191"/>
      <c r="C407" s="944"/>
      <c r="D407" s="321"/>
      <c r="E407" s="559" t="str">
        <f>IF('C-Design&amp;Const'!$O407="","",'C-Design&amp;Const'!$O407)</f>
        <v>N</v>
      </c>
      <c r="F407" s="560"/>
      <c r="G407" s="558"/>
      <c r="H407" s="410" t="s">
        <v>305</v>
      </c>
      <c r="I407" s="186"/>
      <c r="J407" s="578" t="str">
        <f>IF('C-Design&amp;Const'!AH407="","",'C-Design&amp;Const'!AH407)</f>
        <v/>
      </c>
      <c r="K407" s="285" t="str">
        <f>IF(CD50_apply="Yes",IF((COUNTIF(D407:G407,"Y")=COUNTIF('03 - 50% CD'!D407:G407,"Y")),"match","no 50% match"),"-")</f>
        <v>match</v>
      </c>
      <c r="L407" s="1410" t="str">
        <f t="shared" si="20"/>
        <v>&lt;---PM/Planner may hide PLACEHOLDER ROW</v>
      </c>
      <c r="M407" s="1382"/>
      <c r="N407" s="1382"/>
      <c r="O407" s="1382"/>
      <c r="P407" s="1382"/>
      <c r="Q407" s="1382"/>
      <c r="R407" s="1490"/>
      <c r="S407" s="1274"/>
      <c r="T407" s="1274"/>
      <c r="U407" s="1382"/>
      <c r="V407" s="1382"/>
      <c r="W407" s="1382"/>
      <c r="X407" s="1382"/>
      <c r="Y407" s="1382"/>
      <c r="Z407" s="1382"/>
      <c r="AA407" s="1382"/>
      <c r="AB407" s="1382"/>
      <c r="AC407" s="1382"/>
      <c r="AD407" s="1382"/>
      <c r="AE407" s="1382"/>
      <c r="AF407" s="1382"/>
      <c r="AG407" s="1382"/>
      <c r="AH407" s="1382"/>
      <c r="AI407" s="1382"/>
      <c r="AJ407" s="1382"/>
      <c r="AK407" s="181"/>
      <c r="AL407" s="181"/>
      <c r="AM407" s="181"/>
      <c r="AN407" s="181"/>
      <c r="AO407" s="181"/>
      <c r="AP407" s="181"/>
      <c r="AQ407" s="181"/>
      <c r="AR407" s="181"/>
      <c r="AS407" s="181"/>
      <c r="AT407" s="181"/>
      <c r="AU407" s="181"/>
      <c r="AV407" s="181"/>
      <c r="AW407" s="181"/>
    </row>
    <row r="408" spans="1:49" s="30" customFormat="1" hidden="1" x14ac:dyDescent="0.25">
      <c r="A408" s="1407" t="str">
        <f>IF(CD50_apply="Yes",IF(COUNTIF('03 - 50% CD'!D408:G408,"Y")&gt;0,"Y",IF(COUNTIF('03 - 50% CD'!D408:G408,"N"),"N","")),"")</f>
        <v>N</v>
      </c>
      <c r="B408" s="191"/>
      <c r="C408" s="944"/>
      <c r="D408" s="321"/>
      <c r="E408" s="559" t="str">
        <f>IF('C-Design&amp;Const'!$O408="","",'C-Design&amp;Const'!$O408)</f>
        <v>N</v>
      </c>
      <c r="F408" s="560"/>
      <c r="G408" s="558"/>
      <c r="H408" s="410" t="s">
        <v>305</v>
      </c>
      <c r="I408" s="186"/>
      <c r="J408" s="578" t="str">
        <f>IF('C-Design&amp;Const'!AH408="","",'C-Design&amp;Const'!AH408)</f>
        <v/>
      </c>
      <c r="K408" s="285" t="str">
        <f>IF(CD50_apply="Yes",IF((COUNTIF(D408:G408,"Y")=COUNTIF('03 - 50% CD'!D408:G408,"Y")),"match","no 50% match"),"-")</f>
        <v>match</v>
      </c>
      <c r="L408" s="1410" t="str">
        <f t="shared" si="20"/>
        <v>&lt;---PM/Planner may hide PLACEHOLDER ROW</v>
      </c>
      <c r="M408" s="1382"/>
      <c r="N408" s="1382"/>
      <c r="O408" s="1382"/>
      <c r="P408" s="1382"/>
      <c r="Q408" s="1382"/>
      <c r="R408" s="1490"/>
      <c r="S408" s="1274"/>
      <c r="T408" s="1274"/>
      <c r="U408" s="1382"/>
      <c r="V408" s="1382"/>
      <c r="W408" s="1382"/>
      <c r="X408" s="1382"/>
      <c r="Y408" s="1382"/>
      <c r="Z408" s="1382"/>
      <c r="AA408" s="1382"/>
      <c r="AB408" s="1382"/>
      <c r="AC408" s="1382"/>
      <c r="AD408" s="1382"/>
      <c r="AE408" s="1382"/>
      <c r="AF408" s="1382"/>
      <c r="AG408" s="1382"/>
      <c r="AH408" s="1382"/>
      <c r="AI408" s="1382"/>
      <c r="AJ408" s="1382"/>
      <c r="AK408" s="181"/>
      <c r="AL408" s="181"/>
      <c r="AM408" s="181"/>
      <c r="AN408" s="181"/>
      <c r="AO408" s="181"/>
      <c r="AP408" s="181"/>
      <c r="AQ408" s="181"/>
      <c r="AR408" s="181"/>
      <c r="AS408" s="181"/>
      <c r="AT408" s="181"/>
      <c r="AU408" s="181"/>
      <c r="AV408" s="181"/>
      <c r="AW408" s="181"/>
    </row>
    <row r="409" spans="1:49" s="30" customFormat="1" hidden="1" x14ac:dyDescent="0.25">
      <c r="A409" s="1407" t="str">
        <f>IF(CD50_apply="Yes",IF(COUNTIF('03 - 50% CD'!D409:G409,"Y")&gt;0,"Y",IF(COUNTIF('03 - 50% CD'!D409:G409,"N"),"N","")),"")</f>
        <v>N</v>
      </c>
      <c r="B409" s="191"/>
      <c r="C409" s="944"/>
      <c r="D409" s="321"/>
      <c r="E409" s="559" t="str">
        <f>IF('C-Design&amp;Const'!$O409="","",'C-Design&amp;Const'!$O409)</f>
        <v>N</v>
      </c>
      <c r="F409" s="560"/>
      <c r="G409" s="558"/>
      <c r="H409" s="410" t="s">
        <v>305</v>
      </c>
      <c r="I409" s="186"/>
      <c r="J409" s="578" t="str">
        <f>IF('C-Design&amp;Const'!AH409="","",'C-Design&amp;Const'!AH409)</f>
        <v/>
      </c>
      <c r="K409" s="285" t="str">
        <f>IF(CD50_apply="Yes",IF((COUNTIF(D409:G409,"Y")=COUNTIF('03 - 50% CD'!D409:G409,"Y")),"match","no 50% match"),"-")</f>
        <v>match</v>
      </c>
      <c r="L409" s="1410" t="str">
        <f t="shared" si="20"/>
        <v>&lt;---PM/Planner may hide PLACEHOLDER ROW</v>
      </c>
      <c r="M409" s="1382"/>
      <c r="N409" s="1382"/>
      <c r="O409" s="1382"/>
      <c r="P409" s="1382"/>
      <c r="Q409" s="1382"/>
      <c r="R409" s="1490"/>
      <c r="S409" s="1274"/>
      <c r="T409" s="1274"/>
      <c r="U409" s="1382"/>
      <c r="V409" s="1382"/>
      <c r="W409" s="1382"/>
      <c r="X409" s="1382"/>
      <c r="Y409" s="1382"/>
      <c r="Z409" s="1382"/>
      <c r="AA409" s="1382"/>
      <c r="AB409" s="1382"/>
      <c r="AC409" s="1382"/>
      <c r="AD409" s="1382"/>
      <c r="AE409" s="1382"/>
      <c r="AF409" s="1382"/>
      <c r="AG409" s="1382"/>
      <c r="AH409" s="1382"/>
      <c r="AI409" s="1382"/>
      <c r="AJ409" s="1382"/>
      <c r="AK409" s="181"/>
      <c r="AL409" s="181"/>
      <c r="AM409" s="181"/>
      <c r="AN409" s="181"/>
      <c r="AO409" s="181"/>
      <c r="AP409" s="181"/>
      <c r="AQ409" s="181"/>
      <c r="AR409" s="181"/>
      <c r="AS409" s="181"/>
      <c r="AT409" s="181"/>
      <c r="AU409" s="181"/>
      <c r="AV409" s="181"/>
      <c r="AW409" s="181"/>
    </row>
    <row r="410" spans="1:49" s="30" customFormat="1" hidden="1" x14ac:dyDescent="0.25">
      <c r="A410" s="1407" t="str">
        <f>IF(CD50_apply="Yes",IF(COUNTIF('03 - 50% CD'!D410:G410,"Y")&gt;0,"Y",IF(COUNTIF('03 - 50% CD'!D410:G410,"N"),"N","")),"")</f>
        <v>N</v>
      </c>
      <c r="B410" s="191"/>
      <c r="C410" s="944"/>
      <c r="D410" s="321"/>
      <c r="E410" s="559" t="str">
        <f>IF('C-Design&amp;Const'!$O413="","",'C-Design&amp;Const'!$O413)</f>
        <v>N</v>
      </c>
      <c r="F410" s="560"/>
      <c r="G410" s="558"/>
      <c r="H410" s="410" t="s">
        <v>305</v>
      </c>
      <c r="I410" s="186"/>
      <c r="J410" s="578" t="str">
        <f>IF('C-Design&amp;Const'!AH413="","",'C-Design&amp;Const'!AH413)</f>
        <v/>
      </c>
      <c r="K410" s="285" t="str">
        <f>IF(CD50_apply="Yes",IF((COUNTIF(D410:G410,"Y")=COUNTIF('03 - 50% CD'!D410:G410,"Y")),"match","no 50% match"),"-")</f>
        <v>match</v>
      </c>
      <c r="L410" s="1410" t="str">
        <f t="shared" si="20"/>
        <v>&lt;---PM/Planner may hide PLACEHOLDER ROW</v>
      </c>
      <c r="M410" s="1382"/>
      <c r="N410" s="1382"/>
      <c r="O410" s="1382"/>
      <c r="P410" s="1382"/>
      <c r="Q410" s="1382"/>
      <c r="R410" s="1490"/>
      <c r="S410" s="1274"/>
      <c r="T410" s="1274"/>
      <c r="U410" s="1382"/>
      <c r="V410" s="1382"/>
      <c r="W410" s="1382"/>
      <c r="X410" s="1382"/>
      <c r="Y410" s="1382"/>
      <c r="Z410" s="1382"/>
      <c r="AA410" s="1382"/>
      <c r="AB410" s="1382"/>
      <c r="AC410" s="1382"/>
      <c r="AD410" s="1382"/>
      <c r="AE410" s="1382"/>
      <c r="AF410" s="1382"/>
      <c r="AG410" s="1382"/>
      <c r="AH410" s="1382"/>
      <c r="AI410" s="1382"/>
      <c r="AJ410" s="1382"/>
      <c r="AK410" s="181"/>
      <c r="AL410" s="181"/>
      <c r="AM410" s="181"/>
      <c r="AN410" s="181"/>
      <c r="AO410" s="181"/>
      <c r="AP410" s="181"/>
      <c r="AQ410" s="181"/>
      <c r="AR410" s="181"/>
      <c r="AS410" s="181"/>
      <c r="AT410" s="181"/>
      <c r="AU410" s="181"/>
      <c r="AV410" s="181"/>
      <c r="AW410" s="181"/>
    </row>
    <row r="411" spans="1:49" s="30" customFormat="1" hidden="1" x14ac:dyDescent="0.25">
      <c r="A411" s="1407" t="str">
        <f>IF(CD50_apply="Yes",IF(COUNTIF('03 - 50% CD'!D411:G411,"Y")&gt;0,"Y",IF(COUNTIF('03 - 50% CD'!D411:G411,"N"),"N","")),"")</f>
        <v>N</v>
      </c>
      <c r="B411" s="191"/>
      <c r="C411" s="944"/>
      <c r="D411" s="321"/>
      <c r="E411" s="559" t="str">
        <f>IF('C-Design&amp;Const'!$O410="","",'C-Design&amp;Const'!$O410)</f>
        <v>N</v>
      </c>
      <c r="F411" s="560"/>
      <c r="G411" s="558"/>
      <c r="H411" s="410" t="s">
        <v>305</v>
      </c>
      <c r="I411" s="186"/>
      <c r="J411" s="578" t="str">
        <f>IF('C-Design&amp;Const'!AH410="","",'C-Design&amp;Const'!AH410)</f>
        <v/>
      </c>
      <c r="K411" s="285" t="str">
        <f>IF(CD50_apply="Yes",IF((COUNTIF(D411:G411,"Y")=COUNTIF('03 - 50% CD'!D411:G411,"Y")),"match","no 50% match"),"-")</f>
        <v>match</v>
      </c>
      <c r="L411" s="1410" t="str">
        <f t="shared" si="20"/>
        <v>&lt;---PM/Planner may hide PLACEHOLDER ROW</v>
      </c>
      <c r="M411" s="1382"/>
      <c r="N411" s="1382"/>
      <c r="O411" s="1382"/>
      <c r="P411" s="1382"/>
      <c r="Q411" s="1382"/>
      <c r="R411" s="1490"/>
      <c r="S411" s="1274"/>
      <c r="T411" s="1274"/>
      <c r="U411" s="1382"/>
      <c r="V411" s="1382"/>
      <c r="W411" s="1382"/>
      <c r="X411" s="1382"/>
      <c r="Y411" s="1382"/>
      <c r="Z411" s="1382"/>
      <c r="AA411" s="1382"/>
      <c r="AB411" s="1382"/>
      <c r="AC411" s="1382"/>
      <c r="AD411" s="1382"/>
      <c r="AE411" s="1382"/>
      <c r="AF411" s="1382"/>
      <c r="AG411" s="1382"/>
      <c r="AH411" s="1382"/>
      <c r="AI411" s="1382"/>
      <c r="AJ411" s="1382"/>
      <c r="AK411" s="181"/>
      <c r="AL411" s="181"/>
      <c r="AM411" s="181"/>
      <c r="AN411" s="181"/>
      <c r="AO411" s="181"/>
      <c r="AP411" s="181"/>
      <c r="AQ411" s="181"/>
      <c r="AR411" s="181"/>
      <c r="AS411" s="181"/>
      <c r="AT411" s="181"/>
      <c r="AU411" s="181"/>
      <c r="AV411" s="181"/>
      <c r="AW411" s="181"/>
    </row>
    <row r="412" spans="1:49" s="30" customFormat="1" hidden="1" x14ac:dyDescent="0.25">
      <c r="A412" s="1407" t="str">
        <f>IF(CD50_apply="Yes",IF(COUNTIF('03 - 50% CD'!D412:G412,"Y")&gt;0,"Y",IF(COUNTIF('03 - 50% CD'!D412:G412,"N"),"N","")),"")</f>
        <v>N</v>
      </c>
      <c r="B412" s="191"/>
      <c r="C412" s="944"/>
      <c r="D412" s="321"/>
      <c r="E412" s="559" t="str">
        <f>IF('C-Design&amp;Const'!$O411="","",'C-Design&amp;Const'!$O411)</f>
        <v>N</v>
      </c>
      <c r="F412" s="560"/>
      <c r="G412" s="558"/>
      <c r="H412" s="410" t="s">
        <v>305</v>
      </c>
      <c r="I412" s="186"/>
      <c r="J412" s="578" t="str">
        <f>IF('C-Design&amp;Const'!AH411="","",'C-Design&amp;Const'!AH411)</f>
        <v/>
      </c>
      <c r="K412" s="285" t="str">
        <f>IF(CD50_apply="Yes",IF((COUNTIF(D412:G412,"Y")=COUNTIF('03 - 50% CD'!D412:G412,"Y")),"match","no 50% match"),"-")</f>
        <v>match</v>
      </c>
      <c r="L412" s="1410" t="str">
        <f t="shared" si="20"/>
        <v>&lt;---PM/Planner may hide PLACEHOLDER ROW</v>
      </c>
      <c r="M412" s="1382"/>
      <c r="N412" s="1382"/>
      <c r="O412" s="1382"/>
      <c r="P412" s="1382"/>
      <c r="Q412" s="1382"/>
      <c r="R412" s="1490"/>
      <c r="S412" s="1274"/>
      <c r="T412" s="1274"/>
      <c r="U412" s="1382"/>
      <c r="V412" s="1382"/>
      <c r="W412" s="1382"/>
      <c r="X412" s="1382"/>
      <c r="Y412" s="1382"/>
      <c r="Z412" s="1382"/>
      <c r="AA412" s="1382"/>
      <c r="AB412" s="1382"/>
      <c r="AC412" s="1382"/>
      <c r="AD412" s="1382"/>
      <c r="AE412" s="1382"/>
      <c r="AF412" s="1382"/>
      <c r="AG412" s="1382"/>
      <c r="AH412" s="1382"/>
      <c r="AI412" s="1382"/>
      <c r="AJ412" s="1382"/>
      <c r="AK412" s="181"/>
      <c r="AL412" s="181"/>
      <c r="AM412" s="181"/>
      <c r="AN412" s="181"/>
      <c r="AO412" s="181"/>
      <c r="AP412" s="181"/>
      <c r="AQ412" s="181"/>
      <c r="AR412" s="181"/>
      <c r="AS412" s="181"/>
      <c r="AT412" s="181"/>
      <c r="AU412" s="181"/>
      <c r="AV412" s="181"/>
      <c r="AW412" s="181"/>
    </row>
    <row r="413" spans="1:49" s="30" customFormat="1" hidden="1" x14ac:dyDescent="0.25">
      <c r="A413" s="1407" t="str">
        <f>IF(CD50_apply="Yes",IF(COUNTIF('03 - 50% CD'!D413:G413,"Y")&gt;0,"Y",IF(COUNTIF('03 - 50% CD'!D413:G413,"N"),"N","")),"")</f>
        <v>N</v>
      </c>
      <c r="B413" s="191"/>
      <c r="C413" s="944"/>
      <c r="D413" s="321"/>
      <c r="E413" s="559" t="str">
        <f>IF('C-Design&amp;Const'!$O412="","",'C-Design&amp;Const'!$O412)</f>
        <v>N</v>
      </c>
      <c r="F413" s="560"/>
      <c r="G413" s="558"/>
      <c r="H413" s="410" t="s">
        <v>305</v>
      </c>
      <c r="I413" s="186"/>
      <c r="J413" s="578" t="str">
        <f>IF('C-Design&amp;Const'!AH412="","",'C-Design&amp;Const'!AH412)</f>
        <v/>
      </c>
      <c r="K413" s="285" t="str">
        <f>IF(CD50_apply="Yes",IF((COUNTIF(D413:G413,"Y")=COUNTIF('03 - 50% CD'!D413:G413,"Y")),"match","no 50% match"),"-")</f>
        <v>match</v>
      </c>
      <c r="L413" s="1410" t="str">
        <f t="shared" si="20"/>
        <v>&lt;---PM/Planner may hide PLACEHOLDER ROW</v>
      </c>
      <c r="M413" s="1382"/>
      <c r="N413" s="1382"/>
      <c r="O413" s="1382"/>
      <c r="P413" s="1382"/>
      <c r="Q413" s="1382"/>
      <c r="R413" s="1490"/>
      <c r="S413" s="1274"/>
      <c r="T413" s="1274"/>
      <c r="U413" s="1382"/>
      <c r="V413" s="1382"/>
      <c r="W413" s="1382"/>
      <c r="X413" s="1382"/>
      <c r="Y413" s="1382"/>
      <c r="Z413" s="1382"/>
      <c r="AA413" s="1382"/>
      <c r="AB413" s="1382"/>
      <c r="AC413" s="1382"/>
      <c r="AD413" s="1382"/>
      <c r="AE413" s="1382"/>
      <c r="AF413" s="1382"/>
      <c r="AG413" s="1382"/>
      <c r="AH413" s="1382"/>
      <c r="AI413" s="1382"/>
      <c r="AJ413" s="1382"/>
      <c r="AK413" s="181"/>
      <c r="AL413" s="181"/>
      <c r="AM413" s="181"/>
      <c r="AN413" s="181"/>
      <c r="AO413" s="181"/>
      <c r="AP413" s="181"/>
      <c r="AQ413" s="181"/>
      <c r="AR413" s="181"/>
      <c r="AS413" s="181"/>
      <c r="AT413" s="181"/>
      <c r="AU413" s="181"/>
      <c r="AV413" s="181"/>
      <c r="AW413" s="181"/>
    </row>
    <row r="414" spans="1:49" s="30" customFormat="1" hidden="1" x14ac:dyDescent="0.25">
      <c r="A414" s="1407" t="str">
        <f>IF(CD50_apply="Yes",IF(COUNTIF('03 - 50% CD'!D414:G414,"Y")&gt;0,"Y",IF(COUNTIF('03 - 50% CD'!D414:G414,"N"),"N","")),"")</f>
        <v>N</v>
      </c>
      <c r="B414" s="191"/>
      <c r="C414" s="944"/>
      <c r="D414" s="321"/>
      <c r="E414" s="559" t="str">
        <f>IF('C-Design&amp;Const'!$O414="","",'C-Design&amp;Const'!$O414)</f>
        <v>N</v>
      </c>
      <c r="F414" s="560"/>
      <c r="G414" s="558"/>
      <c r="H414" s="410" t="s">
        <v>305</v>
      </c>
      <c r="I414" s="186"/>
      <c r="J414" s="578" t="str">
        <f>IF('C-Design&amp;Const'!AH414="","",'C-Design&amp;Const'!AH414)</f>
        <v/>
      </c>
      <c r="K414" s="285" t="str">
        <f>IF(CD50_apply="Yes",IF((COUNTIF(D414:G414,"Y")=COUNTIF('03 - 50% CD'!D414:G414,"Y")),"match","no 50% match"),"-")</f>
        <v>match</v>
      </c>
      <c r="L414" s="1410" t="str">
        <f t="shared" si="20"/>
        <v>&lt;---PM/Planner may hide PLACEHOLDER ROW</v>
      </c>
      <c r="M414" s="1382"/>
      <c r="N414" s="1382"/>
      <c r="O414" s="1382"/>
      <c r="P414" s="1382"/>
      <c r="Q414" s="1382"/>
      <c r="R414" s="1490"/>
      <c r="S414" s="1274"/>
      <c r="T414" s="1274"/>
      <c r="U414" s="1382"/>
      <c r="V414" s="1382"/>
      <c r="W414" s="1382"/>
      <c r="X414" s="1382"/>
      <c r="Y414" s="1382"/>
      <c r="Z414" s="1382"/>
      <c r="AA414" s="1382"/>
      <c r="AB414" s="1382"/>
      <c r="AC414" s="1382"/>
      <c r="AD414" s="1382"/>
      <c r="AE414" s="1382"/>
      <c r="AF414" s="1382"/>
      <c r="AG414" s="1382"/>
      <c r="AH414" s="1382"/>
      <c r="AI414" s="1382"/>
      <c r="AJ414" s="1382"/>
      <c r="AK414" s="181"/>
      <c r="AL414" s="181"/>
      <c r="AM414" s="181"/>
      <c r="AN414" s="181"/>
      <c r="AO414" s="181"/>
      <c r="AP414" s="181"/>
      <c r="AQ414" s="181"/>
      <c r="AR414" s="181"/>
      <c r="AS414" s="181"/>
      <c r="AT414" s="181"/>
      <c r="AU414" s="181"/>
      <c r="AV414" s="181"/>
      <c r="AW414" s="181"/>
    </row>
    <row r="415" spans="1:49" s="30" customFormat="1" hidden="1" x14ac:dyDescent="0.25">
      <c r="A415" s="1407" t="str">
        <f>IF(CD50_apply="Yes",IF(COUNTIF('03 - 50% CD'!D415:G415,"Y")&gt;0,"Y",IF(COUNTIF('03 - 50% CD'!D415:G415,"N"),"N","")),"")</f>
        <v>N</v>
      </c>
      <c r="B415" s="191"/>
      <c r="C415" s="944"/>
      <c r="D415" s="321"/>
      <c r="E415" s="559" t="str">
        <f>IF('C-Design&amp;Const'!$O415="","",'C-Design&amp;Const'!$O415)</f>
        <v>N</v>
      </c>
      <c r="F415" s="560"/>
      <c r="G415" s="558"/>
      <c r="H415" s="410" t="s">
        <v>305</v>
      </c>
      <c r="I415" s="186"/>
      <c r="J415" s="578" t="str">
        <f>IF('C-Design&amp;Const'!AH415="","",'C-Design&amp;Const'!AH415)</f>
        <v/>
      </c>
      <c r="K415" s="285" t="str">
        <f>IF(CD50_apply="Yes",IF((COUNTIF(D415:G415,"Y")=COUNTIF('03 - 50% CD'!D415:G415,"Y")),"match","no 50% match"),"-")</f>
        <v>match</v>
      </c>
      <c r="L415" s="1410" t="str">
        <f t="shared" si="20"/>
        <v>&lt;---PM/Planner may hide PLACEHOLDER ROW</v>
      </c>
      <c r="M415" s="1382"/>
      <c r="N415" s="1382"/>
      <c r="O415" s="1382"/>
      <c r="P415" s="1382"/>
      <c r="Q415" s="1382"/>
      <c r="R415" s="1490"/>
      <c r="S415" s="1274"/>
      <c r="T415" s="1274"/>
      <c r="U415" s="1382"/>
      <c r="V415" s="1382"/>
      <c r="W415" s="1382"/>
      <c r="X415" s="1382"/>
      <c r="Y415" s="1382"/>
      <c r="Z415" s="1382"/>
      <c r="AA415" s="1382"/>
      <c r="AB415" s="1382"/>
      <c r="AC415" s="1382"/>
      <c r="AD415" s="1382"/>
      <c r="AE415" s="1382"/>
      <c r="AF415" s="1382"/>
      <c r="AG415" s="1382"/>
      <c r="AH415" s="1382"/>
      <c r="AI415" s="1382"/>
      <c r="AJ415" s="1382"/>
      <c r="AK415" s="181"/>
      <c r="AL415" s="181"/>
      <c r="AM415" s="181"/>
      <c r="AN415" s="181"/>
      <c r="AO415" s="181"/>
      <c r="AP415" s="181"/>
      <c r="AQ415" s="181"/>
      <c r="AR415" s="181"/>
      <c r="AS415" s="181"/>
      <c r="AT415" s="181"/>
      <c r="AU415" s="181"/>
      <c r="AV415" s="181"/>
      <c r="AW415" s="181"/>
    </row>
    <row r="416" spans="1:49" s="30" customFormat="1" hidden="1" x14ac:dyDescent="0.25">
      <c r="A416" s="1407" t="str">
        <f>IF(CD50_apply="Yes",IF(COUNTIF('03 - 50% CD'!D416:G416,"Y")&gt;0,"Y",IF(COUNTIF('03 - 50% CD'!D416:G416,"N"),"N","")),"")</f>
        <v>N</v>
      </c>
      <c r="B416" s="191"/>
      <c r="C416" s="944"/>
      <c r="D416" s="321"/>
      <c r="E416" s="559" t="str">
        <f>IF('C-Design&amp;Const'!$O416="","",'C-Design&amp;Const'!$O416)</f>
        <v>N</v>
      </c>
      <c r="F416" s="560"/>
      <c r="G416" s="558"/>
      <c r="H416" s="410" t="s">
        <v>305</v>
      </c>
      <c r="I416" s="186"/>
      <c r="J416" s="578" t="str">
        <f>IF('C-Design&amp;Const'!AH416="","",'C-Design&amp;Const'!AH416)</f>
        <v/>
      </c>
      <c r="K416" s="285" t="str">
        <f>IF(CD50_apply="Yes",IF((COUNTIF(D416:G416,"Y")=COUNTIF('03 - 50% CD'!D416:G416,"Y")),"match","no 50% match"),"-")</f>
        <v>match</v>
      </c>
      <c r="L416" s="1410" t="str">
        <f t="shared" si="20"/>
        <v>&lt;---PM/Planner may hide PLACEHOLDER ROW</v>
      </c>
      <c r="M416" s="1382"/>
      <c r="N416" s="1382"/>
      <c r="O416" s="1382"/>
      <c r="P416" s="1382"/>
      <c r="Q416" s="1382"/>
      <c r="R416" s="1490"/>
      <c r="S416" s="1274"/>
      <c r="T416" s="1274"/>
      <c r="U416" s="1382"/>
      <c r="V416" s="1382"/>
      <c r="W416" s="1382"/>
      <c r="X416" s="1382"/>
      <c r="Y416" s="1382"/>
      <c r="Z416" s="1382"/>
      <c r="AA416" s="1382"/>
      <c r="AB416" s="1382"/>
      <c r="AC416" s="1382"/>
      <c r="AD416" s="1382"/>
      <c r="AE416" s="1382"/>
      <c r="AF416" s="1382"/>
      <c r="AG416" s="1382"/>
      <c r="AH416" s="1382"/>
      <c r="AI416" s="1382"/>
      <c r="AJ416" s="1382"/>
      <c r="AK416" s="181"/>
      <c r="AL416" s="181"/>
      <c r="AM416" s="181"/>
      <c r="AN416" s="181"/>
      <c r="AO416" s="181"/>
      <c r="AP416" s="181"/>
      <c r="AQ416" s="181"/>
      <c r="AR416" s="181"/>
      <c r="AS416" s="181"/>
      <c r="AT416" s="181"/>
      <c r="AU416" s="181"/>
      <c r="AV416" s="181"/>
      <c r="AW416" s="181"/>
    </row>
    <row r="417" spans="1:49" s="30" customFormat="1" hidden="1" x14ac:dyDescent="0.25">
      <c r="A417" s="1407" t="str">
        <f>IF(CD50_apply="Yes",IF(COUNTIF('03 - 50% CD'!D417:G417,"Y")&gt;0,"Y",IF(COUNTIF('03 - 50% CD'!D417:G417,"N"),"N","")),"")</f>
        <v>N</v>
      </c>
      <c r="B417" s="191"/>
      <c r="C417" s="944"/>
      <c r="D417" s="321"/>
      <c r="E417" s="559" t="str">
        <f>IF('C-Design&amp;Const'!$O417="","",'C-Design&amp;Const'!$O417)</f>
        <v>N</v>
      </c>
      <c r="F417" s="560"/>
      <c r="G417" s="558"/>
      <c r="H417" s="410" t="s">
        <v>305</v>
      </c>
      <c r="I417" s="186"/>
      <c r="J417" s="578" t="str">
        <f>IF('C-Design&amp;Const'!AH417="","",'C-Design&amp;Const'!AH417)</f>
        <v/>
      </c>
      <c r="K417" s="285" t="str">
        <f>IF(CD50_apply="Yes",IF((COUNTIF(D417:G417,"Y")=COUNTIF('03 - 50% CD'!D417:G417,"Y")),"match","no 50% match"),"-")</f>
        <v>match</v>
      </c>
      <c r="L417" s="1410" t="str">
        <f t="shared" si="20"/>
        <v>&lt;---PM/Planner may hide PLACEHOLDER ROW</v>
      </c>
      <c r="M417" s="1382"/>
      <c r="N417" s="1382"/>
      <c r="O417" s="1382"/>
      <c r="P417" s="1382"/>
      <c r="Q417" s="1382"/>
      <c r="R417" s="1490"/>
      <c r="S417" s="1274"/>
      <c r="T417" s="1274"/>
      <c r="U417" s="1382"/>
      <c r="V417" s="1382"/>
      <c r="W417" s="1382"/>
      <c r="X417" s="1382"/>
      <c r="Y417" s="1382"/>
      <c r="Z417" s="1382"/>
      <c r="AA417" s="1382"/>
      <c r="AB417" s="1382"/>
      <c r="AC417" s="1382"/>
      <c r="AD417" s="1382"/>
      <c r="AE417" s="1382"/>
      <c r="AF417" s="1382"/>
      <c r="AG417" s="1382"/>
      <c r="AH417" s="1382"/>
      <c r="AI417" s="1382"/>
      <c r="AJ417" s="1382"/>
      <c r="AK417" s="181"/>
      <c r="AL417" s="181"/>
      <c r="AM417" s="181"/>
      <c r="AN417" s="181"/>
      <c r="AO417" s="181"/>
      <c r="AP417" s="181"/>
      <c r="AQ417" s="181"/>
      <c r="AR417" s="181"/>
      <c r="AS417" s="181"/>
      <c r="AT417" s="181"/>
      <c r="AU417" s="181"/>
      <c r="AV417" s="181"/>
      <c r="AW417" s="181"/>
    </row>
    <row r="418" spans="1:49" s="30" customFormat="1" hidden="1" x14ac:dyDescent="0.25">
      <c r="A418" s="1407" t="str">
        <f>IF(CD50_apply="Yes",IF(COUNTIF('03 - 50% CD'!D418:G418,"Y")&gt;0,"Y",IF(COUNTIF('03 - 50% CD'!D418:G418,"N"),"N","")),"")</f>
        <v>N</v>
      </c>
      <c r="B418" s="191"/>
      <c r="C418" s="944"/>
      <c r="D418" s="321"/>
      <c r="E418" s="559" t="str">
        <f>IF('C-Design&amp;Const'!$O418="","",'C-Design&amp;Const'!$O418)</f>
        <v>N</v>
      </c>
      <c r="F418" s="560"/>
      <c r="G418" s="558"/>
      <c r="H418" s="410" t="s">
        <v>305</v>
      </c>
      <c r="I418" s="186"/>
      <c r="J418" s="578" t="str">
        <f>IF('C-Design&amp;Const'!AH418="","",'C-Design&amp;Const'!AH418)</f>
        <v/>
      </c>
      <c r="K418" s="285" t="str">
        <f>IF(CD50_apply="Yes",IF((COUNTIF(D418:G418,"Y")=COUNTIF('03 - 50% CD'!D418:G418,"Y")),"match","no 50% match"),"-")</f>
        <v>match</v>
      </c>
      <c r="L418" s="1410" t="str">
        <f t="shared" si="20"/>
        <v>&lt;---PM/Planner may hide PLACEHOLDER ROW</v>
      </c>
      <c r="M418" s="1382"/>
      <c r="N418" s="1382"/>
      <c r="O418" s="1382"/>
      <c r="P418" s="1382"/>
      <c r="Q418" s="1382"/>
      <c r="R418" s="1490"/>
      <c r="S418" s="1274"/>
      <c r="T418" s="1274"/>
      <c r="U418" s="1382"/>
      <c r="V418" s="1382"/>
      <c r="W418" s="1382"/>
      <c r="X418" s="1382"/>
      <c r="Y418" s="1382"/>
      <c r="Z418" s="1382"/>
      <c r="AA418" s="1382"/>
      <c r="AB418" s="1382"/>
      <c r="AC418" s="1382"/>
      <c r="AD418" s="1382"/>
      <c r="AE418" s="1382"/>
      <c r="AF418" s="1382"/>
      <c r="AG418" s="1382"/>
      <c r="AH418" s="1382"/>
      <c r="AI418" s="1382"/>
      <c r="AJ418" s="1382"/>
      <c r="AK418" s="181"/>
      <c r="AL418" s="181"/>
      <c r="AM418" s="181"/>
      <c r="AN418" s="181"/>
      <c r="AO418" s="181"/>
      <c r="AP418" s="181"/>
      <c r="AQ418" s="181"/>
      <c r="AR418" s="181"/>
      <c r="AS418" s="181"/>
      <c r="AT418" s="181"/>
      <c r="AU418" s="181"/>
      <c r="AV418" s="181"/>
      <c r="AW418" s="181"/>
    </row>
    <row r="419" spans="1:49" s="30" customFormat="1" hidden="1" x14ac:dyDescent="0.25">
      <c r="A419" s="1407" t="str">
        <f>IF(CD50_apply="Yes",IF(COUNTIF('03 - 50% CD'!D419:G419,"Y")&gt;0,"Y",IF(COUNTIF('03 - 50% CD'!D419:G419,"N"),"N","")),"")</f>
        <v>N</v>
      </c>
      <c r="B419" s="191"/>
      <c r="C419" s="944"/>
      <c r="D419" s="321"/>
      <c r="E419" s="559" t="str">
        <f>IF('C-Design&amp;Const'!$O419="","",'C-Design&amp;Const'!$O419)</f>
        <v>N</v>
      </c>
      <c r="F419" s="560"/>
      <c r="G419" s="558"/>
      <c r="H419" s="410" t="s">
        <v>305</v>
      </c>
      <c r="I419" s="186"/>
      <c r="J419" s="578" t="str">
        <f>IF('C-Design&amp;Const'!AH419="","",'C-Design&amp;Const'!AH419)</f>
        <v/>
      </c>
      <c r="K419" s="285" t="str">
        <f>IF(CD50_apply="Yes",IF((COUNTIF(D419:G419,"Y")=COUNTIF('03 - 50% CD'!D419:G419,"Y")),"match","no 50% match"),"-")</f>
        <v>match</v>
      </c>
      <c r="L419" s="1410" t="str">
        <f t="shared" si="20"/>
        <v>&lt;---PM/Planner may hide PLACEHOLDER ROW</v>
      </c>
      <c r="M419" s="1382"/>
      <c r="N419" s="1382"/>
      <c r="O419" s="1382"/>
      <c r="P419" s="1382"/>
      <c r="Q419" s="1382"/>
      <c r="R419" s="1490"/>
      <c r="S419" s="1274"/>
      <c r="T419" s="1274"/>
      <c r="U419" s="1382"/>
      <c r="V419" s="1382"/>
      <c r="W419" s="1382"/>
      <c r="X419" s="1382"/>
      <c r="Y419" s="1382"/>
      <c r="Z419" s="1382"/>
      <c r="AA419" s="1382"/>
      <c r="AB419" s="1382"/>
      <c r="AC419" s="1382"/>
      <c r="AD419" s="1382"/>
      <c r="AE419" s="1382"/>
      <c r="AF419" s="1382"/>
      <c r="AG419" s="1382"/>
      <c r="AH419" s="1382"/>
      <c r="AI419" s="1382"/>
      <c r="AJ419" s="1382"/>
      <c r="AK419" s="181"/>
      <c r="AL419" s="181"/>
      <c r="AM419" s="181"/>
      <c r="AN419" s="181"/>
      <c r="AO419" s="181"/>
      <c r="AP419" s="181"/>
      <c r="AQ419" s="181"/>
      <c r="AR419" s="181"/>
      <c r="AS419" s="181"/>
      <c r="AT419" s="181"/>
      <c r="AU419" s="181"/>
      <c r="AV419" s="181"/>
      <c r="AW419" s="181"/>
    </row>
    <row r="420" spans="1:49" s="30" customFormat="1" hidden="1" x14ac:dyDescent="0.25">
      <c r="A420" s="1407" t="str">
        <f>IF(CD50_apply="Yes",IF(COUNTIF('03 - 50% CD'!D420:G420,"Y")&gt;0,"Y",IF(COUNTIF('03 - 50% CD'!D420:G420,"N"),"N","")),"")</f>
        <v>N</v>
      </c>
      <c r="B420" s="191"/>
      <c r="C420" s="944"/>
      <c r="D420" s="321"/>
      <c r="E420" s="559" t="str">
        <f>IF('C-Design&amp;Const'!$O420="","",'C-Design&amp;Const'!$O420)</f>
        <v>N</v>
      </c>
      <c r="F420" s="560"/>
      <c r="G420" s="558"/>
      <c r="H420" s="410" t="s">
        <v>305</v>
      </c>
      <c r="I420" s="186"/>
      <c r="J420" s="578" t="str">
        <f>IF('C-Design&amp;Const'!AH420="","",'C-Design&amp;Const'!AH420)</f>
        <v/>
      </c>
      <c r="K420" s="285" t="str">
        <f>IF(CD50_apply="Yes",IF((COUNTIF(D420:G420,"Y")=COUNTIF('03 - 50% CD'!D420:G420,"Y")),"match","no 50% match"),"-")</f>
        <v>match</v>
      </c>
      <c r="L420" s="1410" t="str">
        <f t="shared" si="20"/>
        <v>&lt;---PM/Planner may hide PLACEHOLDER ROW</v>
      </c>
      <c r="M420" s="1382"/>
      <c r="N420" s="1382"/>
      <c r="O420" s="1382"/>
      <c r="P420" s="1382"/>
      <c r="Q420" s="1382"/>
      <c r="R420" s="1490"/>
      <c r="S420" s="1274"/>
      <c r="T420" s="1274"/>
      <c r="U420" s="1382"/>
      <c r="V420" s="1382"/>
      <c r="W420" s="1382"/>
      <c r="X420" s="1382"/>
      <c r="Y420" s="1382"/>
      <c r="Z420" s="1382"/>
      <c r="AA420" s="1382"/>
      <c r="AB420" s="1382"/>
      <c r="AC420" s="1382"/>
      <c r="AD420" s="1382"/>
      <c r="AE420" s="1382"/>
      <c r="AF420" s="1382"/>
      <c r="AG420" s="1382"/>
      <c r="AH420" s="1382"/>
      <c r="AI420" s="1382"/>
      <c r="AJ420" s="1382"/>
      <c r="AK420" s="181"/>
      <c r="AL420" s="181"/>
      <c r="AM420" s="181"/>
      <c r="AN420" s="181"/>
      <c r="AO420" s="181"/>
      <c r="AP420" s="181"/>
      <c r="AQ420" s="181"/>
      <c r="AR420" s="181"/>
      <c r="AS420" s="181"/>
      <c r="AT420" s="181"/>
      <c r="AU420" s="181"/>
      <c r="AV420" s="181"/>
      <c r="AW420" s="181"/>
    </row>
    <row r="421" spans="1:49" s="30" customFormat="1" hidden="1" x14ac:dyDescent="0.25">
      <c r="A421" s="1407" t="str">
        <f>IF(CD50_apply="Yes",IF(COUNTIF('03 - 50% CD'!D421:G421,"Y")&gt;0,"Y",IF(COUNTIF('03 - 50% CD'!D421:G421,"N"),"N","")),"")</f>
        <v/>
      </c>
      <c r="B421" s="191"/>
      <c r="C421" s="944"/>
      <c r="D421" s="321"/>
      <c r="E421" s="559" t="str">
        <f>IF('C-Design&amp;Const'!$O421="","",'C-Design&amp;Const'!$O421)</f>
        <v/>
      </c>
      <c r="F421" s="560"/>
      <c r="G421" s="558"/>
      <c r="H421" s="410" t="s">
        <v>305</v>
      </c>
      <c r="I421" s="186"/>
      <c r="J421" s="578" t="str">
        <f>IF('C-Design&amp;Const'!AH421="","",'C-Design&amp;Const'!AH421)</f>
        <v/>
      </c>
      <c r="K421" s="285" t="str">
        <f>IF(CD50_apply="Yes",IF((COUNTIF(D421:G421,"Y")=COUNTIF('03 - 50% CD'!D421:G421,"Y")),"match","no 50% match"),"-")</f>
        <v>match</v>
      </c>
      <c r="L421" s="1410" t="str">
        <f t="shared" si="20"/>
        <v>&lt;---PM/Planner may hide PLACEHOLDER ROW</v>
      </c>
      <c r="M421" s="1382"/>
      <c r="N421" s="1382"/>
      <c r="O421" s="1382"/>
      <c r="P421" s="1382"/>
      <c r="Q421" s="1382"/>
      <c r="R421" s="1490"/>
      <c r="S421" s="1274"/>
      <c r="T421" s="1274"/>
      <c r="U421" s="1382"/>
      <c r="V421" s="1382"/>
      <c r="W421" s="1382"/>
      <c r="X421" s="1382"/>
      <c r="Y421" s="1382"/>
      <c r="Z421" s="1382"/>
      <c r="AA421" s="1382"/>
      <c r="AB421" s="1382"/>
      <c r="AC421" s="1382"/>
      <c r="AD421" s="1382"/>
      <c r="AE421" s="1382"/>
      <c r="AF421" s="1382"/>
      <c r="AG421" s="1382"/>
      <c r="AH421" s="1382"/>
      <c r="AI421" s="1382"/>
      <c r="AJ421" s="1382"/>
      <c r="AK421" s="181"/>
      <c r="AL421" s="181"/>
      <c r="AM421" s="181"/>
      <c r="AN421" s="181"/>
      <c r="AO421" s="181"/>
      <c r="AP421" s="181"/>
      <c r="AQ421" s="181"/>
      <c r="AR421" s="181"/>
      <c r="AS421" s="181"/>
      <c r="AT421" s="181"/>
      <c r="AU421" s="181"/>
      <c r="AV421" s="181"/>
      <c r="AW421" s="181"/>
    </row>
    <row r="422" spans="1:49" s="30" customFormat="1" hidden="1" x14ac:dyDescent="0.25">
      <c r="A422" s="1407" t="str">
        <f>IF(CD50_apply="Yes",IF(COUNTIF('03 - 50% CD'!D422:G422,"Y")&gt;0,"Y",IF(COUNTIF('03 - 50% CD'!D422:G422,"N"),"N","")),"")</f>
        <v>N</v>
      </c>
      <c r="B422" s="191"/>
      <c r="C422" s="944"/>
      <c r="D422" s="321"/>
      <c r="E422" s="559" t="str">
        <f>IF('C-Design&amp;Const'!$O422="","",'C-Design&amp;Const'!$O422)</f>
        <v>N</v>
      </c>
      <c r="F422" s="560"/>
      <c r="G422" s="558"/>
      <c r="H422" s="410" t="s">
        <v>305</v>
      </c>
      <c r="I422" s="186"/>
      <c r="J422" s="578" t="str">
        <f>IF('C-Design&amp;Const'!AH422="","",'C-Design&amp;Const'!AH422)</f>
        <v/>
      </c>
      <c r="K422" s="285" t="str">
        <f>IF(CD50_apply="Yes",IF((COUNTIF(D422:G422,"Y")=COUNTIF('03 - 50% CD'!D422:G422,"Y")),"match","no 50% match"),"-")</f>
        <v>match</v>
      </c>
      <c r="L422" s="1410" t="str">
        <f t="shared" si="20"/>
        <v>&lt;---PM/Planner may hide PLACEHOLDER ROW</v>
      </c>
      <c r="M422" s="1382"/>
      <c r="N422" s="1382"/>
      <c r="O422" s="1382"/>
      <c r="P422" s="1382"/>
      <c r="Q422" s="1382"/>
      <c r="R422" s="1490"/>
      <c r="S422" s="1274"/>
      <c r="T422" s="1274"/>
      <c r="U422" s="1382"/>
      <c r="V422" s="1382"/>
      <c r="W422" s="1382"/>
      <c r="X422" s="1382"/>
      <c r="Y422" s="1382"/>
      <c r="Z422" s="1382"/>
      <c r="AA422" s="1382"/>
      <c r="AB422" s="1382"/>
      <c r="AC422" s="1382"/>
      <c r="AD422" s="1382"/>
      <c r="AE422" s="1382"/>
      <c r="AF422" s="1382"/>
      <c r="AG422" s="1382"/>
      <c r="AH422" s="1382"/>
      <c r="AI422" s="1382"/>
      <c r="AJ422" s="1382"/>
      <c r="AK422" s="181"/>
      <c r="AL422" s="181"/>
      <c r="AM422" s="181"/>
      <c r="AN422" s="181"/>
      <c r="AO422" s="181"/>
      <c r="AP422" s="181"/>
      <c r="AQ422" s="181"/>
      <c r="AR422" s="181"/>
      <c r="AS422" s="181"/>
      <c r="AT422" s="181"/>
      <c r="AU422" s="181"/>
      <c r="AV422" s="181"/>
      <c r="AW422" s="181"/>
    </row>
    <row r="423" spans="1:49" s="30" customFormat="1" hidden="1" x14ac:dyDescent="0.25">
      <c r="A423" s="1407" t="str">
        <f>IF(CD50_apply="Yes",IF(COUNTIF('03 - 50% CD'!D423:G423,"Y")&gt;0,"Y",IF(COUNTIF('03 - 50% CD'!D423:G423,"N"),"N","")),"")</f>
        <v/>
      </c>
      <c r="B423" s="191"/>
      <c r="C423" s="944"/>
      <c r="D423" s="321"/>
      <c r="E423" s="559" t="str">
        <f>IF('C-Design&amp;Const'!$O423="","",'C-Design&amp;Const'!$O423)</f>
        <v/>
      </c>
      <c r="F423" s="560"/>
      <c r="G423" s="558"/>
      <c r="H423" s="410" t="s">
        <v>305</v>
      </c>
      <c r="I423" s="186"/>
      <c r="J423" s="578" t="str">
        <f>IF('C-Design&amp;Const'!AH423="","",'C-Design&amp;Const'!AH423)</f>
        <v/>
      </c>
      <c r="K423" s="285" t="str">
        <f>IF(CD50_apply="Yes",IF((COUNTIF(D423:G423,"Y")=COUNTIF('03 - 50% CD'!D423:G423,"Y")),"match","no 50% match"),"-")</f>
        <v>match</v>
      </c>
      <c r="L423" s="1410" t="str">
        <f t="shared" si="20"/>
        <v>&lt;---PM/Planner may hide PLACEHOLDER ROW</v>
      </c>
      <c r="M423" s="1382"/>
      <c r="N423" s="1382"/>
      <c r="O423" s="1382"/>
      <c r="P423" s="1382"/>
      <c r="Q423" s="1382"/>
      <c r="R423" s="1490"/>
      <c r="S423" s="1274"/>
      <c r="T423" s="1274"/>
      <c r="U423" s="1382"/>
      <c r="V423" s="1382"/>
      <c r="W423" s="1382"/>
      <c r="X423" s="1382"/>
      <c r="Y423" s="1382"/>
      <c r="Z423" s="1382"/>
      <c r="AA423" s="1382"/>
      <c r="AB423" s="1382"/>
      <c r="AC423" s="1382"/>
      <c r="AD423" s="1382"/>
      <c r="AE423" s="1382"/>
      <c r="AF423" s="1382"/>
      <c r="AG423" s="1382"/>
      <c r="AH423" s="1382"/>
      <c r="AI423" s="1382"/>
      <c r="AJ423" s="1382"/>
      <c r="AK423" s="181"/>
      <c r="AL423" s="181"/>
      <c r="AM423" s="181"/>
      <c r="AN423" s="181"/>
      <c r="AO423" s="181"/>
      <c r="AP423" s="181"/>
      <c r="AQ423" s="181"/>
      <c r="AR423" s="181"/>
      <c r="AS423" s="181"/>
      <c r="AT423" s="181"/>
      <c r="AU423" s="181"/>
      <c r="AV423" s="181"/>
      <c r="AW423" s="181"/>
    </row>
    <row r="424" spans="1:49" s="30" customFormat="1" hidden="1" x14ac:dyDescent="0.25">
      <c r="A424" s="1407" t="str">
        <f>IF(CD50_apply="Yes",IF(COUNTIF('03 - 50% CD'!D424:G424,"Y")&gt;0,"Y",IF(COUNTIF('03 - 50% CD'!D424:G424,"N"),"N","")),"")</f>
        <v/>
      </c>
      <c r="B424" s="191"/>
      <c r="C424" s="944"/>
      <c r="D424" s="321"/>
      <c r="E424" s="559" t="str">
        <f>IF('C-Design&amp;Const'!$O424="","",'C-Design&amp;Const'!$O424)</f>
        <v/>
      </c>
      <c r="F424" s="560"/>
      <c r="G424" s="558"/>
      <c r="H424" s="410" t="s">
        <v>305</v>
      </c>
      <c r="I424" s="186"/>
      <c r="J424" s="578" t="str">
        <f>IF('C-Design&amp;Const'!AH424="","",'C-Design&amp;Const'!AH424)</f>
        <v/>
      </c>
      <c r="K424" s="285" t="str">
        <f>IF(CD50_apply="Yes",IF((COUNTIF(D424:G424,"Y")=COUNTIF('03 - 50% CD'!D424:G424,"Y")),"match","no 50% match"),"-")</f>
        <v>match</v>
      </c>
      <c r="L424" s="1410" t="str">
        <f t="shared" si="20"/>
        <v>&lt;---PM/Planner may hide PLACEHOLDER ROW</v>
      </c>
      <c r="M424" s="1382"/>
      <c r="N424" s="1382"/>
      <c r="O424" s="1382"/>
      <c r="P424" s="1382"/>
      <c r="Q424" s="1382"/>
      <c r="R424" s="1490"/>
      <c r="S424" s="1274"/>
      <c r="T424" s="1274"/>
      <c r="U424" s="1382"/>
      <c r="V424" s="1382"/>
      <c r="W424" s="1382"/>
      <c r="X424" s="1382"/>
      <c r="Y424" s="1382"/>
      <c r="Z424" s="1382"/>
      <c r="AA424" s="1382"/>
      <c r="AB424" s="1382"/>
      <c r="AC424" s="1382"/>
      <c r="AD424" s="1382"/>
      <c r="AE424" s="1382"/>
      <c r="AF424" s="1382"/>
      <c r="AG424" s="1382"/>
      <c r="AH424" s="1382"/>
      <c r="AI424" s="1382"/>
      <c r="AJ424" s="1382"/>
      <c r="AK424" s="181"/>
      <c r="AL424" s="181"/>
      <c r="AM424" s="181"/>
      <c r="AN424" s="181"/>
      <c r="AO424" s="181"/>
      <c r="AP424" s="181"/>
      <c r="AQ424" s="181"/>
      <c r="AR424" s="181"/>
      <c r="AS424" s="181"/>
      <c r="AT424" s="181"/>
      <c r="AU424" s="181"/>
      <c r="AV424" s="181"/>
      <c r="AW424" s="181"/>
    </row>
    <row r="425" spans="1:49" s="30" customFormat="1" hidden="1" x14ac:dyDescent="0.25">
      <c r="A425" s="1407" t="str">
        <f>IF(CD50_apply="Yes",IF(COUNTIF('03 - 50% CD'!D425:G425,"Y")&gt;0,"Y",IF(COUNTIF('03 - 50% CD'!D425:G425,"N"),"N","")),"")</f>
        <v>N</v>
      </c>
      <c r="B425" s="191"/>
      <c r="C425" s="944"/>
      <c r="D425" s="321"/>
      <c r="E425" s="559" t="str">
        <f>IF('C-Design&amp;Const'!$O425="","",'C-Design&amp;Const'!$O425)</f>
        <v>N</v>
      </c>
      <c r="F425" s="560"/>
      <c r="G425" s="558"/>
      <c r="H425" s="410" t="s">
        <v>305</v>
      </c>
      <c r="I425" s="186"/>
      <c r="J425" s="578" t="str">
        <f>IF('C-Design&amp;Const'!AH425="","",'C-Design&amp;Const'!AH425)</f>
        <v/>
      </c>
      <c r="K425" s="285" t="str">
        <f>IF(CD50_apply="Yes",IF((COUNTIF(D425:G425,"Y")=COUNTIF('03 - 50% CD'!D425:G425,"Y")),"match","no 50% match"),"-")</f>
        <v>match</v>
      </c>
      <c r="L425" s="1410" t="str">
        <f t="shared" si="20"/>
        <v>&lt;---PM/Planner may hide PLACEHOLDER ROW</v>
      </c>
      <c r="M425" s="1382"/>
      <c r="N425" s="1382"/>
      <c r="O425" s="1382"/>
      <c r="P425" s="1382"/>
      <c r="Q425" s="1382"/>
      <c r="R425" s="1490"/>
      <c r="S425" s="1274"/>
      <c r="T425" s="1274"/>
      <c r="U425" s="1382"/>
      <c r="V425" s="1382"/>
      <c r="W425" s="1382"/>
      <c r="X425" s="1382"/>
      <c r="Y425" s="1382"/>
      <c r="Z425" s="1382"/>
      <c r="AA425" s="1382"/>
      <c r="AB425" s="1382"/>
      <c r="AC425" s="1382"/>
      <c r="AD425" s="1382"/>
      <c r="AE425" s="1382"/>
      <c r="AF425" s="1382"/>
      <c r="AG425" s="1382"/>
      <c r="AH425" s="1382"/>
      <c r="AI425" s="1382"/>
      <c r="AJ425" s="1382"/>
      <c r="AK425" s="181"/>
      <c r="AL425" s="181"/>
      <c r="AM425" s="181"/>
      <c r="AN425" s="181"/>
      <c r="AO425" s="181"/>
      <c r="AP425" s="181"/>
      <c r="AQ425" s="181"/>
      <c r="AR425" s="181"/>
      <c r="AS425" s="181"/>
      <c r="AT425" s="181"/>
      <c r="AU425" s="181"/>
      <c r="AV425" s="181"/>
      <c r="AW425" s="181"/>
    </row>
    <row r="426" spans="1:49" s="30" customFormat="1" hidden="1" x14ac:dyDescent="0.25">
      <c r="A426" s="1407" t="str">
        <f>IF(CD50_apply="Yes",IF(COUNTIF('03 - 50% CD'!D426:G426,"Y")&gt;0,"Y",IF(COUNTIF('03 - 50% CD'!D426:G426,"N"),"N","")),"")</f>
        <v>N</v>
      </c>
      <c r="B426" s="191"/>
      <c r="C426" s="944"/>
      <c r="D426" s="321"/>
      <c r="E426" s="559" t="str">
        <f>IF('C-Design&amp;Const'!$O426="","",'C-Design&amp;Const'!$O426)</f>
        <v>N</v>
      </c>
      <c r="F426" s="560"/>
      <c r="G426" s="558"/>
      <c r="H426" s="410" t="s">
        <v>305</v>
      </c>
      <c r="I426" s="186"/>
      <c r="J426" s="578" t="str">
        <f>IF('C-Design&amp;Const'!AH426="","",'C-Design&amp;Const'!AH426)</f>
        <v/>
      </c>
      <c r="K426" s="285" t="str">
        <f>IF(CD50_apply="Yes",IF((COUNTIF(D426:G426,"Y")=COUNTIF('03 - 50% CD'!D426:G426,"Y")),"match","no 50% match"),"-")</f>
        <v>match</v>
      </c>
      <c r="L426" s="1410" t="str">
        <f t="shared" si="20"/>
        <v>&lt;---PM/Planner may hide PLACEHOLDER ROW</v>
      </c>
      <c r="M426" s="1382"/>
      <c r="N426" s="1382"/>
      <c r="O426" s="1382"/>
      <c r="P426" s="1382"/>
      <c r="Q426" s="1382"/>
      <c r="R426" s="1490"/>
      <c r="S426" s="1274"/>
      <c r="T426" s="1274"/>
      <c r="U426" s="1382"/>
      <c r="V426" s="1382"/>
      <c r="W426" s="1382"/>
      <c r="X426" s="1382"/>
      <c r="Y426" s="1382"/>
      <c r="Z426" s="1382"/>
      <c r="AA426" s="1382"/>
      <c r="AB426" s="1382"/>
      <c r="AC426" s="1382"/>
      <c r="AD426" s="1382"/>
      <c r="AE426" s="1382"/>
      <c r="AF426" s="1382"/>
      <c r="AG426" s="1382"/>
      <c r="AH426" s="1382"/>
      <c r="AI426" s="1382"/>
      <c r="AJ426" s="1382"/>
      <c r="AK426" s="181"/>
      <c r="AL426" s="181"/>
      <c r="AM426" s="181"/>
      <c r="AN426" s="181"/>
      <c r="AO426" s="181"/>
      <c r="AP426" s="181"/>
      <c r="AQ426" s="181"/>
      <c r="AR426" s="181"/>
      <c r="AS426" s="181"/>
      <c r="AT426" s="181"/>
      <c r="AU426" s="181"/>
      <c r="AV426" s="181"/>
      <c r="AW426" s="181"/>
    </row>
    <row r="427" spans="1:49" s="30" customFormat="1" hidden="1" x14ac:dyDescent="0.25">
      <c r="A427" s="1407" t="str">
        <f>IF(CD50_apply="Yes",IF(COUNTIF('03 - 50% CD'!D427:G427,"Y")&gt;0,"Y",IF(COUNTIF('03 - 50% CD'!D427:G427,"N"),"N","")),"")</f>
        <v>N</v>
      </c>
      <c r="B427" s="191"/>
      <c r="C427" s="944"/>
      <c r="D427" s="321"/>
      <c r="E427" s="559" t="str">
        <f>IF('C-Design&amp;Const'!$O427="","",'C-Design&amp;Const'!$O427)</f>
        <v>N</v>
      </c>
      <c r="F427" s="560"/>
      <c r="G427" s="558"/>
      <c r="H427" s="410" t="s">
        <v>305</v>
      </c>
      <c r="I427" s="186"/>
      <c r="J427" s="578" t="str">
        <f>IF('C-Design&amp;Const'!AH427="","",'C-Design&amp;Const'!AH427)</f>
        <v/>
      </c>
      <c r="K427" s="285" t="str">
        <f>IF(CD50_apply="Yes",IF((COUNTIF(D427:G427,"Y")=COUNTIF('03 - 50% CD'!D427:G427,"Y")),"match","no 50% match"),"-")</f>
        <v>match</v>
      </c>
      <c r="L427" s="1410" t="str">
        <f t="shared" si="20"/>
        <v>&lt;---PM/Planner may hide PLACEHOLDER ROW</v>
      </c>
      <c r="M427" s="1382"/>
      <c r="N427" s="1382"/>
      <c r="O427" s="1382"/>
      <c r="P427" s="1382"/>
      <c r="Q427" s="1382"/>
      <c r="R427" s="1490"/>
      <c r="S427" s="1274"/>
      <c r="T427" s="1274"/>
      <c r="U427" s="1382"/>
      <c r="V427" s="1382"/>
      <c r="W427" s="1382"/>
      <c r="X427" s="1382"/>
      <c r="Y427" s="1382"/>
      <c r="Z427" s="1382"/>
      <c r="AA427" s="1382"/>
      <c r="AB427" s="1382"/>
      <c r="AC427" s="1382"/>
      <c r="AD427" s="1382"/>
      <c r="AE427" s="1382"/>
      <c r="AF427" s="1382"/>
      <c r="AG427" s="1382"/>
      <c r="AH427" s="1382"/>
      <c r="AI427" s="1382"/>
      <c r="AJ427" s="1382"/>
      <c r="AK427" s="181"/>
      <c r="AL427" s="181"/>
      <c r="AM427" s="181"/>
      <c r="AN427" s="181"/>
      <c r="AO427" s="181"/>
      <c r="AP427" s="181"/>
      <c r="AQ427" s="181"/>
      <c r="AR427" s="181"/>
      <c r="AS427" s="181"/>
      <c r="AT427" s="181"/>
      <c r="AU427" s="181"/>
      <c r="AV427" s="181"/>
      <c r="AW427" s="181"/>
    </row>
    <row r="428" spans="1:49" s="30" customFormat="1" hidden="1" x14ac:dyDescent="0.25">
      <c r="A428" s="1407" t="str">
        <f>IF(CD50_apply="Yes",IF(COUNTIF('03 - 50% CD'!D428:G428,"Y")&gt;0,"Y",IF(COUNTIF('03 - 50% CD'!D428:G428,"N"),"N","")),"")</f>
        <v>N</v>
      </c>
      <c r="B428" s="191"/>
      <c r="C428" s="944"/>
      <c r="D428" s="321"/>
      <c r="E428" s="559" t="str">
        <f>IF('C-Design&amp;Const'!$O428="","",'C-Design&amp;Const'!$O428)</f>
        <v>N</v>
      </c>
      <c r="F428" s="560"/>
      <c r="G428" s="558"/>
      <c r="H428" s="410" t="s">
        <v>305</v>
      </c>
      <c r="I428" s="186"/>
      <c r="J428" s="578" t="str">
        <f>IF('C-Design&amp;Const'!AH428="","",'C-Design&amp;Const'!AH428)</f>
        <v/>
      </c>
      <c r="K428" s="285" t="str">
        <f>IF(CD50_apply="Yes",IF((COUNTIF(D428:G428,"Y")=COUNTIF('03 - 50% CD'!D428:G428,"Y")),"match","no 50% match"),"-")</f>
        <v>match</v>
      </c>
      <c r="L428" s="1410" t="str">
        <f t="shared" si="20"/>
        <v>&lt;---PM/Planner may hide PLACEHOLDER ROW</v>
      </c>
      <c r="M428" s="1382"/>
      <c r="N428" s="1382"/>
      <c r="O428" s="1382"/>
      <c r="P428" s="1382"/>
      <c r="Q428" s="1382"/>
      <c r="R428" s="1490"/>
      <c r="S428" s="1274"/>
      <c r="T428" s="1274"/>
      <c r="U428" s="1382"/>
      <c r="V428" s="1382"/>
      <c r="W428" s="1382"/>
      <c r="X428" s="1382"/>
      <c r="Y428" s="1382"/>
      <c r="Z428" s="1382"/>
      <c r="AA428" s="1382"/>
      <c r="AB428" s="1382"/>
      <c r="AC428" s="1382"/>
      <c r="AD428" s="1382"/>
      <c r="AE428" s="1382"/>
      <c r="AF428" s="1382"/>
      <c r="AG428" s="1382"/>
      <c r="AH428" s="1382"/>
      <c r="AI428" s="1382"/>
      <c r="AJ428" s="1382"/>
      <c r="AK428" s="181"/>
      <c r="AL428" s="181"/>
      <c r="AM428" s="181"/>
      <c r="AN428" s="181"/>
      <c r="AO428" s="181"/>
      <c r="AP428" s="181"/>
      <c r="AQ428" s="181"/>
      <c r="AR428" s="181"/>
      <c r="AS428" s="181"/>
      <c r="AT428" s="181"/>
      <c r="AU428" s="181"/>
      <c r="AV428" s="181"/>
      <c r="AW428" s="181"/>
    </row>
    <row r="429" spans="1:49" s="30" customFormat="1" hidden="1" x14ac:dyDescent="0.25">
      <c r="A429" s="1407" t="str">
        <f>IF(CD50_apply="Yes",IF(COUNTIF('03 - 50% CD'!D429:G429,"Y")&gt;0,"Y",IF(COUNTIF('03 - 50% CD'!D429:G429,"N"),"N","")),"")</f>
        <v>N</v>
      </c>
      <c r="B429" s="191"/>
      <c r="C429" s="944"/>
      <c r="D429" s="321"/>
      <c r="E429" s="559" t="str">
        <f>IF('C-Design&amp;Const'!$O429="","",'C-Design&amp;Const'!$O429)</f>
        <v>N</v>
      </c>
      <c r="F429" s="560"/>
      <c r="G429" s="558"/>
      <c r="H429" s="410" t="s">
        <v>305</v>
      </c>
      <c r="I429" s="186"/>
      <c r="J429" s="578" t="str">
        <f>IF('C-Design&amp;Const'!AH429="","",'C-Design&amp;Const'!AH429)</f>
        <v/>
      </c>
      <c r="K429" s="285" t="str">
        <f>IF(CD50_apply="Yes",IF((COUNTIF(D429:G429,"Y")=COUNTIF('03 - 50% CD'!D429:G429,"Y")),"match","no 50% match"),"-")</f>
        <v>match</v>
      </c>
      <c r="L429" s="1410" t="str">
        <f t="shared" si="20"/>
        <v>&lt;---PM/Planner may hide PLACEHOLDER ROW</v>
      </c>
      <c r="M429" s="1382"/>
      <c r="N429" s="1382"/>
      <c r="O429" s="1382"/>
      <c r="P429" s="1382"/>
      <c r="Q429" s="1382"/>
      <c r="R429" s="1490"/>
      <c r="S429" s="1274"/>
      <c r="T429" s="1274"/>
      <c r="U429" s="1382"/>
      <c r="V429" s="1382"/>
      <c r="W429" s="1382"/>
      <c r="X429" s="1382"/>
      <c r="Y429" s="1382"/>
      <c r="Z429" s="1382"/>
      <c r="AA429" s="1382"/>
      <c r="AB429" s="1382"/>
      <c r="AC429" s="1382"/>
      <c r="AD429" s="1382"/>
      <c r="AE429" s="1382"/>
      <c r="AF429" s="1382"/>
      <c r="AG429" s="1382"/>
      <c r="AH429" s="1382"/>
      <c r="AI429" s="1382"/>
      <c r="AJ429" s="1382"/>
      <c r="AK429" s="181"/>
      <c r="AL429" s="181"/>
      <c r="AM429" s="181"/>
      <c r="AN429" s="181"/>
      <c r="AO429" s="181"/>
      <c r="AP429" s="181"/>
      <c r="AQ429" s="181"/>
      <c r="AR429" s="181"/>
      <c r="AS429" s="181"/>
      <c r="AT429" s="181"/>
      <c r="AU429" s="181"/>
      <c r="AV429" s="181"/>
      <c r="AW429" s="181"/>
    </row>
    <row r="430" spans="1:49" s="30" customFormat="1" hidden="1" x14ac:dyDescent="0.25">
      <c r="A430" s="1407" t="str">
        <f>IF(CD50_apply="Yes",IF(COUNTIF('03 - 50% CD'!D430:G430,"Y")&gt;0,"Y",IF(COUNTIF('03 - 50% CD'!D430:G430,"N"),"N","")),"")</f>
        <v>N</v>
      </c>
      <c r="B430" s="191"/>
      <c r="C430" s="944"/>
      <c r="D430" s="321"/>
      <c r="E430" s="559" t="str">
        <f>IF('C-Design&amp;Const'!$O430="","",'C-Design&amp;Const'!$O430)</f>
        <v>N</v>
      </c>
      <c r="F430" s="560"/>
      <c r="G430" s="558"/>
      <c r="H430" s="410" t="s">
        <v>305</v>
      </c>
      <c r="I430" s="186"/>
      <c r="J430" s="578" t="str">
        <f>IF('C-Design&amp;Const'!AH430="","",'C-Design&amp;Const'!AH430)</f>
        <v/>
      </c>
      <c r="K430" s="285" t="str">
        <f>IF(CD50_apply="Yes",IF((COUNTIF(D430:G430,"Y")=COUNTIF('03 - 50% CD'!D430:G430,"Y")),"match","no 50% match"),"-")</f>
        <v>match</v>
      </c>
      <c r="L430" s="1410" t="str">
        <f t="shared" si="20"/>
        <v>&lt;---PM/Planner may hide PLACEHOLDER ROW</v>
      </c>
      <c r="M430" s="1382"/>
      <c r="N430" s="1382"/>
      <c r="O430" s="1382"/>
      <c r="P430" s="1382"/>
      <c r="Q430" s="1382"/>
      <c r="R430" s="1490"/>
      <c r="S430" s="1274"/>
      <c r="T430" s="1274"/>
      <c r="U430" s="1382"/>
      <c r="V430" s="1382"/>
      <c r="W430" s="1382"/>
      <c r="X430" s="1382"/>
      <c r="Y430" s="1382"/>
      <c r="Z430" s="1382"/>
      <c r="AA430" s="1382"/>
      <c r="AB430" s="1382"/>
      <c r="AC430" s="1382"/>
      <c r="AD430" s="1382"/>
      <c r="AE430" s="1382"/>
      <c r="AF430" s="1382"/>
      <c r="AG430" s="1382"/>
      <c r="AH430" s="1382"/>
      <c r="AI430" s="1382"/>
      <c r="AJ430" s="1382"/>
      <c r="AK430" s="181"/>
      <c r="AL430" s="181"/>
      <c r="AM430" s="181"/>
      <c r="AN430" s="181"/>
      <c r="AO430" s="181"/>
      <c r="AP430" s="181"/>
      <c r="AQ430" s="181"/>
      <c r="AR430" s="181"/>
      <c r="AS430" s="181"/>
      <c r="AT430" s="181"/>
      <c r="AU430" s="181"/>
      <c r="AV430" s="181"/>
      <c r="AW430" s="181"/>
    </row>
    <row r="431" spans="1:49" s="30" customFormat="1" hidden="1" x14ac:dyDescent="0.25">
      <c r="A431" s="1407" t="str">
        <f>IF(CD50_apply="Yes",IF(COUNTIF('03 - 50% CD'!D431:G431,"Y")&gt;0,"Y",IF(COUNTIF('03 - 50% CD'!D431:G431,"N"),"N","")),"")</f>
        <v>N</v>
      </c>
      <c r="B431" s="191"/>
      <c r="C431" s="944"/>
      <c r="D431" s="321"/>
      <c r="E431" s="559" t="str">
        <f>IF('C-Design&amp;Const'!$O434="","",'C-Design&amp;Const'!$O434)</f>
        <v>N</v>
      </c>
      <c r="F431" s="560"/>
      <c r="G431" s="558"/>
      <c r="H431" s="410" t="s">
        <v>305</v>
      </c>
      <c r="I431" s="186"/>
      <c r="J431" s="578" t="str">
        <f>IF('C-Design&amp;Const'!AH434="","",'C-Design&amp;Const'!AH434)</f>
        <v/>
      </c>
      <c r="K431" s="285" t="str">
        <f>IF(CD50_apply="Yes",IF((COUNTIF(D431:G431,"Y")=COUNTIF('03 - 50% CD'!D431:G431,"Y")),"match","no 50% match"),"-")</f>
        <v>match</v>
      </c>
      <c r="L431" s="1410" t="str">
        <f t="shared" si="20"/>
        <v>&lt;---PM/Planner may hide PLACEHOLDER ROW</v>
      </c>
      <c r="M431" s="1382"/>
      <c r="N431" s="1382"/>
      <c r="O431" s="1382"/>
      <c r="P431" s="1382"/>
      <c r="Q431" s="1382"/>
      <c r="R431" s="1490"/>
      <c r="S431" s="1274"/>
      <c r="T431" s="1274"/>
      <c r="U431" s="1382"/>
      <c r="V431" s="1382"/>
      <c r="W431" s="1382"/>
      <c r="X431" s="1382"/>
      <c r="Y431" s="1382"/>
      <c r="Z431" s="1382"/>
      <c r="AA431" s="1382"/>
      <c r="AB431" s="1382"/>
      <c r="AC431" s="1382"/>
      <c r="AD431" s="1382"/>
      <c r="AE431" s="1382"/>
      <c r="AF431" s="1382"/>
      <c r="AG431" s="1382"/>
      <c r="AH431" s="1382"/>
      <c r="AI431" s="1382"/>
      <c r="AJ431" s="1382"/>
      <c r="AK431" s="181"/>
      <c r="AL431" s="181"/>
      <c r="AM431" s="181"/>
      <c r="AN431" s="181"/>
      <c r="AO431" s="181"/>
      <c r="AP431" s="181"/>
      <c r="AQ431" s="181"/>
      <c r="AR431" s="181"/>
      <c r="AS431" s="181"/>
      <c r="AT431" s="181"/>
      <c r="AU431" s="181"/>
      <c r="AV431" s="181"/>
      <c r="AW431" s="181"/>
    </row>
    <row r="432" spans="1:49" s="30" customFormat="1" hidden="1" x14ac:dyDescent="0.25">
      <c r="A432" s="1407" t="str">
        <f>IF(CD50_apply="Yes",IF(COUNTIF('03 - 50% CD'!D432:G432,"Y")&gt;0,"Y",IF(COUNTIF('03 - 50% CD'!D432:G432,"N"),"N","")),"")</f>
        <v>N</v>
      </c>
      <c r="B432" s="191"/>
      <c r="C432" s="944"/>
      <c r="D432" s="321"/>
      <c r="E432" s="559" t="str">
        <f>IF('C-Design&amp;Const'!$O431="","",'C-Design&amp;Const'!$O431)</f>
        <v>N</v>
      </c>
      <c r="F432" s="560"/>
      <c r="G432" s="558"/>
      <c r="H432" s="410" t="s">
        <v>305</v>
      </c>
      <c r="I432" s="186"/>
      <c r="J432" s="578" t="str">
        <f>IF('C-Design&amp;Const'!AH431="","",'C-Design&amp;Const'!AH431)</f>
        <v/>
      </c>
      <c r="K432" s="285" t="str">
        <f>IF(CD50_apply="Yes",IF((COUNTIF(D432:G432,"Y")=COUNTIF('03 - 50% CD'!D432:G432,"Y")),"match","no 50% match"),"-")</f>
        <v>match</v>
      </c>
      <c r="L432" s="1410" t="str">
        <f t="shared" si="20"/>
        <v>&lt;---PM/Planner may hide PLACEHOLDER ROW</v>
      </c>
      <c r="M432" s="1382"/>
      <c r="N432" s="1382"/>
      <c r="O432" s="1382"/>
      <c r="P432" s="1382"/>
      <c r="Q432" s="1382"/>
      <c r="R432" s="1490"/>
      <c r="S432" s="1274"/>
      <c r="T432" s="1274"/>
      <c r="U432" s="1382"/>
      <c r="V432" s="1382"/>
      <c r="W432" s="1382"/>
      <c r="X432" s="1382"/>
      <c r="Y432" s="1382"/>
      <c r="Z432" s="1382"/>
      <c r="AA432" s="1382"/>
      <c r="AB432" s="1382"/>
      <c r="AC432" s="1382"/>
      <c r="AD432" s="1382"/>
      <c r="AE432" s="1382"/>
      <c r="AF432" s="1382"/>
      <c r="AG432" s="1382"/>
      <c r="AH432" s="1382"/>
      <c r="AI432" s="1382"/>
      <c r="AJ432" s="1382"/>
      <c r="AK432" s="181"/>
      <c r="AL432" s="181"/>
      <c r="AM432" s="181"/>
      <c r="AN432" s="181"/>
      <c r="AO432" s="181"/>
      <c r="AP432" s="181"/>
      <c r="AQ432" s="181"/>
      <c r="AR432" s="181"/>
      <c r="AS432" s="181"/>
      <c r="AT432" s="181"/>
      <c r="AU432" s="181"/>
      <c r="AV432" s="181"/>
      <c r="AW432" s="181"/>
    </row>
    <row r="433" spans="1:50" s="30" customFormat="1" hidden="1" x14ac:dyDescent="0.25">
      <c r="A433" s="1407" t="str">
        <f>IF(CD50_apply="Yes",IF(COUNTIF('03 - 50% CD'!D433:G433,"Y")&gt;0,"Y",IF(COUNTIF('03 - 50% CD'!D433:G433,"N"),"N","")),"")</f>
        <v>N</v>
      </c>
      <c r="B433" s="191"/>
      <c r="C433" s="944"/>
      <c r="D433" s="321"/>
      <c r="E433" s="559" t="str">
        <f>IF('C-Design&amp;Const'!$O432="","",'C-Design&amp;Const'!$O432)</f>
        <v>N</v>
      </c>
      <c r="F433" s="560"/>
      <c r="G433" s="558"/>
      <c r="H433" s="410" t="s">
        <v>305</v>
      </c>
      <c r="I433" s="186"/>
      <c r="J433" s="578" t="str">
        <f>IF('C-Design&amp;Const'!AH432="","",'C-Design&amp;Const'!AH432)</f>
        <v/>
      </c>
      <c r="K433" s="285" t="str">
        <f>IF(CD50_apply="Yes",IF((COUNTIF(D433:G433,"Y")=COUNTIF('03 - 50% CD'!D433:G433,"Y")),"match","no 50% match"),"-")</f>
        <v>match</v>
      </c>
      <c r="L433" s="1410" t="str">
        <f t="shared" si="20"/>
        <v>&lt;---PM/Planner may hide PLACEHOLDER ROW</v>
      </c>
      <c r="M433" s="1382"/>
      <c r="N433" s="1382"/>
      <c r="O433" s="1382"/>
      <c r="P433" s="1382"/>
      <c r="Q433" s="1382"/>
      <c r="R433" s="1490"/>
      <c r="S433" s="1274"/>
      <c r="T433" s="1274"/>
      <c r="U433" s="1382"/>
      <c r="V433" s="1382"/>
      <c r="W433" s="1382"/>
      <c r="X433" s="1382"/>
      <c r="Y433" s="1382"/>
      <c r="Z433" s="1382"/>
      <c r="AA433" s="1382"/>
      <c r="AB433" s="1382"/>
      <c r="AC433" s="1382"/>
      <c r="AD433" s="1382"/>
      <c r="AE433" s="1382"/>
      <c r="AF433" s="1382"/>
      <c r="AG433" s="1382"/>
      <c r="AH433" s="1382"/>
      <c r="AI433" s="1382"/>
      <c r="AJ433" s="1382"/>
      <c r="AK433" s="181"/>
      <c r="AL433" s="181"/>
      <c r="AM433" s="181"/>
      <c r="AN433" s="181"/>
      <c r="AO433" s="181"/>
      <c r="AP433" s="181"/>
      <c r="AQ433" s="181"/>
      <c r="AR433" s="181"/>
      <c r="AS433" s="181"/>
      <c r="AT433" s="181"/>
      <c r="AU433" s="181"/>
      <c r="AV433" s="181"/>
      <c r="AW433" s="181"/>
    </row>
    <row r="434" spans="1:50" s="30" customFormat="1" hidden="1" x14ac:dyDescent="0.25">
      <c r="A434" s="1407" t="str">
        <f>IF(CD50_apply="Yes",IF(COUNTIF('03 - 50% CD'!D434:G434,"Y")&gt;0,"Y",IF(COUNTIF('03 - 50% CD'!D434:G434,"N"),"N","")),"")</f>
        <v>N</v>
      </c>
      <c r="B434" s="191"/>
      <c r="C434" s="944"/>
      <c r="D434" s="321"/>
      <c r="E434" s="559" t="str">
        <f>IF('C-Design&amp;Const'!$O433="","",'C-Design&amp;Const'!$O433)</f>
        <v>N</v>
      </c>
      <c r="F434" s="560"/>
      <c r="G434" s="558"/>
      <c r="H434" s="410" t="s">
        <v>305</v>
      </c>
      <c r="I434" s="186"/>
      <c r="J434" s="578" t="str">
        <f>IF('C-Design&amp;Const'!AH433="","",'C-Design&amp;Const'!AH433)</f>
        <v/>
      </c>
      <c r="K434" s="285" t="str">
        <f>IF(CD50_apply="Yes",IF((COUNTIF(D434:G434,"Y")=COUNTIF('03 - 50% CD'!D434:G434,"Y")),"match","no 50% match"),"-")</f>
        <v>match</v>
      </c>
      <c r="L434" s="1410" t="str">
        <f t="shared" si="20"/>
        <v>&lt;---PM/Planner may hide PLACEHOLDER ROW</v>
      </c>
      <c r="M434" s="1382"/>
      <c r="N434" s="1382"/>
      <c r="O434" s="1382"/>
      <c r="P434" s="1382"/>
      <c r="Q434" s="1382"/>
      <c r="R434" s="1490"/>
      <c r="S434" s="1274"/>
      <c r="T434" s="1274"/>
      <c r="U434" s="1382"/>
      <c r="V434" s="1382"/>
      <c r="W434" s="1382"/>
      <c r="X434" s="1382"/>
      <c r="Y434" s="1382"/>
      <c r="Z434" s="1382"/>
      <c r="AA434" s="1382"/>
      <c r="AB434" s="1382"/>
      <c r="AC434" s="1382"/>
      <c r="AD434" s="1382"/>
      <c r="AE434" s="1382"/>
      <c r="AF434" s="1382"/>
      <c r="AG434" s="1382"/>
      <c r="AH434" s="1382"/>
      <c r="AI434" s="1382"/>
      <c r="AJ434" s="1382"/>
      <c r="AK434" s="181"/>
      <c r="AL434" s="181"/>
      <c r="AM434" s="181"/>
      <c r="AN434" s="181"/>
      <c r="AO434" s="181"/>
      <c r="AP434" s="181"/>
      <c r="AQ434" s="181"/>
      <c r="AR434" s="181"/>
      <c r="AS434" s="181"/>
      <c r="AT434" s="181"/>
      <c r="AU434" s="181"/>
      <c r="AV434" s="181"/>
      <c r="AW434" s="181"/>
    </row>
    <row r="435" spans="1:50" s="30" customFormat="1" hidden="1" x14ac:dyDescent="0.25">
      <c r="A435" s="1407" t="str">
        <f>IF(CD50_apply="Yes",IF(COUNTIF('03 - 50% CD'!D435:G435,"Y")&gt;0,"Y",IF(COUNTIF('03 - 50% CD'!D435:G435,"N"),"N","")),"")</f>
        <v>N</v>
      </c>
      <c r="B435" s="191"/>
      <c r="C435" s="944"/>
      <c r="D435" s="321"/>
      <c r="E435" s="559" t="str">
        <f>IF('C-Design&amp;Const'!$O435="","",'C-Design&amp;Const'!$O435)</f>
        <v>N</v>
      </c>
      <c r="F435" s="560"/>
      <c r="G435" s="558"/>
      <c r="H435" s="410" t="s">
        <v>305</v>
      </c>
      <c r="I435" s="186"/>
      <c r="J435" s="578" t="str">
        <f>IF('C-Design&amp;Const'!AH435="","",'C-Design&amp;Const'!AH435)</f>
        <v/>
      </c>
      <c r="K435" s="285" t="str">
        <f>IF(CD50_apply="Yes",IF((COUNTIF(D435:G435,"Y")=COUNTIF('03 - 50% CD'!D435:G435,"Y")),"match","no 50% match"),"-")</f>
        <v>match</v>
      </c>
      <c r="L435" s="1410" t="str">
        <f t="shared" si="20"/>
        <v>&lt;---PM/Planner may hide PLACEHOLDER ROW</v>
      </c>
      <c r="M435" s="1382"/>
      <c r="N435" s="1382"/>
      <c r="O435" s="1382"/>
      <c r="P435" s="1382"/>
      <c r="Q435" s="1382"/>
      <c r="R435" s="1490"/>
      <c r="S435" s="1274"/>
      <c r="T435" s="1274"/>
      <c r="U435" s="1382"/>
      <c r="V435" s="1382"/>
      <c r="W435" s="1382"/>
      <c r="X435" s="1382"/>
      <c r="Y435" s="1382"/>
      <c r="Z435" s="1382"/>
      <c r="AA435" s="1382"/>
      <c r="AB435" s="1382"/>
      <c r="AC435" s="1382"/>
      <c r="AD435" s="1382"/>
      <c r="AE435" s="1382"/>
      <c r="AF435" s="1382"/>
      <c r="AG435" s="1382"/>
      <c r="AH435" s="1382"/>
      <c r="AI435" s="1382"/>
      <c r="AJ435" s="1382"/>
      <c r="AK435" s="181"/>
      <c r="AL435" s="181"/>
      <c r="AM435" s="181"/>
      <c r="AN435" s="181"/>
      <c r="AO435" s="181"/>
      <c r="AP435" s="181"/>
      <c r="AQ435" s="181"/>
      <c r="AR435" s="181"/>
      <c r="AS435" s="181"/>
      <c r="AT435" s="181"/>
      <c r="AU435" s="181"/>
      <c r="AV435" s="181"/>
      <c r="AW435" s="181"/>
    </row>
    <row r="436" spans="1:50" s="30" customFormat="1" hidden="1" x14ac:dyDescent="0.25">
      <c r="A436" s="1407" t="str">
        <f>IF(CD50_apply="Yes",IF(COUNTIF('03 - 50% CD'!D436:G436,"Y")&gt;0,"Y",IF(COUNTIF('03 - 50% CD'!D436:G436,"N"),"N","")),"")</f>
        <v>N</v>
      </c>
      <c r="B436" s="191"/>
      <c r="C436" s="944"/>
      <c r="D436" s="321"/>
      <c r="E436" s="559" t="str">
        <f>IF('C-Design&amp;Const'!$O436="","",'C-Design&amp;Const'!$O436)</f>
        <v>N</v>
      </c>
      <c r="F436" s="560"/>
      <c r="G436" s="558"/>
      <c r="H436" s="410" t="s">
        <v>305</v>
      </c>
      <c r="I436" s="186"/>
      <c r="J436" s="578" t="str">
        <f>IF('C-Design&amp;Const'!AH436="","",'C-Design&amp;Const'!AH436)</f>
        <v/>
      </c>
      <c r="K436" s="285" t="str">
        <f>IF(CD50_apply="Yes",IF((COUNTIF(D436:G436,"Y")=COUNTIF('03 - 50% CD'!D436:G436,"Y")),"match","no 50% match"),"-")</f>
        <v>match</v>
      </c>
      <c r="L436" s="1410" t="str">
        <f t="shared" si="20"/>
        <v>&lt;---PM/Planner may hide PLACEHOLDER ROW</v>
      </c>
      <c r="M436" s="1382"/>
      <c r="N436" s="1382"/>
      <c r="O436" s="1382"/>
      <c r="P436" s="1382"/>
      <c r="Q436" s="1382"/>
      <c r="R436" s="1490"/>
      <c r="S436" s="1274"/>
      <c r="T436" s="1274"/>
      <c r="U436" s="1382"/>
      <c r="V436" s="1382"/>
      <c r="W436" s="1382"/>
      <c r="X436" s="1382"/>
      <c r="Y436" s="1382"/>
      <c r="Z436" s="1382"/>
      <c r="AA436" s="1382"/>
      <c r="AB436" s="1382"/>
      <c r="AC436" s="1382"/>
      <c r="AD436" s="1382"/>
      <c r="AE436" s="1382"/>
      <c r="AF436" s="1382"/>
      <c r="AG436" s="1382"/>
      <c r="AH436" s="1382"/>
      <c r="AI436" s="1382"/>
      <c r="AJ436" s="1382"/>
      <c r="AK436" s="181"/>
      <c r="AL436" s="181"/>
      <c r="AM436" s="181"/>
      <c r="AN436" s="181"/>
      <c r="AO436" s="181"/>
      <c r="AP436" s="181"/>
      <c r="AQ436" s="181"/>
      <c r="AR436" s="181"/>
      <c r="AS436" s="181"/>
      <c r="AT436" s="181"/>
      <c r="AU436" s="181"/>
      <c r="AV436" s="181"/>
      <c r="AW436" s="181"/>
    </row>
    <row r="437" spans="1:50" s="30" customFormat="1" hidden="1" x14ac:dyDescent="0.25">
      <c r="A437" s="1407" t="str">
        <f>IF(CD50_apply="Yes",IF(COUNTIF('03 - 50% CD'!D437:G437,"Y")&gt;0,"Y",IF(COUNTIF('03 - 50% CD'!D437:G437,"N"),"N","")),"")</f>
        <v>N</v>
      </c>
      <c r="B437" s="191"/>
      <c r="C437" s="944"/>
      <c r="D437" s="321"/>
      <c r="E437" s="559" t="str">
        <f>IF('C-Design&amp;Const'!$O437="","",'C-Design&amp;Const'!$O437)</f>
        <v>N</v>
      </c>
      <c r="F437" s="560"/>
      <c r="G437" s="558"/>
      <c r="H437" s="410" t="s">
        <v>305</v>
      </c>
      <c r="I437" s="186"/>
      <c r="J437" s="578" t="str">
        <f>IF('C-Design&amp;Const'!AH437="","",'C-Design&amp;Const'!AH437)</f>
        <v/>
      </c>
      <c r="K437" s="285" t="str">
        <f>IF(CD50_apply="Yes",IF((COUNTIF(D437:G437,"Y")=COUNTIF('03 - 50% CD'!D437:G437,"Y")),"match","no 50% match"),"-")</f>
        <v>match</v>
      </c>
      <c r="L437" s="1410" t="str">
        <f t="shared" si="20"/>
        <v>&lt;---PM/Planner may hide PLACEHOLDER ROW</v>
      </c>
      <c r="M437" s="1382"/>
      <c r="N437" s="1333"/>
      <c r="O437" s="1382"/>
      <c r="P437" s="1382"/>
      <c r="Q437" s="1382"/>
      <c r="R437" s="1490"/>
      <c r="S437" s="1274"/>
      <c r="T437" s="1274"/>
      <c r="U437" s="1382"/>
      <c r="V437" s="1382"/>
      <c r="W437" s="1382"/>
      <c r="X437" s="1382"/>
      <c r="Y437" s="1382"/>
      <c r="Z437" s="1382"/>
      <c r="AA437" s="1382"/>
      <c r="AB437" s="1382"/>
      <c r="AC437" s="1382"/>
      <c r="AD437" s="1382"/>
      <c r="AE437" s="1382"/>
      <c r="AF437" s="1382"/>
      <c r="AG437" s="1382"/>
      <c r="AH437" s="1382"/>
      <c r="AI437" s="1382"/>
      <c r="AJ437" s="1382"/>
      <c r="AK437" s="181"/>
      <c r="AL437" s="181"/>
      <c r="AM437" s="181"/>
      <c r="AN437" s="181"/>
      <c r="AO437" s="181"/>
      <c r="AP437" s="181"/>
      <c r="AQ437" s="181"/>
      <c r="AR437" s="181"/>
      <c r="AS437" s="181"/>
      <c r="AT437" s="181"/>
      <c r="AU437" s="181"/>
      <c r="AV437" s="181"/>
      <c r="AW437" s="181"/>
    </row>
    <row r="438" spans="1:50" s="30" customFormat="1" hidden="1" x14ac:dyDescent="0.25">
      <c r="A438" s="1407" t="str">
        <f>IF(CD50_apply="Yes",IF(COUNTIF('03 - 50% CD'!D438:G438,"Y")&gt;0,"Y",IF(COUNTIF('03 - 50% CD'!D438:G438,"N"),"N","")),"")</f>
        <v>N</v>
      </c>
      <c r="B438" s="191"/>
      <c r="C438" s="944"/>
      <c r="D438" s="321"/>
      <c r="E438" s="559" t="str">
        <f>IF('C-Design&amp;Const'!$O438="","",'C-Design&amp;Const'!$O438)</f>
        <v>N</v>
      </c>
      <c r="F438" s="560"/>
      <c r="G438" s="558"/>
      <c r="H438" s="410" t="s">
        <v>305</v>
      </c>
      <c r="I438" s="186"/>
      <c r="J438" s="578" t="str">
        <f>IF('C-Design&amp;Const'!AH438="","",'C-Design&amp;Const'!AH438)</f>
        <v/>
      </c>
      <c r="K438" s="285" t="str">
        <f>IF(CD50_apply="Yes",IF((COUNTIF(D438:G438,"Y")=COUNTIF('03 - 50% CD'!D438:G438,"Y")),"match","no 50% match"),"-")</f>
        <v>match</v>
      </c>
      <c r="L438" s="1410" t="str">
        <f t="shared" si="20"/>
        <v>&lt;---PM/Planner may hide PLACEHOLDER ROW</v>
      </c>
      <c r="M438" s="1382"/>
      <c r="N438" s="1333"/>
      <c r="O438" s="1382"/>
      <c r="P438" s="1382"/>
      <c r="Q438" s="1382"/>
      <c r="R438" s="1490"/>
      <c r="S438" s="1274"/>
      <c r="T438" s="1274"/>
      <c r="U438" s="1382"/>
      <c r="V438" s="1382"/>
      <c r="W438" s="1382"/>
      <c r="X438" s="1382"/>
      <c r="Y438" s="1382"/>
      <c r="Z438" s="1382"/>
      <c r="AA438" s="1382"/>
      <c r="AB438" s="1382"/>
      <c r="AC438" s="1382"/>
      <c r="AD438" s="1382"/>
      <c r="AE438" s="1382"/>
      <c r="AF438" s="1382"/>
      <c r="AG438" s="1382"/>
      <c r="AH438" s="1382"/>
      <c r="AI438" s="1382"/>
      <c r="AJ438" s="1382"/>
      <c r="AK438" s="181"/>
      <c r="AL438" s="181"/>
      <c r="AM438" s="181"/>
      <c r="AN438" s="181"/>
      <c r="AO438" s="181"/>
      <c r="AP438" s="181"/>
      <c r="AQ438" s="181"/>
      <c r="AR438" s="181"/>
      <c r="AS438" s="181"/>
      <c r="AT438" s="181"/>
      <c r="AU438" s="181"/>
      <c r="AV438" s="181"/>
      <c r="AW438" s="181"/>
    </row>
    <row r="439" spans="1:50" s="30" customFormat="1" hidden="1" x14ac:dyDescent="0.25">
      <c r="A439" s="1407" t="str">
        <f>IF(CD50_apply="Yes",IF(COUNTIF('03 - 50% CD'!D439:G439,"Y")&gt;0,"Y",IF(COUNTIF('03 - 50% CD'!D439:G439,"N"),"N","")),"")</f>
        <v>N</v>
      </c>
      <c r="B439" s="191"/>
      <c r="C439" s="944"/>
      <c r="D439" s="321"/>
      <c r="E439" s="559" t="str">
        <f>IF('C-Design&amp;Const'!$O439="","",'C-Design&amp;Const'!$O439)</f>
        <v>N</v>
      </c>
      <c r="F439" s="560"/>
      <c r="G439" s="558"/>
      <c r="H439" s="410" t="s">
        <v>305</v>
      </c>
      <c r="I439" s="186"/>
      <c r="J439" s="578" t="str">
        <f>IF('C-Design&amp;Const'!AH439="","",'C-Design&amp;Const'!AH439)</f>
        <v/>
      </c>
      <c r="K439" s="285" t="str">
        <f>IF(CD50_apply="Yes",IF((COUNTIF(D439:G439,"Y")=COUNTIF('03 - 50% CD'!D439:G439,"Y")),"match","no 50% match"),"-")</f>
        <v>match</v>
      </c>
      <c r="L439" s="1410" t="str">
        <f t="shared" si="20"/>
        <v>&lt;---PM/Planner may hide PLACEHOLDER ROW</v>
      </c>
      <c r="M439" s="1382"/>
      <c r="N439" s="1333"/>
      <c r="O439" s="1382"/>
      <c r="P439" s="1382"/>
      <c r="Q439" s="1382"/>
      <c r="R439" s="1490"/>
      <c r="S439" s="1274"/>
      <c r="T439" s="1274"/>
      <c r="U439" s="1382"/>
      <c r="V439" s="1382"/>
      <c r="W439" s="1382"/>
      <c r="X439" s="1382"/>
      <c r="Y439" s="1382"/>
      <c r="Z439" s="1382"/>
      <c r="AA439" s="1382"/>
      <c r="AB439" s="1382"/>
      <c r="AC439" s="1382"/>
      <c r="AD439" s="1382"/>
      <c r="AE439" s="1382"/>
      <c r="AF439" s="1382"/>
      <c r="AG439" s="1382"/>
      <c r="AH439" s="1382"/>
      <c r="AI439" s="1382"/>
      <c r="AJ439" s="1382"/>
      <c r="AK439" s="181"/>
      <c r="AL439" s="181"/>
      <c r="AM439" s="181"/>
      <c r="AN439" s="181"/>
      <c r="AO439" s="181"/>
      <c r="AP439" s="181"/>
      <c r="AQ439" s="181"/>
      <c r="AR439" s="181"/>
      <c r="AS439" s="181"/>
      <c r="AT439" s="181"/>
      <c r="AU439" s="181"/>
      <c r="AV439" s="181"/>
      <c r="AW439" s="181"/>
    </row>
    <row r="440" spans="1:50" s="30" customFormat="1" hidden="1" x14ac:dyDescent="0.25">
      <c r="A440" s="1407" t="str">
        <f>IF(CD50_apply="Yes",IF(COUNTIF('03 - 50% CD'!D440:G440,"Y")&gt;0,"Y",IF(COUNTIF('03 - 50% CD'!D440:G440,"N"),"N","")),"")</f>
        <v>N</v>
      </c>
      <c r="B440" s="191"/>
      <c r="C440" s="944"/>
      <c r="D440" s="321"/>
      <c r="E440" s="559" t="str">
        <f>IF('C-Design&amp;Const'!$O440="","",'C-Design&amp;Const'!$O440)</f>
        <v>N</v>
      </c>
      <c r="F440" s="560"/>
      <c r="G440" s="558"/>
      <c r="H440" s="410" t="s">
        <v>305</v>
      </c>
      <c r="I440" s="186"/>
      <c r="J440" s="578" t="str">
        <f>IF('C-Design&amp;Const'!AH440="","",'C-Design&amp;Const'!AH440)</f>
        <v/>
      </c>
      <c r="K440" s="285" t="str">
        <f>IF(CD50_apply="Yes",IF((COUNTIF(D440:G440,"Y")=COUNTIF('03 - 50% CD'!D440:G440,"Y")),"match","no 50% match"),"-")</f>
        <v>match</v>
      </c>
      <c r="L440" s="1410" t="str">
        <f t="shared" si="20"/>
        <v>&lt;---PM/Planner may hide PLACEHOLDER ROW</v>
      </c>
      <c r="M440" s="1382"/>
      <c r="N440" s="1333"/>
      <c r="O440" s="1382"/>
      <c r="P440" s="1382"/>
      <c r="Q440" s="1382"/>
      <c r="R440" s="1490"/>
      <c r="S440" s="1274"/>
      <c r="T440" s="1274"/>
      <c r="U440" s="1382"/>
      <c r="V440" s="1382"/>
      <c r="W440" s="1382"/>
      <c r="X440" s="1382"/>
      <c r="Y440" s="1382"/>
      <c r="Z440" s="1382"/>
      <c r="AA440" s="1382"/>
      <c r="AB440" s="1382"/>
      <c r="AC440" s="1382"/>
      <c r="AD440" s="1382"/>
      <c r="AE440" s="1382"/>
      <c r="AF440" s="1382"/>
      <c r="AG440" s="1382"/>
      <c r="AH440" s="1382"/>
      <c r="AI440" s="1382"/>
      <c r="AJ440" s="1382"/>
      <c r="AK440" s="181"/>
      <c r="AL440" s="181"/>
      <c r="AM440" s="181"/>
      <c r="AN440" s="181"/>
      <c r="AO440" s="181"/>
      <c r="AP440" s="181"/>
      <c r="AQ440" s="181"/>
      <c r="AR440" s="181"/>
      <c r="AS440" s="181"/>
      <c r="AT440" s="181"/>
      <c r="AU440" s="181"/>
      <c r="AV440" s="181"/>
      <c r="AW440" s="181"/>
    </row>
    <row r="441" spans="1:50" s="30" customFormat="1" x14ac:dyDescent="0.25">
      <c r="A441" s="1407" t="str">
        <f>IF(CD50_apply="Yes",IF(COUNTIF('03 - 50% CD'!D441:G441,"Y")&gt;0,"Y",IF(COUNTIF('03 - 50% CD'!D441:G441,"N"),"N","")),"")</f>
        <v>N</v>
      </c>
      <c r="B441" s="191"/>
      <c r="C441" s="944"/>
      <c r="D441" s="411"/>
      <c r="E441" s="411"/>
      <c r="F441" s="411"/>
      <c r="G441" s="511"/>
      <c r="H441" s="411"/>
      <c r="I441" s="186"/>
      <c r="J441" s="578" t="str">
        <f>IF('C-Design&amp;Const'!AH441="","",'C-Design&amp;Const'!AH441)</f>
        <v/>
      </c>
      <c r="K441" s="285" t="str">
        <f>IF(CD50_apply="Yes",IF((COUNTIF(D441:G441,"Y")=COUNTIF('03 - 50% CD'!D441:G441,"Y")),"match","no 50% match"),"-")</f>
        <v>match</v>
      </c>
      <c r="L441" s="1410" t="str">
        <f t="shared" si="20"/>
        <v/>
      </c>
      <c r="M441" s="1382"/>
      <c r="N441" s="1333"/>
      <c r="O441" s="1382"/>
      <c r="P441" s="1382"/>
      <c r="Q441" s="1382"/>
      <c r="R441" s="1490"/>
      <c r="S441" s="1274"/>
      <c r="T441" s="1274"/>
      <c r="U441" s="1382"/>
      <c r="V441" s="1382"/>
      <c r="W441" s="1382"/>
      <c r="X441" s="1382"/>
      <c r="Y441" s="1382"/>
      <c r="Z441" s="1382"/>
      <c r="AA441" s="1382"/>
      <c r="AB441" s="1382"/>
      <c r="AC441" s="1382"/>
      <c r="AD441" s="1382"/>
      <c r="AE441" s="1382"/>
      <c r="AF441" s="1382"/>
      <c r="AG441" s="1382"/>
      <c r="AH441" s="1382"/>
      <c r="AI441" s="1382"/>
      <c r="AJ441" s="1382"/>
      <c r="AK441" s="181"/>
      <c r="AL441" s="181"/>
      <c r="AM441" s="181"/>
      <c r="AN441" s="181"/>
      <c r="AO441" s="181"/>
      <c r="AP441" s="181"/>
      <c r="AQ441" s="181"/>
      <c r="AR441" s="181"/>
      <c r="AS441" s="181"/>
      <c r="AT441" s="181"/>
      <c r="AU441" s="181"/>
      <c r="AV441" s="181"/>
      <c r="AW441" s="181"/>
    </row>
    <row r="442" spans="1:50" s="30" customFormat="1" ht="15.75" hidden="1" x14ac:dyDescent="0.25">
      <c r="A442" s="1501" t="str">
        <f>IF(CD50_apply="Yes",IF(COUNTIF('03 - 50% CD'!D442:G442,"Y")&gt;0,"Y",IF(COUNTIF('03 - 50% CD'!D442:G442,"N"),"N","")),"")</f>
        <v/>
      </c>
      <c r="B442" s="191"/>
      <c r="C442" s="944"/>
      <c r="D442" s="411"/>
      <c r="E442" s="411"/>
      <c r="F442" s="411"/>
      <c r="G442" s="511"/>
      <c r="H442" s="411"/>
      <c r="I442" s="186"/>
      <c r="J442" s="578" t="str">
        <f>IF('C-Design&amp;Const'!AH442="","",'C-Design&amp;Const'!AH442)</f>
        <v/>
      </c>
      <c r="K442" s="285" t="str">
        <f>IF(CD50_apply="Yes",IF((COUNTIF(D442:G442,"Y")=COUNTIF('03 - 50% CD'!D442:G442,"Y")),"match","no 50% match"),"-")</f>
        <v>match</v>
      </c>
      <c r="L442" s="1410" t="str">
        <f t="shared" si="20"/>
        <v/>
      </c>
      <c r="M442" s="1382"/>
      <c r="N442" s="1333"/>
      <c r="O442" s="1382"/>
      <c r="P442" s="1382"/>
      <c r="Q442" s="1382"/>
      <c r="R442" s="1490"/>
      <c r="S442" s="1274"/>
      <c r="T442" s="1274"/>
      <c r="U442" s="1382"/>
      <c r="V442" s="1382"/>
      <c r="W442" s="1382"/>
      <c r="X442" s="1382"/>
      <c r="Y442" s="1382"/>
      <c r="Z442" s="1382"/>
      <c r="AA442" s="1382"/>
      <c r="AB442" s="1382"/>
      <c r="AC442" s="1382"/>
      <c r="AD442" s="1382"/>
      <c r="AE442" s="1382"/>
      <c r="AF442" s="1382"/>
      <c r="AG442" s="1382"/>
      <c r="AH442" s="1382"/>
      <c r="AI442" s="1382"/>
      <c r="AJ442" s="1382"/>
      <c r="AK442" s="181"/>
      <c r="AL442" s="181"/>
      <c r="AM442" s="181"/>
      <c r="AN442" s="181"/>
      <c r="AO442" s="181"/>
      <c r="AP442" s="181"/>
      <c r="AQ442" s="181"/>
      <c r="AR442" s="181"/>
      <c r="AS442" s="181"/>
      <c r="AT442" s="181"/>
      <c r="AU442" s="181"/>
      <c r="AV442" s="181"/>
      <c r="AW442" s="181"/>
    </row>
    <row r="443" spans="1:50" s="181" customFormat="1" ht="26.25" customHeight="1" x14ac:dyDescent="0.25">
      <c r="A443" s="1407" t="str">
        <f>IF(CD50_apply="Yes",IF(COUNTIF('03 - 50% CD'!D443:G443,"Y")&gt;0,"Y",IF(COUNTIF('03 - 50% CD'!D443:G443,"N"),"N","")),"")</f>
        <v>N</v>
      </c>
      <c r="B443" s="177"/>
      <c r="C443" s="944"/>
      <c r="D443" s="559" t="str">
        <f>IF('C-Design&amp;Const'!$O443="","",'C-Design&amp;Const'!$O443)</f>
        <v>N</v>
      </c>
      <c r="E443" s="234"/>
      <c r="F443" s="235"/>
      <c r="G443" s="291" t="str">
        <f>IF('C-Design&amp;Const'!Y443="","",'C-Design&amp;Const'!Y443)</f>
        <v>09.</v>
      </c>
      <c r="H443" s="290" t="str">
        <f>CONCATENATE('C-Design&amp;Const'!Z443,IF(D443="N"," Not Used In This Design Phase",J443))</f>
        <v>Illinois State Historic Preservation Office (ISHPO) Not Used In This Design Phase</v>
      </c>
      <c r="I443" s="184"/>
      <c r="J443" s="578" t="str">
        <f>IF('C-Design&amp;Const'!AH443="","",'C-Design&amp;Const'!AH443)</f>
        <v/>
      </c>
      <c r="K443" s="285" t="str">
        <f>IF(CD50_apply="Yes",IF((COUNTIF(D443:G443,"Y")=COUNTIF('03 - 50% CD'!D443:G443,"Y")),"match","no 50% match"),"-")</f>
        <v>match</v>
      </c>
      <c r="L443" s="1410" t="str">
        <f t="shared" si="20"/>
        <v/>
      </c>
      <c r="M443" s="1382"/>
      <c r="N443" s="1333"/>
      <c r="O443" s="1382"/>
      <c r="P443" s="1382"/>
      <c r="Q443" s="1382"/>
      <c r="R443" s="1447"/>
      <c r="S443" s="1448"/>
      <c r="T443" s="1274"/>
      <c r="U443" s="1382"/>
      <c r="V443" s="1382"/>
      <c r="W443" s="1382"/>
      <c r="X443" s="1382"/>
      <c r="Y443" s="1382"/>
      <c r="Z443" s="1382"/>
      <c r="AA443" s="1382"/>
      <c r="AB443" s="1382"/>
      <c r="AC443" s="1382"/>
      <c r="AD443" s="1382"/>
      <c r="AE443" s="1382"/>
      <c r="AF443" s="1382"/>
      <c r="AG443" s="1382"/>
      <c r="AH443" s="1382"/>
      <c r="AI443" s="1382"/>
      <c r="AJ443" s="1382"/>
      <c r="AX443" s="30"/>
    </row>
    <row r="444" spans="1:50" x14ac:dyDescent="0.25">
      <c r="A444" s="1407" t="str">
        <f>IF(CD50_apply="Yes",IF(COUNTIF('03 - 50% CD'!D444:G444,"Y")&gt;0,"Y",IF(COUNTIF('03 - 50% CD'!D444:G444,"N"),"N","")),"")</f>
        <v>N</v>
      </c>
      <c r="B444" s="125"/>
      <c r="C444" s="944"/>
      <c r="D444" s="411"/>
      <c r="E444" s="559" t="str">
        <f>IF('C-Design&amp;Const'!$O444="","",'C-Design&amp;Const'!$O444)</f>
        <v>N</v>
      </c>
      <c r="F444" s="460"/>
      <c r="G444" s="485"/>
      <c r="H444" s="1026" t="str">
        <f>CONCATENATE(IF(F444="N","PLACEHOLDER ROW - ",""),'C-Design&amp;Const'!Z444,IF(F444="N","",J444))</f>
        <v>Meeting notes from walk through with ISHPO</v>
      </c>
      <c r="I444" s="137"/>
      <c r="J444" s="578" t="str">
        <f>IF('C-Design&amp;Const'!AH444="","",'C-Design&amp;Const'!AH444)</f>
        <v/>
      </c>
      <c r="K444" s="285" t="str">
        <f>IF(CD50_apply="Yes",IF((COUNTIF(D444:G444,"Y")=COUNTIF('03 - 50% CD'!D444:G444,"Y")),"match","no 50% match"),"-")</f>
        <v>match</v>
      </c>
      <c r="L444" s="1410" t="str">
        <f t="shared" si="20"/>
        <v/>
      </c>
      <c r="M444" s="1333"/>
      <c r="N444" s="1333"/>
      <c r="O444" s="1333"/>
      <c r="P444" s="1333"/>
      <c r="Q444" s="1333"/>
      <c r="R444" s="1453"/>
      <c r="S444" s="1284"/>
      <c r="T444" s="1404"/>
      <c r="U444" s="1333"/>
      <c r="V444" s="1333"/>
      <c r="W444" s="1333"/>
      <c r="X444" s="1333"/>
      <c r="Y444" s="1333"/>
      <c r="Z444" s="1333"/>
      <c r="AA444" s="1333"/>
      <c r="AB444" s="1333"/>
      <c r="AC444" s="1333"/>
      <c r="AD444" s="1333"/>
      <c r="AE444" s="1333"/>
      <c r="AF444" s="1333"/>
      <c r="AG444" s="1333"/>
      <c r="AH444" s="1333"/>
      <c r="AI444" s="1333"/>
      <c r="AJ444" s="1333"/>
    </row>
    <row r="445" spans="1:50" x14ac:dyDescent="0.25">
      <c r="A445" s="1407" t="str">
        <f>IF(CD50_apply="Yes",IF(COUNTIF('03 - 50% CD'!D445:G445,"Y")&gt;0,"Y",IF(COUNTIF('03 - 50% CD'!D445:G445,"N"),"N","")),"")</f>
        <v>N</v>
      </c>
      <c r="B445" s="125"/>
      <c r="C445" s="944"/>
      <c r="D445" s="411"/>
      <c r="E445" s="559" t="str">
        <f>IF('C-Design&amp;Const'!$O445="","",'C-Design&amp;Const'!$O445)</f>
        <v>N</v>
      </c>
      <c r="F445" s="460"/>
      <c r="G445" s="485"/>
      <c r="H445" s="1026" t="str">
        <f>CONCATENATE(IF(F445="N","PLACEHOLDER ROW - ",""),'C-Design&amp;Const'!Z445,IF(F445="N","",J445))</f>
        <v>Narrative on building and historical significance</v>
      </c>
      <c r="I445" s="137"/>
      <c r="J445" s="578" t="str">
        <f>IF('C-Design&amp;Const'!AH445="","",'C-Design&amp;Const'!AH445)</f>
        <v/>
      </c>
      <c r="K445" s="285" t="str">
        <f>IF(CD50_apply="Yes",IF((COUNTIF(D445:G445,"Y")=COUNTIF('03 - 50% CD'!D445:G445,"Y")),"match","no 50% match"),"-")</f>
        <v>match</v>
      </c>
      <c r="L445" s="1410" t="str">
        <f t="shared" si="20"/>
        <v/>
      </c>
      <c r="M445" s="1333"/>
      <c r="N445" s="1333"/>
      <c r="O445" s="1333"/>
      <c r="P445" s="1333"/>
      <c r="Q445" s="1333"/>
      <c r="R445" s="1453"/>
      <c r="S445" s="1284"/>
      <c r="T445" s="1404"/>
      <c r="U445" s="1333"/>
      <c r="V445" s="1333"/>
      <c r="W445" s="1333"/>
      <c r="X445" s="1333"/>
      <c r="Y445" s="1333"/>
      <c r="Z445" s="1333"/>
      <c r="AA445" s="1333"/>
      <c r="AB445" s="1333"/>
      <c r="AC445" s="1333"/>
      <c r="AD445" s="1333"/>
      <c r="AE445" s="1333"/>
      <c r="AF445" s="1333"/>
      <c r="AG445" s="1333"/>
      <c r="AH445" s="1333"/>
      <c r="AI445" s="1333"/>
      <c r="AJ445" s="1333"/>
    </row>
    <row r="446" spans="1:50" x14ac:dyDescent="0.25">
      <c r="A446" s="1407" t="str">
        <f>IF(CD50_apply="Yes",IF(COUNTIF('03 - 50% CD'!D446:G446,"Y")&gt;0,"Y",IF(COUNTIF('03 - 50% CD'!D446:G446,"N"),"N","")),"")</f>
        <v>N</v>
      </c>
      <c r="B446" s="125"/>
      <c r="C446" s="944"/>
      <c r="D446" s="411"/>
      <c r="E446" s="559" t="str">
        <f>IF('C-Design&amp;Const'!$O446="","",'C-Design&amp;Const'!$O446)</f>
        <v>N</v>
      </c>
      <c r="F446" s="460"/>
      <c r="G446" s="485"/>
      <c r="H446" s="1026" t="str">
        <f>CONCATENATE(IF(F446="N","PLACEHOLDER ROW - ",""),'C-Design&amp;Const'!Z446,IF(F446="N","",J446))</f>
        <v>Exterior Photographic Documentation</v>
      </c>
      <c r="I446" s="137"/>
      <c r="J446" s="578" t="str">
        <f>IF('C-Design&amp;Const'!AH446="","",'C-Design&amp;Const'!AH446)</f>
        <v/>
      </c>
      <c r="K446" s="285" t="str">
        <f>IF(CD50_apply="Yes",IF((COUNTIF(D446:G446,"Y")=COUNTIF('03 - 50% CD'!D446:G446,"Y")),"match","no 50% match"),"-")</f>
        <v>match</v>
      </c>
      <c r="L446" s="1410" t="str">
        <f t="shared" si="20"/>
        <v/>
      </c>
      <c r="M446" s="1333"/>
      <c r="N446" s="1333"/>
      <c r="O446" s="1333"/>
      <c r="P446" s="1333"/>
      <c r="Q446" s="1333"/>
      <c r="R446" s="1453"/>
      <c r="S446" s="1284"/>
      <c r="T446" s="1404"/>
      <c r="U446" s="1333"/>
      <c r="V446" s="1333"/>
      <c r="W446" s="1333"/>
      <c r="X446" s="1333"/>
      <c r="Y446" s="1333"/>
      <c r="Z446" s="1333"/>
      <c r="AA446" s="1333"/>
      <c r="AB446" s="1333"/>
      <c r="AC446" s="1333"/>
      <c r="AD446" s="1333"/>
      <c r="AE446" s="1333"/>
      <c r="AF446" s="1333"/>
      <c r="AG446" s="1333"/>
      <c r="AH446" s="1333"/>
      <c r="AI446" s="1333"/>
      <c r="AJ446" s="1333"/>
    </row>
    <row r="447" spans="1:50" x14ac:dyDescent="0.25">
      <c r="A447" s="1407" t="str">
        <f>IF(CD50_apply="Yes",IF(COUNTIF('03 - 50% CD'!D447:G447,"Y")&gt;0,"Y",IF(COUNTIF('03 - 50% CD'!D447:G447,"N"),"N","")),"")</f>
        <v>N</v>
      </c>
      <c r="B447" s="125"/>
      <c r="C447" s="944"/>
      <c r="D447" s="411"/>
      <c r="E447" s="559" t="str">
        <f>IF('C-Design&amp;Const'!$O447="","",'C-Design&amp;Const'!$O447)</f>
        <v>N</v>
      </c>
      <c r="F447" s="460"/>
      <c r="G447" s="485"/>
      <c r="H447" s="1026" t="str">
        <f>CONCATENATE(IF(F447="N","PLACEHOLDER ROW - ",""),'C-Design&amp;Const'!Z447,IF(F447="N","",J447))</f>
        <v>Exterior preservation drawings</v>
      </c>
      <c r="I447" s="137"/>
      <c r="J447" s="578" t="str">
        <f>IF('C-Design&amp;Const'!AH447="","",'C-Design&amp;Const'!AH447)</f>
        <v/>
      </c>
      <c r="K447" s="285" t="str">
        <f>IF(CD50_apply="Yes",IF((COUNTIF(D447:G447,"Y")=COUNTIF('03 - 50% CD'!D447:G447,"Y")),"match","no 50% match"),"-")</f>
        <v>match</v>
      </c>
      <c r="L447" s="1410" t="str">
        <f t="shared" si="20"/>
        <v/>
      </c>
      <c r="M447" s="1333"/>
      <c r="N447" s="1333"/>
      <c r="O447" s="1333"/>
      <c r="P447" s="1333"/>
      <c r="Q447" s="1333"/>
      <c r="R447" s="1453"/>
      <c r="S447" s="1284"/>
      <c r="T447" s="1404"/>
      <c r="U447" s="1333"/>
      <c r="V447" s="1333"/>
      <c r="W447" s="1333"/>
      <c r="X447" s="1333"/>
      <c r="Y447" s="1333"/>
      <c r="Z447" s="1333"/>
      <c r="AA447" s="1333"/>
      <c r="AB447" s="1333"/>
      <c r="AC447" s="1333"/>
      <c r="AD447" s="1333"/>
      <c r="AE447" s="1333"/>
      <c r="AF447" s="1333"/>
      <c r="AG447" s="1333"/>
      <c r="AH447" s="1333"/>
      <c r="AI447" s="1333"/>
      <c r="AJ447" s="1333"/>
    </row>
    <row r="448" spans="1:50" x14ac:dyDescent="0.25">
      <c r="A448" s="1407" t="str">
        <f>IF(CD50_apply="Yes",IF(COUNTIF('03 - 50% CD'!D448:G448,"Y")&gt;0,"Y",IF(COUNTIF('03 - 50% CD'!D448:G448,"N"),"N","")),"")</f>
        <v>N</v>
      </c>
      <c r="B448" s="125"/>
      <c r="C448" s="944"/>
      <c r="D448" s="411"/>
      <c r="E448" s="559" t="str">
        <f>IF('C-Design&amp;Const'!$O448="","",'C-Design&amp;Const'!$O448)</f>
        <v>N</v>
      </c>
      <c r="F448" s="460"/>
      <c r="G448" s="485"/>
      <c r="H448" s="1026" t="str">
        <f>CONCATENATE(IF(F448="N","PLACEHOLDER ROW - ",""),'C-Design&amp;Const'!Z448,IF(F448="N","",J448))</f>
        <v>Interior Photographic Documentation</v>
      </c>
      <c r="I448" s="137"/>
      <c r="J448" s="578" t="str">
        <f>IF('C-Design&amp;Const'!AH448="","",'C-Design&amp;Const'!AH448)</f>
        <v/>
      </c>
      <c r="K448" s="285" t="str">
        <f>IF(CD50_apply="Yes",IF((COUNTIF(D448:G448,"Y")=COUNTIF('03 - 50% CD'!D448:G448,"Y")),"match","no 50% match"),"-")</f>
        <v>match</v>
      </c>
      <c r="L448" s="1410" t="str">
        <f t="shared" si="20"/>
        <v/>
      </c>
      <c r="M448" s="1333"/>
      <c r="N448" s="1333"/>
      <c r="O448" s="1333"/>
      <c r="P448" s="1333"/>
      <c r="Q448" s="1333"/>
      <c r="R448" s="1453"/>
      <c r="S448" s="1284"/>
      <c r="T448" s="1404"/>
      <c r="U448" s="1333"/>
      <c r="V448" s="1333"/>
      <c r="W448" s="1333"/>
      <c r="X448" s="1333"/>
      <c r="Y448" s="1333"/>
      <c r="Z448" s="1333"/>
      <c r="AA448" s="1333"/>
      <c r="AB448" s="1333"/>
      <c r="AC448" s="1333"/>
      <c r="AD448" s="1333"/>
      <c r="AE448" s="1333"/>
      <c r="AF448" s="1333"/>
      <c r="AG448" s="1333"/>
      <c r="AH448" s="1333"/>
      <c r="AI448" s="1333"/>
      <c r="AJ448" s="1333"/>
    </row>
    <row r="449" spans="1:49" x14ac:dyDescent="0.25">
      <c r="A449" s="1407" t="str">
        <f>IF(CD50_apply="Yes",IF(COUNTIF('03 - 50% CD'!D449:G449,"Y")&gt;0,"Y",IF(COUNTIF('03 - 50% CD'!D449:G449,"N"),"N","")),"")</f>
        <v>N</v>
      </c>
      <c r="B449" s="125"/>
      <c r="C449" s="944"/>
      <c r="D449" s="411"/>
      <c r="E449" s="559" t="str">
        <f>IF('C-Design&amp;Const'!$O449="","",'C-Design&amp;Const'!$O449)</f>
        <v>N</v>
      </c>
      <c r="F449" s="460"/>
      <c r="G449" s="485"/>
      <c r="H449" s="1026" t="str">
        <f>CONCATENATE(IF(F449="N","PLACEHOLDER ROW - ",""),'C-Design&amp;Const'!Z449,IF(F449="N","",J449))</f>
        <v>Interior preservation drawings</v>
      </c>
      <c r="I449" s="137"/>
      <c r="J449" s="578" t="str">
        <f>IF('C-Design&amp;Const'!AH449="","",'C-Design&amp;Const'!AH449)</f>
        <v/>
      </c>
      <c r="K449" s="285" t="str">
        <f>IF(CD50_apply="Yes",IF((COUNTIF(D449:G449,"Y")=COUNTIF('03 - 50% CD'!D449:G449,"Y")),"match","no 50% match"),"-")</f>
        <v>match</v>
      </c>
      <c r="L449" s="1410" t="str">
        <f t="shared" si="20"/>
        <v/>
      </c>
      <c r="M449" s="1333"/>
      <c r="N449" s="1333"/>
      <c r="O449" s="1333"/>
      <c r="P449" s="1333"/>
      <c r="Q449" s="1333"/>
      <c r="R449" s="1453"/>
      <c r="S449" s="1284"/>
      <c r="T449" s="1404"/>
      <c r="U449" s="1333"/>
      <c r="V449" s="1333"/>
      <c r="W449" s="1333"/>
      <c r="X449" s="1333"/>
      <c r="Y449" s="1333"/>
      <c r="Z449" s="1333"/>
      <c r="AA449" s="1333"/>
      <c r="AB449" s="1333"/>
      <c r="AC449" s="1333"/>
      <c r="AD449" s="1333"/>
      <c r="AE449" s="1333"/>
      <c r="AF449" s="1333"/>
      <c r="AG449" s="1333"/>
      <c r="AH449" s="1333"/>
      <c r="AI449" s="1333"/>
      <c r="AJ449" s="1333"/>
    </row>
    <row r="450" spans="1:49" x14ac:dyDescent="0.25">
      <c r="A450" s="1407" t="str">
        <f>IF(CD50_apply="Yes",IF(COUNTIF('03 - 50% CD'!D450:G450,"Y")&gt;0,"Y",IF(COUNTIF('03 - 50% CD'!D450:G450,"N"),"N","")),"")</f>
        <v>N</v>
      </c>
      <c r="B450" s="125"/>
      <c r="C450" s="944"/>
      <c r="D450" s="411"/>
      <c r="E450" s="559" t="str">
        <f>IF('C-Design&amp;Const'!$O450="","",'C-Design&amp;Const'!$O450)</f>
        <v>N</v>
      </c>
      <c r="F450" s="460"/>
      <c r="G450" s="485"/>
      <c r="H450" s="1027" t="str">
        <f>CONCATENATE(IF(F450="N","PLACEHOLDER ROW - ",""),'C-Design&amp;Const'!Z450,IF(F450="N","",J450))</f>
        <v>Historic Illinois Building Survey</v>
      </c>
      <c r="I450" s="137"/>
      <c r="J450" s="578" t="str">
        <f>IF('C-Design&amp;Const'!AH450="","",'C-Design&amp;Const'!AH450)</f>
        <v/>
      </c>
      <c r="K450" s="285" t="str">
        <f>IF(CD50_apply="Yes",IF((COUNTIF(D450:G450,"Y")=COUNTIF('03 - 50% CD'!D450:G450,"Y")),"match","no 50% match"),"-")</f>
        <v>match</v>
      </c>
      <c r="L450" s="1410" t="str">
        <f t="shared" si="20"/>
        <v/>
      </c>
      <c r="M450" s="1333"/>
      <c r="N450" s="1333"/>
      <c r="O450" s="1333"/>
      <c r="P450" s="1333"/>
      <c r="Q450" s="1333"/>
      <c r="R450" s="1453"/>
      <c r="S450" s="1284"/>
      <c r="T450" s="1404"/>
      <c r="U450" s="1333"/>
      <c r="V450" s="1333"/>
      <c r="W450" s="1333"/>
      <c r="X450" s="1333"/>
      <c r="Y450" s="1333"/>
      <c r="Z450" s="1333"/>
      <c r="AA450" s="1333"/>
      <c r="AB450" s="1333"/>
      <c r="AC450" s="1333"/>
      <c r="AD450" s="1333"/>
      <c r="AE450" s="1333"/>
      <c r="AF450" s="1333"/>
      <c r="AG450" s="1333"/>
      <c r="AH450" s="1333"/>
      <c r="AI450" s="1333"/>
      <c r="AJ450" s="1333"/>
    </row>
    <row r="451" spans="1:49" x14ac:dyDescent="0.25">
      <c r="A451" s="1407" t="str">
        <f>IF(CD50_apply="Yes",IF(COUNTIF('03 - 50% CD'!D451:G451,"Y")&gt;0,"Y",IF(COUNTIF('03 - 50% CD'!D451:G451,"N"),"N","")),"")</f>
        <v>N</v>
      </c>
      <c r="B451" s="125"/>
      <c r="C451" s="944"/>
      <c r="D451" s="411"/>
      <c r="E451" s="559" t="str">
        <f>IF('C-Design&amp;Const'!$O451="","",'C-Design&amp;Const'!$O451)</f>
        <v>N</v>
      </c>
      <c r="F451" s="460"/>
      <c r="G451" s="485"/>
      <c r="H451" s="1027" t="str">
        <f>CONCATENATE(IF(F451="N","PLACEHOLDER ROW - ",""),'C-Design&amp;Const'!Z451,IF(F451="N","",J451))</f>
        <v>Historic Illinois Engineering Record</v>
      </c>
      <c r="I451" s="137"/>
      <c r="J451" s="578" t="str">
        <f>IF('C-Design&amp;Const'!AH451="","",'C-Design&amp;Const'!AH451)</f>
        <v/>
      </c>
      <c r="K451" s="285" t="str">
        <f>IF(CD50_apply="Yes",IF((COUNTIF(D451:G451,"Y")=COUNTIF('03 - 50% CD'!D451:G451,"Y")),"match","no 50% match"),"-")</f>
        <v>match</v>
      </c>
      <c r="L451" s="1410" t="str">
        <f t="shared" si="20"/>
        <v/>
      </c>
      <c r="M451" s="1333"/>
      <c r="N451" s="1333"/>
      <c r="O451" s="1333"/>
      <c r="P451" s="1333"/>
      <c r="Q451" s="1333"/>
      <c r="R451" s="1453"/>
      <c r="S451" s="1284"/>
      <c r="T451" s="1404"/>
      <c r="U451" s="1333"/>
      <c r="V451" s="1333"/>
      <c r="W451" s="1333"/>
      <c r="X451" s="1333"/>
      <c r="Y451" s="1333"/>
      <c r="Z451" s="1333"/>
      <c r="AA451" s="1333"/>
      <c r="AB451" s="1333"/>
      <c r="AC451" s="1333"/>
      <c r="AD451" s="1333"/>
      <c r="AE451" s="1333"/>
      <c r="AF451" s="1333"/>
      <c r="AG451" s="1333"/>
      <c r="AH451" s="1333"/>
      <c r="AI451" s="1333"/>
      <c r="AJ451" s="1333"/>
    </row>
    <row r="452" spans="1:49" x14ac:dyDescent="0.25">
      <c r="A452" s="1407" t="str">
        <f>IF(CD50_apply="Yes",IF(COUNTIF('03 - 50% CD'!D452:G452,"Y")&gt;0,"Y",IF(COUNTIF('03 - 50% CD'!D452:G452,"N"),"N","")),"")</f>
        <v>N</v>
      </c>
      <c r="B452" s="125"/>
      <c r="C452" s="944"/>
      <c r="D452" s="411"/>
      <c r="E452" s="559" t="str">
        <f>IF('C-Design&amp;Const'!$O452="","",'C-Design&amp;Const'!$O452)</f>
        <v>N</v>
      </c>
      <c r="F452" s="460"/>
      <c r="G452" s="485"/>
      <c r="H452" s="1027" t="str">
        <f>CONCATENATE(IF(F452="N","PLACEHOLDER ROW - ",""),'C-Design&amp;Const'!Z452,IF(F452="N","",J452))</f>
        <v>ISHPO item to be determined per project</v>
      </c>
      <c r="I452" s="137"/>
      <c r="J452" s="578" t="str">
        <f>IF('C-Design&amp;Const'!AH452="","",'C-Design&amp;Const'!AH452)</f>
        <v/>
      </c>
      <c r="K452" s="285" t="str">
        <f>IF(CD50_apply="Yes",IF((COUNTIF(D452:G452,"Y")=COUNTIF('03 - 50% CD'!D452:G452,"Y")),"match","no 50% match"),"-")</f>
        <v>match</v>
      </c>
      <c r="L452" s="1410" t="str">
        <f t="shared" si="20"/>
        <v/>
      </c>
      <c r="M452" s="1333"/>
      <c r="N452" s="1333"/>
      <c r="O452" s="1333"/>
      <c r="P452" s="1333"/>
      <c r="Q452" s="1333"/>
      <c r="R452" s="1453"/>
      <c r="S452" s="1284"/>
      <c r="T452" s="1404"/>
      <c r="U452" s="1333"/>
      <c r="V452" s="1333"/>
      <c r="W452" s="1333"/>
      <c r="X452" s="1333"/>
      <c r="Y452" s="1333"/>
      <c r="Z452" s="1333"/>
      <c r="AA452" s="1333"/>
      <c r="AB452" s="1333"/>
      <c r="AC452" s="1333"/>
      <c r="AD452" s="1333"/>
      <c r="AE452" s="1333"/>
      <c r="AF452" s="1333"/>
      <c r="AG452" s="1333"/>
      <c r="AH452" s="1333"/>
      <c r="AI452" s="1333"/>
      <c r="AJ452" s="1333"/>
    </row>
    <row r="453" spans="1:49" x14ac:dyDescent="0.25">
      <c r="A453" s="1407" t="str">
        <f>IF(CD50_apply="Yes",IF(COUNTIF('03 - 50% CD'!D453:G453,"Y")&gt;0,"Y",IF(COUNTIF('03 - 50% CD'!D453:G453,"N"),"N","")),"")</f>
        <v>N</v>
      </c>
      <c r="B453" s="125"/>
      <c r="C453" s="944"/>
      <c r="D453" s="411"/>
      <c r="E453" s="559" t="str">
        <f>IF('C-Design&amp;Const'!$O453="","",'C-Design&amp;Const'!$O453)</f>
        <v>N</v>
      </c>
      <c r="F453" s="460"/>
      <c r="G453" s="485"/>
      <c r="H453" s="1027" t="str">
        <f>CONCATENATE(IF(F453="N","PLACEHOLDER ROW - ",""),'C-Design&amp;Const'!Z453,IF(F453="N","",J453))</f>
        <v>ISHPO item to be determined per project</v>
      </c>
      <c r="I453" s="137"/>
      <c r="J453" s="578" t="str">
        <f>IF('C-Design&amp;Const'!AH453="","",'C-Design&amp;Const'!AH453)</f>
        <v/>
      </c>
      <c r="K453" s="285" t="str">
        <f>IF(CD50_apply="Yes",IF((COUNTIF(D453:G453,"Y")=COUNTIF('03 - 50% CD'!D453:G453,"Y")),"match","no 50% match"),"-")</f>
        <v>match</v>
      </c>
      <c r="L453" s="1410" t="str">
        <f t="shared" si="20"/>
        <v/>
      </c>
      <c r="M453" s="1333"/>
      <c r="N453" s="1333"/>
      <c r="O453" s="1333"/>
      <c r="P453" s="1333"/>
      <c r="Q453" s="1333"/>
      <c r="R453" s="1453"/>
      <c r="S453" s="1284"/>
      <c r="T453" s="1404"/>
      <c r="U453" s="1333"/>
      <c r="V453" s="1333"/>
      <c r="W453" s="1333"/>
      <c r="X453" s="1333"/>
      <c r="Y453" s="1333"/>
      <c r="Z453" s="1333"/>
      <c r="AA453" s="1333"/>
      <c r="AB453" s="1333"/>
      <c r="AC453" s="1333"/>
      <c r="AD453" s="1333"/>
      <c r="AE453" s="1333"/>
      <c r="AF453" s="1333"/>
      <c r="AG453" s="1333"/>
      <c r="AH453" s="1333"/>
      <c r="AI453" s="1333"/>
      <c r="AJ453" s="1333"/>
    </row>
    <row r="454" spans="1:49" x14ac:dyDescent="0.25">
      <c r="A454" s="1407" t="str">
        <f>IF(CD50_apply="Yes",IF(COUNTIF('03 - 50% CD'!D454:G454,"Y")&gt;0,"Y",IF(COUNTIF('03 - 50% CD'!D454:G454,"N"),"N","")),"")</f>
        <v>N</v>
      </c>
      <c r="B454" s="125"/>
      <c r="C454" s="944"/>
      <c r="D454" s="411"/>
      <c r="E454" s="559" t="str">
        <f>IF('C-Design&amp;Const'!$O454="","",'C-Design&amp;Const'!$O454)</f>
        <v>N</v>
      </c>
      <c r="F454" s="460"/>
      <c r="G454" s="485"/>
      <c r="H454" s="1027" t="str">
        <f>CONCATENATE(IF(F454="N","PLACEHOLDER ROW - ",""),'C-Design&amp;Const'!Z454,IF(F454="N","",J454))</f>
        <v>ISHPO item to be determined per project</v>
      </c>
      <c r="I454" s="137"/>
      <c r="J454" s="578" t="str">
        <f>IF('C-Design&amp;Const'!AH454="","",'C-Design&amp;Const'!AH454)</f>
        <v/>
      </c>
      <c r="K454" s="285" t="str">
        <f>IF(CD50_apply="Yes",IF((COUNTIF(D454:G454,"Y")=COUNTIF('03 - 50% CD'!D454:G454,"Y")),"match","no 50% match"),"-")</f>
        <v>match</v>
      </c>
      <c r="L454" s="1410" t="str">
        <f t="shared" si="20"/>
        <v/>
      </c>
      <c r="M454" s="1333"/>
      <c r="N454" s="1333"/>
      <c r="O454" s="1333"/>
      <c r="P454" s="1333"/>
      <c r="Q454" s="1333"/>
      <c r="R454" s="1453"/>
      <c r="S454" s="1284"/>
      <c r="T454" s="1404"/>
      <c r="U454" s="1333"/>
      <c r="V454" s="1333"/>
      <c r="W454" s="1333"/>
      <c r="X454" s="1333"/>
      <c r="Y454" s="1333"/>
      <c r="Z454" s="1333"/>
      <c r="AA454" s="1333"/>
      <c r="AB454" s="1333"/>
      <c r="AC454" s="1333"/>
      <c r="AD454" s="1333"/>
      <c r="AE454" s="1333"/>
      <c r="AF454" s="1333"/>
      <c r="AG454" s="1333"/>
      <c r="AH454" s="1333"/>
      <c r="AI454" s="1333"/>
      <c r="AJ454" s="1333"/>
    </row>
    <row r="455" spans="1:49" x14ac:dyDescent="0.25">
      <c r="A455" s="1331" t="str">
        <f>IF(CD50_apply="Yes",IF(COUNTIF('03 - 50% CD'!D465:G465,"Y")&gt;0,"Y",IF(COUNTIF('03 - 50% CD'!D465:G465,"N"),"N","")),"")</f>
        <v/>
      </c>
      <c r="B455" s="125"/>
      <c r="C455" s="944"/>
      <c r="D455" s="321"/>
      <c r="E455" s="321"/>
      <c r="F455" s="321"/>
      <c r="G455" s="294"/>
      <c r="H455" s="296"/>
      <c r="I455" s="130"/>
      <c r="J455" s="578" t="str">
        <f>IF('C-Design&amp;Const'!AH455="","",'C-Design&amp;Const'!AH455)</f>
        <v/>
      </c>
      <c r="K455" s="285"/>
      <c r="L455" s="1410" t="str">
        <f t="shared" si="20"/>
        <v/>
      </c>
      <c r="M455" s="1333"/>
      <c r="N455" s="1351"/>
      <c r="O455" s="1333"/>
      <c r="P455" s="1333"/>
      <c r="Q455" s="1333"/>
      <c r="R455" s="1453"/>
      <c r="S455" s="1284"/>
      <c r="T455" s="1284"/>
      <c r="U455" s="1333"/>
      <c r="V455" s="1333"/>
      <c r="W455" s="1333"/>
      <c r="X455" s="1333"/>
      <c r="Y455" s="1333"/>
      <c r="Z455" s="1333"/>
      <c r="AA455" s="1333"/>
      <c r="AB455" s="1333"/>
      <c r="AC455" s="1333"/>
      <c r="AD455" s="1333"/>
      <c r="AE455" s="1333"/>
      <c r="AF455" s="1333"/>
      <c r="AG455" s="1333"/>
      <c r="AH455" s="1333"/>
      <c r="AI455" s="1333"/>
      <c r="AJ455" s="1333"/>
    </row>
    <row r="456" spans="1:49" s="30" customFormat="1" ht="18.75" x14ac:dyDescent="0.25">
      <c r="A456" s="1407"/>
      <c r="B456" s="1273"/>
      <c r="C456" s="1522"/>
      <c r="D456" s="1523"/>
      <c r="E456" s="1523"/>
      <c r="F456" s="1523"/>
      <c r="G456" s="1524"/>
      <c r="H456" s="1525"/>
      <c r="I456" s="1469"/>
      <c r="J456" s="1333"/>
      <c r="K456" s="1470">
        <v>1</v>
      </c>
      <c r="L456" s="1384"/>
      <c r="M456" s="1382"/>
      <c r="N456" s="1333"/>
      <c r="O456" s="1382"/>
      <c r="P456" s="1382"/>
      <c r="Q456" s="1382"/>
      <c r="R456" s="1382"/>
      <c r="S456" s="1382"/>
      <c r="T456" s="1382"/>
      <c r="U456" s="1382"/>
      <c r="V456" s="1382"/>
      <c r="W456" s="1382"/>
      <c r="X456" s="1382"/>
      <c r="Y456" s="1382"/>
      <c r="Z456" s="1382"/>
      <c r="AA456" s="1382"/>
      <c r="AB456" s="1382"/>
      <c r="AC456" s="1382"/>
      <c r="AD456" s="1382"/>
      <c r="AE456" s="1382"/>
      <c r="AF456" s="1382"/>
      <c r="AG456" s="1382"/>
      <c r="AH456" s="1382"/>
      <c r="AI456" s="1382"/>
      <c r="AJ456" s="1382"/>
      <c r="AK456" s="181"/>
      <c r="AL456" s="181"/>
      <c r="AM456" s="181"/>
      <c r="AN456" s="181"/>
      <c r="AO456" s="181"/>
      <c r="AP456" s="181"/>
      <c r="AQ456" s="181"/>
      <c r="AR456" s="181"/>
      <c r="AS456" s="181"/>
      <c r="AT456" s="181"/>
      <c r="AU456" s="181"/>
      <c r="AV456" s="181"/>
      <c r="AW456" s="181"/>
    </row>
    <row r="457" spans="1:49" s="30" customFormat="1" ht="15" customHeight="1" x14ac:dyDescent="0.25">
      <c r="A457" s="1407"/>
      <c r="B457" s="1273"/>
      <c r="C457" s="1493"/>
      <c r="D457" s="1364"/>
      <c r="E457" s="1364"/>
      <c r="F457" s="1364"/>
      <c r="G457" s="1499"/>
      <c r="H457" s="1333"/>
      <c r="I457" s="1469"/>
      <c r="J457" s="1333"/>
      <c r="K457" s="1470">
        <v>1</v>
      </c>
      <c r="L457" s="1471"/>
      <c r="M457" s="1382"/>
      <c r="N457" s="1333"/>
      <c r="O457" s="1382"/>
      <c r="P457" s="1382"/>
      <c r="Q457" s="1382"/>
      <c r="R457" s="1382"/>
      <c r="S457" s="1382"/>
      <c r="T457" s="1382"/>
      <c r="U457" s="1382"/>
      <c r="V457" s="1382"/>
      <c r="W457" s="1382"/>
      <c r="X457" s="1382"/>
      <c r="Y457" s="1382"/>
      <c r="Z457" s="1382"/>
      <c r="AA457" s="1382"/>
      <c r="AB457" s="1382"/>
      <c r="AC457" s="1382"/>
      <c r="AD457" s="1382"/>
      <c r="AE457" s="1382"/>
      <c r="AF457" s="1382"/>
      <c r="AG457" s="1382"/>
      <c r="AH457" s="1382"/>
      <c r="AI457" s="1382"/>
      <c r="AJ457" s="1382"/>
      <c r="AK457" s="181"/>
      <c r="AL457" s="181"/>
      <c r="AM457" s="181"/>
      <c r="AN457" s="181"/>
      <c r="AO457" s="181"/>
      <c r="AP457" s="181"/>
      <c r="AQ457" s="181"/>
      <c r="AR457" s="181"/>
      <c r="AS457" s="181"/>
      <c r="AT457" s="181"/>
      <c r="AU457" s="181"/>
      <c r="AV457" s="181"/>
      <c r="AW457" s="181"/>
    </row>
    <row r="458" spans="1:49" s="30" customFormat="1" ht="15" customHeight="1" x14ac:dyDescent="0.25">
      <c r="A458" s="1407"/>
      <c r="B458" s="1273"/>
      <c r="C458" s="1493"/>
      <c r="D458" s="1364"/>
      <c r="E458" s="1364"/>
      <c r="F458" s="1364"/>
      <c r="G458" s="1499"/>
      <c r="H458" s="1333"/>
      <c r="I458" s="1469"/>
      <c r="J458" s="1333"/>
      <c r="K458" s="1470">
        <v>1</v>
      </c>
      <c r="L458" s="1472"/>
      <c r="M458" s="1382"/>
      <c r="N458" s="1333"/>
      <c r="O458" s="1382"/>
      <c r="P458" s="1382"/>
      <c r="Q458" s="1382"/>
      <c r="R458" s="1382"/>
      <c r="S458" s="1382"/>
      <c r="T458" s="1382"/>
      <c r="U458" s="1382"/>
      <c r="V458" s="1382"/>
      <c r="W458" s="1382"/>
      <c r="X458" s="1382"/>
      <c r="Y458" s="1382"/>
      <c r="Z458" s="1382"/>
      <c r="AA458" s="1382"/>
      <c r="AB458" s="1382"/>
      <c r="AC458" s="1382"/>
      <c r="AD458" s="1382"/>
      <c r="AE458" s="1382"/>
      <c r="AF458" s="1382"/>
      <c r="AG458" s="1382"/>
      <c r="AH458" s="1382"/>
      <c r="AI458" s="1382"/>
      <c r="AJ458" s="1382"/>
      <c r="AK458" s="181"/>
      <c r="AL458" s="181"/>
      <c r="AM458" s="181"/>
      <c r="AN458" s="181"/>
      <c r="AO458" s="181"/>
      <c r="AP458" s="181"/>
      <c r="AQ458" s="181"/>
      <c r="AR458" s="181"/>
      <c r="AS458" s="181"/>
      <c r="AT458" s="181"/>
      <c r="AU458" s="181"/>
      <c r="AV458" s="181"/>
      <c r="AW458" s="181"/>
    </row>
    <row r="459" spans="1:49" ht="10.5" customHeight="1" x14ac:dyDescent="0.25">
      <c r="A459" s="1331"/>
      <c r="B459" s="1405"/>
      <c r="C459" s="1497"/>
      <c r="D459" s="1474"/>
      <c r="E459" s="1474"/>
      <c r="F459" s="1474"/>
      <c r="G459" s="1498"/>
      <c r="H459" s="1369"/>
      <c r="I459" s="1467"/>
      <c r="J459" s="1333"/>
      <c r="K459" s="1401"/>
      <c r="L459" s="1333"/>
      <c r="M459" s="1333"/>
      <c r="N459" s="1333"/>
      <c r="O459" s="1333"/>
      <c r="P459" s="1333"/>
      <c r="Q459" s="1333"/>
      <c r="R459" s="1453"/>
      <c r="S459" s="1284"/>
      <c r="T459" s="1284"/>
      <c r="U459" s="1333"/>
      <c r="V459" s="1333"/>
      <c r="W459" s="1333"/>
      <c r="X459" s="1333"/>
      <c r="Y459" s="1333"/>
      <c r="Z459" s="1333"/>
      <c r="AA459" s="1333"/>
      <c r="AB459" s="1333"/>
      <c r="AC459" s="1333"/>
      <c r="AD459" s="1333"/>
      <c r="AE459" s="1333"/>
      <c r="AF459" s="1333"/>
      <c r="AG459" s="1333"/>
      <c r="AH459" s="1333"/>
      <c r="AI459" s="1333"/>
      <c r="AJ459" s="1333"/>
    </row>
    <row r="460" spans="1:49" x14ac:dyDescent="0.25">
      <c r="A460" s="1370"/>
      <c r="B460" s="1285"/>
      <c r="C460" s="1284"/>
      <c r="D460" s="1364"/>
      <c r="E460" s="1364"/>
      <c r="F460" s="1364"/>
      <c r="G460" s="1499"/>
      <c r="H460" s="1333"/>
      <c r="I460" s="1375"/>
      <c r="J460" s="1333"/>
      <c r="K460" s="1526"/>
      <c r="L460" s="1374"/>
      <c r="M460" s="1374"/>
      <c r="N460" s="1333"/>
      <c r="O460" s="1333"/>
      <c r="P460" s="1333"/>
      <c r="Q460" s="1333"/>
      <c r="R460" s="1453"/>
      <c r="S460" s="1284"/>
      <c r="T460" s="1284"/>
      <c r="U460" s="1333"/>
      <c r="V460" s="1333"/>
      <c r="W460" s="1333"/>
      <c r="X460" s="1333"/>
      <c r="Y460" s="1333"/>
      <c r="Z460" s="1333"/>
      <c r="AA460" s="1333"/>
      <c r="AB460" s="1333"/>
      <c r="AC460" s="1333"/>
      <c r="AD460" s="1333"/>
      <c r="AE460" s="1333"/>
      <c r="AF460" s="1333"/>
      <c r="AG460" s="1333"/>
      <c r="AH460" s="1333"/>
      <c r="AI460" s="1333"/>
      <c r="AJ460" s="1333"/>
    </row>
    <row r="461" spans="1:49" x14ac:dyDescent="0.25">
      <c r="A461" s="1342"/>
      <c r="B461" s="1285"/>
      <c r="C461" s="1284"/>
      <c r="D461" s="1364"/>
      <c r="E461" s="1364"/>
      <c r="F461" s="1364"/>
      <c r="G461" s="1499"/>
      <c r="H461" s="1333"/>
      <c r="I461" s="1467"/>
      <c r="J461" s="1333"/>
      <c r="K461" s="1401"/>
      <c r="L461" s="1351"/>
      <c r="M461" s="1351"/>
      <c r="N461" s="1333"/>
      <c r="O461" s="1333"/>
      <c r="P461" s="1333"/>
      <c r="Q461" s="1333"/>
      <c r="R461" s="1453"/>
      <c r="S461" s="1284"/>
      <c r="T461" s="1284"/>
      <c r="U461" s="1333"/>
      <c r="V461" s="1333"/>
      <c r="W461" s="1333"/>
      <c r="X461" s="1333"/>
      <c r="Y461" s="1333"/>
      <c r="Z461" s="1333"/>
      <c r="AA461" s="1333"/>
      <c r="AB461" s="1333"/>
      <c r="AC461" s="1333"/>
      <c r="AD461" s="1333"/>
      <c r="AE461" s="1333"/>
      <c r="AF461" s="1333"/>
      <c r="AG461" s="1333"/>
      <c r="AH461" s="1333"/>
      <c r="AI461" s="1333"/>
      <c r="AJ461" s="1333"/>
    </row>
    <row r="462" spans="1:49" x14ac:dyDescent="0.25">
      <c r="A462" s="1342"/>
      <c r="B462" s="1285"/>
      <c r="C462" s="1287" t="str">
        <f ca="1">CONCATENATE("UIUC Template Change Log hidden below for TAB [",MID(CELL("filename",C15),FIND("]",CELL("filename",C15))+1,255),"] :")</f>
        <v>UIUC Template Change Log hidden below for TAB [04 - 95% CD] :</v>
      </c>
      <c r="D462" s="1364"/>
      <c r="E462" s="1364"/>
      <c r="F462" s="1364"/>
      <c r="G462" s="1499"/>
      <c r="H462" s="1333"/>
      <c r="I462" s="1467"/>
      <c r="J462" s="1333"/>
      <c r="K462" s="1401"/>
      <c r="L462" s="1351"/>
      <c r="M462" s="1351"/>
      <c r="N462" s="1333"/>
      <c r="O462" s="1333"/>
      <c r="P462" s="1333"/>
      <c r="Q462" s="1333"/>
      <c r="R462" s="1453"/>
      <c r="S462" s="1284"/>
      <c r="T462" s="1284"/>
      <c r="U462" s="1333"/>
      <c r="V462" s="1333"/>
      <c r="W462" s="1333"/>
      <c r="X462" s="1333"/>
      <c r="Y462" s="1333"/>
      <c r="Z462" s="1333"/>
      <c r="AA462" s="1333"/>
      <c r="AB462" s="1333"/>
      <c r="AC462" s="1333"/>
      <c r="AD462" s="1333"/>
      <c r="AE462" s="1333"/>
      <c r="AF462" s="1333"/>
      <c r="AG462" s="1333"/>
      <c r="AH462" s="1333"/>
      <c r="AI462" s="1333"/>
      <c r="AJ462" s="1333"/>
    </row>
    <row r="463" spans="1:49" x14ac:dyDescent="0.25">
      <c r="A463" s="1518"/>
      <c r="B463" s="1358"/>
      <c r="C463" s="1493"/>
      <c r="D463" s="1284"/>
      <c r="E463" s="1303"/>
      <c r="F463" s="1364"/>
      <c r="G463" s="1499"/>
      <c r="H463" s="1333"/>
      <c r="I463" s="1527"/>
      <c r="J463" s="1333"/>
      <c r="K463" s="1528" t="str">
        <f>IF(CD50_apply="Yes",IF((COUNTIF(D463:G463,"Y")=COUNTIF('03 - 50% CD'!D446:G446,"Y")),"match","no 50% match"),"-")</f>
        <v>match</v>
      </c>
      <c r="L463" s="1391"/>
      <c r="M463" s="1333"/>
      <c r="N463" s="1333"/>
      <c r="O463" s="1333"/>
      <c r="P463" s="1333"/>
      <c r="Q463" s="1333"/>
      <c r="R463" s="1453"/>
      <c r="S463" s="1284"/>
      <c r="T463" s="1284"/>
      <c r="U463" s="1333"/>
      <c r="V463" s="1333"/>
      <c r="W463" s="1333"/>
      <c r="X463" s="1333"/>
      <c r="Y463" s="1333"/>
      <c r="Z463" s="1333"/>
      <c r="AA463" s="1333"/>
      <c r="AB463" s="1333"/>
      <c r="AC463" s="1333"/>
      <c r="AD463" s="1333"/>
      <c r="AE463" s="1333"/>
      <c r="AF463" s="1333"/>
      <c r="AG463" s="1333"/>
      <c r="AH463" s="1333"/>
      <c r="AI463" s="1333"/>
      <c r="AJ463" s="1333"/>
    </row>
    <row r="464" spans="1:49" hidden="1" x14ac:dyDescent="0.25">
      <c r="A464" s="1518"/>
      <c r="B464" s="1358"/>
      <c r="C464" s="2062">
        <v>42486</v>
      </c>
      <c r="D464" s="2062"/>
      <c r="E464" s="2062"/>
      <c r="F464" s="1297"/>
      <c r="G464" s="1297" t="s">
        <v>639</v>
      </c>
      <c r="H464" s="1333"/>
      <c r="I464" s="1527"/>
      <c r="J464" s="1333"/>
      <c r="K464" s="1528" t="str">
        <f>IF(CD50_apply="Yes",IF((COUNTIF(D464:G464,"Y")=COUNTIF('03 - 50% CD'!D447:G447,"Y")),"match","no 50% match"),"-")</f>
        <v>match</v>
      </c>
      <c r="L464" s="1391"/>
      <c r="M464" s="1333"/>
      <c r="N464" s="1333"/>
      <c r="O464" s="1333"/>
      <c r="P464" s="1333"/>
      <c r="Q464" s="1333"/>
      <c r="R464" s="1453"/>
      <c r="S464" s="1284"/>
      <c r="T464" s="1284"/>
      <c r="U464" s="1333"/>
      <c r="V464" s="1333"/>
      <c r="W464" s="1333"/>
      <c r="X464" s="1333"/>
      <c r="Y464" s="1333"/>
      <c r="Z464" s="1333"/>
      <c r="AA464" s="1333"/>
      <c r="AB464" s="1333"/>
      <c r="AC464" s="1333"/>
      <c r="AD464" s="1333"/>
      <c r="AE464" s="1333"/>
      <c r="AF464" s="1333"/>
      <c r="AG464" s="1333"/>
      <c r="AH464" s="1333"/>
      <c r="AI464" s="1333"/>
      <c r="AJ464" s="1333"/>
    </row>
    <row r="465" spans="1:36" hidden="1" x14ac:dyDescent="0.25">
      <c r="A465" s="1518"/>
      <c r="B465" s="1358"/>
      <c r="C465" s="2062"/>
      <c r="D465" s="2062"/>
      <c r="E465" s="2062"/>
      <c r="F465" s="1297"/>
      <c r="G465" s="1297" t="s">
        <v>675</v>
      </c>
      <c r="H465" s="1333"/>
      <c r="I465" s="1527"/>
      <c r="J465" s="1333"/>
      <c r="K465" s="1528" t="str">
        <f>IF(CD50_apply="Yes",IF((COUNTIF(D465:G465,"Y")=COUNTIF('03 - 50% CD'!D448:G448,"Y")),"match","no 50% match"),"-")</f>
        <v>match</v>
      </c>
      <c r="L465" s="1391"/>
      <c r="M465" s="1333"/>
      <c r="N465" s="1333"/>
      <c r="O465" s="1333"/>
      <c r="P465" s="1333"/>
      <c r="Q465" s="1333"/>
      <c r="R465" s="1453"/>
      <c r="S465" s="1284"/>
      <c r="T465" s="1284"/>
      <c r="U465" s="1333"/>
      <c r="V465" s="1333"/>
      <c r="W465" s="1333"/>
      <c r="X465" s="1333"/>
      <c r="Y465" s="1333"/>
      <c r="Z465" s="1333"/>
      <c r="AA465" s="1333"/>
      <c r="AB465" s="1333"/>
      <c r="AC465" s="1333"/>
      <c r="AD465" s="1333"/>
      <c r="AE465" s="1333"/>
      <c r="AF465" s="1333"/>
      <c r="AG465" s="1333"/>
      <c r="AH465" s="1333"/>
      <c r="AI465" s="1333"/>
      <c r="AJ465" s="1333"/>
    </row>
    <row r="466" spans="1:36" s="17" customFormat="1" hidden="1" x14ac:dyDescent="0.25">
      <c r="A466" s="1518"/>
      <c r="B466" s="1358"/>
      <c r="C466" s="1493"/>
      <c r="D466" s="1284"/>
      <c r="E466" s="1303"/>
      <c r="F466" s="1364"/>
      <c r="G466" s="1499"/>
      <c r="H466" s="1333"/>
      <c r="I466" s="1527"/>
      <c r="J466" s="1333"/>
      <c r="K466" s="1528" t="str">
        <f>IF(CD50_apply="Yes",IF((COUNTIF(D466:G466,"Y")=COUNTIF('03 - 50% CD'!D449:G449,"Y")),"match","no 50% match"),"-")</f>
        <v>match</v>
      </c>
      <c r="L466" s="1391"/>
      <c r="M466" s="1333"/>
      <c r="N466" s="1333"/>
      <c r="O466" s="1333"/>
      <c r="P466" s="1333"/>
      <c r="Q466" s="1333"/>
      <c r="R466" s="1453"/>
      <c r="S466" s="1284"/>
      <c r="T466" s="1404"/>
      <c r="U466" s="1333"/>
      <c r="V466" s="1333"/>
      <c r="W466" s="1333"/>
      <c r="X466" s="1333"/>
      <c r="Y466" s="1333"/>
      <c r="Z466" s="1333"/>
      <c r="AA466" s="1333"/>
      <c r="AB466" s="1333"/>
      <c r="AC466" s="1333"/>
      <c r="AD466" s="1333"/>
      <c r="AE466" s="1333"/>
      <c r="AF466" s="1333"/>
      <c r="AG466" s="1333"/>
      <c r="AH466" s="1333"/>
      <c r="AI466" s="1333"/>
      <c r="AJ466" s="1333"/>
    </row>
    <row r="467" spans="1:36" hidden="1" x14ac:dyDescent="0.25">
      <c r="A467" s="1331"/>
      <c r="B467" s="1284"/>
      <c r="C467" s="2062">
        <v>42490</v>
      </c>
      <c r="D467" s="2062"/>
      <c r="E467" s="2062"/>
      <c r="F467" s="1297"/>
      <c r="G467" s="1297" t="s">
        <v>684</v>
      </c>
      <c r="H467" s="1333"/>
      <c r="I467" s="1333"/>
      <c r="J467" s="1333"/>
      <c r="K467" s="1401"/>
      <c r="L467" s="1333"/>
      <c r="M467" s="1333"/>
      <c r="N467" s="1333"/>
      <c r="O467" s="1333"/>
      <c r="P467" s="1333"/>
      <c r="Q467" s="1333"/>
      <c r="R467" s="1453"/>
      <c r="S467" s="1284"/>
      <c r="T467" s="1284"/>
      <c r="U467" s="1333"/>
      <c r="V467" s="1333"/>
      <c r="W467" s="1333"/>
      <c r="X467" s="1333"/>
      <c r="Y467" s="1333"/>
      <c r="Z467" s="1333"/>
      <c r="AA467" s="1333"/>
      <c r="AB467" s="1333"/>
      <c r="AC467" s="1333"/>
      <c r="AD467" s="1333"/>
      <c r="AE467" s="1333"/>
      <c r="AF467" s="1333"/>
      <c r="AG467" s="1333"/>
      <c r="AH467" s="1333"/>
      <c r="AI467" s="1333"/>
      <c r="AJ467" s="1333"/>
    </row>
    <row r="468" spans="1:36" hidden="1" x14ac:dyDescent="0.25">
      <c r="A468" s="1331"/>
      <c r="B468" s="1284"/>
      <c r="C468" s="1291"/>
      <c r="D468" s="1284"/>
      <c r="E468" s="1303"/>
      <c r="F468" s="1364"/>
      <c r="G468" s="1291" t="s">
        <v>688</v>
      </c>
      <c r="H468" s="1333"/>
      <c r="I468" s="1333"/>
      <c r="J468" s="1333"/>
      <c r="K468" s="1401"/>
      <c r="L468" s="1333"/>
      <c r="M468" s="1333"/>
      <c r="N468" s="1333"/>
      <c r="O468" s="1333"/>
      <c r="P468" s="1333"/>
      <c r="Q468" s="1333"/>
      <c r="R468" s="1284"/>
      <c r="S468" s="1488"/>
      <c r="T468" s="1284"/>
      <c r="U468" s="1333"/>
      <c r="V468" s="1333"/>
      <c r="W468" s="1333"/>
      <c r="X468" s="1333"/>
      <c r="Y468" s="1333"/>
      <c r="Z468" s="1333"/>
      <c r="AA468" s="1333"/>
      <c r="AB468" s="1333"/>
      <c r="AC468" s="1333"/>
      <c r="AD468" s="1333"/>
      <c r="AE468" s="1333"/>
      <c r="AF468" s="1333"/>
      <c r="AG468" s="1333"/>
      <c r="AH468" s="1333"/>
      <c r="AI468" s="1333"/>
      <c r="AJ468" s="1333"/>
    </row>
    <row r="469" spans="1:36" hidden="1" x14ac:dyDescent="0.25">
      <c r="A469" s="1331"/>
      <c r="B469" s="1284"/>
      <c r="C469" s="1291"/>
      <c r="D469" s="1284"/>
      <c r="E469" s="1303"/>
      <c r="F469" s="1364"/>
      <c r="G469" s="1291" t="s">
        <v>689</v>
      </c>
      <c r="H469" s="1333"/>
      <c r="I469" s="1333"/>
      <c r="J469" s="1333"/>
      <c r="K469" s="1401"/>
      <c r="L469" s="1333"/>
      <c r="M469" s="1333"/>
      <c r="N469" s="1333"/>
      <c r="O469" s="1333"/>
      <c r="P469" s="1333"/>
      <c r="Q469" s="1333"/>
      <c r="R469" s="1453"/>
      <c r="S469" s="1284"/>
      <c r="T469" s="1284"/>
      <c r="U469" s="1333"/>
      <c r="V469" s="1333"/>
      <c r="W469" s="1333"/>
      <c r="X469" s="1333"/>
      <c r="Y469" s="1333"/>
      <c r="Z469" s="1333"/>
      <c r="AA469" s="1333"/>
      <c r="AB469" s="1333"/>
      <c r="AC469" s="1333"/>
      <c r="AD469" s="1333"/>
      <c r="AE469" s="1333"/>
      <c r="AF469" s="1333"/>
      <c r="AG469" s="1333"/>
      <c r="AH469" s="1333"/>
      <c r="AI469" s="1333"/>
      <c r="AJ469" s="1333"/>
    </row>
    <row r="470" spans="1:36" hidden="1" x14ac:dyDescent="0.25">
      <c r="A470" s="1331"/>
      <c r="B470" s="1284"/>
      <c r="C470" s="1284"/>
      <c r="D470" s="1364"/>
      <c r="E470" s="1364"/>
      <c r="F470" s="1364"/>
      <c r="G470" s="1499"/>
      <c r="H470" s="1333"/>
      <c r="I470" s="1333"/>
      <c r="J470" s="1333"/>
      <c r="K470" s="1401"/>
      <c r="L470" s="1333"/>
      <c r="M470" s="1333"/>
      <c r="N470" s="1333"/>
      <c r="O470" s="1333"/>
      <c r="P470" s="1333"/>
      <c r="Q470" s="1333"/>
      <c r="R470" s="1453"/>
      <c r="S470" s="1284"/>
      <c r="T470" s="1284"/>
      <c r="U470" s="1333"/>
      <c r="V470" s="1333"/>
      <c r="W470" s="1333"/>
      <c r="X470" s="1333"/>
      <c r="Y470" s="1333"/>
      <c r="Z470" s="1333"/>
      <c r="AA470" s="1333"/>
      <c r="AB470" s="1333"/>
      <c r="AC470" s="1333"/>
      <c r="AD470" s="1333"/>
      <c r="AE470" s="1333"/>
      <c r="AF470" s="1333"/>
      <c r="AG470" s="1333"/>
      <c r="AH470" s="1333"/>
      <c r="AI470" s="1333"/>
      <c r="AJ470" s="1333"/>
    </row>
    <row r="471" spans="1:36" hidden="1" x14ac:dyDescent="0.25">
      <c r="A471" s="1331"/>
      <c r="B471" s="1284"/>
      <c r="C471" s="2062">
        <v>42492</v>
      </c>
      <c r="D471" s="2062"/>
      <c r="E471" s="2062"/>
      <c r="F471" s="1297"/>
      <c r="G471" s="1297" t="s">
        <v>695</v>
      </c>
      <c r="H471" s="1333"/>
      <c r="I471" s="1333"/>
      <c r="J471" s="1333"/>
      <c r="K471" s="1401"/>
      <c r="L471" s="1333"/>
      <c r="M471" s="1333"/>
      <c r="N471" s="1333"/>
      <c r="O471" s="1333"/>
      <c r="P471" s="1333"/>
      <c r="Q471" s="1333"/>
      <c r="R471" s="1284"/>
      <c r="S471" s="1489"/>
      <c r="T471" s="1284"/>
      <c r="U471" s="1333"/>
      <c r="V471" s="1333"/>
      <c r="W471" s="1333"/>
      <c r="X471" s="1333"/>
      <c r="Y471" s="1333"/>
      <c r="Z471" s="1333"/>
      <c r="AA471" s="1333"/>
      <c r="AB471" s="1333"/>
      <c r="AC471" s="1333"/>
      <c r="AD471" s="1333"/>
      <c r="AE471" s="1333"/>
      <c r="AF471" s="1333"/>
      <c r="AG471" s="1333"/>
      <c r="AH471" s="1333"/>
      <c r="AI471" s="1333"/>
      <c r="AJ471" s="1333"/>
    </row>
    <row r="472" spans="1:36" hidden="1" x14ac:dyDescent="0.25">
      <c r="A472" s="1331"/>
      <c r="B472" s="1284"/>
      <c r="C472" s="1284"/>
      <c r="D472" s="1364"/>
      <c r="E472" s="1364"/>
      <c r="F472" s="1364"/>
      <c r="G472" s="1499"/>
      <c r="H472" s="1333"/>
      <c r="I472" s="1333"/>
      <c r="J472" s="1333"/>
      <c r="K472" s="1401"/>
      <c r="L472" s="1333"/>
      <c r="M472" s="1333"/>
      <c r="N472" s="1333"/>
      <c r="O472" s="1333"/>
      <c r="P472" s="1333"/>
      <c r="Q472" s="1333"/>
      <c r="R472" s="1453"/>
      <c r="S472" s="1284"/>
      <c r="T472" s="1284"/>
      <c r="U472" s="1333"/>
      <c r="V472" s="1333"/>
      <c r="W472" s="1333"/>
      <c r="X472" s="1333"/>
      <c r="Y472" s="1333"/>
      <c r="Z472" s="1333"/>
      <c r="AA472" s="1333"/>
      <c r="AB472" s="1333"/>
      <c r="AC472" s="1333"/>
      <c r="AD472" s="1333"/>
      <c r="AE472" s="1333"/>
      <c r="AF472" s="1333"/>
      <c r="AG472" s="1333"/>
      <c r="AH472" s="1333"/>
      <c r="AI472" s="1333"/>
      <c r="AJ472" s="1333"/>
    </row>
    <row r="473" spans="1:36" hidden="1" x14ac:dyDescent="0.25">
      <c r="A473" s="1331"/>
      <c r="B473" s="1284"/>
      <c r="C473" s="2062">
        <v>42496</v>
      </c>
      <c r="D473" s="2062"/>
      <c r="E473" s="2062"/>
      <c r="F473" s="1297"/>
      <c r="G473" s="1297" t="s">
        <v>719</v>
      </c>
      <c r="H473" s="1284"/>
      <c r="I473" s="1333"/>
      <c r="J473" s="1333"/>
      <c r="K473" s="1401"/>
      <c r="L473" s="1333"/>
      <c r="M473" s="1333"/>
      <c r="N473" s="1333"/>
      <c r="O473" s="1333"/>
      <c r="P473" s="1333"/>
      <c r="Q473" s="1333"/>
      <c r="R473" s="1453"/>
      <c r="S473" s="1284"/>
      <c r="T473" s="1284"/>
      <c r="U473" s="1333"/>
      <c r="V473" s="1333"/>
      <c r="W473" s="1333"/>
      <c r="X473" s="1333"/>
      <c r="Y473" s="1333"/>
      <c r="Z473" s="1333"/>
      <c r="AA473" s="1333"/>
      <c r="AB473" s="1333"/>
      <c r="AC473" s="1333"/>
      <c r="AD473" s="1333"/>
      <c r="AE473" s="1333"/>
      <c r="AF473" s="1333"/>
      <c r="AG473" s="1333"/>
      <c r="AH473" s="1333"/>
      <c r="AI473" s="1333"/>
      <c r="AJ473" s="1333"/>
    </row>
    <row r="474" spans="1:36" hidden="1" x14ac:dyDescent="0.25">
      <c r="A474" s="1331"/>
      <c r="B474" s="1284"/>
      <c r="C474" s="1291"/>
      <c r="D474" s="1284"/>
      <c r="E474" s="1291"/>
      <c r="F474" s="1284"/>
      <c r="G474" s="1291"/>
      <c r="H474" s="1284"/>
      <c r="I474" s="1333"/>
      <c r="J474" s="1333"/>
      <c r="K474" s="1401"/>
      <c r="L474" s="1333"/>
      <c r="M474" s="1333"/>
      <c r="N474" s="1333"/>
      <c r="O474" s="1333"/>
      <c r="P474" s="1333"/>
      <c r="Q474" s="1333"/>
      <c r="R474" s="1453"/>
      <c r="S474" s="1284"/>
      <c r="T474" s="1284"/>
      <c r="U474" s="1333"/>
      <c r="V474" s="1333"/>
      <c r="W474" s="1333"/>
      <c r="X474" s="1333"/>
      <c r="Y474" s="1333"/>
      <c r="Z474" s="1333"/>
      <c r="AA474" s="1333"/>
      <c r="AB474" s="1333"/>
      <c r="AC474" s="1333"/>
      <c r="AD474" s="1333"/>
      <c r="AE474" s="1333"/>
      <c r="AF474" s="1333"/>
      <c r="AG474" s="1333"/>
      <c r="AH474" s="1333"/>
      <c r="AI474" s="1333"/>
      <c r="AJ474" s="1333"/>
    </row>
    <row r="475" spans="1:36" hidden="1" x14ac:dyDescent="0.25">
      <c r="A475" s="1331"/>
      <c r="B475" s="1284"/>
      <c r="C475" s="2062">
        <v>42635</v>
      </c>
      <c r="D475" s="2062"/>
      <c r="E475" s="2062"/>
      <c r="F475" s="1297"/>
      <c r="G475" s="1297" t="s">
        <v>838</v>
      </c>
      <c r="H475" s="1284"/>
      <c r="I475" s="1333"/>
      <c r="J475" s="1333"/>
      <c r="K475" s="1401"/>
      <c r="L475" s="1333"/>
      <c r="M475" s="1333"/>
      <c r="N475" s="1333"/>
      <c r="O475" s="1333"/>
      <c r="P475" s="1333"/>
      <c r="Q475" s="1333"/>
      <c r="R475" s="1453"/>
      <c r="S475" s="1284"/>
      <c r="T475" s="1284"/>
      <c r="U475" s="1333"/>
      <c r="V475" s="1333"/>
      <c r="W475" s="1333"/>
      <c r="X475" s="1333"/>
      <c r="Y475" s="1333"/>
      <c r="Z475" s="1333"/>
      <c r="AA475" s="1333"/>
      <c r="AB475" s="1333"/>
      <c r="AC475" s="1333"/>
      <c r="AD475" s="1333"/>
      <c r="AE475" s="1333"/>
      <c r="AF475" s="1333"/>
      <c r="AG475" s="1333"/>
      <c r="AH475" s="1333"/>
      <c r="AI475" s="1333"/>
      <c r="AJ475" s="1333"/>
    </row>
    <row r="476" spans="1:36" hidden="1" x14ac:dyDescent="0.25">
      <c r="A476" s="1331"/>
      <c r="B476" s="1284"/>
      <c r="C476" s="2062"/>
      <c r="D476" s="2062"/>
      <c r="E476" s="2062"/>
      <c r="F476" s="1297"/>
      <c r="G476" s="1297" t="s">
        <v>837</v>
      </c>
      <c r="H476" s="1284"/>
      <c r="I476" s="1333"/>
      <c r="J476" s="1333"/>
      <c r="K476" s="1401"/>
      <c r="L476" s="1333"/>
      <c r="M476" s="1333"/>
      <c r="N476" s="1333"/>
      <c r="O476" s="1333"/>
      <c r="P476" s="1333"/>
      <c r="Q476" s="1333"/>
      <c r="R476" s="1453"/>
      <c r="S476" s="1284"/>
      <c r="T476" s="1284"/>
      <c r="U476" s="1333"/>
      <c r="V476" s="1333"/>
      <c r="W476" s="1333"/>
      <c r="X476" s="1333"/>
      <c r="Y476" s="1333"/>
      <c r="Z476" s="1333"/>
      <c r="AA476" s="1333"/>
      <c r="AB476" s="1333"/>
      <c r="AC476" s="1333"/>
      <c r="AD476" s="1333"/>
      <c r="AE476" s="1333"/>
      <c r="AF476" s="1333"/>
      <c r="AG476" s="1333"/>
      <c r="AH476" s="1333"/>
      <c r="AI476" s="1333"/>
      <c r="AJ476" s="1333"/>
    </row>
    <row r="477" spans="1:36" hidden="1" x14ac:dyDescent="0.25">
      <c r="A477" s="1331"/>
      <c r="B477" s="1284"/>
      <c r="C477" s="1291"/>
      <c r="D477" s="1284"/>
      <c r="E477" s="1500"/>
      <c r="F477" s="1284"/>
      <c r="G477" s="1291"/>
      <c r="H477" s="1284"/>
      <c r="I477" s="1333"/>
      <c r="J477" s="1333"/>
      <c r="K477" s="1401"/>
      <c r="L477" s="1333"/>
      <c r="M477" s="1333"/>
      <c r="N477" s="1333"/>
      <c r="O477" s="1333"/>
      <c r="P477" s="1333"/>
      <c r="Q477" s="1333"/>
      <c r="R477" s="1284"/>
      <c r="S477" s="1489"/>
      <c r="T477" s="1284"/>
      <c r="U477" s="1333"/>
      <c r="V477" s="1333"/>
      <c r="W477" s="1333"/>
      <c r="X477" s="1333"/>
      <c r="Y477" s="1333"/>
      <c r="Z477" s="1333"/>
      <c r="AA477" s="1333"/>
      <c r="AB477" s="1333"/>
      <c r="AC477" s="1333"/>
      <c r="AD477" s="1333"/>
      <c r="AE477" s="1333"/>
      <c r="AF477" s="1333"/>
      <c r="AG477" s="1333"/>
      <c r="AH477" s="1333"/>
      <c r="AI477" s="1333"/>
      <c r="AJ477" s="1333"/>
    </row>
    <row r="478" spans="1:36" hidden="1" x14ac:dyDescent="0.25">
      <c r="A478" s="1331"/>
      <c r="B478" s="1284"/>
      <c r="C478" s="2062">
        <v>42653</v>
      </c>
      <c r="D478" s="2062"/>
      <c r="E478" s="2062"/>
      <c r="F478" s="1297"/>
      <c r="G478" s="1297" t="s">
        <v>867</v>
      </c>
      <c r="H478" s="1284"/>
      <c r="I478" s="1333"/>
      <c r="J478" s="1333"/>
      <c r="K478" s="1401"/>
      <c r="L478" s="1333"/>
      <c r="M478" s="1333"/>
      <c r="N478" s="1333"/>
      <c r="O478" s="1333"/>
      <c r="P478" s="1333"/>
      <c r="Q478" s="1333"/>
      <c r="R478" s="1453"/>
      <c r="S478" s="1284"/>
      <c r="T478" s="1284"/>
      <c r="U478" s="1333"/>
      <c r="V478" s="1333"/>
      <c r="W478" s="1333"/>
      <c r="X478" s="1333"/>
      <c r="Y478" s="1333"/>
      <c r="Z478" s="1333"/>
      <c r="AA478" s="1333"/>
      <c r="AB478" s="1333"/>
      <c r="AC478" s="1333"/>
      <c r="AD478" s="1333"/>
      <c r="AE478" s="1333"/>
      <c r="AF478" s="1333"/>
      <c r="AG478" s="1333"/>
      <c r="AH478" s="1333"/>
      <c r="AI478" s="1333"/>
      <c r="AJ478" s="1333"/>
    </row>
    <row r="479" spans="1:36" hidden="1" x14ac:dyDescent="0.25">
      <c r="A479" s="1331"/>
      <c r="B479" s="1284"/>
      <c r="C479" s="1291"/>
      <c r="D479" s="1284"/>
      <c r="E479" s="1291"/>
      <c r="F479" s="1284"/>
      <c r="G479" s="1291"/>
      <c r="H479" s="1284"/>
      <c r="I479" s="1333"/>
      <c r="J479" s="1333"/>
      <c r="K479" s="1401"/>
      <c r="L479" s="1333"/>
      <c r="M479" s="1333"/>
      <c r="N479" s="1333"/>
      <c r="O479" s="1333"/>
      <c r="P479" s="1333"/>
      <c r="Q479" s="1333"/>
      <c r="R479" s="1453"/>
      <c r="S479" s="1284"/>
      <c r="T479" s="1284"/>
      <c r="U479" s="1333"/>
      <c r="V479" s="1333"/>
      <c r="W479" s="1333"/>
      <c r="X479" s="1333"/>
      <c r="Y479" s="1333"/>
      <c r="Z479" s="1333"/>
      <c r="AA479" s="1333"/>
      <c r="AB479" s="1333"/>
      <c r="AC479" s="1333"/>
      <c r="AD479" s="1333"/>
      <c r="AE479" s="1333"/>
      <c r="AF479" s="1333"/>
      <c r="AG479" s="1333"/>
      <c r="AH479" s="1333"/>
      <c r="AI479" s="1333"/>
      <c r="AJ479" s="1333"/>
    </row>
    <row r="480" spans="1:36" hidden="1" x14ac:dyDescent="0.25">
      <c r="A480" s="1331"/>
      <c r="B480" s="1284"/>
      <c r="C480" s="2062">
        <v>42696</v>
      </c>
      <c r="D480" s="2062"/>
      <c r="E480" s="2062"/>
      <c r="F480" s="1297"/>
      <c r="G480" s="1418" t="s">
        <v>890</v>
      </c>
      <c r="H480" s="1284"/>
      <c r="I480" s="1333"/>
      <c r="J480" s="1333"/>
      <c r="K480" s="1401"/>
      <c r="L480" s="1333"/>
      <c r="M480" s="1333"/>
      <c r="N480" s="1333"/>
      <c r="O480" s="1333"/>
      <c r="P480" s="1333"/>
      <c r="Q480" s="1333"/>
      <c r="R480" s="1453"/>
      <c r="S480" s="1284"/>
      <c r="T480" s="1284"/>
      <c r="U480" s="1333"/>
      <c r="V480" s="1333"/>
      <c r="W480" s="1333"/>
      <c r="X480" s="1333"/>
      <c r="Y480" s="1333"/>
      <c r="Z480" s="1333"/>
      <c r="AA480" s="1333"/>
      <c r="AB480" s="1333"/>
      <c r="AC480" s="1333"/>
      <c r="AD480" s="1333"/>
      <c r="AE480" s="1333"/>
      <c r="AF480" s="1333"/>
      <c r="AG480" s="1333"/>
      <c r="AH480" s="1333"/>
      <c r="AI480" s="1333"/>
      <c r="AJ480" s="1333"/>
    </row>
    <row r="481" spans="1:49" hidden="1" x14ac:dyDescent="0.25">
      <c r="A481" s="1331"/>
      <c r="B481" s="1284"/>
      <c r="C481" s="1291"/>
      <c r="D481" s="1284"/>
      <c r="E481" s="1303"/>
      <c r="F481" s="1284"/>
      <c r="G481" s="1291"/>
      <c r="H481" s="1284"/>
      <c r="I481" s="1333"/>
      <c r="J481" s="1333"/>
      <c r="K481" s="1401"/>
      <c r="L481" s="1333"/>
      <c r="M481" s="1333"/>
      <c r="N481" s="1333"/>
      <c r="O481" s="1333"/>
      <c r="P481" s="1333"/>
      <c r="Q481" s="1333"/>
      <c r="R481" s="1453"/>
      <c r="S481" s="1284"/>
      <c r="T481" s="1284"/>
      <c r="U481" s="1333"/>
      <c r="V481" s="1333"/>
      <c r="W481" s="1333"/>
      <c r="X481" s="1333"/>
      <c r="Y481" s="1333"/>
      <c r="Z481" s="1333"/>
      <c r="AA481" s="1333"/>
      <c r="AB481" s="1333"/>
      <c r="AC481" s="1333"/>
      <c r="AD481" s="1333"/>
      <c r="AE481" s="1333"/>
      <c r="AF481" s="1333"/>
      <c r="AG481" s="1333"/>
      <c r="AH481" s="1333"/>
      <c r="AI481" s="1333"/>
      <c r="AJ481" s="1333"/>
    </row>
    <row r="482" spans="1:49" hidden="1" x14ac:dyDescent="0.25">
      <c r="A482" s="1331"/>
      <c r="B482" s="1284"/>
      <c r="C482" s="2062">
        <v>42702</v>
      </c>
      <c r="D482" s="2062"/>
      <c r="E482" s="2062"/>
      <c r="F482" s="1297"/>
      <c r="G482" s="1418" t="s">
        <v>896</v>
      </c>
      <c r="H482" s="1284"/>
      <c r="I482" s="1333"/>
      <c r="J482" s="1333"/>
      <c r="K482" s="1401"/>
      <c r="L482" s="1333"/>
      <c r="M482" s="1333"/>
      <c r="N482" s="1333"/>
      <c r="O482" s="1333"/>
      <c r="P482" s="1333"/>
      <c r="Q482" s="1333"/>
      <c r="R482" s="1453"/>
      <c r="S482" s="1284"/>
      <c r="T482" s="1284"/>
      <c r="U482" s="1333"/>
      <c r="V482" s="1333"/>
      <c r="W482" s="1333"/>
      <c r="X482" s="1333"/>
      <c r="Y482" s="1333"/>
      <c r="Z482" s="1333"/>
      <c r="AA482" s="1333"/>
      <c r="AB482" s="1333"/>
      <c r="AC482" s="1333"/>
      <c r="AD482" s="1333"/>
      <c r="AE482" s="1333"/>
      <c r="AF482" s="1333"/>
      <c r="AG482" s="1333"/>
      <c r="AH482" s="1333"/>
      <c r="AI482" s="1333"/>
      <c r="AJ482" s="1333"/>
    </row>
    <row r="483" spans="1:49" hidden="1" x14ac:dyDescent="0.25">
      <c r="A483" s="1331"/>
      <c r="B483" s="1284"/>
      <c r="C483" s="2062"/>
      <c r="D483" s="2062"/>
      <c r="E483" s="2062"/>
      <c r="F483" s="1297"/>
      <c r="G483" s="1418" t="s">
        <v>899</v>
      </c>
      <c r="H483" s="1284"/>
      <c r="I483" s="1333"/>
      <c r="J483" s="1333"/>
      <c r="K483" s="1401"/>
      <c r="L483" s="1333"/>
      <c r="M483" s="1333"/>
      <c r="N483" s="1333"/>
      <c r="O483" s="1333"/>
      <c r="P483" s="1333"/>
      <c r="Q483" s="1333"/>
      <c r="R483" s="1453"/>
      <c r="S483" s="1284"/>
      <c r="T483" s="1284"/>
      <c r="U483" s="1333"/>
      <c r="V483" s="1333"/>
      <c r="W483" s="1333"/>
      <c r="X483" s="1333"/>
      <c r="Y483" s="1333"/>
      <c r="Z483" s="1333"/>
      <c r="AA483" s="1333"/>
      <c r="AB483" s="1333"/>
      <c r="AC483" s="1333"/>
      <c r="AD483" s="1333"/>
      <c r="AE483" s="1333"/>
      <c r="AF483" s="1333"/>
      <c r="AG483" s="1333"/>
      <c r="AH483" s="1333"/>
      <c r="AI483" s="1333"/>
      <c r="AJ483" s="1333"/>
    </row>
    <row r="484" spans="1:49" hidden="1" x14ac:dyDescent="0.25">
      <c r="A484" s="1331"/>
      <c r="B484" s="1284"/>
      <c r="C484" s="1291"/>
      <c r="D484" s="1284"/>
      <c r="E484" s="1291"/>
      <c r="F484" s="1284"/>
      <c r="G484" s="1291"/>
      <c r="H484" s="1284"/>
      <c r="I484" s="1333"/>
      <c r="J484" s="1333"/>
      <c r="K484" s="1401"/>
      <c r="L484" s="1333"/>
      <c r="M484" s="1333"/>
      <c r="N484" s="1333"/>
      <c r="O484" s="1333"/>
      <c r="P484" s="1333"/>
      <c r="Q484" s="1333"/>
      <c r="R484" s="1284"/>
      <c r="S484" s="1489"/>
      <c r="T484" s="1284"/>
      <c r="U484" s="1333"/>
      <c r="V484" s="1333"/>
      <c r="W484" s="1333"/>
      <c r="X484" s="1333"/>
      <c r="Y484" s="1333"/>
      <c r="Z484" s="1333"/>
      <c r="AA484" s="1333"/>
      <c r="AB484" s="1333"/>
      <c r="AC484" s="1333"/>
      <c r="AD484" s="1333"/>
      <c r="AE484" s="1333"/>
      <c r="AF484" s="1333"/>
      <c r="AG484" s="1333"/>
      <c r="AH484" s="1333"/>
      <c r="AI484" s="1333"/>
      <c r="AJ484" s="1333"/>
    </row>
    <row r="485" spans="1:49" hidden="1" x14ac:dyDescent="0.25">
      <c r="A485" s="1331"/>
      <c r="B485" s="1284"/>
      <c r="C485" s="2062">
        <v>42947</v>
      </c>
      <c r="D485" s="2062"/>
      <c r="E485" s="2062"/>
      <c r="F485" s="1297"/>
      <c r="G485" s="1297" t="s">
        <v>962</v>
      </c>
      <c r="H485" s="1284"/>
      <c r="I485" s="1333"/>
      <c r="J485" s="1333"/>
      <c r="K485" s="1401"/>
      <c r="L485" s="1333"/>
      <c r="M485" s="1333"/>
      <c r="N485" s="1333"/>
      <c r="O485" s="1333"/>
      <c r="P485" s="1333"/>
      <c r="Q485" s="1333"/>
      <c r="R485" s="1453"/>
      <c r="S485" s="1284"/>
      <c r="T485" s="1284"/>
      <c r="U485" s="1333"/>
      <c r="V485" s="1333"/>
      <c r="W485" s="1333"/>
      <c r="X485" s="1333"/>
      <c r="Y485" s="1333"/>
      <c r="Z485" s="1333"/>
      <c r="AA485" s="1333"/>
      <c r="AB485" s="1333"/>
      <c r="AC485" s="1333"/>
      <c r="AD485" s="1333"/>
      <c r="AE485" s="1333"/>
      <c r="AF485" s="1333"/>
      <c r="AG485" s="1333"/>
      <c r="AH485" s="1333"/>
      <c r="AI485" s="1333"/>
      <c r="AJ485" s="1333"/>
    </row>
    <row r="486" spans="1:49" hidden="1" x14ac:dyDescent="0.25">
      <c r="A486" s="1331"/>
      <c r="B486" s="1284"/>
      <c r="C486" s="2062"/>
      <c r="D486" s="2062"/>
      <c r="E486" s="2062"/>
      <c r="F486" s="1297"/>
      <c r="G486" s="1297" t="s">
        <v>1018</v>
      </c>
      <c r="H486" s="1284"/>
      <c r="I486" s="1333"/>
      <c r="J486" s="1333"/>
      <c r="K486" s="1401"/>
      <c r="L486" s="1333"/>
      <c r="M486" s="1333"/>
      <c r="N486" s="1333"/>
      <c r="O486" s="1333"/>
      <c r="P486" s="1333"/>
      <c r="Q486" s="1333"/>
      <c r="R486" s="1453"/>
      <c r="S486" s="1284"/>
      <c r="T486" s="1284"/>
      <c r="U486" s="1333"/>
      <c r="V486" s="1333"/>
      <c r="W486" s="1333"/>
      <c r="X486" s="1333"/>
      <c r="Y486" s="1333"/>
      <c r="Z486" s="1333"/>
      <c r="AA486" s="1333"/>
      <c r="AB486" s="1333"/>
      <c r="AC486" s="1333"/>
      <c r="AD486" s="1333"/>
      <c r="AE486" s="1333"/>
      <c r="AF486" s="1333"/>
      <c r="AG486" s="1333"/>
      <c r="AH486" s="1333"/>
      <c r="AI486" s="1333"/>
      <c r="AJ486" s="1333"/>
    </row>
    <row r="487" spans="1:49" hidden="1" x14ac:dyDescent="0.25">
      <c r="A487" s="1331"/>
      <c r="B487" s="1284"/>
      <c r="C487" s="2062"/>
      <c r="D487" s="2062"/>
      <c r="E487" s="2062"/>
      <c r="F487" s="1297"/>
      <c r="G487" s="1418" t="s">
        <v>1015</v>
      </c>
      <c r="H487" s="1284"/>
      <c r="I487" s="1333"/>
      <c r="J487" s="1333"/>
      <c r="K487" s="1401"/>
      <c r="L487" s="1333"/>
      <c r="M487" s="1333"/>
      <c r="N487" s="1333"/>
      <c r="O487" s="1333"/>
      <c r="P487" s="1333"/>
      <c r="Q487" s="1333"/>
      <c r="R487" s="1453"/>
      <c r="S487" s="1284"/>
      <c r="T487" s="1284"/>
      <c r="U487" s="1333"/>
      <c r="V487" s="1333"/>
      <c r="W487" s="1333"/>
      <c r="X487" s="1333"/>
      <c r="Y487" s="1333"/>
      <c r="Z487" s="1333"/>
      <c r="AA487" s="1333"/>
      <c r="AB487" s="1333"/>
      <c r="AC487" s="1333"/>
      <c r="AD487" s="1333"/>
      <c r="AE487" s="1333"/>
      <c r="AF487" s="1333"/>
      <c r="AG487" s="1333"/>
      <c r="AH487" s="1333"/>
      <c r="AI487" s="1333"/>
      <c r="AJ487" s="1333"/>
    </row>
    <row r="488" spans="1:49" hidden="1" x14ac:dyDescent="0.25">
      <c r="A488" s="1331"/>
      <c r="B488" s="1284"/>
      <c r="C488" s="2062"/>
      <c r="D488" s="2062"/>
      <c r="E488" s="2062"/>
      <c r="F488" s="1297"/>
      <c r="G488" s="1418" t="s">
        <v>1012</v>
      </c>
      <c r="H488" s="1284"/>
      <c r="I488" s="1333"/>
      <c r="J488" s="1333"/>
      <c r="K488" s="1401"/>
      <c r="L488" s="1333"/>
      <c r="M488" s="1333"/>
      <c r="N488" s="1333"/>
      <c r="O488" s="1333"/>
      <c r="P488" s="1333"/>
      <c r="Q488" s="1333"/>
      <c r="R488" s="1453"/>
      <c r="S488" s="1284"/>
      <c r="T488" s="1284"/>
      <c r="U488" s="1333"/>
      <c r="V488" s="1333"/>
      <c r="W488" s="1333"/>
      <c r="X488" s="1333"/>
      <c r="Y488" s="1333"/>
      <c r="Z488" s="1333"/>
      <c r="AA488" s="1333"/>
      <c r="AB488" s="1333"/>
      <c r="AC488" s="1333"/>
      <c r="AD488" s="1333"/>
      <c r="AE488" s="1333"/>
      <c r="AF488" s="1333"/>
      <c r="AG488" s="1333"/>
      <c r="AH488" s="1333"/>
      <c r="AI488" s="1333"/>
      <c r="AJ488" s="1333"/>
    </row>
    <row r="489" spans="1:49" hidden="1" x14ac:dyDescent="0.25">
      <c r="A489" s="1331"/>
      <c r="B489" s="1284"/>
      <c r="C489" s="2062"/>
      <c r="D489" s="2062"/>
      <c r="E489" s="2062"/>
      <c r="F489" s="1297"/>
      <c r="G489" s="1660" t="s">
        <v>1013</v>
      </c>
      <c r="H489" s="1284"/>
      <c r="I489" s="1333"/>
      <c r="J489" s="1333"/>
      <c r="K489" s="1401"/>
      <c r="L489" s="1333"/>
      <c r="M489" s="1333"/>
      <c r="N489" s="1333"/>
      <c r="O489" s="1333"/>
      <c r="P489" s="1333"/>
      <c r="Q489" s="1333"/>
      <c r="R489" s="1453"/>
      <c r="S489" s="1284"/>
      <c r="T489" s="1284"/>
      <c r="U489" s="1333"/>
      <c r="V489" s="1333"/>
      <c r="W489" s="1333"/>
      <c r="X489" s="1333"/>
      <c r="Y489" s="1333"/>
      <c r="Z489" s="1333"/>
      <c r="AA489" s="1333"/>
      <c r="AB489" s="1333"/>
      <c r="AC489" s="1333"/>
      <c r="AD489" s="1333"/>
      <c r="AE489" s="1333"/>
      <c r="AF489" s="1333"/>
      <c r="AG489" s="1333"/>
      <c r="AH489" s="1333"/>
      <c r="AI489" s="1333"/>
      <c r="AJ489" s="1333"/>
    </row>
    <row r="490" spans="1:49" hidden="1" x14ac:dyDescent="0.25">
      <c r="A490" s="1331"/>
      <c r="B490" s="1284"/>
      <c r="C490" s="2062"/>
      <c r="D490" s="2062"/>
      <c r="E490" s="2062"/>
      <c r="F490" s="1297"/>
      <c r="G490" s="1660" t="s">
        <v>1014</v>
      </c>
      <c r="H490" s="1284"/>
      <c r="I490" s="1333"/>
      <c r="J490" s="1333"/>
      <c r="K490" s="1401"/>
      <c r="L490" s="1333"/>
      <c r="M490" s="1333"/>
      <c r="N490" s="1333"/>
      <c r="O490" s="1333"/>
      <c r="P490" s="1333"/>
      <c r="Q490" s="1333"/>
      <c r="R490" s="1453"/>
      <c r="S490" s="1284"/>
      <c r="T490" s="1284"/>
      <c r="U490" s="1333"/>
      <c r="V490" s="1333"/>
      <c r="W490" s="1333"/>
      <c r="X490" s="1333"/>
      <c r="Y490" s="1333"/>
      <c r="Z490" s="1333"/>
      <c r="AA490" s="1333"/>
      <c r="AB490" s="1333"/>
      <c r="AC490" s="1333"/>
      <c r="AD490" s="1333"/>
      <c r="AE490" s="1333"/>
      <c r="AF490" s="1333"/>
      <c r="AG490" s="1333"/>
      <c r="AH490" s="1333"/>
      <c r="AI490" s="1333"/>
      <c r="AJ490" s="1333"/>
    </row>
    <row r="491" spans="1:49" hidden="1" x14ac:dyDescent="0.25">
      <c r="A491" s="1331"/>
      <c r="B491" s="1284"/>
      <c r="C491" s="2062"/>
      <c r="D491" s="2062"/>
      <c r="E491" s="2062"/>
      <c r="F491" s="1297"/>
      <c r="G491" s="1418"/>
      <c r="H491" s="1284"/>
      <c r="I491" s="1333"/>
      <c r="J491" s="1333"/>
      <c r="K491" s="1401"/>
      <c r="L491" s="1333"/>
      <c r="M491" s="1333"/>
      <c r="N491" s="1333"/>
      <c r="O491" s="1333"/>
      <c r="P491" s="1333"/>
      <c r="Q491" s="1333"/>
      <c r="R491" s="1284"/>
      <c r="S491" s="1489"/>
      <c r="T491" s="1284"/>
      <c r="U491" s="1333"/>
      <c r="V491" s="1333"/>
      <c r="W491" s="1333"/>
      <c r="X491" s="1333"/>
      <c r="Y491" s="1333"/>
      <c r="Z491" s="1333"/>
      <c r="AA491" s="1333"/>
      <c r="AB491" s="1333"/>
      <c r="AC491" s="1333"/>
      <c r="AD491" s="1333"/>
      <c r="AE491" s="1333"/>
      <c r="AF491" s="1333"/>
      <c r="AG491" s="1333"/>
      <c r="AH491" s="1333"/>
      <c r="AI491" s="1333"/>
      <c r="AJ491" s="1333"/>
    </row>
    <row r="492" spans="1:49" hidden="1" x14ac:dyDescent="0.25">
      <c r="A492" s="1331"/>
      <c r="B492" s="1284"/>
      <c r="C492" s="2062">
        <v>42993</v>
      </c>
      <c r="D492" s="2062"/>
      <c r="E492" s="2062"/>
      <c r="F492" s="1297"/>
      <c r="G492" s="1297" t="s">
        <v>1084</v>
      </c>
      <c r="H492" s="1284"/>
      <c r="I492" s="1333"/>
      <c r="J492" s="1333"/>
      <c r="K492" s="1401"/>
      <c r="L492" s="1333"/>
      <c r="M492" s="1333"/>
      <c r="N492" s="1333"/>
      <c r="O492" s="1333"/>
      <c r="P492" s="1333"/>
      <c r="Q492" s="1333"/>
      <c r="R492" s="1453"/>
      <c r="S492" s="1284"/>
      <c r="T492" s="1284"/>
      <c r="U492" s="1333"/>
      <c r="V492" s="1333"/>
      <c r="W492" s="1333"/>
      <c r="X492" s="1333"/>
      <c r="Y492" s="1333"/>
      <c r="Z492" s="1333"/>
      <c r="AA492" s="1333"/>
      <c r="AB492" s="1333"/>
      <c r="AC492" s="1333"/>
      <c r="AD492" s="1333"/>
      <c r="AE492" s="1333"/>
      <c r="AF492" s="1333"/>
      <c r="AG492" s="1333"/>
      <c r="AH492" s="1333"/>
      <c r="AI492" s="1333"/>
      <c r="AJ492" s="1333"/>
    </row>
    <row r="493" spans="1:49" s="542" customFormat="1" hidden="1" x14ac:dyDescent="0.25">
      <c r="A493" s="1331"/>
      <c r="B493" s="1284"/>
      <c r="C493" s="2062"/>
      <c r="D493" s="2062"/>
      <c r="E493" s="2062"/>
      <c r="F493" s="1297"/>
      <c r="G493" s="1297"/>
      <c r="H493" s="1284"/>
      <c r="I493" s="1333"/>
      <c r="J493" s="1333"/>
      <c r="K493" s="1401"/>
      <c r="L493" s="1333"/>
      <c r="M493" s="1333"/>
      <c r="N493" s="1333"/>
      <c r="O493" s="1333"/>
      <c r="P493" s="1333"/>
      <c r="Q493" s="1333"/>
      <c r="R493" s="1453"/>
      <c r="S493" s="1284"/>
      <c r="T493" s="1284"/>
      <c r="U493" s="1333"/>
      <c r="V493" s="1333"/>
      <c r="W493" s="1333"/>
      <c r="X493" s="1333"/>
      <c r="Y493" s="1333"/>
      <c r="Z493" s="1333"/>
      <c r="AA493" s="1333"/>
      <c r="AB493" s="1333"/>
      <c r="AC493" s="1333"/>
      <c r="AD493" s="1333"/>
      <c r="AE493" s="1333"/>
      <c r="AF493" s="1333"/>
      <c r="AG493" s="1333"/>
      <c r="AH493" s="1333"/>
      <c r="AI493" s="1333"/>
      <c r="AJ493" s="1333"/>
      <c r="AK493" s="17"/>
      <c r="AL493" s="17"/>
      <c r="AM493" s="17"/>
      <c r="AN493" s="17"/>
      <c r="AO493" s="17"/>
      <c r="AP493" s="17"/>
      <c r="AQ493" s="17"/>
      <c r="AR493" s="17"/>
      <c r="AS493" s="17"/>
      <c r="AT493" s="17"/>
      <c r="AU493" s="17"/>
      <c r="AV493" s="17"/>
      <c r="AW493" s="17"/>
    </row>
    <row r="494" spans="1:49" s="542" customFormat="1" hidden="1" x14ac:dyDescent="0.25">
      <c r="A494" s="1331"/>
      <c r="B494" s="1284"/>
      <c r="C494" s="2062">
        <v>43084</v>
      </c>
      <c r="D494" s="2062"/>
      <c r="E494" s="2062"/>
      <c r="F494" s="1297"/>
      <c r="G494" s="1297" t="s">
        <v>1127</v>
      </c>
      <c r="H494" s="1284"/>
      <c r="I494" s="1333"/>
      <c r="J494" s="1333"/>
      <c r="K494" s="1401"/>
      <c r="L494" s="1333"/>
      <c r="M494" s="1333"/>
      <c r="N494" s="1333"/>
      <c r="O494" s="1333"/>
      <c r="P494" s="1333"/>
      <c r="Q494" s="1333"/>
      <c r="R494" s="1453"/>
      <c r="S494" s="1284"/>
      <c r="T494" s="1284"/>
      <c r="U494" s="1333"/>
      <c r="V494" s="1333"/>
      <c r="W494" s="1333"/>
      <c r="X494" s="1333"/>
      <c r="Y494" s="1333"/>
      <c r="Z494" s="1333"/>
      <c r="AA494" s="1333"/>
      <c r="AB494" s="1333"/>
      <c r="AC494" s="1333"/>
      <c r="AD494" s="1333"/>
      <c r="AE494" s="1333"/>
      <c r="AF494" s="1333"/>
      <c r="AG494" s="1333"/>
      <c r="AH494" s="1333"/>
      <c r="AI494" s="1333"/>
      <c r="AJ494" s="1333"/>
      <c r="AK494" s="17"/>
      <c r="AL494" s="17"/>
      <c r="AM494" s="17"/>
      <c r="AN494" s="17"/>
      <c r="AO494" s="17"/>
      <c r="AP494" s="17"/>
      <c r="AQ494" s="17"/>
      <c r="AR494" s="17"/>
      <c r="AS494" s="17"/>
      <c r="AT494" s="17"/>
      <c r="AU494" s="17"/>
      <c r="AV494" s="17"/>
      <c r="AW494" s="17"/>
    </row>
    <row r="495" spans="1:49" s="542" customFormat="1" hidden="1" x14ac:dyDescent="0.25">
      <c r="A495" s="1331"/>
      <c r="B495" s="1284"/>
      <c r="C495" s="2062"/>
      <c r="D495" s="2062"/>
      <c r="E495" s="2062"/>
      <c r="F495" s="1297"/>
      <c r="G495" s="1297"/>
      <c r="H495" s="1284"/>
      <c r="I495" s="1333"/>
      <c r="J495" s="1333"/>
      <c r="K495" s="1401"/>
      <c r="L495" s="1333"/>
      <c r="M495" s="1333"/>
      <c r="N495" s="1333"/>
      <c r="O495" s="1333"/>
      <c r="P495" s="1333"/>
      <c r="Q495" s="1333"/>
      <c r="R495" s="1453"/>
      <c r="S495" s="1284"/>
      <c r="T495" s="1284"/>
      <c r="U495" s="1333"/>
      <c r="V495" s="1333"/>
      <c r="W495" s="1333"/>
      <c r="X495" s="1333"/>
      <c r="Y495" s="1333"/>
      <c r="Z495" s="1333"/>
      <c r="AA495" s="1333"/>
      <c r="AB495" s="1333"/>
      <c r="AC495" s="1333"/>
      <c r="AD495" s="1333"/>
      <c r="AE495" s="1333"/>
      <c r="AF495" s="1333"/>
      <c r="AG495" s="1333"/>
      <c r="AH495" s="1333"/>
      <c r="AI495" s="1333"/>
      <c r="AJ495" s="1333"/>
      <c r="AK495" s="17"/>
      <c r="AL495" s="17"/>
      <c r="AM495" s="17"/>
      <c r="AN495" s="17"/>
      <c r="AO495" s="17"/>
      <c r="AP495" s="17"/>
      <c r="AQ495" s="17"/>
      <c r="AR495" s="17"/>
      <c r="AS495" s="17"/>
      <c r="AT495" s="17"/>
      <c r="AU495" s="17"/>
      <c r="AV495" s="17"/>
      <c r="AW495" s="17"/>
    </row>
    <row r="496" spans="1:49" s="542" customFormat="1" x14ac:dyDescent="0.25">
      <c r="A496" s="1331"/>
      <c r="B496" s="1284"/>
      <c r="C496" s="2062"/>
      <c r="D496" s="2062"/>
      <c r="E496" s="2062"/>
      <c r="F496" s="1297"/>
      <c r="G496" s="1297"/>
      <c r="H496" s="1284"/>
      <c r="I496" s="1333"/>
      <c r="J496" s="1333"/>
      <c r="K496" s="1401"/>
      <c r="L496" s="1333"/>
      <c r="M496" s="1333"/>
      <c r="N496" s="1333"/>
      <c r="O496" s="1333"/>
      <c r="P496" s="1333"/>
      <c r="Q496" s="1333"/>
      <c r="R496" s="1453"/>
      <c r="S496" s="1284"/>
      <c r="T496" s="1284"/>
      <c r="U496" s="1333"/>
      <c r="V496" s="1333"/>
      <c r="W496" s="1333"/>
      <c r="X496" s="1333"/>
      <c r="Y496" s="1333"/>
      <c r="Z496" s="1333"/>
      <c r="AA496" s="1333"/>
      <c r="AB496" s="1333"/>
      <c r="AC496" s="1333"/>
      <c r="AD496" s="1333"/>
      <c r="AE496" s="1333"/>
      <c r="AF496" s="1333"/>
      <c r="AG496" s="1333"/>
      <c r="AH496" s="1333"/>
      <c r="AI496" s="1333"/>
      <c r="AJ496" s="1333"/>
      <c r="AK496" s="17"/>
      <c r="AL496" s="17"/>
      <c r="AM496" s="17"/>
      <c r="AN496" s="17"/>
      <c r="AO496" s="17"/>
      <c r="AP496" s="17"/>
      <c r="AQ496" s="17"/>
      <c r="AR496" s="17"/>
      <c r="AS496" s="17"/>
      <c r="AT496" s="17"/>
      <c r="AU496" s="17"/>
      <c r="AV496" s="17"/>
      <c r="AW496" s="17"/>
    </row>
    <row r="497" spans="1:49" s="542" customFormat="1" x14ac:dyDescent="0.25">
      <c r="A497" s="1331"/>
      <c r="B497" s="1284"/>
      <c r="C497" s="2062"/>
      <c r="D497" s="2062"/>
      <c r="E497" s="2062"/>
      <c r="F497" s="1297"/>
      <c r="G497" s="1297"/>
      <c r="H497" s="1284"/>
      <c r="I497" s="1333"/>
      <c r="J497" s="1333"/>
      <c r="K497" s="1401"/>
      <c r="L497" s="1333"/>
      <c r="M497" s="1333"/>
      <c r="N497" s="1333"/>
      <c r="O497" s="1333"/>
      <c r="P497" s="1333"/>
      <c r="Q497" s="1333"/>
      <c r="R497" s="1453"/>
      <c r="S497" s="1284"/>
      <c r="T497" s="1284"/>
      <c r="U497" s="1333"/>
      <c r="V497" s="1333"/>
      <c r="W497" s="1333"/>
      <c r="X497" s="1333"/>
      <c r="Y497" s="1333"/>
      <c r="Z497" s="1333"/>
      <c r="AA497" s="1333"/>
      <c r="AB497" s="1333"/>
      <c r="AC497" s="1333"/>
      <c r="AD497" s="1333"/>
      <c r="AE497" s="1333"/>
      <c r="AF497" s="1333"/>
      <c r="AG497" s="1333"/>
      <c r="AH497" s="1333"/>
      <c r="AI497" s="1333"/>
      <c r="AJ497" s="1333"/>
      <c r="AK497" s="17"/>
      <c r="AL497" s="17"/>
      <c r="AM497" s="17"/>
      <c r="AN497" s="17"/>
      <c r="AO497" s="17"/>
      <c r="AP497" s="17"/>
      <c r="AQ497" s="17"/>
      <c r="AR497" s="17"/>
      <c r="AS497" s="17"/>
      <c r="AT497" s="17"/>
      <c r="AU497" s="17"/>
      <c r="AV497" s="17"/>
      <c r="AW497" s="17"/>
    </row>
    <row r="498" spans="1:49" s="542" customFormat="1" x14ac:dyDescent="0.25">
      <c r="A498" s="1331"/>
      <c r="B498" s="1284"/>
      <c r="C498" s="2062"/>
      <c r="D498" s="2062"/>
      <c r="E498" s="2062"/>
      <c r="F498" s="1297"/>
      <c r="G498" s="1297"/>
      <c r="H498" s="1284"/>
      <c r="I498" s="1333"/>
      <c r="J498" s="1333"/>
      <c r="K498" s="1401"/>
      <c r="L498" s="1333"/>
      <c r="M498" s="1333"/>
      <c r="N498" s="1333"/>
      <c r="O498" s="1333"/>
      <c r="P498" s="1333"/>
      <c r="Q498" s="1333"/>
      <c r="R498" s="1453"/>
      <c r="S498" s="1284"/>
      <c r="T498" s="1284"/>
      <c r="U498" s="1333"/>
      <c r="V498" s="1333"/>
      <c r="W498" s="1333"/>
      <c r="X498" s="1333"/>
      <c r="Y498" s="1333"/>
      <c r="Z498" s="1333"/>
      <c r="AA498" s="1333"/>
      <c r="AB498" s="1333"/>
      <c r="AC498" s="1333"/>
      <c r="AD498" s="1333"/>
      <c r="AE498" s="1333"/>
      <c r="AF498" s="1333"/>
      <c r="AG498" s="1333"/>
      <c r="AH498" s="1333"/>
      <c r="AI498" s="1333"/>
      <c r="AJ498" s="1333"/>
      <c r="AK498" s="17"/>
      <c r="AL498" s="17"/>
      <c r="AM498" s="17"/>
      <c r="AN498" s="17"/>
      <c r="AO498" s="17"/>
      <c r="AP498" s="17"/>
      <c r="AQ498" s="17"/>
      <c r="AR498" s="17"/>
      <c r="AS498" s="17"/>
      <c r="AT498" s="17"/>
      <c r="AU498" s="17"/>
      <c r="AV498" s="17"/>
      <c r="AW498" s="17"/>
    </row>
    <row r="499" spans="1:49" s="542" customFormat="1" x14ac:dyDescent="0.25">
      <c r="A499" s="1331"/>
      <c r="B499" s="1284"/>
      <c r="C499" s="2062"/>
      <c r="D499" s="2062"/>
      <c r="E499" s="2062"/>
      <c r="F499" s="1297"/>
      <c r="G499" s="1297"/>
      <c r="H499" s="1284"/>
      <c r="I499" s="1333"/>
      <c r="J499" s="1333"/>
      <c r="K499" s="1401"/>
      <c r="L499" s="1333"/>
      <c r="M499" s="1333"/>
      <c r="N499" s="1333"/>
      <c r="O499" s="1333"/>
      <c r="P499" s="1333"/>
      <c r="Q499" s="1333"/>
      <c r="R499" s="1453"/>
      <c r="S499" s="1284"/>
      <c r="T499" s="1284"/>
      <c r="U499" s="1333"/>
      <c r="V499" s="1333"/>
      <c r="W499" s="1333"/>
      <c r="X499" s="1333"/>
      <c r="Y499" s="1333"/>
      <c r="Z499" s="1333"/>
      <c r="AA499" s="1333"/>
      <c r="AB499" s="1333"/>
      <c r="AC499" s="1333"/>
      <c r="AD499" s="1333"/>
      <c r="AE499" s="1333"/>
      <c r="AF499" s="1333"/>
      <c r="AG499" s="1333"/>
      <c r="AH499" s="1333"/>
      <c r="AI499" s="1333"/>
      <c r="AJ499" s="1333"/>
      <c r="AK499" s="17"/>
      <c r="AL499" s="17"/>
      <c r="AM499" s="17"/>
      <c r="AN499" s="17"/>
      <c r="AO499" s="17"/>
      <c r="AP499" s="17"/>
      <c r="AQ499" s="17"/>
      <c r="AR499" s="17"/>
      <c r="AS499" s="17"/>
      <c r="AT499" s="17"/>
      <c r="AU499" s="17"/>
      <c r="AV499" s="17"/>
      <c r="AW499" s="17"/>
    </row>
    <row r="500" spans="1:49" s="542" customFormat="1" x14ac:dyDescent="0.25">
      <c r="A500" s="1331"/>
      <c r="B500" s="1284"/>
      <c r="C500" s="2062"/>
      <c r="D500" s="2062"/>
      <c r="E500" s="2062"/>
      <c r="F500" s="1297"/>
      <c r="G500" s="1297"/>
      <c r="H500" s="1284"/>
      <c r="I500" s="1333"/>
      <c r="J500" s="1333"/>
      <c r="K500" s="1401"/>
      <c r="L500" s="1333"/>
      <c r="M500" s="1333"/>
      <c r="N500" s="1333"/>
      <c r="O500" s="1333"/>
      <c r="P500" s="1333"/>
      <c r="Q500" s="1333"/>
      <c r="R500" s="1453"/>
      <c r="S500" s="1284"/>
      <c r="T500" s="1284"/>
      <c r="U500" s="1333"/>
      <c r="V500" s="1333"/>
      <c r="W500" s="1333"/>
      <c r="X500" s="1333"/>
      <c r="Y500" s="1333"/>
      <c r="Z500" s="1333"/>
      <c r="AA500" s="1333"/>
      <c r="AB500" s="1333"/>
      <c r="AC500" s="1333"/>
      <c r="AD500" s="1333"/>
      <c r="AE500" s="1333"/>
      <c r="AF500" s="1333"/>
      <c r="AG500" s="1333"/>
      <c r="AH500" s="1333"/>
      <c r="AI500" s="1333"/>
      <c r="AJ500" s="1333"/>
      <c r="AK500" s="17"/>
      <c r="AL500" s="17"/>
      <c r="AM500" s="17"/>
      <c r="AN500" s="17"/>
      <c r="AO500" s="17"/>
      <c r="AP500" s="17"/>
      <c r="AQ500" s="17"/>
      <c r="AR500" s="17"/>
      <c r="AS500" s="17"/>
      <c r="AT500" s="17"/>
      <c r="AU500" s="17"/>
      <c r="AV500" s="17"/>
      <c r="AW500" s="17"/>
    </row>
    <row r="501" spans="1:49" s="542" customFormat="1" x14ac:dyDescent="0.25">
      <c r="A501" s="1331"/>
      <c r="B501" s="1284"/>
      <c r="C501" s="2062"/>
      <c r="D501" s="2062"/>
      <c r="E501" s="2062"/>
      <c r="F501" s="1297"/>
      <c r="G501" s="1297"/>
      <c r="H501" s="1284"/>
      <c r="I501" s="1333"/>
      <c r="J501" s="1333"/>
      <c r="K501" s="1401"/>
      <c r="L501" s="1333"/>
      <c r="M501" s="1333"/>
      <c r="N501" s="1333"/>
      <c r="O501" s="1333"/>
      <c r="P501" s="1333"/>
      <c r="Q501" s="1333"/>
      <c r="R501" s="1453"/>
      <c r="S501" s="1284"/>
      <c r="T501" s="1284"/>
      <c r="U501" s="1333"/>
      <c r="V501" s="1333"/>
      <c r="W501" s="1333"/>
      <c r="X501" s="1333"/>
      <c r="Y501" s="1333"/>
      <c r="Z501" s="1333"/>
      <c r="AA501" s="1333"/>
      <c r="AB501" s="1333"/>
      <c r="AC501" s="1333"/>
      <c r="AD501" s="1333"/>
      <c r="AE501" s="1333"/>
      <c r="AF501" s="1333"/>
      <c r="AG501" s="1333"/>
      <c r="AH501" s="1333"/>
      <c r="AI501" s="1333"/>
      <c r="AJ501" s="1333"/>
      <c r="AK501" s="17"/>
      <c r="AL501" s="17"/>
      <c r="AM501" s="17"/>
      <c r="AN501" s="17"/>
      <c r="AO501" s="17"/>
      <c r="AP501" s="17"/>
      <c r="AQ501" s="17"/>
      <c r="AR501" s="17"/>
      <c r="AS501" s="17"/>
      <c r="AT501" s="17"/>
      <c r="AU501" s="17"/>
      <c r="AV501" s="17"/>
      <c r="AW501" s="17"/>
    </row>
    <row r="502" spans="1:49" s="542" customFormat="1" x14ac:dyDescent="0.25">
      <c r="A502" s="1331"/>
      <c r="B502" s="1284"/>
      <c r="C502" s="2062"/>
      <c r="D502" s="2062"/>
      <c r="E502" s="2062"/>
      <c r="F502" s="1297"/>
      <c r="G502" s="1297"/>
      <c r="H502" s="1284"/>
      <c r="I502" s="1333"/>
      <c r="J502" s="1333"/>
      <c r="K502" s="1401"/>
      <c r="L502" s="1333"/>
      <c r="M502" s="1333"/>
      <c r="N502" s="1333"/>
      <c r="O502" s="1333"/>
      <c r="P502" s="1333"/>
      <c r="Q502" s="1333"/>
      <c r="R502" s="1453"/>
      <c r="S502" s="1284"/>
      <c r="T502" s="1284"/>
      <c r="U502" s="1333"/>
      <c r="V502" s="1333"/>
      <c r="W502" s="1333"/>
      <c r="X502" s="1333"/>
      <c r="Y502" s="1333"/>
      <c r="Z502" s="1333"/>
      <c r="AA502" s="1333"/>
      <c r="AB502" s="1333"/>
      <c r="AC502" s="1333"/>
      <c r="AD502" s="1333"/>
      <c r="AE502" s="1333"/>
      <c r="AF502" s="1333"/>
      <c r="AG502" s="1333"/>
      <c r="AH502" s="1333"/>
      <c r="AI502" s="1333"/>
      <c r="AJ502" s="1333"/>
      <c r="AK502" s="17"/>
      <c r="AL502" s="17"/>
      <c r="AM502" s="17"/>
      <c r="AN502" s="17"/>
      <c r="AO502" s="17"/>
      <c r="AP502" s="17"/>
      <c r="AQ502" s="17"/>
      <c r="AR502" s="17"/>
      <c r="AS502" s="17"/>
      <c r="AT502" s="17"/>
      <c r="AU502" s="17"/>
      <c r="AV502" s="17"/>
      <c r="AW502" s="17"/>
    </row>
    <row r="503" spans="1:49" s="542" customFormat="1" x14ac:dyDescent="0.25">
      <c r="A503" s="1331"/>
      <c r="B503" s="1284"/>
      <c r="C503" s="2062"/>
      <c r="D503" s="2062"/>
      <c r="E503" s="2062"/>
      <c r="F503" s="1297"/>
      <c r="G503" s="1297"/>
      <c r="H503" s="1284"/>
      <c r="I503" s="1333"/>
      <c r="J503" s="1333"/>
      <c r="K503" s="1401"/>
      <c r="L503" s="1333"/>
      <c r="M503" s="1333"/>
      <c r="N503" s="1333"/>
      <c r="O503" s="1333"/>
      <c r="P503" s="1333"/>
      <c r="Q503" s="1333"/>
      <c r="R503" s="1453"/>
      <c r="S503" s="1284"/>
      <c r="T503" s="1284"/>
      <c r="U503" s="1333"/>
      <c r="V503" s="1333"/>
      <c r="W503" s="1333"/>
      <c r="X503" s="1333"/>
      <c r="Y503" s="1333"/>
      <c r="Z503" s="1333"/>
      <c r="AA503" s="1333"/>
      <c r="AB503" s="1333"/>
      <c r="AC503" s="1333"/>
      <c r="AD503" s="1333"/>
      <c r="AE503" s="1333"/>
      <c r="AF503" s="1333"/>
      <c r="AG503" s="1333"/>
      <c r="AH503" s="1333"/>
      <c r="AI503" s="1333"/>
      <c r="AJ503" s="1333"/>
      <c r="AK503" s="17"/>
      <c r="AL503" s="17"/>
      <c r="AM503" s="17"/>
      <c r="AN503" s="17"/>
      <c r="AO503" s="17"/>
      <c r="AP503" s="17"/>
      <c r="AQ503" s="17"/>
      <c r="AR503" s="17"/>
      <c r="AS503" s="17"/>
      <c r="AT503" s="17"/>
      <c r="AU503" s="17"/>
      <c r="AV503" s="17"/>
      <c r="AW503" s="17"/>
    </row>
    <row r="504" spans="1:49" s="542" customFormat="1" x14ac:dyDescent="0.25">
      <c r="A504" s="1331"/>
      <c r="B504" s="1284"/>
      <c r="C504" s="2062"/>
      <c r="D504" s="2062"/>
      <c r="E504" s="2062"/>
      <c r="F504" s="1297"/>
      <c r="G504" s="1297"/>
      <c r="H504" s="1284"/>
      <c r="I504" s="1333"/>
      <c r="J504" s="1333"/>
      <c r="K504" s="1401"/>
      <c r="L504" s="1333"/>
      <c r="M504" s="1333"/>
      <c r="N504" s="1333"/>
      <c r="O504" s="1333"/>
      <c r="P504" s="1333"/>
      <c r="Q504" s="1333"/>
      <c r="R504" s="1453"/>
      <c r="S504" s="1284"/>
      <c r="T504" s="1284"/>
      <c r="U504" s="1333"/>
      <c r="V504" s="1333"/>
      <c r="W504" s="1333"/>
      <c r="X504" s="1333"/>
      <c r="Y504" s="1333"/>
      <c r="Z504" s="1333"/>
      <c r="AA504" s="1333"/>
      <c r="AB504" s="1333"/>
      <c r="AC504" s="1333"/>
      <c r="AD504" s="1333"/>
      <c r="AE504" s="1333"/>
      <c r="AF504" s="1333"/>
      <c r="AG504" s="1333"/>
      <c r="AH504" s="1333"/>
      <c r="AI504" s="1333"/>
      <c r="AJ504" s="1333"/>
      <c r="AK504" s="17"/>
      <c r="AL504" s="17"/>
      <c r="AM504" s="17"/>
      <c r="AN504" s="17"/>
      <c r="AO504" s="17"/>
      <c r="AP504" s="17"/>
      <c r="AQ504" s="17"/>
      <c r="AR504" s="17"/>
      <c r="AS504" s="17"/>
      <c r="AT504" s="17"/>
      <c r="AU504" s="17"/>
      <c r="AV504" s="17"/>
      <c r="AW504" s="17"/>
    </row>
    <row r="505" spans="1:49" s="542" customFormat="1" x14ac:dyDescent="0.25">
      <c r="A505" s="1331"/>
      <c r="B505" s="1284"/>
      <c r="C505" s="2062"/>
      <c r="D505" s="2062"/>
      <c r="E505" s="2062"/>
      <c r="F505" s="1297"/>
      <c r="G505" s="1297"/>
      <c r="H505" s="1284"/>
      <c r="I505" s="1333"/>
      <c r="J505" s="1333"/>
      <c r="K505" s="1401"/>
      <c r="L505" s="1333"/>
      <c r="M505" s="1333"/>
      <c r="N505" s="1333"/>
      <c r="O505" s="1333"/>
      <c r="P505" s="1333"/>
      <c r="Q505" s="1333"/>
      <c r="R505" s="1453"/>
      <c r="S505" s="1284"/>
      <c r="T505" s="1284"/>
      <c r="U505" s="1333"/>
      <c r="V505" s="1333"/>
      <c r="W505" s="1333"/>
      <c r="X505" s="1333"/>
      <c r="Y505" s="1333"/>
      <c r="Z505" s="1333"/>
      <c r="AA505" s="1333"/>
      <c r="AB505" s="1333"/>
      <c r="AC505" s="1333"/>
      <c r="AD505" s="1333"/>
      <c r="AE505" s="1333"/>
      <c r="AF505" s="1333"/>
      <c r="AG505" s="1333"/>
      <c r="AH505" s="1333"/>
      <c r="AI505" s="1333"/>
      <c r="AJ505" s="1333"/>
      <c r="AK505" s="17"/>
      <c r="AL505" s="17"/>
      <c r="AM505" s="17"/>
      <c r="AN505" s="17"/>
      <c r="AO505" s="17"/>
      <c r="AP505" s="17"/>
      <c r="AQ505" s="17"/>
      <c r="AR505" s="17"/>
      <c r="AS505" s="17"/>
      <c r="AT505" s="17"/>
      <c r="AU505" s="17"/>
      <c r="AV505" s="17"/>
      <c r="AW505" s="17"/>
    </row>
    <row r="506" spans="1:49" s="542" customFormat="1" x14ac:dyDescent="0.25">
      <c r="A506" s="1331"/>
      <c r="B506" s="1284"/>
      <c r="C506" s="2062"/>
      <c r="D506" s="2062"/>
      <c r="E506" s="2062"/>
      <c r="F506" s="1297"/>
      <c r="G506" s="1297"/>
      <c r="H506" s="1284"/>
      <c r="I506" s="1333"/>
      <c r="J506" s="1333"/>
      <c r="K506" s="1401"/>
      <c r="L506" s="1333"/>
      <c r="M506" s="1333"/>
      <c r="N506" s="1333"/>
      <c r="O506" s="1333"/>
      <c r="P506" s="1333"/>
      <c r="Q506" s="1333"/>
      <c r="R506" s="1453"/>
      <c r="S506" s="1284"/>
      <c r="T506" s="1284"/>
      <c r="U506" s="1333"/>
      <c r="V506" s="1333"/>
      <c r="W506" s="1333"/>
      <c r="X506" s="1333"/>
      <c r="Y506" s="1333"/>
      <c r="Z506" s="1333"/>
      <c r="AA506" s="1333"/>
      <c r="AB506" s="1333"/>
      <c r="AC506" s="1333"/>
      <c r="AD506" s="1333"/>
      <c r="AE506" s="1333"/>
      <c r="AF506" s="1333"/>
      <c r="AG506" s="1333"/>
      <c r="AH506" s="1333"/>
      <c r="AI506" s="1333"/>
      <c r="AJ506" s="1333"/>
      <c r="AK506" s="17"/>
      <c r="AL506" s="17"/>
      <c r="AM506" s="17"/>
      <c r="AN506" s="17"/>
      <c r="AO506" s="17"/>
      <c r="AP506" s="17"/>
      <c r="AQ506" s="17"/>
      <c r="AR506" s="17"/>
      <c r="AS506" s="17"/>
      <c r="AT506" s="17"/>
      <c r="AU506" s="17"/>
      <c r="AV506" s="17"/>
      <c r="AW506" s="17"/>
    </row>
    <row r="507" spans="1:49" s="542" customFormat="1" x14ac:dyDescent="0.25">
      <c r="A507" s="1331"/>
      <c r="B507" s="1284"/>
      <c r="C507" s="2062"/>
      <c r="D507" s="2062"/>
      <c r="E507" s="2062"/>
      <c r="F507" s="1297"/>
      <c r="G507" s="1297"/>
      <c r="H507" s="1284"/>
      <c r="I507" s="1333"/>
      <c r="J507" s="1333"/>
      <c r="K507" s="1401"/>
      <c r="L507" s="1333"/>
      <c r="M507" s="1333"/>
      <c r="N507" s="1333"/>
      <c r="O507" s="1333"/>
      <c r="P507" s="1333"/>
      <c r="Q507" s="1333"/>
      <c r="R507" s="1453"/>
      <c r="S507" s="1284"/>
      <c r="T507" s="1284"/>
      <c r="U507" s="1333"/>
      <c r="V507" s="1333"/>
      <c r="W507" s="1333"/>
      <c r="X507" s="1333"/>
      <c r="Y507" s="1333"/>
      <c r="Z507" s="1333"/>
      <c r="AA507" s="1333"/>
      <c r="AB507" s="1333"/>
      <c r="AC507" s="1333"/>
      <c r="AD507" s="1333"/>
      <c r="AE507" s="1333"/>
      <c r="AF507" s="1333"/>
      <c r="AG507" s="1333"/>
      <c r="AH507" s="1333"/>
      <c r="AI507" s="1333"/>
      <c r="AJ507" s="1333"/>
      <c r="AK507" s="17"/>
      <c r="AL507" s="17"/>
      <c r="AM507" s="17"/>
      <c r="AN507" s="17"/>
      <c r="AO507" s="17"/>
      <c r="AP507" s="17"/>
      <c r="AQ507" s="17"/>
      <c r="AR507" s="17"/>
      <c r="AS507" s="17"/>
      <c r="AT507" s="17"/>
      <c r="AU507" s="17"/>
      <c r="AV507" s="17"/>
      <c r="AW507" s="17"/>
    </row>
    <row r="508" spans="1:49" s="542" customFormat="1" x14ac:dyDescent="0.25">
      <c r="A508" s="1331"/>
      <c r="B508" s="1284"/>
      <c r="C508" s="2062"/>
      <c r="D508" s="2062"/>
      <c r="E508" s="2062"/>
      <c r="F508" s="1297"/>
      <c r="G508" s="1297"/>
      <c r="H508" s="1284"/>
      <c r="I508" s="1333"/>
      <c r="J508" s="1333"/>
      <c r="K508" s="1401"/>
      <c r="L508" s="1333"/>
      <c r="M508" s="1333"/>
      <c r="N508" s="1333"/>
      <c r="O508" s="1333"/>
      <c r="P508" s="1333"/>
      <c r="Q508" s="1333"/>
      <c r="R508" s="1453"/>
      <c r="S508" s="1284"/>
      <c r="T508" s="1284"/>
      <c r="U508" s="1333"/>
      <c r="V508" s="1333"/>
      <c r="W508" s="1333"/>
      <c r="X508" s="1333"/>
      <c r="Y508" s="1333"/>
      <c r="Z508" s="1333"/>
      <c r="AA508" s="1333"/>
      <c r="AB508" s="1333"/>
      <c r="AC508" s="1333"/>
      <c r="AD508" s="1333"/>
      <c r="AE508" s="1333"/>
      <c r="AF508" s="1333"/>
      <c r="AG508" s="1333"/>
      <c r="AH508" s="1333"/>
      <c r="AI508" s="1333"/>
      <c r="AJ508" s="1333"/>
      <c r="AK508" s="17"/>
      <c r="AL508" s="17"/>
      <c r="AM508" s="17"/>
      <c r="AN508" s="17"/>
      <c r="AO508" s="17"/>
      <c r="AP508" s="17"/>
      <c r="AQ508" s="17"/>
      <c r="AR508" s="17"/>
      <c r="AS508" s="17"/>
      <c r="AT508" s="17"/>
      <c r="AU508" s="17"/>
      <c r="AV508" s="17"/>
      <c r="AW508" s="17"/>
    </row>
    <row r="509" spans="1:49" x14ac:dyDescent="0.25">
      <c r="A509" s="1331"/>
      <c r="B509" s="1284"/>
      <c r="C509" s="1284"/>
      <c r="D509" s="1364"/>
      <c r="E509" s="1364"/>
      <c r="F509" s="1364"/>
      <c r="G509" s="1365"/>
      <c r="H509" s="1333"/>
      <c r="I509" s="1333"/>
      <c r="J509" s="1333"/>
      <c r="K509" s="1333"/>
      <c r="L509" s="1333"/>
      <c r="M509" s="1333"/>
      <c r="N509" s="1333"/>
      <c r="O509" s="1333"/>
      <c r="P509" s="1333"/>
      <c r="Q509" s="1333"/>
      <c r="R509" s="1453"/>
      <c r="S509" s="1284"/>
      <c r="T509" s="1284"/>
      <c r="U509" s="1333"/>
      <c r="V509" s="1333"/>
      <c r="W509" s="1333"/>
      <c r="X509" s="1333"/>
      <c r="Y509" s="1333"/>
      <c r="Z509" s="1333"/>
      <c r="AA509" s="1333"/>
      <c r="AB509" s="1333"/>
      <c r="AC509" s="1333"/>
      <c r="AD509" s="1333"/>
      <c r="AE509" s="1333"/>
      <c r="AF509" s="1333"/>
      <c r="AG509" s="1333"/>
      <c r="AH509" s="1333"/>
      <c r="AI509" s="1333"/>
      <c r="AJ509" s="1333"/>
    </row>
    <row r="510" spans="1:49" x14ac:dyDescent="0.25">
      <c r="A510" s="1331"/>
      <c r="B510" s="1284"/>
      <c r="C510" s="1284"/>
      <c r="D510" s="1364"/>
      <c r="E510" s="1364"/>
      <c r="F510" s="1364"/>
      <c r="G510" s="1365"/>
      <c r="H510" s="1333"/>
      <c r="I510" s="1333"/>
      <c r="J510" s="1333"/>
      <c r="K510" s="1333"/>
      <c r="L510" s="1333"/>
      <c r="M510" s="1333"/>
      <c r="N510" s="1333"/>
      <c r="O510" s="1333"/>
      <c r="P510" s="1333"/>
      <c r="Q510" s="1333"/>
      <c r="R510" s="1284"/>
      <c r="S510" s="1489"/>
      <c r="T510" s="1284"/>
      <c r="U510" s="1333"/>
      <c r="V510" s="1333"/>
      <c r="W510" s="1333"/>
      <c r="X510" s="1333"/>
      <c r="Y510" s="1333"/>
      <c r="Z510" s="1333"/>
      <c r="AA510" s="1333"/>
      <c r="AB510" s="1333"/>
      <c r="AC510" s="1333"/>
      <c r="AD510" s="1333"/>
      <c r="AE510" s="1333"/>
      <c r="AF510" s="1333"/>
      <c r="AG510" s="1333"/>
      <c r="AH510" s="1333"/>
      <c r="AI510" s="1333"/>
      <c r="AJ510" s="1333"/>
    </row>
    <row r="511" spans="1:49" x14ac:dyDescent="0.25">
      <c r="A511" s="1331"/>
      <c r="B511" s="1284"/>
      <c r="C511" s="1284"/>
      <c r="D511" s="1364"/>
      <c r="E511" s="1364"/>
      <c r="F511" s="1364"/>
      <c r="G511" s="1365"/>
      <c r="H511" s="1333"/>
      <c r="I511" s="1333"/>
      <c r="J511" s="1333"/>
      <c r="K511" s="1333"/>
      <c r="L511" s="1333"/>
      <c r="M511" s="1333"/>
      <c r="N511" s="1333"/>
      <c r="O511" s="1333"/>
      <c r="P511" s="1333"/>
      <c r="Q511" s="1333"/>
      <c r="R511" s="1453"/>
      <c r="S511" s="1284"/>
      <c r="T511" s="1284"/>
      <c r="U511" s="1333"/>
      <c r="V511" s="1333"/>
      <c r="W511" s="1333"/>
      <c r="X511" s="1333"/>
      <c r="Y511" s="1333"/>
      <c r="Z511" s="1333"/>
      <c r="AA511" s="1333"/>
      <c r="AB511" s="1333"/>
      <c r="AC511" s="1333"/>
      <c r="AD511" s="1333"/>
      <c r="AE511" s="1333"/>
      <c r="AF511" s="1333"/>
      <c r="AG511" s="1333"/>
      <c r="AH511" s="1333"/>
      <c r="AI511" s="1333"/>
      <c r="AJ511" s="1333"/>
    </row>
    <row r="512" spans="1:49" x14ac:dyDescent="0.25">
      <c r="A512" s="1331"/>
      <c r="B512" s="1284"/>
      <c r="C512" s="1284"/>
      <c r="D512" s="1364"/>
      <c r="E512" s="1364"/>
      <c r="F512" s="1364"/>
      <c r="G512" s="1365"/>
      <c r="H512" s="1333"/>
      <c r="I512" s="1333"/>
      <c r="J512" s="1333"/>
      <c r="K512" s="1333"/>
      <c r="L512" s="1333"/>
      <c r="M512" s="1333"/>
      <c r="N512" s="1333"/>
      <c r="O512" s="1333"/>
      <c r="P512" s="1333"/>
      <c r="Q512" s="1333"/>
      <c r="R512" s="1453"/>
      <c r="S512" s="1284"/>
      <c r="T512" s="1284"/>
      <c r="U512" s="1333"/>
      <c r="V512" s="1333"/>
      <c r="W512" s="1333"/>
      <c r="X512" s="1333"/>
      <c r="Y512" s="1333"/>
      <c r="Z512" s="1333"/>
      <c r="AA512" s="1333"/>
      <c r="AB512" s="1333"/>
      <c r="AC512" s="1333"/>
      <c r="AD512" s="1333"/>
      <c r="AE512" s="1333"/>
      <c r="AF512" s="1333"/>
      <c r="AG512" s="1333"/>
      <c r="AH512" s="1333"/>
      <c r="AI512" s="1333"/>
      <c r="AJ512" s="1333"/>
    </row>
    <row r="513" spans="1:36" x14ac:dyDescent="0.25">
      <c r="A513" s="1331"/>
      <c r="B513" s="1284"/>
      <c r="C513" s="1284"/>
      <c r="D513" s="1364"/>
      <c r="E513" s="1364"/>
      <c r="F513" s="1364"/>
      <c r="G513" s="1365"/>
      <c r="H513" s="1333"/>
      <c r="I513" s="1333"/>
      <c r="J513" s="1333"/>
      <c r="K513" s="1333"/>
      <c r="L513" s="1333"/>
      <c r="M513" s="1333"/>
      <c r="N513" s="1333"/>
      <c r="O513" s="1333"/>
      <c r="P513" s="1333"/>
      <c r="Q513" s="1333"/>
      <c r="R513" s="1453"/>
      <c r="S513" s="1284"/>
      <c r="T513" s="1284"/>
      <c r="U513" s="1333"/>
      <c r="V513" s="1333"/>
      <c r="W513" s="1333"/>
      <c r="X513" s="1333"/>
      <c r="Y513" s="1333"/>
      <c r="Z513" s="1333"/>
      <c r="AA513" s="1333"/>
      <c r="AB513" s="1333"/>
      <c r="AC513" s="1333"/>
      <c r="AD513" s="1333"/>
      <c r="AE513" s="1333"/>
      <c r="AF513" s="1333"/>
      <c r="AG513" s="1333"/>
      <c r="AH513" s="1333"/>
      <c r="AI513" s="1333"/>
      <c r="AJ513" s="1333"/>
    </row>
    <row r="514" spans="1:36" x14ac:dyDescent="0.25">
      <c r="A514" s="1331"/>
      <c r="B514" s="1284"/>
      <c r="C514" s="1284"/>
      <c r="D514" s="1364"/>
      <c r="E514" s="1364"/>
      <c r="F514" s="1364"/>
      <c r="G514" s="1365"/>
      <c r="H514" s="1333"/>
      <c r="I514" s="1333"/>
      <c r="J514" s="1333"/>
      <c r="K514" s="1333"/>
      <c r="L514" s="1333"/>
      <c r="M514" s="1333"/>
      <c r="N514" s="1333"/>
      <c r="O514" s="1333"/>
      <c r="P514" s="1333"/>
      <c r="Q514" s="1333"/>
      <c r="R514" s="1284"/>
      <c r="S514" s="1489"/>
      <c r="T514" s="1284"/>
      <c r="U514" s="1333"/>
      <c r="V514" s="1333"/>
      <c r="W514" s="1333"/>
      <c r="X514" s="1333"/>
      <c r="Y514" s="1333"/>
      <c r="Z514" s="1333"/>
      <c r="AA514" s="1333"/>
      <c r="AB514" s="1333"/>
      <c r="AC514" s="1333"/>
      <c r="AD514" s="1333"/>
      <c r="AE514" s="1333"/>
      <c r="AF514" s="1333"/>
      <c r="AG514" s="1333"/>
      <c r="AH514" s="1333"/>
      <c r="AI514" s="1333"/>
      <c r="AJ514" s="1333"/>
    </row>
    <row r="515" spans="1:36" x14ac:dyDescent="0.25">
      <c r="A515" s="1331"/>
      <c r="B515" s="1284"/>
      <c r="C515" s="1284"/>
      <c r="D515" s="1364"/>
      <c r="E515" s="1364"/>
      <c r="F515" s="1364"/>
      <c r="G515" s="1365"/>
      <c r="H515" s="1333"/>
      <c r="I515" s="1333"/>
      <c r="J515" s="1333"/>
      <c r="K515" s="1333"/>
      <c r="L515" s="1333"/>
      <c r="M515" s="1333"/>
      <c r="N515" s="1333"/>
      <c r="O515" s="1333"/>
      <c r="P515" s="1333"/>
      <c r="Q515" s="1333"/>
      <c r="R515" s="1453"/>
      <c r="S515" s="1284"/>
      <c r="T515" s="1284"/>
      <c r="U515" s="1333"/>
      <c r="V515" s="1333"/>
      <c r="W515" s="1333"/>
      <c r="X515" s="1333"/>
      <c r="Y515" s="1333"/>
      <c r="Z515" s="1333"/>
      <c r="AA515" s="1333"/>
      <c r="AB515" s="1333"/>
      <c r="AC515" s="1333"/>
      <c r="AD515" s="1333"/>
      <c r="AE515" s="1333"/>
      <c r="AF515" s="1333"/>
      <c r="AG515" s="1333"/>
      <c r="AH515" s="1333"/>
      <c r="AI515" s="1333"/>
      <c r="AJ515" s="1333"/>
    </row>
    <row r="516" spans="1:36" x14ac:dyDescent="0.25">
      <c r="A516" s="1331"/>
      <c r="B516" s="1284"/>
      <c r="C516" s="1284"/>
      <c r="D516" s="1364"/>
      <c r="E516" s="1364"/>
      <c r="F516" s="1364"/>
      <c r="G516" s="1365"/>
      <c r="H516" s="1333"/>
      <c r="I516" s="1333"/>
      <c r="J516" s="1333"/>
      <c r="K516" s="1333"/>
      <c r="L516" s="1333"/>
      <c r="M516" s="1333"/>
      <c r="N516" s="1333"/>
      <c r="O516" s="1333"/>
      <c r="P516" s="1333"/>
      <c r="Q516" s="1333"/>
      <c r="R516" s="1453"/>
      <c r="S516" s="1284"/>
      <c r="T516" s="1284"/>
      <c r="U516" s="1333"/>
      <c r="V516" s="1333"/>
      <c r="W516" s="1333"/>
      <c r="X516" s="1333"/>
      <c r="Y516" s="1333"/>
      <c r="Z516" s="1333"/>
      <c r="AA516" s="1333"/>
      <c r="AB516" s="1333"/>
      <c r="AC516" s="1333"/>
      <c r="AD516" s="1333"/>
      <c r="AE516" s="1333"/>
      <c r="AF516" s="1333"/>
      <c r="AG516" s="1333"/>
      <c r="AH516" s="1333"/>
      <c r="AI516" s="1333"/>
      <c r="AJ516" s="1333"/>
    </row>
    <row r="517" spans="1:36" x14ac:dyDescent="0.25">
      <c r="A517" s="1331"/>
      <c r="B517" s="1284"/>
      <c r="C517" s="1284"/>
      <c r="D517" s="1364"/>
      <c r="E517" s="1364"/>
      <c r="F517" s="1364"/>
      <c r="G517" s="1365"/>
      <c r="H517" s="1333"/>
      <c r="I517" s="1333"/>
      <c r="J517" s="1333"/>
      <c r="K517" s="1333"/>
      <c r="L517" s="1333"/>
      <c r="M517" s="1333"/>
      <c r="N517" s="1333"/>
      <c r="O517" s="1333"/>
      <c r="P517" s="1333"/>
      <c r="Q517" s="1333"/>
      <c r="R517" s="1453"/>
      <c r="S517" s="1284"/>
      <c r="T517" s="1284"/>
      <c r="U517" s="1333"/>
      <c r="V517" s="1333"/>
      <c r="W517" s="1333"/>
      <c r="X517" s="1333"/>
      <c r="Y517" s="1333"/>
      <c r="Z517" s="1333"/>
      <c r="AA517" s="1333"/>
      <c r="AB517" s="1333"/>
      <c r="AC517" s="1333"/>
      <c r="AD517" s="1333"/>
      <c r="AE517" s="1333"/>
      <c r="AF517" s="1333"/>
      <c r="AG517" s="1333"/>
      <c r="AH517" s="1333"/>
      <c r="AI517" s="1333"/>
      <c r="AJ517" s="1333"/>
    </row>
    <row r="518" spans="1:36" x14ac:dyDescent="0.25">
      <c r="A518" s="1331"/>
      <c r="B518" s="1284"/>
      <c r="C518" s="1284"/>
      <c r="D518" s="1364"/>
      <c r="E518" s="1364"/>
      <c r="F518" s="1364"/>
      <c r="G518" s="1365"/>
      <c r="H518" s="1333"/>
      <c r="I518" s="1333"/>
      <c r="J518" s="1333"/>
      <c r="K518" s="1333"/>
      <c r="L518" s="1333"/>
      <c r="M518" s="1333"/>
      <c r="N518" s="1333"/>
      <c r="O518" s="1333"/>
      <c r="P518" s="1333"/>
      <c r="Q518" s="1333"/>
      <c r="R518" s="1453"/>
      <c r="S518" s="1284"/>
      <c r="T518" s="1284"/>
      <c r="U518" s="1333"/>
      <c r="V518" s="1333"/>
      <c r="W518" s="1333"/>
      <c r="X518" s="1333"/>
      <c r="Y518" s="1333"/>
      <c r="Z518" s="1333"/>
      <c r="AA518" s="1333"/>
      <c r="AB518" s="1333"/>
      <c r="AC518" s="1333"/>
      <c r="AD518" s="1333"/>
      <c r="AE518" s="1333"/>
      <c r="AF518" s="1333"/>
      <c r="AG518" s="1333"/>
      <c r="AH518" s="1333"/>
      <c r="AI518" s="1333"/>
      <c r="AJ518" s="1333"/>
    </row>
    <row r="519" spans="1:36" x14ac:dyDescent="0.25">
      <c r="A519" s="1331"/>
      <c r="B519" s="1284"/>
      <c r="C519" s="1284"/>
      <c r="D519" s="1364"/>
      <c r="E519" s="1364"/>
      <c r="F519" s="1364"/>
      <c r="G519" s="1365"/>
      <c r="H519" s="1333"/>
      <c r="I519" s="1333"/>
      <c r="J519" s="1333"/>
      <c r="K519" s="1333"/>
      <c r="L519" s="1333"/>
      <c r="M519" s="1333"/>
      <c r="N519" s="1333"/>
      <c r="O519" s="1333"/>
      <c r="P519" s="1333"/>
      <c r="Q519" s="1333"/>
      <c r="R519" s="1453"/>
      <c r="S519" s="1284"/>
      <c r="T519" s="1284"/>
      <c r="U519" s="1333"/>
      <c r="V519" s="1333"/>
      <c r="W519" s="1333"/>
      <c r="X519" s="1333"/>
      <c r="Y519" s="1333"/>
      <c r="Z519" s="1333"/>
      <c r="AA519" s="1333"/>
      <c r="AB519" s="1333"/>
      <c r="AC519" s="1333"/>
      <c r="AD519" s="1333"/>
      <c r="AE519" s="1333"/>
      <c r="AF519" s="1333"/>
      <c r="AG519" s="1333"/>
      <c r="AH519" s="1333"/>
      <c r="AI519" s="1333"/>
      <c r="AJ519" s="1333"/>
    </row>
    <row r="520" spans="1:36" x14ac:dyDescent="0.25">
      <c r="A520" s="1331"/>
      <c r="B520" s="1284"/>
      <c r="C520" s="1284"/>
      <c r="D520" s="1364"/>
      <c r="E520" s="1364"/>
      <c r="F520" s="1364"/>
      <c r="G520" s="1365"/>
      <c r="H520" s="1333"/>
      <c r="I520" s="1333"/>
      <c r="J520" s="1333"/>
      <c r="K520" s="1333"/>
      <c r="L520" s="1333"/>
      <c r="M520" s="1333"/>
      <c r="N520" s="1333"/>
      <c r="O520" s="1333"/>
      <c r="P520" s="1333"/>
      <c r="Q520" s="1333"/>
      <c r="R520" s="1453"/>
      <c r="S520" s="1284"/>
      <c r="T520" s="1284"/>
      <c r="U520" s="1333"/>
      <c r="V520" s="1333"/>
      <c r="W520" s="1333"/>
      <c r="X520" s="1333"/>
      <c r="Y520" s="1333"/>
      <c r="Z520" s="1333"/>
      <c r="AA520" s="1333"/>
      <c r="AB520" s="1333"/>
      <c r="AC520" s="1333"/>
      <c r="AD520" s="1333"/>
      <c r="AE520" s="1333"/>
      <c r="AF520" s="1333"/>
      <c r="AG520" s="1333"/>
      <c r="AH520" s="1333"/>
      <c r="AI520" s="1333"/>
      <c r="AJ520" s="1333"/>
    </row>
    <row r="521" spans="1:36" x14ac:dyDescent="0.25">
      <c r="A521" s="1331"/>
      <c r="B521" s="1284"/>
      <c r="C521" s="1284"/>
      <c r="D521" s="1364"/>
      <c r="E521" s="1364"/>
      <c r="F521" s="1364"/>
      <c r="G521" s="1365"/>
      <c r="H521" s="1333"/>
      <c r="I521" s="1333"/>
      <c r="J521" s="1333"/>
      <c r="K521" s="1333"/>
      <c r="L521" s="1333"/>
      <c r="M521" s="1333"/>
      <c r="N521" s="1333"/>
      <c r="O521" s="1333"/>
      <c r="P521" s="1333"/>
      <c r="Q521" s="1333"/>
      <c r="R521" s="1453"/>
      <c r="S521" s="1284"/>
      <c r="T521" s="1284"/>
      <c r="U521" s="1333"/>
      <c r="V521" s="1333"/>
      <c r="W521" s="1333"/>
      <c r="X521" s="1333"/>
      <c r="Y521" s="1333"/>
      <c r="Z521" s="1333"/>
      <c r="AA521" s="1333"/>
      <c r="AB521" s="1333"/>
      <c r="AC521" s="1333"/>
      <c r="AD521" s="1333"/>
      <c r="AE521" s="1333"/>
      <c r="AF521" s="1333"/>
      <c r="AG521" s="1333"/>
      <c r="AH521" s="1333"/>
      <c r="AI521" s="1333"/>
      <c r="AJ521" s="1333"/>
    </row>
    <row r="522" spans="1:36" x14ac:dyDescent="0.25">
      <c r="A522" s="1331"/>
      <c r="B522" s="1284"/>
      <c r="C522" s="1284"/>
      <c r="D522" s="1364"/>
      <c r="E522" s="1364"/>
      <c r="F522" s="1364"/>
      <c r="G522" s="1365"/>
      <c r="H522" s="1333"/>
      <c r="I522" s="1333"/>
      <c r="J522" s="1333"/>
      <c r="K522" s="1333"/>
      <c r="L522" s="1333"/>
      <c r="M522" s="1333"/>
      <c r="N522" s="1333"/>
      <c r="O522" s="1333"/>
      <c r="P522" s="1333"/>
      <c r="Q522" s="1333"/>
      <c r="R522" s="1454"/>
      <c r="S522" s="1284"/>
      <c r="T522" s="1284"/>
      <c r="U522" s="1333"/>
      <c r="V522" s="1333"/>
      <c r="W522" s="1333"/>
      <c r="X522" s="1333"/>
      <c r="Y522" s="1333"/>
      <c r="Z522" s="1333"/>
      <c r="AA522" s="1333"/>
      <c r="AB522" s="1333"/>
      <c r="AC522" s="1333"/>
      <c r="AD522" s="1333"/>
      <c r="AE522" s="1333"/>
      <c r="AF522" s="1333"/>
      <c r="AG522" s="1333"/>
      <c r="AH522" s="1333"/>
      <c r="AI522" s="1333"/>
      <c r="AJ522" s="1333"/>
    </row>
    <row r="523" spans="1:36" x14ac:dyDescent="0.25">
      <c r="A523" s="1331"/>
      <c r="B523" s="1284"/>
      <c r="C523" s="1284"/>
      <c r="D523" s="1364"/>
      <c r="E523" s="1364"/>
      <c r="F523" s="1364"/>
      <c r="G523" s="1365"/>
      <c r="H523" s="1333"/>
      <c r="I523" s="1333"/>
      <c r="J523" s="1333"/>
      <c r="K523" s="1333"/>
      <c r="L523" s="1333"/>
      <c r="M523" s="1333"/>
      <c r="N523" s="1333"/>
      <c r="O523" s="1333"/>
      <c r="P523" s="1333"/>
      <c r="Q523" s="1333"/>
      <c r="R523" s="1454"/>
      <c r="S523" s="1284"/>
      <c r="T523" s="1284"/>
      <c r="U523" s="1333"/>
      <c r="V523" s="1333"/>
      <c r="W523" s="1333"/>
      <c r="X523" s="1333"/>
      <c r="Y523" s="1333"/>
      <c r="Z523" s="1333"/>
      <c r="AA523" s="1333"/>
      <c r="AB523" s="1333"/>
      <c r="AC523" s="1333"/>
      <c r="AD523" s="1333"/>
      <c r="AE523" s="1333"/>
      <c r="AF523" s="1333"/>
      <c r="AG523" s="1333"/>
      <c r="AH523" s="1333"/>
      <c r="AI523" s="1333"/>
      <c r="AJ523" s="1333"/>
    </row>
    <row r="524" spans="1:36" x14ac:dyDescent="0.25">
      <c r="A524" s="1331"/>
      <c r="B524" s="1284"/>
      <c r="C524" s="1284"/>
      <c r="D524" s="1364"/>
      <c r="E524" s="1364"/>
      <c r="F524" s="1364"/>
      <c r="G524" s="1365"/>
      <c r="H524" s="1333"/>
      <c r="I524" s="1333"/>
      <c r="J524" s="1333"/>
      <c r="K524" s="1333"/>
      <c r="L524" s="1333"/>
      <c r="M524" s="1333"/>
      <c r="N524" s="1333"/>
      <c r="O524" s="1333"/>
      <c r="P524" s="1333"/>
      <c r="Q524" s="1333"/>
      <c r="R524" s="1454"/>
      <c r="S524" s="1284"/>
      <c r="T524" s="1284"/>
      <c r="U524" s="1333"/>
      <c r="V524" s="1333"/>
      <c r="W524" s="1333"/>
      <c r="X524" s="1333"/>
      <c r="Y524" s="1333"/>
      <c r="Z524" s="1333"/>
      <c r="AA524" s="1333"/>
      <c r="AB524" s="1333"/>
      <c r="AC524" s="1333"/>
      <c r="AD524" s="1333"/>
      <c r="AE524" s="1333"/>
      <c r="AF524" s="1333"/>
      <c r="AG524" s="1333"/>
      <c r="AH524" s="1333"/>
      <c r="AI524" s="1333"/>
      <c r="AJ524" s="1333"/>
    </row>
    <row r="525" spans="1:36" x14ac:dyDescent="0.25">
      <c r="A525" s="1331"/>
      <c r="B525" s="1284"/>
      <c r="C525" s="1284"/>
      <c r="D525" s="1364"/>
      <c r="E525" s="1364"/>
      <c r="F525" s="1364"/>
      <c r="G525" s="1365"/>
      <c r="H525" s="1333"/>
      <c r="I525" s="1333"/>
      <c r="J525" s="1333"/>
      <c r="K525" s="1333"/>
      <c r="L525" s="1333"/>
      <c r="M525" s="1333"/>
      <c r="N525" s="1333"/>
      <c r="O525" s="1333"/>
      <c r="P525" s="1333"/>
      <c r="Q525" s="1333"/>
      <c r="R525" s="1454"/>
      <c r="S525" s="1284"/>
      <c r="T525" s="1284"/>
      <c r="U525" s="1333"/>
      <c r="V525" s="1333"/>
      <c r="W525" s="1333"/>
      <c r="X525" s="1333"/>
      <c r="Y525" s="1333"/>
      <c r="Z525" s="1333"/>
      <c r="AA525" s="1333"/>
      <c r="AB525" s="1333"/>
      <c r="AC525" s="1333"/>
      <c r="AD525" s="1333"/>
      <c r="AE525" s="1333"/>
      <c r="AF525" s="1333"/>
      <c r="AG525" s="1333"/>
      <c r="AH525" s="1333"/>
      <c r="AI525" s="1333"/>
      <c r="AJ525" s="1333"/>
    </row>
    <row r="526" spans="1:36" x14ac:dyDescent="0.25">
      <c r="A526" s="1331"/>
      <c r="B526" s="1284"/>
      <c r="C526" s="1284"/>
      <c r="D526" s="1364"/>
      <c r="E526" s="1364"/>
      <c r="F526" s="1364"/>
      <c r="G526" s="1365"/>
      <c r="H526" s="1333"/>
      <c r="I526" s="1333"/>
      <c r="J526" s="1333"/>
      <c r="K526" s="1333"/>
      <c r="L526" s="1333"/>
      <c r="M526" s="1333"/>
      <c r="N526" s="1333"/>
      <c r="O526" s="1333"/>
      <c r="P526" s="1333"/>
      <c r="Q526" s="1333"/>
      <c r="R526" s="1454"/>
      <c r="S526" s="1284"/>
      <c r="T526" s="1284"/>
      <c r="U526" s="1333"/>
      <c r="V526" s="1333"/>
      <c r="W526" s="1333"/>
      <c r="X526" s="1333"/>
      <c r="Y526" s="1333"/>
      <c r="Z526" s="1333"/>
      <c r="AA526" s="1333"/>
      <c r="AB526" s="1333"/>
      <c r="AC526" s="1333"/>
      <c r="AD526" s="1333"/>
      <c r="AE526" s="1333"/>
      <c r="AF526" s="1333"/>
      <c r="AG526" s="1333"/>
      <c r="AH526" s="1333"/>
      <c r="AI526" s="1333"/>
      <c r="AJ526" s="1333"/>
    </row>
    <row r="527" spans="1:36" x14ac:dyDescent="0.25">
      <c r="A527" s="1331"/>
      <c r="B527" s="1284"/>
      <c r="C527" s="1284"/>
      <c r="D527" s="1364"/>
      <c r="E527" s="1364"/>
      <c r="F527" s="1364"/>
      <c r="G527" s="1365"/>
      <c r="H527" s="1333"/>
      <c r="I527" s="1333"/>
      <c r="J527" s="1333"/>
      <c r="K527" s="1333"/>
      <c r="L527" s="1333"/>
      <c r="M527" s="1333"/>
      <c r="N527" s="1333"/>
      <c r="O527" s="1333"/>
      <c r="P527" s="1333"/>
      <c r="Q527" s="1333"/>
      <c r="R527" s="1454"/>
      <c r="S527" s="1284"/>
      <c r="T527" s="1284"/>
      <c r="U527" s="1333"/>
      <c r="V527" s="1333"/>
      <c r="W527" s="1333"/>
      <c r="X527" s="1333"/>
      <c r="Y527" s="1333"/>
      <c r="Z527" s="1333"/>
      <c r="AA527" s="1333"/>
      <c r="AB527" s="1333"/>
      <c r="AC527" s="1333"/>
      <c r="AD527" s="1333"/>
      <c r="AE527" s="1333"/>
      <c r="AF527" s="1333"/>
      <c r="AG527" s="1333"/>
      <c r="AH527" s="1333"/>
      <c r="AI527" s="1333"/>
      <c r="AJ527" s="1333"/>
    </row>
    <row r="528" spans="1:36" x14ac:dyDescent="0.25">
      <c r="A528" s="1331"/>
      <c r="B528" s="1284"/>
      <c r="C528" s="1284"/>
      <c r="D528" s="1364"/>
      <c r="E528" s="1364"/>
      <c r="F528" s="1364"/>
      <c r="G528" s="1365"/>
      <c r="H528" s="1333"/>
      <c r="I528" s="1333"/>
      <c r="J528" s="1333"/>
      <c r="K528" s="1333"/>
      <c r="L528" s="1333"/>
      <c r="M528" s="1333"/>
      <c r="N528" s="1333"/>
      <c r="O528" s="1333"/>
      <c r="P528" s="1333"/>
      <c r="Q528" s="1333"/>
      <c r="R528" s="1454"/>
      <c r="S528" s="1284"/>
      <c r="T528" s="1284"/>
      <c r="U528" s="1333"/>
      <c r="V528" s="1333"/>
      <c r="W528" s="1333"/>
      <c r="X528" s="1333"/>
      <c r="Y528" s="1333"/>
      <c r="Z528" s="1333"/>
      <c r="AA528" s="1333"/>
      <c r="AB528" s="1333"/>
      <c r="AC528" s="1333"/>
      <c r="AD528" s="1333"/>
      <c r="AE528" s="1333"/>
      <c r="AF528" s="1333"/>
      <c r="AG528" s="1333"/>
      <c r="AH528" s="1333"/>
      <c r="AI528" s="1333"/>
      <c r="AJ528" s="1333"/>
    </row>
    <row r="529" spans="1:36" x14ac:dyDescent="0.25">
      <c r="A529" s="1331"/>
      <c r="B529" s="1284"/>
      <c r="C529" s="1284"/>
      <c r="D529" s="1364"/>
      <c r="E529" s="1364"/>
      <c r="F529" s="1364"/>
      <c r="G529" s="1365"/>
      <c r="H529" s="1333"/>
      <c r="I529" s="1333"/>
      <c r="J529" s="1333"/>
      <c r="K529" s="1333"/>
      <c r="L529" s="1333"/>
      <c r="M529" s="1333"/>
      <c r="N529" s="1333"/>
      <c r="O529" s="1333"/>
      <c r="P529" s="1333"/>
      <c r="Q529" s="1333"/>
      <c r="R529" s="1453"/>
      <c r="S529" s="1284"/>
      <c r="T529" s="1284"/>
      <c r="U529" s="1333"/>
      <c r="V529" s="1333"/>
      <c r="W529" s="1333"/>
      <c r="X529" s="1333"/>
      <c r="Y529" s="1333"/>
      <c r="Z529" s="1333"/>
      <c r="AA529" s="1333"/>
      <c r="AB529" s="1333"/>
      <c r="AC529" s="1333"/>
      <c r="AD529" s="1333"/>
      <c r="AE529" s="1333"/>
      <c r="AF529" s="1333"/>
      <c r="AG529" s="1333"/>
      <c r="AH529" s="1333"/>
      <c r="AI529" s="1333"/>
      <c r="AJ529" s="1333"/>
    </row>
    <row r="530" spans="1:36" x14ac:dyDescent="0.25">
      <c r="A530" s="1331"/>
      <c r="B530" s="1284"/>
      <c r="C530" s="1284"/>
      <c r="D530" s="1364"/>
      <c r="E530" s="1364"/>
      <c r="F530" s="1364"/>
      <c r="G530" s="1365"/>
      <c r="H530" s="1333"/>
      <c r="I530" s="1333"/>
      <c r="J530" s="1333"/>
      <c r="K530" s="1333"/>
      <c r="L530" s="1333"/>
      <c r="M530" s="1333"/>
      <c r="N530" s="1333"/>
      <c r="O530" s="1333"/>
      <c r="P530" s="1333"/>
      <c r="Q530" s="1333"/>
      <c r="R530" s="1284"/>
      <c r="S530" s="1489"/>
      <c r="T530" s="1284"/>
      <c r="U530" s="1333"/>
      <c r="V530" s="1333"/>
      <c r="W530" s="1333"/>
      <c r="X530" s="1333"/>
      <c r="Y530" s="1333"/>
      <c r="Z530" s="1333"/>
      <c r="AA530" s="1333"/>
      <c r="AB530" s="1333"/>
      <c r="AC530" s="1333"/>
      <c r="AD530" s="1333"/>
      <c r="AE530" s="1333"/>
      <c r="AF530" s="1333"/>
      <c r="AG530" s="1333"/>
      <c r="AH530" s="1333"/>
      <c r="AI530" s="1333"/>
      <c r="AJ530" s="1333"/>
    </row>
    <row r="531" spans="1:36" x14ac:dyDescent="0.25">
      <c r="A531" s="1331"/>
      <c r="B531" s="1284"/>
      <c r="C531" s="1284"/>
      <c r="D531" s="1364"/>
      <c r="E531" s="1364"/>
      <c r="F531" s="1364"/>
      <c r="G531" s="1365"/>
      <c r="H531" s="1333"/>
      <c r="I531" s="1333"/>
      <c r="J531" s="1333"/>
      <c r="K531" s="1333"/>
      <c r="L531" s="1333"/>
      <c r="M531" s="1333"/>
      <c r="N531" s="1333"/>
      <c r="O531" s="1333"/>
      <c r="P531" s="1333"/>
      <c r="Q531" s="1333"/>
      <c r="R531" s="1453"/>
      <c r="S531" s="1284"/>
      <c r="T531" s="1284"/>
      <c r="U531" s="1333"/>
      <c r="V531" s="1333"/>
      <c r="W531" s="1333"/>
      <c r="X531" s="1333"/>
      <c r="Y531" s="1333"/>
      <c r="Z531" s="1333"/>
      <c r="AA531" s="1333"/>
      <c r="AB531" s="1333"/>
      <c r="AC531" s="1333"/>
      <c r="AD531" s="1333"/>
      <c r="AE531" s="1333"/>
      <c r="AF531" s="1333"/>
      <c r="AG531" s="1333"/>
      <c r="AH531" s="1333"/>
      <c r="AI531" s="1333"/>
      <c r="AJ531" s="1333"/>
    </row>
    <row r="532" spans="1:36" x14ac:dyDescent="0.25">
      <c r="A532" s="1331"/>
      <c r="B532" s="1284"/>
      <c r="C532" s="1284"/>
      <c r="D532" s="1364"/>
      <c r="E532" s="1364"/>
      <c r="F532" s="1364"/>
      <c r="G532" s="1365"/>
      <c r="H532" s="1333"/>
      <c r="I532" s="1333"/>
      <c r="J532" s="1333"/>
      <c r="K532" s="1333"/>
      <c r="L532" s="1333"/>
      <c r="M532" s="1333"/>
      <c r="N532" s="1333"/>
      <c r="O532" s="1333"/>
      <c r="P532" s="1333"/>
      <c r="Q532" s="1333"/>
      <c r="R532" s="1453"/>
      <c r="S532" s="1284"/>
      <c r="T532" s="1284"/>
      <c r="U532" s="1333"/>
      <c r="V532" s="1333"/>
      <c r="W532" s="1333"/>
      <c r="X532" s="1333"/>
      <c r="Y532" s="1333"/>
      <c r="Z532" s="1333"/>
      <c r="AA532" s="1333"/>
      <c r="AB532" s="1333"/>
      <c r="AC532" s="1333"/>
      <c r="AD532" s="1333"/>
      <c r="AE532" s="1333"/>
      <c r="AF532" s="1333"/>
      <c r="AG532" s="1333"/>
      <c r="AH532" s="1333"/>
      <c r="AI532" s="1333"/>
      <c r="AJ532" s="1333"/>
    </row>
    <row r="533" spans="1:36" x14ac:dyDescent="0.25">
      <c r="A533" s="1331"/>
      <c r="B533" s="1284"/>
      <c r="C533" s="1284"/>
      <c r="D533" s="1364"/>
      <c r="E533" s="1364"/>
      <c r="F533" s="1364"/>
      <c r="G533" s="1365"/>
      <c r="H533" s="1333"/>
      <c r="I533" s="1333"/>
      <c r="J533" s="1333"/>
      <c r="K533" s="1333"/>
      <c r="L533" s="1333"/>
      <c r="M533" s="1333"/>
      <c r="N533" s="1333"/>
      <c r="O533" s="1333"/>
      <c r="P533" s="1333"/>
      <c r="Q533" s="1333"/>
      <c r="R533" s="1453"/>
      <c r="S533" s="1284"/>
      <c r="T533" s="1284"/>
      <c r="U533" s="1333"/>
      <c r="V533" s="1333"/>
      <c r="W533" s="1333"/>
      <c r="X533" s="1333"/>
      <c r="Y533" s="1333"/>
      <c r="Z533" s="1333"/>
      <c r="AA533" s="1333"/>
      <c r="AB533" s="1333"/>
      <c r="AC533" s="1333"/>
      <c r="AD533" s="1333"/>
      <c r="AE533" s="1333"/>
      <c r="AF533" s="1333"/>
      <c r="AG533" s="1333"/>
      <c r="AH533" s="1333"/>
      <c r="AI533" s="1333"/>
      <c r="AJ533" s="1333"/>
    </row>
    <row r="534" spans="1:36" x14ac:dyDescent="0.25">
      <c r="A534" s="1331"/>
      <c r="B534" s="1284"/>
      <c r="C534" s="1284"/>
      <c r="D534" s="1364"/>
      <c r="E534" s="1364"/>
      <c r="F534" s="1364"/>
      <c r="G534" s="1365"/>
      <c r="H534" s="1333"/>
      <c r="I534" s="1333"/>
      <c r="J534" s="1333"/>
      <c r="K534" s="1333"/>
      <c r="L534" s="1333"/>
      <c r="M534" s="1333"/>
      <c r="N534" s="1333"/>
      <c r="O534" s="1333"/>
      <c r="P534" s="1333"/>
      <c r="Q534" s="1333"/>
      <c r="R534" s="1284"/>
      <c r="S534" s="1489"/>
      <c r="T534" s="1284"/>
      <c r="U534" s="1333"/>
      <c r="V534" s="1333"/>
      <c r="W534" s="1333"/>
      <c r="X534" s="1333"/>
      <c r="Y534" s="1333"/>
      <c r="Z534" s="1333"/>
      <c r="AA534" s="1333"/>
      <c r="AB534" s="1333"/>
      <c r="AC534" s="1333"/>
      <c r="AD534" s="1333"/>
      <c r="AE534" s="1333"/>
      <c r="AF534" s="1333"/>
      <c r="AG534" s="1333"/>
      <c r="AH534" s="1333"/>
      <c r="AI534" s="1333"/>
      <c r="AJ534" s="1333"/>
    </row>
    <row r="535" spans="1:36" x14ac:dyDescent="0.25">
      <c r="A535" s="1331"/>
      <c r="B535" s="1284"/>
      <c r="C535" s="1284"/>
      <c r="D535" s="1364"/>
      <c r="E535" s="1364"/>
      <c r="F535" s="1364"/>
      <c r="G535" s="1365"/>
      <c r="H535" s="1333"/>
      <c r="I535" s="1333"/>
      <c r="J535" s="1333"/>
      <c r="K535" s="1333"/>
      <c r="L535" s="1333"/>
      <c r="M535" s="1333"/>
      <c r="N535" s="1333"/>
      <c r="O535" s="1333"/>
      <c r="P535" s="1333"/>
      <c r="Q535" s="1333"/>
      <c r="R535" s="1453"/>
      <c r="S535" s="1284"/>
      <c r="T535" s="1284"/>
      <c r="U535" s="1333"/>
      <c r="V535" s="1333"/>
      <c r="W535" s="1333"/>
      <c r="X535" s="1333"/>
      <c r="Y535" s="1333"/>
      <c r="Z535" s="1333"/>
      <c r="AA535" s="1333"/>
      <c r="AB535" s="1333"/>
      <c r="AC535" s="1333"/>
      <c r="AD535" s="1333"/>
      <c r="AE535" s="1333"/>
      <c r="AF535" s="1333"/>
      <c r="AG535" s="1333"/>
      <c r="AH535" s="1333"/>
      <c r="AI535" s="1333"/>
      <c r="AJ535" s="1333"/>
    </row>
    <row r="536" spans="1:36" x14ac:dyDescent="0.25">
      <c r="A536" s="1331"/>
      <c r="B536" s="1284"/>
      <c r="C536" s="1284"/>
      <c r="D536" s="1364"/>
      <c r="E536" s="1364"/>
      <c r="F536" s="1364"/>
      <c r="G536" s="1365"/>
      <c r="H536" s="1333"/>
      <c r="I536" s="1333"/>
      <c r="J536" s="1333"/>
      <c r="K536" s="1333"/>
      <c r="L536" s="1333"/>
      <c r="M536" s="1333"/>
      <c r="N536" s="1333"/>
      <c r="O536" s="1333"/>
      <c r="P536" s="1333"/>
      <c r="Q536" s="1333"/>
      <c r="R536" s="1453"/>
      <c r="S536" s="1284"/>
      <c r="T536" s="1284"/>
      <c r="U536" s="1333"/>
      <c r="V536" s="1333"/>
      <c r="W536" s="1333"/>
      <c r="X536" s="1333"/>
      <c r="Y536" s="1333"/>
      <c r="Z536" s="1333"/>
      <c r="AA536" s="1333"/>
      <c r="AB536" s="1333"/>
      <c r="AC536" s="1333"/>
      <c r="AD536" s="1333"/>
      <c r="AE536" s="1333"/>
      <c r="AF536" s="1333"/>
      <c r="AG536" s="1333"/>
      <c r="AH536" s="1333"/>
      <c r="AI536" s="1333"/>
      <c r="AJ536" s="1333"/>
    </row>
    <row r="537" spans="1:36" x14ac:dyDescent="0.25">
      <c r="A537" s="1331"/>
      <c r="B537" s="1284"/>
      <c r="C537" s="1284"/>
      <c r="D537" s="1364"/>
      <c r="E537" s="1364"/>
      <c r="F537" s="1364"/>
      <c r="G537" s="1365"/>
      <c r="H537" s="1333"/>
      <c r="I537" s="1333"/>
      <c r="J537" s="1333"/>
      <c r="K537" s="1333"/>
      <c r="L537" s="1333"/>
      <c r="M537" s="1333"/>
      <c r="N537" s="1333"/>
      <c r="O537" s="1333"/>
      <c r="P537" s="1333"/>
      <c r="Q537" s="1333"/>
      <c r="R537" s="1333"/>
      <c r="S537" s="1333"/>
      <c r="T537" s="1284"/>
      <c r="U537" s="1333"/>
      <c r="V537" s="1333"/>
      <c r="W537" s="1333"/>
      <c r="X537" s="1333"/>
      <c r="Y537" s="1333"/>
      <c r="Z537" s="1333"/>
      <c r="AA537" s="1333"/>
      <c r="AB537" s="1333"/>
      <c r="AC537" s="1333"/>
      <c r="AD537" s="1333"/>
      <c r="AE537" s="1333"/>
      <c r="AF537" s="1333"/>
      <c r="AG537" s="1333"/>
      <c r="AH537" s="1333"/>
      <c r="AI537" s="1333"/>
      <c r="AJ537" s="1333"/>
    </row>
    <row r="538" spans="1:36" x14ac:dyDescent="0.25">
      <c r="A538" s="1331"/>
      <c r="B538" s="1284"/>
      <c r="C538" s="1284"/>
      <c r="D538" s="1364"/>
      <c r="E538" s="1364"/>
      <c r="F538" s="1364"/>
      <c r="G538" s="1365"/>
      <c r="H538" s="1333"/>
      <c r="I538" s="1333"/>
      <c r="J538" s="1333"/>
      <c r="K538" s="1333"/>
      <c r="L538" s="1333"/>
      <c r="M538" s="1333"/>
      <c r="N538" s="1333"/>
      <c r="O538" s="1333"/>
      <c r="P538" s="1333"/>
      <c r="Q538" s="1333"/>
      <c r="R538" s="1333"/>
      <c r="S538" s="1333"/>
      <c r="T538" s="1284"/>
      <c r="U538" s="1333"/>
      <c r="V538" s="1333"/>
      <c r="W538" s="1333"/>
      <c r="X538" s="1333"/>
      <c r="Y538" s="1333"/>
      <c r="Z538" s="1333"/>
      <c r="AA538" s="1333"/>
      <c r="AB538" s="1333"/>
      <c r="AC538" s="1333"/>
      <c r="AD538" s="1333"/>
      <c r="AE538" s="1333"/>
      <c r="AF538" s="1333"/>
      <c r="AG538" s="1333"/>
      <c r="AH538" s="1333"/>
      <c r="AI538" s="1333"/>
      <c r="AJ538" s="1333"/>
    </row>
    <row r="539" spans="1:36" x14ac:dyDescent="0.25">
      <c r="A539" s="1331"/>
      <c r="B539" s="1284"/>
      <c r="C539" s="1284"/>
      <c r="D539" s="1364"/>
      <c r="E539" s="1364"/>
      <c r="F539" s="1364"/>
      <c r="G539" s="1365"/>
      <c r="H539" s="1333"/>
      <c r="I539" s="1333"/>
      <c r="J539" s="1333"/>
      <c r="K539" s="1333"/>
      <c r="L539" s="1333"/>
      <c r="M539" s="1333"/>
      <c r="N539" s="1333"/>
      <c r="O539" s="1333"/>
      <c r="P539" s="1333"/>
      <c r="Q539" s="1333"/>
      <c r="R539" s="1333"/>
      <c r="S539" s="1333"/>
      <c r="T539" s="1284"/>
      <c r="U539" s="1333"/>
      <c r="V539" s="1333"/>
      <c r="W539" s="1333"/>
      <c r="X539" s="1333"/>
      <c r="Y539" s="1333"/>
      <c r="Z539" s="1333"/>
      <c r="AA539" s="1333"/>
      <c r="AB539" s="1333"/>
      <c r="AC539" s="1333"/>
      <c r="AD539" s="1333"/>
      <c r="AE539" s="1333"/>
      <c r="AF539" s="1333"/>
      <c r="AG539" s="1333"/>
      <c r="AH539" s="1333"/>
      <c r="AI539" s="1333"/>
      <c r="AJ539" s="1333"/>
    </row>
    <row r="540" spans="1:36" x14ac:dyDescent="0.25">
      <c r="A540" s="1331"/>
      <c r="B540" s="1284"/>
      <c r="C540" s="1284"/>
      <c r="D540" s="1364"/>
      <c r="E540" s="1364"/>
      <c r="F540" s="1364"/>
      <c r="G540" s="1365"/>
      <c r="H540" s="1333"/>
      <c r="I540" s="1333"/>
      <c r="J540" s="1333"/>
      <c r="K540" s="1333"/>
      <c r="L540" s="1333"/>
      <c r="M540" s="1333"/>
      <c r="N540" s="1333"/>
      <c r="O540" s="1333"/>
      <c r="P540" s="1333"/>
      <c r="Q540" s="1333"/>
      <c r="R540" s="1333"/>
      <c r="S540" s="1333"/>
      <c r="T540" s="1284"/>
      <c r="U540" s="1333"/>
      <c r="V540" s="1333"/>
      <c r="W540" s="1333"/>
      <c r="X540" s="1333"/>
      <c r="Y540" s="1333"/>
      <c r="Z540" s="1333"/>
      <c r="AA540" s="1333"/>
      <c r="AB540" s="1333"/>
      <c r="AC540" s="1333"/>
      <c r="AD540" s="1333"/>
      <c r="AE540" s="1333"/>
      <c r="AF540" s="1333"/>
      <c r="AG540" s="1333"/>
      <c r="AH540" s="1333"/>
      <c r="AI540" s="1333"/>
      <c r="AJ540" s="1333"/>
    </row>
    <row r="541" spans="1:36" x14ac:dyDescent="0.25">
      <c r="A541" s="1331"/>
      <c r="B541" s="1284"/>
      <c r="C541" s="1284"/>
      <c r="D541" s="1364"/>
      <c r="E541" s="1364"/>
      <c r="F541" s="1364"/>
      <c r="G541" s="1365"/>
      <c r="H541" s="1333"/>
      <c r="I541" s="1333"/>
      <c r="J541" s="1333"/>
      <c r="K541" s="1333"/>
      <c r="L541" s="1333"/>
      <c r="M541" s="1333"/>
      <c r="N541" s="1333"/>
      <c r="O541" s="1333"/>
      <c r="P541" s="1333"/>
      <c r="Q541" s="1333"/>
      <c r="R541" s="1333"/>
      <c r="S541" s="1333"/>
      <c r="T541" s="1284"/>
      <c r="U541" s="1333"/>
      <c r="V541" s="1333"/>
      <c r="W541" s="1333"/>
      <c r="X541" s="1333"/>
      <c r="Y541" s="1333"/>
      <c r="Z541" s="1333"/>
      <c r="AA541" s="1333"/>
      <c r="AB541" s="1333"/>
      <c r="AC541" s="1333"/>
      <c r="AD541" s="1333"/>
      <c r="AE541" s="1333"/>
      <c r="AF541" s="1333"/>
      <c r="AG541" s="1333"/>
      <c r="AH541" s="1333"/>
      <c r="AI541" s="1333"/>
      <c r="AJ541" s="1333"/>
    </row>
    <row r="542" spans="1:36" x14ac:dyDescent="0.25">
      <c r="A542" s="1331"/>
      <c r="B542" s="1284"/>
      <c r="C542" s="1284"/>
      <c r="D542" s="1364"/>
      <c r="E542" s="1364"/>
      <c r="F542" s="1364"/>
      <c r="G542" s="1365"/>
      <c r="H542" s="1333"/>
      <c r="I542" s="1333"/>
      <c r="J542" s="1333"/>
      <c r="K542" s="1333"/>
      <c r="L542" s="1333"/>
      <c r="M542" s="1333"/>
      <c r="N542" s="1333"/>
      <c r="O542" s="1333"/>
      <c r="P542" s="1333"/>
      <c r="Q542" s="1333"/>
      <c r="R542" s="1333"/>
      <c r="S542" s="1333"/>
      <c r="T542" s="1284"/>
      <c r="U542" s="1333"/>
      <c r="V542" s="1333"/>
      <c r="W542" s="1333"/>
      <c r="X542" s="1333"/>
      <c r="Y542" s="1333"/>
      <c r="Z542" s="1333"/>
      <c r="AA542" s="1333"/>
      <c r="AB542" s="1333"/>
      <c r="AC542" s="1333"/>
      <c r="AD542" s="1333"/>
      <c r="AE542" s="1333"/>
      <c r="AF542" s="1333"/>
      <c r="AG542" s="1333"/>
      <c r="AH542" s="1333"/>
      <c r="AI542" s="1333"/>
      <c r="AJ542" s="1333"/>
    </row>
    <row r="543" spans="1:36" x14ac:dyDescent="0.25">
      <c r="A543" s="1331"/>
      <c r="B543" s="1284"/>
      <c r="C543" s="1284"/>
      <c r="D543" s="1364"/>
      <c r="E543" s="1364"/>
      <c r="F543" s="1364"/>
      <c r="G543" s="1365"/>
      <c r="H543" s="1333"/>
      <c r="I543" s="1333"/>
      <c r="J543" s="1333"/>
      <c r="K543" s="1333"/>
      <c r="L543" s="1333"/>
      <c r="M543" s="1333"/>
      <c r="N543" s="1333"/>
      <c r="O543" s="1333"/>
      <c r="P543" s="1333"/>
      <c r="Q543" s="1333"/>
      <c r="R543" s="1333"/>
      <c r="S543" s="1333"/>
      <c r="T543" s="1284"/>
      <c r="U543" s="1333"/>
      <c r="V543" s="1333"/>
      <c r="W543" s="1333"/>
      <c r="X543" s="1333"/>
      <c r="Y543" s="1333"/>
      <c r="Z543" s="1333"/>
      <c r="AA543" s="1333"/>
      <c r="AB543" s="1333"/>
      <c r="AC543" s="1333"/>
      <c r="AD543" s="1333"/>
      <c r="AE543" s="1333"/>
      <c r="AF543" s="1333"/>
      <c r="AG543" s="1333"/>
      <c r="AH543" s="1333"/>
      <c r="AI543" s="1333"/>
      <c r="AJ543" s="1333"/>
    </row>
    <row r="544" spans="1:36" x14ac:dyDescent="0.25">
      <c r="A544" s="1331"/>
      <c r="B544" s="1284"/>
      <c r="C544" s="1284"/>
      <c r="D544" s="1364"/>
      <c r="E544" s="1364"/>
      <c r="F544" s="1364"/>
      <c r="G544" s="1365"/>
      <c r="H544" s="1333"/>
      <c r="I544" s="1333"/>
      <c r="J544" s="1333"/>
      <c r="K544" s="1333"/>
      <c r="L544" s="1333"/>
      <c r="M544" s="1333"/>
      <c r="N544" s="1333"/>
      <c r="O544" s="1333"/>
      <c r="P544" s="1333"/>
      <c r="Q544" s="1333"/>
      <c r="R544" s="1333"/>
      <c r="S544" s="1333"/>
      <c r="T544" s="1284"/>
      <c r="U544" s="1333"/>
      <c r="V544" s="1333"/>
      <c r="W544" s="1333"/>
      <c r="X544" s="1333"/>
      <c r="Y544" s="1333"/>
      <c r="Z544" s="1333"/>
      <c r="AA544" s="1333"/>
      <c r="AB544" s="1333"/>
      <c r="AC544" s="1333"/>
      <c r="AD544" s="1333"/>
      <c r="AE544" s="1333"/>
      <c r="AF544" s="1333"/>
      <c r="AG544" s="1333"/>
      <c r="AH544" s="1333"/>
      <c r="AI544" s="1333"/>
      <c r="AJ544" s="1333"/>
    </row>
    <row r="545" spans="1:36" x14ac:dyDescent="0.25">
      <c r="A545" s="1331"/>
      <c r="B545" s="1284"/>
      <c r="C545" s="1284"/>
      <c r="D545" s="1364"/>
      <c r="E545" s="1364"/>
      <c r="F545" s="1364"/>
      <c r="G545" s="1365"/>
      <c r="H545" s="1333"/>
      <c r="I545" s="1333"/>
      <c r="J545" s="1333"/>
      <c r="K545" s="1333"/>
      <c r="L545" s="1333"/>
      <c r="M545" s="1333"/>
      <c r="N545" s="1333"/>
      <c r="O545" s="1333"/>
      <c r="P545" s="1333"/>
      <c r="Q545" s="1333"/>
      <c r="R545" s="1333"/>
      <c r="S545" s="1333"/>
      <c r="T545" s="1284"/>
      <c r="U545" s="1333"/>
      <c r="V545" s="1333"/>
      <c r="W545" s="1333"/>
      <c r="X545" s="1333"/>
      <c r="Y545" s="1333"/>
      <c r="Z545" s="1333"/>
      <c r="AA545" s="1333"/>
      <c r="AB545" s="1333"/>
      <c r="AC545" s="1333"/>
      <c r="AD545" s="1333"/>
      <c r="AE545" s="1333"/>
      <c r="AF545" s="1333"/>
      <c r="AG545" s="1333"/>
      <c r="AH545" s="1333"/>
      <c r="AI545" s="1333"/>
      <c r="AJ545" s="1333"/>
    </row>
    <row r="546" spans="1:36" x14ac:dyDescent="0.25">
      <c r="A546" s="1331"/>
      <c r="B546" s="1284"/>
      <c r="C546" s="1284"/>
      <c r="D546" s="1364"/>
      <c r="E546" s="1364"/>
      <c r="F546" s="1364"/>
      <c r="G546" s="1365"/>
      <c r="H546" s="1333"/>
      <c r="I546" s="1333"/>
      <c r="J546" s="1333"/>
      <c r="K546" s="1333"/>
      <c r="L546" s="1333"/>
      <c r="M546" s="1333"/>
      <c r="N546" s="1333"/>
      <c r="O546" s="1333"/>
      <c r="P546" s="1333"/>
      <c r="Q546" s="1333"/>
      <c r="R546" s="1333"/>
      <c r="S546" s="1333"/>
      <c r="T546" s="1284"/>
      <c r="U546" s="1333"/>
      <c r="V546" s="1333"/>
      <c r="W546" s="1333"/>
      <c r="X546" s="1333"/>
      <c r="Y546" s="1333"/>
      <c r="Z546" s="1333"/>
      <c r="AA546" s="1333"/>
      <c r="AB546" s="1333"/>
      <c r="AC546" s="1333"/>
      <c r="AD546" s="1333"/>
      <c r="AE546" s="1333"/>
      <c r="AF546" s="1333"/>
      <c r="AG546" s="1333"/>
      <c r="AH546" s="1333"/>
      <c r="AI546" s="1333"/>
      <c r="AJ546" s="1333"/>
    </row>
    <row r="547" spans="1:36" x14ac:dyDescent="0.25">
      <c r="A547" s="1331"/>
      <c r="B547" s="1284"/>
      <c r="C547" s="1284"/>
      <c r="D547" s="1364"/>
      <c r="E547" s="1364"/>
      <c r="F547" s="1364"/>
      <c r="G547" s="1365"/>
      <c r="H547" s="1333"/>
      <c r="I547" s="1333"/>
      <c r="J547" s="1333"/>
      <c r="K547" s="1333"/>
      <c r="L547" s="1333"/>
      <c r="M547" s="1333"/>
      <c r="N547" s="1333"/>
      <c r="O547" s="1333"/>
      <c r="P547" s="1333"/>
      <c r="Q547" s="1333"/>
      <c r="R547" s="1333"/>
      <c r="S547" s="1333"/>
      <c r="T547" s="1284"/>
      <c r="U547" s="1333"/>
      <c r="V547" s="1333"/>
      <c r="W547" s="1333"/>
      <c r="X547" s="1333"/>
      <c r="Y547" s="1333"/>
      <c r="Z547" s="1333"/>
      <c r="AA547" s="1333"/>
      <c r="AB547" s="1333"/>
      <c r="AC547" s="1333"/>
      <c r="AD547" s="1333"/>
      <c r="AE547" s="1333"/>
      <c r="AF547" s="1333"/>
      <c r="AG547" s="1333"/>
      <c r="AH547" s="1333"/>
      <c r="AI547" s="1333"/>
      <c r="AJ547" s="1333"/>
    </row>
    <row r="548" spans="1:36" x14ac:dyDescent="0.25">
      <c r="A548" s="1331"/>
      <c r="B548" s="1284"/>
      <c r="C548" s="1284"/>
      <c r="D548" s="1364"/>
      <c r="E548" s="1364"/>
      <c r="F548" s="1364"/>
      <c r="G548" s="1365"/>
      <c r="H548" s="1333"/>
      <c r="I548" s="1333"/>
      <c r="J548" s="1333"/>
      <c r="K548" s="1333"/>
      <c r="L548" s="1333"/>
      <c r="M548" s="1333"/>
      <c r="N548" s="1333"/>
      <c r="O548" s="1333"/>
      <c r="P548" s="1333"/>
      <c r="Q548" s="1333"/>
      <c r="R548" s="1333"/>
      <c r="S548" s="1333"/>
      <c r="T548" s="1284"/>
      <c r="U548" s="1333"/>
      <c r="V548" s="1333"/>
      <c r="W548" s="1333"/>
      <c r="X548" s="1333"/>
      <c r="Y548" s="1333"/>
      <c r="Z548" s="1333"/>
      <c r="AA548" s="1333"/>
      <c r="AB548" s="1333"/>
      <c r="AC548" s="1333"/>
      <c r="AD548" s="1333"/>
      <c r="AE548" s="1333"/>
      <c r="AF548" s="1333"/>
      <c r="AG548" s="1333"/>
      <c r="AH548" s="1333"/>
      <c r="AI548" s="1333"/>
      <c r="AJ548" s="1333"/>
    </row>
    <row r="549" spans="1:36" x14ac:dyDescent="0.25">
      <c r="A549" s="1331"/>
      <c r="B549" s="1284"/>
      <c r="C549" s="1284"/>
      <c r="D549" s="1364"/>
      <c r="E549" s="1364"/>
      <c r="F549" s="1364"/>
      <c r="G549" s="1365"/>
      <c r="H549" s="1333"/>
      <c r="I549" s="1333"/>
      <c r="J549" s="1333"/>
      <c r="K549" s="1333"/>
      <c r="L549" s="1333"/>
      <c r="M549" s="1333"/>
      <c r="N549" s="1333"/>
      <c r="O549" s="1333"/>
      <c r="P549" s="1333"/>
      <c r="Q549" s="1333"/>
      <c r="R549" s="1333"/>
      <c r="S549" s="1333"/>
      <c r="T549" s="1284"/>
      <c r="U549" s="1333"/>
      <c r="V549" s="1333"/>
      <c r="W549" s="1333"/>
      <c r="X549" s="1333"/>
      <c r="Y549" s="1333"/>
      <c r="Z549" s="1333"/>
      <c r="AA549" s="1333"/>
      <c r="AB549" s="1333"/>
      <c r="AC549" s="1333"/>
      <c r="AD549" s="1333"/>
      <c r="AE549" s="1333"/>
      <c r="AF549" s="1333"/>
      <c r="AG549" s="1333"/>
      <c r="AH549" s="1333"/>
      <c r="AI549" s="1333"/>
      <c r="AJ549" s="1333"/>
    </row>
    <row r="550" spans="1:36" x14ac:dyDescent="0.25">
      <c r="A550" s="1331"/>
      <c r="B550" s="1284"/>
      <c r="C550" s="1284"/>
      <c r="D550" s="1364"/>
      <c r="E550" s="1364"/>
      <c r="F550" s="1364"/>
      <c r="G550" s="1365"/>
      <c r="H550" s="1333"/>
      <c r="I550" s="1333"/>
      <c r="J550" s="1333"/>
      <c r="K550" s="1333"/>
      <c r="L550" s="1333"/>
      <c r="M550" s="1333"/>
      <c r="N550" s="1333"/>
      <c r="O550" s="1333"/>
      <c r="P550" s="1333"/>
      <c r="Q550" s="1333"/>
      <c r="R550" s="1333"/>
      <c r="S550" s="1333"/>
      <c r="T550" s="1284"/>
      <c r="U550" s="1333"/>
      <c r="V550" s="1333"/>
      <c r="W550" s="1333"/>
      <c r="X550" s="1333"/>
      <c r="Y550" s="1333"/>
      <c r="Z550" s="1333"/>
      <c r="AA550" s="1333"/>
      <c r="AB550" s="1333"/>
      <c r="AC550" s="1333"/>
      <c r="AD550" s="1333"/>
      <c r="AE550" s="1333"/>
      <c r="AF550" s="1333"/>
      <c r="AG550" s="1333"/>
      <c r="AH550" s="1333"/>
      <c r="AI550" s="1333"/>
      <c r="AJ550" s="1333"/>
    </row>
    <row r="551" spans="1:36" x14ac:dyDescent="0.25">
      <c r="A551" s="1331"/>
      <c r="B551" s="1284"/>
      <c r="C551" s="1284"/>
      <c r="D551" s="1364"/>
      <c r="E551" s="1364"/>
      <c r="F551" s="1364"/>
      <c r="G551" s="1365"/>
      <c r="H551" s="1333"/>
      <c r="I551" s="1333"/>
      <c r="J551" s="1333"/>
      <c r="K551" s="1333"/>
      <c r="L551" s="1333"/>
      <c r="M551" s="1333"/>
      <c r="N551" s="1333"/>
      <c r="O551" s="1333"/>
      <c r="P551" s="1333"/>
      <c r="Q551" s="1333"/>
      <c r="R551" s="1333"/>
      <c r="S551" s="1333"/>
      <c r="T551" s="1284"/>
      <c r="U551" s="1333"/>
      <c r="V551" s="1333"/>
      <c r="W551" s="1333"/>
      <c r="X551" s="1333"/>
      <c r="Y551" s="1333"/>
      <c r="Z551" s="1333"/>
      <c r="AA551" s="1333"/>
      <c r="AB551" s="1333"/>
      <c r="AC551" s="1333"/>
      <c r="AD551" s="1333"/>
      <c r="AE551" s="1333"/>
      <c r="AF551" s="1333"/>
      <c r="AG551" s="1333"/>
      <c r="AH551" s="1333"/>
      <c r="AI551" s="1333"/>
      <c r="AJ551" s="1333"/>
    </row>
    <row r="552" spans="1:36" x14ac:dyDescent="0.25">
      <c r="A552" s="1331"/>
      <c r="B552" s="1284"/>
      <c r="C552" s="1284"/>
      <c r="D552" s="1364"/>
      <c r="E552" s="1364"/>
      <c r="F552" s="1364"/>
      <c r="G552" s="1365"/>
      <c r="H552" s="1333"/>
      <c r="I552" s="1333"/>
      <c r="J552" s="1333"/>
      <c r="K552" s="1333"/>
      <c r="L552" s="1333"/>
      <c r="M552" s="1333"/>
      <c r="N552" s="1333"/>
      <c r="O552" s="1333"/>
      <c r="P552" s="1333"/>
      <c r="Q552" s="1333"/>
      <c r="R552" s="1333"/>
      <c r="S552" s="1333"/>
      <c r="T552" s="1284"/>
      <c r="U552" s="1333"/>
      <c r="V552" s="1333"/>
      <c r="W552" s="1333"/>
      <c r="X552" s="1333"/>
      <c r="Y552" s="1333"/>
      <c r="Z552" s="1333"/>
      <c r="AA552" s="1333"/>
      <c r="AB552" s="1333"/>
      <c r="AC552" s="1333"/>
      <c r="AD552" s="1333"/>
      <c r="AE552" s="1333"/>
      <c r="AF552" s="1333"/>
      <c r="AG552" s="1333"/>
      <c r="AH552" s="1333"/>
      <c r="AI552" s="1333"/>
      <c r="AJ552" s="1333"/>
    </row>
    <row r="553" spans="1:36" x14ac:dyDescent="0.25">
      <c r="A553" s="1331"/>
      <c r="B553" s="1284"/>
      <c r="C553" s="1284"/>
      <c r="D553" s="1364"/>
      <c r="E553" s="1364"/>
      <c r="F553" s="1364"/>
      <c r="G553" s="1365"/>
      <c r="H553" s="1333"/>
      <c r="I553" s="1333"/>
      <c r="J553" s="1333"/>
      <c r="K553" s="1333"/>
      <c r="L553" s="1333"/>
      <c r="M553" s="1333"/>
      <c r="N553" s="1333"/>
      <c r="O553" s="1333"/>
      <c r="P553" s="1333"/>
      <c r="Q553" s="1333"/>
      <c r="R553" s="1333"/>
      <c r="S553" s="1333"/>
      <c r="T553" s="1284"/>
      <c r="U553" s="1333"/>
      <c r="V553" s="1333"/>
      <c r="W553" s="1333"/>
      <c r="X553" s="1333"/>
      <c r="Y553" s="1333"/>
      <c r="Z553" s="1333"/>
      <c r="AA553" s="1333"/>
      <c r="AB553" s="1333"/>
      <c r="AC553" s="1333"/>
      <c r="AD553" s="1333"/>
      <c r="AE553" s="1333"/>
      <c r="AF553" s="1333"/>
      <c r="AG553" s="1333"/>
      <c r="AH553" s="1333"/>
      <c r="AI553" s="1333"/>
      <c r="AJ553" s="1333"/>
    </row>
    <row r="554" spans="1:36" x14ac:dyDescent="0.25">
      <c r="A554" s="1331"/>
      <c r="B554" s="1284"/>
      <c r="C554" s="1284"/>
      <c r="D554" s="1364"/>
      <c r="E554" s="1364"/>
      <c r="F554" s="1364"/>
      <c r="G554" s="1365"/>
      <c r="H554" s="1333"/>
      <c r="I554" s="1333"/>
      <c r="J554" s="1333"/>
      <c r="K554" s="1333"/>
      <c r="L554" s="1333"/>
      <c r="M554" s="1333"/>
      <c r="N554" s="1333"/>
      <c r="O554" s="1333"/>
      <c r="P554" s="1333"/>
      <c r="Q554" s="1333"/>
      <c r="R554" s="1333"/>
      <c r="S554" s="1333"/>
      <c r="T554" s="1284"/>
      <c r="U554" s="1333"/>
      <c r="V554" s="1333"/>
      <c r="W554" s="1333"/>
      <c r="X554" s="1333"/>
      <c r="Y554" s="1333"/>
      <c r="Z554" s="1333"/>
      <c r="AA554" s="1333"/>
      <c r="AB554" s="1333"/>
      <c r="AC554" s="1333"/>
      <c r="AD554" s="1333"/>
      <c r="AE554" s="1333"/>
      <c r="AF554" s="1333"/>
      <c r="AG554" s="1333"/>
      <c r="AH554" s="1333"/>
      <c r="AI554" s="1333"/>
      <c r="AJ554" s="1333"/>
    </row>
    <row r="555" spans="1:36" x14ac:dyDescent="0.25">
      <c r="A555" s="1331"/>
      <c r="B555" s="1284"/>
      <c r="C555" s="1284"/>
      <c r="D555" s="1364"/>
      <c r="E555" s="1364"/>
      <c r="F555" s="1364"/>
      <c r="G555" s="1365"/>
      <c r="H555" s="1333"/>
      <c r="I555" s="1333"/>
      <c r="J555" s="1333"/>
      <c r="K555" s="1333"/>
      <c r="L555" s="1333"/>
      <c r="M555" s="1333"/>
      <c r="N555" s="1333"/>
      <c r="O555" s="1333"/>
      <c r="P555" s="1333"/>
      <c r="Q555" s="1333"/>
      <c r="R555" s="1333"/>
      <c r="S555" s="1333"/>
      <c r="T555" s="1284"/>
      <c r="U555" s="1333"/>
      <c r="V555" s="1333"/>
      <c r="W555" s="1333"/>
      <c r="X555" s="1333"/>
      <c r="Y555" s="1333"/>
      <c r="Z555" s="1333"/>
      <c r="AA555" s="1333"/>
      <c r="AB555" s="1333"/>
      <c r="AC555" s="1333"/>
      <c r="AD555" s="1333"/>
      <c r="AE555" s="1333"/>
      <c r="AF555" s="1333"/>
      <c r="AG555" s="1333"/>
      <c r="AH555" s="1333"/>
      <c r="AI555" s="1333"/>
      <c r="AJ555" s="1333"/>
    </row>
    <row r="556" spans="1:36" x14ac:dyDescent="0.25">
      <c r="A556" s="1331"/>
      <c r="B556" s="1284"/>
      <c r="C556" s="1284"/>
      <c r="D556" s="1364"/>
      <c r="E556" s="1364"/>
      <c r="F556" s="1364"/>
      <c r="G556" s="1365"/>
      <c r="H556" s="1333"/>
      <c r="I556" s="1333"/>
      <c r="J556" s="1333"/>
      <c r="K556" s="1333"/>
      <c r="L556" s="1333"/>
      <c r="M556" s="1333"/>
      <c r="N556" s="1333"/>
      <c r="O556" s="1333"/>
      <c r="P556" s="1333"/>
      <c r="Q556" s="1333"/>
      <c r="R556" s="1333"/>
      <c r="S556" s="1333"/>
      <c r="T556" s="1284"/>
      <c r="U556" s="1333"/>
      <c r="V556" s="1333"/>
      <c r="W556" s="1333"/>
      <c r="X556" s="1333"/>
      <c r="Y556" s="1333"/>
      <c r="Z556" s="1333"/>
      <c r="AA556" s="1333"/>
      <c r="AB556" s="1333"/>
      <c r="AC556" s="1333"/>
      <c r="AD556" s="1333"/>
      <c r="AE556" s="1333"/>
      <c r="AF556" s="1333"/>
      <c r="AG556" s="1333"/>
      <c r="AH556" s="1333"/>
      <c r="AI556" s="1333"/>
      <c r="AJ556" s="1333"/>
    </row>
    <row r="557" spans="1:36" x14ac:dyDescent="0.25">
      <c r="A557" s="1331"/>
      <c r="B557" s="1284"/>
      <c r="C557" s="1284"/>
      <c r="D557" s="1364"/>
      <c r="E557" s="1364"/>
      <c r="F557" s="1364"/>
      <c r="G557" s="1365"/>
      <c r="H557" s="1333"/>
      <c r="I557" s="1333"/>
      <c r="J557" s="1333"/>
      <c r="K557" s="1333"/>
      <c r="L557" s="1333"/>
      <c r="M557" s="1333"/>
      <c r="N557" s="1333"/>
      <c r="O557" s="1333"/>
      <c r="P557" s="1333"/>
      <c r="Q557" s="1333"/>
      <c r="R557" s="1333"/>
      <c r="S557" s="1333"/>
      <c r="T557" s="1284"/>
      <c r="U557" s="1333"/>
      <c r="V557" s="1333"/>
      <c r="W557" s="1333"/>
      <c r="X557" s="1333"/>
      <c r="Y557" s="1333"/>
      <c r="Z557" s="1333"/>
      <c r="AA557" s="1333"/>
      <c r="AB557" s="1333"/>
      <c r="AC557" s="1333"/>
      <c r="AD557" s="1333"/>
      <c r="AE557" s="1333"/>
      <c r="AF557" s="1333"/>
      <c r="AG557" s="1333"/>
      <c r="AH557" s="1333"/>
      <c r="AI557" s="1333"/>
      <c r="AJ557" s="1333"/>
    </row>
    <row r="558" spans="1:36" x14ac:dyDescent="0.25">
      <c r="A558" s="1331"/>
      <c r="B558" s="1284"/>
      <c r="C558" s="1284"/>
      <c r="D558" s="1364"/>
      <c r="E558" s="1364"/>
      <c r="F558" s="1364"/>
      <c r="G558" s="1365"/>
      <c r="H558" s="1333"/>
      <c r="I558" s="1333"/>
      <c r="J558" s="1333"/>
      <c r="K558" s="1333"/>
      <c r="L558" s="1333"/>
      <c r="M558" s="1333"/>
      <c r="N558" s="1333"/>
      <c r="O558" s="1333"/>
      <c r="P558" s="1333"/>
      <c r="Q558" s="1333"/>
      <c r="R558" s="1333"/>
      <c r="S558" s="1333"/>
      <c r="T558" s="1284"/>
      <c r="U558" s="1333"/>
      <c r="V558" s="1333"/>
      <c r="W558" s="1333"/>
      <c r="X558" s="1333"/>
      <c r="Y558" s="1333"/>
      <c r="Z558" s="1333"/>
      <c r="AA558" s="1333"/>
      <c r="AB558" s="1333"/>
      <c r="AC558" s="1333"/>
      <c r="AD558" s="1333"/>
      <c r="AE558" s="1333"/>
      <c r="AF558" s="1333"/>
      <c r="AG558" s="1333"/>
      <c r="AH558" s="1333"/>
      <c r="AI558" s="1333"/>
      <c r="AJ558" s="1333"/>
    </row>
    <row r="559" spans="1:36" x14ac:dyDescent="0.25">
      <c r="A559" s="1331"/>
      <c r="B559" s="1284"/>
      <c r="C559" s="1284"/>
      <c r="D559" s="1364"/>
      <c r="E559" s="1364"/>
      <c r="F559" s="1364"/>
      <c r="G559" s="1365"/>
      <c r="H559" s="1333"/>
      <c r="I559" s="1333"/>
      <c r="J559" s="1333"/>
      <c r="K559" s="1333"/>
      <c r="L559" s="1333"/>
      <c r="M559" s="1333"/>
      <c r="N559" s="1333"/>
      <c r="O559" s="1333"/>
      <c r="P559" s="1333"/>
      <c r="Q559" s="1333"/>
      <c r="R559" s="1333"/>
      <c r="S559" s="1333"/>
      <c r="T559" s="1284"/>
      <c r="U559" s="1333"/>
      <c r="V559" s="1333"/>
      <c r="W559" s="1333"/>
      <c r="X559" s="1333"/>
      <c r="Y559" s="1333"/>
      <c r="Z559" s="1333"/>
      <c r="AA559" s="1333"/>
      <c r="AB559" s="1333"/>
      <c r="AC559" s="1333"/>
      <c r="AD559" s="1333"/>
      <c r="AE559" s="1333"/>
      <c r="AF559" s="1333"/>
      <c r="AG559" s="1333"/>
      <c r="AH559" s="1333"/>
      <c r="AI559" s="1333"/>
      <c r="AJ559" s="1333"/>
    </row>
    <row r="560" spans="1:36" x14ac:dyDescent="0.25">
      <c r="A560" s="1331"/>
      <c r="B560" s="1284"/>
      <c r="C560" s="1284"/>
      <c r="D560" s="1364"/>
      <c r="E560" s="1364"/>
      <c r="F560" s="1364"/>
      <c r="G560" s="1365"/>
      <c r="H560" s="1333"/>
      <c r="I560" s="1333"/>
      <c r="J560" s="1333"/>
      <c r="K560" s="1333"/>
      <c r="L560" s="1333"/>
      <c r="M560" s="1333"/>
      <c r="N560" s="1333"/>
      <c r="O560" s="1333"/>
      <c r="P560" s="1333"/>
      <c r="Q560" s="1333"/>
      <c r="R560" s="1333"/>
      <c r="S560" s="1333"/>
      <c r="T560" s="1284"/>
      <c r="U560" s="1333"/>
      <c r="V560" s="1333"/>
      <c r="W560" s="1333"/>
      <c r="X560" s="1333"/>
      <c r="Y560" s="1333"/>
      <c r="Z560" s="1333"/>
      <c r="AA560" s="1333"/>
      <c r="AB560" s="1333"/>
      <c r="AC560" s="1333"/>
      <c r="AD560" s="1333"/>
      <c r="AE560" s="1333"/>
      <c r="AF560" s="1333"/>
      <c r="AG560" s="1333"/>
      <c r="AH560" s="1333"/>
      <c r="AI560" s="1333"/>
      <c r="AJ560" s="1333"/>
    </row>
    <row r="561" spans="1:36" x14ac:dyDescent="0.25">
      <c r="A561" s="1331"/>
      <c r="B561" s="1284"/>
      <c r="C561" s="1284"/>
      <c r="D561" s="1364"/>
      <c r="E561" s="1364"/>
      <c r="F561" s="1364"/>
      <c r="G561" s="1365"/>
      <c r="H561" s="1333"/>
      <c r="I561" s="1333"/>
      <c r="J561" s="1333"/>
      <c r="K561" s="1333"/>
      <c r="L561" s="1333"/>
      <c r="M561" s="1333"/>
      <c r="N561" s="1333"/>
      <c r="O561" s="1333"/>
      <c r="P561" s="1333"/>
      <c r="Q561" s="1333"/>
      <c r="R561" s="1333"/>
      <c r="S561" s="1333"/>
      <c r="T561" s="1284"/>
      <c r="U561" s="1333"/>
      <c r="V561" s="1333"/>
      <c r="W561" s="1333"/>
      <c r="X561" s="1333"/>
      <c r="Y561" s="1333"/>
      <c r="Z561" s="1333"/>
      <c r="AA561" s="1333"/>
      <c r="AB561" s="1333"/>
      <c r="AC561" s="1333"/>
      <c r="AD561" s="1333"/>
      <c r="AE561" s="1333"/>
      <c r="AF561" s="1333"/>
      <c r="AG561" s="1333"/>
      <c r="AH561" s="1333"/>
      <c r="AI561" s="1333"/>
      <c r="AJ561" s="1333"/>
    </row>
    <row r="562" spans="1:36" x14ac:dyDescent="0.25">
      <c r="A562" s="1331"/>
      <c r="B562" s="1284"/>
      <c r="C562" s="1284"/>
      <c r="D562" s="1364"/>
      <c r="E562" s="1364"/>
      <c r="F562" s="1364"/>
      <c r="G562" s="1365"/>
      <c r="H562" s="1333"/>
      <c r="I562" s="1333"/>
      <c r="J562" s="1333"/>
      <c r="K562" s="1333"/>
      <c r="L562" s="1333"/>
      <c r="M562" s="1333"/>
      <c r="N562" s="1333"/>
      <c r="O562" s="1333"/>
      <c r="P562" s="1333"/>
      <c r="Q562" s="1333"/>
      <c r="R562" s="1333"/>
      <c r="S562" s="1333"/>
      <c r="T562" s="1284"/>
      <c r="U562" s="1333"/>
      <c r="V562" s="1333"/>
      <c r="W562" s="1333"/>
      <c r="X562" s="1333"/>
      <c r="Y562" s="1333"/>
      <c r="Z562" s="1333"/>
      <c r="AA562" s="1333"/>
      <c r="AB562" s="1333"/>
      <c r="AC562" s="1333"/>
      <c r="AD562" s="1333"/>
      <c r="AE562" s="1333"/>
      <c r="AF562" s="1333"/>
      <c r="AG562" s="1333"/>
      <c r="AH562" s="1333"/>
      <c r="AI562" s="1333"/>
      <c r="AJ562" s="1333"/>
    </row>
    <row r="563" spans="1:36" x14ac:dyDescent="0.25">
      <c r="A563" s="1331"/>
      <c r="B563" s="1284"/>
      <c r="C563" s="1284"/>
      <c r="D563" s="1364"/>
      <c r="E563" s="1364"/>
      <c r="F563" s="1364"/>
      <c r="G563" s="1365"/>
      <c r="H563" s="1333"/>
      <c r="I563" s="1333"/>
      <c r="J563" s="1333"/>
      <c r="K563" s="1333"/>
      <c r="L563" s="1333"/>
      <c r="M563" s="1333"/>
      <c r="N563" s="1333"/>
      <c r="O563" s="1333"/>
      <c r="P563" s="1333"/>
      <c r="Q563" s="1333"/>
      <c r="R563" s="1333"/>
      <c r="S563" s="1333"/>
      <c r="T563" s="1284"/>
      <c r="U563" s="1333"/>
      <c r="V563" s="1333"/>
      <c r="W563" s="1333"/>
      <c r="X563" s="1333"/>
      <c r="Y563" s="1333"/>
      <c r="Z563" s="1333"/>
      <c r="AA563" s="1333"/>
      <c r="AB563" s="1333"/>
      <c r="AC563" s="1333"/>
      <c r="AD563" s="1333"/>
      <c r="AE563" s="1333"/>
      <c r="AF563" s="1333"/>
      <c r="AG563" s="1333"/>
      <c r="AH563" s="1333"/>
      <c r="AI563" s="1333"/>
      <c r="AJ563" s="1333"/>
    </row>
    <row r="564" spans="1:36" x14ac:dyDescent="0.25">
      <c r="A564" s="1331"/>
      <c r="B564" s="1284"/>
      <c r="C564" s="1284"/>
      <c r="D564" s="1364"/>
      <c r="E564" s="1364"/>
      <c r="F564" s="1364"/>
      <c r="G564" s="1365"/>
      <c r="H564" s="1333"/>
      <c r="I564" s="1333"/>
      <c r="J564" s="1333"/>
      <c r="K564" s="1333"/>
      <c r="L564" s="1333"/>
      <c r="M564" s="1333"/>
      <c r="N564" s="1333"/>
      <c r="O564" s="1333"/>
      <c r="P564" s="1333"/>
      <c r="Q564" s="1333"/>
      <c r="R564" s="1333"/>
      <c r="S564" s="1333"/>
      <c r="T564" s="1284"/>
      <c r="U564" s="1333"/>
      <c r="V564" s="1333"/>
      <c r="W564" s="1333"/>
      <c r="X564" s="1333"/>
      <c r="Y564" s="1333"/>
      <c r="Z564" s="1333"/>
      <c r="AA564" s="1333"/>
      <c r="AB564" s="1333"/>
      <c r="AC564" s="1333"/>
      <c r="AD564" s="1333"/>
      <c r="AE564" s="1333"/>
      <c r="AF564" s="1333"/>
      <c r="AG564" s="1333"/>
      <c r="AH564" s="1333"/>
      <c r="AI564" s="1333"/>
      <c r="AJ564" s="1333"/>
    </row>
    <row r="565" spans="1:36" x14ac:dyDescent="0.25">
      <c r="A565" s="1331"/>
      <c r="B565" s="1284"/>
      <c r="C565" s="1284"/>
      <c r="D565" s="1364"/>
      <c r="E565" s="1364"/>
      <c r="F565" s="1364"/>
      <c r="G565" s="1365"/>
      <c r="H565" s="1333"/>
      <c r="I565" s="1333"/>
      <c r="J565" s="1333"/>
      <c r="K565" s="1333"/>
      <c r="L565" s="1333"/>
      <c r="M565" s="1333"/>
      <c r="N565" s="1333"/>
      <c r="O565" s="1333"/>
      <c r="P565" s="1333"/>
      <c r="Q565" s="1333"/>
      <c r="R565" s="1333"/>
      <c r="S565" s="1333"/>
      <c r="T565" s="1284"/>
      <c r="U565" s="1333"/>
      <c r="V565" s="1333"/>
      <c r="W565" s="1333"/>
      <c r="X565" s="1333"/>
      <c r="Y565" s="1333"/>
      <c r="Z565" s="1333"/>
      <c r="AA565" s="1333"/>
      <c r="AB565" s="1333"/>
      <c r="AC565" s="1333"/>
      <c r="AD565" s="1333"/>
      <c r="AE565" s="1333"/>
      <c r="AF565" s="1333"/>
      <c r="AG565" s="1333"/>
      <c r="AH565" s="1333"/>
      <c r="AI565" s="1333"/>
      <c r="AJ565" s="1333"/>
    </row>
    <row r="566" spans="1:36" x14ac:dyDescent="0.25">
      <c r="A566" s="1331"/>
      <c r="B566" s="1284"/>
      <c r="C566" s="1284"/>
      <c r="D566" s="1364"/>
      <c r="E566" s="1364"/>
      <c r="F566" s="1364"/>
      <c r="G566" s="1365"/>
      <c r="H566" s="1333"/>
      <c r="I566" s="1333"/>
      <c r="J566" s="1333"/>
      <c r="K566" s="1333"/>
      <c r="L566" s="1333"/>
      <c r="M566" s="1333"/>
      <c r="N566" s="1333"/>
      <c r="O566" s="1333"/>
      <c r="P566" s="1333"/>
      <c r="Q566" s="1333"/>
      <c r="R566" s="1333"/>
      <c r="S566" s="1333"/>
      <c r="T566" s="1284"/>
      <c r="U566" s="1333"/>
      <c r="V566" s="1333"/>
      <c r="W566" s="1333"/>
      <c r="X566" s="1333"/>
      <c r="Y566" s="1333"/>
      <c r="Z566" s="1333"/>
      <c r="AA566" s="1333"/>
      <c r="AB566" s="1333"/>
      <c r="AC566" s="1333"/>
      <c r="AD566" s="1333"/>
      <c r="AE566" s="1333"/>
      <c r="AF566" s="1333"/>
      <c r="AG566" s="1333"/>
      <c r="AH566" s="1333"/>
      <c r="AI566" s="1333"/>
      <c r="AJ566" s="1333"/>
    </row>
    <row r="567" spans="1:36" x14ac:dyDescent="0.25">
      <c r="A567" s="1331"/>
      <c r="B567" s="1284"/>
      <c r="C567" s="1284"/>
      <c r="D567" s="1364"/>
      <c r="E567" s="1364"/>
      <c r="F567" s="1364"/>
      <c r="G567" s="1365"/>
      <c r="H567" s="1333"/>
      <c r="I567" s="1333"/>
      <c r="J567" s="1333"/>
      <c r="K567" s="1333"/>
      <c r="L567" s="1333"/>
      <c r="M567" s="1333"/>
      <c r="N567" s="1333"/>
      <c r="O567" s="1333"/>
      <c r="P567" s="1333"/>
      <c r="Q567" s="1333"/>
      <c r="R567" s="1333"/>
      <c r="S567" s="1333"/>
      <c r="T567" s="1284"/>
      <c r="U567" s="1333"/>
      <c r="V567" s="1333"/>
      <c r="W567" s="1333"/>
      <c r="X567" s="1333"/>
      <c r="Y567" s="1333"/>
      <c r="Z567" s="1333"/>
      <c r="AA567" s="1333"/>
      <c r="AB567" s="1333"/>
      <c r="AC567" s="1333"/>
      <c r="AD567" s="1333"/>
      <c r="AE567" s="1333"/>
      <c r="AF567" s="1333"/>
      <c r="AG567" s="1333"/>
      <c r="AH567" s="1333"/>
      <c r="AI567" s="1333"/>
      <c r="AJ567" s="1333"/>
    </row>
    <row r="568" spans="1:36" x14ac:dyDescent="0.25">
      <c r="A568" s="1331"/>
      <c r="B568" s="1284"/>
      <c r="C568" s="1284"/>
      <c r="D568" s="1364"/>
      <c r="E568" s="1364"/>
      <c r="F568" s="1364"/>
      <c r="G568" s="1365"/>
      <c r="H568" s="1333"/>
      <c r="I568" s="1333"/>
      <c r="J568" s="1333"/>
      <c r="K568" s="1333"/>
      <c r="L568" s="1333"/>
      <c r="M568" s="1333"/>
      <c r="N568" s="1333"/>
      <c r="O568" s="1333"/>
      <c r="P568" s="1333"/>
      <c r="Q568" s="1333"/>
      <c r="R568" s="1333"/>
      <c r="S568" s="1333"/>
      <c r="T568" s="1284"/>
      <c r="U568" s="1333"/>
      <c r="V568" s="1333"/>
      <c r="W568" s="1333"/>
      <c r="X568" s="1333"/>
      <c r="Y568" s="1333"/>
      <c r="Z568" s="1333"/>
      <c r="AA568" s="1333"/>
      <c r="AB568" s="1333"/>
      <c r="AC568" s="1333"/>
      <c r="AD568" s="1333"/>
      <c r="AE568" s="1333"/>
      <c r="AF568" s="1333"/>
      <c r="AG568" s="1333"/>
      <c r="AH568" s="1333"/>
      <c r="AI568" s="1333"/>
      <c r="AJ568" s="1333"/>
    </row>
    <row r="569" spans="1:36" x14ac:dyDescent="0.25">
      <c r="A569" s="1331"/>
      <c r="B569" s="1284"/>
      <c r="C569" s="1284"/>
      <c r="D569" s="1364"/>
      <c r="E569" s="1364"/>
      <c r="F569" s="1364"/>
      <c r="G569" s="1365"/>
      <c r="H569" s="1333"/>
      <c r="I569" s="1333"/>
      <c r="J569" s="1333"/>
      <c r="K569" s="1333"/>
      <c r="L569" s="1333"/>
      <c r="M569" s="1333"/>
      <c r="N569" s="1333"/>
      <c r="O569" s="1333"/>
      <c r="P569" s="1333"/>
      <c r="Q569" s="1333"/>
      <c r="R569" s="1333"/>
      <c r="S569" s="1333"/>
      <c r="T569" s="1284"/>
      <c r="U569" s="1333"/>
      <c r="V569" s="1333"/>
      <c r="W569" s="1333"/>
      <c r="X569" s="1333"/>
      <c r="Y569" s="1333"/>
      <c r="Z569" s="1333"/>
      <c r="AA569" s="1333"/>
      <c r="AB569" s="1333"/>
      <c r="AC569" s="1333"/>
      <c r="AD569" s="1333"/>
      <c r="AE569" s="1333"/>
      <c r="AF569" s="1333"/>
      <c r="AG569" s="1333"/>
      <c r="AH569" s="1333"/>
      <c r="AI569" s="1333"/>
      <c r="AJ569" s="1333"/>
    </row>
    <row r="570" spans="1:36" x14ac:dyDescent="0.25">
      <c r="A570" s="1331"/>
      <c r="B570" s="1284"/>
      <c r="C570" s="1284"/>
      <c r="D570" s="1364"/>
      <c r="E570" s="1364"/>
      <c r="F570" s="1364"/>
      <c r="G570" s="1365"/>
      <c r="H570" s="1333"/>
      <c r="I570" s="1333"/>
      <c r="J570" s="1333"/>
      <c r="K570" s="1333"/>
      <c r="L570" s="1333"/>
      <c r="M570" s="1333"/>
      <c r="N570" s="1333"/>
      <c r="O570" s="1333"/>
      <c r="P570" s="1333"/>
      <c r="Q570" s="1333"/>
      <c r="R570" s="1333"/>
      <c r="S570" s="1333"/>
      <c r="T570" s="1284"/>
      <c r="U570" s="1333"/>
      <c r="V570" s="1333"/>
      <c r="W570" s="1333"/>
      <c r="X570" s="1333"/>
      <c r="Y570" s="1333"/>
      <c r="Z570" s="1333"/>
      <c r="AA570" s="1333"/>
      <c r="AB570" s="1333"/>
      <c r="AC570" s="1333"/>
      <c r="AD570" s="1333"/>
      <c r="AE570" s="1333"/>
      <c r="AF570" s="1333"/>
      <c r="AG570" s="1333"/>
      <c r="AH570" s="1333"/>
      <c r="AI570" s="1333"/>
      <c r="AJ570" s="1333"/>
    </row>
    <row r="571" spans="1:36" x14ac:dyDescent="0.25">
      <c r="A571" s="1331"/>
      <c r="B571" s="1284"/>
      <c r="C571" s="1284"/>
      <c r="D571" s="1364"/>
      <c r="E571" s="1364"/>
      <c r="F571" s="1364"/>
      <c r="G571" s="1365"/>
      <c r="H571" s="1333"/>
      <c r="I571" s="1333"/>
      <c r="J571" s="1333"/>
      <c r="K571" s="1333"/>
      <c r="L571" s="1333"/>
      <c r="M571" s="1333"/>
      <c r="N571" s="1333"/>
      <c r="O571" s="1333"/>
      <c r="P571" s="1333"/>
      <c r="Q571" s="1333"/>
      <c r="R571" s="1333"/>
      <c r="S571" s="1333"/>
      <c r="T571" s="1284"/>
      <c r="U571" s="1333"/>
      <c r="V571" s="1333"/>
      <c r="W571" s="1333"/>
      <c r="X571" s="1333"/>
      <c r="Y571" s="1333"/>
      <c r="Z571" s="1333"/>
      <c r="AA571" s="1333"/>
      <c r="AB571" s="1333"/>
      <c r="AC571" s="1333"/>
      <c r="AD571" s="1333"/>
      <c r="AE571" s="1333"/>
      <c r="AF571" s="1333"/>
      <c r="AG571" s="1333"/>
      <c r="AH571" s="1333"/>
      <c r="AI571" s="1333"/>
      <c r="AJ571" s="1333"/>
    </row>
    <row r="572" spans="1:36" x14ac:dyDescent="0.25">
      <c r="A572" s="1331"/>
      <c r="B572" s="1284"/>
      <c r="C572" s="1284"/>
      <c r="D572" s="1364"/>
      <c r="E572" s="1364"/>
      <c r="F572" s="1364"/>
      <c r="G572" s="1365"/>
      <c r="H572" s="1333"/>
      <c r="I572" s="1333"/>
      <c r="J572" s="1333"/>
      <c r="K572" s="1333"/>
      <c r="L572" s="1333"/>
      <c r="M572" s="1333"/>
      <c r="N572" s="1333"/>
      <c r="O572" s="1333"/>
      <c r="P572" s="1333"/>
      <c r="Q572" s="1333"/>
      <c r="R572" s="1333"/>
      <c r="S572" s="1333"/>
      <c r="T572" s="1284"/>
      <c r="U572" s="1333"/>
      <c r="V572" s="1333"/>
      <c r="W572" s="1333"/>
      <c r="X572" s="1333"/>
      <c r="Y572" s="1333"/>
      <c r="Z572" s="1333"/>
      <c r="AA572" s="1333"/>
      <c r="AB572" s="1333"/>
      <c r="AC572" s="1333"/>
      <c r="AD572" s="1333"/>
      <c r="AE572" s="1333"/>
      <c r="AF572" s="1333"/>
      <c r="AG572" s="1333"/>
      <c r="AH572" s="1333"/>
      <c r="AI572" s="1333"/>
      <c r="AJ572" s="1333"/>
    </row>
    <row r="573" spans="1:36" x14ac:dyDescent="0.25">
      <c r="A573" s="1331"/>
      <c r="B573" s="1284"/>
      <c r="C573" s="1284"/>
      <c r="D573" s="1364"/>
      <c r="E573" s="1364"/>
      <c r="F573" s="1364"/>
      <c r="G573" s="1365"/>
      <c r="H573" s="1333"/>
      <c r="I573" s="1333"/>
      <c r="J573" s="1333"/>
      <c r="K573" s="1333"/>
      <c r="L573" s="1333"/>
      <c r="M573" s="1333"/>
      <c r="N573" s="1333"/>
      <c r="O573" s="1333"/>
      <c r="P573" s="1333"/>
      <c r="Q573" s="1333"/>
      <c r="R573" s="1333"/>
      <c r="S573" s="1333"/>
      <c r="T573" s="1284"/>
      <c r="U573" s="1333"/>
      <c r="V573" s="1333"/>
      <c r="W573" s="1333"/>
      <c r="X573" s="1333"/>
      <c r="Y573" s="1333"/>
      <c r="Z573" s="1333"/>
      <c r="AA573" s="1333"/>
      <c r="AB573" s="1333"/>
      <c r="AC573" s="1333"/>
      <c r="AD573" s="1333"/>
      <c r="AE573" s="1333"/>
      <c r="AF573" s="1333"/>
      <c r="AG573" s="1333"/>
      <c r="AH573" s="1333"/>
      <c r="AI573" s="1333"/>
      <c r="AJ573" s="1333"/>
    </row>
    <row r="574" spans="1:36" x14ac:dyDescent="0.25">
      <c r="A574" s="1331"/>
      <c r="B574" s="1284"/>
      <c r="C574" s="1284"/>
      <c r="D574" s="1364"/>
      <c r="E574" s="1364"/>
      <c r="F574" s="1364"/>
      <c r="G574" s="1365"/>
      <c r="H574" s="1333"/>
      <c r="I574" s="1333"/>
      <c r="J574" s="1333"/>
      <c r="K574" s="1333"/>
      <c r="L574" s="1333"/>
      <c r="M574" s="1333"/>
      <c r="N574" s="1333"/>
      <c r="O574" s="1333"/>
      <c r="P574" s="1333"/>
      <c r="Q574" s="1333"/>
      <c r="R574" s="1333"/>
      <c r="S574" s="1333"/>
      <c r="T574" s="1284"/>
      <c r="U574" s="1333"/>
      <c r="V574" s="1333"/>
      <c r="W574" s="1333"/>
      <c r="X574" s="1333"/>
      <c r="Y574" s="1333"/>
      <c r="Z574" s="1333"/>
      <c r="AA574" s="1333"/>
      <c r="AB574" s="1333"/>
      <c r="AC574" s="1333"/>
      <c r="AD574" s="1333"/>
      <c r="AE574" s="1333"/>
      <c r="AF574" s="1333"/>
      <c r="AG574" s="1333"/>
      <c r="AH574" s="1333"/>
      <c r="AI574" s="1333"/>
      <c r="AJ574" s="1333"/>
    </row>
    <row r="575" spans="1:36" x14ac:dyDescent="0.25">
      <c r="A575" s="1331"/>
      <c r="B575" s="1284"/>
      <c r="C575" s="1284"/>
      <c r="D575" s="1364"/>
      <c r="E575" s="1364"/>
      <c r="F575" s="1364"/>
      <c r="G575" s="1365"/>
      <c r="H575" s="1333"/>
      <c r="I575" s="1333"/>
      <c r="J575" s="1333"/>
      <c r="K575" s="1333"/>
      <c r="L575" s="1333"/>
      <c r="M575" s="1333"/>
      <c r="N575" s="1333"/>
      <c r="O575" s="1333"/>
      <c r="P575" s="1333"/>
      <c r="Q575" s="1333"/>
      <c r="R575" s="1333"/>
      <c r="S575" s="1333"/>
      <c r="T575" s="1284"/>
      <c r="U575" s="1333"/>
      <c r="V575" s="1333"/>
      <c r="W575" s="1333"/>
      <c r="X575" s="1333"/>
      <c r="Y575" s="1333"/>
      <c r="Z575" s="1333"/>
      <c r="AA575" s="1333"/>
      <c r="AB575" s="1333"/>
      <c r="AC575" s="1333"/>
      <c r="AD575" s="1333"/>
      <c r="AE575" s="1333"/>
      <c r="AF575" s="1333"/>
      <c r="AG575" s="1333"/>
      <c r="AH575" s="1333"/>
      <c r="AI575" s="1333"/>
      <c r="AJ575" s="1333"/>
    </row>
    <row r="576" spans="1:36" x14ac:dyDescent="0.25">
      <c r="A576" s="1331"/>
      <c r="B576" s="1284"/>
      <c r="C576" s="1284"/>
      <c r="D576" s="1364"/>
      <c r="E576" s="1364"/>
      <c r="F576" s="1364"/>
      <c r="G576" s="1365"/>
      <c r="H576" s="1333"/>
      <c r="I576" s="1333"/>
      <c r="J576" s="1333"/>
      <c r="K576" s="1333"/>
      <c r="L576" s="1333"/>
      <c r="M576" s="1333"/>
      <c r="N576" s="1333"/>
      <c r="O576" s="1333"/>
      <c r="P576" s="1333"/>
      <c r="Q576" s="1333"/>
      <c r="R576" s="1333"/>
      <c r="S576" s="1333"/>
      <c r="T576" s="1284"/>
      <c r="U576" s="1333"/>
      <c r="V576" s="1333"/>
      <c r="W576" s="1333"/>
      <c r="X576" s="1333"/>
      <c r="Y576" s="1333"/>
      <c r="Z576" s="1333"/>
      <c r="AA576" s="1333"/>
      <c r="AB576" s="1333"/>
      <c r="AC576" s="1333"/>
      <c r="AD576" s="1333"/>
      <c r="AE576" s="1333"/>
      <c r="AF576" s="1333"/>
      <c r="AG576" s="1333"/>
      <c r="AH576" s="1333"/>
      <c r="AI576" s="1333"/>
      <c r="AJ576" s="1333"/>
    </row>
    <row r="577" spans="1:36" x14ac:dyDescent="0.25">
      <c r="A577" s="1331"/>
      <c r="B577" s="1284"/>
      <c r="C577" s="1284"/>
      <c r="D577" s="1364"/>
      <c r="E577" s="1364"/>
      <c r="F577" s="1364"/>
      <c r="G577" s="1365"/>
      <c r="H577" s="1333"/>
      <c r="I577" s="1333"/>
      <c r="J577" s="1333"/>
      <c r="K577" s="1333"/>
      <c r="L577" s="1333"/>
      <c r="M577" s="1333"/>
      <c r="N577" s="1333"/>
      <c r="O577" s="1333"/>
      <c r="P577" s="1333"/>
      <c r="Q577" s="1333"/>
      <c r="R577" s="1333"/>
      <c r="S577" s="1333"/>
      <c r="T577" s="1284"/>
      <c r="U577" s="1333"/>
      <c r="V577" s="1333"/>
      <c r="W577" s="1333"/>
      <c r="X577" s="1333"/>
      <c r="Y577" s="1333"/>
      <c r="Z577" s="1333"/>
      <c r="AA577" s="1333"/>
      <c r="AB577" s="1333"/>
      <c r="AC577" s="1333"/>
      <c r="AD577" s="1333"/>
      <c r="AE577" s="1333"/>
      <c r="AF577" s="1333"/>
      <c r="AG577" s="1333"/>
      <c r="AH577" s="1333"/>
      <c r="AI577" s="1333"/>
      <c r="AJ577" s="1333"/>
    </row>
    <row r="578" spans="1:36" x14ac:dyDescent="0.25">
      <c r="A578" s="1331"/>
      <c r="B578" s="1284"/>
      <c r="C578" s="1284"/>
      <c r="D578" s="1364"/>
      <c r="E578" s="1364"/>
      <c r="F578" s="1364"/>
      <c r="G578" s="1365"/>
      <c r="H578" s="1333"/>
      <c r="I578" s="1333"/>
      <c r="J578" s="1333"/>
      <c r="K578" s="1333"/>
      <c r="L578" s="1333"/>
      <c r="M578" s="1333"/>
      <c r="N578" s="1333"/>
      <c r="O578" s="1333"/>
      <c r="P578" s="1333"/>
      <c r="Q578" s="1333"/>
      <c r="R578" s="1333"/>
      <c r="S578" s="1333"/>
      <c r="T578" s="1284"/>
      <c r="U578" s="1333"/>
      <c r="V578" s="1333"/>
      <c r="W578" s="1333"/>
      <c r="X578" s="1333"/>
      <c r="Y578" s="1333"/>
      <c r="Z578" s="1333"/>
      <c r="AA578" s="1333"/>
      <c r="AB578" s="1333"/>
      <c r="AC578" s="1333"/>
      <c r="AD578" s="1333"/>
      <c r="AE578" s="1333"/>
      <c r="AF578" s="1333"/>
      <c r="AG578" s="1333"/>
      <c r="AH578" s="1333"/>
      <c r="AI578" s="1333"/>
      <c r="AJ578" s="1333"/>
    </row>
    <row r="579" spans="1:36" x14ac:dyDescent="0.25">
      <c r="A579" s="1331"/>
      <c r="B579" s="1284"/>
      <c r="C579" s="1284"/>
      <c r="D579" s="1364"/>
      <c r="E579" s="1364"/>
      <c r="F579" s="1364"/>
      <c r="G579" s="1365"/>
      <c r="H579" s="1333"/>
      <c r="I579" s="1333"/>
      <c r="J579" s="1333"/>
      <c r="K579" s="1333"/>
      <c r="L579" s="1333"/>
      <c r="M579" s="1333"/>
      <c r="N579" s="1333"/>
      <c r="O579" s="1333"/>
      <c r="P579" s="1333"/>
      <c r="Q579" s="1333"/>
      <c r="R579" s="1333"/>
      <c r="S579" s="1333"/>
      <c r="T579" s="1284"/>
      <c r="U579" s="1333"/>
      <c r="V579" s="1333"/>
      <c r="W579" s="1333"/>
      <c r="X579" s="1333"/>
      <c r="Y579" s="1333"/>
      <c r="Z579" s="1333"/>
      <c r="AA579" s="1333"/>
      <c r="AB579" s="1333"/>
      <c r="AC579" s="1333"/>
      <c r="AD579" s="1333"/>
      <c r="AE579" s="1333"/>
      <c r="AF579" s="1333"/>
      <c r="AG579" s="1333"/>
      <c r="AH579" s="1333"/>
      <c r="AI579" s="1333"/>
      <c r="AJ579" s="1333"/>
    </row>
    <row r="580" spans="1:36" x14ac:dyDescent="0.25">
      <c r="A580" s="1331"/>
      <c r="B580" s="1284"/>
      <c r="C580" s="1284"/>
      <c r="D580" s="1364"/>
      <c r="E580" s="1364"/>
      <c r="F580" s="1364"/>
      <c r="G580" s="1365"/>
      <c r="H580" s="1333"/>
      <c r="I580" s="1333"/>
      <c r="J580" s="1333"/>
      <c r="K580" s="1333"/>
      <c r="L580" s="1333"/>
      <c r="M580" s="1333"/>
      <c r="N580" s="1333"/>
      <c r="O580" s="1333"/>
      <c r="P580" s="1333"/>
      <c r="Q580" s="1333"/>
      <c r="R580" s="1333"/>
      <c r="S580" s="1333"/>
      <c r="T580" s="1284"/>
      <c r="U580" s="1333"/>
      <c r="V580" s="1333"/>
      <c r="W580" s="1333"/>
      <c r="X580" s="1333"/>
      <c r="Y580" s="1333"/>
      <c r="Z580" s="1333"/>
      <c r="AA580" s="1333"/>
      <c r="AB580" s="1333"/>
      <c r="AC580" s="1333"/>
      <c r="AD580" s="1333"/>
      <c r="AE580" s="1333"/>
      <c r="AF580" s="1333"/>
      <c r="AG580" s="1333"/>
      <c r="AH580" s="1333"/>
      <c r="AI580" s="1333"/>
      <c r="AJ580" s="1333"/>
    </row>
    <row r="581" spans="1:36" x14ac:dyDescent="0.25">
      <c r="A581" s="1331"/>
      <c r="B581" s="1284"/>
      <c r="C581" s="1284"/>
      <c r="D581" s="1364"/>
      <c r="E581" s="1364"/>
      <c r="F581" s="1364"/>
      <c r="G581" s="1365"/>
      <c r="H581" s="1333"/>
      <c r="I581" s="1333"/>
      <c r="J581" s="1333"/>
      <c r="K581" s="1333"/>
      <c r="L581" s="1333"/>
      <c r="M581" s="1333"/>
      <c r="N581" s="1333"/>
      <c r="O581" s="1333"/>
      <c r="P581" s="1333"/>
      <c r="Q581" s="1333"/>
      <c r="R581" s="1333"/>
      <c r="S581" s="1333"/>
      <c r="T581" s="1284"/>
      <c r="U581" s="1333"/>
      <c r="V581" s="1333"/>
      <c r="W581" s="1333"/>
      <c r="X581" s="1333"/>
      <c r="Y581" s="1333"/>
      <c r="Z581" s="1333"/>
      <c r="AA581" s="1333"/>
      <c r="AB581" s="1333"/>
      <c r="AC581" s="1333"/>
      <c r="AD581" s="1333"/>
      <c r="AE581" s="1333"/>
      <c r="AF581" s="1333"/>
      <c r="AG581" s="1333"/>
      <c r="AH581" s="1333"/>
      <c r="AI581" s="1333"/>
      <c r="AJ581" s="1333"/>
    </row>
    <row r="582" spans="1:36" x14ac:dyDescent="0.25">
      <c r="A582" s="1331"/>
      <c r="B582" s="1284"/>
      <c r="C582" s="1284"/>
      <c r="D582" s="1364"/>
      <c r="E582" s="1364"/>
      <c r="F582" s="1364"/>
      <c r="G582" s="1365"/>
      <c r="H582" s="1333"/>
      <c r="I582" s="1333"/>
      <c r="J582" s="1333"/>
      <c r="K582" s="1333"/>
      <c r="L582" s="1333"/>
      <c r="M582" s="1333"/>
      <c r="N582" s="1333"/>
      <c r="O582" s="1333"/>
      <c r="P582" s="1333"/>
      <c r="Q582" s="1333"/>
      <c r="R582" s="1333"/>
      <c r="S582" s="1333"/>
      <c r="T582" s="1284"/>
      <c r="U582" s="1333"/>
      <c r="V582" s="1333"/>
      <c r="W582" s="1333"/>
      <c r="X582" s="1333"/>
      <c r="Y582" s="1333"/>
      <c r="Z582" s="1333"/>
      <c r="AA582" s="1333"/>
      <c r="AB582" s="1333"/>
      <c r="AC582" s="1333"/>
      <c r="AD582" s="1333"/>
      <c r="AE582" s="1333"/>
      <c r="AF582" s="1333"/>
      <c r="AG582" s="1333"/>
      <c r="AH582" s="1333"/>
      <c r="AI582" s="1333"/>
      <c r="AJ582" s="1333"/>
    </row>
    <row r="583" spans="1:36" x14ac:dyDescent="0.25">
      <c r="A583" s="1331"/>
      <c r="B583" s="1284"/>
      <c r="C583" s="1284"/>
      <c r="D583" s="1364"/>
      <c r="E583" s="1364"/>
      <c r="F583" s="1364"/>
      <c r="G583" s="1365"/>
      <c r="H583" s="1333"/>
      <c r="I583" s="1333"/>
      <c r="J583" s="1333"/>
      <c r="K583" s="1333"/>
      <c r="L583" s="1333"/>
      <c r="M583" s="1333"/>
      <c r="N583" s="1333"/>
      <c r="O583" s="1333"/>
      <c r="P583" s="1333"/>
      <c r="Q583" s="1333"/>
      <c r="R583" s="1333"/>
      <c r="S583" s="1333"/>
      <c r="T583" s="1284"/>
      <c r="U583" s="1333"/>
      <c r="V583" s="1333"/>
      <c r="W583" s="1333"/>
      <c r="X583" s="1333"/>
      <c r="Y583" s="1333"/>
      <c r="Z583" s="1333"/>
      <c r="AA583" s="1333"/>
      <c r="AB583" s="1333"/>
      <c r="AC583" s="1333"/>
      <c r="AD583" s="1333"/>
      <c r="AE583" s="1333"/>
      <c r="AF583" s="1333"/>
      <c r="AG583" s="1333"/>
      <c r="AH583" s="1333"/>
      <c r="AI583" s="1333"/>
      <c r="AJ583" s="1333"/>
    </row>
    <row r="584" spans="1:36" x14ac:dyDescent="0.25">
      <c r="A584" s="1331"/>
      <c r="B584" s="1284"/>
      <c r="C584" s="1284"/>
      <c r="D584" s="1364"/>
      <c r="E584" s="1364"/>
      <c r="F584" s="1364"/>
      <c r="G584" s="1365"/>
      <c r="H584" s="1333"/>
      <c r="I584" s="1333"/>
      <c r="J584" s="1333"/>
      <c r="K584" s="1333"/>
      <c r="L584" s="1333"/>
      <c r="M584" s="1333"/>
      <c r="N584" s="1333"/>
      <c r="O584" s="1333"/>
      <c r="P584" s="1333"/>
      <c r="Q584" s="1333"/>
      <c r="R584" s="1333"/>
      <c r="S584" s="1333"/>
      <c r="T584" s="1284"/>
      <c r="U584" s="1333"/>
      <c r="V584" s="1333"/>
      <c r="W584" s="1333"/>
      <c r="X584" s="1333"/>
      <c r="Y584" s="1333"/>
      <c r="Z584" s="1333"/>
      <c r="AA584" s="1333"/>
      <c r="AB584" s="1333"/>
      <c r="AC584" s="1333"/>
      <c r="AD584" s="1333"/>
      <c r="AE584" s="1333"/>
      <c r="AF584" s="1333"/>
      <c r="AG584" s="1333"/>
      <c r="AH584" s="1333"/>
      <c r="AI584" s="1333"/>
      <c r="AJ584" s="1333"/>
    </row>
    <row r="585" spans="1:36" x14ac:dyDescent="0.25">
      <c r="A585" s="1331"/>
      <c r="B585" s="1284"/>
      <c r="C585" s="1284"/>
      <c r="D585" s="1364"/>
      <c r="E585" s="1364"/>
      <c r="F585" s="1364"/>
      <c r="G585" s="1365"/>
      <c r="H585" s="1333"/>
      <c r="I585" s="1333"/>
      <c r="J585" s="1333"/>
      <c r="K585" s="1333"/>
      <c r="L585" s="1333"/>
      <c r="M585" s="1333"/>
      <c r="N585" s="1333"/>
      <c r="O585" s="1333"/>
      <c r="P585" s="1333"/>
      <c r="Q585" s="1333"/>
      <c r="R585" s="1333"/>
      <c r="S585" s="1333"/>
      <c r="T585" s="1284"/>
      <c r="U585" s="1333"/>
      <c r="V585" s="1333"/>
      <c r="W585" s="1333"/>
      <c r="X585" s="1333"/>
      <c r="Y585" s="1333"/>
      <c r="Z585" s="1333"/>
      <c r="AA585" s="1333"/>
      <c r="AB585" s="1333"/>
      <c r="AC585" s="1333"/>
      <c r="AD585" s="1333"/>
      <c r="AE585" s="1333"/>
      <c r="AF585" s="1333"/>
      <c r="AG585" s="1333"/>
      <c r="AH585" s="1333"/>
      <c r="AI585" s="1333"/>
      <c r="AJ585" s="1333"/>
    </row>
    <row r="586" spans="1:36" x14ac:dyDescent="0.25">
      <c r="A586" s="1331"/>
      <c r="B586" s="1284"/>
      <c r="C586" s="1284"/>
      <c r="D586" s="1364"/>
      <c r="E586" s="1364"/>
      <c r="F586" s="1364"/>
      <c r="G586" s="1365"/>
      <c r="H586" s="1333"/>
      <c r="I586" s="1333"/>
      <c r="J586" s="1333"/>
      <c r="K586" s="1333"/>
      <c r="L586" s="1333"/>
      <c r="M586" s="1333"/>
      <c r="N586" s="1333"/>
      <c r="O586" s="1333"/>
      <c r="P586" s="1333"/>
      <c r="Q586" s="1333"/>
      <c r="R586" s="1333"/>
      <c r="S586" s="1333"/>
      <c r="T586" s="1284"/>
      <c r="U586" s="1333"/>
      <c r="V586" s="1333"/>
      <c r="W586" s="1333"/>
      <c r="X586" s="1333"/>
      <c r="Y586" s="1333"/>
      <c r="Z586" s="1333"/>
      <c r="AA586" s="1333"/>
      <c r="AB586" s="1333"/>
      <c r="AC586" s="1333"/>
      <c r="AD586" s="1333"/>
      <c r="AE586" s="1333"/>
      <c r="AF586" s="1333"/>
      <c r="AG586" s="1333"/>
      <c r="AH586" s="1333"/>
      <c r="AI586" s="1333"/>
      <c r="AJ586" s="1333"/>
    </row>
    <row r="587" spans="1:36" x14ac:dyDescent="0.25">
      <c r="A587" s="1331"/>
      <c r="B587" s="1284"/>
      <c r="C587" s="1284"/>
      <c r="D587" s="1364"/>
      <c r="E587" s="1364"/>
      <c r="F587" s="1364"/>
      <c r="G587" s="1365"/>
      <c r="H587" s="1333"/>
      <c r="I587" s="1333"/>
      <c r="J587" s="1333"/>
      <c r="K587" s="1333"/>
      <c r="L587" s="1333"/>
      <c r="M587" s="1333"/>
      <c r="N587" s="1333"/>
      <c r="O587" s="1333"/>
      <c r="P587" s="1333"/>
      <c r="Q587" s="1333"/>
      <c r="R587" s="1333"/>
      <c r="S587" s="1333"/>
      <c r="T587" s="1284"/>
      <c r="U587" s="1333"/>
      <c r="V587" s="1333"/>
      <c r="W587" s="1333"/>
      <c r="X587" s="1333"/>
      <c r="Y587" s="1333"/>
      <c r="Z587" s="1333"/>
      <c r="AA587" s="1333"/>
      <c r="AB587" s="1333"/>
      <c r="AC587" s="1333"/>
      <c r="AD587" s="1333"/>
      <c r="AE587" s="1333"/>
      <c r="AF587" s="1333"/>
      <c r="AG587" s="1333"/>
      <c r="AH587" s="1333"/>
      <c r="AI587" s="1333"/>
      <c r="AJ587" s="1333"/>
    </row>
    <row r="588" spans="1:36" x14ac:dyDescent="0.25">
      <c r="A588" s="1331"/>
      <c r="B588" s="1284"/>
      <c r="C588" s="1284"/>
      <c r="D588" s="1364"/>
      <c r="E588" s="1364"/>
      <c r="F588" s="1364"/>
      <c r="G588" s="1365"/>
      <c r="H588" s="1333"/>
      <c r="I588" s="1333"/>
      <c r="J588" s="1333"/>
      <c r="K588" s="1333"/>
      <c r="L588" s="1333"/>
      <c r="M588" s="1333"/>
      <c r="N588" s="1333"/>
      <c r="O588" s="1333"/>
      <c r="P588" s="1333"/>
      <c r="Q588" s="1333"/>
      <c r="R588" s="1333"/>
      <c r="S588" s="1333"/>
      <c r="T588" s="1284"/>
      <c r="U588" s="1333"/>
      <c r="V588" s="1333"/>
      <c r="W588" s="1333"/>
      <c r="X588" s="1333"/>
      <c r="Y588" s="1333"/>
      <c r="Z588" s="1333"/>
      <c r="AA588" s="1333"/>
      <c r="AB588" s="1333"/>
      <c r="AC588" s="1333"/>
      <c r="AD588" s="1333"/>
      <c r="AE588" s="1333"/>
      <c r="AF588" s="1333"/>
      <c r="AG588" s="1333"/>
      <c r="AH588" s="1333"/>
      <c r="AI588" s="1333"/>
      <c r="AJ588" s="1333"/>
    </row>
    <row r="589" spans="1:36" x14ac:dyDescent="0.25">
      <c r="A589" s="1331"/>
      <c r="B589" s="1284"/>
      <c r="C589" s="1284"/>
      <c r="D589" s="1364"/>
      <c r="E589" s="1364"/>
      <c r="F589" s="1364"/>
      <c r="G589" s="1365"/>
      <c r="H589" s="1333"/>
      <c r="I589" s="1333"/>
      <c r="J589" s="1333"/>
      <c r="K589" s="1333"/>
      <c r="L589" s="1333"/>
      <c r="M589" s="1333"/>
      <c r="N589" s="1333"/>
      <c r="O589" s="1333"/>
      <c r="P589" s="1333"/>
      <c r="Q589" s="1333"/>
      <c r="R589" s="1333"/>
      <c r="S589" s="1333"/>
      <c r="T589" s="1284"/>
      <c r="U589" s="1333"/>
      <c r="V589" s="1333"/>
      <c r="W589" s="1333"/>
      <c r="X589" s="1333"/>
      <c r="Y589" s="1333"/>
      <c r="Z589" s="1333"/>
      <c r="AA589" s="1333"/>
      <c r="AB589" s="1333"/>
      <c r="AC589" s="1333"/>
      <c r="AD589" s="1333"/>
      <c r="AE589" s="1333"/>
      <c r="AF589" s="1333"/>
      <c r="AG589" s="1333"/>
      <c r="AH589" s="1333"/>
      <c r="AI589" s="1333"/>
      <c r="AJ589" s="1333"/>
    </row>
    <row r="590" spans="1:36" x14ac:dyDescent="0.25">
      <c r="A590" s="1331"/>
      <c r="B590" s="1284"/>
      <c r="C590" s="1284"/>
      <c r="D590" s="1364"/>
      <c r="E590" s="1364"/>
      <c r="F590" s="1364"/>
      <c r="G590" s="1365"/>
      <c r="H590" s="1333"/>
      <c r="I590" s="1333"/>
      <c r="J590" s="1333"/>
      <c r="K590" s="1333"/>
      <c r="L590" s="1333"/>
      <c r="M590" s="1333"/>
      <c r="N590" s="1333"/>
      <c r="O590" s="1333"/>
      <c r="P590" s="1333"/>
      <c r="Q590" s="1333"/>
      <c r="R590" s="1333"/>
      <c r="S590" s="1333"/>
      <c r="T590" s="1284"/>
      <c r="U590" s="1333"/>
      <c r="V590" s="1333"/>
      <c r="W590" s="1333"/>
      <c r="X590" s="1333"/>
      <c r="Y590" s="1333"/>
      <c r="Z590" s="1333"/>
      <c r="AA590" s="1333"/>
      <c r="AB590" s="1333"/>
      <c r="AC590" s="1333"/>
      <c r="AD590" s="1333"/>
      <c r="AE590" s="1333"/>
      <c r="AF590" s="1333"/>
      <c r="AG590" s="1333"/>
      <c r="AH590" s="1333"/>
      <c r="AI590" s="1333"/>
      <c r="AJ590" s="1333"/>
    </row>
    <row r="591" spans="1:36" x14ac:dyDescent="0.25">
      <c r="A591" s="1331"/>
      <c r="B591" s="1284"/>
      <c r="C591" s="1284"/>
      <c r="D591" s="1364"/>
      <c r="E591" s="1364"/>
      <c r="F591" s="1364"/>
      <c r="G591" s="1365"/>
      <c r="H591" s="1333"/>
      <c r="I591" s="1333"/>
      <c r="J591" s="1333"/>
      <c r="K591" s="1333"/>
      <c r="L591" s="1333"/>
      <c r="M591" s="1333"/>
      <c r="N591" s="1333"/>
      <c r="O591" s="1333"/>
      <c r="P591" s="1333"/>
      <c r="Q591" s="1333"/>
      <c r="R591" s="1333"/>
      <c r="S591" s="1333"/>
      <c r="T591" s="1284"/>
      <c r="U591" s="1333"/>
      <c r="V591" s="1333"/>
      <c r="W591" s="1333"/>
      <c r="X591" s="1333"/>
      <c r="Y591" s="1333"/>
      <c r="Z591" s="1333"/>
      <c r="AA591" s="1333"/>
      <c r="AB591" s="1333"/>
      <c r="AC591" s="1333"/>
      <c r="AD591" s="1333"/>
      <c r="AE591" s="1333"/>
      <c r="AF591" s="1333"/>
      <c r="AG591" s="1333"/>
      <c r="AH591" s="1333"/>
      <c r="AI591" s="1333"/>
      <c r="AJ591" s="1333"/>
    </row>
    <row r="592" spans="1:36" x14ac:dyDescent="0.25">
      <c r="A592" s="1331"/>
      <c r="B592" s="1284"/>
      <c r="C592" s="1284"/>
      <c r="D592" s="1364"/>
      <c r="E592" s="1364"/>
      <c r="F592" s="1364"/>
      <c r="G592" s="1365"/>
      <c r="H592" s="1333"/>
      <c r="I592" s="1333"/>
      <c r="J592" s="1333"/>
      <c r="K592" s="1333"/>
      <c r="L592" s="1333"/>
      <c r="M592" s="1333"/>
      <c r="N592" s="1333"/>
      <c r="O592" s="1333"/>
      <c r="P592" s="1333"/>
      <c r="Q592" s="1333"/>
      <c r="R592" s="1333"/>
      <c r="S592" s="1333"/>
      <c r="T592" s="1333"/>
      <c r="U592" s="1333"/>
      <c r="V592" s="1333"/>
      <c r="W592" s="1333"/>
      <c r="X592" s="1333"/>
      <c r="Y592" s="1333"/>
      <c r="Z592" s="1333"/>
      <c r="AA592" s="1333"/>
      <c r="AB592" s="1333"/>
      <c r="AC592" s="1333"/>
      <c r="AD592" s="1333"/>
      <c r="AE592" s="1333"/>
      <c r="AF592" s="1333"/>
      <c r="AG592" s="1333"/>
      <c r="AH592" s="1333"/>
      <c r="AI592" s="1333"/>
      <c r="AJ592" s="1333"/>
    </row>
    <row r="593" spans="1:36" x14ac:dyDescent="0.25">
      <c r="A593" s="1331"/>
      <c r="B593" s="1284"/>
      <c r="C593" s="1284"/>
      <c r="D593" s="1364"/>
      <c r="E593" s="1364"/>
      <c r="F593" s="1364"/>
      <c r="G593" s="1365"/>
      <c r="H593" s="1333"/>
      <c r="I593" s="1333"/>
      <c r="J593" s="1333"/>
      <c r="K593" s="1333"/>
      <c r="L593" s="1333"/>
      <c r="M593" s="1333"/>
      <c r="N593" s="1333"/>
      <c r="O593" s="1333"/>
      <c r="P593" s="1333"/>
      <c r="Q593" s="1333"/>
      <c r="R593" s="1333"/>
      <c r="S593" s="1333"/>
      <c r="T593" s="1333"/>
      <c r="U593" s="1333"/>
      <c r="V593" s="1333"/>
      <c r="W593" s="1333"/>
      <c r="X593" s="1333"/>
      <c r="Y593" s="1333"/>
      <c r="Z593" s="1333"/>
      <c r="AA593" s="1333"/>
      <c r="AB593" s="1333"/>
      <c r="AC593" s="1333"/>
      <c r="AD593" s="1333"/>
      <c r="AE593" s="1333"/>
      <c r="AF593" s="1333"/>
      <c r="AG593" s="1333"/>
      <c r="AH593" s="1333"/>
      <c r="AI593" s="1333"/>
      <c r="AJ593" s="1333"/>
    </row>
    <row r="594" spans="1:36" x14ac:dyDescent="0.25">
      <c r="A594" s="1331"/>
      <c r="B594" s="1284"/>
      <c r="C594" s="1284"/>
      <c r="D594" s="1364"/>
      <c r="E594" s="1364"/>
      <c r="F594" s="1364"/>
      <c r="G594" s="1365"/>
      <c r="H594" s="1333"/>
      <c r="I594" s="1333"/>
      <c r="J594" s="1333"/>
      <c r="K594" s="1333"/>
      <c r="L594" s="1333"/>
      <c r="M594" s="1333"/>
      <c r="N594" s="1333"/>
      <c r="O594" s="1333"/>
      <c r="P594" s="1333"/>
      <c r="Q594" s="1333"/>
      <c r="R594" s="1333"/>
      <c r="S594" s="1333"/>
      <c r="T594" s="1333"/>
      <c r="U594" s="1333"/>
      <c r="V594" s="1333"/>
      <c r="W594" s="1333"/>
      <c r="X594" s="1333"/>
      <c r="Y594" s="1333"/>
      <c r="Z594" s="1333"/>
      <c r="AA594" s="1333"/>
      <c r="AB594" s="1333"/>
      <c r="AC594" s="1333"/>
      <c r="AD594" s="1333"/>
      <c r="AE594" s="1333"/>
      <c r="AF594" s="1333"/>
      <c r="AG594" s="1333"/>
      <c r="AH594" s="1333"/>
      <c r="AI594" s="1333"/>
      <c r="AJ594" s="1333"/>
    </row>
    <row r="595" spans="1:36" x14ac:dyDescent="0.25">
      <c r="A595" s="1331"/>
      <c r="B595" s="1284"/>
      <c r="C595" s="1284"/>
      <c r="D595" s="1364"/>
      <c r="E595" s="1364"/>
      <c r="F595" s="1364"/>
      <c r="G595" s="1365"/>
      <c r="H595" s="1333"/>
      <c r="I595" s="1333"/>
      <c r="J595" s="1333"/>
      <c r="K595" s="1333"/>
      <c r="L595" s="1333"/>
      <c r="M595" s="1333"/>
      <c r="N595" s="1333"/>
      <c r="O595" s="1333"/>
      <c r="P595" s="1333"/>
      <c r="Q595" s="1333"/>
      <c r="R595" s="1333"/>
      <c r="S595" s="1333"/>
      <c r="T595" s="1333"/>
      <c r="U595" s="1333"/>
      <c r="V595" s="1333"/>
      <c r="W595" s="1333"/>
      <c r="X595" s="1333"/>
      <c r="Y595" s="1333"/>
      <c r="Z595" s="1333"/>
      <c r="AA595" s="1333"/>
      <c r="AB595" s="1333"/>
      <c r="AC595" s="1333"/>
      <c r="AD595" s="1333"/>
      <c r="AE595" s="1333"/>
      <c r="AF595" s="1333"/>
      <c r="AG595" s="1333"/>
      <c r="AH595" s="1333"/>
      <c r="AI595" s="1333"/>
      <c r="AJ595" s="1333"/>
    </row>
    <row r="596" spans="1:36" x14ac:dyDescent="0.25">
      <c r="A596" s="1331"/>
      <c r="B596" s="1284"/>
      <c r="C596" s="1284"/>
      <c r="D596" s="1364"/>
      <c r="E596" s="1364"/>
      <c r="F596" s="1364"/>
      <c r="G596" s="1365"/>
      <c r="H596" s="1333"/>
      <c r="I596" s="1333"/>
      <c r="J596" s="1333"/>
      <c r="K596" s="1333"/>
      <c r="L596" s="1333"/>
      <c r="M596" s="1333"/>
      <c r="N596" s="1333"/>
      <c r="O596" s="1333"/>
      <c r="P596" s="1333"/>
      <c r="Q596" s="1333"/>
      <c r="R596" s="1333"/>
      <c r="S596" s="1333"/>
      <c r="T596" s="1333"/>
      <c r="U596" s="1333"/>
      <c r="V596" s="1333"/>
      <c r="W596" s="1333"/>
      <c r="X596" s="1333"/>
      <c r="Y596" s="1333"/>
      <c r="Z596" s="1333"/>
      <c r="AA596" s="1333"/>
      <c r="AB596" s="1333"/>
      <c r="AC596" s="1333"/>
      <c r="AD596" s="1333"/>
      <c r="AE596" s="1333"/>
      <c r="AF596" s="1333"/>
      <c r="AG596" s="1333"/>
      <c r="AH596" s="1333"/>
      <c r="AI596" s="1333"/>
      <c r="AJ596" s="1333"/>
    </row>
    <row r="597" spans="1:36" x14ac:dyDescent="0.25">
      <c r="A597" s="1331"/>
      <c r="B597" s="1284"/>
      <c r="C597" s="1284"/>
      <c r="D597" s="1364"/>
      <c r="E597" s="1364"/>
      <c r="F597" s="1364"/>
      <c r="G597" s="1365"/>
      <c r="H597" s="1333"/>
      <c r="I597" s="1333"/>
      <c r="J597" s="1333"/>
      <c r="K597" s="1333"/>
      <c r="L597" s="1333"/>
      <c r="M597" s="1333"/>
      <c r="N597" s="1333"/>
      <c r="O597" s="1333"/>
      <c r="P597" s="1333"/>
      <c r="Q597" s="1333"/>
      <c r="R597" s="1333"/>
      <c r="S597" s="1333"/>
      <c r="T597" s="1333"/>
      <c r="U597" s="1333"/>
      <c r="V597" s="1333"/>
      <c r="W597" s="1333"/>
      <c r="X597" s="1333"/>
      <c r="Y597" s="1333"/>
      <c r="Z597" s="1333"/>
      <c r="AA597" s="1333"/>
      <c r="AB597" s="1333"/>
      <c r="AC597" s="1333"/>
      <c r="AD597" s="1333"/>
      <c r="AE597" s="1333"/>
      <c r="AF597" s="1333"/>
      <c r="AG597" s="1333"/>
      <c r="AH597" s="1333"/>
      <c r="AI597" s="1333"/>
      <c r="AJ597" s="1333"/>
    </row>
    <row r="598" spans="1:36" x14ac:dyDescent="0.25">
      <c r="A598" s="1331"/>
      <c r="B598" s="1284"/>
      <c r="C598" s="1284"/>
      <c r="D598" s="1364"/>
      <c r="E598" s="1364"/>
      <c r="F598" s="1364"/>
      <c r="G598" s="1365"/>
      <c r="H598" s="1333"/>
      <c r="I598" s="1333"/>
      <c r="J598" s="1333"/>
      <c r="K598" s="1333"/>
      <c r="L598" s="1333"/>
      <c r="M598" s="1333"/>
      <c r="N598" s="1333"/>
      <c r="O598" s="1333"/>
      <c r="P598" s="1333"/>
      <c r="Q598" s="1333"/>
      <c r="R598" s="1333"/>
      <c r="S598" s="1333"/>
      <c r="T598" s="1333"/>
      <c r="U598" s="1333"/>
      <c r="V598" s="1333"/>
      <c r="W598" s="1333"/>
      <c r="X598" s="1333"/>
      <c r="Y598" s="1333"/>
      <c r="Z598" s="1333"/>
      <c r="AA598" s="1333"/>
      <c r="AB598" s="1333"/>
      <c r="AC598" s="1333"/>
      <c r="AD598" s="1333"/>
      <c r="AE598" s="1333"/>
      <c r="AF598" s="1333"/>
      <c r="AG598" s="1333"/>
      <c r="AH598" s="1333"/>
      <c r="AI598" s="1333"/>
      <c r="AJ598" s="1333"/>
    </row>
    <row r="599" spans="1:36" x14ac:dyDescent="0.25">
      <c r="A599" s="1331"/>
      <c r="B599" s="1284"/>
      <c r="C599" s="1284"/>
      <c r="D599" s="1364"/>
      <c r="E599" s="1364"/>
      <c r="F599" s="1364"/>
      <c r="G599" s="1365"/>
      <c r="H599" s="1333"/>
      <c r="I599" s="1333"/>
      <c r="J599" s="1333"/>
      <c r="K599" s="1333"/>
      <c r="L599" s="1333"/>
      <c r="M599" s="1333"/>
      <c r="N599" s="1333"/>
      <c r="O599" s="1333"/>
      <c r="P599" s="1333"/>
      <c r="Q599" s="1333"/>
      <c r="R599" s="1333"/>
      <c r="S599" s="1333"/>
      <c r="T599" s="1333"/>
      <c r="U599" s="1333"/>
      <c r="V599" s="1333"/>
      <c r="W599" s="1333"/>
      <c r="X599" s="1333"/>
      <c r="Y599" s="1333"/>
      <c r="Z599" s="1333"/>
      <c r="AA599" s="1333"/>
      <c r="AB599" s="1333"/>
      <c r="AC599" s="1333"/>
      <c r="AD599" s="1333"/>
      <c r="AE599" s="1333"/>
      <c r="AF599" s="1333"/>
      <c r="AG599" s="1333"/>
      <c r="AH599" s="1333"/>
      <c r="AI599" s="1333"/>
      <c r="AJ599" s="1333"/>
    </row>
    <row r="600" spans="1:36" x14ac:dyDescent="0.25">
      <c r="A600" s="1331"/>
      <c r="B600" s="1284"/>
      <c r="C600" s="1284"/>
      <c r="D600" s="1364"/>
      <c r="E600" s="1364"/>
      <c r="F600" s="1364"/>
      <c r="G600" s="1365"/>
      <c r="H600" s="1333"/>
      <c r="I600" s="1333"/>
      <c r="J600" s="1333"/>
      <c r="K600" s="1333"/>
      <c r="L600" s="1333"/>
      <c r="M600" s="1333"/>
      <c r="N600" s="1333"/>
      <c r="O600" s="1333"/>
      <c r="P600" s="1333"/>
      <c r="Q600" s="1333"/>
      <c r="R600" s="1333"/>
      <c r="S600" s="1333"/>
      <c r="T600" s="1333"/>
      <c r="U600" s="1333"/>
      <c r="V600" s="1333"/>
      <c r="W600" s="1333"/>
      <c r="X600" s="1333"/>
      <c r="Y600" s="1333"/>
      <c r="Z600" s="1333"/>
      <c r="AA600" s="1333"/>
      <c r="AB600" s="1333"/>
      <c r="AC600" s="1333"/>
      <c r="AD600" s="1333"/>
      <c r="AE600" s="1333"/>
      <c r="AF600" s="1333"/>
      <c r="AG600" s="1333"/>
      <c r="AH600" s="1333"/>
      <c r="AI600" s="1333"/>
      <c r="AJ600" s="1333"/>
    </row>
    <row r="601" spans="1:36" x14ac:dyDescent="0.25">
      <c r="A601" s="1331"/>
      <c r="B601" s="1284"/>
      <c r="C601" s="1284"/>
      <c r="D601" s="1364"/>
      <c r="E601" s="1364"/>
      <c r="F601" s="1364"/>
      <c r="G601" s="1365"/>
      <c r="H601" s="1333"/>
      <c r="I601" s="1333"/>
      <c r="J601" s="1333"/>
      <c r="K601" s="1333"/>
      <c r="L601" s="1333"/>
      <c r="M601" s="1333"/>
      <c r="N601" s="1333"/>
      <c r="O601" s="1333"/>
      <c r="P601" s="1333"/>
      <c r="Q601" s="1333"/>
      <c r="R601" s="1333"/>
      <c r="S601" s="1333"/>
      <c r="T601" s="1333"/>
      <c r="U601" s="1333"/>
      <c r="V601" s="1333"/>
      <c r="W601" s="1333"/>
      <c r="X601" s="1333"/>
      <c r="Y601" s="1333"/>
      <c r="Z601" s="1333"/>
      <c r="AA601" s="1333"/>
      <c r="AB601" s="1333"/>
      <c r="AC601" s="1333"/>
      <c r="AD601" s="1333"/>
      <c r="AE601" s="1333"/>
      <c r="AF601" s="1333"/>
      <c r="AG601" s="1333"/>
      <c r="AH601" s="1333"/>
      <c r="AI601" s="1333"/>
      <c r="AJ601" s="1333"/>
    </row>
    <row r="602" spans="1:36" x14ac:dyDescent="0.25">
      <c r="A602" s="1331"/>
      <c r="B602" s="1284"/>
      <c r="C602" s="1284"/>
      <c r="D602" s="1364"/>
      <c r="E602" s="1364"/>
      <c r="F602" s="1364"/>
      <c r="G602" s="1365"/>
      <c r="H602" s="1333"/>
      <c r="I602" s="1333"/>
      <c r="J602" s="1333"/>
      <c r="K602" s="1333"/>
      <c r="L602" s="1333"/>
      <c r="M602" s="1333"/>
      <c r="N602" s="1333"/>
      <c r="O602" s="1333"/>
      <c r="P602" s="1333"/>
      <c r="Q602" s="1333"/>
      <c r="R602" s="1333"/>
      <c r="S602" s="1333"/>
      <c r="T602" s="1333"/>
      <c r="U602" s="1333"/>
      <c r="V602" s="1333"/>
      <c r="W602" s="1333"/>
      <c r="X602" s="1333"/>
      <c r="Y602" s="1333"/>
      <c r="Z602" s="1333"/>
      <c r="AA602" s="1333"/>
      <c r="AB602" s="1333"/>
      <c r="AC602" s="1333"/>
      <c r="AD602" s="1333"/>
      <c r="AE602" s="1333"/>
      <c r="AF602" s="1333"/>
      <c r="AG602" s="1333"/>
      <c r="AH602" s="1333"/>
      <c r="AI602" s="1333"/>
      <c r="AJ602" s="1333"/>
    </row>
    <row r="603" spans="1:36" x14ac:dyDescent="0.25">
      <c r="A603" s="1331"/>
      <c r="B603" s="1284"/>
      <c r="C603" s="1284"/>
      <c r="D603" s="1364"/>
      <c r="E603" s="1364"/>
      <c r="F603" s="1364"/>
      <c r="G603" s="1365"/>
      <c r="H603" s="1333"/>
      <c r="I603" s="1333"/>
      <c r="J603" s="1333"/>
      <c r="K603" s="1333"/>
      <c r="L603" s="1333"/>
      <c r="M603" s="1333"/>
      <c r="N603" s="1333"/>
      <c r="O603" s="1333"/>
      <c r="P603" s="1333"/>
      <c r="Q603" s="1333"/>
      <c r="R603" s="1333"/>
      <c r="S603" s="1333"/>
      <c r="T603" s="1333"/>
      <c r="U603" s="1333"/>
      <c r="V603" s="1333"/>
      <c r="W603" s="1333"/>
      <c r="X603" s="1333"/>
      <c r="Y603" s="1333"/>
      <c r="Z603" s="1333"/>
      <c r="AA603" s="1333"/>
      <c r="AB603" s="1333"/>
      <c r="AC603" s="1333"/>
      <c r="AD603" s="1333"/>
      <c r="AE603" s="1333"/>
      <c r="AF603" s="1333"/>
      <c r="AG603" s="1333"/>
      <c r="AH603" s="1333"/>
      <c r="AI603" s="1333"/>
      <c r="AJ603" s="1333"/>
    </row>
    <row r="604" spans="1:36" x14ac:dyDescent="0.25">
      <c r="A604" s="1331"/>
      <c r="B604" s="1284"/>
      <c r="C604" s="1284"/>
      <c r="D604" s="1364"/>
      <c r="E604" s="1364"/>
      <c r="F604" s="1364"/>
      <c r="G604" s="1365"/>
      <c r="H604" s="1333"/>
      <c r="I604" s="1333"/>
      <c r="J604" s="1333"/>
      <c r="K604" s="1333"/>
      <c r="L604" s="1333"/>
      <c r="M604" s="1333"/>
      <c r="N604" s="1333"/>
      <c r="O604" s="1333"/>
      <c r="P604" s="1333"/>
      <c r="Q604" s="1333"/>
      <c r="R604" s="1333"/>
      <c r="S604" s="1333"/>
      <c r="T604" s="1333"/>
      <c r="U604" s="1333"/>
      <c r="V604" s="1333"/>
      <c r="W604" s="1333"/>
      <c r="X604" s="1333"/>
      <c r="Y604" s="1333"/>
      <c r="Z604" s="1333"/>
      <c r="AA604" s="1333"/>
      <c r="AB604" s="1333"/>
      <c r="AC604" s="1333"/>
      <c r="AD604" s="1333"/>
      <c r="AE604" s="1333"/>
      <c r="AF604" s="1333"/>
      <c r="AG604" s="1333"/>
      <c r="AH604" s="1333"/>
      <c r="AI604" s="1333"/>
      <c r="AJ604" s="1333"/>
    </row>
    <row r="605" spans="1:36" x14ac:dyDescent="0.25">
      <c r="A605" s="1331"/>
      <c r="B605" s="1284"/>
      <c r="C605" s="1284"/>
      <c r="D605" s="1364"/>
      <c r="E605" s="1364"/>
      <c r="F605" s="1364"/>
      <c r="G605" s="1365"/>
      <c r="H605" s="1333"/>
      <c r="I605" s="1333"/>
      <c r="J605" s="1333"/>
      <c r="K605" s="1333"/>
      <c r="L605" s="1333"/>
      <c r="M605" s="1333"/>
      <c r="N605" s="1333"/>
      <c r="O605" s="1333"/>
      <c r="P605" s="1333"/>
      <c r="Q605" s="1333"/>
      <c r="R605" s="1333"/>
      <c r="S605" s="1333"/>
      <c r="T605" s="1333"/>
      <c r="U605" s="1333"/>
      <c r="V605" s="1333"/>
      <c r="W605" s="1333"/>
      <c r="X605" s="1333"/>
      <c r="Y605" s="1333"/>
      <c r="Z605" s="1333"/>
      <c r="AA605" s="1333"/>
      <c r="AB605" s="1333"/>
      <c r="AC605" s="1333"/>
      <c r="AD605" s="1333"/>
      <c r="AE605" s="1333"/>
      <c r="AF605" s="1333"/>
      <c r="AG605" s="1333"/>
      <c r="AH605" s="1333"/>
      <c r="AI605" s="1333"/>
      <c r="AJ605" s="1333"/>
    </row>
    <row r="606" spans="1:36" x14ac:dyDescent="0.25">
      <c r="A606" s="1331"/>
      <c r="B606" s="1284"/>
      <c r="C606" s="1284"/>
      <c r="D606" s="1364"/>
      <c r="E606" s="1364"/>
      <c r="F606" s="1364"/>
      <c r="G606" s="1365"/>
      <c r="H606" s="1333"/>
      <c r="I606" s="1333"/>
      <c r="J606" s="1333"/>
      <c r="K606" s="1333"/>
      <c r="L606" s="1333"/>
      <c r="M606" s="1333"/>
      <c r="N606" s="1333"/>
      <c r="O606" s="1333"/>
      <c r="P606" s="1333"/>
      <c r="Q606" s="1333"/>
      <c r="R606" s="1333"/>
      <c r="S606" s="1333"/>
      <c r="T606" s="1333"/>
      <c r="U606" s="1333"/>
      <c r="V606" s="1333"/>
      <c r="W606" s="1333"/>
      <c r="X606" s="1333"/>
      <c r="Y606" s="1333"/>
      <c r="Z606" s="1333"/>
      <c r="AA606" s="1333"/>
      <c r="AB606" s="1333"/>
      <c r="AC606" s="1333"/>
      <c r="AD606" s="1333"/>
      <c r="AE606" s="1333"/>
      <c r="AF606" s="1333"/>
      <c r="AG606" s="1333"/>
      <c r="AH606" s="1333"/>
      <c r="AI606" s="1333"/>
      <c r="AJ606" s="1333"/>
    </row>
    <row r="607" spans="1:36" x14ac:dyDescent="0.25">
      <c r="A607" s="1331"/>
      <c r="B607" s="1284"/>
      <c r="C607" s="1284"/>
      <c r="D607" s="1364"/>
      <c r="E607" s="1364"/>
      <c r="F607" s="1364"/>
      <c r="G607" s="1365"/>
      <c r="H607" s="1333"/>
      <c r="I607" s="1333"/>
      <c r="J607" s="1333"/>
      <c r="K607" s="1333"/>
      <c r="L607" s="1333"/>
      <c r="M607" s="1333"/>
      <c r="N607" s="1333"/>
      <c r="O607" s="1333"/>
      <c r="P607" s="1333"/>
      <c r="Q607" s="1333"/>
      <c r="R607" s="1333"/>
      <c r="S607" s="1333"/>
      <c r="T607" s="1333"/>
      <c r="U607" s="1333"/>
      <c r="V607" s="1333"/>
      <c r="W607" s="1333"/>
      <c r="X607" s="1333"/>
      <c r="Y607" s="1333"/>
      <c r="Z607" s="1333"/>
      <c r="AA607" s="1333"/>
      <c r="AB607" s="1333"/>
      <c r="AC607" s="1333"/>
      <c r="AD607" s="1333"/>
      <c r="AE607" s="1333"/>
      <c r="AF607" s="1333"/>
      <c r="AG607" s="1333"/>
      <c r="AH607" s="1333"/>
      <c r="AI607" s="1333"/>
      <c r="AJ607" s="1333"/>
    </row>
    <row r="608" spans="1:36" x14ac:dyDescent="0.25">
      <c r="A608" s="1331"/>
      <c r="B608" s="1284"/>
      <c r="C608" s="1284"/>
      <c r="D608" s="1364"/>
      <c r="E608" s="1364"/>
      <c r="F608" s="1364"/>
      <c r="G608" s="1365"/>
      <c r="H608" s="1333"/>
      <c r="I608" s="1333"/>
      <c r="J608" s="1333"/>
      <c r="K608" s="1333"/>
      <c r="L608" s="1333"/>
      <c r="M608" s="1333"/>
      <c r="N608" s="1333"/>
      <c r="O608" s="1333"/>
      <c r="P608" s="1333"/>
      <c r="Q608" s="1333"/>
      <c r="R608" s="1333"/>
      <c r="S608" s="1333"/>
      <c r="T608" s="1333"/>
      <c r="U608" s="1333"/>
      <c r="V608" s="1333"/>
      <c r="W608" s="1333"/>
      <c r="X608" s="1333"/>
      <c r="Y608" s="1333"/>
      <c r="Z608" s="1333"/>
      <c r="AA608" s="1333"/>
      <c r="AB608" s="1333"/>
      <c r="AC608" s="1333"/>
      <c r="AD608" s="1333"/>
      <c r="AE608" s="1333"/>
      <c r="AF608" s="1333"/>
      <c r="AG608" s="1333"/>
      <c r="AH608" s="1333"/>
      <c r="AI608" s="1333"/>
      <c r="AJ608" s="1333"/>
    </row>
    <row r="609" spans="1:36" x14ac:dyDescent="0.25">
      <c r="A609" s="1331"/>
      <c r="B609" s="1284"/>
      <c r="C609" s="1284"/>
      <c r="D609" s="1364"/>
      <c r="E609" s="1364"/>
      <c r="F609" s="1364"/>
      <c r="G609" s="1365"/>
      <c r="H609" s="1333"/>
      <c r="I609" s="1333"/>
      <c r="J609" s="1333"/>
      <c r="K609" s="1333"/>
      <c r="L609" s="1333"/>
      <c r="M609" s="1333"/>
      <c r="N609" s="1333"/>
      <c r="O609" s="1333"/>
      <c r="P609" s="1333"/>
      <c r="Q609" s="1333"/>
      <c r="R609" s="1333"/>
      <c r="S609" s="1333"/>
      <c r="T609" s="1333"/>
      <c r="U609" s="1333"/>
      <c r="V609" s="1333"/>
      <c r="W609" s="1333"/>
      <c r="X609" s="1333"/>
      <c r="Y609" s="1333"/>
      <c r="Z609" s="1333"/>
      <c r="AA609" s="1333"/>
      <c r="AB609" s="1333"/>
      <c r="AC609" s="1333"/>
      <c r="AD609" s="1333"/>
      <c r="AE609" s="1333"/>
      <c r="AF609" s="1333"/>
      <c r="AG609" s="1333"/>
      <c r="AH609" s="1333"/>
      <c r="AI609" s="1333"/>
      <c r="AJ609" s="1333"/>
    </row>
    <row r="610" spans="1:36" x14ac:dyDescent="0.25">
      <c r="A610" s="1331"/>
      <c r="B610" s="1284"/>
      <c r="C610" s="1284"/>
      <c r="D610" s="1364"/>
      <c r="E610" s="1364"/>
      <c r="F610" s="1364"/>
      <c r="G610" s="1365"/>
      <c r="H610" s="1333"/>
      <c r="I610" s="1333"/>
      <c r="J610" s="1333"/>
      <c r="K610" s="1333"/>
      <c r="L610" s="1333"/>
      <c r="M610" s="1333"/>
      <c r="N610" s="1333"/>
      <c r="O610" s="1333"/>
      <c r="P610" s="1333"/>
      <c r="Q610" s="1333"/>
      <c r="R610" s="1333"/>
      <c r="S610" s="1333"/>
      <c r="T610" s="1333"/>
      <c r="U610" s="1333"/>
      <c r="V610" s="1333"/>
      <c r="W610" s="1333"/>
      <c r="X610" s="1333"/>
      <c r="Y610" s="1333"/>
      <c r="Z610" s="1333"/>
      <c r="AA610" s="1333"/>
      <c r="AB610" s="1333"/>
      <c r="AC610" s="1333"/>
      <c r="AD610" s="1333"/>
      <c r="AE610" s="1333"/>
      <c r="AF610" s="1333"/>
      <c r="AG610" s="1333"/>
      <c r="AH610" s="1333"/>
      <c r="AI610" s="1333"/>
      <c r="AJ610" s="1333"/>
    </row>
    <row r="611" spans="1:36" x14ac:dyDescent="0.25">
      <c r="A611" s="1331"/>
      <c r="B611" s="1284"/>
      <c r="C611" s="1284"/>
      <c r="D611" s="1364"/>
      <c r="E611" s="1364"/>
      <c r="F611" s="1364"/>
      <c r="G611" s="1365"/>
      <c r="H611" s="1333"/>
      <c r="I611" s="1333"/>
      <c r="J611" s="1333"/>
      <c r="K611" s="1333"/>
      <c r="L611" s="1333"/>
      <c r="M611" s="1333"/>
      <c r="N611" s="1333"/>
      <c r="O611" s="1333"/>
      <c r="P611" s="1333"/>
      <c r="Q611" s="1333"/>
      <c r="R611" s="1333"/>
      <c r="S611" s="1333"/>
      <c r="T611" s="1333"/>
      <c r="U611" s="1333"/>
      <c r="V611" s="1333"/>
      <c r="W611" s="1333"/>
      <c r="X611" s="1333"/>
      <c r="Y611" s="1333"/>
      <c r="Z611" s="1333"/>
      <c r="AA611" s="1333"/>
      <c r="AB611" s="1333"/>
      <c r="AC611" s="1333"/>
      <c r="AD611" s="1333"/>
      <c r="AE611" s="1333"/>
      <c r="AF611" s="1333"/>
      <c r="AG611" s="1333"/>
      <c r="AH611" s="1333"/>
      <c r="AI611" s="1333"/>
      <c r="AJ611" s="1333"/>
    </row>
    <row r="612" spans="1:36" x14ac:dyDescent="0.25">
      <c r="A612" s="1331"/>
      <c r="B612" s="1284"/>
      <c r="C612" s="1284"/>
      <c r="D612" s="1364"/>
      <c r="E612" s="1364"/>
      <c r="F612" s="1364"/>
      <c r="G612" s="1365"/>
      <c r="H612" s="1333"/>
      <c r="I612" s="1333"/>
      <c r="J612" s="1333"/>
      <c r="K612" s="1333"/>
      <c r="L612" s="1333"/>
      <c r="M612" s="1333"/>
      <c r="N612" s="1333"/>
      <c r="O612" s="1333"/>
      <c r="P612" s="1333"/>
      <c r="Q612" s="1333"/>
      <c r="R612" s="1333"/>
      <c r="S612" s="1333"/>
      <c r="T612" s="1333"/>
      <c r="U612" s="1333"/>
      <c r="V612" s="1333"/>
      <c r="W612" s="1333"/>
      <c r="X612" s="1333"/>
      <c r="Y612" s="1333"/>
      <c r="Z612" s="1333"/>
      <c r="AA612" s="1333"/>
      <c r="AB612" s="1333"/>
      <c r="AC612" s="1333"/>
      <c r="AD612" s="1333"/>
      <c r="AE612" s="1333"/>
      <c r="AF612" s="1333"/>
      <c r="AG612" s="1333"/>
      <c r="AH612" s="1333"/>
      <c r="AI612" s="1333"/>
      <c r="AJ612" s="1333"/>
    </row>
    <row r="613" spans="1:36" x14ac:dyDescent="0.25">
      <c r="A613" s="1331"/>
      <c r="B613" s="1284"/>
      <c r="C613" s="1284"/>
      <c r="D613" s="1364"/>
      <c r="E613" s="1364"/>
      <c r="F613" s="1364"/>
      <c r="G613" s="1365"/>
      <c r="H613" s="1333"/>
      <c r="I613" s="1333"/>
      <c r="J613" s="1333"/>
      <c r="K613" s="1333"/>
      <c r="L613" s="1333"/>
      <c r="M613" s="1333"/>
      <c r="N613" s="1333"/>
      <c r="O613" s="1333"/>
      <c r="P613" s="1333"/>
      <c r="Q613" s="1333"/>
      <c r="R613" s="1333"/>
      <c r="S613" s="1333"/>
      <c r="T613" s="1333"/>
      <c r="U613" s="1333"/>
      <c r="V613" s="1333"/>
      <c r="W613" s="1333"/>
      <c r="X613" s="1333"/>
      <c r="Y613" s="1333"/>
      <c r="Z613" s="1333"/>
      <c r="AA613" s="1333"/>
      <c r="AB613" s="1333"/>
      <c r="AC613" s="1333"/>
      <c r="AD613" s="1333"/>
      <c r="AE613" s="1333"/>
      <c r="AF613" s="1333"/>
      <c r="AG613" s="1333"/>
      <c r="AH613" s="1333"/>
      <c r="AI613" s="1333"/>
      <c r="AJ613" s="1333"/>
    </row>
    <row r="614" spans="1:36" x14ac:dyDescent="0.25">
      <c r="A614" s="1331"/>
      <c r="B614" s="1284"/>
      <c r="C614" s="1284"/>
      <c r="D614" s="1364"/>
      <c r="E614" s="1364"/>
      <c r="F614" s="1364"/>
      <c r="G614" s="1365"/>
      <c r="H614" s="1333"/>
      <c r="I614" s="1333"/>
      <c r="J614" s="1333"/>
      <c r="K614" s="1333"/>
      <c r="L614" s="1333"/>
      <c r="M614" s="1333"/>
      <c r="N614" s="1333"/>
      <c r="O614" s="1333"/>
      <c r="P614" s="1333"/>
      <c r="Q614" s="1333"/>
      <c r="R614" s="1333"/>
      <c r="S614" s="1333"/>
      <c r="T614" s="1333"/>
      <c r="U614" s="1333"/>
      <c r="V614" s="1333"/>
      <c r="W614" s="1333"/>
      <c r="X614" s="1333"/>
      <c r="Y614" s="1333"/>
      <c r="Z614" s="1333"/>
      <c r="AA614" s="1333"/>
      <c r="AB614" s="1333"/>
      <c r="AC614" s="1333"/>
      <c r="AD614" s="1333"/>
      <c r="AE614" s="1333"/>
      <c r="AF614" s="1333"/>
      <c r="AG614" s="1333"/>
      <c r="AH614" s="1333"/>
      <c r="AI614" s="1333"/>
      <c r="AJ614" s="1333"/>
    </row>
    <row r="615" spans="1:36" x14ac:dyDescent="0.25">
      <c r="A615" s="1331"/>
      <c r="B615" s="1284"/>
      <c r="C615" s="1284"/>
      <c r="D615" s="1364"/>
      <c r="E615" s="1364"/>
      <c r="F615" s="1364"/>
      <c r="G615" s="1365"/>
      <c r="H615" s="1333"/>
      <c r="I615" s="1333"/>
      <c r="J615" s="1333"/>
      <c r="K615" s="1333"/>
      <c r="L615" s="1333"/>
      <c r="M615" s="1333"/>
      <c r="N615" s="1333"/>
      <c r="O615" s="1333"/>
      <c r="P615" s="1333"/>
      <c r="Q615" s="1333"/>
      <c r="R615" s="1333"/>
      <c r="S615" s="1333"/>
      <c r="T615" s="1333"/>
      <c r="U615" s="1333"/>
      <c r="V615" s="1333"/>
      <c r="W615" s="1333"/>
      <c r="X615" s="1333"/>
      <c r="Y615" s="1333"/>
      <c r="Z615" s="1333"/>
      <c r="AA615" s="1333"/>
      <c r="AB615" s="1333"/>
      <c r="AC615" s="1333"/>
      <c r="AD615" s="1333"/>
      <c r="AE615" s="1333"/>
      <c r="AF615" s="1333"/>
      <c r="AG615" s="1333"/>
      <c r="AH615" s="1333"/>
      <c r="AI615" s="1333"/>
      <c r="AJ615" s="1333"/>
    </row>
    <row r="616" spans="1:36" x14ac:dyDescent="0.25">
      <c r="A616" s="1331"/>
      <c r="B616" s="1284"/>
      <c r="C616" s="1284"/>
      <c r="D616" s="1364"/>
      <c r="E616" s="1364"/>
      <c r="F616" s="1364"/>
      <c r="G616" s="1365"/>
      <c r="H616" s="1333"/>
      <c r="I616" s="1333"/>
      <c r="J616" s="1333"/>
      <c r="K616" s="1333"/>
      <c r="L616" s="1333"/>
      <c r="M616" s="1333"/>
      <c r="N616" s="1333"/>
      <c r="O616" s="1333"/>
      <c r="P616" s="1333"/>
      <c r="Q616" s="1333"/>
      <c r="R616" s="1333"/>
      <c r="S616" s="1333"/>
      <c r="T616" s="1333"/>
      <c r="U616" s="1333"/>
      <c r="V616" s="1333"/>
      <c r="W616" s="1333"/>
      <c r="X616" s="1333"/>
      <c r="Y616" s="1333"/>
      <c r="Z616" s="1333"/>
      <c r="AA616" s="1333"/>
      <c r="AB616" s="1333"/>
      <c r="AC616" s="1333"/>
      <c r="AD616" s="1333"/>
      <c r="AE616" s="1333"/>
      <c r="AF616" s="1333"/>
      <c r="AG616" s="1333"/>
      <c r="AH616" s="1333"/>
      <c r="AI616" s="1333"/>
      <c r="AJ616" s="1333"/>
    </row>
    <row r="617" spans="1:36" x14ac:dyDescent="0.25">
      <c r="A617" s="1331"/>
      <c r="B617" s="1284"/>
      <c r="C617" s="1284"/>
      <c r="D617" s="1364"/>
      <c r="E617" s="1364"/>
      <c r="F617" s="1364"/>
      <c r="G617" s="1365"/>
      <c r="H617" s="1333"/>
      <c r="I617" s="1333"/>
      <c r="J617" s="1333"/>
      <c r="K617" s="1333"/>
      <c r="L617" s="1333"/>
      <c r="M617" s="1333"/>
      <c r="N617" s="1333"/>
      <c r="O617" s="1333"/>
      <c r="P617" s="1333"/>
      <c r="Q617" s="1333"/>
      <c r="R617" s="1333"/>
      <c r="S617" s="1333"/>
      <c r="T617" s="1333"/>
      <c r="U617" s="1333"/>
      <c r="V617" s="1333"/>
      <c r="W617" s="1333"/>
      <c r="X617" s="1333"/>
      <c r="Y617" s="1333"/>
      <c r="Z617" s="1333"/>
      <c r="AA617" s="1333"/>
      <c r="AB617" s="1333"/>
      <c r="AC617" s="1333"/>
      <c r="AD617" s="1333"/>
      <c r="AE617" s="1333"/>
      <c r="AF617" s="1333"/>
      <c r="AG617" s="1333"/>
      <c r="AH617" s="1333"/>
      <c r="AI617" s="1333"/>
      <c r="AJ617" s="1333"/>
    </row>
    <row r="618" spans="1:36" x14ac:dyDescent="0.25">
      <c r="A618" s="1331"/>
      <c r="B618" s="1284"/>
      <c r="C618" s="1284"/>
      <c r="D618" s="1364"/>
      <c r="E618" s="1364"/>
      <c r="F618" s="1364"/>
      <c r="G618" s="1365"/>
      <c r="H618" s="1333"/>
      <c r="I618" s="1333"/>
      <c r="J618" s="1333"/>
      <c r="K618" s="1333"/>
      <c r="L618" s="1333"/>
      <c r="M618" s="1333"/>
      <c r="N618" s="1333"/>
      <c r="O618" s="1333"/>
      <c r="P618" s="1333"/>
      <c r="Q618" s="1333"/>
      <c r="R618" s="1333"/>
      <c r="S618" s="1333"/>
      <c r="T618" s="1333"/>
      <c r="U618" s="1333"/>
      <c r="V618" s="1333"/>
      <c r="W618" s="1333"/>
      <c r="X618" s="1333"/>
      <c r="Y618" s="1333"/>
      <c r="Z618" s="1333"/>
      <c r="AA618" s="1333"/>
      <c r="AB618" s="1333"/>
      <c r="AC618" s="1333"/>
      <c r="AD618" s="1333"/>
      <c r="AE618" s="1333"/>
      <c r="AF618" s="1333"/>
      <c r="AG618" s="1333"/>
      <c r="AH618" s="1333"/>
      <c r="AI618" s="1333"/>
      <c r="AJ618" s="1333"/>
    </row>
    <row r="619" spans="1:36" x14ac:dyDescent="0.25">
      <c r="A619" s="1331"/>
      <c r="B619" s="1284"/>
      <c r="C619" s="1284"/>
      <c r="D619" s="1364"/>
      <c r="E619" s="1364"/>
      <c r="F619" s="1364"/>
      <c r="G619" s="1365"/>
      <c r="H619" s="1333"/>
      <c r="I619" s="1333"/>
      <c r="J619" s="1333"/>
      <c r="K619" s="1333"/>
      <c r="L619" s="1333"/>
      <c r="M619" s="1333"/>
      <c r="N619" s="1333"/>
      <c r="O619" s="1333"/>
      <c r="P619" s="1333"/>
      <c r="Q619" s="1333"/>
      <c r="R619" s="1333"/>
      <c r="S619" s="1333"/>
      <c r="T619" s="1333"/>
      <c r="U619" s="1333"/>
      <c r="V619" s="1333"/>
      <c r="W619" s="1333"/>
      <c r="X619" s="1333"/>
      <c r="Y619" s="1333"/>
      <c r="Z619" s="1333"/>
      <c r="AA619" s="1333"/>
      <c r="AB619" s="1333"/>
      <c r="AC619" s="1333"/>
      <c r="AD619" s="1333"/>
      <c r="AE619" s="1333"/>
      <c r="AF619" s="1333"/>
      <c r="AG619" s="1333"/>
      <c r="AH619" s="1333"/>
      <c r="AI619" s="1333"/>
      <c r="AJ619" s="1333"/>
    </row>
    <row r="620" spans="1:36" x14ac:dyDescent="0.25">
      <c r="A620" s="1331"/>
      <c r="B620" s="1284"/>
      <c r="C620" s="1284"/>
      <c r="D620" s="1364"/>
      <c r="E620" s="1364"/>
      <c r="F620" s="1364"/>
      <c r="G620" s="1365"/>
      <c r="H620" s="1333"/>
      <c r="I620" s="1333"/>
      <c r="J620" s="1333"/>
      <c r="K620" s="1333"/>
      <c r="L620" s="1333"/>
      <c r="M620" s="1333"/>
      <c r="N620" s="1333"/>
      <c r="O620" s="1333"/>
      <c r="P620" s="1333"/>
      <c r="Q620" s="1333"/>
      <c r="R620" s="1333"/>
      <c r="S620" s="1333"/>
      <c r="T620" s="1333"/>
      <c r="U620" s="1333"/>
      <c r="V620" s="1333"/>
      <c r="W620" s="1333"/>
      <c r="X620" s="1333"/>
      <c r="Y620" s="1333"/>
      <c r="Z620" s="1333"/>
      <c r="AA620" s="1333"/>
      <c r="AB620" s="1333"/>
      <c r="AC620" s="1333"/>
      <c r="AD620" s="1333"/>
      <c r="AE620" s="1333"/>
      <c r="AF620" s="1333"/>
      <c r="AG620" s="1333"/>
      <c r="AH620" s="1333"/>
      <c r="AI620" s="1333"/>
      <c r="AJ620" s="1333"/>
    </row>
    <row r="621" spans="1:36" x14ac:dyDescent="0.25">
      <c r="A621" s="1331"/>
      <c r="B621" s="1284"/>
      <c r="C621" s="1284"/>
      <c r="D621" s="1364"/>
      <c r="E621" s="1364"/>
      <c r="F621" s="1364"/>
      <c r="G621" s="1365"/>
      <c r="H621" s="1333"/>
      <c r="I621" s="1333"/>
      <c r="J621" s="1333"/>
      <c r="K621" s="1333"/>
      <c r="L621" s="1333"/>
      <c r="M621" s="1333"/>
      <c r="N621" s="1333"/>
      <c r="O621" s="1333"/>
      <c r="P621" s="1333"/>
      <c r="Q621" s="1333"/>
      <c r="R621" s="1333"/>
      <c r="S621" s="1333"/>
      <c r="T621" s="1333"/>
      <c r="U621" s="1333"/>
      <c r="V621" s="1333"/>
      <c r="W621" s="1333"/>
      <c r="X621" s="1333"/>
      <c r="Y621" s="1333"/>
      <c r="Z621" s="1333"/>
      <c r="AA621" s="1333"/>
      <c r="AB621" s="1333"/>
      <c r="AC621" s="1333"/>
      <c r="AD621" s="1333"/>
      <c r="AE621" s="1333"/>
      <c r="AF621" s="1333"/>
      <c r="AG621" s="1333"/>
      <c r="AH621" s="1333"/>
      <c r="AI621" s="1333"/>
      <c r="AJ621" s="1333"/>
    </row>
    <row r="622" spans="1:36" x14ac:dyDescent="0.25">
      <c r="A622" s="1331"/>
      <c r="B622" s="1284"/>
      <c r="C622" s="1284"/>
      <c r="D622" s="1364"/>
      <c r="E622" s="1364"/>
      <c r="F622" s="1364"/>
      <c r="G622" s="1365"/>
      <c r="H622" s="1333"/>
      <c r="I622" s="1333"/>
      <c r="J622" s="1333"/>
      <c r="K622" s="1333"/>
      <c r="L622" s="1333"/>
      <c r="M622" s="1333"/>
      <c r="N622" s="1333"/>
      <c r="O622" s="1333"/>
      <c r="P622" s="1333"/>
      <c r="Q622" s="1333"/>
      <c r="R622" s="1333"/>
      <c r="S622" s="1333"/>
      <c r="T622" s="1333"/>
      <c r="U622" s="1333"/>
      <c r="V622" s="1333"/>
      <c r="W622" s="1333"/>
      <c r="X622" s="1333"/>
      <c r="Y622" s="1333"/>
      <c r="Z622" s="1333"/>
      <c r="AA622" s="1333"/>
      <c r="AB622" s="1333"/>
      <c r="AC622" s="1333"/>
      <c r="AD622" s="1333"/>
      <c r="AE622" s="1333"/>
      <c r="AF622" s="1333"/>
      <c r="AG622" s="1333"/>
      <c r="AH622" s="1333"/>
      <c r="AI622" s="1333"/>
      <c r="AJ622" s="1333"/>
    </row>
    <row r="623" spans="1:36" x14ac:dyDescent="0.25">
      <c r="A623" s="1331"/>
      <c r="B623" s="1284"/>
      <c r="C623" s="1284"/>
      <c r="D623" s="1364"/>
      <c r="E623" s="1364"/>
      <c r="F623" s="1364"/>
      <c r="G623" s="1365"/>
      <c r="H623" s="1333"/>
      <c r="I623" s="1333"/>
      <c r="J623" s="1333"/>
      <c r="K623" s="1333"/>
      <c r="L623" s="1333"/>
      <c r="M623" s="1333"/>
      <c r="N623" s="1333"/>
      <c r="O623" s="1333"/>
      <c r="P623" s="1333"/>
      <c r="Q623" s="1333"/>
      <c r="R623" s="1333"/>
      <c r="S623" s="1333"/>
      <c r="T623" s="1333"/>
      <c r="U623" s="1333"/>
      <c r="V623" s="1333"/>
      <c r="W623" s="1333"/>
      <c r="X623" s="1333"/>
      <c r="Y623" s="1333"/>
      <c r="Z623" s="1333"/>
      <c r="AA623" s="1333"/>
      <c r="AB623" s="1333"/>
      <c r="AC623" s="1333"/>
      <c r="AD623" s="1333"/>
      <c r="AE623" s="1333"/>
      <c r="AF623" s="1333"/>
      <c r="AG623" s="1333"/>
      <c r="AH623" s="1333"/>
      <c r="AI623" s="1333"/>
      <c r="AJ623" s="1333"/>
    </row>
    <row r="624" spans="1:36" x14ac:dyDescent="0.25">
      <c r="A624" s="1331"/>
      <c r="B624" s="1284"/>
      <c r="C624" s="1284"/>
      <c r="D624" s="1364"/>
      <c r="E624" s="1364"/>
      <c r="F624" s="1364"/>
      <c r="G624" s="1365"/>
      <c r="H624" s="1333"/>
      <c r="I624" s="1333"/>
      <c r="J624" s="1333"/>
      <c r="K624" s="1333"/>
      <c r="L624" s="1333"/>
      <c r="M624" s="1333"/>
      <c r="N624" s="1333"/>
      <c r="O624" s="1333"/>
      <c r="P624" s="1333"/>
      <c r="Q624" s="1333"/>
      <c r="R624" s="1333"/>
      <c r="S624" s="1333"/>
      <c r="T624" s="1333"/>
      <c r="U624" s="1333"/>
      <c r="V624" s="1333"/>
      <c r="W624" s="1333"/>
      <c r="X624" s="1333"/>
      <c r="Y624" s="1333"/>
      <c r="Z624" s="1333"/>
      <c r="AA624" s="1333"/>
      <c r="AB624" s="1333"/>
      <c r="AC624" s="1333"/>
      <c r="AD624" s="1333"/>
      <c r="AE624" s="1333"/>
      <c r="AF624" s="1333"/>
      <c r="AG624" s="1333"/>
      <c r="AH624" s="1333"/>
      <c r="AI624" s="1333"/>
      <c r="AJ624" s="1333"/>
    </row>
    <row r="625" spans="1:36" x14ac:dyDescent="0.25">
      <c r="A625" s="1331"/>
      <c r="B625" s="1284"/>
      <c r="C625" s="1284"/>
      <c r="D625" s="1364"/>
      <c r="E625" s="1364"/>
      <c r="F625" s="1364"/>
      <c r="G625" s="1365"/>
      <c r="H625" s="1333"/>
      <c r="I625" s="1333"/>
      <c r="J625" s="1333"/>
      <c r="K625" s="1333"/>
      <c r="L625" s="1333"/>
      <c r="M625" s="1333"/>
      <c r="N625" s="1333"/>
      <c r="O625" s="1333"/>
      <c r="P625" s="1333"/>
      <c r="Q625" s="1333"/>
      <c r="R625" s="1333"/>
      <c r="S625" s="1333"/>
      <c r="T625" s="1333"/>
      <c r="U625" s="1333"/>
      <c r="V625" s="1333"/>
      <c r="W625" s="1333"/>
      <c r="X625" s="1333"/>
      <c r="Y625" s="1333"/>
      <c r="Z625" s="1333"/>
      <c r="AA625" s="1333"/>
      <c r="AB625" s="1333"/>
      <c r="AC625" s="1333"/>
      <c r="AD625" s="1333"/>
      <c r="AE625" s="1333"/>
      <c r="AF625" s="1333"/>
      <c r="AG625" s="1333"/>
      <c r="AH625" s="1333"/>
      <c r="AI625" s="1333"/>
      <c r="AJ625" s="1333"/>
    </row>
    <row r="626" spans="1:36" x14ac:dyDescent="0.25">
      <c r="A626" s="1331"/>
      <c r="B626" s="1284"/>
      <c r="C626" s="1284"/>
      <c r="D626" s="1364"/>
      <c r="E626" s="1364"/>
      <c r="F626" s="1364"/>
      <c r="G626" s="1365"/>
      <c r="H626" s="1333"/>
      <c r="I626" s="1333"/>
      <c r="J626" s="1333"/>
      <c r="K626" s="1333"/>
      <c r="L626" s="1333"/>
      <c r="M626" s="1333"/>
      <c r="N626" s="1333"/>
      <c r="O626" s="1333"/>
      <c r="P626" s="1333"/>
      <c r="Q626" s="1333"/>
      <c r="R626" s="1333"/>
      <c r="S626" s="1333"/>
      <c r="T626" s="1333"/>
      <c r="U626" s="1333"/>
      <c r="V626" s="1333"/>
      <c r="W626" s="1333"/>
      <c r="X626" s="1333"/>
      <c r="Y626" s="1333"/>
      <c r="Z626" s="1333"/>
      <c r="AA626" s="1333"/>
      <c r="AB626" s="1333"/>
      <c r="AC626" s="1333"/>
      <c r="AD626" s="1333"/>
      <c r="AE626" s="1333"/>
      <c r="AF626" s="1333"/>
      <c r="AG626" s="1333"/>
      <c r="AH626" s="1333"/>
      <c r="AI626" s="1333"/>
      <c r="AJ626" s="1333"/>
    </row>
    <row r="627" spans="1:36" x14ac:dyDescent="0.25">
      <c r="A627" s="1331"/>
      <c r="B627" s="1284"/>
      <c r="C627" s="1284"/>
      <c r="D627" s="1364"/>
      <c r="E627" s="1364"/>
      <c r="F627" s="1364"/>
      <c r="G627" s="1365"/>
      <c r="H627" s="1333"/>
      <c r="I627" s="1333"/>
      <c r="J627" s="1333"/>
      <c r="K627" s="1333"/>
      <c r="L627" s="1333"/>
      <c r="M627" s="1333"/>
      <c r="N627" s="1333"/>
      <c r="O627" s="1333"/>
      <c r="P627" s="1333"/>
      <c r="Q627" s="1333"/>
      <c r="R627" s="1333"/>
      <c r="S627" s="1333"/>
      <c r="T627" s="1333"/>
      <c r="U627" s="1333"/>
      <c r="V627" s="1333"/>
      <c r="W627" s="1333"/>
      <c r="X627" s="1333"/>
      <c r="Y627" s="1333"/>
      <c r="Z627" s="1333"/>
      <c r="AA627" s="1333"/>
      <c r="AB627" s="1333"/>
      <c r="AC627" s="1333"/>
      <c r="AD627" s="1333"/>
      <c r="AE627" s="1333"/>
      <c r="AF627" s="1333"/>
      <c r="AG627" s="1333"/>
      <c r="AH627" s="1333"/>
      <c r="AI627" s="1333"/>
      <c r="AJ627" s="1333"/>
    </row>
    <row r="628" spans="1:36" x14ac:dyDescent="0.25">
      <c r="A628" s="1331"/>
      <c r="B628" s="1284"/>
      <c r="C628" s="1284"/>
      <c r="D628" s="1364"/>
      <c r="E628" s="1364"/>
      <c r="F628" s="1364"/>
      <c r="G628" s="1365"/>
      <c r="H628" s="1333"/>
      <c r="I628" s="1333"/>
      <c r="J628" s="1333"/>
      <c r="K628" s="1333"/>
      <c r="L628" s="1333"/>
      <c r="M628" s="1333"/>
      <c r="N628" s="1333"/>
      <c r="O628" s="1333"/>
      <c r="P628" s="1333"/>
      <c r="Q628" s="1333"/>
      <c r="R628" s="1333"/>
      <c r="S628" s="1333"/>
      <c r="T628" s="1333"/>
      <c r="U628" s="1333"/>
      <c r="V628" s="1333"/>
      <c r="W628" s="1333"/>
      <c r="X628" s="1333"/>
      <c r="Y628" s="1333"/>
      <c r="Z628" s="1333"/>
      <c r="AA628" s="1333"/>
      <c r="AB628" s="1333"/>
      <c r="AC628" s="1333"/>
      <c r="AD628" s="1333"/>
      <c r="AE628" s="1333"/>
      <c r="AF628" s="1333"/>
      <c r="AG628" s="1333"/>
      <c r="AH628" s="1333"/>
      <c r="AI628" s="1333"/>
      <c r="AJ628" s="1333"/>
    </row>
    <row r="629" spans="1:36" x14ac:dyDescent="0.25">
      <c r="A629" s="1331"/>
      <c r="B629" s="1284"/>
      <c r="C629" s="1284"/>
      <c r="D629" s="1364"/>
      <c r="E629" s="1364"/>
      <c r="F629" s="1364"/>
      <c r="G629" s="1365"/>
      <c r="H629" s="1333"/>
      <c r="I629" s="1333"/>
      <c r="J629" s="1333"/>
      <c r="K629" s="1333"/>
      <c r="L629" s="1333"/>
      <c r="M629" s="1333"/>
      <c r="N629" s="1333"/>
      <c r="O629" s="1333"/>
      <c r="P629" s="1333"/>
      <c r="Q629" s="1333"/>
      <c r="R629" s="1333"/>
      <c r="S629" s="1333"/>
      <c r="T629" s="1333"/>
      <c r="U629" s="1333"/>
      <c r="V629" s="1333"/>
      <c r="W629" s="1333"/>
      <c r="X629" s="1333"/>
      <c r="Y629" s="1333"/>
      <c r="Z629" s="1333"/>
      <c r="AA629" s="1333"/>
      <c r="AB629" s="1333"/>
      <c r="AC629" s="1333"/>
      <c r="AD629" s="1333"/>
      <c r="AE629" s="1333"/>
      <c r="AF629" s="1333"/>
      <c r="AG629" s="1333"/>
      <c r="AH629" s="1333"/>
      <c r="AI629" s="1333"/>
      <c r="AJ629" s="1333"/>
    </row>
    <row r="630" spans="1:36" x14ac:dyDescent="0.25">
      <c r="A630" s="1331"/>
      <c r="B630" s="1284"/>
      <c r="C630" s="1284"/>
      <c r="D630" s="1364"/>
      <c r="E630" s="1364"/>
      <c r="F630" s="1364"/>
      <c r="G630" s="1365"/>
      <c r="H630" s="1333"/>
      <c r="I630" s="1333"/>
      <c r="J630" s="1333"/>
      <c r="K630" s="1333"/>
      <c r="L630" s="1333"/>
      <c r="M630" s="1333"/>
      <c r="N630" s="1333"/>
      <c r="O630" s="1333"/>
      <c r="P630" s="1333"/>
      <c r="Q630" s="1333"/>
      <c r="R630" s="1333"/>
      <c r="S630" s="1333"/>
      <c r="T630" s="1333"/>
      <c r="U630" s="1333"/>
      <c r="V630" s="1333"/>
      <c r="W630" s="1333"/>
      <c r="X630" s="1333"/>
      <c r="Y630" s="1333"/>
      <c r="Z630" s="1333"/>
      <c r="AA630" s="1333"/>
      <c r="AB630" s="1333"/>
      <c r="AC630" s="1333"/>
      <c r="AD630" s="1333"/>
      <c r="AE630" s="1333"/>
      <c r="AF630" s="1333"/>
      <c r="AG630" s="1333"/>
      <c r="AH630" s="1333"/>
      <c r="AI630" s="1333"/>
      <c r="AJ630" s="1333"/>
    </row>
    <row r="631" spans="1:36" x14ac:dyDescent="0.25">
      <c r="A631" s="1331"/>
      <c r="B631" s="1284"/>
      <c r="C631" s="1284"/>
      <c r="D631" s="1364"/>
      <c r="E631" s="1364"/>
      <c r="F631" s="1364"/>
      <c r="G631" s="1365"/>
      <c r="H631" s="1333"/>
      <c r="I631" s="1333"/>
      <c r="J631" s="1333"/>
      <c r="K631" s="1333"/>
      <c r="L631" s="1333"/>
      <c r="M631" s="1333"/>
      <c r="N631" s="1333"/>
      <c r="O631" s="1333"/>
      <c r="P631" s="1333"/>
      <c r="Q631" s="1333"/>
      <c r="R631" s="1333"/>
      <c r="S631" s="1333"/>
      <c r="T631" s="1333"/>
      <c r="U631" s="1333"/>
      <c r="V631" s="1333"/>
      <c r="W631" s="1333"/>
      <c r="X631" s="1333"/>
      <c r="Y631" s="1333"/>
      <c r="Z631" s="1333"/>
      <c r="AA631" s="1333"/>
      <c r="AB631" s="1333"/>
      <c r="AC631" s="1333"/>
      <c r="AD631" s="1333"/>
      <c r="AE631" s="1333"/>
      <c r="AF631" s="1333"/>
      <c r="AG631" s="1333"/>
      <c r="AH631" s="1333"/>
      <c r="AI631" s="1333"/>
      <c r="AJ631" s="1333"/>
    </row>
    <row r="632" spans="1:36" x14ac:dyDescent="0.25">
      <c r="A632" s="1331"/>
      <c r="B632" s="1284"/>
      <c r="C632" s="1284"/>
      <c r="D632" s="1364"/>
      <c r="E632" s="1364"/>
      <c r="F632" s="1364"/>
      <c r="G632" s="1365"/>
      <c r="H632" s="1333"/>
      <c r="I632" s="1333"/>
      <c r="J632" s="1333"/>
      <c r="K632" s="1333"/>
      <c r="L632" s="1333"/>
      <c r="M632" s="1333"/>
      <c r="N632" s="1333"/>
      <c r="O632" s="1333"/>
      <c r="P632" s="1333"/>
      <c r="Q632" s="1333"/>
      <c r="R632" s="1333"/>
      <c r="S632" s="1333"/>
      <c r="T632" s="1333"/>
      <c r="U632" s="1333"/>
      <c r="V632" s="1333"/>
      <c r="W632" s="1333"/>
      <c r="X632" s="1333"/>
      <c r="Y632" s="1333"/>
      <c r="Z632" s="1333"/>
      <c r="AA632" s="1333"/>
      <c r="AB632" s="1333"/>
      <c r="AC632" s="1333"/>
      <c r="AD632" s="1333"/>
      <c r="AE632" s="1333"/>
      <c r="AF632" s="1333"/>
      <c r="AG632" s="1333"/>
      <c r="AH632" s="1333"/>
      <c r="AI632" s="1333"/>
      <c r="AJ632" s="1333"/>
    </row>
    <row r="633" spans="1:36" x14ac:dyDescent="0.25">
      <c r="A633" s="1331"/>
      <c r="B633" s="1284"/>
      <c r="C633" s="1284"/>
      <c r="D633" s="1364"/>
      <c r="E633" s="1364"/>
      <c r="F633" s="1364"/>
      <c r="G633" s="1365"/>
      <c r="H633" s="1333"/>
      <c r="I633" s="1333"/>
      <c r="J633" s="1333"/>
      <c r="K633" s="1333"/>
      <c r="L633" s="1333"/>
      <c r="M633" s="1333"/>
      <c r="N633" s="1333"/>
      <c r="O633" s="1333"/>
      <c r="P633" s="1333"/>
      <c r="Q633" s="1333"/>
      <c r="R633" s="1333"/>
      <c r="S633" s="1333"/>
      <c r="T633" s="1333"/>
      <c r="U633" s="1333"/>
      <c r="V633" s="1333"/>
      <c r="W633" s="1333"/>
      <c r="X633" s="1333"/>
      <c r="Y633" s="1333"/>
      <c r="Z633" s="1333"/>
      <c r="AA633" s="1333"/>
      <c r="AB633" s="1333"/>
      <c r="AC633" s="1333"/>
      <c r="AD633" s="1333"/>
      <c r="AE633" s="1333"/>
      <c r="AF633" s="1333"/>
      <c r="AG633" s="1333"/>
      <c r="AH633" s="1333"/>
      <c r="AI633" s="1333"/>
      <c r="AJ633" s="1333"/>
    </row>
    <row r="634" spans="1:36" x14ac:dyDescent="0.25">
      <c r="A634" s="1331"/>
      <c r="B634" s="1284"/>
      <c r="C634" s="1284"/>
      <c r="D634" s="1364"/>
      <c r="E634" s="1364"/>
      <c r="F634" s="1364"/>
      <c r="G634" s="1365"/>
      <c r="H634" s="1333"/>
      <c r="I634" s="1333"/>
      <c r="J634" s="1333"/>
      <c r="K634" s="1333"/>
      <c r="L634" s="1333"/>
      <c r="M634" s="1333"/>
      <c r="N634" s="1333"/>
      <c r="O634" s="1333"/>
      <c r="P634" s="1333"/>
      <c r="Q634" s="1333"/>
      <c r="R634" s="1333"/>
      <c r="S634" s="1333"/>
      <c r="T634" s="1333"/>
      <c r="U634" s="1333"/>
      <c r="V634" s="1333"/>
      <c r="W634" s="1333"/>
      <c r="X634" s="1333"/>
      <c r="Y634" s="1333"/>
      <c r="Z634" s="1333"/>
      <c r="AA634" s="1333"/>
      <c r="AB634" s="1333"/>
      <c r="AC634" s="1333"/>
      <c r="AD634" s="1333"/>
      <c r="AE634" s="1333"/>
      <c r="AF634" s="1333"/>
      <c r="AG634" s="1333"/>
      <c r="AH634" s="1333"/>
      <c r="AI634" s="1333"/>
      <c r="AJ634" s="1333"/>
    </row>
    <row r="635" spans="1:36" x14ac:dyDescent="0.25">
      <c r="A635" s="1331"/>
      <c r="B635" s="1284"/>
      <c r="C635" s="1284"/>
      <c r="D635" s="1364"/>
      <c r="E635" s="1364"/>
      <c r="F635" s="1364"/>
      <c r="G635" s="1365"/>
      <c r="H635" s="1333"/>
      <c r="I635" s="1333"/>
      <c r="J635" s="1333"/>
      <c r="K635" s="1333"/>
      <c r="L635" s="1333"/>
      <c r="M635" s="1333"/>
      <c r="N635" s="1333"/>
      <c r="O635" s="1333"/>
      <c r="P635" s="1333"/>
      <c r="Q635" s="1333"/>
      <c r="R635" s="1333"/>
      <c r="S635" s="1333"/>
      <c r="T635" s="1333"/>
      <c r="U635" s="1333"/>
      <c r="V635" s="1333"/>
      <c r="W635" s="1333"/>
      <c r="X635" s="1333"/>
      <c r="Y635" s="1333"/>
      <c r="Z635" s="1333"/>
      <c r="AA635" s="1333"/>
      <c r="AB635" s="1333"/>
      <c r="AC635" s="1333"/>
      <c r="AD635" s="1333"/>
      <c r="AE635" s="1333"/>
      <c r="AF635" s="1333"/>
      <c r="AG635" s="1333"/>
      <c r="AH635" s="1333"/>
      <c r="AI635" s="1333"/>
      <c r="AJ635" s="1333"/>
    </row>
    <row r="636" spans="1:36" x14ac:dyDescent="0.25">
      <c r="A636" s="1331"/>
      <c r="B636" s="1284"/>
      <c r="C636" s="1284"/>
      <c r="D636" s="1364"/>
      <c r="E636" s="1364"/>
      <c r="F636" s="1364"/>
      <c r="G636" s="1365"/>
      <c r="H636" s="1333"/>
      <c r="I636" s="1333"/>
      <c r="J636" s="1333"/>
      <c r="K636" s="1333"/>
      <c r="L636" s="1333"/>
      <c r="M636" s="1333"/>
      <c r="N636" s="1333"/>
      <c r="O636" s="1333"/>
      <c r="P636" s="1333"/>
      <c r="Q636" s="1333"/>
      <c r="R636" s="1333"/>
      <c r="S636" s="1333"/>
      <c r="T636" s="1333"/>
      <c r="U636" s="1333"/>
      <c r="V636" s="1333"/>
      <c r="W636" s="1333"/>
      <c r="X636" s="1333"/>
      <c r="Y636" s="1333"/>
      <c r="Z636" s="1333"/>
      <c r="AA636" s="1333"/>
      <c r="AB636" s="1333"/>
      <c r="AC636" s="1333"/>
      <c r="AD636" s="1333"/>
      <c r="AE636" s="1333"/>
      <c r="AF636" s="1333"/>
      <c r="AG636" s="1333"/>
      <c r="AH636" s="1333"/>
      <c r="AI636" s="1333"/>
      <c r="AJ636" s="1333"/>
    </row>
    <row r="637" spans="1:36" x14ac:dyDescent="0.25">
      <c r="A637" s="1331"/>
      <c r="B637" s="1284"/>
      <c r="C637" s="1284"/>
      <c r="D637" s="1364"/>
      <c r="E637" s="1364"/>
      <c r="F637" s="1364"/>
      <c r="G637" s="1365"/>
      <c r="H637" s="1333"/>
      <c r="I637" s="1333"/>
      <c r="J637" s="1333"/>
      <c r="K637" s="1333"/>
      <c r="L637" s="1333"/>
      <c r="M637" s="1333"/>
      <c r="N637" s="1333"/>
      <c r="O637" s="1333"/>
      <c r="P637" s="1333"/>
      <c r="Q637" s="1333"/>
      <c r="R637" s="1333"/>
      <c r="S637" s="1333"/>
      <c r="T637" s="1333"/>
      <c r="U637" s="1333"/>
      <c r="V637" s="1333"/>
      <c r="W637" s="1333"/>
      <c r="X637" s="1333"/>
      <c r="Y637" s="1333"/>
      <c r="Z637" s="1333"/>
      <c r="AA637" s="1333"/>
      <c r="AB637" s="1333"/>
      <c r="AC637" s="1333"/>
      <c r="AD637" s="1333"/>
      <c r="AE637" s="1333"/>
      <c r="AF637" s="1333"/>
      <c r="AG637" s="1333"/>
      <c r="AH637" s="1333"/>
      <c r="AI637" s="1333"/>
      <c r="AJ637" s="1333"/>
    </row>
    <row r="638" spans="1:36" x14ac:dyDescent="0.25">
      <c r="A638" s="1331"/>
      <c r="B638" s="1284"/>
      <c r="C638" s="1284"/>
      <c r="D638" s="1364"/>
      <c r="E638" s="1364"/>
      <c r="F638" s="1364"/>
      <c r="G638" s="1365"/>
      <c r="H638" s="1333"/>
      <c r="I638" s="1333"/>
      <c r="J638" s="1333"/>
      <c r="K638" s="1333"/>
      <c r="L638" s="1333"/>
      <c r="M638" s="1333"/>
      <c r="N638" s="1333"/>
      <c r="O638" s="1333"/>
      <c r="P638" s="1333"/>
      <c r="Q638" s="1333"/>
      <c r="R638" s="1333"/>
      <c r="S638" s="1333"/>
      <c r="T638" s="1333"/>
      <c r="U638" s="1333"/>
      <c r="V638" s="1333"/>
      <c r="W638" s="1333"/>
      <c r="X638" s="1333"/>
      <c r="Y638" s="1333"/>
      <c r="Z638" s="1333"/>
      <c r="AA638" s="1333"/>
      <c r="AB638" s="1333"/>
      <c r="AC638" s="1333"/>
      <c r="AD638" s="1333"/>
      <c r="AE638" s="1333"/>
      <c r="AF638" s="1333"/>
      <c r="AG638" s="1333"/>
      <c r="AH638" s="1333"/>
      <c r="AI638" s="1333"/>
      <c r="AJ638" s="1333"/>
    </row>
    <row r="639" spans="1:36" x14ac:dyDescent="0.25">
      <c r="A639" s="1331"/>
      <c r="B639" s="1284"/>
      <c r="C639" s="1284"/>
      <c r="D639" s="1364"/>
      <c r="E639" s="1364"/>
      <c r="F639" s="1364"/>
      <c r="G639" s="1365"/>
      <c r="H639" s="1333"/>
      <c r="I639" s="1333"/>
      <c r="J639" s="1333"/>
      <c r="K639" s="1333"/>
      <c r="L639" s="1333"/>
      <c r="M639" s="1333"/>
      <c r="N639" s="1333"/>
      <c r="O639" s="1333"/>
      <c r="P639" s="1333"/>
      <c r="Q639" s="1333"/>
      <c r="R639" s="1333"/>
      <c r="S639" s="1333"/>
      <c r="T639" s="1333"/>
      <c r="U639" s="1333"/>
      <c r="V639" s="1333"/>
      <c r="W639" s="1333"/>
      <c r="X639" s="1333"/>
      <c r="Y639" s="1333"/>
      <c r="Z639" s="1333"/>
      <c r="AA639" s="1333"/>
      <c r="AB639" s="1333"/>
      <c r="AC639" s="1333"/>
      <c r="AD639" s="1333"/>
      <c r="AE639" s="1333"/>
      <c r="AF639" s="1333"/>
      <c r="AG639" s="1333"/>
      <c r="AH639" s="1333"/>
      <c r="AI639" s="1333"/>
      <c r="AJ639" s="1333"/>
    </row>
    <row r="640" spans="1:36" x14ac:dyDescent="0.25">
      <c r="A640" s="1331"/>
      <c r="B640" s="1284"/>
      <c r="C640" s="1284"/>
      <c r="D640" s="1364"/>
      <c r="E640" s="1364"/>
      <c r="F640" s="1364"/>
      <c r="G640" s="1365"/>
      <c r="H640" s="1333"/>
      <c r="I640" s="1333"/>
      <c r="J640" s="1333"/>
      <c r="K640" s="1333"/>
      <c r="L640" s="1333"/>
      <c r="M640" s="1333"/>
      <c r="N640" s="1333"/>
      <c r="O640" s="1333"/>
      <c r="P640" s="1333"/>
      <c r="Q640" s="1333"/>
      <c r="R640" s="1333"/>
      <c r="S640" s="1333"/>
      <c r="T640" s="1333"/>
      <c r="U640" s="1333"/>
      <c r="V640" s="1333"/>
      <c r="W640" s="1333"/>
      <c r="X640" s="1333"/>
      <c r="Y640" s="1333"/>
      <c r="Z640" s="1333"/>
      <c r="AA640" s="1333"/>
      <c r="AB640" s="1333"/>
      <c r="AC640" s="1333"/>
      <c r="AD640" s="1333"/>
      <c r="AE640" s="1333"/>
      <c r="AF640" s="1333"/>
      <c r="AG640" s="1333"/>
      <c r="AH640" s="1333"/>
      <c r="AI640" s="1333"/>
      <c r="AJ640" s="1333"/>
    </row>
    <row r="641" spans="1:36" x14ac:dyDescent="0.25">
      <c r="A641" s="1331"/>
      <c r="B641" s="1284"/>
      <c r="C641" s="1284"/>
      <c r="D641" s="1364"/>
      <c r="E641" s="1364"/>
      <c r="F641" s="1364"/>
      <c r="G641" s="1365"/>
      <c r="H641" s="1333"/>
      <c r="I641" s="1333"/>
      <c r="J641" s="1333"/>
      <c r="K641" s="1333"/>
      <c r="L641" s="1333"/>
      <c r="M641" s="1333"/>
      <c r="N641" s="1333"/>
      <c r="O641" s="1333"/>
      <c r="P641" s="1333"/>
      <c r="Q641" s="1333"/>
      <c r="R641" s="1333"/>
      <c r="S641" s="1333"/>
      <c r="T641" s="1333"/>
      <c r="U641" s="1333"/>
      <c r="V641" s="1333"/>
      <c r="W641" s="1333"/>
      <c r="X641" s="1333"/>
      <c r="Y641" s="1333"/>
      <c r="Z641" s="1333"/>
      <c r="AA641" s="1333"/>
      <c r="AB641" s="1333"/>
      <c r="AC641" s="1333"/>
      <c r="AD641" s="1333"/>
      <c r="AE641" s="1333"/>
      <c r="AF641" s="1333"/>
      <c r="AG641" s="1333"/>
      <c r="AH641" s="1333"/>
      <c r="AI641" s="1333"/>
      <c r="AJ641" s="1333"/>
    </row>
    <row r="642" spans="1:36" x14ac:dyDescent="0.25">
      <c r="A642" s="1331"/>
      <c r="B642" s="1284"/>
      <c r="C642" s="1284"/>
      <c r="D642" s="1364"/>
      <c r="E642" s="1364"/>
      <c r="F642" s="1364"/>
      <c r="G642" s="1365"/>
      <c r="H642" s="1333"/>
      <c r="I642" s="1333"/>
      <c r="J642" s="1333"/>
      <c r="K642" s="1333"/>
      <c r="L642" s="1333"/>
      <c r="M642" s="1333"/>
      <c r="N642" s="1333"/>
      <c r="O642" s="1333"/>
      <c r="P642" s="1333"/>
      <c r="Q642" s="1333"/>
      <c r="R642" s="1333"/>
      <c r="S642" s="1333"/>
      <c r="T642" s="1333"/>
      <c r="U642" s="1333"/>
      <c r="V642" s="1333"/>
      <c r="W642" s="1333"/>
      <c r="X642" s="1333"/>
      <c r="Y642" s="1333"/>
      <c r="Z642" s="1333"/>
      <c r="AA642" s="1333"/>
      <c r="AB642" s="1333"/>
      <c r="AC642" s="1333"/>
      <c r="AD642" s="1333"/>
      <c r="AE642" s="1333"/>
      <c r="AF642" s="1333"/>
      <c r="AG642" s="1333"/>
      <c r="AH642" s="1333"/>
      <c r="AI642" s="1333"/>
      <c r="AJ642" s="1333"/>
    </row>
    <row r="643" spans="1:36" x14ac:dyDescent="0.25">
      <c r="A643" s="1331"/>
      <c r="B643" s="1284"/>
      <c r="C643" s="1284"/>
      <c r="D643" s="1364"/>
      <c r="E643" s="1364"/>
      <c r="F643" s="1364"/>
      <c r="G643" s="1365"/>
      <c r="H643" s="1333"/>
      <c r="I643" s="1333"/>
      <c r="J643" s="1333"/>
      <c r="K643" s="1333"/>
      <c r="L643" s="1333"/>
      <c r="M643" s="1333"/>
      <c r="N643" s="1333"/>
      <c r="O643" s="1333"/>
      <c r="P643" s="1333"/>
      <c r="Q643" s="1333"/>
      <c r="R643" s="1333"/>
      <c r="S643" s="1333"/>
      <c r="T643" s="1333"/>
      <c r="U643" s="1333"/>
      <c r="V643" s="1333"/>
      <c r="W643" s="1333"/>
      <c r="X643" s="1333"/>
      <c r="Y643" s="1333"/>
      <c r="Z643" s="1333"/>
      <c r="AA643" s="1333"/>
      <c r="AB643" s="1333"/>
      <c r="AC643" s="1333"/>
      <c r="AD643" s="1333"/>
      <c r="AE643" s="1333"/>
      <c r="AF643" s="1333"/>
      <c r="AG643" s="1333"/>
      <c r="AH643" s="1333"/>
      <c r="AI643" s="1333"/>
      <c r="AJ643" s="1333"/>
    </row>
    <row r="644" spans="1:36" x14ac:dyDescent="0.25">
      <c r="A644" s="1331"/>
      <c r="B644" s="1284"/>
      <c r="C644" s="1284"/>
      <c r="D644" s="1364"/>
      <c r="E644" s="1364"/>
      <c r="F644" s="1364"/>
      <c r="G644" s="1365"/>
      <c r="H644" s="1333"/>
      <c r="I644" s="1333"/>
      <c r="J644" s="1333"/>
      <c r="K644" s="1333"/>
      <c r="L644" s="1333"/>
      <c r="M644" s="1333"/>
      <c r="N644" s="1333"/>
      <c r="O644" s="1333"/>
      <c r="P644" s="1333"/>
      <c r="Q644" s="1333"/>
      <c r="R644" s="1333"/>
      <c r="S644" s="1333"/>
      <c r="T644" s="1333"/>
      <c r="U644" s="1333"/>
      <c r="V644" s="1333"/>
      <c r="W644" s="1333"/>
      <c r="X644" s="1333"/>
      <c r="Y644" s="1333"/>
      <c r="Z644" s="1333"/>
      <c r="AA644" s="1333"/>
      <c r="AB644" s="1333"/>
      <c r="AC644" s="1333"/>
      <c r="AD644" s="1333"/>
      <c r="AE644" s="1333"/>
      <c r="AF644" s="1333"/>
      <c r="AG644" s="1333"/>
      <c r="AH644" s="1333"/>
      <c r="AI644" s="1333"/>
      <c r="AJ644" s="1333"/>
    </row>
    <row r="645" spans="1:36" x14ac:dyDescent="0.25">
      <c r="A645" s="1331"/>
      <c r="B645" s="1284"/>
      <c r="C645" s="1284"/>
      <c r="D645" s="1364"/>
      <c r="E645" s="1364"/>
      <c r="F645" s="1364"/>
      <c r="G645" s="1365"/>
      <c r="H645" s="1333"/>
      <c r="I645" s="1333"/>
      <c r="J645" s="1333"/>
      <c r="K645" s="1333"/>
      <c r="L645" s="1333"/>
      <c r="M645" s="1333"/>
      <c r="N645" s="1333"/>
      <c r="O645" s="1333"/>
      <c r="P645" s="1333"/>
      <c r="Q645" s="1333"/>
      <c r="R645" s="1333"/>
      <c r="S645" s="1333"/>
      <c r="T645" s="1333"/>
      <c r="U645" s="1333"/>
      <c r="V645" s="1333"/>
      <c r="W645" s="1333"/>
      <c r="X645" s="1333"/>
      <c r="Y645" s="1333"/>
      <c r="Z645" s="1333"/>
      <c r="AA645" s="1333"/>
      <c r="AB645" s="1333"/>
      <c r="AC645" s="1333"/>
      <c r="AD645" s="1333"/>
      <c r="AE645" s="1333"/>
      <c r="AF645" s="1333"/>
      <c r="AG645" s="1333"/>
      <c r="AH645" s="1333"/>
      <c r="AI645" s="1333"/>
      <c r="AJ645" s="1333"/>
    </row>
    <row r="646" spans="1:36" x14ac:dyDescent="0.25">
      <c r="A646" s="1331"/>
      <c r="B646" s="1284"/>
      <c r="C646" s="1284"/>
      <c r="D646" s="1364"/>
      <c r="E646" s="1364"/>
      <c r="F646" s="1364"/>
      <c r="G646" s="1365"/>
      <c r="H646" s="1333"/>
      <c r="I646" s="1333"/>
      <c r="J646" s="1333"/>
      <c r="K646" s="1333"/>
      <c r="L646" s="1333"/>
      <c r="M646" s="1333"/>
      <c r="N646" s="1333"/>
      <c r="O646" s="1333"/>
      <c r="P646" s="1333"/>
      <c r="Q646" s="1333"/>
      <c r="R646" s="1333"/>
      <c r="S646" s="1333"/>
      <c r="T646" s="1333"/>
      <c r="U646" s="1333"/>
      <c r="V646" s="1333"/>
      <c r="W646" s="1333"/>
      <c r="X646" s="1333"/>
      <c r="Y646" s="1333"/>
      <c r="Z646" s="1333"/>
      <c r="AA646" s="1333"/>
      <c r="AB646" s="1333"/>
      <c r="AC646" s="1333"/>
      <c r="AD646" s="1333"/>
      <c r="AE646" s="1333"/>
      <c r="AF646" s="1333"/>
      <c r="AG646" s="1333"/>
      <c r="AH646" s="1333"/>
      <c r="AI646" s="1333"/>
      <c r="AJ646" s="1333"/>
    </row>
    <row r="647" spans="1:36" x14ac:dyDescent="0.25">
      <c r="A647" s="1331"/>
      <c r="B647" s="1284"/>
      <c r="C647" s="1284"/>
      <c r="D647" s="1364"/>
      <c r="E647" s="1364"/>
      <c r="F647" s="1364"/>
      <c r="G647" s="1365"/>
      <c r="H647" s="1333"/>
      <c r="I647" s="1333"/>
      <c r="J647" s="1333"/>
      <c r="K647" s="1333"/>
      <c r="L647" s="1333"/>
      <c r="M647" s="1333"/>
      <c r="N647" s="1333"/>
      <c r="O647" s="1333"/>
      <c r="P647" s="1333"/>
      <c r="Q647" s="1333"/>
      <c r="R647" s="1333"/>
      <c r="S647" s="1333"/>
      <c r="T647" s="1333"/>
      <c r="U647" s="1333"/>
      <c r="V647" s="1333"/>
      <c r="W647" s="1333"/>
      <c r="X647" s="1333"/>
      <c r="Y647" s="1333"/>
      <c r="Z647" s="1333"/>
      <c r="AA647" s="1333"/>
      <c r="AB647" s="1333"/>
      <c r="AC647" s="1333"/>
      <c r="AD647" s="1333"/>
      <c r="AE647" s="1333"/>
      <c r="AF647" s="1333"/>
      <c r="AG647" s="1333"/>
      <c r="AH647" s="1333"/>
      <c r="AI647" s="1333"/>
      <c r="AJ647" s="1333"/>
    </row>
    <row r="648" spans="1:36" x14ac:dyDescent="0.25">
      <c r="A648" s="1331"/>
      <c r="B648" s="1284"/>
      <c r="C648" s="1284"/>
      <c r="D648" s="1364"/>
      <c r="E648" s="1364"/>
      <c r="F648" s="1364"/>
      <c r="G648" s="1365"/>
      <c r="H648" s="1333"/>
      <c r="I648" s="1333"/>
      <c r="J648" s="1333"/>
      <c r="K648" s="1333"/>
      <c r="L648" s="1333"/>
      <c r="M648" s="1333"/>
      <c r="N648" s="1333"/>
      <c r="O648" s="1333"/>
      <c r="P648" s="1333"/>
      <c r="Q648" s="1333"/>
      <c r="R648" s="1333"/>
      <c r="S648" s="1333"/>
      <c r="T648" s="1333"/>
      <c r="U648" s="1333"/>
      <c r="V648" s="1333"/>
      <c r="W648" s="1333"/>
      <c r="X648" s="1333"/>
      <c r="Y648" s="1333"/>
      <c r="Z648" s="1333"/>
      <c r="AA648" s="1333"/>
      <c r="AB648" s="1333"/>
      <c r="AC648" s="1333"/>
      <c r="AD648" s="1333"/>
      <c r="AE648" s="1333"/>
      <c r="AF648" s="1333"/>
      <c r="AG648" s="1333"/>
      <c r="AH648" s="1333"/>
      <c r="AI648" s="1333"/>
      <c r="AJ648" s="1333"/>
    </row>
    <row r="649" spans="1:36" x14ac:dyDescent="0.25">
      <c r="A649" s="1331"/>
      <c r="B649" s="1284"/>
      <c r="C649" s="1284"/>
      <c r="D649" s="1364"/>
      <c r="E649" s="1364"/>
      <c r="F649" s="1364"/>
      <c r="G649" s="1365"/>
      <c r="H649" s="1333"/>
      <c r="I649" s="1333"/>
      <c r="J649" s="1333"/>
      <c r="K649" s="1333"/>
      <c r="L649" s="1333"/>
      <c r="M649" s="1333"/>
      <c r="N649" s="1333"/>
      <c r="O649" s="1333"/>
      <c r="P649" s="1333"/>
      <c r="Q649" s="1333"/>
      <c r="R649" s="1333"/>
      <c r="S649" s="1333"/>
      <c r="T649" s="1333"/>
      <c r="U649" s="1333"/>
      <c r="V649" s="1333"/>
      <c r="W649" s="1333"/>
      <c r="X649" s="1333"/>
      <c r="Y649" s="1333"/>
      <c r="Z649" s="1333"/>
      <c r="AA649" s="1333"/>
      <c r="AB649" s="1333"/>
      <c r="AC649" s="1333"/>
      <c r="AD649" s="1333"/>
      <c r="AE649" s="1333"/>
      <c r="AF649" s="1333"/>
      <c r="AG649" s="1333"/>
      <c r="AH649" s="1333"/>
      <c r="AI649" s="1333"/>
      <c r="AJ649" s="1333"/>
    </row>
    <row r="650" spans="1:36" x14ac:dyDescent="0.25">
      <c r="A650" s="1331"/>
      <c r="B650" s="1284"/>
      <c r="C650" s="1284"/>
      <c r="D650" s="1364"/>
      <c r="E650" s="1364"/>
      <c r="F650" s="1364"/>
      <c r="G650" s="1365"/>
      <c r="H650" s="1333"/>
      <c r="I650" s="1333"/>
      <c r="J650" s="1333"/>
      <c r="K650" s="1333"/>
      <c r="L650" s="1333"/>
      <c r="M650" s="1333"/>
      <c r="N650" s="1333"/>
      <c r="O650" s="1333"/>
      <c r="P650" s="1333"/>
      <c r="Q650" s="1333"/>
      <c r="R650" s="1333"/>
      <c r="S650" s="1333"/>
      <c r="T650" s="1333"/>
      <c r="U650" s="1333"/>
      <c r="V650" s="1333"/>
      <c r="W650" s="1333"/>
      <c r="X650" s="1333"/>
      <c r="Y650" s="1333"/>
      <c r="Z650" s="1333"/>
      <c r="AA650" s="1333"/>
      <c r="AB650" s="1333"/>
      <c r="AC650" s="1333"/>
      <c r="AD650" s="1333"/>
      <c r="AE650" s="1333"/>
      <c r="AF650" s="1333"/>
      <c r="AG650" s="1333"/>
      <c r="AH650" s="1333"/>
      <c r="AI650" s="1333"/>
      <c r="AJ650" s="1333"/>
    </row>
    <row r="651" spans="1:36" x14ac:dyDescent="0.25">
      <c r="A651" s="1331"/>
      <c r="B651" s="1284"/>
      <c r="C651" s="1284"/>
      <c r="D651" s="1364"/>
      <c r="E651" s="1364"/>
      <c r="F651" s="1364"/>
      <c r="G651" s="1365"/>
      <c r="H651" s="1333"/>
      <c r="I651" s="1333"/>
      <c r="J651" s="1333"/>
      <c r="K651" s="1333"/>
      <c r="L651" s="1333"/>
      <c r="M651" s="1333"/>
      <c r="N651" s="1333"/>
      <c r="O651" s="1333"/>
      <c r="P651" s="1333"/>
      <c r="Q651" s="1333"/>
      <c r="R651" s="1333"/>
      <c r="S651" s="1333"/>
      <c r="T651" s="1333"/>
      <c r="U651" s="1333"/>
      <c r="V651" s="1333"/>
      <c r="W651" s="1333"/>
      <c r="X651" s="1333"/>
      <c r="Y651" s="1333"/>
      <c r="Z651" s="1333"/>
      <c r="AA651" s="1333"/>
      <c r="AB651" s="1333"/>
      <c r="AC651" s="1333"/>
      <c r="AD651" s="1333"/>
      <c r="AE651" s="1333"/>
      <c r="AF651" s="1333"/>
      <c r="AG651" s="1333"/>
      <c r="AH651" s="1333"/>
      <c r="AI651" s="1333"/>
      <c r="AJ651" s="1333"/>
    </row>
    <row r="652" spans="1:36" x14ac:dyDescent="0.25">
      <c r="A652" s="1331"/>
      <c r="B652" s="1284"/>
      <c r="C652" s="1284"/>
      <c r="D652" s="1364"/>
      <c r="E652" s="1364"/>
      <c r="F652" s="1364"/>
      <c r="G652" s="1365"/>
      <c r="H652" s="1333"/>
      <c r="I652" s="1333"/>
      <c r="J652" s="1333"/>
      <c r="K652" s="1333"/>
      <c r="L652" s="1333"/>
      <c r="M652" s="1333"/>
      <c r="N652" s="1333"/>
      <c r="O652" s="1333"/>
      <c r="P652" s="1333"/>
      <c r="Q652" s="1333"/>
      <c r="R652" s="1333"/>
      <c r="S652" s="1333"/>
      <c r="T652" s="1333"/>
      <c r="U652" s="1333"/>
      <c r="V652" s="1333"/>
      <c r="W652" s="1333"/>
      <c r="X652" s="1333"/>
      <c r="Y652" s="1333"/>
      <c r="Z652" s="1333"/>
      <c r="AA652" s="1333"/>
      <c r="AB652" s="1333"/>
      <c r="AC652" s="1333"/>
      <c r="AD652" s="1333"/>
      <c r="AE652" s="1333"/>
      <c r="AF652" s="1333"/>
      <c r="AG652" s="1333"/>
      <c r="AH652" s="1333"/>
      <c r="AI652" s="1333"/>
      <c r="AJ652" s="1333"/>
    </row>
    <row r="653" spans="1:36" x14ac:dyDescent="0.25">
      <c r="A653" s="1331"/>
      <c r="B653" s="1284"/>
      <c r="C653" s="1284"/>
      <c r="D653" s="1364"/>
      <c r="E653" s="1364"/>
      <c r="F653" s="1364"/>
      <c r="G653" s="1365"/>
      <c r="H653" s="1333"/>
      <c r="I653" s="1333"/>
      <c r="J653" s="1333"/>
      <c r="K653" s="1333"/>
      <c r="L653" s="1333"/>
      <c r="M653" s="1333"/>
      <c r="N653" s="1333"/>
      <c r="O653" s="1333"/>
      <c r="P653" s="1333"/>
      <c r="Q653" s="1333"/>
      <c r="R653" s="1333"/>
      <c r="S653" s="1333"/>
      <c r="T653" s="1333"/>
      <c r="U653" s="1333"/>
      <c r="V653" s="1333"/>
      <c r="W653" s="1333"/>
      <c r="X653" s="1333"/>
      <c r="Y653" s="1333"/>
      <c r="Z653" s="1333"/>
      <c r="AA653" s="1333"/>
      <c r="AB653" s="1333"/>
      <c r="AC653" s="1333"/>
      <c r="AD653" s="1333"/>
      <c r="AE653" s="1333"/>
      <c r="AF653" s="1333"/>
      <c r="AG653" s="1333"/>
      <c r="AH653" s="1333"/>
      <c r="AI653" s="1333"/>
      <c r="AJ653" s="1333"/>
    </row>
    <row r="654" spans="1:36" x14ac:dyDescent="0.25">
      <c r="A654" s="1331"/>
      <c r="B654" s="1284"/>
      <c r="C654" s="1284"/>
      <c r="D654" s="1364"/>
      <c r="E654" s="1364"/>
      <c r="F654" s="1364"/>
      <c r="G654" s="1365"/>
      <c r="H654" s="1333"/>
      <c r="I654" s="1333"/>
      <c r="J654" s="1333"/>
      <c r="K654" s="1333"/>
      <c r="L654" s="1333"/>
      <c r="M654" s="1333"/>
      <c r="N654" s="1333"/>
      <c r="O654" s="1333"/>
      <c r="P654" s="1333"/>
      <c r="Q654" s="1333"/>
      <c r="R654" s="1333"/>
      <c r="S654" s="1333"/>
      <c r="T654" s="1333"/>
      <c r="U654" s="1333"/>
      <c r="V654" s="1333"/>
      <c r="W654" s="1333"/>
      <c r="X654" s="1333"/>
      <c r="Y654" s="1333"/>
      <c r="Z654" s="1333"/>
      <c r="AA654" s="1333"/>
      <c r="AB654" s="1333"/>
      <c r="AC654" s="1333"/>
      <c r="AD654" s="1333"/>
      <c r="AE654" s="1333"/>
      <c r="AF654" s="1333"/>
      <c r="AG654" s="1333"/>
      <c r="AH654" s="1333"/>
      <c r="AI654" s="1333"/>
      <c r="AJ654" s="1333"/>
    </row>
    <row r="655" spans="1:36" x14ac:dyDescent="0.25">
      <c r="A655" s="1331"/>
      <c r="B655" s="1284"/>
      <c r="C655" s="1284"/>
      <c r="D655" s="1364"/>
      <c r="E655" s="1364"/>
      <c r="F655" s="1364"/>
      <c r="G655" s="1365"/>
      <c r="H655" s="1333"/>
      <c r="I655" s="1333"/>
      <c r="J655" s="1333"/>
      <c r="K655" s="1333"/>
      <c r="L655" s="1333"/>
      <c r="M655" s="1333"/>
      <c r="N655" s="1333"/>
      <c r="O655" s="1333"/>
      <c r="P655" s="1333"/>
      <c r="Q655" s="1333"/>
      <c r="R655" s="1333"/>
      <c r="S655" s="1333"/>
      <c r="T655" s="1333"/>
      <c r="U655" s="1333"/>
      <c r="V655" s="1333"/>
      <c r="W655" s="1333"/>
      <c r="X655" s="1333"/>
      <c r="Y655" s="1333"/>
      <c r="Z655" s="1333"/>
      <c r="AA655" s="1333"/>
      <c r="AB655" s="1333"/>
      <c r="AC655" s="1333"/>
      <c r="AD655" s="1333"/>
      <c r="AE655" s="1333"/>
      <c r="AF655" s="1333"/>
      <c r="AG655" s="1333"/>
      <c r="AH655" s="1333"/>
      <c r="AI655" s="1333"/>
      <c r="AJ655" s="1333"/>
    </row>
    <row r="656" spans="1:36" x14ac:dyDescent="0.25">
      <c r="A656" s="1331"/>
      <c r="B656" s="1284"/>
      <c r="C656" s="1284"/>
      <c r="D656" s="1364"/>
      <c r="E656" s="1364"/>
      <c r="F656" s="1364"/>
      <c r="G656" s="1365"/>
      <c r="H656" s="1333"/>
      <c r="I656" s="1333"/>
      <c r="J656" s="1333"/>
      <c r="K656" s="1333"/>
      <c r="L656" s="1333"/>
      <c r="M656" s="1333"/>
      <c r="N656" s="1333"/>
      <c r="O656" s="1333"/>
      <c r="P656" s="1333"/>
      <c r="Q656" s="1333"/>
      <c r="R656" s="1333"/>
      <c r="S656" s="1333"/>
      <c r="T656" s="1333"/>
      <c r="U656" s="1333"/>
      <c r="V656" s="1333"/>
      <c r="W656" s="1333"/>
      <c r="X656" s="1333"/>
      <c r="Y656" s="1333"/>
      <c r="Z656" s="1333"/>
      <c r="AA656" s="1333"/>
      <c r="AB656" s="1333"/>
      <c r="AC656" s="1333"/>
      <c r="AD656" s="1333"/>
      <c r="AE656" s="1333"/>
      <c r="AF656" s="1333"/>
      <c r="AG656" s="1333"/>
      <c r="AH656" s="1333"/>
      <c r="AI656" s="1333"/>
      <c r="AJ656" s="1333"/>
    </row>
    <row r="657" spans="1:36" x14ac:dyDescent="0.25">
      <c r="A657" s="1331"/>
      <c r="B657" s="1284"/>
      <c r="C657" s="1284"/>
      <c r="D657" s="1364"/>
      <c r="E657" s="1364"/>
      <c r="F657" s="1364"/>
      <c r="G657" s="1365"/>
      <c r="H657" s="1333"/>
      <c r="I657" s="1333"/>
      <c r="J657" s="1333"/>
      <c r="K657" s="1333"/>
      <c r="L657" s="1333"/>
      <c r="M657" s="1333"/>
      <c r="N657" s="1333"/>
      <c r="O657" s="1333"/>
      <c r="P657" s="1333"/>
      <c r="Q657" s="1333"/>
      <c r="R657" s="1333"/>
      <c r="S657" s="1333"/>
      <c r="T657" s="1333"/>
      <c r="U657" s="1333"/>
      <c r="V657" s="1333"/>
      <c r="W657" s="1333"/>
      <c r="X657" s="1333"/>
      <c r="Y657" s="1333"/>
      <c r="Z657" s="1333"/>
      <c r="AA657" s="1333"/>
      <c r="AB657" s="1333"/>
      <c r="AC657" s="1333"/>
      <c r="AD657" s="1333"/>
      <c r="AE657" s="1333"/>
      <c r="AF657" s="1333"/>
      <c r="AG657" s="1333"/>
      <c r="AH657" s="1333"/>
      <c r="AI657" s="1333"/>
      <c r="AJ657" s="1333"/>
    </row>
    <row r="658" spans="1:36" x14ac:dyDescent="0.25">
      <c r="A658" s="1331"/>
      <c r="B658" s="1284"/>
      <c r="C658" s="1284"/>
      <c r="D658" s="1364"/>
      <c r="E658" s="1364"/>
      <c r="F658" s="1364"/>
      <c r="G658" s="1365"/>
      <c r="H658" s="1333"/>
      <c r="I658" s="1333"/>
      <c r="J658" s="1333"/>
      <c r="K658" s="1333"/>
      <c r="L658" s="1333"/>
      <c r="M658" s="1333"/>
      <c r="N658" s="1333"/>
      <c r="O658" s="1333"/>
      <c r="P658" s="1333"/>
      <c r="Q658" s="1333"/>
      <c r="R658" s="1333"/>
      <c r="S658" s="1333"/>
      <c r="T658" s="1333"/>
      <c r="U658" s="1333"/>
      <c r="V658" s="1333"/>
      <c r="W658" s="1333"/>
      <c r="X658" s="1333"/>
      <c r="Y658" s="1333"/>
      <c r="Z658" s="1333"/>
      <c r="AA658" s="1333"/>
      <c r="AB658" s="1333"/>
      <c r="AC658" s="1333"/>
      <c r="AD658" s="1333"/>
      <c r="AE658" s="1333"/>
      <c r="AF658" s="1333"/>
      <c r="AG658" s="1333"/>
      <c r="AH658" s="1333"/>
      <c r="AI658" s="1333"/>
      <c r="AJ658" s="1333"/>
    </row>
    <row r="659" spans="1:36" x14ac:dyDescent="0.25">
      <c r="A659" s="1331"/>
      <c r="B659" s="1284"/>
      <c r="C659" s="1284"/>
      <c r="D659" s="1364"/>
      <c r="E659" s="1364"/>
      <c r="F659" s="1364"/>
      <c r="G659" s="1365"/>
      <c r="H659" s="1333"/>
      <c r="I659" s="1333"/>
      <c r="J659" s="1333"/>
      <c r="K659" s="1333"/>
      <c r="L659" s="1333"/>
      <c r="M659" s="1333"/>
      <c r="N659" s="1333"/>
      <c r="O659" s="1333"/>
      <c r="P659" s="1333"/>
      <c r="Q659" s="1333"/>
      <c r="R659" s="1333"/>
      <c r="S659" s="1333"/>
      <c r="T659" s="1333"/>
      <c r="U659" s="1333"/>
      <c r="V659" s="1333"/>
      <c r="W659" s="1333"/>
      <c r="X659" s="1333"/>
      <c r="Y659" s="1333"/>
      <c r="Z659" s="1333"/>
      <c r="AA659" s="1333"/>
      <c r="AB659" s="1333"/>
      <c r="AC659" s="1333"/>
      <c r="AD659" s="1333"/>
      <c r="AE659" s="1333"/>
      <c r="AF659" s="1333"/>
      <c r="AG659" s="1333"/>
      <c r="AH659" s="1333"/>
      <c r="AI659" s="1333"/>
      <c r="AJ659" s="1333"/>
    </row>
    <row r="660" spans="1:36" x14ac:dyDescent="0.25">
      <c r="A660" s="1331"/>
      <c r="B660" s="1284"/>
      <c r="C660" s="1284"/>
      <c r="D660" s="1364"/>
      <c r="E660" s="1364"/>
      <c r="F660" s="1364"/>
      <c r="G660" s="1365"/>
      <c r="H660" s="1333"/>
      <c r="I660" s="1333"/>
      <c r="J660" s="1333"/>
      <c r="K660" s="1333"/>
      <c r="L660" s="1333"/>
      <c r="M660" s="1333"/>
      <c r="N660" s="1333"/>
      <c r="O660" s="1333"/>
      <c r="P660" s="1333"/>
      <c r="Q660" s="1333"/>
      <c r="R660" s="1333"/>
      <c r="S660" s="1333"/>
      <c r="T660" s="1333"/>
      <c r="U660" s="1333"/>
      <c r="V660" s="1333"/>
      <c r="W660" s="1333"/>
      <c r="X660" s="1333"/>
      <c r="Y660" s="1333"/>
      <c r="Z660" s="1333"/>
      <c r="AA660" s="1333"/>
      <c r="AB660" s="1333"/>
      <c r="AC660" s="1333"/>
      <c r="AD660" s="1333"/>
      <c r="AE660" s="1333"/>
      <c r="AF660" s="1333"/>
      <c r="AG660" s="1333"/>
      <c r="AH660" s="1333"/>
      <c r="AI660" s="1333"/>
      <c r="AJ660" s="1333"/>
    </row>
    <row r="661" spans="1:36" x14ac:dyDescent="0.25">
      <c r="A661" s="1331"/>
      <c r="B661" s="1284"/>
      <c r="C661" s="1284"/>
      <c r="D661" s="1364"/>
      <c r="E661" s="1364"/>
      <c r="F661" s="1364"/>
      <c r="G661" s="1365"/>
      <c r="H661" s="1333"/>
      <c r="I661" s="1333"/>
      <c r="J661" s="1333"/>
      <c r="K661" s="1333"/>
      <c r="L661" s="1333"/>
      <c r="M661" s="1333"/>
      <c r="N661" s="1333"/>
      <c r="O661" s="1333"/>
      <c r="P661" s="1333"/>
      <c r="Q661" s="1333"/>
      <c r="R661" s="1333"/>
      <c r="S661" s="1333"/>
      <c r="T661" s="1333"/>
      <c r="U661" s="1333"/>
      <c r="V661" s="1333"/>
      <c r="W661" s="1333"/>
      <c r="X661" s="1333"/>
      <c r="Y661" s="1333"/>
      <c r="Z661" s="1333"/>
      <c r="AA661" s="1333"/>
      <c r="AB661" s="1333"/>
      <c r="AC661" s="1333"/>
      <c r="AD661" s="1333"/>
      <c r="AE661" s="1333"/>
      <c r="AF661" s="1333"/>
      <c r="AG661" s="1333"/>
      <c r="AH661" s="1333"/>
      <c r="AI661" s="1333"/>
      <c r="AJ661" s="1333"/>
    </row>
    <row r="662" spans="1:36" x14ac:dyDescent="0.25">
      <c r="A662" s="1331"/>
      <c r="B662" s="1284"/>
      <c r="C662" s="1284"/>
      <c r="D662" s="1364"/>
      <c r="E662" s="1364"/>
      <c r="F662" s="1364"/>
      <c r="G662" s="1365"/>
      <c r="H662" s="1333"/>
      <c r="I662" s="1333"/>
      <c r="J662" s="1333"/>
      <c r="K662" s="1333"/>
      <c r="L662" s="1333"/>
      <c r="M662" s="1333"/>
      <c r="N662" s="1333"/>
      <c r="O662" s="1333"/>
      <c r="P662" s="1333"/>
      <c r="Q662" s="1333"/>
      <c r="R662" s="1333"/>
      <c r="S662" s="1333"/>
      <c r="T662" s="1333"/>
      <c r="U662" s="1333"/>
      <c r="V662" s="1333"/>
      <c r="W662" s="1333"/>
      <c r="X662" s="1333"/>
      <c r="Y662" s="1333"/>
      <c r="Z662" s="1333"/>
      <c r="AA662" s="1333"/>
      <c r="AB662" s="1333"/>
      <c r="AC662" s="1333"/>
      <c r="AD662" s="1333"/>
      <c r="AE662" s="1333"/>
      <c r="AF662" s="1333"/>
      <c r="AG662" s="1333"/>
      <c r="AH662" s="1333"/>
      <c r="AI662" s="1333"/>
      <c r="AJ662" s="1333"/>
    </row>
    <row r="663" spans="1:36" x14ac:dyDescent="0.25">
      <c r="A663" s="1331"/>
      <c r="B663" s="1284"/>
      <c r="C663" s="1284"/>
      <c r="D663" s="1364"/>
      <c r="E663" s="1364"/>
      <c r="F663" s="1364"/>
      <c r="G663" s="1365"/>
      <c r="H663" s="1333"/>
      <c r="I663" s="1333"/>
      <c r="J663" s="1333"/>
      <c r="K663" s="1333"/>
      <c r="L663" s="1333"/>
      <c r="M663" s="1333"/>
      <c r="N663" s="1333"/>
      <c r="O663" s="1333"/>
      <c r="P663" s="1333"/>
      <c r="Q663" s="1333"/>
      <c r="R663" s="1333"/>
      <c r="S663" s="1333"/>
      <c r="T663" s="1333"/>
      <c r="U663" s="1333"/>
      <c r="V663" s="1333"/>
      <c r="W663" s="1333"/>
      <c r="X663" s="1333"/>
      <c r="Y663" s="1333"/>
      <c r="Z663" s="1333"/>
      <c r="AA663" s="1333"/>
      <c r="AB663" s="1333"/>
      <c r="AC663" s="1333"/>
      <c r="AD663" s="1333"/>
      <c r="AE663" s="1333"/>
      <c r="AF663" s="1333"/>
      <c r="AG663" s="1333"/>
      <c r="AH663" s="1333"/>
      <c r="AI663" s="1333"/>
      <c r="AJ663" s="1333"/>
    </row>
    <row r="664" spans="1:36" x14ac:dyDescent="0.25">
      <c r="A664" s="1331"/>
      <c r="B664" s="1284"/>
      <c r="C664" s="1284"/>
      <c r="D664" s="1364"/>
      <c r="E664" s="1364"/>
      <c r="F664" s="1364"/>
      <c r="G664" s="1365"/>
      <c r="H664" s="1333"/>
      <c r="I664" s="1333"/>
      <c r="J664" s="1333"/>
      <c r="K664" s="1333"/>
      <c r="L664" s="1333"/>
      <c r="M664" s="1333"/>
      <c r="N664" s="1333"/>
      <c r="O664" s="1333"/>
      <c r="P664" s="1333"/>
      <c r="Q664" s="1333"/>
      <c r="R664" s="1333"/>
      <c r="S664" s="1333"/>
      <c r="T664" s="1333"/>
      <c r="U664" s="1333"/>
      <c r="V664" s="1333"/>
      <c r="W664" s="1333"/>
      <c r="X664" s="1333"/>
      <c r="Y664" s="1333"/>
      <c r="Z664" s="1333"/>
      <c r="AA664" s="1333"/>
      <c r="AB664" s="1333"/>
      <c r="AC664" s="1333"/>
      <c r="AD664" s="1333"/>
      <c r="AE664" s="1333"/>
      <c r="AF664" s="1333"/>
      <c r="AG664" s="1333"/>
      <c r="AH664" s="1333"/>
      <c r="AI664" s="1333"/>
      <c r="AJ664" s="1333"/>
    </row>
    <row r="665" spans="1:36" x14ac:dyDescent="0.25">
      <c r="A665" s="1331"/>
      <c r="B665" s="1284"/>
      <c r="C665" s="1284"/>
      <c r="D665" s="1364"/>
      <c r="E665" s="1364"/>
      <c r="F665" s="1364"/>
      <c r="G665" s="1365"/>
      <c r="H665" s="1333"/>
      <c r="I665" s="1333"/>
      <c r="J665" s="1333"/>
      <c r="K665" s="1333"/>
      <c r="L665" s="1333"/>
      <c r="M665" s="1333"/>
      <c r="N665" s="1333"/>
      <c r="O665" s="1333"/>
      <c r="P665" s="1333"/>
      <c r="Q665" s="1333"/>
      <c r="R665" s="1333"/>
      <c r="S665" s="1333"/>
      <c r="T665" s="1333"/>
      <c r="U665" s="1333"/>
      <c r="V665" s="1333"/>
      <c r="W665" s="1333"/>
      <c r="X665" s="1333"/>
      <c r="Y665" s="1333"/>
      <c r="Z665" s="1333"/>
      <c r="AA665" s="1333"/>
      <c r="AB665" s="1333"/>
      <c r="AC665" s="1333"/>
      <c r="AD665" s="1333"/>
      <c r="AE665" s="1333"/>
      <c r="AF665" s="1333"/>
      <c r="AG665" s="1333"/>
      <c r="AH665" s="1333"/>
      <c r="AI665" s="1333"/>
      <c r="AJ665" s="1333"/>
    </row>
    <row r="666" spans="1:36" x14ac:dyDescent="0.25">
      <c r="A666" s="1331"/>
      <c r="B666" s="1284"/>
      <c r="C666" s="1284"/>
      <c r="D666" s="1364"/>
      <c r="E666" s="1364"/>
      <c r="F666" s="1364"/>
      <c r="G666" s="1365"/>
      <c r="H666" s="1333"/>
      <c r="I666" s="1333"/>
      <c r="J666" s="1333"/>
      <c r="K666" s="1333"/>
      <c r="L666" s="1333"/>
      <c r="M666" s="1333"/>
      <c r="N666" s="1333"/>
      <c r="O666" s="1333"/>
      <c r="P666" s="1333"/>
      <c r="Q666" s="1333"/>
      <c r="R666" s="1333"/>
      <c r="S666" s="1333"/>
      <c r="T666" s="1333"/>
      <c r="U666" s="1333"/>
      <c r="V666" s="1333"/>
      <c r="W666" s="1333"/>
      <c r="X666" s="1333"/>
      <c r="Y666" s="1333"/>
      <c r="Z666" s="1333"/>
      <c r="AA666" s="1333"/>
      <c r="AB666" s="1333"/>
      <c r="AC666" s="1333"/>
      <c r="AD666" s="1333"/>
      <c r="AE666" s="1333"/>
      <c r="AF666" s="1333"/>
      <c r="AG666" s="1333"/>
      <c r="AH666" s="1333"/>
      <c r="AI666" s="1333"/>
      <c r="AJ666" s="1333"/>
    </row>
    <row r="667" spans="1:36" x14ac:dyDescent="0.25">
      <c r="A667" s="1331"/>
      <c r="B667" s="1284"/>
      <c r="C667" s="1284"/>
      <c r="D667" s="1364"/>
      <c r="E667" s="1364"/>
      <c r="F667" s="1364"/>
      <c r="G667" s="1365"/>
      <c r="H667" s="1333"/>
      <c r="I667" s="1333"/>
      <c r="J667" s="1333"/>
      <c r="K667" s="1333"/>
      <c r="L667" s="1333"/>
      <c r="M667" s="1333"/>
      <c r="N667" s="1333"/>
      <c r="O667" s="1333"/>
      <c r="P667" s="1333"/>
      <c r="Q667" s="1333"/>
      <c r="R667" s="1333"/>
      <c r="S667" s="1333"/>
      <c r="T667" s="1333"/>
      <c r="U667" s="1333"/>
      <c r="V667" s="1333"/>
      <c r="W667" s="1333"/>
      <c r="X667" s="1333"/>
      <c r="Y667" s="1333"/>
      <c r="Z667" s="1333"/>
      <c r="AA667" s="1333"/>
      <c r="AB667" s="1333"/>
      <c r="AC667" s="1333"/>
      <c r="AD667" s="1333"/>
      <c r="AE667" s="1333"/>
      <c r="AF667" s="1333"/>
      <c r="AG667" s="1333"/>
      <c r="AH667" s="1333"/>
      <c r="AI667" s="1333"/>
      <c r="AJ667" s="1333"/>
    </row>
    <row r="668" spans="1:36" x14ac:dyDescent="0.25">
      <c r="A668" s="1331"/>
      <c r="B668" s="1284"/>
      <c r="C668" s="1284"/>
      <c r="D668" s="1364"/>
      <c r="E668" s="1364"/>
      <c r="F668" s="1364"/>
      <c r="G668" s="1365"/>
      <c r="H668" s="1333"/>
      <c r="I668" s="1333"/>
      <c r="J668" s="1333"/>
      <c r="K668" s="1333"/>
      <c r="L668" s="1333"/>
      <c r="M668" s="1333"/>
      <c r="N668" s="1333"/>
      <c r="O668" s="1333"/>
      <c r="P668" s="1333"/>
      <c r="Q668" s="1333"/>
      <c r="R668" s="1333"/>
      <c r="S668" s="1333"/>
      <c r="T668" s="1333"/>
      <c r="U668" s="1333"/>
      <c r="V668" s="1333"/>
      <c r="W668" s="1333"/>
      <c r="X668" s="1333"/>
      <c r="Y668" s="1333"/>
      <c r="Z668" s="1333"/>
      <c r="AA668" s="1333"/>
      <c r="AB668" s="1333"/>
      <c r="AC668" s="1333"/>
      <c r="AD668" s="1333"/>
      <c r="AE668" s="1333"/>
      <c r="AF668" s="1333"/>
      <c r="AG668" s="1333"/>
      <c r="AH668" s="1333"/>
      <c r="AI668" s="1333"/>
      <c r="AJ668" s="1333"/>
    </row>
    <row r="669" spans="1:36" x14ac:dyDescent="0.25">
      <c r="A669" s="1331"/>
      <c r="B669" s="1284"/>
      <c r="C669" s="1284"/>
      <c r="D669" s="1364"/>
      <c r="E669" s="1364"/>
      <c r="F669" s="1364"/>
      <c r="G669" s="1365"/>
      <c r="H669" s="1333"/>
      <c r="I669" s="1333"/>
      <c r="J669" s="1333"/>
      <c r="K669" s="1333"/>
      <c r="L669" s="1333"/>
      <c r="M669" s="1333"/>
      <c r="N669" s="1333"/>
      <c r="O669" s="1333"/>
      <c r="P669" s="1333"/>
      <c r="Q669" s="1333"/>
      <c r="R669" s="1333"/>
      <c r="S669" s="1333"/>
      <c r="T669" s="1333"/>
      <c r="U669" s="1333"/>
      <c r="V669" s="1333"/>
      <c r="W669" s="1333"/>
      <c r="X669" s="1333"/>
      <c r="Y669" s="1333"/>
      <c r="Z669" s="1333"/>
      <c r="AA669" s="1333"/>
      <c r="AB669" s="1333"/>
      <c r="AC669" s="1333"/>
      <c r="AD669" s="1333"/>
      <c r="AE669" s="1333"/>
      <c r="AF669" s="1333"/>
      <c r="AG669" s="1333"/>
      <c r="AH669" s="1333"/>
      <c r="AI669" s="1333"/>
      <c r="AJ669" s="1333"/>
    </row>
    <row r="670" spans="1:36" x14ac:dyDescent="0.25">
      <c r="A670" s="1331"/>
      <c r="B670" s="1284"/>
      <c r="C670" s="1284"/>
      <c r="D670" s="1364"/>
      <c r="E670" s="1364"/>
      <c r="F670" s="1364"/>
      <c r="G670" s="1365"/>
      <c r="H670" s="1333"/>
      <c r="I670" s="1333"/>
      <c r="J670" s="1333"/>
      <c r="K670" s="1333"/>
      <c r="L670" s="1333"/>
      <c r="M670" s="1333"/>
      <c r="N670" s="1333"/>
      <c r="O670" s="1333"/>
      <c r="P670" s="1333"/>
      <c r="Q670" s="1333"/>
      <c r="R670" s="1333"/>
      <c r="S670" s="1333"/>
      <c r="T670" s="1333"/>
      <c r="U670" s="1333"/>
      <c r="V670" s="1333"/>
      <c r="W670" s="1333"/>
      <c r="X670" s="1333"/>
      <c r="Y670" s="1333"/>
      <c r="Z670" s="1333"/>
      <c r="AA670" s="1333"/>
      <c r="AB670" s="1333"/>
      <c r="AC670" s="1333"/>
      <c r="AD670" s="1333"/>
      <c r="AE670" s="1333"/>
      <c r="AF670" s="1333"/>
      <c r="AG670" s="1333"/>
      <c r="AH670" s="1333"/>
      <c r="AI670" s="1333"/>
      <c r="AJ670" s="1333"/>
    </row>
    <row r="671" spans="1:36" x14ac:dyDescent="0.25">
      <c r="A671" s="1331"/>
      <c r="B671" s="1284"/>
      <c r="C671" s="1284"/>
      <c r="D671" s="1364"/>
      <c r="E671" s="1364"/>
      <c r="F671" s="1364"/>
      <c r="G671" s="1365"/>
      <c r="H671" s="1333"/>
      <c r="I671" s="1333"/>
      <c r="J671" s="1333"/>
      <c r="K671" s="1333"/>
      <c r="L671" s="1333"/>
      <c r="M671" s="1333"/>
      <c r="N671" s="1333"/>
      <c r="O671" s="1333"/>
      <c r="P671" s="1333"/>
      <c r="Q671" s="1333"/>
      <c r="R671" s="1333"/>
      <c r="S671" s="1333"/>
      <c r="T671" s="1333"/>
      <c r="U671" s="1333"/>
      <c r="V671" s="1333"/>
      <c r="W671" s="1333"/>
      <c r="X671" s="1333"/>
      <c r="Y671" s="1333"/>
      <c r="Z671" s="1333"/>
      <c r="AA671" s="1333"/>
      <c r="AB671" s="1333"/>
      <c r="AC671" s="1333"/>
      <c r="AD671" s="1333"/>
      <c r="AE671" s="1333"/>
      <c r="AF671" s="1333"/>
      <c r="AG671" s="1333"/>
      <c r="AH671" s="1333"/>
      <c r="AI671" s="1333"/>
      <c r="AJ671" s="1333"/>
    </row>
    <row r="672" spans="1:36" x14ac:dyDescent="0.25">
      <c r="A672" s="1331"/>
      <c r="B672" s="1284"/>
      <c r="C672" s="1284"/>
      <c r="D672" s="1364"/>
      <c r="E672" s="1364"/>
      <c r="F672" s="1364"/>
      <c r="G672" s="1365"/>
      <c r="H672" s="1333"/>
      <c r="I672" s="1333"/>
      <c r="J672" s="1333"/>
      <c r="K672" s="1333"/>
      <c r="L672" s="1333"/>
      <c r="M672" s="1333"/>
      <c r="N672" s="1333"/>
      <c r="O672" s="1333"/>
      <c r="P672" s="1333"/>
      <c r="Q672" s="1333"/>
      <c r="R672" s="1333"/>
      <c r="S672" s="1333"/>
      <c r="T672" s="1333"/>
      <c r="U672" s="1333"/>
      <c r="V672" s="1333"/>
      <c r="W672" s="1333"/>
      <c r="X672" s="1333"/>
      <c r="Y672" s="1333"/>
      <c r="Z672" s="1333"/>
      <c r="AA672" s="1333"/>
      <c r="AB672" s="1333"/>
      <c r="AC672" s="1333"/>
      <c r="AD672" s="1333"/>
      <c r="AE672" s="1333"/>
      <c r="AF672" s="1333"/>
      <c r="AG672" s="1333"/>
      <c r="AH672" s="1333"/>
      <c r="AI672" s="1333"/>
      <c r="AJ672" s="1333"/>
    </row>
    <row r="673" spans="1:36" x14ac:dyDescent="0.25">
      <c r="A673" s="1331"/>
      <c r="B673" s="1284"/>
      <c r="C673" s="1284"/>
      <c r="D673" s="1364"/>
      <c r="E673" s="1364"/>
      <c r="F673" s="1364"/>
      <c r="G673" s="1365"/>
      <c r="H673" s="1333"/>
      <c r="I673" s="1333"/>
      <c r="J673" s="1333"/>
      <c r="K673" s="1333"/>
      <c r="L673" s="1333"/>
      <c r="M673" s="1333"/>
      <c r="N673" s="1333"/>
      <c r="O673" s="1333"/>
      <c r="P673" s="1333"/>
      <c r="Q673" s="1333"/>
      <c r="R673" s="1333"/>
      <c r="S673" s="1333"/>
      <c r="T673" s="1333"/>
      <c r="U673" s="1333"/>
      <c r="V673" s="1333"/>
      <c r="W673" s="1333"/>
      <c r="X673" s="1333"/>
      <c r="Y673" s="1333"/>
      <c r="Z673" s="1333"/>
      <c r="AA673" s="1333"/>
      <c r="AB673" s="1333"/>
      <c r="AC673" s="1333"/>
      <c r="AD673" s="1333"/>
      <c r="AE673" s="1333"/>
      <c r="AF673" s="1333"/>
      <c r="AG673" s="1333"/>
      <c r="AH673" s="1333"/>
      <c r="AI673" s="1333"/>
      <c r="AJ673" s="1333"/>
    </row>
    <row r="674" spans="1:36" x14ac:dyDescent="0.25">
      <c r="A674" s="1331"/>
      <c r="B674" s="1284"/>
      <c r="C674" s="1284"/>
      <c r="D674" s="1364"/>
      <c r="E674" s="1364"/>
      <c r="F674" s="1364"/>
      <c r="G674" s="1365"/>
      <c r="H674" s="1333"/>
      <c r="I674" s="1333"/>
      <c r="J674" s="1333"/>
      <c r="K674" s="1333"/>
      <c r="L674" s="1333"/>
      <c r="M674" s="1333"/>
      <c r="N674" s="1333"/>
      <c r="O674" s="1333"/>
      <c r="P674" s="1333"/>
      <c r="Q674" s="1333"/>
      <c r="R674" s="1333"/>
      <c r="S674" s="1333"/>
      <c r="T674" s="1333"/>
      <c r="U674" s="1333"/>
      <c r="V674" s="1333"/>
      <c r="W674" s="1333"/>
      <c r="X674" s="1333"/>
      <c r="Y674" s="1333"/>
      <c r="Z674" s="1333"/>
      <c r="AA674" s="1333"/>
      <c r="AB674" s="1333"/>
      <c r="AC674" s="1333"/>
      <c r="AD674" s="1333"/>
      <c r="AE674" s="1333"/>
      <c r="AF674" s="1333"/>
      <c r="AG674" s="1333"/>
      <c r="AH674" s="1333"/>
      <c r="AI674" s="1333"/>
      <c r="AJ674" s="1333"/>
    </row>
    <row r="675" spans="1:36" x14ac:dyDescent="0.25">
      <c r="A675" s="1331"/>
      <c r="B675" s="1284"/>
      <c r="C675" s="1284"/>
      <c r="D675" s="1364"/>
      <c r="E675" s="1364"/>
      <c r="F675" s="1364"/>
      <c r="G675" s="1365"/>
      <c r="H675" s="1333"/>
      <c r="I675" s="1333"/>
      <c r="J675" s="1333"/>
      <c r="K675" s="1333"/>
      <c r="L675" s="1333"/>
      <c r="M675" s="1333"/>
      <c r="N675" s="1333"/>
      <c r="O675" s="1333"/>
      <c r="P675" s="1333"/>
      <c r="Q675" s="1333"/>
      <c r="R675" s="1333"/>
      <c r="S675" s="1333"/>
      <c r="T675" s="1333"/>
      <c r="U675" s="1333"/>
      <c r="V675" s="1333"/>
      <c r="W675" s="1333"/>
      <c r="X675" s="1333"/>
      <c r="Y675" s="1333"/>
      <c r="Z675" s="1333"/>
      <c r="AA675" s="1333"/>
      <c r="AB675" s="1333"/>
      <c r="AC675" s="1333"/>
      <c r="AD675" s="1333"/>
      <c r="AE675" s="1333"/>
      <c r="AF675" s="1333"/>
      <c r="AG675" s="1333"/>
      <c r="AH675" s="1333"/>
      <c r="AI675" s="1333"/>
      <c r="AJ675" s="1333"/>
    </row>
    <row r="676" spans="1:36" x14ac:dyDescent="0.25">
      <c r="A676" s="1331"/>
      <c r="B676" s="1284"/>
      <c r="C676" s="1284"/>
      <c r="D676" s="1364"/>
      <c r="E676" s="1364"/>
      <c r="F676" s="1364"/>
      <c r="G676" s="1365"/>
      <c r="H676" s="1333"/>
      <c r="I676" s="1333"/>
      <c r="J676" s="1333"/>
      <c r="K676" s="1333"/>
      <c r="L676" s="1333"/>
      <c r="M676" s="1333"/>
      <c r="N676" s="1333"/>
      <c r="O676" s="1333"/>
      <c r="P676" s="1333"/>
      <c r="Q676" s="1333"/>
      <c r="R676" s="1333"/>
      <c r="S676" s="1333"/>
      <c r="T676" s="1333"/>
      <c r="U676" s="1333"/>
      <c r="V676" s="1333"/>
      <c r="W676" s="1333"/>
      <c r="X676" s="1333"/>
      <c r="Y676" s="1333"/>
      <c r="Z676" s="1333"/>
      <c r="AA676" s="1333"/>
      <c r="AB676" s="1333"/>
      <c r="AC676" s="1333"/>
      <c r="AD676" s="1333"/>
      <c r="AE676" s="1333"/>
      <c r="AF676" s="1333"/>
      <c r="AG676" s="1333"/>
      <c r="AH676" s="1333"/>
      <c r="AI676" s="1333"/>
      <c r="AJ676" s="1333"/>
    </row>
    <row r="677" spans="1:36" x14ac:dyDescent="0.25">
      <c r="A677" s="1331"/>
      <c r="B677" s="1284"/>
      <c r="C677" s="1284"/>
      <c r="D677" s="1364"/>
      <c r="E677" s="1364"/>
      <c r="F677" s="1364"/>
      <c r="G677" s="1365"/>
      <c r="H677" s="1333"/>
      <c r="I677" s="1333"/>
      <c r="J677" s="1333"/>
      <c r="K677" s="1333"/>
      <c r="L677" s="1333"/>
      <c r="M677" s="1333"/>
      <c r="N677" s="1333"/>
      <c r="O677" s="1333"/>
      <c r="P677" s="1333"/>
      <c r="Q677" s="1333"/>
      <c r="R677" s="1333"/>
      <c r="S677" s="1333"/>
      <c r="T677" s="1333"/>
      <c r="U677" s="1333"/>
      <c r="V677" s="1333"/>
      <c r="W677" s="1333"/>
      <c r="X677" s="1333"/>
      <c r="Y677" s="1333"/>
      <c r="Z677" s="1333"/>
      <c r="AA677" s="1333"/>
      <c r="AB677" s="1333"/>
      <c r="AC677" s="1333"/>
      <c r="AD677" s="1333"/>
      <c r="AE677" s="1333"/>
      <c r="AF677" s="1333"/>
      <c r="AG677" s="1333"/>
      <c r="AH677" s="1333"/>
      <c r="AI677" s="1333"/>
      <c r="AJ677" s="1333"/>
    </row>
    <row r="678" spans="1:36" x14ac:dyDescent="0.25">
      <c r="A678" s="1331"/>
      <c r="B678" s="1284"/>
      <c r="C678" s="1284"/>
      <c r="D678" s="1364"/>
      <c r="E678" s="1364"/>
      <c r="F678" s="1364"/>
      <c r="G678" s="1365"/>
      <c r="H678" s="1333"/>
      <c r="I678" s="1333"/>
      <c r="J678" s="1333"/>
      <c r="K678" s="1333"/>
      <c r="L678" s="1333"/>
      <c r="M678" s="1333"/>
      <c r="N678" s="1333"/>
      <c r="O678" s="1333"/>
      <c r="P678" s="1333"/>
      <c r="Q678" s="1333"/>
      <c r="R678" s="1333"/>
      <c r="S678" s="1333"/>
      <c r="T678" s="1333"/>
      <c r="U678" s="1333"/>
      <c r="V678" s="1333"/>
      <c r="W678" s="1333"/>
      <c r="X678" s="1333"/>
      <c r="Y678" s="1333"/>
      <c r="Z678" s="1333"/>
      <c r="AA678" s="1333"/>
      <c r="AB678" s="1333"/>
      <c r="AC678" s="1333"/>
      <c r="AD678" s="1333"/>
      <c r="AE678" s="1333"/>
      <c r="AF678" s="1333"/>
      <c r="AG678" s="1333"/>
      <c r="AH678" s="1333"/>
      <c r="AI678" s="1333"/>
      <c r="AJ678" s="1333"/>
    </row>
    <row r="679" spans="1:36" x14ac:dyDescent="0.25">
      <c r="A679" s="1331"/>
      <c r="B679" s="1284"/>
      <c r="C679" s="1284"/>
      <c r="D679" s="1364"/>
      <c r="E679" s="1364"/>
      <c r="F679" s="1364"/>
      <c r="G679" s="1365"/>
      <c r="H679" s="1333"/>
      <c r="I679" s="1333"/>
      <c r="J679" s="1333"/>
      <c r="K679" s="1333"/>
      <c r="L679" s="1333"/>
      <c r="M679" s="1333"/>
      <c r="N679" s="1333"/>
      <c r="O679" s="1333"/>
      <c r="P679" s="1333"/>
      <c r="Q679" s="1333"/>
      <c r="R679" s="1333"/>
      <c r="S679" s="1333"/>
      <c r="T679" s="1333"/>
      <c r="U679" s="1333"/>
      <c r="V679" s="1333"/>
      <c r="W679" s="1333"/>
      <c r="X679" s="1333"/>
      <c r="Y679" s="1333"/>
      <c r="Z679" s="1333"/>
      <c r="AA679" s="1333"/>
      <c r="AB679" s="1333"/>
      <c r="AC679" s="1333"/>
      <c r="AD679" s="1333"/>
      <c r="AE679" s="1333"/>
      <c r="AF679" s="1333"/>
      <c r="AG679" s="1333"/>
      <c r="AH679" s="1333"/>
      <c r="AI679" s="1333"/>
      <c r="AJ679" s="1333"/>
    </row>
    <row r="680" spans="1:36" x14ac:dyDescent="0.25">
      <c r="A680" s="1331"/>
      <c r="B680" s="1284"/>
      <c r="C680" s="1284"/>
      <c r="D680" s="1364"/>
      <c r="E680" s="1364"/>
      <c r="F680" s="1364"/>
      <c r="G680" s="1365"/>
      <c r="H680" s="1333"/>
      <c r="I680" s="1333"/>
      <c r="J680" s="1333"/>
      <c r="K680" s="1333"/>
      <c r="L680" s="1333"/>
      <c r="M680" s="1333"/>
      <c r="N680" s="1333"/>
      <c r="O680" s="1333"/>
      <c r="P680" s="1333"/>
      <c r="Q680" s="1333"/>
      <c r="R680" s="1333"/>
      <c r="S680" s="1333"/>
      <c r="T680" s="1333"/>
      <c r="U680" s="1333"/>
      <c r="V680" s="1333"/>
      <c r="W680" s="1333"/>
      <c r="X680" s="1333"/>
      <c r="Y680" s="1333"/>
      <c r="Z680" s="1333"/>
      <c r="AA680" s="1333"/>
      <c r="AB680" s="1333"/>
      <c r="AC680" s="1333"/>
      <c r="AD680" s="1333"/>
      <c r="AE680" s="1333"/>
      <c r="AF680" s="1333"/>
      <c r="AG680" s="1333"/>
      <c r="AH680" s="1333"/>
      <c r="AI680" s="1333"/>
      <c r="AJ680" s="1333"/>
    </row>
    <row r="681" spans="1:36" x14ac:dyDescent="0.25">
      <c r="A681" s="1331"/>
      <c r="B681" s="1284"/>
      <c r="C681" s="1284"/>
      <c r="D681" s="1364"/>
      <c r="E681" s="1364"/>
      <c r="F681" s="1364"/>
      <c r="G681" s="1365"/>
      <c r="H681" s="1333"/>
      <c r="I681" s="1333"/>
      <c r="J681" s="1333"/>
      <c r="K681" s="1333"/>
      <c r="L681" s="1333"/>
      <c r="M681" s="1333"/>
      <c r="N681" s="1333"/>
      <c r="O681" s="1333"/>
      <c r="P681" s="1333"/>
      <c r="Q681" s="1333"/>
      <c r="R681" s="1333"/>
      <c r="S681" s="1333"/>
      <c r="T681" s="1333"/>
      <c r="U681" s="1333"/>
      <c r="V681" s="1333"/>
      <c r="W681" s="1333"/>
      <c r="X681" s="1333"/>
      <c r="Y681" s="1333"/>
      <c r="Z681" s="1333"/>
      <c r="AA681" s="1333"/>
      <c r="AB681" s="1333"/>
      <c r="AC681" s="1333"/>
      <c r="AD681" s="1333"/>
      <c r="AE681" s="1333"/>
      <c r="AF681" s="1333"/>
      <c r="AG681" s="1333"/>
      <c r="AH681" s="1333"/>
      <c r="AI681" s="1333"/>
      <c r="AJ681" s="1333"/>
    </row>
    <row r="682" spans="1:36" x14ac:dyDescent="0.25">
      <c r="A682" s="1331"/>
      <c r="B682" s="1284"/>
      <c r="C682" s="1284"/>
      <c r="D682" s="1364"/>
      <c r="E682" s="1364"/>
      <c r="F682" s="1364"/>
      <c r="G682" s="1365"/>
      <c r="H682" s="1333"/>
      <c r="I682" s="1333"/>
      <c r="J682" s="1333"/>
      <c r="K682" s="1333"/>
      <c r="L682" s="1333"/>
      <c r="M682" s="1333"/>
      <c r="N682" s="1333"/>
      <c r="O682" s="1333"/>
      <c r="P682" s="1333"/>
      <c r="Q682" s="1333"/>
      <c r="R682" s="1333"/>
      <c r="S682" s="1333"/>
      <c r="T682" s="1333"/>
      <c r="U682" s="1333"/>
      <c r="V682" s="1333"/>
      <c r="W682" s="1333"/>
      <c r="X682" s="1333"/>
      <c r="Y682" s="1333"/>
      <c r="Z682" s="1333"/>
      <c r="AA682" s="1333"/>
      <c r="AB682" s="1333"/>
      <c r="AC682" s="1333"/>
      <c r="AD682" s="1333"/>
      <c r="AE682" s="1333"/>
      <c r="AF682" s="1333"/>
      <c r="AG682" s="1333"/>
      <c r="AH682" s="1333"/>
      <c r="AI682" s="1333"/>
      <c r="AJ682" s="1333"/>
    </row>
    <row r="683" spans="1:36" x14ac:dyDescent="0.25">
      <c r="A683" s="1331"/>
      <c r="B683" s="1284"/>
      <c r="C683" s="1284"/>
      <c r="D683" s="1364"/>
      <c r="E683" s="1364"/>
      <c r="F683" s="1364"/>
      <c r="G683" s="1365"/>
      <c r="H683" s="1333"/>
      <c r="I683" s="1333"/>
      <c r="J683" s="1333"/>
      <c r="K683" s="1333"/>
      <c r="L683" s="1333"/>
      <c r="M683" s="1333"/>
      <c r="N683" s="1333"/>
      <c r="O683" s="1333"/>
      <c r="P683" s="1333"/>
      <c r="Q683" s="1333"/>
      <c r="R683" s="1333"/>
      <c r="S683" s="1333"/>
      <c r="T683" s="1333"/>
      <c r="U683" s="1333"/>
      <c r="V683" s="1333"/>
      <c r="W683" s="1333"/>
      <c r="X683" s="1333"/>
      <c r="Y683" s="1333"/>
      <c r="Z683" s="1333"/>
      <c r="AA683" s="1333"/>
      <c r="AB683" s="1333"/>
      <c r="AC683" s="1333"/>
      <c r="AD683" s="1333"/>
      <c r="AE683" s="1333"/>
      <c r="AF683" s="1333"/>
      <c r="AG683" s="1333"/>
      <c r="AH683" s="1333"/>
      <c r="AI683" s="1333"/>
      <c r="AJ683" s="1333"/>
    </row>
    <row r="684" spans="1:36" x14ac:dyDescent="0.25">
      <c r="A684" s="1331"/>
      <c r="B684" s="1284"/>
      <c r="C684" s="1284"/>
      <c r="D684" s="1364"/>
      <c r="E684" s="1364"/>
      <c r="F684" s="1364"/>
      <c r="G684" s="1365"/>
      <c r="H684" s="1333"/>
      <c r="I684" s="1333"/>
      <c r="J684" s="1333"/>
      <c r="K684" s="1333"/>
      <c r="L684" s="1333"/>
      <c r="M684" s="1333"/>
      <c r="N684" s="1333"/>
      <c r="O684" s="1333"/>
      <c r="P684" s="1333"/>
      <c r="Q684" s="1333"/>
      <c r="R684" s="1333"/>
      <c r="S684" s="1333"/>
      <c r="T684" s="1333"/>
      <c r="U684" s="1333"/>
      <c r="V684" s="1333"/>
      <c r="W684" s="1333"/>
      <c r="X684" s="1333"/>
      <c r="Y684" s="1333"/>
      <c r="Z684" s="1333"/>
      <c r="AA684" s="1333"/>
      <c r="AB684" s="1333"/>
      <c r="AC684" s="1333"/>
      <c r="AD684" s="1333"/>
      <c r="AE684" s="1333"/>
      <c r="AF684" s="1333"/>
      <c r="AG684" s="1333"/>
      <c r="AH684" s="1333"/>
      <c r="AI684" s="1333"/>
      <c r="AJ684" s="1333"/>
    </row>
    <row r="685" spans="1:36" x14ac:dyDescent="0.25">
      <c r="A685" s="1331"/>
      <c r="B685" s="1284"/>
      <c r="C685" s="1284"/>
      <c r="D685" s="1364"/>
      <c r="E685" s="1364"/>
      <c r="F685" s="1364"/>
      <c r="G685" s="1365"/>
      <c r="H685" s="1333"/>
      <c r="I685" s="1333"/>
      <c r="J685" s="1333"/>
      <c r="K685" s="1333"/>
      <c r="L685" s="1333"/>
      <c r="M685" s="1333"/>
      <c r="N685" s="1333"/>
      <c r="O685" s="1333"/>
      <c r="P685" s="1333"/>
      <c r="Q685" s="1333"/>
      <c r="R685" s="1333"/>
      <c r="S685" s="1333"/>
      <c r="T685" s="1333"/>
      <c r="U685" s="1333"/>
      <c r="V685" s="1333"/>
      <c r="W685" s="1333"/>
      <c r="X685" s="1333"/>
      <c r="Y685" s="1333"/>
      <c r="Z685" s="1333"/>
      <c r="AA685" s="1333"/>
      <c r="AB685" s="1333"/>
      <c r="AC685" s="1333"/>
      <c r="AD685" s="1333"/>
      <c r="AE685" s="1333"/>
      <c r="AF685" s="1333"/>
      <c r="AG685" s="1333"/>
      <c r="AH685" s="1333"/>
      <c r="AI685" s="1333"/>
      <c r="AJ685" s="1333"/>
    </row>
    <row r="686" spans="1:36" x14ac:dyDescent="0.25">
      <c r="A686" s="1331"/>
      <c r="B686" s="1284"/>
      <c r="C686" s="1284"/>
      <c r="D686" s="1364"/>
      <c r="E686" s="1364"/>
      <c r="F686" s="1364"/>
      <c r="G686" s="1365"/>
      <c r="H686" s="1333"/>
      <c r="I686" s="1333"/>
      <c r="J686" s="1333"/>
      <c r="K686" s="1333"/>
      <c r="L686" s="1333"/>
      <c r="M686" s="1333"/>
      <c r="N686" s="1333"/>
      <c r="O686" s="1333"/>
      <c r="P686" s="1333"/>
      <c r="Q686" s="1333"/>
      <c r="R686" s="1333"/>
      <c r="S686" s="1333"/>
      <c r="T686" s="1333"/>
      <c r="U686" s="1333"/>
      <c r="V686" s="1333"/>
      <c r="W686" s="1333"/>
      <c r="X686" s="1333"/>
      <c r="Y686" s="1333"/>
      <c r="Z686" s="1333"/>
      <c r="AA686" s="1333"/>
      <c r="AB686" s="1333"/>
      <c r="AC686" s="1333"/>
      <c r="AD686" s="1333"/>
      <c r="AE686" s="1333"/>
      <c r="AF686" s="1333"/>
      <c r="AG686" s="1333"/>
      <c r="AH686" s="1333"/>
      <c r="AI686" s="1333"/>
      <c r="AJ686" s="1333"/>
    </row>
    <row r="687" spans="1:36" x14ac:dyDescent="0.25">
      <c r="A687" s="1331"/>
      <c r="B687" s="1284"/>
      <c r="C687" s="1284"/>
      <c r="D687" s="1364"/>
      <c r="E687" s="1364"/>
      <c r="F687" s="1364"/>
      <c r="G687" s="1365"/>
      <c r="H687" s="1333"/>
      <c r="I687" s="1333"/>
      <c r="J687" s="1333"/>
      <c r="K687" s="1333"/>
      <c r="L687" s="1333"/>
      <c r="M687" s="1333"/>
      <c r="N687" s="1333"/>
      <c r="O687" s="1333"/>
      <c r="P687" s="1333"/>
      <c r="Q687" s="1333"/>
      <c r="R687" s="1333"/>
      <c r="S687" s="1333"/>
      <c r="T687" s="1333"/>
      <c r="U687" s="1333"/>
      <c r="V687" s="1333"/>
      <c r="W687" s="1333"/>
      <c r="X687" s="1333"/>
      <c r="Y687" s="1333"/>
      <c r="Z687" s="1333"/>
      <c r="AA687" s="1333"/>
      <c r="AB687" s="1333"/>
      <c r="AC687" s="1333"/>
      <c r="AD687" s="1333"/>
      <c r="AE687" s="1333"/>
      <c r="AF687" s="1333"/>
      <c r="AG687" s="1333"/>
      <c r="AH687" s="1333"/>
      <c r="AI687" s="1333"/>
      <c r="AJ687" s="1333"/>
    </row>
    <row r="688" spans="1:36" x14ac:dyDescent="0.25">
      <c r="A688" s="1331"/>
      <c r="B688" s="1284"/>
      <c r="C688" s="1284"/>
      <c r="D688" s="1364"/>
      <c r="E688" s="1364"/>
      <c r="F688" s="1364"/>
      <c r="G688" s="1365"/>
      <c r="H688" s="1333"/>
      <c r="I688" s="1333"/>
      <c r="J688" s="1333"/>
      <c r="K688" s="1333"/>
      <c r="L688" s="1333"/>
      <c r="M688" s="1333"/>
      <c r="N688" s="1333"/>
      <c r="O688" s="1333"/>
      <c r="P688" s="1333"/>
      <c r="Q688" s="1333"/>
      <c r="R688" s="1333"/>
      <c r="S688" s="1333"/>
      <c r="T688" s="1333"/>
      <c r="U688" s="1333"/>
      <c r="V688" s="1333"/>
      <c r="W688" s="1333"/>
      <c r="X688" s="1333"/>
      <c r="Y688" s="1333"/>
      <c r="Z688" s="1333"/>
      <c r="AA688" s="1333"/>
      <c r="AB688" s="1333"/>
      <c r="AC688" s="1333"/>
      <c r="AD688" s="1333"/>
      <c r="AE688" s="1333"/>
      <c r="AF688" s="1333"/>
      <c r="AG688" s="1333"/>
      <c r="AH688" s="1333"/>
      <c r="AI688" s="1333"/>
      <c r="AJ688" s="1333"/>
    </row>
    <row r="689" spans="1:36" x14ac:dyDescent="0.25">
      <c r="A689" s="1331"/>
      <c r="B689" s="1284"/>
      <c r="C689" s="1284"/>
      <c r="D689" s="1364"/>
      <c r="E689" s="1364"/>
      <c r="F689" s="1364"/>
      <c r="G689" s="1365"/>
      <c r="H689" s="1333"/>
      <c r="I689" s="1333"/>
      <c r="J689" s="1333"/>
      <c r="K689" s="1333"/>
      <c r="L689" s="1333"/>
      <c r="M689" s="1333"/>
      <c r="N689" s="1333"/>
      <c r="O689" s="1333"/>
      <c r="P689" s="1333"/>
      <c r="Q689" s="1333"/>
      <c r="R689" s="1333"/>
      <c r="S689" s="1333"/>
      <c r="T689" s="1333"/>
      <c r="U689" s="1333"/>
      <c r="V689" s="1333"/>
      <c r="W689" s="1333"/>
      <c r="X689" s="1333"/>
      <c r="Y689" s="1333"/>
      <c r="Z689" s="1333"/>
      <c r="AA689" s="1333"/>
      <c r="AB689" s="1333"/>
      <c r="AC689" s="1333"/>
      <c r="AD689" s="1333"/>
      <c r="AE689" s="1333"/>
      <c r="AF689" s="1333"/>
      <c r="AG689" s="1333"/>
      <c r="AH689" s="1333"/>
      <c r="AI689" s="1333"/>
      <c r="AJ689" s="1333"/>
    </row>
    <row r="690" spans="1:36" x14ac:dyDescent="0.25">
      <c r="A690" s="1331"/>
      <c r="B690" s="1284"/>
      <c r="C690" s="1284"/>
      <c r="D690" s="1364"/>
      <c r="E690" s="1364"/>
      <c r="F690" s="1364"/>
      <c r="G690" s="1365"/>
      <c r="H690" s="1333"/>
      <c r="I690" s="1333"/>
      <c r="J690" s="1333"/>
      <c r="K690" s="1333"/>
      <c r="L690" s="1333"/>
      <c r="M690" s="1333"/>
      <c r="N690" s="1333"/>
      <c r="O690" s="1333"/>
      <c r="P690" s="1333"/>
      <c r="Q690" s="1333"/>
      <c r="R690" s="1333"/>
      <c r="S690" s="1333"/>
      <c r="T690" s="1333"/>
      <c r="U690" s="1333"/>
      <c r="V690" s="1333"/>
      <c r="W690" s="1333"/>
      <c r="X690" s="1333"/>
      <c r="Y690" s="1333"/>
      <c r="Z690" s="1333"/>
      <c r="AA690" s="1333"/>
      <c r="AB690" s="1333"/>
      <c r="AC690" s="1333"/>
      <c r="AD690" s="1333"/>
      <c r="AE690" s="1333"/>
      <c r="AF690" s="1333"/>
      <c r="AG690" s="1333"/>
      <c r="AH690" s="1333"/>
      <c r="AI690" s="1333"/>
      <c r="AJ690" s="1333"/>
    </row>
    <row r="691" spans="1:36" x14ac:dyDescent="0.25">
      <c r="A691" s="1331"/>
      <c r="B691" s="1284"/>
      <c r="C691" s="1284"/>
      <c r="D691" s="1364"/>
      <c r="E691" s="1364"/>
      <c r="F691" s="1364"/>
      <c r="G691" s="1365"/>
      <c r="H691" s="1333"/>
      <c r="I691" s="1333"/>
      <c r="J691" s="1333"/>
      <c r="K691" s="1333"/>
      <c r="L691" s="1333"/>
      <c r="M691" s="1333"/>
      <c r="N691" s="1333"/>
      <c r="O691" s="1333"/>
      <c r="P691" s="1333"/>
      <c r="Q691" s="1333"/>
      <c r="R691" s="1333"/>
      <c r="S691" s="1333"/>
      <c r="T691" s="1333"/>
      <c r="U691" s="1333"/>
      <c r="V691" s="1333"/>
      <c r="W691" s="1333"/>
      <c r="X691" s="1333"/>
      <c r="Y691" s="1333"/>
      <c r="Z691" s="1333"/>
      <c r="AA691" s="1333"/>
      <c r="AB691" s="1333"/>
      <c r="AC691" s="1333"/>
      <c r="AD691" s="1333"/>
      <c r="AE691" s="1333"/>
      <c r="AF691" s="1333"/>
      <c r="AG691" s="1333"/>
      <c r="AH691" s="1333"/>
      <c r="AI691" s="1333"/>
      <c r="AJ691" s="1333"/>
    </row>
    <row r="692" spans="1:36" x14ac:dyDescent="0.25">
      <c r="A692" s="1331"/>
      <c r="B692" s="1284"/>
      <c r="C692" s="1284"/>
      <c r="D692" s="1364"/>
      <c r="E692" s="1364"/>
      <c r="F692" s="1364"/>
      <c r="G692" s="1365"/>
      <c r="H692" s="1333"/>
      <c r="I692" s="1333"/>
      <c r="J692" s="1333"/>
      <c r="K692" s="1333"/>
      <c r="L692" s="1333"/>
      <c r="M692" s="1333"/>
      <c r="N692" s="1333"/>
      <c r="O692" s="1333"/>
      <c r="P692" s="1333"/>
      <c r="Q692" s="1333"/>
      <c r="R692" s="1333"/>
      <c r="S692" s="1333"/>
      <c r="T692" s="1333"/>
      <c r="U692" s="1333"/>
      <c r="V692" s="1333"/>
      <c r="W692" s="1333"/>
      <c r="X692" s="1333"/>
      <c r="Y692" s="1333"/>
      <c r="Z692" s="1333"/>
      <c r="AA692" s="1333"/>
      <c r="AB692" s="1333"/>
      <c r="AC692" s="1333"/>
      <c r="AD692" s="1333"/>
      <c r="AE692" s="1333"/>
      <c r="AF692" s="1333"/>
      <c r="AG692" s="1333"/>
      <c r="AH692" s="1333"/>
      <c r="AI692" s="1333"/>
      <c r="AJ692" s="1333"/>
    </row>
    <row r="693" spans="1:36" x14ac:dyDescent="0.25">
      <c r="A693" s="1331"/>
      <c r="B693" s="1284"/>
      <c r="C693" s="1284"/>
      <c r="D693" s="1364"/>
      <c r="E693" s="1364"/>
      <c r="F693" s="1364"/>
      <c r="G693" s="1365"/>
      <c r="H693" s="1333"/>
      <c r="I693" s="1333"/>
      <c r="J693" s="1333"/>
      <c r="K693" s="1333"/>
      <c r="L693" s="1333"/>
      <c r="M693" s="1333"/>
      <c r="N693" s="1333"/>
      <c r="O693" s="1333"/>
      <c r="P693" s="1333"/>
      <c r="Q693" s="1333"/>
      <c r="R693" s="1333"/>
      <c r="S693" s="1333"/>
      <c r="T693" s="1333"/>
      <c r="U693" s="1333"/>
      <c r="V693" s="1333"/>
      <c r="W693" s="1333"/>
      <c r="X693" s="1333"/>
      <c r="Y693" s="1333"/>
      <c r="Z693" s="1333"/>
      <c r="AA693" s="1333"/>
      <c r="AB693" s="1333"/>
      <c r="AC693" s="1333"/>
      <c r="AD693" s="1333"/>
      <c r="AE693" s="1333"/>
      <c r="AF693" s="1333"/>
      <c r="AG693" s="1333"/>
      <c r="AH693" s="1333"/>
      <c r="AI693" s="1333"/>
      <c r="AJ693" s="1333"/>
    </row>
    <row r="694" spans="1:36" x14ac:dyDescent="0.25">
      <c r="A694" s="1331"/>
      <c r="B694" s="1284"/>
      <c r="C694" s="1284"/>
      <c r="D694" s="1364"/>
      <c r="E694" s="1364"/>
      <c r="F694" s="1364"/>
      <c r="G694" s="1365"/>
      <c r="H694" s="1333"/>
      <c r="I694" s="1333"/>
      <c r="J694" s="1333"/>
      <c r="K694" s="1333"/>
      <c r="L694" s="1333"/>
      <c r="M694" s="1333"/>
      <c r="N694" s="1333"/>
      <c r="O694" s="1333"/>
      <c r="P694" s="1333"/>
      <c r="Q694" s="1333"/>
      <c r="R694" s="1333"/>
      <c r="S694" s="1333"/>
      <c r="T694" s="1333"/>
      <c r="U694" s="1333"/>
      <c r="V694" s="1333"/>
      <c r="W694" s="1333"/>
      <c r="X694" s="1333"/>
      <c r="Y694" s="1333"/>
      <c r="Z694" s="1333"/>
      <c r="AA694" s="1333"/>
      <c r="AB694" s="1333"/>
      <c r="AC694" s="1333"/>
      <c r="AD694" s="1333"/>
      <c r="AE694" s="1333"/>
      <c r="AF694" s="1333"/>
      <c r="AG694" s="1333"/>
      <c r="AH694" s="1333"/>
      <c r="AI694" s="1333"/>
      <c r="AJ694" s="1333"/>
    </row>
    <row r="695" spans="1:36" x14ac:dyDescent="0.25">
      <c r="A695" s="1331"/>
      <c r="B695" s="1284"/>
      <c r="C695" s="1284"/>
      <c r="D695" s="1364"/>
      <c r="E695" s="1364"/>
      <c r="F695" s="1364"/>
      <c r="G695" s="1365"/>
      <c r="H695" s="1333"/>
      <c r="I695" s="1333"/>
      <c r="J695" s="1333"/>
      <c r="K695" s="1333"/>
      <c r="L695" s="1333"/>
      <c r="M695" s="1333"/>
      <c r="N695" s="1333"/>
      <c r="O695" s="1333"/>
      <c r="P695" s="1333"/>
      <c r="Q695" s="1333"/>
      <c r="R695" s="1333"/>
      <c r="S695" s="1333"/>
      <c r="T695" s="1333"/>
      <c r="U695" s="1333"/>
      <c r="V695" s="1333"/>
      <c r="W695" s="1333"/>
      <c r="X695" s="1333"/>
      <c r="Y695" s="1333"/>
      <c r="Z695" s="1333"/>
      <c r="AA695" s="1333"/>
      <c r="AB695" s="1333"/>
      <c r="AC695" s="1333"/>
      <c r="AD695" s="1333"/>
      <c r="AE695" s="1333"/>
      <c r="AF695" s="1333"/>
      <c r="AG695" s="1333"/>
      <c r="AH695" s="1333"/>
      <c r="AI695" s="1333"/>
      <c r="AJ695" s="1333"/>
    </row>
    <row r="696" spans="1:36" x14ac:dyDescent="0.25">
      <c r="A696" s="1331"/>
      <c r="B696" s="1284"/>
      <c r="C696" s="1284"/>
      <c r="D696" s="1364"/>
      <c r="E696" s="1364"/>
      <c r="F696" s="1364"/>
      <c r="G696" s="1365"/>
      <c r="H696" s="1333"/>
      <c r="I696" s="1333"/>
      <c r="J696" s="1333"/>
      <c r="K696" s="1333"/>
      <c r="L696" s="1333"/>
      <c r="M696" s="1333"/>
      <c r="N696" s="1333"/>
      <c r="O696" s="1333"/>
      <c r="P696" s="1333"/>
      <c r="Q696" s="1333"/>
      <c r="R696" s="1333"/>
      <c r="S696" s="1333"/>
      <c r="T696" s="1333"/>
      <c r="U696" s="1333"/>
      <c r="V696" s="1333"/>
      <c r="W696" s="1333"/>
      <c r="X696" s="1333"/>
      <c r="Y696" s="1333"/>
      <c r="Z696" s="1333"/>
      <c r="AA696" s="1333"/>
      <c r="AB696" s="1333"/>
      <c r="AC696" s="1333"/>
      <c r="AD696" s="1333"/>
      <c r="AE696" s="1333"/>
      <c r="AF696" s="1333"/>
      <c r="AG696" s="1333"/>
      <c r="AH696" s="1333"/>
      <c r="AI696" s="1333"/>
      <c r="AJ696" s="1333"/>
    </row>
    <row r="697" spans="1:36" x14ac:dyDescent="0.25">
      <c r="A697" s="1331"/>
      <c r="B697" s="1284"/>
      <c r="C697" s="1284"/>
      <c r="D697" s="1364"/>
      <c r="E697" s="1364"/>
      <c r="F697" s="1364"/>
      <c r="G697" s="1365"/>
      <c r="H697" s="1333"/>
      <c r="I697" s="1333"/>
      <c r="J697" s="1333"/>
      <c r="K697" s="1333"/>
      <c r="L697" s="1333"/>
      <c r="M697" s="1333"/>
      <c r="N697" s="1333"/>
      <c r="O697" s="1333"/>
      <c r="P697" s="1333"/>
      <c r="Q697" s="1333"/>
      <c r="R697" s="1333"/>
      <c r="S697" s="1333"/>
      <c r="T697" s="1333"/>
      <c r="U697" s="1333"/>
      <c r="V697" s="1333"/>
      <c r="W697" s="1333"/>
      <c r="X697" s="1333"/>
      <c r="Y697" s="1333"/>
      <c r="Z697" s="1333"/>
      <c r="AA697" s="1333"/>
      <c r="AB697" s="1333"/>
      <c r="AC697" s="1333"/>
      <c r="AD697" s="1333"/>
      <c r="AE697" s="1333"/>
      <c r="AF697" s="1333"/>
      <c r="AG697" s="1333"/>
      <c r="AH697" s="1333"/>
      <c r="AI697" s="1333"/>
      <c r="AJ697" s="1333"/>
    </row>
    <row r="698" spans="1:36" x14ac:dyDescent="0.25">
      <c r="A698" s="1331"/>
      <c r="B698" s="1284"/>
      <c r="C698" s="1284"/>
      <c r="D698" s="1364"/>
      <c r="E698" s="1364"/>
      <c r="F698" s="1364"/>
      <c r="G698" s="1365"/>
      <c r="H698" s="1333"/>
      <c r="I698" s="1333"/>
      <c r="J698" s="1333"/>
      <c r="K698" s="1333"/>
      <c r="L698" s="1333"/>
      <c r="M698" s="1333"/>
      <c r="N698" s="1333"/>
      <c r="O698" s="1333"/>
      <c r="P698" s="1333"/>
      <c r="Q698" s="1333"/>
      <c r="R698" s="1333"/>
      <c r="S698" s="1333"/>
      <c r="T698" s="1333"/>
      <c r="U698" s="1333"/>
      <c r="V698" s="1333"/>
      <c r="W698" s="1333"/>
      <c r="X698" s="1333"/>
      <c r="Y698" s="1333"/>
      <c r="Z698" s="1333"/>
      <c r="AA698" s="1333"/>
      <c r="AB698" s="1333"/>
      <c r="AC698" s="1333"/>
      <c r="AD698" s="1333"/>
      <c r="AE698" s="1333"/>
      <c r="AF698" s="1333"/>
      <c r="AG698" s="1333"/>
      <c r="AH698" s="1333"/>
      <c r="AI698" s="1333"/>
      <c r="AJ698" s="1333"/>
    </row>
    <row r="699" spans="1:36" x14ac:dyDescent="0.25">
      <c r="A699" s="1331"/>
      <c r="B699" s="1284"/>
      <c r="C699" s="1284"/>
      <c r="D699" s="1364"/>
      <c r="E699" s="1364"/>
      <c r="F699" s="1364"/>
      <c r="G699" s="1365"/>
      <c r="H699" s="1333"/>
      <c r="I699" s="1333"/>
      <c r="J699" s="1333"/>
      <c r="K699" s="1333"/>
      <c r="L699" s="1333"/>
      <c r="M699" s="1333"/>
      <c r="N699" s="1333"/>
      <c r="O699" s="1333"/>
      <c r="P699" s="1333"/>
      <c r="Q699" s="1333"/>
      <c r="R699" s="1333"/>
      <c r="S699" s="1333"/>
      <c r="T699" s="1333"/>
      <c r="U699" s="1333"/>
      <c r="V699" s="1333"/>
      <c r="W699" s="1333"/>
      <c r="X699" s="1333"/>
      <c r="Y699" s="1333"/>
      <c r="Z699" s="1333"/>
      <c r="AA699" s="1333"/>
      <c r="AB699" s="1333"/>
      <c r="AC699" s="1333"/>
      <c r="AD699" s="1333"/>
      <c r="AE699" s="1333"/>
      <c r="AF699" s="1333"/>
      <c r="AG699" s="1333"/>
      <c r="AH699" s="1333"/>
      <c r="AI699" s="1333"/>
      <c r="AJ699" s="1333"/>
    </row>
    <row r="700" spans="1:36" x14ac:dyDescent="0.25">
      <c r="A700" s="1331"/>
      <c r="B700" s="1284"/>
      <c r="C700" s="1284"/>
      <c r="D700" s="1364"/>
      <c r="E700" s="1364"/>
      <c r="F700" s="1364"/>
      <c r="G700" s="1365"/>
      <c r="H700" s="1333"/>
      <c r="I700" s="1333"/>
      <c r="J700" s="1333"/>
      <c r="K700" s="1333"/>
      <c r="L700" s="1333"/>
      <c r="M700" s="1333"/>
      <c r="N700" s="1333"/>
      <c r="O700" s="1333"/>
      <c r="P700" s="1333"/>
      <c r="Q700" s="1333"/>
      <c r="R700" s="1333"/>
      <c r="S700" s="1333"/>
      <c r="T700" s="1333"/>
      <c r="U700" s="1333"/>
      <c r="V700" s="1333"/>
      <c r="W700" s="1333"/>
      <c r="X700" s="1333"/>
      <c r="Y700" s="1333"/>
      <c r="Z700" s="1333"/>
      <c r="AA700" s="1333"/>
      <c r="AB700" s="1333"/>
      <c r="AC700" s="1333"/>
      <c r="AD700" s="1333"/>
      <c r="AE700" s="1333"/>
      <c r="AF700" s="1333"/>
      <c r="AG700" s="1333"/>
      <c r="AH700" s="1333"/>
      <c r="AI700" s="1333"/>
      <c r="AJ700" s="1333"/>
    </row>
    <row r="701" spans="1:36" x14ac:dyDescent="0.25">
      <c r="A701" s="1331"/>
      <c r="B701" s="1284"/>
      <c r="C701" s="1284"/>
      <c r="D701" s="1364"/>
      <c r="E701" s="1364"/>
      <c r="F701" s="1364"/>
      <c r="G701" s="1365"/>
      <c r="H701" s="1333"/>
      <c r="I701" s="1333"/>
      <c r="J701" s="1333"/>
      <c r="K701" s="1333"/>
      <c r="L701" s="1333"/>
      <c r="M701" s="1333"/>
      <c r="N701" s="1333"/>
      <c r="O701" s="1333"/>
      <c r="P701" s="1333"/>
      <c r="Q701" s="1333"/>
      <c r="R701" s="1333"/>
      <c r="S701" s="1333"/>
      <c r="T701" s="1333"/>
      <c r="U701" s="1333"/>
      <c r="V701" s="1333"/>
      <c r="W701" s="1333"/>
      <c r="X701" s="1333"/>
      <c r="Y701" s="1333"/>
      <c r="Z701" s="1333"/>
      <c r="AA701" s="1333"/>
      <c r="AB701" s="1333"/>
      <c r="AC701" s="1333"/>
      <c r="AD701" s="1333"/>
      <c r="AE701" s="1333"/>
      <c r="AF701" s="1333"/>
      <c r="AG701" s="1333"/>
      <c r="AH701" s="1333"/>
      <c r="AI701" s="1333"/>
      <c r="AJ701" s="1333"/>
    </row>
    <row r="702" spans="1:36" x14ac:dyDescent="0.25">
      <c r="A702" s="1331"/>
      <c r="B702" s="1284"/>
      <c r="C702" s="1284"/>
      <c r="D702" s="1364"/>
      <c r="E702" s="1364"/>
      <c r="F702" s="1364"/>
      <c r="G702" s="1365"/>
      <c r="H702" s="1333"/>
      <c r="I702" s="1333"/>
      <c r="J702" s="1333"/>
      <c r="K702" s="1333"/>
      <c r="L702" s="1333"/>
      <c r="M702" s="1333"/>
      <c r="N702" s="1333"/>
      <c r="O702" s="1333"/>
      <c r="P702" s="1333"/>
      <c r="Q702" s="1333"/>
      <c r="R702" s="1333"/>
      <c r="S702" s="1333"/>
      <c r="T702" s="1333"/>
      <c r="U702" s="1333"/>
      <c r="V702" s="1333"/>
      <c r="W702" s="1333"/>
      <c r="X702" s="1333"/>
      <c r="Y702" s="1333"/>
      <c r="Z702" s="1333"/>
      <c r="AA702" s="1333"/>
      <c r="AB702" s="1333"/>
      <c r="AC702" s="1333"/>
      <c r="AD702" s="1333"/>
      <c r="AE702" s="1333"/>
      <c r="AF702" s="1333"/>
      <c r="AG702" s="1333"/>
      <c r="AH702" s="1333"/>
      <c r="AI702" s="1333"/>
      <c r="AJ702" s="1333"/>
    </row>
    <row r="703" spans="1:36" x14ac:dyDescent="0.25">
      <c r="A703" s="1331"/>
      <c r="B703" s="1284"/>
      <c r="C703" s="1284"/>
      <c r="D703" s="1364"/>
      <c r="E703" s="1364"/>
      <c r="F703" s="1364"/>
      <c r="G703" s="1365"/>
      <c r="H703" s="1333"/>
      <c r="I703" s="1333"/>
      <c r="J703" s="1333"/>
      <c r="K703" s="1333"/>
      <c r="L703" s="1333"/>
      <c r="M703" s="1333"/>
      <c r="N703" s="1333"/>
      <c r="O703" s="1333"/>
      <c r="P703" s="1333"/>
      <c r="Q703" s="1333"/>
      <c r="R703" s="1333"/>
      <c r="S703" s="1333"/>
      <c r="T703" s="1333"/>
      <c r="U703" s="1333"/>
      <c r="V703" s="1333"/>
      <c r="W703" s="1333"/>
      <c r="X703" s="1333"/>
      <c r="Y703" s="1333"/>
      <c r="Z703" s="1333"/>
      <c r="AA703" s="1333"/>
      <c r="AB703" s="1333"/>
      <c r="AC703" s="1333"/>
      <c r="AD703" s="1333"/>
      <c r="AE703" s="1333"/>
      <c r="AF703" s="1333"/>
      <c r="AG703" s="1333"/>
      <c r="AH703" s="1333"/>
      <c r="AI703" s="1333"/>
      <c r="AJ703" s="1333"/>
    </row>
    <row r="704" spans="1:36" x14ac:dyDescent="0.25">
      <c r="A704" s="1331"/>
      <c r="B704" s="1284"/>
      <c r="C704" s="1284"/>
      <c r="D704" s="1364"/>
      <c r="E704" s="1364"/>
      <c r="F704" s="1364"/>
      <c r="G704" s="1365"/>
      <c r="H704" s="1333"/>
      <c r="I704" s="1333"/>
      <c r="J704" s="1333"/>
      <c r="K704" s="1333"/>
      <c r="L704" s="1333"/>
      <c r="M704" s="1333"/>
      <c r="N704" s="1333"/>
      <c r="O704" s="1333"/>
      <c r="P704" s="1333"/>
      <c r="Q704" s="1333"/>
      <c r="R704" s="1333"/>
      <c r="S704" s="1333"/>
      <c r="T704" s="1333"/>
      <c r="U704" s="1333"/>
      <c r="V704" s="1333"/>
      <c r="W704" s="1333"/>
      <c r="X704" s="1333"/>
      <c r="Y704" s="1333"/>
      <c r="Z704" s="1333"/>
      <c r="AA704" s="1333"/>
      <c r="AB704" s="1333"/>
      <c r="AC704" s="1333"/>
      <c r="AD704" s="1333"/>
      <c r="AE704" s="1333"/>
      <c r="AF704" s="1333"/>
      <c r="AG704" s="1333"/>
      <c r="AH704" s="1333"/>
      <c r="AI704" s="1333"/>
      <c r="AJ704" s="1333"/>
    </row>
    <row r="705" spans="1:36" x14ac:dyDescent="0.25">
      <c r="A705" s="1331"/>
      <c r="B705" s="1284"/>
      <c r="C705" s="1284"/>
      <c r="D705" s="1364"/>
      <c r="E705" s="1364"/>
      <c r="F705" s="1364"/>
      <c r="G705" s="1365"/>
      <c r="H705" s="1333"/>
      <c r="I705" s="1333"/>
      <c r="J705" s="1333"/>
      <c r="K705" s="1333"/>
      <c r="L705" s="1333"/>
      <c r="M705" s="1333"/>
      <c r="N705" s="1333"/>
      <c r="O705" s="1333"/>
      <c r="P705" s="1333"/>
      <c r="Q705" s="1333"/>
      <c r="R705" s="1333"/>
      <c r="S705" s="1333"/>
      <c r="T705" s="1333"/>
      <c r="U705" s="1333"/>
      <c r="V705" s="1333"/>
      <c r="W705" s="1333"/>
      <c r="X705" s="1333"/>
      <c r="Y705" s="1333"/>
      <c r="Z705" s="1333"/>
      <c r="AA705" s="1333"/>
      <c r="AB705" s="1333"/>
      <c r="AC705" s="1333"/>
      <c r="AD705" s="1333"/>
      <c r="AE705" s="1333"/>
      <c r="AF705" s="1333"/>
      <c r="AG705" s="1333"/>
      <c r="AH705" s="1333"/>
      <c r="AI705" s="1333"/>
      <c r="AJ705" s="1333"/>
    </row>
    <row r="706" spans="1:36" x14ac:dyDescent="0.25">
      <c r="A706" s="1331"/>
      <c r="B706" s="1284"/>
      <c r="C706" s="1284"/>
      <c r="D706" s="1364"/>
      <c r="E706" s="1364"/>
      <c r="F706" s="1364"/>
      <c r="G706" s="1365"/>
      <c r="H706" s="1333"/>
      <c r="I706" s="1333"/>
      <c r="J706" s="1333"/>
      <c r="K706" s="1333"/>
      <c r="L706" s="1333"/>
      <c r="M706" s="1333"/>
      <c r="N706" s="1333"/>
      <c r="O706" s="1333"/>
      <c r="P706" s="1333"/>
      <c r="Q706" s="1333"/>
      <c r="R706" s="1333"/>
      <c r="S706" s="1333"/>
      <c r="T706" s="1333"/>
      <c r="U706" s="1333"/>
      <c r="V706" s="1333"/>
      <c r="W706" s="1333"/>
      <c r="X706" s="1333"/>
      <c r="Y706" s="1333"/>
      <c r="Z706" s="1333"/>
      <c r="AA706" s="1333"/>
      <c r="AB706" s="1333"/>
      <c r="AC706" s="1333"/>
      <c r="AD706" s="1333"/>
      <c r="AE706" s="1333"/>
      <c r="AF706" s="1333"/>
      <c r="AG706" s="1333"/>
      <c r="AH706" s="1333"/>
      <c r="AI706" s="1333"/>
      <c r="AJ706" s="1333"/>
    </row>
    <row r="707" spans="1:36" x14ac:dyDescent="0.25">
      <c r="A707" s="1331"/>
      <c r="B707" s="1284"/>
      <c r="C707" s="1284"/>
      <c r="D707" s="1364"/>
      <c r="E707" s="1364"/>
      <c r="F707" s="1364"/>
      <c r="G707" s="1365"/>
      <c r="H707" s="1333"/>
      <c r="I707" s="1333"/>
      <c r="J707" s="1333"/>
      <c r="K707" s="1333"/>
      <c r="L707" s="1333"/>
      <c r="M707" s="1333"/>
      <c r="N707" s="1333"/>
      <c r="O707" s="1333"/>
      <c r="P707" s="1333"/>
      <c r="Q707" s="1333"/>
      <c r="R707" s="1333"/>
      <c r="S707" s="1333"/>
      <c r="T707" s="1333"/>
      <c r="U707" s="1333"/>
      <c r="V707" s="1333"/>
      <c r="W707" s="1333"/>
      <c r="X707" s="1333"/>
      <c r="Y707" s="1333"/>
      <c r="Z707" s="1333"/>
      <c r="AA707" s="1333"/>
      <c r="AB707" s="1333"/>
      <c r="AC707" s="1333"/>
      <c r="AD707" s="1333"/>
      <c r="AE707" s="1333"/>
      <c r="AF707" s="1333"/>
      <c r="AG707" s="1333"/>
      <c r="AH707" s="1333"/>
      <c r="AI707" s="1333"/>
      <c r="AJ707" s="1333"/>
    </row>
    <row r="708" spans="1:36" x14ac:dyDescent="0.25">
      <c r="A708" s="1331"/>
      <c r="B708" s="1284"/>
      <c r="C708" s="1284"/>
      <c r="D708" s="1364"/>
      <c r="E708" s="1364"/>
      <c r="F708" s="1364"/>
      <c r="G708" s="1365"/>
      <c r="H708" s="1333"/>
      <c r="I708" s="1333"/>
      <c r="J708" s="1333"/>
      <c r="K708" s="1333"/>
      <c r="L708" s="1333"/>
      <c r="M708" s="1333"/>
      <c r="N708" s="1333"/>
      <c r="O708" s="1333"/>
      <c r="P708" s="1333"/>
      <c r="Q708" s="1333"/>
      <c r="R708" s="1333"/>
      <c r="S708" s="1333"/>
      <c r="T708" s="1333"/>
      <c r="U708" s="1333"/>
      <c r="V708" s="1333"/>
      <c r="W708" s="1333"/>
      <c r="X708" s="1333"/>
      <c r="Y708" s="1333"/>
      <c r="Z708" s="1333"/>
      <c r="AA708" s="1333"/>
      <c r="AB708" s="1333"/>
      <c r="AC708" s="1333"/>
      <c r="AD708" s="1333"/>
      <c r="AE708" s="1333"/>
      <c r="AF708" s="1333"/>
      <c r="AG708" s="1333"/>
      <c r="AH708" s="1333"/>
      <c r="AI708" s="1333"/>
      <c r="AJ708" s="1333"/>
    </row>
    <row r="709" spans="1:36" x14ac:dyDescent="0.25">
      <c r="A709" s="1331"/>
      <c r="B709" s="1284"/>
      <c r="C709" s="1284"/>
      <c r="D709" s="1364"/>
      <c r="E709" s="1364"/>
      <c r="F709" s="1364"/>
      <c r="G709" s="1365"/>
      <c r="H709" s="1333"/>
      <c r="I709" s="1333"/>
      <c r="J709" s="1333"/>
      <c r="K709" s="1333"/>
      <c r="L709" s="1333"/>
      <c r="M709" s="1333"/>
      <c r="N709" s="1333"/>
      <c r="O709" s="1333"/>
      <c r="P709" s="1333"/>
      <c r="Q709" s="1333"/>
      <c r="R709" s="1333"/>
      <c r="S709" s="1333"/>
      <c r="T709" s="1333"/>
      <c r="U709" s="1333"/>
      <c r="V709" s="1333"/>
      <c r="W709" s="1333"/>
      <c r="X709" s="1333"/>
      <c r="Y709" s="1333"/>
      <c r="Z709" s="1333"/>
      <c r="AA709" s="1333"/>
      <c r="AB709" s="1333"/>
      <c r="AC709" s="1333"/>
      <c r="AD709" s="1333"/>
      <c r="AE709" s="1333"/>
      <c r="AF709" s="1333"/>
      <c r="AG709" s="1333"/>
      <c r="AH709" s="1333"/>
      <c r="AI709" s="1333"/>
      <c r="AJ709" s="1333"/>
    </row>
    <row r="710" spans="1:36" x14ac:dyDescent="0.25">
      <c r="A710" s="1331"/>
      <c r="B710" s="1284"/>
      <c r="C710" s="1284"/>
      <c r="D710" s="1364"/>
      <c r="E710" s="1364"/>
      <c r="F710" s="1364"/>
      <c r="G710" s="1365"/>
      <c r="H710" s="1333"/>
      <c r="I710" s="1333"/>
      <c r="J710" s="1333"/>
      <c r="K710" s="1333"/>
      <c r="L710" s="1333"/>
      <c r="M710" s="1333"/>
      <c r="N710" s="1333"/>
      <c r="O710" s="1333"/>
      <c r="P710" s="1333"/>
      <c r="Q710" s="1333"/>
      <c r="R710" s="1333"/>
      <c r="S710" s="1333"/>
      <c r="T710" s="1333"/>
      <c r="U710" s="1333"/>
      <c r="V710" s="1333"/>
      <c r="W710" s="1333"/>
      <c r="X710" s="1333"/>
      <c r="Y710" s="1333"/>
      <c r="Z710" s="1333"/>
      <c r="AA710" s="1333"/>
      <c r="AB710" s="1333"/>
      <c r="AC710" s="1333"/>
      <c r="AD710" s="1333"/>
      <c r="AE710" s="1333"/>
      <c r="AF710" s="1333"/>
      <c r="AG710" s="1333"/>
      <c r="AH710" s="1333"/>
      <c r="AI710" s="1333"/>
      <c r="AJ710" s="1333"/>
    </row>
    <row r="711" spans="1:36" x14ac:dyDescent="0.25">
      <c r="A711" s="1331"/>
      <c r="B711" s="1284"/>
      <c r="C711" s="1284"/>
      <c r="D711" s="1364"/>
      <c r="E711" s="1364"/>
      <c r="F711" s="1364"/>
      <c r="G711" s="1365"/>
      <c r="H711" s="1333"/>
      <c r="I711" s="1333"/>
      <c r="J711" s="1333"/>
      <c r="K711" s="1333"/>
      <c r="L711" s="1333"/>
      <c r="M711" s="1333"/>
      <c r="N711" s="1333"/>
      <c r="O711" s="1333"/>
      <c r="P711" s="1333"/>
      <c r="Q711" s="1333"/>
      <c r="R711" s="1333"/>
      <c r="S711" s="1333"/>
      <c r="T711" s="1333"/>
      <c r="U711" s="1333"/>
      <c r="V711" s="1333"/>
      <c r="W711" s="1333"/>
      <c r="X711" s="1333"/>
      <c r="Y711" s="1333"/>
      <c r="Z711" s="1333"/>
      <c r="AA711" s="1333"/>
      <c r="AB711" s="1333"/>
      <c r="AC711" s="1333"/>
      <c r="AD711" s="1333"/>
      <c r="AE711" s="1333"/>
      <c r="AF711" s="1333"/>
      <c r="AG711" s="1333"/>
      <c r="AH711" s="1333"/>
      <c r="AI711" s="1333"/>
      <c r="AJ711" s="1333"/>
    </row>
    <row r="712" spans="1:36" x14ac:dyDescent="0.25">
      <c r="A712" s="1331"/>
      <c r="B712" s="1284"/>
      <c r="C712" s="1284"/>
      <c r="D712" s="1364"/>
      <c r="E712" s="1364"/>
      <c r="F712" s="1364"/>
      <c r="G712" s="1365"/>
      <c r="H712" s="1333"/>
      <c r="I712" s="1333"/>
      <c r="J712" s="1333"/>
      <c r="K712" s="1333"/>
      <c r="L712" s="1333"/>
      <c r="M712" s="1333"/>
      <c r="N712" s="1333"/>
      <c r="O712" s="1333"/>
      <c r="P712" s="1333"/>
      <c r="Q712" s="1333"/>
      <c r="R712" s="1333"/>
      <c r="S712" s="1333"/>
      <c r="T712" s="1333"/>
      <c r="U712" s="1333"/>
      <c r="V712" s="1333"/>
      <c r="W712" s="1333"/>
      <c r="X712" s="1333"/>
      <c r="Y712" s="1333"/>
      <c r="Z712" s="1333"/>
      <c r="AA712" s="1333"/>
      <c r="AB712" s="1333"/>
      <c r="AC712" s="1333"/>
      <c r="AD712" s="1333"/>
      <c r="AE712" s="1333"/>
      <c r="AF712" s="1333"/>
      <c r="AG712" s="1333"/>
      <c r="AH712" s="1333"/>
      <c r="AI712" s="1333"/>
      <c r="AJ712" s="1333"/>
    </row>
    <row r="713" spans="1:36" x14ac:dyDescent="0.25">
      <c r="A713" s="1331"/>
      <c r="B713" s="1284"/>
      <c r="C713" s="1284"/>
      <c r="D713" s="1364"/>
      <c r="E713" s="1364"/>
      <c r="F713" s="1364"/>
      <c r="G713" s="1365"/>
      <c r="H713" s="1333"/>
      <c r="I713" s="1333"/>
      <c r="J713" s="1333"/>
      <c r="K713" s="1333"/>
      <c r="L713" s="1333"/>
      <c r="M713" s="1333"/>
      <c r="N713" s="1333"/>
      <c r="O713" s="1333"/>
      <c r="P713" s="1333"/>
      <c r="Q713" s="1333"/>
      <c r="R713" s="1333"/>
      <c r="S713" s="1333"/>
      <c r="T713" s="1333"/>
      <c r="U713" s="1333"/>
      <c r="V713" s="1333"/>
      <c r="W713" s="1333"/>
      <c r="X713" s="1333"/>
      <c r="Y713" s="1333"/>
      <c r="Z713" s="1333"/>
      <c r="AA713" s="1333"/>
      <c r="AB713" s="1333"/>
      <c r="AC713" s="1333"/>
      <c r="AD713" s="1333"/>
      <c r="AE713" s="1333"/>
      <c r="AF713" s="1333"/>
      <c r="AG713" s="1333"/>
      <c r="AH713" s="1333"/>
      <c r="AI713" s="1333"/>
      <c r="AJ713" s="1333"/>
    </row>
    <row r="714" spans="1:36" x14ac:dyDescent="0.25">
      <c r="A714" s="1331"/>
      <c r="B714" s="1284"/>
      <c r="C714" s="1284"/>
      <c r="D714" s="1364"/>
      <c r="E714" s="1364"/>
      <c r="F714" s="1364"/>
      <c r="G714" s="1365"/>
      <c r="H714" s="1333"/>
      <c r="I714" s="1333"/>
      <c r="J714" s="1333"/>
      <c r="K714" s="1333"/>
      <c r="L714" s="1333"/>
      <c r="M714" s="1333"/>
      <c r="N714" s="1333"/>
      <c r="O714" s="1333"/>
      <c r="P714" s="1333"/>
      <c r="Q714" s="1333"/>
      <c r="R714" s="1333"/>
      <c r="S714" s="1333"/>
      <c r="T714" s="1333"/>
      <c r="U714" s="1333"/>
      <c r="V714" s="1333"/>
      <c r="W714" s="1333"/>
      <c r="X714" s="1333"/>
      <c r="Y714" s="1333"/>
      <c r="Z714" s="1333"/>
      <c r="AA714" s="1333"/>
      <c r="AB714" s="1333"/>
      <c r="AC714" s="1333"/>
      <c r="AD714" s="1333"/>
      <c r="AE714" s="1333"/>
      <c r="AF714" s="1333"/>
      <c r="AG714" s="1333"/>
      <c r="AH714" s="1333"/>
      <c r="AI714" s="1333"/>
      <c r="AJ714" s="1333"/>
    </row>
    <row r="715" spans="1:36" x14ac:dyDescent="0.25">
      <c r="A715" s="1331"/>
      <c r="B715" s="1284"/>
      <c r="C715" s="1284"/>
      <c r="D715" s="1364"/>
      <c r="E715" s="1364"/>
      <c r="F715" s="1364"/>
      <c r="G715" s="1365"/>
      <c r="H715" s="1333"/>
      <c r="I715" s="1333"/>
      <c r="J715" s="1333"/>
      <c r="K715" s="1333"/>
      <c r="L715" s="1333"/>
      <c r="M715" s="1333"/>
      <c r="N715" s="1333"/>
      <c r="O715" s="1333"/>
      <c r="P715" s="1333"/>
      <c r="Q715" s="1333"/>
      <c r="R715" s="1333"/>
      <c r="S715" s="1333"/>
      <c r="T715" s="1333"/>
      <c r="U715" s="1333"/>
      <c r="V715" s="1333"/>
      <c r="W715" s="1333"/>
      <c r="X715" s="1333"/>
      <c r="Y715" s="1333"/>
      <c r="Z715" s="1333"/>
      <c r="AA715" s="1333"/>
      <c r="AB715" s="1333"/>
      <c r="AC715" s="1333"/>
      <c r="AD715" s="1333"/>
      <c r="AE715" s="1333"/>
      <c r="AF715" s="1333"/>
      <c r="AG715" s="1333"/>
      <c r="AH715" s="1333"/>
      <c r="AI715" s="1333"/>
      <c r="AJ715" s="1333"/>
    </row>
    <row r="716" spans="1:36" x14ac:dyDescent="0.25">
      <c r="A716" s="1331"/>
      <c r="B716" s="1284"/>
      <c r="C716" s="1284"/>
      <c r="D716" s="1364"/>
      <c r="E716" s="1364"/>
      <c r="F716" s="1364"/>
      <c r="G716" s="1365"/>
      <c r="H716" s="1333"/>
      <c r="I716" s="1333"/>
      <c r="J716" s="1333"/>
      <c r="K716" s="1333"/>
      <c r="L716" s="1333"/>
      <c r="M716" s="1333"/>
      <c r="N716" s="1333"/>
      <c r="O716" s="1333"/>
      <c r="P716" s="1333"/>
      <c r="Q716" s="1333"/>
      <c r="R716" s="1333"/>
      <c r="S716" s="1333"/>
      <c r="T716" s="1333"/>
      <c r="U716" s="1333"/>
      <c r="V716" s="1333"/>
      <c r="W716" s="1333"/>
      <c r="X716" s="1333"/>
      <c r="Y716" s="1333"/>
      <c r="Z716" s="1333"/>
      <c r="AA716" s="1333"/>
      <c r="AB716" s="1333"/>
      <c r="AC716" s="1333"/>
      <c r="AD716" s="1333"/>
      <c r="AE716" s="1333"/>
      <c r="AF716" s="1333"/>
      <c r="AG716" s="1333"/>
      <c r="AH716" s="1333"/>
      <c r="AI716" s="1333"/>
      <c r="AJ716" s="1333"/>
    </row>
    <row r="717" spans="1:36" x14ac:dyDescent="0.25">
      <c r="A717" s="1331"/>
      <c r="B717" s="1284"/>
      <c r="C717" s="1284"/>
      <c r="D717" s="1364"/>
      <c r="E717" s="1364"/>
      <c r="F717" s="1364"/>
      <c r="G717" s="1365"/>
      <c r="H717" s="1333"/>
      <c r="I717" s="1333"/>
      <c r="J717" s="1333"/>
      <c r="K717" s="1333"/>
      <c r="L717" s="1333"/>
      <c r="M717" s="1333"/>
      <c r="N717" s="1333"/>
      <c r="O717" s="1333"/>
      <c r="P717" s="1333"/>
      <c r="Q717" s="1333"/>
      <c r="R717" s="1333"/>
      <c r="S717" s="1333"/>
      <c r="T717" s="1333"/>
      <c r="U717" s="1333"/>
      <c r="V717" s="1333"/>
      <c r="W717" s="1333"/>
      <c r="X717" s="1333"/>
      <c r="Y717" s="1333"/>
      <c r="Z717" s="1333"/>
      <c r="AA717" s="1333"/>
      <c r="AB717" s="1333"/>
      <c r="AC717" s="1333"/>
      <c r="AD717" s="1333"/>
      <c r="AE717" s="1333"/>
      <c r="AF717" s="1333"/>
      <c r="AG717" s="1333"/>
      <c r="AH717" s="1333"/>
      <c r="AI717" s="1333"/>
      <c r="AJ717" s="1333"/>
    </row>
    <row r="718" spans="1:36" x14ac:dyDescent="0.25">
      <c r="A718" s="1331"/>
      <c r="B718" s="1284"/>
      <c r="C718" s="1284"/>
      <c r="D718" s="1364"/>
      <c r="E718" s="1364"/>
      <c r="F718" s="1364"/>
      <c r="G718" s="1365"/>
      <c r="H718" s="1333"/>
      <c r="I718" s="1333"/>
      <c r="J718" s="1333"/>
      <c r="K718" s="1333"/>
      <c r="L718" s="1333"/>
      <c r="M718" s="1333"/>
      <c r="N718" s="1333"/>
      <c r="O718" s="1333"/>
      <c r="P718" s="1333"/>
      <c r="Q718" s="1333"/>
      <c r="R718" s="1333"/>
      <c r="S718" s="1333"/>
      <c r="T718" s="1333"/>
      <c r="U718" s="1333"/>
      <c r="V718" s="1333"/>
      <c r="W718" s="1333"/>
      <c r="X718" s="1333"/>
      <c r="Y718" s="1333"/>
      <c r="Z718" s="1333"/>
      <c r="AA718" s="1333"/>
      <c r="AB718" s="1333"/>
      <c r="AC718" s="1333"/>
      <c r="AD718" s="1333"/>
      <c r="AE718" s="1333"/>
      <c r="AF718" s="1333"/>
      <c r="AG718" s="1333"/>
      <c r="AH718" s="1333"/>
      <c r="AI718" s="1333"/>
      <c r="AJ718" s="1333"/>
    </row>
    <row r="719" spans="1:36" x14ac:dyDescent="0.25">
      <c r="A719" s="1331"/>
      <c r="B719" s="1284"/>
      <c r="C719" s="1284"/>
      <c r="D719" s="1364"/>
      <c r="E719" s="1364"/>
      <c r="F719" s="1364"/>
      <c r="G719" s="1365"/>
      <c r="H719" s="1333"/>
      <c r="I719" s="1333"/>
      <c r="J719" s="1333"/>
      <c r="K719" s="1333"/>
      <c r="L719" s="1333"/>
      <c r="M719" s="1333"/>
      <c r="N719" s="1333"/>
      <c r="O719" s="1333"/>
      <c r="P719" s="1333"/>
      <c r="Q719" s="1333"/>
      <c r="R719" s="1333"/>
      <c r="S719" s="1333"/>
      <c r="T719" s="1333"/>
      <c r="U719" s="1333"/>
      <c r="V719" s="1333"/>
      <c r="W719" s="1333"/>
      <c r="X719" s="1333"/>
      <c r="Y719" s="1333"/>
      <c r="Z719" s="1333"/>
      <c r="AA719" s="1333"/>
      <c r="AB719" s="1333"/>
      <c r="AC719" s="1333"/>
      <c r="AD719" s="1333"/>
      <c r="AE719" s="1333"/>
      <c r="AF719" s="1333"/>
      <c r="AG719" s="1333"/>
      <c r="AH719" s="1333"/>
      <c r="AI719" s="1333"/>
      <c r="AJ719" s="1333"/>
    </row>
    <row r="720" spans="1:36" x14ac:dyDescent="0.25">
      <c r="A720" s="1331"/>
      <c r="B720" s="1284"/>
      <c r="C720" s="1284"/>
      <c r="D720" s="1364"/>
      <c r="E720" s="1364"/>
      <c r="F720" s="1364"/>
      <c r="G720" s="1365"/>
      <c r="H720" s="1333"/>
      <c r="I720" s="1333"/>
      <c r="J720" s="1333"/>
      <c r="K720" s="1333"/>
      <c r="L720" s="1333"/>
      <c r="M720" s="1333"/>
      <c r="N720" s="1333"/>
      <c r="O720" s="1333"/>
      <c r="P720" s="1333"/>
      <c r="Q720" s="1333"/>
      <c r="R720" s="1333"/>
      <c r="S720" s="1333"/>
      <c r="T720" s="1333"/>
      <c r="U720" s="1333"/>
      <c r="V720" s="1333"/>
      <c r="W720" s="1333"/>
      <c r="X720" s="1333"/>
      <c r="Y720" s="1333"/>
      <c r="Z720" s="1333"/>
      <c r="AA720" s="1333"/>
      <c r="AB720" s="1333"/>
      <c r="AC720" s="1333"/>
      <c r="AD720" s="1333"/>
      <c r="AE720" s="1333"/>
      <c r="AF720" s="1333"/>
      <c r="AG720" s="1333"/>
      <c r="AH720" s="1333"/>
      <c r="AI720" s="1333"/>
      <c r="AJ720" s="1333"/>
    </row>
    <row r="721" spans="1:36" x14ac:dyDescent="0.25">
      <c r="A721" s="1331"/>
      <c r="B721" s="1284"/>
      <c r="C721" s="1284"/>
      <c r="D721" s="1364"/>
      <c r="E721" s="1364"/>
      <c r="F721" s="1364"/>
      <c r="G721" s="1365"/>
      <c r="H721" s="1333"/>
      <c r="I721" s="1333"/>
      <c r="J721" s="1333"/>
      <c r="K721" s="1333"/>
      <c r="L721" s="1333"/>
      <c r="M721" s="1333"/>
      <c r="N721" s="1333"/>
      <c r="O721" s="1333"/>
      <c r="P721" s="1333"/>
      <c r="Q721" s="1333"/>
      <c r="R721" s="1333"/>
      <c r="S721" s="1333"/>
      <c r="T721" s="1333"/>
      <c r="U721" s="1333"/>
      <c r="V721" s="1333"/>
      <c r="W721" s="1333"/>
      <c r="X721" s="1333"/>
      <c r="Y721" s="1333"/>
      <c r="Z721" s="1333"/>
      <c r="AA721" s="1333"/>
      <c r="AB721" s="1333"/>
      <c r="AC721" s="1333"/>
      <c r="AD721" s="1333"/>
      <c r="AE721" s="1333"/>
      <c r="AF721" s="1333"/>
      <c r="AG721" s="1333"/>
      <c r="AH721" s="1333"/>
      <c r="AI721" s="1333"/>
      <c r="AJ721" s="1333"/>
    </row>
    <row r="722" spans="1:36" x14ac:dyDescent="0.25">
      <c r="A722" s="1331"/>
      <c r="B722" s="1284"/>
      <c r="C722" s="1284"/>
      <c r="D722" s="1364"/>
      <c r="E722" s="1364"/>
      <c r="F722" s="1364"/>
      <c r="G722" s="1365"/>
      <c r="H722" s="1333"/>
      <c r="I722" s="1333"/>
      <c r="J722" s="1333"/>
      <c r="K722" s="1333"/>
      <c r="L722" s="1333"/>
      <c r="M722" s="1333"/>
      <c r="N722" s="1333"/>
      <c r="O722" s="1333"/>
      <c r="P722" s="1333"/>
      <c r="Q722" s="1333"/>
      <c r="R722" s="1333"/>
      <c r="S722" s="1333"/>
      <c r="T722" s="1333"/>
      <c r="U722" s="1333"/>
      <c r="V722" s="1333"/>
      <c r="W722" s="1333"/>
      <c r="X722" s="1333"/>
      <c r="Y722" s="1333"/>
      <c r="Z722" s="1333"/>
      <c r="AA722" s="1333"/>
      <c r="AB722" s="1333"/>
      <c r="AC722" s="1333"/>
      <c r="AD722" s="1333"/>
      <c r="AE722" s="1333"/>
      <c r="AF722" s="1333"/>
      <c r="AG722" s="1333"/>
      <c r="AH722" s="1333"/>
      <c r="AI722" s="1333"/>
      <c r="AJ722" s="1333"/>
    </row>
    <row r="723" spans="1:36" x14ac:dyDescent="0.25">
      <c r="A723" s="1331"/>
      <c r="B723" s="1284"/>
      <c r="C723" s="1284"/>
      <c r="D723" s="1364"/>
      <c r="E723" s="1364"/>
      <c r="F723" s="1364"/>
      <c r="G723" s="1365"/>
      <c r="H723" s="1333"/>
      <c r="I723" s="1333"/>
      <c r="J723" s="1333"/>
      <c r="K723" s="1333"/>
      <c r="L723" s="1333"/>
      <c r="M723" s="1333"/>
      <c r="N723" s="1333"/>
      <c r="O723" s="1333"/>
      <c r="P723" s="1333"/>
      <c r="Q723" s="1333"/>
      <c r="R723" s="1333"/>
      <c r="S723" s="1333"/>
      <c r="T723" s="1333"/>
      <c r="U723" s="1333"/>
      <c r="V723" s="1333"/>
      <c r="W723" s="1333"/>
      <c r="X723" s="1333"/>
      <c r="Y723" s="1333"/>
      <c r="Z723" s="1333"/>
      <c r="AA723" s="1333"/>
      <c r="AB723" s="1333"/>
      <c r="AC723" s="1333"/>
      <c r="AD723" s="1333"/>
      <c r="AE723" s="1333"/>
      <c r="AF723" s="1333"/>
      <c r="AG723" s="1333"/>
      <c r="AH723" s="1333"/>
      <c r="AI723" s="1333"/>
      <c r="AJ723" s="1333"/>
    </row>
    <row r="724" spans="1:36" x14ac:dyDescent="0.25">
      <c r="A724" s="1331"/>
      <c r="B724" s="1284"/>
      <c r="C724" s="1284"/>
      <c r="D724" s="1364"/>
      <c r="E724" s="1364"/>
      <c r="F724" s="1364"/>
      <c r="G724" s="1365"/>
      <c r="H724" s="1333"/>
      <c r="I724" s="1333"/>
      <c r="J724" s="1333"/>
      <c r="K724" s="1333"/>
      <c r="L724" s="1333"/>
      <c r="M724" s="1333"/>
      <c r="N724" s="1333"/>
      <c r="O724" s="1333"/>
      <c r="P724" s="1333"/>
      <c r="Q724" s="1333"/>
      <c r="R724" s="1333"/>
      <c r="S724" s="1333"/>
      <c r="T724" s="1333"/>
      <c r="U724" s="1333"/>
      <c r="V724" s="1333"/>
      <c r="W724" s="1333"/>
      <c r="X724" s="1333"/>
      <c r="Y724" s="1333"/>
      <c r="Z724" s="1333"/>
      <c r="AA724" s="1333"/>
      <c r="AB724" s="1333"/>
      <c r="AC724" s="1333"/>
      <c r="AD724" s="1333"/>
      <c r="AE724" s="1333"/>
      <c r="AF724" s="1333"/>
      <c r="AG724" s="1333"/>
      <c r="AH724" s="1333"/>
      <c r="AI724" s="1333"/>
      <c r="AJ724" s="1333"/>
    </row>
    <row r="725" spans="1:36" x14ac:dyDescent="0.25">
      <c r="A725" s="1331"/>
      <c r="B725" s="1284"/>
      <c r="C725" s="1284"/>
      <c r="D725" s="1364"/>
      <c r="E725" s="1364"/>
      <c r="F725" s="1364"/>
      <c r="G725" s="1365"/>
      <c r="H725" s="1333"/>
      <c r="I725" s="1333"/>
      <c r="J725" s="1333"/>
      <c r="K725" s="1333"/>
      <c r="L725" s="1333"/>
      <c r="M725" s="1333"/>
      <c r="N725" s="1333"/>
      <c r="O725" s="1333"/>
      <c r="P725" s="1333"/>
      <c r="Q725" s="1333"/>
      <c r="R725" s="1333"/>
      <c r="S725" s="1333"/>
      <c r="T725" s="1333"/>
      <c r="U725" s="1333"/>
      <c r="V725" s="1333"/>
      <c r="W725" s="1333"/>
      <c r="X725" s="1333"/>
      <c r="Y725" s="1333"/>
      <c r="Z725" s="1333"/>
      <c r="AA725" s="1333"/>
      <c r="AB725" s="1333"/>
      <c r="AC725" s="1333"/>
      <c r="AD725" s="1333"/>
      <c r="AE725" s="1333"/>
      <c r="AF725" s="1333"/>
      <c r="AG725" s="1333"/>
      <c r="AH725" s="1333"/>
      <c r="AI725" s="1333"/>
      <c r="AJ725" s="1333"/>
    </row>
    <row r="726" spans="1:36" x14ac:dyDescent="0.25">
      <c r="A726" s="1331"/>
      <c r="B726" s="1284"/>
      <c r="C726" s="1284"/>
      <c r="D726" s="1364"/>
      <c r="E726" s="1364"/>
      <c r="F726" s="1364"/>
      <c r="G726" s="1365"/>
      <c r="H726" s="1333"/>
      <c r="I726" s="1333"/>
      <c r="J726" s="1333"/>
      <c r="K726" s="1333"/>
      <c r="L726" s="1333"/>
      <c r="M726" s="1333"/>
      <c r="N726" s="1333"/>
      <c r="O726" s="1333"/>
      <c r="P726" s="1333"/>
      <c r="Q726" s="1333"/>
      <c r="R726" s="1333"/>
      <c r="S726" s="1333"/>
      <c r="T726" s="1333"/>
      <c r="U726" s="1333"/>
      <c r="V726" s="1333"/>
      <c r="W726" s="1333"/>
      <c r="X726" s="1333"/>
      <c r="Y726" s="1333"/>
      <c r="Z726" s="1333"/>
      <c r="AA726" s="1333"/>
      <c r="AB726" s="1333"/>
      <c r="AC726" s="1333"/>
      <c r="AD726" s="1333"/>
      <c r="AE726" s="1333"/>
      <c r="AF726" s="1333"/>
      <c r="AG726" s="1333"/>
      <c r="AH726" s="1333"/>
      <c r="AI726" s="1333"/>
      <c r="AJ726" s="1333"/>
    </row>
    <row r="727" spans="1:36" x14ac:dyDescent="0.25">
      <c r="A727" s="1331"/>
      <c r="B727" s="1284"/>
      <c r="C727" s="1284"/>
      <c r="D727" s="1364"/>
      <c r="E727" s="1364"/>
      <c r="F727" s="1364"/>
      <c r="G727" s="1365"/>
      <c r="H727" s="1333"/>
      <c r="I727" s="1333"/>
      <c r="J727" s="1333"/>
      <c r="K727" s="1333"/>
      <c r="L727" s="1333"/>
      <c r="M727" s="1333"/>
      <c r="N727" s="1333"/>
      <c r="O727" s="1333"/>
      <c r="P727" s="1333"/>
      <c r="Q727" s="1333"/>
      <c r="R727" s="1333"/>
      <c r="S727" s="1333"/>
      <c r="T727" s="1333"/>
      <c r="U727" s="1333"/>
      <c r="V727" s="1333"/>
      <c r="W727" s="1333"/>
      <c r="X727" s="1333"/>
      <c r="Y727" s="1333"/>
      <c r="Z727" s="1333"/>
      <c r="AA727" s="1333"/>
      <c r="AB727" s="1333"/>
      <c r="AC727" s="1333"/>
      <c r="AD727" s="1333"/>
      <c r="AE727" s="1333"/>
      <c r="AF727" s="1333"/>
      <c r="AG727" s="1333"/>
      <c r="AH727" s="1333"/>
      <c r="AI727" s="1333"/>
      <c r="AJ727" s="1333"/>
    </row>
    <row r="728" spans="1:36" x14ac:dyDescent="0.25">
      <c r="A728" s="1331"/>
      <c r="B728" s="1284"/>
      <c r="C728" s="1284"/>
      <c r="D728" s="1364"/>
      <c r="E728" s="1364"/>
      <c r="F728" s="1364"/>
      <c r="G728" s="1365"/>
      <c r="H728" s="1333"/>
      <c r="I728" s="1333"/>
      <c r="J728" s="1333"/>
      <c r="K728" s="1333"/>
      <c r="L728" s="1333"/>
      <c r="M728" s="1333"/>
      <c r="N728" s="1333"/>
      <c r="O728" s="1333"/>
      <c r="P728" s="1333"/>
      <c r="Q728" s="1333"/>
      <c r="R728" s="1333"/>
      <c r="S728" s="1333"/>
      <c r="T728" s="1333"/>
      <c r="U728" s="1333"/>
      <c r="V728" s="1333"/>
      <c r="W728" s="1333"/>
      <c r="X728" s="1333"/>
      <c r="Y728" s="1333"/>
      <c r="Z728" s="1333"/>
      <c r="AA728" s="1333"/>
      <c r="AB728" s="1333"/>
      <c r="AC728" s="1333"/>
      <c r="AD728" s="1333"/>
      <c r="AE728" s="1333"/>
      <c r="AF728" s="1333"/>
      <c r="AG728" s="1333"/>
      <c r="AH728" s="1333"/>
      <c r="AI728" s="1333"/>
      <c r="AJ728" s="1333"/>
    </row>
    <row r="729" spans="1:36" x14ac:dyDescent="0.25">
      <c r="A729" s="1331"/>
      <c r="B729" s="1284"/>
      <c r="C729" s="1284"/>
      <c r="D729" s="1364"/>
      <c r="E729" s="1364"/>
      <c r="F729" s="1364"/>
      <c r="G729" s="1365"/>
      <c r="H729" s="1333"/>
      <c r="I729" s="1333"/>
      <c r="J729" s="1333"/>
      <c r="K729" s="1333"/>
      <c r="L729" s="1333"/>
      <c r="M729" s="1333"/>
      <c r="N729" s="1333"/>
      <c r="O729" s="1333"/>
      <c r="P729" s="1333"/>
      <c r="Q729" s="1333"/>
      <c r="R729" s="1333"/>
      <c r="S729" s="1333"/>
      <c r="T729" s="1333"/>
      <c r="U729" s="1333"/>
      <c r="V729" s="1333"/>
      <c r="W729" s="1333"/>
      <c r="X729" s="1333"/>
      <c r="Y729" s="1333"/>
      <c r="Z729" s="1333"/>
      <c r="AA729" s="1333"/>
      <c r="AB729" s="1333"/>
      <c r="AC729" s="1333"/>
      <c r="AD729" s="1333"/>
      <c r="AE729" s="1333"/>
      <c r="AF729" s="1333"/>
      <c r="AG729" s="1333"/>
      <c r="AH729" s="1333"/>
      <c r="AI729" s="1333"/>
      <c r="AJ729" s="1333"/>
    </row>
    <row r="730" spans="1:36" x14ac:dyDescent="0.25">
      <c r="A730" s="1331"/>
      <c r="B730" s="1284"/>
      <c r="C730" s="1284"/>
      <c r="D730" s="1364"/>
      <c r="E730" s="1364"/>
      <c r="F730" s="1364"/>
      <c r="G730" s="1365"/>
      <c r="H730" s="1333"/>
      <c r="I730" s="1333"/>
      <c r="J730" s="1333"/>
      <c r="K730" s="1333"/>
      <c r="L730" s="1333"/>
      <c r="M730" s="1333"/>
      <c r="N730" s="1333"/>
      <c r="O730" s="1333"/>
      <c r="P730" s="1333"/>
      <c r="Q730" s="1333"/>
      <c r="R730" s="1333"/>
      <c r="S730" s="1333"/>
      <c r="T730" s="1333"/>
      <c r="U730" s="1333"/>
      <c r="V730" s="1333"/>
      <c r="W730" s="1333"/>
      <c r="X730" s="1333"/>
      <c r="Y730" s="1333"/>
      <c r="Z730" s="1333"/>
      <c r="AA730" s="1333"/>
      <c r="AB730" s="1333"/>
      <c r="AC730" s="1333"/>
      <c r="AD730" s="1333"/>
      <c r="AE730" s="1333"/>
      <c r="AF730" s="1333"/>
      <c r="AG730" s="1333"/>
      <c r="AH730" s="1333"/>
      <c r="AI730" s="1333"/>
      <c r="AJ730" s="1333"/>
    </row>
    <row r="731" spans="1:36" x14ac:dyDescent="0.25">
      <c r="A731" s="1331"/>
      <c r="B731" s="1284"/>
      <c r="C731" s="1284"/>
      <c r="D731" s="1364"/>
      <c r="E731" s="1364"/>
      <c r="F731" s="1364"/>
      <c r="G731" s="1365"/>
      <c r="H731" s="1333"/>
      <c r="I731" s="1333"/>
      <c r="J731" s="1333"/>
      <c r="K731" s="1333"/>
      <c r="L731" s="1333"/>
      <c r="M731" s="1333"/>
      <c r="N731" s="1333"/>
      <c r="O731" s="1333"/>
      <c r="P731" s="1333"/>
      <c r="Q731" s="1333"/>
      <c r="R731" s="1333"/>
      <c r="S731" s="1333"/>
      <c r="T731" s="1333"/>
      <c r="U731" s="1333"/>
      <c r="V731" s="1333"/>
      <c r="W731" s="1333"/>
      <c r="X731" s="1333"/>
      <c r="Y731" s="1333"/>
      <c r="Z731" s="1333"/>
      <c r="AA731" s="1333"/>
      <c r="AB731" s="1333"/>
      <c r="AC731" s="1333"/>
      <c r="AD731" s="1333"/>
      <c r="AE731" s="1333"/>
      <c r="AF731" s="1333"/>
      <c r="AG731" s="1333"/>
      <c r="AH731" s="1333"/>
      <c r="AI731" s="1333"/>
      <c r="AJ731" s="1333"/>
    </row>
    <row r="732" spans="1:36" x14ac:dyDescent="0.25">
      <c r="A732" s="1331"/>
      <c r="B732" s="1284"/>
      <c r="C732" s="1284"/>
      <c r="D732" s="1364"/>
      <c r="E732" s="1364"/>
      <c r="F732" s="1364"/>
      <c r="G732" s="1365"/>
      <c r="H732" s="1333"/>
      <c r="I732" s="1333"/>
      <c r="J732" s="1333"/>
      <c r="K732" s="1333"/>
      <c r="L732" s="1333"/>
      <c r="M732" s="1333"/>
      <c r="N732" s="1333"/>
      <c r="O732" s="1333"/>
      <c r="P732" s="1333"/>
      <c r="Q732" s="1333"/>
      <c r="R732" s="1333"/>
      <c r="S732" s="1333"/>
      <c r="T732" s="1333"/>
      <c r="U732" s="1333"/>
      <c r="V732" s="1333"/>
      <c r="W732" s="1333"/>
      <c r="X732" s="1333"/>
      <c r="Y732" s="1333"/>
      <c r="Z732" s="1333"/>
      <c r="AA732" s="1333"/>
      <c r="AB732" s="1333"/>
      <c r="AC732" s="1333"/>
      <c r="AD732" s="1333"/>
      <c r="AE732" s="1333"/>
      <c r="AF732" s="1333"/>
      <c r="AG732" s="1333"/>
      <c r="AH732" s="1333"/>
      <c r="AI732" s="1333"/>
      <c r="AJ732" s="1333"/>
    </row>
    <row r="733" spans="1:36" x14ac:dyDescent="0.25">
      <c r="A733" s="1331"/>
      <c r="B733" s="1284"/>
      <c r="C733" s="1284"/>
      <c r="D733" s="1364"/>
      <c r="E733" s="1364"/>
      <c r="F733" s="1364"/>
      <c r="G733" s="1365"/>
      <c r="H733" s="1333"/>
      <c r="I733" s="1333"/>
      <c r="J733" s="1333"/>
      <c r="K733" s="1333"/>
      <c r="L733" s="1333"/>
      <c r="M733" s="1333"/>
      <c r="N733" s="1333"/>
      <c r="O733" s="1333"/>
      <c r="P733" s="1333"/>
      <c r="Q733" s="1333"/>
      <c r="R733" s="1333"/>
      <c r="S733" s="1333"/>
      <c r="T733" s="1333"/>
      <c r="U733" s="1333"/>
      <c r="V733" s="1333"/>
      <c r="W733" s="1333"/>
      <c r="X733" s="1333"/>
      <c r="Y733" s="1333"/>
      <c r="Z733" s="1333"/>
      <c r="AA733" s="1333"/>
      <c r="AB733" s="1333"/>
      <c r="AC733" s="1333"/>
      <c r="AD733" s="1333"/>
      <c r="AE733" s="1333"/>
      <c r="AF733" s="1333"/>
      <c r="AG733" s="1333"/>
      <c r="AH733" s="1333"/>
      <c r="AI733" s="1333"/>
      <c r="AJ733" s="1333"/>
    </row>
    <row r="734" spans="1:36" x14ac:dyDescent="0.25">
      <c r="A734" s="1331"/>
      <c r="B734" s="1284"/>
      <c r="C734" s="1284"/>
      <c r="D734" s="1364"/>
      <c r="E734" s="1364"/>
      <c r="F734" s="1364"/>
      <c r="G734" s="1365"/>
      <c r="H734" s="1333"/>
      <c r="I734" s="1333"/>
      <c r="J734" s="1333"/>
      <c r="K734" s="1333"/>
      <c r="L734" s="1333"/>
      <c r="M734" s="1333"/>
      <c r="N734" s="1333"/>
      <c r="O734" s="1333"/>
      <c r="P734" s="1333"/>
      <c r="Q734" s="1333"/>
      <c r="R734" s="1333"/>
      <c r="S734" s="1333"/>
      <c r="T734" s="1333"/>
      <c r="U734" s="1333"/>
      <c r="V734" s="1333"/>
      <c r="W734" s="1333"/>
      <c r="X734" s="1333"/>
      <c r="Y734" s="1333"/>
      <c r="Z734" s="1333"/>
      <c r="AA734" s="1333"/>
      <c r="AB734" s="1333"/>
      <c r="AC734" s="1333"/>
      <c r="AD734" s="1333"/>
      <c r="AE734" s="1333"/>
      <c r="AF734" s="1333"/>
      <c r="AG734" s="1333"/>
      <c r="AH734" s="1333"/>
      <c r="AI734" s="1333"/>
      <c r="AJ734" s="1333"/>
    </row>
    <row r="735" spans="1:36" x14ac:dyDescent="0.25">
      <c r="A735" s="1331"/>
      <c r="B735" s="1284"/>
      <c r="C735" s="1284"/>
      <c r="D735" s="1364"/>
      <c r="E735" s="1364"/>
      <c r="F735" s="1364"/>
      <c r="G735" s="1365"/>
      <c r="H735" s="1333"/>
      <c r="I735" s="1333"/>
      <c r="J735" s="1333"/>
      <c r="K735" s="1333"/>
      <c r="L735" s="1333"/>
      <c r="M735" s="1333"/>
      <c r="N735" s="1333"/>
      <c r="O735" s="1333"/>
      <c r="P735" s="1333"/>
      <c r="Q735" s="1333"/>
      <c r="R735" s="1333"/>
      <c r="S735" s="1333"/>
      <c r="T735" s="1333"/>
      <c r="U735" s="1333"/>
      <c r="V735" s="1333"/>
      <c r="W735" s="1333"/>
      <c r="X735" s="1333"/>
      <c r="Y735" s="1333"/>
      <c r="Z735" s="1333"/>
      <c r="AA735" s="1333"/>
      <c r="AB735" s="1333"/>
      <c r="AC735" s="1333"/>
      <c r="AD735" s="1333"/>
      <c r="AE735" s="1333"/>
      <c r="AF735" s="1333"/>
      <c r="AG735" s="1333"/>
      <c r="AH735" s="1333"/>
      <c r="AI735" s="1333"/>
      <c r="AJ735" s="1333"/>
    </row>
    <row r="736" spans="1:36" x14ac:dyDescent="0.25">
      <c r="A736" s="1331"/>
      <c r="B736" s="1284"/>
      <c r="C736" s="1284"/>
      <c r="D736" s="1364"/>
      <c r="E736" s="1364"/>
      <c r="F736" s="1364"/>
      <c r="G736" s="1365"/>
      <c r="H736" s="1333"/>
      <c r="I736" s="1333"/>
      <c r="J736" s="1333"/>
      <c r="K736" s="1333"/>
      <c r="L736" s="1333"/>
      <c r="M736" s="1333"/>
      <c r="N736" s="1333"/>
      <c r="O736" s="1333"/>
      <c r="P736" s="1333"/>
      <c r="Q736" s="1333"/>
      <c r="R736" s="1333"/>
      <c r="S736" s="1333"/>
      <c r="T736" s="1333"/>
      <c r="U736" s="1333"/>
      <c r="V736" s="1333"/>
      <c r="W736" s="1333"/>
      <c r="X736" s="1333"/>
      <c r="Y736" s="1333"/>
      <c r="Z736" s="1333"/>
      <c r="AA736" s="1333"/>
      <c r="AB736" s="1333"/>
      <c r="AC736" s="1333"/>
      <c r="AD736" s="1333"/>
      <c r="AE736" s="1333"/>
      <c r="AF736" s="1333"/>
      <c r="AG736" s="1333"/>
      <c r="AH736" s="1333"/>
      <c r="AI736" s="1333"/>
      <c r="AJ736" s="1333"/>
    </row>
    <row r="737" spans="1:36" x14ac:dyDescent="0.25">
      <c r="A737" s="1331"/>
      <c r="B737" s="1284"/>
      <c r="C737" s="1284"/>
      <c r="D737" s="1364"/>
      <c r="E737" s="1364"/>
      <c r="F737" s="1364"/>
      <c r="G737" s="1365"/>
      <c r="H737" s="1333"/>
      <c r="I737" s="1333"/>
      <c r="J737" s="1333"/>
      <c r="K737" s="1333"/>
      <c r="L737" s="1333"/>
      <c r="M737" s="1333"/>
      <c r="N737" s="1333"/>
      <c r="O737" s="1333"/>
      <c r="P737" s="1333"/>
      <c r="Q737" s="1333"/>
      <c r="R737" s="1333"/>
      <c r="S737" s="1333"/>
      <c r="T737" s="1333"/>
      <c r="U737" s="1333"/>
      <c r="V737" s="1333"/>
      <c r="W737" s="1333"/>
      <c r="X737" s="1333"/>
      <c r="Y737" s="1333"/>
      <c r="Z737" s="1333"/>
      <c r="AA737" s="1333"/>
      <c r="AB737" s="1333"/>
      <c r="AC737" s="1333"/>
      <c r="AD737" s="1333"/>
      <c r="AE737" s="1333"/>
      <c r="AF737" s="1333"/>
      <c r="AG737" s="1333"/>
      <c r="AH737" s="1333"/>
      <c r="AI737" s="1333"/>
      <c r="AJ737" s="1333"/>
    </row>
    <row r="738" spans="1:36" x14ac:dyDescent="0.25">
      <c r="A738" s="1331"/>
      <c r="B738" s="1284"/>
      <c r="C738" s="1284"/>
      <c r="D738" s="1364"/>
      <c r="E738" s="1364"/>
      <c r="F738" s="1364"/>
      <c r="G738" s="1365"/>
      <c r="H738" s="1333"/>
      <c r="I738" s="1333"/>
      <c r="J738" s="1333"/>
      <c r="K738" s="1333"/>
      <c r="L738" s="1333"/>
      <c r="M738" s="1333"/>
      <c r="N738" s="1333"/>
      <c r="O738" s="1333"/>
      <c r="P738" s="1333"/>
      <c r="Q738" s="1333"/>
      <c r="R738" s="1333"/>
      <c r="S738" s="1333"/>
      <c r="T738" s="1333"/>
      <c r="U738" s="1333"/>
      <c r="V738" s="1333"/>
      <c r="W738" s="1333"/>
      <c r="X738" s="1333"/>
      <c r="Y738" s="1333"/>
      <c r="Z738" s="1333"/>
      <c r="AA738" s="1333"/>
      <c r="AB738" s="1333"/>
      <c r="AC738" s="1333"/>
      <c r="AD738" s="1333"/>
      <c r="AE738" s="1333"/>
      <c r="AF738" s="1333"/>
      <c r="AG738" s="1333"/>
      <c r="AH738" s="1333"/>
      <c r="AI738" s="1333"/>
      <c r="AJ738" s="1333"/>
    </row>
    <row r="739" spans="1:36" x14ac:dyDescent="0.25">
      <c r="A739" s="1331"/>
      <c r="B739" s="1284"/>
      <c r="C739" s="1284"/>
      <c r="D739" s="1364"/>
      <c r="E739" s="1364"/>
      <c r="F739" s="1364"/>
      <c r="G739" s="1365"/>
      <c r="H739" s="1333"/>
      <c r="I739" s="1333"/>
      <c r="J739" s="1333"/>
      <c r="K739" s="1333"/>
      <c r="L739" s="1333"/>
      <c r="M739" s="1333"/>
      <c r="N739" s="1333"/>
      <c r="O739" s="1333"/>
      <c r="P739" s="1333"/>
      <c r="Q739" s="1333"/>
      <c r="R739" s="1333"/>
      <c r="S739" s="1333"/>
      <c r="T739" s="1333"/>
      <c r="U739" s="1333"/>
      <c r="V739" s="1333"/>
      <c r="W739" s="1333"/>
      <c r="X739" s="1333"/>
      <c r="Y739" s="1333"/>
      <c r="Z739" s="1333"/>
      <c r="AA739" s="1333"/>
      <c r="AB739" s="1333"/>
      <c r="AC739" s="1333"/>
      <c r="AD739" s="1333"/>
      <c r="AE739" s="1333"/>
      <c r="AF739" s="1333"/>
      <c r="AG739" s="1333"/>
      <c r="AH739" s="1333"/>
      <c r="AI739" s="1333"/>
      <c r="AJ739" s="1333"/>
    </row>
    <row r="740" spans="1:36" x14ac:dyDescent="0.25">
      <c r="A740" s="1331"/>
      <c r="B740" s="1284"/>
      <c r="C740" s="1284"/>
      <c r="D740" s="1364"/>
      <c r="E740" s="1364"/>
      <c r="F740" s="1364"/>
      <c r="G740" s="1365"/>
      <c r="H740" s="1333"/>
      <c r="I740" s="1333"/>
      <c r="J740" s="1333"/>
      <c r="K740" s="1333"/>
      <c r="L740" s="1333"/>
      <c r="M740" s="1333"/>
      <c r="N740" s="1333"/>
      <c r="O740" s="1333"/>
      <c r="P740" s="1333"/>
      <c r="Q740" s="1333"/>
      <c r="R740" s="1333"/>
      <c r="S740" s="1333"/>
      <c r="T740" s="1333"/>
      <c r="U740" s="1333"/>
      <c r="V740" s="1333"/>
      <c r="W740" s="1333"/>
      <c r="X740" s="1333"/>
      <c r="Y740" s="1333"/>
      <c r="Z740" s="1333"/>
      <c r="AA740" s="1333"/>
      <c r="AB740" s="1333"/>
      <c r="AC740" s="1333"/>
      <c r="AD740" s="1333"/>
      <c r="AE740" s="1333"/>
      <c r="AF740" s="1333"/>
      <c r="AG740" s="1333"/>
      <c r="AH740" s="1333"/>
      <c r="AI740" s="1333"/>
      <c r="AJ740" s="1333"/>
    </row>
    <row r="741" spans="1:36" x14ac:dyDescent="0.25">
      <c r="A741" s="1331"/>
      <c r="B741" s="1284"/>
      <c r="C741" s="1284"/>
      <c r="D741" s="1364"/>
      <c r="E741" s="1364"/>
      <c r="F741" s="1364"/>
      <c r="G741" s="1365"/>
      <c r="H741" s="1333"/>
      <c r="I741" s="1333"/>
      <c r="J741" s="1333"/>
      <c r="K741" s="1333"/>
      <c r="L741" s="1333"/>
      <c r="M741" s="1333"/>
      <c r="N741" s="1333"/>
      <c r="O741" s="1333"/>
      <c r="P741" s="1333"/>
      <c r="Q741" s="1333"/>
      <c r="R741" s="1333"/>
      <c r="S741" s="1333"/>
      <c r="T741" s="1333"/>
      <c r="U741" s="1333"/>
      <c r="V741" s="1333"/>
      <c r="W741" s="1333"/>
      <c r="X741" s="1333"/>
      <c r="Y741" s="1333"/>
      <c r="Z741" s="1333"/>
      <c r="AA741" s="1333"/>
      <c r="AB741" s="1333"/>
      <c r="AC741" s="1333"/>
      <c r="AD741" s="1333"/>
      <c r="AE741" s="1333"/>
      <c r="AF741" s="1333"/>
      <c r="AG741" s="1333"/>
      <c r="AH741" s="1333"/>
      <c r="AI741" s="1333"/>
      <c r="AJ741" s="1333"/>
    </row>
    <row r="742" spans="1:36" x14ac:dyDescent="0.25">
      <c r="A742" s="1331"/>
      <c r="B742" s="1284"/>
      <c r="C742" s="1284"/>
      <c r="D742" s="1364"/>
      <c r="E742" s="1364"/>
      <c r="F742" s="1364"/>
      <c r="G742" s="1365"/>
      <c r="H742" s="1333"/>
      <c r="I742" s="1333"/>
      <c r="J742" s="1333"/>
      <c r="K742" s="1333"/>
      <c r="L742" s="1333"/>
      <c r="M742" s="1333"/>
      <c r="N742" s="1333"/>
      <c r="O742" s="1333"/>
      <c r="P742" s="1333"/>
      <c r="Q742" s="1333"/>
      <c r="R742" s="1333"/>
      <c r="S742" s="1333"/>
      <c r="T742" s="1333"/>
      <c r="U742" s="1333"/>
      <c r="V742" s="1333"/>
      <c r="W742" s="1333"/>
      <c r="X742" s="1333"/>
      <c r="Y742" s="1333"/>
      <c r="Z742" s="1333"/>
      <c r="AA742" s="1333"/>
      <c r="AB742" s="1333"/>
      <c r="AC742" s="1333"/>
      <c r="AD742" s="1333"/>
      <c r="AE742" s="1333"/>
      <c r="AF742" s="1333"/>
      <c r="AG742" s="1333"/>
      <c r="AH742" s="1333"/>
      <c r="AI742" s="1333"/>
      <c r="AJ742" s="1333"/>
    </row>
    <row r="743" spans="1:36" x14ac:dyDescent="0.25">
      <c r="A743" s="1331"/>
      <c r="B743" s="1284"/>
      <c r="C743" s="1284"/>
      <c r="D743" s="1364"/>
      <c r="E743" s="1364"/>
      <c r="F743" s="1364"/>
      <c r="G743" s="1365"/>
      <c r="H743" s="1333"/>
      <c r="I743" s="1333"/>
      <c r="J743" s="1333"/>
      <c r="K743" s="1333"/>
      <c r="L743" s="1333"/>
      <c r="M743" s="1333"/>
      <c r="N743" s="1333"/>
      <c r="O743" s="1333"/>
      <c r="P743" s="1333"/>
      <c r="Q743" s="1333"/>
      <c r="R743" s="1333"/>
      <c r="S743" s="1333"/>
      <c r="T743" s="1333"/>
      <c r="U743" s="1333"/>
      <c r="V743" s="1333"/>
      <c r="W743" s="1333"/>
      <c r="X743" s="1333"/>
      <c r="Y743" s="1333"/>
      <c r="Z743" s="1333"/>
      <c r="AA743" s="1333"/>
      <c r="AB743" s="1333"/>
      <c r="AC743" s="1333"/>
      <c r="AD743" s="1333"/>
      <c r="AE743" s="1333"/>
      <c r="AF743" s="1333"/>
      <c r="AG743" s="1333"/>
      <c r="AH743" s="1333"/>
      <c r="AI743" s="1333"/>
      <c r="AJ743" s="1333"/>
    </row>
    <row r="744" spans="1:36" x14ac:dyDescent="0.25">
      <c r="A744" s="1331"/>
      <c r="B744" s="1284"/>
      <c r="C744" s="1284"/>
      <c r="D744" s="1364"/>
      <c r="E744" s="1364"/>
      <c r="F744" s="1364"/>
      <c r="G744" s="1365"/>
      <c r="H744" s="1333"/>
      <c r="I744" s="1333"/>
      <c r="J744" s="1333"/>
      <c r="K744" s="1333"/>
      <c r="L744" s="1333"/>
      <c r="M744" s="1333"/>
      <c r="N744" s="1333"/>
      <c r="O744" s="1333"/>
      <c r="P744" s="1333"/>
      <c r="Q744" s="1333"/>
      <c r="R744" s="1333"/>
      <c r="S744" s="1333"/>
      <c r="T744" s="1333"/>
      <c r="U744" s="1333"/>
      <c r="V744" s="1333"/>
      <c r="W744" s="1333"/>
      <c r="X744" s="1333"/>
      <c r="Y744" s="1333"/>
      <c r="Z744" s="1333"/>
      <c r="AA744" s="1333"/>
      <c r="AB744" s="1333"/>
      <c r="AC744" s="1333"/>
      <c r="AD744" s="1333"/>
      <c r="AE744" s="1333"/>
      <c r="AF744" s="1333"/>
      <c r="AG744" s="1333"/>
      <c r="AH744" s="1333"/>
      <c r="AI744" s="1333"/>
      <c r="AJ744" s="1333"/>
    </row>
    <row r="745" spans="1:36" x14ac:dyDescent="0.25">
      <c r="A745" s="1331"/>
      <c r="B745" s="1284"/>
      <c r="C745" s="1284"/>
      <c r="D745" s="1364"/>
      <c r="E745" s="1364"/>
      <c r="F745" s="1364"/>
      <c r="G745" s="1365"/>
      <c r="H745" s="1333"/>
      <c r="I745" s="1333"/>
      <c r="J745" s="1333"/>
      <c r="K745" s="1333"/>
      <c r="L745" s="1333"/>
      <c r="M745" s="1333"/>
      <c r="N745" s="1333"/>
      <c r="O745" s="1333"/>
      <c r="P745" s="1333"/>
      <c r="Q745" s="1333"/>
      <c r="R745" s="1333"/>
      <c r="S745" s="1333"/>
      <c r="T745" s="1333"/>
      <c r="U745" s="1333"/>
      <c r="V745" s="1333"/>
      <c r="W745" s="1333"/>
      <c r="X745" s="1333"/>
      <c r="Y745" s="1333"/>
      <c r="Z745" s="1333"/>
      <c r="AA745" s="1333"/>
      <c r="AB745" s="1333"/>
      <c r="AC745" s="1333"/>
      <c r="AD745" s="1333"/>
      <c r="AE745" s="1333"/>
      <c r="AF745" s="1333"/>
      <c r="AG745" s="1333"/>
      <c r="AH745" s="1333"/>
      <c r="AI745" s="1333"/>
      <c r="AJ745" s="1333"/>
    </row>
    <row r="746" spans="1:36" x14ac:dyDescent="0.25">
      <c r="A746" s="1331"/>
      <c r="B746" s="1284"/>
      <c r="C746" s="1284"/>
      <c r="D746" s="1364"/>
      <c r="E746" s="1364"/>
      <c r="F746" s="1364"/>
      <c r="G746" s="1365"/>
      <c r="H746" s="1333"/>
      <c r="I746" s="1333"/>
      <c r="J746" s="1333"/>
      <c r="K746" s="1333"/>
      <c r="L746" s="1333"/>
      <c r="M746" s="1333"/>
      <c r="N746" s="1333"/>
      <c r="O746" s="1333"/>
      <c r="P746" s="1333"/>
      <c r="Q746" s="1333"/>
      <c r="R746" s="1333"/>
      <c r="S746" s="1333"/>
      <c r="T746" s="1333"/>
      <c r="U746" s="1333"/>
      <c r="V746" s="1333"/>
      <c r="W746" s="1333"/>
      <c r="X746" s="1333"/>
      <c r="Y746" s="1333"/>
      <c r="Z746" s="1333"/>
      <c r="AA746" s="1333"/>
      <c r="AB746" s="1333"/>
      <c r="AC746" s="1333"/>
      <c r="AD746" s="1333"/>
      <c r="AE746" s="1333"/>
      <c r="AF746" s="1333"/>
      <c r="AG746" s="1333"/>
      <c r="AH746" s="1333"/>
      <c r="AI746" s="1333"/>
      <c r="AJ746" s="1333"/>
    </row>
    <row r="747" spans="1:36" x14ac:dyDescent="0.25">
      <c r="A747" s="1331"/>
      <c r="B747" s="1284"/>
      <c r="C747" s="1284"/>
      <c r="D747" s="1364"/>
      <c r="E747" s="1364"/>
      <c r="F747" s="1364"/>
      <c r="G747" s="1365"/>
      <c r="H747" s="1333"/>
      <c r="I747" s="1333"/>
      <c r="J747" s="1333"/>
      <c r="K747" s="1333"/>
      <c r="L747" s="1333"/>
      <c r="M747" s="1333"/>
      <c r="N747" s="1333"/>
      <c r="O747" s="1333"/>
      <c r="P747" s="1333"/>
      <c r="Q747" s="1333"/>
      <c r="R747" s="1333"/>
      <c r="S747" s="1333"/>
      <c r="T747" s="1333"/>
      <c r="U747" s="1333"/>
      <c r="V747" s="1333"/>
      <c r="W747" s="1333"/>
      <c r="X747" s="1333"/>
      <c r="Y747" s="1333"/>
      <c r="Z747" s="1333"/>
      <c r="AA747" s="1333"/>
      <c r="AB747" s="1333"/>
      <c r="AC747" s="1333"/>
      <c r="AD747" s="1333"/>
      <c r="AE747" s="1333"/>
      <c r="AF747" s="1333"/>
      <c r="AG747" s="1333"/>
      <c r="AH747" s="1333"/>
      <c r="AI747" s="1333"/>
      <c r="AJ747" s="1333"/>
    </row>
    <row r="748" spans="1:36" x14ac:dyDescent="0.25">
      <c r="A748" s="1331"/>
      <c r="B748" s="1284"/>
      <c r="C748" s="1284"/>
      <c r="D748" s="1364"/>
      <c r="E748" s="1364"/>
      <c r="F748" s="1364"/>
      <c r="G748" s="1365"/>
      <c r="H748" s="1333"/>
      <c r="I748" s="1333"/>
      <c r="J748" s="1333"/>
      <c r="K748" s="1333"/>
      <c r="L748" s="1333"/>
      <c r="M748" s="1333"/>
      <c r="N748" s="1333"/>
      <c r="O748" s="1333"/>
      <c r="P748" s="1333"/>
      <c r="Q748" s="1333"/>
      <c r="R748" s="1333"/>
      <c r="S748" s="1333"/>
      <c r="T748" s="1333"/>
      <c r="U748" s="1333"/>
      <c r="V748" s="1333"/>
      <c r="W748" s="1333"/>
      <c r="X748" s="1333"/>
      <c r="Y748" s="1333"/>
      <c r="Z748" s="1333"/>
      <c r="AA748" s="1333"/>
      <c r="AB748" s="1333"/>
      <c r="AC748" s="1333"/>
      <c r="AD748" s="1333"/>
      <c r="AE748" s="1333"/>
      <c r="AF748" s="1333"/>
      <c r="AG748" s="1333"/>
      <c r="AH748" s="1333"/>
      <c r="AI748" s="1333"/>
      <c r="AJ748" s="1333"/>
    </row>
    <row r="749" spans="1:36" x14ac:dyDescent="0.25">
      <c r="A749" s="1331"/>
      <c r="B749" s="1284"/>
      <c r="C749" s="1284"/>
      <c r="D749" s="1364"/>
      <c r="E749" s="1364"/>
      <c r="F749" s="1364"/>
      <c r="G749" s="1365"/>
      <c r="H749" s="1333"/>
      <c r="I749" s="1333"/>
      <c r="J749" s="1333"/>
      <c r="K749" s="1333"/>
      <c r="L749" s="1333"/>
      <c r="M749" s="1333"/>
      <c r="N749" s="1333"/>
      <c r="O749" s="1333"/>
      <c r="P749" s="1333"/>
      <c r="Q749" s="1333"/>
      <c r="R749" s="1333"/>
      <c r="S749" s="1333"/>
      <c r="T749" s="1333"/>
      <c r="U749" s="1333"/>
      <c r="V749" s="1333"/>
      <c r="W749" s="1333"/>
      <c r="X749" s="1333"/>
      <c r="Y749" s="1333"/>
      <c r="Z749" s="1333"/>
      <c r="AA749" s="1333"/>
      <c r="AB749" s="1333"/>
      <c r="AC749" s="1333"/>
      <c r="AD749" s="1333"/>
      <c r="AE749" s="1333"/>
      <c r="AF749" s="1333"/>
      <c r="AG749" s="1333"/>
      <c r="AH749" s="1333"/>
      <c r="AI749" s="1333"/>
      <c r="AJ749" s="1333"/>
    </row>
    <row r="750" spans="1:36" x14ac:dyDescent="0.25">
      <c r="A750" s="1331"/>
      <c r="B750" s="1284"/>
      <c r="C750" s="1284"/>
      <c r="D750" s="1364"/>
      <c r="E750" s="1364"/>
      <c r="F750" s="1364"/>
      <c r="G750" s="1365"/>
      <c r="H750" s="1333"/>
      <c r="I750" s="1333"/>
      <c r="J750" s="1333"/>
      <c r="K750" s="1333"/>
      <c r="L750" s="1333"/>
      <c r="M750" s="1333"/>
      <c r="N750" s="1333"/>
      <c r="O750" s="1333"/>
      <c r="P750" s="1333"/>
      <c r="Q750" s="1333"/>
      <c r="R750" s="1333"/>
      <c r="S750" s="1333"/>
      <c r="T750" s="1333"/>
      <c r="U750" s="1333"/>
      <c r="V750" s="1333"/>
      <c r="W750" s="1333"/>
      <c r="X750" s="1333"/>
      <c r="Y750" s="1333"/>
      <c r="Z750" s="1333"/>
      <c r="AA750" s="1333"/>
      <c r="AB750" s="1333"/>
      <c r="AC750" s="1333"/>
      <c r="AD750" s="1333"/>
      <c r="AE750" s="1333"/>
      <c r="AF750" s="1333"/>
      <c r="AG750" s="1333"/>
      <c r="AH750" s="1333"/>
      <c r="AI750" s="1333"/>
      <c r="AJ750" s="1333"/>
    </row>
    <row r="751" spans="1:36" x14ac:dyDescent="0.25">
      <c r="A751" s="1331"/>
      <c r="B751" s="1284"/>
      <c r="C751" s="1284"/>
      <c r="D751" s="1364"/>
      <c r="E751" s="1364"/>
      <c r="F751" s="1364"/>
      <c r="G751" s="1365"/>
      <c r="H751" s="1333"/>
      <c r="I751" s="1333"/>
      <c r="J751" s="1333"/>
      <c r="K751" s="1333"/>
      <c r="L751" s="1333"/>
      <c r="M751" s="1333"/>
      <c r="N751" s="1333"/>
      <c r="O751" s="1333"/>
      <c r="P751" s="1333"/>
      <c r="Q751" s="1333"/>
      <c r="R751" s="1333"/>
      <c r="S751" s="1333"/>
      <c r="T751" s="1333"/>
      <c r="U751" s="1333"/>
      <c r="V751" s="1333"/>
      <c r="W751" s="1333"/>
      <c r="X751" s="1333"/>
      <c r="Y751" s="1333"/>
      <c r="Z751" s="1333"/>
      <c r="AA751" s="1333"/>
      <c r="AB751" s="1333"/>
      <c r="AC751" s="1333"/>
      <c r="AD751" s="1333"/>
      <c r="AE751" s="1333"/>
      <c r="AF751" s="1333"/>
      <c r="AG751" s="1333"/>
      <c r="AH751" s="1333"/>
      <c r="AI751" s="1333"/>
      <c r="AJ751" s="1333"/>
    </row>
    <row r="752" spans="1:36" x14ac:dyDescent="0.25">
      <c r="A752" s="1331"/>
      <c r="B752" s="1284"/>
      <c r="C752" s="1284"/>
      <c r="D752" s="1364"/>
      <c r="E752" s="1364"/>
      <c r="F752" s="1364"/>
      <c r="G752" s="1365"/>
      <c r="H752" s="1333"/>
      <c r="I752" s="1333"/>
      <c r="J752" s="1333"/>
      <c r="K752" s="1333"/>
      <c r="L752" s="1333"/>
      <c r="M752" s="1333"/>
      <c r="N752" s="1333"/>
      <c r="O752" s="1333"/>
      <c r="P752" s="1333"/>
      <c r="Q752" s="1333"/>
      <c r="R752" s="1333"/>
      <c r="S752" s="1333"/>
      <c r="T752" s="1333"/>
      <c r="U752" s="1333"/>
      <c r="V752" s="1333"/>
      <c r="W752" s="1333"/>
      <c r="X752" s="1333"/>
      <c r="Y752" s="1333"/>
      <c r="Z752" s="1333"/>
      <c r="AA752" s="1333"/>
      <c r="AB752" s="1333"/>
      <c r="AC752" s="1333"/>
      <c r="AD752" s="1333"/>
      <c r="AE752" s="1333"/>
      <c r="AF752" s="1333"/>
      <c r="AG752" s="1333"/>
      <c r="AH752" s="1333"/>
      <c r="AI752" s="1333"/>
      <c r="AJ752" s="1333"/>
    </row>
    <row r="753" spans="1:36" x14ac:dyDescent="0.25">
      <c r="A753" s="1331"/>
      <c r="B753" s="1284"/>
      <c r="C753" s="1284"/>
      <c r="D753" s="1364"/>
      <c r="E753" s="1364"/>
      <c r="F753" s="1364"/>
      <c r="G753" s="1365"/>
      <c r="H753" s="1333"/>
      <c r="I753" s="1333"/>
      <c r="J753" s="1333"/>
      <c r="K753" s="1333"/>
      <c r="L753" s="1333"/>
      <c r="M753" s="1333"/>
      <c r="N753" s="1333"/>
      <c r="O753" s="1333"/>
      <c r="P753" s="1333"/>
      <c r="Q753" s="1333"/>
      <c r="R753" s="1333"/>
      <c r="S753" s="1333"/>
      <c r="T753" s="1333"/>
      <c r="U753" s="1333"/>
      <c r="V753" s="1333"/>
      <c r="W753" s="1333"/>
      <c r="X753" s="1333"/>
      <c r="Y753" s="1333"/>
      <c r="Z753" s="1333"/>
      <c r="AA753" s="1333"/>
      <c r="AB753" s="1333"/>
      <c r="AC753" s="1333"/>
      <c r="AD753" s="1333"/>
      <c r="AE753" s="1333"/>
      <c r="AF753" s="1333"/>
      <c r="AG753" s="1333"/>
      <c r="AH753" s="1333"/>
      <c r="AI753" s="1333"/>
      <c r="AJ753" s="1333"/>
    </row>
    <row r="754" spans="1:36" x14ac:dyDescent="0.25">
      <c r="A754" s="1331"/>
      <c r="B754" s="1284"/>
      <c r="C754" s="1284"/>
      <c r="D754" s="1364"/>
      <c r="E754" s="1364"/>
      <c r="F754" s="1364"/>
      <c r="G754" s="1365"/>
      <c r="H754" s="1333"/>
      <c r="I754" s="1333"/>
      <c r="J754" s="1333"/>
      <c r="K754" s="1333"/>
      <c r="L754" s="1333"/>
      <c r="M754" s="1333"/>
      <c r="N754" s="1333"/>
      <c r="O754" s="1333"/>
      <c r="P754" s="1333"/>
      <c r="Q754" s="1333"/>
      <c r="R754" s="1333"/>
      <c r="S754" s="1333"/>
      <c r="T754" s="1333"/>
      <c r="U754" s="1333"/>
      <c r="V754" s="1333"/>
      <c r="W754" s="1333"/>
      <c r="X754" s="1333"/>
      <c r="Y754" s="1333"/>
      <c r="Z754" s="1333"/>
      <c r="AA754" s="1333"/>
      <c r="AB754" s="1333"/>
      <c r="AC754" s="1333"/>
      <c r="AD754" s="1333"/>
      <c r="AE754" s="1333"/>
      <c r="AF754" s="1333"/>
      <c r="AG754" s="1333"/>
      <c r="AH754" s="1333"/>
      <c r="AI754" s="1333"/>
      <c r="AJ754" s="1333"/>
    </row>
    <row r="755" spans="1:36" x14ac:dyDescent="0.25">
      <c r="A755" s="1331"/>
      <c r="B755" s="1284"/>
      <c r="C755" s="1284"/>
      <c r="D755" s="1364"/>
      <c r="E755" s="1364"/>
      <c r="F755" s="1364"/>
      <c r="G755" s="1365"/>
      <c r="H755" s="1333"/>
      <c r="I755" s="1333"/>
      <c r="J755" s="1333"/>
      <c r="K755" s="1333"/>
      <c r="L755" s="1333"/>
      <c r="M755" s="1333"/>
      <c r="N755" s="1333"/>
      <c r="O755" s="1333"/>
      <c r="P755" s="1333"/>
      <c r="Q755" s="1333"/>
      <c r="R755" s="1333"/>
      <c r="S755" s="1333"/>
      <c r="T755" s="1333"/>
      <c r="U755" s="1333"/>
      <c r="V755" s="1333"/>
      <c r="W755" s="1333"/>
      <c r="X755" s="1333"/>
      <c r="Y755" s="1333"/>
      <c r="Z755" s="1333"/>
      <c r="AA755" s="1333"/>
      <c r="AB755" s="1333"/>
      <c r="AC755" s="1333"/>
      <c r="AD755" s="1333"/>
      <c r="AE755" s="1333"/>
      <c r="AF755" s="1333"/>
      <c r="AG755" s="1333"/>
      <c r="AH755" s="1333"/>
      <c r="AI755" s="1333"/>
      <c r="AJ755" s="1333"/>
    </row>
    <row r="756" spans="1:36" x14ac:dyDescent="0.25">
      <c r="A756" s="1331"/>
      <c r="B756" s="1284"/>
      <c r="C756" s="1284"/>
      <c r="D756" s="1364"/>
      <c r="E756" s="1364"/>
      <c r="F756" s="1364"/>
      <c r="G756" s="1365"/>
      <c r="H756" s="1333"/>
      <c r="I756" s="1333"/>
      <c r="J756" s="1333"/>
      <c r="K756" s="1333"/>
      <c r="L756" s="1333"/>
      <c r="M756" s="1333"/>
      <c r="N756" s="1333"/>
      <c r="O756" s="1333"/>
      <c r="P756" s="1333"/>
      <c r="Q756" s="1333"/>
      <c r="R756" s="1333"/>
      <c r="S756" s="1333"/>
      <c r="T756" s="1333"/>
      <c r="U756" s="1333"/>
      <c r="V756" s="1333"/>
      <c r="W756" s="1333"/>
      <c r="X756" s="1333"/>
      <c r="Y756" s="1333"/>
      <c r="Z756" s="1333"/>
      <c r="AA756" s="1333"/>
      <c r="AB756" s="1333"/>
      <c r="AC756" s="1333"/>
      <c r="AD756" s="1333"/>
      <c r="AE756" s="1333"/>
      <c r="AF756" s="1333"/>
      <c r="AG756" s="1333"/>
      <c r="AH756" s="1333"/>
      <c r="AI756" s="1333"/>
      <c r="AJ756" s="1333"/>
    </row>
    <row r="757" spans="1:36" x14ac:dyDescent="0.25">
      <c r="A757" s="1331"/>
      <c r="B757" s="1284"/>
      <c r="C757" s="1284"/>
      <c r="D757" s="1364"/>
      <c r="E757" s="1364"/>
      <c r="F757" s="1364"/>
      <c r="G757" s="1365"/>
      <c r="H757" s="1333"/>
      <c r="I757" s="1333"/>
      <c r="J757" s="1333"/>
      <c r="K757" s="1333"/>
      <c r="L757" s="1333"/>
      <c r="M757" s="1333"/>
      <c r="N757" s="1333"/>
      <c r="O757" s="1333"/>
      <c r="P757" s="1333"/>
      <c r="Q757" s="1333"/>
      <c r="R757" s="1333"/>
      <c r="S757" s="1333"/>
      <c r="T757" s="1333"/>
      <c r="U757" s="1333"/>
      <c r="V757" s="1333"/>
      <c r="W757" s="1333"/>
      <c r="X757" s="1333"/>
      <c r="Y757" s="1333"/>
      <c r="Z757" s="1333"/>
      <c r="AA757" s="1333"/>
      <c r="AB757" s="1333"/>
      <c r="AC757" s="1333"/>
      <c r="AD757" s="1333"/>
      <c r="AE757" s="1333"/>
      <c r="AF757" s="1333"/>
      <c r="AG757" s="1333"/>
      <c r="AH757" s="1333"/>
      <c r="AI757" s="1333"/>
      <c r="AJ757" s="1333"/>
    </row>
    <row r="758" spans="1:36" x14ac:dyDescent="0.25">
      <c r="A758" s="1331"/>
      <c r="B758" s="1284"/>
      <c r="C758" s="1284"/>
      <c r="D758" s="1364"/>
      <c r="E758" s="1364"/>
      <c r="F758" s="1364"/>
      <c r="G758" s="1365"/>
      <c r="H758" s="1333"/>
      <c r="I758" s="1333"/>
      <c r="J758" s="1333"/>
      <c r="K758" s="1333"/>
      <c r="L758" s="1333"/>
      <c r="M758" s="1333"/>
      <c r="N758" s="1333"/>
      <c r="O758" s="1333"/>
      <c r="P758" s="1333"/>
      <c r="Q758" s="1333"/>
      <c r="R758" s="1333"/>
      <c r="S758" s="1333"/>
      <c r="T758" s="1333"/>
      <c r="U758" s="1333"/>
      <c r="V758" s="1333"/>
      <c r="W758" s="1333"/>
      <c r="X758" s="1333"/>
      <c r="Y758" s="1333"/>
      <c r="Z758" s="1333"/>
      <c r="AA758" s="1333"/>
      <c r="AB758" s="1333"/>
      <c r="AC758" s="1333"/>
      <c r="AD758" s="1333"/>
      <c r="AE758" s="1333"/>
      <c r="AF758" s="1333"/>
      <c r="AG758" s="1333"/>
      <c r="AH758" s="1333"/>
      <c r="AI758" s="1333"/>
      <c r="AJ758" s="1333"/>
    </row>
    <row r="759" spans="1:36" x14ac:dyDescent="0.25">
      <c r="A759" s="1331"/>
      <c r="B759" s="1284"/>
      <c r="C759" s="1284"/>
      <c r="D759" s="1364"/>
      <c r="E759" s="1364"/>
      <c r="F759" s="1364"/>
      <c r="G759" s="1365"/>
      <c r="H759" s="1333"/>
      <c r="I759" s="1333"/>
      <c r="J759" s="1333"/>
      <c r="K759" s="1333"/>
      <c r="L759" s="1333"/>
      <c r="M759" s="1333"/>
      <c r="N759" s="1333"/>
      <c r="O759" s="1333"/>
      <c r="P759" s="1333"/>
      <c r="Q759" s="1333"/>
      <c r="R759" s="1333"/>
      <c r="S759" s="1333"/>
      <c r="T759" s="1333"/>
      <c r="U759" s="1333"/>
      <c r="V759" s="1333"/>
      <c r="W759" s="1333"/>
      <c r="X759" s="1333"/>
      <c r="Y759" s="1333"/>
      <c r="Z759" s="1333"/>
      <c r="AA759" s="1333"/>
      <c r="AB759" s="1333"/>
      <c r="AC759" s="1333"/>
      <c r="AD759" s="1333"/>
      <c r="AE759" s="1333"/>
      <c r="AF759" s="1333"/>
      <c r="AG759" s="1333"/>
      <c r="AH759" s="1333"/>
      <c r="AI759" s="1333"/>
      <c r="AJ759" s="1333"/>
    </row>
    <row r="760" spans="1:36" x14ac:dyDescent="0.25">
      <c r="A760" s="1331"/>
      <c r="B760" s="1284"/>
      <c r="C760" s="1284"/>
      <c r="D760" s="1364"/>
      <c r="E760" s="1364"/>
      <c r="F760" s="1364"/>
      <c r="G760" s="1365"/>
      <c r="H760" s="1333"/>
      <c r="I760" s="1333"/>
      <c r="J760" s="1333"/>
      <c r="K760" s="1333"/>
      <c r="L760" s="1333"/>
      <c r="M760" s="1333"/>
      <c r="N760" s="1333"/>
      <c r="O760" s="1333"/>
      <c r="P760" s="1333"/>
      <c r="Q760" s="1333"/>
      <c r="R760" s="1333"/>
      <c r="S760" s="1333"/>
      <c r="T760" s="1333"/>
      <c r="U760" s="1333"/>
      <c r="V760" s="1333"/>
      <c r="W760" s="1333"/>
      <c r="X760" s="1333"/>
      <c r="Y760" s="1333"/>
      <c r="Z760" s="1333"/>
      <c r="AA760" s="1333"/>
      <c r="AB760" s="1333"/>
      <c r="AC760" s="1333"/>
      <c r="AD760" s="1333"/>
      <c r="AE760" s="1333"/>
      <c r="AF760" s="1333"/>
      <c r="AG760" s="1333"/>
      <c r="AH760" s="1333"/>
      <c r="AI760" s="1333"/>
      <c r="AJ760" s="1333"/>
    </row>
    <row r="761" spans="1:36" x14ac:dyDescent="0.25">
      <c r="A761" s="1331"/>
      <c r="B761" s="1284"/>
      <c r="C761" s="1284"/>
      <c r="D761" s="1364"/>
      <c r="E761" s="1364"/>
      <c r="F761" s="1364"/>
      <c r="G761" s="1365"/>
      <c r="H761" s="1333"/>
      <c r="I761" s="1333"/>
      <c r="J761" s="1333"/>
      <c r="K761" s="1333"/>
      <c r="L761" s="1333"/>
      <c r="M761" s="1333"/>
      <c r="N761" s="1333"/>
      <c r="O761" s="1333"/>
      <c r="P761" s="1333"/>
      <c r="Q761" s="1333"/>
      <c r="R761" s="1333"/>
      <c r="S761" s="1333"/>
      <c r="T761" s="1333"/>
      <c r="U761" s="1333"/>
      <c r="V761" s="1333"/>
      <c r="W761" s="1333"/>
      <c r="X761" s="1333"/>
      <c r="Y761" s="1333"/>
      <c r="Z761" s="1333"/>
      <c r="AA761" s="1333"/>
      <c r="AB761" s="1333"/>
      <c r="AC761" s="1333"/>
      <c r="AD761" s="1333"/>
      <c r="AE761" s="1333"/>
      <c r="AF761" s="1333"/>
      <c r="AG761" s="1333"/>
      <c r="AH761" s="1333"/>
      <c r="AI761" s="1333"/>
      <c r="AJ761" s="1333"/>
    </row>
    <row r="762" spans="1:36" x14ac:dyDescent="0.25">
      <c r="A762" s="1331"/>
      <c r="B762" s="1284"/>
      <c r="C762" s="1284"/>
      <c r="D762" s="1364"/>
      <c r="E762" s="1364"/>
      <c r="F762" s="1364"/>
      <c r="G762" s="1365"/>
      <c r="H762" s="1333"/>
      <c r="I762" s="1333"/>
      <c r="J762" s="1333"/>
      <c r="K762" s="1333"/>
      <c r="L762" s="1333"/>
      <c r="M762" s="1333"/>
      <c r="N762" s="1333"/>
      <c r="O762" s="1333"/>
      <c r="P762" s="1333"/>
      <c r="Q762" s="1333"/>
      <c r="R762" s="1333"/>
      <c r="S762" s="1333"/>
      <c r="T762" s="1333"/>
      <c r="U762" s="1333"/>
      <c r="V762" s="1333"/>
      <c r="W762" s="1333"/>
      <c r="X762" s="1333"/>
      <c r="Y762" s="1333"/>
      <c r="Z762" s="1333"/>
      <c r="AA762" s="1333"/>
      <c r="AB762" s="1333"/>
      <c r="AC762" s="1333"/>
      <c r="AD762" s="1333"/>
      <c r="AE762" s="1333"/>
      <c r="AF762" s="1333"/>
      <c r="AG762" s="1333"/>
      <c r="AH762" s="1333"/>
      <c r="AI762" s="1333"/>
      <c r="AJ762" s="1333"/>
    </row>
    <row r="763" spans="1:36" x14ac:dyDescent="0.25">
      <c r="A763" s="1331"/>
      <c r="B763" s="1284"/>
      <c r="C763" s="1284"/>
      <c r="D763" s="1364"/>
      <c r="E763" s="1364"/>
      <c r="F763" s="1364"/>
      <c r="G763" s="1365"/>
      <c r="H763" s="1333"/>
      <c r="I763" s="1333"/>
      <c r="J763" s="1333"/>
      <c r="K763" s="1333"/>
      <c r="L763" s="1333"/>
      <c r="M763" s="1333"/>
      <c r="N763" s="1333"/>
      <c r="O763" s="1333"/>
      <c r="P763" s="1333"/>
      <c r="Q763" s="1333"/>
      <c r="R763" s="1333"/>
      <c r="S763" s="1333"/>
      <c r="T763" s="1333"/>
      <c r="U763" s="1333"/>
      <c r="V763" s="1333"/>
      <c r="W763" s="1333"/>
      <c r="X763" s="1333"/>
      <c r="Y763" s="1333"/>
      <c r="Z763" s="1333"/>
      <c r="AA763" s="1333"/>
      <c r="AB763" s="1333"/>
      <c r="AC763" s="1333"/>
      <c r="AD763" s="1333"/>
      <c r="AE763" s="1333"/>
      <c r="AF763" s="1333"/>
      <c r="AG763" s="1333"/>
      <c r="AH763" s="1333"/>
      <c r="AI763" s="1333"/>
      <c r="AJ763" s="1333"/>
    </row>
    <row r="764" spans="1:36" x14ac:dyDescent="0.25">
      <c r="A764" s="1331"/>
      <c r="B764" s="1284"/>
      <c r="C764" s="1284"/>
      <c r="D764" s="1364"/>
      <c r="E764" s="1364"/>
      <c r="F764" s="1364"/>
      <c r="G764" s="1365"/>
      <c r="H764" s="1333"/>
      <c r="I764" s="1333"/>
      <c r="J764" s="1333"/>
      <c r="K764" s="1333"/>
      <c r="L764" s="1333"/>
      <c r="M764" s="1333"/>
      <c r="N764" s="1333"/>
      <c r="O764" s="1333"/>
      <c r="P764" s="1333"/>
      <c r="Q764" s="1333"/>
      <c r="R764" s="1333"/>
      <c r="S764" s="1333"/>
      <c r="T764" s="1333"/>
      <c r="U764" s="1333"/>
      <c r="V764" s="1333"/>
      <c r="W764" s="1333"/>
      <c r="X764" s="1333"/>
      <c r="Y764" s="1333"/>
      <c r="Z764" s="1333"/>
      <c r="AA764" s="1333"/>
      <c r="AB764" s="1333"/>
      <c r="AC764" s="1333"/>
      <c r="AD764" s="1333"/>
      <c r="AE764" s="1333"/>
      <c r="AF764" s="1333"/>
      <c r="AG764" s="1333"/>
      <c r="AH764" s="1333"/>
      <c r="AI764" s="1333"/>
      <c r="AJ764" s="1333"/>
    </row>
    <row r="765" spans="1:36" x14ac:dyDescent="0.25">
      <c r="A765" s="1331"/>
      <c r="B765" s="1284"/>
      <c r="C765" s="1284"/>
      <c r="D765" s="1364"/>
      <c r="E765" s="1364"/>
      <c r="F765" s="1364"/>
      <c r="G765" s="1365"/>
      <c r="H765" s="1333"/>
      <c r="I765" s="1333"/>
      <c r="J765" s="1333"/>
      <c r="K765" s="1333"/>
      <c r="L765" s="1333"/>
      <c r="M765" s="1333"/>
      <c r="N765" s="1333"/>
      <c r="O765" s="1333"/>
      <c r="P765" s="1333"/>
      <c r="Q765" s="1333"/>
      <c r="R765" s="1333"/>
      <c r="S765" s="1333"/>
      <c r="T765" s="1333"/>
      <c r="U765" s="1333"/>
      <c r="V765" s="1333"/>
      <c r="W765" s="1333"/>
      <c r="X765" s="1333"/>
      <c r="Y765" s="1333"/>
      <c r="Z765" s="1333"/>
      <c r="AA765" s="1333"/>
      <c r="AB765" s="1333"/>
      <c r="AC765" s="1333"/>
      <c r="AD765" s="1333"/>
      <c r="AE765" s="1333"/>
      <c r="AF765" s="1333"/>
      <c r="AG765" s="1333"/>
      <c r="AH765" s="1333"/>
      <c r="AI765" s="1333"/>
      <c r="AJ765" s="1333"/>
    </row>
    <row r="766" spans="1:36" x14ac:dyDescent="0.25">
      <c r="A766" s="1331"/>
      <c r="B766" s="1284"/>
      <c r="C766" s="1284"/>
      <c r="D766" s="1364"/>
      <c r="E766" s="1364"/>
      <c r="F766" s="1364"/>
      <c r="G766" s="1365"/>
      <c r="H766" s="1333"/>
      <c r="I766" s="1333"/>
      <c r="J766" s="1333"/>
      <c r="K766" s="1333"/>
      <c r="L766" s="1333"/>
      <c r="M766" s="1333"/>
      <c r="N766" s="1333"/>
      <c r="O766" s="1333"/>
      <c r="P766" s="1333"/>
      <c r="Q766" s="1333"/>
      <c r="R766" s="1333"/>
      <c r="S766" s="1333"/>
      <c r="T766" s="1333"/>
      <c r="U766" s="1333"/>
      <c r="V766" s="1333"/>
      <c r="W766" s="1333"/>
      <c r="X766" s="1333"/>
      <c r="Y766" s="1333"/>
      <c r="Z766" s="1333"/>
      <c r="AA766" s="1333"/>
      <c r="AB766" s="1333"/>
      <c r="AC766" s="1333"/>
      <c r="AD766" s="1333"/>
      <c r="AE766" s="1333"/>
      <c r="AF766" s="1333"/>
      <c r="AG766" s="1333"/>
      <c r="AH766" s="1333"/>
      <c r="AI766" s="1333"/>
      <c r="AJ766" s="1333"/>
    </row>
    <row r="767" spans="1:36" x14ac:dyDescent="0.25">
      <c r="A767" s="1331"/>
      <c r="B767" s="1284"/>
      <c r="C767" s="1284"/>
      <c r="D767" s="1364"/>
      <c r="E767" s="1364"/>
      <c r="F767" s="1364"/>
      <c r="G767" s="1365"/>
      <c r="H767" s="1333"/>
      <c r="I767" s="1333"/>
      <c r="J767" s="1333"/>
      <c r="K767" s="1333"/>
      <c r="L767" s="1333"/>
      <c r="M767" s="1333"/>
      <c r="N767" s="1333"/>
      <c r="O767" s="1333"/>
      <c r="P767" s="1333"/>
      <c r="Q767" s="1333"/>
      <c r="R767" s="1333"/>
      <c r="S767" s="1333"/>
      <c r="T767" s="1333"/>
      <c r="U767" s="1333"/>
      <c r="V767" s="1333"/>
      <c r="W767" s="1333"/>
      <c r="X767" s="1333"/>
      <c r="Y767" s="1333"/>
      <c r="Z767" s="1333"/>
      <c r="AA767" s="1333"/>
      <c r="AB767" s="1333"/>
      <c r="AC767" s="1333"/>
      <c r="AD767" s="1333"/>
      <c r="AE767" s="1333"/>
      <c r="AF767" s="1333"/>
      <c r="AG767" s="1333"/>
      <c r="AH767" s="1333"/>
      <c r="AI767" s="1333"/>
      <c r="AJ767" s="1333"/>
    </row>
    <row r="768" spans="1:36" x14ac:dyDescent="0.25">
      <c r="A768" s="1331"/>
      <c r="B768" s="1284"/>
      <c r="C768" s="1284"/>
      <c r="D768" s="1364"/>
      <c r="E768" s="1364"/>
      <c r="F768" s="1364"/>
      <c r="G768" s="1365"/>
      <c r="H768" s="1333"/>
      <c r="I768" s="1333"/>
      <c r="J768" s="1333"/>
      <c r="K768" s="1333"/>
      <c r="L768" s="1333"/>
      <c r="M768" s="1333"/>
      <c r="N768" s="1333"/>
      <c r="O768" s="1333"/>
      <c r="P768" s="1333"/>
      <c r="Q768" s="1333"/>
      <c r="R768" s="1333"/>
      <c r="S768" s="1333"/>
      <c r="T768" s="1333"/>
      <c r="U768" s="1333"/>
      <c r="V768" s="1333"/>
      <c r="W768" s="1333"/>
      <c r="X768" s="1333"/>
      <c r="Y768" s="1333"/>
      <c r="Z768" s="1333"/>
      <c r="AA768" s="1333"/>
      <c r="AB768" s="1333"/>
      <c r="AC768" s="1333"/>
      <c r="AD768" s="1333"/>
      <c r="AE768" s="1333"/>
      <c r="AF768" s="1333"/>
      <c r="AG768" s="1333"/>
      <c r="AH768" s="1333"/>
      <c r="AI768" s="1333"/>
      <c r="AJ768" s="1333"/>
    </row>
    <row r="769" spans="1:36" x14ac:dyDescent="0.25">
      <c r="A769" s="1331"/>
      <c r="B769" s="1284"/>
      <c r="C769" s="1284"/>
      <c r="D769" s="1364"/>
      <c r="E769" s="1364"/>
      <c r="F769" s="1364"/>
      <c r="G769" s="1365"/>
      <c r="H769" s="1333"/>
      <c r="I769" s="1333"/>
      <c r="J769" s="1333"/>
      <c r="K769" s="1333"/>
      <c r="L769" s="1333"/>
      <c r="M769" s="1333"/>
      <c r="N769" s="1333"/>
      <c r="O769" s="1333"/>
      <c r="P769" s="1333"/>
      <c r="Q769" s="1333"/>
      <c r="R769" s="1333"/>
      <c r="S769" s="1333"/>
      <c r="T769" s="1333"/>
      <c r="U769" s="1333"/>
      <c r="V769" s="1333"/>
      <c r="W769" s="1333"/>
      <c r="X769" s="1333"/>
      <c r="Y769" s="1333"/>
      <c r="Z769" s="1333"/>
      <c r="AA769" s="1333"/>
      <c r="AB769" s="1333"/>
      <c r="AC769" s="1333"/>
      <c r="AD769" s="1333"/>
      <c r="AE769" s="1333"/>
      <c r="AF769" s="1333"/>
      <c r="AG769" s="1333"/>
      <c r="AH769" s="1333"/>
      <c r="AI769" s="1333"/>
      <c r="AJ769" s="1333"/>
    </row>
    <row r="770" spans="1:36" x14ac:dyDescent="0.25">
      <c r="A770" s="1331"/>
      <c r="B770" s="1284"/>
      <c r="C770" s="1284"/>
      <c r="D770" s="1364"/>
      <c r="E770" s="1364"/>
      <c r="F770" s="1364"/>
      <c r="G770" s="1365"/>
      <c r="H770" s="1333"/>
      <c r="I770" s="1333"/>
      <c r="J770" s="1333"/>
      <c r="K770" s="1333"/>
      <c r="L770" s="1333"/>
      <c r="M770" s="1333"/>
      <c r="N770" s="1333"/>
      <c r="O770" s="1333"/>
      <c r="P770" s="1333"/>
      <c r="Q770" s="1333"/>
      <c r="R770" s="1333"/>
      <c r="S770" s="1333"/>
      <c r="T770" s="1333"/>
      <c r="U770" s="1333"/>
      <c r="V770" s="1333"/>
      <c r="W770" s="1333"/>
      <c r="X770" s="1333"/>
      <c r="Y770" s="1333"/>
      <c r="Z770" s="1333"/>
      <c r="AA770" s="1333"/>
      <c r="AB770" s="1333"/>
      <c r="AC770" s="1333"/>
      <c r="AD770" s="1333"/>
      <c r="AE770" s="1333"/>
      <c r="AF770" s="1333"/>
      <c r="AG770" s="1333"/>
      <c r="AH770" s="1333"/>
      <c r="AI770" s="1333"/>
      <c r="AJ770" s="1333"/>
    </row>
    <row r="771" spans="1:36" x14ac:dyDescent="0.25">
      <c r="A771" s="1331"/>
      <c r="B771" s="1284"/>
      <c r="C771" s="1284"/>
      <c r="D771" s="1364"/>
      <c r="E771" s="1364"/>
      <c r="F771" s="1364"/>
      <c r="G771" s="1365"/>
      <c r="H771" s="1333"/>
      <c r="I771" s="1333"/>
      <c r="J771" s="1333"/>
      <c r="K771" s="1333"/>
      <c r="L771" s="1333"/>
      <c r="M771" s="1333"/>
      <c r="N771" s="1333"/>
      <c r="O771" s="1333"/>
      <c r="P771" s="1333"/>
      <c r="Q771" s="1333"/>
      <c r="R771" s="1333"/>
      <c r="S771" s="1333"/>
      <c r="T771" s="1333"/>
      <c r="U771" s="1333"/>
      <c r="V771" s="1333"/>
      <c r="W771" s="1333"/>
      <c r="X771" s="1333"/>
      <c r="Y771" s="1333"/>
      <c r="Z771" s="1333"/>
      <c r="AA771" s="1333"/>
      <c r="AB771" s="1333"/>
      <c r="AC771" s="1333"/>
      <c r="AD771" s="1333"/>
      <c r="AE771" s="1333"/>
      <c r="AF771" s="1333"/>
      <c r="AG771" s="1333"/>
      <c r="AH771" s="1333"/>
      <c r="AI771" s="1333"/>
      <c r="AJ771" s="1333"/>
    </row>
    <row r="772" spans="1:36" x14ac:dyDescent="0.25">
      <c r="A772" s="1331"/>
      <c r="B772" s="1284"/>
      <c r="C772" s="1284"/>
      <c r="D772" s="1364"/>
      <c r="E772" s="1364"/>
      <c r="F772" s="1364"/>
      <c r="G772" s="1365"/>
      <c r="H772" s="1333"/>
      <c r="I772" s="1333"/>
      <c r="J772" s="1333"/>
      <c r="K772" s="1333"/>
      <c r="L772" s="1333"/>
      <c r="M772" s="1333"/>
      <c r="N772" s="1333"/>
      <c r="O772" s="1333"/>
      <c r="P772" s="1333"/>
      <c r="Q772" s="1333"/>
      <c r="R772" s="1333"/>
      <c r="S772" s="1333"/>
      <c r="T772" s="1333"/>
      <c r="U772" s="1333"/>
      <c r="V772" s="1333"/>
      <c r="W772" s="1333"/>
      <c r="X772" s="1333"/>
      <c r="Y772" s="1333"/>
      <c r="Z772" s="1333"/>
      <c r="AA772" s="1333"/>
      <c r="AB772" s="1333"/>
      <c r="AC772" s="1333"/>
      <c r="AD772" s="1333"/>
      <c r="AE772" s="1333"/>
      <c r="AF772" s="1333"/>
      <c r="AG772" s="1333"/>
      <c r="AH772" s="1333"/>
      <c r="AI772" s="1333"/>
      <c r="AJ772" s="1333"/>
    </row>
    <row r="773" spans="1:36" x14ac:dyDescent="0.25">
      <c r="A773" s="1331"/>
      <c r="B773" s="1284"/>
      <c r="C773" s="1284"/>
      <c r="D773" s="1364"/>
      <c r="E773" s="1364"/>
      <c r="F773" s="1364"/>
      <c r="G773" s="1365"/>
      <c r="H773" s="1333"/>
      <c r="I773" s="1333"/>
      <c r="J773" s="1333"/>
      <c r="K773" s="1333"/>
      <c r="L773" s="1333"/>
      <c r="M773" s="1333"/>
      <c r="N773" s="1333"/>
      <c r="O773" s="1333"/>
      <c r="P773" s="1333"/>
      <c r="Q773" s="1333"/>
      <c r="R773" s="1333"/>
      <c r="S773" s="1333"/>
      <c r="T773" s="1333"/>
      <c r="U773" s="1333"/>
      <c r="V773" s="1333"/>
      <c r="W773" s="1333"/>
      <c r="X773" s="1333"/>
      <c r="Y773" s="1333"/>
      <c r="Z773" s="1333"/>
      <c r="AA773" s="1333"/>
      <c r="AB773" s="1333"/>
      <c r="AC773" s="1333"/>
      <c r="AD773" s="1333"/>
      <c r="AE773" s="1333"/>
      <c r="AF773" s="1333"/>
      <c r="AG773" s="1333"/>
      <c r="AH773" s="1333"/>
      <c r="AI773" s="1333"/>
      <c r="AJ773" s="1333"/>
    </row>
    <row r="774" spans="1:36" x14ac:dyDescent="0.25">
      <c r="A774" s="1331"/>
      <c r="B774" s="1284"/>
      <c r="C774" s="1284"/>
      <c r="D774" s="1364"/>
      <c r="E774" s="1364"/>
      <c r="F774" s="1364"/>
      <c r="G774" s="1365"/>
      <c r="H774" s="1333"/>
      <c r="I774" s="1333"/>
      <c r="J774" s="1333"/>
      <c r="K774" s="1333"/>
      <c r="L774" s="1333"/>
      <c r="M774" s="1333"/>
      <c r="N774" s="1333"/>
      <c r="O774" s="1333"/>
      <c r="P774" s="1333"/>
      <c r="Q774" s="1333"/>
      <c r="R774" s="1333"/>
      <c r="S774" s="1333"/>
      <c r="T774" s="1333"/>
      <c r="U774" s="1333"/>
      <c r="V774" s="1333"/>
      <c r="W774" s="1333"/>
      <c r="X774" s="1333"/>
      <c r="Y774" s="1333"/>
      <c r="Z774" s="1333"/>
      <c r="AA774" s="1333"/>
      <c r="AB774" s="1333"/>
      <c r="AC774" s="1333"/>
      <c r="AD774" s="1333"/>
      <c r="AE774" s="1333"/>
      <c r="AF774" s="1333"/>
      <c r="AG774" s="1333"/>
      <c r="AH774" s="1333"/>
      <c r="AI774" s="1333"/>
      <c r="AJ774" s="1333"/>
    </row>
    <row r="775" spans="1:36" x14ac:dyDescent="0.25">
      <c r="A775" s="1331"/>
      <c r="B775" s="1284"/>
      <c r="C775" s="1284"/>
      <c r="D775" s="1364"/>
      <c r="E775" s="1364"/>
      <c r="F775" s="1364"/>
      <c r="G775" s="1365"/>
      <c r="H775" s="1333"/>
      <c r="I775" s="1333"/>
      <c r="J775" s="1333"/>
      <c r="K775" s="1333"/>
      <c r="L775" s="1333"/>
      <c r="M775" s="1333"/>
      <c r="N775" s="1333"/>
      <c r="O775" s="1333"/>
      <c r="P775" s="1333"/>
      <c r="Q775" s="1333"/>
      <c r="R775" s="1333"/>
      <c r="S775" s="1333"/>
      <c r="T775" s="1333"/>
      <c r="U775" s="1333"/>
      <c r="V775" s="1333"/>
      <c r="W775" s="1333"/>
      <c r="X775" s="1333"/>
      <c r="Y775" s="1333"/>
      <c r="Z775" s="1333"/>
      <c r="AA775" s="1333"/>
      <c r="AB775" s="1333"/>
      <c r="AC775" s="1333"/>
      <c r="AD775" s="1333"/>
      <c r="AE775" s="1333"/>
      <c r="AF775" s="1333"/>
      <c r="AG775" s="1333"/>
      <c r="AH775" s="1333"/>
      <c r="AI775" s="1333"/>
      <c r="AJ775" s="1333"/>
    </row>
    <row r="776" spans="1:36" x14ac:dyDescent="0.25">
      <c r="A776" s="1331"/>
      <c r="B776" s="1284"/>
      <c r="C776" s="1284"/>
      <c r="D776" s="1364"/>
      <c r="E776" s="1364"/>
      <c r="F776" s="1364"/>
      <c r="G776" s="1365"/>
      <c r="H776" s="1333"/>
      <c r="I776" s="1333"/>
      <c r="J776" s="1333"/>
      <c r="K776" s="1333"/>
      <c r="L776" s="1333"/>
      <c r="M776" s="1333"/>
      <c r="N776" s="1333"/>
      <c r="O776" s="1333"/>
      <c r="P776" s="1333"/>
      <c r="Q776" s="1333"/>
      <c r="R776" s="1333"/>
      <c r="S776" s="1333"/>
      <c r="T776" s="1333"/>
      <c r="U776" s="1333"/>
      <c r="V776" s="1333"/>
      <c r="W776" s="1333"/>
      <c r="X776" s="1333"/>
      <c r="Y776" s="1333"/>
      <c r="Z776" s="1333"/>
      <c r="AA776" s="1333"/>
      <c r="AB776" s="1333"/>
      <c r="AC776" s="1333"/>
      <c r="AD776" s="1333"/>
      <c r="AE776" s="1333"/>
      <c r="AF776" s="1333"/>
      <c r="AG776" s="1333"/>
      <c r="AH776" s="1333"/>
      <c r="AI776" s="1333"/>
      <c r="AJ776" s="1333"/>
    </row>
    <row r="777" spans="1:36" x14ac:dyDescent="0.25">
      <c r="A777" s="1331"/>
      <c r="B777" s="1284"/>
      <c r="C777" s="1284"/>
      <c r="D777" s="1364"/>
      <c r="E777" s="1364"/>
      <c r="F777" s="1364"/>
      <c r="G777" s="1365"/>
      <c r="H777" s="1333"/>
      <c r="I777" s="1333"/>
      <c r="J777" s="1333"/>
      <c r="K777" s="1333"/>
      <c r="L777" s="1333"/>
      <c r="M777" s="1333"/>
      <c r="N777" s="1333"/>
      <c r="O777" s="1333"/>
      <c r="P777" s="1333"/>
      <c r="Q777" s="1333"/>
      <c r="R777" s="1333"/>
      <c r="S777" s="1333"/>
      <c r="T777" s="1333"/>
      <c r="U777" s="1333"/>
      <c r="V777" s="1333"/>
      <c r="W777" s="1333"/>
      <c r="X777" s="1333"/>
      <c r="Y777" s="1333"/>
      <c r="Z777" s="1333"/>
      <c r="AA777" s="1333"/>
      <c r="AB777" s="1333"/>
      <c r="AC777" s="1333"/>
      <c r="AD777" s="1333"/>
      <c r="AE777" s="1333"/>
      <c r="AF777" s="1333"/>
      <c r="AG777" s="1333"/>
      <c r="AH777" s="1333"/>
      <c r="AI777" s="1333"/>
      <c r="AJ777" s="1333"/>
    </row>
    <row r="778" spans="1:36" x14ac:dyDescent="0.25">
      <c r="A778" s="1331"/>
      <c r="B778" s="1284"/>
      <c r="C778" s="1284"/>
      <c r="D778" s="1364"/>
      <c r="E778" s="1364"/>
      <c r="F778" s="1364"/>
      <c r="G778" s="1365"/>
      <c r="H778" s="1333"/>
      <c r="I778" s="1333"/>
      <c r="J778" s="1333"/>
      <c r="K778" s="1333"/>
      <c r="L778" s="1333"/>
      <c r="M778" s="1333"/>
      <c r="N778" s="1333"/>
      <c r="O778" s="1333"/>
      <c r="P778" s="1333"/>
      <c r="Q778" s="1333"/>
      <c r="R778" s="1333"/>
      <c r="S778" s="1333"/>
      <c r="T778" s="1333"/>
      <c r="U778" s="1333"/>
      <c r="V778" s="1333"/>
      <c r="W778" s="1333"/>
      <c r="X778" s="1333"/>
      <c r="Y778" s="1333"/>
      <c r="Z778" s="1333"/>
      <c r="AA778" s="1333"/>
      <c r="AB778" s="1333"/>
      <c r="AC778" s="1333"/>
      <c r="AD778" s="1333"/>
      <c r="AE778" s="1333"/>
      <c r="AF778" s="1333"/>
      <c r="AG778" s="1333"/>
      <c r="AH778" s="1333"/>
      <c r="AI778" s="1333"/>
      <c r="AJ778" s="1333"/>
    </row>
    <row r="779" spans="1:36" x14ac:dyDescent="0.25">
      <c r="A779" s="1331"/>
      <c r="B779" s="1284"/>
      <c r="C779" s="1284"/>
      <c r="D779" s="1364"/>
      <c r="E779" s="1364"/>
      <c r="F779" s="1364"/>
      <c r="G779" s="1365"/>
      <c r="H779" s="1333"/>
      <c r="I779" s="1333"/>
      <c r="J779" s="1333"/>
      <c r="K779" s="1333"/>
      <c r="L779" s="1333"/>
      <c r="M779" s="1333"/>
      <c r="N779" s="1333"/>
      <c r="O779" s="1333"/>
      <c r="P779" s="1333"/>
      <c r="Q779" s="1333"/>
      <c r="R779" s="1333"/>
      <c r="S779" s="1333"/>
      <c r="T779" s="1333"/>
      <c r="U779" s="1333"/>
      <c r="V779" s="1333"/>
      <c r="W779" s="1333"/>
      <c r="X779" s="1333"/>
      <c r="Y779" s="1333"/>
      <c r="Z779" s="1333"/>
      <c r="AA779" s="1333"/>
      <c r="AB779" s="1333"/>
      <c r="AC779" s="1333"/>
      <c r="AD779" s="1333"/>
      <c r="AE779" s="1333"/>
      <c r="AF779" s="1333"/>
      <c r="AG779" s="1333"/>
      <c r="AH779" s="1333"/>
      <c r="AI779" s="1333"/>
      <c r="AJ779" s="1333"/>
    </row>
    <row r="780" spans="1:36" x14ac:dyDescent="0.25">
      <c r="A780" s="1331"/>
      <c r="B780" s="1284"/>
      <c r="C780" s="1284"/>
      <c r="D780" s="1364"/>
      <c r="E780" s="1364"/>
      <c r="F780" s="1364"/>
      <c r="G780" s="1365"/>
      <c r="H780" s="1333"/>
      <c r="I780" s="1333"/>
      <c r="J780" s="1333"/>
      <c r="K780" s="1333"/>
      <c r="L780" s="1333"/>
      <c r="M780" s="1333"/>
      <c r="N780" s="1333"/>
      <c r="O780" s="1333"/>
      <c r="P780" s="1333"/>
      <c r="Q780" s="1333"/>
      <c r="R780" s="1333"/>
      <c r="S780" s="1333"/>
      <c r="T780" s="1333"/>
      <c r="U780" s="1333"/>
      <c r="V780" s="1333"/>
      <c r="W780" s="1333"/>
      <c r="X780" s="1333"/>
      <c r="Y780" s="1333"/>
      <c r="Z780" s="1333"/>
      <c r="AA780" s="1333"/>
      <c r="AB780" s="1333"/>
      <c r="AC780" s="1333"/>
      <c r="AD780" s="1333"/>
      <c r="AE780" s="1333"/>
      <c r="AF780" s="1333"/>
      <c r="AG780" s="1333"/>
      <c r="AH780" s="1333"/>
      <c r="AI780" s="1333"/>
      <c r="AJ780" s="1333"/>
    </row>
    <row r="781" spans="1:36" x14ac:dyDescent="0.25">
      <c r="A781" s="1331"/>
      <c r="B781" s="1284"/>
      <c r="C781" s="1284"/>
      <c r="D781" s="1364"/>
      <c r="E781" s="1364"/>
      <c r="F781" s="1364"/>
      <c r="G781" s="1365"/>
      <c r="H781" s="1333"/>
      <c r="I781" s="1333"/>
      <c r="J781" s="1333"/>
      <c r="K781" s="1333"/>
      <c r="L781" s="1333"/>
      <c r="M781" s="1333"/>
      <c r="N781" s="1333"/>
      <c r="O781" s="1333"/>
      <c r="P781" s="1333"/>
      <c r="Q781" s="1333"/>
      <c r="R781" s="1333"/>
      <c r="S781" s="1333"/>
      <c r="T781" s="1333"/>
      <c r="U781" s="1333"/>
      <c r="V781" s="1333"/>
      <c r="W781" s="1333"/>
      <c r="X781" s="1333"/>
      <c r="Y781" s="1333"/>
      <c r="Z781" s="1333"/>
      <c r="AA781" s="1333"/>
      <c r="AB781" s="1333"/>
      <c r="AC781" s="1333"/>
      <c r="AD781" s="1333"/>
      <c r="AE781" s="1333"/>
      <c r="AF781" s="1333"/>
      <c r="AG781" s="1333"/>
      <c r="AH781" s="1333"/>
      <c r="AI781" s="1333"/>
      <c r="AJ781" s="1333"/>
    </row>
    <row r="782" spans="1:36" x14ac:dyDescent="0.25">
      <c r="A782" s="1331"/>
      <c r="B782" s="1284"/>
      <c r="C782" s="1284"/>
      <c r="D782" s="1364"/>
      <c r="E782" s="1364"/>
      <c r="F782" s="1364"/>
      <c r="G782" s="1365"/>
      <c r="H782" s="1333"/>
      <c r="I782" s="1333"/>
      <c r="J782" s="1333"/>
      <c r="K782" s="1333"/>
      <c r="L782" s="1333"/>
      <c r="M782" s="1333"/>
      <c r="N782" s="1333"/>
      <c r="O782" s="1333"/>
      <c r="P782" s="1333"/>
      <c r="Q782" s="1333"/>
      <c r="R782" s="1333"/>
      <c r="S782" s="1333"/>
      <c r="T782" s="1333"/>
      <c r="U782" s="1333"/>
      <c r="V782" s="1333"/>
      <c r="W782" s="1333"/>
      <c r="X782" s="1333"/>
      <c r="Y782" s="1333"/>
      <c r="Z782" s="1333"/>
      <c r="AA782" s="1333"/>
      <c r="AB782" s="1333"/>
      <c r="AC782" s="1333"/>
      <c r="AD782" s="1333"/>
      <c r="AE782" s="1333"/>
      <c r="AF782" s="1333"/>
      <c r="AG782" s="1333"/>
      <c r="AH782" s="1333"/>
      <c r="AI782" s="1333"/>
      <c r="AJ782" s="1333"/>
    </row>
    <row r="783" spans="1:36" x14ac:dyDescent="0.25">
      <c r="A783" s="1331"/>
      <c r="B783" s="1284"/>
      <c r="C783" s="1284"/>
      <c r="D783" s="1364"/>
      <c r="E783" s="1364"/>
      <c r="F783" s="1364"/>
      <c r="G783" s="1365"/>
      <c r="H783" s="1333"/>
      <c r="I783" s="1333"/>
      <c r="J783" s="1333"/>
      <c r="K783" s="1333"/>
      <c r="L783" s="1333"/>
      <c r="M783" s="1333"/>
      <c r="N783" s="1333"/>
      <c r="O783" s="1333"/>
      <c r="P783" s="1333"/>
      <c r="Q783" s="1333"/>
      <c r="R783" s="1333"/>
      <c r="S783" s="1333"/>
      <c r="T783" s="1333"/>
      <c r="U783" s="1333"/>
      <c r="V783" s="1333"/>
      <c r="W783" s="1333"/>
      <c r="X783" s="1333"/>
      <c r="Y783" s="1333"/>
      <c r="Z783" s="1333"/>
      <c r="AA783" s="1333"/>
      <c r="AB783" s="1333"/>
      <c r="AC783" s="1333"/>
      <c r="AD783" s="1333"/>
      <c r="AE783" s="1333"/>
      <c r="AF783" s="1333"/>
      <c r="AG783" s="1333"/>
      <c r="AH783" s="1333"/>
      <c r="AI783" s="1333"/>
      <c r="AJ783" s="1333"/>
    </row>
    <row r="784" spans="1:36" x14ac:dyDescent="0.25">
      <c r="A784" s="1331"/>
      <c r="B784" s="1284"/>
      <c r="C784" s="1284"/>
      <c r="D784" s="1364"/>
      <c r="E784" s="1364"/>
      <c r="F784" s="1364"/>
      <c r="G784" s="1365"/>
      <c r="H784" s="1333"/>
      <c r="I784" s="1333"/>
      <c r="J784" s="1333"/>
      <c r="K784" s="1333"/>
      <c r="L784" s="1333"/>
      <c r="M784" s="1333"/>
      <c r="N784" s="1333"/>
      <c r="O784" s="1333"/>
      <c r="P784" s="1333"/>
      <c r="Q784" s="1333"/>
      <c r="R784" s="1333"/>
      <c r="S784" s="1333"/>
      <c r="T784" s="1333"/>
      <c r="U784" s="1333"/>
      <c r="V784" s="1333"/>
      <c r="W784" s="1333"/>
      <c r="X784" s="1333"/>
      <c r="Y784" s="1333"/>
      <c r="Z784" s="1333"/>
      <c r="AA784" s="1333"/>
      <c r="AB784" s="1333"/>
      <c r="AC784" s="1333"/>
      <c r="AD784" s="1333"/>
      <c r="AE784" s="1333"/>
      <c r="AF784" s="1333"/>
      <c r="AG784" s="1333"/>
      <c r="AH784" s="1333"/>
      <c r="AI784" s="1333"/>
      <c r="AJ784" s="1333"/>
    </row>
    <row r="785" spans="1:36" x14ac:dyDescent="0.25">
      <c r="A785" s="1331"/>
      <c r="B785" s="1284"/>
      <c r="C785" s="1284"/>
      <c r="D785" s="1364"/>
      <c r="E785" s="1364"/>
      <c r="F785" s="1364"/>
      <c r="G785" s="1365"/>
      <c r="H785" s="1333"/>
      <c r="I785" s="1333"/>
      <c r="J785" s="1333"/>
      <c r="K785" s="1333"/>
      <c r="L785" s="1333"/>
      <c r="M785" s="1333"/>
      <c r="N785" s="1333"/>
      <c r="O785" s="1333"/>
      <c r="P785" s="1333"/>
      <c r="Q785" s="1333"/>
      <c r="R785" s="1333"/>
      <c r="S785" s="1333"/>
      <c r="T785" s="1333"/>
      <c r="U785" s="1333"/>
      <c r="V785" s="1333"/>
      <c r="W785" s="1333"/>
      <c r="X785" s="1333"/>
      <c r="Y785" s="1333"/>
      <c r="Z785" s="1333"/>
      <c r="AA785" s="1333"/>
      <c r="AB785" s="1333"/>
      <c r="AC785" s="1333"/>
      <c r="AD785" s="1333"/>
      <c r="AE785" s="1333"/>
      <c r="AF785" s="1333"/>
      <c r="AG785" s="1333"/>
      <c r="AH785" s="1333"/>
      <c r="AI785" s="1333"/>
      <c r="AJ785" s="1333"/>
    </row>
    <row r="786" spans="1:36" x14ac:dyDescent="0.25">
      <c r="A786" s="1331"/>
      <c r="B786" s="1284"/>
      <c r="C786" s="1284"/>
      <c r="D786" s="1364"/>
      <c r="E786" s="1364"/>
      <c r="F786" s="1364"/>
      <c r="G786" s="1365"/>
      <c r="H786" s="1333"/>
      <c r="I786" s="1333"/>
      <c r="J786" s="1333"/>
      <c r="K786" s="1333"/>
      <c r="L786" s="1333"/>
      <c r="M786" s="1333"/>
      <c r="N786" s="1333"/>
      <c r="O786" s="1333"/>
      <c r="P786" s="1333"/>
      <c r="Q786" s="1333"/>
      <c r="R786" s="1333"/>
      <c r="S786" s="1333"/>
      <c r="T786" s="1333"/>
      <c r="U786" s="1333"/>
      <c r="V786" s="1333"/>
      <c r="W786" s="1333"/>
      <c r="X786" s="1333"/>
      <c r="Y786" s="1333"/>
      <c r="Z786" s="1333"/>
      <c r="AA786" s="1333"/>
      <c r="AB786" s="1333"/>
      <c r="AC786" s="1333"/>
      <c r="AD786" s="1333"/>
      <c r="AE786" s="1333"/>
      <c r="AF786" s="1333"/>
      <c r="AG786" s="1333"/>
      <c r="AH786" s="1333"/>
      <c r="AI786" s="1333"/>
      <c r="AJ786" s="1333"/>
    </row>
    <row r="787" spans="1:36" x14ac:dyDescent="0.25">
      <c r="A787" s="1331"/>
      <c r="B787" s="1284"/>
      <c r="C787" s="1284"/>
      <c r="D787" s="1364"/>
      <c r="E787" s="1364"/>
      <c r="F787" s="1364"/>
      <c r="G787" s="1365"/>
      <c r="H787" s="1333"/>
      <c r="I787" s="1333"/>
      <c r="J787" s="1333"/>
      <c r="K787" s="1333"/>
      <c r="L787" s="1333"/>
      <c r="M787" s="1333"/>
      <c r="N787" s="1333"/>
      <c r="O787" s="1333"/>
      <c r="P787" s="1333"/>
      <c r="Q787" s="1333"/>
      <c r="R787" s="1333"/>
      <c r="S787" s="1333"/>
      <c r="T787" s="1333"/>
      <c r="U787" s="1333"/>
      <c r="V787" s="1333"/>
      <c r="W787" s="1333"/>
      <c r="X787" s="1333"/>
      <c r="Y787" s="1333"/>
      <c r="Z787" s="1333"/>
      <c r="AA787" s="1333"/>
      <c r="AB787" s="1333"/>
      <c r="AC787" s="1333"/>
      <c r="AD787" s="1333"/>
      <c r="AE787" s="1333"/>
      <c r="AF787" s="1333"/>
      <c r="AG787" s="1333"/>
      <c r="AH787" s="1333"/>
      <c r="AI787" s="1333"/>
      <c r="AJ787" s="1333"/>
    </row>
  </sheetData>
  <sheetProtection formatColumns="0" formatRows="0" selectLockedCells="1"/>
  <mergeCells count="48">
    <mergeCell ref="C478:E478"/>
    <mergeCell ref="K15:K23"/>
    <mergeCell ref="C473:E473"/>
    <mergeCell ref="C471:E471"/>
    <mergeCell ref="C475:E475"/>
    <mergeCell ref="C476:E476"/>
    <mergeCell ref="C467:E467"/>
    <mergeCell ref="C464:E464"/>
    <mergeCell ref="C465:E465"/>
    <mergeCell ref="F3:H3"/>
    <mergeCell ref="C485:E485"/>
    <mergeCell ref="A15:A23"/>
    <mergeCell ref="C15:H15"/>
    <mergeCell ref="C16:H16"/>
    <mergeCell ref="C19:H19"/>
    <mergeCell ref="D23:F23"/>
    <mergeCell ref="G23:H23"/>
    <mergeCell ref="C18:H18"/>
    <mergeCell ref="C21:D21"/>
    <mergeCell ref="F21:G21"/>
    <mergeCell ref="C22:D22"/>
    <mergeCell ref="F22:G22"/>
    <mergeCell ref="C482:E482"/>
    <mergeCell ref="C483:E483"/>
    <mergeCell ref="C480:E480"/>
    <mergeCell ref="C491:E491"/>
    <mergeCell ref="C492:E492"/>
    <mergeCell ref="C486:E486"/>
    <mergeCell ref="C487:E487"/>
    <mergeCell ref="C488:E488"/>
    <mergeCell ref="C489:E489"/>
    <mergeCell ref="C490:E490"/>
    <mergeCell ref="C493:E493"/>
    <mergeCell ref="C494:E494"/>
    <mergeCell ref="C495:E495"/>
    <mergeCell ref="C496:E496"/>
    <mergeCell ref="C497:E497"/>
    <mergeCell ref="C498:E498"/>
    <mergeCell ref="C499:E499"/>
    <mergeCell ref="C500:E500"/>
    <mergeCell ref="C501:E501"/>
    <mergeCell ref="C502:E502"/>
    <mergeCell ref="C508:E508"/>
    <mergeCell ref="C503:E503"/>
    <mergeCell ref="C504:E504"/>
    <mergeCell ref="C505:E505"/>
    <mergeCell ref="C506:E506"/>
    <mergeCell ref="C507:E507"/>
  </mergeCells>
  <conditionalFormatting sqref="E37:I37">
    <cfRule type="expression" dxfId="910" priority="674">
      <formula>$D$37="N"</formula>
    </cfRule>
  </conditionalFormatting>
  <conditionalFormatting sqref="E32:I32">
    <cfRule type="expression" dxfId="909" priority="672">
      <formula>$D$32="N"</formula>
    </cfRule>
  </conditionalFormatting>
  <conditionalFormatting sqref="D4">
    <cfRule type="cellIs" dxfId="908" priority="971" operator="equal">
      <formula>"?"</formula>
    </cfRule>
    <cfRule type="cellIs" dxfId="907" priority="972" operator="equal">
      <formula>"Y"</formula>
    </cfRule>
  </conditionalFormatting>
  <conditionalFormatting sqref="E5">
    <cfRule type="cellIs" dxfId="906" priority="967" operator="equal">
      <formula>"?"</formula>
    </cfRule>
    <cfRule type="cellIs" dxfId="905" priority="968" operator="equal">
      <formula>"Y"</formula>
    </cfRule>
  </conditionalFormatting>
  <conditionalFormatting sqref="F6">
    <cfRule type="cellIs" dxfId="904" priority="963" operator="equal">
      <formula>"?"</formula>
    </cfRule>
    <cfRule type="cellIs" dxfId="903" priority="964" operator="equal">
      <formula>"Y"</formula>
    </cfRule>
  </conditionalFormatting>
  <conditionalFormatting sqref="F218:H230">
    <cfRule type="expression" dxfId="902" priority="833">
      <formula>$E$218="N"</formula>
    </cfRule>
  </conditionalFormatting>
  <conditionalFormatting sqref="F231:H235">
    <cfRule type="expression" dxfId="901" priority="838">
      <formula>$E$231="N"</formula>
    </cfRule>
  </conditionalFormatting>
  <conditionalFormatting sqref="F270:H278">
    <cfRule type="expression" dxfId="900" priority="868">
      <formula>$E$270="N"</formula>
    </cfRule>
  </conditionalFormatting>
  <conditionalFormatting sqref="F289:H298">
    <cfRule type="expression" dxfId="899" priority="873">
      <formula>$E$289="N"</formula>
    </cfRule>
  </conditionalFormatting>
  <conditionalFormatting sqref="F299:H308">
    <cfRule type="expression" dxfId="898" priority="889">
      <formula>$E$299="N"</formula>
    </cfRule>
  </conditionalFormatting>
  <conditionalFormatting sqref="F316:H331">
    <cfRule type="expression" dxfId="897" priority="897">
      <formula>$E$316="N"</formula>
    </cfRule>
  </conditionalFormatting>
  <conditionalFormatting sqref="F340:H349">
    <cfRule type="expression" dxfId="896" priority="932">
      <formula>$E$340="N"</formula>
    </cfRule>
  </conditionalFormatting>
  <conditionalFormatting sqref="F279:H288">
    <cfRule type="expression" dxfId="895" priority="869">
      <formula>$E$279="N"</formula>
    </cfRule>
  </conditionalFormatting>
  <conditionalFormatting sqref="E206:H233">
    <cfRule type="expression" dxfId="894" priority="803">
      <formula>$D$206="N"</formula>
    </cfRule>
  </conditionalFormatting>
  <conditionalFormatting sqref="E168:H168">
    <cfRule type="expression" dxfId="893" priority="773">
      <formula>$D$168="N"</formula>
    </cfRule>
  </conditionalFormatting>
  <conditionalFormatting sqref="I4 K4">
    <cfRule type="expression" dxfId="892" priority="880">
      <formula>$C4="N"</formula>
    </cfRule>
  </conditionalFormatting>
  <conditionalFormatting sqref="H5:I5 K5:K6">
    <cfRule type="expression" dxfId="891" priority="878">
      <formula>$C$180="N"</formula>
    </cfRule>
  </conditionalFormatting>
  <conditionalFormatting sqref="H6:I6">
    <cfRule type="expression" dxfId="890" priority="876">
      <formula>$C$180="N"</formula>
    </cfRule>
  </conditionalFormatting>
  <conditionalFormatting sqref="F332:H339">
    <cfRule type="expression" dxfId="889" priority="902">
      <formula>$E$332="N"</formula>
    </cfRule>
  </conditionalFormatting>
  <conditionalFormatting sqref="F350:H357">
    <cfRule type="expression" dxfId="888" priority="937">
      <formula>$E$350="N"</formula>
    </cfRule>
  </conditionalFormatting>
  <conditionalFormatting sqref="F255:H269">
    <cfRule type="expression" dxfId="887" priority="863">
      <formula>$E$255="N"</formula>
    </cfRule>
  </conditionalFormatting>
  <conditionalFormatting sqref="E180:H205">
    <cfRule type="expression" dxfId="886" priority="779">
      <formula>$D$180="N"</formula>
    </cfRule>
  </conditionalFormatting>
  <conditionalFormatting sqref="E27:I27">
    <cfRule type="expression" dxfId="885" priority="669">
      <formula>$D$27="N"</formula>
    </cfRule>
  </conditionalFormatting>
  <conditionalFormatting sqref="C16:I16">
    <cfRule type="cellIs" dxfId="884" priority="174" operator="equal">
      <formula>"NO DESIGN - 95% CD DOES NOT APPLY"</formula>
    </cfRule>
    <cfRule type="cellIs" dxfId="883" priority="175" operator="equal">
      <formula>"95% CD DOES NOT APPLY"</formula>
    </cfRule>
  </conditionalFormatting>
  <conditionalFormatting sqref="E126:H126">
    <cfRule type="expression" dxfId="882" priority="754">
      <formula>$D$126="N"</formula>
    </cfRule>
  </conditionalFormatting>
  <conditionalFormatting sqref="E39:H39">
    <cfRule type="expression" dxfId="881" priority="675">
      <formula>$D$39="N"</formula>
    </cfRule>
  </conditionalFormatting>
  <conditionalFormatting sqref="I269">
    <cfRule type="expression" dxfId="880" priority="792">
      <formula>$E$255="N"</formula>
    </cfRule>
  </conditionalFormatting>
  <conditionalFormatting sqref="I269">
    <cfRule type="expression" dxfId="879" priority="791">
      <formula>$D$206="N"</formula>
    </cfRule>
  </conditionalFormatting>
  <conditionalFormatting sqref="E25:I25">
    <cfRule type="expression" dxfId="878" priority="671">
      <formula>$D$25="N"</formula>
    </cfRule>
  </conditionalFormatting>
  <conditionalFormatting sqref="E180:H180">
    <cfRule type="expression" dxfId="877" priority="778">
      <formula>$D$180="N"</formula>
    </cfRule>
  </conditionalFormatting>
  <conditionalFormatting sqref="E206:H206">
    <cfRule type="expression" dxfId="876" priority="785">
      <formula>$D$206="N"</formula>
    </cfRule>
  </conditionalFormatting>
  <conditionalFormatting sqref="F358:H366">
    <cfRule type="expression" dxfId="875" priority="907">
      <formula>$E$358="N"</formula>
    </cfRule>
  </conditionalFormatting>
  <conditionalFormatting sqref="G25:H456">
    <cfRule type="expression" dxfId="874" priority="642">
      <formula>$F25="N"</formula>
    </cfRule>
  </conditionalFormatting>
  <conditionalFormatting sqref="E25:H456">
    <cfRule type="expression" dxfId="873" priority="470">
      <formula>$D25="N"</formula>
    </cfRule>
  </conditionalFormatting>
  <conditionalFormatting sqref="F25:H456">
    <cfRule type="expression" dxfId="872" priority="471">
      <formula>$E25="N"</formula>
    </cfRule>
  </conditionalFormatting>
  <conditionalFormatting sqref="E385:H440">
    <cfRule type="expression" dxfId="871" priority="951">
      <formula>$D$385="N"</formula>
    </cfRule>
  </conditionalFormatting>
  <conditionalFormatting sqref="E385:H385">
    <cfRule type="expression" dxfId="870" priority="950">
      <formula>$D$385="N"</formula>
    </cfRule>
  </conditionalFormatting>
  <conditionalFormatting sqref="E443:H443">
    <cfRule type="expression" dxfId="869" priority="962">
      <formula>$D$443="N"</formula>
    </cfRule>
  </conditionalFormatting>
  <conditionalFormatting sqref="E39:H125">
    <cfRule type="expression" dxfId="868" priority="752">
      <formula>$D$39="N"</formula>
    </cfRule>
  </conditionalFormatting>
  <conditionalFormatting sqref="E126:H167">
    <cfRule type="expression" dxfId="867" priority="755">
      <formula>$D$126="N"</formula>
    </cfRule>
  </conditionalFormatting>
  <conditionalFormatting sqref="E382:H382">
    <cfRule type="expression" dxfId="866" priority="945">
      <formula>$D$382="N"</formula>
    </cfRule>
  </conditionalFormatting>
  <conditionalFormatting sqref="E443:H454">
    <cfRule type="expression" dxfId="865" priority="988">
      <formula>$D$443="N"</formula>
    </cfRule>
  </conditionalFormatting>
  <conditionalFormatting sqref="K125:K133 K260:K270 K282 K273 K292 K302 K319 K345:K350 K218 K316 K363:K367 K355:K358 K25:K27 K237:K255 K227 K223:K224 K61:K65 K67:K82 K84:K90 K92:K95 K97:K100 K102:K109 K111:K114 K116:K117 K119:K120 K122:K123 K275:K279 K284:K289 K294:K299 K304:K308 K321:K332 K337:K340 K370:K455 K135:K168 K229:K231 K173:K210 K36:K59 K31:K32">
    <cfRule type="cellIs" dxfId="864" priority="508" operator="equal">
      <formula>"no 50% match"</formula>
    </cfRule>
  </conditionalFormatting>
  <conditionalFormatting sqref="E174:H179">
    <cfRule type="expression" dxfId="863" priority="777">
      <formula>$D$174="N"</formula>
    </cfRule>
  </conditionalFormatting>
  <conditionalFormatting sqref="E174:H174">
    <cfRule type="expression" dxfId="862" priority="774">
      <formula>$D$174="N"</formula>
    </cfRule>
  </conditionalFormatting>
  <conditionalFormatting sqref="K40:K42">
    <cfRule type="cellIs" dxfId="861" priority="340" operator="equal">
      <formula>"no 50% match"</formula>
    </cfRule>
  </conditionalFormatting>
  <conditionalFormatting sqref="F367:H380">
    <cfRule type="expression" dxfId="860" priority="914">
      <formula>$E$367="N"</formula>
    </cfRule>
  </conditionalFormatting>
  <conditionalFormatting sqref="G372:H379">
    <cfRule type="expression" dxfId="859" priority="927">
      <formula>$F$372="N"</formula>
    </cfRule>
  </conditionalFormatting>
  <conditionalFormatting sqref="K124">
    <cfRule type="cellIs" dxfId="858" priority="318" operator="equal">
      <formula>"no 50% match"</formula>
    </cfRule>
  </conditionalFormatting>
  <conditionalFormatting sqref="L456">
    <cfRule type="containsText" dxfId="857" priority="313" operator="containsText" text="hide">
      <formula>NOT(ISERROR(SEARCH("hide",L456)))</formula>
    </cfRule>
    <cfRule type="containsText" dxfId="856" priority="314" operator="containsText" text="placeholder">
      <formula>NOT(ISERROR(SEARCH("placeholder",L456)))</formula>
    </cfRule>
    <cfRule type="expression" dxfId="855" priority="315">
      <formula>$K456="no 50% match"</formula>
    </cfRule>
  </conditionalFormatting>
  <conditionalFormatting sqref="F56:H125">
    <cfRule type="expression" dxfId="854" priority="753">
      <formula>$E$56="N"</formula>
    </cfRule>
  </conditionalFormatting>
  <conditionalFormatting sqref="K463:K466">
    <cfRule type="cellIs" dxfId="853" priority="286" operator="equal">
      <formula>"no 50% match"</formula>
    </cfRule>
  </conditionalFormatting>
  <conditionalFormatting sqref="L463:L466">
    <cfRule type="expression" dxfId="852" priority="287">
      <formula>AND($D463="Y",$L463="&lt;----(Usually doesn't apply) Use DROP DOWN to chose it Deliverable/Master Item Applies")</formula>
    </cfRule>
  </conditionalFormatting>
  <conditionalFormatting sqref="L463:L466">
    <cfRule type="containsText" dxfId="851" priority="279" operator="containsText" text="hide">
      <formula>NOT(ISERROR(SEARCH("hide",L463)))</formula>
    </cfRule>
    <cfRule type="containsText" dxfId="850" priority="280" operator="containsText" text="placeholder">
      <formula>NOT(ISERROR(SEARCH("placeholder",L463)))</formula>
    </cfRule>
    <cfRule type="expression" dxfId="849" priority="281">
      <formula>$K463="no 50% match"</formula>
    </cfRule>
  </conditionalFormatting>
  <conditionalFormatting sqref="K222">
    <cfRule type="cellIs" dxfId="848" priority="276" operator="equal">
      <formula>"no 50% match"</formula>
    </cfRule>
  </conditionalFormatting>
  <conditionalFormatting sqref="K225:K226">
    <cfRule type="cellIs" dxfId="847" priority="271" operator="equal">
      <formula>"no 50% match"</formula>
    </cfRule>
  </conditionalFormatting>
  <conditionalFormatting sqref="K219:K220">
    <cfRule type="cellIs" dxfId="846" priority="266" operator="equal">
      <formula>"no 50% match"</formula>
    </cfRule>
  </conditionalFormatting>
  <conditionalFormatting sqref="K232:K233">
    <cfRule type="cellIs" dxfId="845" priority="261" operator="equal">
      <formula>"no 50% match"</formula>
    </cfRule>
  </conditionalFormatting>
  <conditionalFormatting sqref="K256:K257">
    <cfRule type="cellIs" dxfId="844" priority="256" operator="equal">
      <formula>"no 50% match"</formula>
    </cfRule>
  </conditionalFormatting>
  <conditionalFormatting sqref="K280:K281">
    <cfRule type="cellIs" dxfId="843" priority="251" operator="equal">
      <formula>"no 50% match"</formula>
    </cfRule>
  </conditionalFormatting>
  <conditionalFormatting sqref="K271:K272">
    <cfRule type="cellIs" dxfId="842" priority="246" operator="equal">
      <formula>"no 50% match"</formula>
    </cfRule>
  </conditionalFormatting>
  <conditionalFormatting sqref="K290:K291">
    <cfRule type="cellIs" dxfId="841" priority="241" operator="equal">
      <formula>"no 50% match"</formula>
    </cfRule>
  </conditionalFormatting>
  <conditionalFormatting sqref="K300:K301">
    <cfRule type="cellIs" dxfId="840" priority="236" operator="equal">
      <formula>"no 50% match"</formula>
    </cfRule>
  </conditionalFormatting>
  <conditionalFormatting sqref="K317:K318">
    <cfRule type="cellIs" dxfId="839" priority="231" operator="equal">
      <formula>"no 50% match"</formula>
    </cfRule>
  </conditionalFormatting>
  <conditionalFormatting sqref="K333:K334">
    <cfRule type="cellIs" dxfId="838" priority="226" operator="equal">
      <formula>"no 50% match"</formula>
    </cfRule>
  </conditionalFormatting>
  <conditionalFormatting sqref="K359:K360">
    <cfRule type="cellIs" dxfId="837" priority="221" operator="equal">
      <formula>"no 50% match"</formula>
    </cfRule>
  </conditionalFormatting>
  <conditionalFormatting sqref="K341:K342">
    <cfRule type="cellIs" dxfId="836" priority="216" operator="equal">
      <formula>"no 50% match"</formula>
    </cfRule>
  </conditionalFormatting>
  <conditionalFormatting sqref="K351:K352">
    <cfRule type="cellIs" dxfId="835" priority="211" operator="equal">
      <formula>"no 50% match"</formula>
    </cfRule>
  </conditionalFormatting>
  <conditionalFormatting sqref="K235">
    <cfRule type="cellIs" dxfId="834" priority="206" operator="equal">
      <formula>"no 50% match"</formula>
    </cfRule>
  </conditionalFormatting>
  <conditionalFormatting sqref="E168:H173">
    <cfRule type="expression" dxfId="833" priority="772">
      <formula>$D$168="N"</formula>
    </cfRule>
  </conditionalFormatting>
  <conditionalFormatting sqref="C15:H16 C18:H18">
    <cfRule type="containsText" dxfId="832" priority="312" operator="containsText" text="Insert">
      <formula>NOT(ISERROR(SEARCH("Insert",C15)))</formula>
    </cfRule>
    <cfRule type="containsText" dxfId="831" priority="333" operator="containsText" text="Choose">
      <formula>NOT(ISERROR(SEARCH("Choose",C15)))</formula>
    </cfRule>
    <cfRule type="containsText" dxfId="830" priority="334" operator="containsText" text="##">
      <formula>NOT(ISERROR(SEARCH("##",C15)))</formula>
    </cfRule>
  </conditionalFormatting>
  <conditionalFormatting sqref="F211:H217">
    <cfRule type="expression" dxfId="829" priority="832">
      <formula>$E$211="N"</formula>
    </cfRule>
  </conditionalFormatting>
  <conditionalFormatting sqref="A25:A59 A61:A65 A67:A82 A84:A90 A92:A95 A97:A100 A102:A109 A111:A114 A116:A117 A119:A120 A237:A257 A260:A273 A275:A282 A284:A292 A294:A302 A304:A312 A314:A319 A321:A334 A337:A342 A345:A352 A355:A360 A363:A367 A370:A455 A235 A222:A227 A229:A233 A122:A220">
    <cfRule type="expression" dxfId="828" priority="2">
      <formula>$K25="no 50% match"</formula>
    </cfRule>
  </conditionalFormatting>
  <conditionalFormatting sqref="F309:H315">
    <cfRule type="expression" dxfId="827" priority="892">
      <formula>$E$309="N"</formula>
    </cfRule>
  </conditionalFormatting>
  <conditionalFormatting sqref="L15:L21">
    <cfRule type="containsText" dxfId="826" priority="95" operator="containsText" text="Enter/Update">
      <formula>NOT(ISERROR(SEARCH("Enter/Update",L15)))</formula>
    </cfRule>
    <cfRule type="containsText" dxfId="825" priority="96" operator="containsText" text="&lt;----Fill in information">
      <formula>NOT(ISERROR(SEARCH("&lt;----Fill in information",L15)))</formula>
    </cfRule>
  </conditionalFormatting>
  <conditionalFormatting sqref="A66">
    <cfRule type="expression" dxfId="824" priority="79">
      <formula>$K66="no 50% match"</formula>
    </cfRule>
  </conditionalFormatting>
  <conditionalFormatting sqref="A83">
    <cfRule type="expression" dxfId="823" priority="77">
      <formula>$K83="no 50% match"</formula>
    </cfRule>
  </conditionalFormatting>
  <conditionalFormatting sqref="A91">
    <cfRule type="expression" dxfId="822" priority="76">
      <formula>$K91="no 50% match"</formula>
    </cfRule>
  </conditionalFormatting>
  <conditionalFormatting sqref="A96">
    <cfRule type="expression" dxfId="821" priority="75">
      <formula>$K96="no 50% match"</formula>
    </cfRule>
  </conditionalFormatting>
  <conditionalFormatting sqref="A101">
    <cfRule type="expression" dxfId="820" priority="74">
      <formula>$K101="no 50% match"</formula>
    </cfRule>
  </conditionalFormatting>
  <conditionalFormatting sqref="A110">
    <cfRule type="expression" dxfId="819" priority="73">
      <formula>$K110="no 50% match"</formula>
    </cfRule>
  </conditionalFormatting>
  <conditionalFormatting sqref="A115">
    <cfRule type="expression" dxfId="818" priority="72">
      <formula>$K115="no 50% match"</formula>
    </cfRule>
  </conditionalFormatting>
  <conditionalFormatting sqref="A118">
    <cfRule type="expression" dxfId="817" priority="71">
      <formula>$K118="no 50% match"</formula>
    </cfRule>
  </conditionalFormatting>
  <conditionalFormatting sqref="A121">
    <cfRule type="expression" dxfId="816" priority="70">
      <formula>$K121="no 50% match"</formula>
    </cfRule>
  </conditionalFormatting>
  <conditionalFormatting sqref="A236">
    <cfRule type="expression" dxfId="815" priority="54">
      <formula>$K236="no 50% match"</formula>
    </cfRule>
  </conditionalFormatting>
  <conditionalFormatting sqref="A259">
    <cfRule type="expression" dxfId="814" priority="52">
      <formula>$K259="no 50% match"</formula>
    </cfRule>
  </conditionalFormatting>
  <conditionalFormatting sqref="A274">
    <cfRule type="expression" dxfId="813" priority="51">
      <formula>$K274="no 50% match"</formula>
    </cfRule>
  </conditionalFormatting>
  <conditionalFormatting sqref="A283">
    <cfRule type="expression" dxfId="812" priority="50">
      <formula>$K283="no 50% match"</formula>
    </cfRule>
  </conditionalFormatting>
  <conditionalFormatting sqref="A293">
    <cfRule type="expression" dxfId="811" priority="49">
      <formula>$K293="no 50% match"</formula>
    </cfRule>
  </conditionalFormatting>
  <conditionalFormatting sqref="A303">
    <cfRule type="expression" dxfId="810" priority="48">
      <formula>$K303="no 50% match"</formula>
    </cfRule>
  </conditionalFormatting>
  <conditionalFormatting sqref="A313">
    <cfRule type="expression" dxfId="809" priority="47">
      <formula>$K313="no 50% match"</formula>
    </cfRule>
  </conditionalFormatting>
  <conditionalFormatting sqref="A320">
    <cfRule type="expression" dxfId="808" priority="46">
      <formula>$K320="no 50% match"</formula>
    </cfRule>
  </conditionalFormatting>
  <conditionalFormatting sqref="A336">
    <cfRule type="expression" dxfId="807" priority="45">
      <formula>$K336="no 50% match"</formula>
    </cfRule>
  </conditionalFormatting>
  <conditionalFormatting sqref="A335">
    <cfRule type="expression" dxfId="806" priority="44">
      <formula>$K335="no 50% match"</formula>
    </cfRule>
  </conditionalFormatting>
  <conditionalFormatting sqref="A343:A344">
    <cfRule type="expression" dxfId="805" priority="43">
      <formula>$K343="no 50% match"</formula>
    </cfRule>
  </conditionalFormatting>
  <conditionalFormatting sqref="A353:A354">
    <cfRule type="expression" dxfId="804" priority="42">
      <formula>$K353="no 50% match"</formula>
    </cfRule>
  </conditionalFormatting>
  <conditionalFormatting sqref="A361:A362">
    <cfRule type="expression" dxfId="803" priority="41">
      <formula>$K361="no 50% match"</formula>
    </cfRule>
  </conditionalFormatting>
  <conditionalFormatting sqref="A368:A369">
    <cfRule type="expression" dxfId="802" priority="40">
      <formula>$K368="no 50% match"</formula>
    </cfRule>
  </conditionalFormatting>
  <conditionalFormatting sqref="A258">
    <cfRule type="expression" dxfId="801" priority="39">
      <formula>$K258="no 50% match"</formula>
    </cfRule>
  </conditionalFormatting>
  <conditionalFormatting sqref="A234">
    <cfRule type="expression" dxfId="800" priority="38">
      <formula>$K234="no 50% match"</formula>
    </cfRule>
  </conditionalFormatting>
  <conditionalFormatting sqref="A221">
    <cfRule type="expression" dxfId="799" priority="37">
      <formula>$K221="no 50% match"</formula>
    </cfRule>
  </conditionalFormatting>
  <conditionalFormatting sqref="K33:K35">
    <cfRule type="cellIs" dxfId="798" priority="30" operator="equal">
      <formula>"no 50% match"</formula>
    </cfRule>
  </conditionalFormatting>
  <conditionalFormatting sqref="K33:K35">
    <cfRule type="cellIs" dxfId="797" priority="27" operator="equal">
      <formula>"no 50% match"</formula>
    </cfRule>
  </conditionalFormatting>
  <conditionalFormatting sqref="K28:K30">
    <cfRule type="cellIs" dxfId="796" priority="13" operator="equal">
      <formula>"no 50% match"</formula>
    </cfRule>
  </conditionalFormatting>
  <conditionalFormatting sqref="K28:K30">
    <cfRule type="cellIs" dxfId="795" priority="10" operator="equal">
      <formula>"no 50% match"</formula>
    </cfRule>
  </conditionalFormatting>
  <conditionalFormatting sqref="C18:H456">
    <cfRule type="expression" dxfId="794" priority="1">
      <formula>$C$16="95% CD DOES NOT APPLY"</formula>
    </cfRule>
    <cfRule type="expression" dxfId="793" priority="116">
      <formula>$C$16="NO DESIGN - 95% CD DOES NOT APPLY"</formula>
    </cfRule>
  </conditionalFormatting>
  <conditionalFormatting sqref="H25:H456">
    <cfRule type="containsText" dxfId="792" priority="152" operator="containsText" text="placeholder">
      <formula>NOT(ISERROR(SEARCH("placeholder",H25)))</formula>
    </cfRule>
    <cfRule type="expression" dxfId="791" priority="656">
      <formula>$G25="n"</formula>
    </cfRule>
  </conditionalFormatting>
  <conditionalFormatting sqref="D25:G456">
    <cfRule type="cellIs" dxfId="790" priority="153" operator="equal">
      <formula>"Y"</formula>
    </cfRule>
    <cfRule type="cellIs" dxfId="789" priority="173" operator="equal">
      <formula>"?"</formula>
    </cfRule>
  </conditionalFormatting>
  <conditionalFormatting sqref="C25:C456">
    <cfRule type="expression" dxfId="788" priority="178">
      <formula>$D25="Y"</formula>
    </cfRule>
    <cfRule type="expression" dxfId="787" priority="202">
      <formula>$F25="Y"</formula>
    </cfRule>
    <cfRule type="expression" dxfId="786" priority="337">
      <formula>$E25="Y"</formula>
    </cfRule>
    <cfRule type="expression" dxfId="785" priority="338">
      <formula>$G25="y"</formula>
    </cfRule>
  </conditionalFormatting>
  <conditionalFormatting sqref="D28:H30">
    <cfRule type="expression" dxfId="784" priority="670">
      <formula>$D$27="N"</formula>
    </cfRule>
  </conditionalFormatting>
  <conditionalFormatting sqref="D33:H35">
    <cfRule type="expression" dxfId="783" priority="673">
      <formula>$D$32="N"</formula>
    </cfRule>
  </conditionalFormatting>
  <dataValidations count="3">
    <dataValidation type="list" allowBlank="1" showInputMessage="1" showErrorMessage="1" sqref="C23">
      <formula1>$C$8:$C$11</formula1>
    </dataValidation>
    <dataValidation type="list" allowBlank="1" showInputMessage="1" showErrorMessage="1" sqref="E5 D4 F6">
      <formula1>$D$8:$D$11</formula1>
    </dataValidation>
    <dataValidation allowBlank="1" showInputMessage="1" showErrorMessage="1" promptTitle="NO INPUTS IN THESE CELLS" prompt="Changes are only made in TAB C." sqref="G23:H23 C21:H21 D25:H455"/>
  </dataValidations>
  <printOptions horizontalCentered="1"/>
  <pageMargins left="0.45" right="0.45" top="0.5" bottom="0.65" header="0.3" footer="0.3"/>
  <pageSetup scale="79" fitToHeight="8" orientation="portrait" r:id="rId1"/>
  <headerFooter>
    <oddFooter>&amp;L&amp;"Ebrima,Bold"&amp;10TAB &amp;A&amp;C&amp;"Ebrima,Regular"&amp;8&amp;P of &amp;N&amp;R&amp;G</oddFooter>
  </headerFooter>
  <rowBreaks count="6" manualBreakCount="6">
    <brk id="72" min="2" max="7" man="1"/>
    <brk id="124" min="2" max="7" man="1"/>
    <brk id="167" min="2" max="7" man="1"/>
    <brk id="217" min="2" max="7" man="1"/>
    <brk id="269" min="2" max="7" man="1"/>
    <brk id="371" min="2" max="7" man="1"/>
  </rowBreaks>
  <drawing r:id="rId2"/>
  <legacyDrawing r:id="rId3"/>
  <legacyDrawingHF r:id="rId4"/>
  <extLst>
    <ext xmlns:x14="http://schemas.microsoft.com/office/spreadsheetml/2009/9/main" uri="{78C0D931-6437-407d-A8EE-F0AAD7539E65}">
      <x14:conditionalFormattings>
        <x14:conditionalFormatting xmlns:xm="http://schemas.microsoft.com/office/excel/2006/main">
          <x14:cfRule type="expression" priority="990" id="{E61CA699-C0A9-4807-965F-21992CA2048D}">
            <xm:f>'00 - Concept.'!$D460="N"</xm:f>
            <x14:dxf>
              <font>
                <strike/>
              </font>
            </x14:dxf>
          </x14:cfRule>
          <xm:sqref>I456</xm:sqref>
        </x14:conditionalFormatting>
        <x14:conditionalFormatting xmlns:xm="http://schemas.microsoft.com/office/excel/2006/main">
          <x14:cfRule type="expression" priority="468" id="{E3ACDDE1-E90F-46DA-A2CB-071B9FCA20F5}">
            <xm:f>'00 - Concept.'!$F462="N"</xm:f>
            <x14:dxf>
              <font>
                <strike/>
              </font>
            </x14:dxf>
          </x14:cfRule>
          <xm:sqref>I458</xm:sqref>
        </x14:conditionalFormatting>
        <x14:conditionalFormatting xmlns:xm="http://schemas.microsoft.com/office/excel/2006/main">
          <x14:cfRule type="expression" priority="467" id="{FC547ACD-9E50-42D2-B713-BA0B6BD29488}">
            <xm:f>'00 - Concept.'!$E461="N"</xm:f>
            <x14:dxf>
              <font>
                <strike/>
              </font>
            </x14:dxf>
          </x14:cfRule>
          <xm:sqref>I457</xm:sqref>
        </x14:conditionalFormatting>
        <x14:conditionalFormatting xmlns:xm="http://schemas.microsoft.com/office/excel/2006/main">
          <x14:cfRule type="expression" priority="7981" id="{E61CA699-C0A9-4807-965F-21992CA2048D}">
            <xm:f>'00 - Concept.'!$D4="N"</xm:f>
            <x14:dxf>
              <font>
                <strike/>
              </font>
            </x14:dxf>
          </x14:cfRule>
          <xm:sqref>G4</xm:sqref>
        </x14:conditionalFormatting>
        <x14:conditionalFormatting xmlns:xm="http://schemas.microsoft.com/office/excel/2006/main">
          <x14:cfRule type="expression" priority="15001" id="{FC547ACD-9E50-42D2-B713-BA0B6BD29488}">
            <xm:f>'00 - Concept.'!#REF!="N"</xm:f>
            <x14:dxf>
              <font>
                <strike/>
              </font>
            </x14:dxf>
          </x14:cfRule>
          <xm:sqref>I163:I166</xm:sqref>
        </x14:conditionalFormatting>
        <x14:conditionalFormatting xmlns:xm="http://schemas.microsoft.com/office/excel/2006/main">
          <x14:cfRule type="expression" priority="15002" id="{C4D6207C-58D3-4798-B83E-788CAC7C8223}">
            <xm:f>'00 - Concept.'!#REF!="N"</xm:f>
            <x14:dxf>
              <font>
                <strike/>
              </font>
            </x14:dxf>
          </x14:cfRule>
          <xm:sqref>I127:I130</xm:sqref>
        </x14:conditionalFormatting>
        <x14:conditionalFormatting xmlns:xm="http://schemas.microsoft.com/office/excel/2006/main">
          <x14:cfRule type="expression" priority="15003" id="{C4D6207C-58D3-4798-B83E-788CAC7C8223}">
            <xm:f>'00 - Concept.'!$E167="N"</xm:f>
            <x14:dxf>
              <font>
                <strike/>
              </font>
            </x14:dxf>
          </x14:cfRule>
          <xm:sqref>I131:I132</xm:sqref>
        </x14:conditionalFormatting>
        <x14:conditionalFormatting xmlns:xm="http://schemas.microsoft.com/office/excel/2006/main">
          <x14:cfRule type="expression" priority="15141" id="{E3ACDDE1-E90F-46DA-A2CB-071B9FCA20F5}">
            <xm:f>'00 - Concept.'!#REF!="N"</xm:f>
            <x14:dxf>
              <font>
                <strike/>
              </font>
            </x14:dxf>
          </x14:cfRule>
          <xm:sqref>I201</xm:sqref>
        </x14:conditionalFormatting>
        <x14:conditionalFormatting xmlns:xm="http://schemas.microsoft.com/office/excel/2006/main">
          <x14:cfRule type="expression" priority="324" id="{1747D93F-94E5-4DF2-AF10-94AB54897F41}">
            <xm:f>'00 - Concept.'!$E76="N"</xm:f>
            <x14:dxf>
              <font>
                <strike/>
              </font>
            </x14:dxf>
          </x14:cfRule>
          <xm:sqref>I122:I124</xm:sqref>
        </x14:conditionalFormatting>
        <x14:conditionalFormatting xmlns:xm="http://schemas.microsoft.com/office/excel/2006/main">
          <x14:cfRule type="expression" priority="18234" id="{E3ACDDE1-E90F-46DA-A2CB-071B9FCA20F5}">
            <xm:f>'00 - Concept.'!$F364="N"</xm:f>
            <x14:dxf>
              <font>
                <strike/>
              </font>
            </x14:dxf>
          </x14:cfRule>
          <xm:sqref>I331</xm:sqref>
        </x14:conditionalFormatting>
        <x14:conditionalFormatting xmlns:xm="http://schemas.microsoft.com/office/excel/2006/main">
          <x14:cfRule type="expression" priority="18321" id="{E3ACDDE1-E90F-46DA-A2CB-071B9FCA20F5}">
            <xm:f>'00 - Concept.'!$F257="N"</xm:f>
            <x14:dxf>
              <font>
                <strike/>
              </font>
            </x14:dxf>
          </x14:cfRule>
          <xm:sqref>I229</xm:sqref>
        </x14:conditionalFormatting>
        <x14:conditionalFormatting xmlns:xm="http://schemas.microsoft.com/office/excel/2006/main">
          <x14:cfRule type="expression" priority="18486" id="{E3ACDDE1-E90F-46DA-A2CB-071B9FCA20F5}">
            <xm:f>'00 - Concept.'!$F268="N"</xm:f>
            <x14:dxf>
              <font>
                <strike/>
              </font>
            </x14:dxf>
          </x14:cfRule>
          <xm:sqref>I243:I245</xm:sqref>
        </x14:conditionalFormatting>
        <x14:conditionalFormatting xmlns:xm="http://schemas.microsoft.com/office/excel/2006/main">
          <x14:cfRule type="expression" priority="25159" id="{FC547ACD-9E50-42D2-B713-BA0B6BD29488}">
            <xm:f>'00 - Concept.'!$E152="N"</xm:f>
            <x14:dxf>
              <font>
                <strike/>
              </font>
            </x14:dxf>
          </x14:cfRule>
          <xm:sqref>I178</xm:sqref>
        </x14:conditionalFormatting>
        <x14:conditionalFormatting xmlns:xm="http://schemas.microsoft.com/office/excel/2006/main">
          <x14:cfRule type="expression" priority="25318" id="{FC547ACD-9E50-42D2-B713-BA0B6BD29488}">
            <xm:f>'00 - Concept.'!$E19="N"</xm:f>
            <x14:dxf>
              <font>
                <strike/>
              </font>
            </x14:dxf>
          </x14:cfRule>
          <xm:sqref>I40:I41 I33:I35 I28:I30</xm:sqref>
        </x14:conditionalFormatting>
        <x14:conditionalFormatting xmlns:xm="http://schemas.microsoft.com/office/excel/2006/main">
          <x14:cfRule type="expression" priority="26302" id="{C4D6207C-58D3-4798-B83E-788CAC7C8223}">
            <xm:f>'00 - Concept.'!$E173="N"</xm:f>
            <x14:dxf>
              <font>
                <strike/>
              </font>
            </x14:dxf>
          </x14:cfRule>
          <xm:sqref>I133</xm:sqref>
        </x14:conditionalFormatting>
        <x14:conditionalFormatting xmlns:xm="http://schemas.microsoft.com/office/excel/2006/main">
          <x14:cfRule type="expression" priority="26719" id="{FC547ACD-9E50-42D2-B713-BA0B6BD29488}">
            <xm:f>'00 - Concept.'!$E375="N"</xm:f>
            <x14:dxf>
              <font>
                <strike/>
              </font>
            </x14:dxf>
          </x14:cfRule>
          <xm:sqref>I367</xm:sqref>
        </x14:conditionalFormatting>
        <x14:conditionalFormatting xmlns:xm="http://schemas.microsoft.com/office/excel/2006/main">
          <x14:cfRule type="expression" priority="30207" id="{C4D6207C-58D3-4798-B83E-788CAC7C8223}">
            <xm:f>'00 - Concept.'!$E174="N"</xm:f>
            <x14:dxf>
              <font>
                <strike/>
              </font>
            </x14:dxf>
          </x14:cfRule>
          <xm:sqref>I135</xm:sqref>
        </x14:conditionalFormatting>
        <x14:conditionalFormatting xmlns:xm="http://schemas.microsoft.com/office/excel/2006/main">
          <x14:cfRule type="expression" priority="34008" id="{1747D93F-94E5-4DF2-AF10-94AB54897F41}">
            <xm:f>'00 - Concept.'!$E74="N"</xm:f>
            <x14:dxf>
              <font>
                <strike/>
              </font>
            </x14:dxf>
          </x14:cfRule>
          <xm:sqref>I113:I114</xm:sqref>
        </x14:conditionalFormatting>
        <x14:conditionalFormatting xmlns:xm="http://schemas.microsoft.com/office/excel/2006/main">
          <x14:cfRule type="expression" priority="39861" id="{E3ACDDE1-E90F-46DA-A2CB-071B9FCA20F5}">
            <xm:f>'00 - Concept.'!$F182="N"</xm:f>
            <x14:dxf>
              <font>
                <strike/>
              </font>
            </x14:dxf>
          </x14:cfRule>
          <xm:sqref>I197</xm:sqref>
        </x14:conditionalFormatting>
        <x14:conditionalFormatting xmlns:xm="http://schemas.microsoft.com/office/excel/2006/main">
          <x14:cfRule type="expression" priority="41498" id="{E3ACDDE1-E90F-46DA-A2CB-071B9FCA20F5}">
            <xm:f>'00 - Concept.'!$F203="N"</xm:f>
            <x14:dxf>
              <font>
                <strike/>
              </font>
            </x14:dxf>
          </x14:cfRule>
          <xm:sqref>I347 I198:I199</xm:sqref>
        </x14:conditionalFormatting>
        <x14:conditionalFormatting xmlns:xm="http://schemas.microsoft.com/office/excel/2006/main">
          <x14:cfRule type="expression" priority="44074" id="{E3ACDDE1-E90F-46DA-A2CB-071B9FCA20F5}">
            <xm:f>'00 - Concept.'!$F357="N"</xm:f>
            <x14:dxf>
              <font>
                <strike/>
              </font>
            </x14:dxf>
          </x14:cfRule>
          <xm:sqref>I348</xm:sqref>
        </x14:conditionalFormatting>
        <x14:conditionalFormatting xmlns:xm="http://schemas.microsoft.com/office/excel/2006/main">
          <x14:cfRule type="expression" priority="44978" id="{E3ACDDE1-E90F-46DA-A2CB-071B9FCA20F5}">
            <xm:f>'00 - Concept.'!$F252="N"</xm:f>
            <x14:dxf>
              <font>
                <strike/>
              </font>
            </x14:dxf>
          </x14:cfRule>
          <xm:sqref>I208:I210</xm:sqref>
        </x14:conditionalFormatting>
        <x14:conditionalFormatting xmlns:xm="http://schemas.microsoft.com/office/excel/2006/main">
          <x14:cfRule type="expression" priority="45061" id="{E3ACDDE1-E90F-46DA-A2CB-071B9FCA20F5}">
            <xm:f>'00 - Concept.'!$F200="N"</xm:f>
            <x14:dxf>
              <font>
                <strike/>
              </font>
            </x14:dxf>
          </x14:cfRule>
          <xm:sqref>I182</xm:sqref>
        </x14:conditionalFormatting>
        <x14:conditionalFormatting xmlns:xm="http://schemas.microsoft.com/office/excel/2006/main">
          <x14:cfRule type="expression" priority="53878" id="{E3ACDDE1-E90F-46DA-A2CB-071B9FCA20F5}">
            <xm:f>'00 - Concept.'!$F190="N"</xm:f>
            <x14:dxf>
              <font>
                <strike/>
              </font>
            </x14:dxf>
          </x14:cfRule>
          <xm:sqref>I193</xm:sqref>
        </x14:conditionalFormatting>
        <x14:conditionalFormatting xmlns:xm="http://schemas.microsoft.com/office/excel/2006/main">
          <x14:cfRule type="expression" priority="54198" id="{E3ACDDE1-E90F-46DA-A2CB-071B9FCA20F5}">
            <xm:f>'00 - Concept.'!$F198="N"</xm:f>
            <x14:dxf>
              <font>
                <strike/>
              </font>
            </x14:dxf>
          </x14:cfRule>
          <xm:sqref>I195</xm:sqref>
        </x14:conditionalFormatting>
        <x14:conditionalFormatting xmlns:xm="http://schemas.microsoft.com/office/excel/2006/main">
          <x14:cfRule type="expression" priority="55340" id="{FC547ACD-9E50-42D2-B713-BA0B6BD29488}">
            <xm:f>'00 - Concept.'!$E36="N"</xm:f>
            <x14:dxf>
              <font>
                <strike/>
              </font>
            </x14:dxf>
          </x14:cfRule>
          <xm:sqref>I42:I44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pageSetUpPr fitToPage="1"/>
  </sheetPr>
  <dimension ref="A1:AY787"/>
  <sheetViews>
    <sheetView showGridLines="0" view="pageBreakPreview" topLeftCell="B1" zoomScaleNormal="100" zoomScaleSheetLayoutView="100" workbookViewId="0">
      <pane ySplit="23" topLeftCell="A24" activePane="bottomLeft" state="frozen"/>
      <selection pane="bottomLeft" activeCell="G26" sqref="G26"/>
    </sheetView>
  </sheetViews>
  <sheetFormatPr defaultRowHeight="15" x14ac:dyDescent="0.25"/>
  <cols>
    <col min="1" max="1" width="5.7109375" style="91" hidden="1" customWidth="1"/>
    <col min="2" max="2" width="0.85546875" customWidth="1"/>
    <col min="3" max="3" width="9.28515625" customWidth="1"/>
    <col min="4" max="6" width="3.28515625" style="16" customWidth="1"/>
    <col min="7" max="7" width="8" style="19" customWidth="1"/>
    <col min="8" max="8" width="86" style="17" customWidth="1"/>
    <col min="9" max="9" width="0.85546875" style="17" customWidth="1"/>
    <col min="10" max="10" width="12.5703125" style="17" hidden="1" customWidth="1"/>
    <col min="11" max="11" width="10.28515625" style="17" hidden="1" customWidth="1"/>
    <col min="12" max="12" width="9.140625" style="17"/>
    <col min="13" max="17" width="9.140625" style="17" customWidth="1"/>
    <col min="18" max="18" width="9.140625" style="17"/>
    <col min="19" max="19" width="9.140625" style="252"/>
    <col min="20" max="49" width="9.140625" style="17"/>
  </cols>
  <sheetData>
    <row r="1" spans="1:49" s="542" customFormat="1" hidden="1" x14ac:dyDescent="0.25">
      <c r="A1" s="91"/>
      <c r="D1" s="543"/>
      <c r="E1" s="543"/>
      <c r="F1" s="543"/>
      <c r="G1" s="19"/>
      <c r="H1" s="17"/>
      <c r="I1" s="17"/>
      <c r="J1" s="17"/>
      <c r="K1" s="17"/>
      <c r="L1" s="17"/>
      <c r="M1" s="17"/>
      <c r="N1" s="17"/>
      <c r="O1" s="17"/>
      <c r="P1" s="17"/>
      <c r="Q1" s="17"/>
      <c r="R1" s="17"/>
      <c r="S1" s="255"/>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row>
    <row r="2" spans="1:49" s="542" customFormat="1" hidden="1" x14ac:dyDescent="0.25">
      <c r="A2" s="91"/>
      <c r="D2" s="543"/>
      <c r="E2" s="543"/>
      <c r="F2" s="543"/>
      <c r="G2" s="19"/>
      <c r="H2" s="17"/>
      <c r="I2" s="17"/>
      <c r="J2" s="17"/>
      <c r="K2" s="17"/>
      <c r="L2" s="17"/>
      <c r="M2" s="17"/>
      <c r="N2" s="17"/>
      <c r="O2" s="17"/>
      <c r="P2" s="17"/>
      <c r="Q2" s="17"/>
      <c r="R2" s="17"/>
      <c r="S2" s="255"/>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row>
    <row r="3" spans="1:49" ht="30" customHeight="1" thickBot="1" x14ac:dyDescent="0.3">
      <c r="A3" s="1331"/>
      <c r="B3" s="542"/>
      <c r="C3" s="1577" t="s">
        <v>46</v>
      </c>
      <c r="D3" s="1577"/>
      <c r="E3" s="1577"/>
      <c r="F3" s="2296" t="str">
        <f ca="1">CONCATENATE("READ DIRECTIONS FILE FIRST.  PSC should print &amp; use at BID submittals. PM/ Planner only should hide non-applicable rows.  Choices for applicability are in the tab [",MID(CELL("filename",Date_edited_TAB_C),FIND("]",CELL("filename",Date_edited_TAB_C))+1,255),"]")</f>
        <v>READ DIRECTIONS FILE FIRST.  PSC should print &amp; use at BID submittals. PM/ Planner only should hide non-applicable rows.  Choices for applicability are in the tab [C-Design&amp;Const]</v>
      </c>
      <c r="G3" s="2296"/>
      <c r="H3" s="2296"/>
      <c r="I3" s="1421"/>
      <c r="J3" s="1186"/>
      <c r="K3" s="1441"/>
      <c r="L3" s="1186"/>
      <c r="M3" s="1186"/>
      <c r="N3" s="1186"/>
      <c r="O3" s="1186"/>
      <c r="P3" s="1186"/>
      <c r="Q3" s="1186"/>
      <c r="R3" s="1333"/>
      <c r="S3" s="1449"/>
      <c r="T3" s="1333"/>
      <c r="U3" s="1333"/>
      <c r="V3" s="1333"/>
      <c r="W3" s="1333"/>
      <c r="X3" s="1333"/>
      <c r="Y3" s="1333"/>
      <c r="Z3" s="1333"/>
      <c r="AA3" s="1333"/>
      <c r="AB3" s="1333"/>
      <c r="AC3" s="1333"/>
      <c r="AD3" s="1333"/>
      <c r="AE3" s="1333"/>
      <c r="AF3" s="1333"/>
      <c r="AG3" s="1333"/>
      <c r="AH3" s="1333"/>
      <c r="AI3" s="1333"/>
      <c r="AJ3" s="1333"/>
      <c r="AW3"/>
    </row>
    <row r="4" spans="1:49" ht="19.5" hidden="1" thickTop="1" x14ac:dyDescent="0.25">
      <c r="A4" s="1331"/>
      <c r="C4" s="34"/>
      <c r="D4" s="35" t="s">
        <v>37</v>
      </c>
      <c r="E4" s="36"/>
      <c r="F4" s="37"/>
      <c r="G4" s="38" t="s">
        <v>39</v>
      </c>
      <c r="H4" s="54" t="s">
        <v>219</v>
      </c>
      <c r="I4" s="63"/>
      <c r="K4" s="63"/>
      <c r="L4" s="1341" t="s">
        <v>142</v>
      </c>
      <c r="M4" s="1341"/>
      <c r="N4" s="1333"/>
      <c r="O4" s="1333"/>
      <c r="P4" s="1333"/>
      <c r="Q4" s="1333"/>
      <c r="R4" s="1333"/>
      <c r="S4" s="1449"/>
      <c r="T4" s="1333"/>
      <c r="U4" s="1333"/>
      <c r="V4" s="1333"/>
      <c r="W4" s="1333"/>
      <c r="X4" s="1333"/>
      <c r="Y4" s="1333"/>
      <c r="Z4" s="1333"/>
      <c r="AA4" s="1333"/>
      <c r="AB4" s="1333"/>
      <c r="AC4" s="1333"/>
      <c r="AD4" s="1333"/>
      <c r="AE4" s="1333"/>
      <c r="AF4" s="1333"/>
      <c r="AG4" s="1333"/>
      <c r="AH4" s="1333"/>
      <c r="AI4" s="1333"/>
      <c r="AJ4" s="1333"/>
      <c r="AW4"/>
    </row>
    <row r="5" spans="1:49" hidden="1" x14ac:dyDescent="0.25">
      <c r="A5" s="1342"/>
      <c r="C5" s="39"/>
      <c r="D5" s="21"/>
      <c r="E5" s="29" t="s">
        <v>37</v>
      </c>
      <c r="F5" s="22"/>
      <c r="G5" s="33"/>
      <c r="H5" s="40" t="s">
        <v>50</v>
      </c>
      <c r="I5" s="299"/>
      <c r="J5" s="62"/>
      <c r="K5" s="302"/>
      <c r="L5" s="1521" t="s">
        <v>49</v>
      </c>
      <c r="M5" s="1521"/>
      <c r="N5" s="1351"/>
      <c r="O5" s="1333"/>
      <c r="P5" s="1333"/>
      <c r="Q5" s="1333"/>
      <c r="R5" s="1333"/>
      <c r="S5" s="1449"/>
      <c r="T5" s="1333"/>
      <c r="U5" s="1333"/>
      <c r="V5" s="1333"/>
      <c r="W5" s="1333"/>
      <c r="X5" s="1333"/>
      <c r="Y5" s="1333"/>
      <c r="Z5" s="1333"/>
      <c r="AA5" s="1333"/>
      <c r="AB5" s="1333"/>
      <c r="AC5" s="1333"/>
      <c r="AD5" s="1333"/>
      <c r="AE5" s="1333"/>
      <c r="AF5" s="1333"/>
      <c r="AG5" s="1333"/>
      <c r="AH5" s="1333"/>
      <c r="AI5" s="1333"/>
      <c r="AJ5" s="1333"/>
      <c r="AW5"/>
    </row>
    <row r="6" spans="1:49" ht="15.75" hidden="1" thickBot="1" x14ac:dyDescent="0.3">
      <c r="A6" s="1342"/>
      <c r="C6" s="41"/>
      <c r="D6" s="42"/>
      <c r="E6" s="42"/>
      <c r="F6" s="43" t="s">
        <v>37</v>
      </c>
      <c r="G6" s="44"/>
      <c r="H6" s="45" t="s">
        <v>51</v>
      </c>
      <c r="I6" s="300"/>
      <c r="J6" s="62"/>
      <c r="K6" s="303"/>
      <c r="L6" s="1351"/>
      <c r="M6" s="1351"/>
      <c r="N6" s="1351"/>
      <c r="O6" s="1333"/>
      <c r="P6" s="1333"/>
      <c r="Q6" s="1333"/>
      <c r="R6" s="1333"/>
      <c r="S6" s="1449"/>
      <c r="T6" s="1333"/>
      <c r="U6" s="1333"/>
      <c r="V6" s="1333"/>
      <c r="W6" s="1333"/>
      <c r="X6" s="1333"/>
      <c r="Y6" s="1333"/>
      <c r="Z6" s="1333"/>
      <c r="AA6" s="1333"/>
      <c r="AB6" s="1333"/>
      <c r="AC6" s="1333"/>
      <c r="AD6" s="1333"/>
      <c r="AE6" s="1333"/>
      <c r="AF6" s="1333"/>
      <c r="AG6" s="1333"/>
      <c r="AH6" s="1333"/>
      <c r="AI6" s="1333"/>
      <c r="AJ6" s="1333"/>
      <c r="AW6"/>
    </row>
    <row r="7" spans="1:49" hidden="1" x14ac:dyDescent="0.25">
      <c r="A7" s="1342"/>
      <c r="C7" s="47" t="s">
        <v>71</v>
      </c>
      <c r="D7" s="47" t="s">
        <v>45</v>
      </c>
      <c r="E7" s="47"/>
      <c r="F7" s="47"/>
      <c r="G7" s="48"/>
      <c r="H7" s="96" t="s">
        <v>107</v>
      </c>
      <c r="I7" s="301"/>
      <c r="J7" s="62"/>
      <c r="K7" s="304"/>
      <c r="L7" s="1351"/>
      <c r="M7" s="1351"/>
      <c r="N7" s="1351"/>
      <c r="O7" s="1333"/>
      <c r="P7" s="1333"/>
      <c r="Q7" s="1333"/>
      <c r="R7" s="1333"/>
      <c r="S7" s="1449"/>
      <c r="T7" s="1333"/>
      <c r="U7" s="1333"/>
      <c r="V7" s="1333"/>
      <c r="W7" s="1333"/>
      <c r="X7" s="1333"/>
      <c r="Y7" s="1333"/>
      <c r="Z7" s="1333"/>
      <c r="AA7" s="1333"/>
      <c r="AB7" s="1333"/>
      <c r="AC7" s="1333"/>
      <c r="AD7" s="1333"/>
      <c r="AE7" s="1333"/>
      <c r="AF7" s="1333"/>
      <c r="AG7" s="1333"/>
      <c r="AH7" s="1333"/>
      <c r="AI7" s="1333"/>
      <c r="AJ7" s="1333"/>
    </row>
    <row r="8" spans="1:49" hidden="1" x14ac:dyDescent="0.25">
      <c r="A8" s="1342"/>
      <c r="C8" s="20" t="s">
        <v>100</v>
      </c>
      <c r="D8" s="20" t="s">
        <v>37</v>
      </c>
      <c r="E8" s="46" t="s">
        <v>47</v>
      </c>
      <c r="H8" s="97" t="s">
        <v>268</v>
      </c>
      <c r="I8" s="264"/>
      <c r="J8" s="62"/>
      <c r="K8" s="141"/>
      <c r="L8" s="1351"/>
      <c r="M8" s="1351"/>
      <c r="N8" s="1351"/>
      <c r="O8" s="1333"/>
      <c r="P8" s="1333"/>
      <c r="Q8" s="1333"/>
      <c r="R8" s="1333"/>
      <c r="S8" s="1449"/>
      <c r="T8" s="1333"/>
      <c r="U8" s="1333"/>
      <c r="V8" s="1333"/>
      <c r="W8" s="1333"/>
      <c r="X8" s="1333"/>
      <c r="Y8" s="1333"/>
      <c r="Z8" s="1333"/>
      <c r="AA8" s="1333"/>
      <c r="AB8" s="1333"/>
      <c r="AC8" s="1333"/>
      <c r="AD8" s="1333"/>
      <c r="AE8" s="1333"/>
      <c r="AF8" s="1333"/>
      <c r="AG8" s="1333"/>
      <c r="AH8" s="1333"/>
      <c r="AI8" s="1333"/>
      <c r="AJ8" s="1333"/>
    </row>
    <row r="9" spans="1:49" hidden="1" x14ac:dyDescent="0.25">
      <c r="A9" s="1342"/>
      <c r="C9" s="20" t="s">
        <v>72</v>
      </c>
      <c r="D9" s="20" t="s">
        <v>38</v>
      </c>
      <c r="E9" s="46" t="s">
        <v>47</v>
      </c>
      <c r="H9" s="97" t="s">
        <v>53</v>
      </c>
      <c r="I9" s="264"/>
      <c r="J9" s="62"/>
      <c r="K9" s="141"/>
      <c r="L9" s="1351"/>
      <c r="M9" s="1351"/>
      <c r="N9" s="1351"/>
      <c r="O9" s="1333"/>
      <c r="P9" s="1333"/>
      <c r="Q9" s="1333"/>
      <c r="R9" s="1333"/>
      <c r="S9" s="1449"/>
      <c r="T9" s="1333"/>
      <c r="U9" s="1333"/>
      <c r="V9" s="1333"/>
      <c r="W9" s="1333"/>
      <c r="X9" s="1333"/>
      <c r="Y9" s="1333"/>
      <c r="Z9" s="1333"/>
      <c r="AA9" s="1333"/>
      <c r="AB9" s="1333"/>
      <c r="AC9" s="1333"/>
      <c r="AD9" s="1333"/>
      <c r="AE9" s="1333"/>
      <c r="AF9" s="1333"/>
      <c r="AG9" s="1333"/>
      <c r="AH9" s="1333"/>
      <c r="AI9" s="1333"/>
      <c r="AJ9" s="1333"/>
    </row>
    <row r="10" spans="1:49" hidden="1" x14ac:dyDescent="0.25">
      <c r="A10" s="1342"/>
      <c r="C10" s="20"/>
      <c r="D10" s="20" t="s">
        <v>21</v>
      </c>
      <c r="E10" s="46" t="s">
        <v>47</v>
      </c>
      <c r="H10" s="98" t="s">
        <v>109</v>
      </c>
      <c r="I10" s="264"/>
      <c r="J10" s="62"/>
      <c r="K10" s="141"/>
      <c r="L10" s="1351"/>
      <c r="M10" s="1351"/>
      <c r="N10" s="1351"/>
      <c r="O10" s="1333"/>
      <c r="P10" s="1333"/>
      <c r="Q10" s="1333"/>
      <c r="R10" s="1333"/>
      <c r="S10" s="1449"/>
      <c r="T10" s="1333"/>
      <c r="U10" s="1333"/>
      <c r="V10" s="1333"/>
      <c r="W10" s="1333"/>
      <c r="X10" s="1333"/>
      <c r="Y10" s="1333"/>
      <c r="Z10" s="1333"/>
      <c r="AA10" s="1333"/>
      <c r="AB10" s="1333"/>
      <c r="AC10" s="1333"/>
      <c r="AD10" s="1333"/>
      <c r="AE10" s="1333"/>
      <c r="AF10" s="1333"/>
      <c r="AG10" s="1333"/>
      <c r="AH10" s="1333"/>
      <c r="AI10" s="1333"/>
      <c r="AJ10" s="1333"/>
    </row>
    <row r="11" spans="1:49" hidden="1" x14ac:dyDescent="0.25">
      <c r="A11" s="1342"/>
      <c r="C11" s="20"/>
      <c r="D11" s="20"/>
      <c r="I11" s="264"/>
      <c r="J11" s="62"/>
      <c r="K11" s="141"/>
      <c r="L11" s="1351"/>
      <c r="M11" s="1351"/>
      <c r="N11" s="1351"/>
      <c r="O11" s="1333"/>
      <c r="P11" s="1333"/>
      <c r="Q11" s="1333"/>
      <c r="R11" s="1333"/>
      <c r="S11" s="1449"/>
      <c r="T11" s="1333"/>
      <c r="U11" s="1333"/>
      <c r="V11" s="1333"/>
      <c r="W11" s="1333"/>
      <c r="X11" s="1333"/>
      <c r="Y11" s="1333"/>
      <c r="Z11" s="1333"/>
      <c r="AA11" s="1333"/>
      <c r="AB11" s="1333"/>
      <c r="AC11" s="1333"/>
      <c r="AD11" s="1333"/>
      <c r="AE11" s="1333"/>
      <c r="AF11" s="1333"/>
      <c r="AG11" s="1333"/>
      <c r="AH11" s="1333"/>
      <c r="AI11" s="1333"/>
      <c r="AJ11" s="1333"/>
    </row>
    <row r="12" spans="1:49" hidden="1" x14ac:dyDescent="0.25">
      <c r="A12" s="1342"/>
      <c r="I12" s="264"/>
      <c r="J12" s="62"/>
      <c r="K12" s="141"/>
      <c r="L12" s="1351"/>
      <c r="M12" s="1351"/>
      <c r="N12" s="1351"/>
      <c r="O12" s="1333"/>
      <c r="P12" s="1333"/>
      <c r="Q12" s="1333"/>
      <c r="R12" s="1333"/>
      <c r="S12" s="1449"/>
      <c r="T12" s="1333"/>
      <c r="U12" s="1333"/>
      <c r="V12" s="1333"/>
      <c r="W12" s="1333"/>
      <c r="X12" s="1333"/>
      <c r="Y12" s="1333"/>
      <c r="Z12" s="1333"/>
      <c r="AA12" s="1333"/>
      <c r="AB12" s="1333"/>
      <c r="AC12" s="1333"/>
      <c r="AD12" s="1333"/>
      <c r="AE12" s="1333"/>
      <c r="AF12" s="1333"/>
      <c r="AG12" s="1333"/>
      <c r="AH12" s="1333"/>
      <c r="AI12" s="1333"/>
      <c r="AJ12" s="1333"/>
    </row>
    <row r="13" spans="1:49" ht="6" customHeight="1" thickTop="1" x14ac:dyDescent="0.25">
      <c r="A13" s="1367"/>
      <c r="I13" s="264"/>
      <c r="J13" s="140"/>
      <c r="K13" s="143"/>
      <c r="L13" s="1369"/>
      <c r="M13" s="1369"/>
      <c r="N13" s="1369"/>
      <c r="O13" s="1333"/>
      <c r="P13" s="1333"/>
      <c r="Q13" s="1333"/>
      <c r="R13" s="1333"/>
      <c r="S13" s="1449"/>
      <c r="T13" s="1333"/>
      <c r="U13" s="1333"/>
      <c r="V13" s="1333"/>
      <c r="W13" s="1333"/>
      <c r="X13" s="1333"/>
      <c r="Y13" s="1333"/>
      <c r="Z13" s="1333"/>
      <c r="AA13" s="1333"/>
      <c r="AB13" s="1333"/>
      <c r="AC13" s="1333"/>
      <c r="AD13" s="1333"/>
      <c r="AE13" s="1333"/>
      <c r="AF13" s="1333"/>
      <c r="AG13" s="1333"/>
      <c r="AH13" s="1333"/>
      <c r="AI13" s="1333"/>
      <c r="AJ13" s="1333"/>
    </row>
    <row r="14" spans="1:49" ht="6" customHeight="1" x14ac:dyDescent="0.25">
      <c r="A14" s="1331"/>
      <c r="B14" s="119"/>
      <c r="C14" s="120"/>
      <c r="D14" s="121"/>
      <c r="E14" s="121"/>
      <c r="F14" s="121"/>
      <c r="G14" s="122"/>
      <c r="H14" s="123"/>
      <c r="I14" s="124"/>
      <c r="K14" s="62"/>
      <c r="L14" s="1333"/>
      <c r="M14" s="1333"/>
      <c r="N14" s="1333"/>
      <c r="O14" s="1333"/>
      <c r="P14" s="1333"/>
      <c r="Q14" s="1333"/>
      <c r="R14" s="1333"/>
      <c r="S14" s="1333"/>
      <c r="T14" s="1333"/>
      <c r="U14" s="1333"/>
      <c r="V14" s="1333"/>
      <c r="W14" s="1333"/>
      <c r="X14" s="1333"/>
      <c r="Y14" s="1333"/>
      <c r="Z14" s="1333"/>
      <c r="AA14" s="1333"/>
      <c r="AB14" s="1333"/>
      <c r="AC14" s="1333"/>
      <c r="AD14" s="1333"/>
      <c r="AE14" s="1333"/>
      <c r="AF14" s="1333"/>
      <c r="AG14" s="1333"/>
      <c r="AH14" s="1333"/>
      <c r="AI14" s="1333"/>
      <c r="AJ14" s="1333"/>
    </row>
    <row r="15" spans="1:49" ht="18.75" customHeight="1" x14ac:dyDescent="0.3">
      <c r="A15" s="2314" t="str">
        <f>IF(CD95_apply="Yes","95% CD list of applicability","-")</f>
        <v>95% CD list of applicability</v>
      </c>
      <c r="B15" s="125"/>
      <c r="C15" s="2315" t="str">
        <f>CONCATENATE(Project_No," - ",Project_Name)</f>
        <v>U12345 - Davenport Hall Addition &amp; Remodel - Example</v>
      </c>
      <c r="D15" s="2315"/>
      <c r="E15" s="2315"/>
      <c r="F15" s="2315"/>
      <c r="G15" s="2315"/>
      <c r="H15" s="2315"/>
      <c r="I15" s="126"/>
      <c r="J15" s="2279" t="s">
        <v>965</v>
      </c>
      <c r="K15" s="2308" t="str">
        <f>IF(CD95_apply="Yes","Check match w/ 95%CD list","-")</f>
        <v>Check match w/ 95%CD list</v>
      </c>
      <c r="L15" s="1378" t="str">
        <f ca="1">CONCATENATE(IF(ISNUMBER(SEARCH("INSERT",C15))=TRUE,"&lt;----Fill in information in tab [","&lt;----ECHOED from Tab ["),MID(CELL("filename",'A-Info, Phases, Recip.'!D4),FIND("]",CELL("filename",'A-Info, Phases, Recip.'!D4))+1,255),"]")</f>
        <v>&lt;----ECHOED from Tab [A-Info, Phases, Recip.]</v>
      </c>
      <c r="M15" s="1333"/>
      <c r="N15" s="1333"/>
      <c r="O15" s="1333"/>
      <c r="P15" s="1333"/>
      <c r="Q15" s="1333"/>
      <c r="R15" s="1333"/>
      <c r="S15" s="1333"/>
      <c r="T15" s="1333"/>
      <c r="U15" s="1333"/>
      <c r="V15" s="1333"/>
      <c r="W15" s="1333"/>
      <c r="X15" s="1333"/>
      <c r="Y15" s="1333"/>
      <c r="Z15" s="1333"/>
      <c r="AA15" s="1333"/>
      <c r="AB15" s="1333"/>
      <c r="AC15" s="1333"/>
      <c r="AD15" s="1333"/>
      <c r="AE15" s="1333"/>
      <c r="AF15" s="1333"/>
      <c r="AG15" s="1333"/>
      <c r="AH15" s="1333"/>
      <c r="AI15" s="1333"/>
      <c r="AJ15" s="1333"/>
    </row>
    <row r="16" spans="1:49" ht="18.75" x14ac:dyDescent="0.3">
      <c r="A16" s="2314"/>
      <c r="B16" s="125"/>
      <c r="C16" s="2054" t="str">
        <f>IF(OR(Construction="Construction does not apply",Feasibility_Concept="Conceptualization Only",Feasibility_Concept="Feasibility Study"),"NO CONSTRUCTION - BID DOES NOT APPLY",IF(bid_apply="NO","BID DOES NOT APPLY",CONCATENATE(VLOOKUP(Bid_placeholder,'A-Info, Phases, Recip.'!E$126:F$146,2,FALSE)," - PSC Minimum List of Deliverables")))</f>
        <v>Bid &amp; Award - PSC Minimum List of Deliverables</v>
      </c>
      <c r="D16" s="2054"/>
      <c r="E16" s="2054"/>
      <c r="F16" s="2054"/>
      <c r="G16" s="2054"/>
      <c r="H16" s="2054"/>
      <c r="I16" s="126"/>
      <c r="J16" s="2279"/>
      <c r="K16" s="2308"/>
      <c r="L16" s="1442" t="str">
        <f ca="1">CONCATENATE("&lt;----Phase Applicability chosen in Tab [",MID(CELL("filename",'A-Info, Phases, Recip.'!D4),FIND("]",CELL("filename",'A-Info, Phases, Recip.'!D4))+1,255),"]")</f>
        <v>&lt;----Phase Applicability chosen in Tab [A-Info, Phases, Recip.]</v>
      </c>
      <c r="M16" s="1333"/>
      <c r="N16" s="1333"/>
      <c r="O16" s="1333"/>
      <c r="P16" s="1333"/>
      <c r="Q16" s="1333"/>
      <c r="R16" s="1333"/>
      <c r="S16" s="1333"/>
      <c r="T16" s="1333"/>
      <c r="U16" s="1333"/>
      <c r="V16" s="1333"/>
      <c r="W16" s="1333"/>
      <c r="X16" s="1333"/>
      <c r="Y16" s="1333"/>
      <c r="Z16" s="1333"/>
      <c r="AA16" s="1333"/>
      <c r="AB16" s="1333"/>
      <c r="AC16" s="1333"/>
      <c r="AD16" s="1333"/>
      <c r="AE16" s="1333"/>
      <c r="AF16" s="1333"/>
      <c r="AG16" s="1333"/>
      <c r="AH16" s="1333"/>
      <c r="AI16" s="1333"/>
      <c r="AJ16" s="1333"/>
    </row>
    <row r="17" spans="1:49" s="542" customFormat="1" ht="7.5" customHeight="1" x14ac:dyDescent="0.3">
      <c r="A17" s="2314"/>
      <c r="B17" s="125"/>
      <c r="C17" s="1047"/>
      <c r="D17" s="1047"/>
      <c r="E17" s="1047"/>
      <c r="F17" s="1047"/>
      <c r="G17" s="1047"/>
      <c r="H17" s="1047"/>
      <c r="I17" s="126"/>
      <c r="J17" s="2279"/>
      <c r="K17" s="2308"/>
      <c r="L17" s="1442"/>
      <c r="M17" s="1333"/>
      <c r="N17" s="1333"/>
      <c r="O17" s="1333"/>
      <c r="P17" s="1333"/>
      <c r="Q17" s="1333"/>
      <c r="R17" s="1333"/>
      <c r="S17" s="1333"/>
      <c r="T17" s="1333"/>
      <c r="U17" s="1333"/>
      <c r="V17" s="1333"/>
      <c r="W17" s="1333"/>
      <c r="X17" s="1333"/>
      <c r="Y17" s="1333"/>
      <c r="Z17" s="1333"/>
      <c r="AA17" s="1333"/>
      <c r="AB17" s="1333"/>
      <c r="AC17" s="1333"/>
      <c r="AD17" s="1333"/>
      <c r="AE17" s="1333"/>
      <c r="AF17" s="1333"/>
      <c r="AG17" s="1333"/>
      <c r="AH17" s="1333"/>
      <c r="AI17" s="1333"/>
      <c r="AJ17" s="1333"/>
      <c r="AK17" s="17"/>
      <c r="AL17" s="17"/>
      <c r="AM17" s="17"/>
      <c r="AN17" s="17"/>
      <c r="AO17" s="17"/>
      <c r="AP17" s="17"/>
      <c r="AQ17" s="17"/>
      <c r="AR17" s="17"/>
      <c r="AS17" s="17"/>
      <c r="AT17" s="17"/>
      <c r="AU17" s="17"/>
      <c r="AV17" s="17"/>
      <c r="AW17" s="17"/>
    </row>
    <row r="18" spans="1:49" ht="11.25" customHeight="1" x14ac:dyDescent="0.25">
      <c r="A18" s="2314"/>
      <c r="B18" s="125"/>
      <c r="C18" s="2055" t="str">
        <f>CONCATENATE("Const. Delivery = ",Const_Delivery_Method," ; Const. Type = ",Const_Type,"; LEED Goal = ",IF(LEED_Goal="none","N/A",LEED_Goal),"; Bldg, lot, or Utility: ",Bldg_No_or_Utility)</f>
        <v>Const. Delivery = BID ; Const. Type = Remodeling/Addition; LEED Goal = Silver - Certified; Bldg, lot, or Utility: 0001</v>
      </c>
      <c r="D18" s="2056"/>
      <c r="E18" s="2056"/>
      <c r="F18" s="2056"/>
      <c r="G18" s="2056"/>
      <c r="H18" s="2056"/>
      <c r="I18" s="127"/>
      <c r="J18" s="2279"/>
      <c r="K18" s="2308"/>
      <c r="L18" s="1378" t="str">
        <f ca="1">CONCATENATE(IF(OR(ISNUMBER(SEARCH("Select",C18))=TRUE,ISNUMBER(SEARCH("Choose",D18))=TRUE,ISNUMBER(SEARCH("####",C18))=TRUE),"&lt;----Fill in information in tab [","&lt;----ECHOED from Tab ["),MID(CELL("filename",'A-Info, Phases, Recip.'!D6),FIND("]",CELL("filename",'A-Info, Phases, Recip.'!D6))+1,255),"]")</f>
        <v>&lt;----ECHOED from Tab [A-Info, Phases, Recip.]</v>
      </c>
      <c r="M18" s="1333"/>
      <c r="N18" s="1333"/>
      <c r="O18" s="1333"/>
      <c r="P18" s="1333"/>
      <c r="Q18" s="1333"/>
      <c r="R18" s="1333"/>
      <c r="S18" s="1333"/>
      <c r="T18" s="1333"/>
      <c r="U18" s="1333"/>
      <c r="V18" s="1333"/>
      <c r="W18" s="1333"/>
      <c r="X18" s="1333"/>
      <c r="Y18" s="1333"/>
      <c r="Z18" s="1333"/>
      <c r="AA18" s="1333"/>
      <c r="AB18" s="1333"/>
      <c r="AC18" s="1333"/>
      <c r="AD18" s="1333"/>
      <c r="AE18" s="1333"/>
      <c r="AF18" s="1333"/>
      <c r="AG18" s="1333"/>
      <c r="AH18" s="1333"/>
      <c r="AI18" s="1333"/>
      <c r="AJ18" s="1333"/>
    </row>
    <row r="19" spans="1:49" ht="11.1" customHeight="1" x14ac:dyDescent="0.25">
      <c r="A19" s="2314"/>
      <c r="B19" s="125"/>
      <c r="C19" s="2057" t="str">
        <f>CONCATENATE("Master Template last updated on: ",TEXT(Form_Update,"MM/DD/YYYY"),".  Struck out text is not required.")</f>
        <v>Master Template last updated on: 08/31/2020.  Struck out text is not required.</v>
      </c>
      <c r="D19" s="2057"/>
      <c r="E19" s="2057"/>
      <c r="F19" s="2057"/>
      <c r="G19" s="2057"/>
      <c r="H19" s="2057"/>
      <c r="I19" s="128"/>
      <c r="J19" s="2279"/>
      <c r="K19" s="2308"/>
      <c r="L19" s="1333"/>
      <c r="M19" s="1333"/>
      <c r="N19" s="1333"/>
      <c r="O19" s="1333"/>
      <c r="P19" s="1333"/>
      <c r="Q19" s="1333"/>
      <c r="R19" s="1333"/>
      <c r="S19" s="1333"/>
      <c r="T19" s="1333"/>
      <c r="U19" s="1333"/>
      <c r="V19" s="1333"/>
      <c r="W19" s="1333"/>
      <c r="X19" s="1333"/>
      <c r="Y19" s="1333"/>
      <c r="Z19" s="1333"/>
      <c r="AA19" s="1333"/>
      <c r="AB19" s="1333"/>
      <c r="AC19" s="1333"/>
      <c r="AD19" s="1333"/>
      <c r="AE19" s="1333"/>
      <c r="AF19" s="1333"/>
      <c r="AG19" s="1333"/>
      <c r="AH19" s="1333"/>
      <c r="AI19" s="1333"/>
      <c r="AJ19" s="1333"/>
      <c r="AV19"/>
      <c r="AW19"/>
    </row>
    <row r="20" spans="1:49" ht="9" customHeight="1" x14ac:dyDescent="0.25">
      <c r="A20" s="2314"/>
      <c r="B20" s="125"/>
      <c r="C20" s="18"/>
      <c r="D20" s="21"/>
      <c r="E20" s="21"/>
      <c r="F20" s="21"/>
      <c r="G20" s="129"/>
      <c r="H20" s="62"/>
      <c r="I20" s="130"/>
      <c r="J20" s="2279"/>
      <c r="K20" s="2308"/>
      <c r="L20" s="1333"/>
      <c r="M20" s="1333"/>
      <c r="N20" s="1333"/>
      <c r="O20" s="1333"/>
      <c r="P20" s="1333"/>
      <c r="Q20" s="1333"/>
      <c r="R20" s="1333"/>
      <c r="S20" s="1333"/>
      <c r="T20" s="1333"/>
      <c r="U20" s="1333"/>
      <c r="V20" s="1333"/>
      <c r="W20" s="1333"/>
      <c r="X20" s="1333"/>
      <c r="Y20" s="1333"/>
      <c r="Z20" s="1333"/>
      <c r="AA20" s="1333"/>
      <c r="AB20" s="1333"/>
      <c r="AC20" s="1333"/>
      <c r="AD20" s="1333"/>
      <c r="AE20" s="1333"/>
      <c r="AF20" s="1333"/>
      <c r="AG20" s="1333"/>
      <c r="AH20" s="1333"/>
      <c r="AI20" s="1333"/>
      <c r="AJ20" s="1333"/>
    </row>
    <row r="21" spans="1:49" ht="12.75" customHeight="1" x14ac:dyDescent="0.25">
      <c r="A21" s="2314"/>
      <c r="B21" s="125"/>
      <c r="C21" s="2276">
        <f>IF(Date_edited_TAB_C="","",Date_edited_TAB_C)</f>
        <v>44069</v>
      </c>
      <c r="D21" s="2276"/>
      <c r="E21" s="251"/>
      <c r="F21" s="2277" t="str">
        <f>IF(Edit_by_Entity_TAB_C="","",Edit_by_Entity_TAB_C)</f>
        <v>PM</v>
      </c>
      <c r="G21" s="2277"/>
      <c r="H21" s="99" t="str">
        <f>IF(Editor_Name_TAB_C="","",Editor_Name_TAB_C)</f>
        <v>Smith</v>
      </c>
      <c r="I21" s="128"/>
      <c r="J21" s="2279"/>
      <c r="K21" s="2308"/>
      <c r="L21" s="1443" t="str">
        <f ca="1">CONCATENATE("&lt;----Enter/Update ''EDIT DATE'' / ''ENTITY'' / ''EDITOR NAME'' in TAB [",MID(CELL("filename",Date_edited_TAB_C),FIND("]",CELL("filename",Date_edited_TAB_C))+1,255),"]")</f>
        <v>&lt;----Enter/Update ''EDIT DATE'' / ''ENTITY'' / ''EDITOR NAME'' in TAB [C-Design&amp;Const]</v>
      </c>
      <c r="M21" s="1333"/>
      <c r="N21" s="1333"/>
      <c r="O21" s="1333"/>
      <c r="P21" s="1333"/>
      <c r="Q21" s="1333"/>
      <c r="R21" s="1333"/>
      <c r="S21" s="1333"/>
      <c r="T21" s="1333"/>
      <c r="U21" s="1333"/>
      <c r="V21" s="1333"/>
      <c r="W21" s="1333"/>
      <c r="X21" s="1333"/>
      <c r="Y21" s="1333"/>
      <c r="Z21" s="1333"/>
      <c r="AA21" s="1333"/>
      <c r="AB21" s="1333"/>
      <c r="AC21" s="1333"/>
      <c r="AD21" s="1333"/>
      <c r="AE21" s="1333"/>
      <c r="AF21" s="1333"/>
      <c r="AG21" s="1333"/>
      <c r="AH21" s="1333"/>
      <c r="AI21" s="1333"/>
      <c r="AJ21" s="1333"/>
    </row>
    <row r="22" spans="1:49" ht="15" customHeight="1" x14ac:dyDescent="0.25">
      <c r="A22" s="2314"/>
      <c r="B22" s="125"/>
      <c r="C22" s="2060" t="s">
        <v>106</v>
      </c>
      <c r="D22" s="2060"/>
      <c r="E22" s="21"/>
      <c r="F22" s="2060" t="s">
        <v>267</v>
      </c>
      <c r="G22" s="2060"/>
      <c r="H22" s="253" t="s">
        <v>110</v>
      </c>
      <c r="I22" s="128"/>
      <c r="J22" s="2279"/>
      <c r="K22" s="2308"/>
      <c r="L22" s="1333"/>
      <c r="M22" s="1333"/>
      <c r="N22" s="1333"/>
      <c r="O22" s="1333"/>
      <c r="P22" s="1333"/>
      <c r="Q22" s="1333"/>
      <c r="R22" s="1333"/>
      <c r="S22" s="1333"/>
      <c r="T22" s="1333"/>
      <c r="U22" s="1333"/>
      <c r="V22" s="1333"/>
      <c r="W22" s="1333"/>
      <c r="X22" s="1333"/>
      <c r="Y22" s="1333"/>
      <c r="Z22" s="1333"/>
      <c r="AA22" s="1333"/>
      <c r="AB22" s="1333"/>
      <c r="AC22" s="1333"/>
      <c r="AD22" s="1333"/>
      <c r="AE22" s="1333"/>
      <c r="AF22" s="1333"/>
      <c r="AG22" s="1333"/>
      <c r="AH22" s="1333"/>
      <c r="AI22" s="1333"/>
      <c r="AJ22" s="1333"/>
    </row>
    <row r="23" spans="1:49" ht="27" customHeight="1" thickBot="1" x14ac:dyDescent="0.3">
      <c r="A23" s="2314"/>
      <c r="B23" s="125"/>
      <c r="C23" s="261" t="s">
        <v>100</v>
      </c>
      <c r="D23" s="2316" t="s">
        <v>36</v>
      </c>
      <c r="E23" s="2316"/>
      <c r="F23" s="2316"/>
      <c r="G23" s="2309" t="s">
        <v>782</v>
      </c>
      <c r="H23" s="2310"/>
      <c r="I23" s="131"/>
      <c r="J23" s="419" t="s">
        <v>389</v>
      </c>
      <c r="K23" s="2308"/>
      <c r="L23" s="1379" t="s">
        <v>48</v>
      </c>
      <c r="M23" s="1379"/>
      <c r="N23" s="1379"/>
      <c r="O23" s="1379"/>
      <c r="P23" s="1379"/>
      <c r="Q23" s="1333"/>
      <c r="R23" s="1333"/>
      <c r="S23" s="1333"/>
      <c r="T23" s="1333"/>
      <c r="U23" s="1333"/>
      <c r="V23" s="1333"/>
      <c r="W23" s="1333"/>
      <c r="X23" s="1333"/>
      <c r="Y23" s="1333"/>
      <c r="Z23" s="1333"/>
      <c r="AA23" s="1333"/>
      <c r="AB23" s="1333"/>
      <c r="AC23" s="1333"/>
      <c r="AD23" s="1333"/>
      <c r="AE23" s="1333"/>
      <c r="AF23" s="1333"/>
      <c r="AG23" s="1333"/>
      <c r="AH23" s="1333"/>
      <c r="AI23" s="1333"/>
      <c r="AJ23" s="1333"/>
    </row>
    <row r="24" spans="1:49" s="1" customFormat="1" ht="6.75" customHeight="1" thickTop="1" x14ac:dyDescent="0.3">
      <c r="A24" s="1331"/>
      <c r="B24" s="67"/>
      <c r="C24" s="25"/>
      <c r="D24" s="26"/>
      <c r="E24" s="26"/>
      <c r="F24" s="26"/>
      <c r="G24" s="27"/>
      <c r="H24" s="27"/>
      <c r="I24" s="132"/>
      <c r="J24" s="17"/>
      <c r="K24" s="224"/>
      <c r="L24" s="1333"/>
      <c r="M24" s="1333"/>
      <c r="N24" s="1333"/>
      <c r="O24" s="1333"/>
      <c r="P24" s="1333"/>
      <c r="Q24" s="1333"/>
      <c r="R24" s="1333"/>
      <c r="S24" s="1449"/>
      <c r="T24" s="1333"/>
      <c r="U24" s="1333"/>
      <c r="V24" s="1333"/>
      <c r="W24" s="1333"/>
      <c r="X24" s="1333"/>
      <c r="Y24" s="1333"/>
      <c r="Z24" s="1333"/>
      <c r="AA24" s="1333"/>
      <c r="AB24" s="1333"/>
      <c r="AC24" s="1333"/>
      <c r="AD24" s="1333"/>
      <c r="AE24" s="1333"/>
      <c r="AF24" s="1333"/>
      <c r="AG24" s="1333"/>
      <c r="AH24" s="1333"/>
      <c r="AI24" s="1333"/>
      <c r="AJ24" s="1333"/>
      <c r="AK24" s="13"/>
      <c r="AL24" s="13"/>
      <c r="AM24" s="13"/>
      <c r="AN24" s="13"/>
      <c r="AO24" s="13"/>
      <c r="AP24" s="13"/>
      <c r="AQ24" s="13"/>
      <c r="AR24" s="13"/>
      <c r="AS24" s="13"/>
      <c r="AT24" s="13"/>
      <c r="AU24" s="13"/>
      <c r="AV24" s="13"/>
      <c r="AW24" s="13"/>
    </row>
    <row r="25" spans="1:49" s="255" customFormat="1" ht="18.75" x14ac:dyDescent="0.3">
      <c r="A25" s="1551" t="str">
        <f>IF(COUNTIF('04 - 95% CD'!D25:G25,"Y")&gt;0,"Y",IF(COUNTIF('04 - 95% CD'!D25:G25,"N"),"N",""))</f>
        <v>Y</v>
      </c>
      <c r="B25" s="318"/>
      <c r="C25" s="949"/>
      <c r="D25" s="489" t="str">
        <f>IF('C-Design&amp;Const'!$Q25="","",'C-Design&amp;Const'!$Q25)</f>
        <v>Y</v>
      </c>
      <c r="E25" s="498"/>
      <c r="F25" s="493"/>
      <c r="G25" s="319" t="str">
        <f>IF('C-Design&amp;Const'!Y25="","",'C-Design&amp;Const'!Y25)</f>
        <v>00. *</v>
      </c>
      <c r="H25" s="298" t="str">
        <f>(CONCATENATE('C-Design&amp;Const'!Z25,IF(D25="N"," Not Used In This Design Phase",J25)))</f>
        <v>Minimum List of Deliverables - Current</v>
      </c>
      <c r="I25" s="183"/>
      <c r="J25" s="578" t="str">
        <f>IF('C-Design&amp;Const'!AI25="","",'C-Design&amp;Const'!AI25)</f>
        <v xml:space="preserve"> - Current</v>
      </c>
      <c r="K25" s="285" t="str">
        <f>IF((COUNTIF(D25:G25,"Y")=COUNTIF('04 - 95% CD'!A25,"Y")),"match","no 95% match")</f>
        <v>match</v>
      </c>
      <c r="L25" s="1410" t="str">
        <f t="shared" ref="L25:L99" si="0">CONCATENATE(IF(ISNUMBER(SEARCH("Placeholder",H25))=TRUE,"&lt;---PM/Planner may hide PLACEHOLDER ROW",""))</f>
        <v/>
      </c>
      <c r="M25" s="1449"/>
      <c r="N25" s="1449"/>
      <c r="O25" s="1449"/>
      <c r="P25" s="1449"/>
      <c r="Q25" s="1449"/>
      <c r="R25" s="1450"/>
      <c r="S25" s="1451"/>
      <c r="T25" s="1364"/>
      <c r="U25" s="1449"/>
      <c r="V25" s="1449"/>
      <c r="W25" s="1449"/>
      <c r="X25" s="1449"/>
      <c r="Y25" s="1449"/>
      <c r="Z25" s="1449"/>
      <c r="AA25" s="1449"/>
      <c r="AB25" s="1449"/>
      <c r="AC25" s="1449"/>
      <c r="AD25" s="1449"/>
      <c r="AE25" s="1449"/>
      <c r="AF25" s="1449"/>
      <c r="AG25" s="1449"/>
      <c r="AH25" s="1449"/>
      <c r="AI25" s="1449"/>
      <c r="AJ25" s="1449"/>
    </row>
    <row r="26" spans="1:49" s="255" customFormat="1" ht="17.25" customHeight="1" x14ac:dyDescent="0.25">
      <c r="A26" s="1959" t="str">
        <f>IF(COUNTIF('04 - 95% CD'!D26:G26,"Y")&gt;0,"Y",IF(COUNTIF('04 - 95% CD'!D26:G26,"N"),"N",""))</f>
        <v/>
      </c>
      <c r="B26" s="1960"/>
      <c r="C26" s="949"/>
      <c r="D26" s="321"/>
      <c r="E26" s="321"/>
      <c r="F26" s="321"/>
      <c r="G26" s="320"/>
      <c r="H26" s="526"/>
      <c r="I26" s="188"/>
      <c r="J26" s="578" t="str">
        <f>IF('C-Design&amp;Const'!AI26="","",'C-Design&amp;Const'!AI26)</f>
        <v/>
      </c>
      <c r="K26" s="285" t="str">
        <f>IF((COUNTIF(D26:G26,"Y")=COUNTIF('04 - 95% CD'!A26,"Y")),"match","no 95% match")</f>
        <v>match</v>
      </c>
      <c r="L26" s="1410" t="str">
        <f t="shared" si="0"/>
        <v/>
      </c>
      <c r="M26" s="1449"/>
      <c r="N26" s="1449"/>
      <c r="O26" s="1449"/>
      <c r="P26" s="1449"/>
      <c r="Q26" s="1449"/>
      <c r="R26" s="1457"/>
      <c r="S26" s="1364"/>
      <c r="T26" s="1364"/>
      <c r="U26" s="1449"/>
      <c r="V26" s="1449"/>
      <c r="W26" s="1449"/>
      <c r="X26" s="1449"/>
      <c r="Y26" s="1449"/>
      <c r="Z26" s="1449"/>
      <c r="AA26" s="1449"/>
      <c r="AB26" s="1449"/>
      <c r="AC26" s="1449"/>
      <c r="AD26" s="1449"/>
      <c r="AE26" s="1449"/>
      <c r="AF26" s="1449"/>
      <c r="AG26" s="1449"/>
      <c r="AH26" s="1449"/>
      <c r="AI26" s="1449"/>
      <c r="AJ26" s="1449"/>
    </row>
    <row r="27" spans="1:49" s="255" customFormat="1" ht="18.75" x14ac:dyDescent="0.3">
      <c r="A27" s="1961" t="str">
        <f>IF(COUNTIF('04 - 95% CD'!D27:G27,"Y")&gt;0,"Y",IF(COUNTIF('04 - 95% CD'!D27:G27,"N"),"N",""))</f>
        <v>Y</v>
      </c>
      <c r="B27" s="1960"/>
      <c r="C27" s="949"/>
      <c r="D27" s="559" t="str">
        <f>IF('C-Design&amp;Const'!$Q27="","",'C-Design&amp;Const'!$Q27)</f>
        <v>Y</v>
      </c>
      <c r="E27" s="234"/>
      <c r="F27" s="235"/>
      <c r="G27" s="291" t="str">
        <f>IF('C-Design&amp;Const'!Y27="","",'C-Design&amp;Const'!Y27)</f>
        <v>01.</v>
      </c>
      <c r="H27" s="290" t="str">
        <f>(CONCATENATE('C-Design&amp;Const'!Z27,IF(D27="N"," Not Used In This Design Phase",J27)))</f>
        <v>Construction Cost Estimate - Quantity Takeoff in CSI Format (Updated including Bid Alts.)</v>
      </c>
      <c r="I27" s="183"/>
      <c r="J27" s="578" t="str">
        <f>IF('C-Design&amp;Const'!AI27="","",'C-Design&amp;Const'!AI27)</f>
        <v xml:space="preserve"> - Quantity Takeoff in CSI Format (Updated including Bid Alts.)</v>
      </c>
      <c r="K27" s="285" t="str">
        <f>IF((COUNTIF(D27:G27,"Y")=COUNTIF('04 - 95% CD'!A27,"Y")),"match","no 95% match")</f>
        <v>match</v>
      </c>
      <c r="L27" s="1410" t="str">
        <f t="shared" si="0"/>
        <v/>
      </c>
      <c r="M27" s="1449"/>
      <c r="N27" s="1449"/>
      <c r="O27" s="1449"/>
      <c r="P27" s="1449"/>
      <c r="Q27" s="1449"/>
      <c r="R27" s="1450"/>
      <c r="S27" s="1451"/>
      <c r="T27" s="1364"/>
      <c r="U27" s="1449"/>
      <c r="V27" s="1449"/>
      <c r="W27" s="1449"/>
      <c r="X27" s="1449"/>
      <c r="Y27" s="1449"/>
      <c r="Z27" s="1449"/>
      <c r="AA27" s="1449"/>
      <c r="AB27" s="1449"/>
      <c r="AC27" s="1449"/>
      <c r="AD27" s="1449"/>
      <c r="AE27" s="1449"/>
      <c r="AF27" s="1449"/>
      <c r="AG27" s="1449"/>
      <c r="AH27" s="1449"/>
      <c r="AI27" s="1449"/>
      <c r="AJ27" s="1449"/>
    </row>
    <row r="28" spans="1:49" s="255" customFormat="1" ht="15" customHeight="1" x14ac:dyDescent="0.25">
      <c r="A28" s="1961"/>
      <c r="B28" s="1960"/>
      <c r="C28" s="944"/>
      <c r="D28" s="463"/>
      <c r="E28" s="359" t="str">
        <f>IF('C-Design&amp;Const'!$Q28="","",'C-Design&amp;Const'!$Q28)</f>
        <v>Y</v>
      </c>
      <c r="F28" s="235"/>
      <c r="G28" s="291"/>
      <c r="H28" s="340" t="str">
        <f>CONCATENATE(IF(ISNUMBER(SEARCH("Placeholder",'C-Design&amp;Const'!Z28))=TRUE,"",IF(E28="N","PLACEHOLDER ROW - ","")),'C-Design&amp;Const'!Z28,IF(E28="N","",J28))</f>
        <v>Construction Cost Estimate (Updates to)</v>
      </c>
      <c r="I28" s="552"/>
      <c r="J28" s="578" t="str">
        <f>IF('C-Design&amp;Const'!AI28="","",'C-Design&amp;Const'!AI28)</f>
        <v xml:space="preserve"> (Updates to)</v>
      </c>
      <c r="K28" s="285" t="str">
        <f>IF((COUNTIF(D28:G28,"Y")=COUNTIF('04 - 95% CD'!A28,"Y")),"match","no 95% match")</f>
        <v>no 95% match</v>
      </c>
      <c r="L28" s="1410"/>
      <c r="M28" s="1449"/>
      <c r="N28" s="1449"/>
      <c r="O28" s="1449"/>
      <c r="P28" s="1449"/>
      <c r="Q28" s="1449"/>
      <c r="R28" s="1450"/>
      <c r="S28" s="1451"/>
      <c r="T28" s="1364"/>
      <c r="U28" s="1449"/>
      <c r="V28" s="1449"/>
      <c r="W28" s="1449"/>
      <c r="X28" s="1449"/>
      <c r="Y28" s="1449"/>
      <c r="Z28" s="1449"/>
      <c r="AA28" s="1449"/>
      <c r="AB28" s="1449"/>
      <c r="AC28" s="1449"/>
      <c r="AD28" s="1449"/>
      <c r="AE28" s="1449"/>
      <c r="AF28" s="1449"/>
      <c r="AG28" s="1449"/>
      <c r="AH28" s="1449"/>
      <c r="AI28" s="1449"/>
      <c r="AJ28" s="1449"/>
    </row>
    <row r="29" spans="1:49" s="255" customFormat="1" ht="15" customHeight="1" x14ac:dyDescent="0.25">
      <c r="A29" s="1961"/>
      <c r="B29" s="1960"/>
      <c r="C29" s="944"/>
      <c r="D29" s="463"/>
      <c r="E29" s="359" t="str">
        <f>IF('C-Design&amp;Const'!$Q29="","",'C-Design&amp;Const'!$Q29)</f>
        <v>N</v>
      </c>
      <c r="F29" s="235"/>
      <c r="G29" s="291"/>
      <c r="H29" s="340" t="str">
        <f>CONCATENATE(IF(ISNUMBER(SEARCH("Placeholder",'C-Design&amp;Const'!Z29))=TRUE,"",IF(E29="N","PLACEHOLDER ROW - ","")),'C-Design&amp;Const'!Z29,IF(E29="N","",J29))</f>
        <v>PLACEHOLDER ROW - Reconciliation with Owner's 3rd party estimater</v>
      </c>
      <c r="I29" s="552"/>
      <c r="J29" s="578" t="str">
        <f>IF('C-Design&amp;Const'!AI29="","",'C-Design&amp;Const'!AI29)</f>
        <v xml:space="preserve"> (Updates to)</v>
      </c>
      <c r="K29" s="285" t="str">
        <f>IF((COUNTIF(D29:G29,"Y")=COUNTIF('04 - 95% CD'!A29,"Y")),"match","no 95% match")</f>
        <v>match</v>
      </c>
      <c r="L29" s="1410"/>
      <c r="M29" s="1449"/>
      <c r="N29" s="1449"/>
      <c r="O29" s="1449"/>
      <c r="P29" s="1449"/>
      <c r="Q29" s="1449"/>
      <c r="R29" s="1450"/>
      <c r="S29" s="1451"/>
      <c r="T29" s="1364"/>
      <c r="U29" s="1449"/>
      <c r="V29" s="1449"/>
      <c r="W29" s="1449"/>
      <c r="X29" s="1449"/>
      <c r="Y29" s="1449"/>
      <c r="Z29" s="1449"/>
      <c r="AA29" s="1449"/>
      <c r="AB29" s="1449"/>
      <c r="AC29" s="1449"/>
      <c r="AD29" s="1449"/>
      <c r="AE29" s="1449"/>
      <c r="AF29" s="1449"/>
      <c r="AG29" s="1449"/>
      <c r="AH29" s="1449"/>
      <c r="AI29" s="1449"/>
      <c r="AJ29" s="1449"/>
    </row>
    <row r="30" spans="1:49" s="255" customFormat="1" ht="15" customHeight="1" x14ac:dyDescent="0.25">
      <c r="A30" s="1961"/>
      <c r="B30" s="1960"/>
      <c r="C30" s="944"/>
      <c r="D30" s="463"/>
      <c r="E30" s="359" t="str">
        <f>IF('C-Design&amp;Const'!$Q30="","",'C-Design&amp;Const'!$Q30)</f>
        <v>N</v>
      </c>
      <c r="F30" s="235"/>
      <c r="G30" s="291"/>
      <c r="H30" s="1890" t="str">
        <f>CONCATENATE(IF(ISNUMBER(SEARCH("Placeholder",'C-Design&amp;Const'!Z30))=TRUE,"",IF(E30="N","PLACEHOLDER ROW - ","")),'C-Design&amp;Const'!Z30,IF(E30="N","",J30))</f>
        <v>PLACEHOLDER ROW - CUSTOM ROW - OPTIONAL CLIENT ITEM</v>
      </c>
      <c r="I30" s="552"/>
      <c r="J30" s="578" t="str">
        <f>IF('C-Design&amp;Const'!AI30="","",'C-Design&amp;Const'!AI30)</f>
        <v xml:space="preserve"> (Updates to)</v>
      </c>
      <c r="K30" s="285" t="str">
        <f>IF((COUNTIF(D30:G30,"Y")=COUNTIF('04 - 95% CD'!A30,"Y")),"match","no 95% match")</f>
        <v>match</v>
      </c>
      <c r="L30" s="1410"/>
      <c r="M30" s="1449"/>
      <c r="N30" s="1449"/>
      <c r="O30" s="1449"/>
      <c r="P30" s="1449"/>
      <c r="Q30" s="1449"/>
      <c r="R30" s="1450"/>
      <c r="S30" s="1451"/>
      <c r="T30" s="1364"/>
      <c r="U30" s="1449"/>
      <c r="V30" s="1449"/>
      <c r="W30" s="1449"/>
      <c r="X30" s="1449"/>
      <c r="Y30" s="1449"/>
      <c r="Z30" s="1449"/>
      <c r="AA30" s="1449"/>
      <c r="AB30" s="1449"/>
      <c r="AC30" s="1449"/>
      <c r="AD30" s="1449"/>
      <c r="AE30" s="1449"/>
      <c r="AF30" s="1449"/>
      <c r="AG30" s="1449"/>
      <c r="AH30" s="1449"/>
      <c r="AI30" s="1449"/>
      <c r="AJ30" s="1449"/>
    </row>
    <row r="31" spans="1:49" s="255" customFormat="1" ht="33" customHeight="1" x14ac:dyDescent="0.25">
      <c r="A31" s="1959" t="str">
        <f>IF(COUNTIF('04 - 95% CD'!D31:G31,"Y")&gt;0,"Y",IF(COUNTIF('04 - 95% CD'!D31:G31,"N"),"N",""))</f>
        <v/>
      </c>
      <c r="B31" s="1960"/>
      <c r="C31" s="949"/>
      <c r="D31" s="321"/>
      <c r="E31" s="321"/>
      <c r="F31" s="321"/>
      <c r="G31" s="320"/>
      <c r="H31" s="1006" t="str">
        <f>IF(D27="N","",IF('C-Design&amp;Const'!Z31="","",'C-Design&amp;Const'!Z31))</f>
        <v>Estimates for all ADA upgrades and deficiency corrections shall be broken out in an additional estimate</v>
      </c>
      <c r="I31" s="188"/>
      <c r="J31" s="578" t="str">
        <f>IF('C-Design&amp;Const'!AI31="","",'C-Design&amp;Const'!AI31)</f>
        <v/>
      </c>
      <c r="K31" s="285" t="str">
        <f>IF((COUNTIF(D31:G31,"Y")=COUNTIF('04 - 95% CD'!A31,"Y")),"match","no 95% match")</f>
        <v>match</v>
      </c>
      <c r="L31" s="2306" t="s">
        <v>941</v>
      </c>
      <c r="M31" s="2307"/>
      <c r="N31" s="2307"/>
      <c r="O31" s="2307"/>
      <c r="P31" s="2307"/>
      <c r="Q31" s="2307"/>
      <c r="R31" s="2307"/>
      <c r="S31" s="2307"/>
      <c r="T31" s="2307"/>
      <c r="U31" s="2307"/>
      <c r="V31" s="1449"/>
      <c r="W31" s="1449"/>
      <c r="X31" s="1449"/>
      <c r="Y31" s="1449"/>
      <c r="Z31" s="1449"/>
      <c r="AA31" s="1449"/>
      <c r="AB31" s="1449"/>
      <c r="AC31" s="1449"/>
      <c r="AD31" s="1449"/>
      <c r="AE31" s="1449"/>
      <c r="AF31" s="1449"/>
      <c r="AG31" s="1449"/>
      <c r="AH31" s="1449"/>
      <c r="AI31" s="1449"/>
      <c r="AJ31" s="1449"/>
    </row>
    <row r="32" spans="1:49" s="255" customFormat="1" ht="18.75" x14ac:dyDescent="0.3">
      <c r="A32" s="1961" t="str">
        <f>IF(COUNTIF('04 - 95% CD'!D32:G32,"Y")&gt;0,"Y",IF(COUNTIF('04 - 95% CD'!D32:G32,"N"),"N",""))</f>
        <v>Y</v>
      </c>
      <c r="B32" s="1960"/>
      <c r="C32" s="949"/>
      <c r="D32" s="489" t="str">
        <f>IF('C-Design&amp;Const'!$Q32="","",'C-Design&amp;Const'!$Q32)</f>
        <v>Y</v>
      </c>
      <c r="E32" s="503"/>
      <c r="F32" s="444"/>
      <c r="G32" s="319" t="str">
        <f>IF('C-Design&amp;Const'!Y32="","",'C-Design&amp;Const'!Y32)</f>
        <v>02. *</v>
      </c>
      <c r="H32" s="298" t="str">
        <f>(CONCATENATE('C-Design&amp;Const'!Z32,IF(D32="N"," Not Used In This Design Phase",J32)))</f>
        <v>Project Schedule - Updated</v>
      </c>
      <c r="I32" s="183"/>
      <c r="J32" s="578" t="str">
        <f>IF('C-Design&amp;Const'!AI32="","",'C-Design&amp;Const'!AI32)</f>
        <v xml:space="preserve"> - Updated</v>
      </c>
      <c r="K32" s="285" t="str">
        <f>IF((COUNTIF(D32:G32,"Y")=COUNTIF('04 - 95% CD'!A32,"Y")),"match","no 95% match")</f>
        <v>match</v>
      </c>
      <c r="L32" s="1410" t="str">
        <f t="shared" si="0"/>
        <v/>
      </c>
      <c r="M32" s="1449"/>
      <c r="N32" s="1449"/>
      <c r="O32" s="1449"/>
      <c r="P32" s="1449"/>
      <c r="Q32" s="1449"/>
      <c r="R32" s="1450"/>
      <c r="S32" s="1451"/>
      <c r="T32" s="1364"/>
      <c r="U32" s="1449"/>
      <c r="V32" s="1449"/>
      <c r="W32" s="1449"/>
      <c r="X32" s="1449"/>
      <c r="Y32" s="1449"/>
      <c r="Z32" s="1449"/>
      <c r="AA32" s="1449"/>
      <c r="AB32" s="1449"/>
      <c r="AC32" s="1449"/>
      <c r="AD32" s="1449"/>
      <c r="AE32" s="1449"/>
      <c r="AF32" s="1449"/>
      <c r="AG32" s="1449"/>
      <c r="AH32" s="1449"/>
      <c r="AI32" s="1449"/>
      <c r="AJ32" s="1449"/>
    </row>
    <row r="33" spans="1:50" s="255" customFormat="1" ht="15" customHeight="1" x14ac:dyDescent="0.25">
      <c r="A33" s="1961"/>
      <c r="B33" s="1960"/>
      <c r="C33" s="944"/>
      <c r="D33" s="463"/>
      <c r="E33" s="359" t="str">
        <f>IF('C-Design&amp;Const'!$Q33="","",'C-Design&amp;Const'!$Q33)</f>
        <v>Y</v>
      </c>
      <c r="F33" s="235"/>
      <c r="G33" s="291"/>
      <c r="H33" s="340" t="str">
        <f>CONCATENATE(IF(ISNUMBER(SEARCH("Placeholder",'C-Design&amp;Const'!Z33))=TRUE,"",IF(E33="N","PLACEHOLDER ROW - ","")),'C-Design&amp;Const'!Z33,IF(E33="N","",J33))</f>
        <v>Project Schedule (Updates to)</v>
      </c>
      <c r="I33" s="552"/>
      <c r="J33" s="578" t="str">
        <f>IF('C-Design&amp;Const'!AI33="","",'C-Design&amp;Const'!AI33)</f>
        <v xml:space="preserve"> (Updates to)</v>
      </c>
      <c r="K33" s="285" t="str">
        <f>IF((COUNTIF(D33:G33,"Y")=COUNTIF('04 - 95% CD'!A33,"Y")),"match","no 95% match")</f>
        <v>no 95% match</v>
      </c>
      <c r="L33" s="1410"/>
      <c r="M33" s="1449"/>
      <c r="N33" s="1449"/>
      <c r="O33" s="1449"/>
      <c r="P33" s="1449"/>
      <c r="Q33" s="1449"/>
      <c r="R33" s="1450"/>
      <c r="S33" s="1451"/>
      <c r="T33" s="1364"/>
      <c r="U33" s="1449"/>
      <c r="V33" s="1449"/>
      <c r="W33" s="1449"/>
      <c r="X33" s="1449"/>
      <c r="Y33" s="1449"/>
      <c r="Z33" s="1449"/>
      <c r="AA33" s="1449"/>
      <c r="AB33" s="1449"/>
      <c r="AC33" s="1449"/>
      <c r="AD33" s="1449"/>
      <c r="AE33" s="1449"/>
      <c r="AF33" s="1449"/>
      <c r="AG33" s="1449"/>
      <c r="AH33" s="1449"/>
      <c r="AI33" s="1449"/>
      <c r="AJ33" s="1449"/>
    </row>
    <row r="34" spans="1:50" s="255" customFormat="1" ht="15" customHeight="1" x14ac:dyDescent="0.25">
      <c r="A34" s="1961"/>
      <c r="B34" s="1960"/>
      <c r="C34" s="944"/>
      <c r="D34" s="463"/>
      <c r="E34" s="359" t="str">
        <f>IF('C-Design&amp;Const'!$Q34="","",'C-Design&amp;Const'!$Q34)</f>
        <v>N</v>
      </c>
      <c r="F34" s="235"/>
      <c r="G34" s="291"/>
      <c r="H34" s="340" t="str">
        <f>CONCATENATE(IF(ISNUMBER(SEARCH("Placeholder",'C-Design&amp;Const'!Z34))=TRUE,"",IF(E34="N","PLACEHOLDER ROW - ","")),'C-Design&amp;Const'!Z34,IF(E34="N","",J34))</f>
        <v>PLACEHOLDER ROW - Summary of Coordination with Owner's 3rd party scheduler</v>
      </c>
      <c r="I34" s="552"/>
      <c r="J34" s="578" t="str">
        <f>IF('C-Design&amp;Const'!AI34="","",'C-Design&amp;Const'!AI34)</f>
        <v xml:space="preserve"> (Updates to)</v>
      </c>
      <c r="K34" s="285" t="str">
        <f>IF((COUNTIF(D34:G34,"Y")=COUNTIF('04 - 95% CD'!A34,"Y")),"match","no 95% match")</f>
        <v>match</v>
      </c>
      <c r="L34" s="1410"/>
      <c r="M34" s="1449"/>
      <c r="N34" s="1449"/>
      <c r="O34" s="1449"/>
      <c r="P34" s="1449"/>
      <c r="Q34" s="1449"/>
      <c r="R34" s="1450"/>
      <c r="S34" s="1451"/>
      <c r="T34" s="1364"/>
      <c r="U34" s="1449"/>
      <c r="V34" s="1449"/>
      <c r="W34" s="1449"/>
      <c r="X34" s="1449"/>
      <c r="Y34" s="1449"/>
      <c r="Z34" s="1449"/>
      <c r="AA34" s="1449"/>
      <c r="AB34" s="1449"/>
      <c r="AC34" s="1449"/>
      <c r="AD34" s="1449"/>
      <c r="AE34" s="1449"/>
      <c r="AF34" s="1449"/>
      <c r="AG34" s="1449"/>
      <c r="AH34" s="1449"/>
      <c r="AI34" s="1449"/>
      <c r="AJ34" s="1449"/>
    </row>
    <row r="35" spans="1:50" s="255" customFormat="1" ht="15" customHeight="1" x14ac:dyDescent="0.25">
      <c r="A35" s="1961"/>
      <c r="B35" s="1960"/>
      <c r="C35" s="944"/>
      <c r="D35" s="463"/>
      <c r="E35" s="359" t="str">
        <f>IF('C-Design&amp;Const'!$Q35="","",'C-Design&amp;Const'!$Q35)</f>
        <v>N</v>
      </c>
      <c r="F35" s="235"/>
      <c r="G35" s="291"/>
      <c r="H35" s="340" t="str">
        <f>CONCATENATE(IF(ISNUMBER(SEARCH("Placeholder",'C-Design&amp;Const'!Z35))=TRUE,"",IF(E35="N","PLACEHOLDER ROW - ","")),'C-Design&amp;Const'!Z35,IF(E35="N","",J35))</f>
        <v>PLACEHOLDER ROW - Reconciliation with Owner's 3rd party scheduler</v>
      </c>
      <c r="I35" s="552"/>
      <c r="J35" s="578" t="str">
        <f>IF('C-Design&amp;Const'!AI35="","",'C-Design&amp;Const'!AI35)</f>
        <v xml:space="preserve"> (Updates to)</v>
      </c>
      <c r="K35" s="285" t="str">
        <f>IF((COUNTIF(D35:G35,"Y")=COUNTIF('04 - 95% CD'!A35,"Y")),"match","no 95% match")</f>
        <v>match</v>
      </c>
      <c r="L35" s="1410"/>
      <c r="M35" s="1449"/>
      <c r="N35" s="1449"/>
      <c r="O35" s="1449"/>
      <c r="P35" s="1449"/>
      <c r="Q35" s="1449"/>
      <c r="R35" s="1450"/>
      <c r="S35" s="1451"/>
      <c r="T35" s="1364"/>
      <c r="U35" s="1449"/>
      <c r="V35" s="1449"/>
      <c r="W35" s="1449"/>
      <c r="X35" s="1449"/>
      <c r="Y35" s="1449"/>
      <c r="Z35" s="1449"/>
      <c r="AA35" s="1449"/>
      <c r="AB35" s="1449"/>
      <c r="AC35" s="1449"/>
      <c r="AD35" s="1449"/>
      <c r="AE35" s="1449"/>
      <c r="AF35" s="1449"/>
      <c r="AG35" s="1449"/>
      <c r="AH35" s="1449"/>
      <c r="AI35" s="1449"/>
      <c r="AJ35" s="1449"/>
    </row>
    <row r="36" spans="1:50" s="255" customFormat="1" x14ac:dyDescent="0.25">
      <c r="A36" s="1959" t="str">
        <f>IF(COUNTIF('04 - 95% CD'!D36:G36,"Y")&gt;0,"Y",IF(COUNTIF('04 - 95% CD'!D36:G36,"N"),"N",""))</f>
        <v/>
      </c>
      <c r="B36" s="1960"/>
      <c r="C36" s="949"/>
      <c r="D36" s="321"/>
      <c r="E36" s="321"/>
      <c r="F36" s="321"/>
      <c r="G36" s="320"/>
      <c r="H36" s="321"/>
      <c r="I36" s="188"/>
      <c r="J36" s="578" t="str">
        <f>IF('C-Design&amp;Const'!AI36="","",'C-Design&amp;Const'!AI36)</f>
        <v/>
      </c>
      <c r="K36" s="285" t="str">
        <f>IF((COUNTIF(D36:G36,"Y")=COUNTIF('04 - 95% CD'!A36,"Y")),"match","no 95% match")</f>
        <v>match</v>
      </c>
      <c r="L36" s="1410" t="str">
        <f t="shared" si="0"/>
        <v/>
      </c>
      <c r="M36" s="1449"/>
      <c r="N36" s="1449"/>
      <c r="O36" s="1449"/>
      <c r="P36" s="1449"/>
      <c r="Q36" s="1449"/>
      <c r="R36" s="1457"/>
      <c r="S36" s="1364"/>
      <c r="T36" s="1364"/>
      <c r="U36" s="1449"/>
      <c r="V36" s="1449"/>
      <c r="W36" s="1449"/>
      <c r="X36" s="1449"/>
      <c r="Y36" s="1449"/>
      <c r="Z36" s="1449"/>
      <c r="AA36" s="1449"/>
      <c r="AB36" s="1449"/>
      <c r="AC36" s="1449"/>
      <c r="AD36" s="1449"/>
      <c r="AE36" s="1449"/>
      <c r="AF36" s="1449"/>
      <c r="AG36" s="1449"/>
      <c r="AH36" s="1449"/>
      <c r="AI36" s="1449"/>
      <c r="AJ36" s="1449"/>
    </row>
    <row r="37" spans="1:50" s="255" customFormat="1" ht="25.5" customHeight="1" x14ac:dyDescent="0.3">
      <c r="A37" s="1961" t="str">
        <f>IF(COUNTIF('04 - 95% CD'!D37:G37,"Y")&gt;0,"Y",IF(COUNTIF('04 - 95% CD'!D37:G37,"N"),"N",""))</f>
        <v>Y</v>
      </c>
      <c r="B37" s="1960"/>
      <c r="C37" s="950"/>
      <c r="D37" s="489" t="str">
        <f>IF('C-Design&amp;Const'!$Q37="","",'C-Design&amp;Const'!$Q37)</f>
        <v>Y</v>
      </c>
      <c r="E37" s="503"/>
      <c r="F37" s="444"/>
      <c r="G37" s="319" t="str">
        <f>IF('C-Design&amp;Const'!Y37="","",'C-Design&amp;Const'!Y37)</f>
        <v>03.</v>
      </c>
      <c r="H37" s="298" t="str">
        <f>(CONCATENATE('C-Design&amp;Const'!Z37,IF(D37="N"," Not Used In This Design Phase",J37)))</f>
        <v>Written Response to Comments</v>
      </c>
      <c r="I37" s="183"/>
      <c r="J37" s="578" t="str">
        <f>IF('C-Design&amp;Const'!AI37="","",'C-Design&amp;Const'!AI37)</f>
        <v/>
      </c>
      <c r="K37" s="285" t="str">
        <f>IF((COUNTIF(D37:G37,"Y")=COUNTIF('04 - 95% CD'!A37,"Y")),"match","no 95% match")</f>
        <v>match</v>
      </c>
      <c r="L37" s="1410" t="str">
        <f t="shared" si="0"/>
        <v/>
      </c>
      <c r="M37" s="1449"/>
      <c r="N37" s="1449"/>
      <c r="O37" s="1449"/>
      <c r="P37" s="1449"/>
      <c r="Q37" s="1449"/>
      <c r="R37" s="1450"/>
      <c r="S37" s="1451"/>
      <c r="T37" s="1364"/>
      <c r="U37" s="1449"/>
      <c r="V37" s="1449"/>
      <c r="W37" s="1449"/>
      <c r="X37" s="1449"/>
      <c r="Y37" s="1449"/>
      <c r="Z37" s="1449"/>
      <c r="AA37" s="1449"/>
      <c r="AB37" s="1449"/>
      <c r="AC37" s="1449"/>
      <c r="AD37" s="1449"/>
      <c r="AE37" s="1449"/>
      <c r="AF37" s="1449"/>
      <c r="AG37" s="1449"/>
      <c r="AH37" s="1449"/>
      <c r="AI37" s="1449"/>
      <c r="AJ37" s="1449"/>
    </row>
    <row r="38" spans="1:50" s="17" customFormat="1" x14ac:dyDescent="0.25">
      <c r="A38" s="1962" t="str">
        <f>IF(COUNTIF('04 - 95% CD'!D38:G38,"Y")&gt;0,"Y",IF(COUNTIF('04 - 95% CD'!D38:G38,"N"),"N",""))</f>
        <v/>
      </c>
      <c r="B38" s="1963"/>
      <c r="C38" s="944"/>
      <c r="D38" s="411"/>
      <c r="E38" s="411"/>
      <c r="F38" s="321"/>
      <c r="G38" s="294"/>
      <c r="H38" s="296"/>
      <c r="I38" s="130"/>
      <c r="J38" s="578" t="str">
        <f>IF('C-Design&amp;Const'!AI38="","",'C-Design&amp;Const'!AI38)</f>
        <v/>
      </c>
      <c r="K38" s="285" t="str">
        <f>IF((COUNTIF(D38:G38,"Y")=COUNTIF('04 - 95% CD'!A38,"Y")),"match","no 95% match")</f>
        <v>match</v>
      </c>
      <c r="L38" s="1410" t="str">
        <f t="shared" si="0"/>
        <v/>
      </c>
      <c r="M38" s="1333"/>
      <c r="N38" s="1333"/>
      <c r="O38" s="1333"/>
      <c r="P38" s="1333"/>
      <c r="Q38" s="1333"/>
      <c r="R38" s="1445"/>
      <c r="S38" s="1364"/>
      <c r="T38" s="1284"/>
      <c r="U38" s="1333"/>
      <c r="V38" s="1333"/>
      <c r="W38" s="1333"/>
      <c r="X38" s="1333"/>
      <c r="Y38" s="1333"/>
      <c r="Z38" s="1333"/>
      <c r="AA38" s="1333"/>
      <c r="AB38" s="1333"/>
      <c r="AC38" s="1333"/>
      <c r="AD38" s="1333"/>
      <c r="AE38" s="1333"/>
      <c r="AF38" s="1333"/>
      <c r="AG38" s="1333"/>
      <c r="AH38" s="1333"/>
      <c r="AI38" s="1333"/>
      <c r="AJ38" s="1333"/>
    </row>
    <row r="39" spans="1:50" s="181" customFormat="1" ht="24.75" customHeight="1" x14ac:dyDescent="0.25">
      <c r="A39" s="1964" t="str">
        <f>IF(COUNTIF('04 - 95% CD'!D39:G39,"Y")&gt;0,"Y",IF(COUNTIF('04 - 95% CD'!D39:G39,"N"),"N",""))</f>
        <v>Y</v>
      </c>
      <c r="B39" s="1965"/>
      <c r="C39" s="944"/>
      <c r="D39" s="559" t="str">
        <f>IF('C-Design&amp;Const'!$Q39="","",'C-Design&amp;Const'!$Q39)</f>
        <v>Y</v>
      </c>
      <c r="E39" s="234"/>
      <c r="F39" s="235"/>
      <c r="G39" s="291" t="str">
        <f>IF('C-Design&amp;Const'!Y39="","",'C-Design&amp;Const'!Y39)</f>
        <v>04a. *</v>
      </c>
      <c r="H39" s="290" t="str">
        <f>CONCATENATE('C-Design&amp;Const'!Z39,IF(D39="N"," Not Used In This Construction Phase",J39))</f>
        <v>Basis of Design (BOD) - Updates Only</v>
      </c>
      <c r="I39" s="180"/>
      <c r="J39" s="578" t="str">
        <f>IF('C-Design&amp;Const'!AI39="","",'C-Design&amp;Const'!AI39)</f>
        <v xml:space="preserve"> - Updates Only</v>
      </c>
      <c r="K39" s="285" t="str">
        <f>IF((COUNTIF(D39:G39,"Y")=COUNTIF('04 - 95% CD'!A39,"Y")),"match","no 95% match")</f>
        <v>match</v>
      </c>
      <c r="L39" s="1410" t="str">
        <f t="shared" si="0"/>
        <v/>
      </c>
      <c r="M39" s="1382"/>
      <c r="N39" s="1382"/>
      <c r="O39" s="1382"/>
      <c r="P39" s="1382"/>
      <c r="Q39" s="1382"/>
      <c r="R39" s="1447"/>
      <c r="S39" s="1448"/>
      <c r="T39" s="1382"/>
      <c r="U39" s="1382"/>
      <c r="V39" s="1382"/>
      <c r="W39" s="1382"/>
      <c r="X39" s="1382"/>
      <c r="Y39" s="1382"/>
      <c r="Z39" s="1382"/>
      <c r="AA39" s="1382"/>
      <c r="AB39" s="1382"/>
      <c r="AC39" s="1382"/>
      <c r="AD39" s="1382"/>
      <c r="AE39" s="1382"/>
      <c r="AF39" s="1382"/>
      <c r="AG39" s="1382"/>
      <c r="AH39" s="1382"/>
      <c r="AI39" s="1382"/>
      <c r="AJ39" s="1382"/>
      <c r="AX39" s="30"/>
    </row>
    <row r="40" spans="1:50" s="30" customFormat="1" ht="15" customHeight="1" x14ac:dyDescent="0.25">
      <c r="A40" s="1966" t="str">
        <f>IF(COUNTIF('04 - 95% CD'!D40:G40,"Y")&gt;0,"Y",IF(COUNTIF('04 - 95% CD'!D40:G40,"N"),"N",""))</f>
        <v>Y</v>
      </c>
      <c r="B40" s="9"/>
      <c r="C40" s="944"/>
      <c r="D40" s="463"/>
      <c r="E40" s="359" t="str">
        <f>IF('C-Design&amp;Const'!$Q40="","",'C-Design&amp;Const'!$Q40)</f>
        <v>Y</v>
      </c>
      <c r="F40" s="235"/>
      <c r="G40" s="291"/>
      <c r="H40" s="340" t="str">
        <f>CONCATENATE(IF(ISNUMBER(SEARCH("Placeholder",'C-Design&amp;Const'!Z40))=TRUE,"",IF(E40="N","PLACEHOLDER ROW - ","")),'C-Design&amp;Const'!Z40,IF(E40="N","",J40))</f>
        <v>Project Description  (Updates to)</v>
      </c>
      <c r="I40" s="184"/>
      <c r="J40" s="578" t="str">
        <f>IF('C-Design&amp;Const'!AI40="","",'C-Design&amp;Const'!AI40)</f>
        <v xml:space="preserve"> (Updates to)</v>
      </c>
      <c r="K40" s="285" t="str">
        <f>IF((COUNTIF(D40:G40,"Y")=COUNTIF('04 - 95% CD'!A40,"Y")),"match","no 95% match")</f>
        <v>match</v>
      </c>
      <c r="L40" s="1410" t="str">
        <f t="shared" si="0"/>
        <v/>
      </c>
      <c r="M40" s="1333"/>
      <c r="N40" s="1382"/>
      <c r="O40" s="1382"/>
      <c r="P40" s="1382"/>
      <c r="Q40" s="1382"/>
      <c r="R40" s="1382"/>
      <c r="S40" s="1382"/>
      <c r="T40" s="1382"/>
      <c r="U40" s="1382"/>
      <c r="V40" s="1382"/>
      <c r="W40" s="1382"/>
      <c r="X40" s="1382"/>
      <c r="Y40" s="1382"/>
      <c r="Z40" s="1382"/>
      <c r="AA40" s="1382"/>
      <c r="AB40" s="1382"/>
      <c r="AC40" s="1382"/>
      <c r="AD40" s="1382"/>
      <c r="AE40" s="1382"/>
      <c r="AF40" s="1382"/>
      <c r="AG40" s="1382"/>
      <c r="AH40" s="1382"/>
      <c r="AI40" s="1382"/>
      <c r="AJ40" s="1382"/>
      <c r="AK40" s="181"/>
      <c r="AL40" s="181"/>
      <c r="AM40" s="181"/>
      <c r="AN40" s="181"/>
      <c r="AO40" s="181"/>
      <c r="AP40" s="181"/>
      <c r="AQ40" s="181"/>
      <c r="AR40" s="181"/>
      <c r="AS40" s="181"/>
      <c r="AT40" s="181"/>
      <c r="AU40" s="181"/>
      <c r="AV40" s="181"/>
      <c r="AW40" s="181"/>
    </row>
    <row r="41" spans="1:50" s="30" customFormat="1" ht="15" customHeight="1" x14ac:dyDescent="0.25">
      <c r="A41" s="1966" t="str">
        <f>IF(COUNTIF('04 - 95% CD'!D41:G41,"Y")&gt;0,"Y",IF(COUNTIF('04 - 95% CD'!D41:G41,"N"),"N",""))</f>
        <v>N</v>
      </c>
      <c r="B41" s="9"/>
      <c r="C41" s="944"/>
      <c r="D41" s="463"/>
      <c r="E41" s="359" t="str">
        <f>IF('C-Design&amp;Const'!$Q41="","",'C-Design&amp;Const'!$Q41)</f>
        <v>N</v>
      </c>
      <c r="F41" s="235"/>
      <c r="G41" s="291"/>
      <c r="H41" s="358" t="str">
        <f>CONCATENATE(IF(ISNUMBER(SEARCH("Placeholder",'C-Design&amp;Const'!Z41))=TRUE,"",IF(E41="N","PLACEHOLDER ROW - ","")),'C-Design&amp;Const'!Z41,IF(E41="N","",J41))</f>
        <v xml:space="preserve">PLACEHOLDER ROW - Program Needs Assessment </v>
      </c>
      <c r="I41" s="184"/>
      <c r="J41" s="578" t="str">
        <f>IF('C-Design&amp;Const'!AI41="","",'C-Design&amp;Const'!AI41)</f>
        <v xml:space="preserve"> (Updates to)</v>
      </c>
      <c r="K41" s="285" t="str">
        <f>IF((COUNTIF(D41:G41,"Y")=COUNTIF('04 - 95% CD'!A41,"Y")),"match","no 95% match")</f>
        <v>match</v>
      </c>
      <c r="L41" s="1410" t="str">
        <f t="shared" si="0"/>
        <v>&lt;---PM/Planner may hide PLACEHOLDER ROW</v>
      </c>
      <c r="M41" s="1333"/>
      <c r="N41" s="1382"/>
      <c r="O41" s="1382"/>
      <c r="P41" s="1382"/>
      <c r="Q41" s="1382"/>
      <c r="R41" s="1382"/>
      <c r="S41" s="1382"/>
      <c r="T41" s="1382"/>
      <c r="U41" s="1382"/>
      <c r="V41" s="1382"/>
      <c r="W41" s="1382"/>
      <c r="X41" s="1382"/>
      <c r="Y41" s="1382"/>
      <c r="Z41" s="1382"/>
      <c r="AA41" s="1382"/>
      <c r="AB41" s="1382"/>
      <c r="AC41" s="1382"/>
      <c r="AD41" s="1382"/>
      <c r="AE41" s="1382"/>
      <c r="AF41" s="1382"/>
      <c r="AG41" s="1382"/>
      <c r="AH41" s="1382"/>
      <c r="AI41" s="1382"/>
      <c r="AJ41" s="1382"/>
      <c r="AK41" s="181"/>
      <c r="AL41" s="181"/>
      <c r="AM41" s="181"/>
      <c r="AN41" s="181"/>
      <c r="AO41" s="181"/>
      <c r="AP41" s="181"/>
      <c r="AQ41" s="181"/>
      <c r="AR41" s="181"/>
      <c r="AS41" s="181"/>
      <c r="AT41" s="181"/>
      <c r="AU41" s="181"/>
      <c r="AV41" s="181"/>
      <c r="AW41" s="181"/>
    </row>
    <row r="42" spans="1:50" s="30" customFormat="1" ht="15" customHeight="1" x14ac:dyDescent="0.25">
      <c r="A42" s="1966" t="str">
        <f>IF(COUNTIF('04 - 95% CD'!D42:G42,"Y")&gt;0,"Y",IF(COUNTIF('04 - 95% CD'!D42:G42,"N"),"N",""))</f>
        <v>N</v>
      </c>
      <c r="B42" s="9"/>
      <c r="C42" s="944"/>
      <c r="D42" s="463"/>
      <c r="E42" s="359" t="str">
        <f>IF('C-Design&amp;Const'!$Q42="","",'C-Design&amp;Const'!$Q42)</f>
        <v>N</v>
      </c>
      <c r="F42" s="235"/>
      <c r="G42" s="291"/>
      <c r="H42" s="358" t="str">
        <f>CONCATENATE(IF(ISNUMBER(SEARCH("Placeholder",'C-Design&amp;Const'!Z42))=TRUE,"",IF(E42="N","PLACEHOLDER ROW - ","")),'C-Design&amp;Const'!Z42,IF(E42="N","",J42))</f>
        <v xml:space="preserve">PLACEHOLDER ROW - Program Summary / Analysis </v>
      </c>
      <c r="I42" s="184"/>
      <c r="J42" s="578" t="str">
        <f>IF('C-Design&amp;Const'!AI42="","",'C-Design&amp;Const'!AI42)</f>
        <v xml:space="preserve"> (Updates to)</v>
      </c>
      <c r="K42" s="285" t="str">
        <f>IF((COUNTIF(D42:G42,"Y")=COUNTIF('04 - 95% CD'!A42,"Y")),"match","no 95% match")</f>
        <v>match</v>
      </c>
      <c r="L42" s="1410" t="str">
        <f t="shared" si="0"/>
        <v>&lt;---PM/Planner may hide PLACEHOLDER ROW</v>
      </c>
      <c r="M42" s="1333"/>
      <c r="N42" s="1382"/>
      <c r="O42" s="1382"/>
      <c r="P42" s="1382"/>
      <c r="Q42" s="1382"/>
      <c r="R42" s="1382"/>
      <c r="S42" s="1382"/>
      <c r="T42" s="1382"/>
      <c r="U42" s="1382"/>
      <c r="V42" s="1382"/>
      <c r="W42" s="1382"/>
      <c r="X42" s="1382"/>
      <c r="Y42" s="1382"/>
      <c r="Z42" s="1382"/>
      <c r="AA42" s="1382"/>
      <c r="AB42" s="1382"/>
      <c r="AC42" s="1382"/>
      <c r="AD42" s="1382"/>
      <c r="AE42" s="1382"/>
      <c r="AF42" s="1382"/>
      <c r="AG42" s="1382"/>
      <c r="AH42" s="1382"/>
      <c r="AI42" s="1382"/>
      <c r="AJ42" s="1382"/>
      <c r="AK42" s="181"/>
      <c r="AL42" s="181"/>
      <c r="AM42" s="181"/>
      <c r="AN42" s="181"/>
      <c r="AO42" s="181"/>
      <c r="AP42" s="181"/>
      <c r="AQ42" s="181"/>
      <c r="AR42" s="181"/>
      <c r="AS42" s="181"/>
      <c r="AT42" s="181"/>
      <c r="AU42" s="181"/>
      <c r="AV42" s="181"/>
      <c r="AW42" s="181"/>
    </row>
    <row r="43" spans="1:50" s="30" customFormat="1" ht="15" customHeight="1" x14ac:dyDescent="0.25">
      <c r="A43" s="1966" t="str">
        <f>IF(COUNTIF('04 - 95% CD'!D43:G43,"Y")&gt;0,"Y",IF(COUNTIF('04 - 95% CD'!D43:G43,"N"),"N",""))</f>
        <v>N</v>
      </c>
      <c r="B43" s="9"/>
      <c r="C43" s="944"/>
      <c r="D43" s="463"/>
      <c r="E43" s="359" t="str">
        <f>IF('C-Design&amp;Const'!$Q43="","",'C-Design&amp;Const'!$Q43)</f>
        <v>N</v>
      </c>
      <c r="F43" s="235"/>
      <c r="G43" s="291"/>
      <c r="H43" s="358" t="str">
        <f>CONCATENATE(IF(ISNUMBER(SEARCH("Placeholder",'C-Design&amp;Const'!Z43))=TRUE,"",IF(E43="N","PLACEHOLDER ROW - ","")),'C-Design&amp;Const'!Z43,IF(E43="N","",J43))</f>
        <v>PLACEHOLDER - Program Study</v>
      </c>
      <c r="I43" s="184"/>
      <c r="J43" s="578" t="str">
        <f>IF('C-Design&amp;Const'!AI43="","",'C-Design&amp;Const'!AI43)</f>
        <v xml:space="preserve"> (Updates to)</v>
      </c>
      <c r="K43" s="285" t="str">
        <f>IF((COUNTIF(D43:G43,"Y")=COUNTIF('04 - 95% CD'!A43,"Y")),"match","no 95% match")</f>
        <v>match</v>
      </c>
      <c r="L43" s="1410" t="str">
        <f t="shared" si="0"/>
        <v>&lt;---PM/Planner may hide PLACEHOLDER ROW</v>
      </c>
      <c r="M43" s="1333"/>
      <c r="N43" s="1382"/>
      <c r="O43" s="1382"/>
      <c r="P43" s="1382"/>
      <c r="Q43" s="1382"/>
      <c r="R43" s="1382"/>
      <c r="S43" s="1382"/>
      <c r="T43" s="1382"/>
      <c r="U43" s="1382"/>
      <c r="V43" s="1382"/>
      <c r="W43" s="1382"/>
      <c r="X43" s="1382"/>
      <c r="Y43" s="1382"/>
      <c r="Z43" s="1382"/>
      <c r="AA43" s="1382"/>
      <c r="AB43" s="1382"/>
      <c r="AC43" s="1382"/>
      <c r="AD43" s="1382"/>
      <c r="AE43" s="1382"/>
      <c r="AF43" s="1382"/>
      <c r="AG43" s="1382"/>
      <c r="AH43" s="1382"/>
      <c r="AI43" s="1382"/>
      <c r="AJ43" s="1382"/>
      <c r="AK43" s="181"/>
      <c r="AL43" s="181"/>
      <c r="AM43" s="181"/>
      <c r="AN43" s="181"/>
      <c r="AO43" s="181"/>
      <c r="AP43" s="181"/>
      <c r="AQ43" s="181"/>
      <c r="AR43" s="181"/>
      <c r="AS43" s="181"/>
      <c r="AT43" s="181"/>
      <c r="AU43" s="181"/>
      <c r="AV43" s="181"/>
      <c r="AW43" s="181"/>
    </row>
    <row r="44" spans="1:50" s="30" customFormat="1" ht="15" customHeight="1" x14ac:dyDescent="0.25">
      <c r="A44" s="1966" t="str">
        <f>IF(COUNTIF('04 - 95% CD'!D44:G44,"Y")&gt;0,"Y",IF(COUNTIF('04 - 95% CD'!D44:G44,"N"),"N",""))</f>
        <v>N</v>
      </c>
      <c r="B44" s="9"/>
      <c r="C44" s="944"/>
      <c r="D44" s="463"/>
      <c r="E44" s="359" t="str">
        <f>IF('C-Design&amp;Const'!$Q44="","",'C-Design&amp;Const'!$Q44)</f>
        <v>N</v>
      </c>
      <c r="F44" s="235"/>
      <c r="G44" s="291"/>
      <c r="H44" s="340" t="str">
        <f>CONCATENATE(IF(ISNUMBER(SEARCH("Placeholder",'C-Design&amp;Const'!Z44))=TRUE,"",IF(E44="N","PLACEHOLDER ROW - ","")),'C-Design&amp;Const'!Z44,IF(E44="N","",J44))</f>
        <v xml:space="preserve">PLACEHOLDER ROW - Major Project Goals; Objectives; and Design Requirements </v>
      </c>
      <c r="I44" s="184"/>
      <c r="J44" s="578" t="str">
        <f>IF('C-Design&amp;Const'!AI44="","",'C-Design&amp;Const'!AI44)</f>
        <v xml:space="preserve"> (Updates to)</v>
      </c>
      <c r="K44" s="285" t="str">
        <f>IF((COUNTIF(D44:G44,"Y")=COUNTIF('04 - 95% CD'!A44,"Y")),"match","no 95% match")</f>
        <v>match</v>
      </c>
      <c r="L44" s="1410" t="str">
        <f t="shared" si="0"/>
        <v>&lt;---PM/Planner may hide PLACEHOLDER ROW</v>
      </c>
      <c r="M44" s="1333"/>
      <c r="N44" s="1382"/>
      <c r="O44" s="1382"/>
      <c r="P44" s="1382"/>
      <c r="Q44" s="1382"/>
      <c r="R44" s="1382"/>
      <c r="S44" s="1382"/>
      <c r="T44" s="1382"/>
      <c r="U44" s="1382"/>
      <c r="V44" s="1382"/>
      <c r="W44" s="1382"/>
      <c r="X44" s="1382"/>
      <c r="Y44" s="1382"/>
      <c r="Z44" s="1382"/>
      <c r="AA44" s="1382"/>
      <c r="AB44" s="1382"/>
      <c r="AC44" s="1382"/>
      <c r="AD44" s="1382"/>
      <c r="AE44" s="1382"/>
      <c r="AF44" s="1382"/>
      <c r="AG44" s="1382"/>
      <c r="AH44" s="1382"/>
      <c r="AI44" s="1382"/>
      <c r="AJ44" s="1382"/>
      <c r="AK44" s="181"/>
      <c r="AL44" s="181"/>
      <c r="AM44" s="181"/>
      <c r="AN44" s="181"/>
      <c r="AO44" s="181"/>
      <c r="AP44" s="181"/>
      <c r="AQ44" s="181"/>
      <c r="AR44" s="181"/>
      <c r="AS44" s="181"/>
      <c r="AT44" s="181"/>
      <c r="AU44" s="181"/>
      <c r="AV44" s="181"/>
      <c r="AW44" s="181"/>
    </row>
    <row r="45" spans="1:50" s="30" customFormat="1" x14ac:dyDescent="0.25">
      <c r="A45" s="1966" t="str">
        <f>IF(COUNTIF('04 - 95% CD'!D45:G45,"Y")&gt;0,"Y",IF(COUNTIF('04 - 95% CD'!D45:G45,"N"),"N",""))</f>
        <v>Y</v>
      </c>
      <c r="B45" s="9"/>
      <c r="C45" s="944"/>
      <c r="D45" s="321"/>
      <c r="E45" s="559" t="str">
        <f>IF('C-Design&amp;Const'!$Q45="","",'C-Design&amp;Const'!$Q45)</f>
        <v>Y</v>
      </c>
      <c r="F45" s="560"/>
      <c r="G45" s="558"/>
      <c r="H45" s="238" t="str">
        <f>CONCATENATE(IF(ISNUMBER(SEARCH("Placeholder",'C-Design&amp;Const'!Z45))=TRUE,"",IF(E45="N","PLACEHOLDER ROW - ","")),'C-Design&amp;Const'!Z45,IF(E45="N","",J45))</f>
        <v>Special Considerations  (Updates to)</v>
      </c>
      <c r="I45" s="186"/>
      <c r="J45" s="578" t="str">
        <f>IF('C-Design&amp;Const'!AI45="","",'C-Design&amp;Const'!AI45)</f>
        <v xml:space="preserve"> (Updates to)</v>
      </c>
      <c r="K45" s="285" t="str">
        <f>IF((COUNTIF(D45:G45,"Y")=COUNTIF('04 - 95% CD'!A45,"Y")),"match","no 95% match")</f>
        <v>match</v>
      </c>
      <c r="L45" s="1410" t="str">
        <f t="shared" si="0"/>
        <v/>
      </c>
      <c r="M45" s="1333"/>
      <c r="N45" s="1382"/>
      <c r="O45" s="1382"/>
      <c r="P45" s="1382"/>
      <c r="Q45" s="1382"/>
      <c r="R45" s="1490"/>
      <c r="S45" s="1274"/>
      <c r="T45" s="1274"/>
      <c r="U45" s="1382"/>
      <c r="V45" s="1382"/>
      <c r="W45" s="1382"/>
      <c r="X45" s="1382"/>
      <c r="Y45" s="1382"/>
      <c r="Z45" s="1382"/>
      <c r="AA45" s="1382"/>
      <c r="AB45" s="1382"/>
      <c r="AC45" s="1382"/>
      <c r="AD45" s="1382"/>
      <c r="AE45" s="1382"/>
      <c r="AF45" s="1382"/>
      <c r="AG45" s="1382"/>
      <c r="AH45" s="1382"/>
      <c r="AI45" s="1382"/>
      <c r="AJ45" s="1382"/>
      <c r="AK45" s="181"/>
      <c r="AL45" s="181"/>
      <c r="AM45" s="181"/>
      <c r="AN45" s="181"/>
      <c r="AO45" s="181"/>
      <c r="AP45" s="181"/>
      <c r="AQ45" s="181"/>
      <c r="AR45" s="181"/>
      <c r="AS45" s="181"/>
      <c r="AT45" s="181"/>
      <c r="AU45" s="181"/>
      <c r="AV45" s="181"/>
      <c r="AW45" s="181"/>
    </row>
    <row r="46" spans="1:50" s="30" customFormat="1" x14ac:dyDescent="0.25">
      <c r="A46" s="1966" t="str">
        <f>IF(COUNTIF('04 - 95% CD'!D46:G46,"Y")&gt;0,"Y",IF(COUNTIF('04 - 95% CD'!D46:G46,"N"),"N",""))</f>
        <v>Y</v>
      </c>
      <c r="B46" s="9"/>
      <c r="C46" s="944"/>
      <c r="D46" s="321"/>
      <c r="E46" s="559" t="str">
        <f>IF('C-Design&amp;Const'!$Q46="","",'C-Design&amp;Const'!$Q46)</f>
        <v>Y</v>
      </c>
      <c r="F46" s="560"/>
      <c r="G46" s="558"/>
      <c r="H46" s="238" t="str">
        <f>CONCATENATE(IF(ISNUMBER(SEARCH("Placeholder",'C-Design&amp;Const'!Z46))=TRUE,"",IF(E46="N","PLACEHOLDER ROW - ","")),'C-Design&amp;Const'!Z46,IF(E46="N","",J46))</f>
        <v>Code Analysis - As Applicable  (Updates to)</v>
      </c>
      <c r="I46" s="186"/>
      <c r="J46" s="578" t="str">
        <f>IF('C-Design&amp;Const'!AI46="","",'C-Design&amp;Const'!AI46)</f>
        <v xml:space="preserve"> (Updates to)</v>
      </c>
      <c r="K46" s="285" t="str">
        <f>IF((COUNTIF(D46:G46,"Y")=COUNTIF('04 - 95% CD'!A46,"Y")),"match","no 95% match")</f>
        <v>match</v>
      </c>
      <c r="L46" s="1410" t="str">
        <f t="shared" si="0"/>
        <v/>
      </c>
      <c r="M46" s="1333"/>
      <c r="N46" s="1382"/>
      <c r="O46" s="1382"/>
      <c r="P46" s="1382"/>
      <c r="Q46" s="1382"/>
      <c r="R46" s="1490"/>
      <c r="S46" s="1274"/>
      <c r="T46" s="1274"/>
      <c r="U46" s="1382"/>
      <c r="V46" s="1382"/>
      <c r="W46" s="1382"/>
      <c r="X46" s="1382"/>
      <c r="Y46" s="1382"/>
      <c r="Z46" s="1382"/>
      <c r="AA46" s="1382"/>
      <c r="AB46" s="1382"/>
      <c r="AC46" s="1382"/>
      <c r="AD46" s="1382"/>
      <c r="AE46" s="1382"/>
      <c r="AF46" s="1382"/>
      <c r="AG46" s="1382"/>
      <c r="AH46" s="1382"/>
      <c r="AI46" s="1382"/>
      <c r="AJ46" s="1382"/>
      <c r="AK46" s="181"/>
      <c r="AL46" s="181"/>
      <c r="AM46" s="181"/>
      <c r="AN46" s="181"/>
      <c r="AO46" s="181"/>
      <c r="AP46" s="181"/>
      <c r="AQ46" s="181"/>
      <c r="AR46" s="181"/>
      <c r="AS46" s="181"/>
      <c r="AT46" s="181"/>
      <c r="AU46" s="181"/>
      <c r="AV46" s="181"/>
      <c r="AW46" s="181"/>
    </row>
    <row r="47" spans="1:50" s="30" customFormat="1" x14ac:dyDescent="0.25">
      <c r="A47" s="1966" t="str">
        <f>IF(COUNTIF('04 - 95% CD'!D47:G47,"Y")&gt;0,"Y",IF(COUNTIF('04 - 95% CD'!D47:G47,"N"),"N",""))</f>
        <v>Y</v>
      </c>
      <c r="B47" s="9"/>
      <c r="C47" s="944"/>
      <c r="D47" s="321"/>
      <c r="E47" s="559" t="str">
        <f>IF('C-Design&amp;Const'!$Q47="","",'C-Design&amp;Const'!$Q47)</f>
        <v>Y</v>
      </c>
      <c r="F47" s="560"/>
      <c r="G47" s="558"/>
      <c r="H47" s="238" t="str">
        <f>CONCATENATE(IF(ISNUMBER(SEARCH("Placeholder",'C-Design&amp;Const'!Z47))=TRUE,"",IF(E47="N","PLACEHOLDER ROW - ","")),'C-Design&amp;Const'!Z47,IF(E47="N","",J47))</f>
        <v>Permit Analysis  - As Applicable  (Updates to)</v>
      </c>
      <c r="I47" s="186"/>
      <c r="J47" s="578" t="str">
        <f>IF('C-Design&amp;Const'!AI47="","",'C-Design&amp;Const'!AI47)</f>
        <v xml:space="preserve"> (Updates to)</v>
      </c>
      <c r="K47" s="285" t="str">
        <f>IF((COUNTIF(D47:G47,"Y")=COUNTIF('04 - 95% CD'!A47,"Y")),"match","no 95% match")</f>
        <v>match</v>
      </c>
      <c r="L47" s="1410" t="str">
        <f t="shared" si="0"/>
        <v/>
      </c>
      <c r="M47" s="1333"/>
      <c r="N47" s="1382"/>
      <c r="O47" s="1382"/>
      <c r="P47" s="1382"/>
      <c r="Q47" s="1382"/>
      <c r="R47" s="1490"/>
      <c r="S47" s="1274"/>
      <c r="T47" s="1274"/>
      <c r="U47" s="1382"/>
      <c r="V47" s="1382"/>
      <c r="W47" s="1382"/>
      <c r="X47" s="1382"/>
      <c r="Y47" s="1382"/>
      <c r="Z47" s="1382"/>
      <c r="AA47" s="1382"/>
      <c r="AB47" s="1382"/>
      <c r="AC47" s="1382"/>
      <c r="AD47" s="1382"/>
      <c r="AE47" s="1382"/>
      <c r="AF47" s="1382"/>
      <c r="AG47" s="1382"/>
      <c r="AH47" s="1382"/>
      <c r="AI47" s="1382"/>
      <c r="AJ47" s="1382"/>
      <c r="AK47" s="181"/>
      <c r="AL47" s="181"/>
      <c r="AM47" s="181"/>
      <c r="AN47" s="181"/>
      <c r="AO47" s="181"/>
      <c r="AP47" s="181"/>
      <c r="AQ47" s="181"/>
      <c r="AR47" s="181"/>
      <c r="AS47" s="181"/>
      <c r="AT47" s="181"/>
      <c r="AU47" s="181"/>
      <c r="AV47" s="181"/>
      <c r="AW47" s="181"/>
    </row>
    <row r="48" spans="1:50" s="30" customFormat="1" x14ac:dyDescent="0.25">
      <c r="A48" s="1407" t="str">
        <f>IF(COUNTIF('04 - 95% CD'!D48:G48,"Y")&gt;0,"Y",IF(COUNTIF('04 - 95% CD'!D48:G48,"N"),"N",""))</f>
        <v>Y</v>
      </c>
      <c r="B48" s="191"/>
      <c r="C48" s="944"/>
      <c r="D48" s="321"/>
      <c r="E48" s="559" t="str">
        <f>IF('C-Design&amp;Const'!$Q48="","",'C-Design&amp;Const'!$Q48)</f>
        <v>Y</v>
      </c>
      <c r="F48" s="560"/>
      <c r="G48" s="558"/>
      <c r="H48" s="238" t="str">
        <f>CONCATENATE(IF(ISNUMBER(SEARCH("Placeholder",'C-Design&amp;Const'!Z48))=TRUE,"",IF(E48="N","PLACEHOLDER ROW - ","")),'C-Design&amp;Const'!Z48,IF(E48="N","",J48))</f>
        <v xml:space="preserve">Variances - As Applicable </v>
      </c>
      <c r="I48" s="186"/>
      <c r="J48" s="578" t="str">
        <f>IF('C-Design&amp;Const'!AI48="","",'C-Design&amp;Const'!AI48)</f>
        <v/>
      </c>
      <c r="K48" s="285" t="str">
        <f>IF((COUNTIF(D48:G48,"Y")=COUNTIF('04 - 95% CD'!A48,"Y")),"match","no 95% match")</f>
        <v>match</v>
      </c>
      <c r="L48" s="1410" t="str">
        <f t="shared" si="0"/>
        <v/>
      </c>
      <c r="M48" s="1333"/>
      <c r="N48" s="1382"/>
      <c r="O48" s="1382"/>
      <c r="P48" s="1382"/>
      <c r="Q48" s="1382"/>
      <c r="R48" s="1490"/>
      <c r="S48" s="1274"/>
      <c r="T48" s="1274"/>
      <c r="U48" s="1382"/>
      <c r="V48" s="1382"/>
      <c r="W48" s="1382"/>
      <c r="X48" s="1382"/>
      <c r="Y48" s="1382"/>
      <c r="Z48" s="1382"/>
      <c r="AA48" s="1382"/>
      <c r="AB48" s="1382"/>
      <c r="AC48" s="1382"/>
      <c r="AD48" s="1382"/>
      <c r="AE48" s="1382"/>
      <c r="AF48" s="1382"/>
      <c r="AG48" s="1382"/>
      <c r="AH48" s="1382"/>
      <c r="AI48" s="1382"/>
      <c r="AJ48" s="1382"/>
      <c r="AK48" s="181"/>
      <c r="AL48" s="181"/>
      <c r="AM48" s="181"/>
      <c r="AN48" s="181"/>
      <c r="AO48" s="181"/>
      <c r="AP48" s="181"/>
      <c r="AQ48" s="181"/>
      <c r="AR48" s="181"/>
      <c r="AS48" s="181"/>
      <c r="AT48" s="181"/>
      <c r="AU48" s="181"/>
      <c r="AV48" s="181"/>
      <c r="AW48" s="181"/>
    </row>
    <row r="49" spans="1:49" s="30" customFormat="1" ht="27.75" customHeight="1" x14ac:dyDescent="0.25">
      <c r="A49" s="1407" t="str">
        <f>IF(COUNTIF('04 - 95% CD'!D49:G49,"Y")&gt;0,"Y",IF(COUNTIF('04 - 95% CD'!D49:G49,"N"),"N",""))</f>
        <v>N</v>
      </c>
      <c r="B49" s="191"/>
      <c r="C49" s="944"/>
      <c r="D49" s="321"/>
      <c r="E49" s="559" t="str">
        <f>IF('C-Design&amp;Const'!$Q49="","",'C-Design&amp;Const'!$Q49)</f>
        <v>N</v>
      </c>
      <c r="F49" s="560"/>
      <c r="G49" s="558"/>
      <c r="H49" s="410" t="str">
        <f>CONCATENATE(IF(ISNUMBER(SEARCH("Placeholder",'C-Design&amp;Const'!Z49))=TRUE,"",IF(E49="N","PLACEHOLDER ROW - ","")),'C-Design&amp;Const'!Z49,IF(E49="N","",J49))</f>
        <v xml:space="preserve">PLACEHOLDER ROW - Results of itemized Area Analysis Comparing the Net-to-Gross Square Feet  - Per Floor; Per Assembly Space; and Per Building as applicable </v>
      </c>
      <c r="I49" s="186"/>
      <c r="J49" s="578" t="str">
        <f>IF('C-Design&amp;Const'!AI49="","",'C-Design&amp;Const'!AI49)</f>
        <v xml:space="preserve"> (Updates to)</v>
      </c>
      <c r="K49" s="285" t="str">
        <f>IF((COUNTIF(D49:G49,"Y")=COUNTIF('04 - 95% CD'!A49,"Y")),"match","no 95% match")</f>
        <v>match</v>
      </c>
      <c r="L49" s="1410" t="str">
        <f t="shared" si="0"/>
        <v>&lt;---PM/Planner may hide PLACEHOLDER ROW</v>
      </c>
      <c r="M49" s="1333"/>
      <c r="N49" s="1382"/>
      <c r="O49" s="1382"/>
      <c r="P49" s="1382"/>
      <c r="Q49" s="1382"/>
      <c r="R49" s="1490"/>
      <c r="S49" s="1274"/>
      <c r="T49" s="1274"/>
      <c r="U49" s="1382"/>
      <c r="V49" s="1382"/>
      <c r="W49" s="1382"/>
      <c r="X49" s="1382"/>
      <c r="Y49" s="1382"/>
      <c r="Z49" s="1382"/>
      <c r="AA49" s="1382"/>
      <c r="AB49" s="1382"/>
      <c r="AC49" s="1382"/>
      <c r="AD49" s="1382"/>
      <c r="AE49" s="1382"/>
      <c r="AF49" s="1382"/>
      <c r="AG49" s="1382"/>
      <c r="AH49" s="1382"/>
      <c r="AI49" s="1382"/>
      <c r="AJ49" s="1382"/>
      <c r="AK49" s="181"/>
      <c r="AL49" s="181"/>
      <c r="AM49" s="181"/>
      <c r="AN49" s="181"/>
      <c r="AO49" s="181"/>
      <c r="AP49" s="181"/>
      <c r="AQ49" s="181"/>
      <c r="AR49" s="181"/>
      <c r="AS49" s="181"/>
      <c r="AT49" s="181"/>
      <c r="AU49" s="181"/>
      <c r="AV49" s="181"/>
      <c r="AW49" s="181"/>
    </row>
    <row r="50" spans="1:49" s="30" customFormat="1" x14ac:dyDescent="0.25">
      <c r="A50" s="1407" t="str">
        <f>IF(COUNTIF('04 - 95% CD'!D50:G50,"Y")&gt;0,"Y",IF(COUNTIF('04 - 95% CD'!D50:G50,"N"),"N",""))</f>
        <v>N</v>
      </c>
      <c r="B50" s="191"/>
      <c r="C50" s="944"/>
      <c r="D50" s="321"/>
      <c r="E50" s="559" t="str">
        <f>IF('C-Design&amp;Const'!$Q50="","",'C-Design&amp;Const'!$Q50)</f>
        <v>N</v>
      </c>
      <c r="F50" s="560"/>
      <c r="G50" s="558"/>
      <c r="H50" s="410" t="str">
        <f>CONCATENATE(IF(ISNUMBER(SEARCH("Placeholder",'C-Design&amp;Const'!Z50))=TRUE,"",IF(E50="N","PLACEHOLDER ROW - ","")),'C-Design&amp;Const'!Z50,IF(E50="N","",J50))</f>
        <v xml:space="preserve">PLACEHOLDER ROW - Room Type Alternative Concepts </v>
      </c>
      <c r="I50" s="186"/>
      <c r="J50" s="578" t="str">
        <f>IF('C-Design&amp;Const'!AI50="","",'C-Design&amp;Const'!AI50)</f>
        <v xml:space="preserve"> (Updates to)</v>
      </c>
      <c r="K50" s="285" t="str">
        <f>IF((COUNTIF(D50:G50,"Y")=COUNTIF('04 - 95% CD'!A50,"Y")),"match","no 95% match")</f>
        <v>match</v>
      </c>
      <c r="L50" s="1410" t="str">
        <f t="shared" si="0"/>
        <v>&lt;---PM/Planner may hide PLACEHOLDER ROW</v>
      </c>
      <c r="M50" s="1333"/>
      <c r="N50" s="1382"/>
      <c r="O50" s="1382"/>
      <c r="P50" s="1382"/>
      <c r="Q50" s="1382"/>
      <c r="R50" s="1490"/>
      <c r="S50" s="1274"/>
      <c r="T50" s="1274"/>
      <c r="U50" s="1382"/>
      <c r="V50" s="1382"/>
      <c r="W50" s="1382"/>
      <c r="X50" s="1382"/>
      <c r="Y50" s="1382"/>
      <c r="Z50" s="1382"/>
      <c r="AA50" s="1382"/>
      <c r="AB50" s="1382"/>
      <c r="AC50" s="1382"/>
      <c r="AD50" s="1382"/>
      <c r="AE50" s="1382"/>
      <c r="AF50" s="1382"/>
      <c r="AG50" s="1382"/>
      <c r="AH50" s="1382"/>
      <c r="AI50" s="1382"/>
      <c r="AJ50" s="1382"/>
      <c r="AK50" s="181"/>
      <c r="AL50" s="181"/>
      <c r="AM50" s="181"/>
      <c r="AN50" s="181"/>
      <c r="AO50" s="181"/>
      <c r="AP50" s="181"/>
      <c r="AQ50" s="181"/>
      <c r="AR50" s="181"/>
      <c r="AS50" s="181"/>
      <c r="AT50" s="181"/>
      <c r="AU50" s="181"/>
      <c r="AV50" s="181"/>
      <c r="AW50" s="181"/>
    </row>
    <row r="51" spans="1:49" s="30" customFormat="1" x14ac:dyDescent="0.25">
      <c r="A51" s="1407" t="str">
        <f>IF(COUNTIF('04 - 95% CD'!D51:G51,"Y")&gt;0,"Y",IF(COUNTIF('04 - 95% CD'!D51:G51,"N"),"N",""))</f>
        <v>N</v>
      </c>
      <c r="B51" s="191"/>
      <c r="C51" s="944"/>
      <c r="D51" s="321"/>
      <c r="E51" s="559" t="str">
        <f>IF('C-Design&amp;Const'!$Q51="","",'C-Design&amp;Const'!$Q51)</f>
        <v>N</v>
      </c>
      <c r="F51" s="560"/>
      <c r="G51" s="558"/>
      <c r="H51" s="410" t="str">
        <f>CONCATENATE(IF(ISNUMBER(SEARCH("Placeholder",'C-Design&amp;Const'!Z51))=TRUE,"",IF(E51="N","PLACEHOLDER ROW - ","")),'C-Design&amp;Const'!Z51,IF(E51="N","",J51))</f>
        <v xml:space="preserve">PLACEHOLDER ROW - Design Concept(s) </v>
      </c>
      <c r="I51" s="186"/>
      <c r="J51" s="578" t="str">
        <f>IF('C-Design&amp;Const'!AI51="","",'C-Design&amp;Const'!AI51)</f>
        <v/>
      </c>
      <c r="K51" s="285" t="str">
        <f>IF((COUNTIF(D51:G51,"Y")=COUNTIF('04 - 95% CD'!A51,"Y")),"match","no 95% match")</f>
        <v>match</v>
      </c>
      <c r="L51" s="1410" t="str">
        <f t="shared" si="0"/>
        <v>&lt;---PM/Planner may hide PLACEHOLDER ROW</v>
      </c>
      <c r="M51" s="1333"/>
      <c r="N51" s="1382"/>
      <c r="O51" s="1382"/>
      <c r="P51" s="1382"/>
      <c r="Q51" s="1382"/>
      <c r="R51" s="1490"/>
      <c r="S51" s="1274"/>
      <c r="T51" s="1274"/>
      <c r="U51" s="1382"/>
      <c r="V51" s="1382"/>
      <c r="W51" s="1382"/>
      <c r="X51" s="1382"/>
      <c r="Y51" s="1382"/>
      <c r="Z51" s="1382"/>
      <c r="AA51" s="1382"/>
      <c r="AB51" s="1382"/>
      <c r="AC51" s="1382"/>
      <c r="AD51" s="1382"/>
      <c r="AE51" s="1382"/>
      <c r="AF51" s="1382"/>
      <c r="AG51" s="1382"/>
      <c r="AH51" s="1382"/>
      <c r="AI51" s="1382"/>
      <c r="AJ51" s="1382"/>
      <c r="AK51" s="181"/>
      <c r="AL51" s="181"/>
      <c r="AM51" s="181"/>
      <c r="AN51" s="181"/>
      <c r="AO51" s="181"/>
      <c r="AP51" s="181"/>
      <c r="AQ51" s="181"/>
      <c r="AR51" s="181"/>
      <c r="AS51" s="181"/>
      <c r="AT51" s="181"/>
      <c r="AU51" s="181"/>
      <c r="AV51" s="181"/>
      <c r="AW51" s="181"/>
    </row>
    <row r="52" spans="1:49" s="30" customFormat="1" x14ac:dyDescent="0.25">
      <c r="A52" s="1407" t="str">
        <f>IF(COUNTIF('04 - 95% CD'!D52:G52,"Y")&gt;0,"Y",IF(COUNTIF('04 - 95% CD'!D52:G52,"N"),"N",""))</f>
        <v>N</v>
      </c>
      <c r="B52" s="191"/>
      <c r="C52" s="944"/>
      <c r="D52" s="321"/>
      <c r="E52" s="559" t="str">
        <f>IF('C-Design&amp;Const'!$Q52="","",'C-Design&amp;Const'!$Q52)</f>
        <v>N</v>
      </c>
      <c r="F52" s="560"/>
      <c r="G52" s="558"/>
      <c r="H52" s="410" t="str">
        <f>CONCATENATE(IF(ISNUMBER(SEARCH("Placeholder",'C-Design&amp;Const'!Z52))=TRUE,"",IF(E52="N","PLACEHOLDER ROW - ","")),'C-Design&amp;Const'!Z52,IF(E52="N","",J52))</f>
        <v xml:space="preserve">PLACEHOLDER ROW - Master Plan Impact and Options </v>
      </c>
      <c r="I52" s="186"/>
      <c r="J52" s="578" t="str">
        <f>IF('C-Design&amp;Const'!AI52="","",'C-Design&amp;Const'!AI52)</f>
        <v xml:space="preserve"> (Updates to)</v>
      </c>
      <c r="K52" s="285" t="str">
        <f>IF((COUNTIF(D52:G52,"Y")=COUNTIF('04 - 95% CD'!A52,"Y")),"match","no 95% match")</f>
        <v>match</v>
      </c>
      <c r="L52" s="1410" t="str">
        <f t="shared" si="0"/>
        <v>&lt;---PM/Planner may hide PLACEHOLDER ROW</v>
      </c>
      <c r="M52" s="1333"/>
      <c r="N52" s="1382"/>
      <c r="O52" s="1382"/>
      <c r="P52" s="1382"/>
      <c r="Q52" s="1382"/>
      <c r="R52" s="1490"/>
      <c r="S52" s="1274"/>
      <c r="T52" s="1274"/>
      <c r="U52" s="1382"/>
      <c r="V52" s="1382"/>
      <c r="W52" s="1382"/>
      <c r="X52" s="1382"/>
      <c r="Y52" s="1382"/>
      <c r="Z52" s="1382"/>
      <c r="AA52" s="1382"/>
      <c r="AB52" s="1382"/>
      <c r="AC52" s="1382"/>
      <c r="AD52" s="1382"/>
      <c r="AE52" s="1382"/>
      <c r="AF52" s="1382"/>
      <c r="AG52" s="1382"/>
      <c r="AH52" s="1382"/>
      <c r="AI52" s="1382"/>
      <c r="AJ52" s="1382"/>
      <c r="AK52" s="181"/>
      <c r="AL52" s="181"/>
      <c r="AM52" s="181"/>
      <c r="AN52" s="181"/>
      <c r="AO52" s="181"/>
      <c r="AP52" s="181"/>
      <c r="AQ52" s="181"/>
      <c r="AR52" s="181"/>
      <c r="AS52" s="181"/>
      <c r="AT52" s="181"/>
      <c r="AU52" s="181"/>
      <c r="AV52" s="181"/>
      <c r="AW52" s="181"/>
    </row>
    <row r="53" spans="1:49" s="30" customFormat="1" x14ac:dyDescent="0.25">
      <c r="A53" s="1407" t="str">
        <f>IF(COUNTIF('04 - 95% CD'!D53:G53,"Y")&gt;0,"Y",IF(COUNTIF('04 - 95% CD'!D53:G53,"N"),"N",""))</f>
        <v>N</v>
      </c>
      <c r="B53" s="191"/>
      <c r="C53" s="944"/>
      <c r="D53" s="321"/>
      <c r="E53" s="559" t="str">
        <f>IF('C-Design&amp;Const'!$Q53="","",'C-Design&amp;Const'!$Q53)</f>
        <v>N</v>
      </c>
      <c r="F53" s="560"/>
      <c r="G53" s="558"/>
      <c r="H53" s="410" t="str">
        <f>CONCATENATE(IF(ISNUMBER(SEARCH("Placeholder",'C-Design&amp;Const'!Z53))=TRUE,"",IF(E53="N","PLACEHOLDER ROW - ","")),'C-Design&amp;Const'!Z53,IF(E53="N","",J53))</f>
        <v>PLACEHOLDER ROW - Required adjacent property acquisitions</v>
      </c>
      <c r="I53" s="186"/>
      <c r="J53" s="578" t="str">
        <f>IF('C-Design&amp;Const'!AI53="","",'C-Design&amp;Const'!AI53)</f>
        <v xml:space="preserve"> (Updates to)</v>
      </c>
      <c r="K53" s="285" t="str">
        <f>IF((COUNTIF(D53:G53,"Y")=COUNTIF('04 - 95% CD'!A53,"Y")),"match","no 95% match")</f>
        <v>match</v>
      </c>
      <c r="L53" s="1410" t="str">
        <f t="shared" si="0"/>
        <v>&lt;---PM/Planner may hide PLACEHOLDER ROW</v>
      </c>
      <c r="M53" s="1333"/>
      <c r="N53" s="1382"/>
      <c r="O53" s="1382"/>
      <c r="P53" s="1382"/>
      <c r="Q53" s="1382"/>
      <c r="R53" s="1490"/>
      <c r="S53" s="1274"/>
      <c r="T53" s="1274"/>
      <c r="U53" s="1382"/>
      <c r="V53" s="1382"/>
      <c r="W53" s="1382"/>
      <c r="X53" s="1382"/>
      <c r="Y53" s="1382"/>
      <c r="Z53" s="1382"/>
      <c r="AA53" s="1382"/>
      <c r="AB53" s="1382"/>
      <c r="AC53" s="1382"/>
      <c r="AD53" s="1382"/>
      <c r="AE53" s="1382"/>
      <c r="AF53" s="1382"/>
      <c r="AG53" s="1382"/>
      <c r="AH53" s="1382"/>
      <c r="AI53" s="1382"/>
      <c r="AJ53" s="1382"/>
      <c r="AK53" s="181"/>
      <c r="AL53" s="181"/>
      <c r="AM53" s="181"/>
      <c r="AN53" s="181"/>
      <c r="AO53" s="181"/>
      <c r="AP53" s="181"/>
      <c r="AQ53" s="181"/>
      <c r="AR53" s="181"/>
      <c r="AS53" s="181"/>
      <c r="AT53" s="181"/>
      <c r="AU53" s="181"/>
      <c r="AV53" s="181"/>
      <c r="AW53" s="181"/>
    </row>
    <row r="54" spans="1:49" s="30" customFormat="1" x14ac:dyDescent="0.25">
      <c r="A54" s="1407" t="str">
        <f>IF(COUNTIF('04 - 95% CD'!D54:G54,"Y")&gt;0,"Y",IF(COUNTIF('04 - 95% CD'!D54:G54,"N"),"N",""))</f>
        <v>N</v>
      </c>
      <c r="B54" s="191"/>
      <c r="C54" s="944"/>
      <c r="D54" s="321"/>
      <c r="E54" s="559" t="str">
        <f>IF('C-Design&amp;Const'!$Q54="","",'C-Design&amp;Const'!$Q54)</f>
        <v>N</v>
      </c>
      <c r="F54" s="560"/>
      <c r="G54" s="558"/>
      <c r="H54" s="410" t="str">
        <f>CONCATENATE(IF(ISNUMBER(SEARCH("Placeholder",'C-Design&amp;Const'!Z54))=TRUE,"",IF(E54="N","PLACEHOLDER ROW - ","")),'C-Design&amp;Const'!Z54,IF(E54="N","",J54))</f>
        <v>PLACEHOLDER ROW - CUSTOM ROW - OPTIONAL CLIENT ITEM</v>
      </c>
      <c r="I54" s="186"/>
      <c r="J54" s="578" t="str">
        <f>IF('C-Design&amp;Const'!AI54="","",'C-Design&amp;Const'!AI54)</f>
        <v xml:space="preserve"> (Updates to)</v>
      </c>
      <c r="K54" s="285" t="str">
        <f>IF((COUNTIF(D54:G54,"Y")=COUNTIF('04 - 95% CD'!A54,"Y")),"match","no 95% match")</f>
        <v>match</v>
      </c>
      <c r="L54" s="1410" t="str">
        <f t="shared" si="0"/>
        <v>&lt;---PM/Planner may hide PLACEHOLDER ROW</v>
      </c>
      <c r="M54" s="1333"/>
      <c r="N54" s="1382"/>
      <c r="O54" s="1382"/>
      <c r="P54" s="1382"/>
      <c r="Q54" s="1382"/>
      <c r="R54" s="1490"/>
      <c r="S54" s="1274"/>
      <c r="T54" s="1274"/>
      <c r="U54" s="1382"/>
      <c r="V54" s="1382"/>
      <c r="W54" s="1382"/>
      <c r="X54" s="1382"/>
      <c r="Y54" s="1382"/>
      <c r="Z54" s="1382"/>
      <c r="AA54" s="1382"/>
      <c r="AB54" s="1382"/>
      <c r="AC54" s="1382"/>
      <c r="AD54" s="1382"/>
      <c r="AE54" s="1382"/>
      <c r="AF54" s="1382"/>
      <c r="AG54" s="1382"/>
      <c r="AH54" s="1382"/>
      <c r="AI54" s="1382"/>
      <c r="AJ54" s="1382"/>
      <c r="AK54" s="181"/>
      <c r="AL54" s="181"/>
      <c r="AM54" s="181"/>
      <c r="AN54" s="181"/>
      <c r="AO54" s="181"/>
      <c r="AP54" s="181"/>
      <c r="AQ54" s="181"/>
      <c r="AR54" s="181"/>
      <c r="AS54" s="181"/>
      <c r="AT54" s="181"/>
      <c r="AU54" s="181"/>
      <c r="AV54" s="181"/>
      <c r="AW54" s="181"/>
    </row>
    <row r="55" spans="1:49" s="30" customFormat="1" x14ac:dyDescent="0.25">
      <c r="A55" s="1407" t="str">
        <f>IF(COUNTIF('04 - 95% CD'!D55:G55,"Y")&gt;0,"Y",IF(COUNTIF('04 - 95% CD'!D55:G55,"N"),"N",""))</f>
        <v>N</v>
      </c>
      <c r="B55" s="191"/>
      <c r="C55" s="944"/>
      <c r="D55" s="321"/>
      <c r="E55" s="559" t="str">
        <f>IF('C-Design&amp;Const'!$Q55="","",'C-Design&amp;Const'!$Q55)</f>
        <v>N</v>
      </c>
      <c r="F55" s="560"/>
      <c r="G55" s="558"/>
      <c r="H55" s="410" t="str">
        <f>CONCATENATE(IF(ISNUMBER(SEARCH("Placeholder",'C-Design&amp;Const'!Z55))=TRUE,"",IF(E55="N","PLACEHOLDER ROW - ","")),'C-Design&amp;Const'!Z55,IF(E55="N","",J55))</f>
        <v>PLACEHOLDER ROW - CUSTOM ROW - OPTIONAL CLIENT ITEM</v>
      </c>
      <c r="I55" s="186"/>
      <c r="J55" s="578" t="str">
        <f>IF('C-Design&amp;Const'!AI55="","",'C-Design&amp;Const'!AI55)</f>
        <v/>
      </c>
      <c r="K55" s="285" t="str">
        <f>IF((COUNTIF(D55:G55,"Y")=COUNTIF('04 - 95% CD'!A55,"Y")),"match","no 95% match")</f>
        <v>match</v>
      </c>
      <c r="L55" s="1410" t="str">
        <f t="shared" si="0"/>
        <v>&lt;---PM/Planner may hide PLACEHOLDER ROW</v>
      </c>
      <c r="M55" s="1333"/>
      <c r="N55" s="1382"/>
      <c r="O55" s="1382"/>
      <c r="P55" s="1382"/>
      <c r="Q55" s="1382"/>
      <c r="R55" s="1490"/>
      <c r="S55" s="1274"/>
      <c r="T55" s="1274"/>
      <c r="U55" s="1382"/>
      <c r="V55" s="1382"/>
      <c r="W55" s="1382"/>
      <c r="X55" s="1382"/>
      <c r="Y55" s="1382"/>
      <c r="Z55" s="1382"/>
      <c r="AA55" s="1382"/>
      <c r="AB55" s="1382"/>
      <c r="AC55" s="1382"/>
      <c r="AD55" s="1382"/>
      <c r="AE55" s="1382"/>
      <c r="AF55" s="1382"/>
      <c r="AG55" s="1382"/>
      <c r="AH55" s="1382"/>
      <c r="AI55" s="1382"/>
      <c r="AJ55" s="1382"/>
      <c r="AK55" s="181"/>
      <c r="AL55" s="181"/>
      <c r="AM55" s="181"/>
      <c r="AN55" s="181"/>
      <c r="AO55" s="181"/>
      <c r="AP55" s="181"/>
      <c r="AQ55" s="181"/>
      <c r="AR55" s="181"/>
      <c r="AS55" s="181"/>
      <c r="AT55" s="181"/>
      <c r="AU55" s="181"/>
      <c r="AV55" s="181"/>
      <c r="AW55" s="181"/>
    </row>
    <row r="56" spans="1:49" s="30" customFormat="1" x14ac:dyDescent="0.25">
      <c r="A56" s="1407" t="str">
        <f>IF(COUNTIF('04 - 95% CD'!D56:G56,"Y")&gt;0,"Y",IF(COUNTIF('04 - 95% CD'!D56:G56,"N"),"N",""))</f>
        <v>Y</v>
      </c>
      <c r="B56" s="191"/>
      <c r="C56" s="944"/>
      <c r="D56" s="321"/>
      <c r="E56" s="559" t="str">
        <f>IF('C-Design&amp;Const'!$Q56="","",'C-Design&amp;Const'!$Q56)</f>
        <v>Y</v>
      </c>
      <c r="F56" s="560"/>
      <c r="G56" s="558"/>
      <c r="H56" s="244" t="str">
        <f>CONCATENATE(IF(ISNUMBER(SEARCH("Placeholder",'C-Design&amp;Const'!Z56))=TRUE,"",IF(E56="N","PLACEHOLDER ROW - ","")),'C-Design&amp;Const'!Z56,IF(E56="N","",J56))</f>
        <v>Building &amp; Site Systems Narratives  (Complete &amp; Updates/Changes Only)</v>
      </c>
      <c r="I56" s="186"/>
      <c r="J56" s="578" t="str">
        <f>IF('C-Design&amp;Const'!AI56="","",'C-Design&amp;Const'!AI56)</f>
        <v xml:space="preserve">  (Complete &amp; Updates/Changes Only)</v>
      </c>
      <c r="K56" s="285" t="str">
        <f>IF((COUNTIF(D56:G56,"Y")=COUNTIF('04 - 95% CD'!A56,"Y")),"match","no 95% match")</f>
        <v>match</v>
      </c>
      <c r="L56" s="1410" t="str">
        <f t="shared" si="0"/>
        <v/>
      </c>
      <c r="M56" s="1333"/>
      <c r="N56" s="1382"/>
      <c r="O56" s="1382"/>
      <c r="P56" s="1382"/>
      <c r="Q56" s="1382"/>
      <c r="R56" s="1490"/>
      <c r="S56" s="1274"/>
      <c r="T56" s="1274"/>
      <c r="U56" s="1382"/>
      <c r="V56" s="1382"/>
      <c r="W56" s="1382"/>
      <c r="X56" s="1382"/>
      <c r="Y56" s="1382"/>
      <c r="Z56" s="1382"/>
      <c r="AA56" s="1382"/>
      <c r="AB56" s="1382"/>
      <c r="AC56" s="1382"/>
      <c r="AD56" s="1382"/>
      <c r="AE56" s="1382"/>
      <c r="AF56" s="1382"/>
      <c r="AG56" s="1382"/>
      <c r="AH56" s="1382"/>
      <c r="AI56" s="1382"/>
      <c r="AJ56" s="1382"/>
      <c r="AK56" s="181"/>
      <c r="AL56" s="181"/>
      <c r="AM56" s="181"/>
      <c r="AN56" s="181"/>
      <c r="AO56" s="181"/>
      <c r="AP56" s="181"/>
      <c r="AQ56" s="181"/>
      <c r="AR56" s="181"/>
      <c r="AS56" s="181"/>
      <c r="AT56" s="181"/>
      <c r="AU56" s="181"/>
      <c r="AV56" s="181"/>
      <c r="AW56" s="181"/>
    </row>
    <row r="57" spans="1:49" s="30" customFormat="1" ht="28.5" x14ac:dyDescent="0.25">
      <c r="A57" s="1407" t="str">
        <f>IF(COUNTIF('04 - 95% CD'!D57:G57,"Y")&gt;0,"Y",IF(COUNTIF('04 - 95% CD'!D57:G57,"N"),"N",""))</f>
        <v/>
      </c>
      <c r="B57" s="191"/>
      <c r="C57" s="944"/>
      <c r="D57" s="321"/>
      <c r="E57" s="520"/>
      <c r="F57" s="537"/>
      <c r="G57" s="558"/>
      <c r="H57" s="410" t="str">
        <f>'04 - 95% CD'!H57</f>
        <v>Under separate bound cover, any detailed results, reports, surveys, tests, etc… for existing systems verification.</v>
      </c>
      <c r="I57" s="186"/>
      <c r="J57" s="578" t="str">
        <f>IF('C-Design&amp;Const'!AI57="","",'C-Design&amp;Const'!AI57)</f>
        <v/>
      </c>
      <c r="K57" s="285" t="str">
        <f>IF((COUNTIF(D57:G57,"Y")=COUNTIF('04 - 95% CD'!A57,"Y")),"match","no 95% match")</f>
        <v>match</v>
      </c>
      <c r="L57" s="1410" t="str">
        <f t="shared" si="0"/>
        <v/>
      </c>
      <c r="M57" s="1333"/>
      <c r="N57" s="1382"/>
      <c r="O57" s="1382"/>
      <c r="P57" s="1382"/>
      <c r="Q57" s="1382"/>
      <c r="R57" s="1490"/>
      <c r="S57" s="1274"/>
      <c r="T57" s="1274"/>
      <c r="U57" s="1382"/>
      <c r="V57" s="1382"/>
      <c r="W57" s="1382"/>
      <c r="X57" s="1382"/>
      <c r="Y57" s="1382"/>
      <c r="Z57" s="1382"/>
      <c r="AA57" s="1382"/>
      <c r="AB57" s="1382"/>
      <c r="AC57" s="1382"/>
      <c r="AD57" s="1382"/>
      <c r="AE57" s="1382"/>
      <c r="AF57" s="1382"/>
      <c r="AG57" s="1382"/>
      <c r="AH57" s="1382"/>
      <c r="AI57" s="1382"/>
      <c r="AJ57" s="1382"/>
      <c r="AK57" s="181"/>
      <c r="AL57" s="181"/>
      <c r="AM57" s="181"/>
      <c r="AN57" s="181"/>
      <c r="AO57" s="181"/>
      <c r="AP57" s="181"/>
      <c r="AQ57" s="181"/>
      <c r="AR57" s="181"/>
      <c r="AS57" s="181"/>
      <c r="AT57" s="181"/>
      <c r="AU57" s="181"/>
      <c r="AV57" s="181"/>
      <c r="AW57" s="181"/>
    </row>
    <row r="58" spans="1:49" s="30" customFormat="1" ht="42.75" x14ac:dyDescent="0.25">
      <c r="A58" s="1407" t="str">
        <f>IF(COUNTIF('04 - 95% CD'!D58:G58,"Y")&gt;0,"Y",IF(COUNTIF('04 - 95% CD'!D58:G58,"N"),"N",""))</f>
        <v>Y</v>
      </c>
      <c r="B58" s="191"/>
      <c r="C58" s="944"/>
      <c r="D58" s="321"/>
      <c r="E58" s="466"/>
      <c r="F58" s="559" t="str">
        <f>IF('C-Design&amp;Const'!$Q58="","",'C-Design&amp;Const'!$Q58)</f>
        <v>Y</v>
      </c>
      <c r="G58" s="558"/>
      <c r="H58" s="1028" t="str">
        <f>CONCATENATE(IF(F58="N","PLACEHOLDER ROW - ",""),'C-Design&amp;Const'!Z58,IF(F58="N","",J58))</f>
        <v>Site / Civil / Landscape - Storm Water Management for changes in impervious area **(List assumptions for mitigation.  Verify existing system.  Any outlet into field tiles must be verified for size, location, and condition) (Updates to)</v>
      </c>
      <c r="I58" s="186"/>
      <c r="J58" s="578" t="str">
        <f>IF('C-Design&amp;Const'!AI58="","",'C-Design&amp;Const'!AI58)</f>
        <v xml:space="preserve"> (Updates to)</v>
      </c>
      <c r="K58" s="285" t="str">
        <f>IF((COUNTIF(D58:G58,"Y")=COUNTIF('04 - 95% CD'!A58,"Y")),"match","no 95% match")</f>
        <v>match</v>
      </c>
      <c r="L58" s="1410" t="str">
        <f t="shared" si="0"/>
        <v/>
      </c>
      <c r="M58" s="1333"/>
      <c r="N58" s="1382"/>
      <c r="O58" s="1382"/>
      <c r="P58" s="1382"/>
      <c r="Q58" s="1382"/>
      <c r="R58" s="1490"/>
      <c r="S58" s="1274"/>
      <c r="T58" s="1274"/>
      <c r="U58" s="1382"/>
      <c r="V58" s="1382"/>
      <c r="W58" s="1382"/>
      <c r="X58" s="1382"/>
      <c r="Y58" s="1382"/>
      <c r="Z58" s="1382"/>
      <c r="AA58" s="1382"/>
      <c r="AB58" s="1382"/>
      <c r="AC58" s="1382"/>
      <c r="AD58" s="1382"/>
      <c r="AE58" s="1382"/>
      <c r="AF58" s="1382"/>
      <c r="AG58" s="1382"/>
      <c r="AH58" s="1382"/>
      <c r="AI58" s="1382"/>
      <c r="AJ58" s="1382"/>
      <c r="AK58" s="181"/>
      <c r="AL58" s="181"/>
      <c r="AM58" s="181"/>
      <c r="AN58" s="181"/>
      <c r="AO58" s="181"/>
      <c r="AP58" s="181"/>
      <c r="AQ58" s="181"/>
      <c r="AR58" s="181"/>
      <c r="AS58" s="181"/>
      <c r="AT58" s="181"/>
      <c r="AU58" s="181"/>
      <c r="AV58" s="181"/>
      <c r="AW58" s="181"/>
    </row>
    <row r="59" spans="1:49" s="30" customFormat="1" ht="28.5" x14ac:dyDescent="0.25">
      <c r="A59" s="1407" t="str">
        <f>IF(COUNTIF('04 - 95% CD'!D59:G59,"Y")&gt;0,"Y",IF(COUNTIF('04 - 95% CD'!D59:G59,"N"),"N",""))</f>
        <v>Y</v>
      </c>
      <c r="B59" s="191"/>
      <c r="C59" s="944"/>
      <c r="D59" s="321"/>
      <c r="E59" s="466"/>
      <c r="F59" s="559" t="str">
        <f>IF('C-Design&amp;Const'!$Q59="","",'C-Design&amp;Const'!$Q59)</f>
        <v>Y</v>
      </c>
      <c r="G59" s="558"/>
      <c r="H59" s="1029" t="str">
        <f>CONCATENATE(IF(F59="N","PLACEHOLDER ROW - ",""),'C-Design&amp;Const'!Z59,IF(F59="N","",J59))</f>
        <v>Site / Civil / Landscape - Bike Parking, Vehicle Parking,  Driveways, Multimodal Transporation (Updates to)</v>
      </c>
      <c r="I59" s="186"/>
      <c r="J59" s="578" t="str">
        <f>IF('C-Design&amp;Const'!AI59="","",'C-Design&amp;Const'!AI59)</f>
        <v xml:space="preserve"> (Updates to)</v>
      </c>
      <c r="K59" s="285" t="str">
        <f>IF((COUNTIF(D59:G59,"Y")=COUNTIF('04 - 95% CD'!A59,"Y")),"match","no 95% match")</f>
        <v>match</v>
      </c>
      <c r="L59" s="1410" t="str">
        <f t="shared" si="0"/>
        <v/>
      </c>
      <c r="M59" s="1333"/>
      <c r="N59" s="1382"/>
      <c r="O59" s="1382"/>
      <c r="P59" s="1382"/>
      <c r="Q59" s="1382"/>
      <c r="R59" s="1490"/>
      <c r="S59" s="1274"/>
      <c r="T59" s="1274"/>
      <c r="U59" s="1382"/>
      <c r="V59" s="1382"/>
      <c r="W59" s="1382"/>
      <c r="X59" s="1382"/>
      <c r="Y59" s="1382"/>
      <c r="Z59" s="1382"/>
      <c r="AA59" s="1382"/>
      <c r="AB59" s="1382"/>
      <c r="AC59" s="1382"/>
      <c r="AD59" s="1382"/>
      <c r="AE59" s="1382"/>
      <c r="AF59" s="1382"/>
      <c r="AG59" s="1382"/>
      <c r="AH59" s="1382"/>
      <c r="AI59" s="1382"/>
      <c r="AJ59" s="1382"/>
      <c r="AK59" s="181"/>
      <c r="AL59" s="181"/>
      <c r="AM59" s="181"/>
      <c r="AN59" s="181"/>
      <c r="AO59" s="181"/>
      <c r="AP59" s="181"/>
      <c r="AQ59" s="181"/>
      <c r="AR59" s="181"/>
      <c r="AS59" s="181"/>
      <c r="AT59" s="181"/>
      <c r="AU59" s="181"/>
      <c r="AV59" s="181"/>
      <c r="AW59" s="181"/>
    </row>
    <row r="60" spans="1:49" s="545" customFormat="1" ht="16.5" customHeight="1" x14ac:dyDescent="0.25">
      <c r="A60" s="1407" t="str">
        <f>IF(COUNTIF('04 - 95% CD'!D60:G60,"Y")&gt;0,"Y",IF(COUNTIF('04 - 95% CD'!D60:G60,"N"),"N",""))</f>
        <v>Y</v>
      </c>
      <c r="B60" s="554"/>
      <c r="C60" s="944"/>
      <c r="D60" s="321"/>
      <c r="E60" s="466"/>
      <c r="F60" s="559" t="str">
        <f>IF('C-Design&amp;Const'!$Q60="","",'C-Design&amp;Const'!$Q60)</f>
        <v>Y</v>
      </c>
      <c r="G60" s="558"/>
      <c r="H60" s="1029" t="str">
        <f>CONCATENATE(IF(F60="N","PLACEHOLDER ROW - ",""),'C-Design&amp;Const'!Z60,IF(F60="N","",J60))</f>
        <v>Site / Civil / Landscape - Waste &amp; Recycling Hauling, Service Access, &amp; Loading Zones (Updates to)</v>
      </c>
      <c r="I60" s="186"/>
      <c r="J60" s="578" t="str">
        <f>IF('C-Design&amp;Const'!AI60="","",'C-Design&amp;Const'!AI60)</f>
        <v xml:space="preserve"> (Updates to)</v>
      </c>
      <c r="K60" s="285" t="str">
        <f>IF((COUNTIF(D60:G60,"Y")=COUNTIF('04 - 95% CD'!A60,"Y")),"match","no 95% match")</f>
        <v>match</v>
      </c>
      <c r="L60" s="1410" t="str">
        <f t="shared" ref="L60" si="1">CONCATENATE(IF(ISNUMBER(SEARCH("Placeholder",H60))=TRUE,"&lt;---PM/Planner may hide PLACEHOLDER ROW",""))</f>
        <v/>
      </c>
      <c r="M60" s="1333"/>
      <c r="N60" s="1382"/>
      <c r="O60" s="1382"/>
      <c r="P60" s="1382"/>
      <c r="Q60" s="1382"/>
      <c r="R60" s="1490"/>
      <c r="S60" s="1274"/>
      <c r="T60" s="1274"/>
      <c r="U60" s="1382"/>
      <c r="V60" s="1382"/>
      <c r="W60" s="1382"/>
      <c r="X60" s="1382"/>
      <c r="Y60" s="1382"/>
      <c r="Z60" s="1382"/>
      <c r="AA60" s="1382"/>
      <c r="AB60" s="1382"/>
      <c r="AC60" s="1382"/>
      <c r="AD60" s="1382"/>
      <c r="AE60" s="1382"/>
      <c r="AF60" s="1382"/>
      <c r="AG60" s="1382"/>
      <c r="AH60" s="1382"/>
      <c r="AI60" s="1382"/>
      <c r="AJ60" s="1382"/>
      <c r="AK60" s="551"/>
      <c r="AL60" s="551"/>
      <c r="AM60" s="551"/>
      <c r="AN60" s="551"/>
      <c r="AO60" s="551"/>
      <c r="AP60" s="551"/>
      <c r="AQ60" s="551"/>
      <c r="AR60" s="551"/>
      <c r="AS60" s="551"/>
      <c r="AT60" s="551"/>
      <c r="AU60" s="551"/>
      <c r="AV60" s="551"/>
      <c r="AW60" s="551"/>
    </row>
    <row r="61" spans="1:49" s="30" customFormat="1" x14ac:dyDescent="0.25">
      <c r="A61" s="1407" t="str">
        <f>IF(COUNTIF('04 - 95% CD'!D61:G61,"Y")&gt;0,"Y",IF(COUNTIF('04 - 95% CD'!D61:G61,"N"),"N",""))</f>
        <v>Y</v>
      </c>
      <c r="B61" s="191"/>
      <c r="C61" s="944"/>
      <c r="D61" s="321"/>
      <c r="E61" s="466"/>
      <c r="F61" s="559" t="str">
        <f>IF('C-Design&amp;Const'!$Q61="","",'C-Design&amp;Const'!$Q61)</f>
        <v>Y</v>
      </c>
      <c r="G61" s="558"/>
      <c r="H61" s="1029" t="str">
        <f>CONCATENATE(IF(F61="N","PLACEHOLDER ROW - ",""),'C-Design&amp;Const'!Z61,IF(F61="N","",J61))</f>
        <v>Site / Civil / Landscape - Sidewalks, Plazas, Landscape (Updates to)</v>
      </c>
      <c r="I61" s="186"/>
      <c r="J61" s="578" t="str">
        <f>IF('C-Design&amp;Const'!AI61="","",'C-Design&amp;Const'!AI61)</f>
        <v xml:space="preserve"> (Updates to)</v>
      </c>
      <c r="K61" s="285" t="str">
        <f>IF((COUNTIF(D61:G61,"Y")=COUNTIF('04 - 95% CD'!A61,"Y")),"match","no 95% match")</f>
        <v>match</v>
      </c>
      <c r="L61" s="1410" t="str">
        <f t="shared" si="0"/>
        <v/>
      </c>
      <c r="M61" s="1333"/>
      <c r="N61" s="1382"/>
      <c r="O61" s="1382"/>
      <c r="P61" s="1382"/>
      <c r="Q61" s="1382"/>
      <c r="R61" s="1490"/>
      <c r="S61" s="1274"/>
      <c r="T61" s="1274"/>
      <c r="U61" s="1382"/>
      <c r="V61" s="1382"/>
      <c r="W61" s="1382"/>
      <c r="X61" s="1382"/>
      <c r="Y61" s="1382"/>
      <c r="Z61" s="1382"/>
      <c r="AA61" s="1382"/>
      <c r="AB61" s="1382"/>
      <c r="AC61" s="1382"/>
      <c r="AD61" s="1382"/>
      <c r="AE61" s="1382"/>
      <c r="AF61" s="1382"/>
      <c r="AG61" s="1382"/>
      <c r="AH61" s="1382"/>
      <c r="AI61" s="1382"/>
      <c r="AJ61" s="1382"/>
      <c r="AK61" s="181"/>
      <c r="AL61" s="181"/>
      <c r="AM61" s="181"/>
      <c r="AN61" s="181"/>
      <c r="AO61" s="181"/>
      <c r="AP61" s="181"/>
      <c r="AQ61" s="181"/>
      <c r="AR61" s="181"/>
      <c r="AS61" s="181"/>
      <c r="AT61" s="181"/>
      <c r="AU61" s="181"/>
      <c r="AV61" s="181"/>
      <c r="AW61" s="181"/>
    </row>
    <row r="62" spans="1:49" s="30" customFormat="1" x14ac:dyDescent="0.25">
      <c r="A62" s="1407" t="str">
        <f>IF(COUNTIF('04 - 95% CD'!D62:G62,"Y")&gt;0,"Y",IF(COUNTIF('04 - 95% CD'!D62:G62,"N"),"N",""))</f>
        <v>Y</v>
      </c>
      <c r="B62" s="191"/>
      <c r="C62" s="944"/>
      <c r="D62" s="321"/>
      <c r="E62" s="466"/>
      <c r="F62" s="559" t="str">
        <f>IF('C-Design&amp;Const'!$Q62="","",'C-Design&amp;Const'!$Q62)</f>
        <v>Y</v>
      </c>
      <c r="G62" s="558"/>
      <c r="H62" s="1029" t="str">
        <f>CONCATENATE(IF(F62="N","PLACEHOLDER ROW - ",""),'C-Design&amp;Const'!Z62,IF(F62="N","",J62))</f>
        <v>Site / Civil / Landscape - Demolition &amp; Site Clearing (Updates to)</v>
      </c>
      <c r="I62" s="186"/>
      <c r="J62" s="578" t="str">
        <f>IF('C-Design&amp;Const'!AI62="","",'C-Design&amp;Const'!AI62)</f>
        <v xml:space="preserve"> (Updates to)</v>
      </c>
      <c r="K62" s="285" t="str">
        <f>IF((COUNTIF(D62:G62,"Y")=COUNTIF('04 - 95% CD'!A62,"Y")),"match","no 95% match")</f>
        <v>match</v>
      </c>
      <c r="L62" s="1410" t="str">
        <f t="shared" si="0"/>
        <v/>
      </c>
      <c r="M62" s="1333"/>
      <c r="N62" s="1382"/>
      <c r="O62" s="1382"/>
      <c r="P62" s="1382"/>
      <c r="Q62" s="1382"/>
      <c r="R62" s="1490"/>
      <c r="S62" s="1274"/>
      <c r="T62" s="1274"/>
      <c r="U62" s="1382"/>
      <c r="V62" s="1382"/>
      <c r="W62" s="1382"/>
      <c r="X62" s="1382"/>
      <c r="Y62" s="1382"/>
      <c r="Z62" s="1382"/>
      <c r="AA62" s="1382"/>
      <c r="AB62" s="1382"/>
      <c r="AC62" s="1382"/>
      <c r="AD62" s="1382"/>
      <c r="AE62" s="1382"/>
      <c r="AF62" s="1382"/>
      <c r="AG62" s="1382"/>
      <c r="AH62" s="1382"/>
      <c r="AI62" s="1382"/>
      <c r="AJ62" s="1382"/>
      <c r="AK62" s="181"/>
      <c r="AL62" s="181"/>
      <c r="AM62" s="181"/>
      <c r="AN62" s="181"/>
      <c r="AO62" s="181"/>
      <c r="AP62" s="181"/>
      <c r="AQ62" s="181"/>
      <c r="AR62" s="181"/>
      <c r="AS62" s="181"/>
      <c r="AT62" s="181"/>
      <c r="AU62" s="181"/>
      <c r="AV62" s="181"/>
      <c r="AW62" s="181"/>
    </row>
    <row r="63" spans="1:49" s="30" customFormat="1" x14ac:dyDescent="0.25">
      <c r="A63" s="1407" t="str">
        <f>IF(COUNTIF('04 - 95% CD'!D63:G63,"Y")&gt;0,"Y",IF(COUNTIF('04 - 95% CD'!D63:G63,"N"),"N",""))</f>
        <v>Y</v>
      </c>
      <c r="B63" s="191"/>
      <c r="C63" s="944"/>
      <c r="D63" s="321"/>
      <c r="E63" s="466"/>
      <c r="F63" s="559" t="str">
        <f>IF('C-Design&amp;Const'!$Q63="","",'C-Design&amp;Const'!$Q63)</f>
        <v>Y</v>
      </c>
      <c r="G63" s="558"/>
      <c r="H63" s="1029" t="str">
        <f>CONCATENATE(IF(F63="N","PLACEHOLDER ROW - ",""),'C-Design&amp;Const'!Z63,IF(F63="N","",J63))</f>
        <v>Site / Civil / Landscape - Utility Relocations (Updates to)</v>
      </c>
      <c r="I63" s="186"/>
      <c r="J63" s="578" t="str">
        <f>IF('C-Design&amp;Const'!AI63="","",'C-Design&amp;Const'!AI63)</f>
        <v xml:space="preserve"> (Updates to)</v>
      </c>
      <c r="K63" s="285" t="str">
        <f>IF((COUNTIF(D63:G63,"Y")=COUNTIF('04 - 95% CD'!A63,"Y")),"match","no 95% match")</f>
        <v>match</v>
      </c>
      <c r="L63" s="1410" t="str">
        <f t="shared" si="0"/>
        <v/>
      </c>
      <c r="M63" s="1333"/>
      <c r="N63" s="1382"/>
      <c r="O63" s="1382"/>
      <c r="P63" s="1382"/>
      <c r="Q63" s="1382"/>
      <c r="R63" s="1490"/>
      <c r="S63" s="1274"/>
      <c r="T63" s="1274"/>
      <c r="U63" s="1382"/>
      <c r="V63" s="1382"/>
      <c r="W63" s="1382"/>
      <c r="X63" s="1382"/>
      <c r="Y63" s="1382"/>
      <c r="Z63" s="1382"/>
      <c r="AA63" s="1382"/>
      <c r="AB63" s="1382"/>
      <c r="AC63" s="1382"/>
      <c r="AD63" s="1382"/>
      <c r="AE63" s="1382"/>
      <c r="AF63" s="1382"/>
      <c r="AG63" s="1382"/>
      <c r="AH63" s="1382"/>
      <c r="AI63" s="1382"/>
      <c r="AJ63" s="1382"/>
      <c r="AK63" s="181"/>
      <c r="AL63" s="181"/>
      <c r="AM63" s="181"/>
      <c r="AN63" s="181"/>
      <c r="AO63" s="181"/>
      <c r="AP63" s="181"/>
      <c r="AQ63" s="181"/>
      <c r="AR63" s="181"/>
      <c r="AS63" s="181"/>
      <c r="AT63" s="181"/>
      <c r="AU63" s="181"/>
      <c r="AV63" s="181"/>
      <c r="AW63" s="181"/>
    </row>
    <row r="64" spans="1:49" s="30" customFormat="1" x14ac:dyDescent="0.25">
      <c r="A64" s="1407" t="str">
        <f>IF(COUNTIF('04 - 95% CD'!D64:G64,"Y")&gt;0,"Y",IF(COUNTIF('04 - 95% CD'!D64:G64,"N"),"N",""))</f>
        <v>Y</v>
      </c>
      <c r="B64" s="191"/>
      <c r="C64" s="944"/>
      <c r="D64" s="321"/>
      <c r="E64" s="466"/>
      <c r="F64" s="559" t="str">
        <f>IF('C-Design&amp;Const'!$Q64="","",'C-Design&amp;Const'!$Q64)</f>
        <v>Y</v>
      </c>
      <c r="G64" s="558"/>
      <c r="H64" s="1029" t="str">
        <f>CONCATENATE(IF(F64="N","PLACEHOLDER ROW - ",""),'C-Design&amp;Const'!Z64,IF(F64="N","",J64))</f>
        <v>Site / Civil / Landscape - Utility Abandonments (Updates to)</v>
      </c>
      <c r="I64" s="186"/>
      <c r="J64" s="578" t="str">
        <f>IF('C-Design&amp;Const'!AI64="","",'C-Design&amp;Const'!AI64)</f>
        <v xml:space="preserve"> (Updates to)</v>
      </c>
      <c r="K64" s="285" t="str">
        <f>IF((COUNTIF(D64:G64,"Y")=COUNTIF('04 - 95% CD'!A64,"Y")),"match","no 95% match")</f>
        <v>match</v>
      </c>
      <c r="L64" s="1410" t="str">
        <f t="shared" si="0"/>
        <v/>
      </c>
      <c r="M64" s="1333"/>
      <c r="N64" s="1382"/>
      <c r="O64" s="1382"/>
      <c r="P64" s="1382"/>
      <c r="Q64" s="1382"/>
      <c r="R64" s="1490"/>
      <c r="S64" s="1274"/>
      <c r="T64" s="1274"/>
      <c r="U64" s="1382"/>
      <c r="V64" s="1382"/>
      <c r="W64" s="1382"/>
      <c r="X64" s="1382"/>
      <c r="Y64" s="1382"/>
      <c r="Z64" s="1382"/>
      <c r="AA64" s="1382"/>
      <c r="AB64" s="1382"/>
      <c r="AC64" s="1382"/>
      <c r="AD64" s="1382"/>
      <c r="AE64" s="1382"/>
      <c r="AF64" s="1382"/>
      <c r="AG64" s="1382"/>
      <c r="AH64" s="1382"/>
      <c r="AI64" s="1382"/>
      <c r="AJ64" s="1382"/>
      <c r="AK64" s="181"/>
      <c r="AL64" s="181"/>
      <c r="AM64" s="181"/>
      <c r="AN64" s="181"/>
      <c r="AO64" s="181"/>
      <c r="AP64" s="181"/>
      <c r="AQ64" s="181"/>
      <c r="AR64" s="181"/>
      <c r="AS64" s="181"/>
      <c r="AT64" s="181"/>
      <c r="AU64" s="181"/>
      <c r="AV64" s="181"/>
      <c r="AW64" s="181"/>
    </row>
    <row r="65" spans="1:49" s="30" customFormat="1" x14ac:dyDescent="0.25">
      <c r="A65" s="1407" t="str">
        <f>IF(COUNTIF('04 - 95% CD'!D65:G65,"Y")&gt;0,"Y",IF(COUNTIF('04 - 95% CD'!D65:G65,"N"),"N",""))</f>
        <v>N</v>
      </c>
      <c r="B65" s="191"/>
      <c r="C65" s="944"/>
      <c r="D65" s="321"/>
      <c r="E65" s="466"/>
      <c r="F65" s="559" t="str">
        <f>IF('C-Design&amp;Const'!$Q65="","",'C-Design&amp;Const'!$Q65)</f>
        <v>N</v>
      </c>
      <c r="G65" s="558"/>
      <c r="H65" s="1029" t="str">
        <f>CONCATENATE(IF(F65="N","PLACEHOLDER ROW - ",""),'C-Design&amp;Const'!Z65,IF(F65="N","",J65))</f>
        <v>PLACEHOLDER ROW - Site / Civil / Landscape - CUSTOM</v>
      </c>
      <c r="I65" s="186"/>
      <c r="J65" s="578" t="str">
        <f>IF('C-Design&amp;Const'!AI65="","",'C-Design&amp;Const'!AI65)</f>
        <v xml:space="preserve"> (Updates to)</v>
      </c>
      <c r="K65" s="285" t="str">
        <f>IF((COUNTIF(D65:G65,"Y")=COUNTIF('04 - 95% CD'!A65,"Y")),"match","no 95% match")</f>
        <v>match</v>
      </c>
      <c r="L65" s="1410" t="str">
        <f t="shared" si="0"/>
        <v>&lt;---PM/Planner may hide PLACEHOLDER ROW</v>
      </c>
      <c r="M65" s="1333"/>
      <c r="N65" s="1382"/>
      <c r="O65" s="1382"/>
      <c r="P65" s="1382"/>
      <c r="Q65" s="1382"/>
      <c r="R65" s="1490"/>
      <c r="S65" s="1274"/>
      <c r="T65" s="1274"/>
      <c r="U65" s="1382"/>
      <c r="V65" s="1382"/>
      <c r="W65" s="1382"/>
      <c r="X65" s="1382"/>
      <c r="Y65" s="1382"/>
      <c r="Z65" s="1382"/>
      <c r="AA65" s="1382"/>
      <c r="AB65" s="1382"/>
      <c r="AC65" s="1382"/>
      <c r="AD65" s="1382"/>
      <c r="AE65" s="1382"/>
      <c r="AF65" s="1382"/>
      <c r="AG65" s="1382"/>
      <c r="AH65" s="1382"/>
      <c r="AI65" s="1382"/>
      <c r="AJ65" s="1382"/>
      <c r="AK65" s="181"/>
      <c r="AL65" s="181"/>
      <c r="AM65" s="181"/>
      <c r="AN65" s="181"/>
      <c r="AO65" s="181"/>
      <c r="AP65" s="181"/>
      <c r="AQ65" s="181"/>
      <c r="AR65" s="181"/>
      <c r="AS65" s="181"/>
      <c r="AT65" s="181"/>
      <c r="AU65" s="181"/>
      <c r="AV65" s="181"/>
      <c r="AW65" s="181"/>
    </row>
    <row r="66" spans="1:49" s="545" customFormat="1" x14ac:dyDescent="0.25">
      <c r="A66" s="1407" t="str">
        <f>IF(COUNTIF('04 - 95% CD'!D66:G66,"Y")&gt;0,"Y",IF(COUNTIF('04 - 95% CD'!D66:G66,"N"),"N",""))</f>
        <v>Y</v>
      </c>
      <c r="B66" s="554"/>
      <c r="C66" s="944"/>
      <c r="D66" s="321"/>
      <c r="E66" s="466"/>
      <c r="F66" s="559" t="str">
        <f>IF('C-Design&amp;Const'!$Q66="","",'C-Design&amp;Const'!$Q66)</f>
        <v>Y</v>
      </c>
      <c r="G66" s="558"/>
      <c r="H66" s="1029" t="str">
        <f>CONCATENATE(IF(F66="N","PLACEHOLDER ROW - ",""),'C-Design&amp;Const'!Z66,IF(F66="N","",J66))</f>
        <v>Architectural - Demolition(s) (Updates to)</v>
      </c>
      <c r="I66" s="186"/>
      <c r="J66" s="578" t="str">
        <f>IF('C-Design&amp;Const'!AI66="","",'C-Design&amp;Const'!AI66)</f>
        <v xml:space="preserve"> (Updates to)</v>
      </c>
      <c r="K66" s="285" t="str">
        <f>IF((COUNTIF(D66:G66,"Y")=COUNTIF('04 - 95% CD'!A66,"Y")),"match","no 95% match")</f>
        <v>match</v>
      </c>
      <c r="L66" s="1410" t="str">
        <f t="shared" ref="L66" si="2">CONCATENATE(IF(ISNUMBER(SEARCH("Placeholder",H66))=TRUE,"&lt;---PM/Planner may hide PLACEHOLDER ROW",""))</f>
        <v/>
      </c>
      <c r="M66" s="1333"/>
      <c r="N66" s="1382"/>
      <c r="O66" s="1382"/>
      <c r="P66" s="1382"/>
      <c r="Q66" s="1382"/>
      <c r="R66" s="1490"/>
      <c r="S66" s="1274"/>
      <c r="T66" s="1274"/>
      <c r="U66" s="1382"/>
      <c r="V66" s="1382"/>
      <c r="W66" s="1382"/>
      <c r="X66" s="1382"/>
      <c r="Y66" s="1382"/>
      <c r="Z66" s="1382"/>
      <c r="AA66" s="1382"/>
      <c r="AB66" s="1382"/>
      <c r="AC66" s="1382"/>
      <c r="AD66" s="1382"/>
      <c r="AE66" s="1382"/>
      <c r="AF66" s="1382"/>
      <c r="AG66" s="1382"/>
      <c r="AH66" s="1382"/>
      <c r="AI66" s="1382"/>
      <c r="AJ66" s="1382"/>
      <c r="AK66" s="551"/>
      <c r="AL66" s="551"/>
      <c r="AM66" s="551"/>
      <c r="AN66" s="551"/>
      <c r="AO66" s="551"/>
      <c r="AP66" s="551"/>
      <c r="AQ66" s="551"/>
      <c r="AR66" s="551"/>
      <c r="AS66" s="551"/>
      <c r="AT66" s="551"/>
      <c r="AU66" s="551"/>
      <c r="AV66" s="551"/>
      <c r="AW66" s="551"/>
    </row>
    <row r="67" spans="1:49" s="30" customFormat="1" x14ac:dyDescent="0.25">
      <c r="A67" s="1407" t="str">
        <f>IF(COUNTIF('04 - 95% CD'!D67:G67,"Y")&gt;0,"Y",IF(COUNTIF('04 - 95% CD'!D67:G67,"N"),"N",""))</f>
        <v>Y</v>
      </c>
      <c r="B67" s="191"/>
      <c r="C67" s="944"/>
      <c r="D67" s="321"/>
      <c r="E67" s="466"/>
      <c r="F67" s="559" t="str">
        <f>IF('C-Design&amp;Const'!$Q67="","",'C-Design&amp;Const'!$Q67)</f>
        <v>Y</v>
      </c>
      <c r="G67" s="558"/>
      <c r="H67" s="1029" t="str">
        <f>CONCATENATE(IF(F67="N","PLACEHOLDER ROW - ",""),'C-Design&amp;Const'!Z67,IF(F67="N","",J67))</f>
        <v>Architectural - Space Use (Updates to)</v>
      </c>
      <c r="I67" s="186"/>
      <c r="J67" s="578" t="str">
        <f>IF('C-Design&amp;Const'!AI67="","",'C-Design&amp;Const'!AI67)</f>
        <v xml:space="preserve"> (Updates to)</v>
      </c>
      <c r="K67" s="285" t="str">
        <f>IF((COUNTIF(D67:G67,"Y")=COUNTIF('04 - 95% CD'!A67,"Y")),"match","no 95% match")</f>
        <v>match</v>
      </c>
      <c r="L67" s="1410" t="str">
        <f t="shared" si="0"/>
        <v/>
      </c>
      <c r="M67" s="1333"/>
      <c r="N67" s="1382"/>
      <c r="O67" s="1382"/>
      <c r="P67" s="1382"/>
      <c r="Q67" s="1382"/>
      <c r="R67" s="1490"/>
      <c r="S67" s="1274"/>
      <c r="T67" s="1274"/>
      <c r="U67" s="1382"/>
      <c r="V67" s="1382"/>
      <c r="W67" s="1382"/>
      <c r="X67" s="1382"/>
      <c r="Y67" s="1382"/>
      <c r="Z67" s="1382"/>
      <c r="AA67" s="1382"/>
      <c r="AB67" s="1382"/>
      <c r="AC67" s="1382"/>
      <c r="AD67" s="1382"/>
      <c r="AE67" s="1382"/>
      <c r="AF67" s="1382"/>
      <c r="AG67" s="1382"/>
      <c r="AH67" s="1382"/>
      <c r="AI67" s="1382"/>
      <c r="AJ67" s="1382"/>
      <c r="AK67" s="181"/>
      <c r="AL67" s="181"/>
      <c r="AM67" s="181"/>
      <c r="AN67" s="181"/>
      <c r="AO67" s="181"/>
      <c r="AP67" s="181"/>
      <c r="AQ67" s="181"/>
      <c r="AR67" s="181"/>
      <c r="AS67" s="181"/>
      <c r="AT67" s="181"/>
      <c r="AU67" s="181"/>
      <c r="AV67" s="181"/>
      <c r="AW67" s="181"/>
    </row>
    <row r="68" spans="1:49" s="30" customFormat="1" x14ac:dyDescent="0.25">
      <c r="A68" s="1407" t="str">
        <f>IF(COUNTIF('04 - 95% CD'!D68:G68,"Y")&gt;0,"Y",IF(COUNTIF('04 - 95% CD'!D68:G68,"N"),"N",""))</f>
        <v>Y</v>
      </c>
      <c r="B68" s="191"/>
      <c r="C68" s="944"/>
      <c r="D68" s="321"/>
      <c r="E68" s="466"/>
      <c r="F68" s="559" t="str">
        <f>IF('C-Design&amp;Const'!$Q68="","",'C-Design&amp;Const'!$Q68)</f>
        <v>Y</v>
      </c>
      <c r="G68" s="558"/>
      <c r="H68" s="1029" t="str">
        <f>CONCATENATE(IF(F68="N","PLACEHOLDER ROW - ",""),'C-Design&amp;Const'!Z68,IF(F68="N","",J68))</f>
        <v>Architectural - Historical Preservation (Updates to)</v>
      </c>
      <c r="I68" s="186"/>
      <c r="J68" s="578" t="str">
        <f>IF('C-Design&amp;Const'!AI68="","",'C-Design&amp;Const'!AI68)</f>
        <v xml:space="preserve"> (Updates to)</v>
      </c>
      <c r="K68" s="285" t="str">
        <f>IF((COUNTIF(D68:G68,"Y")=COUNTIF('04 - 95% CD'!A68,"Y")),"match","no 95% match")</f>
        <v>match</v>
      </c>
      <c r="L68" s="1410" t="str">
        <f t="shared" si="0"/>
        <v/>
      </c>
      <c r="M68" s="1333"/>
      <c r="N68" s="1382"/>
      <c r="O68" s="1382"/>
      <c r="P68" s="1382"/>
      <c r="Q68" s="1382"/>
      <c r="R68" s="1490"/>
      <c r="S68" s="1274"/>
      <c r="T68" s="1274"/>
      <c r="U68" s="1382"/>
      <c r="V68" s="1382"/>
      <c r="W68" s="1382"/>
      <c r="X68" s="1382"/>
      <c r="Y68" s="1382"/>
      <c r="Z68" s="1382"/>
      <c r="AA68" s="1382"/>
      <c r="AB68" s="1382"/>
      <c r="AC68" s="1382"/>
      <c r="AD68" s="1382"/>
      <c r="AE68" s="1382"/>
      <c r="AF68" s="1382"/>
      <c r="AG68" s="1382"/>
      <c r="AH68" s="1382"/>
      <c r="AI68" s="1382"/>
      <c r="AJ68" s="1382"/>
      <c r="AK68" s="181"/>
      <c r="AL68" s="181"/>
      <c r="AM68" s="181"/>
      <c r="AN68" s="181"/>
      <c r="AO68" s="181"/>
      <c r="AP68" s="181"/>
      <c r="AQ68" s="181"/>
      <c r="AR68" s="181"/>
      <c r="AS68" s="181"/>
      <c r="AT68" s="181"/>
      <c r="AU68" s="181"/>
      <c r="AV68" s="181"/>
      <c r="AW68" s="181"/>
    </row>
    <row r="69" spans="1:49" s="30" customFormat="1" ht="28.5" x14ac:dyDescent="0.25">
      <c r="A69" s="1407" t="str">
        <f>IF(COUNTIF('04 - 95% CD'!D69:G69,"Y")&gt;0,"Y",IF(COUNTIF('04 - 95% CD'!D69:G69,"N"),"N",""))</f>
        <v>Y</v>
      </c>
      <c r="B69" s="191"/>
      <c r="C69" s="944"/>
      <c r="D69" s="321"/>
      <c r="E69" s="466"/>
      <c r="F69" s="559" t="str">
        <f>IF('C-Design&amp;Const'!$Q69="","",'C-Design&amp;Const'!$Q69)</f>
        <v>Y</v>
      </c>
      <c r="G69" s="558"/>
      <c r="H69" s="1029" t="str">
        <f>CONCATENATE(IF(F69="N","PLACEHOLDER ROW - ",""),'C-Design&amp;Const'!Z69,IF(F69="N","",J69))</f>
        <v>Architectural - Building Envelope **(existing systems verification recommended on renovations) (Updates to)</v>
      </c>
      <c r="I69" s="186"/>
      <c r="J69" s="578" t="str">
        <f>IF('C-Design&amp;Const'!AI69="","",'C-Design&amp;Const'!AI69)</f>
        <v xml:space="preserve"> (Updates to)</v>
      </c>
      <c r="K69" s="285" t="str">
        <f>IF((COUNTIF(D69:G69,"Y")=COUNTIF('04 - 95% CD'!A69,"Y")),"match","no 95% match")</f>
        <v>match</v>
      </c>
      <c r="L69" s="1410" t="str">
        <f t="shared" si="0"/>
        <v/>
      </c>
      <c r="M69" s="1333"/>
      <c r="N69" s="1382"/>
      <c r="O69" s="1382"/>
      <c r="P69" s="1382"/>
      <c r="Q69" s="1382"/>
      <c r="R69" s="1490"/>
      <c r="S69" s="1274"/>
      <c r="T69" s="1274"/>
      <c r="U69" s="1382"/>
      <c r="V69" s="1382"/>
      <c r="W69" s="1382"/>
      <c r="X69" s="1382"/>
      <c r="Y69" s="1382"/>
      <c r="Z69" s="1382"/>
      <c r="AA69" s="1382"/>
      <c r="AB69" s="1382"/>
      <c r="AC69" s="1382"/>
      <c r="AD69" s="1382"/>
      <c r="AE69" s="1382"/>
      <c r="AF69" s="1382"/>
      <c r="AG69" s="1382"/>
      <c r="AH69" s="1382"/>
      <c r="AI69" s="1382"/>
      <c r="AJ69" s="1382"/>
      <c r="AK69" s="181"/>
      <c r="AL69" s="181"/>
      <c r="AM69" s="181"/>
      <c r="AN69" s="181"/>
      <c r="AO69" s="181"/>
      <c r="AP69" s="181"/>
      <c r="AQ69" s="181"/>
      <c r="AR69" s="181"/>
      <c r="AS69" s="181"/>
      <c r="AT69" s="181"/>
      <c r="AU69" s="181"/>
      <c r="AV69" s="181"/>
      <c r="AW69" s="181"/>
    </row>
    <row r="70" spans="1:49" s="30" customFormat="1" x14ac:dyDescent="0.25">
      <c r="A70" s="1407" t="str">
        <f>IF(COUNTIF('04 - 95% CD'!D70:G70,"Y")&gt;0,"Y",IF(COUNTIF('04 - 95% CD'!D70:G70,"N"),"N",""))</f>
        <v>Y</v>
      </c>
      <c r="B70" s="191"/>
      <c r="C70" s="944"/>
      <c r="D70" s="321"/>
      <c r="E70" s="466"/>
      <c r="F70" s="559" t="str">
        <f>IF('C-Design&amp;Const'!$Q70="","",'C-Design&amp;Const'!$Q70)</f>
        <v>Y</v>
      </c>
      <c r="G70" s="558"/>
      <c r="H70" s="1029" t="str">
        <f>CONCATENATE(IF(F70="N","PLACEHOLDER ROW - ",""),'C-Design&amp;Const'!Z70,IF(F70="N","",J70))</f>
        <v>Architectural - Interiors (Updates to)</v>
      </c>
      <c r="I70" s="186"/>
      <c r="J70" s="578" t="str">
        <f>IF('C-Design&amp;Const'!AI70="","",'C-Design&amp;Const'!AI70)</f>
        <v xml:space="preserve"> (Updates to)</v>
      </c>
      <c r="K70" s="285" t="str">
        <f>IF((COUNTIF(D70:G70,"Y")=COUNTIF('04 - 95% CD'!A70,"Y")),"match","no 95% match")</f>
        <v>match</v>
      </c>
      <c r="L70" s="1410" t="str">
        <f t="shared" si="0"/>
        <v/>
      </c>
      <c r="M70" s="1333"/>
      <c r="N70" s="1382"/>
      <c r="O70" s="1382"/>
      <c r="P70" s="1382"/>
      <c r="Q70" s="1382"/>
      <c r="R70" s="1490"/>
      <c r="S70" s="1274"/>
      <c r="T70" s="1274"/>
      <c r="U70" s="1382"/>
      <c r="V70" s="1382"/>
      <c r="W70" s="1382"/>
      <c r="X70" s="1382"/>
      <c r="Y70" s="1382"/>
      <c r="Z70" s="1382"/>
      <c r="AA70" s="1382"/>
      <c r="AB70" s="1382"/>
      <c r="AC70" s="1382"/>
      <c r="AD70" s="1382"/>
      <c r="AE70" s="1382"/>
      <c r="AF70" s="1382"/>
      <c r="AG70" s="1382"/>
      <c r="AH70" s="1382"/>
      <c r="AI70" s="1382"/>
      <c r="AJ70" s="1382"/>
      <c r="AK70" s="181"/>
      <c r="AL70" s="181"/>
      <c r="AM70" s="181"/>
      <c r="AN70" s="181"/>
      <c r="AO70" s="181"/>
      <c r="AP70" s="181"/>
      <c r="AQ70" s="181"/>
      <c r="AR70" s="181"/>
      <c r="AS70" s="181"/>
      <c r="AT70" s="181"/>
      <c r="AU70" s="181"/>
      <c r="AV70" s="181"/>
      <c r="AW70" s="181"/>
    </row>
    <row r="71" spans="1:49" s="30" customFormat="1" x14ac:dyDescent="0.25">
      <c r="A71" s="1407" t="str">
        <f>IF(COUNTIF('04 - 95% CD'!D71:G71,"Y")&gt;0,"Y",IF(COUNTIF('04 - 95% CD'!D71:G71,"N"),"N",""))</f>
        <v>Y</v>
      </c>
      <c r="B71" s="191"/>
      <c r="C71" s="944"/>
      <c r="D71" s="321"/>
      <c r="E71" s="466"/>
      <c r="F71" s="559" t="str">
        <f>IF('C-Design&amp;Const'!$Q71="","",'C-Design&amp;Const'!$Q71)</f>
        <v>Y</v>
      </c>
      <c r="G71" s="558"/>
      <c r="H71" s="1029" t="str">
        <f>CONCATENATE(IF(F71="N","PLACEHOLDER ROW - ",""),'C-Design&amp;Const'!Z71,IF(F71="N","",J71))</f>
        <v>Architectural - Interior and Exterior Signage  (Updates to)</v>
      </c>
      <c r="I71" s="186"/>
      <c r="J71" s="578" t="str">
        <f>IF('C-Design&amp;Const'!AI71="","",'C-Design&amp;Const'!AI71)</f>
        <v xml:space="preserve"> (Updates to)</v>
      </c>
      <c r="K71" s="285" t="str">
        <f>IF((COUNTIF(D71:G71,"Y")=COUNTIF('04 - 95% CD'!A71,"Y")),"match","no 95% match")</f>
        <v>match</v>
      </c>
      <c r="L71" s="1410" t="str">
        <f t="shared" si="0"/>
        <v/>
      </c>
      <c r="M71" s="1333"/>
      <c r="N71" s="1382"/>
      <c r="O71" s="1382"/>
      <c r="P71" s="1382"/>
      <c r="Q71" s="1382"/>
      <c r="R71" s="1490"/>
      <c r="S71" s="1274"/>
      <c r="T71" s="1274"/>
      <c r="U71" s="1382"/>
      <c r="V71" s="1382"/>
      <c r="W71" s="1382"/>
      <c r="X71" s="1382"/>
      <c r="Y71" s="1382"/>
      <c r="Z71" s="1382"/>
      <c r="AA71" s="1382"/>
      <c r="AB71" s="1382"/>
      <c r="AC71" s="1382"/>
      <c r="AD71" s="1382"/>
      <c r="AE71" s="1382"/>
      <c r="AF71" s="1382"/>
      <c r="AG71" s="1382"/>
      <c r="AH71" s="1382"/>
      <c r="AI71" s="1382"/>
      <c r="AJ71" s="1382"/>
      <c r="AK71" s="181"/>
      <c r="AL71" s="181"/>
      <c r="AM71" s="181"/>
      <c r="AN71" s="181"/>
      <c r="AO71" s="181"/>
      <c r="AP71" s="181"/>
      <c r="AQ71" s="181"/>
      <c r="AR71" s="181"/>
      <c r="AS71" s="181"/>
      <c r="AT71" s="181"/>
      <c r="AU71" s="181"/>
      <c r="AV71" s="181"/>
      <c r="AW71" s="181"/>
    </row>
    <row r="72" spans="1:49" s="30" customFormat="1" ht="28.5" x14ac:dyDescent="0.25">
      <c r="A72" s="1407" t="str">
        <f>IF(COUNTIF('04 - 95% CD'!D72:G72,"Y")&gt;0,"Y",IF(COUNTIF('04 - 95% CD'!D72:G72,"N"),"N",""))</f>
        <v>Y</v>
      </c>
      <c r="B72" s="191"/>
      <c r="C72" s="944"/>
      <c r="D72" s="321"/>
      <c r="E72" s="466"/>
      <c r="F72" s="559" t="str">
        <f>IF('C-Design&amp;Const'!$Q72="","",'C-Design&amp;Const'!$Q72)</f>
        <v>Y</v>
      </c>
      <c r="G72" s="558"/>
      <c r="H72" s="1029" t="str">
        <f>CONCATENATE(IF(F72="N","PLACEHOLDER ROW - ",""),'C-Design&amp;Const'!Z72,IF(F72="N","",J72))</f>
        <v>Architectural - Elevators  **(existing systems verification recommended on renovations) (Updates to)</v>
      </c>
      <c r="I72" s="186"/>
      <c r="J72" s="578" t="str">
        <f>IF('C-Design&amp;Const'!AI72="","",'C-Design&amp;Const'!AI72)</f>
        <v xml:space="preserve"> (Updates to)</v>
      </c>
      <c r="K72" s="285" t="str">
        <f>IF((COUNTIF(D72:G72,"Y")=COUNTIF('04 - 95% CD'!A72,"Y")),"match","no 95% match")</f>
        <v>match</v>
      </c>
      <c r="L72" s="1410" t="str">
        <f t="shared" si="0"/>
        <v/>
      </c>
      <c r="M72" s="1333"/>
      <c r="N72" s="1382"/>
      <c r="O72" s="1382"/>
      <c r="P72" s="1382"/>
      <c r="Q72" s="1382"/>
      <c r="R72" s="1490"/>
      <c r="S72" s="1274"/>
      <c r="T72" s="1274"/>
      <c r="U72" s="1382"/>
      <c r="V72" s="1382"/>
      <c r="W72" s="1382"/>
      <c r="X72" s="1382"/>
      <c r="Y72" s="1382"/>
      <c r="Z72" s="1382"/>
      <c r="AA72" s="1382"/>
      <c r="AB72" s="1382"/>
      <c r="AC72" s="1382"/>
      <c r="AD72" s="1382"/>
      <c r="AE72" s="1382"/>
      <c r="AF72" s="1382"/>
      <c r="AG72" s="1382"/>
      <c r="AH72" s="1382"/>
      <c r="AI72" s="1382"/>
      <c r="AJ72" s="1382"/>
      <c r="AK72" s="181"/>
      <c r="AL72" s="181"/>
      <c r="AM72" s="181"/>
      <c r="AN72" s="181"/>
      <c r="AO72" s="181"/>
      <c r="AP72" s="181"/>
      <c r="AQ72" s="181"/>
      <c r="AR72" s="181"/>
      <c r="AS72" s="181"/>
      <c r="AT72" s="181"/>
      <c r="AU72" s="181"/>
      <c r="AV72" s="181"/>
      <c r="AW72" s="181"/>
    </row>
    <row r="73" spans="1:49" s="30" customFormat="1" x14ac:dyDescent="0.25">
      <c r="A73" s="1407" t="str">
        <f>IF(COUNTIF('04 - 95% CD'!D73:G73,"Y")&gt;0,"Y",IF(COUNTIF('04 - 95% CD'!D73:G73,"N"),"N",""))</f>
        <v>N</v>
      </c>
      <c r="B73" s="191"/>
      <c r="C73" s="944"/>
      <c r="D73" s="321"/>
      <c r="E73" s="466"/>
      <c r="F73" s="559" t="str">
        <f>IF('C-Design&amp;Const'!$Q73="","",'C-Design&amp;Const'!$Q73)</f>
        <v>N</v>
      </c>
      <c r="G73" s="558"/>
      <c r="H73" s="1029" t="str">
        <f>CONCATENATE(IF(F73="N","PLACEHOLDER ROW - ",""),'C-Design&amp;Const'!Z73,IF(F73="N","",J73))</f>
        <v>PLACEHOLDER ROW - Architectural - CUSTOM</v>
      </c>
      <c r="I73" s="186"/>
      <c r="J73" s="578" t="str">
        <f>IF('C-Design&amp;Const'!AI73="","",'C-Design&amp;Const'!AI73)</f>
        <v xml:space="preserve"> (Updates to)</v>
      </c>
      <c r="K73" s="285" t="str">
        <f>IF((COUNTIF(D73:G73,"Y")=COUNTIF('04 - 95% CD'!A73,"Y")),"match","no 95% match")</f>
        <v>match</v>
      </c>
      <c r="L73" s="1410" t="str">
        <f t="shared" si="0"/>
        <v>&lt;---PM/Planner may hide PLACEHOLDER ROW</v>
      </c>
      <c r="M73" s="1333"/>
      <c r="N73" s="1382"/>
      <c r="O73" s="1382"/>
      <c r="P73" s="1382"/>
      <c r="Q73" s="1382"/>
      <c r="R73" s="1490"/>
      <c r="S73" s="1274"/>
      <c r="T73" s="1274"/>
      <c r="U73" s="1382"/>
      <c r="V73" s="1382"/>
      <c r="W73" s="1382"/>
      <c r="X73" s="1382"/>
      <c r="Y73" s="1382"/>
      <c r="Z73" s="1382"/>
      <c r="AA73" s="1382"/>
      <c r="AB73" s="1382"/>
      <c r="AC73" s="1382"/>
      <c r="AD73" s="1382"/>
      <c r="AE73" s="1382"/>
      <c r="AF73" s="1382"/>
      <c r="AG73" s="1382"/>
      <c r="AH73" s="1382"/>
      <c r="AI73" s="1382"/>
      <c r="AJ73" s="1382"/>
      <c r="AK73" s="181"/>
      <c r="AL73" s="181"/>
      <c r="AM73" s="181"/>
      <c r="AN73" s="181"/>
      <c r="AO73" s="181"/>
      <c r="AP73" s="181"/>
      <c r="AQ73" s="181"/>
      <c r="AR73" s="181"/>
      <c r="AS73" s="181"/>
      <c r="AT73" s="181"/>
      <c r="AU73" s="181"/>
      <c r="AV73" s="181"/>
      <c r="AW73" s="181"/>
    </row>
    <row r="74" spans="1:49" s="30" customFormat="1" x14ac:dyDescent="0.25">
      <c r="A74" s="1407" t="str">
        <f>IF(COUNTIF('04 - 95% CD'!D74:G74,"Y")&gt;0,"Y",IF(COUNTIF('04 - 95% CD'!D74:G74,"N"),"N",""))</f>
        <v>N</v>
      </c>
      <c r="B74" s="191"/>
      <c r="C74" s="944"/>
      <c r="D74" s="321"/>
      <c r="E74" s="466"/>
      <c r="F74" s="559" t="str">
        <f>IF('C-Design&amp;Const'!$Q74="","",'C-Design&amp;Const'!$Q74)</f>
        <v>N</v>
      </c>
      <c r="G74" s="558"/>
      <c r="H74" s="1029" t="str">
        <f>CONCATENATE(IF(F74="N","PLACEHOLDER ROW - ",""),'C-Design&amp;Const'!Z74,IF(F74="N","",J74))</f>
        <v>PLACEHOLDER ROW - Architectural - CUSTOM</v>
      </c>
      <c r="I74" s="186"/>
      <c r="J74" s="578" t="str">
        <f>IF('C-Design&amp;Const'!AI74="","",'C-Design&amp;Const'!AI74)</f>
        <v xml:space="preserve"> (Updates to)</v>
      </c>
      <c r="K74" s="285" t="str">
        <f>IF((COUNTIF(D74:G74,"Y")=COUNTIF('04 - 95% CD'!A74,"Y")),"match","no 95% match")</f>
        <v>match</v>
      </c>
      <c r="L74" s="1410" t="str">
        <f t="shared" si="0"/>
        <v>&lt;---PM/Planner may hide PLACEHOLDER ROW</v>
      </c>
      <c r="M74" s="1333"/>
      <c r="N74" s="1382"/>
      <c r="O74" s="1382"/>
      <c r="P74" s="1382"/>
      <c r="Q74" s="1382"/>
      <c r="R74" s="1490"/>
      <c r="S74" s="1274"/>
      <c r="T74" s="1274"/>
      <c r="U74" s="1382"/>
      <c r="V74" s="1382"/>
      <c r="W74" s="1382"/>
      <c r="X74" s="1382"/>
      <c r="Y74" s="1382"/>
      <c r="Z74" s="1382"/>
      <c r="AA74" s="1382"/>
      <c r="AB74" s="1382"/>
      <c r="AC74" s="1382"/>
      <c r="AD74" s="1382"/>
      <c r="AE74" s="1382"/>
      <c r="AF74" s="1382"/>
      <c r="AG74" s="1382"/>
      <c r="AH74" s="1382"/>
      <c r="AI74" s="1382"/>
      <c r="AJ74" s="1382"/>
      <c r="AK74" s="181"/>
      <c r="AL74" s="181"/>
      <c r="AM74" s="181"/>
      <c r="AN74" s="181"/>
      <c r="AO74" s="181"/>
      <c r="AP74" s="181"/>
      <c r="AQ74" s="181"/>
      <c r="AR74" s="181"/>
      <c r="AS74" s="181"/>
      <c r="AT74" s="181"/>
      <c r="AU74" s="181"/>
      <c r="AV74" s="181"/>
      <c r="AW74" s="181"/>
    </row>
    <row r="75" spans="1:49" s="30" customFormat="1" x14ac:dyDescent="0.25">
      <c r="A75" s="1407" t="str">
        <f>IF(COUNTIF('04 - 95% CD'!D75:G75,"Y")&gt;0,"Y",IF(COUNTIF('04 - 95% CD'!D75:G75,"N"),"N",""))</f>
        <v>Y</v>
      </c>
      <c r="B75" s="191"/>
      <c r="C75" s="944"/>
      <c r="D75" s="321"/>
      <c r="E75" s="466"/>
      <c r="F75" s="559" t="str">
        <f>IF('C-Design&amp;Const'!$Q75="","",'C-Design&amp;Const'!$Q75)</f>
        <v>Y</v>
      </c>
      <c r="G75" s="558"/>
      <c r="H75" s="1029" t="str">
        <f>CONCATENATE(IF(F75="N","PLACEHOLDER ROW - ",""),'C-Design&amp;Const'!Z75,IF(F75="N","",J75))</f>
        <v>Structural - Demolition(s) (Updates to)</v>
      </c>
      <c r="I75" s="186"/>
      <c r="J75" s="578" t="str">
        <f>IF('C-Design&amp;Const'!AI75="","",'C-Design&amp;Const'!AI75)</f>
        <v xml:space="preserve"> (Updates to)</v>
      </c>
      <c r="K75" s="285" t="str">
        <f>IF((COUNTIF(D75:G75,"Y")=COUNTIF('04 - 95% CD'!A75,"Y")),"match","no 95% match")</f>
        <v>match</v>
      </c>
      <c r="L75" s="1410" t="str">
        <f t="shared" si="0"/>
        <v/>
      </c>
      <c r="M75" s="1333"/>
      <c r="N75" s="1382"/>
      <c r="O75" s="1382"/>
      <c r="P75" s="1382"/>
      <c r="Q75" s="1382"/>
      <c r="R75" s="1490"/>
      <c r="S75" s="1274"/>
      <c r="T75" s="1274"/>
      <c r="U75" s="1382"/>
      <c r="V75" s="1382"/>
      <c r="W75" s="1382"/>
      <c r="X75" s="1382"/>
      <c r="Y75" s="1382"/>
      <c r="Z75" s="1382"/>
      <c r="AA75" s="1382"/>
      <c r="AB75" s="1382"/>
      <c r="AC75" s="1382"/>
      <c r="AD75" s="1382"/>
      <c r="AE75" s="1382"/>
      <c r="AF75" s="1382"/>
      <c r="AG75" s="1382"/>
      <c r="AH75" s="1382"/>
      <c r="AI75" s="1382"/>
      <c r="AJ75" s="1382"/>
      <c r="AK75" s="181"/>
      <c r="AL75" s="181"/>
      <c r="AM75" s="181"/>
      <c r="AN75" s="181"/>
      <c r="AO75" s="181"/>
      <c r="AP75" s="181"/>
      <c r="AQ75" s="181"/>
      <c r="AR75" s="181"/>
      <c r="AS75" s="181"/>
      <c r="AT75" s="181"/>
      <c r="AU75" s="181"/>
      <c r="AV75" s="181"/>
      <c r="AW75" s="181"/>
    </row>
    <row r="76" spans="1:49" s="30" customFormat="1" x14ac:dyDescent="0.25">
      <c r="A76" s="1407" t="str">
        <f>IF(COUNTIF('04 - 95% CD'!D76:G76,"Y")&gt;0,"Y",IF(COUNTIF('04 - 95% CD'!D76:G76,"N"),"N",""))</f>
        <v>Y</v>
      </c>
      <c r="B76" s="191"/>
      <c r="C76" s="944"/>
      <c r="D76" s="321"/>
      <c r="E76" s="466"/>
      <c r="F76" s="559" t="str">
        <f>IF('C-Design&amp;Const'!$Q76="","",'C-Design&amp;Const'!$Q76)</f>
        <v>Y</v>
      </c>
      <c r="G76" s="558"/>
      <c r="H76" s="1029" t="str">
        <f>CONCATENATE(IF(F76="N","PLACEHOLDER ROW - ",""),'C-Design&amp;Const'!Z76,IF(F76="N","",J76))</f>
        <v>Structural - Gravity Loads (Updates to)</v>
      </c>
      <c r="I76" s="186"/>
      <c r="J76" s="578" t="str">
        <f>IF('C-Design&amp;Const'!AI76="","",'C-Design&amp;Const'!AI76)</f>
        <v xml:space="preserve"> (Updates to)</v>
      </c>
      <c r="K76" s="285" t="str">
        <f>IF((COUNTIF(D76:G76,"Y")=COUNTIF('04 - 95% CD'!A76,"Y")),"match","no 95% match")</f>
        <v>match</v>
      </c>
      <c r="L76" s="1410" t="str">
        <f t="shared" si="0"/>
        <v/>
      </c>
      <c r="M76" s="1333"/>
      <c r="N76" s="1382"/>
      <c r="O76" s="1382"/>
      <c r="P76" s="1382"/>
      <c r="Q76" s="1382"/>
      <c r="R76" s="1490"/>
      <c r="S76" s="1274"/>
      <c r="T76" s="1274"/>
      <c r="U76" s="1382"/>
      <c r="V76" s="1382"/>
      <c r="W76" s="1382"/>
      <c r="X76" s="1382"/>
      <c r="Y76" s="1382"/>
      <c r="Z76" s="1382"/>
      <c r="AA76" s="1382"/>
      <c r="AB76" s="1382"/>
      <c r="AC76" s="1382"/>
      <c r="AD76" s="1382"/>
      <c r="AE76" s="1382"/>
      <c r="AF76" s="1382"/>
      <c r="AG76" s="1382"/>
      <c r="AH76" s="1382"/>
      <c r="AI76" s="1382"/>
      <c r="AJ76" s="1382"/>
      <c r="AK76" s="181"/>
      <c r="AL76" s="181"/>
      <c r="AM76" s="181"/>
      <c r="AN76" s="181"/>
      <c r="AO76" s="181"/>
      <c r="AP76" s="181"/>
      <c r="AQ76" s="181"/>
      <c r="AR76" s="181"/>
      <c r="AS76" s="181"/>
      <c r="AT76" s="181"/>
      <c r="AU76" s="181"/>
      <c r="AV76" s="181"/>
      <c r="AW76" s="181"/>
    </row>
    <row r="77" spans="1:49" s="30" customFormat="1" x14ac:dyDescent="0.25">
      <c r="A77" s="1407" t="str">
        <f>IF(COUNTIF('04 - 95% CD'!D77:G77,"Y")&gt;0,"Y",IF(COUNTIF('04 - 95% CD'!D77:G77,"N"),"N",""))</f>
        <v>Y</v>
      </c>
      <c r="B77" s="191"/>
      <c r="C77" s="944"/>
      <c r="D77" s="321"/>
      <c r="E77" s="466"/>
      <c r="F77" s="559" t="str">
        <f>IF('C-Design&amp;Const'!$Q77="","",'C-Design&amp;Const'!$Q77)</f>
        <v>Y</v>
      </c>
      <c r="G77" s="558"/>
      <c r="H77" s="1029" t="str">
        <f>CONCATENATE(IF(F77="N","PLACEHOLDER ROW - ",""),'C-Design&amp;Const'!Z77,IF(F77="N","",J77))</f>
        <v>Structural - Lateral loads and force resisting systems (Updates to)</v>
      </c>
      <c r="I77" s="186"/>
      <c r="J77" s="578" t="str">
        <f>IF('C-Design&amp;Const'!AI77="","",'C-Design&amp;Const'!AI77)</f>
        <v xml:space="preserve"> (Updates to)</v>
      </c>
      <c r="K77" s="285" t="str">
        <f>IF((COUNTIF(D77:G77,"Y")=COUNTIF('04 - 95% CD'!A77,"Y")),"match","no 95% match")</f>
        <v>match</v>
      </c>
      <c r="L77" s="1410" t="str">
        <f t="shared" si="0"/>
        <v/>
      </c>
      <c r="M77" s="1333"/>
      <c r="N77" s="1382"/>
      <c r="O77" s="1382"/>
      <c r="P77" s="1382"/>
      <c r="Q77" s="1382"/>
      <c r="R77" s="1490"/>
      <c r="S77" s="1274"/>
      <c r="T77" s="1274"/>
      <c r="U77" s="1382"/>
      <c r="V77" s="1382"/>
      <c r="W77" s="1382"/>
      <c r="X77" s="1382"/>
      <c r="Y77" s="1382"/>
      <c r="Z77" s="1382"/>
      <c r="AA77" s="1382"/>
      <c r="AB77" s="1382"/>
      <c r="AC77" s="1382"/>
      <c r="AD77" s="1382"/>
      <c r="AE77" s="1382"/>
      <c r="AF77" s="1382"/>
      <c r="AG77" s="1382"/>
      <c r="AH77" s="1382"/>
      <c r="AI77" s="1382"/>
      <c r="AJ77" s="1382"/>
      <c r="AK77" s="181"/>
      <c r="AL77" s="181"/>
      <c r="AM77" s="181"/>
      <c r="AN77" s="181"/>
      <c r="AO77" s="181"/>
      <c r="AP77" s="181"/>
      <c r="AQ77" s="181"/>
      <c r="AR77" s="181"/>
      <c r="AS77" s="181"/>
      <c r="AT77" s="181"/>
      <c r="AU77" s="181"/>
      <c r="AV77" s="181"/>
      <c r="AW77" s="181"/>
    </row>
    <row r="78" spans="1:49" s="30" customFormat="1" x14ac:dyDescent="0.25">
      <c r="A78" s="1407" t="str">
        <f>IF(COUNTIF('04 - 95% CD'!D78:G78,"Y")&gt;0,"Y",IF(COUNTIF('04 - 95% CD'!D78:G78,"N"),"N",""))</f>
        <v>Y</v>
      </c>
      <c r="B78" s="191"/>
      <c r="C78" s="944"/>
      <c r="D78" s="321"/>
      <c r="E78" s="466"/>
      <c r="F78" s="559" t="str">
        <f>IF('C-Design&amp;Const'!$Q78="","",'C-Design&amp;Const'!$Q78)</f>
        <v>Y</v>
      </c>
      <c r="G78" s="558"/>
      <c r="H78" s="1029" t="str">
        <f>CONCATENATE(IF(F78="N","PLACEHOLDER ROW - ",""),'C-Design&amp;Const'!Z78,IF(F78="N","",J78))</f>
        <v>Structural - Foundation Systems (Updates to)</v>
      </c>
      <c r="I78" s="186"/>
      <c r="J78" s="578" t="str">
        <f>IF('C-Design&amp;Const'!AI78="","",'C-Design&amp;Const'!AI78)</f>
        <v xml:space="preserve"> (Updates to)</v>
      </c>
      <c r="K78" s="285" t="str">
        <f>IF((COUNTIF(D78:G78,"Y")=COUNTIF('04 - 95% CD'!A78,"Y")),"match","no 95% match")</f>
        <v>match</v>
      </c>
      <c r="L78" s="1410" t="str">
        <f t="shared" si="0"/>
        <v/>
      </c>
      <c r="M78" s="1333"/>
      <c r="N78" s="1333"/>
      <c r="O78" s="1382"/>
      <c r="P78" s="1382"/>
      <c r="Q78" s="1382"/>
      <c r="R78" s="1490"/>
      <c r="S78" s="1274"/>
      <c r="T78" s="1274"/>
      <c r="U78" s="1382"/>
      <c r="V78" s="1382"/>
      <c r="W78" s="1382"/>
      <c r="X78" s="1382"/>
      <c r="Y78" s="1382"/>
      <c r="Z78" s="1382"/>
      <c r="AA78" s="1382"/>
      <c r="AB78" s="1382"/>
      <c r="AC78" s="1382"/>
      <c r="AD78" s="1382"/>
      <c r="AE78" s="1382"/>
      <c r="AF78" s="1382"/>
      <c r="AG78" s="1382"/>
      <c r="AH78" s="1382"/>
      <c r="AI78" s="1382"/>
      <c r="AJ78" s="1382"/>
      <c r="AK78" s="181"/>
      <c r="AL78" s="181"/>
      <c r="AM78" s="181"/>
      <c r="AN78" s="181"/>
      <c r="AO78" s="181"/>
      <c r="AP78" s="181"/>
      <c r="AQ78" s="181"/>
      <c r="AR78" s="181"/>
      <c r="AS78" s="181"/>
      <c r="AT78" s="181"/>
      <c r="AU78" s="181"/>
      <c r="AV78" s="181"/>
      <c r="AW78" s="181"/>
    </row>
    <row r="79" spans="1:49" s="30" customFormat="1" ht="27.75" customHeight="1" x14ac:dyDescent="0.25">
      <c r="A79" s="1407" t="str">
        <f>IF(COUNTIF('04 - 95% CD'!D79:G79,"Y")&gt;0,"Y",IF(COUNTIF('04 - 95% CD'!D79:G79,"N"),"N",""))</f>
        <v>Y</v>
      </c>
      <c r="B79" s="191"/>
      <c r="C79" s="944"/>
      <c r="D79" s="321"/>
      <c r="E79" s="466"/>
      <c r="F79" s="559" t="str">
        <f>IF('C-Design&amp;Const'!$Q79="","",'C-Design&amp;Const'!$Q79)</f>
        <v>Y</v>
      </c>
      <c r="G79" s="558"/>
      <c r="H79" s="1029" t="str">
        <f>CONCATENATE(IF(F79="N","PLACEHOLDER ROW - ",""),'C-Design&amp;Const'!Z79,IF(F79="N","",J79))</f>
        <v>Structural - Block, concrete, &amp; steel  **(existing systems verification recommended on renovations) (Updates to)</v>
      </c>
      <c r="I79" s="186"/>
      <c r="J79" s="578" t="str">
        <f>IF('C-Design&amp;Const'!AI79="","",'C-Design&amp;Const'!AI79)</f>
        <v xml:space="preserve"> (Updates to)</v>
      </c>
      <c r="K79" s="285" t="str">
        <f>IF((COUNTIF(D79:G79,"Y")=COUNTIF('04 - 95% CD'!A79,"Y")),"match","no 95% match")</f>
        <v>match</v>
      </c>
      <c r="L79" s="1410" t="str">
        <f t="shared" si="0"/>
        <v/>
      </c>
      <c r="M79" s="1333"/>
      <c r="N79" s="1333"/>
      <c r="O79" s="1382"/>
      <c r="P79" s="1382"/>
      <c r="Q79" s="1382"/>
      <c r="R79" s="1490"/>
      <c r="S79" s="1274"/>
      <c r="T79" s="1274"/>
      <c r="U79" s="1382"/>
      <c r="V79" s="1382"/>
      <c r="W79" s="1382"/>
      <c r="X79" s="1382"/>
      <c r="Y79" s="1382"/>
      <c r="Z79" s="1382"/>
      <c r="AA79" s="1382"/>
      <c r="AB79" s="1382"/>
      <c r="AC79" s="1382"/>
      <c r="AD79" s="1382"/>
      <c r="AE79" s="1382"/>
      <c r="AF79" s="1382"/>
      <c r="AG79" s="1382"/>
      <c r="AH79" s="1382"/>
      <c r="AI79" s="1382"/>
      <c r="AJ79" s="1382"/>
      <c r="AK79" s="181"/>
      <c r="AL79" s="181"/>
      <c r="AM79" s="181"/>
      <c r="AN79" s="181"/>
      <c r="AO79" s="181"/>
      <c r="AP79" s="181"/>
      <c r="AQ79" s="181"/>
      <c r="AR79" s="181"/>
      <c r="AS79" s="181"/>
      <c r="AT79" s="181"/>
      <c r="AU79" s="181"/>
      <c r="AV79" s="181"/>
      <c r="AW79" s="181"/>
    </row>
    <row r="80" spans="1:49" s="30" customFormat="1" x14ac:dyDescent="0.25">
      <c r="A80" s="1407" t="str">
        <f>IF(COUNTIF('04 - 95% CD'!D80:G80,"Y")&gt;0,"Y",IF(COUNTIF('04 - 95% CD'!D80:G80,"N"),"N",""))</f>
        <v>N</v>
      </c>
      <c r="B80" s="191"/>
      <c r="C80" s="944"/>
      <c r="D80" s="321"/>
      <c r="E80" s="466"/>
      <c r="F80" s="559" t="str">
        <f>IF('C-Design&amp;Const'!$Q80="","",'C-Design&amp;Const'!$Q80)</f>
        <v>N</v>
      </c>
      <c r="G80" s="558"/>
      <c r="H80" s="1029" t="str">
        <f>CONCATENATE(IF(F80="N","PLACEHOLDER ROW - ",""),'C-Design&amp;Const'!Z80,IF(F80="N","",J80))</f>
        <v>PLACEHOLDER ROW - Structural - CUSTOM</v>
      </c>
      <c r="I80" s="186"/>
      <c r="J80" s="578" t="str">
        <f>IF('C-Design&amp;Const'!AI80="","",'C-Design&amp;Const'!AI80)</f>
        <v xml:space="preserve"> (Updates to)</v>
      </c>
      <c r="K80" s="285" t="str">
        <f>IF((COUNTIF(D80:G80,"Y")=COUNTIF('04 - 95% CD'!A80,"Y")),"match","no 95% match")</f>
        <v>match</v>
      </c>
      <c r="L80" s="1410" t="str">
        <f t="shared" si="0"/>
        <v>&lt;---PM/Planner may hide PLACEHOLDER ROW</v>
      </c>
      <c r="M80" s="1333"/>
      <c r="N80" s="1333"/>
      <c r="O80" s="1382"/>
      <c r="P80" s="1382"/>
      <c r="Q80" s="1382"/>
      <c r="R80" s="1490"/>
      <c r="S80" s="1274"/>
      <c r="T80" s="1274"/>
      <c r="U80" s="1382"/>
      <c r="V80" s="1382"/>
      <c r="W80" s="1382"/>
      <c r="X80" s="1382"/>
      <c r="Y80" s="1382"/>
      <c r="Z80" s="1382"/>
      <c r="AA80" s="1382"/>
      <c r="AB80" s="1382"/>
      <c r="AC80" s="1382"/>
      <c r="AD80" s="1382"/>
      <c r="AE80" s="1382"/>
      <c r="AF80" s="1382"/>
      <c r="AG80" s="1382"/>
      <c r="AH80" s="1382"/>
      <c r="AI80" s="1382"/>
      <c r="AJ80" s="1382"/>
      <c r="AK80" s="181"/>
      <c r="AL80" s="181"/>
      <c r="AM80" s="181"/>
      <c r="AN80" s="181"/>
      <c r="AO80" s="181"/>
      <c r="AP80" s="181"/>
      <c r="AQ80" s="181"/>
      <c r="AR80" s="181"/>
      <c r="AS80" s="181"/>
      <c r="AT80" s="181"/>
      <c r="AU80" s="181"/>
      <c r="AV80" s="181"/>
      <c r="AW80" s="181"/>
    </row>
    <row r="81" spans="1:49" s="30" customFormat="1" x14ac:dyDescent="0.25">
      <c r="A81" s="1407" t="str">
        <f>IF(COUNTIF('04 - 95% CD'!D81:G81,"Y")&gt;0,"Y",IF(COUNTIF('04 - 95% CD'!D81:G81,"N"),"N",""))</f>
        <v>N</v>
      </c>
      <c r="B81" s="191"/>
      <c r="C81" s="944"/>
      <c r="D81" s="321"/>
      <c r="E81" s="466"/>
      <c r="F81" s="559" t="str">
        <f>IF('C-Design&amp;Const'!$Q81="","",'C-Design&amp;Const'!$Q81)</f>
        <v>N</v>
      </c>
      <c r="G81" s="558"/>
      <c r="H81" s="1029" t="str">
        <f>CONCATENATE(IF(F81="N","PLACEHOLDER ROW - ",""),'C-Design&amp;Const'!Z81,IF(F81="N","",J81))</f>
        <v>PLACEHOLDER ROW - Structural - CUSTOM</v>
      </c>
      <c r="I81" s="186"/>
      <c r="J81" s="578" t="str">
        <f>IF('C-Design&amp;Const'!AI81="","",'C-Design&amp;Const'!AI81)</f>
        <v xml:space="preserve"> (Updates to)</v>
      </c>
      <c r="K81" s="285" t="str">
        <f>IF((COUNTIF(D81:G81,"Y")=COUNTIF('04 - 95% CD'!A81,"Y")),"match","no 95% match")</f>
        <v>match</v>
      </c>
      <c r="L81" s="1410" t="str">
        <f t="shared" si="0"/>
        <v>&lt;---PM/Planner may hide PLACEHOLDER ROW</v>
      </c>
      <c r="M81" s="1333"/>
      <c r="N81" s="1333"/>
      <c r="O81" s="1382"/>
      <c r="P81" s="1382"/>
      <c r="Q81" s="1382"/>
      <c r="R81" s="1490"/>
      <c r="S81" s="1274"/>
      <c r="T81" s="1274"/>
      <c r="U81" s="1382"/>
      <c r="V81" s="1382"/>
      <c r="W81" s="1382"/>
      <c r="X81" s="1382"/>
      <c r="Y81" s="1382"/>
      <c r="Z81" s="1382"/>
      <c r="AA81" s="1382"/>
      <c r="AB81" s="1382"/>
      <c r="AC81" s="1382"/>
      <c r="AD81" s="1382"/>
      <c r="AE81" s="1382"/>
      <c r="AF81" s="1382"/>
      <c r="AG81" s="1382"/>
      <c r="AH81" s="1382"/>
      <c r="AI81" s="1382"/>
      <c r="AJ81" s="1382"/>
      <c r="AK81" s="181"/>
      <c r="AL81" s="181"/>
      <c r="AM81" s="181"/>
      <c r="AN81" s="181"/>
      <c r="AO81" s="181"/>
      <c r="AP81" s="181"/>
      <c r="AQ81" s="181"/>
      <c r="AR81" s="181"/>
      <c r="AS81" s="181"/>
      <c r="AT81" s="181"/>
      <c r="AU81" s="181"/>
      <c r="AV81" s="181"/>
      <c r="AW81" s="181"/>
    </row>
    <row r="82" spans="1:49" s="30" customFormat="1" x14ac:dyDescent="0.25">
      <c r="A82" s="1407" t="str">
        <f>IF(COUNTIF('04 - 95% CD'!D82:G82,"Y")&gt;0,"Y",IF(COUNTIF('04 - 95% CD'!D82:G82,"N"),"N",""))</f>
        <v>Y</v>
      </c>
      <c r="B82" s="191"/>
      <c r="C82" s="944"/>
      <c r="D82" s="321"/>
      <c r="E82" s="466"/>
      <c r="F82" s="559" t="str">
        <f>IF('C-Design&amp;Const'!$Q82="","",'C-Design&amp;Const'!$Q82)</f>
        <v>Y</v>
      </c>
      <c r="G82" s="558"/>
      <c r="H82" s="1029" t="str">
        <f>CONCATENATE(IF(F82="N","PLACEHOLDER ROW - ",""),'C-Design&amp;Const'!Z82,IF(F82="N","",J82))</f>
        <v>Plumbing  - General System(s) - **(verify existing system for renovations) (Updates to)</v>
      </c>
      <c r="I82" s="186"/>
      <c r="J82" s="578" t="str">
        <f>IF('C-Design&amp;Const'!AI82="","",'C-Design&amp;Const'!AI82)</f>
        <v xml:space="preserve"> (Updates to)</v>
      </c>
      <c r="K82" s="285" t="str">
        <f>IF((COUNTIF(D82:G82,"Y")=COUNTIF('04 - 95% CD'!A82,"Y")),"match","no 95% match")</f>
        <v>match</v>
      </c>
      <c r="L82" s="1410" t="str">
        <f t="shared" si="0"/>
        <v/>
      </c>
      <c r="M82" s="1333"/>
      <c r="N82" s="1333"/>
      <c r="O82" s="1382"/>
      <c r="P82" s="1382"/>
      <c r="Q82" s="1382"/>
      <c r="R82" s="1490"/>
      <c r="S82" s="1274"/>
      <c r="T82" s="1274"/>
      <c r="U82" s="1382"/>
      <c r="V82" s="1382"/>
      <c r="W82" s="1382"/>
      <c r="X82" s="1382"/>
      <c r="Y82" s="1382"/>
      <c r="Z82" s="1382"/>
      <c r="AA82" s="1382"/>
      <c r="AB82" s="1382"/>
      <c r="AC82" s="1382"/>
      <c r="AD82" s="1382"/>
      <c r="AE82" s="1382"/>
      <c r="AF82" s="1382"/>
      <c r="AG82" s="1382"/>
      <c r="AH82" s="1382"/>
      <c r="AI82" s="1382"/>
      <c r="AJ82" s="1382"/>
      <c r="AK82" s="181"/>
      <c r="AL82" s="181"/>
      <c r="AM82" s="181"/>
      <c r="AN82" s="181"/>
      <c r="AO82" s="181"/>
      <c r="AP82" s="181"/>
      <c r="AQ82" s="181"/>
      <c r="AR82" s="181"/>
      <c r="AS82" s="181"/>
      <c r="AT82" s="181"/>
      <c r="AU82" s="181"/>
      <c r="AV82" s="181"/>
      <c r="AW82" s="181"/>
    </row>
    <row r="83" spans="1:49" s="545" customFormat="1" x14ac:dyDescent="0.25">
      <c r="A83" s="1407" t="str">
        <f>IF(COUNTIF('04 - 95% CD'!D83:G83,"Y")&gt;0,"Y",IF(COUNTIF('04 - 95% CD'!D83:G83,"N"),"N",""))</f>
        <v>Y</v>
      </c>
      <c r="B83" s="554"/>
      <c r="C83" s="944"/>
      <c r="D83" s="321"/>
      <c r="E83" s="466"/>
      <c r="F83" s="559" t="str">
        <f>IF('C-Design&amp;Const'!$Q83="","",'C-Design&amp;Const'!$Q83)</f>
        <v>Y</v>
      </c>
      <c r="G83" s="558"/>
      <c r="H83" s="1029" t="str">
        <f>CONCATENATE(IF(F83="N","PLACEHOLDER ROW - ",""),'C-Design&amp;Const'!Z83,IF(F83="N","",J83))</f>
        <v>Plumbing - Demolition(s) (Updates to)</v>
      </c>
      <c r="I83" s="186"/>
      <c r="J83" s="578" t="str">
        <f>IF('C-Design&amp;Const'!AI83="","",'C-Design&amp;Const'!AI83)</f>
        <v xml:space="preserve"> (Updates to)</v>
      </c>
      <c r="K83" s="285" t="str">
        <f>IF((COUNTIF(D83:G83,"Y")=COUNTIF('04 - 95% CD'!A83,"Y")),"match","no 95% match")</f>
        <v>match</v>
      </c>
      <c r="L83" s="1410" t="str">
        <f t="shared" si="0"/>
        <v/>
      </c>
      <c r="M83" s="1333"/>
      <c r="N83" s="1382"/>
      <c r="O83" s="1382"/>
      <c r="P83" s="1382"/>
      <c r="Q83" s="1382"/>
      <c r="R83" s="1490"/>
      <c r="S83" s="1274"/>
      <c r="T83" s="1274"/>
      <c r="U83" s="1382"/>
      <c r="V83" s="1382"/>
      <c r="W83" s="1382"/>
      <c r="X83" s="1382"/>
      <c r="Y83" s="1382"/>
      <c r="Z83" s="1382"/>
      <c r="AA83" s="1382"/>
      <c r="AB83" s="1382"/>
      <c r="AC83" s="1382"/>
      <c r="AD83" s="1382"/>
      <c r="AE83" s="1382"/>
      <c r="AF83" s="1382"/>
      <c r="AG83" s="1382"/>
      <c r="AH83" s="1382"/>
      <c r="AI83" s="1382"/>
      <c r="AJ83" s="1382"/>
      <c r="AK83" s="551"/>
      <c r="AL83" s="551"/>
      <c r="AM83" s="551"/>
      <c r="AN83" s="551"/>
      <c r="AO83" s="551"/>
      <c r="AP83" s="551"/>
      <c r="AQ83" s="551"/>
      <c r="AR83" s="551"/>
      <c r="AS83" s="551"/>
      <c r="AT83" s="551"/>
      <c r="AU83" s="551"/>
      <c r="AV83" s="551"/>
      <c r="AW83" s="551"/>
    </row>
    <row r="84" spans="1:49" s="30" customFormat="1" ht="27" customHeight="1" x14ac:dyDescent="0.25">
      <c r="A84" s="1407" t="str">
        <f>IF(COUNTIF('04 - 95% CD'!D84:G84,"Y")&gt;0,"Y",IF(COUNTIF('04 - 95% CD'!D84:G84,"N"),"N",""))</f>
        <v>Y</v>
      </c>
      <c r="B84" s="191"/>
      <c r="C84" s="944"/>
      <c r="D84" s="321"/>
      <c r="E84" s="466"/>
      <c r="F84" s="559" t="str">
        <f>IF('C-Design&amp;Const'!$Q84="","",'C-Design&amp;Const'!$Q84)</f>
        <v>Y</v>
      </c>
      <c r="G84" s="558"/>
      <c r="H84" s="1029" t="str">
        <f>CONCATENATE(IF(F84="N","PLACEHOLDER ROW - ",""),'C-Design&amp;Const'!Z84,IF(F84="N","",J84))</f>
        <v>Plumbing - Fixtures  **(Fixture Unit Analysis as verification of existing systems on renovations) (Updates to)</v>
      </c>
      <c r="I84" s="186"/>
      <c r="J84" s="578" t="str">
        <f>IF('C-Design&amp;Const'!AI84="","",'C-Design&amp;Const'!AI84)</f>
        <v xml:space="preserve"> (Updates to)</v>
      </c>
      <c r="K84" s="285" t="str">
        <f>IF((COUNTIF(D84:G84,"Y")=COUNTIF('04 - 95% CD'!A84,"Y")),"match","no 95% match")</f>
        <v>match</v>
      </c>
      <c r="L84" s="1410" t="str">
        <f t="shared" si="0"/>
        <v/>
      </c>
      <c r="M84" s="1333"/>
      <c r="N84" s="1333"/>
      <c r="O84" s="1382"/>
      <c r="P84" s="1382"/>
      <c r="Q84" s="1382"/>
      <c r="R84" s="1490"/>
      <c r="S84" s="1274"/>
      <c r="T84" s="1274"/>
      <c r="U84" s="1382"/>
      <c r="V84" s="1382"/>
      <c r="W84" s="1382"/>
      <c r="X84" s="1382"/>
      <c r="Y84" s="1382"/>
      <c r="Z84" s="1382"/>
      <c r="AA84" s="1382"/>
      <c r="AB84" s="1382"/>
      <c r="AC84" s="1382"/>
      <c r="AD84" s="1382"/>
      <c r="AE84" s="1382"/>
      <c r="AF84" s="1382"/>
      <c r="AG84" s="1382"/>
      <c r="AH84" s="1382"/>
      <c r="AI84" s="1382"/>
      <c r="AJ84" s="1382"/>
      <c r="AK84" s="181"/>
      <c r="AL84" s="181"/>
      <c r="AM84" s="181"/>
      <c r="AN84" s="181"/>
      <c r="AO84" s="181"/>
      <c r="AP84" s="181"/>
      <c r="AQ84" s="181"/>
      <c r="AR84" s="181"/>
      <c r="AS84" s="181"/>
      <c r="AT84" s="181"/>
      <c r="AU84" s="181"/>
      <c r="AV84" s="181"/>
      <c r="AW84" s="181"/>
    </row>
    <row r="85" spans="1:49" s="30" customFormat="1" x14ac:dyDescent="0.25">
      <c r="A85" s="1407" t="str">
        <f>IF(COUNTIF('04 - 95% CD'!D85:G85,"Y")&gt;0,"Y",IF(COUNTIF('04 - 95% CD'!D85:G85,"N"),"N",""))</f>
        <v>Y</v>
      </c>
      <c r="B85" s="191"/>
      <c r="C85" s="944"/>
      <c r="D85" s="321"/>
      <c r="E85" s="466"/>
      <c r="F85" s="559" t="str">
        <f>IF('C-Design&amp;Const'!$Q85="","",'C-Design&amp;Const'!$Q85)</f>
        <v>Y</v>
      </c>
      <c r="G85" s="558"/>
      <c r="H85" s="1029" t="str">
        <f>CONCATENATE(IF(F85="N","PLACEHOLDER ROW - ",""),'C-Design&amp;Const'!Z85,IF(F85="N","",J85))</f>
        <v>Plumbing - Air/Gas  **(verify existing system for renovations) (Updates to)</v>
      </c>
      <c r="I85" s="186"/>
      <c r="J85" s="578" t="str">
        <f>IF('C-Design&amp;Const'!AI85="","",'C-Design&amp;Const'!AI85)</f>
        <v xml:space="preserve"> (Updates to)</v>
      </c>
      <c r="K85" s="285" t="str">
        <f>IF((COUNTIF(D85:G85,"Y")=COUNTIF('04 - 95% CD'!A85,"Y")),"match","no 95% match")</f>
        <v>match</v>
      </c>
      <c r="L85" s="1410" t="str">
        <f t="shared" si="0"/>
        <v/>
      </c>
      <c r="M85" s="1333"/>
      <c r="N85" s="1333"/>
      <c r="O85" s="1382"/>
      <c r="P85" s="1382"/>
      <c r="Q85" s="1382"/>
      <c r="R85" s="1490"/>
      <c r="S85" s="1274"/>
      <c r="T85" s="1274"/>
      <c r="U85" s="1382"/>
      <c r="V85" s="1382"/>
      <c r="W85" s="1382"/>
      <c r="X85" s="1382"/>
      <c r="Y85" s="1382"/>
      <c r="Z85" s="1382"/>
      <c r="AA85" s="1382"/>
      <c r="AB85" s="1382"/>
      <c r="AC85" s="1382"/>
      <c r="AD85" s="1382"/>
      <c r="AE85" s="1382"/>
      <c r="AF85" s="1382"/>
      <c r="AG85" s="1382"/>
      <c r="AH85" s="1382"/>
      <c r="AI85" s="1382"/>
      <c r="AJ85" s="1382"/>
      <c r="AK85" s="181"/>
      <c r="AL85" s="181"/>
      <c r="AM85" s="181"/>
      <c r="AN85" s="181"/>
      <c r="AO85" s="181"/>
      <c r="AP85" s="181"/>
      <c r="AQ85" s="181"/>
      <c r="AR85" s="181"/>
      <c r="AS85" s="181"/>
      <c r="AT85" s="181"/>
      <c r="AU85" s="181"/>
      <c r="AV85" s="181"/>
      <c r="AW85" s="181"/>
    </row>
    <row r="86" spans="1:49" s="30" customFormat="1" x14ac:dyDescent="0.25">
      <c r="A86" s="1407" t="str">
        <f>IF(COUNTIF('04 - 95% CD'!D86:G86,"Y")&gt;0,"Y",IF(COUNTIF('04 - 95% CD'!D86:G86,"N"),"N",""))</f>
        <v>Y</v>
      </c>
      <c r="B86" s="191"/>
      <c r="C86" s="944"/>
      <c r="D86" s="321"/>
      <c r="E86" s="466"/>
      <c r="F86" s="559" t="str">
        <f>IF('C-Design&amp;Const'!$Q86="","",'C-Design&amp;Const'!$Q86)</f>
        <v>Y</v>
      </c>
      <c r="G86" s="558"/>
      <c r="H86" s="1029" t="str">
        <f>CONCATENATE(IF(F86="N","PLACEHOLDER ROW - ",""),'C-Design&amp;Const'!Z86,IF(F86="N","",J86))</f>
        <v>Plumbing - Water  **(verify existing system for renovations) (Updates to)</v>
      </c>
      <c r="I86" s="186"/>
      <c r="J86" s="578" t="str">
        <f>IF('C-Design&amp;Const'!AI86="","",'C-Design&amp;Const'!AI86)</f>
        <v xml:space="preserve"> (Updates to)</v>
      </c>
      <c r="K86" s="285" t="str">
        <f>IF((COUNTIF(D86:G86,"Y")=COUNTIF('04 - 95% CD'!A86,"Y")),"match","no 95% match")</f>
        <v>match</v>
      </c>
      <c r="L86" s="1410" t="str">
        <f t="shared" si="0"/>
        <v/>
      </c>
      <c r="M86" s="1333"/>
      <c r="N86" s="1333"/>
      <c r="O86" s="1382"/>
      <c r="P86" s="1382"/>
      <c r="Q86" s="1382"/>
      <c r="R86" s="1490"/>
      <c r="S86" s="1274"/>
      <c r="T86" s="1274"/>
      <c r="U86" s="1382"/>
      <c r="V86" s="1382"/>
      <c r="W86" s="1382"/>
      <c r="X86" s="1382"/>
      <c r="Y86" s="1382"/>
      <c r="Z86" s="1382"/>
      <c r="AA86" s="1382"/>
      <c r="AB86" s="1382"/>
      <c r="AC86" s="1382"/>
      <c r="AD86" s="1382"/>
      <c r="AE86" s="1382"/>
      <c r="AF86" s="1382"/>
      <c r="AG86" s="1382"/>
      <c r="AH86" s="1382"/>
      <c r="AI86" s="1382"/>
      <c r="AJ86" s="1382"/>
      <c r="AK86" s="181"/>
      <c r="AL86" s="181"/>
      <c r="AM86" s="181"/>
      <c r="AN86" s="181"/>
      <c r="AO86" s="181"/>
      <c r="AP86" s="181"/>
      <c r="AQ86" s="181"/>
      <c r="AR86" s="181"/>
      <c r="AS86" s="181"/>
      <c r="AT86" s="181"/>
      <c r="AU86" s="181"/>
      <c r="AV86" s="181"/>
      <c r="AW86" s="181"/>
    </row>
    <row r="87" spans="1:49" s="30" customFormat="1" x14ac:dyDescent="0.25">
      <c r="A87" s="1407" t="str">
        <f>IF(COUNTIF('04 - 95% CD'!D87:G87,"Y")&gt;0,"Y",IF(COUNTIF('04 - 95% CD'!D87:G87,"N"),"N",""))</f>
        <v>Y</v>
      </c>
      <c r="B87" s="191"/>
      <c r="C87" s="944"/>
      <c r="D87" s="321"/>
      <c r="E87" s="466"/>
      <c r="F87" s="559" t="str">
        <f>IF('C-Design&amp;Const'!$Q87="","",'C-Design&amp;Const'!$Q87)</f>
        <v>Y</v>
      </c>
      <c r="G87" s="558"/>
      <c r="H87" s="1029" t="str">
        <f>CONCATENATE(IF(F87="N","PLACEHOLDER ROW - ",""),'C-Design&amp;Const'!Z87,IF(F87="N","",J87))</f>
        <v>Plumbing - Sanitary **(verify existing system for renovations) (Updates to)</v>
      </c>
      <c r="I87" s="186"/>
      <c r="J87" s="578" t="str">
        <f>IF('C-Design&amp;Const'!AI87="","",'C-Design&amp;Const'!AI87)</f>
        <v xml:space="preserve"> (Updates to)</v>
      </c>
      <c r="K87" s="285" t="str">
        <f>IF((COUNTIF(D87:G87,"Y")=COUNTIF('04 - 95% CD'!A87,"Y")),"match","no 95% match")</f>
        <v>match</v>
      </c>
      <c r="L87" s="1410" t="str">
        <f t="shared" si="0"/>
        <v/>
      </c>
      <c r="M87" s="1333"/>
      <c r="N87" s="1333"/>
      <c r="O87" s="1382"/>
      <c r="P87" s="1382"/>
      <c r="Q87" s="1382"/>
      <c r="R87" s="1490"/>
      <c r="S87" s="1274"/>
      <c r="T87" s="1274"/>
      <c r="U87" s="1382"/>
      <c r="V87" s="1382"/>
      <c r="W87" s="1382"/>
      <c r="X87" s="1382"/>
      <c r="Y87" s="1382"/>
      <c r="Z87" s="1382"/>
      <c r="AA87" s="1382"/>
      <c r="AB87" s="1382"/>
      <c r="AC87" s="1382"/>
      <c r="AD87" s="1382"/>
      <c r="AE87" s="1382"/>
      <c r="AF87" s="1382"/>
      <c r="AG87" s="1382"/>
      <c r="AH87" s="1382"/>
      <c r="AI87" s="1382"/>
      <c r="AJ87" s="1382"/>
      <c r="AK87" s="181"/>
      <c r="AL87" s="181"/>
      <c r="AM87" s="181"/>
      <c r="AN87" s="181"/>
      <c r="AO87" s="181"/>
      <c r="AP87" s="181"/>
      <c r="AQ87" s="181"/>
      <c r="AR87" s="181"/>
      <c r="AS87" s="181"/>
      <c r="AT87" s="181"/>
      <c r="AU87" s="181"/>
      <c r="AV87" s="181"/>
      <c r="AW87" s="181"/>
    </row>
    <row r="88" spans="1:49" s="30" customFormat="1" x14ac:dyDescent="0.25">
      <c r="A88" s="1407" t="str">
        <f>IF(COUNTIF('04 - 95% CD'!D88:G88,"Y")&gt;0,"Y",IF(COUNTIF('04 - 95% CD'!D88:G88,"N"),"N",""))</f>
        <v>N</v>
      </c>
      <c r="B88" s="191"/>
      <c r="C88" s="944"/>
      <c r="D88" s="321"/>
      <c r="E88" s="466"/>
      <c r="F88" s="559" t="str">
        <f>IF('C-Design&amp;Const'!$Q88="","",'C-Design&amp;Const'!$Q88)</f>
        <v>N</v>
      </c>
      <c r="G88" s="558"/>
      <c r="H88" s="1029" t="str">
        <f>CONCATENATE(IF(F88="N","PLACEHOLDER ROW - ",""),'C-Design&amp;Const'!Z88,IF(F88="N","",J88))</f>
        <v>PLACEHOLDER ROW - Plumbing - Cut Sheets or Product Data Sheets on Plumbing Fixtures</v>
      </c>
      <c r="I88" s="186"/>
      <c r="J88" s="578" t="str">
        <f>IF('C-Design&amp;Const'!AI88="","",'C-Design&amp;Const'!AI88)</f>
        <v xml:space="preserve"> (Updates to)</v>
      </c>
      <c r="K88" s="285" t="str">
        <f>IF((COUNTIF(D88:G88,"Y")=COUNTIF('04 - 95% CD'!A88,"Y")),"match","no 95% match")</f>
        <v>match</v>
      </c>
      <c r="L88" s="1410" t="str">
        <f t="shared" si="0"/>
        <v>&lt;---PM/Planner may hide PLACEHOLDER ROW</v>
      </c>
      <c r="M88" s="1333"/>
      <c r="N88" s="1333"/>
      <c r="O88" s="1382"/>
      <c r="P88" s="1382"/>
      <c r="Q88" s="1382"/>
      <c r="R88" s="1490"/>
      <c r="S88" s="1274"/>
      <c r="T88" s="1274"/>
      <c r="U88" s="1382"/>
      <c r="V88" s="1382"/>
      <c r="W88" s="1382"/>
      <c r="X88" s="1382"/>
      <c r="Y88" s="1382"/>
      <c r="Z88" s="1382"/>
      <c r="AA88" s="1382"/>
      <c r="AB88" s="1382"/>
      <c r="AC88" s="1382"/>
      <c r="AD88" s="1382"/>
      <c r="AE88" s="1382"/>
      <c r="AF88" s="1382"/>
      <c r="AG88" s="1382"/>
      <c r="AH88" s="1382"/>
      <c r="AI88" s="1382"/>
      <c r="AJ88" s="1382"/>
      <c r="AK88" s="181"/>
      <c r="AL88" s="181"/>
      <c r="AM88" s="181"/>
      <c r="AN88" s="181"/>
      <c r="AO88" s="181"/>
      <c r="AP88" s="181"/>
      <c r="AQ88" s="181"/>
      <c r="AR88" s="181"/>
      <c r="AS88" s="181"/>
      <c r="AT88" s="181"/>
      <c r="AU88" s="181"/>
      <c r="AV88" s="181"/>
      <c r="AW88" s="181"/>
    </row>
    <row r="89" spans="1:49" s="30" customFormat="1" x14ac:dyDescent="0.25">
      <c r="A89" s="1407" t="str">
        <f>IF(COUNTIF('04 - 95% CD'!D89:G89,"Y")&gt;0,"Y",IF(COUNTIF('04 - 95% CD'!D89:G89,"N"),"N",""))</f>
        <v>Y</v>
      </c>
      <c r="B89" s="191"/>
      <c r="C89" s="944"/>
      <c r="D89" s="321"/>
      <c r="E89" s="466"/>
      <c r="F89" s="559" t="str">
        <f>IF('C-Design&amp;Const'!$Q89="","",'C-Design&amp;Const'!$Q89)</f>
        <v>Y</v>
      </c>
      <c r="G89" s="558"/>
      <c r="H89" s="1029" t="str">
        <f>CONCATENATE(IF(F89="N","PLACEHOLDER ROW - ",""),'C-Design&amp;Const'!Z89,IF(F89="N","",J89))</f>
        <v>Fire Suppression System(s) **(verify existing system for renovations) (Updates to)</v>
      </c>
      <c r="I89" s="186"/>
      <c r="J89" s="578" t="str">
        <f>IF('C-Design&amp;Const'!AI89="","",'C-Design&amp;Const'!AI89)</f>
        <v xml:space="preserve"> (Updates to)</v>
      </c>
      <c r="K89" s="285" t="str">
        <f>IF((COUNTIF(D89:G89,"Y")=COUNTIF('04 - 95% CD'!A89,"Y")),"match","no 95% match")</f>
        <v>match</v>
      </c>
      <c r="L89" s="1410" t="str">
        <f t="shared" si="0"/>
        <v/>
      </c>
      <c r="M89" s="1333"/>
      <c r="N89" s="1333"/>
      <c r="O89" s="1382"/>
      <c r="P89" s="1382"/>
      <c r="Q89" s="1382"/>
      <c r="R89" s="1490"/>
      <c r="S89" s="1274"/>
      <c r="T89" s="1274"/>
      <c r="U89" s="1382"/>
      <c r="V89" s="1382"/>
      <c r="W89" s="1382"/>
      <c r="X89" s="1382"/>
      <c r="Y89" s="1382"/>
      <c r="Z89" s="1382"/>
      <c r="AA89" s="1382"/>
      <c r="AB89" s="1382"/>
      <c r="AC89" s="1382"/>
      <c r="AD89" s="1382"/>
      <c r="AE89" s="1382"/>
      <c r="AF89" s="1382"/>
      <c r="AG89" s="1382"/>
      <c r="AH89" s="1382"/>
      <c r="AI89" s="1382"/>
      <c r="AJ89" s="1382"/>
      <c r="AK89" s="181"/>
      <c r="AL89" s="181"/>
      <c r="AM89" s="181"/>
      <c r="AN89" s="181"/>
      <c r="AO89" s="181"/>
      <c r="AP89" s="181"/>
      <c r="AQ89" s="181"/>
      <c r="AR89" s="181"/>
      <c r="AS89" s="181"/>
      <c r="AT89" s="181"/>
      <c r="AU89" s="181"/>
      <c r="AV89" s="181"/>
      <c r="AW89" s="181"/>
    </row>
    <row r="90" spans="1:49" s="30" customFormat="1" x14ac:dyDescent="0.25">
      <c r="A90" s="1407" t="str">
        <f>IF(COUNTIF('04 - 95% CD'!D90:G90,"Y")&gt;0,"Y",IF(COUNTIF('04 - 95% CD'!D90:G90,"N"),"N",""))</f>
        <v>Y</v>
      </c>
      <c r="B90" s="191"/>
      <c r="C90" s="944"/>
      <c r="D90" s="321"/>
      <c r="E90" s="466"/>
      <c r="F90" s="559" t="str">
        <f>IF('C-Design&amp;Const'!$Q90="","",'C-Design&amp;Const'!$Q90)</f>
        <v>Y</v>
      </c>
      <c r="G90" s="558"/>
      <c r="H90" s="1029" t="str">
        <f>CONCATENATE(IF(F90="N","PLACEHOLDER ROW - ",""),'C-Design&amp;Const'!Z90,IF(F90="N","",J90))</f>
        <v>Heating - General System(s) **(verify existing system for renovations) (Updates to)</v>
      </c>
      <c r="I90" s="186"/>
      <c r="J90" s="578" t="str">
        <f>IF('C-Design&amp;Const'!AI90="","",'C-Design&amp;Const'!AI90)</f>
        <v xml:space="preserve"> (Updates to)</v>
      </c>
      <c r="K90" s="285" t="str">
        <f>IF((COUNTIF(D90:G90,"Y")=COUNTIF('04 - 95% CD'!A90,"Y")),"match","no 95% match")</f>
        <v>match</v>
      </c>
      <c r="L90" s="1410" t="str">
        <f t="shared" si="0"/>
        <v/>
      </c>
      <c r="M90" s="1333"/>
      <c r="N90" s="1333"/>
      <c r="O90" s="1382"/>
      <c r="P90" s="1382"/>
      <c r="Q90" s="1382"/>
      <c r="R90" s="1490"/>
      <c r="S90" s="1274"/>
      <c r="T90" s="1274"/>
      <c r="U90" s="1382"/>
      <c r="V90" s="1382"/>
      <c r="W90" s="1382"/>
      <c r="X90" s="1382"/>
      <c r="Y90" s="1382"/>
      <c r="Z90" s="1382"/>
      <c r="AA90" s="1382"/>
      <c r="AB90" s="1382"/>
      <c r="AC90" s="1382"/>
      <c r="AD90" s="1382"/>
      <c r="AE90" s="1382"/>
      <c r="AF90" s="1382"/>
      <c r="AG90" s="1382"/>
      <c r="AH90" s="1382"/>
      <c r="AI90" s="1382"/>
      <c r="AJ90" s="1382"/>
      <c r="AK90" s="181"/>
      <c r="AL90" s="181"/>
      <c r="AM90" s="181"/>
      <c r="AN90" s="181"/>
      <c r="AO90" s="181"/>
      <c r="AP90" s="181"/>
      <c r="AQ90" s="181"/>
      <c r="AR90" s="181"/>
      <c r="AS90" s="181"/>
      <c r="AT90" s="181"/>
      <c r="AU90" s="181"/>
      <c r="AV90" s="181"/>
      <c r="AW90" s="181"/>
    </row>
    <row r="91" spans="1:49" s="545" customFormat="1" x14ac:dyDescent="0.25">
      <c r="A91" s="1407" t="str">
        <f>IF(COUNTIF('04 - 95% CD'!D91:G91,"Y")&gt;0,"Y",IF(COUNTIF('04 - 95% CD'!D91:G91,"N"),"N",""))</f>
        <v>Y</v>
      </c>
      <c r="B91" s="554"/>
      <c r="C91" s="944"/>
      <c r="D91" s="321"/>
      <c r="E91" s="466"/>
      <c r="F91" s="559" t="str">
        <f>IF('C-Design&amp;Const'!$Q91="","",'C-Design&amp;Const'!$Q91)</f>
        <v>Y</v>
      </c>
      <c r="G91" s="558"/>
      <c r="H91" s="1029" t="str">
        <f>CONCATENATE(IF(F91="N","PLACEHOLDER ROW - ",""),'C-Design&amp;Const'!Z91,IF(F91="N","",J91))</f>
        <v>Heating - Demolition(s) (Updates to)</v>
      </c>
      <c r="I91" s="186"/>
      <c r="J91" s="578" t="str">
        <f>IF('C-Design&amp;Const'!AI91="","",'C-Design&amp;Const'!AI91)</f>
        <v xml:space="preserve"> (Updates to)</v>
      </c>
      <c r="K91" s="285" t="str">
        <f>IF((COUNTIF(D91:G91,"Y")=COUNTIF('04 - 95% CD'!A91,"Y")),"match","no 95% match")</f>
        <v>match</v>
      </c>
      <c r="L91" s="1410" t="str">
        <f t="shared" ref="L91" si="3">CONCATENATE(IF(ISNUMBER(SEARCH("Placeholder",H91))=TRUE,"&lt;---PM/Planner may hide PLACEHOLDER ROW",""))</f>
        <v/>
      </c>
      <c r="M91" s="1333"/>
      <c r="N91" s="1382"/>
      <c r="O91" s="1382"/>
      <c r="P91" s="1382"/>
      <c r="Q91" s="1382"/>
      <c r="R91" s="1490"/>
      <c r="S91" s="1274"/>
      <c r="T91" s="1274"/>
      <c r="U91" s="1382"/>
      <c r="V91" s="1382"/>
      <c r="W91" s="1382"/>
      <c r="X91" s="1382"/>
      <c r="Y91" s="1382"/>
      <c r="Z91" s="1382"/>
      <c r="AA91" s="1382"/>
      <c r="AB91" s="1382"/>
      <c r="AC91" s="1382"/>
      <c r="AD91" s="1382"/>
      <c r="AE91" s="1382"/>
      <c r="AF91" s="1382"/>
      <c r="AG91" s="1382"/>
      <c r="AH91" s="1382"/>
      <c r="AI91" s="1382"/>
      <c r="AJ91" s="1382"/>
      <c r="AK91" s="551"/>
      <c r="AL91" s="551"/>
      <c r="AM91" s="551"/>
      <c r="AN91" s="551"/>
      <c r="AO91" s="551"/>
      <c r="AP91" s="551"/>
      <c r="AQ91" s="551"/>
      <c r="AR91" s="551"/>
      <c r="AS91" s="551"/>
      <c r="AT91" s="551"/>
      <c r="AU91" s="551"/>
      <c r="AV91" s="551"/>
      <c r="AW91" s="551"/>
    </row>
    <row r="92" spans="1:49" s="30" customFormat="1" x14ac:dyDescent="0.25">
      <c r="A92" s="1407" t="str">
        <f>IF(COUNTIF('04 - 95% CD'!D92:G92,"Y")&gt;0,"Y",IF(COUNTIF('04 - 95% CD'!D92:G92,"N"),"N",""))</f>
        <v>Y</v>
      </c>
      <c r="B92" s="191"/>
      <c r="C92" s="944"/>
      <c r="D92" s="321"/>
      <c r="E92" s="466"/>
      <c r="F92" s="559" t="str">
        <f>IF('C-Design&amp;Const'!$Q92="","",'C-Design&amp;Const'!$Q92)</f>
        <v>Y</v>
      </c>
      <c r="G92" s="558"/>
      <c r="H92" s="1029" t="str">
        <f>CONCATENATE(IF(F92="N","PLACEHOLDER ROW - ",""),'C-Design&amp;Const'!Z92,IF(F92="N","",J92))</f>
        <v>Heating - Gas (and verify existing system for renovations)* (Updates to)</v>
      </c>
      <c r="I92" s="186"/>
      <c r="J92" s="578" t="str">
        <f>IF('C-Design&amp;Const'!AI92="","",'C-Design&amp;Const'!AI92)</f>
        <v xml:space="preserve"> (Updates to)</v>
      </c>
      <c r="K92" s="285" t="str">
        <f>IF((COUNTIF(D92:G92,"Y")=COUNTIF('04 - 95% CD'!A92,"Y")),"match","no 95% match")</f>
        <v>match</v>
      </c>
      <c r="L92" s="1410" t="str">
        <f t="shared" si="0"/>
        <v/>
      </c>
      <c r="M92" s="1333"/>
      <c r="N92" s="1333"/>
      <c r="O92" s="1382"/>
      <c r="P92" s="1382"/>
      <c r="Q92" s="1382"/>
      <c r="R92" s="1490"/>
      <c r="S92" s="1274"/>
      <c r="T92" s="1274"/>
      <c r="U92" s="1382"/>
      <c r="V92" s="1382"/>
      <c r="W92" s="1382"/>
      <c r="X92" s="1382"/>
      <c r="Y92" s="1382"/>
      <c r="Z92" s="1382"/>
      <c r="AA92" s="1382"/>
      <c r="AB92" s="1382"/>
      <c r="AC92" s="1382"/>
      <c r="AD92" s="1382"/>
      <c r="AE92" s="1382"/>
      <c r="AF92" s="1382"/>
      <c r="AG92" s="1382"/>
      <c r="AH92" s="1382"/>
      <c r="AI92" s="1382"/>
      <c r="AJ92" s="1382"/>
      <c r="AK92" s="181"/>
      <c r="AL92" s="181"/>
      <c r="AM92" s="181"/>
      <c r="AN92" s="181"/>
      <c r="AO92" s="181"/>
      <c r="AP92" s="181"/>
      <c r="AQ92" s="181"/>
      <c r="AR92" s="181"/>
      <c r="AS92" s="181"/>
      <c r="AT92" s="181"/>
      <c r="AU92" s="181"/>
      <c r="AV92" s="181"/>
      <c r="AW92" s="181"/>
    </row>
    <row r="93" spans="1:49" s="30" customFormat="1" x14ac:dyDescent="0.25">
      <c r="A93" s="1407" t="str">
        <f>IF(COUNTIF('04 - 95% CD'!D93:G93,"Y")&gt;0,"Y",IF(COUNTIF('04 - 95% CD'!D93:G93,"N"),"N",""))</f>
        <v>Y</v>
      </c>
      <c r="B93" s="191"/>
      <c r="C93" s="944"/>
      <c r="D93" s="321"/>
      <c r="E93" s="466"/>
      <c r="F93" s="559" t="str">
        <f>IF('C-Design&amp;Const'!$Q93="","",'C-Design&amp;Const'!$Q93)</f>
        <v>Y</v>
      </c>
      <c r="G93" s="558"/>
      <c r="H93" s="1029" t="str">
        <f>CONCATENATE(IF(F93="N","PLACEHOLDER ROW - ",""),'C-Design&amp;Const'!Z93,IF(F93="N","",J93))</f>
        <v>Heating -  Steam  (and verify existing system for renovations)* (Updates to)</v>
      </c>
      <c r="I93" s="186"/>
      <c r="J93" s="578" t="str">
        <f>IF('C-Design&amp;Const'!AI93="","",'C-Design&amp;Const'!AI93)</f>
        <v xml:space="preserve"> (Updates to)</v>
      </c>
      <c r="K93" s="285" t="str">
        <f>IF((COUNTIF(D93:G93,"Y")=COUNTIF('04 - 95% CD'!A93,"Y")),"match","no 95% match")</f>
        <v>match</v>
      </c>
      <c r="L93" s="1410" t="str">
        <f t="shared" si="0"/>
        <v/>
      </c>
      <c r="M93" s="1333"/>
      <c r="N93" s="1333"/>
      <c r="O93" s="1382"/>
      <c r="P93" s="1382"/>
      <c r="Q93" s="1382"/>
      <c r="R93" s="1490"/>
      <c r="S93" s="1274"/>
      <c r="T93" s="1274"/>
      <c r="U93" s="1382"/>
      <c r="V93" s="1382"/>
      <c r="W93" s="1382"/>
      <c r="X93" s="1382"/>
      <c r="Y93" s="1382"/>
      <c r="Z93" s="1382"/>
      <c r="AA93" s="1382"/>
      <c r="AB93" s="1382"/>
      <c r="AC93" s="1382"/>
      <c r="AD93" s="1382"/>
      <c r="AE93" s="1382"/>
      <c r="AF93" s="1382"/>
      <c r="AG93" s="1382"/>
      <c r="AH93" s="1382"/>
      <c r="AI93" s="1382"/>
      <c r="AJ93" s="1382"/>
      <c r="AK93" s="181"/>
      <c r="AL93" s="181"/>
      <c r="AM93" s="181"/>
      <c r="AN93" s="181"/>
      <c r="AO93" s="181"/>
      <c r="AP93" s="181"/>
      <c r="AQ93" s="181"/>
      <c r="AR93" s="181"/>
      <c r="AS93" s="181"/>
      <c r="AT93" s="181"/>
      <c r="AU93" s="181"/>
      <c r="AV93" s="181"/>
      <c r="AW93" s="181"/>
    </row>
    <row r="94" spans="1:49" s="30" customFormat="1" x14ac:dyDescent="0.25">
      <c r="A94" s="1407" t="str">
        <f>IF(COUNTIF('04 - 95% CD'!D94:G94,"Y")&gt;0,"Y",IF(COUNTIF('04 - 95% CD'!D94:G94,"N"),"N",""))</f>
        <v>N</v>
      </c>
      <c r="B94" s="191"/>
      <c r="C94" s="944"/>
      <c r="D94" s="321"/>
      <c r="E94" s="466"/>
      <c r="F94" s="559" t="str">
        <f>IF('C-Design&amp;Const'!$Q94="","",'C-Design&amp;Const'!$Q94)</f>
        <v>N</v>
      </c>
      <c r="G94" s="558"/>
      <c r="H94" s="1029" t="str">
        <f>CONCATENATE(IF(F94="N","PLACEHOLDER ROW - ",""),'C-Design&amp;Const'!Z94,IF(F94="N","",J94))</f>
        <v>PLACEHOLDER ROW - Heating - CUSTOM</v>
      </c>
      <c r="I94" s="186"/>
      <c r="J94" s="578" t="str">
        <f>IF('C-Design&amp;Const'!AI94="","",'C-Design&amp;Const'!AI94)</f>
        <v xml:space="preserve"> (Updates to)</v>
      </c>
      <c r="K94" s="285" t="str">
        <f>IF((COUNTIF(D94:G94,"Y")=COUNTIF('04 - 95% CD'!A94,"Y")),"match","no 95% match")</f>
        <v>match</v>
      </c>
      <c r="L94" s="1410" t="str">
        <f t="shared" si="0"/>
        <v>&lt;---PM/Planner may hide PLACEHOLDER ROW</v>
      </c>
      <c r="M94" s="1333"/>
      <c r="N94" s="1333"/>
      <c r="O94" s="1382"/>
      <c r="P94" s="1382"/>
      <c r="Q94" s="1382"/>
      <c r="R94" s="1490"/>
      <c r="S94" s="1274"/>
      <c r="T94" s="1274"/>
      <c r="U94" s="1382"/>
      <c r="V94" s="1382"/>
      <c r="W94" s="1382"/>
      <c r="X94" s="1382"/>
      <c r="Y94" s="1382"/>
      <c r="Z94" s="1382"/>
      <c r="AA94" s="1382"/>
      <c r="AB94" s="1382"/>
      <c r="AC94" s="1382"/>
      <c r="AD94" s="1382"/>
      <c r="AE94" s="1382"/>
      <c r="AF94" s="1382"/>
      <c r="AG94" s="1382"/>
      <c r="AH94" s="1382"/>
      <c r="AI94" s="1382"/>
      <c r="AJ94" s="1382"/>
      <c r="AK94" s="181"/>
      <c r="AL94" s="181"/>
      <c r="AM94" s="181"/>
      <c r="AN94" s="181"/>
      <c r="AO94" s="181"/>
      <c r="AP94" s="181"/>
      <c r="AQ94" s="181"/>
      <c r="AR94" s="181"/>
      <c r="AS94" s="181"/>
      <c r="AT94" s="181"/>
      <c r="AU94" s="181"/>
      <c r="AV94" s="181"/>
      <c r="AW94" s="181"/>
    </row>
    <row r="95" spans="1:49" s="30" customFormat="1" x14ac:dyDescent="0.25">
      <c r="A95" s="1407" t="str">
        <f>IF(COUNTIF('04 - 95% CD'!D95:G95,"Y")&gt;0,"Y",IF(COUNTIF('04 - 95% CD'!D95:G95,"N"),"N",""))</f>
        <v>Y</v>
      </c>
      <c r="B95" s="191"/>
      <c r="C95" s="944"/>
      <c r="D95" s="321"/>
      <c r="E95" s="466"/>
      <c r="F95" s="559" t="str">
        <f>IF('C-Design&amp;Const'!$Q95="","",'C-Design&amp;Const'!$Q95)</f>
        <v>Y</v>
      </c>
      <c r="G95" s="558"/>
      <c r="H95" s="1029" t="str">
        <f>CONCATENATE(IF(F95="N","PLACEHOLDER ROW - ",""),'C-Design&amp;Const'!Z95,IF(F95="N","",J95))</f>
        <v>Ventilation - General System(s)  **(verify existing system for renovations) (Updates to)</v>
      </c>
      <c r="I95" s="186"/>
      <c r="J95" s="578" t="str">
        <f>IF('C-Design&amp;Const'!AI95="","",'C-Design&amp;Const'!AI95)</f>
        <v xml:space="preserve"> (Updates to)</v>
      </c>
      <c r="K95" s="285" t="str">
        <f>IF((COUNTIF(D95:G95,"Y")=COUNTIF('04 - 95% CD'!A95,"Y")),"match","no 95% match")</f>
        <v>match</v>
      </c>
      <c r="L95" s="1410" t="str">
        <f t="shared" si="0"/>
        <v/>
      </c>
      <c r="M95" s="1333"/>
      <c r="N95" s="1333"/>
      <c r="O95" s="1382"/>
      <c r="P95" s="1382"/>
      <c r="Q95" s="1382"/>
      <c r="R95" s="1490"/>
      <c r="S95" s="1274"/>
      <c r="T95" s="1274"/>
      <c r="U95" s="1382"/>
      <c r="V95" s="1382"/>
      <c r="W95" s="1382"/>
      <c r="X95" s="1382"/>
      <c r="Y95" s="1382"/>
      <c r="Z95" s="1382"/>
      <c r="AA95" s="1382"/>
      <c r="AB95" s="1382"/>
      <c r="AC95" s="1382"/>
      <c r="AD95" s="1382"/>
      <c r="AE95" s="1382"/>
      <c r="AF95" s="1382"/>
      <c r="AG95" s="1382"/>
      <c r="AH95" s="1382"/>
      <c r="AI95" s="1382"/>
      <c r="AJ95" s="1382"/>
      <c r="AK95" s="181"/>
      <c r="AL95" s="181"/>
      <c r="AM95" s="181"/>
      <c r="AN95" s="181"/>
      <c r="AO95" s="181"/>
      <c r="AP95" s="181"/>
      <c r="AQ95" s="181"/>
      <c r="AR95" s="181"/>
      <c r="AS95" s="181"/>
      <c r="AT95" s="181"/>
      <c r="AU95" s="181"/>
      <c r="AV95" s="181"/>
      <c r="AW95" s="181"/>
    </row>
    <row r="96" spans="1:49" s="545" customFormat="1" x14ac:dyDescent="0.25">
      <c r="A96" s="1407" t="str">
        <f>IF(COUNTIF('04 - 95% CD'!D96:G96,"Y")&gt;0,"Y",IF(COUNTIF('04 - 95% CD'!D96:G96,"N"),"N",""))</f>
        <v>Y</v>
      </c>
      <c r="B96" s="554"/>
      <c r="C96" s="944"/>
      <c r="D96" s="321"/>
      <c r="E96" s="466"/>
      <c r="F96" s="559" t="str">
        <f>IF('C-Design&amp;Const'!$Q96="","",'C-Design&amp;Const'!$Q96)</f>
        <v>Y</v>
      </c>
      <c r="G96" s="558"/>
      <c r="H96" s="1029" t="str">
        <f>CONCATENATE(IF(F96="N","PLACEHOLDER ROW - ",""),'C-Design&amp;Const'!Z96,IF(F96="N","",J96))</f>
        <v>Ventilation - Demolition(s) (Updates to)</v>
      </c>
      <c r="I96" s="186"/>
      <c r="J96" s="578" t="str">
        <f>IF('C-Design&amp;Const'!AI96="","",'C-Design&amp;Const'!AI96)</f>
        <v xml:space="preserve"> (Updates to)</v>
      </c>
      <c r="K96" s="285" t="str">
        <f>IF((COUNTIF(D96:G96,"Y")=COUNTIF('04 - 95% CD'!A96,"Y")),"match","no 95% match")</f>
        <v>match</v>
      </c>
      <c r="L96" s="1410" t="str">
        <f t="shared" si="0"/>
        <v/>
      </c>
      <c r="M96" s="1333"/>
      <c r="N96" s="1382"/>
      <c r="O96" s="1382"/>
      <c r="P96" s="1382"/>
      <c r="Q96" s="1382"/>
      <c r="R96" s="1490"/>
      <c r="S96" s="1274"/>
      <c r="T96" s="1274"/>
      <c r="U96" s="1382"/>
      <c r="V96" s="1382"/>
      <c r="W96" s="1382"/>
      <c r="X96" s="1382"/>
      <c r="Y96" s="1382"/>
      <c r="Z96" s="1382"/>
      <c r="AA96" s="1382"/>
      <c r="AB96" s="1382"/>
      <c r="AC96" s="1382"/>
      <c r="AD96" s="1382"/>
      <c r="AE96" s="1382"/>
      <c r="AF96" s="1382"/>
      <c r="AG96" s="1382"/>
      <c r="AH96" s="1382"/>
      <c r="AI96" s="1382"/>
      <c r="AJ96" s="1382"/>
      <c r="AK96" s="551"/>
      <c r="AL96" s="551"/>
      <c r="AM96" s="551"/>
      <c r="AN96" s="551"/>
      <c r="AO96" s="551"/>
      <c r="AP96" s="551"/>
      <c r="AQ96" s="551"/>
      <c r="AR96" s="551"/>
      <c r="AS96" s="551"/>
      <c r="AT96" s="551"/>
      <c r="AU96" s="551"/>
      <c r="AV96" s="551"/>
      <c r="AW96" s="551"/>
    </row>
    <row r="97" spans="1:49" s="30" customFormat="1" x14ac:dyDescent="0.25">
      <c r="A97" s="1407" t="str">
        <f>IF(COUNTIF('04 - 95% CD'!D97:G97,"Y")&gt;0,"Y",IF(COUNTIF('04 - 95% CD'!D97:G97,"N"),"N",""))</f>
        <v>Y</v>
      </c>
      <c r="B97" s="191"/>
      <c r="C97" s="944"/>
      <c r="D97" s="321"/>
      <c r="E97" s="466"/>
      <c r="F97" s="559" t="str">
        <f>IF('C-Design&amp;Const'!$Q97="","",'C-Design&amp;Const'!$Q97)</f>
        <v>Y</v>
      </c>
      <c r="G97" s="558"/>
      <c r="H97" s="1029" t="str">
        <f>CONCATENATE(IF(F97="N","PLACEHOLDER ROW - ",""),'C-Design&amp;Const'!Z97,IF(F97="N","",J97))</f>
        <v>Ventilation - Refrigeration Systems **(verify existing system for renovations) (Updates to)</v>
      </c>
      <c r="I97" s="186"/>
      <c r="J97" s="578" t="str">
        <f>IF('C-Design&amp;Const'!AI97="","",'C-Design&amp;Const'!AI97)</f>
        <v xml:space="preserve"> (Updates to)</v>
      </c>
      <c r="K97" s="285" t="str">
        <f>IF((COUNTIF(D97:G97,"Y")=COUNTIF('04 - 95% CD'!A97,"Y")),"match","no 95% match")</f>
        <v>match</v>
      </c>
      <c r="L97" s="1410" t="str">
        <f t="shared" si="0"/>
        <v/>
      </c>
      <c r="M97" s="1333"/>
      <c r="N97" s="1333"/>
      <c r="O97" s="1382"/>
      <c r="P97" s="1382"/>
      <c r="Q97" s="1382"/>
      <c r="R97" s="1490"/>
      <c r="S97" s="1274"/>
      <c r="T97" s="1274"/>
      <c r="U97" s="1382"/>
      <c r="V97" s="1382"/>
      <c r="W97" s="1382"/>
      <c r="X97" s="1382"/>
      <c r="Y97" s="1382"/>
      <c r="Z97" s="1382"/>
      <c r="AA97" s="1382"/>
      <c r="AB97" s="1382"/>
      <c r="AC97" s="1382"/>
      <c r="AD97" s="1382"/>
      <c r="AE97" s="1382"/>
      <c r="AF97" s="1382"/>
      <c r="AG97" s="1382"/>
      <c r="AH97" s="1382"/>
      <c r="AI97" s="1382"/>
      <c r="AJ97" s="1382"/>
      <c r="AK97" s="181"/>
      <c r="AL97" s="181"/>
      <c r="AM97" s="181"/>
      <c r="AN97" s="181"/>
      <c r="AO97" s="181"/>
      <c r="AP97" s="181"/>
      <c r="AQ97" s="181"/>
      <c r="AR97" s="181"/>
      <c r="AS97" s="181"/>
      <c r="AT97" s="181"/>
      <c r="AU97" s="181"/>
      <c r="AV97" s="181"/>
      <c r="AW97" s="181"/>
    </row>
    <row r="98" spans="1:49" s="30" customFormat="1" x14ac:dyDescent="0.25">
      <c r="A98" s="1407" t="str">
        <f>IF(COUNTIF('04 - 95% CD'!D98:G98,"Y")&gt;0,"Y",IF(COUNTIF('04 - 95% CD'!D98:G98,"N"),"N",""))</f>
        <v>Y</v>
      </c>
      <c r="B98" s="191"/>
      <c r="C98" s="944"/>
      <c r="D98" s="321"/>
      <c r="E98" s="466"/>
      <c r="F98" s="559" t="str">
        <f>IF('C-Design&amp;Const'!$Q98="","",'C-Design&amp;Const'!$Q98)</f>
        <v>Y</v>
      </c>
      <c r="G98" s="558"/>
      <c r="H98" s="1029" t="str">
        <f>CONCATENATE(IF(F98="N","PLACEHOLDER ROW - ",""),'C-Design&amp;Const'!Z98,IF(F98="N","",J98))</f>
        <v>Ventilation - Chilled Water  **(verify existing system for renovations) (Updates to)</v>
      </c>
      <c r="I98" s="186"/>
      <c r="J98" s="578" t="str">
        <f>IF('C-Design&amp;Const'!AI98="","",'C-Design&amp;Const'!AI98)</f>
        <v xml:space="preserve"> (Updates to)</v>
      </c>
      <c r="K98" s="285" t="str">
        <f>IF((COUNTIF(D98:G98,"Y")=COUNTIF('04 - 95% CD'!A98,"Y")),"match","no 95% match")</f>
        <v>match</v>
      </c>
      <c r="L98" s="1410" t="str">
        <f t="shared" si="0"/>
        <v/>
      </c>
      <c r="M98" s="1333"/>
      <c r="N98" s="1333"/>
      <c r="O98" s="1382"/>
      <c r="P98" s="1382"/>
      <c r="Q98" s="1382"/>
      <c r="R98" s="1490"/>
      <c r="S98" s="1274"/>
      <c r="T98" s="1274"/>
      <c r="U98" s="1382"/>
      <c r="V98" s="1382"/>
      <c r="W98" s="1382"/>
      <c r="X98" s="1382"/>
      <c r="Y98" s="1382"/>
      <c r="Z98" s="1382"/>
      <c r="AA98" s="1382"/>
      <c r="AB98" s="1382"/>
      <c r="AC98" s="1382"/>
      <c r="AD98" s="1382"/>
      <c r="AE98" s="1382"/>
      <c r="AF98" s="1382"/>
      <c r="AG98" s="1382"/>
      <c r="AH98" s="1382"/>
      <c r="AI98" s="1382"/>
      <c r="AJ98" s="1382"/>
      <c r="AK98" s="181"/>
      <c r="AL98" s="181"/>
      <c r="AM98" s="181"/>
      <c r="AN98" s="181"/>
      <c r="AO98" s="181"/>
      <c r="AP98" s="181"/>
      <c r="AQ98" s="181"/>
      <c r="AR98" s="181"/>
      <c r="AS98" s="181"/>
      <c r="AT98" s="181"/>
      <c r="AU98" s="181"/>
      <c r="AV98" s="181"/>
      <c r="AW98" s="181"/>
    </row>
    <row r="99" spans="1:49" s="30" customFormat="1" x14ac:dyDescent="0.25">
      <c r="A99" s="1407" t="str">
        <f>IF(COUNTIF('04 - 95% CD'!D99:G99,"Y")&gt;0,"Y",IF(COUNTIF('04 - 95% CD'!D99:G99,"N"),"N",""))</f>
        <v>N</v>
      </c>
      <c r="B99" s="191"/>
      <c r="C99" s="944"/>
      <c r="D99" s="321"/>
      <c r="E99" s="466"/>
      <c r="F99" s="559" t="str">
        <f>IF('C-Design&amp;Const'!$Q99="","",'C-Design&amp;Const'!$Q99)</f>
        <v>N</v>
      </c>
      <c r="G99" s="558"/>
      <c r="H99" s="1029" t="str">
        <f>CONCATENATE(IF(F99="N","PLACEHOLDER ROW - ",""),'C-Design&amp;Const'!Z99,IF(F99="N","",J99))</f>
        <v>PLACEHOLDER ROW - Ventilation - CUSTOM</v>
      </c>
      <c r="I99" s="186"/>
      <c r="J99" s="578" t="str">
        <f>IF('C-Design&amp;Const'!AI99="","",'C-Design&amp;Const'!AI99)</f>
        <v xml:space="preserve"> (Updates to)</v>
      </c>
      <c r="K99" s="285" t="str">
        <f>IF((COUNTIF(D99:G99,"Y")=COUNTIF('04 - 95% CD'!A99,"Y")),"match","no 95% match")</f>
        <v>match</v>
      </c>
      <c r="L99" s="1410" t="str">
        <f t="shared" si="0"/>
        <v>&lt;---PM/Planner may hide PLACEHOLDER ROW</v>
      </c>
      <c r="M99" s="1333"/>
      <c r="N99" s="1333"/>
      <c r="O99" s="1382"/>
      <c r="P99" s="1382"/>
      <c r="Q99" s="1382"/>
      <c r="R99" s="1490"/>
      <c r="S99" s="1274"/>
      <c r="T99" s="1274"/>
      <c r="U99" s="1382"/>
      <c r="V99" s="1382"/>
      <c r="W99" s="1382"/>
      <c r="X99" s="1382"/>
      <c r="Y99" s="1382"/>
      <c r="Z99" s="1382"/>
      <c r="AA99" s="1382"/>
      <c r="AB99" s="1382"/>
      <c r="AC99" s="1382"/>
      <c r="AD99" s="1382"/>
      <c r="AE99" s="1382"/>
      <c r="AF99" s="1382"/>
      <c r="AG99" s="1382"/>
      <c r="AH99" s="1382"/>
      <c r="AI99" s="1382"/>
      <c r="AJ99" s="1382"/>
      <c r="AK99" s="181"/>
      <c r="AL99" s="181"/>
      <c r="AM99" s="181"/>
      <c r="AN99" s="181"/>
      <c r="AO99" s="181"/>
      <c r="AP99" s="181"/>
      <c r="AQ99" s="181"/>
      <c r="AR99" s="181"/>
      <c r="AS99" s="181"/>
      <c r="AT99" s="181"/>
      <c r="AU99" s="181"/>
      <c r="AV99" s="181"/>
      <c r="AW99" s="181"/>
    </row>
    <row r="100" spans="1:49" s="30" customFormat="1" x14ac:dyDescent="0.25">
      <c r="A100" s="1407" t="str">
        <f>IF(COUNTIF('04 - 95% CD'!D100:G100,"Y")&gt;0,"Y",IF(COUNTIF('04 - 95% CD'!D100:G100,"N"),"N",""))</f>
        <v>Y</v>
      </c>
      <c r="B100" s="191"/>
      <c r="C100" s="944"/>
      <c r="D100" s="321"/>
      <c r="E100" s="466"/>
      <c r="F100" s="559" t="str">
        <f>IF('C-Design&amp;Const'!$Q100="","",'C-Design&amp;Const'!$Q100)</f>
        <v>Y</v>
      </c>
      <c r="G100" s="558"/>
      <c r="H100" s="1029" t="str">
        <f>CONCATENATE(IF(F100="N","PLACEHOLDER ROW - ",""),'C-Design&amp;Const'!Z100,IF(F100="N","",J100))</f>
        <v>Electrical - General System(s) - **(verify existing system for renovations) (Updates to)</v>
      </c>
      <c r="I100" s="186"/>
      <c r="J100" s="578" t="str">
        <f>IF('C-Design&amp;Const'!AI100="","",'C-Design&amp;Const'!AI100)</f>
        <v xml:space="preserve"> (Updates to)</v>
      </c>
      <c r="K100" s="285" t="str">
        <f>IF((COUNTIF(D100:G100,"Y")=COUNTIF('04 - 95% CD'!A100,"Y")),"match","no 95% match")</f>
        <v>match</v>
      </c>
      <c r="L100" s="1410" t="str">
        <f t="shared" ref="L100:L173" si="4">CONCATENATE(IF(ISNUMBER(SEARCH("Placeholder",H100))=TRUE,"&lt;---PM/Planner may hide PLACEHOLDER ROW",""))</f>
        <v/>
      </c>
      <c r="M100" s="1333"/>
      <c r="N100" s="1333"/>
      <c r="O100" s="1382"/>
      <c r="P100" s="1382"/>
      <c r="Q100" s="1382"/>
      <c r="R100" s="1490"/>
      <c r="S100" s="1274"/>
      <c r="T100" s="1274"/>
      <c r="U100" s="1382"/>
      <c r="V100" s="1382"/>
      <c r="W100" s="1382"/>
      <c r="X100" s="1382"/>
      <c r="Y100" s="1382"/>
      <c r="Z100" s="1382"/>
      <c r="AA100" s="1382"/>
      <c r="AB100" s="1382"/>
      <c r="AC100" s="1382"/>
      <c r="AD100" s="1382"/>
      <c r="AE100" s="1382"/>
      <c r="AF100" s="1382"/>
      <c r="AG100" s="1382"/>
      <c r="AH100" s="1382"/>
      <c r="AI100" s="1382"/>
      <c r="AJ100" s="1382"/>
      <c r="AK100" s="181"/>
      <c r="AL100" s="181"/>
      <c r="AM100" s="181"/>
      <c r="AN100" s="181"/>
      <c r="AO100" s="181"/>
      <c r="AP100" s="181"/>
      <c r="AQ100" s="181"/>
      <c r="AR100" s="181"/>
      <c r="AS100" s="181"/>
      <c r="AT100" s="181"/>
      <c r="AU100" s="181"/>
      <c r="AV100" s="181"/>
      <c r="AW100" s="181"/>
    </row>
    <row r="101" spans="1:49" s="545" customFormat="1" x14ac:dyDescent="0.25">
      <c r="A101" s="1407" t="str">
        <f>IF(COUNTIF('04 - 95% CD'!D101:G101,"Y")&gt;0,"Y",IF(COUNTIF('04 - 95% CD'!D101:G101,"N"),"N",""))</f>
        <v>Y</v>
      </c>
      <c r="B101" s="554"/>
      <c r="C101" s="944"/>
      <c r="D101" s="321"/>
      <c r="E101" s="466"/>
      <c r="F101" s="559" t="str">
        <f>IF('C-Design&amp;Const'!$Q101="","",'C-Design&amp;Const'!$Q101)</f>
        <v>Y</v>
      </c>
      <c r="G101" s="558"/>
      <c r="H101" s="1029" t="str">
        <f>CONCATENATE(IF(F101="N","PLACEHOLDER ROW - ",""),'C-Design&amp;Const'!Z101,IF(F101="N","",J101))</f>
        <v>Electrical - Demolition(s) (Updates to)</v>
      </c>
      <c r="I101" s="186"/>
      <c r="J101" s="578" t="str">
        <f>IF('C-Design&amp;Const'!AI101="","",'C-Design&amp;Const'!AI101)</f>
        <v xml:space="preserve"> (Updates to)</v>
      </c>
      <c r="K101" s="285" t="str">
        <f>IF((COUNTIF(D101:G101,"Y")=COUNTIF('04 - 95% CD'!A101,"Y")),"match","no 95% match")</f>
        <v>match</v>
      </c>
      <c r="L101" s="1410" t="str">
        <f t="shared" si="4"/>
        <v/>
      </c>
      <c r="M101" s="1333"/>
      <c r="N101" s="1382"/>
      <c r="O101" s="1382"/>
      <c r="P101" s="1382"/>
      <c r="Q101" s="1382"/>
      <c r="R101" s="1490"/>
      <c r="S101" s="1274"/>
      <c r="T101" s="1274"/>
      <c r="U101" s="1382"/>
      <c r="V101" s="1382"/>
      <c r="W101" s="1382"/>
      <c r="X101" s="1382"/>
      <c r="Y101" s="1382"/>
      <c r="Z101" s="1382"/>
      <c r="AA101" s="1382"/>
      <c r="AB101" s="1382"/>
      <c r="AC101" s="1382"/>
      <c r="AD101" s="1382"/>
      <c r="AE101" s="1382"/>
      <c r="AF101" s="1382"/>
      <c r="AG101" s="1382"/>
      <c r="AH101" s="1382"/>
      <c r="AI101" s="1382"/>
      <c r="AJ101" s="1382"/>
      <c r="AK101" s="551"/>
      <c r="AL101" s="551"/>
      <c r="AM101" s="551"/>
      <c r="AN101" s="551"/>
      <c r="AO101" s="551"/>
      <c r="AP101" s="551"/>
      <c r="AQ101" s="551"/>
      <c r="AR101" s="551"/>
      <c r="AS101" s="551"/>
      <c r="AT101" s="551"/>
      <c r="AU101" s="551"/>
      <c r="AV101" s="551"/>
      <c r="AW101" s="551"/>
    </row>
    <row r="102" spans="1:49" s="30" customFormat="1" x14ac:dyDescent="0.25">
      <c r="A102" s="1407" t="str">
        <f>IF(COUNTIF('04 - 95% CD'!D102:G102,"Y")&gt;0,"Y",IF(COUNTIF('04 - 95% CD'!D102:G102,"N"),"N",""))</f>
        <v>Y</v>
      </c>
      <c r="B102" s="191"/>
      <c r="C102" s="944"/>
      <c r="D102" s="321"/>
      <c r="E102" s="466"/>
      <c r="F102" s="559" t="str">
        <f>IF('C-Design&amp;Const'!$Q102="","",'C-Design&amp;Const'!$Q102)</f>
        <v>Y</v>
      </c>
      <c r="G102" s="558"/>
      <c r="H102" s="1029" t="str">
        <f>CONCATENATE(IF(F102="N","PLACEHOLDER ROW - ",""),'C-Design&amp;Const'!Z102,IF(F102="N","",J102))</f>
        <v>Electrical - Lighting **(verify existing system for renovations) (Updates to)</v>
      </c>
      <c r="I102" s="186"/>
      <c r="J102" s="578" t="str">
        <f>IF('C-Design&amp;Const'!AI102="","",'C-Design&amp;Const'!AI102)</f>
        <v xml:space="preserve"> (Updates to)</v>
      </c>
      <c r="K102" s="285" t="str">
        <f>IF((COUNTIF(D102:G102,"Y")=COUNTIF('04 - 95% CD'!A102,"Y")),"match","no 95% match")</f>
        <v>match</v>
      </c>
      <c r="L102" s="1410" t="str">
        <f t="shared" si="4"/>
        <v/>
      </c>
      <c r="M102" s="1333"/>
      <c r="N102" s="1333"/>
      <c r="O102" s="1382"/>
      <c r="P102" s="1382"/>
      <c r="Q102" s="1382"/>
      <c r="R102" s="1490"/>
      <c r="S102" s="1274"/>
      <c r="T102" s="1274"/>
      <c r="U102" s="1382"/>
      <c r="V102" s="1382"/>
      <c r="W102" s="1382"/>
      <c r="X102" s="1382"/>
      <c r="Y102" s="1382"/>
      <c r="Z102" s="1382"/>
      <c r="AA102" s="1382"/>
      <c r="AB102" s="1382"/>
      <c r="AC102" s="1382"/>
      <c r="AD102" s="1382"/>
      <c r="AE102" s="1382"/>
      <c r="AF102" s="1382"/>
      <c r="AG102" s="1382"/>
      <c r="AH102" s="1382"/>
      <c r="AI102" s="1382"/>
      <c r="AJ102" s="1382"/>
      <c r="AK102" s="181"/>
      <c r="AL102" s="181"/>
      <c r="AM102" s="181"/>
      <c r="AN102" s="181"/>
      <c r="AO102" s="181"/>
      <c r="AP102" s="181"/>
      <c r="AQ102" s="181"/>
      <c r="AR102" s="181"/>
      <c r="AS102" s="181"/>
      <c r="AT102" s="181"/>
      <c r="AU102" s="181"/>
      <c r="AV102" s="181"/>
      <c r="AW102" s="181"/>
    </row>
    <row r="103" spans="1:49" s="30" customFormat="1" x14ac:dyDescent="0.25">
      <c r="A103" s="1407" t="str">
        <f>IF(COUNTIF('04 - 95% CD'!D103:G103,"Y")&gt;0,"Y",IF(COUNTIF('04 - 95% CD'!D103:G103,"N"),"N",""))</f>
        <v>Y</v>
      </c>
      <c r="B103" s="191"/>
      <c r="C103" s="944"/>
      <c r="D103" s="321"/>
      <c r="E103" s="466"/>
      <c r="F103" s="559" t="str">
        <f>IF('C-Design&amp;Const'!$Q103="","",'C-Design&amp;Const'!$Q103)</f>
        <v>Y</v>
      </c>
      <c r="G103" s="558"/>
      <c r="H103" s="1029" t="str">
        <f>CONCATENATE(IF(F103="N","PLACEHOLDER ROW - ",""),'C-Design&amp;Const'!Z103,IF(F103="N","",J103))</f>
        <v>Electrical - Elevators **(verify existing system for renovations) (Updates to)</v>
      </c>
      <c r="I103" s="186"/>
      <c r="J103" s="578" t="str">
        <f>IF('C-Design&amp;Const'!AI103="","",'C-Design&amp;Const'!AI103)</f>
        <v xml:space="preserve"> (Updates to)</v>
      </c>
      <c r="K103" s="285" t="str">
        <f>IF((COUNTIF(D103:G103,"Y")=COUNTIF('04 - 95% CD'!A103,"Y")),"match","no 95% match")</f>
        <v>match</v>
      </c>
      <c r="L103" s="1410" t="str">
        <f t="shared" si="4"/>
        <v/>
      </c>
      <c r="M103" s="1333"/>
      <c r="N103" s="1333"/>
      <c r="O103" s="1382"/>
      <c r="P103" s="1382"/>
      <c r="Q103" s="1382"/>
      <c r="R103" s="1490"/>
      <c r="S103" s="1274"/>
      <c r="T103" s="1274"/>
      <c r="U103" s="1382"/>
      <c r="V103" s="1382"/>
      <c r="W103" s="1382"/>
      <c r="X103" s="1382"/>
      <c r="Y103" s="1382"/>
      <c r="Z103" s="1382"/>
      <c r="AA103" s="1382"/>
      <c r="AB103" s="1382"/>
      <c r="AC103" s="1382"/>
      <c r="AD103" s="1382"/>
      <c r="AE103" s="1382"/>
      <c r="AF103" s="1382"/>
      <c r="AG103" s="1382"/>
      <c r="AH103" s="1382"/>
      <c r="AI103" s="1382"/>
      <c r="AJ103" s="1382"/>
      <c r="AK103" s="181"/>
      <c r="AL103" s="181"/>
      <c r="AM103" s="181"/>
      <c r="AN103" s="181"/>
      <c r="AO103" s="181"/>
      <c r="AP103" s="181"/>
      <c r="AQ103" s="181"/>
      <c r="AR103" s="181"/>
      <c r="AS103" s="181"/>
      <c r="AT103" s="181"/>
      <c r="AU103" s="181"/>
      <c r="AV103" s="181"/>
      <c r="AW103" s="181"/>
    </row>
    <row r="104" spans="1:49" s="30" customFormat="1" x14ac:dyDescent="0.25">
      <c r="A104" s="1407" t="str">
        <f>IF(COUNTIF('04 - 95% CD'!D104:G104,"Y")&gt;0,"Y",IF(COUNTIF('04 - 95% CD'!D104:G104,"N"),"N",""))</f>
        <v>Y</v>
      </c>
      <c r="B104" s="191"/>
      <c r="C104" s="944"/>
      <c r="D104" s="321"/>
      <c r="E104" s="466"/>
      <c r="F104" s="559" t="str">
        <f>IF('C-Design&amp;Const'!$Q104="","",'C-Design&amp;Const'!$Q104)</f>
        <v>Y</v>
      </c>
      <c r="G104" s="558"/>
      <c r="H104" s="1029" t="str">
        <f>CONCATENATE(IF(F104="N","PLACEHOLDER ROW - ",""),'C-Design&amp;Const'!Z104,IF(F104="N","",J104))</f>
        <v>Electrical - Lightning Protection System(s) **(verify existing system for renovations) (Updates to)</v>
      </c>
      <c r="I104" s="186"/>
      <c r="J104" s="578" t="str">
        <f>IF('C-Design&amp;Const'!AI104="","",'C-Design&amp;Const'!AI104)</f>
        <v xml:space="preserve"> (Updates to)</v>
      </c>
      <c r="K104" s="285" t="str">
        <f>IF((COUNTIF(D104:G104,"Y")=COUNTIF('04 - 95% CD'!A104,"Y")),"match","no 95% match")</f>
        <v>match</v>
      </c>
      <c r="L104" s="1410" t="str">
        <f t="shared" si="4"/>
        <v/>
      </c>
      <c r="M104" s="1333"/>
      <c r="N104" s="1333"/>
      <c r="O104" s="1382"/>
      <c r="P104" s="1382"/>
      <c r="Q104" s="1382"/>
      <c r="R104" s="1490"/>
      <c r="S104" s="1274"/>
      <c r="T104" s="1274"/>
      <c r="U104" s="1382"/>
      <c r="V104" s="1382"/>
      <c r="W104" s="1382"/>
      <c r="X104" s="1382"/>
      <c r="Y104" s="1382"/>
      <c r="Z104" s="1382"/>
      <c r="AA104" s="1382"/>
      <c r="AB104" s="1382"/>
      <c r="AC104" s="1382"/>
      <c r="AD104" s="1382"/>
      <c r="AE104" s="1382"/>
      <c r="AF104" s="1382"/>
      <c r="AG104" s="1382"/>
      <c r="AH104" s="1382"/>
      <c r="AI104" s="1382"/>
      <c r="AJ104" s="1382"/>
      <c r="AK104" s="181"/>
      <c r="AL104" s="181"/>
      <c r="AM104" s="181"/>
      <c r="AN104" s="181"/>
      <c r="AO104" s="181"/>
      <c r="AP104" s="181"/>
      <c r="AQ104" s="181"/>
      <c r="AR104" s="181"/>
      <c r="AS104" s="181"/>
      <c r="AT104" s="181"/>
      <c r="AU104" s="181"/>
      <c r="AV104" s="181"/>
      <c r="AW104" s="181"/>
    </row>
    <row r="105" spans="1:49" s="30" customFormat="1" x14ac:dyDescent="0.25">
      <c r="A105" s="1407" t="str">
        <f>IF(COUNTIF('04 - 95% CD'!D105:G105,"Y")&gt;0,"Y",IF(COUNTIF('04 - 95% CD'!D105:G105,"N"),"N",""))</f>
        <v>Y</v>
      </c>
      <c r="B105" s="191"/>
      <c r="C105" s="944"/>
      <c r="D105" s="321"/>
      <c r="E105" s="466"/>
      <c r="F105" s="559" t="str">
        <f>IF('C-Design&amp;Const'!$Q105="","",'C-Design&amp;Const'!$Q105)</f>
        <v>Y</v>
      </c>
      <c r="G105" s="558"/>
      <c r="H105" s="1029" t="str">
        <f>CONCATENATE(IF(F105="N","PLACEHOLDER ROW - ",""),'C-Design&amp;Const'!Z105,IF(F105="N","",J105))</f>
        <v>Electrical - Fire Alarm System(s) **(verify existing system for renovations) (Updates to)</v>
      </c>
      <c r="I105" s="186"/>
      <c r="J105" s="578" t="str">
        <f>IF('C-Design&amp;Const'!AI105="","",'C-Design&amp;Const'!AI105)</f>
        <v xml:space="preserve"> (Updates to)</v>
      </c>
      <c r="K105" s="285" t="str">
        <f>IF((COUNTIF(D105:G105,"Y")=COUNTIF('04 - 95% CD'!A105,"Y")),"match","no 95% match")</f>
        <v>match</v>
      </c>
      <c r="L105" s="1410" t="str">
        <f t="shared" si="4"/>
        <v/>
      </c>
      <c r="M105" s="1333"/>
      <c r="N105" s="1333"/>
      <c r="O105" s="1382"/>
      <c r="P105" s="1382"/>
      <c r="Q105" s="1382"/>
      <c r="R105" s="1490"/>
      <c r="S105" s="1274"/>
      <c r="T105" s="1274"/>
      <c r="U105" s="1382"/>
      <c r="V105" s="1382"/>
      <c r="W105" s="1382"/>
      <c r="X105" s="1382"/>
      <c r="Y105" s="1382"/>
      <c r="Z105" s="1382"/>
      <c r="AA105" s="1382"/>
      <c r="AB105" s="1382"/>
      <c r="AC105" s="1382"/>
      <c r="AD105" s="1382"/>
      <c r="AE105" s="1382"/>
      <c r="AF105" s="1382"/>
      <c r="AG105" s="1382"/>
      <c r="AH105" s="1382"/>
      <c r="AI105" s="1382"/>
      <c r="AJ105" s="1382"/>
      <c r="AK105" s="181"/>
      <c r="AL105" s="181"/>
      <c r="AM105" s="181"/>
      <c r="AN105" s="181"/>
      <c r="AO105" s="181"/>
      <c r="AP105" s="181"/>
      <c r="AQ105" s="181"/>
      <c r="AR105" s="181"/>
      <c r="AS105" s="181"/>
      <c r="AT105" s="181"/>
      <c r="AU105" s="181"/>
      <c r="AV105" s="181"/>
      <c r="AW105" s="181"/>
    </row>
    <row r="106" spans="1:49" s="30" customFormat="1" ht="24.75" customHeight="1" x14ac:dyDescent="0.25">
      <c r="A106" s="1407" t="str">
        <f>IF(COUNTIF('04 - 95% CD'!D106:G106,"Y")&gt;0,"Y",IF(COUNTIF('04 - 95% CD'!D106:G106,"N"),"N",""))</f>
        <v>Y</v>
      </c>
      <c r="B106" s="191"/>
      <c r="C106" s="944"/>
      <c r="D106" s="321"/>
      <c r="E106" s="466"/>
      <c r="F106" s="559" t="str">
        <f>IF('C-Design&amp;Const'!$Q106="","",'C-Design&amp;Const'!$Q106)</f>
        <v>Y</v>
      </c>
      <c r="G106" s="558"/>
      <c r="H106" s="1029" t="str">
        <f>CONCATENATE(IF(F106="N","PLACEHOLDER ROW - ",""),'C-Design&amp;Const'!Z106,IF(F106="N","",J106))</f>
        <v>Electrical - Emergency Generator systems to support **(verify existing systems for renovations) (Updates to)</v>
      </c>
      <c r="I106" s="186"/>
      <c r="J106" s="578" t="str">
        <f>IF('C-Design&amp;Const'!AI106="","",'C-Design&amp;Const'!AI106)</f>
        <v xml:space="preserve"> (Updates to)</v>
      </c>
      <c r="K106" s="285" t="str">
        <f>IF((COUNTIF(D106:G106,"Y")=COUNTIF('04 - 95% CD'!A106,"Y")),"match","no 95% match")</f>
        <v>match</v>
      </c>
      <c r="L106" s="1410" t="str">
        <f t="shared" si="4"/>
        <v/>
      </c>
      <c r="M106" s="1333"/>
      <c r="N106" s="1333"/>
      <c r="O106" s="1382"/>
      <c r="P106" s="1382"/>
      <c r="Q106" s="1382"/>
      <c r="R106" s="1490"/>
      <c r="S106" s="1274"/>
      <c r="T106" s="1274"/>
      <c r="U106" s="1382"/>
      <c r="V106" s="1382"/>
      <c r="W106" s="1382"/>
      <c r="X106" s="1382"/>
      <c r="Y106" s="1382"/>
      <c r="Z106" s="1382"/>
      <c r="AA106" s="1382"/>
      <c r="AB106" s="1382"/>
      <c r="AC106" s="1382"/>
      <c r="AD106" s="1382"/>
      <c r="AE106" s="1382"/>
      <c r="AF106" s="1382"/>
      <c r="AG106" s="1382"/>
      <c r="AH106" s="1382"/>
      <c r="AI106" s="1382"/>
      <c r="AJ106" s="1382"/>
      <c r="AK106" s="181"/>
      <c r="AL106" s="181"/>
      <c r="AM106" s="181"/>
      <c r="AN106" s="181"/>
      <c r="AO106" s="181"/>
      <c r="AP106" s="181"/>
      <c r="AQ106" s="181"/>
      <c r="AR106" s="181"/>
      <c r="AS106" s="181"/>
      <c r="AT106" s="181"/>
      <c r="AU106" s="181"/>
      <c r="AV106" s="181"/>
      <c r="AW106" s="181"/>
    </row>
    <row r="107" spans="1:49" s="30" customFormat="1" x14ac:dyDescent="0.25">
      <c r="A107" s="1407" t="str">
        <f>IF(COUNTIF('04 - 95% CD'!D107:G107,"Y")&gt;0,"Y",IF(COUNTIF('04 - 95% CD'!D107:G107,"N"),"N",""))</f>
        <v>N</v>
      </c>
      <c r="B107" s="191"/>
      <c r="C107" s="944"/>
      <c r="D107" s="321"/>
      <c r="E107" s="466"/>
      <c r="F107" s="559" t="str">
        <f>IF('C-Design&amp;Const'!$Q107="","",'C-Design&amp;Const'!$Q107)</f>
        <v>N</v>
      </c>
      <c r="G107" s="558"/>
      <c r="H107" s="1029" t="str">
        <f>CONCATENATE(IF(F107="N","PLACEHOLDER ROW - ",""),'C-Design&amp;Const'!Z107,IF(F107="N","",J107))</f>
        <v>PLACEHOLDER ROW - Electrical - Cut Sheets or Product Sheets on Lighting fixtures</v>
      </c>
      <c r="I107" s="186"/>
      <c r="J107" s="578" t="str">
        <f>IF('C-Design&amp;Const'!AI107="","",'C-Design&amp;Const'!AI107)</f>
        <v xml:space="preserve"> (Updates to)</v>
      </c>
      <c r="K107" s="285" t="str">
        <f>IF((COUNTIF(D107:G107,"Y")=COUNTIF('04 - 95% CD'!A107,"Y")),"match","no 95% match")</f>
        <v>match</v>
      </c>
      <c r="L107" s="1410" t="str">
        <f t="shared" si="4"/>
        <v>&lt;---PM/Planner may hide PLACEHOLDER ROW</v>
      </c>
      <c r="M107" s="1333"/>
      <c r="N107" s="1333"/>
      <c r="O107" s="1382"/>
      <c r="P107" s="1382"/>
      <c r="Q107" s="1382"/>
      <c r="R107" s="1490"/>
      <c r="S107" s="1274"/>
      <c r="T107" s="1274"/>
      <c r="U107" s="1382"/>
      <c r="V107" s="1382"/>
      <c r="W107" s="1382"/>
      <c r="X107" s="1382"/>
      <c r="Y107" s="1382"/>
      <c r="Z107" s="1382"/>
      <c r="AA107" s="1382"/>
      <c r="AB107" s="1382"/>
      <c r="AC107" s="1382"/>
      <c r="AD107" s="1382"/>
      <c r="AE107" s="1382"/>
      <c r="AF107" s="1382"/>
      <c r="AG107" s="1382"/>
      <c r="AH107" s="1382"/>
      <c r="AI107" s="1382"/>
      <c r="AJ107" s="1382"/>
      <c r="AK107" s="181"/>
      <c r="AL107" s="181"/>
      <c r="AM107" s="181"/>
      <c r="AN107" s="181"/>
      <c r="AO107" s="181"/>
      <c r="AP107" s="181"/>
      <c r="AQ107" s="181"/>
      <c r="AR107" s="181"/>
      <c r="AS107" s="181"/>
      <c r="AT107" s="181"/>
      <c r="AU107" s="181"/>
      <c r="AV107" s="181"/>
      <c r="AW107" s="181"/>
    </row>
    <row r="108" spans="1:49" s="30" customFormat="1" x14ac:dyDescent="0.25">
      <c r="A108" s="1407" t="str">
        <f>IF(COUNTIF('04 - 95% CD'!D108:G108,"Y")&gt;0,"Y",IF(COUNTIF('04 - 95% CD'!D108:G108,"N"),"N",""))</f>
        <v>N</v>
      </c>
      <c r="B108" s="191"/>
      <c r="C108" s="944"/>
      <c r="D108" s="321"/>
      <c r="E108" s="466"/>
      <c r="F108" s="559" t="str">
        <f>IF('C-Design&amp;Const'!$Q108="","",'C-Design&amp;Const'!$Q108)</f>
        <v>N</v>
      </c>
      <c r="G108" s="558"/>
      <c r="H108" s="1029" t="str">
        <f>CONCATENATE(IF(F108="N","PLACEHOLDER ROW - ",""),'C-Design&amp;Const'!Z108,IF(F108="N","",J108))</f>
        <v>PLACEHOLDER ROW - Electrical - CUSTOM</v>
      </c>
      <c r="I108" s="186"/>
      <c r="J108" s="578" t="str">
        <f>IF('C-Design&amp;Const'!AI108="","",'C-Design&amp;Const'!AI108)</f>
        <v xml:space="preserve"> (Updates to)</v>
      </c>
      <c r="K108" s="285" t="str">
        <f>IF((COUNTIF(D108:G108,"Y")=COUNTIF('04 - 95% CD'!A108,"Y")),"match","no 95% match")</f>
        <v>match</v>
      </c>
      <c r="L108" s="1410" t="str">
        <f t="shared" si="4"/>
        <v>&lt;---PM/Planner may hide PLACEHOLDER ROW</v>
      </c>
      <c r="M108" s="1333"/>
      <c r="N108" s="1333"/>
      <c r="O108" s="1382"/>
      <c r="P108" s="1382"/>
      <c r="Q108" s="1382"/>
      <c r="R108" s="1490"/>
      <c r="S108" s="1274"/>
      <c r="T108" s="1274"/>
      <c r="U108" s="1382"/>
      <c r="V108" s="1382"/>
      <c r="W108" s="1382"/>
      <c r="X108" s="1382"/>
      <c r="Y108" s="1382"/>
      <c r="Z108" s="1382"/>
      <c r="AA108" s="1382"/>
      <c r="AB108" s="1382"/>
      <c r="AC108" s="1382"/>
      <c r="AD108" s="1382"/>
      <c r="AE108" s="1382"/>
      <c r="AF108" s="1382"/>
      <c r="AG108" s="1382"/>
      <c r="AH108" s="1382"/>
      <c r="AI108" s="1382"/>
      <c r="AJ108" s="1382"/>
      <c r="AK108" s="181"/>
      <c r="AL108" s="181"/>
      <c r="AM108" s="181"/>
      <c r="AN108" s="181"/>
      <c r="AO108" s="181"/>
      <c r="AP108" s="181"/>
      <c r="AQ108" s="181"/>
      <c r="AR108" s="181"/>
      <c r="AS108" s="181"/>
      <c r="AT108" s="181"/>
      <c r="AU108" s="181"/>
      <c r="AV108" s="181"/>
      <c r="AW108" s="181"/>
    </row>
    <row r="109" spans="1:49" s="30" customFormat="1" x14ac:dyDescent="0.25">
      <c r="A109" s="1407" t="str">
        <f>IF(COUNTIF('04 - 95% CD'!D109:G109,"Y")&gt;0,"Y",IF(COUNTIF('04 - 95% CD'!D109:G109,"N"),"N",""))</f>
        <v>Y</v>
      </c>
      <c r="B109" s="191"/>
      <c r="C109" s="944"/>
      <c r="D109" s="321"/>
      <c r="E109" s="466"/>
      <c r="F109" s="559" t="str">
        <f>IF('C-Design&amp;Const'!$Q109="","",'C-Design&amp;Const'!$Q109)</f>
        <v>Y</v>
      </c>
      <c r="G109" s="558"/>
      <c r="H109" s="1029" t="str">
        <f>CONCATENATE(IF(F109="N","PLACEHOLDER ROW - ",""),'C-Design&amp;Const'!Z109,IF(F109="N","",J109))</f>
        <v>Building Automation Systems- General - **(verify existing system for renovations) (Updates to)</v>
      </c>
      <c r="I109" s="186"/>
      <c r="J109" s="578" t="str">
        <f>IF('C-Design&amp;Const'!AI109="","",'C-Design&amp;Const'!AI109)</f>
        <v xml:space="preserve"> (Updates to)</v>
      </c>
      <c r="K109" s="285" t="str">
        <f>IF((COUNTIF(D109:G109,"Y")=COUNTIF('04 - 95% CD'!A109,"Y")),"match","no 95% match")</f>
        <v>match</v>
      </c>
      <c r="L109" s="1410" t="str">
        <f>CONCATENATE(IF(ISNUMBER(SEARCH("Placeholder",H109))=TRUE,"&lt;---PM/Planner may hide PLACEHOLDER ROW",""))</f>
        <v/>
      </c>
      <c r="M109" s="1333"/>
      <c r="N109" s="1333"/>
      <c r="O109" s="1382"/>
      <c r="P109" s="1382"/>
      <c r="Q109" s="1382"/>
      <c r="R109" s="1490"/>
      <c r="S109" s="1274"/>
      <c r="T109" s="1274"/>
      <c r="U109" s="1382"/>
      <c r="V109" s="1382"/>
      <c r="W109" s="1382"/>
      <c r="X109" s="1382"/>
      <c r="Y109" s="1382"/>
      <c r="Z109" s="1382"/>
      <c r="AA109" s="1382"/>
      <c r="AB109" s="1382"/>
      <c r="AC109" s="1382"/>
      <c r="AD109" s="1382"/>
      <c r="AE109" s="1382"/>
      <c r="AF109" s="1382"/>
      <c r="AG109" s="1382"/>
      <c r="AH109" s="1382"/>
      <c r="AI109" s="1382"/>
      <c r="AJ109" s="1382"/>
      <c r="AK109" s="181"/>
      <c r="AL109" s="181"/>
      <c r="AM109" s="181"/>
      <c r="AN109" s="181"/>
      <c r="AO109" s="181"/>
      <c r="AP109" s="181"/>
      <c r="AQ109" s="181"/>
      <c r="AR109" s="181"/>
      <c r="AS109" s="181"/>
      <c r="AT109" s="181"/>
      <c r="AU109" s="181"/>
      <c r="AV109" s="181"/>
      <c r="AW109" s="181"/>
    </row>
    <row r="110" spans="1:49" s="545" customFormat="1" x14ac:dyDescent="0.25">
      <c r="A110" s="1407" t="str">
        <f>IF(COUNTIF('04 - 95% CD'!D110:G110,"Y")&gt;0,"Y",IF(COUNTIF('04 - 95% CD'!D110:G110,"N"),"N",""))</f>
        <v>Y</v>
      </c>
      <c r="B110" s="554"/>
      <c r="C110" s="944"/>
      <c r="D110" s="321"/>
      <c r="E110" s="466"/>
      <c r="F110" s="559" t="str">
        <f>IF('C-Design&amp;Const'!$Q110="","",'C-Design&amp;Const'!$Q110)</f>
        <v>Y</v>
      </c>
      <c r="G110" s="558"/>
      <c r="H110" s="1029" t="str">
        <f>CONCATENATE(IF(F110="N","PLACEHOLDER ROW - ",""),'C-Design&amp;Const'!Z110,IF(F110="N","",J110))</f>
        <v>Building Automation Systems - Demolition(s) (Updates to)</v>
      </c>
      <c r="I110" s="186"/>
      <c r="J110" s="578" t="str">
        <f>IF('C-Design&amp;Const'!AI110="","",'C-Design&amp;Const'!AI110)</f>
        <v xml:space="preserve"> (Updates to)</v>
      </c>
      <c r="K110" s="285" t="str">
        <f>IF((COUNTIF(D110:G110,"Y")=COUNTIF('04 - 95% CD'!A110,"Y")),"match","no 95% match")</f>
        <v>match</v>
      </c>
      <c r="L110" s="1410" t="str">
        <f t="shared" ref="L110" si="5">CONCATENATE(IF(ISNUMBER(SEARCH("Placeholder",H110))=TRUE,"&lt;---PM/Planner may hide PLACEHOLDER ROW",""))</f>
        <v/>
      </c>
      <c r="M110" s="1333"/>
      <c r="N110" s="1382"/>
      <c r="O110" s="1382"/>
      <c r="P110" s="1382"/>
      <c r="Q110" s="1382"/>
      <c r="R110" s="1490"/>
      <c r="S110" s="1274"/>
      <c r="T110" s="1274"/>
      <c r="U110" s="1382"/>
      <c r="V110" s="1382"/>
      <c r="W110" s="1382"/>
      <c r="X110" s="1382"/>
      <c r="Y110" s="1382"/>
      <c r="Z110" s="1382"/>
      <c r="AA110" s="1382"/>
      <c r="AB110" s="1382"/>
      <c r="AC110" s="1382"/>
      <c r="AD110" s="1382"/>
      <c r="AE110" s="1382"/>
      <c r="AF110" s="1382"/>
      <c r="AG110" s="1382"/>
      <c r="AH110" s="1382"/>
      <c r="AI110" s="1382"/>
      <c r="AJ110" s="1382"/>
      <c r="AK110" s="551"/>
      <c r="AL110" s="551"/>
      <c r="AM110" s="551"/>
      <c r="AN110" s="551"/>
      <c r="AO110" s="551"/>
      <c r="AP110" s="551"/>
      <c r="AQ110" s="551"/>
      <c r="AR110" s="551"/>
      <c r="AS110" s="551"/>
      <c r="AT110" s="551"/>
      <c r="AU110" s="551"/>
      <c r="AV110" s="551"/>
      <c r="AW110" s="551"/>
    </row>
    <row r="111" spans="1:49" s="30" customFormat="1" x14ac:dyDescent="0.25">
      <c r="A111" s="1407" t="str">
        <f>IF(COUNTIF('04 - 95% CD'!D111:G111,"Y")&gt;0,"Y",IF(COUNTIF('04 - 95% CD'!D111:G111,"N"),"N",""))</f>
        <v>Y</v>
      </c>
      <c r="B111" s="191"/>
      <c r="C111" s="944"/>
      <c r="D111" s="321"/>
      <c r="E111" s="466"/>
      <c r="F111" s="559" t="str">
        <f>IF('C-Design&amp;Const'!$Q111="","",'C-Design&amp;Const'!$Q111)</f>
        <v>Y</v>
      </c>
      <c r="G111" s="558"/>
      <c r="H111" s="1029" t="str">
        <f>CONCATENATE(IF(F111="N","PLACEHOLDER ROW - ",""),'C-Design&amp;Const'!Z111,IF(F111="N","",J111))</f>
        <v>Building Automation Systems - Systems Network Architecture (Updates to)</v>
      </c>
      <c r="I111" s="186"/>
      <c r="J111" s="578" t="str">
        <f>IF('C-Design&amp;Const'!AI111="","",'C-Design&amp;Const'!AI111)</f>
        <v xml:space="preserve"> (Updates to)</v>
      </c>
      <c r="K111" s="285" t="str">
        <f>IF((COUNTIF(D111:G111,"Y")=COUNTIF('04 - 95% CD'!A111,"Y")),"match","no 95% match")</f>
        <v>match</v>
      </c>
      <c r="L111" s="1410" t="str">
        <f>CONCATENATE(IF(ISNUMBER(SEARCH("Placeholder",H111))=TRUE,"&lt;---PM/Planner may hide PLACEHOLDER ROW",""))</f>
        <v/>
      </c>
      <c r="M111" s="1333"/>
      <c r="N111" s="1333"/>
      <c r="O111" s="1382"/>
      <c r="P111" s="1382"/>
      <c r="Q111" s="1382"/>
      <c r="R111" s="1490"/>
      <c r="S111" s="1274"/>
      <c r="T111" s="1274"/>
      <c r="U111" s="1382"/>
      <c r="V111" s="1382"/>
      <c r="W111" s="1382"/>
      <c r="X111" s="1382"/>
      <c r="Y111" s="1382"/>
      <c r="Z111" s="1382"/>
      <c r="AA111" s="1382"/>
      <c r="AB111" s="1382"/>
      <c r="AC111" s="1382"/>
      <c r="AD111" s="1382"/>
      <c r="AE111" s="1382"/>
      <c r="AF111" s="1382"/>
      <c r="AG111" s="1382"/>
      <c r="AH111" s="1382"/>
      <c r="AI111" s="1382"/>
      <c r="AJ111" s="1382"/>
      <c r="AK111" s="181"/>
      <c r="AL111" s="181"/>
      <c r="AM111" s="181"/>
      <c r="AN111" s="181"/>
      <c r="AO111" s="181"/>
      <c r="AP111" s="181"/>
      <c r="AQ111" s="181"/>
      <c r="AR111" s="181"/>
      <c r="AS111" s="181"/>
      <c r="AT111" s="181"/>
      <c r="AU111" s="181"/>
      <c r="AV111" s="181"/>
      <c r="AW111" s="181"/>
    </row>
    <row r="112" spans="1:49" s="30" customFormat="1" ht="13.5" customHeight="1" x14ac:dyDescent="0.25">
      <c r="A112" s="1407" t="str">
        <f>IF(COUNTIF('04 - 95% CD'!D112:G112,"Y")&gt;0,"Y",IF(COUNTIF('04 - 95% CD'!D112:G112,"N"),"N",""))</f>
        <v>Y</v>
      </c>
      <c r="B112" s="191"/>
      <c r="C112" s="944"/>
      <c r="D112" s="321"/>
      <c r="E112" s="466"/>
      <c r="F112" s="559" t="str">
        <f>IF('C-Design&amp;Const'!$Q112="","",'C-Design&amp;Const'!$Q112)</f>
        <v>Y</v>
      </c>
      <c r="G112" s="558"/>
      <c r="H112" s="1029" t="str">
        <f>CONCATENATE(IF(F112="N","PLACEHOLDER ROW - ",""),'C-Design&amp;Const'!Z112,IF(F112="N","",J112))</f>
        <v>Building Automation Systems - HVAC Temperature Controls System(s) (Updates to)</v>
      </c>
      <c r="I112" s="186"/>
      <c r="J112" s="578" t="str">
        <f>IF('C-Design&amp;Const'!AI112="","",'C-Design&amp;Const'!AI112)</f>
        <v xml:space="preserve"> (Updates to)</v>
      </c>
      <c r="K112" s="285" t="str">
        <f>IF((COUNTIF(D112:G112,"Y")=COUNTIF('04 - 95% CD'!A112,"Y")),"match","no 95% match")</f>
        <v>match</v>
      </c>
      <c r="L112" s="1410" t="str">
        <f>CONCATENATE(IF(ISNUMBER(SEARCH("Placeholder",H112))=TRUE,"&lt;---PM/Planner may hide PLACEHOLDER ROW",""))</f>
        <v/>
      </c>
      <c r="M112" s="1333"/>
      <c r="N112" s="1333"/>
      <c r="O112" s="1382"/>
      <c r="P112" s="1382"/>
      <c r="Q112" s="1382"/>
      <c r="R112" s="1490"/>
      <c r="S112" s="1274"/>
      <c r="T112" s="1274"/>
      <c r="U112" s="1382"/>
      <c r="V112" s="1382"/>
      <c r="W112" s="1382"/>
      <c r="X112" s="1382"/>
      <c r="Y112" s="1382"/>
      <c r="Z112" s="1382"/>
      <c r="AA112" s="1382"/>
      <c r="AB112" s="1382"/>
      <c r="AC112" s="1382"/>
      <c r="AD112" s="1382"/>
      <c r="AE112" s="1382"/>
      <c r="AF112" s="1382"/>
      <c r="AG112" s="1382"/>
      <c r="AH112" s="1382"/>
      <c r="AI112" s="1382"/>
      <c r="AJ112" s="1382"/>
      <c r="AK112" s="181"/>
      <c r="AL112" s="181"/>
      <c r="AM112" s="181"/>
      <c r="AN112" s="181"/>
      <c r="AO112" s="181"/>
      <c r="AP112" s="181"/>
      <c r="AQ112" s="181"/>
      <c r="AR112" s="181"/>
      <c r="AS112" s="181"/>
      <c r="AT112" s="181"/>
      <c r="AU112" s="181"/>
      <c r="AV112" s="181"/>
      <c r="AW112" s="181"/>
    </row>
    <row r="113" spans="1:50" s="30" customFormat="1" ht="15" customHeight="1" x14ac:dyDescent="0.25">
      <c r="A113" s="1407" t="str">
        <f>IF(COUNTIF('04 - 95% CD'!D113:G113,"Y")&gt;0,"Y",IF(COUNTIF('04 - 95% CD'!D113:G113,"N"),"N",""))</f>
        <v>N</v>
      </c>
      <c r="B113" s="191"/>
      <c r="C113" s="944"/>
      <c r="D113" s="463"/>
      <c r="E113" s="467"/>
      <c r="F113" s="559" t="str">
        <f>IF('C-Design&amp;Const'!$Q113="","",'C-Design&amp;Const'!$Q113)</f>
        <v>N</v>
      </c>
      <c r="G113" s="291"/>
      <c r="H113" s="1029" t="str">
        <f>CONCATENATE(IF(F113="N","PLACEHOLDER ROW - ",""),'C-Design&amp;Const'!Z113,IF(F113="N","",J113))</f>
        <v>PLACEHOLDER ROW - Building Automation Systems - CUSTOM</v>
      </c>
      <c r="I113" s="184"/>
      <c r="J113" s="578" t="str">
        <f>IF('C-Design&amp;Const'!AI113="","",'C-Design&amp;Const'!AI113)</f>
        <v xml:space="preserve"> (Updates to)</v>
      </c>
      <c r="K113" s="285" t="str">
        <f>IF((COUNTIF(D113:G113,"Y")=COUNTIF('04 - 95% CD'!A113,"Y")),"match","no 95% match")</f>
        <v>match</v>
      </c>
      <c r="L113" s="1410" t="str">
        <f>CONCATENATE(IF(ISNUMBER(SEARCH("Placeholder",H113))=TRUE,"&lt;---PM/Planner may hide PLACEHOLDER ROW",""))</f>
        <v>&lt;---PM/Planner may hide PLACEHOLDER ROW</v>
      </c>
      <c r="M113" s="1333"/>
      <c r="N113" s="1333"/>
      <c r="O113" s="1382"/>
      <c r="P113" s="1382"/>
      <c r="Q113" s="1382"/>
      <c r="R113" s="1382"/>
      <c r="S113" s="1382"/>
      <c r="T113" s="1382"/>
      <c r="U113" s="1382"/>
      <c r="V113" s="1382"/>
      <c r="W113" s="1382"/>
      <c r="X113" s="1382"/>
      <c r="Y113" s="1382"/>
      <c r="Z113" s="1382"/>
      <c r="AA113" s="1382"/>
      <c r="AB113" s="1382"/>
      <c r="AC113" s="1382"/>
      <c r="AD113" s="1382"/>
      <c r="AE113" s="1382"/>
      <c r="AF113" s="1382"/>
      <c r="AG113" s="1382"/>
      <c r="AH113" s="1382"/>
      <c r="AI113" s="1382"/>
      <c r="AJ113" s="1382"/>
      <c r="AK113" s="181"/>
      <c r="AL113" s="181"/>
      <c r="AM113" s="181"/>
      <c r="AN113" s="181"/>
      <c r="AO113" s="181"/>
      <c r="AP113" s="181"/>
      <c r="AQ113" s="181"/>
      <c r="AR113" s="181"/>
      <c r="AS113" s="181"/>
      <c r="AT113" s="181"/>
      <c r="AU113" s="181"/>
      <c r="AV113" s="181"/>
      <c r="AW113" s="181"/>
    </row>
    <row r="114" spans="1:50" s="30" customFormat="1" ht="15" customHeight="1" x14ac:dyDescent="0.25">
      <c r="A114" s="1407" t="str">
        <f>IF(COUNTIF('04 - 95% CD'!D114:G114,"Y")&gt;0,"Y",IF(COUNTIF('04 - 95% CD'!D114:G114,"N"),"N",""))</f>
        <v>Y</v>
      </c>
      <c r="B114" s="191"/>
      <c r="C114" s="944"/>
      <c r="D114" s="463"/>
      <c r="E114" s="467"/>
      <c r="F114" s="559" t="str">
        <f>IF('C-Design&amp;Const'!$Q114="","",'C-Design&amp;Const'!$Q114)</f>
        <v>Y</v>
      </c>
      <c r="G114" s="291"/>
      <c r="H114" s="361" t="str">
        <f>CONCATENATE(IF(F114="N","PLACEHOLDER ROW - ",""),'C-Design&amp;Const'!Z114,IF(F114="N","",J114))</f>
        <v>Access Controls - General Systems (Updates to)</v>
      </c>
      <c r="I114" s="184"/>
      <c r="J114" s="578" t="str">
        <f>IF('C-Design&amp;Const'!AI114="","",'C-Design&amp;Const'!AI114)</f>
        <v xml:space="preserve"> (Updates to)</v>
      </c>
      <c r="K114" s="285" t="str">
        <f>IF((COUNTIF(D114:G114,"Y")=COUNTIF('04 - 95% CD'!A114,"Y")),"match","no 95% match")</f>
        <v>match</v>
      </c>
      <c r="L114" s="1410" t="str">
        <f>CONCATENATE(IF(ISNUMBER(SEARCH("Placeholder",H114))=TRUE,"&lt;---PM/Planner may hide PLACEHOLDER ROW",""))</f>
        <v/>
      </c>
      <c r="M114" s="1333"/>
      <c r="N114" s="1333"/>
      <c r="O114" s="1382"/>
      <c r="P114" s="1382"/>
      <c r="Q114" s="1382"/>
      <c r="R114" s="1382"/>
      <c r="S114" s="1382"/>
      <c r="T114" s="1382"/>
      <c r="U114" s="1382"/>
      <c r="V114" s="1382"/>
      <c r="W114" s="1382"/>
      <c r="X114" s="1382"/>
      <c r="Y114" s="1382"/>
      <c r="Z114" s="1382"/>
      <c r="AA114" s="1382"/>
      <c r="AB114" s="1382"/>
      <c r="AC114" s="1382"/>
      <c r="AD114" s="1382"/>
      <c r="AE114" s="1382"/>
      <c r="AF114" s="1382"/>
      <c r="AG114" s="1382"/>
      <c r="AH114" s="1382"/>
      <c r="AI114" s="1382"/>
      <c r="AJ114" s="1382"/>
      <c r="AK114" s="181"/>
      <c r="AL114" s="181"/>
      <c r="AM114" s="181"/>
      <c r="AN114" s="181"/>
      <c r="AO114" s="181"/>
      <c r="AP114" s="181"/>
      <c r="AQ114" s="181"/>
      <c r="AR114" s="181"/>
      <c r="AS114" s="181"/>
      <c r="AT114" s="181"/>
      <c r="AU114" s="181"/>
      <c r="AV114" s="181"/>
      <c r="AW114" s="181"/>
    </row>
    <row r="115" spans="1:50" s="545" customFormat="1" x14ac:dyDescent="0.25">
      <c r="A115" s="1407" t="str">
        <f>IF(COUNTIF('04 - 95% CD'!D115:G115,"Y")&gt;0,"Y",IF(COUNTIF('04 - 95% CD'!D115:G115,"N"),"N",""))</f>
        <v>Y</v>
      </c>
      <c r="B115" s="554"/>
      <c r="C115" s="944"/>
      <c r="D115" s="321"/>
      <c r="E115" s="466"/>
      <c r="F115" s="559" t="str">
        <f>IF('C-Design&amp;Const'!$Q115="","",'C-Design&amp;Const'!$Q115)</f>
        <v>Y</v>
      </c>
      <c r="G115" s="558"/>
      <c r="H115" s="1029" t="str">
        <f>CONCATENATE(IF(F115="N","PLACEHOLDER ROW - ",""),'C-Design&amp;Const'!Z115,IF(F115="N","",J115))</f>
        <v>Access Controls - Demolition(s) (Updates to)</v>
      </c>
      <c r="I115" s="186"/>
      <c r="J115" s="578" t="str">
        <f>IF('C-Design&amp;Const'!AI115="","",'C-Design&amp;Const'!AI115)</f>
        <v xml:space="preserve"> (Updates to)</v>
      </c>
      <c r="K115" s="285" t="str">
        <f>IF((COUNTIF(D115:G115,"Y")=COUNTIF('04 - 95% CD'!A115,"Y")),"match","no 95% match")</f>
        <v>match</v>
      </c>
      <c r="L115" s="1410" t="str">
        <f t="shared" ref="L115" si="6">CONCATENATE(IF(ISNUMBER(SEARCH("Placeholder",H115))=TRUE,"&lt;---PM/Planner may hide PLACEHOLDER ROW",""))</f>
        <v/>
      </c>
      <c r="M115" s="1333"/>
      <c r="N115" s="1382"/>
      <c r="O115" s="1382"/>
      <c r="P115" s="1382"/>
      <c r="Q115" s="1382"/>
      <c r="R115" s="1490"/>
      <c r="S115" s="1274"/>
      <c r="T115" s="1274"/>
      <c r="U115" s="1382"/>
      <c r="V115" s="1382"/>
      <c r="W115" s="1382"/>
      <c r="X115" s="1382"/>
      <c r="Y115" s="1382"/>
      <c r="Z115" s="1382"/>
      <c r="AA115" s="1382"/>
      <c r="AB115" s="1382"/>
      <c r="AC115" s="1382"/>
      <c r="AD115" s="1382"/>
      <c r="AE115" s="1382"/>
      <c r="AF115" s="1382"/>
      <c r="AG115" s="1382"/>
      <c r="AH115" s="1382"/>
      <c r="AI115" s="1382"/>
      <c r="AJ115" s="1382"/>
      <c r="AK115" s="551"/>
      <c r="AL115" s="551"/>
      <c r="AM115" s="551"/>
      <c r="AN115" s="551"/>
      <c r="AO115" s="551"/>
      <c r="AP115" s="551"/>
      <c r="AQ115" s="551"/>
      <c r="AR115" s="551"/>
      <c r="AS115" s="551"/>
      <c r="AT115" s="551"/>
      <c r="AU115" s="551"/>
      <c r="AV115" s="551"/>
      <c r="AW115" s="551"/>
    </row>
    <row r="116" spans="1:50" s="30" customFormat="1" x14ac:dyDescent="0.25">
      <c r="A116" s="1407" t="str">
        <f>IF(COUNTIF('04 - 95% CD'!D116:G116,"Y")&gt;0,"Y",IF(COUNTIF('04 - 95% CD'!D116:G116,"N"),"N",""))</f>
        <v>N</v>
      </c>
      <c r="B116" s="191"/>
      <c r="C116" s="944"/>
      <c r="D116" s="321"/>
      <c r="E116" s="466"/>
      <c r="F116" s="559" t="str">
        <f>IF('C-Design&amp;Const'!$Q116="","",'C-Design&amp;Const'!$Q116)</f>
        <v>N</v>
      </c>
      <c r="G116" s="558"/>
      <c r="H116" s="1029" t="str">
        <f>CONCATENATE(IF(F116="N","PLACEHOLDER ROW - ",""),'C-Design&amp;Const'!Z116,IF(F116="N","",J116))</f>
        <v>PLACEHOLDER ROW - Access Controls - CUSTOM</v>
      </c>
      <c r="I116" s="186"/>
      <c r="J116" s="578" t="str">
        <f>IF('C-Design&amp;Const'!AI117="","",'C-Design&amp;Const'!AI117)</f>
        <v xml:space="preserve"> (Updates to)</v>
      </c>
      <c r="K116" s="285" t="str">
        <f>IF((COUNTIF(D116:G116,"Y")=COUNTIF('04 - 95% CD'!A116,"Y")),"match","no 95% match")</f>
        <v>match</v>
      </c>
      <c r="L116" s="1410" t="str">
        <f t="shared" si="4"/>
        <v>&lt;---PM/Planner may hide PLACEHOLDER ROW</v>
      </c>
      <c r="M116" s="1333"/>
      <c r="N116" s="1333"/>
      <c r="O116" s="1382"/>
      <c r="P116" s="1382"/>
      <c r="Q116" s="1382"/>
      <c r="R116" s="1490"/>
      <c r="S116" s="1274"/>
      <c r="T116" s="1274"/>
      <c r="U116" s="1382"/>
      <c r="V116" s="1382"/>
      <c r="W116" s="1382"/>
      <c r="X116" s="1382"/>
      <c r="Y116" s="1382"/>
      <c r="Z116" s="1382"/>
      <c r="AA116" s="1382"/>
      <c r="AB116" s="1382"/>
      <c r="AC116" s="1382"/>
      <c r="AD116" s="1382"/>
      <c r="AE116" s="1382"/>
      <c r="AF116" s="1382"/>
      <c r="AG116" s="1382"/>
      <c r="AH116" s="1382"/>
      <c r="AI116" s="1382"/>
      <c r="AJ116" s="1382"/>
      <c r="AK116" s="181"/>
      <c r="AL116" s="181"/>
      <c r="AM116" s="181"/>
      <c r="AN116" s="181"/>
      <c r="AO116" s="181"/>
      <c r="AP116" s="181"/>
      <c r="AQ116" s="181"/>
      <c r="AR116" s="181"/>
      <c r="AS116" s="181"/>
      <c r="AT116" s="181"/>
      <c r="AU116" s="181"/>
      <c r="AV116" s="181"/>
      <c r="AW116" s="181"/>
    </row>
    <row r="117" spans="1:50" s="30" customFormat="1" x14ac:dyDescent="0.25">
      <c r="A117" s="1407" t="str">
        <f>IF(COUNTIF('04 - 95% CD'!D117:G117,"Y")&gt;0,"Y",IF(COUNTIF('04 - 95% CD'!D117:G117,"N"),"N",""))</f>
        <v>Y</v>
      </c>
      <c r="B117" s="191"/>
      <c r="C117" s="944"/>
      <c r="D117" s="321"/>
      <c r="E117" s="466"/>
      <c r="F117" s="559" t="str">
        <f>IF('C-Design&amp;Const'!$Q117="","",'C-Design&amp;Const'!$Q117)</f>
        <v>Y</v>
      </c>
      <c r="G117" s="558"/>
      <c r="H117" s="1029" t="str">
        <f>CONCATENATE(IF(F117="N","PLACEHOLDER ROW - ",""),'C-Design&amp;Const'!Z117,IF(F117="N","",J117))</f>
        <v>Telecom - General Systems  (Updates to)</v>
      </c>
      <c r="I117" s="186"/>
      <c r="J117" s="578" t="str">
        <f>IF('C-Design&amp;Const'!AI119="","",'C-Design&amp;Const'!AI119)</f>
        <v xml:space="preserve"> (Updates to)</v>
      </c>
      <c r="K117" s="285" t="str">
        <f>IF((COUNTIF(D117:G117,"Y")=COUNTIF('04 - 95% CD'!A117,"Y")),"match","no 95% match")</f>
        <v>match</v>
      </c>
      <c r="L117" s="1410" t="str">
        <f t="shared" si="4"/>
        <v/>
      </c>
      <c r="M117" s="1333"/>
      <c r="N117" s="1333"/>
      <c r="O117" s="1382"/>
      <c r="P117" s="1382"/>
      <c r="Q117" s="1382"/>
      <c r="R117" s="1490"/>
      <c r="S117" s="1274"/>
      <c r="T117" s="1274"/>
      <c r="U117" s="1382"/>
      <c r="V117" s="1382"/>
      <c r="W117" s="1382"/>
      <c r="X117" s="1382"/>
      <c r="Y117" s="1382"/>
      <c r="Z117" s="1382"/>
      <c r="AA117" s="1382"/>
      <c r="AB117" s="1382"/>
      <c r="AC117" s="1382"/>
      <c r="AD117" s="1382"/>
      <c r="AE117" s="1382"/>
      <c r="AF117" s="1382"/>
      <c r="AG117" s="1382"/>
      <c r="AH117" s="1382"/>
      <c r="AI117" s="1382"/>
      <c r="AJ117" s="1382"/>
      <c r="AK117" s="181"/>
      <c r="AL117" s="181"/>
      <c r="AM117" s="181"/>
      <c r="AN117" s="181"/>
      <c r="AO117" s="181"/>
      <c r="AP117" s="181"/>
      <c r="AQ117" s="181"/>
      <c r="AR117" s="181"/>
      <c r="AS117" s="181"/>
      <c r="AT117" s="181"/>
      <c r="AU117" s="181"/>
      <c r="AV117" s="181"/>
      <c r="AW117" s="181"/>
    </row>
    <row r="118" spans="1:50" s="545" customFormat="1" x14ac:dyDescent="0.25">
      <c r="A118" s="1407" t="str">
        <f>IF(COUNTIF('04 - 95% CD'!D118:G118,"Y")&gt;0,"Y",IF(COUNTIF('04 - 95% CD'!D118:G118,"N"),"N",""))</f>
        <v>Y</v>
      </c>
      <c r="B118" s="554"/>
      <c r="C118" s="944"/>
      <c r="D118" s="321"/>
      <c r="E118" s="466"/>
      <c r="F118" s="559" t="str">
        <f>IF('C-Design&amp;Const'!$Q118="","",'C-Design&amp;Const'!$Q118)</f>
        <v>Y</v>
      </c>
      <c r="G118" s="558"/>
      <c r="H118" s="1029" t="str">
        <f>CONCATENATE(IF(F118="N","PLACEHOLDER ROW - ",""),'C-Design&amp;Const'!Z118,IF(F118="N","",J118))</f>
        <v>Telecom - Demolition(s) (Updates to)</v>
      </c>
      <c r="I118" s="186"/>
      <c r="J118" s="578" t="str">
        <f>IF('C-Design&amp;Const'!AI118="","",'C-Design&amp;Const'!AI118)</f>
        <v xml:space="preserve"> (Updates to)</v>
      </c>
      <c r="K118" s="285" t="str">
        <f>IF((COUNTIF(D118:G118,"Y")=COUNTIF('04 - 95% CD'!A118,"Y")),"match","no 95% match")</f>
        <v>match</v>
      </c>
      <c r="L118" s="1410" t="str">
        <f t="shared" si="4"/>
        <v/>
      </c>
      <c r="M118" s="1333"/>
      <c r="N118" s="1382"/>
      <c r="O118" s="1382"/>
      <c r="P118" s="1382"/>
      <c r="Q118" s="1382"/>
      <c r="R118" s="1490"/>
      <c r="S118" s="1274"/>
      <c r="T118" s="1274"/>
      <c r="U118" s="1382"/>
      <c r="V118" s="1382"/>
      <c r="W118" s="1382"/>
      <c r="X118" s="1382"/>
      <c r="Y118" s="1382"/>
      <c r="Z118" s="1382"/>
      <c r="AA118" s="1382"/>
      <c r="AB118" s="1382"/>
      <c r="AC118" s="1382"/>
      <c r="AD118" s="1382"/>
      <c r="AE118" s="1382"/>
      <c r="AF118" s="1382"/>
      <c r="AG118" s="1382"/>
      <c r="AH118" s="1382"/>
      <c r="AI118" s="1382"/>
      <c r="AJ118" s="1382"/>
      <c r="AK118" s="551"/>
      <c r="AL118" s="551"/>
      <c r="AM118" s="551"/>
      <c r="AN118" s="551"/>
      <c r="AO118" s="551"/>
      <c r="AP118" s="551"/>
      <c r="AQ118" s="551"/>
      <c r="AR118" s="551"/>
      <c r="AS118" s="551"/>
      <c r="AT118" s="551"/>
      <c r="AU118" s="551"/>
      <c r="AV118" s="551"/>
      <c r="AW118" s="551"/>
    </row>
    <row r="119" spans="1:50" s="30" customFormat="1" x14ac:dyDescent="0.25">
      <c r="A119" s="1407" t="str">
        <f>IF(COUNTIF('04 - 95% CD'!D119:G119,"Y")&gt;0,"Y",IF(COUNTIF('04 - 95% CD'!D119:G119,"N"),"N",""))</f>
        <v>N</v>
      </c>
      <c r="B119" s="191"/>
      <c r="C119" s="944"/>
      <c r="D119" s="321"/>
      <c r="E119" s="466"/>
      <c r="F119" s="559" t="str">
        <f>IF('C-Design&amp;Const'!$Q119="","",'C-Design&amp;Const'!$Q119)</f>
        <v>N</v>
      </c>
      <c r="G119" s="558"/>
      <c r="H119" s="1029" t="str">
        <f>CONCATENATE(IF(F119="N","PLACEHOLDER ROW - ",""),'C-Design&amp;Const'!Z119,IF(F119="N","",J119))</f>
        <v>PLACEHOLDER ROW - Telecom - CUSTOM</v>
      </c>
      <c r="I119" s="186"/>
      <c r="J119" s="578" t="str">
        <f>IF('C-Design&amp;Const'!AI120="","",'C-Design&amp;Const'!AI120)</f>
        <v xml:space="preserve"> (Updates to)</v>
      </c>
      <c r="K119" s="285" t="str">
        <f>IF((COUNTIF(D119:G119,"Y")=COUNTIF('04 - 95% CD'!A119,"Y")),"match","no 95% match")</f>
        <v>match</v>
      </c>
      <c r="L119" s="1410" t="str">
        <f t="shared" si="4"/>
        <v>&lt;---PM/Planner may hide PLACEHOLDER ROW</v>
      </c>
      <c r="M119" s="1333"/>
      <c r="N119" s="1333"/>
      <c r="O119" s="1382"/>
      <c r="P119" s="1382"/>
      <c r="Q119" s="1382"/>
      <c r="R119" s="1490"/>
      <c r="S119" s="1274"/>
      <c r="T119" s="1274"/>
      <c r="U119" s="1382"/>
      <c r="V119" s="1382"/>
      <c r="W119" s="1382"/>
      <c r="X119" s="1382"/>
      <c r="Y119" s="1382"/>
      <c r="Z119" s="1382"/>
      <c r="AA119" s="1382"/>
      <c r="AB119" s="1382"/>
      <c r="AC119" s="1382"/>
      <c r="AD119" s="1382"/>
      <c r="AE119" s="1382"/>
      <c r="AF119" s="1382"/>
      <c r="AG119" s="1382"/>
      <c r="AH119" s="1382"/>
      <c r="AI119" s="1382"/>
      <c r="AJ119" s="1382"/>
      <c r="AK119" s="181"/>
      <c r="AL119" s="181"/>
      <c r="AM119" s="181"/>
      <c r="AN119" s="181"/>
      <c r="AO119" s="181"/>
      <c r="AP119" s="181"/>
      <c r="AQ119" s="181"/>
      <c r="AR119" s="181"/>
      <c r="AS119" s="181"/>
      <c r="AT119" s="181"/>
      <c r="AU119" s="181"/>
      <c r="AV119" s="181"/>
      <c r="AW119" s="181"/>
    </row>
    <row r="120" spans="1:50" s="30" customFormat="1" x14ac:dyDescent="0.25">
      <c r="A120" s="1407" t="str">
        <f>IF(COUNTIF('04 - 95% CD'!D120:G120,"Y")&gt;0,"Y",IF(COUNTIF('04 - 95% CD'!D120:G120,"N"),"N",""))</f>
        <v>Y</v>
      </c>
      <c r="B120" s="191"/>
      <c r="C120" s="944"/>
      <c r="D120" s="321"/>
      <c r="E120" s="466"/>
      <c r="F120" s="559" t="str">
        <f>IF('C-Design&amp;Const'!$Q120="","",'C-Design&amp;Const'!$Q120)</f>
        <v>Y</v>
      </c>
      <c r="G120" s="558"/>
      <c r="H120" s="1029" t="str">
        <f>CONCATENATE(IF(F120="N","PLACEHOLDER ROW - ",""),'C-Design&amp;Const'!Z120,IF(F120="N","",J120))</f>
        <v>Audio Visual - General Systems (Updates to)</v>
      </c>
      <c r="I120" s="186"/>
      <c r="J120" s="578" t="str">
        <f>IF('C-Design&amp;Const'!AI122="","",'C-Design&amp;Const'!AI122)</f>
        <v xml:space="preserve"> (Updates to)</v>
      </c>
      <c r="K120" s="285" t="str">
        <f>IF((COUNTIF(D120:G120,"Y")=COUNTIF('04 - 95% CD'!A120,"Y")),"match","no 95% match")</f>
        <v>match</v>
      </c>
      <c r="L120" s="1410" t="str">
        <f t="shared" si="4"/>
        <v/>
      </c>
      <c r="M120" s="1333"/>
      <c r="N120" s="1333"/>
      <c r="O120" s="1382"/>
      <c r="P120" s="1382"/>
      <c r="Q120" s="1382"/>
      <c r="R120" s="1490"/>
      <c r="S120" s="1274"/>
      <c r="T120" s="1274"/>
      <c r="U120" s="1382"/>
      <c r="V120" s="1382"/>
      <c r="W120" s="1382"/>
      <c r="X120" s="1382"/>
      <c r="Y120" s="1382"/>
      <c r="Z120" s="1382"/>
      <c r="AA120" s="1382"/>
      <c r="AB120" s="1382"/>
      <c r="AC120" s="1382"/>
      <c r="AD120" s="1382"/>
      <c r="AE120" s="1382"/>
      <c r="AF120" s="1382"/>
      <c r="AG120" s="1382"/>
      <c r="AH120" s="1382"/>
      <c r="AI120" s="1382"/>
      <c r="AJ120" s="1382"/>
      <c r="AK120" s="181"/>
      <c r="AL120" s="181"/>
      <c r="AM120" s="181"/>
      <c r="AN120" s="181"/>
      <c r="AO120" s="181"/>
      <c r="AP120" s="181"/>
      <c r="AQ120" s="181"/>
      <c r="AR120" s="181"/>
      <c r="AS120" s="181"/>
      <c r="AT120" s="181"/>
      <c r="AU120" s="181"/>
      <c r="AV120" s="181"/>
      <c r="AW120" s="181"/>
    </row>
    <row r="121" spans="1:50" s="545" customFormat="1" x14ac:dyDescent="0.25">
      <c r="A121" s="1407" t="str">
        <f>IF(COUNTIF('04 - 95% CD'!D121:G121,"Y")&gt;0,"Y",IF(COUNTIF('04 - 95% CD'!D121:G121,"N"),"N",""))</f>
        <v>Y</v>
      </c>
      <c r="B121" s="554"/>
      <c r="C121" s="944"/>
      <c r="D121" s="321"/>
      <c r="E121" s="466"/>
      <c r="F121" s="559" t="str">
        <f>IF('C-Design&amp;Const'!$Q121="","",'C-Design&amp;Const'!$Q121)</f>
        <v>Y</v>
      </c>
      <c r="G121" s="558"/>
      <c r="H121" s="1029" t="str">
        <f>CONCATENATE(IF(F121="N","PLACEHOLDER ROW - ",""),'C-Design&amp;Const'!Z121,IF(F121="N","",J121))</f>
        <v>Audio Visual - Demolition(s) (Updates to)</v>
      </c>
      <c r="I121" s="186"/>
      <c r="J121" s="578" t="str">
        <f>IF('C-Design&amp;Const'!AI121="","",'C-Design&amp;Const'!AI121)</f>
        <v xml:space="preserve"> (Updates to)</v>
      </c>
      <c r="K121" s="285" t="str">
        <f>IF((COUNTIF(D121:G121,"Y")=COUNTIF('04 - 95% CD'!A121,"Y")),"match","no 95% match")</f>
        <v>match</v>
      </c>
      <c r="L121" s="1410" t="str">
        <f t="shared" ref="L121" si="7">CONCATENATE(IF(ISNUMBER(SEARCH("Placeholder",H121))=TRUE,"&lt;---PM/Planner may hide PLACEHOLDER ROW",""))</f>
        <v/>
      </c>
      <c r="M121" s="1333"/>
      <c r="N121" s="1382"/>
      <c r="O121" s="1382"/>
      <c r="P121" s="1382"/>
      <c r="Q121" s="1382"/>
      <c r="R121" s="1490"/>
      <c r="S121" s="1274"/>
      <c r="T121" s="1274"/>
      <c r="U121" s="1382"/>
      <c r="V121" s="1382"/>
      <c r="W121" s="1382"/>
      <c r="X121" s="1382"/>
      <c r="Y121" s="1382"/>
      <c r="Z121" s="1382"/>
      <c r="AA121" s="1382"/>
      <c r="AB121" s="1382"/>
      <c r="AC121" s="1382"/>
      <c r="AD121" s="1382"/>
      <c r="AE121" s="1382"/>
      <c r="AF121" s="1382"/>
      <c r="AG121" s="1382"/>
      <c r="AH121" s="1382"/>
      <c r="AI121" s="1382"/>
      <c r="AJ121" s="1382"/>
      <c r="AK121" s="551"/>
      <c r="AL121" s="551"/>
      <c r="AM121" s="551"/>
      <c r="AN121" s="551"/>
      <c r="AO121" s="551"/>
      <c r="AP121" s="551"/>
      <c r="AQ121" s="551"/>
      <c r="AR121" s="551"/>
      <c r="AS121" s="551"/>
      <c r="AT121" s="551"/>
      <c r="AU121" s="551"/>
      <c r="AV121" s="551"/>
      <c r="AW121" s="551"/>
    </row>
    <row r="122" spans="1:50" s="30" customFormat="1" ht="15" customHeight="1" x14ac:dyDescent="0.25">
      <c r="A122" s="1407" t="str">
        <f>IF(COUNTIF('04 - 95% CD'!D122:G122,"Y")&gt;0,"Y",IF(COUNTIF('04 - 95% CD'!D122:G122,"N"),"N",""))</f>
        <v>N</v>
      </c>
      <c r="B122" s="191"/>
      <c r="C122" s="944"/>
      <c r="D122" s="463"/>
      <c r="E122" s="467"/>
      <c r="F122" s="559" t="str">
        <f>IF('C-Design&amp;Const'!$Q122="","",'C-Design&amp;Const'!$Q122)</f>
        <v>N</v>
      </c>
      <c r="G122" s="291"/>
      <c r="H122" s="1029" t="str">
        <f>CONCATENATE(IF(F122="N","PLACEHOLDER ROW - ",""),'C-Design&amp;Const'!Z122,IF(F122="N","",J122))</f>
        <v>PLACEHOLDER ROW - Audio Visual - CUSTOM</v>
      </c>
      <c r="I122" s="184"/>
      <c r="J122" s="578" t="str">
        <f>IF('C-Design&amp;Const'!AI116="","",'C-Design&amp;Const'!AI116)</f>
        <v xml:space="preserve"> (Updates to)</v>
      </c>
      <c r="K122" s="285" t="str">
        <f>IF((COUNTIF(D122:G122,"Y")=COUNTIF('04 - 95% CD'!A122,"Y")),"match","no 95% match")</f>
        <v>match</v>
      </c>
      <c r="L122" s="1410" t="str">
        <f t="shared" si="4"/>
        <v>&lt;---PM/Planner may hide PLACEHOLDER ROW</v>
      </c>
      <c r="M122" s="1333"/>
      <c r="N122" s="1333"/>
      <c r="O122" s="1382"/>
      <c r="P122" s="1382"/>
      <c r="Q122" s="1382"/>
      <c r="R122" s="1382"/>
      <c r="S122" s="1382"/>
      <c r="T122" s="1382"/>
      <c r="U122" s="1382"/>
      <c r="V122" s="1382"/>
      <c r="W122" s="1382"/>
      <c r="X122" s="1382"/>
      <c r="Y122" s="1382"/>
      <c r="Z122" s="1382"/>
      <c r="AA122" s="1382"/>
      <c r="AB122" s="1382"/>
      <c r="AC122" s="1382"/>
      <c r="AD122" s="1382"/>
      <c r="AE122" s="1382"/>
      <c r="AF122" s="1382"/>
      <c r="AG122" s="1382"/>
      <c r="AH122" s="1382"/>
      <c r="AI122" s="1382"/>
      <c r="AJ122" s="1382"/>
      <c r="AK122" s="181"/>
      <c r="AL122" s="181"/>
      <c r="AM122" s="181"/>
      <c r="AN122" s="181"/>
      <c r="AO122" s="181"/>
      <c r="AP122" s="181"/>
      <c r="AQ122" s="181"/>
      <c r="AR122" s="181"/>
      <c r="AS122" s="181"/>
      <c r="AT122" s="181"/>
      <c r="AU122" s="181"/>
      <c r="AV122" s="181"/>
      <c r="AW122" s="181"/>
    </row>
    <row r="123" spans="1:50" s="30" customFormat="1" ht="15" customHeight="1" x14ac:dyDescent="0.25">
      <c r="A123" s="1407" t="str">
        <f>IF(COUNTIF('04 - 95% CD'!D123:G123,"Y")&gt;0,"Y",IF(COUNTIF('04 - 95% CD'!D123:G123,"N"),"N",""))</f>
        <v>N</v>
      </c>
      <c r="B123" s="191"/>
      <c r="C123" s="944"/>
      <c r="D123" s="463"/>
      <c r="E123" s="467"/>
      <c r="F123" s="559" t="str">
        <f>IF('C-Design&amp;Const'!$Q123="","",'C-Design&amp;Const'!$Q123)</f>
        <v>N</v>
      </c>
      <c r="G123" s="291"/>
      <c r="H123" s="1029" t="str">
        <f>CONCATENATE(IF(F123="N","PLACEHOLDER ROW - ",""),'C-Design&amp;Const'!Z123,IF(F123="N","",J123))</f>
        <v>PLACEHOLDER ROW - CUSTOM ROW - OPTIONAL CLIENT ITEM</v>
      </c>
      <c r="I123" s="184"/>
      <c r="J123" s="578" t="str">
        <f>IF('C-Design&amp;Const'!AI123="","",'C-Design&amp;Const'!AI123)</f>
        <v xml:space="preserve"> (Updates to)</v>
      </c>
      <c r="K123" s="285" t="str">
        <f>IF((COUNTIF(D123:G123,"Y")=COUNTIF('04 - 95% CD'!A123,"Y")),"match","no 95% match")</f>
        <v>match</v>
      </c>
      <c r="L123" s="1410" t="str">
        <f t="shared" si="4"/>
        <v>&lt;---PM/Planner may hide PLACEHOLDER ROW</v>
      </c>
      <c r="M123" s="1333"/>
      <c r="N123" s="1333"/>
      <c r="O123" s="1382"/>
      <c r="P123" s="1382"/>
      <c r="Q123" s="1382"/>
      <c r="R123" s="1382"/>
      <c r="S123" s="1382"/>
      <c r="T123" s="1382"/>
      <c r="U123" s="1382"/>
      <c r="V123" s="1382"/>
      <c r="W123" s="1382"/>
      <c r="X123" s="1382"/>
      <c r="Y123" s="1382"/>
      <c r="Z123" s="1382"/>
      <c r="AA123" s="1382"/>
      <c r="AB123" s="1382"/>
      <c r="AC123" s="1382"/>
      <c r="AD123" s="1382"/>
      <c r="AE123" s="1382"/>
      <c r="AF123" s="1382"/>
      <c r="AG123" s="1382"/>
      <c r="AH123" s="1382"/>
      <c r="AI123" s="1382"/>
      <c r="AJ123" s="1382"/>
      <c r="AK123" s="181"/>
      <c r="AL123" s="181"/>
      <c r="AM123" s="181"/>
      <c r="AN123" s="181"/>
      <c r="AO123" s="181"/>
      <c r="AP123" s="181"/>
      <c r="AQ123" s="181"/>
      <c r="AR123" s="181"/>
      <c r="AS123" s="181"/>
      <c r="AT123" s="181"/>
      <c r="AU123" s="181"/>
      <c r="AV123" s="181"/>
      <c r="AW123" s="181"/>
    </row>
    <row r="124" spans="1:50" s="30" customFormat="1" ht="15" customHeight="1" x14ac:dyDescent="0.25">
      <c r="A124" s="1407" t="str">
        <f>IF(COUNTIF('04 - 95% CD'!D124:G124,"Y")&gt;0,"Y",IF(COUNTIF('04 - 95% CD'!D124:G124,"N"),"N",""))</f>
        <v>N</v>
      </c>
      <c r="B124" s="191"/>
      <c r="C124" s="944"/>
      <c r="D124" s="463"/>
      <c r="E124" s="467"/>
      <c r="F124" s="559" t="str">
        <f>IF('C-Design&amp;Const'!$Q124="","",'C-Design&amp;Const'!$Q124)</f>
        <v>N</v>
      </c>
      <c r="G124" s="291"/>
      <c r="H124" s="1029" t="str">
        <f>'04 - 95% CD'!H124</f>
        <v>PLACEHOLDER ROW - CUSTOM ROW - OPTIONAL CLIENT ITEM</v>
      </c>
      <c r="I124" s="184"/>
      <c r="J124" s="578" t="str">
        <f>IF('C-Design&amp;Const'!AI124="","",'C-Design&amp;Const'!AI124)</f>
        <v xml:space="preserve"> (Updates to)</v>
      </c>
      <c r="K124" s="285" t="str">
        <f>IF((COUNTIF(D124:G124,"Y")=COUNTIF('04 - 95% CD'!A124,"Y")),"match","no 95% match")</f>
        <v>match</v>
      </c>
      <c r="L124" s="1410" t="str">
        <f t="shared" si="4"/>
        <v>&lt;---PM/Planner may hide PLACEHOLDER ROW</v>
      </c>
      <c r="M124" s="1333"/>
      <c r="N124" s="1333"/>
      <c r="O124" s="1382"/>
      <c r="P124" s="1382"/>
      <c r="Q124" s="1382"/>
      <c r="R124" s="1382"/>
      <c r="S124" s="1382"/>
      <c r="T124" s="1382"/>
      <c r="U124" s="1382"/>
      <c r="V124" s="1382"/>
      <c r="W124" s="1382"/>
      <c r="X124" s="1382"/>
      <c r="Y124" s="1382"/>
      <c r="Z124" s="1382"/>
      <c r="AA124" s="1382"/>
      <c r="AB124" s="1382"/>
      <c r="AC124" s="1382"/>
      <c r="AD124" s="1382"/>
      <c r="AE124" s="1382"/>
      <c r="AF124" s="1382"/>
      <c r="AG124" s="1382"/>
      <c r="AH124" s="1382"/>
      <c r="AI124" s="1382"/>
      <c r="AJ124" s="1382"/>
      <c r="AK124" s="181"/>
      <c r="AL124" s="181"/>
      <c r="AM124" s="181"/>
      <c r="AN124" s="181"/>
      <c r="AO124" s="181"/>
      <c r="AP124" s="181"/>
      <c r="AQ124" s="181"/>
      <c r="AR124" s="181"/>
      <c r="AS124" s="181"/>
      <c r="AT124" s="181"/>
      <c r="AU124" s="181"/>
      <c r="AV124" s="181"/>
      <c r="AW124" s="181"/>
    </row>
    <row r="125" spans="1:50" s="17" customFormat="1" x14ac:dyDescent="0.25">
      <c r="A125" s="1516" t="str">
        <f>IF(COUNTIF('04 - 95% CD'!D125:G125,"Y")&gt;0,"Y",IF(COUNTIF('04 - 95% CD'!D125:G125,"N"),"N",""))</f>
        <v/>
      </c>
      <c r="B125" s="141"/>
      <c r="C125" s="944"/>
      <c r="D125" s="411"/>
      <c r="E125" s="411"/>
      <c r="F125" s="321"/>
      <c r="G125" s="294"/>
      <c r="H125" s="296"/>
      <c r="I125" s="130"/>
      <c r="J125" s="578" t="str">
        <f>IF('C-Design&amp;Const'!AI125="","",'C-Design&amp;Const'!AI125)</f>
        <v/>
      </c>
      <c r="K125" s="285" t="str">
        <f>IF((COUNTIF(D125:G125,"Y")=COUNTIF('04 - 95% CD'!A125,"Y")),"match","no 95% match")</f>
        <v>match</v>
      </c>
      <c r="L125" s="1410" t="str">
        <f t="shared" si="4"/>
        <v/>
      </c>
      <c r="M125" s="1333"/>
      <c r="N125" s="1333"/>
      <c r="O125" s="1333"/>
      <c r="P125" s="1333"/>
      <c r="Q125" s="1333"/>
      <c r="R125" s="1446"/>
      <c r="S125" s="1364"/>
      <c r="T125" s="1333"/>
      <c r="U125" s="1333"/>
      <c r="V125" s="1333"/>
      <c r="W125" s="1333"/>
      <c r="X125" s="1333"/>
      <c r="Y125" s="1333"/>
      <c r="Z125" s="1333"/>
      <c r="AA125" s="1333"/>
      <c r="AB125" s="1333"/>
      <c r="AC125" s="1333"/>
      <c r="AD125" s="1333"/>
      <c r="AE125" s="1333"/>
      <c r="AF125" s="1333"/>
      <c r="AG125" s="1333"/>
      <c r="AH125" s="1333"/>
      <c r="AI125" s="1333"/>
      <c r="AJ125" s="1333"/>
    </row>
    <row r="126" spans="1:50" s="181" customFormat="1" ht="18.75" x14ac:dyDescent="0.25">
      <c r="A126" s="1501" t="str">
        <f>IF(COUNTIF('04 - 95% CD'!D126:G126,"Y")&gt;0,"Y",IF(COUNTIF('04 - 95% CD'!D126:G126,"N"),"N",""))</f>
        <v>Y</v>
      </c>
      <c r="B126" s="177"/>
      <c r="C126" s="944"/>
      <c r="D126" s="559" t="str">
        <f>IF('C-Design&amp;Const'!$Q126="","",'C-Design&amp;Const'!$Q126)</f>
        <v>Y</v>
      </c>
      <c r="E126" s="234"/>
      <c r="F126" s="235"/>
      <c r="G126" s="291" t="str">
        <f>IF('C-Design&amp;Const'!Y126="","",'C-Design&amp;Const'!Y126)</f>
        <v>04b.</v>
      </c>
      <c r="H126" s="290" t="str">
        <f>CONCATENATE('C-Design&amp;Const'!Z126,IF(D126="N"," Not Used In This Construction Phase",J126))</f>
        <v>Project Applicable Information / Calculations - Updated</v>
      </c>
      <c r="I126" s="180"/>
      <c r="J126" s="578" t="str">
        <f>IF('C-Design&amp;Const'!AI126="","",'C-Design&amp;Const'!AI126)</f>
        <v xml:space="preserve"> - Updated</v>
      </c>
      <c r="K126" s="285" t="str">
        <f>IF((COUNTIF(D126:G126,"Y")=COUNTIF('04 - 95% CD'!A126,"Y")),"match","no 95% match")</f>
        <v>match</v>
      </c>
      <c r="L126" s="1410" t="str">
        <f t="shared" si="4"/>
        <v/>
      </c>
      <c r="M126" s="1382"/>
      <c r="N126" s="1382"/>
      <c r="O126" s="1382"/>
      <c r="P126" s="1382"/>
      <c r="Q126" s="1382"/>
      <c r="R126" s="1447"/>
      <c r="S126" s="1448"/>
      <c r="T126" s="1470"/>
      <c r="U126" s="1382"/>
      <c r="V126" s="1382"/>
      <c r="W126" s="1382"/>
      <c r="X126" s="1382"/>
      <c r="Y126" s="1382"/>
      <c r="Z126" s="1382"/>
      <c r="AA126" s="1382"/>
      <c r="AB126" s="1382"/>
      <c r="AC126" s="1382"/>
      <c r="AD126" s="1382"/>
      <c r="AE126" s="1382"/>
      <c r="AF126" s="1382"/>
      <c r="AG126" s="1382"/>
      <c r="AH126" s="1382"/>
      <c r="AI126" s="1382"/>
      <c r="AJ126" s="1382"/>
      <c r="AX126" s="30"/>
    </row>
    <row r="127" spans="1:50" s="30" customFormat="1" ht="15" customHeight="1" x14ac:dyDescent="0.25">
      <c r="A127" s="1407" t="str">
        <f>IF(COUNTIF('04 - 95% CD'!D127:G127,"Y")&gt;0,"Y",IF(COUNTIF('04 - 95% CD'!D127:G127,"N"),"N",""))</f>
        <v>Y</v>
      </c>
      <c r="B127" s="191"/>
      <c r="C127" s="944"/>
      <c r="D127" s="463"/>
      <c r="E127" s="559" t="str">
        <f>IF('C-Design&amp;Const'!$Q127="","",'C-Design&amp;Const'!$Q127)</f>
        <v>Y</v>
      </c>
      <c r="F127" s="235"/>
      <c r="G127" s="291"/>
      <c r="H127" s="340" t="str">
        <f>CONCATENATE(IF(E127="N","PLACEHOLDER ROW - ",""),IF(E127="N","",J127),'C-Design&amp;Const'!Z127,)</f>
        <v>(Updates to) Occupancy calculations between existing and proposed; breaking down the FTE</v>
      </c>
      <c r="I127" s="184"/>
      <c r="J127" s="578" t="str">
        <f>IF('C-Design&amp;Const'!AI127="","",'C-Design&amp;Const'!AI127)</f>
        <v xml:space="preserve">(Updates to) </v>
      </c>
      <c r="K127" s="285" t="str">
        <f>IF((COUNTIF(D127:G127,"Y")=COUNTIF('04 - 95% CD'!A127,"Y")),"match","no 95% match")</f>
        <v>match</v>
      </c>
      <c r="L127" s="1410" t="str">
        <f t="shared" si="4"/>
        <v/>
      </c>
      <c r="M127" s="1382"/>
      <c r="N127" s="1382"/>
      <c r="O127" s="1382"/>
      <c r="P127" s="1382"/>
      <c r="Q127" s="1382"/>
      <c r="R127" s="1382"/>
      <c r="S127" s="1382"/>
      <c r="T127" s="1382"/>
      <c r="U127" s="1382"/>
      <c r="V127" s="1382"/>
      <c r="W127" s="1382"/>
      <c r="X127" s="1382"/>
      <c r="Y127" s="1382"/>
      <c r="Z127" s="1382"/>
      <c r="AA127" s="1382"/>
      <c r="AB127" s="1382"/>
      <c r="AC127" s="1382"/>
      <c r="AD127" s="1382"/>
      <c r="AE127" s="1382"/>
      <c r="AF127" s="1382"/>
      <c r="AG127" s="1382"/>
      <c r="AH127" s="1382"/>
      <c r="AI127" s="1382"/>
      <c r="AJ127" s="1382"/>
      <c r="AK127" s="181"/>
      <c r="AL127" s="181"/>
      <c r="AM127" s="181"/>
      <c r="AN127" s="181"/>
      <c r="AO127" s="181"/>
      <c r="AP127" s="181"/>
      <c r="AQ127" s="181"/>
      <c r="AR127" s="181"/>
      <c r="AS127" s="181"/>
      <c r="AT127" s="181"/>
      <c r="AU127" s="181"/>
      <c r="AV127" s="181"/>
      <c r="AW127" s="181"/>
    </row>
    <row r="128" spans="1:50" s="30" customFormat="1" ht="15" customHeight="1" x14ac:dyDescent="0.25">
      <c r="A128" s="1407" t="str">
        <f>IF(COUNTIF('04 - 95% CD'!D128:G128,"Y")&gt;0,"Y",IF(COUNTIF('04 - 95% CD'!D128:G128,"N"),"N",""))</f>
        <v>N</v>
      </c>
      <c r="B128" s="191"/>
      <c r="C128" s="944"/>
      <c r="D128" s="463"/>
      <c r="E128" s="559" t="str">
        <f>IF('C-Design&amp;Const'!$Q128="","",'C-Design&amp;Const'!$Q128)</f>
        <v>N</v>
      </c>
      <c r="F128" s="235"/>
      <c r="G128" s="291"/>
      <c r="H128" s="358" t="str">
        <f>CONCATENATE(IF(E128="N","PLACEHOLDER ROW - ",""),IF(E128="N","",J128),'C-Design&amp;Const'!Z128,)</f>
        <v>PLACEHOLDER ROW - Soil Borings and Soils Report</v>
      </c>
      <c r="I128" s="184"/>
      <c r="J128" s="578" t="str">
        <f>IF('C-Design&amp;Const'!AI128="","",'C-Design&amp;Const'!AI128)</f>
        <v xml:space="preserve">(Complete) </v>
      </c>
      <c r="K128" s="285" t="str">
        <f>IF((COUNTIF(D128:G128,"Y")=COUNTIF('04 - 95% CD'!A128,"Y")),"match","no 95% match")</f>
        <v>match</v>
      </c>
      <c r="L128" s="1410" t="str">
        <f t="shared" si="4"/>
        <v>&lt;---PM/Planner may hide PLACEHOLDER ROW</v>
      </c>
      <c r="M128" s="1382"/>
      <c r="N128" s="1382"/>
      <c r="O128" s="1382"/>
      <c r="P128" s="1382"/>
      <c r="Q128" s="1382"/>
      <c r="R128" s="1382"/>
      <c r="S128" s="1382"/>
      <c r="T128" s="1382"/>
      <c r="U128" s="1382"/>
      <c r="V128" s="1382"/>
      <c r="W128" s="1382"/>
      <c r="X128" s="1382"/>
      <c r="Y128" s="1382"/>
      <c r="Z128" s="1382"/>
      <c r="AA128" s="1382"/>
      <c r="AB128" s="1382"/>
      <c r="AC128" s="1382"/>
      <c r="AD128" s="1382"/>
      <c r="AE128" s="1382"/>
      <c r="AF128" s="1382"/>
      <c r="AG128" s="1382"/>
      <c r="AH128" s="1382"/>
      <c r="AI128" s="1382"/>
      <c r="AJ128" s="1382"/>
      <c r="AK128" s="181"/>
      <c r="AL128" s="181"/>
      <c r="AM128" s="181"/>
      <c r="AN128" s="181"/>
      <c r="AO128" s="181"/>
      <c r="AP128" s="181"/>
      <c r="AQ128" s="181"/>
      <c r="AR128" s="181"/>
      <c r="AS128" s="181"/>
      <c r="AT128" s="181"/>
      <c r="AU128" s="181"/>
      <c r="AV128" s="181"/>
      <c r="AW128" s="181"/>
    </row>
    <row r="129" spans="1:49" s="30" customFormat="1" ht="15" customHeight="1" x14ac:dyDescent="0.25">
      <c r="A129" s="1407" t="str">
        <f>IF(COUNTIF('04 - 95% CD'!D129:G129,"Y")&gt;0,"Y",IF(COUNTIF('04 - 95% CD'!D129:G129,"N"),"N",""))</f>
        <v>Y</v>
      </c>
      <c r="B129" s="191"/>
      <c r="C129" s="944"/>
      <c r="D129" s="463"/>
      <c r="E129" s="559" t="str">
        <f>IF('C-Design&amp;Const'!$Q129="","",'C-Design&amp;Const'!$Q129)</f>
        <v>Y</v>
      </c>
      <c r="F129" s="235"/>
      <c r="G129" s="291"/>
      <c r="H129" s="340" t="str">
        <f>CONCATENATE(IF(E129="N","PLACEHOLDER ROW - ",""),IF(E129="N","",J129),'C-Design&amp;Const'!Z129,)</f>
        <v>(Updates to) Stormwater Runoff Rate Calculation/Model Results and Water Detention</v>
      </c>
      <c r="I129" s="184"/>
      <c r="J129" s="578" t="str">
        <f>IF('C-Design&amp;Const'!AI129="","",'C-Design&amp;Const'!AI129)</f>
        <v xml:space="preserve">(Updates to) </v>
      </c>
      <c r="K129" s="285" t="str">
        <f>IF((COUNTIF(D129:G129,"Y")=COUNTIF('04 - 95% CD'!A129,"Y")),"match","no 95% match")</f>
        <v>match</v>
      </c>
      <c r="L129" s="1410" t="str">
        <f t="shared" si="4"/>
        <v/>
      </c>
      <c r="M129" s="1382"/>
      <c r="N129" s="1382"/>
      <c r="O129" s="1382"/>
      <c r="P129" s="1382"/>
      <c r="Q129" s="1382"/>
      <c r="R129" s="1382"/>
      <c r="S129" s="1382"/>
      <c r="T129" s="1382"/>
      <c r="U129" s="1382"/>
      <c r="V129" s="1382"/>
      <c r="W129" s="1382"/>
      <c r="X129" s="1382"/>
      <c r="Y129" s="1382"/>
      <c r="Z129" s="1382"/>
      <c r="AA129" s="1382"/>
      <c r="AB129" s="1382"/>
      <c r="AC129" s="1382"/>
      <c r="AD129" s="1382"/>
      <c r="AE129" s="1382"/>
      <c r="AF129" s="1382"/>
      <c r="AG129" s="1382"/>
      <c r="AH129" s="1382"/>
      <c r="AI129" s="1382"/>
      <c r="AJ129" s="1382"/>
      <c r="AK129" s="181"/>
      <c r="AL129" s="181"/>
      <c r="AM129" s="181"/>
      <c r="AN129" s="181"/>
      <c r="AO129" s="181"/>
      <c r="AP129" s="181"/>
      <c r="AQ129" s="181"/>
      <c r="AR129" s="181"/>
      <c r="AS129" s="181"/>
      <c r="AT129" s="181"/>
      <c r="AU129" s="181"/>
      <c r="AV129" s="181"/>
      <c r="AW129" s="181"/>
    </row>
    <row r="130" spans="1:49" s="30" customFormat="1" ht="15" customHeight="1" x14ac:dyDescent="0.25">
      <c r="A130" s="1407" t="str">
        <f>IF(COUNTIF('04 - 95% CD'!D130:G130,"Y")&gt;0,"Y",IF(COUNTIF('04 - 95% CD'!D130:G130,"N"),"N",""))</f>
        <v>Y</v>
      </c>
      <c r="B130" s="191"/>
      <c r="C130" s="944"/>
      <c r="D130" s="463"/>
      <c r="E130" s="559" t="str">
        <f>IF('C-Design&amp;Const'!$Q130="","",'C-Design&amp;Const'!$Q130)</f>
        <v>Y</v>
      </c>
      <c r="F130" s="235"/>
      <c r="G130" s="291"/>
      <c r="H130" s="340" t="str">
        <f>CONCATENATE(IF(E130="N","PLACEHOLDER ROW - ",""),IF(E130="N","",J130),'C-Design&amp;Const'!Z130,)</f>
        <v>(Updates to) Asbestos and Lead Survey and Recommendations</v>
      </c>
      <c r="I130" s="184"/>
      <c r="J130" s="578" t="str">
        <f>IF('C-Design&amp;Const'!AI130="","",'C-Design&amp;Const'!AI130)</f>
        <v xml:space="preserve">(Updates to) </v>
      </c>
      <c r="K130" s="285" t="str">
        <f>IF((COUNTIF(D130:G130,"Y")=COUNTIF('04 - 95% CD'!A130,"Y")),"match","no 95% match")</f>
        <v>match</v>
      </c>
      <c r="L130" s="1410" t="str">
        <f t="shared" si="4"/>
        <v/>
      </c>
      <c r="M130" s="1382"/>
      <c r="N130" s="1382"/>
      <c r="O130" s="1382"/>
      <c r="P130" s="1382"/>
      <c r="Q130" s="1382"/>
      <c r="R130" s="1382"/>
      <c r="S130" s="1382"/>
      <c r="T130" s="1382"/>
      <c r="U130" s="1382"/>
      <c r="V130" s="1382"/>
      <c r="W130" s="1382"/>
      <c r="X130" s="1382"/>
      <c r="Y130" s="1382"/>
      <c r="Z130" s="1382"/>
      <c r="AA130" s="1382"/>
      <c r="AB130" s="1382"/>
      <c r="AC130" s="1382"/>
      <c r="AD130" s="1382"/>
      <c r="AE130" s="1382"/>
      <c r="AF130" s="1382"/>
      <c r="AG130" s="1382"/>
      <c r="AH130" s="1382"/>
      <c r="AI130" s="1382"/>
      <c r="AJ130" s="1382"/>
      <c r="AK130" s="181"/>
      <c r="AL130" s="181"/>
      <c r="AM130" s="181"/>
      <c r="AN130" s="181"/>
      <c r="AO130" s="181"/>
      <c r="AP130" s="181"/>
      <c r="AQ130" s="181"/>
      <c r="AR130" s="181"/>
      <c r="AS130" s="181"/>
      <c r="AT130" s="181"/>
      <c r="AU130" s="181"/>
      <c r="AV130" s="181"/>
      <c r="AW130" s="181"/>
    </row>
    <row r="131" spans="1:49" s="30" customFormat="1" ht="17.25" customHeight="1" x14ac:dyDescent="0.25">
      <c r="A131" s="1407" t="str">
        <f>IF(COUNTIF('04 - 95% CD'!D131:G131,"Y")&gt;0,"Y",IF(COUNTIF('04 - 95% CD'!D131:G131,"N"),"N",""))</f>
        <v>N</v>
      </c>
      <c r="B131" s="191"/>
      <c r="C131" s="944"/>
      <c r="D131" s="463"/>
      <c r="E131" s="559" t="str">
        <f>IF('C-Design&amp;Const'!$Q131="","",'C-Design&amp;Const'!$Q131)</f>
        <v>N</v>
      </c>
      <c r="F131" s="235"/>
      <c r="G131" s="291"/>
      <c r="H131" s="358" t="str">
        <f>CONCATENATE(IF(E131="N","PLACEHOLDER ROW - ",""),IF(E131="N","",J131),'C-Design&amp;Const'!Z131,)</f>
        <v>PLACEHOLDER ROW - Results of Hazardous Materials Testing and Hazardous Materials Mediation Plan</v>
      </c>
      <c r="I131" s="184"/>
      <c r="J131" s="578" t="str">
        <f>IF('C-Design&amp;Const'!AI131="","",'C-Design&amp;Const'!AI131)</f>
        <v/>
      </c>
      <c r="K131" s="285" t="str">
        <f>IF((COUNTIF(D131:G131,"Y")=COUNTIF('04 - 95% CD'!A131,"Y")),"match","no 95% match")</f>
        <v>match</v>
      </c>
      <c r="L131" s="1410" t="str">
        <f t="shared" si="4"/>
        <v>&lt;---PM/Planner may hide PLACEHOLDER ROW</v>
      </c>
      <c r="M131" s="1382"/>
      <c r="N131" s="1382"/>
      <c r="O131" s="1382"/>
      <c r="P131" s="1382"/>
      <c r="Q131" s="1382"/>
      <c r="R131" s="1382"/>
      <c r="S131" s="1382"/>
      <c r="T131" s="1382"/>
      <c r="U131" s="1382"/>
      <c r="V131" s="1382"/>
      <c r="W131" s="1382"/>
      <c r="X131" s="1382"/>
      <c r="Y131" s="1382"/>
      <c r="Z131" s="1382"/>
      <c r="AA131" s="1382"/>
      <c r="AB131" s="1382"/>
      <c r="AC131" s="1382"/>
      <c r="AD131" s="1382"/>
      <c r="AE131" s="1382"/>
      <c r="AF131" s="1382"/>
      <c r="AG131" s="1382"/>
      <c r="AH131" s="1382"/>
      <c r="AI131" s="1382"/>
      <c r="AJ131" s="1382"/>
      <c r="AK131" s="181"/>
      <c r="AL131" s="181"/>
      <c r="AM131" s="181"/>
      <c r="AN131" s="181"/>
      <c r="AO131" s="181"/>
      <c r="AP131" s="181"/>
      <c r="AQ131" s="181"/>
      <c r="AR131" s="181"/>
      <c r="AS131" s="181"/>
      <c r="AT131" s="181"/>
      <c r="AU131" s="181"/>
      <c r="AV131" s="181"/>
      <c r="AW131" s="181"/>
    </row>
    <row r="132" spans="1:49" s="30" customFormat="1" ht="15" customHeight="1" x14ac:dyDescent="0.25">
      <c r="A132" s="1407" t="str">
        <f>IF(COUNTIF('04 - 95% CD'!D132:G132,"Y")&gt;0,"Y",IF(COUNTIF('04 - 95% CD'!D132:G132,"N"),"N",""))</f>
        <v>N</v>
      </c>
      <c r="B132" s="191"/>
      <c r="C132" s="944"/>
      <c r="D132" s="463"/>
      <c r="E132" s="559" t="str">
        <f>IF('C-Design&amp;Const'!$Q132="","",'C-Design&amp;Const'!$Q132)</f>
        <v>N</v>
      </c>
      <c r="F132" s="235"/>
      <c r="G132" s="291"/>
      <c r="H132" s="358" t="str">
        <f>CONCATENATE(IF(E132="N","PLACEHOLDER ROW - ",""),IF(E132="N","",J132),'C-Design&amp;Const'!Z132,)</f>
        <v>PLACEHOLDER ROW - EPA &amp; State Permits (including but not limited to SWPPP)</v>
      </c>
      <c r="I132" s="184"/>
      <c r="J132" s="578" t="str">
        <f>IF('C-Design&amp;Const'!AI132="","",'C-Design&amp;Const'!AI132)</f>
        <v/>
      </c>
      <c r="K132" s="285" t="str">
        <f>IF((COUNTIF(D132:G132,"Y")=COUNTIF('04 - 95% CD'!A132,"Y")),"match","no 95% match")</f>
        <v>match</v>
      </c>
      <c r="L132" s="1410" t="str">
        <f t="shared" si="4"/>
        <v>&lt;---PM/Planner may hide PLACEHOLDER ROW</v>
      </c>
      <c r="M132" s="1382"/>
      <c r="N132" s="1382"/>
      <c r="O132" s="1382"/>
      <c r="P132" s="1382"/>
      <c r="Q132" s="1382"/>
      <c r="R132" s="1382"/>
      <c r="S132" s="1382"/>
      <c r="T132" s="1382"/>
      <c r="U132" s="1382"/>
      <c r="V132" s="1382"/>
      <c r="W132" s="1382"/>
      <c r="X132" s="1382"/>
      <c r="Y132" s="1382"/>
      <c r="Z132" s="1382"/>
      <c r="AA132" s="1382"/>
      <c r="AB132" s="1382"/>
      <c r="AC132" s="1382"/>
      <c r="AD132" s="1382"/>
      <c r="AE132" s="1382"/>
      <c r="AF132" s="1382"/>
      <c r="AG132" s="1382"/>
      <c r="AH132" s="1382"/>
      <c r="AI132" s="1382"/>
      <c r="AJ132" s="1382"/>
      <c r="AK132" s="181"/>
      <c r="AL132" s="181"/>
      <c r="AM132" s="181"/>
      <c r="AN132" s="181"/>
      <c r="AO132" s="181"/>
      <c r="AP132" s="181"/>
      <c r="AQ132" s="181"/>
      <c r="AR132" s="181"/>
      <c r="AS132" s="181"/>
      <c r="AT132" s="181"/>
      <c r="AU132" s="181"/>
      <c r="AV132" s="181"/>
      <c r="AW132" s="181"/>
    </row>
    <row r="133" spans="1:49" s="30" customFormat="1" ht="15" customHeight="1" x14ac:dyDescent="0.25">
      <c r="A133" s="1407" t="str">
        <f>IF(COUNTIF('04 - 95% CD'!D133:G133,"Y")&gt;0,"Y",IF(COUNTIF('04 - 95% CD'!D133:G133,"N"),"N",""))</f>
        <v>Y</v>
      </c>
      <c r="B133" s="191"/>
      <c r="C133" s="944"/>
      <c r="D133" s="463"/>
      <c r="E133" s="559" t="str">
        <f>IF('C-Design&amp;Const'!$Q133="","",'C-Design&amp;Const'!$Q133)</f>
        <v>Y</v>
      </c>
      <c r="F133" s="235"/>
      <c r="G133" s="291"/>
      <c r="H133" s="340" t="str">
        <f>CONCATENATE(IF(E133="N","PLACEHOLDER ROW - ",""),IF(E133="N","",J133),'C-Design&amp;Const'!Z133,)</f>
        <v xml:space="preserve">Saftey &amp; Compliance / Environmental - Checklist   </v>
      </c>
      <c r="I133" s="184"/>
      <c r="J133" s="578" t="str">
        <f>IF('C-Design&amp;Const'!AI133="","",'C-Design&amp;Const'!AI133)</f>
        <v/>
      </c>
      <c r="K133" s="285" t="str">
        <f>IF((COUNTIF(D133:G133,"Y")=COUNTIF('04 - 95% CD'!A133,"Y")),"match","no 95% match")</f>
        <v>match</v>
      </c>
      <c r="L133" s="1410" t="str">
        <f t="shared" si="4"/>
        <v/>
      </c>
      <c r="M133" s="1382"/>
      <c r="N133" s="1382"/>
      <c r="O133" s="1382"/>
      <c r="P133" s="1382"/>
      <c r="Q133" s="1382"/>
      <c r="R133" s="1382"/>
      <c r="S133" s="1382"/>
      <c r="T133" s="1382"/>
      <c r="U133" s="1382"/>
      <c r="V133" s="1382"/>
      <c r="W133" s="1382"/>
      <c r="X133" s="1382"/>
      <c r="Y133" s="1382"/>
      <c r="Z133" s="1382"/>
      <c r="AA133" s="1382"/>
      <c r="AB133" s="1382"/>
      <c r="AC133" s="1382"/>
      <c r="AD133" s="1382"/>
      <c r="AE133" s="1382"/>
      <c r="AF133" s="1382"/>
      <c r="AG133" s="1382"/>
      <c r="AH133" s="1382"/>
      <c r="AI133" s="1382"/>
      <c r="AJ133" s="1382"/>
      <c r="AK133" s="181"/>
      <c r="AL133" s="181"/>
      <c r="AM133" s="181"/>
      <c r="AN133" s="181"/>
      <c r="AO133" s="181"/>
      <c r="AP133" s="181"/>
      <c r="AQ133" s="181"/>
      <c r="AR133" s="181"/>
      <c r="AS133" s="181"/>
      <c r="AT133" s="181"/>
      <c r="AU133" s="181"/>
      <c r="AV133" s="181"/>
      <c r="AW133" s="181"/>
    </row>
    <row r="134" spans="1:49" s="545" customFormat="1" ht="15" customHeight="1" x14ac:dyDescent="0.25">
      <c r="A134" s="1407" t="str">
        <f>IF(COUNTIF('04 - 95% CD'!D134:G134,"Y")&gt;0,"Y",IF(COUNTIF('04 - 95% CD'!D134:G134,"N"),"N",""))</f>
        <v>Y</v>
      </c>
      <c r="B134" s="554"/>
      <c r="C134" s="944"/>
      <c r="D134" s="463"/>
      <c r="E134" s="559" t="str">
        <f>IF('C-Design&amp;Const'!$Q134="","",'C-Design&amp;Const'!$Q134)</f>
        <v>Y</v>
      </c>
      <c r="F134" s="235"/>
      <c r="G134" s="291"/>
      <c r="H134" s="340" t="str">
        <f>CONCATENATE(IF(E134="N","PLACEHOLDER ROW - ",""),IF(E134="N","",J134),'C-Design&amp;Const'!Z134,)</f>
        <v>(Complete) Excel files of all equipment schedules for all disciplines.</v>
      </c>
      <c r="I134" s="552"/>
      <c r="J134" s="578" t="str">
        <f>IF('C-Design&amp;Const'!AI134="","",'C-Design&amp;Const'!AI134)</f>
        <v xml:space="preserve">(Complete) </v>
      </c>
      <c r="K134" s="285" t="str">
        <f>IF((COUNTIF(D134:G134,"Y")=COUNTIF('04 - 95% CD'!A134,"Y")),"match","no 95% match")</f>
        <v>match</v>
      </c>
      <c r="L134" s="1410" t="str">
        <f t="shared" ref="L134" si="8">CONCATENATE(IF(ISNUMBER(SEARCH("Placeholder",H134))=TRUE,"&lt;---PM/Planner may hide PLACEHOLDER ROW",""))</f>
        <v/>
      </c>
      <c r="M134" s="1382"/>
      <c r="N134" s="1382"/>
      <c r="O134" s="1382"/>
      <c r="P134" s="1382"/>
      <c r="Q134" s="1382"/>
      <c r="R134" s="1382"/>
      <c r="S134" s="1382"/>
      <c r="T134" s="1382"/>
      <c r="U134" s="1382"/>
      <c r="V134" s="1382"/>
      <c r="W134" s="1382"/>
      <c r="X134" s="1382"/>
      <c r="Y134" s="1382"/>
      <c r="Z134" s="1382"/>
      <c r="AA134" s="1382"/>
      <c r="AB134" s="1382"/>
      <c r="AC134" s="1382"/>
      <c r="AD134" s="1382"/>
      <c r="AE134" s="1382"/>
      <c r="AF134" s="1382"/>
      <c r="AG134" s="1382"/>
      <c r="AH134" s="1382"/>
      <c r="AI134" s="1382"/>
      <c r="AJ134" s="1382"/>
      <c r="AK134" s="551"/>
      <c r="AL134" s="551"/>
      <c r="AM134" s="551"/>
      <c r="AN134" s="551"/>
      <c r="AO134" s="551"/>
      <c r="AP134" s="551"/>
      <c r="AQ134" s="551"/>
      <c r="AR134" s="551"/>
      <c r="AS134" s="551"/>
      <c r="AT134" s="551"/>
      <c r="AU134" s="551"/>
      <c r="AV134" s="551"/>
      <c r="AW134" s="551"/>
    </row>
    <row r="135" spans="1:49" s="30" customFormat="1" ht="25.5" customHeight="1" x14ac:dyDescent="0.25">
      <c r="A135" s="1407" t="str">
        <f>IF(COUNTIF('04 - 95% CD'!D135:G135,"Y")&gt;0,"Y",IF(COUNTIF('04 - 95% CD'!D135:G135,"N"),"N",""))</f>
        <v>N</v>
      </c>
      <c r="B135" s="191"/>
      <c r="C135" s="944"/>
      <c r="D135" s="463"/>
      <c r="E135" s="559" t="str">
        <f>IF('C-Design&amp;Const'!$Q135="","",'C-Design&amp;Const'!$Q135)</f>
        <v>N</v>
      </c>
      <c r="F135" s="235"/>
      <c r="G135" s="291"/>
      <c r="H135" s="340" t="str">
        <f>CONCATENATE(IF(E135="N","PLACEHOLDER ROW - ",""),IF(E135="N","",J135),'C-Design&amp;Const'!Z135,)</f>
        <v>PLACEHOLDER ROW - Results of existing exterior envelope material tests or strengths (i.e. brick and mortar tests, pull tests of existing mechanical fasteners, etc…)</v>
      </c>
      <c r="I135" s="184"/>
      <c r="J135" s="578" t="str">
        <f>IF('C-Design&amp;Const'!AI135="","",'C-Design&amp;Const'!AI135)</f>
        <v/>
      </c>
      <c r="K135" s="285" t="str">
        <f>IF((COUNTIF(D135:G135,"Y")=COUNTIF('04 - 95% CD'!A135,"Y")),"match","no 95% match")</f>
        <v>match</v>
      </c>
      <c r="L135" s="1410" t="str">
        <f t="shared" si="4"/>
        <v>&lt;---PM/Planner may hide PLACEHOLDER ROW</v>
      </c>
      <c r="M135" s="1382"/>
      <c r="N135" s="1382"/>
      <c r="O135" s="1382"/>
      <c r="P135" s="1382"/>
      <c r="Q135" s="1382"/>
      <c r="R135" s="1382"/>
      <c r="S135" s="1382"/>
      <c r="T135" s="1382"/>
      <c r="U135" s="1382"/>
      <c r="V135" s="1382"/>
      <c r="W135" s="1382"/>
      <c r="X135" s="1382"/>
      <c r="Y135" s="1382"/>
      <c r="Z135" s="1382"/>
      <c r="AA135" s="1382"/>
      <c r="AB135" s="1382"/>
      <c r="AC135" s="1382"/>
      <c r="AD135" s="1382"/>
      <c r="AE135" s="1382"/>
      <c r="AF135" s="1382"/>
      <c r="AG135" s="1382"/>
      <c r="AH135" s="1382"/>
      <c r="AI135" s="1382"/>
      <c r="AJ135" s="1382"/>
      <c r="AK135" s="181"/>
      <c r="AL135" s="181"/>
      <c r="AM135" s="181"/>
      <c r="AN135" s="181"/>
      <c r="AO135" s="181"/>
      <c r="AP135" s="181"/>
      <c r="AQ135" s="181"/>
      <c r="AR135" s="181"/>
      <c r="AS135" s="181"/>
      <c r="AT135" s="181"/>
      <c r="AU135" s="181"/>
      <c r="AV135" s="181"/>
      <c r="AW135" s="181"/>
    </row>
    <row r="136" spans="1:49" s="30" customFormat="1" ht="28.5" x14ac:dyDescent="0.25">
      <c r="A136" s="1407" t="str">
        <f>IF(COUNTIF('04 - 95% CD'!D136:G136,"Y")&gt;0,"Y",IF(COUNTIF('04 - 95% CD'!D136:G136,"N"),"N",""))</f>
        <v>N</v>
      </c>
      <c r="B136" s="191"/>
      <c r="C136" s="944"/>
      <c r="D136" s="321"/>
      <c r="E136" s="559" t="str">
        <f>IF('C-Design&amp;Const'!$Q136="","",'C-Design&amp;Const'!$Q136)</f>
        <v>N</v>
      </c>
      <c r="F136" s="560"/>
      <c r="G136" s="558"/>
      <c r="H136" s="238" t="str">
        <f>CONCATENATE(IF(E136="N","PLACEHOLDER ROW - ",""),IF(E136="N","",J136),'C-Design&amp;Const'!Z136,)</f>
        <v>PLACEHOLDER ROW - Results of any existing structural materials tests or verification / scans of structure layout.</v>
      </c>
      <c r="I136" s="186"/>
      <c r="J136" s="578" t="str">
        <f>IF('C-Design&amp;Const'!AI136="","",'C-Design&amp;Const'!AI136)</f>
        <v/>
      </c>
      <c r="K136" s="285" t="str">
        <f>IF((COUNTIF(D136:G136,"Y")=COUNTIF('04 - 95% CD'!A136,"Y")),"match","no 95% match")</f>
        <v>match</v>
      </c>
      <c r="L136" s="1410" t="str">
        <f t="shared" si="4"/>
        <v>&lt;---PM/Planner may hide PLACEHOLDER ROW</v>
      </c>
      <c r="M136" s="1382"/>
      <c r="N136" s="1382"/>
      <c r="O136" s="1382"/>
      <c r="P136" s="1382"/>
      <c r="Q136" s="1382"/>
      <c r="R136" s="1490"/>
      <c r="S136" s="1274"/>
      <c r="T136" s="1274"/>
      <c r="U136" s="1382"/>
      <c r="V136" s="1382"/>
      <c r="W136" s="1382"/>
      <c r="X136" s="1382"/>
      <c r="Y136" s="1382"/>
      <c r="Z136" s="1382"/>
      <c r="AA136" s="1382"/>
      <c r="AB136" s="1382"/>
      <c r="AC136" s="1382"/>
      <c r="AD136" s="1382"/>
      <c r="AE136" s="1382"/>
      <c r="AF136" s="1382"/>
      <c r="AG136" s="1382"/>
      <c r="AH136" s="1382"/>
      <c r="AI136" s="1382"/>
      <c r="AJ136" s="1382"/>
      <c r="AK136" s="181"/>
      <c r="AL136" s="181"/>
      <c r="AM136" s="181"/>
      <c r="AN136" s="181"/>
      <c r="AO136" s="181"/>
      <c r="AP136" s="181"/>
      <c r="AQ136" s="181"/>
      <c r="AR136" s="181"/>
      <c r="AS136" s="181"/>
      <c r="AT136" s="181"/>
      <c r="AU136" s="181"/>
      <c r="AV136" s="181"/>
      <c r="AW136" s="181"/>
    </row>
    <row r="137" spans="1:49" s="30" customFormat="1" ht="28.5" x14ac:dyDescent="0.25">
      <c r="A137" s="1407" t="str">
        <f>IF(COUNTIF('04 - 95% CD'!D137:G137,"Y")&gt;0,"Y",IF(COUNTIF('04 - 95% CD'!D137:G137,"N"),"N",""))</f>
        <v>Y</v>
      </c>
      <c r="B137" s="191"/>
      <c r="C137" s="944"/>
      <c r="D137" s="321"/>
      <c r="E137" s="559" t="str">
        <f>IF('C-Design&amp;Const'!$Q137="","",'C-Design&amp;Const'!$Q137)</f>
        <v>Y</v>
      </c>
      <c r="F137" s="560"/>
      <c r="G137" s="558"/>
      <c r="H137" s="238" t="str">
        <f>CONCATENATE(IF(E137="N","PLACEHOLDER ROW - ",""),IF(E137="N","",J137),'C-Design&amp;Const'!Z137,)</f>
        <v>(Updates to) Summary of floor analysis for required strengthening (for new walls, materials, mechanical equipment change in use).</v>
      </c>
      <c r="I137" s="186"/>
      <c r="J137" s="578" t="str">
        <f>IF('C-Design&amp;Const'!AI137="","",'C-Design&amp;Const'!AI137)</f>
        <v xml:space="preserve">(Updates to) </v>
      </c>
      <c r="K137" s="285" t="str">
        <f>IF((COUNTIF(D137:G137,"Y")=COUNTIF('04 - 95% CD'!A137,"Y")),"match","no 95% match")</f>
        <v>match</v>
      </c>
      <c r="L137" s="1410" t="str">
        <f t="shared" si="4"/>
        <v/>
      </c>
      <c r="M137" s="1382"/>
      <c r="N137" s="1382"/>
      <c r="O137" s="1382"/>
      <c r="P137" s="1382"/>
      <c r="Q137" s="1382"/>
      <c r="R137" s="1490"/>
      <c r="S137" s="1274"/>
      <c r="T137" s="1274"/>
      <c r="U137" s="1382"/>
      <c r="V137" s="1382"/>
      <c r="W137" s="1382"/>
      <c r="X137" s="1382"/>
      <c r="Y137" s="1382"/>
      <c r="Z137" s="1382"/>
      <c r="AA137" s="1382"/>
      <c r="AB137" s="1382"/>
      <c r="AC137" s="1382"/>
      <c r="AD137" s="1382"/>
      <c r="AE137" s="1382"/>
      <c r="AF137" s="1382"/>
      <c r="AG137" s="1382"/>
      <c r="AH137" s="1382"/>
      <c r="AI137" s="1382"/>
      <c r="AJ137" s="1382"/>
      <c r="AK137" s="181"/>
      <c r="AL137" s="181"/>
      <c r="AM137" s="181"/>
      <c r="AN137" s="181"/>
      <c r="AO137" s="181"/>
      <c r="AP137" s="181"/>
      <c r="AQ137" s="181"/>
      <c r="AR137" s="181"/>
      <c r="AS137" s="181"/>
      <c r="AT137" s="181"/>
      <c r="AU137" s="181"/>
      <c r="AV137" s="181"/>
      <c r="AW137" s="181"/>
    </row>
    <row r="138" spans="1:49" s="30" customFormat="1" ht="28.5" x14ac:dyDescent="0.25">
      <c r="A138" s="1407" t="str">
        <f>IF(COUNTIF('04 - 95% CD'!D138:G138,"Y")&gt;0,"Y",IF(COUNTIF('04 - 95% CD'!D138:G138,"N"),"N",""))</f>
        <v>Y</v>
      </c>
      <c r="B138" s="191"/>
      <c r="C138" s="944"/>
      <c r="D138" s="321"/>
      <c r="E138" s="559" t="str">
        <f>IF('C-Design&amp;Const'!$Q138="","",'C-Design&amp;Const'!$Q138)</f>
        <v>Y</v>
      </c>
      <c r="F138" s="560"/>
      <c r="G138" s="558"/>
      <c r="H138" s="238" t="str">
        <f>CONCATENATE(IF(E138="N","PLACEHOLDER ROW - ",""),IF(E138="N","",J138),'C-Design&amp;Const'!Z138,)</f>
        <v>(Updates to) Summary of lateral force resisting systems (for new tributary load or compromising of existing system).</v>
      </c>
      <c r="I138" s="186"/>
      <c r="J138" s="578" t="str">
        <f>IF('C-Design&amp;Const'!AI138="","",'C-Design&amp;Const'!AI138)</f>
        <v xml:space="preserve">(Updates to) </v>
      </c>
      <c r="K138" s="285" t="str">
        <f>IF((COUNTIF(D138:G138,"Y")=COUNTIF('04 - 95% CD'!A138,"Y")),"match","no 95% match")</f>
        <v>match</v>
      </c>
      <c r="L138" s="1410" t="str">
        <f t="shared" si="4"/>
        <v/>
      </c>
      <c r="M138" s="1382"/>
      <c r="N138" s="1382"/>
      <c r="O138" s="1382"/>
      <c r="P138" s="1382"/>
      <c r="Q138" s="1382"/>
      <c r="R138" s="1490"/>
      <c r="S138" s="1274"/>
      <c r="T138" s="1274"/>
      <c r="U138" s="1382"/>
      <c r="V138" s="1382"/>
      <c r="W138" s="1382"/>
      <c r="X138" s="1382"/>
      <c r="Y138" s="1382"/>
      <c r="Z138" s="1382"/>
      <c r="AA138" s="1382"/>
      <c r="AB138" s="1382"/>
      <c r="AC138" s="1382"/>
      <c r="AD138" s="1382"/>
      <c r="AE138" s="1382"/>
      <c r="AF138" s="1382"/>
      <c r="AG138" s="1382"/>
      <c r="AH138" s="1382"/>
      <c r="AI138" s="1382"/>
      <c r="AJ138" s="1382"/>
      <c r="AK138" s="181"/>
      <c r="AL138" s="181"/>
      <c r="AM138" s="181"/>
      <c r="AN138" s="181"/>
      <c r="AO138" s="181"/>
      <c r="AP138" s="181"/>
      <c r="AQ138" s="181"/>
      <c r="AR138" s="181"/>
      <c r="AS138" s="181"/>
      <c r="AT138" s="181"/>
      <c r="AU138" s="181"/>
      <c r="AV138" s="181"/>
      <c r="AW138" s="181"/>
    </row>
    <row r="139" spans="1:49" s="30" customFormat="1" x14ac:dyDescent="0.25">
      <c r="A139" s="1407" t="str">
        <f>IF(COUNTIF('04 - 95% CD'!D139:G139,"Y")&gt;0,"Y",IF(COUNTIF('04 - 95% CD'!D139:G139,"N"),"N",""))</f>
        <v>Y</v>
      </c>
      <c r="B139" s="191"/>
      <c r="C139" s="944"/>
      <c r="D139" s="321"/>
      <c r="E139" s="559" t="str">
        <f>IF('C-Design&amp;Const'!$Q139="","",'C-Design&amp;Const'!$Q139)</f>
        <v>N</v>
      </c>
      <c r="F139" s="560"/>
      <c r="G139" s="558"/>
      <c r="H139" s="238" t="str">
        <f>CONCATENATE(IF(E139="N","PLACEHOLDER ROW - ",""),IF(E139="N","",J139),'C-Design&amp;Const'!Z139,)</f>
        <v>PLACEHOLDER ROW - LEED Version (v4) Prerequisites Narrative</v>
      </c>
      <c r="I139" s="186"/>
      <c r="J139" s="578" t="str">
        <f>IF('C-Design&amp;Const'!AI139="","",'C-Design&amp;Const'!AI139)</f>
        <v xml:space="preserve"> (Updates to)</v>
      </c>
      <c r="K139" s="285" t="str">
        <f>IF((COUNTIF(D139:G139,"Y")=COUNTIF('04 - 95% CD'!A139,"Y")),"match","no 95% match")</f>
        <v>no 95% match</v>
      </c>
      <c r="L139" s="1410" t="str">
        <f t="shared" si="4"/>
        <v>&lt;---PM/Planner may hide PLACEHOLDER ROW</v>
      </c>
      <c r="M139" s="1382"/>
      <c r="N139" s="1382"/>
      <c r="O139" s="1382"/>
      <c r="P139" s="1382"/>
      <c r="Q139" s="1382"/>
      <c r="R139" s="1490"/>
      <c r="S139" s="1274"/>
      <c r="T139" s="1274"/>
      <c r="U139" s="1382"/>
      <c r="V139" s="1382"/>
      <c r="W139" s="1382"/>
      <c r="X139" s="1382"/>
      <c r="Y139" s="1382"/>
      <c r="Z139" s="1382"/>
      <c r="AA139" s="1382"/>
      <c r="AB139" s="1382"/>
      <c r="AC139" s="1382"/>
      <c r="AD139" s="1382"/>
      <c r="AE139" s="1382"/>
      <c r="AF139" s="1382"/>
      <c r="AG139" s="1382"/>
      <c r="AH139" s="1382"/>
      <c r="AI139" s="1382"/>
      <c r="AJ139" s="1382"/>
      <c r="AK139" s="181"/>
      <c r="AL139" s="181"/>
      <c r="AM139" s="181"/>
      <c r="AN139" s="181"/>
      <c r="AO139" s="181"/>
      <c r="AP139" s="181"/>
      <c r="AQ139" s="181"/>
      <c r="AR139" s="181"/>
      <c r="AS139" s="181"/>
      <c r="AT139" s="181"/>
      <c r="AU139" s="181"/>
      <c r="AV139" s="181"/>
      <c r="AW139" s="181"/>
    </row>
    <row r="140" spans="1:49" s="30" customFormat="1" ht="28.5" x14ac:dyDescent="0.25">
      <c r="A140" s="1407" t="str">
        <f>IF(COUNTIF('04 - 95% CD'!D140:G140,"Y")&gt;0,"Y",IF(COUNTIF('04 - 95% CD'!D140:G140,"N"),"N",""))</f>
        <v>Y</v>
      </c>
      <c r="B140" s="191"/>
      <c r="C140" s="944"/>
      <c r="D140" s="321"/>
      <c r="E140" s="559" t="str">
        <f>IF('C-Design&amp;Const'!$Q140="","",'C-Design&amp;Const'!$Q140)</f>
        <v>N</v>
      </c>
      <c r="F140" s="560"/>
      <c r="G140" s="558"/>
      <c r="H140" s="238" t="str">
        <f>CONCATENATE(IF(E140="N","PLACEHOLDER ROW - ",""),IF(E140="N","",J140),'C-Design&amp;Const'!Z140,)</f>
        <v>PLACEHOLDER ROW - LEED Minimum Silver or better Registration (&gt;10,000 sqft and/or Capital Projects &gt;= $5million; Major renovations or New Construction)</v>
      </c>
      <c r="I140" s="186"/>
      <c r="J140" s="578" t="str">
        <f>IF('C-Design&amp;Const'!AI140="","",'C-Design&amp;Const'!AI140)</f>
        <v/>
      </c>
      <c r="K140" s="285" t="str">
        <f>IF((COUNTIF(D140:G140,"Y")=COUNTIF('04 - 95% CD'!A140,"Y")),"match","no 95% match")</f>
        <v>no 95% match</v>
      </c>
      <c r="L140" s="1410" t="str">
        <f t="shared" si="4"/>
        <v>&lt;---PM/Planner may hide PLACEHOLDER ROW</v>
      </c>
      <c r="M140" s="1382"/>
      <c r="N140" s="1382"/>
      <c r="O140" s="1382"/>
      <c r="P140" s="1382"/>
      <c r="Q140" s="1382"/>
      <c r="R140" s="1490"/>
      <c r="S140" s="1274"/>
      <c r="T140" s="1274"/>
      <c r="U140" s="1382"/>
      <c r="V140" s="1382"/>
      <c r="W140" s="1382"/>
      <c r="X140" s="1382"/>
      <c r="Y140" s="1382"/>
      <c r="Z140" s="1382"/>
      <c r="AA140" s="1382"/>
      <c r="AB140" s="1382"/>
      <c r="AC140" s="1382"/>
      <c r="AD140" s="1382"/>
      <c r="AE140" s="1382"/>
      <c r="AF140" s="1382"/>
      <c r="AG140" s="1382"/>
      <c r="AH140" s="1382"/>
      <c r="AI140" s="1382"/>
      <c r="AJ140" s="1382"/>
      <c r="AK140" s="181"/>
      <c r="AL140" s="181"/>
      <c r="AM140" s="181"/>
      <c r="AN140" s="181"/>
      <c r="AO140" s="181"/>
      <c r="AP140" s="181"/>
      <c r="AQ140" s="181"/>
      <c r="AR140" s="181"/>
      <c r="AS140" s="181"/>
      <c r="AT140" s="181"/>
      <c r="AU140" s="181"/>
      <c r="AV140" s="181"/>
      <c r="AW140" s="181"/>
    </row>
    <row r="141" spans="1:49" s="30" customFormat="1" x14ac:dyDescent="0.25">
      <c r="A141" s="1407" t="str">
        <f>IF(COUNTIF('04 - 95% CD'!D141:G141,"Y")&gt;0,"Y",IF(COUNTIF('04 - 95% CD'!D141:G141,"N"),"N",""))</f>
        <v>Y</v>
      </c>
      <c r="B141" s="191"/>
      <c r="C141" s="944"/>
      <c r="D141" s="321"/>
      <c r="E141" s="559" t="str">
        <f>IF('C-Design&amp;Const'!$Q141="","",'C-Design&amp;Const'!$Q141)</f>
        <v>N</v>
      </c>
      <c r="F141" s="560"/>
      <c r="G141" s="558"/>
      <c r="H141" s="238" t="str">
        <f>CONCATENATE(IF(E141="N","PLACEHOLDER ROW - ",""),IF(E141="N","",J141),'C-Design&amp;Const'!Z141,)</f>
        <v xml:space="preserve">PLACEHOLDER ROW - LEED Project Checklist - (previously referred to as LEED Scorecard) </v>
      </c>
      <c r="I141" s="186"/>
      <c r="J141" s="578" t="str">
        <f>IF('C-Design&amp;Const'!AI141="","",'C-Design&amp;Const'!AI141)</f>
        <v xml:space="preserve"> (Updates to)</v>
      </c>
      <c r="K141" s="285" t="str">
        <f>IF((COUNTIF(D141:G141,"Y")=COUNTIF('04 - 95% CD'!A141,"Y")),"match","no 95% match")</f>
        <v>no 95% match</v>
      </c>
      <c r="L141" s="1410" t="str">
        <f t="shared" si="4"/>
        <v>&lt;---PM/Planner may hide PLACEHOLDER ROW</v>
      </c>
      <c r="M141" s="1382"/>
      <c r="N141" s="1382"/>
      <c r="O141" s="1382"/>
      <c r="P141" s="1382"/>
      <c r="Q141" s="1382"/>
      <c r="R141" s="1490"/>
      <c r="S141" s="1274"/>
      <c r="T141" s="1274"/>
      <c r="U141" s="1382"/>
      <c r="V141" s="1382"/>
      <c r="W141" s="1382"/>
      <c r="X141" s="1382"/>
      <c r="Y141" s="1382"/>
      <c r="Z141" s="1382"/>
      <c r="AA141" s="1382"/>
      <c r="AB141" s="1382"/>
      <c r="AC141" s="1382"/>
      <c r="AD141" s="1382"/>
      <c r="AE141" s="1382"/>
      <c r="AF141" s="1382"/>
      <c r="AG141" s="1382"/>
      <c r="AH141" s="1382"/>
      <c r="AI141" s="1382"/>
      <c r="AJ141" s="1382"/>
      <c r="AK141" s="181"/>
      <c r="AL141" s="181"/>
      <c r="AM141" s="181"/>
      <c r="AN141" s="181"/>
      <c r="AO141" s="181"/>
      <c r="AP141" s="181"/>
      <c r="AQ141" s="181"/>
      <c r="AR141" s="181"/>
      <c r="AS141" s="181"/>
      <c r="AT141" s="181"/>
      <c r="AU141" s="181"/>
      <c r="AV141" s="181"/>
      <c r="AW141" s="181"/>
    </row>
    <row r="142" spans="1:49" s="30" customFormat="1" x14ac:dyDescent="0.25">
      <c r="A142" s="1407" t="str">
        <f>IF(COUNTIF('04 - 95% CD'!D142:G142,"Y")&gt;0,"Y",IF(COUNTIF('04 - 95% CD'!D142:G142,"N"),"N",""))</f>
        <v>Y</v>
      </c>
      <c r="B142" s="191"/>
      <c r="C142" s="944"/>
      <c r="D142" s="321"/>
      <c r="E142" s="559" t="str">
        <f>IF('C-Design&amp;Const'!$Q142="","",'C-Design&amp;Const'!$Q142)</f>
        <v>Y</v>
      </c>
      <c r="F142" s="560"/>
      <c r="G142" s="558"/>
      <c r="H142" s="238" t="str">
        <f>CONCATENATE(IF(E142="N","PLACEHOLDER ROW - ",""),IF(E142="N","",J142),'C-Design&amp;Const'!Z142,)</f>
        <v xml:space="preserve">Energy Model (per ASHRAE 90.1, version from 2013  ) </v>
      </c>
      <c r="I142" s="186"/>
      <c r="J142" s="578" t="str">
        <f>IF('C-Design&amp;Const'!AI142="","",'C-Design&amp;Const'!AI142)</f>
        <v/>
      </c>
      <c r="K142" s="285" t="str">
        <f>IF((COUNTIF(D142:G142,"Y")=COUNTIF('04 - 95% CD'!A142,"Y")),"match","no 95% match")</f>
        <v>match</v>
      </c>
      <c r="L142" s="1410" t="str">
        <f t="shared" si="4"/>
        <v/>
      </c>
      <c r="M142" s="1382"/>
      <c r="N142" s="1382"/>
      <c r="O142" s="1382"/>
      <c r="P142" s="1382"/>
      <c r="Q142" s="1382"/>
      <c r="R142" s="1490"/>
      <c r="S142" s="1274"/>
      <c r="T142" s="1274"/>
      <c r="U142" s="1382"/>
      <c r="V142" s="1382"/>
      <c r="W142" s="1382"/>
      <c r="X142" s="1382"/>
      <c r="Y142" s="1382"/>
      <c r="Z142" s="1382"/>
      <c r="AA142" s="1382"/>
      <c r="AB142" s="1382"/>
      <c r="AC142" s="1382"/>
      <c r="AD142" s="1382"/>
      <c r="AE142" s="1382"/>
      <c r="AF142" s="1382"/>
      <c r="AG142" s="1382"/>
      <c r="AH142" s="1382"/>
      <c r="AI142" s="1382"/>
      <c r="AJ142" s="1382"/>
      <c r="AK142" s="181"/>
      <c r="AL142" s="181"/>
      <c r="AM142" s="181"/>
      <c r="AN142" s="181"/>
      <c r="AO142" s="181"/>
      <c r="AP142" s="181"/>
      <c r="AQ142" s="181"/>
      <c r="AR142" s="181"/>
      <c r="AS142" s="181"/>
      <c r="AT142" s="181"/>
      <c r="AU142" s="181"/>
      <c r="AV142" s="181"/>
      <c r="AW142" s="181"/>
    </row>
    <row r="143" spans="1:49" s="30" customFormat="1" x14ac:dyDescent="0.25">
      <c r="A143" s="1407" t="str">
        <f>IF(COUNTIF('04 - 95% CD'!D143:G143,"Y")&gt;0,"Y",IF(COUNTIF('04 - 95% CD'!D143:G143,"N"),"N",""))</f>
        <v>Y</v>
      </c>
      <c r="B143" s="191"/>
      <c r="C143" s="944"/>
      <c r="D143" s="321"/>
      <c r="E143" s="559" t="str">
        <f>IF('C-Design&amp;Const'!$Q143="","",'C-Design&amp;Const'!$Q143)</f>
        <v>Y</v>
      </c>
      <c r="F143" s="560"/>
      <c r="G143" s="558"/>
      <c r="H143" s="238" t="str">
        <f>CONCATENATE(IF(E143="N","PLACEHOLDER ROW - ",""),IF(E143="N","",J143),'C-Design&amp;Const'!Z143,)</f>
        <v xml:space="preserve"> (Updates to)Life Cycle Cost Analysis for selected systems (for projects exceeding 25,000 SF)</v>
      </c>
      <c r="I143" s="186"/>
      <c r="J143" s="578" t="str">
        <f>IF('C-Design&amp;Const'!AI143="","",'C-Design&amp;Const'!AI143)</f>
        <v xml:space="preserve"> (Updates to)</v>
      </c>
      <c r="K143" s="285" t="str">
        <f>IF((COUNTIF(D143:G143,"Y")=COUNTIF('04 - 95% CD'!A143,"Y")),"match","no 95% match")</f>
        <v>match</v>
      </c>
      <c r="L143" s="1410" t="str">
        <f t="shared" si="4"/>
        <v/>
      </c>
      <c r="M143" s="1382"/>
      <c r="N143" s="1382"/>
      <c r="O143" s="1382"/>
      <c r="P143" s="1382"/>
      <c r="Q143" s="1382"/>
      <c r="R143" s="1490"/>
      <c r="S143" s="1274"/>
      <c r="T143" s="1274"/>
      <c r="U143" s="1382"/>
      <c r="V143" s="1382"/>
      <c r="W143" s="1382"/>
      <c r="X143" s="1382"/>
      <c r="Y143" s="1382"/>
      <c r="Z143" s="1382"/>
      <c r="AA143" s="1382"/>
      <c r="AB143" s="1382"/>
      <c r="AC143" s="1382"/>
      <c r="AD143" s="1382"/>
      <c r="AE143" s="1382"/>
      <c r="AF143" s="1382"/>
      <c r="AG143" s="1382"/>
      <c r="AH143" s="1382"/>
      <c r="AI143" s="1382"/>
      <c r="AJ143" s="1382"/>
      <c r="AK143" s="181"/>
      <c r="AL143" s="181"/>
      <c r="AM143" s="181"/>
      <c r="AN143" s="181"/>
      <c r="AO143" s="181"/>
      <c r="AP143" s="181"/>
      <c r="AQ143" s="181"/>
      <c r="AR143" s="181"/>
      <c r="AS143" s="181"/>
      <c r="AT143" s="181"/>
      <c r="AU143" s="181"/>
      <c r="AV143" s="181"/>
      <c r="AW143" s="181"/>
    </row>
    <row r="144" spans="1:49" s="30" customFormat="1" x14ac:dyDescent="0.25">
      <c r="A144" s="1407" t="str">
        <f>IF(COUNTIF('04 - 95% CD'!D144:G144,"Y")&gt;0,"Y",IF(COUNTIF('04 - 95% CD'!D144:G144,"N"),"N",""))</f>
        <v>Y</v>
      </c>
      <c r="B144" s="191"/>
      <c r="C144" s="944"/>
      <c r="D144" s="321"/>
      <c r="E144" s="559" t="str">
        <f>IF('C-Design&amp;Const'!$Q144="","",'C-Design&amp;Const'!$Q144)</f>
        <v>Y</v>
      </c>
      <c r="F144" s="560"/>
      <c r="G144" s="558"/>
      <c r="H144" s="238" t="str">
        <f>CONCATENATE(IF(E144="N","PLACEHOLDER ROW - ",""),IF(E144="N","",J144),'C-Design&amp;Const'!Z144,)</f>
        <v xml:space="preserve"> (Updates to)Energy Budget </v>
      </c>
      <c r="I144" s="186"/>
      <c r="J144" s="578" t="str">
        <f>IF('C-Design&amp;Const'!AI144="","",'C-Design&amp;Const'!AI144)</f>
        <v xml:space="preserve"> (Updates to)</v>
      </c>
      <c r="K144" s="285" t="str">
        <f>IF((COUNTIF(D144:G144,"Y")=COUNTIF('04 - 95% CD'!A144,"Y")),"match","no 95% match")</f>
        <v>match</v>
      </c>
      <c r="L144" s="1410" t="str">
        <f t="shared" si="4"/>
        <v/>
      </c>
      <c r="M144" s="1382"/>
      <c r="N144" s="1382"/>
      <c r="O144" s="1382"/>
      <c r="P144" s="1382"/>
      <c r="Q144" s="1382"/>
      <c r="R144" s="1490"/>
      <c r="S144" s="1274"/>
      <c r="T144" s="1274"/>
      <c r="U144" s="1382"/>
      <c r="V144" s="1382"/>
      <c r="W144" s="1382"/>
      <c r="X144" s="1382"/>
      <c r="Y144" s="1382"/>
      <c r="Z144" s="1382"/>
      <c r="AA144" s="1382"/>
      <c r="AB144" s="1382"/>
      <c r="AC144" s="1382"/>
      <c r="AD144" s="1382"/>
      <c r="AE144" s="1382"/>
      <c r="AF144" s="1382"/>
      <c r="AG144" s="1382"/>
      <c r="AH144" s="1382"/>
      <c r="AI144" s="1382"/>
      <c r="AJ144" s="1382"/>
      <c r="AK144" s="181"/>
      <c r="AL144" s="181"/>
      <c r="AM144" s="181"/>
      <c r="AN144" s="181"/>
      <c r="AO144" s="181"/>
      <c r="AP144" s="181"/>
      <c r="AQ144" s="181"/>
      <c r="AR144" s="181"/>
      <c r="AS144" s="181"/>
      <c r="AT144" s="181"/>
      <c r="AU144" s="181"/>
      <c r="AV144" s="181"/>
      <c r="AW144" s="181"/>
    </row>
    <row r="145" spans="1:49" s="30" customFormat="1" x14ac:dyDescent="0.25">
      <c r="A145" s="1407" t="str">
        <f>IF(COUNTIF('04 - 95% CD'!D145:G145,"Y")&gt;0,"Y",IF(COUNTIF('04 - 95% CD'!D145:G145,"N"),"N",""))</f>
        <v>N</v>
      </c>
      <c r="B145" s="191"/>
      <c r="C145" s="944"/>
      <c r="D145" s="321"/>
      <c r="E145" s="559" t="str">
        <f>IF('C-Design&amp;Const'!$Q146="","",'C-Design&amp;Const'!$Q146)</f>
        <v>Y</v>
      </c>
      <c r="F145" s="560"/>
      <c r="G145" s="558"/>
      <c r="H145" s="238" t="str">
        <f>CONCATENATE(IF(E145="N","PLACEHOLDER ROW - ",""),IF(E145="N","",J145),'C-Design&amp;Const'!Z146,)</f>
        <v xml:space="preserve">(Completed) Chilled Water Capacity Charge form </v>
      </c>
      <c r="I145" s="186"/>
      <c r="J145" s="578" t="str">
        <f>IF('C-Design&amp;Const'!AI146="","",'C-Design&amp;Const'!AI146)</f>
        <v xml:space="preserve">(Completed) </v>
      </c>
      <c r="K145" s="285" t="str">
        <f>IF((COUNTIF(D145:G145,"Y")=COUNTIF('04 - 95% CD'!A145,"Y")),"match","no 95% match")</f>
        <v>no 95% match</v>
      </c>
      <c r="L145" s="1410" t="str">
        <f>CONCATENATE(IF(ISNUMBER(SEARCH("Placeholder",H145))=TRUE,"&lt;---PM/Planner may hide PLACEHOLDER ROW",""))</f>
        <v/>
      </c>
      <c r="M145" s="1382"/>
      <c r="N145" s="1382"/>
      <c r="O145" s="1382"/>
      <c r="P145" s="1382"/>
      <c r="Q145" s="1382"/>
      <c r="R145" s="1490"/>
      <c r="S145" s="1274"/>
      <c r="T145" s="1274"/>
      <c r="U145" s="1382"/>
      <c r="V145" s="1382"/>
      <c r="W145" s="1382"/>
      <c r="X145" s="1382"/>
      <c r="Y145" s="1382"/>
      <c r="Z145" s="1382"/>
      <c r="AA145" s="1382"/>
      <c r="AB145" s="1382"/>
      <c r="AC145" s="1382"/>
      <c r="AD145" s="1382"/>
      <c r="AE145" s="1382"/>
      <c r="AF145" s="1382"/>
      <c r="AG145" s="1382"/>
      <c r="AH145" s="1382"/>
      <c r="AI145" s="1382"/>
      <c r="AJ145" s="1382"/>
      <c r="AK145" s="181"/>
      <c r="AL145" s="181"/>
      <c r="AM145" s="181"/>
      <c r="AN145" s="181"/>
      <c r="AO145" s="181"/>
      <c r="AP145" s="181"/>
      <c r="AQ145" s="181"/>
      <c r="AR145" s="181"/>
      <c r="AS145" s="181"/>
      <c r="AT145" s="181"/>
      <c r="AU145" s="181"/>
      <c r="AV145" s="181"/>
      <c r="AW145" s="181"/>
    </row>
    <row r="146" spans="1:49" s="30" customFormat="1" x14ac:dyDescent="0.25">
      <c r="A146" s="1407" t="str">
        <f>IF(COUNTIF('04 - 95% CD'!D146:G146,"Y")&gt;0,"Y",IF(COUNTIF('04 - 95% CD'!D146:G146,"N"),"N",""))</f>
        <v>Y</v>
      </c>
      <c r="B146" s="191"/>
      <c r="C146" s="944"/>
      <c r="D146" s="321"/>
      <c r="E146" s="559" t="str">
        <f>IF('C-Design&amp;Const'!$Q145="","",'C-Design&amp;Const'!$Q145)</f>
        <v>Y</v>
      </c>
      <c r="F146" s="560"/>
      <c r="G146" s="558"/>
      <c r="H146" s="238" t="str">
        <f>CONCATENATE(IF(E146="N","PLACEHOLDER ROW - ",""),IF(E146="N","",J146),'C-Design&amp;Const'!Z145,)</f>
        <v xml:space="preserve"> (Updates to)Utilities Peak Load Estimates</v>
      </c>
      <c r="I146" s="186"/>
      <c r="J146" s="578" t="str">
        <f>IF('C-Design&amp;Const'!AI145="","",'C-Design&amp;Const'!AI145)</f>
        <v xml:space="preserve"> (Updates to)</v>
      </c>
      <c r="K146" s="285" t="str">
        <f>IF((COUNTIF(D146:G146,"Y")=COUNTIF('04 - 95% CD'!A146,"Y")),"match","no 95% match")</f>
        <v>match</v>
      </c>
      <c r="L146" s="1410" t="str">
        <f t="shared" si="4"/>
        <v/>
      </c>
      <c r="M146" s="1382"/>
      <c r="N146" s="1382"/>
      <c r="O146" s="1382"/>
      <c r="P146" s="1382"/>
      <c r="Q146" s="1382"/>
      <c r="R146" s="1490"/>
      <c r="S146" s="1274"/>
      <c r="T146" s="1274"/>
      <c r="U146" s="1382"/>
      <c r="V146" s="1382"/>
      <c r="W146" s="1382"/>
      <c r="X146" s="1382"/>
      <c r="Y146" s="1382"/>
      <c r="Z146" s="1382"/>
      <c r="AA146" s="1382"/>
      <c r="AB146" s="1382"/>
      <c r="AC146" s="1382"/>
      <c r="AD146" s="1382"/>
      <c r="AE146" s="1382"/>
      <c r="AF146" s="1382"/>
      <c r="AG146" s="1382"/>
      <c r="AH146" s="1382"/>
      <c r="AI146" s="1382"/>
      <c r="AJ146" s="1382"/>
      <c r="AK146" s="181"/>
      <c r="AL146" s="181"/>
      <c r="AM146" s="181"/>
      <c r="AN146" s="181"/>
      <c r="AO146" s="181"/>
      <c r="AP146" s="181"/>
      <c r="AQ146" s="181"/>
      <c r="AR146" s="181"/>
      <c r="AS146" s="181"/>
      <c r="AT146" s="181"/>
      <c r="AU146" s="181"/>
      <c r="AV146" s="181"/>
      <c r="AW146" s="181"/>
    </row>
    <row r="147" spans="1:49" s="30" customFormat="1" x14ac:dyDescent="0.25">
      <c r="A147" s="1407" t="str">
        <f>IF(COUNTIF('04 - 95% CD'!D147:G147,"Y")&gt;0,"Y",IF(COUNTIF('04 - 95% CD'!D147:G147,"N"),"N",""))</f>
        <v>Y</v>
      </c>
      <c r="B147" s="191"/>
      <c r="C147" s="944"/>
      <c r="D147" s="321"/>
      <c r="E147" s="559" t="str">
        <f>IF('C-Design&amp;Const'!$Q147="","",'C-Design&amp;Const'!$Q147)</f>
        <v>Y</v>
      </c>
      <c r="F147" s="560"/>
      <c r="G147" s="558"/>
      <c r="H147" s="238" t="str">
        <f>CONCATENATE(IF(E147="N","PLACEHOLDER ROW - ",""),IF(E147="N","",J147),'C-Design&amp;Const'!Z147,)</f>
        <v xml:space="preserve">Energy Standards – proof of compliance </v>
      </c>
      <c r="I147" s="186"/>
      <c r="J147" s="578" t="str">
        <f>IF('C-Design&amp;Const'!AI147="","",'C-Design&amp;Const'!AI147)</f>
        <v/>
      </c>
      <c r="K147" s="285" t="str">
        <f>IF((COUNTIF(D147:G147,"Y")=COUNTIF('04 - 95% CD'!A147,"Y")),"match","no 95% match")</f>
        <v>match</v>
      </c>
      <c r="L147" s="1410" t="str">
        <f t="shared" si="4"/>
        <v/>
      </c>
      <c r="M147" s="1382"/>
      <c r="N147" s="1382"/>
      <c r="O147" s="1382"/>
      <c r="P147" s="1382"/>
      <c r="Q147" s="1382"/>
      <c r="R147" s="1490"/>
      <c r="S147" s="1274"/>
      <c r="T147" s="1274"/>
      <c r="U147" s="1382"/>
      <c r="V147" s="1382"/>
      <c r="W147" s="1382"/>
      <c r="X147" s="1382"/>
      <c r="Y147" s="1382"/>
      <c r="Z147" s="1382"/>
      <c r="AA147" s="1382"/>
      <c r="AB147" s="1382"/>
      <c r="AC147" s="1382"/>
      <c r="AD147" s="1382"/>
      <c r="AE147" s="1382"/>
      <c r="AF147" s="1382"/>
      <c r="AG147" s="1382"/>
      <c r="AH147" s="1382"/>
      <c r="AI147" s="1382"/>
      <c r="AJ147" s="1382"/>
      <c r="AK147" s="181"/>
      <c r="AL147" s="181"/>
      <c r="AM147" s="181"/>
      <c r="AN147" s="181"/>
      <c r="AO147" s="181"/>
      <c r="AP147" s="181"/>
      <c r="AQ147" s="181"/>
      <c r="AR147" s="181"/>
      <c r="AS147" s="181"/>
      <c r="AT147" s="181"/>
      <c r="AU147" s="181"/>
      <c r="AV147" s="181"/>
      <c r="AW147" s="181"/>
    </row>
    <row r="148" spans="1:49" s="30" customFormat="1" x14ac:dyDescent="0.25">
      <c r="A148" s="1407" t="str">
        <f>IF(COUNTIF('04 - 95% CD'!D148:G148,"Y")&gt;0,"Y",IF(COUNTIF('04 - 95% CD'!D148:G148,"N"),"N",""))</f>
        <v>Y</v>
      </c>
      <c r="B148" s="191"/>
      <c r="C148" s="944"/>
      <c r="D148" s="321"/>
      <c r="E148" s="559" t="str">
        <f>IF('C-Design&amp;Const'!$Q148="","",'C-Design&amp;Const'!$Q148)</f>
        <v>Y</v>
      </c>
      <c r="F148" s="560"/>
      <c r="G148" s="558"/>
      <c r="H148" s="238" t="str">
        <f>CONCATENATE(IF(E148="N","PLACEHOLDER ROW - ",""),IF(E148="N","",J148),'C-Design&amp;Const'!Z148,)</f>
        <v xml:space="preserve">(Updates to) Hydraulic Analysis for water and waste - ** calculations available upon request </v>
      </c>
      <c r="I148" s="186"/>
      <c r="J148" s="578" t="str">
        <f>IF('C-Design&amp;Const'!AI148="","",'C-Design&amp;Const'!AI148)</f>
        <v xml:space="preserve">(Updates to) </v>
      </c>
      <c r="K148" s="285" t="str">
        <f>IF((COUNTIF(D148:G148,"Y")=COUNTIF('04 - 95% CD'!A148,"Y")),"match","no 95% match")</f>
        <v>match</v>
      </c>
      <c r="L148" s="1410" t="str">
        <f t="shared" si="4"/>
        <v/>
      </c>
      <c r="M148" s="1382"/>
      <c r="N148" s="1382"/>
      <c r="O148" s="1382"/>
      <c r="P148" s="1382"/>
      <c r="Q148" s="1382"/>
      <c r="R148" s="1490"/>
      <c r="S148" s="1274"/>
      <c r="T148" s="1274"/>
      <c r="U148" s="1382"/>
      <c r="V148" s="1382"/>
      <c r="W148" s="1382"/>
      <c r="X148" s="1382"/>
      <c r="Y148" s="1382"/>
      <c r="Z148" s="1382"/>
      <c r="AA148" s="1382"/>
      <c r="AB148" s="1382"/>
      <c r="AC148" s="1382"/>
      <c r="AD148" s="1382"/>
      <c r="AE148" s="1382"/>
      <c r="AF148" s="1382"/>
      <c r="AG148" s="1382"/>
      <c r="AH148" s="1382"/>
      <c r="AI148" s="1382"/>
      <c r="AJ148" s="1382"/>
      <c r="AK148" s="181"/>
      <c r="AL148" s="181"/>
      <c r="AM148" s="181"/>
      <c r="AN148" s="181"/>
      <c r="AO148" s="181"/>
      <c r="AP148" s="181"/>
      <c r="AQ148" s="181"/>
      <c r="AR148" s="181"/>
      <c r="AS148" s="181"/>
      <c r="AT148" s="181"/>
      <c r="AU148" s="181"/>
      <c r="AV148" s="181"/>
      <c r="AW148" s="181"/>
    </row>
    <row r="149" spans="1:49" s="30" customFormat="1" x14ac:dyDescent="0.25">
      <c r="A149" s="1407" t="str">
        <f>IF(COUNTIF('04 - 95% CD'!D149:G149,"Y")&gt;0,"Y",IF(COUNTIF('04 - 95% CD'!D149:G149,"N"),"N",""))</f>
        <v>Y</v>
      </c>
      <c r="B149" s="191"/>
      <c r="C149" s="944"/>
      <c r="D149" s="321"/>
      <c r="E149" s="559" t="str">
        <f>IF('C-Design&amp;Const'!$Q149="","",'C-Design&amp;Const'!$Q149)</f>
        <v>Y</v>
      </c>
      <c r="F149" s="560"/>
      <c r="G149" s="558"/>
      <c r="H149" s="238" t="str">
        <f>CONCATENATE(IF(E149="N","PLACEHOLDER ROW - ",""),IF(E149="N","",J149),'C-Design&amp;Const'!Z149,)</f>
        <v xml:space="preserve">(Updates to) Hydraulic Analysis for fire protection - ** calculations available upon request </v>
      </c>
      <c r="I149" s="186"/>
      <c r="J149" s="578" t="str">
        <f>IF('C-Design&amp;Const'!AI149="","",'C-Design&amp;Const'!AI149)</f>
        <v xml:space="preserve">(Updates to) </v>
      </c>
      <c r="K149" s="285" t="str">
        <f>IF((COUNTIF(D149:G149,"Y")=COUNTIF('04 - 95% CD'!A149,"Y")),"match","no 95% match")</f>
        <v>match</v>
      </c>
      <c r="L149" s="1410" t="str">
        <f t="shared" si="4"/>
        <v/>
      </c>
      <c r="M149" s="1382"/>
      <c r="N149" s="1382"/>
      <c r="O149" s="1382"/>
      <c r="P149" s="1382"/>
      <c r="Q149" s="1382"/>
      <c r="R149" s="1490"/>
      <c r="S149" s="1274"/>
      <c r="T149" s="1274"/>
      <c r="U149" s="1382"/>
      <c r="V149" s="1382"/>
      <c r="W149" s="1382"/>
      <c r="X149" s="1382"/>
      <c r="Y149" s="1382"/>
      <c r="Z149" s="1382"/>
      <c r="AA149" s="1382"/>
      <c r="AB149" s="1382"/>
      <c r="AC149" s="1382"/>
      <c r="AD149" s="1382"/>
      <c r="AE149" s="1382"/>
      <c r="AF149" s="1382"/>
      <c r="AG149" s="1382"/>
      <c r="AH149" s="1382"/>
      <c r="AI149" s="1382"/>
      <c r="AJ149" s="1382"/>
      <c r="AK149" s="181"/>
      <c r="AL149" s="181"/>
      <c r="AM149" s="181"/>
      <c r="AN149" s="181"/>
      <c r="AO149" s="181"/>
      <c r="AP149" s="181"/>
      <c r="AQ149" s="181"/>
      <c r="AR149" s="181"/>
      <c r="AS149" s="181"/>
      <c r="AT149" s="181"/>
      <c r="AU149" s="181"/>
      <c r="AV149" s="181"/>
      <c r="AW149" s="181"/>
    </row>
    <row r="150" spans="1:49" s="30" customFormat="1" x14ac:dyDescent="0.25">
      <c r="A150" s="1407" t="str">
        <f>IF(COUNTIF('04 - 95% CD'!D150:G150,"Y")&gt;0,"Y",IF(COUNTIF('04 - 95% CD'!D150:G150,"N"),"N",""))</f>
        <v>N</v>
      </c>
      <c r="B150" s="191"/>
      <c r="C150" s="944"/>
      <c r="D150" s="321"/>
      <c r="E150" s="559" t="str">
        <f>IF('C-Design&amp;Const'!$Q150="","",'C-Design&amp;Const'!$Q150)</f>
        <v>N</v>
      </c>
      <c r="F150" s="560"/>
      <c r="G150" s="558"/>
      <c r="H150" s="238" t="str">
        <f>CONCATENATE(IF(E150="N","PLACEHOLDER ROW - ",""),IF(E150="N","",J150),'C-Design&amp;Const'!Z150,)</f>
        <v>PLACEHOLDER ROW - Harmonic Analysis Report for VFDs (N/A till construction)</v>
      </c>
      <c r="I150" s="186"/>
      <c r="J150" s="578" t="str">
        <f>IF('C-Design&amp;Const'!AI150="","",'C-Design&amp;Const'!AI150)</f>
        <v/>
      </c>
      <c r="K150" s="285" t="str">
        <f>IF((COUNTIF(D150:G150,"Y")=COUNTIF('04 - 95% CD'!A150,"Y")),"match","no 95% match")</f>
        <v>match</v>
      </c>
      <c r="L150" s="1410" t="str">
        <f t="shared" si="4"/>
        <v>&lt;---PM/Planner may hide PLACEHOLDER ROW</v>
      </c>
      <c r="M150" s="1382"/>
      <c r="N150" s="1382"/>
      <c r="O150" s="1382"/>
      <c r="P150" s="1382"/>
      <c r="Q150" s="1382"/>
      <c r="R150" s="1490"/>
      <c r="S150" s="1274"/>
      <c r="T150" s="1274"/>
      <c r="U150" s="1382"/>
      <c r="V150" s="1382"/>
      <c r="W150" s="1382"/>
      <c r="X150" s="1382"/>
      <c r="Y150" s="1382"/>
      <c r="Z150" s="1382"/>
      <c r="AA150" s="1382"/>
      <c r="AB150" s="1382"/>
      <c r="AC150" s="1382"/>
      <c r="AD150" s="1382"/>
      <c r="AE150" s="1382"/>
      <c r="AF150" s="1382"/>
      <c r="AG150" s="1382"/>
      <c r="AH150" s="1382"/>
      <c r="AI150" s="1382"/>
      <c r="AJ150" s="1382"/>
      <c r="AK150" s="181"/>
      <c r="AL150" s="181"/>
      <c r="AM150" s="181"/>
      <c r="AN150" s="181"/>
      <c r="AO150" s="181"/>
      <c r="AP150" s="181"/>
      <c r="AQ150" s="181"/>
      <c r="AR150" s="181"/>
      <c r="AS150" s="181"/>
      <c r="AT150" s="181"/>
      <c r="AU150" s="181"/>
      <c r="AV150" s="181"/>
      <c r="AW150" s="181"/>
    </row>
    <row r="151" spans="1:49" s="30" customFormat="1" ht="28.5" x14ac:dyDescent="0.25">
      <c r="A151" s="1407" t="str">
        <f>IF(COUNTIF('04 - 95% CD'!D151:G151,"Y")&gt;0,"Y",IF(COUNTIF('04 - 95% CD'!D151:G151,"N"),"N",""))</f>
        <v>Y</v>
      </c>
      <c r="B151" s="191"/>
      <c r="C151" s="944"/>
      <c r="D151" s="321"/>
      <c r="E151" s="559" t="str">
        <f>IF('C-Design&amp;Const'!$Q151="","",'C-Design&amp;Const'!$Q151)</f>
        <v>Y</v>
      </c>
      <c r="F151" s="560"/>
      <c r="G151" s="558"/>
      <c r="H151" s="238" t="str">
        <f>CONCATENATE(IF(E151="N","PLACEHOLDER ROW - ",""),IF(E151="N","",J151),'C-Design&amp;Const'!Z151,)</f>
        <v xml:space="preserve">(Updates to) Results of Emergency Generator Load Calculation - ** calculations available upon request </v>
      </c>
      <c r="I151" s="186"/>
      <c r="J151" s="578" t="str">
        <f>IF('C-Design&amp;Const'!AI151="","",'C-Design&amp;Const'!AI151)</f>
        <v xml:space="preserve">(Updates to) </v>
      </c>
      <c r="K151" s="285" t="str">
        <f>IF((COUNTIF(D151:G151,"Y")=COUNTIF('04 - 95% CD'!A151,"Y")),"match","no 95% match")</f>
        <v>match</v>
      </c>
      <c r="L151" s="1410" t="str">
        <f t="shared" si="4"/>
        <v/>
      </c>
      <c r="M151" s="1382"/>
      <c r="N151" s="1382"/>
      <c r="O151" s="1382"/>
      <c r="P151" s="1382"/>
      <c r="Q151" s="1382"/>
      <c r="R151" s="1490"/>
      <c r="S151" s="1274"/>
      <c r="T151" s="1274"/>
      <c r="U151" s="1382"/>
      <c r="V151" s="1382"/>
      <c r="W151" s="1382"/>
      <c r="X151" s="1382"/>
      <c r="Y151" s="1382"/>
      <c r="Z151" s="1382"/>
      <c r="AA151" s="1382"/>
      <c r="AB151" s="1382"/>
      <c r="AC151" s="1382"/>
      <c r="AD151" s="1382"/>
      <c r="AE151" s="1382"/>
      <c r="AF151" s="1382"/>
      <c r="AG151" s="1382"/>
      <c r="AH151" s="1382"/>
      <c r="AI151" s="1382"/>
      <c r="AJ151" s="1382"/>
      <c r="AK151" s="181"/>
      <c r="AL151" s="181"/>
      <c r="AM151" s="181"/>
      <c r="AN151" s="181"/>
      <c r="AO151" s="181"/>
      <c r="AP151" s="181"/>
      <c r="AQ151" s="181"/>
      <c r="AR151" s="181"/>
      <c r="AS151" s="181"/>
      <c r="AT151" s="181"/>
      <c r="AU151" s="181"/>
      <c r="AV151" s="181"/>
      <c r="AW151" s="181"/>
    </row>
    <row r="152" spans="1:49" s="30" customFormat="1" x14ac:dyDescent="0.25">
      <c r="A152" s="1407" t="str">
        <f>IF(COUNTIF('04 - 95% CD'!D152:G152,"Y")&gt;0,"Y",IF(COUNTIF('04 - 95% CD'!D152:G152,"N"),"N",""))</f>
        <v>N</v>
      </c>
      <c r="B152" s="191"/>
      <c r="C152" s="944"/>
      <c r="D152" s="321"/>
      <c r="E152" s="559" t="str">
        <f>IF('C-Design&amp;Const'!$Q152="","",'C-Design&amp;Const'!$Q152)</f>
        <v>N</v>
      </c>
      <c r="F152" s="560"/>
      <c r="G152" s="558"/>
      <c r="H152" s="340" t="str">
        <f>CONCATENATE(IF(E152="N","PLACEHOLDER ROW - ",""),IF(E152="N","",J152),'C-Design&amp;Const'!Z152,)</f>
        <v>PLACEHOLDER ROW - CUSTOM ROW - OPTIONAL CLIENT ITEM</v>
      </c>
      <c r="I152" s="186"/>
      <c r="J152" s="578" t="str">
        <f>IF('C-Design&amp;Const'!AI152="","",'C-Design&amp;Const'!AI152)</f>
        <v xml:space="preserve">(Updates to) </v>
      </c>
      <c r="K152" s="285" t="str">
        <f>IF((COUNTIF(D152:G152,"Y")=COUNTIF('04 - 95% CD'!A152,"Y")),"match","no 95% match")</f>
        <v>match</v>
      </c>
      <c r="L152" s="1410" t="str">
        <f t="shared" si="4"/>
        <v>&lt;---PM/Planner may hide PLACEHOLDER ROW</v>
      </c>
      <c r="M152" s="1382"/>
      <c r="N152" s="1382"/>
      <c r="O152" s="1382"/>
      <c r="P152" s="1382"/>
      <c r="Q152" s="1382"/>
      <c r="R152" s="1490"/>
      <c r="S152" s="1274"/>
      <c r="T152" s="1274"/>
      <c r="U152" s="1382"/>
      <c r="V152" s="1382"/>
      <c r="W152" s="1382"/>
      <c r="X152" s="1382"/>
      <c r="Y152" s="1382"/>
      <c r="Z152" s="1382"/>
      <c r="AA152" s="1382"/>
      <c r="AB152" s="1382"/>
      <c r="AC152" s="1382"/>
      <c r="AD152" s="1382"/>
      <c r="AE152" s="1382"/>
      <c r="AF152" s="1382"/>
      <c r="AG152" s="1382"/>
      <c r="AH152" s="1382"/>
      <c r="AI152" s="1382"/>
      <c r="AJ152" s="1382"/>
      <c r="AK152" s="181"/>
      <c r="AL152" s="181"/>
      <c r="AM152" s="181"/>
      <c r="AN152" s="181"/>
      <c r="AO152" s="181"/>
      <c r="AP152" s="181"/>
      <c r="AQ152" s="181"/>
      <c r="AR152" s="181"/>
      <c r="AS152" s="181"/>
      <c r="AT152" s="181"/>
      <c r="AU152" s="181"/>
      <c r="AV152" s="181"/>
      <c r="AW152" s="181"/>
    </row>
    <row r="153" spans="1:49" s="30" customFormat="1" x14ac:dyDescent="0.25">
      <c r="A153" s="1407" t="str">
        <f>IF(COUNTIF('04 - 95% CD'!D153:G153,"Y")&gt;0,"Y",IF(COUNTIF('04 - 95% CD'!D153:G153,"N"),"N",""))</f>
        <v>Y</v>
      </c>
      <c r="B153" s="191"/>
      <c r="C153" s="944"/>
      <c r="D153" s="321"/>
      <c r="E153" s="559" t="str">
        <f>IF('C-Design&amp;Const'!$Q153="","",'C-Design&amp;Const'!$Q153)</f>
        <v>Y</v>
      </c>
      <c r="F153" s="560"/>
      <c r="G153" s="558"/>
      <c r="H153" s="238" t="str">
        <f>CONCATENATE(IF(E153="N","PLACEHOLDER ROW - ",""),IF(E153="N","",J153),'C-Design&amp;Const'!Z153,)</f>
        <v xml:space="preserve">(Updates to) Results of Transformer Load Calculation -** calculations available upon request </v>
      </c>
      <c r="I153" s="186"/>
      <c r="J153" s="578" t="str">
        <f>IF('C-Design&amp;Const'!AI153="","",'C-Design&amp;Const'!AI153)</f>
        <v xml:space="preserve">(Updates to) </v>
      </c>
      <c r="K153" s="285" t="str">
        <f>IF((COUNTIF(D153:G153,"Y")=COUNTIF('04 - 95% CD'!A153,"Y")),"match","no 95% match")</f>
        <v>match</v>
      </c>
      <c r="L153" s="1410" t="str">
        <f t="shared" si="4"/>
        <v/>
      </c>
      <c r="M153" s="1382"/>
      <c r="N153" s="1382"/>
      <c r="O153" s="1382"/>
      <c r="P153" s="1382"/>
      <c r="Q153" s="1382"/>
      <c r="R153" s="1490"/>
      <c r="S153" s="1274"/>
      <c r="T153" s="1274"/>
      <c r="U153" s="1382"/>
      <c r="V153" s="1382"/>
      <c r="W153" s="1382"/>
      <c r="X153" s="1382"/>
      <c r="Y153" s="1382"/>
      <c r="Z153" s="1382"/>
      <c r="AA153" s="1382"/>
      <c r="AB153" s="1382"/>
      <c r="AC153" s="1382"/>
      <c r="AD153" s="1382"/>
      <c r="AE153" s="1382"/>
      <c r="AF153" s="1382"/>
      <c r="AG153" s="1382"/>
      <c r="AH153" s="1382"/>
      <c r="AI153" s="1382"/>
      <c r="AJ153" s="1382"/>
      <c r="AK153" s="181"/>
      <c r="AL153" s="181"/>
      <c r="AM153" s="181"/>
      <c r="AN153" s="181"/>
      <c r="AO153" s="181"/>
      <c r="AP153" s="181"/>
      <c r="AQ153" s="181"/>
      <c r="AR153" s="181"/>
      <c r="AS153" s="181"/>
      <c r="AT153" s="181"/>
      <c r="AU153" s="181"/>
      <c r="AV153" s="181"/>
      <c r="AW153" s="181"/>
    </row>
    <row r="154" spans="1:49" s="30" customFormat="1" ht="26.25" customHeight="1" x14ac:dyDescent="0.25">
      <c r="A154" s="1407" t="str">
        <f>IF(COUNTIF('04 - 95% CD'!D154:G154,"Y")&gt;0,"Y",IF(COUNTIF('04 - 95% CD'!D154:G154,"N"),"N",""))</f>
        <v>Y</v>
      </c>
      <c r="B154" s="191"/>
      <c r="C154" s="944"/>
      <c r="D154" s="321"/>
      <c r="E154" s="559" t="str">
        <f>IF('C-Design&amp;Const'!$Q154="","",'C-Design&amp;Const'!$Q154)</f>
        <v>Y</v>
      </c>
      <c r="F154" s="560"/>
      <c r="G154" s="558"/>
      <c r="H154" s="340" t="str">
        <f>CONCATENATE(IF(E154="N","PLACEHOLDER ROW - ",""),IF(E154="N","",J154),'C-Design&amp;Const'!Z154,)</f>
        <v xml:space="preserve">(Updates to) Results of Short-Circuit (Fault) Analysis of Building Electrical System- ** calculations available upon request </v>
      </c>
      <c r="I154" s="186"/>
      <c r="J154" s="578" t="str">
        <f>IF('C-Design&amp;Const'!AI154="","",'C-Design&amp;Const'!AI154)</f>
        <v xml:space="preserve">(Updates to) </v>
      </c>
      <c r="K154" s="285" t="str">
        <f>IF((COUNTIF(D154:G154,"Y")=COUNTIF('04 - 95% CD'!A154,"Y")),"match","no 95% match")</f>
        <v>match</v>
      </c>
      <c r="L154" s="1410" t="str">
        <f t="shared" si="4"/>
        <v/>
      </c>
      <c r="M154" s="1382"/>
      <c r="N154" s="1382"/>
      <c r="O154" s="1382"/>
      <c r="P154" s="1382"/>
      <c r="Q154" s="1382"/>
      <c r="R154" s="1490"/>
      <c r="S154" s="1274"/>
      <c r="T154" s="1274"/>
      <c r="U154" s="1382"/>
      <c r="V154" s="1382"/>
      <c r="W154" s="1382"/>
      <c r="X154" s="1382"/>
      <c r="Y154" s="1382"/>
      <c r="Z154" s="1382"/>
      <c r="AA154" s="1382"/>
      <c r="AB154" s="1382"/>
      <c r="AC154" s="1382"/>
      <c r="AD154" s="1382"/>
      <c r="AE154" s="1382"/>
      <c r="AF154" s="1382"/>
      <c r="AG154" s="1382"/>
      <c r="AH154" s="1382"/>
      <c r="AI154" s="1382"/>
      <c r="AJ154" s="1382"/>
      <c r="AK154" s="181"/>
      <c r="AL154" s="181"/>
      <c r="AM154" s="181"/>
      <c r="AN154" s="181"/>
      <c r="AO154" s="181"/>
      <c r="AP154" s="181"/>
      <c r="AQ154" s="181"/>
      <c r="AR154" s="181"/>
      <c r="AS154" s="181"/>
      <c r="AT154" s="181"/>
      <c r="AU154" s="181"/>
      <c r="AV154" s="181"/>
      <c r="AW154" s="181"/>
    </row>
    <row r="155" spans="1:49" s="30" customFormat="1" ht="17.25" customHeight="1" x14ac:dyDescent="0.25">
      <c r="A155" s="1407" t="str">
        <f>IF(COUNTIF('04 - 95% CD'!D155:G155,"Y")&gt;0,"Y",IF(COUNTIF('04 - 95% CD'!D155:G155,"N"),"N",""))</f>
        <v>Y</v>
      </c>
      <c r="B155" s="191"/>
      <c r="C155" s="944"/>
      <c r="D155" s="321"/>
      <c r="E155" s="559" t="str">
        <f>IF('C-Design&amp;Const'!$Q155="","",'C-Design&amp;Const'!$Q155)</f>
        <v>Y</v>
      </c>
      <c r="F155" s="560"/>
      <c r="G155" s="558"/>
      <c r="H155" s="340" t="str">
        <f>CONCATENATE(IF(E155="N","PLACEHOLDER ROW - ",""),IF(E155="N","",J155),'C-Design&amp;Const'!Z155,)</f>
        <v xml:space="preserve">(Updates to) Extensions of Primary Electrical Distribution-** calculations available upon request </v>
      </c>
      <c r="I155" s="186"/>
      <c r="J155" s="578" t="str">
        <f>IF('C-Design&amp;Const'!AI155="","",'C-Design&amp;Const'!AI155)</f>
        <v xml:space="preserve">(Updates to) </v>
      </c>
      <c r="K155" s="285" t="str">
        <f>IF((COUNTIF(D155:G155,"Y")=COUNTIF('04 - 95% CD'!A155,"Y")),"match","no 95% match")</f>
        <v>match</v>
      </c>
      <c r="L155" s="1410" t="str">
        <f t="shared" si="4"/>
        <v/>
      </c>
      <c r="M155" s="1382"/>
      <c r="N155" s="1382"/>
      <c r="O155" s="1382"/>
      <c r="P155" s="1382"/>
      <c r="Q155" s="1382"/>
      <c r="R155" s="1490"/>
      <c r="S155" s="1274"/>
      <c r="T155" s="1274"/>
      <c r="U155" s="1382"/>
      <c r="V155" s="1382"/>
      <c r="W155" s="1382"/>
      <c r="X155" s="1382"/>
      <c r="Y155" s="1382"/>
      <c r="Z155" s="1382"/>
      <c r="AA155" s="1382"/>
      <c r="AB155" s="1382"/>
      <c r="AC155" s="1382"/>
      <c r="AD155" s="1382"/>
      <c r="AE155" s="1382"/>
      <c r="AF155" s="1382"/>
      <c r="AG155" s="1382"/>
      <c r="AH155" s="1382"/>
      <c r="AI155" s="1382"/>
      <c r="AJ155" s="1382"/>
      <c r="AK155" s="181"/>
      <c r="AL155" s="181"/>
      <c r="AM155" s="181"/>
      <c r="AN155" s="181"/>
      <c r="AO155" s="181"/>
      <c r="AP155" s="181"/>
      <c r="AQ155" s="181"/>
      <c r="AR155" s="181"/>
      <c r="AS155" s="181"/>
      <c r="AT155" s="181"/>
      <c r="AU155" s="181"/>
      <c r="AV155" s="181"/>
      <c r="AW155" s="181"/>
    </row>
    <row r="156" spans="1:49" s="30" customFormat="1" ht="27" customHeight="1" x14ac:dyDescent="0.25">
      <c r="A156" s="1407" t="str">
        <f>IF(COUNTIF('04 - 95% CD'!D156:G156,"Y")&gt;0,"Y",IF(COUNTIF('04 - 95% CD'!D156:G156,"N"),"N",""))</f>
        <v>Y</v>
      </c>
      <c r="B156" s="191"/>
      <c r="C156" s="944"/>
      <c r="D156" s="321"/>
      <c r="E156" s="559" t="str">
        <f>IF('C-Design&amp;Const'!$Q156="","",'C-Design&amp;Const'!$Q156)</f>
        <v>Y</v>
      </c>
      <c r="F156" s="560"/>
      <c r="G156" s="558"/>
      <c r="H156" s="340" t="str">
        <f>CONCATENATE(IF(E156="N","PLACEHOLDER ROW - ",""),IF(E156="N","",J156),'C-Design&amp;Const'!Z156,)</f>
        <v xml:space="preserve">(Updates to) Results of Proposed Lighting Power Density Calculation (output from COMcheck software or similar) showing Compliance with Energy Codes and Standards -** calculations available upon request </v>
      </c>
      <c r="I156" s="186"/>
      <c r="J156" s="578" t="str">
        <f>IF('C-Design&amp;Const'!AI156="","",'C-Design&amp;Const'!AI156)</f>
        <v xml:space="preserve">(Updates to) </v>
      </c>
      <c r="K156" s="285" t="str">
        <f>IF((COUNTIF(D156:G156,"Y")=COUNTIF('04 - 95% CD'!A156,"Y")),"match","no 95% match")</f>
        <v>match</v>
      </c>
      <c r="L156" s="1410" t="str">
        <f t="shared" si="4"/>
        <v/>
      </c>
      <c r="M156" s="1382"/>
      <c r="N156" s="1382"/>
      <c r="O156" s="1382"/>
      <c r="P156" s="1382"/>
      <c r="Q156" s="1382"/>
      <c r="R156" s="1490"/>
      <c r="S156" s="1274"/>
      <c r="T156" s="1274"/>
      <c r="U156" s="1382"/>
      <c r="V156" s="1382"/>
      <c r="W156" s="1382"/>
      <c r="X156" s="1382"/>
      <c r="Y156" s="1382"/>
      <c r="Z156" s="1382"/>
      <c r="AA156" s="1382"/>
      <c r="AB156" s="1382"/>
      <c r="AC156" s="1382"/>
      <c r="AD156" s="1382"/>
      <c r="AE156" s="1382"/>
      <c r="AF156" s="1382"/>
      <c r="AG156" s="1382"/>
      <c r="AH156" s="1382"/>
      <c r="AI156" s="1382"/>
      <c r="AJ156" s="1382"/>
      <c r="AK156" s="181"/>
      <c r="AL156" s="181"/>
      <c r="AM156" s="181"/>
      <c r="AN156" s="181"/>
      <c r="AO156" s="181"/>
      <c r="AP156" s="181"/>
      <c r="AQ156" s="181"/>
      <c r="AR156" s="181"/>
      <c r="AS156" s="181"/>
      <c r="AT156" s="181"/>
      <c r="AU156" s="181"/>
      <c r="AV156" s="181"/>
      <c r="AW156" s="181"/>
    </row>
    <row r="157" spans="1:49" s="30" customFormat="1" ht="28.5" x14ac:dyDescent="0.25">
      <c r="A157" s="1407" t="str">
        <f>IF(COUNTIF('04 - 95% CD'!D157:G157,"Y")&gt;0,"Y",IF(COUNTIF('04 - 95% CD'!D157:G157,"N"),"N",""))</f>
        <v>Y</v>
      </c>
      <c r="B157" s="191"/>
      <c r="C157" s="944"/>
      <c r="D157" s="321"/>
      <c r="E157" s="559" t="str">
        <f>IF('C-Design&amp;Const'!$Q157="","",'C-Design&amp;Const'!$Q157)</f>
        <v>Y</v>
      </c>
      <c r="F157" s="560"/>
      <c r="G157" s="558"/>
      <c r="H157" s="238" t="str">
        <f>CONCATENATE(IF(E157="N","PLACEHOLDER ROW - ",""),IF(E157="N","",J157),'C-Design&amp;Const'!Z157,)</f>
        <v>(Updates to) Results of Point-by-Point Exterior Lighting Calculations Showing Compliance with IESNA Recommendations</v>
      </c>
      <c r="I157" s="186"/>
      <c r="J157" s="578" t="str">
        <f>IF('C-Design&amp;Const'!AI157="","",'C-Design&amp;Const'!AI157)</f>
        <v xml:space="preserve">(Updates to) </v>
      </c>
      <c r="K157" s="285" t="str">
        <f>IF((COUNTIF(D157:G157,"Y")=COUNTIF('04 - 95% CD'!A157,"Y")),"match","no 95% match")</f>
        <v>match</v>
      </c>
      <c r="L157" s="1410" t="str">
        <f t="shared" si="4"/>
        <v/>
      </c>
      <c r="M157" s="1382"/>
      <c r="N157" s="1382"/>
      <c r="O157" s="1382"/>
      <c r="P157" s="1382"/>
      <c r="Q157" s="1382"/>
      <c r="R157" s="1490"/>
      <c r="S157" s="1274"/>
      <c r="T157" s="1274"/>
      <c r="U157" s="1382"/>
      <c r="V157" s="1382"/>
      <c r="W157" s="1382"/>
      <c r="X157" s="1382"/>
      <c r="Y157" s="1382"/>
      <c r="Z157" s="1382"/>
      <c r="AA157" s="1382"/>
      <c r="AB157" s="1382"/>
      <c r="AC157" s="1382"/>
      <c r="AD157" s="1382"/>
      <c r="AE157" s="1382"/>
      <c r="AF157" s="1382"/>
      <c r="AG157" s="1382"/>
      <c r="AH157" s="1382"/>
      <c r="AI157" s="1382"/>
      <c r="AJ157" s="1382"/>
      <c r="AK157" s="181"/>
      <c r="AL157" s="181"/>
      <c r="AM157" s="181"/>
      <c r="AN157" s="181"/>
      <c r="AO157" s="181"/>
      <c r="AP157" s="181"/>
      <c r="AQ157" s="181"/>
      <c r="AR157" s="181"/>
      <c r="AS157" s="181"/>
      <c r="AT157" s="181"/>
      <c r="AU157" s="181"/>
      <c r="AV157" s="181"/>
      <c r="AW157" s="181"/>
    </row>
    <row r="158" spans="1:49" s="30" customFormat="1" x14ac:dyDescent="0.25">
      <c r="A158" s="1407" t="str">
        <f>IF(COUNTIF('04 - 95% CD'!D158:G158,"Y")&gt;0,"Y",IF(COUNTIF('04 - 95% CD'!D158:G158,"N"),"N",""))</f>
        <v>Y</v>
      </c>
      <c r="B158" s="191"/>
      <c r="C158" s="944"/>
      <c r="D158" s="321"/>
      <c r="E158" s="559" t="str">
        <f>IF('C-Design&amp;Const'!$Q158="","",'C-Design&amp;Const'!$Q158)</f>
        <v>Y</v>
      </c>
      <c r="F158" s="560"/>
      <c r="G158" s="558"/>
      <c r="H158" s="238" t="str">
        <f>CONCATENATE(IF(E158="N","PLACEHOLDER ROW - ",""),IF(E158="N","",J158),'C-Design&amp;Const'!Z158,)</f>
        <v>(Updates to) Results of Point-by-Point Interior Lighting Calculations for Each Typical Space</v>
      </c>
      <c r="I158" s="186"/>
      <c r="J158" s="578" t="str">
        <f>IF('C-Design&amp;Const'!AI158="","",'C-Design&amp;Const'!AI158)</f>
        <v xml:space="preserve">(Updates to) </v>
      </c>
      <c r="K158" s="285" t="str">
        <f>IF((COUNTIF(D158:G158,"Y")=COUNTIF('04 - 95% CD'!A158,"Y")),"match","no 95% match")</f>
        <v>match</v>
      </c>
      <c r="L158" s="1410" t="str">
        <f t="shared" si="4"/>
        <v/>
      </c>
      <c r="M158" s="1382"/>
      <c r="N158" s="1382"/>
      <c r="O158" s="1382"/>
      <c r="P158" s="1382"/>
      <c r="Q158" s="1382"/>
      <c r="R158" s="1490"/>
      <c r="S158" s="1274"/>
      <c r="T158" s="1274"/>
      <c r="U158" s="1382"/>
      <c r="V158" s="1382"/>
      <c r="W158" s="1382"/>
      <c r="X158" s="1382"/>
      <c r="Y158" s="1382"/>
      <c r="Z158" s="1382"/>
      <c r="AA158" s="1382"/>
      <c r="AB158" s="1382"/>
      <c r="AC158" s="1382"/>
      <c r="AD158" s="1382"/>
      <c r="AE158" s="1382"/>
      <c r="AF158" s="1382"/>
      <c r="AG158" s="1382"/>
      <c r="AH158" s="1382"/>
      <c r="AI158" s="1382"/>
      <c r="AJ158" s="1382"/>
      <c r="AK158" s="181"/>
      <c r="AL158" s="181"/>
      <c r="AM158" s="181"/>
      <c r="AN158" s="181"/>
      <c r="AO158" s="181"/>
      <c r="AP158" s="181"/>
      <c r="AQ158" s="181"/>
      <c r="AR158" s="181"/>
      <c r="AS158" s="181"/>
      <c r="AT158" s="181"/>
      <c r="AU158" s="181"/>
      <c r="AV158" s="181"/>
      <c r="AW158" s="181"/>
    </row>
    <row r="159" spans="1:49" s="30" customFormat="1" x14ac:dyDescent="0.25">
      <c r="A159" s="1407" t="str">
        <f>IF(COUNTIF('04 - 95% CD'!D159:G159,"Y")&gt;0,"Y",IF(COUNTIF('04 - 95% CD'!D159:G159,"N"),"N",""))</f>
        <v>Y</v>
      </c>
      <c r="B159" s="191"/>
      <c r="C159" s="944"/>
      <c r="D159" s="321"/>
      <c r="E159" s="559" t="str">
        <f>IF('C-Design&amp;Const'!$Q159="","",'C-Design&amp;Const'!$Q159)</f>
        <v>Y</v>
      </c>
      <c r="F159" s="560"/>
      <c r="G159" s="558"/>
      <c r="H159" s="238" t="str">
        <f>CONCATENATE(IF(E159="N","PLACEHOLDER ROW - ",""),IF(E159="N","",J159),'C-Design&amp;Const'!Z159,)</f>
        <v xml:space="preserve">(Updates to) Extensions of Primary Building Automation Systems </v>
      </c>
      <c r="I159" s="186"/>
      <c r="J159" s="578" t="str">
        <f>IF('C-Design&amp;Const'!AI159="","",'C-Design&amp;Const'!AI159)</f>
        <v xml:space="preserve">(Updates to) </v>
      </c>
      <c r="K159" s="285" t="str">
        <f>IF((COUNTIF(D159:G159,"Y")=COUNTIF('04 - 95% CD'!A159,"Y")),"match","no 95% match")</f>
        <v>match</v>
      </c>
      <c r="L159" s="1410" t="str">
        <f t="shared" si="4"/>
        <v/>
      </c>
      <c r="M159" s="1382"/>
      <c r="N159" s="1382"/>
      <c r="O159" s="1382"/>
      <c r="P159" s="1382"/>
      <c r="Q159" s="1382"/>
      <c r="R159" s="1490"/>
      <c r="S159" s="1274"/>
      <c r="T159" s="1274"/>
      <c r="U159" s="1382"/>
      <c r="V159" s="1382"/>
      <c r="W159" s="1382"/>
      <c r="X159" s="1382"/>
      <c r="Y159" s="1382"/>
      <c r="Z159" s="1382"/>
      <c r="AA159" s="1382"/>
      <c r="AB159" s="1382"/>
      <c r="AC159" s="1382"/>
      <c r="AD159" s="1382"/>
      <c r="AE159" s="1382"/>
      <c r="AF159" s="1382"/>
      <c r="AG159" s="1382"/>
      <c r="AH159" s="1382"/>
      <c r="AI159" s="1382"/>
      <c r="AJ159" s="1382"/>
      <c r="AK159" s="181"/>
      <c r="AL159" s="181"/>
      <c r="AM159" s="181"/>
      <c r="AN159" s="181"/>
      <c r="AO159" s="181"/>
      <c r="AP159" s="181"/>
      <c r="AQ159" s="181"/>
      <c r="AR159" s="181"/>
      <c r="AS159" s="181"/>
      <c r="AT159" s="181"/>
      <c r="AU159" s="181"/>
      <c r="AV159" s="181"/>
      <c r="AW159" s="181"/>
    </row>
    <row r="160" spans="1:49" s="30" customFormat="1" x14ac:dyDescent="0.25">
      <c r="A160" s="1407" t="str">
        <f>IF(COUNTIF('04 - 95% CD'!D160:G160,"Y")&gt;0,"Y",IF(COUNTIF('04 - 95% CD'!D160:G160,"N"),"N",""))</f>
        <v>N</v>
      </c>
      <c r="B160" s="191"/>
      <c r="C160" s="944"/>
      <c r="D160" s="321"/>
      <c r="E160" s="559" t="str">
        <f>IF('C-Design&amp;Const'!$Q160="","",'C-Design&amp;Const'!$Q160)</f>
        <v>N</v>
      </c>
      <c r="F160" s="560"/>
      <c r="G160" s="558"/>
      <c r="H160" s="410" t="str">
        <f>CONCATENATE(IF(E160="N","PLACEHOLDER ROW - ",""),IF(E160="N","",J160),'C-Design&amp;Const'!Z160,)</f>
        <v>PLACEHOLDER ROW - IDNR Consultation (EcoCAT and results)</v>
      </c>
      <c r="I160" s="186"/>
      <c r="J160" s="578" t="str">
        <f>IF('C-Design&amp;Const'!AI160="","",'C-Design&amp;Const'!AI160)</f>
        <v xml:space="preserve">(IDNR Consultation Results &amp; if required, Consultant Response) </v>
      </c>
      <c r="K160" s="285" t="str">
        <f>IF((COUNTIF(D160:G160,"Y")=COUNTIF('04 - 95% CD'!A160,"Y")),"match","no 95% match")</f>
        <v>no 95% match</v>
      </c>
      <c r="L160" s="1410" t="str">
        <f t="shared" si="4"/>
        <v>&lt;---PM/Planner may hide PLACEHOLDER ROW</v>
      </c>
      <c r="M160" s="1382"/>
      <c r="N160" s="1382"/>
      <c r="O160" s="1382"/>
      <c r="P160" s="1382"/>
      <c r="Q160" s="1382"/>
      <c r="R160" s="1490"/>
      <c r="S160" s="1274"/>
      <c r="T160" s="1274"/>
      <c r="U160" s="1382"/>
      <c r="V160" s="1382"/>
      <c r="W160" s="1382"/>
      <c r="X160" s="1382"/>
      <c r="Y160" s="1382"/>
      <c r="Z160" s="1382"/>
      <c r="AA160" s="1382"/>
      <c r="AB160" s="1382"/>
      <c r="AC160" s="1382"/>
      <c r="AD160" s="1382"/>
      <c r="AE160" s="1382"/>
      <c r="AF160" s="1382"/>
      <c r="AG160" s="1382"/>
      <c r="AH160" s="1382"/>
      <c r="AI160" s="1382"/>
      <c r="AJ160" s="1382"/>
      <c r="AK160" s="181"/>
      <c r="AL160" s="181"/>
      <c r="AM160" s="181"/>
      <c r="AN160" s="181"/>
      <c r="AO160" s="181"/>
      <c r="AP160" s="181"/>
      <c r="AQ160" s="181"/>
      <c r="AR160" s="181"/>
      <c r="AS160" s="181"/>
      <c r="AT160" s="181"/>
      <c r="AU160" s="181"/>
      <c r="AV160" s="181"/>
      <c r="AW160" s="181"/>
    </row>
    <row r="161" spans="1:50" s="30" customFormat="1" x14ac:dyDescent="0.25">
      <c r="A161" s="1407" t="str">
        <f>IF(COUNTIF('04 - 95% CD'!D161:G161,"Y")&gt;0,"Y",IF(COUNTIF('04 - 95% CD'!D161:G161,"N"),"N",""))</f>
        <v>N</v>
      </c>
      <c r="B161" s="191"/>
      <c r="C161" s="944"/>
      <c r="D161" s="321"/>
      <c r="E161" s="559" t="str">
        <f>IF('C-Design&amp;Const'!$Q161="","",'C-Design&amp;Const'!$Q161)</f>
        <v>N</v>
      </c>
      <c r="F161" s="560"/>
      <c r="G161" s="558"/>
      <c r="H161" s="410" t="str">
        <f>CONCATENATE(IF(ISNUMBER(SEARCH("Placeholder",'C-Design&amp;Const'!Z161))=TRUE,"",IF(E161="N","PLACEHOLDER ROW - ","")),'C-Design&amp;Const'!Z161,IF(E161="N","",J161))</f>
        <v>PLACEHOLDER ROW - Results of Environmental Impact Assessments or Statements</v>
      </c>
      <c r="I161" s="186"/>
      <c r="J161" s="578" t="str">
        <f>IF('C-Design&amp;Const'!AI161="","",'C-Design&amp;Const'!AI161)</f>
        <v xml:space="preserve">(Updates to) </v>
      </c>
      <c r="K161" s="285" t="str">
        <f>IF((COUNTIF(D161:G161,"Y")=COUNTIF('04 - 95% CD'!A161,"Y")),"match","no 95% match")</f>
        <v>match</v>
      </c>
      <c r="L161" s="1410" t="str">
        <f t="shared" si="4"/>
        <v>&lt;---PM/Planner may hide PLACEHOLDER ROW</v>
      </c>
      <c r="M161" s="1382"/>
      <c r="N161" s="1382"/>
      <c r="O161" s="1382"/>
      <c r="P161" s="1382"/>
      <c r="Q161" s="1382"/>
      <c r="R161" s="1490"/>
      <c r="S161" s="1274"/>
      <c r="T161" s="1274"/>
      <c r="U161" s="1382"/>
      <c r="V161" s="1382"/>
      <c r="W161" s="1382"/>
      <c r="X161" s="1382"/>
      <c r="Y161" s="1382"/>
      <c r="Z161" s="1382"/>
      <c r="AA161" s="1382"/>
      <c r="AB161" s="1382"/>
      <c r="AC161" s="1382"/>
      <c r="AD161" s="1382"/>
      <c r="AE161" s="1382"/>
      <c r="AF161" s="1382"/>
      <c r="AG161" s="1382"/>
      <c r="AH161" s="1382"/>
      <c r="AI161" s="1382"/>
      <c r="AJ161" s="1382"/>
      <c r="AK161" s="181"/>
      <c r="AL161" s="181"/>
      <c r="AM161" s="181"/>
      <c r="AN161" s="181"/>
      <c r="AO161" s="181"/>
      <c r="AP161" s="181"/>
      <c r="AQ161" s="181"/>
      <c r="AR161" s="181"/>
      <c r="AS161" s="181"/>
      <c r="AT161" s="181"/>
      <c r="AU161" s="181"/>
      <c r="AV161" s="181"/>
      <c r="AW161" s="181"/>
    </row>
    <row r="162" spans="1:50" s="30" customFormat="1" x14ac:dyDescent="0.25">
      <c r="A162" s="1407" t="str">
        <f>IF(COUNTIF('04 - 95% CD'!D162:G162,"Y")&gt;0,"Y",IF(COUNTIF('04 - 95% CD'!D162:G162,"N"),"N",""))</f>
        <v>N</v>
      </c>
      <c r="B162" s="191"/>
      <c r="C162" s="944"/>
      <c r="D162" s="321"/>
      <c r="E162" s="559" t="str">
        <f>IF('C-Design&amp;Const'!$Q162="","",'C-Design&amp;Const'!$Q162)</f>
        <v>N</v>
      </c>
      <c r="F162" s="560"/>
      <c r="G162" s="558"/>
      <c r="H162" s="410" t="str">
        <f>CONCATENATE(IF(ISNUMBER(SEARCH("Placeholder",'C-Design&amp;Const'!Z162))=TRUE,"",IF(E162="N","PLACEHOLDER ROW - ","")),'C-Design&amp;Const'!Z162,IF(E162="N","",J162))</f>
        <v>PLACEHOLDER ROW - Results of Archealogical Field Reports or Assessments</v>
      </c>
      <c r="I162" s="186"/>
      <c r="J162" s="578" t="str">
        <f>IF('C-Design&amp;Const'!AI162="","",'C-Design&amp;Const'!AI162)</f>
        <v xml:space="preserve">(Updates to) </v>
      </c>
      <c r="K162" s="285" t="str">
        <f>IF((COUNTIF(D162:G162,"Y")=COUNTIF('04 - 95% CD'!A162,"Y")),"match","no 95% match")</f>
        <v>match</v>
      </c>
      <c r="L162" s="1410" t="str">
        <f t="shared" si="4"/>
        <v>&lt;---PM/Planner may hide PLACEHOLDER ROW</v>
      </c>
      <c r="M162" s="1382"/>
      <c r="N162" s="1382"/>
      <c r="O162" s="1382"/>
      <c r="P162" s="1382"/>
      <c r="Q162" s="1382"/>
      <c r="R162" s="1490"/>
      <c r="S162" s="1274"/>
      <c r="T162" s="1274"/>
      <c r="U162" s="1382"/>
      <c r="V162" s="1382"/>
      <c r="W162" s="1382"/>
      <c r="X162" s="1382"/>
      <c r="Y162" s="1382"/>
      <c r="Z162" s="1382"/>
      <c r="AA162" s="1382"/>
      <c r="AB162" s="1382"/>
      <c r="AC162" s="1382"/>
      <c r="AD162" s="1382"/>
      <c r="AE162" s="1382"/>
      <c r="AF162" s="1382"/>
      <c r="AG162" s="1382"/>
      <c r="AH162" s="1382"/>
      <c r="AI162" s="1382"/>
      <c r="AJ162" s="1382"/>
      <c r="AK162" s="181"/>
      <c r="AL162" s="181"/>
      <c r="AM162" s="181"/>
      <c r="AN162" s="181"/>
      <c r="AO162" s="181"/>
      <c r="AP162" s="181"/>
      <c r="AQ162" s="181"/>
      <c r="AR162" s="181"/>
      <c r="AS162" s="181"/>
      <c r="AT162" s="181"/>
      <c r="AU162" s="181"/>
      <c r="AV162" s="181"/>
      <c r="AW162" s="181"/>
    </row>
    <row r="163" spans="1:50" s="30" customFormat="1" ht="15" customHeight="1" x14ac:dyDescent="0.25">
      <c r="A163" s="1407" t="str">
        <f>IF(COUNTIF('04 - 95% CD'!D163:G163,"Y")&gt;0,"Y",IF(COUNTIF('04 - 95% CD'!D163:G163,"N"),"N",""))</f>
        <v>N</v>
      </c>
      <c r="B163" s="191"/>
      <c r="C163" s="944"/>
      <c r="D163" s="463"/>
      <c r="E163" s="559" t="str">
        <f>IF('C-Design&amp;Const'!$Q163="","",'C-Design&amp;Const'!$Q163)</f>
        <v>N</v>
      </c>
      <c r="F163" s="235"/>
      <c r="G163" s="291"/>
      <c r="H163" s="358" t="str">
        <f>CONCATENATE(IF(ISNUMBER(SEARCH("Placeholder",'C-Design&amp;Const'!Z163))=TRUE,"",IF(E163="N","PLACEHOLDER ROW - ","")),'C-Design&amp;Const'!Z163,IF(E163="N","",J163))</f>
        <v>PLACEHOLDER ROW - CUSTOM ROW - OPTIONAL CLIENT ITEM</v>
      </c>
      <c r="I163" s="184"/>
      <c r="J163" s="578" t="str">
        <f>IF('C-Design&amp;Const'!AI163="","",'C-Design&amp;Const'!AI163)</f>
        <v xml:space="preserve">(Updates to) </v>
      </c>
      <c r="K163" s="285" t="str">
        <f>IF((COUNTIF(D163:G163,"Y")=COUNTIF('04 - 95% CD'!A163,"Y")),"match","no 95% match")</f>
        <v>match</v>
      </c>
      <c r="L163" s="1410" t="str">
        <f t="shared" si="4"/>
        <v>&lt;---PM/Planner may hide PLACEHOLDER ROW</v>
      </c>
      <c r="M163" s="1382"/>
      <c r="N163" s="1382"/>
      <c r="O163" s="1382"/>
      <c r="P163" s="1382"/>
      <c r="Q163" s="1382"/>
      <c r="R163" s="1382"/>
      <c r="S163" s="1382"/>
      <c r="T163" s="1382"/>
      <c r="U163" s="1382"/>
      <c r="V163" s="1382"/>
      <c r="W163" s="1382"/>
      <c r="X163" s="1382"/>
      <c r="Y163" s="1382"/>
      <c r="Z163" s="1382"/>
      <c r="AA163" s="1382"/>
      <c r="AB163" s="1382"/>
      <c r="AC163" s="1382"/>
      <c r="AD163" s="1382"/>
      <c r="AE163" s="1382"/>
      <c r="AF163" s="1382"/>
      <c r="AG163" s="1382"/>
      <c r="AH163" s="1382"/>
      <c r="AI163" s="1382"/>
      <c r="AJ163" s="1382"/>
      <c r="AK163" s="181"/>
      <c r="AL163" s="181"/>
      <c r="AM163" s="181"/>
      <c r="AN163" s="181"/>
      <c r="AO163" s="181"/>
      <c r="AP163" s="181"/>
      <c r="AQ163" s="181"/>
      <c r="AR163" s="181"/>
      <c r="AS163" s="181"/>
      <c r="AT163" s="181"/>
      <c r="AU163" s="181"/>
      <c r="AV163" s="181"/>
      <c r="AW163" s="181"/>
    </row>
    <row r="164" spans="1:50" s="30" customFormat="1" ht="15" customHeight="1" x14ac:dyDescent="0.25">
      <c r="A164" s="1407" t="str">
        <f>IF(COUNTIF('04 - 95% CD'!D164:G164,"Y")&gt;0,"Y",IF(COUNTIF('04 - 95% CD'!D164:G164,"N"),"N",""))</f>
        <v>N</v>
      </c>
      <c r="B164" s="191"/>
      <c r="C164" s="944"/>
      <c r="D164" s="463"/>
      <c r="E164" s="559" t="str">
        <f>IF('C-Design&amp;Const'!$Q164="","",'C-Design&amp;Const'!$Q164)</f>
        <v>N</v>
      </c>
      <c r="F164" s="235"/>
      <c r="G164" s="291"/>
      <c r="H164" s="358" t="str">
        <f>CONCATENATE(IF(ISNUMBER(SEARCH("Placeholder",'C-Design&amp;Const'!Z164))=TRUE,"",IF(E164="N","PLACEHOLDER ROW - ","")),'C-Design&amp;Const'!Z164,IF(E164="N","",J164))</f>
        <v>PLACEHOLDER ROW - CUSTOM ROW - OPTIONAL CLIENT ITEM</v>
      </c>
      <c r="I164" s="184"/>
      <c r="J164" s="578" t="str">
        <f>IF('C-Design&amp;Const'!AI164="","",'C-Design&amp;Const'!AI164)</f>
        <v xml:space="preserve">(Updates to) </v>
      </c>
      <c r="K164" s="285" t="str">
        <f>IF((COUNTIF(D164:G164,"Y")=COUNTIF('04 - 95% CD'!A164,"Y")),"match","no 95% match")</f>
        <v>match</v>
      </c>
      <c r="L164" s="1410" t="str">
        <f t="shared" si="4"/>
        <v>&lt;---PM/Planner may hide PLACEHOLDER ROW</v>
      </c>
      <c r="M164" s="1382"/>
      <c r="N164" s="1382"/>
      <c r="O164" s="1382"/>
      <c r="P164" s="1382"/>
      <c r="Q164" s="1382"/>
      <c r="R164" s="1382"/>
      <c r="S164" s="1382"/>
      <c r="T164" s="1382"/>
      <c r="U164" s="1382"/>
      <c r="V164" s="1382"/>
      <c r="W164" s="1382"/>
      <c r="X164" s="1382"/>
      <c r="Y164" s="1382"/>
      <c r="Z164" s="1382"/>
      <c r="AA164" s="1382"/>
      <c r="AB164" s="1382"/>
      <c r="AC164" s="1382"/>
      <c r="AD164" s="1382"/>
      <c r="AE164" s="1382"/>
      <c r="AF164" s="1382"/>
      <c r="AG164" s="1382"/>
      <c r="AH164" s="1382"/>
      <c r="AI164" s="1382"/>
      <c r="AJ164" s="1382"/>
      <c r="AK164" s="181"/>
      <c r="AL164" s="181"/>
      <c r="AM164" s="181"/>
      <c r="AN164" s="181"/>
      <c r="AO164" s="181"/>
      <c r="AP164" s="181"/>
      <c r="AQ164" s="181"/>
      <c r="AR164" s="181"/>
      <c r="AS164" s="181"/>
      <c r="AT164" s="181"/>
      <c r="AU164" s="181"/>
      <c r="AV164" s="181"/>
      <c r="AW164" s="181"/>
    </row>
    <row r="165" spans="1:50" s="30" customFormat="1" ht="15" customHeight="1" x14ac:dyDescent="0.25">
      <c r="A165" s="1407" t="str">
        <f>IF(COUNTIF('04 - 95% CD'!D165:G165,"Y")&gt;0,"Y",IF(COUNTIF('04 - 95% CD'!D165:G165,"N"),"N",""))</f>
        <v>N</v>
      </c>
      <c r="B165" s="191"/>
      <c r="C165" s="944"/>
      <c r="D165" s="463"/>
      <c r="E165" s="559" t="str">
        <f>IF('C-Design&amp;Const'!$Q165="","",'C-Design&amp;Const'!$Q165)</f>
        <v>N</v>
      </c>
      <c r="F165" s="235"/>
      <c r="G165" s="291"/>
      <c r="H165" s="358" t="str">
        <f>CONCATENATE(IF(ISNUMBER(SEARCH("Placeholder",'C-Design&amp;Const'!Z165))=TRUE,"",IF(E165="N","PLACEHOLDER ROW - ","")),'C-Design&amp;Const'!Z165,IF(E165="N","",J165))</f>
        <v>PLACEHOLDER ROW - CUSTOM ROW - OPTIONAL CLIENT ITEM</v>
      </c>
      <c r="I165" s="184"/>
      <c r="J165" s="578" t="str">
        <f>IF('C-Design&amp;Const'!AI165="","",'C-Design&amp;Const'!AI165)</f>
        <v xml:space="preserve">(Updates to) </v>
      </c>
      <c r="K165" s="285" t="str">
        <f>IF((COUNTIF(D165:G165,"Y")=COUNTIF('04 - 95% CD'!A165,"Y")),"match","no 95% match")</f>
        <v>match</v>
      </c>
      <c r="L165" s="1410" t="str">
        <f t="shared" si="4"/>
        <v>&lt;---PM/Planner may hide PLACEHOLDER ROW</v>
      </c>
      <c r="M165" s="1382"/>
      <c r="N165" s="1382"/>
      <c r="O165" s="1382"/>
      <c r="P165" s="1382"/>
      <c r="Q165" s="1382"/>
      <c r="R165" s="1382"/>
      <c r="S165" s="1382"/>
      <c r="T165" s="1382"/>
      <c r="U165" s="1382"/>
      <c r="V165" s="1382"/>
      <c r="W165" s="1382"/>
      <c r="X165" s="1382"/>
      <c r="Y165" s="1382"/>
      <c r="Z165" s="1382"/>
      <c r="AA165" s="1382"/>
      <c r="AB165" s="1382"/>
      <c r="AC165" s="1382"/>
      <c r="AD165" s="1382"/>
      <c r="AE165" s="1382"/>
      <c r="AF165" s="1382"/>
      <c r="AG165" s="1382"/>
      <c r="AH165" s="1382"/>
      <c r="AI165" s="1382"/>
      <c r="AJ165" s="1382"/>
      <c r="AK165" s="181"/>
      <c r="AL165" s="181"/>
      <c r="AM165" s="181"/>
      <c r="AN165" s="181"/>
      <c r="AO165" s="181"/>
      <c r="AP165" s="181"/>
      <c r="AQ165" s="181"/>
      <c r="AR165" s="181"/>
      <c r="AS165" s="181"/>
      <c r="AT165" s="181"/>
      <c r="AU165" s="181"/>
      <c r="AV165" s="181"/>
      <c r="AW165" s="181"/>
    </row>
    <row r="166" spans="1:50" s="30" customFormat="1" ht="15" customHeight="1" x14ac:dyDescent="0.25">
      <c r="A166" s="1407" t="str">
        <f>IF(COUNTIF('04 - 95% CD'!D166:G166,"Y")&gt;0,"Y",IF(COUNTIF('04 - 95% CD'!D166:G166,"N"),"N",""))</f>
        <v>N</v>
      </c>
      <c r="B166" s="191"/>
      <c r="C166" s="944"/>
      <c r="D166" s="463"/>
      <c r="E166" s="559" t="str">
        <f>IF('C-Design&amp;Const'!$Q166="","",'C-Design&amp;Const'!$Q166)</f>
        <v>N</v>
      </c>
      <c r="F166" s="235"/>
      <c r="G166" s="291"/>
      <c r="H166" s="358" t="str">
        <f>CONCATENATE(IF(ISNUMBER(SEARCH("Placeholder",'C-Design&amp;Const'!Z166))=TRUE,"",IF(E166="N","PLACEHOLDER ROW - ","")),'C-Design&amp;Const'!Z166,IF(E166="N","",J166))</f>
        <v>PLACEHOLDER ROW - CUSTOM ROW - OPTIONAL CLIENT ITEM</v>
      </c>
      <c r="I166" s="184"/>
      <c r="J166" s="578" t="str">
        <f>IF('C-Design&amp;Const'!AI166="","",'C-Design&amp;Const'!AI166)</f>
        <v xml:space="preserve">(Updates to) </v>
      </c>
      <c r="K166" s="285" t="str">
        <f>IF((COUNTIF(D166:G166,"Y")=COUNTIF('04 - 95% CD'!A166,"Y")),"match","no 95% match")</f>
        <v>match</v>
      </c>
      <c r="L166" s="1410" t="str">
        <f t="shared" si="4"/>
        <v>&lt;---PM/Planner may hide PLACEHOLDER ROW</v>
      </c>
      <c r="M166" s="1382"/>
      <c r="N166" s="1382"/>
      <c r="O166" s="1382"/>
      <c r="P166" s="1382"/>
      <c r="Q166" s="1382"/>
      <c r="R166" s="1382"/>
      <c r="S166" s="1382"/>
      <c r="T166" s="1382"/>
      <c r="U166" s="1382"/>
      <c r="V166" s="1382"/>
      <c r="W166" s="1382"/>
      <c r="X166" s="1382"/>
      <c r="Y166" s="1382"/>
      <c r="Z166" s="1382"/>
      <c r="AA166" s="1382"/>
      <c r="AB166" s="1382"/>
      <c r="AC166" s="1382"/>
      <c r="AD166" s="1382"/>
      <c r="AE166" s="1382"/>
      <c r="AF166" s="1382"/>
      <c r="AG166" s="1382"/>
      <c r="AH166" s="1382"/>
      <c r="AI166" s="1382"/>
      <c r="AJ166" s="1382"/>
      <c r="AK166" s="181"/>
      <c r="AL166" s="181"/>
      <c r="AM166" s="181"/>
      <c r="AN166" s="181"/>
      <c r="AO166" s="181"/>
      <c r="AP166" s="181"/>
      <c r="AQ166" s="181"/>
      <c r="AR166" s="181"/>
      <c r="AS166" s="181"/>
      <c r="AT166" s="181"/>
      <c r="AU166" s="181"/>
      <c r="AV166" s="181"/>
      <c r="AW166" s="181"/>
    </row>
    <row r="167" spans="1:50" s="17" customFormat="1" x14ac:dyDescent="0.25">
      <c r="A167" s="1407" t="str">
        <f>IF(COUNTIF('04 - 95% CD'!D167:G167,"Y")&gt;0,"Y",IF(COUNTIF('04 - 95% CD'!D167:G167,"N"),"N",""))</f>
        <v/>
      </c>
      <c r="B167" s="141"/>
      <c r="C167" s="944"/>
      <c r="D167" s="411"/>
      <c r="E167" s="411" t="str">
        <f>IF('C-Design&amp;Const'!$Q167="","",'C-Design&amp;Const'!$Q167)</f>
        <v/>
      </c>
      <c r="F167" s="321"/>
      <c r="G167" s="294"/>
      <c r="H167" s="296" t="str">
        <f>CONCATENATE(IF(ISNUMBER(SEARCH("Placeholder",'C-Design&amp;Const'!Z167))=TRUE,"",IF(E167="N","PLACEHOLDER ROW - ","")),'C-Design&amp;Const'!Z167,IF(E167="N","",J167))</f>
        <v/>
      </c>
      <c r="I167" s="130"/>
      <c r="J167" s="578" t="str">
        <f>IF('C-Design&amp;Const'!AI167="","",'C-Design&amp;Const'!AI167)</f>
        <v/>
      </c>
      <c r="K167" s="285" t="str">
        <f>IF((COUNTIF(D167:G167,"Y")=COUNTIF('04 - 95% CD'!A167,"Y")),"match","no 95% match")</f>
        <v>match</v>
      </c>
      <c r="L167" s="1410" t="str">
        <f t="shared" si="4"/>
        <v/>
      </c>
      <c r="M167" s="1333"/>
      <c r="N167" s="1333"/>
      <c r="O167" s="1333"/>
      <c r="P167" s="1333"/>
      <c r="Q167" s="1333"/>
      <c r="R167" s="1446"/>
      <c r="S167" s="1364"/>
      <c r="T167" s="1333"/>
      <c r="U167" s="1333"/>
      <c r="V167" s="1333"/>
      <c r="W167" s="1333"/>
      <c r="X167" s="1333"/>
      <c r="Y167" s="1333"/>
      <c r="Z167" s="1333"/>
      <c r="AA167" s="1333"/>
      <c r="AB167" s="1333"/>
      <c r="AC167" s="1333"/>
      <c r="AD167" s="1333"/>
      <c r="AE167" s="1333"/>
      <c r="AF167" s="1333"/>
      <c r="AG167" s="1333"/>
      <c r="AH167" s="1333"/>
      <c r="AI167" s="1333"/>
      <c r="AJ167" s="1333"/>
    </row>
    <row r="168" spans="1:50" s="181" customFormat="1" ht="30.75" customHeight="1" x14ac:dyDescent="0.25">
      <c r="A168" s="1501" t="str">
        <f>IF(COUNTIF('04 - 95% CD'!D168:G168,"Y")&gt;0,"Y",IF(COUNTIF('04 - 95% CD'!D168:G168,"N"),"N",""))</f>
        <v>Y</v>
      </c>
      <c r="B168" s="177"/>
      <c r="C168" s="948"/>
      <c r="D168" s="559" t="str">
        <f>IF('C-Design&amp;Const'!$Q168="","",'C-Design&amp;Const'!$Q168)</f>
        <v>Y</v>
      </c>
      <c r="E168" s="234"/>
      <c r="F168" s="235"/>
      <c r="G168" s="291" t="str">
        <f>IF('C-Design&amp;Const'!Y168="","",'C-Design&amp;Const'!Y168)</f>
        <v>05a.</v>
      </c>
      <c r="H168" s="290" t="str">
        <f>CONCATENATE('C-Design&amp;Const'!Z168,IF(D168="N"," Not Used In This Construction Phase",J168))</f>
        <v>Ext. &amp; Int. Finishes Binder(s)/Finishes Board(s)  (Updates - Including Bid Alts.)</v>
      </c>
      <c r="I168" s="185"/>
      <c r="J168" s="578" t="str">
        <f>IF('C-Design&amp;Const'!AI168="","",'C-Design&amp;Const'!AI168)</f>
        <v xml:space="preserve"> (Updates - Including Bid Alts.)</v>
      </c>
      <c r="K168" s="285" t="str">
        <f>IF((COUNTIF(D168:G168,"Y")=COUNTIF('04 - 95% CD'!A168,"Y")),"match","no 95% match")</f>
        <v>match</v>
      </c>
      <c r="L168" s="1410" t="str">
        <f t="shared" si="4"/>
        <v/>
      </c>
      <c r="M168" s="1382"/>
      <c r="N168" s="1382"/>
      <c r="O168" s="1382"/>
      <c r="P168" s="1382"/>
      <c r="Q168" s="1382"/>
      <c r="R168" s="1447"/>
      <c r="S168" s="1448"/>
      <c r="T168" s="1382"/>
      <c r="U168" s="1382"/>
      <c r="V168" s="1382"/>
      <c r="W168" s="1382"/>
      <c r="X168" s="1382"/>
      <c r="Y168" s="1382"/>
      <c r="Z168" s="1382"/>
      <c r="AA168" s="1382"/>
      <c r="AB168" s="1382"/>
      <c r="AC168" s="1382"/>
      <c r="AD168" s="1382"/>
      <c r="AE168" s="1382"/>
      <c r="AF168" s="1382"/>
      <c r="AG168" s="1382"/>
      <c r="AH168" s="1382"/>
      <c r="AI168" s="1382"/>
      <c r="AJ168" s="1382"/>
    </row>
    <row r="169" spans="1:50" s="551" customFormat="1" ht="15" customHeight="1" x14ac:dyDescent="0.25">
      <c r="A169" s="1510" t="str">
        <f>IF(COUNTIF('04 - 95% CD'!D169:G169,"Y")&gt;0,"Y",IF(COUNTIF('04 - 95% CD'!D169:G169,"N"),"N",""))</f>
        <v>Y</v>
      </c>
      <c r="B169" s="549"/>
      <c r="C169" s="944"/>
      <c r="D169" s="321"/>
      <c r="E169" s="559" t="str">
        <f>IF('C-Design&amp;Const'!$Q169="","",'C-Design&amp;Const'!$Q169)</f>
        <v>Y</v>
      </c>
      <c r="F169" s="560"/>
      <c r="G169" s="558"/>
      <c r="H169" s="238" t="str">
        <f>CONCATENATE(IF(E169="N","PLACEHOLDER ROW - ",""),IF(E169="N","",J169),'C-Design&amp;Const'!Z169,)</f>
        <v xml:space="preserve">(Updates to) Product Samples of Floor Coverings, Wall Covering, Window Treatment, Ceiling Tile, etc... </v>
      </c>
      <c r="I169" s="186"/>
      <c r="J169" s="578" t="str">
        <f>IF('C-Design&amp;Const'!AI169="","",'C-Design&amp;Const'!AI169)</f>
        <v xml:space="preserve">(Updates to) </v>
      </c>
      <c r="K169" s="285" t="str">
        <f>IF((COUNTIF(D169:G169,"Y")=COUNTIF('04 - 95% CD'!A169,"Y")),"match","no 95% match")</f>
        <v>match</v>
      </c>
      <c r="L169" s="1410" t="str">
        <f t="shared" si="4"/>
        <v/>
      </c>
      <c r="M169" s="1333"/>
      <c r="N169" s="1382"/>
      <c r="O169" s="1382"/>
      <c r="P169" s="1382"/>
      <c r="Q169" s="1382"/>
      <c r="R169" s="1447"/>
      <c r="S169" s="1448"/>
      <c r="T169" s="1274"/>
      <c r="U169" s="1382"/>
      <c r="V169" s="1382"/>
      <c r="W169" s="1382"/>
      <c r="X169" s="1382"/>
      <c r="Y169" s="1382"/>
      <c r="Z169" s="1382"/>
      <c r="AA169" s="1382"/>
      <c r="AB169" s="1382"/>
      <c r="AC169" s="1382"/>
      <c r="AD169" s="1382"/>
      <c r="AE169" s="1382"/>
      <c r="AF169" s="1382"/>
      <c r="AG169" s="1382"/>
      <c r="AH169" s="1382"/>
      <c r="AI169" s="1382"/>
      <c r="AJ169" s="1382"/>
      <c r="AX169" s="545"/>
    </row>
    <row r="170" spans="1:50" s="551" customFormat="1" ht="15" customHeight="1" x14ac:dyDescent="0.25">
      <c r="A170" s="1510" t="str">
        <f>IF(COUNTIF('04 - 95% CD'!D170:G170,"Y")&gt;0,"Y",IF(COUNTIF('04 - 95% CD'!D170:G170,"N"),"N",""))</f>
        <v>Y</v>
      </c>
      <c r="B170" s="549"/>
      <c r="C170" s="944"/>
      <c r="D170" s="321"/>
      <c r="E170" s="559" t="str">
        <f>IF('C-Design&amp;Const'!$Q170="","",'C-Design&amp;Const'!$Q170)</f>
        <v>Y</v>
      </c>
      <c r="F170" s="560"/>
      <c r="G170" s="558"/>
      <c r="H170" s="238" t="str">
        <f>CONCATENATE(IF(E170="N","PLACEHOLDER ROW - ",""),IF(E170="N","",J170),'C-Design&amp;Const'!Z170,)</f>
        <v>(Updates to) Paint selections and combinations</v>
      </c>
      <c r="I170" s="186"/>
      <c r="J170" s="578" t="str">
        <f>IF('C-Design&amp;Const'!AI170="","",'C-Design&amp;Const'!AI170)</f>
        <v xml:space="preserve">(Updates to) </v>
      </c>
      <c r="K170" s="285" t="str">
        <f>IF((COUNTIF(D170:G170,"Y")=COUNTIF('04 - 95% CD'!A170,"Y")),"match","no 95% match")</f>
        <v>match</v>
      </c>
      <c r="L170" s="1410" t="str">
        <f t="shared" si="4"/>
        <v/>
      </c>
      <c r="M170" s="1333"/>
      <c r="N170" s="1382"/>
      <c r="O170" s="1382"/>
      <c r="P170" s="1382"/>
      <c r="Q170" s="1382"/>
      <c r="R170" s="1447"/>
      <c r="S170" s="1448"/>
      <c r="T170" s="1274"/>
      <c r="U170" s="1382"/>
      <c r="V170" s="1382"/>
      <c r="W170" s="1382"/>
      <c r="X170" s="1382"/>
      <c r="Y170" s="1382"/>
      <c r="Z170" s="1382"/>
      <c r="AA170" s="1382"/>
      <c r="AB170" s="1382"/>
      <c r="AC170" s="1382"/>
      <c r="AD170" s="1382"/>
      <c r="AE170" s="1382"/>
      <c r="AF170" s="1382"/>
      <c r="AG170" s="1382"/>
      <c r="AH170" s="1382"/>
      <c r="AI170" s="1382"/>
      <c r="AJ170" s="1382"/>
      <c r="AX170" s="545"/>
    </row>
    <row r="171" spans="1:50" s="551" customFormat="1" ht="15" customHeight="1" x14ac:dyDescent="0.25">
      <c r="A171" s="1510" t="str">
        <f>IF(COUNTIF('04 - 95% CD'!D171:G171,"Y")&gt;0,"Y",IF(COUNTIF('04 - 95% CD'!D171:G171,"N"),"N",""))</f>
        <v>Y</v>
      </c>
      <c r="B171" s="549"/>
      <c r="C171" s="944"/>
      <c r="D171" s="321"/>
      <c r="E171" s="559" t="str">
        <f>IF('C-Design&amp;Const'!$Q171="","",'C-Design&amp;Const'!$Q171)</f>
        <v>N</v>
      </c>
      <c r="F171" s="560"/>
      <c r="G171" s="558"/>
      <c r="H171" s="238" t="str">
        <f>CONCATENATE(IF(E171="N","PLACEHOLDER ROW - ",""),IF(E171="N","",J171),'C-Design&amp;Const'!Z171,)</f>
        <v>PLACEHOLDER ROW - PSC contracted mock-ups to match existing brick</v>
      </c>
      <c r="I171" s="186"/>
      <c r="J171" s="578" t="str">
        <f>IF('C-Design&amp;Const'!AI171="","",'C-Design&amp;Const'!AI171)</f>
        <v/>
      </c>
      <c r="K171" s="285" t="str">
        <f>IF((COUNTIF(D171:G171,"Y")=COUNTIF('04 - 95% CD'!A171,"Y")),"match","no 95% match")</f>
        <v>no 95% match</v>
      </c>
      <c r="L171" s="1410" t="str">
        <f t="shared" si="4"/>
        <v>&lt;---PM/Planner may hide PLACEHOLDER ROW</v>
      </c>
      <c r="M171" s="1333"/>
      <c r="N171" s="1382"/>
      <c r="O171" s="1382"/>
      <c r="P171" s="1382"/>
      <c r="Q171" s="1382"/>
      <c r="R171" s="1447"/>
      <c r="S171" s="1448"/>
      <c r="T171" s="1274"/>
      <c r="U171" s="1382"/>
      <c r="V171" s="1382"/>
      <c r="W171" s="1382"/>
      <c r="X171" s="1382"/>
      <c r="Y171" s="1382"/>
      <c r="Z171" s="1382"/>
      <c r="AA171" s="1382"/>
      <c r="AB171" s="1382"/>
      <c r="AC171" s="1382"/>
      <c r="AD171" s="1382"/>
      <c r="AE171" s="1382"/>
      <c r="AF171" s="1382"/>
      <c r="AG171" s="1382"/>
      <c r="AH171" s="1382"/>
      <c r="AI171" s="1382"/>
      <c r="AJ171" s="1382"/>
      <c r="AX171" s="545"/>
    </row>
    <row r="172" spans="1:50" s="545" customFormat="1" ht="15" customHeight="1" x14ac:dyDescent="0.25">
      <c r="A172" s="1407" t="str">
        <f>IF(COUNTIF('04 - 95% CD'!D172:G172,"Y")&gt;0,"Y",IF(COUNTIF('04 - 95% CD'!D172:G172,"N"),"N",""))</f>
        <v>N</v>
      </c>
      <c r="B172" s="554"/>
      <c r="C172" s="944"/>
      <c r="D172" s="463"/>
      <c r="E172" s="359" t="str">
        <f>IF('C-Design&amp;Const'!$Q172="","",'C-Design&amp;Const'!$Q172)</f>
        <v>N</v>
      </c>
      <c r="F172" s="235"/>
      <c r="G172" s="291"/>
      <c r="H172" s="340" t="str">
        <f>CONCATENATE(IF(E172="N","PLACEHOLDER ROW - ",""),IF(E172="N","",J172),'C-Design&amp;Const'!Z172,)</f>
        <v>PLACEHOLDER ROW - CUSTOM ROW - OPTIONAL CLIENT ITEM</v>
      </c>
      <c r="I172" s="552"/>
      <c r="J172" s="578" t="str">
        <f>IF('C-Design&amp;Const'!AI172="","",'C-Design&amp;Const'!AI172)</f>
        <v xml:space="preserve">(Updates to) </v>
      </c>
      <c r="K172" s="285" t="str">
        <f>IF((COUNTIF(D172:G172,"Y")=COUNTIF('04 - 95% CD'!A172,"Y")),"match","no 95% match")</f>
        <v>match</v>
      </c>
      <c r="L172" s="1410" t="str">
        <f t="shared" si="4"/>
        <v>&lt;---PM/Planner may hide PLACEHOLDER ROW</v>
      </c>
      <c r="M172" s="1333"/>
      <c r="N172" s="1382"/>
      <c r="O172" s="1382"/>
      <c r="P172" s="1382"/>
      <c r="Q172" s="1382"/>
      <c r="R172" s="1382"/>
      <c r="S172" s="1382"/>
      <c r="T172" s="1382"/>
      <c r="U172" s="1382"/>
      <c r="V172" s="1382"/>
      <c r="W172" s="1382"/>
      <c r="X172" s="1382"/>
      <c r="Y172" s="1382"/>
      <c r="Z172" s="1382"/>
      <c r="AA172" s="1382"/>
      <c r="AB172" s="1382"/>
      <c r="AC172" s="1382"/>
      <c r="AD172" s="1382"/>
      <c r="AE172" s="1382"/>
      <c r="AF172" s="1382"/>
      <c r="AG172" s="1382"/>
      <c r="AH172" s="1382"/>
      <c r="AI172" s="1382"/>
      <c r="AJ172" s="1382"/>
      <c r="AK172" s="551"/>
      <c r="AL172" s="551"/>
      <c r="AM172" s="551"/>
      <c r="AN172" s="551"/>
      <c r="AO172" s="551"/>
      <c r="AP172" s="551"/>
      <c r="AQ172" s="551"/>
      <c r="AR172" s="551"/>
      <c r="AS172" s="551"/>
      <c r="AT172" s="551"/>
      <c r="AU172" s="551"/>
      <c r="AV172" s="551"/>
      <c r="AW172" s="551"/>
    </row>
    <row r="173" spans="1:50" s="17" customFormat="1" x14ac:dyDescent="0.25">
      <c r="A173" s="1516" t="str">
        <f>IF(COUNTIF('04 - 95% CD'!D173:G173,"Y")&gt;0,"Y",IF(COUNTIF('04 - 95% CD'!D173:G173,"N"),"N",""))</f>
        <v/>
      </c>
      <c r="B173" s="141"/>
      <c r="C173" s="944"/>
      <c r="D173" s="411"/>
      <c r="E173" s="411"/>
      <c r="F173" s="321"/>
      <c r="G173" s="294"/>
      <c r="H173" s="296"/>
      <c r="I173" s="130"/>
      <c r="J173" s="578" t="str">
        <f>IF('C-Design&amp;Const'!AI173="","",'C-Design&amp;Const'!AI173)</f>
        <v/>
      </c>
      <c r="K173" s="285" t="str">
        <f>IF((COUNTIF(D173:G173,"Y")=COUNTIF('04 - 95% CD'!A173,"Y")),"match","no 95% match")</f>
        <v>match</v>
      </c>
      <c r="L173" s="1410" t="str">
        <f t="shared" si="4"/>
        <v/>
      </c>
      <c r="M173" s="1333"/>
      <c r="N173" s="1333"/>
      <c r="O173" s="1333"/>
      <c r="P173" s="1333"/>
      <c r="Q173" s="1333"/>
      <c r="R173" s="1446"/>
      <c r="S173" s="1364"/>
      <c r="T173" s="1333"/>
      <c r="U173" s="1333"/>
      <c r="V173" s="1333"/>
      <c r="W173" s="1333"/>
      <c r="X173" s="1333"/>
      <c r="Y173" s="1333"/>
      <c r="Z173" s="1333"/>
      <c r="AA173" s="1333"/>
      <c r="AB173" s="1333"/>
      <c r="AC173" s="1333"/>
      <c r="AD173" s="1333"/>
      <c r="AE173" s="1333"/>
      <c r="AF173" s="1333"/>
      <c r="AG173" s="1333"/>
      <c r="AH173" s="1333"/>
      <c r="AI173" s="1333"/>
      <c r="AJ173" s="1333"/>
    </row>
    <row r="174" spans="1:50" s="181" customFormat="1" ht="31.5" customHeight="1" x14ac:dyDescent="0.25">
      <c r="A174" s="1501" t="str">
        <f>IF(COUNTIF('04 - 95% CD'!D174:G174,"Y")&gt;0,"Y",IF(COUNTIF('04 - 95% CD'!D174:G174,"N"),"N",""))</f>
        <v>Y</v>
      </c>
      <c r="B174" s="177"/>
      <c r="C174" s="948"/>
      <c r="D174" s="559" t="str">
        <f>IF('C-Design&amp;Const'!$Q174="","",'C-Design&amp;Const'!$Q174)</f>
        <v>Y</v>
      </c>
      <c r="E174" s="234"/>
      <c r="F174" s="235"/>
      <c r="G174" s="291" t="str">
        <f>IF('C-Design&amp;Const'!Y174="","",'C-Design&amp;Const'!Y174)</f>
        <v>05b.</v>
      </c>
      <c r="H174" s="290" t="str">
        <f>CONCATENATE('C-Design&amp;Const'!Z174,IF(D174="N"," Not Used In This Construction Phase",J174))</f>
        <v>Furnitures, Fixtures, and Equipment Binder(s) (Updates - Including Bid Alts.)</v>
      </c>
      <c r="I174" s="185"/>
      <c r="J174" s="578" t="str">
        <f>IF('C-Design&amp;Const'!AI174="","",'C-Design&amp;Const'!AI174)</f>
        <v xml:space="preserve"> (Updates - Including Bid Alts.)</v>
      </c>
      <c r="K174" s="285" t="str">
        <f>IF((COUNTIF(D174:G174,"Y")=COUNTIF('04 - 95% CD'!A174,"Y")),"match","no 95% match")</f>
        <v>match</v>
      </c>
      <c r="L174" s="1410" t="str">
        <f t="shared" ref="L174:L248" si="9">CONCATENATE(IF(ISNUMBER(SEARCH("Placeholder",H174))=TRUE,"&lt;---PM/Planner may hide PLACEHOLDER ROW",""))</f>
        <v/>
      </c>
      <c r="M174" s="1382"/>
      <c r="N174" s="1382"/>
      <c r="O174" s="1382"/>
      <c r="P174" s="1382"/>
      <c r="Q174" s="1382"/>
      <c r="R174" s="1447"/>
      <c r="S174" s="1448"/>
      <c r="T174" s="1382"/>
      <c r="U174" s="1382"/>
      <c r="V174" s="1382"/>
      <c r="W174" s="1382"/>
      <c r="X174" s="1382"/>
      <c r="Y174" s="1382"/>
      <c r="Z174" s="1382"/>
      <c r="AA174" s="1382"/>
      <c r="AB174" s="1382"/>
      <c r="AC174" s="1382"/>
      <c r="AD174" s="1382"/>
      <c r="AE174" s="1382"/>
      <c r="AF174" s="1382"/>
      <c r="AG174" s="1382"/>
      <c r="AH174" s="1382"/>
      <c r="AI174" s="1382"/>
      <c r="AJ174" s="1382"/>
    </row>
    <row r="175" spans="1:50" s="181" customFormat="1" ht="15" customHeight="1" x14ac:dyDescent="0.25">
      <c r="A175" s="1510" t="str">
        <f>IF(COUNTIF('04 - 95% CD'!D175:G175,"Y")&gt;0,"Y",IF(COUNTIF('04 - 95% CD'!D175:G175,"N"),"N",""))</f>
        <v>Y</v>
      </c>
      <c r="B175" s="177"/>
      <c r="C175" s="944"/>
      <c r="D175" s="321"/>
      <c r="E175" s="559" t="str">
        <f>IF('C-Design&amp;Const'!$Q175="","",'C-Design&amp;Const'!$Q175)</f>
        <v>Y</v>
      </c>
      <c r="F175" s="560"/>
      <c r="G175" s="558"/>
      <c r="H175" s="238" t="str">
        <f>CONCATENATE(IF(E175="N","PLACEHOLDER ROW - ",""),IF(E175="N","",J175),'C-Design&amp;Const'!Z175,)</f>
        <v>(Updates to) Cut Sheets</v>
      </c>
      <c r="I175" s="186"/>
      <c r="J175" s="578" t="str">
        <f>IF('C-Design&amp;Const'!AI175="","",'C-Design&amp;Const'!AI175)</f>
        <v xml:space="preserve">(Updates to) </v>
      </c>
      <c r="K175" s="285" t="str">
        <f>IF((COUNTIF(D175:G175,"Y")=COUNTIF('04 - 95% CD'!A175,"Y")),"match","no 95% match")</f>
        <v>match</v>
      </c>
      <c r="L175" s="1410" t="str">
        <f t="shared" si="9"/>
        <v/>
      </c>
      <c r="M175" s="1333"/>
      <c r="N175" s="1382"/>
      <c r="O175" s="1382"/>
      <c r="P175" s="1382"/>
      <c r="Q175" s="1382"/>
      <c r="R175" s="1447"/>
      <c r="S175" s="1448"/>
      <c r="T175" s="1274"/>
      <c r="U175" s="1382"/>
      <c r="V175" s="1382"/>
      <c r="W175" s="1382"/>
      <c r="X175" s="1382"/>
      <c r="Y175" s="1382"/>
      <c r="Z175" s="1382"/>
      <c r="AA175" s="1382"/>
      <c r="AB175" s="1382"/>
      <c r="AC175" s="1382"/>
      <c r="AD175" s="1382"/>
      <c r="AE175" s="1382"/>
      <c r="AF175" s="1382"/>
      <c r="AG175" s="1382"/>
      <c r="AH175" s="1382"/>
      <c r="AI175" s="1382"/>
      <c r="AJ175" s="1382"/>
      <c r="AX175" s="30"/>
    </row>
    <row r="176" spans="1:50" s="181" customFormat="1" ht="15" customHeight="1" x14ac:dyDescent="0.25">
      <c r="A176" s="1510" t="str">
        <f>IF(COUNTIF('04 - 95% CD'!D176:G176,"Y")&gt;0,"Y",IF(COUNTIF('04 - 95% CD'!D176:G176,"N"),"N",""))</f>
        <v>Y</v>
      </c>
      <c r="B176" s="177"/>
      <c r="C176" s="944"/>
      <c r="D176" s="321"/>
      <c r="E176" s="559" t="str">
        <f>IF('C-Design&amp;Const'!$Q176="","",'C-Design&amp;Const'!$Q176)</f>
        <v>Y</v>
      </c>
      <c r="F176" s="560"/>
      <c r="G176" s="558"/>
      <c r="H176" s="238" t="str">
        <f>CONCATENATE(IF(E176="N","PLACEHOLDER ROW - ",""),IF(E176="N","",J176),'C-Design&amp;Const'!Z176,)</f>
        <v>(Updates to) Product Samples</v>
      </c>
      <c r="I176" s="186"/>
      <c r="J176" s="578" t="str">
        <f>IF('C-Design&amp;Const'!AI176="","",'C-Design&amp;Const'!AI176)</f>
        <v xml:space="preserve">(Updates to) </v>
      </c>
      <c r="K176" s="285" t="str">
        <f>IF((COUNTIF(D176:G176,"Y")=COUNTIF('04 - 95% CD'!A176,"Y")),"match","no 95% match")</f>
        <v>match</v>
      </c>
      <c r="L176" s="1410" t="str">
        <f t="shared" si="9"/>
        <v/>
      </c>
      <c r="M176" s="1333"/>
      <c r="N176" s="1382"/>
      <c r="O176" s="1382"/>
      <c r="P176" s="1382"/>
      <c r="Q176" s="1382"/>
      <c r="R176" s="1447"/>
      <c r="S176" s="1448"/>
      <c r="T176" s="1274"/>
      <c r="U176" s="1382"/>
      <c r="V176" s="1382"/>
      <c r="W176" s="1382"/>
      <c r="X176" s="1382"/>
      <c r="Y176" s="1382"/>
      <c r="Z176" s="1382"/>
      <c r="AA176" s="1382"/>
      <c r="AB176" s="1382"/>
      <c r="AC176" s="1382"/>
      <c r="AD176" s="1382"/>
      <c r="AE176" s="1382"/>
      <c r="AF176" s="1382"/>
      <c r="AG176" s="1382"/>
      <c r="AH176" s="1382"/>
      <c r="AI176" s="1382"/>
      <c r="AJ176" s="1382"/>
      <c r="AX176" s="30"/>
    </row>
    <row r="177" spans="1:50" s="181" customFormat="1" ht="15" customHeight="1" x14ac:dyDescent="0.25">
      <c r="A177" s="1510" t="str">
        <f>IF(COUNTIF('04 - 95% CD'!D177:G177,"Y")&gt;0,"Y",IF(COUNTIF('04 - 95% CD'!D177:G177,"N"),"N",""))</f>
        <v>Y</v>
      </c>
      <c r="B177" s="177"/>
      <c r="C177" s="944"/>
      <c r="D177" s="321"/>
      <c r="E177" s="559" t="str">
        <f>IF('C-Design&amp;Const'!$Q177="","",'C-Design&amp;Const'!$Q177)</f>
        <v>N</v>
      </c>
      <c r="F177" s="560"/>
      <c r="G177" s="558"/>
      <c r="H177" s="410" t="str">
        <f>CONCATENATE(IF(E177="N","PLACEHOLDER ROW - ",""),IF(E177="N","",J177),'C-Design&amp;Const'!Z177,)</f>
        <v>PLACEHOLDER ROW - "Furniture Information Form" (electronic)</v>
      </c>
      <c r="I177" s="186"/>
      <c r="J177" s="578" t="str">
        <f>IF('C-Design&amp;Const'!AI177="","",'C-Design&amp;Const'!AI177)</f>
        <v/>
      </c>
      <c r="K177" s="285" t="str">
        <f>IF((COUNTIF(D177:G177,"Y")=COUNTIF('04 - 95% CD'!A177,"Y")),"match","no 95% match")</f>
        <v>no 95% match</v>
      </c>
      <c r="L177" s="1410" t="str">
        <f t="shared" si="9"/>
        <v>&lt;---PM/Planner may hide PLACEHOLDER ROW</v>
      </c>
      <c r="M177" s="1333"/>
      <c r="N177" s="1382"/>
      <c r="O177" s="1382"/>
      <c r="P177" s="1382"/>
      <c r="Q177" s="1382"/>
      <c r="R177" s="1447"/>
      <c r="S177" s="1448"/>
      <c r="T177" s="1274"/>
      <c r="U177" s="1382"/>
      <c r="V177" s="1382"/>
      <c r="W177" s="1382"/>
      <c r="X177" s="1382"/>
      <c r="Y177" s="1382"/>
      <c r="Z177" s="1382"/>
      <c r="AA177" s="1382"/>
      <c r="AB177" s="1382"/>
      <c r="AC177" s="1382"/>
      <c r="AD177" s="1382"/>
      <c r="AE177" s="1382"/>
      <c r="AF177" s="1382"/>
      <c r="AG177" s="1382"/>
      <c r="AH177" s="1382"/>
      <c r="AI177" s="1382"/>
      <c r="AJ177" s="1382"/>
      <c r="AX177" s="30"/>
    </row>
    <row r="178" spans="1:50" s="30" customFormat="1" ht="15" customHeight="1" x14ac:dyDescent="0.25">
      <c r="A178" s="1407" t="str">
        <f>IF(COUNTIF('04 - 95% CD'!D178:G178,"Y")&gt;0,"Y",IF(COUNTIF('04 - 95% CD'!D178:G178,"N"),"N",""))</f>
        <v>N</v>
      </c>
      <c r="B178" s="191"/>
      <c r="C178" s="944"/>
      <c r="D178" s="463"/>
      <c r="E178" s="359" t="str">
        <f>IF('C-Design&amp;Const'!$Q178="","",'C-Design&amp;Const'!$Q178)</f>
        <v>N</v>
      </c>
      <c r="F178" s="235"/>
      <c r="G178" s="291"/>
      <c r="H178" s="358" t="str">
        <f>CONCATENATE(IF(E178="N","PLACEHOLDER ROW - ",""),IF(E178="N","",J178),'C-Design&amp;Const'!Z178,)</f>
        <v>PLACEHOLDER ROW - CUSTOM ROW - OPTIONAL CLIENT ITEM</v>
      </c>
      <c r="I178" s="184"/>
      <c r="J178" s="578" t="str">
        <f>IF('C-Design&amp;Const'!AI178="","",'C-Design&amp;Const'!AI178)</f>
        <v xml:space="preserve">(Updates to) </v>
      </c>
      <c r="K178" s="285" t="str">
        <f>IF((COUNTIF(D178:G178,"Y")=COUNTIF('04 - 95% CD'!A178,"Y")),"match","no 95% match")</f>
        <v>match</v>
      </c>
      <c r="L178" s="1410" t="str">
        <f t="shared" si="9"/>
        <v>&lt;---PM/Planner may hide PLACEHOLDER ROW</v>
      </c>
      <c r="M178" s="1333"/>
      <c r="N178" s="1382"/>
      <c r="O178" s="1382"/>
      <c r="P178" s="1382"/>
      <c r="Q178" s="1382"/>
      <c r="R178" s="1382"/>
      <c r="S178" s="1382"/>
      <c r="T178" s="1382"/>
      <c r="U178" s="1382"/>
      <c r="V178" s="1382"/>
      <c r="W178" s="1382"/>
      <c r="X178" s="1382"/>
      <c r="Y178" s="1382"/>
      <c r="Z178" s="1382"/>
      <c r="AA178" s="1382"/>
      <c r="AB178" s="1382"/>
      <c r="AC178" s="1382"/>
      <c r="AD178" s="1382"/>
      <c r="AE178" s="1382"/>
      <c r="AF178" s="1382"/>
      <c r="AG178" s="1382"/>
      <c r="AH178" s="1382"/>
      <c r="AI178" s="1382"/>
      <c r="AJ178" s="1382"/>
      <c r="AK178" s="181"/>
      <c r="AL178" s="181"/>
      <c r="AM178" s="181"/>
      <c r="AN178" s="181"/>
      <c r="AO178" s="181"/>
      <c r="AP178" s="181"/>
      <c r="AQ178" s="181"/>
      <c r="AR178" s="181"/>
      <c r="AS178" s="181"/>
      <c r="AT178" s="181"/>
      <c r="AU178" s="181"/>
      <c r="AV178" s="181"/>
      <c r="AW178" s="181"/>
    </row>
    <row r="179" spans="1:50" s="17" customFormat="1" x14ac:dyDescent="0.25">
      <c r="A179" s="1510" t="str">
        <f>IF(COUNTIF('04 - 95% CD'!D179:G179,"Y")&gt;0,"Y",IF(COUNTIF('04 - 95% CD'!D179:G179,"N"),"N",""))</f>
        <v/>
      </c>
      <c r="B179" s="141"/>
      <c r="C179" s="944"/>
      <c r="D179" s="411"/>
      <c r="E179" s="411"/>
      <c r="F179" s="321"/>
      <c r="G179" s="294"/>
      <c r="H179" s="296"/>
      <c r="I179" s="130"/>
      <c r="J179" s="578" t="str">
        <f>IF('C-Design&amp;Const'!AI179="","",'C-Design&amp;Const'!AI179)</f>
        <v/>
      </c>
      <c r="K179" s="285" t="str">
        <f>IF((COUNTIF(D179:G179,"Y")=COUNTIF('04 - 95% CD'!A179,"Y")),"match","no 95% match")</f>
        <v>match</v>
      </c>
      <c r="L179" s="1410" t="str">
        <f t="shared" si="9"/>
        <v/>
      </c>
      <c r="M179" s="1333"/>
      <c r="N179" s="1333"/>
      <c r="O179" s="1333"/>
      <c r="P179" s="1333"/>
      <c r="Q179" s="1333"/>
      <c r="R179" s="1445"/>
      <c r="S179" s="1364"/>
      <c r="T179" s="1333"/>
      <c r="U179" s="1333"/>
      <c r="V179" s="1333"/>
      <c r="W179" s="1333"/>
      <c r="X179" s="1333"/>
      <c r="Y179" s="1333"/>
      <c r="Z179" s="1333"/>
      <c r="AA179" s="1333"/>
      <c r="AB179" s="1333"/>
      <c r="AC179" s="1333"/>
      <c r="AD179" s="1333"/>
      <c r="AE179" s="1333"/>
      <c r="AF179" s="1333"/>
      <c r="AG179" s="1333"/>
      <c r="AH179" s="1333"/>
      <c r="AI179" s="1333"/>
      <c r="AJ179" s="1333"/>
    </row>
    <row r="180" spans="1:50" s="181" customFormat="1" ht="18.75" x14ac:dyDescent="0.25">
      <c r="A180" s="1501" t="str">
        <f>IF(COUNTIF('04 - 95% CD'!D180:G180,"Y")&gt;0,"Y",IF(COUNTIF('04 - 95% CD'!D180:G180,"N"),"N",""))</f>
        <v>Y</v>
      </c>
      <c r="B180" s="177"/>
      <c r="C180" s="944"/>
      <c r="D180" s="559" t="str">
        <f>IF('C-Design&amp;Const'!$Q180="","",'C-Design&amp;Const'!$Q180)</f>
        <v>Y</v>
      </c>
      <c r="E180" s="234"/>
      <c r="F180" s="235"/>
      <c r="G180" s="291" t="str">
        <f>IF('C-Design&amp;Const'!Y180="","",'C-Design&amp;Const'!Y180)</f>
        <v>06.</v>
      </c>
      <c r="H180" s="290" t="str">
        <f>CONCATENATE('C-Design&amp;Const'!Z180,IF(D180="N"," Not Used In This Construction Phase",J180))</f>
        <v>Project Manual   (Signed &amp; Sealed including Bid Alts.)</v>
      </c>
      <c r="I180" s="184"/>
      <c r="J180" s="578" t="str">
        <f>IF('C-Design&amp;Const'!AI180="","",'C-Design&amp;Const'!AI180)</f>
        <v xml:space="preserve">  (Signed &amp; Sealed including Bid Alts.)</v>
      </c>
      <c r="K180" s="285" t="str">
        <f>IF((COUNTIF(D180:G180,"Y")=COUNTIF('04 - 95% CD'!A180,"Y")),"match","no 95% match")</f>
        <v>match</v>
      </c>
      <c r="L180" s="1410" t="str">
        <f t="shared" si="9"/>
        <v/>
      </c>
      <c r="M180" s="1333"/>
      <c r="N180" s="1382"/>
      <c r="O180" s="1382"/>
      <c r="P180" s="1382"/>
      <c r="Q180" s="1382"/>
      <c r="R180" s="1447"/>
      <c r="S180" s="1448"/>
      <c r="T180" s="1382"/>
      <c r="U180" s="1382"/>
      <c r="V180" s="1382"/>
      <c r="W180" s="1382"/>
      <c r="X180" s="1382"/>
      <c r="Y180" s="1382"/>
      <c r="Z180" s="1382"/>
      <c r="AA180" s="1382"/>
      <c r="AB180" s="1382"/>
      <c r="AC180" s="1382"/>
      <c r="AD180" s="1382"/>
      <c r="AE180" s="1382"/>
      <c r="AF180" s="1382"/>
      <c r="AG180" s="1382"/>
      <c r="AH180" s="1382"/>
      <c r="AI180" s="1382"/>
      <c r="AJ180" s="1382"/>
      <c r="AX180" s="30"/>
    </row>
    <row r="181" spans="1:50" s="17" customFormat="1" ht="23.25" customHeight="1" x14ac:dyDescent="0.25">
      <c r="A181" s="1510" t="str">
        <f>IF(COUNTIF('04 - 95% CD'!D181:G181,"Y")&gt;0,"Y",IF(COUNTIF('04 - 95% CD'!D181:G181,"N"),"N",""))</f>
        <v>Y</v>
      </c>
      <c r="B181" s="141"/>
      <c r="C181" s="944"/>
      <c r="D181" s="321"/>
      <c r="E181" s="559" t="str">
        <f>IF('C-Design&amp;Const'!$Q181="","",'C-Design&amp;Const'!$Q181)</f>
        <v>Y</v>
      </c>
      <c r="F181" s="560"/>
      <c r="G181" s="1892" t="s">
        <v>652</v>
      </c>
      <c r="H181" s="1890" t="str">
        <f>CONCATENATE(IF(E181="N","PLACEHOLDER ROW - ",""),IF(E181="N","",J181),'C-Design&amp;Const'!Z181,)</f>
        <v>Summary of Changes by Discipline (beyond corrections from comments) - UNDER SEPARATE COVER &amp; NOT BOUND WITH MANUAL.</v>
      </c>
      <c r="I181" s="136"/>
      <c r="J181" s="578" t="str">
        <f>IF('C-Design&amp;Const'!AI181="","",'C-Design&amp;Const'!AI181)</f>
        <v/>
      </c>
      <c r="K181" s="285" t="str">
        <f>IF((COUNTIF(D181:G181,"Y")=COUNTIF('04 - 95% CD'!A181,"Y")),"match","no 95% match")</f>
        <v>no 95% match</v>
      </c>
      <c r="L181" s="1410" t="str">
        <f t="shared" si="9"/>
        <v/>
      </c>
      <c r="M181" s="1333"/>
      <c r="N181" s="1333"/>
      <c r="O181" s="1333"/>
      <c r="P181" s="1333"/>
      <c r="Q181" s="1333"/>
      <c r="R181" s="1453"/>
      <c r="S181" s="1364"/>
      <c r="T181" s="1333"/>
      <c r="U181" s="1333"/>
      <c r="V181" s="1333"/>
      <c r="W181" s="1333"/>
      <c r="X181" s="1333"/>
      <c r="Y181" s="1333"/>
      <c r="Z181" s="1333"/>
      <c r="AA181" s="1333"/>
      <c r="AB181" s="1333"/>
      <c r="AC181" s="1333"/>
      <c r="AD181" s="1333"/>
      <c r="AE181" s="1333"/>
      <c r="AF181" s="1333"/>
      <c r="AG181" s="1333"/>
      <c r="AH181" s="1333"/>
      <c r="AI181" s="1333"/>
      <c r="AJ181" s="1333"/>
      <c r="AX181"/>
    </row>
    <row r="182" spans="1:50" s="30" customFormat="1" ht="26.25" customHeight="1" x14ac:dyDescent="0.25">
      <c r="A182" s="1553" t="str">
        <f>IF(COUNTIF('04 - 95% CD'!D182:G182,"Y")&gt;0,"Y",IF(COUNTIF('04 - 95% CD'!D182:G182,"N"),"N",""))</f>
        <v>Y</v>
      </c>
      <c r="B182" s="191"/>
      <c r="C182" s="944"/>
      <c r="D182" s="463"/>
      <c r="E182" s="559" t="str">
        <f>IF('C-Design&amp;Const'!$Q182="","",'C-Design&amp;Const'!$Q182)</f>
        <v>Y</v>
      </c>
      <c r="F182" s="461"/>
      <c r="G182" s="1893" t="s">
        <v>652</v>
      </c>
      <c r="H182" s="1890" t="str">
        <f>CONCATENATE(IF(E182="N","PLACEHOLDER ROW - ",""),IF(E182="N","",J182),'C-Design&amp;Const'!Z182,)</f>
        <v>Checklist for specification sections with submittals required (materials, shop drawings, calcs, etc…) - UNDER SEPARATE COVER &amp; NOT BOUND WITH MANUAL.</v>
      </c>
      <c r="I182" s="184"/>
      <c r="J182" s="578" t="str">
        <f>IF('C-Design&amp;Const'!AI182="","",'C-Design&amp;Const'!AI182)</f>
        <v/>
      </c>
      <c r="K182" s="285" t="str">
        <f>IF((COUNTIF(D182:G182,"Y")=COUNTIF('04 - 95% CD'!A182,"Y")),"match","no 95% match")</f>
        <v>no 95% match</v>
      </c>
      <c r="L182" s="1410" t="str">
        <f>CONCATENATE(IF(ISNUMBER(SEARCH("Placeholder",H182))=TRUE,"&lt;---PM/Planner may hide PLACEHOLDER ROW",""))</f>
        <v/>
      </c>
      <c r="M182" s="1333"/>
      <c r="N182" s="1333"/>
      <c r="O182" s="1333"/>
      <c r="P182" s="1382"/>
      <c r="Q182" s="1382"/>
      <c r="R182" s="1382"/>
      <c r="S182" s="1382"/>
      <c r="T182" s="1382"/>
      <c r="U182" s="1382"/>
      <c r="V182" s="1382"/>
      <c r="W182" s="1382"/>
      <c r="X182" s="1382"/>
      <c r="Y182" s="1382"/>
      <c r="Z182" s="1382"/>
      <c r="AA182" s="1382"/>
      <c r="AB182" s="1382"/>
      <c r="AC182" s="1382"/>
      <c r="AD182" s="1382"/>
      <c r="AE182" s="1382"/>
      <c r="AF182" s="1382"/>
      <c r="AG182" s="1382"/>
      <c r="AH182" s="1382"/>
      <c r="AI182" s="1382"/>
      <c r="AJ182" s="1382"/>
      <c r="AK182" s="181"/>
      <c r="AL182" s="181"/>
      <c r="AM182" s="181"/>
      <c r="AN182" s="181"/>
      <c r="AO182" s="181"/>
      <c r="AP182" s="181"/>
      <c r="AQ182" s="181"/>
      <c r="AR182" s="181"/>
      <c r="AS182" s="181"/>
      <c r="AT182" s="181"/>
      <c r="AU182" s="181"/>
      <c r="AV182" s="181"/>
      <c r="AW182" s="181"/>
    </row>
    <row r="183" spans="1:50" s="17" customFormat="1" x14ac:dyDescent="0.25">
      <c r="A183" s="1510" t="str">
        <f>IF(COUNTIF('04 - 95% CD'!D183:G183,"Y")&gt;0,"Y",IF(COUNTIF('04 - 95% CD'!D183:G183,"N"),"N",""))</f>
        <v>Y</v>
      </c>
      <c r="B183" s="141"/>
      <c r="C183" s="944"/>
      <c r="D183" s="321"/>
      <c r="E183" s="559" t="str">
        <f>IF('C-Design&amp;Const'!$Q183="","",'C-Design&amp;Const'!$Q183)</f>
        <v>Y</v>
      </c>
      <c r="F183" s="478"/>
      <c r="G183" s="558"/>
      <c r="H183" s="340" t="str">
        <f>CONCATENATE(IF(E183="N","PLACEHOLDER ROW - ",""),IF(E183="N","",J183),'C-Design&amp;Const'!Z183,)</f>
        <v xml:space="preserve">Front End Documents  [Div 00] </v>
      </c>
      <c r="I183" s="136"/>
      <c r="J183" s="578" t="str">
        <f>IF('C-Design&amp;Const'!AI183="","",'C-Design&amp;Const'!AI183)</f>
        <v/>
      </c>
      <c r="K183" s="285" t="str">
        <f>IF((COUNTIF(D183:G183,"Y")=COUNTIF('04 - 95% CD'!A183,"Y")),"match","no 95% match")</f>
        <v>match</v>
      </c>
      <c r="L183" s="1410" t="str">
        <f t="shared" si="9"/>
        <v/>
      </c>
      <c r="M183" s="1333"/>
      <c r="N183" s="1333"/>
      <c r="O183" s="1333"/>
      <c r="P183" s="1333"/>
      <c r="Q183" s="1333"/>
      <c r="R183" s="1452"/>
      <c r="S183" s="1364"/>
      <c r="T183" s="1333"/>
      <c r="U183" s="1333"/>
      <c r="V183" s="1333"/>
      <c r="W183" s="1333"/>
      <c r="X183" s="1333"/>
      <c r="Y183" s="1333"/>
      <c r="Z183" s="1333"/>
      <c r="AA183" s="1333"/>
      <c r="AB183" s="1333"/>
      <c r="AC183" s="1333"/>
      <c r="AD183" s="1333"/>
      <c r="AE183" s="1333"/>
      <c r="AF183" s="1333"/>
      <c r="AG183" s="1333"/>
      <c r="AH183" s="1333"/>
      <c r="AI183" s="1333"/>
      <c r="AJ183" s="1333"/>
      <c r="AX183"/>
    </row>
    <row r="184" spans="1:50" s="17" customFormat="1" x14ac:dyDescent="0.25">
      <c r="A184" s="1510" t="str">
        <f>IF(COUNTIF('04 - 95% CD'!D184:G184,"Y")&gt;0,"Y",IF(COUNTIF('04 - 95% CD'!D184:G184,"N"),"N",""))</f>
        <v>N</v>
      </c>
      <c r="B184" s="141"/>
      <c r="C184" s="944"/>
      <c r="D184" s="321"/>
      <c r="E184" s="559" t="str">
        <f>IF('C-Design&amp;Const'!$Q184="","",'C-Design&amp;Const'!$Q184)</f>
        <v>N</v>
      </c>
      <c r="F184" s="478"/>
      <c r="G184" s="485"/>
      <c r="H184" s="358" t="str">
        <f>CONCATENATE(IF(E184="N","PLACEHOLDER ROW - ",""),IF(E184="N","",J184),'C-Design&amp;Const'!Z184,)</f>
        <v>PLACEHOLDER ROW - Outline Specifications (CSI Format)</v>
      </c>
      <c r="I184" s="136"/>
      <c r="J184" s="578" t="str">
        <f>IF('C-Design&amp;Const'!AI184="","",'C-Design&amp;Const'!AI184)</f>
        <v/>
      </c>
      <c r="K184" s="285" t="str">
        <f>IF((COUNTIF(D184:G184,"Y")=COUNTIF('04 - 95% CD'!A184,"Y")),"match","no 95% match")</f>
        <v>match</v>
      </c>
      <c r="L184" s="1410" t="str">
        <f t="shared" si="9"/>
        <v>&lt;---PM/Planner may hide PLACEHOLDER ROW</v>
      </c>
      <c r="M184" s="1333"/>
      <c r="N184" s="1333"/>
      <c r="O184" s="1333"/>
      <c r="P184" s="1333"/>
      <c r="Q184" s="1333"/>
      <c r="R184" s="1453"/>
      <c r="S184" s="1364"/>
      <c r="T184" s="1333"/>
      <c r="U184" s="1333"/>
      <c r="V184" s="1333"/>
      <c r="W184" s="1333"/>
      <c r="X184" s="1333"/>
      <c r="Y184" s="1333"/>
      <c r="Z184" s="1333"/>
      <c r="AA184" s="1333"/>
      <c r="AB184" s="1333"/>
      <c r="AC184" s="1333"/>
      <c r="AD184" s="1333"/>
      <c r="AE184" s="1333"/>
      <c r="AF184" s="1333"/>
      <c r="AG184" s="1333"/>
      <c r="AH184" s="1333"/>
      <c r="AI184" s="1333"/>
      <c r="AJ184" s="1333"/>
      <c r="AX184"/>
    </row>
    <row r="185" spans="1:50" s="17" customFormat="1" x14ac:dyDescent="0.25">
      <c r="A185" s="1510" t="str">
        <f>IF(COUNTIF('04 - 95% CD'!D185:G185,"Y")&gt;0,"Y",IF(COUNTIF('04 - 95% CD'!D185:G185,"N"),"N",""))</f>
        <v>Y</v>
      </c>
      <c r="B185" s="141"/>
      <c r="C185" s="944"/>
      <c r="D185" s="321"/>
      <c r="E185" s="559" t="str">
        <f>IF('C-Design&amp;Const'!$Q185="","",'C-Design&amp;Const'!$Q185)</f>
        <v>Y</v>
      </c>
      <c r="F185" s="478"/>
      <c r="G185" s="485"/>
      <c r="H185" s="340" t="str">
        <f>CONCATENATE(IF(E185="N","PLACEHOLDER ROW - ",""),IF(E185="N","",J185),'C-Design&amp;Const'!Z185,)</f>
        <v>(Complete) Technical Specifications  [Div 01 and after]</v>
      </c>
      <c r="I185" s="136"/>
      <c r="J185" s="578" t="str">
        <f>IF('C-Design&amp;Const'!AI185="","",'C-Design&amp;Const'!AI185)</f>
        <v xml:space="preserve">(Complete) </v>
      </c>
      <c r="K185" s="285" t="str">
        <f>IF((COUNTIF(D185:G185,"Y")=COUNTIF('04 - 95% CD'!A185,"Y")),"match","no 95% match")</f>
        <v>match</v>
      </c>
      <c r="L185" s="1410" t="str">
        <f t="shared" si="9"/>
        <v/>
      </c>
      <c r="M185" s="1333"/>
      <c r="N185" s="1333"/>
      <c r="O185" s="1333"/>
      <c r="P185" s="1333"/>
      <c r="Q185" s="1333"/>
      <c r="R185" s="1453"/>
      <c r="S185" s="1364"/>
      <c r="T185" s="1333"/>
      <c r="U185" s="1333"/>
      <c r="V185" s="1333"/>
      <c r="W185" s="1333"/>
      <c r="X185" s="1333"/>
      <c r="Y185" s="1333"/>
      <c r="Z185" s="1333"/>
      <c r="AA185" s="1333"/>
      <c r="AB185" s="1333"/>
      <c r="AC185" s="1333"/>
      <c r="AD185" s="1333"/>
      <c r="AE185" s="1333"/>
      <c r="AF185" s="1333"/>
      <c r="AG185" s="1333"/>
      <c r="AH185" s="1333"/>
      <c r="AI185" s="1333"/>
      <c r="AJ185" s="1333"/>
      <c r="AX185"/>
    </row>
    <row r="186" spans="1:50" s="17" customFormat="1" ht="18" customHeight="1" x14ac:dyDescent="0.25">
      <c r="A186" s="1510" t="str">
        <f>IF(COUNTIF('04 - 95% CD'!D186:G186,"Y")&gt;0,"Y",IF(COUNTIF('04 - 95% CD'!D186:G186,"N"),"N",""))</f>
        <v>Y</v>
      </c>
      <c r="B186" s="141"/>
      <c r="C186" s="944"/>
      <c r="D186" s="296"/>
      <c r="E186" s="559" t="str">
        <f>IF('C-Design&amp;Const'!$Q186="","",'C-Design&amp;Const'!$Q186)</f>
        <v>Y</v>
      </c>
      <c r="F186" s="444"/>
      <c r="G186" s="94"/>
      <c r="H186" s="340" t="str">
        <f>CONCATENATE(IF(E186="N","PLACEHOLDER ROW - ",""),IF(E186="N","",J186),'C-Design&amp;Const'!Z186,)</f>
        <v xml:space="preserve">(Complete) FF&amp;E Outline Specification for at least 2 competitor packages </v>
      </c>
      <c r="I186" s="145"/>
      <c r="J186" s="578" t="str">
        <f>IF('C-Design&amp;Const'!AI186="","",'C-Design&amp;Const'!AI186)</f>
        <v xml:space="preserve">(Complete) </v>
      </c>
      <c r="K186" s="285" t="str">
        <f>IF((COUNTIF(D186:G186,"Y")=COUNTIF('04 - 95% CD'!A186,"Y")),"match","no 95% match")</f>
        <v>match</v>
      </c>
      <c r="L186" s="1410" t="str">
        <f t="shared" si="9"/>
        <v/>
      </c>
      <c r="M186" s="1333"/>
      <c r="N186" s="1333"/>
      <c r="O186" s="1333"/>
      <c r="P186" s="1333"/>
      <c r="Q186" s="1333"/>
      <c r="R186" s="1444"/>
      <c r="S186" s="1448"/>
      <c r="T186" s="1333"/>
      <c r="U186" s="1333"/>
      <c r="V186" s="1333"/>
      <c r="W186" s="1333"/>
      <c r="X186" s="1333"/>
      <c r="Y186" s="1333"/>
      <c r="Z186" s="1333"/>
      <c r="AA186" s="1333"/>
      <c r="AB186" s="1333"/>
      <c r="AC186" s="1333"/>
      <c r="AD186" s="1333"/>
      <c r="AE186" s="1333"/>
      <c r="AF186" s="1333"/>
      <c r="AG186" s="1333"/>
      <c r="AH186" s="1333"/>
      <c r="AI186" s="1333"/>
      <c r="AJ186" s="1333"/>
      <c r="AX186"/>
    </row>
    <row r="187" spans="1:50" s="17" customFormat="1" ht="15" customHeight="1" x14ac:dyDescent="0.25">
      <c r="A187" s="1553" t="str">
        <f>IF(COUNTIF('04 - 95% CD'!D187:G187,"Y")&gt;0,"Y",IF(COUNTIF('04 - 95% CD'!D187:G187,"N"),"N",""))</f>
        <v>Y</v>
      </c>
      <c r="B187" s="141"/>
      <c r="C187" s="944"/>
      <c r="D187" s="321"/>
      <c r="E187" s="559" t="str">
        <f>IF('C-Design&amp;Const'!$Q187="","",'C-Design&amp;Const'!$Q187)</f>
        <v>Y</v>
      </c>
      <c r="F187" s="460"/>
      <c r="G187" s="485"/>
      <c r="H187" s="358" t="str">
        <f>CONCATENATE(IF(E187="N","PLACEHOLDER ROW - ",""),IF(E187="N","",J187),'C-Design&amp;Const'!Z187,)</f>
        <v>(Complete) Furniture Information Form (FIF)</v>
      </c>
      <c r="I187" s="136"/>
      <c r="J187" s="578" t="str">
        <f>IF('C-Design&amp;Const'!AI187="","",'C-Design&amp;Const'!AI187)</f>
        <v xml:space="preserve">(Complete) </v>
      </c>
      <c r="K187" s="285" t="str">
        <f>IF((COUNTIF(D187:G187,"Y")=COUNTIF('04 - 95% CD'!A187,"Y")),"match","no 95% match")</f>
        <v>match</v>
      </c>
      <c r="L187" s="1410" t="str">
        <f>CONCATENATE(IF(ISNUMBER(SEARCH("Placeholder",H187))=TRUE,"&lt;---PM/Planner may hide PLACEHOLDER ROW",""))</f>
        <v/>
      </c>
      <c r="M187" s="1333"/>
      <c r="N187" s="1333"/>
      <c r="O187" s="1333"/>
      <c r="P187" s="1333"/>
      <c r="Q187" s="1333"/>
      <c r="R187" s="1453"/>
      <c r="S187" s="1364"/>
      <c r="T187" s="1333"/>
      <c r="U187" s="1333"/>
      <c r="V187" s="1333"/>
      <c r="W187" s="1333"/>
      <c r="X187" s="1333"/>
      <c r="Y187" s="1333"/>
      <c r="Z187" s="1333"/>
      <c r="AA187" s="1333"/>
      <c r="AB187" s="1333"/>
      <c r="AC187" s="1333"/>
      <c r="AD187" s="1333"/>
      <c r="AE187" s="1333"/>
      <c r="AF187" s="1333"/>
      <c r="AG187" s="1333"/>
      <c r="AH187" s="1333"/>
      <c r="AI187" s="1333"/>
      <c r="AJ187" s="1333"/>
      <c r="AX187"/>
    </row>
    <row r="188" spans="1:50" s="17" customFormat="1" ht="18" customHeight="1" x14ac:dyDescent="0.25">
      <c r="A188" s="1553" t="str">
        <f>IF(COUNTIF('04 - 95% CD'!D188:G188,"Y")&gt;0,"Y",IF(COUNTIF('04 - 95% CD'!D188:G188,"N"),"N",""))</f>
        <v>Y</v>
      </c>
      <c r="B188" s="141"/>
      <c r="C188" s="944"/>
      <c r="D188" s="321"/>
      <c r="E188" s="559" t="str">
        <f>IF('C-Design&amp;Const'!$Q188="","",'C-Design&amp;Const'!$Q188)</f>
        <v>Y</v>
      </c>
      <c r="F188" s="460"/>
      <c r="G188" s="485"/>
      <c r="H188" s="340" t="str">
        <f>CONCATENATE(IF(E188="N","PLACEHOLDER ROW - ",""),IF(E188="N","",J188),'C-Design&amp;Const'!Z188,)</f>
        <v xml:space="preserve">(Complete) Voice/Data Communications System Requirements </v>
      </c>
      <c r="I188" s="136"/>
      <c r="J188" s="578" t="str">
        <f>IF('C-Design&amp;Const'!AI188="","",'C-Design&amp;Const'!AI188)</f>
        <v xml:space="preserve">(Complete) </v>
      </c>
      <c r="K188" s="285" t="str">
        <f>IF((COUNTIF(D188:G188,"Y")=COUNTIF('04 - 95% CD'!A188,"Y")),"match","no 95% match")</f>
        <v>match</v>
      </c>
      <c r="L188" s="1410" t="str">
        <f t="shared" si="9"/>
        <v/>
      </c>
      <c r="M188" s="1333"/>
      <c r="N188" s="1333"/>
      <c r="O188" s="1333"/>
      <c r="P188" s="1333"/>
      <c r="Q188" s="1333"/>
      <c r="R188" s="1453"/>
      <c r="S188" s="1364"/>
      <c r="T188" s="1333"/>
      <c r="U188" s="1333"/>
      <c r="V188" s="1333"/>
      <c r="W188" s="1333"/>
      <c r="X188" s="1333"/>
      <c r="Y188" s="1333"/>
      <c r="Z188" s="1333"/>
      <c r="AA188" s="1333"/>
      <c r="AB188" s="1333"/>
      <c r="AC188" s="1333"/>
      <c r="AD188" s="1333"/>
      <c r="AE188" s="1333"/>
      <c r="AF188" s="1333"/>
      <c r="AG188" s="1333"/>
      <c r="AH188" s="1333"/>
      <c r="AI188" s="1333"/>
      <c r="AJ188" s="1333"/>
      <c r="AX188"/>
    </row>
    <row r="189" spans="1:50" s="17" customFormat="1" ht="42.75" x14ac:dyDescent="0.25">
      <c r="A189" s="1553" t="str">
        <f>IF(COUNTIF('04 - 95% CD'!D189:G189,"Y")&gt;0,"Y",IF(COUNTIF('04 - 95% CD'!D189:G189,"N"),"N",""))</f>
        <v>Y</v>
      </c>
      <c r="B189" s="141"/>
      <c r="C189" s="944"/>
      <c r="D189" s="321"/>
      <c r="E189" s="559" t="str">
        <f>IF('C-Design&amp;Const'!$Q189="","",'C-Design&amp;Const'!$Q189)</f>
        <v>Y</v>
      </c>
      <c r="F189" s="460"/>
      <c r="G189" s="485"/>
      <c r="H189" s="340" t="str">
        <f>CONCATENATE(IF(E189="N","PLACEHOLDER ROW - ",""),IF(E189="N","",J189),'C-Design&amp;Const'!Z189,)</f>
        <v xml:space="preserve">(Complete) AV Systems Requirements, including Millwork, Associated Cooling, Power, Grounding, Data / Telecomm, Acoustics &amp; Noise Control, and Lighting System. Cables Identified by Manufacturer/Model Number. </v>
      </c>
      <c r="I189" s="136"/>
      <c r="J189" s="578" t="str">
        <f>IF('C-Design&amp;Const'!AI189="","",'C-Design&amp;Const'!AI189)</f>
        <v xml:space="preserve">(Complete) </v>
      </c>
      <c r="K189" s="285" t="str">
        <f>IF((COUNTIF(D189:G189,"Y")=COUNTIF('04 - 95% CD'!A189,"Y")),"match","no 95% match")</f>
        <v>match</v>
      </c>
      <c r="L189" s="1410" t="str">
        <f t="shared" si="9"/>
        <v/>
      </c>
      <c r="M189" s="1333"/>
      <c r="N189" s="1333"/>
      <c r="O189" s="1333"/>
      <c r="P189" s="1333"/>
      <c r="Q189" s="1333"/>
      <c r="R189" s="1453"/>
      <c r="S189" s="1364"/>
      <c r="T189" s="1333"/>
      <c r="U189" s="1333"/>
      <c r="V189" s="1333"/>
      <c r="W189" s="1333"/>
      <c r="X189" s="1333"/>
      <c r="Y189" s="1333"/>
      <c r="Z189" s="1333"/>
      <c r="AA189" s="1333"/>
      <c r="AB189" s="1333"/>
      <c r="AC189" s="1333"/>
      <c r="AD189" s="1333"/>
      <c r="AE189" s="1333"/>
      <c r="AF189" s="1333"/>
      <c r="AG189" s="1333"/>
      <c r="AH189" s="1333"/>
      <c r="AI189" s="1333"/>
      <c r="AJ189" s="1333"/>
      <c r="AX189"/>
    </row>
    <row r="190" spans="1:50" s="30" customFormat="1" ht="15" customHeight="1" x14ac:dyDescent="0.25">
      <c r="A190" s="1553" t="str">
        <f>IF(COUNTIF('04 - 95% CD'!D190:G190,"Y")&gt;0,"Y",IF(COUNTIF('04 - 95% CD'!D190:G190,"N"),"N",""))</f>
        <v>Y</v>
      </c>
      <c r="B190" s="191"/>
      <c r="C190" s="944"/>
      <c r="D190" s="463"/>
      <c r="E190" s="559" t="str">
        <f>IF('C-Design&amp;Const'!$Q190="","",'C-Design&amp;Const'!$Q190)</f>
        <v>Y</v>
      </c>
      <c r="F190" s="461"/>
      <c r="G190" s="291"/>
      <c r="H190" s="358" t="str">
        <f>CONCATENATE(IF(E190="N","PLACEHOLDER ROW - ",""),IF(E190="N","",J190),'C-Design&amp;Const'!Z190,)</f>
        <v>(Complete) Audio / Visual Basis of Material (AV BOM)</v>
      </c>
      <c r="I190" s="184"/>
      <c r="J190" s="578" t="str">
        <f>IF('C-Design&amp;Const'!AI190="","",'C-Design&amp;Const'!AI190)</f>
        <v xml:space="preserve">(Complete) </v>
      </c>
      <c r="K190" s="285" t="str">
        <f>IF((COUNTIF(D190:G190,"Y")=COUNTIF('04 - 95% CD'!A190,"Y")),"match","no 95% match")</f>
        <v>match</v>
      </c>
      <c r="L190" s="1410" t="str">
        <f>CONCATENATE(IF(ISNUMBER(SEARCH("Placeholder",H190))=TRUE,"&lt;---PM/Planner may hide PLACEHOLDER ROW",""))</f>
        <v/>
      </c>
      <c r="M190" s="1333"/>
      <c r="N190" s="1333"/>
      <c r="O190" s="1382"/>
      <c r="P190" s="1382"/>
      <c r="Q190" s="1382"/>
      <c r="R190" s="1382"/>
      <c r="S190" s="1382"/>
      <c r="T190" s="1382"/>
      <c r="U190" s="1382"/>
      <c r="V190" s="1382"/>
      <c r="W190" s="1382"/>
      <c r="X190" s="1382"/>
      <c r="Y190" s="1382"/>
      <c r="Z190" s="1382"/>
      <c r="AA190" s="1382"/>
      <c r="AB190" s="1382"/>
      <c r="AC190" s="1382"/>
      <c r="AD190" s="1382"/>
      <c r="AE190" s="1382"/>
      <c r="AF190" s="1382"/>
      <c r="AG190" s="1382"/>
      <c r="AH190" s="1382"/>
      <c r="AI190" s="1382"/>
      <c r="AJ190" s="1382"/>
      <c r="AK190" s="181"/>
      <c r="AL190" s="181"/>
      <c r="AM190" s="181"/>
      <c r="AN190" s="181"/>
      <c r="AO190" s="181"/>
      <c r="AP190" s="181"/>
      <c r="AQ190" s="181"/>
      <c r="AR190" s="181"/>
      <c r="AS190" s="181"/>
      <c r="AT190" s="181"/>
      <c r="AU190" s="181"/>
      <c r="AV190" s="181"/>
      <c r="AW190" s="181"/>
    </row>
    <row r="191" spans="1:50" s="17" customFormat="1" ht="18.75" customHeight="1" x14ac:dyDescent="0.25">
      <c r="A191" s="1553" t="str">
        <f>IF(COUNTIF('04 - 95% CD'!D191:G191,"Y")&gt;0,"Y",IF(COUNTIF('04 - 95% CD'!D191:G191,"N"),"N",""))</f>
        <v>Y</v>
      </c>
      <c r="B191" s="141"/>
      <c r="C191" s="944"/>
      <c r="D191" s="321"/>
      <c r="E191" s="559" t="str">
        <f>IF('C-Design&amp;Const'!$Q191="","",'C-Design&amp;Const'!$Q191)</f>
        <v>Y</v>
      </c>
      <c r="F191" s="460"/>
      <c r="G191" s="485"/>
      <c r="H191" s="358" t="str">
        <f>CONCATENATE(IF(E191="N","PLACEHOLDER ROW - ",""),IF(E191="N","",J191),'C-Design&amp;Const'!Z191,)</f>
        <v>Soil Borings and Soils Report (With Applicable Section)</v>
      </c>
      <c r="I191" s="136"/>
      <c r="J191" s="578" t="str">
        <f>IF('C-Design&amp;Const'!AI191="","",'C-Design&amp;Const'!AI191)</f>
        <v/>
      </c>
      <c r="K191" s="285" t="str">
        <f>IF((COUNTIF(D191:G191,"Y")=COUNTIF('04 - 95% CD'!A191,"Y")),"match","no 95% match")</f>
        <v>match</v>
      </c>
      <c r="L191" s="1410" t="str">
        <f t="shared" si="9"/>
        <v/>
      </c>
      <c r="M191" s="1333"/>
      <c r="N191" s="1333"/>
      <c r="O191" s="1333"/>
      <c r="P191" s="1333"/>
      <c r="Q191" s="1333"/>
      <c r="R191" s="1410"/>
      <c r="S191" s="1364"/>
      <c r="T191" s="1333"/>
      <c r="U191" s="1333"/>
      <c r="V191" s="1333"/>
      <c r="W191" s="1333"/>
      <c r="X191" s="1333"/>
      <c r="Y191" s="1333"/>
      <c r="Z191" s="1333"/>
      <c r="AA191" s="1333"/>
      <c r="AB191" s="1333"/>
      <c r="AC191" s="1333"/>
      <c r="AD191" s="1333"/>
      <c r="AE191" s="1333"/>
      <c r="AF191" s="1333"/>
      <c r="AG191" s="1333"/>
      <c r="AH191" s="1333"/>
      <c r="AI191" s="1333"/>
      <c r="AJ191" s="1333"/>
      <c r="AX191"/>
    </row>
    <row r="192" spans="1:50" s="17" customFormat="1" ht="28.5" x14ac:dyDescent="0.25">
      <c r="A192" s="1553" t="str">
        <f>IF(COUNTIF('04 - 95% CD'!D192:G192,"Y")&gt;0,"Y",IF(COUNTIF('04 - 95% CD'!D192:G192,"N"),"N",""))</f>
        <v>Y</v>
      </c>
      <c r="B192" s="141"/>
      <c r="C192" s="944"/>
      <c r="D192" s="321"/>
      <c r="E192" s="559" t="str">
        <f>IF('C-Design&amp;Const'!$Q192="","",'C-Design&amp;Const'!$Q192)</f>
        <v>Y</v>
      </c>
      <c r="F192" s="460"/>
      <c r="G192" s="485"/>
      <c r="H192" s="358" t="str">
        <f>CONCATENATE(IF(E192="N","PLACEHOLDER ROW - ",""),IF(E192="N","",J192),'C-Design&amp;Const'!Z192,)</f>
        <v>Results of Hazardous Materials Testing and Hazardous Materials Mediation Plan (With Applicable Section)</v>
      </c>
      <c r="I192" s="136"/>
      <c r="J192" s="578" t="str">
        <f>IF('C-Design&amp;Const'!AI192="","",'C-Design&amp;Const'!AI192)</f>
        <v/>
      </c>
      <c r="K192" s="285" t="str">
        <f>IF((COUNTIF(D192:G192,"Y")=COUNTIF('04 - 95% CD'!A192,"Y")),"match","no 95% match")</f>
        <v>match</v>
      </c>
      <c r="L192" s="1410" t="str">
        <f t="shared" si="9"/>
        <v/>
      </c>
      <c r="M192" s="1333"/>
      <c r="N192" s="1333"/>
      <c r="O192" s="1333"/>
      <c r="P192" s="1333"/>
      <c r="Q192" s="1333"/>
      <c r="R192" s="1453"/>
      <c r="S192" s="1364"/>
      <c r="T192" s="1333"/>
      <c r="U192" s="1333"/>
      <c r="V192" s="1333"/>
      <c r="W192" s="1333"/>
      <c r="X192" s="1333"/>
      <c r="Y192" s="1333"/>
      <c r="Z192" s="1333"/>
      <c r="AA192" s="1333"/>
      <c r="AB192" s="1333"/>
      <c r="AC192" s="1333"/>
      <c r="AD192" s="1333"/>
      <c r="AE192" s="1333"/>
      <c r="AF192" s="1333"/>
      <c r="AG192" s="1333"/>
      <c r="AH192" s="1333"/>
      <c r="AI192" s="1333"/>
      <c r="AJ192" s="1333"/>
      <c r="AX192"/>
    </row>
    <row r="193" spans="1:50" s="30" customFormat="1" ht="15" customHeight="1" x14ac:dyDescent="0.25">
      <c r="A193" s="1553" t="str">
        <f>IF(COUNTIF('04 - 95% CD'!D193:G193,"Y")&gt;0,"Y",IF(COUNTIF('04 - 95% CD'!D193:G193,"N"),"N",""))</f>
        <v>Y</v>
      </c>
      <c r="B193" s="191"/>
      <c r="C193" s="944"/>
      <c r="D193" s="463"/>
      <c r="E193" s="559" t="str">
        <f>IF('C-Design&amp;Const'!$Q193="","",'C-Design&amp;Const'!$Q193)</f>
        <v>Y</v>
      </c>
      <c r="F193" s="461"/>
      <c r="G193" s="291"/>
      <c r="H193" s="358" t="str">
        <f>CONCATENATE(IF(E193="N","PLACEHOLDER ROW - ",""),IF(E193="N","",J193),'C-Design&amp;Const'!Z193,)</f>
        <v>(All received) EPA &amp; State Permits (With Applicable Section)</v>
      </c>
      <c r="I193" s="184"/>
      <c r="J193" s="578" t="str">
        <f>IF('C-Design&amp;Const'!AI193="","",'C-Design&amp;Const'!AI193)</f>
        <v xml:space="preserve">(All received) </v>
      </c>
      <c r="K193" s="285" t="str">
        <f>IF((COUNTIF(D193:G193,"Y")=COUNTIF('04 - 95% CD'!A193,"Y")),"match","no 95% match")</f>
        <v>match</v>
      </c>
      <c r="L193" s="1410" t="str">
        <f t="shared" si="9"/>
        <v/>
      </c>
      <c r="M193" s="1333"/>
      <c r="N193" s="1333"/>
      <c r="O193" s="1333"/>
      <c r="P193" s="1382"/>
      <c r="Q193" s="1382"/>
      <c r="R193" s="1382"/>
      <c r="S193" s="1382"/>
      <c r="T193" s="1382"/>
      <c r="U193" s="1382"/>
      <c r="V193" s="1382"/>
      <c r="W193" s="1382"/>
      <c r="X193" s="1382"/>
      <c r="Y193" s="1382"/>
      <c r="Z193" s="1382"/>
      <c r="AA193" s="1382"/>
      <c r="AB193" s="1382"/>
      <c r="AC193" s="1382"/>
      <c r="AD193" s="1382"/>
      <c r="AE193" s="1382"/>
      <c r="AF193" s="1382"/>
      <c r="AG193" s="1382"/>
      <c r="AH193" s="1382"/>
      <c r="AI193" s="1382"/>
      <c r="AJ193" s="1382"/>
      <c r="AK193" s="181"/>
      <c r="AL193" s="181"/>
      <c r="AM193" s="181"/>
      <c r="AN193" s="181"/>
      <c r="AO193" s="181"/>
      <c r="AP193" s="181"/>
      <c r="AQ193" s="181"/>
      <c r="AR193" s="181"/>
      <c r="AS193" s="181"/>
      <c r="AT193" s="181"/>
      <c r="AU193" s="181"/>
      <c r="AV193" s="181"/>
      <c r="AW193" s="181"/>
    </row>
    <row r="194" spans="1:50" s="17" customFormat="1" ht="15" customHeight="1" x14ac:dyDescent="0.25">
      <c r="A194" s="1553" t="str">
        <f>IF(COUNTIF('04 - 95% CD'!D194:G194,"Y")&gt;0,"Y",IF(COUNTIF('04 - 95% CD'!D194:G194,"N"),"N",""))</f>
        <v>Y</v>
      </c>
      <c r="B194" s="141"/>
      <c r="C194" s="944"/>
      <c r="D194" s="321"/>
      <c r="E194" s="559" t="str">
        <f>IF('C-Design&amp;Const'!$Q194="","",'C-Design&amp;Const'!$Q194)</f>
        <v>Y</v>
      </c>
      <c r="F194" s="460"/>
      <c r="G194" s="485"/>
      <c r="H194" s="358" t="str">
        <f>CONCATENATE(IF(E194="N","PLACEHOLDER ROW - ",""),IF(E194="N","",J194),'C-Design&amp;Const'!Z194,)</f>
        <v>Results of flow testing (With Applicable Section)</v>
      </c>
      <c r="I194" s="136"/>
      <c r="J194" s="578" t="str">
        <f>IF('C-Design&amp;Const'!AI194="","",'C-Design&amp;Const'!AI194)</f>
        <v/>
      </c>
      <c r="K194" s="285" t="str">
        <f>IF((COUNTIF(D194:G194,"Y")=COUNTIF('04 - 95% CD'!A194,"Y")),"match","no 95% match")</f>
        <v>match</v>
      </c>
      <c r="L194" s="1410" t="str">
        <f t="shared" si="9"/>
        <v/>
      </c>
      <c r="M194" s="1333"/>
      <c r="N194" s="1333"/>
      <c r="O194" s="1333"/>
      <c r="P194" s="1333"/>
      <c r="Q194" s="1333"/>
      <c r="R194" s="1453"/>
      <c r="S194" s="1364"/>
      <c r="T194" s="1333"/>
      <c r="U194" s="1333"/>
      <c r="V194" s="1333"/>
      <c r="W194" s="1333"/>
      <c r="X194" s="1333"/>
      <c r="Y194" s="1333"/>
      <c r="Z194" s="1333"/>
      <c r="AA194" s="1333"/>
      <c r="AB194" s="1333"/>
      <c r="AC194" s="1333"/>
      <c r="AD194" s="1333"/>
      <c r="AE194" s="1333"/>
      <c r="AF194" s="1333"/>
      <c r="AG194" s="1333"/>
      <c r="AH194" s="1333"/>
      <c r="AI194" s="1333"/>
      <c r="AJ194" s="1333"/>
      <c r="AX194"/>
    </row>
    <row r="195" spans="1:50" s="30" customFormat="1" ht="15" customHeight="1" x14ac:dyDescent="0.25">
      <c r="A195" s="1553" t="str">
        <f>IF(COUNTIF('04 - 95% CD'!D195:G195,"Y")&gt;0,"Y",IF(COUNTIF('04 - 95% CD'!D195:G195,"N"),"N",""))</f>
        <v>Y</v>
      </c>
      <c r="B195" s="191"/>
      <c r="C195" s="944"/>
      <c r="D195" s="463"/>
      <c r="E195" s="559" t="str">
        <f>IF('C-Design&amp;Const'!$Q195="","",'C-Design&amp;Const'!$Q195)</f>
        <v>Y</v>
      </c>
      <c r="F195" s="461"/>
      <c r="G195" s="291"/>
      <c r="H195" s="358" t="str">
        <f>CONCATENATE(IF(E195="N","PLACEHOLDER ROW - ",""),IF(E195="N","",J195),'C-Design&amp;Const'!Z195,)</f>
        <v>Results of existing exterior envelope material tests or strengths (With Applicable section)</v>
      </c>
      <c r="I195" s="184"/>
      <c r="J195" s="578" t="str">
        <f>IF('C-Design&amp;Const'!AI195="","",'C-Design&amp;Const'!AI195)</f>
        <v/>
      </c>
      <c r="K195" s="285" t="str">
        <f>IF((COUNTIF(D195:G195,"Y")=COUNTIF('04 - 95% CD'!A195,"Y")),"match","no 95% match")</f>
        <v>match</v>
      </c>
      <c r="L195" s="1410" t="str">
        <f t="shared" si="9"/>
        <v/>
      </c>
      <c r="M195" s="1333"/>
      <c r="N195" s="1333"/>
      <c r="O195" s="1333"/>
      <c r="P195" s="1382"/>
      <c r="Q195" s="1382"/>
      <c r="R195" s="1382"/>
      <c r="S195" s="1382"/>
      <c r="T195" s="1382"/>
      <c r="U195" s="1382"/>
      <c r="V195" s="1382"/>
      <c r="W195" s="1382"/>
      <c r="X195" s="1382"/>
      <c r="Y195" s="1382"/>
      <c r="Z195" s="1382"/>
      <c r="AA195" s="1382"/>
      <c r="AB195" s="1382"/>
      <c r="AC195" s="1382"/>
      <c r="AD195" s="1382"/>
      <c r="AE195" s="1382"/>
      <c r="AF195" s="1382"/>
      <c r="AG195" s="1382"/>
      <c r="AH195" s="1382"/>
      <c r="AI195" s="1382"/>
      <c r="AJ195" s="1382"/>
      <c r="AK195" s="181"/>
      <c r="AL195" s="181"/>
      <c r="AM195" s="181"/>
      <c r="AN195" s="181"/>
      <c r="AO195" s="181"/>
      <c r="AP195" s="181"/>
      <c r="AQ195" s="181"/>
      <c r="AR195" s="181"/>
      <c r="AS195" s="181"/>
      <c r="AT195" s="181"/>
      <c r="AU195" s="181"/>
      <c r="AV195" s="181"/>
      <c r="AW195" s="181"/>
    </row>
    <row r="196" spans="1:50" s="17" customFormat="1" ht="24.75" customHeight="1" x14ac:dyDescent="0.25">
      <c r="A196" s="1553" t="str">
        <f>IF(COUNTIF('04 - 95% CD'!D196:G196,"Y")&gt;0,"Y",IF(COUNTIF('04 - 95% CD'!D196:G196,"N"),"N",""))</f>
        <v>Y</v>
      </c>
      <c r="B196" s="141"/>
      <c r="C196" s="944"/>
      <c r="D196" s="321"/>
      <c r="E196" s="559" t="str">
        <f>IF('C-Design&amp;Const'!$Q196="","",'C-Design&amp;Const'!$Q196)</f>
        <v>Y</v>
      </c>
      <c r="F196" s="460"/>
      <c r="G196" s="485"/>
      <c r="H196" s="358" t="str">
        <f>CONCATENATE(IF(E196="N","PLACEHOLDER ROW - ",""),IF(E196="N","",J196),'C-Design&amp;Const'!Z196,)</f>
        <v>Results of any existing structural materials tests or verification / scans of structure layout. (With Applicable section)</v>
      </c>
      <c r="I196" s="136"/>
      <c r="J196" s="578" t="str">
        <f>IF('C-Design&amp;Const'!AI196="","",'C-Design&amp;Const'!AI196)</f>
        <v/>
      </c>
      <c r="K196" s="285" t="str">
        <f>IF((COUNTIF(D196:G196,"Y")=COUNTIF('04 - 95% CD'!A196,"Y")),"match","no 95% match")</f>
        <v>match</v>
      </c>
      <c r="L196" s="1410" t="str">
        <f t="shared" si="9"/>
        <v/>
      </c>
      <c r="M196" s="1333"/>
      <c r="N196" s="1333"/>
      <c r="O196" s="1333"/>
      <c r="P196" s="1333"/>
      <c r="Q196" s="1333"/>
      <c r="R196" s="1453"/>
      <c r="S196" s="1364"/>
      <c r="T196" s="1333"/>
      <c r="U196" s="1333"/>
      <c r="V196" s="1333"/>
      <c r="W196" s="1333"/>
      <c r="X196" s="1333"/>
      <c r="Y196" s="1333"/>
      <c r="Z196" s="1333"/>
      <c r="AA196" s="1333"/>
      <c r="AB196" s="1333"/>
      <c r="AC196" s="1333"/>
      <c r="AD196" s="1333"/>
      <c r="AE196" s="1333"/>
      <c r="AF196" s="1333"/>
      <c r="AG196" s="1333"/>
      <c r="AH196" s="1333"/>
      <c r="AI196" s="1333"/>
      <c r="AJ196" s="1333"/>
      <c r="AX196"/>
    </row>
    <row r="197" spans="1:50" s="17" customFormat="1" ht="15" customHeight="1" x14ac:dyDescent="0.25">
      <c r="A197" s="1553" t="str">
        <f>IF(COUNTIF('04 - 95% CD'!D197:G197,"Y")&gt;0,"Y",IF(COUNTIF('04 - 95% CD'!D197:G197,"N"),"N",""))</f>
        <v>N</v>
      </c>
      <c r="B197" s="141"/>
      <c r="C197" s="944"/>
      <c r="D197" s="321"/>
      <c r="E197" s="559" t="str">
        <f>IF('C-Design&amp;Const'!$Q197="","",'C-Design&amp;Const'!$Q197)</f>
        <v>N</v>
      </c>
      <c r="F197" s="460"/>
      <c r="G197" s="485"/>
      <c r="H197" s="358" t="str">
        <f>CONCATENATE(IF(E197="N","PLACEHOLDER ROW - ",""),IF(E197="N","",J197),'C-Design&amp;Const'!Z197,)</f>
        <v>PLACEHOLDER ROW - CUSTOM ROW - OPTIONAL CLIENT ITEM</v>
      </c>
      <c r="I197" s="136"/>
      <c r="J197" s="578" t="str">
        <f>IF('C-Design&amp;Const'!AI197="","",'C-Design&amp;Const'!AI197)</f>
        <v/>
      </c>
      <c r="K197" s="285" t="str">
        <f>IF((COUNTIF(D197:G197,"Y")=COUNTIF('04 - 95% CD'!A197,"Y")),"match","no 95% match")</f>
        <v>match</v>
      </c>
      <c r="L197" s="1410" t="str">
        <f t="shared" si="9"/>
        <v>&lt;---PM/Planner may hide PLACEHOLDER ROW</v>
      </c>
      <c r="M197" s="1333"/>
      <c r="N197" s="1333"/>
      <c r="O197" s="1333"/>
      <c r="P197" s="1333"/>
      <c r="Q197" s="1333"/>
      <c r="R197" s="1453"/>
      <c r="S197" s="1364"/>
      <c r="T197" s="1333"/>
      <c r="U197" s="1333"/>
      <c r="V197" s="1333"/>
      <c r="W197" s="1333"/>
      <c r="X197" s="1333"/>
      <c r="Y197" s="1333"/>
      <c r="Z197" s="1333"/>
      <c r="AA197" s="1333"/>
      <c r="AB197" s="1333"/>
      <c r="AC197" s="1333"/>
      <c r="AD197" s="1333"/>
      <c r="AE197" s="1333"/>
      <c r="AF197" s="1333"/>
      <c r="AG197" s="1333"/>
      <c r="AH197" s="1333"/>
      <c r="AI197" s="1333"/>
      <c r="AJ197" s="1333"/>
      <c r="AX197"/>
    </row>
    <row r="198" spans="1:50" s="30" customFormat="1" ht="15" customHeight="1" x14ac:dyDescent="0.25">
      <c r="A198" s="1553" t="str">
        <f>IF(COUNTIF('04 - 95% CD'!D198:G198,"Y")&gt;0,"Y",IF(COUNTIF('04 - 95% CD'!D198:G198,"N"),"N",""))</f>
        <v>N</v>
      </c>
      <c r="B198" s="191"/>
      <c r="C198" s="944"/>
      <c r="D198" s="463"/>
      <c r="E198" s="559" t="str">
        <f>IF('C-Design&amp;Const'!$Q198="","",'C-Design&amp;Const'!$Q198)</f>
        <v>N</v>
      </c>
      <c r="F198" s="461"/>
      <c r="G198" s="291"/>
      <c r="H198" s="358" t="str">
        <f>CONCATENATE(IF(E198="N","PLACEHOLDER ROW - ",""),IF(E198="N","",J198),'C-Design&amp;Const'!Z198,)</f>
        <v>PLACEHOLDER ROW - CUSTOM ROW - OPTIONAL CLIENT ITEM</v>
      </c>
      <c r="I198" s="184"/>
      <c r="J198" s="578" t="str">
        <f>IF('C-Design&amp;Const'!AI198="","",'C-Design&amp;Const'!AI198)</f>
        <v/>
      </c>
      <c r="K198" s="285" t="str">
        <f>IF((COUNTIF(D198:G198,"Y")=COUNTIF('04 - 95% CD'!A198,"Y")),"match","no 95% match")</f>
        <v>match</v>
      </c>
      <c r="L198" s="1410" t="str">
        <f t="shared" si="9"/>
        <v>&lt;---PM/Planner may hide PLACEHOLDER ROW</v>
      </c>
      <c r="M198" s="1333"/>
      <c r="N198" s="1333"/>
      <c r="O198" s="1333"/>
      <c r="P198" s="1382"/>
      <c r="Q198" s="1382"/>
      <c r="R198" s="1382"/>
      <c r="S198" s="1382"/>
      <c r="T198" s="1382"/>
      <c r="U198" s="1382"/>
      <c r="V198" s="1382"/>
      <c r="W198" s="1382"/>
      <c r="X198" s="1382"/>
      <c r="Y198" s="1382"/>
      <c r="Z198" s="1382"/>
      <c r="AA198" s="1382"/>
      <c r="AB198" s="1382"/>
      <c r="AC198" s="1382"/>
      <c r="AD198" s="1382"/>
      <c r="AE198" s="1382"/>
      <c r="AF198" s="1382"/>
      <c r="AG198" s="1382"/>
      <c r="AH198" s="1382"/>
      <c r="AI198" s="1382"/>
      <c r="AJ198" s="1382"/>
      <c r="AK198" s="181"/>
      <c r="AL198" s="181"/>
      <c r="AM198" s="181"/>
      <c r="AN198" s="181"/>
      <c r="AO198" s="181"/>
      <c r="AP198" s="181"/>
      <c r="AQ198" s="181"/>
      <c r="AR198" s="181"/>
      <c r="AS198" s="181"/>
      <c r="AT198" s="181"/>
      <c r="AU198" s="181"/>
      <c r="AV198" s="181"/>
      <c r="AW198" s="181"/>
    </row>
    <row r="199" spans="1:50" s="30" customFormat="1" ht="15" hidden="1" customHeight="1" x14ac:dyDescent="0.25">
      <c r="A199" s="1553" t="str">
        <f>IF(COUNTIF('04 - 95% CD'!D199:G199,"Y")&gt;0,"Y",IF(COUNTIF('04 - 95% CD'!D199:G199,"N"),"N",""))</f>
        <v>N</v>
      </c>
      <c r="B199" s="191"/>
      <c r="C199" s="944"/>
      <c r="D199" s="463"/>
      <c r="E199" s="559" t="str">
        <f>IF('C-Design&amp;Const'!$Q199="","",'C-Design&amp;Const'!$Q199)</f>
        <v>N</v>
      </c>
      <c r="F199" s="461"/>
      <c r="G199" s="291"/>
      <c r="H199" s="358" t="str">
        <f>CONCATENATE(IF(E199="N","PLACEHOLDER ROW - ",""),IF(E199="N","",J199),'C-Design&amp;Const'!Z199,)</f>
        <v>PLACEHOLDER ROW - CUSTOM ROW - OPTIONAL CLIENT ITEM</v>
      </c>
      <c r="I199" s="184"/>
      <c r="J199" s="578" t="str">
        <f>IF('C-Design&amp;Const'!AI199="","",'C-Design&amp;Const'!AI199)</f>
        <v/>
      </c>
      <c r="K199" s="285" t="str">
        <f>IF((COUNTIF(D199:G199,"Y")=COUNTIF('04 - 95% CD'!A199,"Y")),"match","no 95% match")</f>
        <v>match</v>
      </c>
      <c r="L199" s="1410" t="str">
        <f t="shared" si="9"/>
        <v>&lt;---PM/Planner may hide PLACEHOLDER ROW</v>
      </c>
      <c r="M199" s="1333"/>
      <c r="N199" s="1333"/>
      <c r="O199" s="1333"/>
      <c r="P199" s="1382"/>
      <c r="Q199" s="1382"/>
      <c r="R199" s="1382"/>
      <c r="S199" s="1382"/>
      <c r="T199" s="1382"/>
      <c r="U199" s="1382"/>
      <c r="V199" s="1382"/>
      <c r="W199" s="1382"/>
      <c r="X199" s="1382"/>
      <c r="Y199" s="1382"/>
      <c r="Z199" s="1382"/>
      <c r="AA199" s="1382"/>
      <c r="AB199" s="1382"/>
      <c r="AC199" s="1382"/>
      <c r="AD199" s="1382"/>
      <c r="AE199" s="1382"/>
      <c r="AF199" s="1382"/>
      <c r="AG199" s="1382"/>
      <c r="AH199" s="1382"/>
      <c r="AI199" s="1382"/>
      <c r="AJ199" s="1382"/>
      <c r="AK199" s="181"/>
      <c r="AL199" s="181"/>
      <c r="AM199" s="181"/>
      <c r="AN199" s="181"/>
      <c r="AO199" s="181"/>
      <c r="AP199" s="181"/>
      <c r="AQ199" s="181"/>
      <c r="AR199" s="181"/>
      <c r="AS199" s="181"/>
      <c r="AT199" s="181"/>
      <c r="AU199" s="181"/>
      <c r="AV199" s="181"/>
      <c r="AW199" s="181"/>
    </row>
    <row r="200" spans="1:50" s="17" customFormat="1" ht="15" hidden="1" customHeight="1" x14ac:dyDescent="0.25">
      <c r="A200" s="1553" t="str">
        <f>IF(COUNTIF('04 - 95% CD'!D200:G200,"Y")&gt;0,"Y",IF(COUNTIF('04 - 95% CD'!D200:G200,"N"),"N",""))</f>
        <v>N</v>
      </c>
      <c r="B200" s="141"/>
      <c r="C200" s="944"/>
      <c r="D200" s="321"/>
      <c r="E200" s="559" t="str">
        <f>IF('C-Design&amp;Const'!$Q200="","",'C-Design&amp;Const'!$Q200)</f>
        <v>N</v>
      </c>
      <c r="F200" s="460"/>
      <c r="G200" s="485"/>
      <c r="H200" s="358" t="str">
        <f>CONCATENATE(IF(E200="N","PLACEHOLDER ROW - ",""),IF(E200="N","",J200),'C-Design&amp;Const'!Z200,)</f>
        <v>PLACEHOLDER ROW - CUSTOM ROW - OPTIONAL CLIENT ITEM</v>
      </c>
      <c r="I200" s="136"/>
      <c r="J200" s="578" t="str">
        <f>IF('C-Design&amp;Const'!AI200="","",'C-Design&amp;Const'!AI200)</f>
        <v/>
      </c>
      <c r="K200" s="285" t="str">
        <f>IF((COUNTIF(D200:G200,"Y")=COUNTIF('04 - 95% CD'!A200,"Y")),"match","no 95% match")</f>
        <v>match</v>
      </c>
      <c r="L200" s="1410" t="str">
        <f t="shared" si="9"/>
        <v>&lt;---PM/Planner may hide PLACEHOLDER ROW</v>
      </c>
      <c r="M200" s="1333"/>
      <c r="N200" s="1333"/>
      <c r="O200" s="1333"/>
      <c r="P200" s="1333"/>
      <c r="Q200" s="1333"/>
      <c r="R200" s="1453"/>
      <c r="S200" s="1364"/>
      <c r="T200" s="1333"/>
      <c r="U200" s="1333"/>
      <c r="V200" s="1333"/>
      <c r="W200" s="1333"/>
      <c r="X200" s="1333"/>
      <c r="Y200" s="1333"/>
      <c r="Z200" s="1333"/>
      <c r="AA200" s="1333"/>
      <c r="AB200" s="1333"/>
      <c r="AC200" s="1333"/>
      <c r="AD200" s="1333"/>
      <c r="AE200" s="1333"/>
      <c r="AF200" s="1333"/>
      <c r="AG200" s="1333"/>
      <c r="AH200" s="1333"/>
      <c r="AI200" s="1333"/>
      <c r="AJ200" s="1333"/>
      <c r="AX200"/>
    </row>
    <row r="201" spans="1:50" s="30" customFormat="1" ht="15" hidden="1" customHeight="1" x14ac:dyDescent="0.25">
      <c r="A201" s="1553" t="str">
        <f>IF(COUNTIF('04 - 95% CD'!D201:G201,"Y")&gt;0,"Y",IF(COUNTIF('04 - 95% CD'!D201:G201,"N"),"N",""))</f>
        <v>N</v>
      </c>
      <c r="B201" s="191"/>
      <c r="C201" s="944"/>
      <c r="D201" s="463"/>
      <c r="E201" s="559" t="str">
        <f>IF('C-Design&amp;Const'!$Q201="","",'C-Design&amp;Const'!$Q201)</f>
        <v>N</v>
      </c>
      <c r="F201" s="461"/>
      <c r="G201" s="291"/>
      <c r="H201" s="358" t="str">
        <f>CONCATENATE(IF(E201="N","PLACEHOLDER ROW - ",""),IF(E201="N","",J201),'C-Design&amp;Const'!Z201,)</f>
        <v>PLACEHOLDER ROW - CUSTOM ROW - OPTIONAL CLIENT ITEM</v>
      </c>
      <c r="I201" s="184"/>
      <c r="J201" s="578" t="str">
        <f>IF('C-Design&amp;Const'!AI201="","",'C-Design&amp;Const'!AI201)</f>
        <v/>
      </c>
      <c r="K201" s="285" t="str">
        <f>IF((COUNTIF(D201:G201,"Y")=COUNTIF('04 - 95% CD'!A201,"Y")),"match","no 95% match")</f>
        <v>match</v>
      </c>
      <c r="L201" s="1410" t="str">
        <f t="shared" si="9"/>
        <v>&lt;---PM/Planner may hide PLACEHOLDER ROW</v>
      </c>
      <c r="M201" s="1333"/>
      <c r="N201" s="1333"/>
      <c r="O201" s="1333"/>
      <c r="P201" s="1382"/>
      <c r="Q201" s="1382"/>
      <c r="R201" s="1382"/>
      <c r="S201" s="1382"/>
      <c r="T201" s="1382"/>
      <c r="U201" s="1382"/>
      <c r="V201" s="1382"/>
      <c r="W201" s="1382"/>
      <c r="X201" s="1382"/>
      <c r="Y201" s="1382"/>
      <c r="Z201" s="1382"/>
      <c r="AA201" s="1382"/>
      <c r="AB201" s="1382"/>
      <c r="AC201" s="1382"/>
      <c r="AD201" s="1382"/>
      <c r="AE201" s="1382"/>
      <c r="AF201" s="1382"/>
      <c r="AG201" s="1382"/>
      <c r="AH201" s="1382"/>
      <c r="AI201" s="1382"/>
      <c r="AJ201" s="1382"/>
      <c r="AK201" s="181"/>
      <c r="AL201" s="181"/>
      <c r="AM201" s="181"/>
      <c r="AN201" s="181"/>
      <c r="AO201" s="181"/>
      <c r="AP201" s="181"/>
      <c r="AQ201" s="181"/>
      <c r="AR201" s="181"/>
      <c r="AS201" s="181"/>
      <c r="AT201" s="181"/>
      <c r="AU201" s="181"/>
      <c r="AV201" s="181"/>
      <c r="AW201" s="181"/>
    </row>
    <row r="202" spans="1:50" s="17" customFormat="1" ht="15" hidden="1" customHeight="1" x14ac:dyDescent="0.25">
      <c r="A202" s="1553" t="str">
        <f>IF(COUNTIF('04 - 95% CD'!D202:G202,"Y")&gt;0,"Y",IF(COUNTIF('04 - 95% CD'!D202:G202,"N"),"N",""))</f>
        <v>N</v>
      </c>
      <c r="B202" s="141"/>
      <c r="C202" s="944"/>
      <c r="D202" s="321"/>
      <c r="E202" s="559" t="str">
        <f>IF('C-Design&amp;Const'!$Q202="","",'C-Design&amp;Const'!$Q202)</f>
        <v>N</v>
      </c>
      <c r="F202" s="460"/>
      <c r="G202" s="485"/>
      <c r="H202" s="358" t="str">
        <f>CONCATENATE(IF(E202="N","PLACEHOLDER ROW - ",""),IF(E202="N","",J202),'C-Design&amp;Const'!Z202,)</f>
        <v>PLACEHOLDER ROW - CUSTOM ROW - OPTIONAL CLIENT ITEM</v>
      </c>
      <c r="I202" s="136"/>
      <c r="J202" s="578" t="str">
        <f>IF('C-Design&amp;Const'!AI202="","",'C-Design&amp;Const'!AI202)</f>
        <v/>
      </c>
      <c r="K202" s="285" t="str">
        <f>IF((COUNTIF(D202:G202,"Y")=COUNTIF('04 - 95% CD'!A202,"Y")),"match","no 95% match")</f>
        <v>match</v>
      </c>
      <c r="L202" s="1410" t="str">
        <f t="shared" si="9"/>
        <v>&lt;---PM/Planner may hide PLACEHOLDER ROW</v>
      </c>
      <c r="M202" s="1333"/>
      <c r="N202" s="1333"/>
      <c r="O202" s="1333"/>
      <c r="P202" s="1333"/>
      <c r="Q202" s="1333"/>
      <c r="R202" s="1453"/>
      <c r="S202" s="1364"/>
      <c r="T202" s="1333"/>
      <c r="U202" s="1333"/>
      <c r="V202" s="1333"/>
      <c r="W202" s="1333"/>
      <c r="X202" s="1333"/>
      <c r="Y202" s="1333"/>
      <c r="Z202" s="1333"/>
      <c r="AA202" s="1333"/>
      <c r="AB202" s="1333"/>
      <c r="AC202" s="1333"/>
      <c r="AD202" s="1333"/>
      <c r="AE202" s="1333"/>
      <c r="AF202" s="1333"/>
      <c r="AG202" s="1333"/>
      <c r="AH202" s="1333"/>
      <c r="AI202" s="1333"/>
      <c r="AJ202" s="1333"/>
      <c r="AX202"/>
    </row>
    <row r="203" spans="1:50" s="17" customFormat="1" ht="15" hidden="1" customHeight="1" x14ac:dyDescent="0.25">
      <c r="A203" s="1553" t="str">
        <f>IF(COUNTIF('04 - 95% CD'!D203:G203,"Y")&gt;0,"Y",IF(COUNTIF('04 - 95% CD'!D203:G203,"N"),"N",""))</f>
        <v>N</v>
      </c>
      <c r="B203" s="141"/>
      <c r="C203" s="944"/>
      <c r="D203" s="321"/>
      <c r="E203" s="559" t="str">
        <f>IF('C-Design&amp;Const'!$Q203="","",'C-Design&amp;Const'!$Q203)</f>
        <v>N</v>
      </c>
      <c r="F203" s="460"/>
      <c r="G203" s="485"/>
      <c r="H203" s="358" t="str">
        <f>CONCATENATE(IF(E203="N","PLACEHOLDER ROW - ",""),IF(E203="N","",J203),'C-Design&amp;Const'!Z203,)</f>
        <v>PLACEHOLDER ROW - CUSTOM ROW - OPTIONAL CLIENT ITEM</v>
      </c>
      <c r="I203" s="136"/>
      <c r="J203" s="578" t="str">
        <f>IF('C-Design&amp;Const'!AI203="","",'C-Design&amp;Const'!AI203)</f>
        <v/>
      </c>
      <c r="K203" s="285" t="str">
        <f>IF((COUNTIF(D203:G203,"Y")=COUNTIF('04 - 95% CD'!A203,"Y")),"match","no 95% match")</f>
        <v>match</v>
      </c>
      <c r="L203" s="1410" t="str">
        <f t="shared" si="9"/>
        <v>&lt;---PM/Planner may hide PLACEHOLDER ROW</v>
      </c>
      <c r="M203" s="1333"/>
      <c r="N203" s="1333"/>
      <c r="O203" s="1333"/>
      <c r="P203" s="1333"/>
      <c r="Q203" s="1333"/>
      <c r="R203" s="1453"/>
      <c r="S203" s="1364"/>
      <c r="T203" s="1333"/>
      <c r="U203" s="1333"/>
      <c r="V203" s="1333"/>
      <c r="W203" s="1333"/>
      <c r="X203" s="1333"/>
      <c r="Y203" s="1333"/>
      <c r="Z203" s="1333"/>
      <c r="AA203" s="1333"/>
      <c r="AB203" s="1333"/>
      <c r="AC203" s="1333"/>
      <c r="AD203" s="1333"/>
      <c r="AE203" s="1333"/>
      <c r="AF203" s="1333"/>
      <c r="AG203" s="1333"/>
      <c r="AH203" s="1333"/>
      <c r="AI203" s="1333"/>
      <c r="AJ203" s="1333"/>
      <c r="AX203"/>
    </row>
    <row r="204" spans="1:50" s="17" customFormat="1" ht="15" hidden="1" customHeight="1" x14ac:dyDescent="0.25">
      <c r="A204" s="1553" t="str">
        <f>IF(COUNTIF('04 - 95% CD'!D204:G204,"Y")&gt;0,"Y",IF(COUNTIF('04 - 95% CD'!D204:G204,"N"),"N",""))</f>
        <v>N</v>
      </c>
      <c r="B204" s="141"/>
      <c r="C204" s="944"/>
      <c r="D204" s="321"/>
      <c r="E204" s="559" t="str">
        <f>IF('C-Design&amp;Const'!$Q204="","",'C-Design&amp;Const'!$Q204)</f>
        <v>N</v>
      </c>
      <c r="F204" s="460"/>
      <c r="G204" s="485"/>
      <c r="H204" s="358" t="str">
        <f>CONCATENATE(IF(E204="N","PLACEHOLDER ROW - ",""),IF(E204="N","",J204),'C-Design&amp;Const'!Z204,)</f>
        <v>PLACEHOLDER ROW - CUSTOM ROW - OPTIONAL CLIENT ITEM</v>
      </c>
      <c r="I204" s="136"/>
      <c r="J204" s="578" t="str">
        <f>IF('C-Design&amp;Const'!AI204="","",'C-Design&amp;Const'!AI204)</f>
        <v/>
      </c>
      <c r="K204" s="285" t="str">
        <f>IF((COUNTIF(D204:G204,"Y")=COUNTIF('04 - 95% CD'!A204,"Y")),"match","no 95% match")</f>
        <v>match</v>
      </c>
      <c r="L204" s="1410" t="str">
        <f t="shared" si="9"/>
        <v>&lt;---PM/Planner may hide PLACEHOLDER ROW</v>
      </c>
      <c r="M204" s="1333"/>
      <c r="N204" s="1333"/>
      <c r="O204" s="1333"/>
      <c r="P204" s="1333"/>
      <c r="Q204" s="1333"/>
      <c r="R204" s="1453"/>
      <c r="S204" s="1364"/>
      <c r="T204" s="1333"/>
      <c r="U204" s="1333"/>
      <c r="V204" s="1333"/>
      <c r="W204" s="1333"/>
      <c r="X204" s="1333"/>
      <c r="Y204" s="1333"/>
      <c r="Z204" s="1333"/>
      <c r="AA204" s="1333"/>
      <c r="AB204" s="1333"/>
      <c r="AC204" s="1333"/>
      <c r="AD204" s="1333"/>
      <c r="AE204" s="1333"/>
      <c r="AF204" s="1333"/>
      <c r="AG204" s="1333"/>
      <c r="AH204" s="1333"/>
      <c r="AI204" s="1333"/>
      <c r="AJ204" s="1333"/>
      <c r="AX204"/>
    </row>
    <row r="205" spans="1:50" s="17" customFormat="1" x14ac:dyDescent="0.25">
      <c r="A205" s="1510" t="str">
        <f>IF(COUNTIF('04 - 95% CD'!D205:G205,"Y")&gt;0,"Y",IF(COUNTIF('04 - 95% CD'!D205:G205,"N"),"N",""))</f>
        <v/>
      </c>
      <c r="B205" s="141"/>
      <c r="C205" s="944"/>
      <c r="D205" s="411"/>
      <c r="E205" s="411"/>
      <c r="F205" s="321"/>
      <c r="G205" s="294"/>
      <c r="H205" s="296" t="str">
        <f>CONCATENATE(IF(E205="N","PLACEHOLDER ROW - ",""),IF(E205="N","",J205),'C-Design&amp;Const'!Z205,)</f>
        <v/>
      </c>
      <c r="I205" s="130"/>
      <c r="J205" s="578" t="str">
        <f>IF('C-Design&amp;Const'!AI205="","",'C-Design&amp;Const'!AI205)</f>
        <v/>
      </c>
      <c r="K205" s="285" t="str">
        <f>IF((COUNTIF(D205:G205,"Y")=COUNTIF('04 - 95% CD'!A205,"Y")),"match","no 95% match")</f>
        <v>match</v>
      </c>
      <c r="L205" s="1410" t="str">
        <f t="shared" si="9"/>
        <v/>
      </c>
      <c r="M205" s="1333"/>
      <c r="N205" s="1333"/>
      <c r="O205" s="1333"/>
      <c r="P205" s="1333"/>
      <c r="Q205" s="1333"/>
      <c r="R205" s="1453"/>
      <c r="S205" s="1364"/>
      <c r="T205" s="1404"/>
      <c r="U205" s="1333"/>
      <c r="V205" s="1333"/>
      <c r="W205" s="1333"/>
      <c r="X205" s="1333"/>
      <c r="Y205" s="1333"/>
      <c r="Z205" s="1333"/>
      <c r="AA205" s="1333"/>
      <c r="AB205" s="1333"/>
      <c r="AC205" s="1333"/>
      <c r="AD205" s="1333"/>
      <c r="AE205" s="1333"/>
      <c r="AF205" s="1333"/>
      <c r="AG205" s="1333"/>
      <c r="AH205" s="1333"/>
      <c r="AI205" s="1333"/>
      <c r="AJ205" s="1333"/>
    </row>
    <row r="206" spans="1:50" s="181" customFormat="1" ht="18.75" x14ac:dyDescent="0.25">
      <c r="A206" s="1501" t="str">
        <f>IF(COUNTIF('04 - 95% CD'!D206:G206,"Y")&gt;0,"Y",IF(COUNTIF('04 - 95% CD'!D206:G206,"N"),"N",""))</f>
        <v>Y</v>
      </c>
      <c r="B206" s="177"/>
      <c r="C206" s="948"/>
      <c r="D206" s="359" t="str">
        <f>IF('C-Design&amp;Const'!$Q206="","",'C-Design&amp;Const'!$Q206)</f>
        <v>Y</v>
      </c>
      <c r="E206" s="234"/>
      <c r="F206" s="235"/>
      <c r="G206" s="291" t="str">
        <f>IF('C-Design&amp;Const'!Y206="","",'C-Design&amp;Const'!Y206)</f>
        <v>07a.</v>
      </c>
      <c r="H206" s="290" t="str">
        <f>CONCATENATE('C-Design&amp;Const'!Z206,IF(D206="N"," Not Used In This Construction Phase",J206))</f>
        <v>Drawing Set  (Signed &amp; Sealed including Bid Alts.)</v>
      </c>
      <c r="I206" s="184"/>
      <c r="J206" s="578" t="str">
        <f>IF('C-Design&amp;Const'!AI206="","",'C-Design&amp;Const'!AI206)</f>
        <v xml:space="preserve">  (Signed &amp; Sealed including Bid Alts.)</v>
      </c>
      <c r="K206" s="285" t="str">
        <f>IF((COUNTIF(D206:G206,"Y")=COUNTIF('04 - 95% CD'!A206,"Y")),"match","no 95% match")</f>
        <v>match</v>
      </c>
      <c r="L206" s="1410" t="str">
        <f t="shared" si="9"/>
        <v/>
      </c>
      <c r="M206" s="1382"/>
      <c r="N206" s="1382"/>
      <c r="O206" s="1382"/>
      <c r="P206" s="1382"/>
      <c r="Q206" s="1382"/>
      <c r="R206" s="1447"/>
      <c r="S206" s="1448"/>
      <c r="T206" s="1404"/>
      <c r="U206" s="1382"/>
      <c r="V206" s="1382"/>
      <c r="W206" s="1382"/>
      <c r="X206" s="1382"/>
      <c r="Y206" s="1382"/>
      <c r="Z206" s="1382"/>
      <c r="AA206" s="1382"/>
      <c r="AB206" s="1382"/>
      <c r="AC206" s="1382"/>
      <c r="AD206" s="1382"/>
      <c r="AE206" s="1382"/>
      <c r="AF206" s="1382"/>
      <c r="AG206" s="1382"/>
      <c r="AH206" s="1382"/>
      <c r="AI206" s="1382"/>
      <c r="AJ206" s="1382"/>
    </row>
    <row r="207" spans="1:50" s="17" customFormat="1" x14ac:dyDescent="0.25">
      <c r="A207" s="1518" t="str">
        <f>IF(COUNTIF('04 - 95% CD'!D207:G207,"Y")&gt;0,"Y",IF(COUNTIF('04 - 95% CD'!D207:G207,"N"),"N",""))</f>
        <v>Y</v>
      </c>
      <c r="B207" s="141"/>
      <c r="C207" s="944"/>
      <c r="D207" s="411"/>
      <c r="E207" s="321"/>
      <c r="F207" s="559" t="str">
        <f>IF('C-Design&amp;Const'!$Q207="","",'C-Design&amp;Const'!$Q207)</f>
        <v>Y</v>
      </c>
      <c r="G207" s="485"/>
      <c r="H207" s="243" t="str">
        <f>CONCATENATE(IF(F207="N","PLACEHOLDER ROW - ",""),'C-Design&amp;Const'!Z207,IF(F207="N","",J207))</f>
        <v>Title Sheet (Complete)</v>
      </c>
      <c r="I207" s="137"/>
      <c r="J207" s="578" t="str">
        <f>IF('C-Design&amp;Const'!AI207="","",'C-Design&amp;Const'!AI207)</f>
        <v>(Complete)</v>
      </c>
      <c r="K207" s="285" t="str">
        <f>IF((COUNTIF(D207:G207,"Y")=COUNTIF('04 - 95% CD'!A207,"Y")),"match","no 95% match")</f>
        <v>match</v>
      </c>
      <c r="L207" s="1410" t="str">
        <f t="shared" si="9"/>
        <v/>
      </c>
      <c r="M207" s="1333"/>
      <c r="N207" s="1333"/>
      <c r="O207" s="1333"/>
      <c r="P207" s="1333"/>
      <c r="Q207" s="1333"/>
      <c r="R207" s="1453"/>
      <c r="S207" s="1364"/>
      <c r="T207" s="1404"/>
      <c r="U207" s="1333"/>
      <c r="V207" s="1333"/>
      <c r="W207" s="1333"/>
      <c r="X207" s="1333"/>
      <c r="Y207" s="1333"/>
      <c r="Z207" s="1333"/>
      <c r="AA207" s="1333"/>
      <c r="AB207" s="1333"/>
      <c r="AC207" s="1333"/>
      <c r="AD207" s="1333"/>
      <c r="AE207" s="1333"/>
      <c r="AF207" s="1333"/>
      <c r="AG207" s="1333"/>
      <c r="AH207" s="1333"/>
      <c r="AI207" s="1333"/>
      <c r="AJ207" s="1333"/>
    </row>
    <row r="208" spans="1:50" s="30" customFormat="1" ht="15" customHeight="1" x14ac:dyDescent="0.25">
      <c r="A208" s="1518" t="str">
        <f>IF(COUNTIF('04 - 95% CD'!D208:G208,"Y")&gt;0,"Y",IF(COUNTIF('04 - 95% CD'!D208:G208,"N"),"N",""))</f>
        <v>Y</v>
      </c>
      <c r="B208" s="191"/>
      <c r="C208" s="944"/>
      <c r="D208" s="463"/>
      <c r="E208" s="463"/>
      <c r="F208" s="359" t="str">
        <f>IF('C-Design&amp;Const'!$Q208="","",'C-Design&amp;Const'!$Q208)</f>
        <v>Y</v>
      </c>
      <c r="G208" s="291"/>
      <c r="H208" s="469" t="str">
        <f>CONCATENATE(IF(F208="N","PLACEHOLDER ROW - ",""),'C-Design&amp;Const'!Z208,IF(F208="N","",J208))</f>
        <v>Code Compliance (Complete)</v>
      </c>
      <c r="I208" s="184"/>
      <c r="J208" s="578" t="str">
        <f>IF('C-Design&amp;Const'!AI208="","",'C-Design&amp;Const'!AI208)</f>
        <v>(Complete)</v>
      </c>
      <c r="K208" s="285" t="str">
        <f>IF((COUNTIF(D208:G208,"Y")=COUNTIF('04 - 95% CD'!A208,"Y")),"match","no 95% match")</f>
        <v>match</v>
      </c>
      <c r="L208" s="1410" t="str">
        <f t="shared" si="9"/>
        <v/>
      </c>
      <c r="M208" s="1382"/>
      <c r="N208" s="1382"/>
      <c r="O208" s="1382"/>
      <c r="P208" s="1382"/>
      <c r="Q208" s="1382"/>
      <c r="R208" s="1382"/>
      <c r="S208" s="1382"/>
      <c r="T208" s="1382"/>
      <c r="U208" s="1382"/>
      <c r="V208" s="1382"/>
      <c r="W208" s="1382"/>
      <c r="X208" s="1382"/>
      <c r="Y208" s="1382"/>
      <c r="Z208" s="1382"/>
      <c r="AA208" s="1382"/>
      <c r="AB208" s="1382"/>
      <c r="AC208" s="1382"/>
      <c r="AD208" s="1382"/>
      <c r="AE208" s="1382"/>
      <c r="AF208" s="1382"/>
      <c r="AG208" s="1382"/>
      <c r="AH208" s="1382"/>
      <c r="AI208" s="1382"/>
      <c r="AJ208" s="1382"/>
      <c r="AK208" s="181"/>
      <c r="AL208" s="181"/>
      <c r="AM208" s="181"/>
      <c r="AN208" s="181"/>
      <c r="AO208" s="181"/>
      <c r="AP208" s="181"/>
      <c r="AQ208" s="181"/>
      <c r="AR208" s="181"/>
      <c r="AS208" s="181"/>
      <c r="AT208" s="181"/>
      <c r="AU208" s="181"/>
      <c r="AV208" s="181"/>
      <c r="AW208" s="181"/>
    </row>
    <row r="209" spans="1:49" s="30" customFormat="1" ht="15" customHeight="1" x14ac:dyDescent="0.25">
      <c r="A209" s="1518" t="str">
        <f>IF(COUNTIF('04 - 95% CD'!D209:G209,"Y")&gt;0,"Y",IF(COUNTIF('04 - 95% CD'!D209:G209,"N"),"N",""))</f>
        <v>Y</v>
      </c>
      <c r="B209" s="191"/>
      <c r="C209" s="944"/>
      <c r="D209" s="463"/>
      <c r="E209" s="463"/>
      <c r="F209" s="359" t="str">
        <f>IF('C-Design&amp;Const'!$Q209="","",'C-Design&amp;Const'!$Q209)</f>
        <v>Y</v>
      </c>
      <c r="G209" s="291"/>
      <c r="H209" s="469" t="str">
        <f>CONCATENATE(IF(F209="N","PLACEHOLDER ROW - ",""),'C-Design&amp;Const'!Z209,IF(F209="N","",J209))</f>
        <v>Life Safety (Complete)</v>
      </c>
      <c r="I209" s="184"/>
      <c r="J209" s="578" t="str">
        <f>IF('C-Design&amp;Const'!AI209="","",'C-Design&amp;Const'!AI209)</f>
        <v>(Complete)</v>
      </c>
      <c r="K209" s="285" t="str">
        <f>IF((COUNTIF(D209:G209,"Y")=COUNTIF('04 - 95% CD'!A209,"Y")),"match","no 95% match")</f>
        <v>match</v>
      </c>
      <c r="L209" s="1410" t="str">
        <f t="shared" si="9"/>
        <v/>
      </c>
      <c r="M209" s="1382"/>
      <c r="N209" s="1382"/>
      <c r="O209" s="1382"/>
      <c r="P209" s="1382"/>
      <c r="Q209" s="1382"/>
      <c r="R209" s="1382"/>
      <c r="S209" s="1382"/>
      <c r="T209" s="1382"/>
      <c r="U209" s="1382"/>
      <c r="V209" s="1382"/>
      <c r="W209" s="1382"/>
      <c r="X209" s="1382"/>
      <c r="Y209" s="1382"/>
      <c r="Z209" s="1382"/>
      <c r="AA209" s="1382"/>
      <c r="AB209" s="1382"/>
      <c r="AC209" s="1382"/>
      <c r="AD209" s="1382"/>
      <c r="AE209" s="1382"/>
      <c r="AF209" s="1382"/>
      <c r="AG209" s="1382"/>
      <c r="AH209" s="1382"/>
      <c r="AI209" s="1382"/>
      <c r="AJ209" s="1382"/>
      <c r="AK209" s="181"/>
      <c r="AL209" s="181"/>
      <c r="AM209" s="181"/>
      <c r="AN209" s="181"/>
      <c r="AO209" s="181"/>
      <c r="AP209" s="181"/>
      <c r="AQ209" s="181"/>
      <c r="AR209" s="181"/>
      <c r="AS209" s="181"/>
      <c r="AT209" s="181"/>
      <c r="AU209" s="181"/>
      <c r="AV209" s="181"/>
      <c r="AW209" s="181"/>
    </row>
    <row r="210" spans="1:49" s="30" customFormat="1" ht="15" customHeight="1" x14ac:dyDescent="0.25">
      <c r="A210" s="1518" t="str">
        <f>IF(COUNTIF('04 - 95% CD'!D210:G210,"Y")&gt;0,"Y",IF(COUNTIF('04 - 95% CD'!D210:G210,"N"),"N",""))</f>
        <v>Y</v>
      </c>
      <c r="B210" s="191"/>
      <c r="C210" s="944"/>
      <c r="D210" s="463"/>
      <c r="E210" s="463"/>
      <c r="F210" s="359" t="str">
        <f>IF('C-Design&amp;Const'!$Q210="","",'C-Design&amp;Const'!$Q210)</f>
        <v>Y</v>
      </c>
      <c r="G210" s="291"/>
      <c r="H210" s="469" t="str">
        <f>CONCATENATE(IF(F210="N","PLACEHOLDER ROW - ",""),'C-Design&amp;Const'!Z210,IF(F210="N","",J210))</f>
        <v>General Project Info (Complete)</v>
      </c>
      <c r="I210" s="184"/>
      <c r="J210" s="578" t="str">
        <f>IF('C-Design&amp;Const'!AI210="","",'C-Design&amp;Const'!AI210)</f>
        <v>(Complete)</v>
      </c>
      <c r="K210" s="285" t="str">
        <f>IF((COUNTIF(D210:G210,"Y")=COUNTIF('04 - 95% CD'!A210,"Y")),"match","no 95% match")</f>
        <v>match</v>
      </c>
      <c r="L210" s="1410" t="str">
        <f t="shared" si="9"/>
        <v/>
      </c>
      <c r="M210" s="1382"/>
      <c r="N210" s="1382"/>
      <c r="O210" s="1382"/>
      <c r="P210" s="1382"/>
      <c r="Q210" s="1382"/>
      <c r="R210" s="1382"/>
      <c r="S210" s="1382"/>
      <c r="T210" s="1382"/>
      <c r="U210" s="1382"/>
      <c r="V210" s="1382"/>
      <c r="W210" s="1382"/>
      <c r="X210" s="1382"/>
      <c r="Y210" s="1382"/>
      <c r="Z210" s="1382"/>
      <c r="AA210" s="1382"/>
      <c r="AB210" s="1382"/>
      <c r="AC210" s="1382"/>
      <c r="AD210" s="1382"/>
      <c r="AE210" s="1382"/>
      <c r="AF210" s="1382"/>
      <c r="AG210" s="1382"/>
      <c r="AH210" s="1382"/>
      <c r="AI210" s="1382"/>
      <c r="AJ210" s="1382"/>
      <c r="AK210" s="181"/>
      <c r="AL210" s="181"/>
      <c r="AM210" s="181"/>
      <c r="AN210" s="181"/>
      <c r="AO210" s="181"/>
      <c r="AP210" s="181"/>
      <c r="AQ210" s="181"/>
      <c r="AR210" s="181"/>
      <c r="AS210" s="181"/>
      <c r="AT210" s="181"/>
      <c r="AU210" s="181"/>
      <c r="AV210" s="181"/>
      <c r="AW210" s="181"/>
    </row>
    <row r="211" spans="1:49" s="17" customFormat="1" x14ac:dyDescent="0.25">
      <c r="A211" s="1510" t="str">
        <f>IF(COUNTIF('04 - 95% CD'!D211:G211,"Y")&gt;0,"Y",IF(COUNTIF('04 - 95% CD'!D211:G211,"N"),"N",""))</f>
        <v>Y</v>
      </c>
      <c r="B211" s="141"/>
      <c r="C211" s="944"/>
      <c r="D211" s="411"/>
      <c r="E211" s="559" t="str">
        <f>IF('C-Design&amp;Const'!$Q211="","",'C-Design&amp;Const'!$Q211)</f>
        <v>Y</v>
      </c>
      <c r="F211" s="478"/>
      <c r="G211" s="485"/>
      <c r="H211" s="244" t="str">
        <f>CONCATENATE(IF(F211="N","PLACEHOLDER ROW - ",""),'C-Design&amp;Const'!Z211,IF(F211="N","",J211))</f>
        <v>Asbestos, Lead Based Paint, &amp; Hazardous Materials Drawings (Including Bid Alts.)</v>
      </c>
      <c r="I211" s="146"/>
      <c r="J211" s="578" t="str">
        <f>IF('C-Design&amp;Const'!AI211="","",'C-Design&amp;Const'!AI211)</f>
        <v xml:space="preserve"> (Including Bid Alts.)</v>
      </c>
      <c r="K211" s="285" t="str">
        <f>IF((COUNTIF(D211:G211,"Y")=COUNTIF('04 - 95% CD'!A211,"Y")),"match","no 95% match")</f>
        <v>match</v>
      </c>
      <c r="L211" s="1410" t="str">
        <f t="shared" ref="L211" si="10">CONCATENATE(IF(ISNUMBER(SEARCH("Placeholder",H211))=TRUE,"&lt;---PM/Planner may hide PLACEHOLDER ROW",""))</f>
        <v/>
      </c>
      <c r="M211" s="1333"/>
      <c r="N211" s="1333"/>
      <c r="O211" s="1333"/>
      <c r="P211" s="1333"/>
      <c r="Q211" s="1333"/>
      <c r="R211" s="1284"/>
      <c r="S211" s="1488"/>
      <c r="T211" s="1404"/>
      <c r="U211" s="1333"/>
      <c r="V211" s="1333"/>
      <c r="W211" s="1333"/>
      <c r="X211" s="1333"/>
      <c r="Y211" s="1333"/>
      <c r="Z211" s="1333"/>
      <c r="AA211" s="1333"/>
      <c r="AB211" s="1333"/>
      <c r="AC211" s="1333"/>
      <c r="AD211" s="1333"/>
      <c r="AE211" s="1333"/>
      <c r="AF211" s="1333"/>
      <c r="AG211" s="1333"/>
      <c r="AH211" s="1333"/>
      <c r="AI211" s="1333"/>
      <c r="AJ211" s="1333"/>
    </row>
    <row r="212" spans="1:49" s="545" customFormat="1" ht="13.5" customHeight="1" x14ac:dyDescent="0.25">
      <c r="A212" s="1518" t="str">
        <f>IF(COUNTIF('04 - 95% CD'!D212:G212,"Y")&gt;0,"Y",IF(COUNTIF('04 - 95% CD'!D212:G212,"N"),"N",""))</f>
        <v>N</v>
      </c>
      <c r="B212" s="554"/>
      <c r="C212" s="944"/>
      <c r="D212" s="463"/>
      <c r="E212" s="463"/>
      <c r="F212" s="359" t="str">
        <f>IF('C-Design&amp;Const'!$Q212="","",'C-Design&amp;Const'!$Q212)</f>
        <v>N</v>
      </c>
      <c r="G212" s="291"/>
      <c r="H212" s="469" t="str">
        <f>CONCATENATE(IF(F212="N","PLACEHOLDER ROW - ",""),'C-Design&amp;Const'!Z212,IF(F212="N","",J212))</f>
        <v>PLACEHOLDER ROW - CUSTOM - Asbestos</v>
      </c>
      <c r="I212" s="552"/>
      <c r="J212" s="578" t="str">
        <f>IF('C-Design&amp;Const'!AI212="","",'C-Design&amp;Const'!AI212)</f>
        <v>(Complete)</v>
      </c>
      <c r="K212" s="285" t="str">
        <f>IF((COUNTIF(D212:G212,"Y")=COUNTIF('04 - 95% CD'!A212,"Y")),"match","no 95% match")</f>
        <v>match</v>
      </c>
      <c r="L212" s="1410" t="str">
        <f>CONCATENATE(IF(ISNUMBER(SEARCH("Placeholder",H212))=TRUE,"&lt;---PM/Planner may hide PLACEHOLDER ROW",""))</f>
        <v>&lt;---PM/Planner may hide PLACEHOLDER ROW</v>
      </c>
      <c r="M212" s="1382"/>
      <c r="N212" s="1382"/>
      <c r="O212" s="1382"/>
      <c r="P212" s="1382"/>
      <c r="Q212" s="1382"/>
      <c r="R212" s="1382"/>
      <c r="S212" s="1382"/>
      <c r="T212" s="1382"/>
      <c r="U212" s="1382"/>
      <c r="V212" s="1382"/>
      <c r="W212" s="1382"/>
      <c r="X212" s="1382"/>
      <c r="Y212" s="1382"/>
      <c r="Z212" s="1382"/>
      <c r="AA212" s="1382"/>
      <c r="AB212" s="1382"/>
      <c r="AC212" s="1382"/>
      <c r="AD212" s="1382"/>
      <c r="AE212" s="1382"/>
      <c r="AF212" s="1382"/>
      <c r="AG212" s="1382"/>
      <c r="AH212" s="1382"/>
      <c r="AI212" s="1382"/>
      <c r="AJ212" s="1382"/>
      <c r="AK212" s="551"/>
      <c r="AL212" s="551"/>
      <c r="AM212" s="551"/>
      <c r="AN212" s="551"/>
      <c r="AO212" s="551"/>
      <c r="AP212" s="551"/>
      <c r="AQ212" s="551"/>
      <c r="AR212" s="551"/>
      <c r="AS212" s="551"/>
      <c r="AT212" s="551"/>
      <c r="AU212" s="551"/>
      <c r="AV212" s="551"/>
      <c r="AW212" s="551"/>
    </row>
    <row r="213" spans="1:49" s="545" customFormat="1" ht="13.5" customHeight="1" x14ac:dyDescent="0.25">
      <c r="A213" s="1518" t="str">
        <f>IF(COUNTIF('04 - 95% CD'!D213:G213,"Y")&gt;0,"Y",IF(COUNTIF('04 - 95% CD'!D213:G213,"N"),"N",""))</f>
        <v>Y</v>
      </c>
      <c r="B213" s="554"/>
      <c r="C213" s="944"/>
      <c r="D213" s="463"/>
      <c r="E213" s="463"/>
      <c r="F213" s="359" t="str">
        <f>IF('C-Design&amp;Const'!$Q213="","",'C-Design&amp;Const'!$Q213)</f>
        <v>Y</v>
      </c>
      <c r="G213" s="291"/>
      <c r="H213" s="469" t="str">
        <f>CONCATENATE(IF(F213="N","PLACEHOLDER ROW - ",""),'C-Design&amp;Const'!Z213,IF(F213="N","",J213))</f>
        <v>Asbestos Removal, Remediation, Containment (Complete)</v>
      </c>
      <c r="I213" s="552"/>
      <c r="J213" s="578" t="str">
        <f>IF('C-Design&amp;Const'!AI213="","",'C-Design&amp;Const'!AI213)</f>
        <v>(Complete)</v>
      </c>
      <c r="K213" s="285" t="str">
        <f>IF((COUNTIF(D213:G213,"Y")=COUNTIF('04 - 95% CD'!A213,"Y")),"match","no 95% match")</f>
        <v>match</v>
      </c>
      <c r="L213" s="1410" t="str">
        <f>CONCATENATE(IF(ISNUMBER(SEARCH("Placeholder",H213))=TRUE,"&lt;---PM/Planner may hide PLACEHOLDER ROW",""))</f>
        <v/>
      </c>
      <c r="M213" s="1382"/>
      <c r="N213" s="1382"/>
      <c r="O213" s="1382"/>
      <c r="P213" s="1382"/>
      <c r="Q213" s="1382"/>
      <c r="R213" s="1382"/>
      <c r="S213" s="1382"/>
      <c r="T213" s="1382"/>
      <c r="U213" s="1382"/>
      <c r="V213" s="1382"/>
      <c r="W213" s="1382"/>
      <c r="X213" s="1382"/>
      <c r="Y213" s="1382"/>
      <c r="Z213" s="1382"/>
      <c r="AA213" s="1382"/>
      <c r="AB213" s="1382"/>
      <c r="AC213" s="1382"/>
      <c r="AD213" s="1382"/>
      <c r="AE213" s="1382"/>
      <c r="AF213" s="1382"/>
      <c r="AG213" s="1382"/>
      <c r="AH213" s="1382"/>
      <c r="AI213" s="1382"/>
      <c r="AJ213" s="1382"/>
      <c r="AK213" s="551"/>
      <c r="AL213" s="551"/>
      <c r="AM213" s="551"/>
      <c r="AN213" s="551"/>
      <c r="AO213" s="551"/>
      <c r="AP213" s="551"/>
      <c r="AQ213" s="551"/>
      <c r="AR213" s="551"/>
      <c r="AS213" s="551"/>
      <c r="AT213" s="551"/>
      <c r="AU213" s="551"/>
      <c r="AV213" s="551"/>
      <c r="AW213" s="551"/>
    </row>
    <row r="214" spans="1:49" s="545" customFormat="1" ht="13.5" customHeight="1" x14ac:dyDescent="0.25">
      <c r="A214" s="1518" t="str">
        <f>IF(COUNTIF('04 - 95% CD'!D214:G214,"Y")&gt;0,"Y",IF(COUNTIF('04 - 95% CD'!D214:G214,"N"),"N",""))</f>
        <v>N</v>
      </c>
      <c r="B214" s="554"/>
      <c r="C214" s="944"/>
      <c r="D214" s="463"/>
      <c r="E214" s="463"/>
      <c r="F214" s="359" t="str">
        <f>IF('C-Design&amp;Const'!$Q214="","",'C-Design&amp;Const'!$Q214)</f>
        <v>N</v>
      </c>
      <c r="G214" s="291"/>
      <c r="H214" s="469" t="str">
        <f>CONCATENATE(IF(F214="N","PLACEHOLDER ROW - ",""),'C-Design&amp;Const'!Z214,IF(F214="N","",J214))</f>
        <v>PLACEHOLDER ROW - CUSTOM - Lead Based Paint</v>
      </c>
      <c r="I214" s="552"/>
      <c r="J214" s="578" t="str">
        <f>IF('C-Design&amp;Const'!AI214="","",'C-Design&amp;Const'!AI214)</f>
        <v>(Complete)</v>
      </c>
      <c r="K214" s="285" t="str">
        <f>IF((COUNTIF(D214:G214,"Y")=COUNTIF('04 - 95% CD'!A214,"Y")),"match","no 95% match")</f>
        <v>match</v>
      </c>
      <c r="L214" s="1410" t="str">
        <f t="shared" ref="L214:L217" si="11">CONCATENATE(IF(ISNUMBER(SEARCH("Placeholder",H214))=TRUE,"&lt;---PM/Planner may hide PLACEHOLDER ROW",""))</f>
        <v>&lt;---PM/Planner may hide PLACEHOLDER ROW</v>
      </c>
      <c r="M214" s="1382"/>
      <c r="N214" s="1382"/>
      <c r="O214" s="1382"/>
      <c r="P214" s="1382"/>
      <c r="Q214" s="1382"/>
      <c r="R214" s="1382"/>
      <c r="S214" s="1382"/>
      <c r="T214" s="1382"/>
      <c r="U214" s="1382"/>
      <c r="V214" s="1382"/>
      <c r="W214" s="1382"/>
      <c r="X214" s="1382"/>
      <c r="Y214" s="1382"/>
      <c r="Z214" s="1382"/>
      <c r="AA214" s="1382"/>
      <c r="AB214" s="1382"/>
      <c r="AC214" s="1382"/>
      <c r="AD214" s="1382"/>
      <c r="AE214" s="1382"/>
      <c r="AF214" s="1382"/>
      <c r="AG214" s="1382"/>
      <c r="AH214" s="1382"/>
      <c r="AI214" s="1382"/>
      <c r="AJ214" s="1382"/>
      <c r="AK214" s="551"/>
      <c r="AL214" s="551"/>
      <c r="AM214" s="551"/>
      <c r="AN214" s="551"/>
      <c r="AO214" s="551"/>
      <c r="AP214" s="551"/>
      <c r="AQ214" s="551"/>
      <c r="AR214" s="551"/>
      <c r="AS214" s="551"/>
      <c r="AT214" s="551"/>
      <c r="AU214" s="551"/>
      <c r="AV214" s="551"/>
      <c r="AW214" s="551"/>
    </row>
    <row r="215" spans="1:49" s="17" customFormat="1" x14ac:dyDescent="0.25">
      <c r="A215" s="1518" t="str">
        <f>IF(COUNTIF('04 - 95% CD'!D215:G215,"Y")&gt;0,"Y",IF(COUNTIF('04 - 95% CD'!D215:G215,"N"),"N",""))</f>
        <v>Y</v>
      </c>
      <c r="B215" s="141"/>
      <c r="C215" s="944"/>
      <c r="D215" s="411"/>
      <c r="E215" s="321"/>
      <c r="F215" s="559" t="str">
        <f>IF('C-Design&amp;Const'!$Q215="","",'C-Design&amp;Const'!$Q215)</f>
        <v>Y</v>
      </c>
      <c r="G215" s="485"/>
      <c r="H215" s="243" t="str">
        <f>CONCATENATE(IF(F215="N","PLACEHOLDER ROW - ",""),'C-Design&amp;Const'!Z215,IF(F215="N","",J215))</f>
        <v>Lead Based Paint Removal, Remediation, Containment (Complete)</v>
      </c>
      <c r="I215" s="137"/>
      <c r="J215" s="578" t="str">
        <f>IF('C-Design&amp;Const'!AI215="","",'C-Design&amp;Const'!AI215)</f>
        <v>(Complete)</v>
      </c>
      <c r="K215" s="285" t="str">
        <f>IF((COUNTIF(D215:G215,"Y")=COUNTIF('04 - 95% CD'!A215,"Y")),"match","no 95% match")</f>
        <v>match</v>
      </c>
      <c r="L215" s="1410" t="str">
        <f t="shared" si="11"/>
        <v/>
      </c>
      <c r="M215" s="1333"/>
      <c r="N215" s="1333"/>
      <c r="O215" s="1333"/>
      <c r="P215" s="1333"/>
      <c r="Q215" s="1333"/>
      <c r="R215" s="1453"/>
      <c r="S215" s="1364"/>
      <c r="T215" s="1404"/>
      <c r="U215" s="1333"/>
      <c r="V215" s="1333"/>
      <c r="W215" s="1333"/>
      <c r="X215" s="1333"/>
      <c r="Y215" s="1333"/>
      <c r="Z215" s="1333"/>
      <c r="AA215" s="1333"/>
      <c r="AB215" s="1333"/>
      <c r="AC215" s="1333"/>
      <c r="AD215" s="1333"/>
      <c r="AE215" s="1333"/>
      <c r="AF215" s="1333"/>
      <c r="AG215" s="1333"/>
      <c r="AH215" s="1333"/>
      <c r="AI215" s="1333"/>
      <c r="AJ215" s="1333"/>
    </row>
    <row r="216" spans="1:49" s="545" customFormat="1" ht="13.5" customHeight="1" x14ac:dyDescent="0.25">
      <c r="A216" s="1518" t="str">
        <f>IF(COUNTIF('04 - 95% CD'!D216:G216,"Y")&gt;0,"Y",IF(COUNTIF('04 - 95% CD'!D216:G216,"N"),"N",""))</f>
        <v>N</v>
      </c>
      <c r="B216" s="554"/>
      <c r="C216" s="944"/>
      <c r="D216" s="463"/>
      <c r="E216" s="463"/>
      <c r="F216" s="359" t="str">
        <f>IF('C-Design&amp;Const'!$Q216="","",'C-Design&amp;Const'!$Q216)</f>
        <v>N</v>
      </c>
      <c r="G216" s="291"/>
      <c r="H216" s="469" t="str">
        <f>CONCATENATE(IF(F216="N","PLACEHOLDER ROW - ",""),'C-Design&amp;Const'!Z216,IF(F216="N","",J216))</f>
        <v>PLACEHOLDER ROW - CUSTOM - Hazardous Materials</v>
      </c>
      <c r="I216" s="552"/>
      <c r="J216" s="578" t="str">
        <f>IF('C-Design&amp;Const'!AI216="","",'C-Design&amp;Const'!AI216)</f>
        <v>(Complete)</v>
      </c>
      <c r="K216" s="285" t="str">
        <f>IF((COUNTIF(D216:G216,"Y")=COUNTIF('04 - 95% CD'!A216,"Y")),"match","no 95% match")</f>
        <v>match</v>
      </c>
      <c r="L216" s="1410" t="str">
        <f t="shared" si="11"/>
        <v>&lt;---PM/Planner may hide PLACEHOLDER ROW</v>
      </c>
      <c r="M216" s="1382"/>
      <c r="N216" s="1382"/>
      <c r="O216" s="1382"/>
      <c r="P216" s="1382"/>
      <c r="Q216" s="1382"/>
      <c r="R216" s="1382"/>
      <c r="S216" s="1382"/>
      <c r="T216" s="1382"/>
      <c r="U216" s="1382"/>
      <c r="V216" s="1382"/>
      <c r="W216" s="1382"/>
      <c r="X216" s="1382"/>
      <c r="Y216" s="1382"/>
      <c r="Z216" s="1382"/>
      <c r="AA216" s="1382"/>
      <c r="AB216" s="1382"/>
      <c r="AC216" s="1382"/>
      <c r="AD216" s="1382"/>
      <c r="AE216" s="1382"/>
      <c r="AF216" s="1382"/>
      <c r="AG216" s="1382"/>
      <c r="AH216" s="1382"/>
      <c r="AI216" s="1382"/>
      <c r="AJ216" s="1382"/>
      <c r="AK216" s="551"/>
      <c r="AL216" s="551"/>
      <c r="AM216" s="551"/>
      <c r="AN216" s="551"/>
      <c r="AO216" s="551"/>
      <c r="AP216" s="551"/>
      <c r="AQ216" s="551"/>
      <c r="AR216" s="551"/>
      <c r="AS216" s="551"/>
      <c r="AT216" s="551"/>
      <c r="AU216" s="551"/>
      <c r="AV216" s="551"/>
      <c r="AW216" s="551"/>
    </row>
    <row r="217" spans="1:49" s="545" customFormat="1" ht="13.5" customHeight="1" x14ac:dyDescent="0.25">
      <c r="A217" s="1518" t="str">
        <f>IF(COUNTIF('04 - 95% CD'!D217:G217,"Y")&gt;0,"Y",IF(COUNTIF('04 - 95% CD'!D217:G217,"N"),"N",""))</f>
        <v>Y</v>
      </c>
      <c r="B217" s="554"/>
      <c r="C217" s="944"/>
      <c r="D217" s="463"/>
      <c r="E217" s="463"/>
      <c r="F217" s="359" t="str">
        <f>IF('C-Design&amp;Const'!$Q217="","",'C-Design&amp;Const'!$Q217)</f>
        <v>Y</v>
      </c>
      <c r="G217" s="291"/>
      <c r="H217" s="469" t="str">
        <f>CONCATENATE(IF(F217="N","PLACEHOLDER ROW - ",""),'C-Design&amp;Const'!Z217,IF(F217="N","",J217))</f>
        <v>Other Hazardous Materials Removal, Remediation, Containment (Complete)</v>
      </c>
      <c r="I217" s="552"/>
      <c r="J217" s="578" t="str">
        <f>IF('C-Design&amp;Const'!AI217="","",'C-Design&amp;Const'!AI217)</f>
        <v>(Complete)</v>
      </c>
      <c r="K217" s="285" t="str">
        <f>IF((COUNTIF(D217:G217,"Y")=COUNTIF('04 - 95% CD'!A217,"Y")),"match","no 95% match")</f>
        <v>match</v>
      </c>
      <c r="L217" s="1410" t="str">
        <f t="shared" si="11"/>
        <v/>
      </c>
      <c r="M217" s="1382"/>
      <c r="N217" s="1382"/>
      <c r="O217" s="1382"/>
      <c r="P217" s="1382"/>
      <c r="Q217" s="1382"/>
      <c r="R217" s="1382"/>
      <c r="S217" s="1382"/>
      <c r="T217" s="1382"/>
      <c r="U217" s="1382"/>
      <c r="V217" s="1382"/>
      <c r="W217" s="1382"/>
      <c r="X217" s="1382"/>
      <c r="Y217" s="1382"/>
      <c r="Z217" s="1382"/>
      <c r="AA217" s="1382"/>
      <c r="AB217" s="1382"/>
      <c r="AC217" s="1382"/>
      <c r="AD217" s="1382"/>
      <c r="AE217" s="1382"/>
      <c r="AF217" s="1382"/>
      <c r="AG217" s="1382"/>
      <c r="AH217" s="1382"/>
      <c r="AI217" s="1382"/>
      <c r="AJ217" s="1382"/>
      <c r="AK217" s="551"/>
      <c r="AL217" s="551"/>
      <c r="AM217" s="551"/>
      <c r="AN217" s="551"/>
      <c r="AO217" s="551"/>
      <c r="AP217" s="551"/>
      <c r="AQ217" s="551"/>
      <c r="AR217" s="551"/>
      <c r="AS217" s="551"/>
      <c r="AT217" s="551"/>
      <c r="AU217" s="551"/>
      <c r="AV217" s="551"/>
      <c r="AW217" s="551"/>
    </row>
    <row r="218" spans="1:49" s="17" customFormat="1" x14ac:dyDescent="0.25">
      <c r="A218" s="1510" t="str">
        <f>IF(COUNTIF('04 - 95% CD'!D218:G218,"Y")&gt;0,"Y",IF(COUNTIF('04 - 95% CD'!D218:G218,"N"),"N",""))</f>
        <v>Y</v>
      </c>
      <c r="B218" s="141"/>
      <c r="C218" s="944"/>
      <c r="D218" s="411"/>
      <c r="E218" s="559" t="str">
        <f>IF('C-Design&amp;Const'!$Q218="","",'C-Design&amp;Const'!$Q218)</f>
        <v>Y</v>
      </c>
      <c r="F218" s="478"/>
      <c r="G218" s="485"/>
      <c r="H218" s="244" t="str">
        <f>CONCATENATE(IF(F218="N","PLACEHOLDER ROW - ",""),'C-Design&amp;Const'!Z218,IF(F218="N","",J218))</f>
        <v>Site, Civil, &amp; Landscape Drawings (Including Bid Alts.)</v>
      </c>
      <c r="I218" s="146"/>
      <c r="J218" s="578" t="str">
        <f>IF('C-Design&amp;Const'!AI218="","",'C-Design&amp;Const'!AI218)</f>
        <v xml:space="preserve"> (Including Bid Alts.)</v>
      </c>
      <c r="K218" s="285" t="str">
        <f>IF((COUNTIF(D218:G218,"Y")=COUNTIF('04 - 95% CD'!A218,"Y")),"match","no 95% match")</f>
        <v>match</v>
      </c>
      <c r="L218" s="1410" t="str">
        <f t="shared" si="9"/>
        <v/>
      </c>
      <c r="M218" s="1333"/>
      <c r="N218" s="1333"/>
      <c r="O218" s="1333"/>
      <c r="P218" s="1333"/>
      <c r="Q218" s="1333"/>
      <c r="R218" s="1284"/>
      <c r="S218" s="1488"/>
      <c r="T218" s="1404"/>
      <c r="U218" s="1333"/>
      <c r="V218" s="1333"/>
      <c r="W218" s="1333"/>
      <c r="X218" s="1333"/>
      <c r="Y218" s="1333"/>
      <c r="Z218" s="1333"/>
      <c r="AA218" s="1333"/>
      <c r="AB218" s="1333"/>
      <c r="AC218" s="1333"/>
      <c r="AD218" s="1333"/>
      <c r="AE218" s="1333"/>
      <c r="AF218" s="1333"/>
      <c r="AG218" s="1333"/>
      <c r="AH218" s="1333"/>
      <c r="AI218" s="1333"/>
      <c r="AJ218" s="1333"/>
    </row>
    <row r="219" spans="1:49" s="30" customFormat="1" ht="13.5" customHeight="1" x14ac:dyDescent="0.25">
      <c r="A219" s="1518" t="str">
        <f>IF(COUNTIF('04 - 95% CD'!D219:G219,"Y")&gt;0,"Y",IF(COUNTIF('04 - 95% CD'!D219:G219,"N"),"N",""))</f>
        <v>N</v>
      </c>
      <c r="B219" s="191"/>
      <c r="C219" s="944"/>
      <c r="D219" s="463"/>
      <c r="E219" s="463"/>
      <c r="F219" s="359" t="str">
        <f>IF('C-Design&amp;Const'!$Q219="","",'C-Design&amp;Const'!$Q219)</f>
        <v>N</v>
      </c>
      <c r="G219" s="291"/>
      <c r="H219" s="469" t="str">
        <f>CONCATENATE(IF(F219="N","PLACEHOLDER ROW - ",""),'C-Design&amp;Const'!Z219,IF(F219="N","",J219))</f>
        <v>PLACEHOLDER ROW - CUSTOM - Site / Civil / Landscape</v>
      </c>
      <c r="I219" s="184"/>
      <c r="J219" s="578" t="str">
        <f>IF('C-Design&amp;Const'!AI219="","",'C-Design&amp;Const'!AI219)</f>
        <v>(Complete)</v>
      </c>
      <c r="K219" s="285" t="str">
        <f>IF((COUNTIF(D219:G219,"Y")=COUNTIF('04 - 95% CD'!A219,"Y")),"match","no 95% match")</f>
        <v>match</v>
      </c>
      <c r="L219" s="1410" t="str">
        <f>CONCATENATE(IF(ISNUMBER(SEARCH("Placeholder",H219))=TRUE,"&lt;---PM/Planner may hide PLACEHOLDER ROW",""))</f>
        <v>&lt;---PM/Planner may hide PLACEHOLDER ROW</v>
      </c>
      <c r="M219" s="1382"/>
      <c r="N219" s="1382"/>
      <c r="O219" s="1382"/>
      <c r="P219" s="1382"/>
      <c r="Q219" s="1382"/>
      <c r="R219" s="1382"/>
      <c r="S219" s="1382"/>
      <c r="T219" s="1382"/>
      <c r="U219" s="1382"/>
      <c r="V219" s="1382"/>
      <c r="W219" s="1382"/>
      <c r="X219" s="1382"/>
      <c r="Y219" s="1382"/>
      <c r="Z219" s="1382"/>
      <c r="AA219" s="1382"/>
      <c r="AB219" s="1382"/>
      <c r="AC219" s="1382"/>
      <c r="AD219" s="1382"/>
      <c r="AE219" s="1382"/>
      <c r="AF219" s="1382"/>
      <c r="AG219" s="1382"/>
      <c r="AH219" s="1382"/>
      <c r="AI219" s="1382"/>
      <c r="AJ219" s="1382"/>
      <c r="AK219" s="181"/>
      <c r="AL219" s="181"/>
      <c r="AM219" s="181"/>
      <c r="AN219" s="181"/>
      <c r="AO219" s="181"/>
      <c r="AP219" s="181"/>
      <c r="AQ219" s="181"/>
      <c r="AR219" s="181"/>
      <c r="AS219" s="181"/>
      <c r="AT219" s="181"/>
      <c r="AU219" s="181"/>
      <c r="AV219" s="181"/>
      <c r="AW219" s="181"/>
    </row>
    <row r="220" spans="1:49" s="30" customFormat="1" ht="13.5" customHeight="1" x14ac:dyDescent="0.25">
      <c r="A220" s="1518" t="str">
        <f>IF(COUNTIF('04 - 95% CD'!D220:G220,"Y")&gt;0,"Y",IF(COUNTIF('04 - 95% CD'!D220:G220,"N"),"N",""))</f>
        <v>N</v>
      </c>
      <c r="B220" s="191"/>
      <c r="C220" s="944"/>
      <c r="D220" s="463"/>
      <c r="E220" s="463"/>
      <c r="F220" s="359" t="str">
        <f>IF('C-Design&amp;Const'!$Q220="","",'C-Design&amp;Const'!$Q220)</f>
        <v>N</v>
      </c>
      <c r="G220" s="291"/>
      <c r="H220" s="469" t="str">
        <f>CONCATENATE(IF(F220="N","PLACEHOLDER ROW - ",""),'C-Design&amp;Const'!Z220,IF(F220="N","",J220))</f>
        <v>PLACEHOLDER ROW - CUSTOM - Site / Civil / Landscape</v>
      </c>
      <c r="I220" s="184"/>
      <c r="J220" s="578" t="str">
        <f>IF('C-Design&amp;Const'!AI220="","",'C-Design&amp;Const'!AI220)</f>
        <v>(Complete)</v>
      </c>
      <c r="K220" s="285" t="str">
        <f>IF((COUNTIF(D220:G220,"Y")=COUNTIF('04 - 95% CD'!A220,"Y")),"match","no 95% match")</f>
        <v>match</v>
      </c>
      <c r="L220" s="1410" t="str">
        <f>CONCATENATE(IF(ISNUMBER(SEARCH("Placeholder",H220))=TRUE,"&lt;---PM/Planner may hide PLACEHOLDER ROW",""))</f>
        <v>&lt;---PM/Planner may hide PLACEHOLDER ROW</v>
      </c>
      <c r="M220" s="1382"/>
      <c r="N220" s="1382"/>
      <c r="O220" s="1382"/>
      <c r="P220" s="1382"/>
      <c r="Q220" s="1382"/>
      <c r="R220" s="1382"/>
      <c r="S220" s="1382"/>
      <c r="T220" s="1382"/>
      <c r="U220" s="1382"/>
      <c r="V220" s="1382"/>
      <c r="W220" s="1382"/>
      <c r="X220" s="1382"/>
      <c r="Y220" s="1382"/>
      <c r="Z220" s="1382"/>
      <c r="AA220" s="1382"/>
      <c r="AB220" s="1382"/>
      <c r="AC220" s="1382"/>
      <c r="AD220" s="1382"/>
      <c r="AE220" s="1382"/>
      <c r="AF220" s="1382"/>
      <c r="AG220" s="1382"/>
      <c r="AH220" s="1382"/>
      <c r="AI220" s="1382"/>
      <c r="AJ220" s="1382"/>
      <c r="AK220" s="181"/>
      <c r="AL220" s="181"/>
      <c r="AM220" s="181"/>
      <c r="AN220" s="181"/>
      <c r="AO220" s="181"/>
      <c r="AP220" s="181"/>
      <c r="AQ220" s="181"/>
      <c r="AR220" s="181"/>
      <c r="AS220" s="181"/>
      <c r="AT220" s="181"/>
      <c r="AU220" s="181"/>
      <c r="AV220" s="181"/>
      <c r="AW220" s="181"/>
    </row>
    <row r="221" spans="1:49" s="545" customFormat="1" ht="13.5" customHeight="1" x14ac:dyDescent="0.25">
      <c r="A221" s="1518" t="str">
        <f>IF(COUNTIF('04 - 95% CD'!D221:G221,"Y")&gt;0,"Y",IF(COUNTIF('04 - 95% CD'!D221:G221,"N"),"N",""))</f>
        <v>Y</v>
      </c>
      <c r="B221" s="554"/>
      <c r="C221" s="944"/>
      <c r="D221" s="463"/>
      <c r="E221" s="463"/>
      <c r="F221" s="359" t="str">
        <f>IF('C-Design&amp;Const'!$Q221="","",'C-Design&amp;Const'!$Q221)</f>
        <v>Y</v>
      </c>
      <c r="G221" s="291"/>
      <c r="H221" s="469" t="str">
        <f>CONCATENATE(IF(F221="N","PLACEHOLDER ROW - ",""),'C-Design&amp;Const'!Z221,IF(F221="N","",J221))</f>
        <v>Civil, Site, Landscape Symbols, Abbreviations, and General Notes (Complete)</v>
      </c>
      <c r="I221" s="552"/>
      <c r="J221" s="578" t="str">
        <f>IF('C-Design&amp;Const'!AI221="","",'C-Design&amp;Const'!AI221)</f>
        <v>(Complete)</v>
      </c>
      <c r="K221" s="285" t="str">
        <f>IF((COUNTIF(D221:G221,"Y")=COUNTIF('04 - 95% CD'!A221,"Y")),"match","no 95% match")</f>
        <v>match</v>
      </c>
      <c r="L221" s="1410" t="str">
        <f t="shared" ref="L221" si="12">CONCATENATE(IF(ISNUMBER(SEARCH("Placeholder",H221))=TRUE,"&lt;---PM/Planner may hide PLACEHOLDER ROW",""))</f>
        <v/>
      </c>
      <c r="M221" s="1382"/>
      <c r="N221" s="1382"/>
      <c r="O221" s="1382"/>
      <c r="P221" s="1382"/>
      <c r="Q221" s="1382"/>
      <c r="R221" s="1382"/>
      <c r="S221" s="1382"/>
      <c r="T221" s="1382"/>
      <c r="U221" s="1382"/>
      <c r="V221" s="1382"/>
      <c r="W221" s="1382"/>
      <c r="X221" s="1382"/>
      <c r="Y221" s="1382"/>
      <c r="Z221" s="1382"/>
      <c r="AA221" s="1382"/>
      <c r="AB221" s="1382"/>
      <c r="AC221" s="1382"/>
      <c r="AD221" s="1382"/>
      <c r="AE221" s="1382"/>
      <c r="AF221" s="1382"/>
      <c r="AG221" s="1382"/>
      <c r="AH221" s="1382"/>
      <c r="AI221" s="1382"/>
      <c r="AJ221" s="1382"/>
      <c r="AK221" s="551"/>
      <c r="AL221" s="551"/>
      <c r="AM221" s="551"/>
      <c r="AN221" s="551"/>
      <c r="AO221" s="551"/>
      <c r="AP221" s="551"/>
      <c r="AQ221" s="551"/>
      <c r="AR221" s="551"/>
      <c r="AS221" s="551"/>
      <c r="AT221" s="551"/>
      <c r="AU221" s="551"/>
      <c r="AV221" s="551"/>
      <c r="AW221" s="551"/>
    </row>
    <row r="222" spans="1:49" s="30" customFormat="1" ht="13.5" customHeight="1" x14ac:dyDescent="0.25">
      <c r="A222" s="1518" t="str">
        <f>IF(COUNTIF('04 - 95% CD'!D222:G222,"Y")&gt;0,"Y",IF(COUNTIF('04 - 95% CD'!D222:G222,"N"),"N",""))</f>
        <v>Y</v>
      </c>
      <c r="B222" s="191"/>
      <c r="C222" s="944"/>
      <c r="D222" s="463"/>
      <c r="E222" s="463"/>
      <c r="F222" s="359" t="str">
        <f>IF('C-Design&amp;Const'!$Q222="","",'C-Design&amp;Const'!$Q222)</f>
        <v>Y</v>
      </c>
      <c r="G222" s="291"/>
      <c r="H222" s="469" t="str">
        <f>CONCATENATE(IF(F222="N","PLACEHOLDER ROW - ",""),'C-Design&amp;Const'!Z222,IF(F222="N","",J222))</f>
        <v>Site Clearing, Demolitions, &amp; Abandonments (Complete)</v>
      </c>
      <c r="I222" s="184"/>
      <c r="J222" s="578" t="str">
        <f>IF('C-Design&amp;Const'!AI222="","",'C-Design&amp;Const'!AI222)</f>
        <v>(Complete)</v>
      </c>
      <c r="K222" s="285" t="str">
        <f>IF((COUNTIF(D222:G222,"Y")=COUNTIF('04 - 95% CD'!A222,"Y")),"match","no 95% match")</f>
        <v>match</v>
      </c>
      <c r="L222" s="1410" t="str">
        <f t="shared" si="9"/>
        <v/>
      </c>
      <c r="M222" s="1382"/>
      <c r="N222" s="1382"/>
      <c r="O222" s="1382"/>
      <c r="P222" s="1382"/>
      <c r="Q222" s="1382"/>
      <c r="R222" s="1382"/>
      <c r="S222" s="1382"/>
      <c r="T222" s="1382"/>
      <c r="U222" s="1382"/>
      <c r="V222" s="1382"/>
      <c r="W222" s="1382"/>
      <c r="X222" s="1382"/>
      <c r="Y222" s="1382"/>
      <c r="Z222" s="1382"/>
      <c r="AA222" s="1382"/>
      <c r="AB222" s="1382"/>
      <c r="AC222" s="1382"/>
      <c r="AD222" s="1382"/>
      <c r="AE222" s="1382"/>
      <c r="AF222" s="1382"/>
      <c r="AG222" s="1382"/>
      <c r="AH222" s="1382"/>
      <c r="AI222" s="1382"/>
      <c r="AJ222" s="1382"/>
      <c r="AK222" s="181"/>
      <c r="AL222" s="181"/>
      <c r="AM222" s="181"/>
      <c r="AN222" s="181"/>
      <c r="AO222" s="181"/>
      <c r="AP222" s="181"/>
      <c r="AQ222" s="181"/>
      <c r="AR222" s="181"/>
      <c r="AS222" s="181"/>
      <c r="AT222" s="181"/>
      <c r="AU222" s="181"/>
      <c r="AV222" s="181"/>
      <c r="AW222" s="181"/>
    </row>
    <row r="223" spans="1:49" s="17" customFormat="1" x14ac:dyDescent="0.25">
      <c r="A223" s="1518" t="str">
        <f>IF(COUNTIF('04 - 95% CD'!D223:G223,"Y")&gt;0,"Y",IF(COUNTIF('04 - 95% CD'!D223:G223,"N"),"N",""))</f>
        <v>Y</v>
      </c>
      <c r="B223" s="141"/>
      <c r="C223" s="944"/>
      <c r="D223" s="411"/>
      <c r="E223" s="321"/>
      <c r="F223" s="559" t="str">
        <f>IF('C-Design&amp;Const'!$Q223="","",'C-Design&amp;Const'!$Q223)</f>
        <v>Y</v>
      </c>
      <c r="G223" s="485"/>
      <c r="H223" s="243" t="str">
        <f>CONCATENATE(IF(F223="N","PLACEHOLDER ROW - ",""),'C-Design&amp;Const'!Z223,IF(F223="N","",J223))</f>
        <v>Site Plan (show tree protection if not yet shown in laydown plan)(Complete)</v>
      </c>
      <c r="I223" s="137"/>
      <c r="J223" s="578" t="str">
        <f>IF('C-Design&amp;Const'!AI223="","",'C-Design&amp;Const'!AI223)</f>
        <v>(Complete)</v>
      </c>
      <c r="K223" s="285" t="str">
        <f>IF((COUNTIF(D223:G223,"Y")=COUNTIF('04 - 95% CD'!A223,"Y")),"match","no 95% match")</f>
        <v>match</v>
      </c>
      <c r="L223" s="1410" t="str">
        <f t="shared" si="9"/>
        <v/>
      </c>
      <c r="M223" s="1333"/>
      <c r="N223" s="1333"/>
      <c r="O223" s="1333"/>
      <c r="P223" s="1333"/>
      <c r="Q223" s="1333"/>
      <c r="R223" s="1453"/>
      <c r="S223" s="1364"/>
      <c r="T223" s="1404"/>
      <c r="U223" s="1333"/>
      <c r="V223" s="1333"/>
      <c r="W223" s="1333"/>
      <c r="X223" s="1333"/>
      <c r="Y223" s="1333"/>
      <c r="Z223" s="1333"/>
      <c r="AA223" s="1333"/>
      <c r="AB223" s="1333"/>
      <c r="AC223" s="1333"/>
      <c r="AD223" s="1333"/>
      <c r="AE223" s="1333"/>
      <c r="AF223" s="1333"/>
      <c r="AG223" s="1333"/>
      <c r="AH223" s="1333"/>
      <c r="AI223" s="1333"/>
      <c r="AJ223" s="1333"/>
    </row>
    <row r="224" spans="1:49" s="17" customFormat="1" x14ac:dyDescent="0.25">
      <c r="A224" s="1518" t="str">
        <f>IF(COUNTIF('04 - 95% CD'!D224:G224,"Y")&gt;0,"Y",IF(COUNTIF('04 - 95% CD'!D224:G224,"N"),"N",""))</f>
        <v>Y</v>
      </c>
      <c r="B224" s="141"/>
      <c r="C224" s="944"/>
      <c r="D224" s="411"/>
      <c r="E224" s="321"/>
      <c r="F224" s="559" t="str">
        <f>IF('C-Design&amp;Const'!$Q224="","",'C-Design&amp;Const'!$Q224)</f>
        <v>Y</v>
      </c>
      <c r="G224" s="485"/>
      <c r="H224" s="243" t="str">
        <f>CONCATENATE(IF(F224="N","PLACEHOLDER ROW - ",""),'C-Design&amp;Const'!Z224,IF(F224="N","",J224))</f>
        <v>Storm Water Detention Plan (Complete)</v>
      </c>
      <c r="I224" s="149"/>
      <c r="J224" s="578" t="str">
        <f>IF('C-Design&amp;Const'!AI224="","",'C-Design&amp;Const'!AI224)</f>
        <v>(Complete)</v>
      </c>
      <c r="K224" s="285" t="str">
        <f>IF((COUNTIF(D224:G224,"Y")=COUNTIF('04 - 95% CD'!A224,"Y")),"match","no 95% match")</f>
        <v>match</v>
      </c>
      <c r="L224" s="1410" t="str">
        <f>CONCATENATE(IF(ISNUMBER(SEARCH("Placeholder",H224))=TRUE,"&lt;---PM/Planner may hide PLACEHOLDER ROW",""))</f>
        <v/>
      </c>
      <c r="M224" s="1333"/>
      <c r="N224" s="1333"/>
      <c r="O224" s="1333"/>
      <c r="P224" s="1333"/>
      <c r="Q224" s="1333"/>
      <c r="R224" s="1453"/>
      <c r="S224" s="1364"/>
      <c r="T224" s="1404"/>
      <c r="U224" s="1333"/>
      <c r="V224" s="1333"/>
      <c r="W224" s="1333"/>
      <c r="X224" s="1333"/>
      <c r="Y224" s="1333"/>
      <c r="Z224" s="1333"/>
      <c r="AA224" s="1333"/>
      <c r="AB224" s="1333"/>
      <c r="AC224" s="1333"/>
      <c r="AD224" s="1333"/>
      <c r="AE224" s="1333"/>
      <c r="AF224" s="1333"/>
      <c r="AG224" s="1333"/>
      <c r="AH224" s="1333"/>
      <c r="AI224" s="1333"/>
      <c r="AJ224" s="1333"/>
    </row>
    <row r="225" spans="1:49" s="30" customFormat="1" ht="13.5" customHeight="1" x14ac:dyDescent="0.25">
      <c r="A225" s="1518" t="str">
        <f>IF(COUNTIF('04 - 95% CD'!D225:G225,"Y")&gt;0,"Y",IF(COUNTIF('04 - 95% CD'!D225:G225,"N"),"N",""))</f>
        <v>Y</v>
      </c>
      <c r="B225" s="191"/>
      <c r="C225" s="944"/>
      <c r="D225" s="463"/>
      <c r="E225" s="463"/>
      <c r="F225" s="359" t="str">
        <f>IF('C-Design&amp;Const'!$Q225="","",'C-Design&amp;Const'!$Q225)</f>
        <v>Y</v>
      </c>
      <c r="G225" s="291"/>
      <c r="H225" s="469" t="str">
        <f>CONCATENATE(IF(F225="N","PLACEHOLDER ROW - ",""),'C-Design&amp;Const'!Z225,IF(F225="N","",J225))</f>
        <v>Pavement, Sidewalks, and/or Utility Sections (Complete)</v>
      </c>
      <c r="I225" s="184"/>
      <c r="J225" s="578" t="str">
        <f>IF('C-Design&amp;Const'!AI225="","",'C-Design&amp;Const'!AI225)</f>
        <v>(Complete)</v>
      </c>
      <c r="K225" s="285" t="str">
        <f>IF((COUNTIF(D225:G225,"Y")=COUNTIF('04 - 95% CD'!A225,"Y")),"match","no 95% match")</f>
        <v>match</v>
      </c>
      <c r="L225" s="1410" t="str">
        <f t="shared" si="9"/>
        <v/>
      </c>
      <c r="M225" s="1382"/>
      <c r="N225" s="1382"/>
      <c r="O225" s="1382"/>
      <c r="P225" s="1382"/>
      <c r="Q225" s="1382"/>
      <c r="R225" s="1382"/>
      <c r="S225" s="1382"/>
      <c r="T225" s="1382"/>
      <c r="U225" s="1382"/>
      <c r="V225" s="1382"/>
      <c r="W225" s="1382"/>
      <c r="X225" s="1382"/>
      <c r="Y225" s="1382"/>
      <c r="Z225" s="1382"/>
      <c r="AA225" s="1382"/>
      <c r="AB225" s="1382"/>
      <c r="AC225" s="1382"/>
      <c r="AD225" s="1382"/>
      <c r="AE225" s="1382"/>
      <c r="AF225" s="1382"/>
      <c r="AG225" s="1382"/>
      <c r="AH225" s="1382"/>
      <c r="AI225" s="1382"/>
      <c r="AJ225" s="1382"/>
      <c r="AK225" s="181"/>
      <c r="AL225" s="181"/>
      <c r="AM225" s="181"/>
      <c r="AN225" s="181"/>
      <c r="AO225" s="181"/>
      <c r="AP225" s="181"/>
      <c r="AQ225" s="181"/>
      <c r="AR225" s="181"/>
      <c r="AS225" s="181"/>
      <c r="AT225" s="181"/>
      <c r="AU225" s="181"/>
      <c r="AV225" s="181"/>
      <c r="AW225" s="181"/>
    </row>
    <row r="226" spans="1:49" s="30" customFormat="1" ht="13.5" customHeight="1" x14ac:dyDescent="0.25">
      <c r="A226" s="1518" t="str">
        <f>IF(COUNTIF('04 - 95% CD'!D226:G226,"Y")&gt;0,"Y",IF(COUNTIF('04 - 95% CD'!D226:G226,"N"),"N",""))</f>
        <v>Y</v>
      </c>
      <c r="B226" s="191"/>
      <c r="C226" s="944"/>
      <c r="D226" s="463"/>
      <c r="E226" s="463"/>
      <c r="F226" s="359" t="str">
        <f>IF('C-Design&amp;Const'!$Q226="","",'C-Design&amp;Const'!$Q226)</f>
        <v>Y</v>
      </c>
      <c r="G226" s="291"/>
      <c r="H226" s="469" t="str">
        <f>CONCATENATE(IF(F226="N","PLACEHOLDER ROW - ",""),'C-Design&amp;Const'!Z226,IF(F226="N","",J226))</f>
        <v>Utility Relocations (Complete)</v>
      </c>
      <c r="I226" s="184"/>
      <c r="J226" s="578" t="str">
        <f>IF('C-Design&amp;Const'!AI226="","",'C-Design&amp;Const'!AI226)</f>
        <v>(Complete)</v>
      </c>
      <c r="K226" s="285" t="str">
        <f>IF((COUNTIF(D226:G226,"Y")=COUNTIF('04 - 95% CD'!A226,"Y")),"match","no 95% match")</f>
        <v>match</v>
      </c>
      <c r="L226" s="1410" t="str">
        <f t="shared" si="9"/>
        <v/>
      </c>
      <c r="M226" s="1382"/>
      <c r="N226" s="1382"/>
      <c r="O226" s="1382"/>
      <c r="P226" s="1382"/>
      <c r="Q226" s="1382"/>
      <c r="R226" s="1382"/>
      <c r="S226" s="1382"/>
      <c r="T226" s="1382"/>
      <c r="U226" s="1382"/>
      <c r="V226" s="1382"/>
      <c r="W226" s="1382"/>
      <c r="X226" s="1382"/>
      <c r="Y226" s="1382"/>
      <c r="Z226" s="1382"/>
      <c r="AA226" s="1382"/>
      <c r="AB226" s="1382"/>
      <c r="AC226" s="1382"/>
      <c r="AD226" s="1382"/>
      <c r="AE226" s="1382"/>
      <c r="AF226" s="1382"/>
      <c r="AG226" s="1382"/>
      <c r="AH226" s="1382"/>
      <c r="AI226" s="1382"/>
      <c r="AJ226" s="1382"/>
      <c r="AK226" s="181"/>
      <c r="AL226" s="181"/>
      <c r="AM226" s="181"/>
      <c r="AN226" s="181"/>
      <c r="AO226" s="181"/>
      <c r="AP226" s="181"/>
      <c r="AQ226" s="181"/>
      <c r="AR226" s="181"/>
      <c r="AS226" s="181"/>
      <c r="AT226" s="181"/>
      <c r="AU226" s="181"/>
      <c r="AV226" s="181"/>
      <c r="AW226" s="181"/>
    </row>
    <row r="227" spans="1:49" s="17" customFormat="1" x14ac:dyDescent="0.25">
      <c r="A227" s="1518" t="str">
        <f>IF(COUNTIF('04 - 95% CD'!D227:G227,"Y")&gt;0,"Y",IF(COUNTIF('04 - 95% CD'!D227:G227,"N"),"N",""))</f>
        <v>Y</v>
      </c>
      <c r="B227" s="141"/>
      <c r="C227" s="944"/>
      <c r="D227" s="411"/>
      <c r="E227" s="321"/>
      <c r="F227" s="559" t="str">
        <f>IF('C-Design&amp;Const'!$Q227="","",'C-Design&amp;Const'!$Q227)</f>
        <v>Y</v>
      </c>
      <c r="G227" s="485"/>
      <c r="H227" s="243" t="str">
        <f>CONCATENATE(IF(F227="N","PLACEHOLDER ROW - ",""),'C-Design&amp;Const'!Z227,IF(F227="N","",J227))</f>
        <v>Utility Site Plan and Details (Complete)</v>
      </c>
      <c r="I227" s="137"/>
      <c r="J227" s="578" t="str">
        <f>IF('C-Design&amp;Const'!AI227="","",'C-Design&amp;Const'!AI227)</f>
        <v>(Complete)</v>
      </c>
      <c r="K227" s="285" t="str">
        <f>IF((COUNTIF(D227:G227,"Y")=COUNTIF('04 - 95% CD'!A227,"Y")),"match","no 95% match")</f>
        <v>match</v>
      </c>
      <c r="L227" s="1410" t="str">
        <f t="shared" si="9"/>
        <v/>
      </c>
      <c r="M227" s="1333"/>
      <c r="N227" s="1333"/>
      <c r="O227" s="1333"/>
      <c r="P227" s="1333"/>
      <c r="Q227" s="1333"/>
      <c r="R227" s="1453"/>
      <c r="S227" s="1364"/>
      <c r="T227" s="1404"/>
      <c r="U227" s="1333"/>
      <c r="V227" s="1333"/>
      <c r="W227" s="1333"/>
      <c r="X227" s="1333"/>
      <c r="Y227" s="1333"/>
      <c r="Z227" s="1333"/>
      <c r="AA227" s="1333"/>
      <c r="AB227" s="1333"/>
      <c r="AC227" s="1333"/>
      <c r="AD227" s="1333"/>
      <c r="AE227" s="1333"/>
      <c r="AF227" s="1333"/>
      <c r="AG227" s="1333"/>
      <c r="AH227" s="1333"/>
      <c r="AI227" s="1333"/>
      <c r="AJ227" s="1333"/>
    </row>
    <row r="228" spans="1:49" s="17" customFormat="1" x14ac:dyDescent="0.25">
      <c r="A228" s="1518"/>
      <c r="B228" s="141"/>
      <c r="C228" s="944"/>
      <c r="D228" s="411"/>
      <c r="E228" s="321"/>
      <c r="F228" s="559" t="str">
        <f>IF('C-Design&amp;Const'!$Q228="","",'C-Design&amp;Const'!$Q228)</f>
        <v>Y</v>
      </c>
      <c r="G228" s="558"/>
      <c r="H228" s="243" t="str">
        <f>CONCATENATE(IF(F228="N","PLACEHOLDER ROW - ",""),'C-Design&amp;Const'!Z228,IF(F228="N","",J228))</f>
        <v>Traffic Control Plans - Vehicular &amp; Pedestrian (Complete)</v>
      </c>
      <c r="I228" s="137"/>
      <c r="J228" s="578" t="str">
        <f>IF('C-Design&amp;Const'!AI228="","",'C-Design&amp;Const'!AI228)</f>
        <v>(Complete)</v>
      </c>
      <c r="K228" s="285" t="str">
        <f>IF((COUNTIF(D228:G228,"Y")=COUNTIF('04 - 95% CD'!A228,"Y")),"match","no 95% match")</f>
        <v>no 95% match</v>
      </c>
      <c r="L228" s="1410" t="str">
        <f t="shared" ref="L228" si="13">CONCATENATE(IF(ISNUMBER(SEARCH("Placeholder",H228))=TRUE,"&lt;---PM/Planner may hide PLACEHOLDER ROW",""))</f>
        <v/>
      </c>
      <c r="M228" s="1333"/>
      <c r="N228" s="1333"/>
      <c r="O228" s="1333"/>
      <c r="P228" s="1333"/>
      <c r="Q228" s="1333"/>
      <c r="R228" s="1453"/>
      <c r="S228" s="1364"/>
      <c r="T228" s="1404"/>
      <c r="U228" s="1333"/>
      <c r="V228" s="1333"/>
      <c r="W228" s="1333"/>
      <c r="X228" s="1333"/>
      <c r="Y228" s="1333"/>
      <c r="Z228" s="1333"/>
      <c r="AA228" s="1333"/>
      <c r="AB228" s="1333"/>
      <c r="AC228" s="1333"/>
      <c r="AD228" s="1333"/>
      <c r="AE228" s="1333"/>
      <c r="AF228" s="1333"/>
      <c r="AG228" s="1333"/>
      <c r="AH228" s="1333"/>
      <c r="AI228" s="1333"/>
      <c r="AJ228" s="1333"/>
    </row>
    <row r="229" spans="1:49" s="30" customFormat="1" ht="13.5" customHeight="1" x14ac:dyDescent="0.25">
      <c r="A229" s="1518" t="str">
        <f>IF(COUNTIF('04 - 95% CD'!D229:G229,"Y")&gt;0,"Y",IF(COUNTIF('04 - 95% CD'!D229:G229,"N"),"N",""))</f>
        <v>Y</v>
      </c>
      <c r="B229" s="191"/>
      <c r="C229" s="944"/>
      <c r="D229" s="463"/>
      <c r="E229" s="463"/>
      <c r="F229" s="359" t="str">
        <f>IF('C-Design&amp;Const'!$Q229="","",'C-Design&amp;Const'!$Q229)</f>
        <v>Y</v>
      </c>
      <c r="G229" s="291"/>
      <c r="H229" s="469" t="str">
        <f>CONCATENATE(IF(F229="N","PLACEHOLDER ROW - ",""),'C-Design&amp;Const'!Z229,IF(F229="N","",J229))</f>
        <v>Construction Layout/Laydown Plan with tree protection(Complete)</v>
      </c>
      <c r="I229" s="184"/>
      <c r="J229" s="578" t="str">
        <f>IF('C-Design&amp;Const'!AI229="","",'C-Design&amp;Const'!AI229)</f>
        <v>(Complete)</v>
      </c>
      <c r="K229" s="285" t="str">
        <f>IF((COUNTIF(D229:G229,"Y")=COUNTIF('04 - 95% CD'!A229,"Y")),"match","no 95% match")</f>
        <v>match</v>
      </c>
      <c r="L229" s="1410" t="str">
        <f t="shared" si="9"/>
        <v/>
      </c>
      <c r="M229" s="1382"/>
      <c r="N229" s="1382"/>
      <c r="O229" s="1382"/>
      <c r="P229" s="1382"/>
      <c r="Q229" s="1382"/>
      <c r="R229" s="1382"/>
      <c r="S229" s="1382"/>
      <c r="T229" s="1382"/>
      <c r="U229" s="1382"/>
      <c r="V229" s="1382"/>
      <c r="W229" s="1382"/>
      <c r="X229" s="1382"/>
      <c r="Y229" s="1382"/>
      <c r="Z229" s="1382"/>
      <c r="AA229" s="1382"/>
      <c r="AB229" s="1382"/>
      <c r="AC229" s="1382"/>
      <c r="AD229" s="1382"/>
      <c r="AE229" s="1382"/>
      <c r="AF229" s="1382"/>
      <c r="AG229" s="1382"/>
      <c r="AH229" s="1382"/>
      <c r="AI229" s="1382"/>
      <c r="AJ229" s="1382"/>
      <c r="AK229" s="181"/>
      <c r="AL229" s="181"/>
      <c r="AM229" s="181"/>
      <c r="AN229" s="181"/>
      <c r="AO229" s="181"/>
      <c r="AP229" s="181"/>
      <c r="AQ229" s="181"/>
      <c r="AR229" s="181"/>
      <c r="AS229" s="181"/>
      <c r="AT229" s="181"/>
      <c r="AU229" s="181"/>
      <c r="AV229" s="181"/>
      <c r="AW229" s="181"/>
    </row>
    <row r="230" spans="1:49" s="17" customFormat="1" x14ac:dyDescent="0.25">
      <c r="A230" s="1518" t="str">
        <f>IF(COUNTIF('04 - 95% CD'!D230:G230,"Y")&gt;0,"Y",IF(COUNTIF('04 - 95% CD'!D230:G230,"N"),"N",""))</f>
        <v>Y</v>
      </c>
      <c r="B230" s="141"/>
      <c r="C230" s="944"/>
      <c r="D230" s="411"/>
      <c r="E230" s="321"/>
      <c r="F230" s="559" t="str">
        <f>IF('C-Design&amp;Const'!$Q230="","",'C-Design&amp;Const'!$Q230)</f>
        <v>Y</v>
      </c>
      <c r="G230" s="485"/>
      <c r="H230" s="243" t="str">
        <f>CONCATENATE(IF(F230="N","PLACEHOLDER ROW - ",""),'C-Design&amp;Const'!Z230,IF(F230="N","",J230))</f>
        <v>Landscape Plan (Complete)</v>
      </c>
      <c r="I230" s="137"/>
      <c r="J230" s="578" t="str">
        <f>IF('C-Design&amp;Const'!AI230="","",'C-Design&amp;Const'!AI230)</f>
        <v>(Complete)</v>
      </c>
      <c r="K230" s="285" t="str">
        <f>IF((COUNTIF(D230:G230,"Y")=COUNTIF('04 - 95% CD'!A230,"Y")),"match","no 95% match")</f>
        <v>match</v>
      </c>
      <c r="L230" s="1410" t="str">
        <f t="shared" si="9"/>
        <v/>
      </c>
      <c r="M230" s="1333"/>
      <c r="N230" s="1333"/>
      <c r="O230" s="1333"/>
      <c r="P230" s="1333"/>
      <c r="Q230" s="1333"/>
      <c r="R230" s="1453"/>
      <c r="S230" s="1364"/>
      <c r="T230" s="1404"/>
      <c r="U230" s="1333"/>
      <c r="V230" s="1333"/>
      <c r="W230" s="1333"/>
      <c r="X230" s="1333"/>
      <c r="Y230" s="1333"/>
      <c r="Z230" s="1333"/>
      <c r="AA230" s="1333"/>
      <c r="AB230" s="1333"/>
      <c r="AC230" s="1333"/>
      <c r="AD230" s="1333"/>
      <c r="AE230" s="1333"/>
      <c r="AF230" s="1333"/>
      <c r="AG230" s="1333"/>
      <c r="AH230" s="1333"/>
      <c r="AI230" s="1333"/>
      <c r="AJ230" s="1333"/>
    </row>
    <row r="231" spans="1:49" s="17" customFormat="1" x14ac:dyDescent="0.25">
      <c r="A231" s="1510" t="str">
        <f>IF(COUNTIF('04 - 95% CD'!D231:G231,"Y")&gt;0,"Y",IF(COUNTIF('04 - 95% CD'!D231:G231,"N"),"N",""))</f>
        <v>Y</v>
      </c>
      <c r="B231" s="141"/>
      <c r="C231" s="944"/>
      <c r="D231" s="411"/>
      <c r="E231" s="559" t="str">
        <f>IF('C-Design&amp;Const'!$Q231="","",'C-Design&amp;Const'!$Q231)</f>
        <v>Y</v>
      </c>
      <c r="F231" s="478"/>
      <c r="G231" s="485"/>
      <c r="H231" s="244" t="str">
        <f>CONCATENATE(IF(F231="N","PLACEHOLDER ROW - ",""),'C-Design&amp;Const'!Z231,IF(F231="N","",J231))</f>
        <v>Architectural Drawings (Including Bid Alts.)</v>
      </c>
      <c r="I231" s="146"/>
      <c r="J231" s="578" t="str">
        <f>IF('C-Design&amp;Const'!AI231="","",'C-Design&amp;Const'!AI231)</f>
        <v xml:space="preserve"> (Including Bid Alts.)</v>
      </c>
      <c r="K231" s="285" t="str">
        <f>IF((COUNTIF(D231:G231,"Y")=COUNTIF('04 - 95% CD'!A231,"Y")),"match","no 95% match")</f>
        <v>match</v>
      </c>
      <c r="L231" s="1410" t="str">
        <f t="shared" si="9"/>
        <v/>
      </c>
      <c r="M231" s="1333"/>
      <c r="N231" s="1333"/>
      <c r="O231" s="1333"/>
      <c r="P231" s="1333"/>
      <c r="Q231" s="1333"/>
      <c r="R231" s="1284"/>
      <c r="S231" s="1513"/>
      <c r="T231" s="1404"/>
      <c r="U231" s="1333"/>
      <c r="V231" s="1333"/>
      <c r="W231" s="1333"/>
      <c r="X231" s="1333"/>
      <c r="Y231" s="1333"/>
      <c r="Z231" s="1333"/>
      <c r="AA231" s="1333"/>
      <c r="AB231" s="1333"/>
      <c r="AC231" s="1333"/>
      <c r="AD231" s="1333"/>
      <c r="AE231" s="1333"/>
      <c r="AF231" s="1333"/>
      <c r="AG231" s="1333"/>
      <c r="AH231" s="1333"/>
      <c r="AI231" s="1333"/>
      <c r="AJ231" s="1333"/>
    </row>
    <row r="232" spans="1:49" s="30" customFormat="1" ht="13.5" customHeight="1" x14ac:dyDescent="0.25">
      <c r="A232" s="1518" t="str">
        <f>IF(COUNTIF('04 - 95% CD'!D232:G232,"Y")&gt;0,"Y",IF(COUNTIF('04 - 95% CD'!D232:G232,"N"),"N",""))</f>
        <v/>
      </c>
      <c r="B232" s="191"/>
      <c r="C232" s="944"/>
      <c r="D232" s="463"/>
      <c r="E232" s="463"/>
      <c r="F232" s="359" t="str">
        <f>IF('C-Design&amp;Const'!$Q232="","",'C-Design&amp;Const'!$Q232)</f>
        <v>?</v>
      </c>
      <c r="G232" s="291"/>
      <c r="H232" s="469" t="str">
        <f>CONCATENATE(IF(F232="N","PLACEHOLDER ROW - ",""),'C-Design&amp;Const'!Z232,IF(F232="N","",J232))</f>
        <v>CUSTOM - Architectural  (Complete)</v>
      </c>
      <c r="I232" s="184"/>
      <c r="J232" s="578" t="str">
        <f>IF('C-Design&amp;Const'!AI232="","",'C-Design&amp;Const'!AI232)</f>
        <v>(Complete)</v>
      </c>
      <c r="K232" s="285" t="str">
        <f>IF((COUNTIF(D232:G232,"Y")=COUNTIF('04 - 95% CD'!A232,"Y")),"match","no 95% match")</f>
        <v>match</v>
      </c>
      <c r="L232" s="1410" t="str">
        <f t="shared" si="9"/>
        <v/>
      </c>
      <c r="M232" s="1382"/>
      <c r="N232" s="1382"/>
      <c r="O232" s="1382"/>
      <c r="P232" s="1382"/>
      <c r="Q232" s="1382"/>
      <c r="R232" s="1382"/>
      <c r="S232" s="1382"/>
      <c r="T232" s="1382"/>
      <c r="U232" s="1382"/>
      <c r="V232" s="1382"/>
      <c r="W232" s="1382"/>
      <c r="X232" s="1382"/>
      <c r="Y232" s="1382"/>
      <c r="Z232" s="1382"/>
      <c r="AA232" s="1382"/>
      <c r="AB232" s="1382"/>
      <c r="AC232" s="1382"/>
      <c r="AD232" s="1382"/>
      <c r="AE232" s="1382"/>
      <c r="AF232" s="1382"/>
      <c r="AG232" s="1382"/>
      <c r="AH232" s="1382"/>
      <c r="AI232" s="1382"/>
      <c r="AJ232" s="1382"/>
      <c r="AK232" s="181"/>
      <c r="AL232" s="181"/>
      <c r="AM232" s="181"/>
      <c r="AN232" s="181"/>
      <c r="AO232" s="181"/>
      <c r="AP232" s="181"/>
      <c r="AQ232" s="181"/>
      <c r="AR232" s="181"/>
      <c r="AS232" s="181"/>
      <c r="AT232" s="181"/>
      <c r="AU232" s="181"/>
      <c r="AV232" s="181"/>
      <c r="AW232" s="181"/>
    </row>
    <row r="233" spans="1:49" s="30" customFormat="1" ht="13.5" customHeight="1" x14ac:dyDescent="0.25">
      <c r="A233" s="1518" t="str">
        <f>IF(COUNTIF('04 - 95% CD'!D233:G233,"Y")&gt;0,"Y",IF(COUNTIF('04 - 95% CD'!D233:G233,"N"),"N",""))</f>
        <v/>
      </c>
      <c r="B233" s="191"/>
      <c r="C233" s="944"/>
      <c r="D233" s="463"/>
      <c r="E233" s="463"/>
      <c r="F233" s="359" t="str">
        <f>IF('C-Design&amp;Const'!$Q233="","",'C-Design&amp;Const'!$Q233)</f>
        <v>?</v>
      </c>
      <c r="G233" s="291"/>
      <c r="H233" s="469" t="str">
        <f>CONCATENATE(IF(F233="N","PLACEHOLDER ROW - ",""),'C-Design&amp;Const'!Z233,IF(F233="N","",J233))</f>
        <v>CUSTOM - Architectural  (Complete)</v>
      </c>
      <c r="I233" s="184"/>
      <c r="J233" s="578" t="str">
        <f>IF('C-Design&amp;Const'!AI233="","",'C-Design&amp;Const'!AI233)</f>
        <v>(Complete)</v>
      </c>
      <c r="K233" s="285" t="str">
        <f>IF((COUNTIF(D233:G233,"Y")=COUNTIF('04 - 95% CD'!A233,"Y")),"match","no 95% match")</f>
        <v>match</v>
      </c>
      <c r="L233" s="1410" t="str">
        <f t="shared" si="9"/>
        <v/>
      </c>
      <c r="M233" s="1382"/>
      <c r="N233" s="1382"/>
      <c r="O233" s="1382"/>
      <c r="P233" s="1382"/>
      <c r="Q233" s="1382"/>
      <c r="R233" s="1382"/>
      <c r="S233" s="1382"/>
      <c r="T233" s="1382"/>
      <c r="U233" s="1382"/>
      <c r="V233" s="1382"/>
      <c r="W233" s="1382"/>
      <c r="X233" s="1382"/>
      <c r="Y233" s="1382"/>
      <c r="Z233" s="1382"/>
      <c r="AA233" s="1382"/>
      <c r="AB233" s="1382"/>
      <c r="AC233" s="1382"/>
      <c r="AD233" s="1382"/>
      <c r="AE233" s="1382"/>
      <c r="AF233" s="1382"/>
      <c r="AG233" s="1382"/>
      <c r="AH233" s="1382"/>
      <c r="AI233" s="1382"/>
      <c r="AJ233" s="1382"/>
      <c r="AK233" s="181"/>
      <c r="AL233" s="181"/>
      <c r="AM233" s="181"/>
      <c r="AN233" s="181"/>
      <c r="AO233" s="181"/>
      <c r="AP233" s="181"/>
      <c r="AQ233" s="181"/>
      <c r="AR233" s="181"/>
      <c r="AS233" s="181"/>
      <c r="AT233" s="181"/>
      <c r="AU233" s="181"/>
      <c r="AV233" s="181"/>
      <c r="AW233" s="181"/>
    </row>
    <row r="234" spans="1:49" s="545" customFormat="1" ht="13.5" customHeight="1" x14ac:dyDescent="0.25">
      <c r="A234" s="1518" t="str">
        <f>IF(COUNTIF('04 - 95% CD'!D234:G234,"Y")&gt;0,"Y",IF(COUNTIF('04 - 95% CD'!D234:G234,"N"),"N",""))</f>
        <v>Y</v>
      </c>
      <c r="B234" s="554"/>
      <c r="C234" s="944"/>
      <c r="D234" s="463"/>
      <c r="E234" s="463"/>
      <c r="F234" s="359" t="str">
        <f>IF('C-Design&amp;Const'!$Q234="","",'C-Design&amp;Const'!$Q234)</f>
        <v>Y</v>
      </c>
      <c r="G234" s="291"/>
      <c r="H234" s="469" t="str">
        <f>CONCATENATE(IF(F234="N","PLACEHOLDER ROW - ",""),'C-Design&amp;Const'!Z234,IF(F234="N","",J234))</f>
        <v>Architectural Symbols, Abbreviations, and General Notes (Complete)</v>
      </c>
      <c r="I234" s="552"/>
      <c r="J234" s="578" t="str">
        <f>IF('C-Design&amp;Const'!AI234="","",'C-Design&amp;Const'!AI234)</f>
        <v>(Complete)</v>
      </c>
      <c r="K234" s="285" t="str">
        <f>IF((COUNTIF(D234:G234,"Y")=COUNTIF('04 - 95% CD'!A234,"Y")),"match","no 95% match")</f>
        <v>no 95% match</v>
      </c>
      <c r="L234" s="1410" t="str">
        <f t="shared" si="9"/>
        <v/>
      </c>
      <c r="M234" s="1382"/>
      <c r="N234" s="1382"/>
      <c r="O234" s="1382"/>
      <c r="P234" s="1382"/>
      <c r="Q234" s="1382"/>
      <c r="R234" s="1382"/>
      <c r="S234" s="1382"/>
      <c r="T234" s="1382"/>
      <c r="U234" s="1382"/>
      <c r="V234" s="1382"/>
      <c r="W234" s="1382"/>
      <c r="X234" s="1382"/>
      <c r="Y234" s="1382"/>
      <c r="Z234" s="1382"/>
      <c r="AA234" s="1382"/>
      <c r="AB234" s="1382"/>
      <c r="AC234" s="1382"/>
      <c r="AD234" s="1382"/>
      <c r="AE234" s="1382"/>
      <c r="AF234" s="1382"/>
      <c r="AG234" s="1382"/>
      <c r="AH234" s="1382"/>
      <c r="AI234" s="1382"/>
      <c r="AJ234" s="1382"/>
      <c r="AK234" s="551"/>
      <c r="AL234" s="551"/>
      <c r="AM234" s="551"/>
      <c r="AN234" s="551"/>
      <c r="AO234" s="551"/>
      <c r="AP234" s="551"/>
      <c r="AQ234" s="551"/>
      <c r="AR234" s="551"/>
      <c r="AS234" s="551"/>
      <c r="AT234" s="551"/>
      <c r="AU234" s="551"/>
      <c r="AV234" s="551"/>
      <c r="AW234" s="551"/>
    </row>
    <row r="235" spans="1:49" s="30" customFormat="1" ht="13.5" customHeight="1" x14ac:dyDescent="0.25">
      <c r="A235" s="1518" t="str">
        <f>IF(COUNTIF('04 - 95% CD'!D235:G235,"Y")&gt;0,"Y",IF(COUNTIF('04 - 95% CD'!D235:G235,"N"),"N",""))</f>
        <v>N</v>
      </c>
      <c r="B235" s="191"/>
      <c r="C235" s="944"/>
      <c r="D235" s="463"/>
      <c r="E235" s="463"/>
      <c r="F235" s="359" t="str">
        <f>IF('C-Design&amp;Const'!$Q235="","",'C-Design&amp;Const'!$Q235)</f>
        <v>N</v>
      </c>
      <c r="G235" s="291"/>
      <c r="H235" s="469" t="str">
        <f>CONCATENATE(IF(F235="N","PLACEHOLDER ROW - ",""),'C-Design&amp;Const'!Z235,IF(F235="N","",J235))</f>
        <v xml:space="preserve">PLACEHOLDER ROW - Renderings </v>
      </c>
      <c r="I235" s="184"/>
      <c r="J235" s="578" t="str">
        <f>IF('C-Design&amp;Const'!AI235="","",'C-Design&amp;Const'!AI235)</f>
        <v>(Complete)</v>
      </c>
      <c r="K235" s="285" t="str">
        <f>IF((COUNTIF(D235:G235,"Y")=COUNTIF('04 - 95% CD'!A235,"Y")),"match","no 95% match")</f>
        <v>match</v>
      </c>
      <c r="L235" s="1410" t="str">
        <f t="shared" si="9"/>
        <v>&lt;---PM/Planner may hide PLACEHOLDER ROW</v>
      </c>
      <c r="M235" s="1382"/>
      <c r="N235" s="1382"/>
      <c r="O235" s="1382"/>
      <c r="P235" s="1382"/>
      <c r="Q235" s="1382"/>
      <c r="R235" s="1382"/>
      <c r="S235" s="1382"/>
      <c r="T235" s="1382"/>
      <c r="U235" s="1382"/>
      <c r="V235" s="1382"/>
      <c r="W235" s="1382"/>
      <c r="X235" s="1382"/>
      <c r="Y235" s="1382"/>
      <c r="Z235" s="1382"/>
      <c r="AA235" s="1382"/>
      <c r="AB235" s="1382"/>
      <c r="AC235" s="1382"/>
      <c r="AD235" s="1382"/>
      <c r="AE235" s="1382"/>
      <c r="AF235" s="1382"/>
      <c r="AG235" s="1382"/>
      <c r="AH235" s="1382"/>
      <c r="AI235" s="1382"/>
      <c r="AJ235" s="1382"/>
      <c r="AK235" s="181"/>
      <c r="AL235" s="181"/>
      <c r="AM235" s="181"/>
      <c r="AN235" s="181"/>
      <c r="AO235" s="181"/>
      <c r="AP235" s="181"/>
      <c r="AQ235" s="181"/>
      <c r="AR235" s="181"/>
      <c r="AS235" s="181"/>
      <c r="AT235" s="181"/>
      <c r="AU235" s="181"/>
      <c r="AV235" s="181"/>
      <c r="AW235" s="181"/>
    </row>
    <row r="236" spans="1:49" s="545" customFormat="1" ht="13.5" customHeight="1" x14ac:dyDescent="0.25">
      <c r="A236" s="1518" t="str">
        <f>IF(COUNTIF('04 - 95% CD'!D236:G236,"Y")&gt;0,"Y",IF(COUNTIF('04 - 95% CD'!D236:G236,"N"),"N",""))</f>
        <v>Y</v>
      </c>
      <c r="B236" s="554"/>
      <c r="C236" s="944"/>
      <c r="D236" s="463"/>
      <c r="E236" s="463"/>
      <c r="F236" s="359" t="str">
        <f>IF('C-Design&amp;Const'!$Q236="","",'C-Design&amp;Const'!$Q236)</f>
        <v>Y</v>
      </c>
      <c r="G236" s="291"/>
      <c r="H236" s="469" t="str">
        <f>CONCATENATE(IF(F236="N","PLACEHOLDER ROW - ",""),'C-Design&amp;Const'!Z236,IF(F236="N","",J236))</f>
        <v>Demolition(s) (Complete)</v>
      </c>
      <c r="I236" s="552"/>
      <c r="J236" s="578" t="str">
        <f>IF('C-Design&amp;Const'!AI236="","",'C-Design&amp;Const'!AI236)</f>
        <v>(Complete)</v>
      </c>
      <c r="K236" s="285" t="str">
        <f>IF((COUNTIF(D236:G236,"Y")=COUNTIF('04 - 95% CD'!A236,"Y")),"match","no 95% match")</f>
        <v>match</v>
      </c>
      <c r="L236" s="1410" t="str">
        <f t="shared" ref="L236" si="14">CONCATENATE(IF(ISNUMBER(SEARCH("Placeholder",H236))=TRUE,"&lt;---PM/Planner may hide PLACEHOLDER ROW",""))</f>
        <v/>
      </c>
      <c r="M236" s="1382"/>
      <c r="N236" s="1382"/>
      <c r="O236" s="1382"/>
      <c r="P236" s="1382"/>
      <c r="Q236" s="1382"/>
      <c r="R236" s="1382"/>
      <c r="S236" s="1382"/>
      <c r="T236" s="1382"/>
      <c r="U236" s="1382"/>
      <c r="V236" s="1382"/>
      <c r="W236" s="1382"/>
      <c r="X236" s="1382"/>
      <c r="Y236" s="1382"/>
      <c r="Z236" s="1382"/>
      <c r="AA236" s="1382"/>
      <c r="AB236" s="1382"/>
      <c r="AC236" s="1382"/>
      <c r="AD236" s="1382"/>
      <c r="AE236" s="1382"/>
      <c r="AF236" s="1382"/>
      <c r="AG236" s="1382"/>
      <c r="AH236" s="1382"/>
      <c r="AI236" s="1382"/>
      <c r="AJ236" s="1382"/>
      <c r="AK236" s="551"/>
      <c r="AL236" s="551"/>
      <c r="AM236" s="551"/>
      <c r="AN236" s="551"/>
      <c r="AO236" s="551"/>
      <c r="AP236" s="551"/>
      <c r="AQ236" s="551"/>
      <c r="AR236" s="551"/>
      <c r="AS236" s="551"/>
      <c r="AT236" s="551"/>
      <c r="AU236" s="551"/>
      <c r="AV236" s="551"/>
      <c r="AW236" s="551"/>
    </row>
    <row r="237" spans="1:49" s="17" customFormat="1" x14ac:dyDescent="0.25">
      <c r="A237" s="1518" t="str">
        <f>IF(COUNTIF('04 - 95% CD'!D237:G237,"Y")&gt;0,"Y",IF(COUNTIF('04 - 95% CD'!D237:G237,"N"),"N",""))</f>
        <v>Y</v>
      </c>
      <c r="B237" s="141"/>
      <c r="C237" s="944"/>
      <c r="D237" s="411"/>
      <c r="E237" s="321"/>
      <c r="F237" s="559" t="str">
        <f>IF('C-Design&amp;Const'!$Q237="","",'C-Design&amp;Const'!$Q237)</f>
        <v>Y</v>
      </c>
      <c r="G237" s="485"/>
      <c r="H237" s="243" t="str">
        <f>CONCATENATE(IF(F237="N","PLACEHOLDER ROW - ",""),'C-Design&amp;Const'!Z237,IF(F237="N","",J237))</f>
        <v>Floor Plans - Large Scale (Complete)</v>
      </c>
      <c r="I237" s="151"/>
      <c r="J237" s="578" t="str">
        <f>IF('C-Design&amp;Const'!AI237="","",'C-Design&amp;Const'!AI237)</f>
        <v>(Complete)</v>
      </c>
      <c r="K237" s="285" t="str">
        <f>IF((COUNTIF(D237:G237,"Y")=COUNTIF('04 - 95% CD'!A237,"Y")),"match","no 95% match")</f>
        <v>match</v>
      </c>
      <c r="L237" s="1410" t="str">
        <f>CONCATENATE(IF(ISNUMBER(SEARCH("Placeholder",H237))=TRUE,"&lt;---PM/Planner may hide PLACEHOLDER ROW",""))</f>
        <v/>
      </c>
      <c r="M237" s="1333"/>
      <c r="N237" s="1333"/>
      <c r="O237" s="1333"/>
      <c r="P237" s="1333"/>
      <c r="Q237" s="1333"/>
      <c r="R237" s="1453"/>
      <c r="S237" s="1364"/>
      <c r="T237" s="1404"/>
      <c r="U237" s="1333"/>
      <c r="V237" s="1333"/>
      <c r="W237" s="1333"/>
      <c r="X237" s="1333"/>
      <c r="Y237" s="1333"/>
      <c r="Z237" s="1333"/>
      <c r="AA237" s="1333"/>
      <c r="AB237" s="1333"/>
      <c r="AC237" s="1333"/>
      <c r="AD237" s="1333"/>
      <c r="AE237" s="1333"/>
      <c r="AF237" s="1333"/>
      <c r="AG237" s="1333"/>
      <c r="AH237" s="1333"/>
      <c r="AI237" s="1333"/>
      <c r="AJ237" s="1333"/>
    </row>
    <row r="238" spans="1:49" s="17" customFormat="1" x14ac:dyDescent="0.25">
      <c r="A238" s="1518" t="str">
        <f>IF(COUNTIF('04 - 95% CD'!D238:G238,"Y")&gt;0,"Y",IF(COUNTIF('04 - 95% CD'!D238:G238,"N"),"N",""))</f>
        <v>Y</v>
      </c>
      <c r="B238" s="141"/>
      <c r="C238" s="944"/>
      <c r="D238" s="411"/>
      <c r="E238" s="321"/>
      <c r="F238" s="559" t="str">
        <f>IF('C-Design&amp;Const'!$Q238="","",'C-Design&amp;Const'!$Q238)</f>
        <v>Y</v>
      </c>
      <c r="G238" s="485"/>
      <c r="H238" s="243" t="str">
        <f>CONCATENATE(IF(F238="N","PLACEHOLDER ROW - ",""),'C-Design&amp;Const'!Z238,IF(F238="N","",J238))</f>
        <v>Floor Plans (Complete)</v>
      </c>
      <c r="I238" s="151"/>
      <c r="J238" s="578" t="str">
        <f>IF('C-Design&amp;Const'!AI238="","",'C-Design&amp;Const'!AI238)</f>
        <v>(Complete)</v>
      </c>
      <c r="K238" s="285" t="str">
        <f>IF((COUNTIF(D238:G238,"Y")=COUNTIF('04 - 95% CD'!A238,"Y")),"match","no 95% match")</f>
        <v>match</v>
      </c>
      <c r="L238" s="1410" t="str">
        <f t="shared" si="9"/>
        <v/>
      </c>
      <c r="M238" s="1333"/>
      <c r="N238" s="1333"/>
      <c r="O238" s="1333"/>
      <c r="P238" s="1333"/>
      <c r="Q238" s="1333"/>
      <c r="R238" s="1453"/>
      <c r="S238" s="1364"/>
      <c r="T238" s="1404"/>
      <c r="U238" s="1333"/>
      <c r="V238" s="1333"/>
      <c r="W238" s="1333"/>
      <c r="X238" s="1333"/>
      <c r="Y238" s="1333"/>
      <c r="Z238" s="1333"/>
      <c r="AA238" s="1333"/>
      <c r="AB238" s="1333"/>
      <c r="AC238" s="1333"/>
      <c r="AD238" s="1333"/>
      <c r="AE238" s="1333"/>
      <c r="AF238" s="1333"/>
      <c r="AG238" s="1333"/>
      <c r="AH238" s="1333"/>
      <c r="AI238" s="1333"/>
      <c r="AJ238" s="1333"/>
    </row>
    <row r="239" spans="1:49" s="17" customFormat="1" x14ac:dyDescent="0.25">
      <c r="A239" s="1518" t="str">
        <f>IF(COUNTIF('04 - 95% CD'!D239:G239,"Y")&gt;0,"Y",IF(COUNTIF('04 - 95% CD'!D239:G239,"N"),"N",""))</f>
        <v>Y</v>
      </c>
      <c r="B239" s="141"/>
      <c r="C239" s="944"/>
      <c r="D239" s="411"/>
      <c r="E239" s="321"/>
      <c r="F239" s="559" t="str">
        <f>IF('C-Design&amp;Const'!$Q239="","",'C-Design&amp;Const'!$Q239)</f>
        <v>Y</v>
      </c>
      <c r="G239" s="485"/>
      <c r="H239" s="243" t="str">
        <f>CONCATENATE(IF(F239="N","PLACEHOLDER ROW - ",""),'C-Design&amp;Const'!Z239,IF(F239="N","",J239))</f>
        <v>Roof Plan (Complete)</v>
      </c>
      <c r="I239" s="151"/>
      <c r="J239" s="578" t="str">
        <f>IF('C-Design&amp;Const'!AI239="","",'C-Design&amp;Const'!AI239)</f>
        <v>(Complete)</v>
      </c>
      <c r="K239" s="285" t="str">
        <f>IF((COUNTIF(D239:G239,"Y")=COUNTIF('04 - 95% CD'!A239,"Y")),"match","no 95% match")</f>
        <v>match</v>
      </c>
      <c r="L239" s="1410" t="str">
        <f t="shared" si="9"/>
        <v/>
      </c>
      <c r="M239" s="1333"/>
      <c r="N239" s="1333"/>
      <c r="O239" s="1333"/>
      <c r="P239" s="1333"/>
      <c r="Q239" s="1333"/>
      <c r="R239" s="1453"/>
      <c r="S239" s="1364"/>
      <c r="T239" s="1404"/>
      <c r="U239" s="1333"/>
      <c r="V239" s="1333"/>
      <c r="W239" s="1333"/>
      <c r="X239" s="1333"/>
      <c r="Y239" s="1333"/>
      <c r="Z239" s="1333"/>
      <c r="AA239" s="1333"/>
      <c r="AB239" s="1333"/>
      <c r="AC239" s="1333"/>
      <c r="AD239" s="1333"/>
      <c r="AE239" s="1333"/>
      <c r="AF239" s="1333"/>
      <c r="AG239" s="1333"/>
      <c r="AH239" s="1333"/>
      <c r="AI239" s="1333"/>
      <c r="AJ239" s="1333"/>
    </row>
    <row r="240" spans="1:49" s="17" customFormat="1" x14ac:dyDescent="0.25">
      <c r="A240" s="1518" t="str">
        <f>IF(COUNTIF('04 - 95% CD'!D240:G240,"Y")&gt;0,"Y",IF(COUNTIF('04 - 95% CD'!D240:G240,"N"),"N",""))</f>
        <v>Y</v>
      </c>
      <c r="B240" s="141"/>
      <c r="C240" s="944"/>
      <c r="D240" s="411"/>
      <c r="E240" s="321"/>
      <c r="F240" s="559" t="str">
        <f>IF('C-Design&amp;Const'!$Q240="","",'C-Design&amp;Const'!$Q240)</f>
        <v>Y</v>
      </c>
      <c r="G240" s="485"/>
      <c r="H240" s="243" t="str">
        <f>CONCATENATE(IF(F240="N","PLACEHOLDER ROW - ",""),'C-Design&amp;Const'!Z240,IF(F240="N","",J240))</f>
        <v>Building Elevations - Exterior (Complete)</v>
      </c>
      <c r="I240" s="151"/>
      <c r="J240" s="578" t="str">
        <f>IF('C-Design&amp;Const'!AI240="","",'C-Design&amp;Const'!AI240)</f>
        <v>(Complete)</v>
      </c>
      <c r="K240" s="285" t="str">
        <f>IF((COUNTIF(D240:G240,"Y")=COUNTIF('04 - 95% CD'!A240,"Y")),"match","no 95% match")</f>
        <v>match</v>
      </c>
      <c r="L240" s="1410" t="str">
        <f t="shared" si="9"/>
        <v/>
      </c>
      <c r="M240" s="1333"/>
      <c r="N240" s="1333"/>
      <c r="O240" s="1333"/>
      <c r="P240" s="1333"/>
      <c r="Q240" s="1333"/>
      <c r="R240" s="1453"/>
      <c r="S240" s="1364"/>
      <c r="T240" s="1404"/>
      <c r="U240" s="1333"/>
      <c r="V240" s="1333"/>
      <c r="W240" s="1333"/>
      <c r="X240" s="1333"/>
      <c r="Y240" s="1333"/>
      <c r="Z240" s="1333"/>
      <c r="AA240" s="1333"/>
      <c r="AB240" s="1333"/>
      <c r="AC240" s="1333"/>
      <c r="AD240" s="1333"/>
      <c r="AE240" s="1333"/>
      <c r="AF240" s="1333"/>
      <c r="AG240" s="1333"/>
      <c r="AH240" s="1333"/>
      <c r="AI240" s="1333"/>
      <c r="AJ240" s="1333"/>
    </row>
    <row r="241" spans="1:49" s="17" customFormat="1" x14ac:dyDescent="0.25">
      <c r="A241" s="1518" t="str">
        <f>IF(COUNTIF('04 - 95% CD'!D241:G241,"Y")&gt;0,"Y",IF(COUNTIF('04 - 95% CD'!D241:G241,"N"),"N",""))</f>
        <v>Y</v>
      </c>
      <c r="B241" s="141"/>
      <c r="C241" s="944"/>
      <c r="D241" s="411"/>
      <c r="E241" s="321"/>
      <c r="F241" s="559" t="str">
        <f>IF('C-Design&amp;Const'!$Q241="","",'C-Design&amp;Const'!$Q241)</f>
        <v>Y</v>
      </c>
      <c r="G241" s="485"/>
      <c r="H241" s="243" t="str">
        <f>CONCATENATE(IF(F241="N","PLACEHOLDER ROW - ",""),'C-Design&amp;Const'!Z241,IF(F241="N","",J241))</f>
        <v>Transverse and Longitudinal Sections (Complete)</v>
      </c>
      <c r="I241" s="151"/>
      <c r="J241" s="578" t="str">
        <f>IF('C-Design&amp;Const'!AI241="","",'C-Design&amp;Const'!AI241)</f>
        <v>(Complete)</v>
      </c>
      <c r="K241" s="285" t="str">
        <f>IF((COUNTIF(D241:G241,"Y")=COUNTIF('04 - 95% CD'!A241,"Y")),"match","no 95% match")</f>
        <v>match</v>
      </c>
      <c r="L241" s="1410" t="str">
        <f t="shared" si="9"/>
        <v/>
      </c>
      <c r="M241" s="1333"/>
      <c r="N241" s="1333"/>
      <c r="O241" s="1333"/>
      <c r="P241" s="1333"/>
      <c r="Q241" s="1333"/>
      <c r="R241" s="1453"/>
      <c r="S241" s="1364"/>
      <c r="T241" s="1404"/>
      <c r="U241" s="1333"/>
      <c r="V241" s="1333"/>
      <c r="W241" s="1333"/>
      <c r="X241" s="1333"/>
      <c r="Y241" s="1333"/>
      <c r="Z241" s="1333"/>
      <c r="AA241" s="1333"/>
      <c r="AB241" s="1333"/>
      <c r="AC241" s="1333"/>
      <c r="AD241" s="1333"/>
      <c r="AE241" s="1333"/>
      <c r="AF241" s="1333"/>
      <c r="AG241" s="1333"/>
      <c r="AH241" s="1333"/>
      <c r="AI241" s="1333"/>
      <c r="AJ241" s="1333"/>
    </row>
    <row r="242" spans="1:49" s="17" customFormat="1" x14ac:dyDescent="0.25">
      <c r="A242" s="1518" t="str">
        <f>IF(COUNTIF('04 - 95% CD'!D242:G242,"Y")&gt;0,"Y",IF(COUNTIF('04 - 95% CD'!D242:G242,"N"),"N",""))</f>
        <v>Y</v>
      </c>
      <c r="B242" s="141"/>
      <c r="C242" s="944"/>
      <c r="D242" s="411"/>
      <c r="E242" s="321"/>
      <c r="F242" s="559" t="str">
        <f>IF('C-Design&amp;Const'!$Q242="","",'C-Design&amp;Const'!$Q242)</f>
        <v>Y</v>
      </c>
      <c r="G242" s="485"/>
      <c r="H242" s="243" t="str">
        <f>CONCATENATE(IF(F242="N","PLACEHOLDER ROW - ",""),'C-Design&amp;Const'!Z242,IF(F242="N","",J242))</f>
        <v>Wall Sections - All Major Exterior (Complete)</v>
      </c>
      <c r="I242" s="151"/>
      <c r="J242" s="578" t="str">
        <f>IF('C-Design&amp;Const'!AI242="","",'C-Design&amp;Const'!AI242)</f>
        <v>(Complete)</v>
      </c>
      <c r="K242" s="285" t="str">
        <f>IF((COUNTIF(D242:G242,"Y")=COUNTIF('04 - 95% CD'!A242,"Y")),"match","no 95% match")</f>
        <v>match</v>
      </c>
      <c r="L242" s="1410" t="str">
        <f t="shared" si="9"/>
        <v/>
      </c>
      <c r="M242" s="1333"/>
      <c r="N242" s="1333"/>
      <c r="O242" s="1333"/>
      <c r="P242" s="1333"/>
      <c r="Q242" s="1333"/>
      <c r="R242" s="1453"/>
      <c r="S242" s="1364"/>
      <c r="T242" s="1404"/>
      <c r="U242" s="1333"/>
      <c r="V242" s="1333"/>
      <c r="W242" s="1333"/>
      <c r="X242" s="1333"/>
      <c r="Y242" s="1333"/>
      <c r="Z242" s="1333"/>
      <c r="AA242" s="1333"/>
      <c r="AB242" s="1333"/>
      <c r="AC242" s="1333"/>
      <c r="AD242" s="1333"/>
      <c r="AE242" s="1333"/>
      <c r="AF242" s="1333"/>
      <c r="AG242" s="1333"/>
      <c r="AH242" s="1333"/>
      <c r="AI242" s="1333"/>
      <c r="AJ242" s="1333"/>
    </row>
    <row r="243" spans="1:49" s="30" customFormat="1" ht="13.5" customHeight="1" x14ac:dyDescent="0.25">
      <c r="A243" s="1518" t="str">
        <f>IF(COUNTIF('04 - 95% CD'!D243:G243,"Y")&gt;0,"Y",IF(COUNTIF('04 - 95% CD'!D243:G243,"N"),"N",""))</f>
        <v>Y</v>
      </c>
      <c r="B243" s="191"/>
      <c r="C243" s="944"/>
      <c r="D243" s="463"/>
      <c r="E243" s="463"/>
      <c r="F243" s="359" t="str">
        <f>IF('C-Design&amp;Const'!$Q243="","",'C-Design&amp;Const'!$Q243)</f>
        <v>Y</v>
      </c>
      <c r="G243" s="291"/>
      <c r="H243" s="469" t="str">
        <f>CONCATENATE(IF(F243="N","PLACEHOLDER ROW - ",""),'C-Design&amp;Const'!Z243,IF(F243="N","",J243))</f>
        <v>Partial Sections and Details (Complete)</v>
      </c>
      <c r="I243" s="184"/>
      <c r="J243" s="578" t="str">
        <f>IF('C-Design&amp;Const'!AI243="","",'C-Design&amp;Const'!AI243)</f>
        <v>(Complete)</v>
      </c>
      <c r="K243" s="285" t="str">
        <f>IF((COUNTIF(D243:G243,"Y")=COUNTIF('04 - 95% CD'!A243,"Y")),"match","no 95% match")</f>
        <v>match</v>
      </c>
      <c r="L243" s="1410" t="str">
        <f t="shared" si="9"/>
        <v/>
      </c>
      <c r="M243" s="1382"/>
      <c r="N243" s="1382"/>
      <c r="O243" s="1382"/>
      <c r="P243" s="1382"/>
      <c r="Q243" s="1382"/>
      <c r="R243" s="1382"/>
      <c r="S243" s="1382"/>
      <c r="T243" s="1382"/>
      <c r="U243" s="1382"/>
      <c r="V243" s="1382"/>
      <c r="W243" s="1382"/>
      <c r="X243" s="1382"/>
      <c r="Y243" s="1382"/>
      <c r="Z243" s="1382"/>
      <c r="AA243" s="1382"/>
      <c r="AB243" s="1382"/>
      <c r="AC243" s="1382"/>
      <c r="AD243" s="1382"/>
      <c r="AE243" s="1382"/>
      <c r="AF243" s="1382"/>
      <c r="AG243" s="1382"/>
      <c r="AH243" s="1382"/>
      <c r="AI243" s="1382"/>
      <c r="AJ243" s="1382"/>
      <c r="AK243" s="181"/>
      <c r="AL243" s="181"/>
      <c r="AM243" s="181"/>
      <c r="AN243" s="181"/>
      <c r="AO243" s="181"/>
      <c r="AP243" s="181"/>
      <c r="AQ243" s="181"/>
      <c r="AR243" s="181"/>
      <c r="AS243" s="181"/>
      <c r="AT243" s="181"/>
      <c r="AU243" s="181"/>
      <c r="AV243" s="181"/>
      <c r="AW243" s="181"/>
    </row>
    <row r="244" spans="1:49" s="30" customFormat="1" ht="13.5" customHeight="1" x14ac:dyDescent="0.25">
      <c r="A244" s="1518" t="str">
        <f>IF(COUNTIF('04 - 95% CD'!D244:G244,"Y")&gt;0,"Y",IF(COUNTIF('04 - 95% CD'!D244:G244,"N"),"N",""))</f>
        <v>Y</v>
      </c>
      <c r="B244" s="191"/>
      <c r="C244" s="944"/>
      <c r="D244" s="463"/>
      <c r="E244" s="463"/>
      <c r="F244" s="359" t="str">
        <f>IF('C-Design&amp;Const'!$Q244="","",'C-Design&amp;Const'!$Q244)</f>
        <v>Y</v>
      </c>
      <c r="G244" s="291"/>
      <c r="H244" s="469" t="str">
        <f>CONCATENATE(IF(F244="N","PLACEHOLDER ROW - ",""),'C-Design&amp;Const'!Z244,IF(F244="N","",J244))</f>
        <v>Wall / Window Details (Complete)</v>
      </c>
      <c r="I244" s="184"/>
      <c r="J244" s="578" t="str">
        <f>IF('C-Design&amp;Const'!AI244="","",'C-Design&amp;Const'!AI244)</f>
        <v>(Complete)</v>
      </c>
      <c r="K244" s="285" t="str">
        <f>IF((COUNTIF(D244:G244,"Y")=COUNTIF('04 - 95% CD'!A244,"Y")),"match","no 95% match")</f>
        <v>match</v>
      </c>
      <c r="L244" s="1410" t="str">
        <f t="shared" si="9"/>
        <v/>
      </c>
      <c r="M244" s="1382"/>
      <c r="N244" s="1382"/>
      <c r="O244" s="1382"/>
      <c r="P244" s="1382"/>
      <c r="Q244" s="1382"/>
      <c r="R244" s="1382"/>
      <c r="S244" s="1382"/>
      <c r="T244" s="1382"/>
      <c r="U244" s="1382"/>
      <c r="V244" s="1382"/>
      <c r="W244" s="1382"/>
      <c r="X244" s="1382"/>
      <c r="Y244" s="1382"/>
      <c r="Z244" s="1382"/>
      <c r="AA244" s="1382"/>
      <c r="AB244" s="1382"/>
      <c r="AC244" s="1382"/>
      <c r="AD244" s="1382"/>
      <c r="AE244" s="1382"/>
      <c r="AF244" s="1382"/>
      <c r="AG244" s="1382"/>
      <c r="AH244" s="1382"/>
      <c r="AI244" s="1382"/>
      <c r="AJ244" s="1382"/>
      <c r="AK244" s="181"/>
      <c r="AL244" s="181"/>
      <c r="AM244" s="181"/>
      <c r="AN244" s="181"/>
      <c r="AO244" s="181"/>
      <c r="AP244" s="181"/>
      <c r="AQ244" s="181"/>
      <c r="AR244" s="181"/>
      <c r="AS244" s="181"/>
      <c r="AT244" s="181"/>
      <c r="AU244" s="181"/>
      <c r="AV244" s="181"/>
      <c r="AW244" s="181"/>
    </row>
    <row r="245" spans="1:49" s="30" customFormat="1" ht="13.5" customHeight="1" x14ac:dyDescent="0.25">
      <c r="A245" s="1518" t="str">
        <f>IF(COUNTIF('04 - 95% CD'!D245:G245,"Y")&gt;0,"Y",IF(COUNTIF('04 - 95% CD'!D245:G245,"N"),"N",""))</f>
        <v>Y</v>
      </c>
      <c r="B245" s="191"/>
      <c r="C245" s="944"/>
      <c r="D245" s="463"/>
      <c r="E245" s="463"/>
      <c r="F245" s="359" t="str">
        <f>IF('C-Design&amp;Const'!$Q245="","",'C-Design&amp;Const'!$Q245)</f>
        <v>Y</v>
      </c>
      <c r="G245" s="291"/>
      <c r="H245" s="469" t="str">
        <f>CONCATENATE(IF(F245="N","PLACEHOLDER ROW - ",""),'C-Design&amp;Const'!Z245,IF(F245="N","",J245))</f>
        <v>Sections through Elevators (Complete)</v>
      </c>
      <c r="I245" s="184"/>
      <c r="J245" s="578" t="str">
        <f>IF('C-Design&amp;Const'!AI245="","",'C-Design&amp;Const'!AI245)</f>
        <v>(Complete)</v>
      </c>
      <c r="K245" s="285" t="str">
        <f>IF((COUNTIF(D245:G245,"Y")=COUNTIF('04 - 95% CD'!A245,"Y")),"match","no 95% match")</f>
        <v>match</v>
      </c>
      <c r="L245" s="1410" t="str">
        <f t="shared" si="9"/>
        <v/>
      </c>
      <c r="M245" s="1382"/>
      <c r="N245" s="1382"/>
      <c r="O245" s="1382"/>
      <c r="P245" s="1382"/>
      <c r="Q245" s="1382"/>
      <c r="R245" s="1382"/>
      <c r="S245" s="1382"/>
      <c r="T245" s="1382"/>
      <c r="U245" s="1382"/>
      <c r="V245" s="1382"/>
      <c r="W245" s="1382"/>
      <c r="X245" s="1382"/>
      <c r="Y245" s="1382"/>
      <c r="Z245" s="1382"/>
      <c r="AA245" s="1382"/>
      <c r="AB245" s="1382"/>
      <c r="AC245" s="1382"/>
      <c r="AD245" s="1382"/>
      <c r="AE245" s="1382"/>
      <c r="AF245" s="1382"/>
      <c r="AG245" s="1382"/>
      <c r="AH245" s="1382"/>
      <c r="AI245" s="1382"/>
      <c r="AJ245" s="1382"/>
      <c r="AK245" s="181"/>
      <c r="AL245" s="181"/>
      <c r="AM245" s="181"/>
      <c r="AN245" s="181"/>
      <c r="AO245" s="181"/>
      <c r="AP245" s="181"/>
      <c r="AQ245" s="181"/>
      <c r="AR245" s="181"/>
      <c r="AS245" s="181"/>
      <c r="AT245" s="181"/>
      <c r="AU245" s="181"/>
      <c r="AV245" s="181"/>
      <c r="AW245" s="181"/>
    </row>
    <row r="246" spans="1:49" s="17" customFormat="1" x14ac:dyDescent="0.25">
      <c r="A246" s="1518" t="str">
        <f>IF(COUNTIF('04 - 95% CD'!D246:G246,"Y")&gt;0,"Y",IF(COUNTIF('04 - 95% CD'!D246:G246,"N"),"N",""))</f>
        <v>Y</v>
      </c>
      <c r="B246" s="141"/>
      <c r="C246" s="944"/>
      <c r="D246" s="411"/>
      <c r="E246" s="321"/>
      <c r="F246" s="559" t="str">
        <f>IF('C-Design&amp;Const'!$Q246="","",'C-Design&amp;Const'!$Q246)</f>
        <v>Y</v>
      </c>
      <c r="G246" s="485"/>
      <c r="H246" s="243" t="str">
        <f>CONCATENATE(IF(F246="N","PLACEHOLDER ROW - ",""),'C-Design&amp;Const'!Z246,IF(F246="N","",J246))</f>
        <v>Exterior Wall and Roof Details (Complete)</v>
      </c>
      <c r="I246" s="151"/>
      <c r="J246" s="578" t="str">
        <f>IF('C-Design&amp;Const'!AI246="","",'C-Design&amp;Const'!AI246)</f>
        <v>(Complete)</v>
      </c>
      <c r="K246" s="285" t="str">
        <f>IF((COUNTIF(D246:G246,"Y")=COUNTIF('04 - 95% CD'!A246,"Y")),"match","no 95% match")</f>
        <v>match</v>
      </c>
      <c r="L246" s="1410" t="str">
        <f t="shared" si="9"/>
        <v/>
      </c>
      <c r="M246" s="1333"/>
      <c r="N246" s="1333"/>
      <c r="O246" s="1333"/>
      <c r="P246" s="1333"/>
      <c r="Q246" s="1333"/>
      <c r="R246" s="1453"/>
      <c r="S246" s="1364"/>
      <c r="T246" s="1404"/>
      <c r="U246" s="1333"/>
      <c r="V246" s="1333"/>
      <c r="W246" s="1333"/>
      <c r="X246" s="1333"/>
      <c r="Y246" s="1333"/>
      <c r="Z246" s="1333"/>
      <c r="AA246" s="1333"/>
      <c r="AB246" s="1333"/>
      <c r="AC246" s="1333"/>
      <c r="AD246" s="1333"/>
      <c r="AE246" s="1333"/>
      <c r="AF246" s="1333"/>
      <c r="AG246" s="1333"/>
      <c r="AH246" s="1333"/>
      <c r="AI246" s="1333"/>
      <c r="AJ246" s="1333"/>
    </row>
    <row r="247" spans="1:49" s="17" customFormat="1" x14ac:dyDescent="0.25">
      <c r="A247" s="1518" t="str">
        <f>IF(COUNTIF('04 - 95% CD'!D247:G247,"Y")&gt;0,"Y",IF(COUNTIF('04 - 95% CD'!D247:G247,"N"),"N",""))</f>
        <v>Y</v>
      </c>
      <c r="B247" s="141"/>
      <c r="C247" s="944"/>
      <c r="D247" s="411"/>
      <c r="E247" s="321"/>
      <c r="F247" s="559" t="str">
        <f>IF('C-Design&amp;Const'!$Q247="","",'C-Design&amp;Const'!$Q247)</f>
        <v>Y</v>
      </c>
      <c r="G247" s="485"/>
      <c r="H247" s="243" t="str">
        <f>CONCATENATE(IF(F247="N","PLACEHOLDER ROW - ",""),'C-Design&amp;Const'!Z247,IF(F247="N","",J247))</f>
        <v>Reflected Ceiling Plan (Complete)</v>
      </c>
      <c r="I247" s="151"/>
      <c r="J247" s="578" t="str">
        <f>IF('C-Design&amp;Const'!AI247="","",'C-Design&amp;Const'!AI247)</f>
        <v>(Complete)</v>
      </c>
      <c r="K247" s="285" t="str">
        <f>IF((COUNTIF(D247:G247,"Y")=COUNTIF('04 - 95% CD'!A247,"Y")),"match","no 95% match")</f>
        <v>match</v>
      </c>
      <c r="L247" s="1410" t="str">
        <f t="shared" si="9"/>
        <v/>
      </c>
      <c r="M247" s="1333"/>
      <c r="N247" s="1333"/>
      <c r="O247" s="1333"/>
      <c r="P247" s="1333"/>
      <c r="Q247" s="1333"/>
      <c r="R247" s="1453"/>
      <c r="S247" s="1364"/>
      <c r="T247" s="1404"/>
      <c r="U247" s="1333"/>
      <c r="V247" s="1333"/>
      <c r="W247" s="1333"/>
      <c r="X247" s="1333"/>
      <c r="Y247" s="1333"/>
      <c r="Z247" s="1333"/>
      <c r="AA247" s="1333"/>
      <c r="AB247" s="1333"/>
      <c r="AC247" s="1333"/>
      <c r="AD247" s="1333"/>
      <c r="AE247" s="1333"/>
      <c r="AF247" s="1333"/>
      <c r="AG247" s="1333"/>
      <c r="AH247" s="1333"/>
      <c r="AI247" s="1333"/>
      <c r="AJ247" s="1333"/>
    </row>
    <row r="248" spans="1:49" s="17" customFormat="1" x14ac:dyDescent="0.25">
      <c r="A248" s="1518" t="str">
        <f>IF(COUNTIF('04 - 95% CD'!D248:G248,"Y")&gt;0,"Y",IF(COUNTIF('04 - 95% CD'!D248:G248,"N"),"N",""))</f>
        <v>Y</v>
      </c>
      <c r="B248" s="141"/>
      <c r="C248" s="944"/>
      <c r="D248" s="411"/>
      <c r="E248" s="321"/>
      <c r="F248" s="559" t="str">
        <f>IF('C-Design&amp;Const'!$Q248="","",'C-Design&amp;Const'!$Q248)</f>
        <v>Y</v>
      </c>
      <c r="G248" s="485"/>
      <c r="H248" s="243" t="str">
        <f>CONCATENATE(IF(F248="N","PLACEHOLDER ROW - ",""),'C-Design&amp;Const'!Z248,IF(F248="N","",J248))</f>
        <v>Interior Elevations and Details(Complete)</v>
      </c>
      <c r="I248" s="151"/>
      <c r="J248" s="578" t="str">
        <f>IF('C-Design&amp;Const'!AI248="","",'C-Design&amp;Const'!AI248)</f>
        <v>(Complete)</v>
      </c>
      <c r="K248" s="285" t="str">
        <f>IF((COUNTIF(D248:G248,"Y")=COUNTIF('04 - 95% CD'!A248,"Y")),"match","no 95% match")</f>
        <v>match</v>
      </c>
      <c r="L248" s="1410" t="str">
        <f t="shared" si="9"/>
        <v/>
      </c>
      <c r="M248" s="1333"/>
      <c r="N248" s="1333"/>
      <c r="O248" s="1333"/>
      <c r="P248" s="1333"/>
      <c r="Q248" s="1333"/>
      <c r="R248" s="1453"/>
      <c r="S248" s="1364"/>
      <c r="T248" s="1404"/>
      <c r="U248" s="1333"/>
      <c r="V248" s="1333"/>
      <c r="W248" s="1333"/>
      <c r="X248" s="1333"/>
      <c r="Y248" s="1333"/>
      <c r="Z248" s="1333"/>
      <c r="AA248" s="1333"/>
      <c r="AB248" s="1333"/>
      <c r="AC248" s="1333"/>
      <c r="AD248" s="1333"/>
      <c r="AE248" s="1333"/>
      <c r="AF248" s="1333"/>
      <c r="AG248" s="1333"/>
      <c r="AH248" s="1333"/>
      <c r="AI248" s="1333"/>
      <c r="AJ248" s="1333"/>
    </row>
    <row r="249" spans="1:49" x14ac:dyDescent="0.25">
      <c r="A249" s="1518" t="str">
        <f>IF(COUNTIF('04 - 95% CD'!D249:G249,"Y")&gt;0,"Y",IF(COUNTIF('04 - 95% CD'!D249:G249,"N"),"N",""))</f>
        <v>Y</v>
      </c>
      <c r="B249" s="125"/>
      <c r="C249" s="944"/>
      <c r="D249" s="411"/>
      <c r="E249" s="321"/>
      <c r="F249" s="559" t="str">
        <f>IF('C-Design&amp;Const'!$Q249="","",'C-Design&amp;Const'!$Q249)</f>
        <v>Y</v>
      </c>
      <c r="G249" s="485"/>
      <c r="H249" s="243" t="str">
        <f>CONCATENATE(IF(F249="N","PLACEHOLDER ROW - ",""),'C-Design&amp;Const'!Z249,IF(F249="N","",J249))</f>
        <v>Door/Hardware; Room Finish; Window; and Equipment Schedules (Complete)</v>
      </c>
      <c r="I249" s="151"/>
      <c r="J249" s="578" t="str">
        <f>IF('C-Design&amp;Const'!AI249="","",'C-Design&amp;Const'!AI249)</f>
        <v>(Complete)</v>
      </c>
      <c r="K249" s="285" t="str">
        <f>IF((COUNTIF(D249:G249,"Y")=COUNTIF('04 - 95% CD'!A249,"Y")),"match","no 95% match")</f>
        <v>match</v>
      </c>
      <c r="L249" s="1410" t="str">
        <f t="shared" ref="L249:L326" si="15">CONCATENATE(IF(ISNUMBER(SEARCH("Placeholder",H249))=TRUE,"&lt;---PM/Planner may hide PLACEHOLDER ROW",""))</f>
        <v/>
      </c>
      <c r="M249" s="1333"/>
      <c r="N249" s="1333"/>
      <c r="O249" s="1333"/>
      <c r="P249" s="1333"/>
      <c r="Q249" s="1333"/>
      <c r="R249" s="1453"/>
      <c r="S249" s="1364"/>
      <c r="T249" s="1404"/>
      <c r="U249" s="1333"/>
      <c r="V249" s="1333"/>
      <c r="W249" s="1333"/>
      <c r="X249" s="1333"/>
      <c r="Y249" s="1333"/>
      <c r="Z249" s="1333"/>
      <c r="AA249" s="1333"/>
      <c r="AB249" s="1333"/>
      <c r="AC249" s="1333"/>
      <c r="AD249" s="1333"/>
      <c r="AE249" s="1333"/>
      <c r="AF249" s="1333"/>
      <c r="AG249" s="1333"/>
      <c r="AH249" s="1333"/>
      <c r="AI249" s="1333"/>
      <c r="AJ249" s="1333"/>
    </row>
    <row r="250" spans="1:49" x14ac:dyDescent="0.25">
      <c r="A250" s="1518" t="str">
        <f>IF(COUNTIF('04 - 95% CD'!D250:G250,"Y")&gt;0,"Y",IF(COUNTIF('04 - 95% CD'!D250:G250,"N"),"N",""))</f>
        <v>Y</v>
      </c>
      <c r="B250" s="125"/>
      <c r="C250" s="944"/>
      <c r="D250" s="411"/>
      <c r="E250" s="321"/>
      <c r="F250" s="559" t="str">
        <f>IF('C-Design&amp;Const'!$Q250="","",'C-Design&amp;Const'!$Q250)</f>
        <v>Y</v>
      </c>
      <c r="G250" s="485"/>
      <c r="H250" s="243" t="str">
        <f>CONCATENATE(IF(F250="N","PLACEHOLDER ROW - ",""),'C-Design&amp;Const'!Z250,IF(F250="N","",J250))</f>
        <v>Interior Partition Types; Door and Window Details (Complete)</v>
      </c>
      <c r="I250" s="151"/>
      <c r="J250" s="578" t="str">
        <f>IF('C-Design&amp;Const'!AI250="","",'C-Design&amp;Const'!AI250)</f>
        <v>(Complete)</v>
      </c>
      <c r="K250" s="285" t="str">
        <f>IF((COUNTIF(D250:G250,"Y")=COUNTIF('04 - 95% CD'!A250,"Y")),"match","no 95% match")</f>
        <v>match</v>
      </c>
      <c r="L250" s="1410" t="str">
        <f t="shared" si="15"/>
        <v/>
      </c>
      <c r="M250" s="1333"/>
      <c r="N250" s="1333"/>
      <c r="O250" s="1333"/>
      <c r="P250" s="1333"/>
      <c r="Q250" s="1333"/>
      <c r="R250" s="1453"/>
      <c r="S250" s="1364"/>
      <c r="T250" s="1404"/>
      <c r="U250" s="1333"/>
      <c r="V250" s="1333"/>
      <c r="W250" s="1333"/>
      <c r="X250" s="1333"/>
      <c r="Y250" s="1333"/>
      <c r="Z250" s="1333"/>
      <c r="AA250" s="1333"/>
      <c r="AB250" s="1333"/>
      <c r="AC250" s="1333"/>
      <c r="AD250" s="1333"/>
      <c r="AE250" s="1333"/>
      <c r="AF250" s="1333"/>
      <c r="AG250" s="1333"/>
      <c r="AH250" s="1333"/>
      <c r="AI250" s="1333"/>
      <c r="AJ250" s="1333"/>
    </row>
    <row r="251" spans="1:49" x14ac:dyDescent="0.25">
      <c r="A251" s="1518" t="str">
        <f>IF(COUNTIF('04 - 95% CD'!D251:G251,"Y")&gt;0,"Y",IF(COUNTIF('04 - 95% CD'!D251:G251,"N"),"N",""))</f>
        <v>Y</v>
      </c>
      <c r="B251" s="125"/>
      <c r="C251" s="944"/>
      <c r="D251" s="411"/>
      <c r="E251" s="321"/>
      <c r="F251" s="559" t="str">
        <f>IF('C-Design&amp;Const'!$Q251="","",'C-Design&amp;Const'!$Q251)</f>
        <v>Y</v>
      </c>
      <c r="G251" s="485"/>
      <c r="H251" s="243" t="str">
        <f>CONCATENATE(IF(F251="N","PLACEHOLDER ROW - ",""),'C-Design&amp;Const'!Z251,IF(F251="N","",J251))</f>
        <v>Interior Signage (Complete)</v>
      </c>
      <c r="I251" s="151"/>
      <c r="J251" s="578" t="str">
        <f>IF('C-Design&amp;Const'!AI251="","",'C-Design&amp;Const'!AI251)</f>
        <v>(Complete)</v>
      </c>
      <c r="K251" s="285" t="str">
        <f>IF((COUNTIF(D251:G251,"Y")=COUNTIF('04 - 95% CD'!A251,"Y")),"match","no 95% match")</f>
        <v>match</v>
      </c>
      <c r="L251" s="1410" t="str">
        <f t="shared" si="15"/>
        <v/>
      </c>
      <c r="M251" s="1333"/>
      <c r="N251" s="1333"/>
      <c r="O251" s="1333"/>
      <c r="P251" s="1333"/>
      <c r="Q251" s="1333"/>
      <c r="R251" s="1453"/>
      <c r="S251" s="1364"/>
      <c r="T251" s="1404"/>
      <c r="U251" s="1333"/>
      <c r="V251" s="1333"/>
      <c r="W251" s="1333"/>
      <c r="X251" s="1333"/>
      <c r="Y251" s="1333"/>
      <c r="Z251" s="1333"/>
      <c r="AA251" s="1333"/>
      <c r="AB251" s="1333"/>
      <c r="AC251" s="1333"/>
      <c r="AD251" s="1333"/>
      <c r="AE251" s="1333"/>
      <c r="AF251" s="1333"/>
      <c r="AG251" s="1333"/>
      <c r="AH251" s="1333"/>
      <c r="AI251" s="1333"/>
      <c r="AJ251" s="1333"/>
    </row>
    <row r="252" spans="1:49" x14ac:dyDescent="0.25">
      <c r="A252" s="1518" t="str">
        <f>IF(COUNTIF('04 - 95% CD'!D252:G252,"Y")&gt;0,"Y",IF(COUNTIF('04 - 95% CD'!D252:G252,"N"),"N",""))</f>
        <v>Y</v>
      </c>
      <c r="B252" s="125"/>
      <c r="C252" s="944"/>
      <c r="D252" s="411"/>
      <c r="E252" s="321"/>
      <c r="F252" s="559" t="str">
        <f>IF('C-Design&amp;Const'!$Q252="","",'C-Design&amp;Const'!$Q252)</f>
        <v>Y</v>
      </c>
      <c r="G252" s="485"/>
      <c r="H252" s="243" t="str">
        <f>CONCATENATE(IF(F252="N","PLACEHOLDER ROW - ",""),'C-Design&amp;Const'!Z252,IF(F252="N","",J252))</f>
        <v>Fixed Equipment; Casework; and Millwork (Complete)</v>
      </c>
      <c r="I252" s="151"/>
      <c r="J252" s="578" t="str">
        <f>IF('C-Design&amp;Const'!AI252="","",'C-Design&amp;Const'!AI252)</f>
        <v>(Complete)</v>
      </c>
      <c r="K252" s="285" t="str">
        <f>IF((COUNTIF(D252:G252,"Y")=COUNTIF('04 - 95% CD'!A252,"Y")),"match","no 95% match")</f>
        <v>match</v>
      </c>
      <c r="L252" s="1410" t="str">
        <f t="shared" si="15"/>
        <v/>
      </c>
      <c r="M252" s="1333"/>
      <c r="N252" s="1333"/>
      <c r="O252" s="1333"/>
      <c r="P252" s="1333"/>
      <c r="Q252" s="1333"/>
      <c r="R252" s="1453"/>
      <c r="S252" s="1364"/>
      <c r="T252" s="1404"/>
      <c r="U252" s="1333"/>
      <c r="V252" s="1333"/>
      <c r="W252" s="1333"/>
      <c r="X252" s="1333"/>
      <c r="Y252" s="1333"/>
      <c r="Z252" s="1333"/>
      <c r="AA252" s="1333"/>
      <c r="AB252" s="1333"/>
      <c r="AC252" s="1333"/>
      <c r="AD252" s="1333"/>
      <c r="AE252" s="1333"/>
      <c r="AF252" s="1333"/>
      <c r="AG252" s="1333"/>
      <c r="AH252" s="1333"/>
      <c r="AI252" s="1333"/>
      <c r="AJ252" s="1333"/>
    </row>
    <row r="253" spans="1:49" x14ac:dyDescent="0.25">
      <c r="A253" s="1518" t="str">
        <f>IF(COUNTIF('04 - 95% CD'!D253:G253,"Y")&gt;0,"Y",IF(COUNTIF('04 - 95% CD'!D253:G253,"N"),"N",""))</f>
        <v>Y</v>
      </c>
      <c r="B253" s="125"/>
      <c r="C253" s="944"/>
      <c r="D253" s="411"/>
      <c r="E253" s="321"/>
      <c r="F253" s="559" t="str">
        <f>IF('C-Design&amp;Const'!$Q253="","",'C-Design&amp;Const'!$Q253)</f>
        <v>Y</v>
      </c>
      <c r="G253" s="485"/>
      <c r="H253" s="243" t="str">
        <f>CONCATENATE(IF(F253="N","PLACEHOLDER ROW - ",""),'C-Design&amp;Const'!Z253,IF(F253="N","",J253))</f>
        <v>FF&amp;E Plans (Complete)</v>
      </c>
      <c r="I253" s="151"/>
      <c r="J253" s="578" t="str">
        <f>IF('C-Design&amp;Const'!AI253="","",'C-Design&amp;Const'!AI253)</f>
        <v>(Complete)</v>
      </c>
      <c r="K253" s="285" t="str">
        <f>IF((COUNTIF(D253:G253,"Y")=COUNTIF('04 - 95% CD'!A253,"Y")),"match","no 95% match")</f>
        <v>match</v>
      </c>
      <c r="L253" s="1410" t="str">
        <f t="shared" si="15"/>
        <v/>
      </c>
      <c r="M253" s="1333"/>
      <c r="N253" s="1333"/>
      <c r="O253" s="1333"/>
      <c r="P253" s="1333"/>
      <c r="Q253" s="1333"/>
      <c r="R253" s="1284"/>
      <c r="S253" s="1488"/>
      <c r="T253" s="1404"/>
      <c r="U253" s="1333"/>
      <c r="V253" s="1333"/>
      <c r="W253" s="1333"/>
      <c r="X253" s="1333"/>
      <c r="Y253" s="1333"/>
      <c r="Z253" s="1333"/>
      <c r="AA253" s="1333"/>
      <c r="AB253" s="1333"/>
      <c r="AC253" s="1333"/>
      <c r="AD253" s="1333"/>
      <c r="AE253" s="1333"/>
      <c r="AF253" s="1333"/>
      <c r="AG253" s="1333"/>
      <c r="AH253" s="1333"/>
      <c r="AI253" s="1333"/>
      <c r="AJ253" s="1333"/>
    </row>
    <row r="254" spans="1:49" x14ac:dyDescent="0.25">
      <c r="A254" s="1518" t="str">
        <f>IF(COUNTIF('04 - 95% CD'!D254:G254,"Y")&gt;0,"Y",IF(COUNTIF('04 - 95% CD'!D254:G254,"N"),"N",""))</f>
        <v>N</v>
      </c>
      <c r="B254" s="125"/>
      <c r="C254" s="944"/>
      <c r="D254" s="411"/>
      <c r="E254" s="321"/>
      <c r="F254" s="559" t="str">
        <f>IF('C-Design&amp;Const'!$Q254="","",'C-Design&amp;Const'!$Q254)</f>
        <v>N</v>
      </c>
      <c r="G254" s="485"/>
      <c r="H254" s="243" t="str">
        <f>CONCATENATE(IF(F254="N","PLACEHOLDER ROW - ",""),'C-Design&amp;Const'!Z254,IF(F254="N","",J254))</f>
        <v xml:space="preserve">PLACEHOLDER ROW - CUSTOM - Architectural  </v>
      </c>
      <c r="I254" s="149"/>
      <c r="J254" s="578" t="str">
        <f>IF('C-Design&amp;Const'!AI254="","",'C-Design&amp;Const'!AI254)</f>
        <v>(Complete)</v>
      </c>
      <c r="K254" s="285" t="str">
        <f>IF((COUNTIF(D254:G254,"Y")=COUNTIF('04 - 95% CD'!A254,"Y")),"match","no 95% match")</f>
        <v>match</v>
      </c>
      <c r="L254" s="1410" t="str">
        <f t="shared" si="15"/>
        <v>&lt;---PM/Planner may hide PLACEHOLDER ROW</v>
      </c>
      <c r="M254" s="1333"/>
      <c r="N254" s="1333"/>
      <c r="O254" s="1333"/>
      <c r="P254" s="1333"/>
      <c r="Q254" s="1333"/>
      <c r="R254" s="1453"/>
      <c r="S254" s="1364"/>
      <c r="T254" s="1404"/>
      <c r="U254" s="1333"/>
      <c r="V254" s="1333"/>
      <c r="W254" s="1333"/>
      <c r="X254" s="1333"/>
      <c r="Y254" s="1333"/>
      <c r="Z254" s="1333"/>
      <c r="AA254" s="1333"/>
      <c r="AB254" s="1333"/>
      <c r="AC254" s="1333"/>
      <c r="AD254" s="1333"/>
      <c r="AE254" s="1333"/>
      <c r="AF254" s="1333"/>
      <c r="AG254" s="1333"/>
      <c r="AH254" s="1333"/>
      <c r="AI254" s="1333"/>
      <c r="AJ254" s="1333"/>
    </row>
    <row r="255" spans="1:49" x14ac:dyDescent="0.25">
      <c r="A255" s="1407" t="str">
        <f>IF(COUNTIF('04 - 95% CD'!D255:G255,"Y")&gt;0,"Y",IF(COUNTIF('04 - 95% CD'!D255:G255,"N"),"N",""))</f>
        <v>Y</v>
      </c>
      <c r="B255" s="125"/>
      <c r="C255" s="944"/>
      <c r="D255" s="411"/>
      <c r="E255" s="559" t="str">
        <f>IF('C-Design&amp;Const'!$Q255="","",'C-Design&amp;Const'!$Q255)</f>
        <v>Y</v>
      </c>
      <c r="F255" s="478"/>
      <c r="G255" s="485"/>
      <c r="H255" s="244" t="str">
        <f>CONCATENATE(IF(F255="N","PLACEHOLDER ROW - ",""),'C-Design&amp;Const'!Z255,IF(F255="N","",J255))</f>
        <v>Structural Drawings (Including Bid Alts.)</v>
      </c>
      <c r="I255" s="146"/>
      <c r="J255" s="578" t="str">
        <f>IF('C-Design&amp;Const'!AI255="","",'C-Design&amp;Const'!AI255)</f>
        <v xml:space="preserve"> (Including Bid Alts.)</v>
      </c>
      <c r="K255" s="285" t="str">
        <f>IF((COUNTIF(D255:G255,"Y")=COUNTIF('04 - 95% CD'!A255,"Y")),"match","no 95% match")</f>
        <v>match</v>
      </c>
      <c r="L255" s="1410" t="str">
        <f t="shared" si="15"/>
        <v/>
      </c>
      <c r="M255" s="1333"/>
      <c r="N255" s="1333"/>
      <c r="O255" s="1333"/>
      <c r="P255" s="1333"/>
      <c r="Q255" s="1333"/>
      <c r="R255" s="1453"/>
      <c r="S255" s="1364"/>
      <c r="T255" s="1404"/>
      <c r="U255" s="1333"/>
      <c r="V255" s="1333"/>
      <c r="W255" s="1333"/>
      <c r="X255" s="1333"/>
      <c r="Y255" s="1333"/>
      <c r="Z255" s="1333"/>
      <c r="AA255" s="1333"/>
      <c r="AB255" s="1333"/>
      <c r="AC255" s="1333"/>
      <c r="AD255" s="1333"/>
      <c r="AE255" s="1333"/>
      <c r="AF255" s="1333"/>
      <c r="AG255" s="1333"/>
      <c r="AH255" s="1333"/>
      <c r="AI255" s="1333"/>
      <c r="AJ255" s="1333"/>
    </row>
    <row r="256" spans="1:49" s="30" customFormat="1" ht="13.5" customHeight="1" x14ac:dyDescent="0.25">
      <c r="A256" s="1518" t="str">
        <f>IF(COUNTIF('04 - 95% CD'!D256:G256,"Y")&gt;0,"Y",IF(COUNTIF('04 - 95% CD'!D256:G256,"N"),"N",""))</f>
        <v>N</v>
      </c>
      <c r="B256" s="191"/>
      <c r="C256" s="944"/>
      <c r="D256" s="463"/>
      <c r="E256" s="463"/>
      <c r="F256" s="359" t="str">
        <f>IF('C-Design&amp;Const'!$Q256="","",'C-Design&amp;Const'!$Q256)</f>
        <v>N</v>
      </c>
      <c r="G256" s="291"/>
      <c r="H256" s="469" t="str">
        <f>CONCATENATE(IF(F256="N","PLACEHOLDER ROW - ",""),'C-Design&amp;Const'!Z256,IF(F256="N","",J256))</f>
        <v xml:space="preserve">PLACEHOLDER ROW - CUSTOM - Structural  </v>
      </c>
      <c r="I256" s="184"/>
      <c r="J256" s="578" t="str">
        <f>IF('C-Design&amp;Const'!AI256="","",'C-Design&amp;Const'!AI256)</f>
        <v>(Complete)</v>
      </c>
      <c r="K256" s="285" t="str">
        <f>IF((COUNTIF(D256:G256,"Y")=COUNTIF('04 - 95% CD'!A256,"Y")),"match","no 95% match")</f>
        <v>match</v>
      </c>
      <c r="L256" s="1410" t="str">
        <f t="shared" si="15"/>
        <v>&lt;---PM/Planner may hide PLACEHOLDER ROW</v>
      </c>
      <c r="M256" s="1382"/>
      <c r="N256" s="1382"/>
      <c r="O256" s="1382"/>
      <c r="P256" s="1382"/>
      <c r="Q256" s="1382"/>
      <c r="R256" s="1382"/>
      <c r="S256" s="1382"/>
      <c r="T256" s="1382"/>
      <c r="U256" s="1382"/>
      <c r="V256" s="1382"/>
      <c r="W256" s="1382"/>
      <c r="X256" s="1382"/>
      <c r="Y256" s="1382"/>
      <c r="Z256" s="1382"/>
      <c r="AA256" s="1382"/>
      <c r="AB256" s="1382"/>
      <c r="AC256" s="1382"/>
      <c r="AD256" s="1382"/>
      <c r="AE256" s="1382"/>
      <c r="AF256" s="1382"/>
      <c r="AG256" s="1382"/>
      <c r="AH256" s="1382"/>
      <c r="AI256" s="1382"/>
      <c r="AJ256" s="1382"/>
      <c r="AK256" s="181"/>
      <c r="AL256" s="181"/>
      <c r="AM256" s="181"/>
      <c r="AN256" s="181"/>
      <c r="AO256" s="181"/>
      <c r="AP256" s="181"/>
      <c r="AQ256" s="181"/>
      <c r="AR256" s="181"/>
      <c r="AS256" s="181"/>
      <c r="AT256" s="181"/>
      <c r="AU256" s="181"/>
      <c r="AV256" s="181"/>
      <c r="AW256" s="181"/>
    </row>
    <row r="257" spans="1:49" s="30" customFormat="1" ht="13.5" customHeight="1" x14ac:dyDescent="0.25">
      <c r="A257" s="1518" t="str">
        <f>IF(COUNTIF('04 - 95% CD'!D257:G257,"Y")&gt;0,"Y",IF(COUNTIF('04 - 95% CD'!D257:G257,"N"),"N",""))</f>
        <v>N</v>
      </c>
      <c r="B257" s="191"/>
      <c r="C257" s="944"/>
      <c r="D257" s="463"/>
      <c r="E257" s="463"/>
      <c r="F257" s="359" t="str">
        <f>IF('C-Design&amp;Const'!$Q257="","",'C-Design&amp;Const'!$Q257)</f>
        <v>N</v>
      </c>
      <c r="G257" s="291"/>
      <c r="H257" s="469" t="str">
        <f>CONCATENATE(IF(F257="N","PLACEHOLDER ROW - ",""),'C-Design&amp;Const'!Z257,IF(F257="N","",J257))</f>
        <v xml:space="preserve">PLACEHOLDER ROW - CUSTOM - Structural  </v>
      </c>
      <c r="I257" s="184"/>
      <c r="J257" s="578" t="str">
        <f>IF('C-Design&amp;Const'!AI257="","",'C-Design&amp;Const'!AI257)</f>
        <v>(Complete)</v>
      </c>
      <c r="K257" s="285" t="str">
        <f>IF((COUNTIF(D257:G257,"Y")=COUNTIF('04 - 95% CD'!A257,"Y")),"match","no 95% match")</f>
        <v>match</v>
      </c>
      <c r="L257" s="1410" t="str">
        <f t="shared" si="15"/>
        <v>&lt;---PM/Planner may hide PLACEHOLDER ROW</v>
      </c>
      <c r="M257" s="1382"/>
      <c r="N257" s="1382"/>
      <c r="O257" s="1382"/>
      <c r="P257" s="1382"/>
      <c r="Q257" s="1382"/>
      <c r="R257" s="1382"/>
      <c r="S257" s="1382"/>
      <c r="T257" s="1382"/>
      <c r="U257" s="1382"/>
      <c r="V257" s="1382"/>
      <c r="W257" s="1382"/>
      <c r="X257" s="1382"/>
      <c r="Y257" s="1382"/>
      <c r="Z257" s="1382"/>
      <c r="AA257" s="1382"/>
      <c r="AB257" s="1382"/>
      <c r="AC257" s="1382"/>
      <c r="AD257" s="1382"/>
      <c r="AE257" s="1382"/>
      <c r="AF257" s="1382"/>
      <c r="AG257" s="1382"/>
      <c r="AH257" s="1382"/>
      <c r="AI257" s="1382"/>
      <c r="AJ257" s="1382"/>
      <c r="AK257" s="181"/>
      <c r="AL257" s="181"/>
      <c r="AM257" s="181"/>
      <c r="AN257" s="181"/>
      <c r="AO257" s="181"/>
      <c r="AP257" s="181"/>
      <c r="AQ257" s="181"/>
      <c r="AR257" s="181"/>
      <c r="AS257" s="181"/>
      <c r="AT257" s="181"/>
      <c r="AU257" s="181"/>
      <c r="AV257" s="181"/>
      <c r="AW257" s="181"/>
    </row>
    <row r="258" spans="1:49" s="545" customFormat="1" ht="13.5" customHeight="1" x14ac:dyDescent="0.25">
      <c r="A258" s="1518" t="str">
        <f>IF(COUNTIF('04 - 95% CD'!D258:G258,"Y")&gt;0,"Y",IF(COUNTIF('04 - 95% CD'!D258:G258,"N"),"N",""))</f>
        <v>Y</v>
      </c>
      <c r="B258" s="554"/>
      <c r="C258" s="944"/>
      <c r="D258" s="463"/>
      <c r="E258" s="463"/>
      <c r="F258" s="359" t="str">
        <f>IF('C-Design&amp;Const'!$Q258="","",'C-Design&amp;Const'!$Q258)</f>
        <v>Y</v>
      </c>
      <c r="G258" s="291"/>
      <c r="H258" s="469" t="str">
        <f>CONCATENATE(IF(F258="N","PLACEHOLDER ROW - ",""),'C-Design&amp;Const'!Z258,IF(F258="N","",J258))</f>
        <v>Structural Symbols, Abbreviations, and General Notes (Complete)</v>
      </c>
      <c r="I258" s="552"/>
      <c r="J258" s="578" t="str">
        <f>IF('C-Design&amp;Const'!AI258="","",'C-Design&amp;Const'!AI258)</f>
        <v>(Complete)</v>
      </c>
      <c r="K258" s="285" t="str">
        <f>IF((COUNTIF(D258:G258,"Y")=COUNTIF('04 - 95% CD'!A258,"Y")),"match","no 95% match")</f>
        <v>no 95% match</v>
      </c>
      <c r="L258" s="1410" t="str">
        <f t="shared" si="15"/>
        <v/>
      </c>
      <c r="M258" s="1382"/>
      <c r="N258" s="1382"/>
      <c r="O258" s="1382"/>
      <c r="P258" s="1382"/>
      <c r="Q258" s="1382"/>
      <c r="R258" s="1382"/>
      <c r="S258" s="1382"/>
      <c r="T258" s="1382"/>
      <c r="U258" s="1382"/>
      <c r="V258" s="1382"/>
      <c r="W258" s="1382"/>
      <c r="X258" s="1382"/>
      <c r="Y258" s="1382"/>
      <c r="Z258" s="1382"/>
      <c r="AA258" s="1382"/>
      <c r="AB258" s="1382"/>
      <c r="AC258" s="1382"/>
      <c r="AD258" s="1382"/>
      <c r="AE258" s="1382"/>
      <c r="AF258" s="1382"/>
      <c r="AG258" s="1382"/>
      <c r="AH258" s="1382"/>
      <c r="AI258" s="1382"/>
      <c r="AJ258" s="1382"/>
      <c r="AK258" s="551"/>
      <c r="AL258" s="551"/>
      <c r="AM258" s="551"/>
      <c r="AN258" s="551"/>
      <c r="AO258" s="551"/>
      <c r="AP258" s="551"/>
      <c r="AQ258" s="551"/>
      <c r="AR258" s="551"/>
      <c r="AS258" s="551"/>
      <c r="AT258" s="551"/>
      <c r="AU258" s="551"/>
      <c r="AV258" s="551"/>
      <c r="AW258" s="551"/>
    </row>
    <row r="259" spans="1:49" s="545" customFormat="1" ht="13.5" customHeight="1" x14ac:dyDescent="0.25">
      <c r="A259" s="1518" t="str">
        <f>IF(COUNTIF('04 - 95% CD'!D259:G259,"Y")&gt;0,"Y",IF(COUNTIF('04 - 95% CD'!D259:G259,"N"),"N",""))</f>
        <v>Y</v>
      </c>
      <c r="B259" s="554"/>
      <c r="C259" s="944"/>
      <c r="D259" s="463"/>
      <c r="E259" s="463"/>
      <c r="F259" s="359" t="str">
        <f>IF('C-Design&amp;Const'!$Q259="","",'C-Design&amp;Const'!$Q259)</f>
        <v>Y</v>
      </c>
      <c r="G259" s="291"/>
      <c r="H259" s="469" t="str">
        <f>CONCATENATE(IF(F259="N","PLACEHOLDER ROW - ",""),'C-Design&amp;Const'!Z259,IF(F259="N","",J259))</f>
        <v>Structural Demolition(s) (Complete)</v>
      </c>
      <c r="I259" s="552"/>
      <c r="J259" s="578" t="str">
        <f>IF('C-Design&amp;Const'!AI259="","",'C-Design&amp;Const'!AI259)</f>
        <v>(Complete)</v>
      </c>
      <c r="K259" s="285" t="str">
        <f>IF((COUNTIF(D259:G259,"Y")=COUNTIF('04 - 95% CD'!A259,"Y")),"match","no 95% match")</f>
        <v>match</v>
      </c>
      <c r="L259" s="1410" t="str">
        <f t="shared" si="15"/>
        <v/>
      </c>
      <c r="M259" s="1382"/>
      <c r="N259" s="1382"/>
      <c r="O259" s="1382"/>
      <c r="P259" s="1382"/>
      <c r="Q259" s="1382"/>
      <c r="R259" s="1382"/>
      <c r="S259" s="1382"/>
      <c r="T259" s="1382"/>
      <c r="U259" s="1382"/>
      <c r="V259" s="1382"/>
      <c r="W259" s="1382"/>
      <c r="X259" s="1382"/>
      <c r="Y259" s="1382"/>
      <c r="Z259" s="1382"/>
      <c r="AA259" s="1382"/>
      <c r="AB259" s="1382"/>
      <c r="AC259" s="1382"/>
      <c r="AD259" s="1382"/>
      <c r="AE259" s="1382"/>
      <c r="AF259" s="1382"/>
      <c r="AG259" s="1382"/>
      <c r="AH259" s="1382"/>
      <c r="AI259" s="1382"/>
      <c r="AJ259" s="1382"/>
      <c r="AK259" s="551"/>
      <c r="AL259" s="551"/>
      <c r="AM259" s="551"/>
      <c r="AN259" s="551"/>
      <c r="AO259" s="551"/>
      <c r="AP259" s="551"/>
      <c r="AQ259" s="551"/>
      <c r="AR259" s="551"/>
      <c r="AS259" s="551"/>
      <c r="AT259" s="551"/>
      <c r="AU259" s="551"/>
      <c r="AV259" s="551"/>
      <c r="AW259" s="551"/>
    </row>
    <row r="260" spans="1:49" x14ac:dyDescent="0.25">
      <c r="A260" s="1518" t="str">
        <f>IF(COUNTIF('04 - 95% CD'!D260:G260,"Y")&gt;0,"Y",IF(COUNTIF('04 - 95% CD'!D260:G260,"N"),"N",""))</f>
        <v>Y</v>
      </c>
      <c r="B260" s="125"/>
      <c r="C260" s="944"/>
      <c r="D260" s="411"/>
      <c r="E260" s="321"/>
      <c r="F260" s="559" t="str">
        <f>IF('C-Design&amp;Const'!$Q260="","",'C-Design&amp;Const'!$Q260)</f>
        <v>Y</v>
      </c>
      <c r="G260" s="485"/>
      <c r="H260" s="243" t="str">
        <f>CONCATENATE(IF(F260="N","PLACEHOLDER ROW - ",""),'C-Design&amp;Const'!Z260,IF(F260="N","",J260))</f>
        <v>Foundation Plan (Complete)</v>
      </c>
      <c r="I260" s="137"/>
      <c r="J260" s="578" t="str">
        <f>IF('C-Design&amp;Const'!AI260="","",'C-Design&amp;Const'!AI260)</f>
        <v>(Complete)</v>
      </c>
      <c r="K260" s="285" t="str">
        <f>IF((COUNTIF(D260:G260,"Y")=COUNTIF('04 - 95% CD'!A260,"Y")),"match","no 95% match")</f>
        <v>match</v>
      </c>
      <c r="L260" s="1410" t="str">
        <f t="shared" si="15"/>
        <v/>
      </c>
      <c r="M260" s="1333"/>
      <c r="N260" s="1333"/>
      <c r="O260" s="1333"/>
      <c r="P260" s="1333"/>
      <c r="Q260" s="1333"/>
      <c r="R260" s="1284"/>
      <c r="S260" s="1513"/>
      <c r="T260" s="1404"/>
      <c r="U260" s="1333"/>
      <c r="V260" s="1333"/>
      <c r="W260" s="1333"/>
      <c r="X260" s="1333"/>
      <c r="Y260" s="1333"/>
      <c r="Z260" s="1333"/>
      <c r="AA260" s="1333"/>
      <c r="AB260" s="1333"/>
      <c r="AC260" s="1333"/>
      <c r="AD260" s="1333"/>
      <c r="AE260" s="1333"/>
      <c r="AF260" s="1333"/>
      <c r="AG260" s="1333"/>
      <c r="AH260" s="1333"/>
      <c r="AI260" s="1333"/>
      <c r="AJ260" s="1333"/>
    </row>
    <row r="261" spans="1:49" s="1" customFormat="1" x14ac:dyDescent="0.25">
      <c r="A261" s="1518" t="str">
        <f>IF(COUNTIF('04 - 95% CD'!D261:G261,"Y")&gt;0,"Y",IF(COUNTIF('04 - 95% CD'!D261:G261,"N"),"N",""))</f>
        <v>Y</v>
      </c>
      <c r="B261" s="67"/>
      <c r="C261" s="944"/>
      <c r="D261" s="411"/>
      <c r="E261" s="321"/>
      <c r="F261" s="559" t="str">
        <f>IF('C-Design&amp;Const'!$Q261="","",'C-Design&amp;Const'!$Q261)</f>
        <v>Y</v>
      </c>
      <c r="G261" s="485"/>
      <c r="H261" s="243" t="str">
        <f>CONCATENATE(IF(F261="N","PLACEHOLDER ROW - ",""),'C-Design&amp;Const'!Z261,IF(F261="N","",J261))</f>
        <v>Foundation to wall connections (bolted/reinforcing bar dowels) (Complete)</v>
      </c>
      <c r="I261" s="137"/>
      <c r="J261" s="578" t="str">
        <f>IF('C-Design&amp;Const'!AI261="","",'C-Design&amp;Const'!AI261)</f>
        <v>(Complete)</v>
      </c>
      <c r="K261" s="285" t="str">
        <f>IF((COUNTIF(D261:G261,"Y")=COUNTIF('04 - 95% CD'!A261,"Y")),"match","no 95% match")</f>
        <v>match</v>
      </c>
      <c r="L261" s="1410" t="str">
        <f t="shared" si="15"/>
        <v/>
      </c>
      <c r="M261" s="1333"/>
      <c r="N261" s="1333"/>
      <c r="O261" s="1333"/>
      <c r="P261" s="1333"/>
      <c r="Q261" s="1333"/>
      <c r="R261" s="1284"/>
      <c r="S261" s="1513"/>
      <c r="T261" s="1404"/>
      <c r="U261" s="1333"/>
      <c r="V261" s="1333"/>
      <c r="W261" s="1333"/>
      <c r="X261" s="1333"/>
      <c r="Y261" s="1333"/>
      <c r="Z261" s="1333"/>
      <c r="AA261" s="1333"/>
      <c r="AB261" s="1333"/>
      <c r="AC261" s="1333"/>
      <c r="AD261" s="1333"/>
      <c r="AE261" s="1333"/>
      <c r="AF261" s="1333"/>
      <c r="AG261" s="1333"/>
      <c r="AH261" s="1333"/>
      <c r="AI261" s="1333"/>
      <c r="AJ261" s="1333"/>
      <c r="AK261" s="13"/>
      <c r="AL261" s="13"/>
      <c r="AM261" s="13"/>
      <c r="AN261" s="13"/>
      <c r="AO261" s="13"/>
      <c r="AP261" s="13"/>
      <c r="AQ261" s="13"/>
      <c r="AR261" s="13"/>
      <c r="AS261" s="13"/>
      <c r="AT261" s="13"/>
      <c r="AU261" s="13"/>
      <c r="AV261" s="13"/>
      <c r="AW261" s="13"/>
    </row>
    <row r="262" spans="1:49" s="1" customFormat="1" x14ac:dyDescent="0.25">
      <c r="A262" s="1518" t="str">
        <f>IF(COUNTIF('04 - 95% CD'!D262:G262,"Y")&gt;0,"Y",IF(COUNTIF('04 - 95% CD'!D262:G262,"N"),"N",""))</f>
        <v>Y</v>
      </c>
      <c r="B262" s="67"/>
      <c r="C262" s="944"/>
      <c r="D262" s="411"/>
      <c r="E262" s="321"/>
      <c r="F262" s="559" t="str">
        <f>IF('C-Design&amp;Const'!$Q262="","",'C-Design&amp;Const'!$Q262)</f>
        <v>Y</v>
      </c>
      <c r="G262" s="485"/>
      <c r="H262" s="243" t="str">
        <f>CONCATENATE(IF(F262="N","PLACEHOLDER ROW - ",""),'C-Design&amp;Const'!Z262,IF(F262="N","",J262))</f>
        <v>Column and Base Plate Schedule (Complete)</v>
      </c>
      <c r="I262" s="137"/>
      <c r="J262" s="578" t="str">
        <f>IF('C-Design&amp;Const'!AI262="","",'C-Design&amp;Const'!AI262)</f>
        <v>(Complete)</v>
      </c>
      <c r="K262" s="285" t="str">
        <f>IF((COUNTIF(D262:G262,"Y")=COUNTIF('04 - 95% CD'!A262,"Y")),"match","no 95% match")</f>
        <v>match</v>
      </c>
      <c r="L262" s="1410" t="str">
        <f t="shared" si="15"/>
        <v/>
      </c>
      <c r="M262" s="1333"/>
      <c r="N262" s="1333"/>
      <c r="O262" s="1333"/>
      <c r="P262" s="1333"/>
      <c r="Q262" s="1333"/>
      <c r="R262" s="1284"/>
      <c r="S262" s="1513"/>
      <c r="T262" s="1404"/>
      <c r="U262" s="1333"/>
      <c r="V262" s="1333"/>
      <c r="W262" s="1333"/>
      <c r="X262" s="1333"/>
      <c r="Y262" s="1333"/>
      <c r="Z262" s="1333"/>
      <c r="AA262" s="1333"/>
      <c r="AB262" s="1333"/>
      <c r="AC262" s="1333"/>
      <c r="AD262" s="1333"/>
      <c r="AE262" s="1333"/>
      <c r="AF262" s="1333"/>
      <c r="AG262" s="1333"/>
      <c r="AH262" s="1333"/>
      <c r="AI262" s="1333"/>
      <c r="AJ262" s="1333"/>
      <c r="AK262" s="13"/>
      <c r="AL262" s="13"/>
      <c r="AM262" s="13"/>
      <c r="AN262" s="13"/>
      <c r="AO262" s="13"/>
      <c r="AP262" s="13"/>
      <c r="AQ262" s="13"/>
      <c r="AR262" s="13"/>
      <c r="AS262" s="13"/>
      <c r="AT262" s="13"/>
      <c r="AU262" s="13"/>
      <c r="AV262" s="13"/>
      <c r="AW262" s="13"/>
    </row>
    <row r="263" spans="1:49" s="1" customFormat="1" x14ac:dyDescent="0.25">
      <c r="A263" s="1518" t="str">
        <f>IF(COUNTIF('04 - 95% CD'!D263:G263,"Y")&gt;0,"Y",IF(COUNTIF('04 - 95% CD'!D263:G263,"N"),"N",""))</f>
        <v>Y</v>
      </c>
      <c r="B263" s="67"/>
      <c r="C263" s="944"/>
      <c r="D263" s="411"/>
      <c r="E263" s="321"/>
      <c r="F263" s="559" t="str">
        <f>IF('C-Design&amp;Const'!$Q263="","",'C-Design&amp;Const'!$Q263)</f>
        <v>Y</v>
      </c>
      <c r="G263" s="485"/>
      <c r="H263" s="243" t="str">
        <f>CONCATENATE(IF(F263="N","PLACEHOLDER ROW - ",""),'C-Design&amp;Const'!Z263,IF(F263="N","",J263))</f>
        <v>Foundation Individual Details (Complete)</v>
      </c>
      <c r="I263" s="137"/>
      <c r="J263" s="578" t="str">
        <f>IF('C-Design&amp;Const'!AI263="","",'C-Design&amp;Const'!AI263)</f>
        <v>(Complete)</v>
      </c>
      <c r="K263" s="285" t="str">
        <f>IF((COUNTIF(D263:G263,"Y")=COUNTIF('04 - 95% CD'!A263,"Y")),"match","no 95% match")</f>
        <v>match</v>
      </c>
      <c r="L263" s="1410" t="str">
        <f t="shared" si="15"/>
        <v/>
      </c>
      <c r="M263" s="1333"/>
      <c r="N263" s="1333"/>
      <c r="O263" s="1333"/>
      <c r="P263" s="1333"/>
      <c r="Q263" s="1333"/>
      <c r="R263" s="1284"/>
      <c r="S263" s="1513"/>
      <c r="T263" s="1404"/>
      <c r="U263" s="1333"/>
      <c r="V263" s="1333"/>
      <c r="W263" s="1333"/>
      <c r="X263" s="1333"/>
      <c r="Y263" s="1333"/>
      <c r="Z263" s="1333"/>
      <c r="AA263" s="1333"/>
      <c r="AB263" s="1333"/>
      <c r="AC263" s="1333"/>
      <c r="AD263" s="1333"/>
      <c r="AE263" s="1333"/>
      <c r="AF263" s="1333"/>
      <c r="AG263" s="1333"/>
      <c r="AH263" s="1333"/>
      <c r="AI263" s="1333"/>
      <c r="AJ263" s="1333"/>
      <c r="AK263" s="13"/>
      <c r="AL263" s="13"/>
      <c r="AM263" s="13"/>
      <c r="AN263" s="13"/>
      <c r="AO263" s="13"/>
      <c r="AP263" s="13"/>
      <c r="AQ263" s="13"/>
      <c r="AR263" s="13"/>
      <c r="AS263" s="13"/>
      <c r="AT263" s="13"/>
      <c r="AU263" s="13"/>
      <c r="AV263" s="13"/>
      <c r="AW263" s="13"/>
    </row>
    <row r="264" spans="1:49" s="1" customFormat="1" x14ac:dyDescent="0.25">
      <c r="A264" s="1518" t="str">
        <f>IF(COUNTIF('04 - 95% CD'!D264:G264,"Y")&gt;0,"Y",IF(COUNTIF('04 - 95% CD'!D264:G264,"N"),"N",""))</f>
        <v>Y</v>
      </c>
      <c r="B264" s="67"/>
      <c r="C264" s="944"/>
      <c r="D264" s="411"/>
      <c r="E264" s="321"/>
      <c r="F264" s="559" t="str">
        <f>IF('C-Design&amp;Const'!$Q264="","",'C-Design&amp;Const'!$Q264)</f>
        <v>Y</v>
      </c>
      <c r="G264" s="485"/>
      <c r="H264" s="243" t="str">
        <f>CONCATENATE(IF(F264="N","PLACEHOLDER ROW - ",""),'C-Design&amp;Const'!Z264,IF(F264="N","",J264))</f>
        <v>Structural Masonry Wall Plan (Complete)</v>
      </c>
      <c r="I264" s="137"/>
      <c r="J264" s="578" t="str">
        <f>IF('C-Design&amp;Const'!AI264="","",'C-Design&amp;Const'!AI264)</f>
        <v>(Complete)</v>
      </c>
      <c r="K264" s="285" t="str">
        <f>IF((COUNTIF(D264:G264,"Y")=COUNTIF('04 - 95% CD'!A264,"Y")),"match","no 95% match")</f>
        <v>match</v>
      </c>
      <c r="L264" s="1410" t="str">
        <f t="shared" si="15"/>
        <v/>
      </c>
      <c r="M264" s="1333"/>
      <c r="N264" s="1333"/>
      <c r="O264" s="1333"/>
      <c r="P264" s="1333"/>
      <c r="Q264" s="1333"/>
      <c r="R264" s="1284"/>
      <c r="S264" s="1513"/>
      <c r="T264" s="1404"/>
      <c r="U264" s="1333"/>
      <c r="V264" s="1333"/>
      <c r="W264" s="1333"/>
      <c r="X264" s="1333"/>
      <c r="Y264" s="1333"/>
      <c r="Z264" s="1333"/>
      <c r="AA264" s="1333"/>
      <c r="AB264" s="1333"/>
      <c r="AC264" s="1333"/>
      <c r="AD264" s="1333"/>
      <c r="AE264" s="1333"/>
      <c r="AF264" s="1333"/>
      <c r="AG264" s="1333"/>
      <c r="AH264" s="1333"/>
      <c r="AI264" s="1333"/>
      <c r="AJ264" s="1333"/>
      <c r="AK264" s="13"/>
      <c r="AL264" s="13"/>
      <c r="AM264" s="13"/>
      <c r="AN264" s="13"/>
      <c r="AO264" s="13"/>
      <c r="AP264" s="13"/>
      <c r="AQ264" s="13"/>
      <c r="AR264" s="13"/>
      <c r="AS264" s="13"/>
      <c r="AT264" s="13"/>
      <c r="AU264" s="13"/>
      <c r="AV264" s="13"/>
      <c r="AW264" s="13"/>
    </row>
    <row r="265" spans="1:49" s="1" customFormat="1" x14ac:dyDescent="0.25">
      <c r="A265" s="1518" t="str">
        <f>IF(COUNTIF('04 - 95% CD'!D265:G265,"Y")&gt;0,"Y",IF(COUNTIF('04 - 95% CD'!D265:G265,"N"),"N",""))</f>
        <v>Y</v>
      </c>
      <c r="B265" s="67"/>
      <c r="C265" s="944"/>
      <c r="D265" s="411"/>
      <c r="E265" s="321"/>
      <c r="F265" s="559" t="str">
        <f>IF('C-Design&amp;Const'!$Q265="","",'C-Design&amp;Const'!$Q265)</f>
        <v>Y</v>
      </c>
      <c r="G265" s="485"/>
      <c r="H265" s="243" t="str">
        <f>CONCATENATE(IF(F265="N","PLACEHOLDER ROW - ",""),'C-Design&amp;Const'!Z265,IF(F265="N","",J265))</f>
        <v>Structural Masonry Details (Complete)</v>
      </c>
      <c r="I265" s="137"/>
      <c r="J265" s="578" t="str">
        <f>IF('C-Design&amp;Const'!AI265="","",'C-Design&amp;Const'!AI265)</f>
        <v>(Complete)</v>
      </c>
      <c r="K265" s="285" t="str">
        <f>IF((COUNTIF(D265:G265,"Y")=COUNTIF('04 - 95% CD'!A265,"Y")),"match","no 95% match")</f>
        <v>match</v>
      </c>
      <c r="L265" s="1410" t="str">
        <f t="shared" si="15"/>
        <v/>
      </c>
      <c r="M265" s="1333"/>
      <c r="N265" s="1333"/>
      <c r="O265" s="1333"/>
      <c r="P265" s="1333"/>
      <c r="Q265" s="1333"/>
      <c r="R265" s="1284"/>
      <c r="S265" s="1513"/>
      <c r="T265" s="1404"/>
      <c r="U265" s="1333"/>
      <c r="V265" s="1333"/>
      <c r="W265" s="1333"/>
      <c r="X265" s="1333"/>
      <c r="Y265" s="1333"/>
      <c r="Z265" s="1333"/>
      <c r="AA265" s="1333"/>
      <c r="AB265" s="1333"/>
      <c r="AC265" s="1333"/>
      <c r="AD265" s="1333"/>
      <c r="AE265" s="1333"/>
      <c r="AF265" s="1333"/>
      <c r="AG265" s="1333"/>
      <c r="AH265" s="1333"/>
      <c r="AI265" s="1333"/>
      <c r="AJ265" s="1333"/>
      <c r="AK265" s="13"/>
      <c r="AL265" s="13"/>
      <c r="AM265" s="13"/>
      <c r="AN265" s="13"/>
      <c r="AO265" s="13"/>
      <c r="AP265" s="13"/>
      <c r="AQ265" s="13"/>
      <c r="AR265" s="13"/>
      <c r="AS265" s="13"/>
      <c r="AT265" s="13"/>
      <c r="AU265" s="13"/>
      <c r="AV265" s="13"/>
      <c r="AW265" s="13"/>
    </row>
    <row r="266" spans="1:49" s="1" customFormat="1" x14ac:dyDescent="0.25">
      <c r="A266" s="1518" t="str">
        <f>IF(COUNTIF('04 - 95% CD'!D266:G266,"Y")&gt;0,"Y",IF(COUNTIF('04 - 95% CD'!D266:G266,"N"),"N",""))</f>
        <v>Y</v>
      </c>
      <c r="B266" s="67"/>
      <c r="C266" s="944"/>
      <c r="D266" s="411"/>
      <c r="E266" s="321"/>
      <c r="F266" s="559" t="str">
        <f>IF('C-Design&amp;Const'!$Q266="","",'C-Design&amp;Const'!$Q266)</f>
        <v>Y</v>
      </c>
      <c r="G266" s="485"/>
      <c r="H266" s="243" t="str">
        <f>CONCATENATE(IF(F266="N","PLACEHOLDER ROW - ",""),'C-Design&amp;Const'!Z266,IF(F266="N","",J266))</f>
        <v>Lintel Details (Complete)</v>
      </c>
      <c r="I266" s="137"/>
      <c r="J266" s="578" t="str">
        <f>IF('C-Design&amp;Const'!AI266="","",'C-Design&amp;Const'!AI266)</f>
        <v>(Complete)</v>
      </c>
      <c r="K266" s="285" t="str">
        <f>IF((COUNTIF(D266:G266,"Y")=COUNTIF('04 - 95% CD'!A266,"Y")),"match","no 95% match")</f>
        <v>match</v>
      </c>
      <c r="L266" s="1410" t="str">
        <f t="shared" si="15"/>
        <v/>
      </c>
      <c r="M266" s="1333"/>
      <c r="N266" s="1333"/>
      <c r="O266" s="1333"/>
      <c r="P266" s="1333"/>
      <c r="Q266" s="1333"/>
      <c r="R266" s="1284"/>
      <c r="S266" s="1513"/>
      <c r="T266" s="1404"/>
      <c r="U266" s="1333"/>
      <c r="V266" s="1333"/>
      <c r="W266" s="1333"/>
      <c r="X266" s="1333"/>
      <c r="Y266" s="1333"/>
      <c r="Z266" s="1333"/>
      <c r="AA266" s="1333"/>
      <c r="AB266" s="1333"/>
      <c r="AC266" s="1333"/>
      <c r="AD266" s="1333"/>
      <c r="AE266" s="1333"/>
      <c r="AF266" s="1333"/>
      <c r="AG266" s="1333"/>
      <c r="AH266" s="1333"/>
      <c r="AI266" s="1333"/>
      <c r="AJ266" s="1333"/>
      <c r="AK266" s="13"/>
      <c r="AL266" s="13"/>
      <c r="AM266" s="13"/>
      <c r="AN266" s="13"/>
      <c r="AO266" s="13"/>
      <c r="AP266" s="13"/>
      <c r="AQ266" s="13"/>
      <c r="AR266" s="13"/>
      <c r="AS266" s="13"/>
      <c r="AT266" s="13"/>
      <c r="AU266" s="13"/>
      <c r="AV266" s="13"/>
      <c r="AW266" s="13"/>
    </row>
    <row r="267" spans="1:49" s="1" customFormat="1" x14ac:dyDescent="0.25">
      <c r="A267" s="1518" t="str">
        <f>IF(COUNTIF('04 - 95% CD'!D267:G267,"Y")&gt;0,"Y",IF(COUNTIF('04 - 95% CD'!D267:G267,"N"),"N",""))</f>
        <v>Y</v>
      </c>
      <c r="B267" s="67"/>
      <c r="C267" s="944"/>
      <c r="D267" s="411"/>
      <c r="E267" s="321"/>
      <c r="F267" s="559" t="str">
        <f>IF('C-Design&amp;Const'!$Q267="","",'C-Design&amp;Const'!$Q267)</f>
        <v>Y</v>
      </c>
      <c r="G267" s="485"/>
      <c r="H267" s="243" t="str">
        <f>CONCATENATE(IF(F267="N","PLACEHOLDER ROW - ",""),'C-Design&amp;Const'!Z267,IF(F267="N","",J267))</f>
        <v>Lateral Force Resisting System Plan and Details (Complete)</v>
      </c>
      <c r="I267" s="137"/>
      <c r="J267" s="578" t="str">
        <f>IF('C-Design&amp;Const'!AI267="","",'C-Design&amp;Const'!AI267)</f>
        <v>(Complete)</v>
      </c>
      <c r="K267" s="285" t="str">
        <f>IF((COUNTIF(D267:G267,"Y")=COUNTIF('04 - 95% CD'!A267,"Y")),"match","no 95% match")</f>
        <v>match</v>
      </c>
      <c r="L267" s="1410" t="str">
        <f t="shared" si="15"/>
        <v/>
      </c>
      <c r="M267" s="1333"/>
      <c r="N267" s="1333"/>
      <c r="O267" s="1333"/>
      <c r="P267" s="1333"/>
      <c r="Q267" s="1333"/>
      <c r="R267" s="1284"/>
      <c r="S267" s="1513"/>
      <c r="T267" s="1404"/>
      <c r="U267" s="1333"/>
      <c r="V267" s="1333"/>
      <c r="W267" s="1333"/>
      <c r="X267" s="1333"/>
      <c r="Y267" s="1333"/>
      <c r="Z267" s="1333"/>
      <c r="AA267" s="1333"/>
      <c r="AB267" s="1333"/>
      <c r="AC267" s="1333"/>
      <c r="AD267" s="1333"/>
      <c r="AE267" s="1333"/>
      <c r="AF267" s="1333"/>
      <c r="AG267" s="1333"/>
      <c r="AH267" s="1333"/>
      <c r="AI267" s="1333"/>
      <c r="AJ267" s="1333"/>
      <c r="AK267" s="13"/>
      <c r="AL267" s="13"/>
      <c r="AM267" s="13"/>
      <c r="AN267" s="13"/>
      <c r="AO267" s="13"/>
      <c r="AP267" s="13"/>
      <c r="AQ267" s="13"/>
      <c r="AR267" s="13"/>
      <c r="AS267" s="13"/>
      <c r="AT267" s="13"/>
      <c r="AU267" s="13"/>
      <c r="AV267" s="13"/>
      <c r="AW267" s="13"/>
    </row>
    <row r="268" spans="1:49" x14ac:dyDescent="0.25">
      <c r="A268" s="1518" t="str">
        <f>IF(COUNTIF('04 - 95% CD'!D268:G268,"Y")&gt;0,"Y",IF(COUNTIF('04 - 95% CD'!D268:G268,"N"),"N",""))</f>
        <v>Y</v>
      </c>
      <c r="B268" s="125"/>
      <c r="C268" s="944"/>
      <c r="D268" s="411"/>
      <c r="E268" s="321"/>
      <c r="F268" s="559" t="str">
        <f>IF('C-Design&amp;Const'!$Q268="","",'C-Design&amp;Const'!$Q268)</f>
        <v>Y</v>
      </c>
      <c r="G268" s="485"/>
      <c r="H268" s="243" t="str">
        <f>CONCATENATE(IF(F268="N","PLACEHOLDER ROW - ",""),'C-Design&amp;Const'!Z268,IF(F268="N","",J268))</f>
        <v>Floor Framing Plans (Complete)</v>
      </c>
      <c r="I268" s="137"/>
      <c r="J268" s="578" t="str">
        <f>IF('C-Design&amp;Const'!AI268="","",'C-Design&amp;Const'!AI268)</f>
        <v>(Complete)</v>
      </c>
      <c r="K268" s="285" t="str">
        <f>IF((COUNTIF(D268:G268,"Y")=COUNTIF('04 - 95% CD'!A268,"Y")),"match","no 95% match")</f>
        <v>match</v>
      </c>
      <c r="L268" s="1410" t="str">
        <f t="shared" si="15"/>
        <v/>
      </c>
      <c r="M268" s="1333"/>
      <c r="N268" s="1333"/>
      <c r="O268" s="1333"/>
      <c r="P268" s="1333"/>
      <c r="Q268" s="1333"/>
      <c r="R268" s="1453"/>
      <c r="S268" s="1364"/>
      <c r="T268" s="1404"/>
      <c r="U268" s="1333"/>
      <c r="V268" s="1333"/>
      <c r="W268" s="1333"/>
      <c r="X268" s="1333"/>
      <c r="Y268" s="1333"/>
      <c r="Z268" s="1333"/>
      <c r="AA268" s="1333"/>
      <c r="AB268" s="1333"/>
      <c r="AC268" s="1333"/>
      <c r="AD268" s="1333"/>
      <c r="AE268" s="1333"/>
      <c r="AF268" s="1333"/>
      <c r="AG268" s="1333"/>
      <c r="AH268" s="1333"/>
      <c r="AI268" s="1333"/>
      <c r="AJ268" s="1333"/>
    </row>
    <row r="269" spans="1:49" x14ac:dyDescent="0.25">
      <c r="A269" s="1518" t="str">
        <f>IF(COUNTIF('04 - 95% CD'!D269:G269,"Y")&gt;0,"Y",IF(COUNTIF('04 - 95% CD'!D269:G269,"N"),"N",""))</f>
        <v>Y</v>
      </c>
      <c r="B269" s="125"/>
      <c r="C269" s="944"/>
      <c r="D269" s="411"/>
      <c r="E269" s="321"/>
      <c r="F269" s="559" t="str">
        <f>IF('C-Design&amp;Const'!$Q269="","",'C-Design&amp;Const'!$Q269)</f>
        <v>Y</v>
      </c>
      <c r="G269" s="485"/>
      <c r="H269" s="243" t="str">
        <f>CONCATENATE(IF(F269="N","PLACEHOLDER ROW - ",""),'C-Design&amp;Const'!Z269,IF(F269="N","",J269))</f>
        <v>Roof Framing Details (Complete)</v>
      </c>
      <c r="I269" s="137"/>
      <c r="J269" s="578" t="str">
        <f>IF('C-Design&amp;Const'!AI269="","",'C-Design&amp;Const'!AI269)</f>
        <v>(Complete)</v>
      </c>
      <c r="K269" s="285" t="str">
        <f>IF((COUNTIF(D269:G269,"Y")=COUNTIF('04 - 95% CD'!A269,"Y")),"match","no 95% match")</f>
        <v>match</v>
      </c>
      <c r="L269" s="1410" t="str">
        <f t="shared" si="15"/>
        <v/>
      </c>
      <c r="M269" s="1333"/>
      <c r="N269" s="1333"/>
      <c r="O269" s="1333"/>
      <c r="P269" s="1333"/>
      <c r="Q269" s="1333"/>
      <c r="R269" s="1453"/>
      <c r="S269" s="1364"/>
      <c r="T269" s="1404"/>
      <c r="U269" s="1333"/>
      <c r="V269" s="1333"/>
      <c r="W269" s="1333"/>
      <c r="X269" s="1333"/>
      <c r="Y269" s="1333"/>
      <c r="Z269" s="1333"/>
      <c r="AA269" s="1333"/>
      <c r="AB269" s="1333"/>
      <c r="AC269" s="1333"/>
      <c r="AD269" s="1333"/>
      <c r="AE269" s="1333"/>
      <c r="AF269" s="1333"/>
      <c r="AG269" s="1333"/>
      <c r="AH269" s="1333"/>
      <c r="AI269" s="1333"/>
      <c r="AJ269" s="1333"/>
    </row>
    <row r="270" spans="1:49" x14ac:dyDescent="0.25">
      <c r="A270" s="1407" t="str">
        <f>IF(COUNTIF('04 - 95% CD'!D270:G270,"Y")&gt;0,"Y",IF(COUNTIF('04 - 95% CD'!D270:G270,"N"),"N",""))</f>
        <v>Y</v>
      </c>
      <c r="B270" s="125"/>
      <c r="C270" s="944"/>
      <c r="D270" s="411"/>
      <c r="E270" s="559" t="str">
        <f>IF('C-Design&amp;Const'!$Q270="","",'C-Design&amp;Const'!$Q270)</f>
        <v>Y</v>
      </c>
      <c r="F270" s="478"/>
      <c r="G270" s="485"/>
      <c r="H270" s="244" t="str">
        <f>CONCATENATE(IF(F270="N","PLACEHOLDER ROW - ",""),'C-Design&amp;Const'!Z270,IF(F270="N","",J270))</f>
        <v>Plumbing Drawings (Including Bid Alts.)</v>
      </c>
      <c r="I270" s="146"/>
      <c r="J270" s="578" t="str">
        <f>IF('C-Design&amp;Const'!AI270="","",'C-Design&amp;Const'!AI270)</f>
        <v xml:space="preserve"> (Including Bid Alts.)</v>
      </c>
      <c r="K270" s="285" t="str">
        <f>IF((COUNTIF(D270:G270,"Y")=COUNTIF('04 - 95% CD'!A270,"Y")),"match","no 95% match")</f>
        <v>match</v>
      </c>
      <c r="L270" s="1410" t="str">
        <f t="shared" si="15"/>
        <v/>
      </c>
      <c r="M270" s="1333"/>
      <c r="N270" s="1333"/>
      <c r="O270" s="1333"/>
      <c r="P270" s="1333"/>
      <c r="Q270" s="1333"/>
      <c r="R270" s="1453"/>
      <c r="S270" s="1364"/>
      <c r="T270" s="1404"/>
      <c r="U270" s="1333"/>
      <c r="V270" s="1333"/>
      <c r="W270" s="1333"/>
      <c r="X270" s="1333"/>
      <c r="Y270" s="1333"/>
      <c r="Z270" s="1333"/>
      <c r="AA270" s="1333"/>
      <c r="AB270" s="1333"/>
      <c r="AC270" s="1333"/>
      <c r="AD270" s="1333"/>
      <c r="AE270" s="1333"/>
      <c r="AF270" s="1333"/>
      <c r="AG270" s="1333"/>
      <c r="AH270" s="1333"/>
      <c r="AI270" s="1333"/>
      <c r="AJ270" s="1333"/>
    </row>
    <row r="271" spans="1:49" s="30" customFormat="1" ht="13.5" customHeight="1" x14ac:dyDescent="0.25">
      <c r="A271" s="1518" t="str">
        <f>IF(COUNTIF('04 - 95% CD'!D271:G271,"Y")&gt;0,"Y",IF(COUNTIF('04 - 95% CD'!D271:G271,"N"),"N",""))</f>
        <v>N</v>
      </c>
      <c r="B271" s="191"/>
      <c r="C271" s="944"/>
      <c r="D271" s="463"/>
      <c r="E271" s="463"/>
      <c r="F271" s="359" t="str">
        <f>IF('C-Design&amp;Const'!$Q271="","",'C-Design&amp;Const'!$Q271)</f>
        <v>N</v>
      </c>
      <c r="G271" s="291"/>
      <c r="H271" s="469" t="str">
        <f>CONCATENATE(IF(F271="N","PLACEHOLDER ROW - ",""),'C-Design&amp;Const'!Z271,IF(F271="N","",J271))</f>
        <v xml:space="preserve">PLACEHOLDER ROW - CUSTOM - Plumbing  </v>
      </c>
      <c r="I271" s="184"/>
      <c r="J271" s="578" t="str">
        <f>IF('C-Design&amp;Const'!AI271="","",'C-Design&amp;Const'!AI271)</f>
        <v>(Complete)</v>
      </c>
      <c r="K271" s="285" t="str">
        <f>IF((COUNTIF(D271:G271,"Y")=COUNTIF('04 - 95% CD'!A271,"Y")),"match","no 95% match")</f>
        <v>match</v>
      </c>
      <c r="L271" s="1410" t="str">
        <f t="shared" si="15"/>
        <v>&lt;---PM/Planner may hide PLACEHOLDER ROW</v>
      </c>
      <c r="M271" s="1382"/>
      <c r="N271" s="1382"/>
      <c r="O271" s="1382"/>
      <c r="P271" s="1382"/>
      <c r="Q271" s="1382"/>
      <c r="R271" s="1382"/>
      <c r="S271" s="1382"/>
      <c r="T271" s="1382"/>
      <c r="U271" s="1382"/>
      <c r="V271" s="1382"/>
      <c r="W271" s="1382"/>
      <c r="X271" s="1382"/>
      <c r="Y271" s="1382"/>
      <c r="Z271" s="1382"/>
      <c r="AA271" s="1382"/>
      <c r="AB271" s="1382"/>
      <c r="AC271" s="1382"/>
      <c r="AD271" s="1382"/>
      <c r="AE271" s="1382"/>
      <c r="AF271" s="1382"/>
      <c r="AG271" s="1382"/>
      <c r="AH271" s="1382"/>
      <c r="AI271" s="1382"/>
      <c r="AJ271" s="1382"/>
      <c r="AK271" s="181"/>
      <c r="AL271" s="181"/>
      <c r="AM271" s="181"/>
      <c r="AN271" s="181"/>
      <c r="AO271" s="181"/>
      <c r="AP271" s="181"/>
      <c r="AQ271" s="181"/>
      <c r="AR271" s="181"/>
      <c r="AS271" s="181"/>
      <c r="AT271" s="181"/>
      <c r="AU271" s="181"/>
      <c r="AV271" s="181"/>
      <c r="AW271" s="181"/>
    </row>
    <row r="272" spans="1:49" s="30" customFormat="1" ht="13.5" customHeight="1" x14ac:dyDescent="0.25">
      <c r="A272" s="1518" t="str">
        <f>IF(COUNTIF('04 - 95% CD'!D272:G272,"Y")&gt;0,"Y",IF(COUNTIF('04 - 95% CD'!D272:G272,"N"),"N",""))</f>
        <v>N</v>
      </c>
      <c r="B272" s="191"/>
      <c r="C272" s="944"/>
      <c r="D272" s="463"/>
      <c r="E272" s="463"/>
      <c r="F272" s="359" t="str">
        <f>IF('C-Design&amp;Const'!$Q272="","",'C-Design&amp;Const'!$Q272)</f>
        <v>N</v>
      </c>
      <c r="G272" s="291"/>
      <c r="H272" s="469" t="str">
        <f>CONCATENATE(IF(F272="N","PLACEHOLDER ROW - ",""),'C-Design&amp;Const'!Z272,IF(F272="N","",J272))</f>
        <v xml:space="preserve">PLACEHOLDER ROW - CUSTOM - Plumbing  </v>
      </c>
      <c r="I272" s="184"/>
      <c r="J272" s="578" t="str">
        <f>IF('C-Design&amp;Const'!AI272="","",'C-Design&amp;Const'!AI272)</f>
        <v>(Complete)</v>
      </c>
      <c r="K272" s="285" t="str">
        <f>IF((COUNTIF(D272:G272,"Y")=COUNTIF('04 - 95% CD'!A272,"Y")),"match","no 95% match")</f>
        <v>match</v>
      </c>
      <c r="L272" s="1410" t="str">
        <f t="shared" si="15"/>
        <v>&lt;---PM/Planner may hide PLACEHOLDER ROW</v>
      </c>
      <c r="M272" s="1382"/>
      <c r="N272" s="1382"/>
      <c r="O272" s="1382"/>
      <c r="P272" s="1382"/>
      <c r="Q272" s="1382"/>
      <c r="R272" s="1382"/>
      <c r="S272" s="1382"/>
      <c r="T272" s="1382"/>
      <c r="U272" s="1382"/>
      <c r="V272" s="1382"/>
      <c r="W272" s="1382"/>
      <c r="X272" s="1382"/>
      <c r="Y272" s="1382"/>
      <c r="Z272" s="1382"/>
      <c r="AA272" s="1382"/>
      <c r="AB272" s="1382"/>
      <c r="AC272" s="1382"/>
      <c r="AD272" s="1382"/>
      <c r="AE272" s="1382"/>
      <c r="AF272" s="1382"/>
      <c r="AG272" s="1382"/>
      <c r="AH272" s="1382"/>
      <c r="AI272" s="1382"/>
      <c r="AJ272" s="1382"/>
      <c r="AK272" s="181"/>
      <c r="AL272" s="181"/>
      <c r="AM272" s="181"/>
      <c r="AN272" s="181"/>
      <c r="AO272" s="181"/>
      <c r="AP272" s="181"/>
      <c r="AQ272" s="181"/>
      <c r="AR272" s="181"/>
      <c r="AS272" s="181"/>
      <c r="AT272" s="181"/>
      <c r="AU272" s="181"/>
      <c r="AV272" s="181"/>
      <c r="AW272" s="181"/>
    </row>
    <row r="273" spans="1:49" x14ac:dyDescent="0.25">
      <c r="A273" s="1518" t="str">
        <f>IF(COUNTIF('04 - 95% CD'!D273:G273,"Y")&gt;0,"Y",IF(COUNTIF('04 - 95% CD'!D273:G273,"N"),"N",""))</f>
        <v>Y</v>
      </c>
      <c r="B273" s="125"/>
      <c r="C273" s="944"/>
      <c r="D273" s="411"/>
      <c r="E273" s="321"/>
      <c r="F273" s="559" t="str">
        <f>IF('C-Design&amp;Const'!$Q273="","",'C-Design&amp;Const'!$Q273)</f>
        <v>Y</v>
      </c>
      <c r="G273" s="485"/>
      <c r="H273" s="243" t="str">
        <f>CONCATENATE(IF(F273="N","PLACEHOLDER ROW - ",""),'C-Design&amp;Const'!Z273,IF(F273="N","",J273))</f>
        <v>Plumbing Symbols, Abbreviations, and General Notes (Complete)</v>
      </c>
      <c r="I273" s="137"/>
      <c r="J273" s="578" t="str">
        <f>IF('C-Design&amp;Const'!AI273="","",'C-Design&amp;Const'!AI273)</f>
        <v>(Complete)</v>
      </c>
      <c r="K273" s="285" t="str">
        <f>IF((COUNTIF(D273:G273,"Y")=COUNTIF('04 - 95% CD'!A273,"Y")),"match","no 95% match")</f>
        <v>match</v>
      </c>
      <c r="L273" s="1410" t="str">
        <f t="shared" si="15"/>
        <v/>
      </c>
      <c r="M273" s="1333"/>
      <c r="N273" s="1333"/>
      <c r="O273" s="1333"/>
      <c r="P273" s="1333"/>
      <c r="Q273" s="1333"/>
      <c r="R273" s="1453"/>
      <c r="S273" s="1364"/>
      <c r="T273" s="1404"/>
      <c r="U273" s="1333"/>
      <c r="V273" s="1333"/>
      <c r="W273" s="1333"/>
      <c r="X273" s="1333"/>
      <c r="Y273" s="1333"/>
      <c r="Z273" s="1333"/>
      <c r="AA273" s="1333"/>
      <c r="AB273" s="1333"/>
      <c r="AC273" s="1333"/>
      <c r="AD273" s="1333"/>
      <c r="AE273" s="1333"/>
      <c r="AF273" s="1333"/>
      <c r="AG273" s="1333"/>
      <c r="AH273" s="1333"/>
      <c r="AI273" s="1333"/>
      <c r="AJ273" s="1333"/>
    </row>
    <row r="274" spans="1:49" s="545" customFormat="1" ht="13.5" customHeight="1" x14ac:dyDescent="0.25">
      <c r="A274" s="1518" t="str">
        <f>IF(COUNTIF('04 - 95% CD'!D274:G274,"Y")&gt;0,"Y",IF(COUNTIF('04 - 95% CD'!D274:G274,"N"),"N",""))</f>
        <v>Y</v>
      </c>
      <c r="B274" s="554"/>
      <c r="C274" s="944"/>
      <c r="D274" s="463"/>
      <c r="E274" s="463"/>
      <c r="F274" s="359" t="str">
        <f>IF('C-Design&amp;Const'!$Q274="","",'C-Design&amp;Const'!$Q274)</f>
        <v>Y</v>
      </c>
      <c r="G274" s="291"/>
      <c r="H274" s="469" t="str">
        <f>CONCATENATE(IF(F274="N","PLACEHOLDER ROW - ",""),'C-Design&amp;Const'!Z274,IF(F274="N","",J274))</f>
        <v>Plumbing Demolition(s) (Complete)</v>
      </c>
      <c r="I274" s="552"/>
      <c r="J274" s="578" t="str">
        <f>IF('C-Design&amp;Const'!AI274="","",'C-Design&amp;Const'!AI274)</f>
        <v>(Complete)</v>
      </c>
      <c r="K274" s="285" t="str">
        <f>IF((COUNTIF(D274:G274,"Y")=COUNTIF('04 - 95% CD'!A274,"Y")),"match","no 95% match")</f>
        <v>match</v>
      </c>
      <c r="L274" s="1410" t="str">
        <f t="shared" ref="L274" si="16">CONCATENATE(IF(ISNUMBER(SEARCH("Placeholder",H274))=TRUE,"&lt;---PM/Planner may hide PLACEHOLDER ROW",""))</f>
        <v/>
      </c>
      <c r="M274" s="1382"/>
      <c r="N274" s="1382"/>
      <c r="O274" s="1382"/>
      <c r="P274" s="1382"/>
      <c r="Q274" s="1382"/>
      <c r="R274" s="1382"/>
      <c r="S274" s="1382"/>
      <c r="T274" s="1382"/>
      <c r="U274" s="1382"/>
      <c r="V274" s="1382"/>
      <c r="W274" s="1382"/>
      <c r="X274" s="1382"/>
      <c r="Y274" s="1382"/>
      <c r="Z274" s="1382"/>
      <c r="AA274" s="1382"/>
      <c r="AB274" s="1382"/>
      <c r="AC274" s="1382"/>
      <c r="AD274" s="1382"/>
      <c r="AE274" s="1382"/>
      <c r="AF274" s="1382"/>
      <c r="AG274" s="1382"/>
      <c r="AH274" s="1382"/>
      <c r="AI274" s="1382"/>
      <c r="AJ274" s="1382"/>
      <c r="AK274" s="551"/>
      <c r="AL274" s="551"/>
      <c r="AM274" s="551"/>
      <c r="AN274" s="551"/>
      <c r="AO274" s="551"/>
      <c r="AP274" s="551"/>
      <c r="AQ274" s="551"/>
      <c r="AR274" s="551"/>
      <c r="AS274" s="551"/>
      <c r="AT274" s="551"/>
      <c r="AU274" s="551"/>
      <c r="AV274" s="551"/>
      <c r="AW274" s="551"/>
    </row>
    <row r="275" spans="1:49" x14ac:dyDescent="0.25">
      <c r="A275" s="1518" t="str">
        <f>IF(COUNTIF('04 - 95% CD'!D275:G275,"Y")&gt;0,"Y",IF(COUNTIF('04 - 95% CD'!D275:G275,"N"),"N",""))</f>
        <v>Y</v>
      </c>
      <c r="B275" s="125"/>
      <c r="C275" s="944"/>
      <c r="D275" s="411"/>
      <c r="E275" s="321"/>
      <c r="F275" s="559" t="str">
        <f>IF('C-Design&amp;Const'!$Q275="","",'C-Design&amp;Const'!$Q275)</f>
        <v>Y</v>
      </c>
      <c r="G275" s="485"/>
      <c r="H275" s="243" t="str">
        <f>CONCATENATE(IF(F275="N","PLACEHOLDER ROW - ",""),'C-Design&amp;Const'!Z275,IF(F275="N","",J275))</f>
        <v>Plumbing Floor Plans and Roof Plan (Complete)</v>
      </c>
      <c r="I275" s="137"/>
      <c r="J275" s="578" t="str">
        <f>IF('C-Design&amp;Const'!AI275="","",'C-Design&amp;Const'!AI275)</f>
        <v>(Complete)</v>
      </c>
      <c r="K275" s="285" t="str">
        <f>IF((COUNTIF(D275:G275,"Y")=COUNTIF('04 - 95% CD'!A275,"Y")),"match","no 95% match")</f>
        <v>match</v>
      </c>
      <c r="L275" s="1410" t="str">
        <f t="shared" si="15"/>
        <v/>
      </c>
      <c r="M275" s="1333"/>
      <c r="N275" s="1333"/>
      <c r="O275" s="1333"/>
      <c r="P275" s="1333"/>
      <c r="Q275" s="1333"/>
      <c r="R275" s="1453"/>
      <c r="S275" s="1364"/>
      <c r="T275" s="1404"/>
      <c r="U275" s="1333"/>
      <c r="V275" s="1333"/>
      <c r="W275" s="1333"/>
      <c r="X275" s="1333"/>
      <c r="Y275" s="1333"/>
      <c r="Z275" s="1333"/>
      <c r="AA275" s="1333"/>
      <c r="AB275" s="1333"/>
      <c r="AC275" s="1333"/>
      <c r="AD275" s="1333"/>
      <c r="AE275" s="1333"/>
      <c r="AF275" s="1333"/>
      <c r="AG275" s="1333"/>
      <c r="AH275" s="1333"/>
      <c r="AI275" s="1333"/>
      <c r="AJ275" s="1333"/>
    </row>
    <row r="276" spans="1:49" x14ac:dyDescent="0.25">
      <c r="A276" s="1518" t="str">
        <f>IF(COUNTIF('04 - 95% CD'!D276:G276,"Y")&gt;0,"Y",IF(COUNTIF('04 - 95% CD'!D276:G276,"N"),"N",""))</f>
        <v>Y</v>
      </c>
      <c r="B276" s="125"/>
      <c r="C276" s="944"/>
      <c r="D276" s="411"/>
      <c r="E276" s="321"/>
      <c r="F276" s="559" t="str">
        <f>IF('C-Design&amp;Const'!$Q276="","",'C-Design&amp;Const'!$Q276)</f>
        <v>Y</v>
      </c>
      <c r="G276" s="485"/>
      <c r="H276" s="243" t="str">
        <f>CONCATENATE(IF(F276="N","PLACEHOLDER ROW - ",""),'C-Design&amp;Const'!Z276,IF(F276="N","",J276))</f>
        <v>Plumbing Sanitary, Vent, Storm, Water Riser Diagram (Complete)</v>
      </c>
      <c r="I276" s="137"/>
      <c r="J276" s="578" t="str">
        <f>IF('C-Design&amp;Const'!AI276="","",'C-Design&amp;Const'!AI276)</f>
        <v>(Complete)</v>
      </c>
      <c r="K276" s="285" t="str">
        <f>IF((COUNTIF(D276:G276,"Y")=COUNTIF('04 - 95% CD'!A276,"Y")),"match","no 95% match")</f>
        <v>match</v>
      </c>
      <c r="L276" s="1410" t="str">
        <f t="shared" si="15"/>
        <v/>
      </c>
      <c r="M276" s="1333"/>
      <c r="N276" s="1333"/>
      <c r="O276" s="1333"/>
      <c r="P276" s="1333"/>
      <c r="Q276" s="1333"/>
      <c r="R276" s="1453"/>
      <c r="S276" s="1364"/>
      <c r="T276" s="1404"/>
      <c r="U276" s="1333"/>
      <c r="V276" s="1333"/>
      <c r="W276" s="1333"/>
      <c r="X276" s="1333"/>
      <c r="Y276" s="1333"/>
      <c r="Z276" s="1333"/>
      <c r="AA276" s="1333"/>
      <c r="AB276" s="1333"/>
      <c r="AC276" s="1333"/>
      <c r="AD276" s="1333"/>
      <c r="AE276" s="1333"/>
      <c r="AF276" s="1333"/>
      <c r="AG276" s="1333"/>
      <c r="AH276" s="1333"/>
      <c r="AI276" s="1333"/>
      <c r="AJ276" s="1333"/>
    </row>
    <row r="277" spans="1:49" x14ac:dyDescent="0.25">
      <c r="A277" s="1518" t="str">
        <f>IF(COUNTIF('04 - 95% CD'!D277:G277,"Y")&gt;0,"Y",IF(COUNTIF('04 - 95% CD'!D277:G277,"N"),"N",""))</f>
        <v>Y</v>
      </c>
      <c r="B277" s="125"/>
      <c r="C277" s="944"/>
      <c r="D277" s="411"/>
      <c r="E277" s="321"/>
      <c r="F277" s="559" t="str">
        <f>IF('C-Design&amp;Const'!$Q277="","",'C-Design&amp;Const'!$Q277)</f>
        <v>Y</v>
      </c>
      <c r="G277" s="485"/>
      <c r="H277" s="243" t="str">
        <f>CONCATENATE(IF(F277="N","PLACEHOLDER ROW - ",""),'C-Design&amp;Const'!Z277,IF(F277="N","",J277))</f>
        <v>Plumbing Details and Sections (Complete)</v>
      </c>
      <c r="I277" s="137"/>
      <c r="J277" s="578" t="str">
        <f>IF('C-Design&amp;Const'!AI277="","",'C-Design&amp;Const'!AI277)</f>
        <v>(Complete)</v>
      </c>
      <c r="K277" s="285" t="str">
        <f>IF((COUNTIF(D277:G277,"Y")=COUNTIF('04 - 95% CD'!A277,"Y")),"match","no 95% match")</f>
        <v>match</v>
      </c>
      <c r="L277" s="1410" t="str">
        <f t="shared" si="15"/>
        <v/>
      </c>
      <c r="M277" s="1333"/>
      <c r="N277" s="1333"/>
      <c r="O277" s="1333"/>
      <c r="P277" s="1333"/>
      <c r="Q277" s="1333"/>
      <c r="R277" s="1284"/>
      <c r="S277" s="1513"/>
      <c r="T277" s="1404"/>
      <c r="U277" s="1333"/>
      <c r="V277" s="1333"/>
      <c r="W277" s="1333"/>
      <c r="X277" s="1333"/>
      <c r="Y277" s="1333"/>
      <c r="Z277" s="1333"/>
      <c r="AA277" s="1333"/>
      <c r="AB277" s="1333"/>
      <c r="AC277" s="1333"/>
      <c r="AD277" s="1333"/>
      <c r="AE277" s="1333"/>
      <c r="AF277" s="1333"/>
      <c r="AG277" s="1333"/>
      <c r="AH277" s="1333"/>
      <c r="AI277" s="1333"/>
      <c r="AJ277" s="1333"/>
    </row>
    <row r="278" spans="1:49" x14ac:dyDescent="0.25">
      <c r="A278" s="1518" t="str">
        <f>IF(COUNTIF('04 - 95% CD'!D278:G278,"Y")&gt;0,"Y",IF(COUNTIF('04 - 95% CD'!D278:G278,"N"),"N",""))</f>
        <v>Y</v>
      </c>
      <c r="B278" s="125"/>
      <c r="C278" s="944"/>
      <c r="D278" s="411"/>
      <c r="E278" s="321"/>
      <c r="F278" s="559" t="str">
        <f>IF('C-Design&amp;Const'!$Q278="","",'C-Design&amp;Const'!$Q278)</f>
        <v>Y</v>
      </c>
      <c r="G278" s="485"/>
      <c r="H278" s="243" t="str">
        <f>CONCATENATE(IF(F278="N","PLACEHOLDER ROW - ",""),'C-Design&amp;Const'!Z278,IF(F278="N","",J278))</f>
        <v>Plumbing Fixture Schedule (Complete)</v>
      </c>
      <c r="I278" s="137"/>
      <c r="J278" s="578" t="str">
        <f>IF('C-Design&amp;Const'!AI278="","",'C-Design&amp;Const'!AI278)</f>
        <v>(Complete)</v>
      </c>
      <c r="K278" s="285" t="str">
        <f>IF((COUNTIF(D278:G278,"Y")=COUNTIF('04 - 95% CD'!A278,"Y")),"match","no 95% match")</f>
        <v>match</v>
      </c>
      <c r="L278" s="1410" t="str">
        <f t="shared" si="15"/>
        <v/>
      </c>
      <c r="M278" s="1333"/>
      <c r="N278" s="1333"/>
      <c r="O278" s="1333"/>
      <c r="P278" s="1333"/>
      <c r="Q278" s="1333"/>
      <c r="R278" s="1453"/>
      <c r="S278" s="1449"/>
      <c r="T278" s="1404"/>
      <c r="U278" s="1333"/>
      <c r="V278" s="1333"/>
      <c r="W278" s="1333"/>
      <c r="X278" s="1333"/>
      <c r="Y278" s="1333"/>
      <c r="Z278" s="1333"/>
      <c r="AA278" s="1333"/>
      <c r="AB278" s="1333"/>
      <c r="AC278" s="1333"/>
      <c r="AD278" s="1333"/>
      <c r="AE278" s="1333"/>
      <c r="AF278" s="1333"/>
      <c r="AG278" s="1333"/>
      <c r="AH278" s="1333"/>
      <c r="AI278" s="1333"/>
      <c r="AJ278" s="1333"/>
    </row>
    <row r="279" spans="1:49" x14ac:dyDescent="0.25">
      <c r="A279" s="1407" t="str">
        <f>IF(COUNTIF('04 - 95% CD'!D279:G279,"Y")&gt;0,"Y",IF(COUNTIF('04 - 95% CD'!D279:G279,"N"),"N",""))</f>
        <v>Y</v>
      </c>
      <c r="B279" s="125"/>
      <c r="C279" s="944"/>
      <c r="D279" s="411"/>
      <c r="E279" s="559" t="str">
        <f>IF('C-Design&amp;Const'!$Q279="","",'C-Design&amp;Const'!$Q279)</f>
        <v>Y</v>
      </c>
      <c r="F279" s="478"/>
      <c r="G279" s="485"/>
      <c r="H279" s="244" t="str">
        <f>CONCATENATE(IF(F279="N","PLACEHOLDER ROW - ",""),'C-Design&amp;Const'!Z279,IF(F279="N","",J279))</f>
        <v>Fire Protection / Fire Suppression Drawings (Including Bid Alts.)</v>
      </c>
      <c r="I279" s="146"/>
      <c r="J279" s="578" t="str">
        <f>IF('C-Design&amp;Const'!AI279="","",'C-Design&amp;Const'!AI279)</f>
        <v xml:space="preserve"> (Including Bid Alts.)</v>
      </c>
      <c r="K279" s="285" t="str">
        <f>IF((COUNTIF(D279:G279,"Y")=COUNTIF('04 - 95% CD'!A279,"Y")),"match","no 95% match")</f>
        <v>match</v>
      </c>
      <c r="L279" s="1410" t="str">
        <f t="shared" si="15"/>
        <v/>
      </c>
      <c r="M279" s="1333"/>
      <c r="N279" s="1333"/>
      <c r="O279" s="1333"/>
      <c r="P279" s="1333"/>
      <c r="Q279" s="1333"/>
      <c r="R279" s="1453"/>
      <c r="S279" s="1449"/>
      <c r="T279" s="1404"/>
      <c r="U279" s="1333"/>
      <c r="V279" s="1333"/>
      <c r="W279" s="1333"/>
      <c r="X279" s="1333"/>
      <c r="Y279" s="1333"/>
      <c r="Z279" s="1333"/>
      <c r="AA279" s="1333"/>
      <c r="AB279" s="1333"/>
      <c r="AC279" s="1333"/>
      <c r="AD279" s="1333"/>
      <c r="AE279" s="1333"/>
      <c r="AF279" s="1333"/>
      <c r="AG279" s="1333"/>
      <c r="AH279" s="1333"/>
      <c r="AI279" s="1333"/>
      <c r="AJ279" s="1333"/>
    </row>
    <row r="280" spans="1:49" s="30" customFormat="1" ht="13.5" customHeight="1" x14ac:dyDescent="0.25">
      <c r="A280" s="1518" t="str">
        <f>IF(COUNTIF('04 - 95% CD'!D280:G280,"Y")&gt;0,"Y",IF(COUNTIF('04 - 95% CD'!D280:G280,"N"),"N",""))</f>
        <v>N</v>
      </c>
      <c r="B280" s="191"/>
      <c r="C280" s="944"/>
      <c r="D280" s="463"/>
      <c r="E280" s="463"/>
      <c r="F280" s="359" t="str">
        <f>IF('C-Design&amp;Const'!$Q280="","",'C-Design&amp;Const'!$Q280)</f>
        <v>N</v>
      </c>
      <c r="G280" s="291"/>
      <c r="H280" s="469" t="str">
        <f>CONCATENATE(IF(F280="N","PLACEHOLDER ROW - ",""),'C-Design&amp;Const'!Z280,IF(F280="N","",J280))</f>
        <v xml:space="preserve">PLACEHOLDER ROW - CUSTOM - Fire Suppression  </v>
      </c>
      <c r="I280" s="184"/>
      <c r="J280" s="578" t="str">
        <f>IF('C-Design&amp;Const'!AI280="","",'C-Design&amp;Const'!AI280)</f>
        <v>(Complete)</v>
      </c>
      <c r="K280" s="285" t="str">
        <f>IF((COUNTIF(D280:G280,"Y")=COUNTIF('04 - 95% CD'!A280,"Y")),"match","no 95% match")</f>
        <v>match</v>
      </c>
      <c r="L280" s="1410" t="str">
        <f t="shared" si="15"/>
        <v>&lt;---PM/Planner may hide PLACEHOLDER ROW</v>
      </c>
      <c r="M280" s="1382"/>
      <c r="N280" s="1382"/>
      <c r="O280" s="1382"/>
      <c r="P280" s="1382"/>
      <c r="Q280" s="1382"/>
      <c r="R280" s="1382"/>
      <c r="S280" s="1382"/>
      <c r="T280" s="1382"/>
      <c r="U280" s="1382"/>
      <c r="V280" s="1382"/>
      <c r="W280" s="1382"/>
      <c r="X280" s="1382"/>
      <c r="Y280" s="1382"/>
      <c r="Z280" s="1382"/>
      <c r="AA280" s="1382"/>
      <c r="AB280" s="1382"/>
      <c r="AC280" s="1382"/>
      <c r="AD280" s="1382"/>
      <c r="AE280" s="1382"/>
      <c r="AF280" s="1382"/>
      <c r="AG280" s="1382"/>
      <c r="AH280" s="1382"/>
      <c r="AI280" s="1382"/>
      <c r="AJ280" s="1382"/>
      <c r="AK280" s="181"/>
      <c r="AL280" s="181"/>
      <c r="AM280" s="181"/>
      <c r="AN280" s="181"/>
      <c r="AO280" s="181"/>
      <c r="AP280" s="181"/>
      <c r="AQ280" s="181"/>
      <c r="AR280" s="181"/>
      <c r="AS280" s="181"/>
      <c r="AT280" s="181"/>
      <c r="AU280" s="181"/>
      <c r="AV280" s="181"/>
      <c r="AW280" s="181"/>
    </row>
    <row r="281" spans="1:49" s="30" customFormat="1" ht="13.5" customHeight="1" x14ac:dyDescent="0.25">
      <c r="A281" s="1518" t="str">
        <f>IF(COUNTIF('04 - 95% CD'!D281:G281,"Y")&gt;0,"Y",IF(COUNTIF('04 - 95% CD'!D281:G281,"N"),"N",""))</f>
        <v>N</v>
      </c>
      <c r="B281" s="191"/>
      <c r="C281" s="944"/>
      <c r="D281" s="463"/>
      <c r="E281" s="463"/>
      <c r="F281" s="359" t="str">
        <f>IF('C-Design&amp;Const'!$Q281="","",'C-Design&amp;Const'!$Q281)</f>
        <v>N</v>
      </c>
      <c r="G281" s="291"/>
      <c r="H281" s="469" t="str">
        <f>CONCATENATE(IF(F281="N","PLACEHOLDER ROW - ",""),'C-Design&amp;Const'!Z281,IF(F281="N","",J281))</f>
        <v xml:space="preserve">PLACEHOLDER ROW - CUSTOM - Fire Suppression  </v>
      </c>
      <c r="I281" s="184"/>
      <c r="J281" s="578" t="str">
        <f>IF('C-Design&amp;Const'!AI281="","",'C-Design&amp;Const'!AI281)</f>
        <v>(Complete)</v>
      </c>
      <c r="K281" s="285" t="str">
        <f>IF((COUNTIF(D281:G281,"Y")=COUNTIF('04 - 95% CD'!A281,"Y")),"match","no 95% match")</f>
        <v>match</v>
      </c>
      <c r="L281" s="1410" t="str">
        <f t="shared" si="15"/>
        <v>&lt;---PM/Planner may hide PLACEHOLDER ROW</v>
      </c>
      <c r="M281" s="1382"/>
      <c r="N281" s="1382"/>
      <c r="O281" s="1382"/>
      <c r="P281" s="1382"/>
      <c r="Q281" s="1382"/>
      <c r="R281" s="1382"/>
      <c r="S281" s="1382"/>
      <c r="T281" s="1382"/>
      <c r="U281" s="1382"/>
      <c r="V281" s="1382"/>
      <c r="W281" s="1382"/>
      <c r="X281" s="1382"/>
      <c r="Y281" s="1382"/>
      <c r="Z281" s="1382"/>
      <c r="AA281" s="1382"/>
      <c r="AB281" s="1382"/>
      <c r="AC281" s="1382"/>
      <c r="AD281" s="1382"/>
      <c r="AE281" s="1382"/>
      <c r="AF281" s="1382"/>
      <c r="AG281" s="1382"/>
      <c r="AH281" s="1382"/>
      <c r="AI281" s="1382"/>
      <c r="AJ281" s="1382"/>
      <c r="AK281" s="181"/>
      <c r="AL281" s="181"/>
      <c r="AM281" s="181"/>
      <c r="AN281" s="181"/>
      <c r="AO281" s="181"/>
      <c r="AP281" s="181"/>
      <c r="AQ281" s="181"/>
      <c r="AR281" s="181"/>
      <c r="AS281" s="181"/>
      <c r="AT281" s="181"/>
      <c r="AU281" s="181"/>
      <c r="AV281" s="181"/>
      <c r="AW281" s="181"/>
    </row>
    <row r="282" spans="1:49" x14ac:dyDescent="0.25">
      <c r="A282" s="1518" t="str">
        <f>IF(COUNTIF('04 - 95% CD'!D282:G282,"Y")&gt;0,"Y",IF(COUNTIF('04 - 95% CD'!D282:G282,"N"),"N",""))</f>
        <v>Y</v>
      </c>
      <c r="B282" s="125"/>
      <c r="C282" s="944"/>
      <c r="D282" s="411"/>
      <c r="E282" s="321"/>
      <c r="F282" s="559" t="str">
        <f>IF('C-Design&amp;Const'!$Q282="","",'C-Design&amp;Const'!$Q282)</f>
        <v>Y</v>
      </c>
      <c r="G282" s="485"/>
      <c r="H282" s="243" t="str">
        <f>CONCATENATE(IF(F282="N","PLACEHOLDER ROW - ",""),'C-Design&amp;Const'!Z282,IF(F282="N","",J282))</f>
        <v>Sprinkler System Symbols, Abbreviations, and General Notes (Complete)</v>
      </c>
      <c r="I282" s="137"/>
      <c r="J282" s="578" t="str">
        <f>IF('C-Design&amp;Const'!AI282="","",'C-Design&amp;Const'!AI282)</f>
        <v>(Complete)</v>
      </c>
      <c r="K282" s="285" t="str">
        <f>IF((COUNTIF(D282:G282,"Y")=COUNTIF('04 - 95% CD'!A282,"Y")),"match","no 95% match")</f>
        <v>match</v>
      </c>
      <c r="L282" s="1410" t="str">
        <f t="shared" si="15"/>
        <v/>
      </c>
      <c r="M282" s="1333"/>
      <c r="N282" s="1333"/>
      <c r="O282" s="1333"/>
      <c r="P282" s="1333"/>
      <c r="Q282" s="1333"/>
      <c r="R282" s="1453"/>
      <c r="S282" s="1449"/>
      <c r="T282" s="1404"/>
      <c r="U282" s="1333"/>
      <c r="V282" s="1333"/>
      <c r="W282" s="1333"/>
      <c r="X282" s="1333"/>
      <c r="Y282" s="1333"/>
      <c r="Z282" s="1333"/>
      <c r="AA282" s="1333"/>
      <c r="AB282" s="1333"/>
      <c r="AC282" s="1333"/>
      <c r="AD282" s="1333"/>
      <c r="AE282" s="1333"/>
      <c r="AF282" s="1333"/>
      <c r="AG282" s="1333"/>
      <c r="AH282" s="1333"/>
      <c r="AI282" s="1333"/>
      <c r="AJ282" s="1333"/>
    </row>
    <row r="283" spans="1:49" s="545" customFormat="1" ht="13.5" customHeight="1" x14ac:dyDescent="0.25">
      <c r="A283" s="1518" t="str">
        <f>IF(COUNTIF('04 - 95% CD'!D283:G283,"Y")&gt;0,"Y",IF(COUNTIF('04 - 95% CD'!D283:G283,"N"),"N",""))</f>
        <v>Y</v>
      </c>
      <c r="B283" s="554"/>
      <c r="C283" s="944"/>
      <c r="D283" s="463"/>
      <c r="E283" s="463"/>
      <c r="F283" s="359" t="str">
        <f>IF('C-Design&amp;Const'!$Q283="","",'C-Design&amp;Const'!$Q283)</f>
        <v>Y</v>
      </c>
      <c r="G283" s="291"/>
      <c r="H283" s="469" t="str">
        <f>CONCATENATE(IF(F283="N","PLACEHOLDER ROW - ",""),'C-Design&amp;Const'!Z283,IF(F283="N","",J283))</f>
        <v>Sprinkler System Demolition(s) (Complete)</v>
      </c>
      <c r="I283" s="552"/>
      <c r="J283" s="578" t="str">
        <f>IF('C-Design&amp;Const'!AI283="","",'C-Design&amp;Const'!AI283)</f>
        <v>(Complete)</v>
      </c>
      <c r="K283" s="285" t="str">
        <f>IF((COUNTIF(D283:G283,"Y")=COUNTIF('04 - 95% CD'!A283,"Y")),"match","no 95% match")</f>
        <v>match</v>
      </c>
      <c r="L283" s="1410" t="str">
        <f t="shared" si="15"/>
        <v/>
      </c>
      <c r="M283" s="1382"/>
      <c r="N283" s="1382"/>
      <c r="O283" s="1382"/>
      <c r="P283" s="1382"/>
      <c r="Q283" s="1382"/>
      <c r="R283" s="1382"/>
      <c r="S283" s="1382"/>
      <c r="T283" s="1382"/>
      <c r="U283" s="1382"/>
      <c r="V283" s="1382"/>
      <c r="W283" s="1382"/>
      <c r="X283" s="1382"/>
      <c r="Y283" s="1382"/>
      <c r="Z283" s="1382"/>
      <c r="AA283" s="1382"/>
      <c r="AB283" s="1382"/>
      <c r="AC283" s="1382"/>
      <c r="AD283" s="1382"/>
      <c r="AE283" s="1382"/>
      <c r="AF283" s="1382"/>
      <c r="AG283" s="1382"/>
      <c r="AH283" s="1382"/>
      <c r="AI283" s="1382"/>
      <c r="AJ283" s="1382"/>
      <c r="AK283" s="551"/>
      <c r="AL283" s="551"/>
      <c r="AM283" s="551"/>
      <c r="AN283" s="551"/>
      <c r="AO283" s="551"/>
      <c r="AP283" s="551"/>
      <c r="AQ283" s="551"/>
      <c r="AR283" s="551"/>
      <c r="AS283" s="551"/>
      <c r="AT283" s="551"/>
      <c r="AU283" s="551"/>
      <c r="AV283" s="551"/>
      <c r="AW283" s="551"/>
    </row>
    <row r="284" spans="1:49" x14ac:dyDescent="0.25">
      <c r="A284" s="1518" t="str">
        <f>IF(COUNTIF('04 - 95% CD'!D284:G284,"Y")&gt;0,"Y",IF(COUNTIF('04 - 95% CD'!D284:G284,"N"),"N",""))</f>
        <v>Y</v>
      </c>
      <c r="B284" s="125"/>
      <c r="C284" s="944"/>
      <c r="D284" s="411"/>
      <c r="E284" s="321"/>
      <c r="F284" s="559" t="str">
        <f>IF('C-Design&amp;Const'!$Q284="","",'C-Design&amp;Const'!$Q284)</f>
        <v>Y</v>
      </c>
      <c r="G284" s="485"/>
      <c r="H284" s="243" t="str">
        <f>CONCATENATE(IF(F284="N","PLACEHOLDER ROW - ",""),'C-Design&amp;Const'!Z284,IF(F284="N","",J284))</f>
        <v>Sprinkler System Floor Plans (Complete)</v>
      </c>
      <c r="I284" s="137"/>
      <c r="J284" s="578" t="str">
        <f>IF('C-Design&amp;Const'!AI284="","",'C-Design&amp;Const'!AI284)</f>
        <v>(Complete)</v>
      </c>
      <c r="K284" s="285" t="str">
        <f>IF((COUNTIF(D284:G284,"Y")=COUNTIF('04 - 95% CD'!A284,"Y")),"match","no 95% match")</f>
        <v>match</v>
      </c>
      <c r="L284" s="1410" t="str">
        <f t="shared" si="15"/>
        <v/>
      </c>
      <c r="M284" s="1333"/>
      <c r="N284" s="1333"/>
      <c r="O284" s="1333"/>
      <c r="P284" s="1333"/>
      <c r="Q284" s="1333"/>
      <c r="R284" s="1453"/>
      <c r="S284" s="1449"/>
      <c r="T284" s="1404"/>
      <c r="U284" s="1333"/>
      <c r="V284" s="1333"/>
      <c r="W284" s="1333"/>
      <c r="X284" s="1333"/>
      <c r="Y284" s="1333"/>
      <c r="Z284" s="1333"/>
      <c r="AA284" s="1333"/>
      <c r="AB284" s="1333"/>
      <c r="AC284" s="1333"/>
      <c r="AD284" s="1333"/>
      <c r="AE284" s="1333"/>
      <c r="AF284" s="1333"/>
      <c r="AG284" s="1333"/>
      <c r="AH284" s="1333"/>
      <c r="AI284" s="1333"/>
      <c r="AJ284" s="1333"/>
    </row>
    <row r="285" spans="1:49" x14ac:dyDescent="0.25">
      <c r="A285" s="1518" t="str">
        <f>IF(COUNTIF('04 - 95% CD'!D285:G285,"Y")&gt;0,"Y",IF(COUNTIF('04 - 95% CD'!D285:G285,"N"),"N",""))</f>
        <v>Y</v>
      </c>
      <c r="B285" s="125"/>
      <c r="C285" s="944"/>
      <c r="D285" s="411"/>
      <c r="E285" s="321"/>
      <c r="F285" s="559" t="str">
        <f>IF('C-Design&amp;Const'!$Q285="","",'C-Design&amp;Const'!$Q285)</f>
        <v>Y</v>
      </c>
      <c r="G285" s="485"/>
      <c r="H285" s="243" t="str">
        <f>CONCATENATE(IF(F285="N","PLACEHOLDER ROW - ",""),'C-Design&amp;Const'!Z285,IF(F285="N","",J285))</f>
        <v>Sprinkler System Flow and Riser Diagrams (Complete)</v>
      </c>
      <c r="I285" s="137"/>
      <c r="J285" s="578" t="str">
        <f>IF('C-Design&amp;Const'!AI285="","",'C-Design&amp;Const'!AI285)</f>
        <v>(Complete)</v>
      </c>
      <c r="K285" s="285" t="str">
        <f>IF((COUNTIF(D285:G285,"Y")=COUNTIF('04 - 95% CD'!A285,"Y")),"match","no 95% match")</f>
        <v>match</v>
      </c>
      <c r="L285" s="1410" t="str">
        <f t="shared" si="15"/>
        <v/>
      </c>
      <c r="M285" s="1333"/>
      <c r="N285" s="1333"/>
      <c r="O285" s="1333"/>
      <c r="P285" s="1333"/>
      <c r="Q285" s="1333"/>
      <c r="R285" s="1284"/>
      <c r="S285" s="1513"/>
      <c r="T285" s="1404"/>
      <c r="U285" s="1333"/>
      <c r="V285" s="1333"/>
      <c r="W285" s="1333"/>
      <c r="X285" s="1333"/>
      <c r="Y285" s="1333"/>
      <c r="Z285" s="1333"/>
      <c r="AA285" s="1333"/>
      <c r="AB285" s="1333"/>
      <c r="AC285" s="1333"/>
      <c r="AD285" s="1333"/>
      <c r="AE285" s="1333"/>
      <c r="AF285" s="1333"/>
      <c r="AG285" s="1333"/>
      <c r="AH285" s="1333"/>
      <c r="AI285" s="1333"/>
      <c r="AJ285" s="1333"/>
    </row>
    <row r="286" spans="1:49" x14ac:dyDescent="0.25">
      <c r="A286" s="1518" t="str">
        <f>IF(COUNTIF('04 - 95% CD'!D286:G286,"Y")&gt;0,"Y",IF(COUNTIF('04 - 95% CD'!D286:G286,"N"),"N",""))</f>
        <v>Y</v>
      </c>
      <c r="B286" s="125"/>
      <c r="C286" s="944"/>
      <c r="D286" s="411"/>
      <c r="E286" s="321"/>
      <c r="F286" s="559" t="str">
        <f>IF('C-Design&amp;Const'!$Q286="","",'C-Design&amp;Const'!$Q286)</f>
        <v>Y</v>
      </c>
      <c r="G286" s="485"/>
      <c r="H286" s="243" t="str">
        <f>CONCATENATE(IF(F286="N","PLACEHOLDER ROW - ",""),'C-Design&amp;Const'!Z286,IF(F286="N","",J286))</f>
        <v>Sprinkler/Fire Pump Room Large Scale Plan (Complete)</v>
      </c>
      <c r="I286" s="137"/>
      <c r="J286" s="578" t="str">
        <f>IF('C-Design&amp;Const'!AI286="","",'C-Design&amp;Const'!AI286)</f>
        <v>(Complete)</v>
      </c>
      <c r="K286" s="285" t="str">
        <f>IF((COUNTIF(D286:G286,"Y")=COUNTIF('04 - 95% CD'!A286,"Y")),"match","no 95% match")</f>
        <v>match</v>
      </c>
      <c r="L286" s="1410" t="str">
        <f t="shared" si="15"/>
        <v/>
      </c>
      <c r="M286" s="1333"/>
      <c r="N286" s="1333"/>
      <c r="O286" s="1333"/>
      <c r="P286" s="1333"/>
      <c r="Q286" s="1333"/>
      <c r="R286" s="1453"/>
      <c r="S286" s="1364"/>
      <c r="T286" s="1404"/>
      <c r="U286" s="1333"/>
      <c r="V286" s="1333"/>
      <c r="W286" s="1333"/>
      <c r="X286" s="1333"/>
      <c r="Y286" s="1333"/>
      <c r="Z286" s="1333"/>
      <c r="AA286" s="1333"/>
      <c r="AB286" s="1333"/>
      <c r="AC286" s="1333"/>
      <c r="AD286" s="1333"/>
      <c r="AE286" s="1333"/>
      <c r="AF286" s="1333"/>
      <c r="AG286" s="1333"/>
      <c r="AH286" s="1333"/>
      <c r="AI286" s="1333"/>
      <c r="AJ286" s="1333"/>
    </row>
    <row r="287" spans="1:49" x14ac:dyDescent="0.25">
      <c r="A287" s="1518" t="str">
        <f>IF(COUNTIF('04 - 95% CD'!D287:G287,"Y")&gt;0,"Y",IF(COUNTIF('04 - 95% CD'!D287:G287,"N"),"N",""))</f>
        <v>Y</v>
      </c>
      <c r="B287" s="125"/>
      <c r="C287" s="944"/>
      <c r="D287" s="411"/>
      <c r="E287" s="321"/>
      <c r="F287" s="559" t="str">
        <f>IF('C-Design&amp;Const'!$Q287="","",'C-Design&amp;Const'!$Q287)</f>
        <v>Y</v>
      </c>
      <c r="G287" s="485"/>
      <c r="H287" s="243" t="str">
        <f>CONCATENATE(IF(F287="N","PLACEHOLDER ROW - ",""),'C-Design&amp;Const'!Z287,IF(F287="N","",J287))</f>
        <v>Sprinkler System Equipment Schedule (Complete)</v>
      </c>
      <c r="I287" s="137"/>
      <c r="J287" s="578" t="str">
        <f>IF('C-Design&amp;Const'!AI287="","",'C-Design&amp;Const'!AI287)</f>
        <v>(Complete)</v>
      </c>
      <c r="K287" s="285" t="str">
        <f>IF((COUNTIF(D287:G287,"Y")=COUNTIF('04 - 95% CD'!A287,"Y")),"match","no 95% match")</f>
        <v>match</v>
      </c>
      <c r="L287" s="1410" t="str">
        <f t="shared" si="15"/>
        <v/>
      </c>
      <c r="M287" s="1333"/>
      <c r="N287" s="1333"/>
      <c r="O287" s="1333"/>
      <c r="P287" s="1333"/>
      <c r="Q287" s="1333"/>
      <c r="R287" s="1453"/>
      <c r="S287" s="1364"/>
      <c r="T287" s="1404"/>
      <c r="U287" s="1333"/>
      <c r="V287" s="1333"/>
      <c r="W287" s="1333"/>
      <c r="X287" s="1333"/>
      <c r="Y287" s="1333"/>
      <c r="Z287" s="1333"/>
      <c r="AA287" s="1333"/>
      <c r="AB287" s="1333"/>
      <c r="AC287" s="1333"/>
      <c r="AD287" s="1333"/>
      <c r="AE287" s="1333"/>
      <c r="AF287" s="1333"/>
      <c r="AG287" s="1333"/>
      <c r="AH287" s="1333"/>
      <c r="AI287" s="1333"/>
      <c r="AJ287" s="1333"/>
    </row>
    <row r="288" spans="1:49" x14ac:dyDescent="0.25">
      <c r="A288" s="1518" t="str">
        <f>IF(COUNTIF('04 - 95% CD'!D288:G288,"Y")&gt;0,"Y",IF(COUNTIF('04 - 95% CD'!D288:G288,"N"),"N",""))</f>
        <v>Y</v>
      </c>
      <c r="B288" s="125"/>
      <c r="C288" s="944"/>
      <c r="D288" s="411"/>
      <c r="E288" s="321"/>
      <c r="F288" s="559" t="str">
        <f>IF('C-Design&amp;Const'!$Q288="","",'C-Design&amp;Const'!$Q288)</f>
        <v>Y</v>
      </c>
      <c r="G288" s="485"/>
      <c r="H288" s="243" t="str">
        <f>CONCATENATE(IF(F288="N","PLACEHOLDER ROW - ",""),'C-Design&amp;Const'!Z288,IF(F288="N","",J288))</f>
        <v>Sprinkler System Details and Sections (Complete)</v>
      </c>
      <c r="I288" s="137"/>
      <c r="J288" s="578" t="str">
        <f>IF('C-Design&amp;Const'!AI288="","",'C-Design&amp;Const'!AI288)</f>
        <v>(Complete)</v>
      </c>
      <c r="K288" s="285" t="str">
        <f>IF((COUNTIF(D288:G288,"Y")=COUNTIF('04 - 95% CD'!A288,"Y")),"match","no 95% match")</f>
        <v>match</v>
      </c>
      <c r="L288" s="1410" t="str">
        <f t="shared" si="15"/>
        <v/>
      </c>
      <c r="M288" s="1333"/>
      <c r="N288" s="1333"/>
      <c r="O288" s="1333"/>
      <c r="P288" s="1333"/>
      <c r="Q288" s="1333"/>
      <c r="R288" s="1453"/>
      <c r="S288" s="1364"/>
      <c r="T288" s="1404"/>
      <c r="U288" s="1333"/>
      <c r="V288" s="1333"/>
      <c r="W288" s="1333"/>
      <c r="X288" s="1333"/>
      <c r="Y288" s="1333"/>
      <c r="Z288" s="1333"/>
      <c r="AA288" s="1333"/>
      <c r="AB288" s="1333"/>
      <c r="AC288" s="1333"/>
      <c r="AD288" s="1333"/>
      <c r="AE288" s="1333"/>
      <c r="AF288" s="1333"/>
      <c r="AG288" s="1333"/>
      <c r="AH288" s="1333"/>
      <c r="AI288" s="1333"/>
      <c r="AJ288" s="1333"/>
    </row>
    <row r="289" spans="1:49" x14ac:dyDescent="0.25">
      <c r="A289" s="1407" t="str">
        <f>IF(COUNTIF('04 - 95% CD'!D289:G289,"Y")&gt;0,"Y",IF(COUNTIF('04 - 95% CD'!D289:G289,"N"),"N",""))</f>
        <v>Y</v>
      </c>
      <c r="B289" s="125"/>
      <c r="C289" s="944"/>
      <c r="D289" s="411"/>
      <c r="E289" s="559" t="str">
        <f>IF('C-Design&amp;Const'!$Q289="","",'C-Design&amp;Const'!$Q289)</f>
        <v>Y</v>
      </c>
      <c r="F289" s="478"/>
      <c r="G289" s="485"/>
      <c r="H289" s="244" t="str">
        <f>CONCATENATE(IF(F289="N","PLACEHOLDER ROW - ",""),'C-Design&amp;Const'!Z289,IF(F289="N","",J289))</f>
        <v>Heating Drawings (Including Bid Alts.)</v>
      </c>
      <c r="I289" s="146"/>
      <c r="J289" s="578" t="str">
        <f>IF('C-Design&amp;Const'!AI289="","",'C-Design&amp;Const'!AI289)</f>
        <v xml:space="preserve"> (Including Bid Alts.)</v>
      </c>
      <c r="K289" s="285" t="str">
        <f>IF((COUNTIF(D289:G289,"Y")=COUNTIF('04 - 95% CD'!A289,"Y")),"match","no 95% match")</f>
        <v>match</v>
      </c>
      <c r="L289" s="1410" t="str">
        <f t="shared" si="15"/>
        <v/>
      </c>
      <c r="M289" s="1333"/>
      <c r="N289" s="1333"/>
      <c r="O289" s="1333"/>
      <c r="P289" s="1333"/>
      <c r="Q289" s="1333"/>
      <c r="R289" s="1453"/>
      <c r="S289" s="1364"/>
      <c r="T289" s="1404"/>
      <c r="U289" s="1333"/>
      <c r="V289" s="1333"/>
      <c r="W289" s="1333"/>
      <c r="X289" s="1333"/>
      <c r="Y289" s="1333"/>
      <c r="Z289" s="1333"/>
      <c r="AA289" s="1333"/>
      <c r="AB289" s="1333"/>
      <c r="AC289" s="1333"/>
      <c r="AD289" s="1333"/>
      <c r="AE289" s="1333"/>
      <c r="AF289" s="1333"/>
      <c r="AG289" s="1333"/>
      <c r="AH289" s="1333"/>
      <c r="AI289" s="1333"/>
      <c r="AJ289" s="1333"/>
    </row>
    <row r="290" spans="1:49" s="30" customFormat="1" ht="13.5" customHeight="1" x14ac:dyDescent="0.25">
      <c r="A290" s="1518" t="str">
        <f>IF(COUNTIF('04 - 95% CD'!D290:G290,"Y")&gt;0,"Y",IF(COUNTIF('04 - 95% CD'!D290:G290,"N"),"N",""))</f>
        <v>N</v>
      </c>
      <c r="B290" s="191"/>
      <c r="C290" s="944"/>
      <c r="D290" s="463"/>
      <c r="E290" s="463"/>
      <c r="F290" s="359" t="str">
        <f>IF('C-Design&amp;Const'!$Q290="","",'C-Design&amp;Const'!$Q290)</f>
        <v>N</v>
      </c>
      <c r="G290" s="291"/>
      <c r="H290" s="469" t="str">
        <f>CONCATENATE(IF(F290="N","PLACEHOLDER ROW - ",""),'C-Design&amp;Const'!Z290,IF(F290="N","",J290))</f>
        <v xml:space="preserve">PLACEHOLDER ROW - CUSTOM - Heating  </v>
      </c>
      <c r="I290" s="184"/>
      <c r="J290" s="578" t="str">
        <f>IF('C-Design&amp;Const'!AI290="","",'C-Design&amp;Const'!AI290)</f>
        <v>(Complete)</v>
      </c>
      <c r="K290" s="285" t="str">
        <f>IF((COUNTIF(D290:G290,"Y")=COUNTIF('04 - 95% CD'!A290,"Y")),"match","no 95% match")</f>
        <v>match</v>
      </c>
      <c r="L290" s="1410" t="str">
        <f t="shared" si="15"/>
        <v>&lt;---PM/Planner may hide PLACEHOLDER ROW</v>
      </c>
      <c r="M290" s="1382"/>
      <c r="N290" s="1382"/>
      <c r="O290" s="1382"/>
      <c r="P290" s="1382"/>
      <c r="Q290" s="1382"/>
      <c r="R290" s="1382"/>
      <c r="S290" s="1382"/>
      <c r="T290" s="1382"/>
      <c r="U290" s="1382"/>
      <c r="V290" s="1382"/>
      <c r="W290" s="1382"/>
      <c r="X290" s="1382"/>
      <c r="Y290" s="1382"/>
      <c r="Z290" s="1382"/>
      <c r="AA290" s="1382"/>
      <c r="AB290" s="1382"/>
      <c r="AC290" s="1382"/>
      <c r="AD290" s="1382"/>
      <c r="AE290" s="1382"/>
      <c r="AF290" s="1382"/>
      <c r="AG290" s="1382"/>
      <c r="AH290" s="1382"/>
      <c r="AI290" s="1382"/>
      <c r="AJ290" s="1382"/>
      <c r="AK290" s="181"/>
      <c r="AL290" s="181"/>
      <c r="AM290" s="181"/>
      <c r="AN290" s="181"/>
      <c r="AO290" s="181"/>
      <c r="AP290" s="181"/>
      <c r="AQ290" s="181"/>
      <c r="AR290" s="181"/>
      <c r="AS290" s="181"/>
      <c r="AT290" s="181"/>
      <c r="AU290" s="181"/>
      <c r="AV290" s="181"/>
      <c r="AW290" s="181"/>
    </row>
    <row r="291" spans="1:49" s="30" customFormat="1" ht="13.5" customHeight="1" x14ac:dyDescent="0.25">
      <c r="A291" s="1518" t="str">
        <f>IF(COUNTIF('04 - 95% CD'!D291:G291,"Y")&gt;0,"Y",IF(COUNTIF('04 - 95% CD'!D291:G291,"N"),"N",""))</f>
        <v>N</v>
      </c>
      <c r="B291" s="191"/>
      <c r="C291" s="944"/>
      <c r="D291" s="463"/>
      <c r="E291" s="463"/>
      <c r="F291" s="359" t="str">
        <f>IF('C-Design&amp;Const'!$Q291="","",'C-Design&amp;Const'!$Q291)</f>
        <v>N</v>
      </c>
      <c r="G291" s="291"/>
      <c r="H291" s="469" t="str">
        <f>CONCATENATE(IF(F291="N","PLACEHOLDER ROW - ",""),'C-Design&amp;Const'!Z291,IF(F291="N","",J291))</f>
        <v xml:space="preserve">PLACEHOLDER ROW - CUSTOM - Heating  </v>
      </c>
      <c r="I291" s="184"/>
      <c r="J291" s="578" t="str">
        <f>IF('C-Design&amp;Const'!AI291="","",'C-Design&amp;Const'!AI291)</f>
        <v>(Complete)</v>
      </c>
      <c r="K291" s="285" t="str">
        <f>IF((COUNTIF(D291:G291,"Y")=COUNTIF('04 - 95% CD'!A291,"Y")),"match","no 95% match")</f>
        <v>match</v>
      </c>
      <c r="L291" s="1410" t="str">
        <f t="shared" si="15"/>
        <v>&lt;---PM/Planner may hide PLACEHOLDER ROW</v>
      </c>
      <c r="M291" s="1382"/>
      <c r="N291" s="1382"/>
      <c r="O291" s="1382"/>
      <c r="P291" s="1382"/>
      <c r="Q291" s="1382"/>
      <c r="R291" s="1382"/>
      <c r="S291" s="1382"/>
      <c r="T291" s="1382"/>
      <c r="U291" s="1382"/>
      <c r="V291" s="1382"/>
      <c r="W291" s="1382"/>
      <c r="X291" s="1382"/>
      <c r="Y291" s="1382"/>
      <c r="Z291" s="1382"/>
      <c r="AA291" s="1382"/>
      <c r="AB291" s="1382"/>
      <c r="AC291" s="1382"/>
      <c r="AD291" s="1382"/>
      <c r="AE291" s="1382"/>
      <c r="AF291" s="1382"/>
      <c r="AG291" s="1382"/>
      <c r="AH291" s="1382"/>
      <c r="AI291" s="1382"/>
      <c r="AJ291" s="1382"/>
      <c r="AK291" s="181"/>
      <c r="AL291" s="181"/>
      <c r="AM291" s="181"/>
      <c r="AN291" s="181"/>
      <c r="AO291" s="181"/>
      <c r="AP291" s="181"/>
      <c r="AQ291" s="181"/>
      <c r="AR291" s="181"/>
      <c r="AS291" s="181"/>
      <c r="AT291" s="181"/>
      <c r="AU291" s="181"/>
      <c r="AV291" s="181"/>
      <c r="AW291" s="181"/>
    </row>
    <row r="292" spans="1:49" x14ac:dyDescent="0.25">
      <c r="A292" s="1518" t="str">
        <f>IF(COUNTIF('04 - 95% CD'!D292:G292,"Y")&gt;0,"Y",IF(COUNTIF('04 - 95% CD'!D292:G292,"N"),"N",""))</f>
        <v>Y</v>
      </c>
      <c r="B292" s="125"/>
      <c r="C292" s="944"/>
      <c r="D292" s="411"/>
      <c r="E292" s="321"/>
      <c r="F292" s="559" t="str">
        <f>IF('C-Design&amp;Const'!$Q292="","",'C-Design&amp;Const'!$Q292)</f>
        <v>Y</v>
      </c>
      <c r="G292" s="485"/>
      <c r="H292" s="243" t="str">
        <f>CONCATENATE(IF(F292="N","PLACEHOLDER ROW - ",""),'C-Design&amp;Const'!Z292,IF(F292="N","",J292))</f>
        <v>Heating and A/C Symbols, Abbreviations, and General Notes (Complete)</v>
      </c>
      <c r="I292" s="137"/>
      <c r="J292" s="578" t="str">
        <f>IF('C-Design&amp;Const'!AI292="","",'C-Design&amp;Const'!AI292)</f>
        <v>(Complete)</v>
      </c>
      <c r="K292" s="285" t="str">
        <f>IF((COUNTIF(D292:G292,"Y")=COUNTIF('04 - 95% CD'!A292,"Y")),"match","no 95% match")</f>
        <v>match</v>
      </c>
      <c r="L292" s="1410" t="str">
        <f t="shared" si="15"/>
        <v/>
      </c>
      <c r="M292" s="1333"/>
      <c r="N292" s="1333"/>
      <c r="O292" s="1333"/>
      <c r="P292" s="1333"/>
      <c r="Q292" s="1333"/>
      <c r="R292" s="1453"/>
      <c r="S292" s="1364"/>
      <c r="T292" s="1404"/>
      <c r="U292" s="1333"/>
      <c r="V292" s="1333"/>
      <c r="W292" s="1333"/>
      <c r="X292" s="1333"/>
      <c r="Y292" s="1333"/>
      <c r="Z292" s="1333"/>
      <c r="AA292" s="1333"/>
      <c r="AB292" s="1333"/>
      <c r="AC292" s="1333"/>
      <c r="AD292" s="1333"/>
      <c r="AE292" s="1333"/>
      <c r="AF292" s="1333"/>
      <c r="AG292" s="1333"/>
      <c r="AH292" s="1333"/>
      <c r="AI292" s="1333"/>
      <c r="AJ292" s="1333"/>
    </row>
    <row r="293" spans="1:49" s="545" customFormat="1" ht="13.5" customHeight="1" x14ac:dyDescent="0.25">
      <c r="A293" s="1518" t="str">
        <f>IF(COUNTIF('04 - 95% CD'!D293:G293,"Y")&gt;0,"Y",IF(COUNTIF('04 - 95% CD'!D293:G293,"N"),"N",""))</f>
        <v>Y</v>
      </c>
      <c r="B293" s="554"/>
      <c r="C293" s="944"/>
      <c r="D293" s="463"/>
      <c r="E293" s="463"/>
      <c r="F293" s="359" t="str">
        <f>IF('C-Design&amp;Const'!$Q293="","",'C-Design&amp;Const'!$Q293)</f>
        <v>Y</v>
      </c>
      <c r="G293" s="291"/>
      <c r="H293" s="469" t="str">
        <f>CONCATENATE(IF(F293="N","PLACEHOLDER ROW - ",""),'C-Design&amp;Const'!Z293,IF(F293="N","",J293))</f>
        <v>Heating and A/C Demolition(s) (Complete)</v>
      </c>
      <c r="I293" s="552"/>
      <c r="J293" s="578" t="str">
        <f>IF('C-Design&amp;Const'!AI293="","",'C-Design&amp;Const'!AI293)</f>
        <v>(Complete)</v>
      </c>
      <c r="K293" s="285" t="str">
        <f>IF((COUNTIF(D293:G293,"Y")=COUNTIF('04 - 95% CD'!A293,"Y")),"match","no 95% match")</f>
        <v>match</v>
      </c>
      <c r="L293" s="1410" t="str">
        <f t="shared" ref="L293" si="17">CONCATENATE(IF(ISNUMBER(SEARCH("Placeholder",H293))=TRUE,"&lt;---PM/Planner may hide PLACEHOLDER ROW",""))</f>
        <v/>
      </c>
      <c r="M293" s="1382"/>
      <c r="N293" s="1382"/>
      <c r="O293" s="1382"/>
      <c r="P293" s="1382"/>
      <c r="Q293" s="1382"/>
      <c r="R293" s="1382"/>
      <c r="S293" s="1382"/>
      <c r="T293" s="1382"/>
      <c r="U293" s="1382"/>
      <c r="V293" s="1382"/>
      <c r="W293" s="1382"/>
      <c r="X293" s="1382"/>
      <c r="Y293" s="1382"/>
      <c r="Z293" s="1382"/>
      <c r="AA293" s="1382"/>
      <c r="AB293" s="1382"/>
      <c r="AC293" s="1382"/>
      <c r="AD293" s="1382"/>
      <c r="AE293" s="1382"/>
      <c r="AF293" s="1382"/>
      <c r="AG293" s="1382"/>
      <c r="AH293" s="1382"/>
      <c r="AI293" s="1382"/>
      <c r="AJ293" s="1382"/>
      <c r="AK293" s="551"/>
      <c r="AL293" s="551"/>
      <c r="AM293" s="551"/>
      <c r="AN293" s="551"/>
      <c r="AO293" s="551"/>
      <c r="AP293" s="551"/>
      <c r="AQ293" s="551"/>
      <c r="AR293" s="551"/>
      <c r="AS293" s="551"/>
      <c r="AT293" s="551"/>
      <c r="AU293" s="551"/>
      <c r="AV293" s="551"/>
      <c r="AW293" s="551"/>
    </row>
    <row r="294" spans="1:49" x14ac:dyDescent="0.25">
      <c r="A294" s="1518" t="str">
        <f>IF(COUNTIF('04 - 95% CD'!D294:G294,"Y")&gt;0,"Y",IF(COUNTIF('04 - 95% CD'!D294:G294,"N"),"N",""))</f>
        <v>Y</v>
      </c>
      <c r="B294" s="125"/>
      <c r="C294" s="944"/>
      <c r="D294" s="411"/>
      <c r="E294" s="321"/>
      <c r="F294" s="559" t="str">
        <f>IF('C-Design&amp;Const'!$Q294="","",'C-Design&amp;Const'!$Q294)</f>
        <v>Y</v>
      </c>
      <c r="G294" s="485"/>
      <c r="H294" s="243" t="str">
        <f>CONCATENATE(IF(F294="N","PLACEHOLDER ROW - ",""),'C-Design&amp;Const'!Z294,IF(F294="N","",J294))</f>
        <v>Heating and A/C Floor Plans (Complete)</v>
      </c>
      <c r="I294" s="137"/>
      <c r="J294" s="578" t="str">
        <f>IF('C-Design&amp;Const'!AI294="","",'C-Design&amp;Const'!AI294)</f>
        <v>(Complete)</v>
      </c>
      <c r="K294" s="285" t="str">
        <f>IF((COUNTIF(D294:G294,"Y")=COUNTIF('04 - 95% CD'!A294,"Y")),"match","no 95% match")</f>
        <v>match</v>
      </c>
      <c r="L294" s="1410" t="str">
        <f t="shared" si="15"/>
        <v/>
      </c>
      <c r="M294" s="1333"/>
      <c r="N294" s="1333"/>
      <c r="O294" s="1333"/>
      <c r="P294" s="1333"/>
      <c r="Q294" s="1333"/>
      <c r="R294" s="1284"/>
      <c r="S294" s="1513"/>
      <c r="T294" s="1404"/>
      <c r="U294" s="1333"/>
      <c r="V294" s="1333"/>
      <c r="W294" s="1333"/>
      <c r="X294" s="1333"/>
      <c r="Y294" s="1333"/>
      <c r="Z294" s="1333"/>
      <c r="AA294" s="1333"/>
      <c r="AB294" s="1333"/>
      <c r="AC294" s="1333"/>
      <c r="AD294" s="1333"/>
      <c r="AE294" s="1333"/>
      <c r="AF294" s="1333"/>
      <c r="AG294" s="1333"/>
      <c r="AH294" s="1333"/>
      <c r="AI294" s="1333"/>
      <c r="AJ294" s="1333"/>
    </row>
    <row r="295" spans="1:49" x14ac:dyDescent="0.25">
      <c r="A295" s="1518" t="str">
        <f>IF(COUNTIF('04 - 95% CD'!D295:G295,"Y")&gt;0,"Y",IF(COUNTIF('04 - 95% CD'!D295:G295,"N"),"N",""))</f>
        <v>Y</v>
      </c>
      <c r="B295" s="125"/>
      <c r="C295" s="944"/>
      <c r="D295" s="411"/>
      <c r="E295" s="321"/>
      <c r="F295" s="559" t="str">
        <f>IF('C-Design&amp;Const'!$Q295="","",'C-Design&amp;Const'!$Q295)</f>
        <v>Y</v>
      </c>
      <c r="G295" s="485"/>
      <c r="H295" s="243" t="str">
        <f>CONCATENATE(IF(F295="N","PLACEHOLDER ROW - ",""),'C-Design&amp;Const'!Z295,IF(F295="N","",J295))</f>
        <v>Heating and Cooling Piping Isometrics/Flow Diagrams (Complete)</v>
      </c>
      <c r="I295" s="137"/>
      <c r="J295" s="578" t="str">
        <f>IF('C-Design&amp;Const'!AI295="","",'C-Design&amp;Const'!AI295)</f>
        <v>(Complete)</v>
      </c>
      <c r="K295" s="285" t="str">
        <f>IF((COUNTIF(D295:G295,"Y")=COUNTIF('04 - 95% CD'!A295,"Y")),"match","no 95% match")</f>
        <v>match</v>
      </c>
      <c r="L295" s="1410" t="str">
        <f t="shared" si="15"/>
        <v/>
      </c>
      <c r="M295" s="1333"/>
      <c r="N295" s="1333"/>
      <c r="O295" s="1333"/>
      <c r="P295" s="1333"/>
      <c r="Q295" s="1333"/>
      <c r="R295" s="1453"/>
      <c r="S295" s="1364"/>
      <c r="T295" s="1404"/>
      <c r="U295" s="1333"/>
      <c r="V295" s="1333"/>
      <c r="W295" s="1333"/>
      <c r="X295" s="1333"/>
      <c r="Y295" s="1333"/>
      <c r="Z295" s="1333"/>
      <c r="AA295" s="1333"/>
      <c r="AB295" s="1333"/>
      <c r="AC295" s="1333"/>
      <c r="AD295" s="1333"/>
      <c r="AE295" s="1333"/>
      <c r="AF295" s="1333"/>
      <c r="AG295" s="1333"/>
      <c r="AH295" s="1333"/>
      <c r="AI295" s="1333"/>
      <c r="AJ295" s="1333"/>
    </row>
    <row r="296" spans="1:49" x14ac:dyDescent="0.25">
      <c r="A296" s="1518" t="str">
        <f>IF(COUNTIF('04 - 95% CD'!D296:G296,"Y")&gt;0,"Y",IF(COUNTIF('04 - 95% CD'!D296:G296,"N"),"N",""))</f>
        <v>Y</v>
      </c>
      <c r="B296" s="125"/>
      <c r="C296" s="944"/>
      <c r="D296" s="411"/>
      <c r="E296" s="321"/>
      <c r="F296" s="559" t="str">
        <f>IF('C-Design&amp;Const'!$Q296="","",'C-Design&amp;Const'!$Q296)</f>
        <v>Y</v>
      </c>
      <c r="G296" s="485"/>
      <c r="H296" s="243" t="str">
        <f>CONCATENATE(IF(F296="N","PLACEHOLDER ROW - ",""),'C-Design&amp;Const'!Z296,IF(F296="N","",J296))</f>
        <v>Heating and A/C Large Scale Mechanical Room Plans (Complete)</v>
      </c>
      <c r="I296" s="137"/>
      <c r="J296" s="578" t="str">
        <f>IF('C-Design&amp;Const'!AI296="","",'C-Design&amp;Const'!AI296)</f>
        <v>(Complete)</v>
      </c>
      <c r="K296" s="285" t="str">
        <f>IF((COUNTIF(D296:G296,"Y")=COUNTIF('04 - 95% CD'!A296,"Y")),"match","no 95% match")</f>
        <v>match</v>
      </c>
      <c r="L296" s="1410" t="str">
        <f t="shared" si="15"/>
        <v/>
      </c>
      <c r="M296" s="1333"/>
      <c r="N296" s="1333"/>
      <c r="O296" s="1333"/>
      <c r="P296" s="1333"/>
      <c r="Q296" s="1333"/>
      <c r="R296" s="1453"/>
      <c r="S296" s="1364"/>
      <c r="T296" s="1404"/>
      <c r="U296" s="1333"/>
      <c r="V296" s="1333"/>
      <c r="W296" s="1333"/>
      <c r="X296" s="1333"/>
      <c r="Y296" s="1333"/>
      <c r="Z296" s="1333"/>
      <c r="AA296" s="1333"/>
      <c r="AB296" s="1333"/>
      <c r="AC296" s="1333"/>
      <c r="AD296" s="1333"/>
      <c r="AE296" s="1333"/>
      <c r="AF296" s="1333"/>
      <c r="AG296" s="1333"/>
      <c r="AH296" s="1333"/>
      <c r="AI296" s="1333"/>
      <c r="AJ296" s="1333"/>
    </row>
    <row r="297" spans="1:49" x14ac:dyDescent="0.25">
      <c r="A297" s="1518" t="str">
        <f>IF(COUNTIF('04 - 95% CD'!D297:G297,"Y")&gt;0,"Y",IF(COUNTIF('04 - 95% CD'!D297:G297,"N"),"N",""))</f>
        <v>Y</v>
      </c>
      <c r="B297" s="125"/>
      <c r="C297" s="944"/>
      <c r="D297" s="411"/>
      <c r="E297" s="321"/>
      <c r="F297" s="559" t="str">
        <f>IF('C-Design&amp;Const'!$Q297="","",'C-Design&amp;Const'!$Q297)</f>
        <v>Y</v>
      </c>
      <c r="G297" s="485"/>
      <c r="H297" s="243" t="str">
        <f>CONCATENATE(IF(F297="N","PLACEHOLDER ROW - ",""),'C-Design&amp;Const'!Z297,IF(F297="N","",J297))</f>
        <v>Heating and A/C Equipment Schedule (Complete)</v>
      </c>
      <c r="I297" s="137"/>
      <c r="J297" s="578" t="str">
        <f>IF('C-Design&amp;Const'!AI297="","",'C-Design&amp;Const'!AI297)</f>
        <v>(Complete)</v>
      </c>
      <c r="K297" s="285" t="str">
        <f>IF((COUNTIF(D297:G297,"Y")=COUNTIF('04 - 95% CD'!A297,"Y")),"match","no 95% match")</f>
        <v>match</v>
      </c>
      <c r="L297" s="1410" t="str">
        <f t="shared" si="15"/>
        <v/>
      </c>
      <c r="M297" s="1333"/>
      <c r="N297" s="1333"/>
      <c r="O297" s="1333"/>
      <c r="P297" s="1333"/>
      <c r="Q297" s="1333"/>
      <c r="R297" s="1453"/>
      <c r="S297" s="1364"/>
      <c r="T297" s="1404"/>
      <c r="U297" s="1333"/>
      <c r="V297" s="1333"/>
      <c r="W297" s="1333"/>
      <c r="X297" s="1333"/>
      <c r="Y297" s="1333"/>
      <c r="Z297" s="1333"/>
      <c r="AA297" s="1333"/>
      <c r="AB297" s="1333"/>
      <c r="AC297" s="1333"/>
      <c r="AD297" s="1333"/>
      <c r="AE297" s="1333"/>
      <c r="AF297" s="1333"/>
      <c r="AG297" s="1333"/>
      <c r="AH297" s="1333"/>
      <c r="AI297" s="1333"/>
      <c r="AJ297" s="1333"/>
    </row>
    <row r="298" spans="1:49" x14ac:dyDescent="0.25">
      <c r="A298" s="1518" t="str">
        <f>IF(COUNTIF('04 - 95% CD'!D298:G298,"Y")&gt;0,"Y",IF(COUNTIF('04 - 95% CD'!D298:G298,"N"),"N",""))</f>
        <v>Y</v>
      </c>
      <c r="B298" s="125"/>
      <c r="C298" s="944"/>
      <c r="D298" s="411"/>
      <c r="E298" s="321"/>
      <c r="F298" s="559" t="str">
        <f>IF('C-Design&amp;Const'!$Q298="","",'C-Design&amp;Const'!$Q298)</f>
        <v>Y</v>
      </c>
      <c r="G298" s="521"/>
      <c r="H298" s="1030" t="str">
        <f>CONCATENATE(IF(F298="N","PLACEHOLDER ROW - ",""),'C-Design&amp;Const'!Z298,IF(F298="N","",J298))</f>
        <v>Heating and A/C Details and Sections (Complete)</v>
      </c>
      <c r="I298" s="137"/>
      <c r="J298" s="578" t="str">
        <f>IF('C-Design&amp;Const'!AI298="","",'C-Design&amp;Const'!AI298)</f>
        <v>(Complete)</v>
      </c>
      <c r="K298" s="285" t="str">
        <f>IF((COUNTIF(D298:G298,"Y")=COUNTIF('04 - 95% CD'!A298,"Y")),"match","no 95% match")</f>
        <v>match</v>
      </c>
      <c r="L298" s="1410" t="str">
        <f t="shared" si="15"/>
        <v/>
      </c>
      <c r="M298" s="1333"/>
      <c r="N298" s="1333"/>
      <c r="O298" s="1333"/>
      <c r="P298" s="1333"/>
      <c r="Q298" s="1333"/>
      <c r="R298" s="1453"/>
      <c r="S298" s="1364"/>
      <c r="T298" s="1404"/>
      <c r="U298" s="1333"/>
      <c r="V298" s="1333"/>
      <c r="W298" s="1333"/>
      <c r="X298" s="1333"/>
      <c r="Y298" s="1333"/>
      <c r="Z298" s="1333"/>
      <c r="AA298" s="1333"/>
      <c r="AB298" s="1333"/>
      <c r="AC298" s="1333"/>
      <c r="AD298" s="1333"/>
      <c r="AE298" s="1333"/>
      <c r="AF298" s="1333"/>
      <c r="AG298" s="1333"/>
      <c r="AH298" s="1333"/>
      <c r="AI298" s="1333"/>
      <c r="AJ298" s="1333"/>
    </row>
    <row r="299" spans="1:49" x14ac:dyDescent="0.25">
      <c r="A299" s="1407" t="str">
        <f>IF(COUNTIF('04 - 95% CD'!D299:G299,"Y")&gt;0,"Y",IF(COUNTIF('04 - 95% CD'!D299:G299,"N"),"N",""))</f>
        <v>Y</v>
      </c>
      <c r="B299" s="125"/>
      <c r="C299" s="944"/>
      <c r="D299" s="411"/>
      <c r="E299" s="559" t="str">
        <f>IF('C-Design&amp;Const'!$Q299="","",'C-Design&amp;Const'!$Q299)</f>
        <v>Y</v>
      </c>
      <c r="F299" s="560"/>
      <c r="G299" s="558"/>
      <c r="H299" s="244" t="str">
        <f>CONCATENATE(IF(F299="N","PLACEHOLDER ROW - ",""),'C-Design&amp;Const'!Z299,IF(F299="N","",J299))</f>
        <v>Ventilation Drawings (Including Bid Alts.)</v>
      </c>
      <c r="I299" s="146"/>
      <c r="J299" s="578" t="str">
        <f>IF('C-Design&amp;Const'!AI299="","",'C-Design&amp;Const'!AI299)</f>
        <v xml:space="preserve"> (Including Bid Alts.)</v>
      </c>
      <c r="K299" s="285" t="str">
        <f>IF((COUNTIF(D299:G299,"Y")=COUNTIF('04 - 95% CD'!A299,"Y")),"match","no 95% match")</f>
        <v>match</v>
      </c>
      <c r="L299" s="1410" t="str">
        <f t="shared" si="15"/>
        <v/>
      </c>
      <c r="M299" s="1333"/>
      <c r="N299" s="1333"/>
      <c r="O299" s="1333"/>
      <c r="P299" s="1333"/>
      <c r="Q299" s="1333"/>
      <c r="R299" s="1453"/>
      <c r="S299" s="1364"/>
      <c r="T299" s="1404"/>
      <c r="U299" s="1333"/>
      <c r="V299" s="1333"/>
      <c r="W299" s="1333"/>
      <c r="X299" s="1333"/>
      <c r="Y299" s="1333"/>
      <c r="Z299" s="1333"/>
      <c r="AA299" s="1333"/>
      <c r="AB299" s="1333"/>
      <c r="AC299" s="1333"/>
      <c r="AD299" s="1333"/>
      <c r="AE299" s="1333"/>
      <c r="AF299" s="1333"/>
      <c r="AG299" s="1333"/>
      <c r="AH299" s="1333"/>
      <c r="AI299" s="1333"/>
      <c r="AJ299" s="1333"/>
    </row>
    <row r="300" spans="1:49" s="30" customFormat="1" ht="13.5" customHeight="1" x14ac:dyDescent="0.25">
      <c r="A300" s="1518" t="str">
        <f>IF(COUNTIF('04 - 95% CD'!D300:G300,"Y")&gt;0,"Y",IF(COUNTIF('04 - 95% CD'!D300:G300,"N"),"N",""))</f>
        <v>N</v>
      </c>
      <c r="B300" s="191"/>
      <c r="C300" s="944"/>
      <c r="D300" s="463"/>
      <c r="E300" s="463"/>
      <c r="F300" s="359" t="str">
        <f>IF('C-Design&amp;Const'!$Q300="","",'C-Design&amp;Const'!$Q300)</f>
        <v>N</v>
      </c>
      <c r="G300" s="291"/>
      <c r="H300" s="469" t="str">
        <f>CONCATENATE(IF(F300="N","PLACEHOLDER ROW - ",""),'C-Design&amp;Const'!Z300,IF(F300="N","",J300))</f>
        <v xml:space="preserve">PLACEHOLDER ROW - CUSTOM - Ventilation  </v>
      </c>
      <c r="I300" s="184"/>
      <c r="J300" s="578" t="str">
        <f>IF('C-Design&amp;Const'!AI300="","",'C-Design&amp;Const'!AI300)</f>
        <v>(Complete)</v>
      </c>
      <c r="K300" s="285" t="str">
        <f>IF((COUNTIF(D300:G300,"Y")=COUNTIF('04 - 95% CD'!A300,"Y")),"match","no 95% match")</f>
        <v>match</v>
      </c>
      <c r="L300" s="1410" t="str">
        <f t="shared" si="15"/>
        <v>&lt;---PM/Planner may hide PLACEHOLDER ROW</v>
      </c>
      <c r="M300" s="1382"/>
      <c r="N300" s="1382"/>
      <c r="O300" s="1382"/>
      <c r="P300" s="1382"/>
      <c r="Q300" s="1382"/>
      <c r="R300" s="1382"/>
      <c r="S300" s="1382"/>
      <c r="T300" s="1382"/>
      <c r="U300" s="1382"/>
      <c r="V300" s="1382"/>
      <c r="W300" s="1382"/>
      <c r="X300" s="1382"/>
      <c r="Y300" s="1382"/>
      <c r="Z300" s="1382"/>
      <c r="AA300" s="1382"/>
      <c r="AB300" s="1382"/>
      <c r="AC300" s="1382"/>
      <c r="AD300" s="1382"/>
      <c r="AE300" s="1382"/>
      <c r="AF300" s="1382"/>
      <c r="AG300" s="1382"/>
      <c r="AH300" s="1382"/>
      <c r="AI300" s="1382"/>
      <c r="AJ300" s="1382"/>
      <c r="AK300" s="181"/>
      <c r="AL300" s="181"/>
      <c r="AM300" s="181"/>
      <c r="AN300" s="181"/>
      <c r="AO300" s="181"/>
      <c r="AP300" s="181"/>
      <c r="AQ300" s="181"/>
      <c r="AR300" s="181"/>
      <c r="AS300" s="181"/>
      <c r="AT300" s="181"/>
      <c r="AU300" s="181"/>
      <c r="AV300" s="181"/>
      <c r="AW300" s="181"/>
    </row>
    <row r="301" spans="1:49" s="30" customFormat="1" ht="13.5" customHeight="1" x14ac:dyDescent="0.25">
      <c r="A301" s="1518" t="str">
        <f>IF(COUNTIF('04 - 95% CD'!D301:G301,"Y")&gt;0,"Y",IF(COUNTIF('04 - 95% CD'!D301:G301,"N"),"N",""))</f>
        <v>N</v>
      </c>
      <c r="B301" s="191"/>
      <c r="C301" s="944"/>
      <c r="D301" s="463"/>
      <c r="E301" s="463"/>
      <c r="F301" s="359" t="str">
        <f>IF('C-Design&amp;Const'!$Q301="","",'C-Design&amp;Const'!$Q301)</f>
        <v>N</v>
      </c>
      <c r="G301" s="291"/>
      <c r="H301" s="469" t="str">
        <f>CONCATENATE(IF(F301="N","PLACEHOLDER ROW - ",""),'C-Design&amp;Const'!Z301,IF(F301="N","",J301))</f>
        <v xml:space="preserve">PLACEHOLDER ROW - CUSTOM - Ventilation  </v>
      </c>
      <c r="I301" s="184"/>
      <c r="J301" s="578" t="str">
        <f>IF('C-Design&amp;Const'!AI301="","",'C-Design&amp;Const'!AI301)</f>
        <v>(Complete)</v>
      </c>
      <c r="K301" s="285" t="str">
        <f>IF((COUNTIF(D301:G301,"Y")=COUNTIF('04 - 95% CD'!A301,"Y")),"match","no 95% match")</f>
        <v>match</v>
      </c>
      <c r="L301" s="1410" t="str">
        <f t="shared" si="15"/>
        <v>&lt;---PM/Planner may hide PLACEHOLDER ROW</v>
      </c>
      <c r="M301" s="1382"/>
      <c r="N301" s="1382"/>
      <c r="O301" s="1382"/>
      <c r="P301" s="1382"/>
      <c r="Q301" s="1382"/>
      <c r="R301" s="1382"/>
      <c r="S301" s="1382"/>
      <c r="T301" s="1382"/>
      <c r="U301" s="1382"/>
      <c r="V301" s="1382"/>
      <c r="W301" s="1382"/>
      <c r="X301" s="1382"/>
      <c r="Y301" s="1382"/>
      <c r="Z301" s="1382"/>
      <c r="AA301" s="1382"/>
      <c r="AB301" s="1382"/>
      <c r="AC301" s="1382"/>
      <c r="AD301" s="1382"/>
      <c r="AE301" s="1382"/>
      <c r="AF301" s="1382"/>
      <c r="AG301" s="1382"/>
      <c r="AH301" s="1382"/>
      <c r="AI301" s="1382"/>
      <c r="AJ301" s="1382"/>
      <c r="AK301" s="181"/>
      <c r="AL301" s="181"/>
      <c r="AM301" s="181"/>
      <c r="AN301" s="181"/>
      <c r="AO301" s="181"/>
      <c r="AP301" s="181"/>
      <c r="AQ301" s="181"/>
      <c r="AR301" s="181"/>
      <c r="AS301" s="181"/>
      <c r="AT301" s="181"/>
      <c r="AU301" s="181"/>
      <c r="AV301" s="181"/>
      <c r="AW301" s="181"/>
    </row>
    <row r="302" spans="1:49" x14ac:dyDescent="0.25">
      <c r="A302" s="1518" t="str">
        <f>IF(COUNTIF('04 - 95% CD'!D302:G302,"Y")&gt;0,"Y",IF(COUNTIF('04 - 95% CD'!D302:G302,"N"),"N",""))</f>
        <v>Y</v>
      </c>
      <c r="B302" s="125"/>
      <c r="C302" s="944"/>
      <c r="D302" s="411"/>
      <c r="E302" s="321"/>
      <c r="F302" s="559" t="str">
        <f>IF('C-Design&amp;Const'!$Q302="","",'C-Design&amp;Const'!$Q302)</f>
        <v>Y</v>
      </c>
      <c r="G302" s="485"/>
      <c r="H302" s="243" t="str">
        <f>CONCATENATE(IF(F302="N","PLACEHOLDER ROW - ",""),'C-Design&amp;Const'!Z302,IF(F302="N","",J302))</f>
        <v>Ventilation Symbols, Abbreviations, and General Notes (Complete)</v>
      </c>
      <c r="I302" s="137"/>
      <c r="J302" s="578" t="str">
        <f>IF('C-Design&amp;Const'!AI302="","",'C-Design&amp;Const'!AI302)</f>
        <v>(Complete)</v>
      </c>
      <c r="K302" s="285" t="str">
        <f>IF((COUNTIF(D302:G302,"Y")=COUNTIF('04 - 95% CD'!A302,"Y")),"match","no 95% match")</f>
        <v>match</v>
      </c>
      <c r="L302" s="1410" t="str">
        <f t="shared" si="15"/>
        <v/>
      </c>
      <c r="M302" s="1333"/>
      <c r="N302" s="1333"/>
      <c r="O302" s="1333"/>
      <c r="P302" s="1333"/>
      <c r="Q302" s="1333"/>
      <c r="R302" s="1284"/>
      <c r="S302" s="1513"/>
      <c r="T302" s="1404"/>
      <c r="U302" s="1333"/>
      <c r="V302" s="1333"/>
      <c r="W302" s="1333"/>
      <c r="X302" s="1333"/>
      <c r="Y302" s="1333"/>
      <c r="Z302" s="1333"/>
      <c r="AA302" s="1333"/>
      <c r="AB302" s="1333"/>
      <c r="AC302" s="1333"/>
      <c r="AD302" s="1333"/>
      <c r="AE302" s="1333"/>
      <c r="AF302" s="1333"/>
      <c r="AG302" s="1333"/>
      <c r="AH302" s="1333"/>
      <c r="AI302" s="1333"/>
      <c r="AJ302" s="1333"/>
    </row>
    <row r="303" spans="1:49" s="545" customFormat="1" ht="13.5" customHeight="1" x14ac:dyDescent="0.25">
      <c r="A303" s="1518" t="str">
        <f>IF(COUNTIF('04 - 95% CD'!D303:G303,"Y")&gt;0,"Y",IF(COUNTIF('04 - 95% CD'!D303:G303,"N"),"N",""))</f>
        <v>Y</v>
      </c>
      <c r="B303" s="554"/>
      <c r="C303" s="944"/>
      <c r="D303" s="463"/>
      <c r="E303" s="463"/>
      <c r="F303" s="359" t="str">
        <f>IF('C-Design&amp;Const'!$Q303="","",'C-Design&amp;Const'!$Q303)</f>
        <v>Y</v>
      </c>
      <c r="G303" s="291"/>
      <c r="H303" s="469" t="str">
        <f>CONCATENATE(IF(F303="N","PLACEHOLDER ROW - ",""),'C-Design&amp;Const'!Z303,IF(F303="N","",J303))</f>
        <v>Ventilation Demolition(s) (Complete)</v>
      </c>
      <c r="I303" s="552"/>
      <c r="J303" s="578" t="str">
        <f>IF('C-Design&amp;Const'!AI303="","",'C-Design&amp;Const'!AI303)</f>
        <v>(Complete)</v>
      </c>
      <c r="K303" s="285" t="str">
        <f>IF((COUNTIF(D303:G303,"Y")=COUNTIF('04 - 95% CD'!A303,"Y")),"match","no 95% match")</f>
        <v>match</v>
      </c>
      <c r="L303" s="1410" t="str">
        <f t="shared" si="15"/>
        <v/>
      </c>
      <c r="M303" s="1382"/>
      <c r="N303" s="1382"/>
      <c r="O303" s="1382"/>
      <c r="P303" s="1382"/>
      <c r="Q303" s="1382"/>
      <c r="R303" s="1382"/>
      <c r="S303" s="1382"/>
      <c r="T303" s="1382"/>
      <c r="U303" s="1382"/>
      <c r="V303" s="1382"/>
      <c r="W303" s="1382"/>
      <c r="X303" s="1382"/>
      <c r="Y303" s="1382"/>
      <c r="Z303" s="1382"/>
      <c r="AA303" s="1382"/>
      <c r="AB303" s="1382"/>
      <c r="AC303" s="1382"/>
      <c r="AD303" s="1382"/>
      <c r="AE303" s="1382"/>
      <c r="AF303" s="1382"/>
      <c r="AG303" s="1382"/>
      <c r="AH303" s="1382"/>
      <c r="AI303" s="1382"/>
      <c r="AJ303" s="1382"/>
      <c r="AK303" s="551"/>
      <c r="AL303" s="551"/>
      <c r="AM303" s="551"/>
      <c r="AN303" s="551"/>
      <c r="AO303" s="551"/>
      <c r="AP303" s="551"/>
      <c r="AQ303" s="551"/>
      <c r="AR303" s="551"/>
      <c r="AS303" s="551"/>
      <c r="AT303" s="551"/>
      <c r="AU303" s="551"/>
      <c r="AV303" s="551"/>
      <c r="AW303" s="551"/>
    </row>
    <row r="304" spans="1:49" x14ac:dyDescent="0.25">
      <c r="A304" s="1518" t="str">
        <f>IF(COUNTIF('04 - 95% CD'!D304:G304,"Y")&gt;0,"Y",IF(COUNTIF('04 - 95% CD'!D304:G304,"N"),"N",""))</f>
        <v>Y</v>
      </c>
      <c r="B304" s="125"/>
      <c r="C304" s="944"/>
      <c r="D304" s="411"/>
      <c r="E304" s="321"/>
      <c r="F304" s="559" t="str">
        <f>IF('C-Design&amp;Const'!$Q304="","",'C-Design&amp;Const'!$Q304)</f>
        <v>Y</v>
      </c>
      <c r="G304" s="485"/>
      <c r="H304" s="243" t="str">
        <f>CONCATENATE(IF(F304="N","PLACEHOLDER ROW - ",""),'C-Design&amp;Const'!Z304,IF(F304="N","",J304))</f>
        <v>Ventilation Floor Plans (Complete)</v>
      </c>
      <c r="I304" s="137"/>
      <c r="J304" s="578" t="str">
        <f>IF('C-Design&amp;Const'!AI304="","",'C-Design&amp;Const'!AI304)</f>
        <v>(Complete)</v>
      </c>
      <c r="K304" s="285" t="str">
        <f>IF((COUNTIF(D304:G304,"Y")=COUNTIF('04 - 95% CD'!A304,"Y")),"match","no 95% match")</f>
        <v>match</v>
      </c>
      <c r="L304" s="1410" t="str">
        <f t="shared" si="15"/>
        <v/>
      </c>
      <c r="M304" s="1333"/>
      <c r="N304" s="1333"/>
      <c r="O304" s="1333"/>
      <c r="P304" s="1333"/>
      <c r="Q304" s="1333"/>
      <c r="R304" s="1453"/>
      <c r="S304" s="1364"/>
      <c r="T304" s="1404"/>
      <c r="U304" s="1333"/>
      <c r="V304" s="1333"/>
      <c r="W304" s="1333"/>
      <c r="X304" s="1333"/>
      <c r="Y304" s="1333"/>
      <c r="Z304" s="1333"/>
      <c r="AA304" s="1333"/>
      <c r="AB304" s="1333"/>
      <c r="AC304" s="1333"/>
      <c r="AD304" s="1333"/>
      <c r="AE304" s="1333"/>
      <c r="AF304" s="1333"/>
      <c r="AG304" s="1333"/>
      <c r="AH304" s="1333"/>
      <c r="AI304" s="1333"/>
      <c r="AJ304" s="1333"/>
    </row>
    <row r="305" spans="1:49" x14ac:dyDescent="0.25">
      <c r="A305" s="1518" t="str">
        <f>IF(COUNTIF('04 - 95% CD'!D305:G305,"Y")&gt;0,"Y",IF(COUNTIF('04 - 95% CD'!D305:G305,"N"),"N",""))</f>
        <v>Y</v>
      </c>
      <c r="B305" s="125"/>
      <c r="C305" s="944"/>
      <c r="D305" s="411"/>
      <c r="E305" s="321"/>
      <c r="F305" s="559" t="str">
        <f>IF('C-Design&amp;Const'!$Q305="","",'C-Design&amp;Const'!$Q305)</f>
        <v>Y</v>
      </c>
      <c r="G305" s="485"/>
      <c r="H305" s="243" t="str">
        <f>CONCATENATE(IF(F305="N","PLACEHOLDER ROW - ",""),'C-Design&amp;Const'!Z305,IF(F305="N","",J305))</f>
        <v>Ventilation Air Flow Diagrams (Complete)</v>
      </c>
      <c r="I305" s="137"/>
      <c r="J305" s="578" t="str">
        <f>IF('C-Design&amp;Const'!AI305="","",'C-Design&amp;Const'!AI305)</f>
        <v>(Complete)</v>
      </c>
      <c r="K305" s="285" t="str">
        <f>IF((COUNTIF(D305:G305,"Y")=COUNTIF('04 - 95% CD'!A305,"Y")),"match","no 95% match")</f>
        <v>match</v>
      </c>
      <c r="L305" s="1410" t="str">
        <f t="shared" si="15"/>
        <v/>
      </c>
      <c r="M305" s="1333"/>
      <c r="N305" s="1333"/>
      <c r="O305" s="1333"/>
      <c r="P305" s="1333"/>
      <c r="Q305" s="1333"/>
      <c r="R305" s="1453"/>
      <c r="S305" s="1364"/>
      <c r="T305" s="1404"/>
      <c r="U305" s="1333"/>
      <c r="V305" s="1333"/>
      <c r="W305" s="1333"/>
      <c r="X305" s="1333"/>
      <c r="Y305" s="1333"/>
      <c r="Z305" s="1333"/>
      <c r="AA305" s="1333"/>
      <c r="AB305" s="1333"/>
      <c r="AC305" s="1333"/>
      <c r="AD305" s="1333"/>
      <c r="AE305" s="1333"/>
      <c r="AF305" s="1333"/>
      <c r="AG305" s="1333"/>
      <c r="AH305" s="1333"/>
      <c r="AI305" s="1333"/>
      <c r="AJ305" s="1333"/>
    </row>
    <row r="306" spans="1:49" x14ac:dyDescent="0.25">
      <c r="A306" s="1518" t="str">
        <f>IF(COUNTIF('04 - 95% CD'!D306:G306,"Y")&gt;0,"Y",IF(COUNTIF('04 - 95% CD'!D306:G306,"N"),"N",""))</f>
        <v>Y</v>
      </c>
      <c r="B306" s="125"/>
      <c r="C306" s="944"/>
      <c r="D306" s="411"/>
      <c r="E306" s="321"/>
      <c r="F306" s="559" t="str">
        <f>IF('C-Design&amp;Const'!$Q306="","",'C-Design&amp;Const'!$Q306)</f>
        <v>Y</v>
      </c>
      <c r="G306" s="485"/>
      <c r="H306" s="243" t="str">
        <f>CONCATENATE(IF(F306="N","PLACEHOLDER ROW - ",""),'C-Design&amp;Const'!Z306,IF(F306="N","",J306))</f>
        <v>Ventilation Large Scale Mechanical Room Plans (Complete)</v>
      </c>
      <c r="I306" s="137"/>
      <c r="J306" s="578" t="str">
        <f>IF('C-Design&amp;Const'!AI306="","",'C-Design&amp;Const'!AI306)</f>
        <v>(Complete)</v>
      </c>
      <c r="K306" s="285" t="str">
        <f>IF((COUNTIF(D306:G306,"Y")=COUNTIF('04 - 95% CD'!A306,"Y")),"match","no 95% match")</f>
        <v>match</v>
      </c>
      <c r="L306" s="1410" t="str">
        <f t="shared" si="15"/>
        <v/>
      </c>
      <c r="M306" s="1333"/>
      <c r="N306" s="1333"/>
      <c r="O306" s="1333"/>
      <c r="P306" s="1333"/>
      <c r="Q306" s="1333"/>
      <c r="R306" s="1453"/>
      <c r="S306" s="1364"/>
      <c r="T306" s="1404"/>
      <c r="U306" s="1333"/>
      <c r="V306" s="1333"/>
      <c r="W306" s="1333"/>
      <c r="X306" s="1333"/>
      <c r="Y306" s="1333"/>
      <c r="Z306" s="1333"/>
      <c r="AA306" s="1333"/>
      <c r="AB306" s="1333"/>
      <c r="AC306" s="1333"/>
      <c r="AD306" s="1333"/>
      <c r="AE306" s="1333"/>
      <c r="AF306" s="1333"/>
      <c r="AG306" s="1333"/>
      <c r="AH306" s="1333"/>
      <c r="AI306" s="1333"/>
      <c r="AJ306" s="1333"/>
    </row>
    <row r="307" spans="1:49" x14ac:dyDescent="0.25">
      <c r="A307" s="1518" t="str">
        <f>IF(COUNTIF('04 - 95% CD'!D307:G307,"Y")&gt;0,"Y",IF(COUNTIF('04 - 95% CD'!D307:G307,"N"),"N",""))</f>
        <v>Y</v>
      </c>
      <c r="B307" s="125"/>
      <c r="C307" s="944"/>
      <c r="D307" s="411"/>
      <c r="E307" s="321"/>
      <c r="F307" s="559" t="str">
        <f>IF('C-Design&amp;Const'!$Q307="","",'C-Design&amp;Const'!$Q307)</f>
        <v>Y</v>
      </c>
      <c r="G307" s="485"/>
      <c r="H307" s="243" t="str">
        <f>CONCATENATE(IF(F307="N","PLACEHOLDER ROW - ",""),'C-Design&amp;Const'!Z307,IF(F307="N","",J307))</f>
        <v>Ventilation Details and Sections (Complete)</v>
      </c>
      <c r="I307" s="137"/>
      <c r="J307" s="578" t="str">
        <f>IF('C-Design&amp;Const'!AI307="","",'C-Design&amp;Const'!AI307)</f>
        <v>(Complete)</v>
      </c>
      <c r="K307" s="285" t="str">
        <f>IF((COUNTIF(D307:G307,"Y")=COUNTIF('04 - 95% CD'!A307,"Y")),"match","no 95% match")</f>
        <v>match</v>
      </c>
      <c r="L307" s="1410" t="str">
        <f t="shared" si="15"/>
        <v/>
      </c>
      <c r="M307" s="1333"/>
      <c r="N307" s="1333"/>
      <c r="O307" s="1333"/>
      <c r="P307" s="1333"/>
      <c r="Q307" s="1333"/>
      <c r="R307" s="1453"/>
      <c r="S307" s="1364"/>
      <c r="T307" s="1404"/>
      <c r="U307" s="1333"/>
      <c r="V307" s="1333"/>
      <c r="W307" s="1333"/>
      <c r="X307" s="1333"/>
      <c r="Y307" s="1333"/>
      <c r="Z307" s="1333"/>
      <c r="AA307" s="1333"/>
      <c r="AB307" s="1333"/>
      <c r="AC307" s="1333"/>
      <c r="AD307" s="1333"/>
      <c r="AE307" s="1333"/>
      <c r="AF307" s="1333"/>
      <c r="AG307" s="1333"/>
      <c r="AH307" s="1333"/>
      <c r="AI307" s="1333"/>
      <c r="AJ307" s="1333"/>
    </row>
    <row r="308" spans="1:49" x14ac:dyDescent="0.25">
      <c r="A308" s="1518" t="str">
        <f>IF(COUNTIF('04 - 95% CD'!D308:G308,"Y")&gt;0,"Y",IF(COUNTIF('04 - 95% CD'!D308:G308,"N"),"N",""))</f>
        <v>Y</v>
      </c>
      <c r="B308" s="125"/>
      <c r="C308" s="944"/>
      <c r="D308" s="411"/>
      <c r="E308" s="321"/>
      <c r="F308" s="559" t="str">
        <f>IF('C-Design&amp;Const'!$Q308="","",'C-Design&amp;Const'!$Q308)</f>
        <v>Y</v>
      </c>
      <c r="G308" s="485"/>
      <c r="H308" s="243" t="str">
        <f>CONCATENATE(IF(F308="N","PLACEHOLDER ROW - ",""),'C-Design&amp;Const'!Z308,IF(F308="N","",J308))</f>
        <v>Ventilation Equipment Schedule (Complete)</v>
      </c>
      <c r="I308" s="137"/>
      <c r="J308" s="578" t="str">
        <f>IF('C-Design&amp;Const'!AI308="","",'C-Design&amp;Const'!AI308)</f>
        <v>(Complete)</v>
      </c>
      <c r="K308" s="285" t="str">
        <f>IF((COUNTIF(D308:G308,"Y")=COUNTIF('04 - 95% CD'!A308,"Y")),"match","no 95% match")</f>
        <v>match</v>
      </c>
      <c r="L308" s="1410" t="str">
        <f t="shared" si="15"/>
        <v/>
      </c>
      <c r="M308" s="1333"/>
      <c r="N308" s="1333"/>
      <c r="O308" s="1333"/>
      <c r="P308" s="1333"/>
      <c r="Q308" s="1333"/>
      <c r="R308" s="1453"/>
      <c r="S308" s="1364"/>
      <c r="T308" s="1404"/>
      <c r="U308" s="1333"/>
      <c r="V308" s="1333"/>
      <c r="W308" s="1333"/>
      <c r="X308" s="1333"/>
      <c r="Y308" s="1333"/>
      <c r="Z308" s="1333"/>
      <c r="AA308" s="1333"/>
      <c r="AB308" s="1333"/>
      <c r="AC308" s="1333"/>
      <c r="AD308" s="1333"/>
      <c r="AE308" s="1333"/>
      <c r="AF308" s="1333"/>
      <c r="AG308" s="1333"/>
      <c r="AH308" s="1333"/>
      <c r="AI308" s="1333"/>
      <c r="AJ308" s="1333"/>
    </row>
    <row r="309" spans="1:49" s="542" customFormat="1" x14ac:dyDescent="0.25">
      <c r="A309" s="1407" t="str">
        <f>IF(COUNTIF('04 - 95% CD'!D309:G309,"Y")&gt;0,"Y",IF(COUNTIF('04 - 95% CD'!D309:G309,"N"),"N",""))</f>
        <v>Y</v>
      </c>
      <c r="B309" s="125"/>
      <c r="C309" s="944"/>
      <c r="D309" s="411"/>
      <c r="E309" s="559" t="str">
        <f>IF('C-Design&amp;Const'!$Q309="","",'C-Design&amp;Const'!$Q309)</f>
        <v>Y</v>
      </c>
      <c r="F309" s="478"/>
      <c r="G309" s="485"/>
      <c r="H309" s="244" t="str">
        <f>CONCATENATE(IF(F309="N","PLACEHOLDER ROW - ",""),'C-Design&amp;Const'!Z309,IF(F309="N","",J309))</f>
        <v>Temperature Control Drawings (Including Bid Alts.)</v>
      </c>
      <c r="I309" s="146"/>
      <c r="J309" s="578" t="str">
        <f>IF('C-Design&amp;Const'!AI309="","",'C-Design&amp;Const'!AI309)</f>
        <v xml:space="preserve"> (Including Bid Alts.)</v>
      </c>
      <c r="K309" s="285" t="str">
        <f>IF((COUNTIF(D309:G309,"Y")=COUNTIF('04 - 95% CD'!A309,"Y")),"match","no 95% match")</f>
        <v>match</v>
      </c>
      <c r="L309" s="1410" t="str">
        <f t="shared" ref="L309:L315" si="18">CONCATENATE(IF(ISNUMBER(SEARCH("Placeholder",H309))=TRUE,"&lt;---PM/Planner may hide PLACEHOLDER ROW",""))</f>
        <v/>
      </c>
      <c r="M309" s="1333"/>
      <c r="N309" s="1333"/>
      <c r="O309" s="1333"/>
      <c r="P309" s="1333"/>
      <c r="Q309" s="1333"/>
      <c r="R309" s="1453"/>
      <c r="S309" s="1364"/>
      <c r="T309" s="1404"/>
      <c r="U309" s="1333"/>
      <c r="V309" s="1333"/>
      <c r="W309" s="1333"/>
      <c r="X309" s="1333"/>
      <c r="Y309" s="1333"/>
      <c r="Z309" s="1333"/>
      <c r="AA309" s="1333"/>
      <c r="AB309" s="1333"/>
      <c r="AC309" s="1333"/>
      <c r="AD309" s="1333"/>
      <c r="AE309" s="1333"/>
      <c r="AF309" s="1333"/>
      <c r="AG309" s="1333"/>
      <c r="AH309" s="1333"/>
      <c r="AI309" s="1333"/>
      <c r="AJ309" s="1333"/>
      <c r="AK309" s="17"/>
      <c r="AL309" s="17"/>
      <c r="AM309" s="17"/>
      <c r="AN309" s="17"/>
      <c r="AO309" s="17"/>
      <c r="AP309" s="17"/>
      <c r="AQ309" s="17"/>
      <c r="AR309" s="17"/>
      <c r="AS309" s="17"/>
      <c r="AT309" s="17"/>
      <c r="AU309" s="17"/>
      <c r="AV309" s="17"/>
      <c r="AW309" s="17"/>
    </row>
    <row r="310" spans="1:49" s="545" customFormat="1" ht="13.5" customHeight="1" x14ac:dyDescent="0.25">
      <c r="A310" s="1518" t="str">
        <f>IF(COUNTIF('04 - 95% CD'!D310:G310,"Y")&gt;0,"Y",IF(COUNTIF('04 - 95% CD'!D310:G310,"N"),"N",""))</f>
        <v>N</v>
      </c>
      <c r="B310" s="554"/>
      <c r="C310" s="944"/>
      <c r="D310" s="463"/>
      <c r="E310" s="463"/>
      <c r="F310" s="359" t="str">
        <f>IF('C-Design&amp;Const'!$Q310="","",'C-Design&amp;Const'!$Q310)</f>
        <v>N</v>
      </c>
      <c r="G310" s="291"/>
      <c r="H310" s="469" t="str">
        <f>CONCATENATE(IF(F310="N","PLACEHOLDER ROW - ",""),'C-Design&amp;Const'!Z310,IF(F310="N","",J310))</f>
        <v>PLACEHOLDER ROW - CUSTOM - Temperature Control</v>
      </c>
      <c r="I310" s="552"/>
      <c r="J310" s="578" t="str">
        <f>IF('C-Design&amp;Const'!AI310="","",'C-Design&amp;Const'!AI310)</f>
        <v>(Complete)</v>
      </c>
      <c r="K310" s="285" t="str">
        <f>IF((COUNTIF(D310:G310,"Y")=COUNTIF('04 - 95% CD'!A310,"Y")),"match","no 95% match")</f>
        <v>match</v>
      </c>
      <c r="L310" s="1410" t="str">
        <f t="shared" si="18"/>
        <v>&lt;---PM/Planner may hide PLACEHOLDER ROW</v>
      </c>
      <c r="M310" s="1382"/>
      <c r="N310" s="1382"/>
      <c r="O310" s="1382"/>
      <c r="P310" s="1382"/>
      <c r="Q310" s="1382"/>
      <c r="R310" s="1382"/>
      <c r="S310" s="1382"/>
      <c r="T310" s="1382"/>
      <c r="U310" s="1382"/>
      <c r="V310" s="1382"/>
      <c r="W310" s="1382"/>
      <c r="X310" s="1382"/>
      <c r="Y310" s="1382"/>
      <c r="Z310" s="1382"/>
      <c r="AA310" s="1382"/>
      <c r="AB310" s="1382"/>
      <c r="AC310" s="1382"/>
      <c r="AD310" s="1382"/>
      <c r="AE310" s="1382"/>
      <c r="AF310" s="1382"/>
      <c r="AG310" s="1382"/>
      <c r="AH310" s="1382"/>
      <c r="AI310" s="1382"/>
      <c r="AJ310" s="1382"/>
      <c r="AK310" s="551"/>
      <c r="AL310" s="551"/>
      <c r="AM310" s="551"/>
      <c r="AN310" s="551"/>
      <c r="AO310" s="551"/>
      <c r="AP310" s="551"/>
      <c r="AQ310" s="551"/>
      <c r="AR310" s="551"/>
      <c r="AS310" s="551"/>
      <c r="AT310" s="551"/>
      <c r="AU310" s="551"/>
      <c r="AV310" s="551"/>
      <c r="AW310" s="551"/>
    </row>
    <row r="311" spans="1:49" s="545" customFormat="1" ht="13.5" customHeight="1" x14ac:dyDescent="0.25">
      <c r="A311" s="1518" t="str">
        <f>IF(COUNTIF('04 - 95% CD'!D311:G311,"Y")&gt;0,"Y",IF(COUNTIF('04 - 95% CD'!D311:G311,"N"),"N",""))</f>
        <v>N</v>
      </c>
      <c r="B311" s="554"/>
      <c r="C311" s="944"/>
      <c r="D311" s="463"/>
      <c r="E311" s="463"/>
      <c r="F311" s="359" t="str">
        <f>IF('C-Design&amp;Const'!$Q311="","",'C-Design&amp;Const'!$Q311)</f>
        <v>N</v>
      </c>
      <c r="G311" s="291"/>
      <c r="H311" s="469" t="str">
        <f>CONCATENATE(IF(F311="N","PLACEHOLDER ROW - ",""),'C-Design&amp;Const'!Z311,IF(F311="N","",J311))</f>
        <v>PLACEHOLDER ROW - CUSTOM - Temperature Control</v>
      </c>
      <c r="I311" s="552"/>
      <c r="J311" s="578" t="str">
        <f>IF('C-Design&amp;Const'!AI311="","",'C-Design&amp;Const'!AI311)</f>
        <v>(Complete)</v>
      </c>
      <c r="K311" s="285" t="str">
        <f>IF((COUNTIF(D311:G311,"Y")=COUNTIF('04 - 95% CD'!A311,"Y")),"match","no 95% match")</f>
        <v>match</v>
      </c>
      <c r="L311" s="1410" t="str">
        <f t="shared" si="18"/>
        <v>&lt;---PM/Planner may hide PLACEHOLDER ROW</v>
      </c>
      <c r="M311" s="1382"/>
      <c r="N311" s="1382"/>
      <c r="O311" s="1382"/>
      <c r="P311" s="1382"/>
      <c r="Q311" s="1382"/>
      <c r="R311" s="1382"/>
      <c r="S311" s="1382"/>
      <c r="T311" s="1382"/>
      <c r="U311" s="1382"/>
      <c r="V311" s="1382"/>
      <c r="W311" s="1382"/>
      <c r="X311" s="1382"/>
      <c r="Y311" s="1382"/>
      <c r="Z311" s="1382"/>
      <c r="AA311" s="1382"/>
      <c r="AB311" s="1382"/>
      <c r="AC311" s="1382"/>
      <c r="AD311" s="1382"/>
      <c r="AE311" s="1382"/>
      <c r="AF311" s="1382"/>
      <c r="AG311" s="1382"/>
      <c r="AH311" s="1382"/>
      <c r="AI311" s="1382"/>
      <c r="AJ311" s="1382"/>
      <c r="AK311" s="551"/>
      <c r="AL311" s="551"/>
      <c r="AM311" s="551"/>
      <c r="AN311" s="551"/>
      <c r="AO311" s="551"/>
      <c r="AP311" s="551"/>
      <c r="AQ311" s="551"/>
      <c r="AR311" s="551"/>
      <c r="AS311" s="551"/>
      <c r="AT311" s="551"/>
      <c r="AU311" s="551"/>
      <c r="AV311" s="551"/>
      <c r="AW311" s="551"/>
    </row>
    <row r="312" spans="1:49" s="542" customFormat="1" x14ac:dyDescent="0.25">
      <c r="A312" s="1518" t="str">
        <f>IF(COUNTIF('04 - 95% CD'!D312:G312,"Y")&gt;0,"Y",IF(COUNTIF('04 - 95% CD'!D312:G312,"N"),"N",""))</f>
        <v>Y</v>
      </c>
      <c r="B312" s="125"/>
      <c r="C312" s="944"/>
      <c r="D312" s="411"/>
      <c r="E312" s="321"/>
      <c r="F312" s="559" t="str">
        <f>IF('C-Design&amp;Const'!$Q312="","",'C-Design&amp;Const'!$Q312)</f>
        <v>Y</v>
      </c>
      <c r="G312" s="485"/>
      <c r="H312" s="243" t="str">
        <f>CONCATENATE(IF(F312="N","PLACEHOLDER ROW - ",""),'C-Design&amp;Const'!Z312,IF(F312="N","",J312))</f>
        <v>Temperature Control Symbols, Abbreviations, and General Notes (Complete)</v>
      </c>
      <c r="I312" s="137"/>
      <c r="J312" s="578" t="str">
        <f>IF('C-Design&amp;Const'!AI312="","",'C-Design&amp;Const'!AI312)</f>
        <v>(Complete)</v>
      </c>
      <c r="K312" s="285" t="str">
        <f>IF((COUNTIF(D312:G312,"Y")=COUNTIF('04 - 95% CD'!A312,"Y")),"match","no 95% match")</f>
        <v>match</v>
      </c>
      <c r="L312" s="1410" t="str">
        <f t="shared" si="18"/>
        <v/>
      </c>
      <c r="M312" s="1333"/>
      <c r="N312" s="1333"/>
      <c r="O312" s="1333"/>
      <c r="P312" s="1333"/>
      <c r="Q312" s="1333"/>
      <c r="R312" s="1453"/>
      <c r="S312" s="1364"/>
      <c r="T312" s="1404"/>
      <c r="U312" s="1333"/>
      <c r="V312" s="1333"/>
      <c r="W312" s="1333"/>
      <c r="X312" s="1333"/>
      <c r="Y312" s="1333"/>
      <c r="Z312" s="1333"/>
      <c r="AA312" s="1333"/>
      <c r="AB312" s="1333"/>
      <c r="AC312" s="1333"/>
      <c r="AD312" s="1333"/>
      <c r="AE312" s="1333"/>
      <c r="AF312" s="1333"/>
      <c r="AG312" s="1333"/>
      <c r="AH312" s="1333"/>
      <c r="AI312" s="1333"/>
      <c r="AJ312" s="1333"/>
      <c r="AK312" s="17"/>
      <c r="AL312" s="17"/>
      <c r="AM312" s="17"/>
      <c r="AN312" s="17"/>
      <c r="AO312" s="17"/>
      <c r="AP312" s="17"/>
      <c r="AQ312" s="17"/>
      <c r="AR312" s="17"/>
      <c r="AS312" s="17"/>
      <c r="AT312" s="17"/>
      <c r="AU312" s="17"/>
      <c r="AV312" s="17"/>
      <c r="AW312" s="17"/>
    </row>
    <row r="313" spans="1:49" s="545" customFormat="1" ht="13.5" customHeight="1" x14ac:dyDescent="0.25">
      <c r="A313" s="1518" t="str">
        <f>IF(COUNTIF('04 - 95% CD'!D313:G313,"Y")&gt;0,"Y",IF(COUNTIF('04 - 95% CD'!D313:G313,"N"),"N",""))</f>
        <v>Y</v>
      </c>
      <c r="B313" s="554"/>
      <c r="C313" s="944"/>
      <c r="D313" s="463"/>
      <c r="E313" s="463"/>
      <c r="F313" s="359" t="str">
        <f>IF('C-Design&amp;Const'!$Q313="","",'C-Design&amp;Const'!$Q313)</f>
        <v>Y</v>
      </c>
      <c r="G313" s="291"/>
      <c r="H313" s="469" t="str">
        <f>CONCATENATE(IF(F313="N","PLACEHOLDER ROW - ",""),'C-Design&amp;Const'!Z313,IF(F313="N","",J313))</f>
        <v>Temperature Control Demolition(s) (Complete)</v>
      </c>
      <c r="I313" s="552"/>
      <c r="J313" s="578" t="str">
        <f>IF('C-Design&amp;Const'!AI313="","",'C-Design&amp;Const'!AI313)</f>
        <v>(Complete)</v>
      </c>
      <c r="K313" s="285" t="str">
        <f>IF((COUNTIF(D313:G313,"Y")=COUNTIF('04 - 95% CD'!A313,"Y")),"match","no 95% match")</f>
        <v>match</v>
      </c>
      <c r="L313" s="1410" t="str">
        <f t="shared" si="18"/>
        <v/>
      </c>
      <c r="M313" s="1382"/>
      <c r="N313" s="1382"/>
      <c r="O313" s="1382"/>
      <c r="P313" s="1382"/>
      <c r="Q313" s="1382"/>
      <c r="R313" s="1382"/>
      <c r="S313" s="1382"/>
      <c r="T313" s="1382"/>
      <c r="U313" s="1382"/>
      <c r="V313" s="1382"/>
      <c r="W313" s="1382"/>
      <c r="X313" s="1382"/>
      <c r="Y313" s="1382"/>
      <c r="Z313" s="1382"/>
      <c r="AA313" s="1382"/>
      <c r="AB313" s="1382"/>
      <c r="AC313" s="1382"/>
      <c r="AD313" s="1382"/>
      <c r="AE313" s="1382"/>
      <c r="AF313" s="1382"/>
      <c r="AG313" s="1382"/>
      <c r="AH313" s="1382"/>
      <c r="AI313" s="1382"/>
      <c r="AJ313" s="1382"/>
      <c r="AK313" s="551"/>
      <c r="AL313" s="551"/>
      <c r="AM313" s="551"/>
      <c r="AN313" s="551"/>
      <c r="AO313" s="551"/>
      <c r="AP313" s="551"/>
      <c r="AQ313" s="551"/>
      <c r="AR313" s="551"/>
      <c r="AS313" s="551"/>
      <c r="AT313" s="551"/>
      <c r="AU313" s="551"/>
      <c r="AV313" s="551"/>
      <c r="AW313" s="551"/>
    </row>
    <row r="314" spans="1:49" s="542" customFormat="1" x14ac:dyDescent="0.25">
      <c r="A314" s="1518" t="str">
        <f>IF(COUNTIF('04 - 95% CD'!D314:G314,"Y")&gt;0,"Y",IF(COUNTIF('04 - 95% CD'!D314:G314,"N"),"N",""))</f>
        <v>Y</v>
      </c>
      <c r="B314" s="125"/>
      <c r="C314" s="944"/>
      <c r="D314" s="411"/>
      <c r="E314" s="321"/>
      <c r="F314" s="559" t="str">
        <f>IF('C-Design&amp;Const'!$Q314="","",'C-Design&amp;Const'!$Q314)</f>
        <v>Y</v>
      </c>
      <c r="G314" s="485"/>
      <c r="H314" s="243" t="str">
        <f>CONCATENATE(IF(F314="N","PLACEHOLDER ROW - ",""),'C-Design&amp;Const'!Z314,IF(F314="N","",J314))</f>
        <v>Temperature Control Floor Plans (Complete)</v>
      </c>
      <c r="I314" s="137"/>
      <c r="J314" s="578" t="str">
        <f>IF('C-Design&amp;Const'!AI314="","",'C-Design&amp;Const'!AI314)</f>
        <v>(Complete)</v>
      </c>
      <c r="K314" s="285" t="str">
        <f>IF((COUNTIF(D314:G314,"Y")=COUNTIF('04 - 95% CD'!A314,"Y")),"match","no 95% match")</f>
        <v>match</v>
      </c>
      <c r="L314" s="1410" t="str">
        <f t="shared" si="18"/>
        <v/>
      </c>
      <c r="M314" s="1333"/>
      <c r="N314" s="1333"/>
      <c r="O314" s="1333"/>
      <c r="P314" s="1333"/>
      <c r="Q314" s="1333"/>
      <c r="R314" s="1453"/>
      <c r="S314" s="1364"/>
      <c r="T314" s="1404"/>
      <c r="U314" s="1333"/>
      <c r="V314" s="1333"/>
      <c r="W314" s="1333"/>
      <c r="X314" s="1333"/>
      <c r="Y314" s="1333"/>
      <c r="Z314" s="1333"/>
      <c r="AA314" s="1333"/>
      <c r="AB314" s="1333"/>
      <c r="AC314" s="1333"/>
      <c r="AD314" s="1333"/>
      <c r="AE314" s="1333"/>
      <c r="AF314" s="1333"/>
      <c r="AG314" s="1333"/>
      <c r="AH314" s="1333"/>
      <c r="AI314" s="1333"/>
      <c r="AJ314" s="1333"/>
      <c r="AK314" s="17"/>
      <c r="AL314" s="17"/>
      <c r="AM314" s="17"/>
      <c r="AN314" s="17"/>
      <c r="AO314" s="17"/>
      <c r="AP314" s="17"/>
      <c r="AQ314" s="17"/>
      <c r="AR314" s="17"/>
      <c r="AS314" s="17"/>
      <c r="AT314" s="17"/>
      <c r="AU314" s="17"/>
      <c r="AV314" s="17"/>
      <c r="AW314" s="17"/>
    </row>
    <row r="315" spans="1:49" s="542" customFormat="1" x14ac:dyDescent="0.25">
      <c r="A315" s="1518" t="str">
        <f>IF(COUNTIF('04 - 95% CD'!D315:G315,"Y")&gt;0,"Y",IF(COUNTIF('04 - 95% CD'!D315:G315,"N"),"N",""))</f>
        <v>Y</v>
      </c>
      <c r="B315" s="125"/>
      <c r="C315" s="944"/>
      <c r="D315" s="411"/>
      <c r="E315" s="321"/>
      <c r="F315" s="559" t="str">
        <f>IF('C-Design&amp;Const'!$Q315="","",'C-Design&amp;Const'!$Q315)</f>
        <v>Y</v>
      </c>
      <c r="G315" s="485"/>
      <c r="H315" s="243" t="str">
        <f>CONCATENATE(IF(F315="N","PLACEHOLDER ROW - ",""),'C-Design&amp;Const'!Z315,IF(F315="N","",J315))</f>
        <v>Temperature Control Sequences, Schedules, and Diagrams(Complete)</v>
      </c>
      <c r="I315" s="137"/>
      <c r="J315" s="578" t="str">
        <f>IF('C-Design&amp;Const'!AI315="","",'C-Design&amp;Const'!AI315)</f>
        <v>(Complete)</v>
      </c>
      <c r="K315" s="285" t="str">
        <f>IF((COUNTIF(D315:G315,"Y")=COUNTIF('04 - 95% CD'!A315,"Y")),"match","no 95% match")</f>
        <v>match</v>
      </c>
      <c r="L315" s="1410" t="str">
        <f t="shared" si="18"/>
        <v/>
      </c>
      <c r="M315" s="1333"/>
      <c r="N315" s="1333"/>
      <c r="O315" s="1333"/>
      <c r="P315" s="1333"/>
      <c r="Q315" s="1333"/>
      <c r="R315" s="1453"/>
      <c r="S315" s="1364"/>
      <c r="T315" s="1404"/>
      <c r="U315" s="1333"/>
      <c r="V315" s="1333"/>
      <c r="W315" s="1333"/>
      <c r="X315" s="1333"/>
      <c r="Y315" s="1333"/>
      <c r="Z315" s="1333"/>
      <c r="AA315" s="1333"/>
      <c r="AB315" s="1333"/>
      <c r="AC315" s="1333"/>
      <c r="AD315" s="1333"/>
      <c r="AE315" s="1333"/>
      <c r="AF315" s="1333"/>
      <c r="AG315" s="1333"/>
      <c r="AH315" s="1333"/>
      <c r="AI315" s="1333"/>
      <c r="AJ315" s="1333"/>
      <c r="AK315" s="17"/>
      <c r="AL315" s="17"/>
      <c r="AM315" s="17"/>
      <c r="AN315" s="17"/>
      <c r="AO315" s="17"/>
      <c r="AP315" s="17"/>
      <c r="AQ315" s="17"/>
      <c r="AR315" s="17"/>
      <c r="AS315" s="17"/>
      <c r="AT315" s="17"/>
      <c r="AU315" s="17"/>
      <c r="AV315" s="17"/>
      <c r="AW315" s="17"/>
    </row>
    <row r="316" spans="1:49" x14ac:dyDescent="0.25">
      <c r="A316" s="1407" t="str">
        <f>IF(COUNTIF('04 - 95% CD'!D316:G316,"Y")&gt;0,"Y",IF(COUNTIF('04 - 95% CD'!D316:G316,"N"),"N",""))</f>
        <v>Y</v>
      </c>
      <c r="B316" s="125"/>
      <c r="C316" s="944"/>
      <c r="D316" s="411"/>
      <c r="E316" s="559" t="str">
        <f>IF('C-Design&amp;Const'!$Q316="","",'C-Design&amp;Const'!$Q316)</f>
        <v>Y</v>
      </c>
      <c r="F316" s="478"/>
      <c r="G316" s="485"/>
      <c r="H316" s="244" t="str">
        <f>CONCATENATE(IF(F316="N","PLACEHOLDER ROW - ",""),'C-Design&amp;Const'!Z316,IF(F316="N","",J316))</f>
        <v>Electrical Drawings (Including Bid Alts.)</v>
      </c>
      <c r="I316" s="146"/>
      <c r="J316" s="578" t="str">
        <f>IF('C-Design&amp;Const'!AI316="","",'C-Design&amp;Const'!AI316)</f>
        <v xml:space="preserve"> (Including Bid Alts.)</v>
      </c>
      <c r="K316" s="285" t="str">
        <f>IF((COUNTIF(D316:G316,"Y")=COUNTIF('04 - 95% CD'!A316,"Y")),"match","no 95% match")</f>
        <v>match</v>
      </c>
      <c r="L316" s="1410" t="str">
        <f t="shared" si="15"/>
        <v/>
      </c>
      <c r="M316" s="1333"/>
      <c r="N316" s="1333"/>
      <c r="O316" s="1333"/>
      <c r="P316" s="1333"/>
      <c r="Q316" s="1333"/>
      <c r="R316" s="1453"/>
      <c r="S316" s="1364"/>
      <c r="T316" s="1404"/>
      <c r="U316" s="1333"/>
      <c r="V316" s="1333"/>
      <c r="W316" s="1333"/>
      <c r="X316" s="1333"/>
      <c r="Y316" s="1333"/>
      <c r="Z316" s="1333"/>
      <c r="AA316" s="1333"/>
      <c r="AB316" s="1333"/>
      <c r="AC316" s="1333"/>
      <c r="AD316" s="1333"/>
      <c r="AE316" s="1333"/>
      <c r="AF316" s="1333"/>
      <c r="AG316" s="1333"/>
      <c r="AH316" s="1333"/>
      <c r="AI316" s="1333"/>
      <c r="AJ316" s="1333"/>
    </row>
    <row r="317" spans="1:49" s="30" customFormat="1" ht="13.5" customHeight="1" x14ac:dyDescent="0.25">
      <c r="A317" s="1518" t="str">
        <f>IF(COUNTIF('04 - 95% CD'!D317:G317,"Y")&gt;0,"Y",IF(COUNTIF('04 - 95% CD'!D317:G317,"N"),"N",""))</f>
        <v>N</v>
      </c>
      <c r="B317" s="191"/>
      <c r="C317" s="944"/>
      <c r="D317" s="463"/>
      <c r="E317" s="463"/>
      <c r="F317" s="359" t="str">
        <f>IF('C-Design&amp;Const'!$Q317="","",'C-Design&amp;Const'!$Q317)</f>
        <v>N</v>
      </c>
      <c r="G317" s="291"/>
      <c r="H317" s="469" t="str">
        <f>CONCATENATE(IF(F317="N","PLACEHOLDER ROW - ",""),'C-Design&amp;Const'!Z317,IF(F317="N","",J317))</f>
        <v xml:space="preserve">PLACEHOLDER ROW - CUSTOM - Electrical  </v>
      </c>
      <c r="I317" s="184"/>
      <c r="J317" s="578" t="str">
        <f>IF('C-Design&amp;Const'!AI317="","",'C-Design&amp;Const'!AI317)</f>
        <v>(Complete)</v>
      </c>
      <c r="K317" s="285" t="str">
        <f>IF((COUNTIF(D317:G317,"Y")=COUNTIF('04 - 95% CD'!A317,"Y")),"match","no 95% match")</f>
        <v>match</v>
      </c>
      <c r="L317" s="1410" t="str">
        <f t="shared" si="15"/>
        <v>&lt;---PM/Planner may hide PLACEHOLDER ROW</v>
      </c>
      <c r="M317" s="1382"/>
      <c r="N317" s="1382"/>
      <c r="O317" s="1382"/>
      <c r="P317" s="1382"/>
      <c r="Q317" s="1382"/>
      <c r="R317" s="1382"/>
      <c r="S317" s="1382"/>
      <c r="T317" s="1382"/>
      <c r="U317" s="1382"/>
      <c r="V317" s="1382"/>
      <c r="W317" s="1382"/>
      <c r="X317" s="1382"/>
      <c r="Y317" s="1382"/>
      <c r="Z317" s="1382"/>
      <c r="AA317" s="1382"/>
      <c r="AB317" s="1382"/>
      <c r="AC317" s="1382"/>
      <c r="AD317" s="1382"/>
      <c r="AE317" s="1382"/>
      <c r="AF317" s="1382"/>
      <c r="AG317" s="1382"/>
      <c r="AH317" s="1382"/>
      <c r="AI317" s="1382"/>
      <c r="AJ317" s="1382"/>
      <c r="AK317" s="181"/>
      <c r="AL317" s="181"/>
      <c r="AM317" s="181"/>
      <c r="AN317" s="181"/>
      <c r="AO317" s="181"/>
      <c r="AP317" s="181"/>
      <c r="AQ317" s="181"/>
      <c r="AR317" s="181"/>
      <c r="AS317" s="181"/>
      <c r="AT317" s="181"/>
      <c r="AU317" s="181"/>
      <c r="AV317" s="181"/>
      <c r="AW317" s="181"/>
    </row>
    <row r="318" spans="1:49" s="30" customFormat="1" ht="13.5" customHeight="1" x14ac:dyDescent="0.25">
      <c r="A318" s="1518" t="str">
        <f>IF(COUNTIF('04 - 95% CD'!D318:G318,"Y")&gt;0,"Y",IF(COUNTIF('04 - 95% CD'!D318:G318,"N"),"N",""))</f>
        <v>N</v>
      </c>
      <c r="B318" s="191"/>
      <c r="C318" s="944"/>
      <c r="D318" s="463"/>
      <c r="E318" s="463"/>
      <c r="F318" s="359" t="str">
        <f>IF('C-Design&amp;Const'!$Q318="","",'C-Design&amp;Const'!$Q318)</f>
        <v>N</v>
      </c>
      <c r="G318" s="291"/>
      <c r="H318" s="469" t="str">
        <f>CONCATENATE(IF(F318="N","PLACEHOLDER ROW - ",""),'C-Design&amp;Const'!Z318,IF(F318="N","",J318))</f>
        <v xml:space="preserve">PLACEHOLDER ROW - CUSTOM - Electrical  </v>
      </c>
      <c r="I318" s="184"/>
      <c r="J318" s="578" t="str">
        <f>IF('C-Design&amp;Const'!AI318="","",'C-Design&amp;Const'!AI318)</f>
        <v>(Complete)</v>
      </c>
      <c r="K318" s="285" t="str">
        <f>IF((COUNTIF(D318:G318,"Y")=COUNTIF('04 - 95% CD'!A318,"Y")),"match","no 95% match")</f>
        <v>match</v>
      </c>
      <c r="L318" s="1410" t="str">
        <f t="shared" si="15"/>
        <v>&lt;---PM/Planner may hide PLACEHOLDER ROW</v>
      </c>
      <c r="M318" s="1382"/>
      <c r="N318" s="1382"/>
      <c r="O318" s="1382"/>
      <c r="P318" s="1382"/>
      <c r="Q318" s="1382"/>
      <c r="R318" s="1382"/>
      <c r="S318" s="1382"/>
      <c r="T318" s="1382"/>
      <c r="U318" s="1382"/>
      <c r="V318" s="1382"/>
      <c r="W318" s="1382"/>
      <c r="X318" s="1382"/>
      <c r="Y318" s="1382"/>
      <c r="Z318" s="1382"/>
      <c r="AA318" s="1382"/>
      <c r="AB318" s="1382"/>
      <c r="AC318" s="1382"/>
      <c r="AD318" s="1382"/>
      <c r="AE318" s="1382"/>
      <c r="AF318" s="1382"/>
      <c r="AG318" s="1382"/>
      <c r="AH318" s="1382"/>
      <c r="AI318" s="1382"/>
      <c r="AJ318" s="1382"/>
      <c r="AK318" s="181"/>
      <c r="AL318" s="181"/>
      <c r="AM318" s="181"/>
      <c r="AN318" s="181"/>
      <c r="AO318" s="181"/>
      <c r="AP318" s="181"/>
      <c r="AQ318" s="181"/>
      <c r="AR318" s="181"/>
      <c r="AS318" s="181"/>
      <c r="AT318" s="181"/>
      <c r="AU318" s="181"/>
      <c r="AV318" s="181"/>
      <c r="AW318" s="181"/>
    </row>
    <row r="319" spans="1:49" x14ac:dyDescent="0.25">
      <c r="A319" s="1518" t="str">
        <f>IF(COUNTIF('04 - 95% CD'!D319:G319,"Y")&gt;0,"Y",IF(COUNTIF('04 - 95% CD'!D319:G319,"N"),"N",""))</f>
        <v>Y</v>
      </c>
      <c r="B319" s="125"/>
      <c r="C319" s="944"/>
      <c r="D319" s="411"/>
      <c r="E319" s="321"/>
      <c r="F319" s="559" t="str">
        <f>IF('C-Design&amp;Const'!$Q319="","",'C-Design&amp;Const'!$Q319)</f>
        <v>Y</v>
      </c>
      <c r="G319" s="485"/>
      <c r="H319" s="243" t="str">
        <f>CONCATENATE(IF(F319="N","PLACEHOLDER ROW - ",""),'C-Design&amp;Const'!Z319,IF(F319="N","",J319))</f>
        <v>Electrical Symbols, Abbreviations, and General Notes (Complete)</v>
      </c>
      <c r="I319" s="137"/>
      <c r="J319" s="578" t="str">
        <f>IF('C-Design&amp;Const'!AI319="","",'C-Design&amp;Const'!AI319)</f>
        <v>(Complete)</v>
      </c>
      <c r="K319" s="285" t="str">
        <f>IF((COUNTIF(D319:G319,"Y")=COUNTIF('04 - 95% CD'!A319,"Y")),"match","no 95% match")</f>
        <v>match</v>
      </c>
      <c r="L319" s="1410" t="str">
        <f t="shared" si="15"/>
        <v/>
      </c>
      <c r="M319" s="1333"/>
      <c r="N319" s="1333"/>
      <c r="O319" s="1333"/>
      <c r="P319" s="1333"/>
      <c r="Q319" s="1333"/>
      <c r="R319" s="1453"/>
      <c r="S319" s="1364"/>
      <c r="T319" s="1404"/>
      <c r="U319" s="1333"/>
      <c r="V319" s="1333"/>
      <c r="W319" s="1333"/>
      <c r="X319" s="1333"/>
      <c r="Y319" s="1333"/>
      <c r="Z319" s="1333"/>
      <c r="AA319" s="1333"/>
      <c r="AB319" s="1333"/>
      <c r="AC319" s="1333"/>
      <c r="AD319" s="1333"/>
      <c r="AE319" s="1333"/>
      <c r="AF319" s="1333"/>
      <c r="AG319" s="1333"/>
      <c r="AH319" s="1333"/>
      <c r="AI319" s="1333"/>
      <c r="AJ319" s="1333"/>
    </row>
    <row r="320" spans="1:49" s="545" customFormat="1" ht="13.5" customHeight="1" x14ac:dyDescent="0.25">
      <c r="A320" s="1518" t="str">
        <f>IF(COUNTIF('04 - 95% CD'!D320:G320,"Y")&gt;0,"Y",IF(COUNTIF('04 - 95% CD'!D320:G320,"N"),"N",""))</f>
        <v>Y</v>
      </c>
      <c r="B320" s="554"/>
      <c r="C320" s="944"/>
      <c r="D320" s="463"/>
      <c r="E320" s="463"/>
      <c r="F320" s="359" t="str">
        <f>IF('C-Design&amp;Const'!$Q320="","",'C-Design&amp;Const'!$Q320)</f>
        <v>Y</v>
      </c>
      <c r="G320" s="291"/>
      <c r="H320" s="469" t="str">
        <f>CONCATENATE(IF(F320="N","PLACEHOLDER ROW - ",""),'C-Design&amp;Const'!Z320,IF(F320="N","",J320))</f>
        <v>Electrical Demolition(s) (Complete)</v>
      </c>
      <c r="I320" s="552"/>
      <c r="J320" s="578" t="str">
        <f>IF('C-Design&amp;Const'!AI320="","",'C-Design&amp;Const'!AI320)</f>
        <v>(Complete)</v>
      </c>
      <c r="K320" s="285" t="str">
        <f>IF((COUNTIF(D320:G320,"Y")=COUNTIF('04 - 95% CD'!A320,"Y")),"match","no 95% match")</f>
        <v>match</v>
      </c>
      <c r="L320" s="1410" t="str">
        <f t="shared" si="15"/>
        <v/>
      </c>
      <c r="M320" s="1382"/>
      <c r="N320" s="1382"/>
      <c r="O320" s="1382"/>
      <c r="P320" s="1382"/>
      <c r="Q320" s="1382"/>
      <c r="R320" s="1382"/>
      <c r="S320" s="1382"/>
      <c r="T320" s="1382"/>
      <c r="U320" s="1382"/>
      <c r="V320" s="1382"/>
      <c r="W320" s="1382"/>
      <c r="X320" s="1382"/>
      <c r="Y320" s="1382"/>
      <c r="Z320" s="1382"/>
      <c r="AA320" s="1382"/>
      <c r="AB320" s="1382"/>
      <c r="AC320" s="1382"/>
      <c r="AD320" s="1382"/>
      <c r="AE320" s="1382"/>
      <c r="AF320" s="1382"/>
      <c r="AG320" s="1382"/>
      <c r="AH320" s="1382"/>
      <c r="AI320" s="1382"/>
      <c r="AJ320" s="1382"/>
      <c r="AK320" s="551"/>
      <c r="AL320" s="551"/>
      <c r="AM320" s="551"/>
      <c r="AN320" s="551"/>
      <c r="AO320" s="551"/>
      <c r="AP320" s="551"/>
      <c r="AQ320" s="551"/>
      <c r="AR320" s="551"/>
      <c r="AS320" s="551"/>
      <c r="AT320" s="551"/>
      <c r="AU320" s="551"/>
      <c r="AV320" s="551"/>
      <c r="AW320" s="551"/>
    </row>
    <row r="321" spans="1:49" x14ac:dyDescent="0.25">
      <c r="A321" s="1518" t="str">
        <f>IF(COUNTIF('04 - 95% CD'!D321:G321,"Y")&gt;0,"Y",IF(COUNTIF('04 - 95% CD'!D321:G321,"N"),"N",""))</f>
        <v>Y</v>
      </c>
      <c r="B321" s="125"/>
      <c r="C321" s="944"/>
      <c r="D321" s="411"/>
      <c r="E321" s="321"/>
      <c r="F321" s="559" t="str">
        <f>IF('C-Design&amp;Const'!$Q321="","",'C-Design&amp;Const'!$Q321)</f>
        <v>Y</v>
      </c>
      <c r="G321" s="485"/>
      <c r="H321" s="243" t="str">
        <f>CONCATENATE(IF(F321="N","PLACEHOLDER ROW - ",""),'C-Design&amp;Const'!Z321,IF(F321="N","",J321))</f>
        <v>Electrical Floor Plans w/ Devices for Power (Complete)</v>
      </c>
      <c r="I321" s="137"/>
      <c r="J321" s="578" t="str">
        <f>IF('C-Design&amp;Const'!AI321="","",'C-Design&amp;Const'!AI321)</f>
        <v>(Complete)</v>
      </c>
      <c r="K321" s="285" t="str">
        <f>IF((COUNTIF(D321:G321,"Y")=COUNTIF('04 - 95% CD'!A321,"Y")),"match","no 95% match")</f>
        <v>match</v>
      </c>
      <c r="L321" s="1410" t="str">
        <f t="shared" si="15"/>
        <v/>
      </c>
      <c r="M321" s="1333"/>
      <c r="N321" s="1333"/>
      <c r="O321" s="1333"/>
      <c r="P321" s="1333"/>
      <c r="Q321" s="1333"/>
      <c r="R321" s="1453"/>
      <c r="S321" s="1364"/>
      <c r="T321" s="1404"/>
      <c r="U321" s="1333"/>
      <c r="V321" s="1333"/>
      <c r="W321" s="1333"/>
      <c r="X321" s="1333"/>
      <c r="Y321" s="1333"/>
      <c r="Z321" s="1333"/>
      <c r="AA321" s="1333"/>
      <c r="AB321" s="1333"/>
      <c r="AC321" s="1333"/>
      <c r="AD321" s="1333"/>
      <c r="AE321" s="1333"/>
      <c r="AF321" s="1333"/>
      <c r="AG321" s="1333"/>
      <c r="AH321" s="1333"/>
      <c r="AI321" s="1333"/>
      <c r="AJ321" s="1333"/>
    </row>
    <row r="322" spans="1:49" x14ac:dyDescent="0.25">
      <c r="A322" s="1518" t="str">
        <f>IF(COUNTIF('04 - 95% CD'!D322:G322,"Y")&gt;0,"Y",IF(COUNTIF('04 - 95% CD'!D322:G322,"N"),"N",""))</f>
        <v>Y</v>
      </c>
      <c r="B322" s="125"/>
      <c r="C322" s="944"/>
      <c r="D322" s="411"/>
      <c r="E322" s="321"/>
      <c r="F322" s="559" t="str">
        <f>IF('C-Design&amp;Const'!$Q322="","",'C-Design&amp;Const'!$Q322)</f>
        <v>Y</v>
      </c>
      <c r="G322" s="485"/>
      <c r="H322" s="243" t="str">
        <f>CONCATENATE(IF(F322="N","PLACEHOLDER ROW - ",""),'C-Design&amp;Const'!Z322,IF(F322="N","",J322))</f>
        <v>Electrical Lighting Plans; Power Plans (Complete)</v>
      </c>
      <c r="I322" s="137"/>
      <c r="J322" s="578" t="str">
        <f>IF('C-Design&amp;Const'!AI322="","",'C-Design&amp;Const'!AI322)</f>
        <v>(Complete)</v>
      </c>
      <c r="K322" s="285" t="str">
        <f>IF((COUNTIF(D322:G322,"Y")=COUNTIF('04 - 95% CD'!A322,"Y")),"match","no 95% match")</f>
        <v>match</v>
      </c>
      <c r="L322" s="1410" t="str">
        <f t="shared" si="15"/>
        <v/>
      </c>
      <c r="M322" s="1333"/>
      <c r="N322" s="1333"/>
      <c r="O322" s="1333"/>
      <c r="P322" s="1333"/>
      <c r="Q322" s="1333"/>
      <c r="R322" s="1453"/>
      <c r="S322" s="1364"/>
      <c r="T322" s="1404"/>
      <c r="U322" s="1333"/>
      <c r="V322" s="1333"/>
      <c r="W322" s="1333"/>
      <c r="X322" s="1333"/>
      <c r="Y322" s="1333"/>
      <c r="Z322" s="1333"/>
      <c r="AA322" s="1333"/>
      <c r="AB322" s="1333"/>
      <c r="AC322" s="1333"/>
      <c r="AD322" s="1333"/>
      <c r="AE322" s="1333"/>
      <c r="AF322" s="1333"/>
      <c r="AG322" s="1333"/>
      <c r="AH322" s="1333"/>
      <c r="AI322" s="1333"/>
      <c r="AJ322" s="1333"/>
    </row>
    <row r="323" spans="1:49" x14ac:dyDescent="0.25">
      <c r="A323" s="1518" t="str">
        <f>IF(COUNTIF('04 - 95% CD'!D323:G323,"Y")&gt;0,"Y",IF(COUNTIF('04 - 95% CD'!D323:G323,"N"),"N",""))</f>
        <v>Y</v>
      </c>
      <c r="B323" s="125"/>
      <c r="C323" s="944"/>
      <c r="D323" s="411"/>
      <c r="E323" s="321"/>
      <c r="F323" s="559" t="str">
        <f>IF('C-Design&amp;Const'!$Q323="","",'C-Design&amp;Const'!$Q323)</f>
        <v>Y</v>
      </c>
      <c r="G323" s="485"/>
      <c r="H323" s="243" t="str">
        <f>CONCATENATE(IF(F323="N","PLACEHOLDER ROW - ",""),'C-Design&amp;Const'!Z323,IF(F323="N","",J323))</f>
        <v>Electrical Primary Feed Diagrams (Complete)</v>
      </c>
      <c r="I323" s="137"/>
      <c r="J323" s="578" t="str">
        <f>IF('C-Design&amp;Const'!AI323="","",'C-Design&amp;Const'!AI323)</f>
        <v>(Complete)</v>
      </c>
      <c r="K323" s="285" t="str">
        <f>IF((COUNTIF(D323:G323,"Y")=COUNTIF('04 - 95% CD'!A323,"Y")),"match","no 95% match")</f>
        <v>match</v>
      </c>
      <c r="L323" s="1410" t="str">
        <f t="shared" si="15"/>
        <v/>
      </c>
      <c r="M323" s="1333"/>
      <c r="N323" s="1333"/>
      <c r="O323" s="1333"/>
      <c r="P323" s="1333"/>
      <c r="Q323" s="1333"/>
      <c r="R323" s="1453"/>
      <c r="S323" s="1364"/>
      <c r="T323" s="1404"/>
      <c r="U323" s="1333"/>
      <c r="V323" s="1333"/>
      <c r="W323" s="1333"/>
      <c r="X323" s="1333"/>
      <c r="Y323" s="1333"/>
      <c r="Z323" s="1333"/>
      <c r="AA323" s="1333"/>
      <c r="AB323" s="1333"/>
      <c r="AC323" s="1333"/>
      <c r="AD323" s="1333"/>
      <c r="AE323" s="1333"/>
      <c r="AF323" s="1333"/>
      <c r="AG323" s="1333"/>
      <c r="AH323" s="1333"/>
      <c r="AI323" s="1333"/>
      <c r="AJ323" s="1333"/>
    </row>
    <row r="324" spans="1:49" x14ac:dyDescent="0.25">
      <c r="A324" s="1518" t="str">
        <f>IF(COUNTIF('04 - 95% CD'!D324:G324,"Y")&gt;0,"Y",IF(COUNTIF('04 - 95% CD'!D324:G324,"N"),"N",""))</f>
        <v>Y</v>
      </c>
      <c r="B324" s="125"/>
      <c r="C324" s="944"/>
      <c r="D324" s="411"/>
      <c r="E324" s="321"/>
      <c r="F324" s="559" t="str">
        <f>IF('C-Design&amp;Const'!$Q324="","",'C-Design&amp;Const'!$Q324)</f>
        <v>Y</v>
      </c>
      <c r="G324" s="485"/>
      <c r="H324" s="243" t="str">
        <f>CONCATENATE(IF(F324="N","PLACEHOLDER ROW - ",""),'C-Design&amp;Const'!Z324,IF(F324="N","",J324))</f>
        <v>Electrical Feeder Schedule (Complete)</v>
      </c>
      <c r="I324" s="137"/>
      <c r="J324" s="578" t="str">
        <f>IF('C-Design&amp;Const'!AI324="","",'C-Design&amp;Const'!AI324)</f>
        <v>(Complete)</v>
      </c>
      <c r="K324" s="285" t="str">
        <f>IF((COUNTIF(D324:G324,"Y")=COUNTIF('04 - 95% CD'!A324,"Y")),"match","no 95% match")</f>
        <v>match</v>
      </c>
      <c r="L324" s="1410" t="str">
        <f t="shared" si="15"/>
        <v/>
      </c>
      <c r="M324" s="1333"/>
      <c r="N324" s="1333"/>
      <c r="O324" s="1333"/>
      <c r="P324" s="1333"/>
      <c r="Q324" s="1333"/>
      <c r="R324" s="1453"/>
      <c r="S324" s="1364"/>
      <c r="T324" s="1404"/>
      <c r="U324" s="1333"/>
      <c r="V324" s="1333"/>
      <c r="W324" s="1333"/>
      <c r="X324" s="1333"/>
      <c r="Y324" s="1333"/>
      <c r="Z324" s="1333"/>
      <c r="AA324" s="1333"/>
      <c r="AB324" s="1333"/>
      <c r="AC324" s="1333"/>
      <c r="AD324" s="1333"/>
      <c r="AE324" s="1333"/>
      <c r="AF324" s="1333"/>
      <c r="AG324" s="1333"/>
      <c r="AH324" s="1333"/>
      <c r="AI324" s="1333"/>
      <c r="AJ324" s="1333"/>
    </row>
    <row r="325" spans="1:49" x14ac:dyDescent="0.25">
      <c r="A325" s="1518" t="str">
        <f>IF(COUNTIF('04 - 95% CD'!D325:G325,"Y")&gt;0,"Y",IF(COUNTIF('04 - 95% CD'!D325:G325,"N"),"N",""))</f>
        <v>Y</v>
      </c>
      <c r="B325" s="125"/>
      <c r="C325" s="944"/>
      <c r="D325" s="411"/>
      <c r="E325" s="321"/>
      <c r="F325" s="559" t="str">
        <f>IF('C-Design&amp;Const'!$Q325="","",'C-Design&amp;Const'!$Q325)</f>
        <v>Y</v>
      </c>
      <c r="G325" s="485"/>
      <c r="H325" s="243" t="str">
        <f>CONCATENATE(IF(F325="N","PLACEHOLDER ROW - ",""),'C-Design&amp;Const'!Z325,IF(F325="N","",J325))</f>
        <v>Electrical Secondary Riser Diagrams (Complete)</v>
      </c>
      <c r="I325" s="137"/>
      <c r="J325" s="578" t="str">
        <f>IF('C-Design&amp;Const'!AI325="","",'C-Design&amp;Const'!AI325)</f>
        <v>(Complete)</v>
      </c>
      <c r="K325" s="285" t="str">
        <f>IF((COUNTIF(D325:G325,"Y")=COUNTIF('04 - 95% CD'!A325,"Y")),"match","no 95% match")</f>
        <v>match</v>
      </c>
      <c r="L325" s="1410" t="str">
        <f t="shared" si="15"/>
        <v/>
      </c>
      <c r="M325" s="1333"/>
      <c r="N325" s="1333"/>
      <c r="O325" s="1333"/>
      <c r="P325" s="1333"/>
      <c r="Q325" s="1333"/>
      <c r="R325" s="1284"/>
      <c r="S325" s="1513"/>
      <c r="T325" s="1404"/>
      <c r="U325" s="1333"/>
      <c r="V325" s="1333"/>
      <c r="W325" s="1333"/>
      <c r="X325" s="1333"/>
      <c r="Y325" s="1333"/>
      <c r="Z325" s="1333"/>
      <c r="AA325" s="1333"/>
      <c r="AB325" s="1333"/>
      <c r="AC325" s="1333"/>
      <c r="AD325" s="1333"/>
      <c r="AE325" s="1333"/>
      <c r="AF325" s="1333"/>
      <c r="AG325" s="1333"/>
      <c r="AH325" s="1333"/>
      <c r="AI325" s="1333"/>
      <c r="AJ325" s="1333"/>
    </row>
    <row r="326" spans="1:49" x14ac:dyDescent="0.25">
      <c r="A326" s="1518" t="str">
        <f>IF(COUNTIF('04 - 95% CD'!D326:G326,"Y")&gt;0,"Y",IF(COUNTIF('04 - 95% CD'!D326:G326,"N"),"N",""))</f>
        <v>Y</v>
      </c>
      <c r="B326" s="125"/>
      <c r="C326" s="944"/>
      <c r="D326" s="411"/>
      <c r="E326" s="321"/>
      <c r="F326" s="559" t="str">
        <f>IF('C-Design&amp;Const'!$Q326="","",'C-Design&amp;Const'!$Q326)</f>
        <v>Y</v>
      </c>
      <c r="G326" s="485"/>
      <c r="H326" s="243" t="str">
        <f>CONCATENATE(IF(F326="N","PLACEHOLDER ROW - ",""),'C-Design&amp;Const'!Z326,IF(F326="N","",J326))</f>
        <v>Electrical Power Distribution Schedule (Complete)</v>
      </c>
      <c r="I326" s="137"/>
      <c r="J326" s="578" t="str">
        <f>IF('C-Design&amp;Const'!AI326="","",'C-Design&amp;Const'!AI326)</f>
        <v>(Complete)</v>
      </c>
      <c r="K326" s="285" t="str">
        <f>IF((COUNTIF(D326:G326,"Y")=COUNTIF('04 - 95% CD'!A326,"Y")),"match","no 95% match")</f>
        <v>match</v>
      </c>
      <c r="L326" s="1410" t="str">
        <f t="shared" si="15"/>
        <v/>
      </c>
      <c r="M326" s="1333"/>
      <c r="N326" s="1333"/>
      <c r="O326" s="1333"/>
      <c r="P326" s="1333"/>
      <c r="Q326" s="1333"/>
      <c r="R326" s="1453"/>
      <c r="S326" s="1364"/>
      <c r="T326" s="1404"/>
      <c r="U326" s="1333"/>
      <c r="V326" s="1333"/>
      <c r="W326" s="1333"/>
      <c r="X326" s="1333"/>
      <c r="Y326" s="1333"/>
      <c r="Z326" s="1333"/>
      <c r="AA326" s="1333"/>
      <c r="AB326" s="1333"/>
      <c r="AC326" s="1333"/>
      <c r="AD326" s="1333"/>
      <c r="AE326" s="1333"/>
      <c r="AF326" s="1333"/>
      <c r="AG326" s="1333"/>
      <c r="AH326" s="1333"/>
      <c r="AI326" s="1333"/>
      <c r="AJ326" s="1333"/>
    </row>
    <row r="327" spans="1:49" x14ac:dyDescent="0.25">
      <c r="A327" s="1518" t="str">
        <f>IF(COUNTIF('04 - 95% CD'!D327:G327,"Y")&gt;0,"Y",IF(COUNTIF('04 - 95% CD'!D327:G327,"N"),"N",""))</f>
        <v>Y</v>
      </c>
      <c r="B327" s="125"/>
      <c r="C327" s="944"/>
      <c r="D327" s="411"/>
      <c r="E327" s="321"/>
      <c r="F327" s="559" t="str">
        <f>IF('C-Design&amp;Const'!$Q327="","",'C-Design&amp;Const'!$Q327)</f>
        <v>Y</v>
      </c>
      <c r="G327" s="485"/>
      <c r="H327" s="243" t="str">
        <f>CONCATENATE(IF(F327="N","PLACEHOLDER ROW - ",""),'C-Design&amp;Const'!Z327,IF(F327="N","",J327))</f>
        <v>Electrical Grounding Riser Diagram (Complete)</v>
      </c>
      <c r="I327" s="137"/>
      <c r="J327" s="578" t="str">
        <f>IF('C-Design&amp;Const'!AI327="","",'C-Design&amp;Const'!AI327)</f>
        <v>(Complete)</v>
      </c>
      <c r="K327" s="285" t="str">
        <f>IF((COUNTIF(D327:G327,"Y")=COUNTIF('04 - 95% CD'!A327,"Y")),"match","no 95% match")</f>
        <v>match</v>
      </c>
      <c r="L327" s="1410" t="str">
        <f t="shared" ref="L327:L400" si="19">CONCATENATE(IF(ISNUMBER(SEARCH("Placeholder",H327))=TRUE,"&lt;---PM/Planner may hide PLACEHOLDER ROW",""))</f>
        <v/>
      </c>
      <c r="M327" s="1333"/>
      <c r="N327" s="1333"/>
      <c r="O327" s="1333"/>
      <c r="P327" s="1333"/>
      <c r="Q327" s="1333"/>
      <c r="R327" s="1453"/>
      <c r="S327" s="1364"/>
      <c r="T327" s="1404"/>
      <c r="U327" s="1333"/>
      <c r="V327" s="1333"/>
      <c r="W327" s="1333"/>
      <c r="X327" s="1333"/>
      <c r="Y327" s="1333"/>
      <c r="Z327" s="1333"/>
      <c r="AA327" s="1333"/>
      <c r="AB327" s="1333"/>
      <c r="AC327" s="1333"/>
      <c r="AD327" s="1333"/>
      <c r="AE327" s="1333"/>
      <c r="AF327" s="1333"/>
      <c r="AG327" s="1333"/>
      <c r="AH327" s="1333"/>
      <c r="AI327" s="1333"/>
      <c r="AJ327" s="1333"/>
    </row>
    <row r="328" spans="1:49" x14ac:dyDescent="0.25">
      <c r="A328" s="1518" t="str">
        <f>IF(COUNTIF('04 - 95% CD'!D328:G328,"Y")&gt;0,"Y",IF(COUNTIF('04 - 95% CD'!D328:G328,"N"),"N",""))</f>
        <v>Y</v>
      </c>
      <c r="B328" s="125"/>
      <c r="C328" s="944"/>
      <c r="D328" s="411"/>
      <c r="E328" s="321"/>
      <c r="F328" s="559" t="str">
        <f>IF('C-Design&amp;Const'!$Q328="","",'C-Design&amp;Const'!$Q328)</f>
        <v>Y</v>
      </c>
      <c r="G328" s="485"/>
      <c r="H328" s="243" t="str">
        <f>CONCATENATE(IF(F328="N","PLACEHOLDER ROW - ",""),'C-Design&amp;Const'!Z328,IF(F328="N","",J328))</f>
        <v>Electrical Details (Complete)</v>
      </c>
      <c r="I328" s="137"/>
      <c r="J328" s="578" t="str">
        <f>IF('C-Design&amp;Const'!AI328="","",'C-Design&amp;Const'!AI328)</f>
        <v>(Complete)</v>
      </c>
      <c r="K328" s="285" t="str">
        <f>IF((COUNTIF(D328:G328,"Y")=COUNTIF('04 - 95% CD'!A328,"Y")),"match","no 95% match")</f>
        <v>match</v>
      </c>
      <c r="L328" s="1410" t="str">
        <f t="shared" si="19"/>
        <v/>
      </c>
      <c r="M328" s="1333"/>
      <c r="N328" s="1333"/>
      <c r="O328" s="1333"/>
      <c r="P328" s="1333"/>
      <c r="Q328" s="1333"/>
      <c r="R328" s="1284"/>
      <c r="S328" s="1513"/>
      <c r="T328" s="1404"/>
      <c r="U328" s="1333"/>
      <c r="V328" s="1333"/>
      <c r="W328" s="1333"/>
      <c r="X328" s="1333"/>
      <c r="Y328" s="1333"/>
      <c r="Z328" s="1333"/>
      <c r="AA328" s="1333"/>
      <c r="AB328" s="1333"/>
      <c r="AC328" s="1333"/>
      <c r="AD328" s="1333"/>
      <c r="AE328" s="1333"/>
      <c r="AF328" s="1333"/>
      <c r="AG328" s="1333"/>
      <c r="AH328" s="1333"/>
      <c r="AI328" s="1333"/>
      <c r="AJ328" s="1333"/>
    </row>
    <row r="329" spans="1:49" x14ac:dyDescent="0.25">
      <c r="A329" s="1518" t="str">
        <f>IF(COUNTIF('04 - 95% CD'!D329:G329,"Y")&gt;0,"Y",IF(COUNTIF('04 - 95% CD'!D329:G329,"N"),"N",""))</f>
        <v>Y</v>
      </c>
      <c r="B329" s="125"/>
      <c r="C329" s="944"/>
      <c r="D329" s="411"/>
      <c r="E329" s="321"/>
      <c r="F329" s="559" t="str">
        <f>IF('C-Design&amp;Const'!$Q329="","",'C-Design&amp;Const'!$Q329)</f>
        <v>Y</v>
      </c>
      <c r="G329" s="485"/>
      <c r="H329" s="243" t="str">
        <f>CONCATENATE(IF(F329="N","PLACEHOLDER ROW - ",""),'C-Design&amp;Const'!Z329,IF(F329="N","",J329))</f>
        <v>Electrical Fixture Schedule and Equipment (Complete)</v>
      </c>
      <c r="I329" s="137"/>
      <c r="J329" s="578" t="str">
        <f>IF('C-Design&amp;Const'!AI329="","",'C-Design&amp;Const'!AI329)</f>
        <v>(Complete)</v>
      </c>
      <c r="K329" s="285" t="str">
        <f>IF((COUNTIF(D329:G329,"Y")=COUNTIF('04 - 95% CD'!A329,"Y")),"match","no 95% match")</f>
        <v>match</v>
      </c>
      <c r="L329" s="1410" t="str">
        <f t="shared" si="19"/>
        <v/>
      </c>
      <c r="M329" s="1333"/>
      <c r="N329" s="1333"/>
      <c r="O329" s="1333"/>
      <c r="P329" s="1333"/>
      <c r="Q329" s="1333"/>
      <c r="R329" s="1453"/>
      <c r="S329" s="1364"/>
      <c r="T329" s="1404"/>
      <c r="U329" s="1333"/>
      <c r="V329" s="1333"/>
      <c r="W329" s="1333"/>
      <c r="X329" s="1333"/>
      <c r="Y329" s="1333"/>
      <c r="Z329" s="1333"/>
      <c r="AA329" s="1333"/>
      <c r="AB329" s="1333"/>
      <c r="AC329" s="1333"/>
      <c r="AD329" s="1333"/>
      <c r="AE329" s="1333"/>
      <c r="AF329" s="1333"/>
      <c r="AG329" s="1333"/>
      <c r="AH329" s="1333"/>
      <c r="AI329" s="1333"/>
      <c r="AJ329" s="1333"/>
    </row>
    <row r="330" spans="1:49" x14ac:dyDescent="0.25">
      <c r="A330" s="1518" t="str">
        <f>IF(COUNTIF('04 - 95% CD'!D330:G330,"Y")&gt;0,"Y",IF(COUNTIF('04 - 95% CD'!D330:G330,"N"),"N",""))</f>
        <v>Y</v>
      </c>
      <c r="B330" s="125"/>
      <c r="C330" s="944"/>
      <c r="D330" s="411"/>
      <c r="E330" s="321"/>
      <c r="F330" s="559" t="str">
        <f>IF('C-Design&amp;Const'!$Q330="","",'C-Design&amp;Const'!$Q330)</f>
        <v>Y</v>
      </c>
      <c r="G330" s="485"/>
      <c r="H330" s="243" t="str">
        <f>CONCATENATE(IF(F330="N","PLACEHOLDER ROW - ",""),'C-Design&amp;Const'!Z330,IF(F330="N","",J330))</f>
        <v>Electrical Lightning Protection Sections / Diagrams(Complete)</v>
      </c>
      <c r="I330" s="137"/>
      <c r="J330" s="578" t="str">
        <f>IF('C-Design&amp;Const'!AI330="","",'C-Design&amp;Const'!AI330)</f>
        <v>(Complete)</v>
      </c>
      <c r="K330" s="285" t="str">
        <f>IF((COUNTIF(D330:G330,"Y")=COUNTIF('04 - 95% CD'!A330,"Y")),"match","no 95% match")</f>
        <v>match</v>
      </c>
      <c r="L330" s="1410" t="str">
        <f t="shared" si="19"/>
        <v/>
      </c>
      <c r="M330" s="1333"/>
      <c r="N330" s="1333"/>
      <c r="O330" s="1333"/>
      <c r="P330" s="1333"/>
      <c r="Q330" s="1333"/>
      <c r="R330" s="1453"/>
      <c r="S330" s="1364"/>
      <c r="T330" s="1404"/>
      <c r="U330" s="1333"/>
      <c r="V330" s="1333"/>
      <c r="W330" s="1333"/>
      <c r="X330" s="1333"/>
      <c r="Y330" s="1333"/>
      <c r="Z330" s="1333"/>
      <c r="AA330" s="1333"/>
      <c r="AB330" s="1333"/>
      <c r="AC330" s="1333"/>
      <c r="AD330" s="1333"/>
      <c r="AE330" s="1333"/>
      <c r="AF330" s="1333"/>
      <c r="AG330" s="1333"/>
      <c r="AH330" s="1333"/>
      <c r="AI330" s="1333"/>
      <c r="AJ330" s="1333"/>
    </row>
    <row r="331" spans="1:49" s="30" customFormat="1" ht="15" customHeight="1" x14ac:dyDescent="0.25">
      <c r="A331" s="1518" t="str">
        <f>IF(COUNTIF('04 - 95% CD'!D331:G331,"Y")&gt;0,"Y",IF(COUNTIF('04 - 95% CD'!D331:G331,"N"),"N",""))</f>
        <v>Y</v>
      </c>
      <c r="B331" s="191"/>
      <c r="C331" s="944"/>
      <c r="D331" s="463"/>
      <c r="E331" s="463"/>
      <c r="F331" s="359" t="str">
        <f>IF('C-Design&amp;Const'!$Q331="","",'C-Design&amp;Const'!$Q331)</f>
        <v>Y</v>
      </c>
      <c r="G331" s="291"/>
      <c r="H331" s="469" t="str">
        <f>CONCATENATE(IF(F331="N","PLACEHOLDER ROW - ",""),'C-Design&amp;Const'!Z331,IF(F331="N","",J331))</f>
        <v>Electrical Lightning Protection Details (Complete)</v>
      </c>
      <c r="I331" s="184"/>
      <c r="J331" s="578" t="str">
        <f>IF('C-Design&amp;Const'!AI331="","",'C-Design&amp;Const'!AI331)</f>
        <v>(Complete)</v>
      </c>
      <c r="K331" s="285" t="str">
        <f>IF((COUNTIF(D331:G331,"Y")=COUNTIF('04 - 95% CD'!A331,"Y")),"match","no 95% match")</f>
        <v>match</v>
      </c>
      <c r="L331" s="1410" t="str">
        <f t="shared" si="19"/>
        <v/>
      </c>
      <c r="M331" s="1382"/>
      <c r="N331" s="1382"/>
      <c r="O331" s="1382"/>
      <c r="P331" s="1382"/>
      <c r="Q331" s="1382"/>
      <c r="R331" s="1382"/>
      <c r="S331" s="1382"/>
      <c r="T331" s="1382"/>
      <c r="U331" s="1382"/>
      <c r="V331" s="1382"/>
      <c r="W331" s="1382"/>
      <c r="X331" s="1382"/>
      <c r="Y331" s="1382"/>
      <c r="Z331" s="1382"/>
      <c r="AA331" s="1382"/>
      <c r="AB331" s="1382"/>
      <c r="AC331" s="1382"/>
      <c r="AD331" s="1382"/>
      <c r="AE331" s="1382"/>
      <c r="AF331" s="1382"/>
      <c r="AG331" s="1382"/>
      <c r="AH331" s="1382"/>
      <c r="AI331" s="1382"/>
      <c r="AJ331" s="1382"/>
      <c r="AK331" s="181"/>
      <c r="AL331" s="181"/>
      <c r="AM331" s="181"/>
      <c r="AN331" s="181"/>
      <c r="AO331" s="181"/>
      <c r="AP331" s="181"/>
      <c r="AQ331" s="181"/>
      <c r="AR331" s="181"/>
      <c r="AS331" s="181"/>
      <c r="AT331" s="181"/>
      <c r="AU331" s="181"/>
      <c r="AV331" s="181"/>
      <c r="AW331" s="181"/>
    </row>
    <row r="332" spans="1:49" ht="14.25" customHeight="1" x14ac:dyDescent="0.25">
      <c r="A332" s="1407" t="str">
        <f>IF(COUNTIF('04 - 95% CD'!D332:G332,"Y")&gt;0,"Y",IF(COUNTIF('04 - 95% CD'!D332:G332,"N"),"N",""))</f>
        <v>Y</v>
      </c>
      <c r="B332" s="125"/>
      <c r="C332" s="944"/>
      <c r="D332" s="321"/>
      <c r="E332" s="559" t="str">
        <f>IF('C-Design&amp;Const'!$Q332="","",'C-Design&amp;Const'!$Q332)</f>
        <v>Y</v>
      </c>
      <c r="F332" s="478"/>
      <c r="G332" s="485"/>
      <c r="H332" s="244" t="str">
        <f>CONCATENATE(IF(F332="N","PLACEHOLDER ROW - ",""),'C-Design&amp;Const'!Z332,IF(F332="N","",J332))</f>
        <v>Fire Alarm Drawings (Including Bid Alts.)</v>
      </c>
      <c r="I332" s="146"/>
      <c r="J332" s="578" t="str">
        <f>IF('C-Design&amp;Const'!AI332="","",'C-Design&amp;Const'!AI332)</f>
        <v xml:space="preserve"> (Including Bid Alts.)</v>
      </c>
      <c r="K332" s="285" t="str">
        <f>IF((COUNTIF(D332:G332,"Y")=COUNTIF('04 - 95% CD'!A332,"Y")),"match","no 95% match")</f>
        <v>match</v>
      </c>
      <c r="L332" s="1410" t="str">
        <f t="shared" si="19"/>
        <v/>
      </c>
      <c r="M332" s="1333"/>
      <c r="N332" s="1333"/>
      <c r="O332" s="1333"/>
      <c r="P332" s="1333"/>
      <c r="Q332" s="1333"/>
      <c r="R332" s="1453"/>
      <c r="S332" s="1364"/>
      <c r="T332" s="1404"/>
      <c r="U332" s="1333"/>
      <c r="V332" s="1333"/>
      <c r="W332" s="1333"/>
      <c r="X332" s="1333"/>
      <c r="Y332" s="1333"/>
      <c r="Z332" s="1333"/>
      <c r="AA332" s="1333"/>
      <c r="AB332" s="1333"/>
      <c r="AC332" s="1333"/>
      <c r="AD332" s="1333"/>
      <c r="AE332" s="1333"/>
      <c r="AF332" s="1333"/>
      <c r="AG332" s="1333"/>
      <c r="AH332" s="1333"/>
      <c r="AI332" s="1333"/>
      <c r="AJ332" s="1333"/>
    </row>
    <row r="333" spans="1:49" s="30" customFormat="1" ht="13.5" customHeight="1" x14ac:dyDescent="0.25">
      <c r="A333" s="1518" t="str">
        <f>IF(COUNTIF('04 - 95% CD'!D333:G333,"Y")&gt;0,"Y",IF(COUNTIF('04 - 95% CD'!D333:G333,"N"),"N",""))</f>
        <v>N</v>
      </c>
      <c r="B333" s="191"/>
      <c r="C333" s="944"/>
      <c r="D333" s="463"/>
      <c r="E333" s="463"/>
      <c r="F333" s="359" t="str">
        <f>IF('C-Design&amp;Const'!$Q333="","",'C-Design&amp;Const'!$Q333)</f>
        <v>N</v>
      </c>
      <c r="G333" s="291"/>
      <c r="H333" s="469" t="str">
        <f>CONCATENATE(IF(F333="N","PLACEHOLDER ROW - ",""),'C-Design&amp;Const'!Z333,IF(F333="N","",J333))</f>
        <v xml:space="preserve">PLACEHOLDER ROW - CUSTOM - Fire Alarm  </v>
      </c>
      <c r="I333" s="184"/>
      <c r="J333" s="578" t="str">
        <f>IF('C-Design&amp;Const'!AI333="","",'C-Design&amp;Const'!AI333)</f>
        <v>(Complete)</v>
      </c>
      <c r="K333" s="285" t="str">
        <f>IF((COUNTIF(D333:G333,"Y")=COUNTIF('04 - 95% CD'!A333,"Y")),"match","no 95% match")</f>
        <v>match</v>
      </c>
      <c r="L333" s="1410" t="str">
        <f t="shared" si="19"/>
        <v>&lt;---PM/Planner may hide PLACEHOLDER ROW</v>
      </c>
      <c r="M333" s="1382"/>
      <c r="N333" s="1382"/>
      <c r="O333" s="1382"/>
      <c r="P333" s="1382"/>
      <c r="Q333" s="1382"/>
      <c r="R333" s="1382"/>
      <c r="S333" s="1382"/>
      <c r="T333" s="1382"/>
      <c r="U333" s="1382"/>
      <c r="V333" s="1382"/>
      <c r="W333" s="1382"/>
      <c r="X333" s="1382"/>
      <c r="Y333" s="1382"/>
      <c r="Z333" s="1382"/>
      <c r="AA333" s="1382"/>
      <c r="AB333" s="1382"/>
      <c r="AC333" s="1382"/>
      <c r="AD333" s="1382"/>
      <c r="AE333" s="1382"/>
      <c r="AF333" s="1382"/>
      <c r="AG333" s="1382"/>
      <c r="AH333" s="1382"/>
      <c r="AI333" s="1382"/>
      <c r="AJ333" s="1382"/>
      <c r="AK333" s="181"/>
      <c r="AL333" s="181"/>
      <c r="AM333" s="181"/>
      <c r="AN333" s="181"/>
      <c r="AO333" s="181"/>
      <c r="AP333" s="181"/>
      <c r="AQ333" s="181"/>
      <c r="AR333" s="181"/>
      <c r="AS333" s="181"/>
      <c r="AT333" s="181"/>
      <c r="AU333" s="181"/>
      <c r="AV333" s="181"/>
      <c r="AW333" s="181"/>
    </row>
    <row r="334" spans="1:49" s="30" customFormat="1" ht="13.5" customHeight="1" x14ac:dyDescent="0.25">
      <c r="A334" s="1518" t="str">
        <f>IF(COUNTIF('04 - 95% CD'!D334:G334,"Y")&gt;0,"Y",IF(COUNTIF('04 - 95% CD'!D334:G334,"N"),"N",""))</f>
        <v>N</v>
      </c>
      <c r="B334" s="191"/>
      <c r="C334" s="944"/>
      <c r="D334" s="463"/>
      <c r="E334" s="463"/>
      <c r="F334" s="359" t="str">
        <f>IF('C-Design&amp;Const'!$Q334="","",'C-Design&amp;Const'!$Q334)</f>
        <v>N</v>
      </c>
      <c r="G334" s="291"/>
      <c r="H334" s="469" t="str">
        <f>CONCATENATE(IF(F334="N","PLACEHOLDER ROW - ",""),'C-Design&amp;Const'!Z334,IF(F334="N","",J334))</f>
        <v xml:space="preserve">PLACEHOLDER ROW - CUSTOM - Fire Alarm  </v>
      </c>
      <c r="I334" s="184"/>
      <c r="J334" s="578" t="str">
        <f>IF('C-Design&amp;Const'!AI334="","",'C-Design&amp;Const'!AI334)</f>
        <v>(Complete)</v>
      </c>
      <c r="K334" s="285" t="str">
        <f>IF((COUNTIF(D334:G334,"Y")=COUNTIF('04 - 95% CD'!A334,"Y")),"match","no 95% match")</f>
        <v>match</v>
      </c>
      <c r="L334" s="1410" t="str">
        <f t="shared" si="19"/>
        <v>&lt;---PM/Planner may hide PLACEHOLDER ROW</v>
      </c>
      <c r="M334" s="1382"/>
      <c r="N334" s="1382"/>
      <c r="O334" s="1382"/>
      <c r="P334" s="1382"/>
      <c r="Q334" s="1382"/>
      <c r="R334" s="1382"/>
      <c r="S334" s="1382"/>
      <c r="T334" s="1382"/>
      <c r="U334" s="1382"/>
      <c r="V334" s="1382"/>
      <c r="W334" s="1382"/>
      <c r="X334" s="1382"/>
      <c r="Y334" s="1382"/>
      <c r="Z334" s="1382"/>
      <c r="AA334" s="1382"/>
      <c r="AB334" s="1382"/>
      <c r="AC334" s="1382"/>
      <c r="AD334" s="1382"/>
      <c r="AE334" s="1382"/>
      <c r="AF334" s="1382"/>
      <c r="AG334" s="1382"/>
      <c r="AH334" s="1382"/>
      <c r="AI334" s="1382"/>
      <c r="AJ334" s="1382"/>
      <c r="AK334" s="181"/>
      <c r="AL334" s="181"/>
      <c r="AM334" s="181"/>
      <c r="AN334" s="181"/>
      <c r="AO334" s="181"/>
      <c r="AP334" s="181"/>
      <c r="AQ334" s="181"/>
      <c r="AR334" s="181"/>
      <c r="AS334" s="181"/>
      <c r="AT334" s="181"/>
      <c r="AU334" s="181"/>
      <c r="AV334" s="181"/>
      <c r="AW334" s="181"/>
    </row>
    <row r="335" spans="1:49" s="545" customFormat="1" ht="13.5" customHeight="1" x14ac:dyDescent="0.25">
      <c r="A335" s="1518" t="str">
        <f>IF(COUNTIF('04 - 95% CD'!D335:G335,"Y")&gt;0,"Y",IF(COUNTIF('04 - 95% CD'!D335:G335,"N"),"N",""))</f>
        <v>Y</v>
      </c>
      <c r="B335" s="554"/>
      <c r="C335" s="944"/>
      <c r="D335" s="463"/>
      <c r="E335" s="463"/>
      <c r="F335" s="359" t="str">
        <f>IF('C-Design&amp;Const'!$Q335="","",'C-Design&amp;Const'!$Q335)</f>
        <v>Y</v>
      </c>
      <c r="G335" s="291"/>
      <c r="H335" s="469" t="str">
        <f>CONCATENATE(IF(F335="N","PLACEHOLDER ROW - ",""),'C-Design&amp;Const'!Z335,IF(F335="N","",J335))</f>
        <v>Fire Alarm Symbols, Abbreviations, and General Notes (Complete)</v>
      </c>
      <c r="I335" s="552"/>
      <c r="J335" s="578" t="str">
        <f>IF('C-Design&amp;Const'!AI335="","",'C-Design&amp;Const'!AI335)</f>
        <v>(Complete)</v>
      </c>
      <c r="K335" s="285" t="str">
        <f>IF((COUNTIF(D335:G335,"Y")=COUNTIF('04 - 95% CD'!A335,"Y")),"match","no 95% match")</f>
        <v>match</v>
      </c>
      <c r="L335" s="1410" t="str">
        <f t="shared" si="19"/>
        <v/>
      </c>
      <c r="M335" s="1382"/>
      <c r="N335" s="1382"/>
      <c r="O335" s="1382"/>
      <c r="P335" s="1382"/>
      <c r="Q335" s="1382"/>
      <c r="R335" s="1382"/>
      <c r="S335" s="1382"/>
      <c r="T335" s="1382"/>
      <c r="U335" s="1382"/>
      <c r="V335" s="1382"/>
      <c r="W335" s="1382"/>
      <c r="X335" s="1382"/>
      <c r="Y335" s="1382"/>
      <c r="Z335" s="1382"/>
      <c r="AA335" s="1382"/>
      <c r="AB335" s="1382"/>
      <c r="AC335" s="1382"/>
      <c r="AD335" s="1382"/>
      <c r="AE335" s="1382"/>
      <c r="AF335" s="1382"/>
      <c r="AG335" s="1382"/>
      <c r="AH335" s="1382"/>
      <c r="AI335" s="1382"/>
      <c r="AJ335" s="1382"/>
      <c r="AK335" s="551"/>
      <c r="AL335" s="551"/>
      <c r="AM335" s="551"/>
      <c r="AN335" s="551"/>
      <c r="AO335" s="551"/>
      <c r="AP335" s="551"/>
      <c r="AQ335" s="551"/>
      <c r="AR335" s="551"/>
      <c r="AS335" s="551"/>
      <c r="AT335" s="551"/>
      <c r="AU335" s="551"/>
      <c r="AV335" s="551"/>
      <c r="AW335" s="551"/>
    </row>
    <row r="336" spans="1:49" s="545" customFormat="1" ht="13.5" customHeight="1" x14ac:dyDescent="0.25">
      <c r="A336" s="1518" t="str">
        <f>IF(COUNTIF('04 - 95% CD'!D336:G336,"Y")&gt;0,"Y",IF(COUNTIF('04 - 95% CD'!D336:G336,"N"),"N",""))</f>
        <v>Y</v>
      </c>
      <c r="B336" s="554"/>
      <c r="C336" s="944"/>
      <c r="D336" s="463"/>
      <c r="E336" s="463"/>
      <c r="F336" s="359" t="str">
        <f>IF('C-Design&amp;Const'!$Q336="","",'C-Design&amp;Const'!$Q336)</f>
        <v>Y</v>
      </c>
      <c r="G336" s="291"/>
      <c r="H336" s="469" t="str">
        <f>CONCATENATE(IF(F336="N","PLACEHOLDER ROW - ",""),'C-Design&amp;Const'!Z336,IF(F336="N","",J336))</f>
        <v>Fire Alarm Demolition(s) (Complete)</v>
      </c>
      <c r="I336" s="552"/>
      <c r="J336" s="578" t="str">
        <f>IF('C-Design&amp;Const'!AI336="","",'C-Design&amp;Const'!AI336)</f>
        <v>(Complete)</v>
      </c>
      <c r="K336" s="285" t="str">
        <f>IF((COUNTIF(D336:G336,"Y")=COUNTIF('04 - 95% CD'!A336,"Y")),"match","no 95% match")</f>
        <v>match</v>
      </c>
      <c r="L336" s="1410" t="str">
        <f t="shared" si="19"/>
        <v/>
      </c>
      <c r="M336" s="1382"/>
      <c r="N336" s="1382"/>
      <c r="O336" s="1382"/>
      <c r="P336" s="1382"/>
      <c r="Q336" s="1382"/>
      <c r="R336" s="1382"/>
      <c r="S336" s="1382"/>
      <c r="T336" s="1382"/>
      <c r="U336" s="1382"/>
      <c r="V336" s="1382"/>
      <c r="W336" s="1382"/>
      <c r="X336" s="1382"/>
      <c r="Y336" s="1382"/>
      <c r="Z336" s="1382"/>
      <c r="AA336" s="1382"/>
      <c r="AB336" s="1382"/>
      <c r="AC336" s="1382"/>
      <c r="AD336" s="1382"/>
      <c r="AE336" s="1382"/>
      <c r="AF336" s="1382"/>
      <c r="AG336" s="1382"/>
      <c r="AH336" s="1382"/>
      <c r="AI336" s="1382"/>
      <c r="AJ336" s="1382"/>
      <c r="AK336" s="551"/>
      <c r="AL336" s="551"/>
      <c r="AM336" s="551"/>
      <c r="AN336" s="551"/>
      <c r="AO336" s="551"/>
      <c r="AP336" s="551"/>
      <c r="AQ336" s="551"/>
      <c r="AR336" s="551"/>
      <c r="AS336" s="551"/>
      <c r="AT336" s="551"/>
      <c r="AU336" s="551"/>
      <c r="AV336" s="551"/>
      <c r="AW336" s="551"/>
    </row>
    <row r="337" spans="1:49" x14ac:dyDescent="0.25">
      <c r="A337" s="1518" t="str">
        <f>IF(COUNTIF('04 - 95% CD'!D337:G337,"Y")&gt;0,"Y",IF(COUNTIF('04 - 95% CD'!D337:G337,"N"),"N",""))</f>
        <v>Y</v>
      </c>
      <c r="B337" s="125"/>
      <c r="C337" s="944"/>
      <c r="D337" s="411"/>
      <c r="E337" s="321"/>
      <c r="F337" s="559" t="str">
        <f>IF('C-Design&amp;Const'!$Q337="","",'C-Design&amp;Const'!$Q337)</f>
        <v>Y</v>
      </c>
      <c r="G337" s="485"/>
      <c r="H337" s="243" t="str">
        <f>CONCATENATE(IF(F337="N","PLACEHOLDER ROW - ",""),'C-Design&amp;Const'!Z337,IF(F337="N","",J337))</f>
        <v>Fire Alarm Floor Plans (Complete)</v>
      </c>
      <c r="I337" s="137"/>
      <c r="J337" s="578" t="str">
        <f>IF('C-Design&amp;Const'!AI337="","",'C-Design&amp;Const'!AI337)</f>
        <v>(Complete)</v>
      </c>
      <c r="K337" s="285" t="str">
        <f>IF((COUNTIF(D337:G337,"Y")=COUNTIF('04 - 95% CD'!A337,"Y")),"match","no 95% match")</f>
        <v>match</v>
      </c>
      <c r="L337" s="1410" t="str">
        <f t="shared" si="19"/>
        <v/>
      </c>
      <c r="M337" s="1333"/>
      <c r="N337" s="1333"/>
      <c r="O337" s="1333"/>
      <c r="P337" s="1333"/>
      <c r="Q337" s="1333"/>
      <c r="R337" s="1453"/>
      <c r="S337" s="1364"/>
      <c r="T337" s="1404"/>
      <c r="U337" s="1333"/>
      <c r="V337" s="1333"/>
      <c r="W337" s="1333"/>
      <c r="X337" s="1333"/>
      <c r="Y337" s="1333"/>
      <c r="Z337" s="1333"/>
      <c r="AA337" s="1333"/>
      <c r="AB337" s="1333"/>
      <c r="AC337" s="1333"/>
      <c r="AD337" s="1333"/>
      <c r="AE337" s="1333"/>
      <c r="AF337" s="1333"/>
      <c r="AG337" s="1333"/>
      <c r="AH337" s="1333"/>
      <c r="AI337" s="1333"/>
      <c r="AJ337" s="1333"/>
    </row>
    <row r="338" spans="1:49" x14ac:dyDescent="0.25">
      <c r="A338" s="1518" t="str">
        <f>IF(COUNTIF('04 - 95% CD'!D338:G338,"Y")&gt;0,"Y",IF(COUNTIF('04 - 95% CD'!D338:G338,"N"),"N",""))</f>
        <v>Y</v>
      </c>
      <c r="B338" s="125"/>
      <c r="C338" s="944"/>
      <c r="D338" s="411"/>
      <c r="E338" s="321"/>
      <c r="F338" s="559" t="str">
        <f>IF('C-Design&amp;Const'!$Q338="","",'C-Design&amp;Const'!$Q338)</f>
        <v>Y</v>
      </c>
      <c r="G338" s="485"/>
      <c r="H338" s="243" t="str">
        <f>CONCATENATE(IF(F338="N","PLACEHOLDER ROW - ",""),'C-Design&amp;Const'!Z338,IF(F338="N","",J338))</f>
        <v>Fire Alarm Riser Diagrams and Connections (Complete)</v>
      </c>
      <c r="I338" s="137"/>
      <c r="J338" s="578" t="str">
        <f>IF('C-Design&amp;Const'!AI338="","",'C-Design&amp;Const'!AI338)</f>
        <v>(Complete)</v>
      </c>
      <c r="K338" s="285" t="str">
        <f>IF((COUNTIF(D338:G338,"Y")=COUNTIF('04 - 95% CD'!A338,"Y")),"match","no 95% match")</f>
        <v>match</v>
      </c>
      <c r="L338" s="1410" t="str">
        <f t="shared" si="19"/>
        <v/>
      </c>
      <c r="M338" s="1333"/>
      <c r="N338" s="1333"/>
      <c r="O338" s="1333"/>
      <c r="P338" s="1333"/>
      <c r="Q338" s="1333"/>
      <c r="R338" s="1453"/>
      <c r="S338" s="1364"/>
      <c r="T338" s="1404"/>
      <c r="U338" s="1333"/>
      <c r="V338" s="1333"/>
      <c r="W338" s="1333"/>
      <c r="X338" s="1333"/>
      <c r="Y338" s="1333"/>
      <c r="Z338" s="1333"/>
      <c r="AA338" s="1333"/>
      <c r="AB338" s="1333"/>
      <c r="AC338" s="1333"/>
      <c r="AD338" s="1333"/>
      <c r="AE338" s="1333"/>
      <c r="AF338" s="1333"/>
      <c r="AG338" s="1333"/>
      <c r="AH338" s="1333"/>
      <c r="AI338" s="1333"/>
      <c r="AJ338" s="1333"/>
    </row>
    <row r="339" spans="1:49" x14ac:dyDescent="0.25">
      <c r="A339" s="1518" t="str">
        <f>IF(COUNTIF('04 - 95% CD'!D339:G339,"Y")&gt;0,"Y",IF(COUNTIF('04 - 95% CD'!D339:G339,"N"),"N",""))</f>
        <v>Y</v>
      </c>
      <c r="B339" s="125"/>
      <c r="C339" s="944"/>
      <c r="D339" s="411"/>
      <c r="E339" s="321"/>
      <c r="F339" s="559" t="str">
        <f>IF('C-Design&amp;Const'!$Q339="","",'C-Design&amp;Const'!$Q339)</f>
        <v>Y</v>
      </c>
      <c r="G339" s="485"/>
      <c r="H339" s="243" t="str">
        <f>CONCATENATE(IF(F339="N","PLACEHOLDER ROW - ",""),'C-Design&amp;Const'!Z339,IF(F339="N","",J339))</f>
        <v>Fire Alarm Details (Complete)</v>
      </c>
      <c r="I339" s="137"/>
      <c r="J339" s="578" t="str">
        <f>IF('C-Design&amp;Const'!AI339="","",'C-Design&amp;Const'!AI339)</f>
        <v>(Complete)</v>
      </c>
      <c r="K339" s="285" t="str">
        <f>IF((COUNTIF(D339:G339,"Y")=COUNTIF('04 - 95% CD'!A339,"Y")),"match","no 95% match")</f>
        <v>match</v>
      </c>
      <c r="L339" s="1410" t="str">
        <f t="shared" si="19"/>
        <v/>
      </c>
      <c r="M339" s="1333"/>
      <c r="N339" s="1333"/>
      <c r="O339" s="1333"/>
      <c r="P339" s="1333"/>
      <c r="Q339" s="1333"/>
      <c r="R339" s="1453"/>
      <c r="S339" s="1364"/>
      <c r="T339" s="1404"/>
      <c r="U339" s="1333"/>
      <c r="V339" s="1333"/>
      <c r="W339" s="1333"/>
      <c r="X339" s="1333"/>
      <c r="Y339" s="1333"/>
      <c r="Z339" s="1333"/>
      <c r="AA339" s="1333"/>
      <c r="AB339" s="1333"/>
      <c r="AC339" s="1333"/>
      <c r="AD339" s="1333"/>
      <c r="AE339" s="1333"/>
      <c r="AF339" s="1333"/>
      <c r="AG339" s="1333"/>
      <c r="AH339" s="1333"/>
      <c r="AI339" s="1333"/>
      <c r="AJ339" s="1333"/>
    </row>
    <row r="340" spans="1:49" ht="30" x14ac:dyDescent="0.25">
      <c r="A340" s="1407" t="str">
        <f>IF(COUNTIF('04 - 95% CD'!D340:G340,"Y")&gt;0,"Y",IF(COUNTIF('04 - 95% CD'!D340:G340,"N"),"N",""))</f>
        <v>Y</v>
      </c>
      <c r="B340" s="125"/>
      <c r="C340" s="944"/>
      <c r="D340" s="411"/>
      <c r="E340" s="559" t="str">
        <f>IF('C-Design&amp;Const'!$Q340="","",'C-Design&amp;Const'!$Q340)</f>
        <v>Y</v>
      </c>
      <c r="F340" s="321"/>
      <c r="G340" s="485"/>
      <c r="H340" s="244" t="str">
        <f>CONCATENATE(IF(F340="N","PLACEHOLDER ROW - ",""),'C-Design&amp;Const'!Z340,IF(F340="N","",J340))</f>
        <v>Building Automation Systems Drawings (HVAC Instrumentation and Control) (Including Bid Alts.)</v>
      </c>
      <c r="I340" s="146"/>
      <c r="J340" s="578" t="str">
        <f>IF('C-Design&amp;Const'!AI340="","",'C-Design&amp;Const'!AI340)</f>
        <v xml:space="preserve"> (Including Bid Alts.)</v>
      </c>
      <c r="K340" s="285" t="str">
        <f>IF((COUNTIF(D340:G340,"Y")=COUNTIF('04 - 95% CD'!A340,"Y")),"match","no 95% match")</f>
        <v>match</v>
      </c>
      <c r="L340" s="1410" t="str">
        <f t="shared" ref="L340:L357" si="20">CONCATENATE(IF(ISNUMBER(SEARCH("Placeholder",H340))=TRUE,"&lt;---PM/Planner may hide PLACEHOLDER ROW",""))</f>
        <v/>
      </c>
      <c r="M340" s="1333"/>
      <c r="N340" s="1333"/>
      <c r="O340" s="1333"/>
      <c r="P340" s="1333"/>
      <c r="Q340" s="1333"/>
      <c r="R340" s="1453"/>
      <c r="S340" s="1364"/>
      <c r="T340" s="1404"/>
      <c r="U340" s="1333"/>
      <c r="V340" s="1333"/>
      <c r="W340" s="1333"/>
      <c r="X340" s="1333"/>
      <c r="Y340" s="1333"/>
      <c r="Z340" s="1333"/>
      <c r="AA340" s="1333"/>
      <c r="AB340" s="1333"/>
      <c r="AC340" s="1333"/>
      <c r="AD340" s="1333"/>
      <c r="AE340" s="1333"/>
      <c r="AF340" s="1333"/>
      <c r="AG340" s="1333"/>
      <c r="AH340" s="1333"/>
      <c r="AI340" s="1333"/>
      <c r="AJ340" s="1333"/>
    </row>
    <row r="341" spans="1:49" s="30" customFormat="1" ht="13.5" customHeight="1" x14ac:dyDescent="0.25">
      <c r="A341" s="1518" t="str">
        <f>IF(COUNTIF('04 - 95% CD'!D341:G341,"Y")&gt;0,"Y",IF(COUNTIF('04 - 95% CD'!D341:G341,"N"),"N",""))</f>
        <v>N</v>
      </c>
      <c r="B341" s="191"/>
      <c r="C341" s="944"/>
      <c r="D341" s="463"/>
      <c r="E341" s="463"/>
      <c r="F341" s="359" t="str">
        <f>IF('C-Design&amp;Const'!$Q341="","",'C-Design&amp;Const'!$Q341)</f>
        <v>N</v>
      </c>
      <c r="G341" s="291"/>
      <c r="H341" s="469" t="str">
        <f>CONCATENATE(IF(F341="N","PLACEHOLDER ROW - ",""),'C-Design&amp;Const'!Z341,IF(F341="N","",J341))</f>
        <v>PLACEHOLDER ROW - CUSTOM - Building Automation Systems</v>
      </c>
      <c r="I341" s="146"/>
      <c r="J341" s="578" t="str">
        <f>IF('C-Design&amp;Const'!AI341="","",'C-Design&amp;Const'!AI341)</f>
        <v>(Complete)</v>
      </c>
      <c r="K341" s="285" t="str">
        <f>IF((COUNTIF(D341:G341,"Y")=COUNTIF('04 - 95% CD'!A341,"Y")),"match","no 95% match")</f>
        <v>match</v>
      </c>
      <c r="L341" s="1410" t="str">
        <f t="shared" si="20"/>
        <v>&lt;---PM/Planner may hide PLACEHOLDER ROW</v>
      </c>
      <c r="M341" s="1382"/>
      <c r="N341" s="1382"/>
      <c r="O341" s="1382"/>
      <c r="P341" s="1382"/>
      <c r="Q341" s="1382"/>
      <c r="R341" s="1382"/>
      <c r="S341" s="1382"/>
      <c r="T341" s="1382"/>
      <c r="U341" s="1382"/>
      <c r="V341" s="1382"/>
      <c r="W341" s="1382"/>
      <c r="X341" s="1382"/>
      <c r="Y341" s="1382"/>
      <c r="Z341" s="1382"/>
      <c r="AA341" s="1382"/>
      <c r="AB341" s="1382"/>
      <c r="AC341" s="1382"/>
      <c r="AD341" s="1382"/>
      <c r="AE341" s="1382"/>
      <c r="AF341" s="1382"/>
      <c r="AG341" s="1382"/>
      <c r="AH341" s="1382"/>
      <c r="AI341" s="1382"/>
      <c r="AJ341" s="1382"/>
      <c r="AK341" s="181"/>
      <c r="AL341" s="181"/>
      <c r="AM341" s="181"/>
      <c r="AN341" s="181"/>
      <c r="AO341" s="181"/>
      <c r="AP341" s="181"/>
      <c r="AQ341" s="181"/>
      <c r="AR341" s="181"/>
      <c r="AS341" s="181"/>
      <c r="AT341" s="181"/>
      <c r="AU341" s="181"/>
      <c r="AV341" s="181"/>
      <c r="AW341" s="181"/>
    </row>
    <row r="342" spans="1:49" s="30" customFormat="1" ht="13.5" customHeight="1" x14ac:dyDescent="0.25">
      <c r="A342" s="1518" t="str">
        <f>IF(COUNTIF('04 - 95% CD'!D342:G342,"Y")&gt;0,"Y",IF(COUNTIF('04 - 95% CD'!D342:G342,"N"),"N",""))</f>
        <v>N</v>
      </c>
      <c r="B342" s="191"/>
      <c r="C342" s="944"/>
      <c r="D342" s="463"/>
      <c r="E342" s="463"/>
      <c r="F342" s="359" t="str">
        <f>IF('C-Design&amp;Const'!$Q342="","",'C-Design&amp;Const'!$Q342)</f>
        <v>N</v>
      </c>
      <c r="G342" s="291"/>
      <c r="H342" s="469" t="str">
        <f>CONCATENATE(IF(F342="N","PLACEHOLDER ROW - ",""),'C-Design&amp;Const'!Z342,IF(F342="N","",J342))</f>
        <v>PLACEHOLDER ROW - CUSTOM - Building Automation Systems</v>
      </c>
      <c r="I342" s="146"/>
      <c r="J342" s="578" t="str">
        <f>IF('C-Design&amp;Const'!AI342="","",'C-Design&amp;Const'!AI342)</f>
        <v>(Complete)</v>
      </c>
      <c r="K342" s="285" t="str">
        <f>IF((COUNTIF(D342:G342,"Y")=COUNTIF('04 - 95% CD'!A342,"Y")),"match","no 95% match")</f>
        <v>match</v>
      </c>
      <c r="L342" s="1410" t="str">
        <f t="shared" si="20"/>
        <v>&lt;---PM/Planner may hide PLACEHOLDER ROW</v>
      </c>
      <c r="M342" s="1382"/>
      <c r="N342" s="1382"/>
      <c r="O342" s="1382"/>
      <c r="P342" s="1382"/>
      <c r="Q342" s="1382"/>
      <c r="R342" s="1382"/>
      <c r="S342" s="1382"/>
      <c r="T342" s="1382"/>
      <c r="U342" s="1382"/>
      <c r="V342" s="1382"/>
      <c r="W342" s="1382"/>
      <c r="X342" s="1382"/>
      <c r="Y342" s="1382"/>
      <c r="Z342" s="1382"/>
      <c r="AA342" s="1382"/>
      <c r="AB342" s="1382"/>
      <c r="AC342" s="1382"/>
      <c r="AD342" s="1382"/>
      <c r="AE342" s="1382"/>
      <c r="AF342" s="1382"/>
      <c r="AG342" s="1382"/>
      <c r="AH342" s="1382"/>
      <c r="AI342" s="1382"/>
      <c r="AJ342" s="1382"/>
      <c r="AK342" s="181"/>
      <c r="AL342" s="181"/>
      <c r="AM342" s="181"/>
      <c r="AN342" s="181"/>
      <c r="AO342" s="181"/>
      <c r="AP342" s="181"/>
      <c r="AQ342" s="181"/>
      <c r="AR342" s="181"/>
      <c r="AS342" s="181"/>
      <c r="AT342" s="181"/>
      <c r="AU342" s="181"/>
      <c r="AV342" s="181"/>
      <c r="AW342" s="181"/>
    </row>
    <row r="343" spans="1:49" s="545" customFormat="1" ht="13.5" customHeight="1" x14ac:dyDescent="0.25">
      <c r="A343" s="1518" t="str">
        <f>IF(COUNTIF('04 - 95% CD'!D343:G343,"Y")&gt;0,"Y",IF(COUNTIF('04 - 95% CD'!D343:G343,"N"),"N",""))</f>
        <v>Y</v>
      </c>
      <c r="B343" s="554"/>
      <c r="C343" s="944"/>
      <c r="D343" s="463"/>
      <c r="E343" s="463"/>
      <c r="F343" s="359" t="str">
        <f>IF('C-Design&amp;Const'!$Q343="","",'C-Design&amp;Const'!$Q343)</f>
        <v>Y</v>
      </c>
      <c r="G343" s="291"/>
      <c r="H343" s="469" t="str">
        <f>CONCATENATE(IF(F343="N","PLACEHOLDER ROW - ",""),'C-Design&amp;Const'!Z343,IF(F343="N","",J343))</f>
        <v>Building Automation Symbols, Abbreviations, and General Notes (Complete)</v>
      </c>
      <c r="I343" s="552"/>
      <c r="J343" s="578" t="str">
        <f>IF('C-Design&amp;Const'!AI343="","",'C-Design&amp;Const'!AI343)</f>
        <v>(Complete)</v>
      </c>
      <c r="K343" s="285" t="str">
        <f>IF((COUNTIF(D343:G343,"Y")=COUNTIF('04 - 95% CD'!A343,"Y")),"match","no 95% match")</f>
        <v>match</v>
      </c>
      <c r="L343" s="1410" t="str">
        <f t="shared" si="20"/>
        <v/>
      </c>
      <c r="M343" s="1382"/>
      <c r="N343" s="1382"/>
      <c r="O343" s="1382"/>
      <c r="P343" s="1382"/>
      <c r="Q343" s="1382"/>
      <c r="R343" s="1382"/>
      <c r="S343" s="1382"/>
      <c r="T343" s="1382"/>
      <c r="U343" s="1382"/>
      <c r="V343" s="1382"/>
      <c r="W343" s="1382"/>
      <c r="X343" s="1382"/>
      <c r="Y343" s="1382"/>
      <c r="Z343" s="1382"/>
      <c r="AA343" s="1382"/>
      <c r="AB343" s="1382"/>
      <c r="AC343" s="1382"/>
      <c r="AD343" s="1382"/>
      <c r="AE343" s="1382"/>
      <c r="AF343" s="1382"/>
      <c r="AG343" s="1382"/>
      <c r="AH343" s="1382"/>
      <c r="AI343" s="1382"/>
      <c r="AJ343" s="1382"/>
      <c r="AK343" s="551"/>
      <c r="AL343" s="551"/>
      <c r="AM343" s="551"/>
      <c r="AN343" s="551"/>
      <c r="AO343" s="551"/>
      <c r="AP343" s="551"/>
      <c r="AQ343" s="551"/>
      <c r="AR343" s="551"/>
      <c r="AS343" s="551"/>
      <c r="AT343" s="551"/>
      <c r="AU343" s="551"/>
      <c r="AV343" s="551"/>
      <c r="AW343" s="551"/>
    </row>
    <row r="344" spans="1:49" s="545" customFormat="1" ht="13.5" customHeight="1" x14ac:dyDescent="0.25">
      <c r="A344" s="1518" t="str">
        <f>IF(COUNTIF('04 - 95% CD'!D344:G344,"Y")&gt;0,"Y",IF(COUNTIF('04 - 95% CD'!D344:G344,"N"),"N",""))</f>
        <v>Y</v>
      </c>
      <c r="B344" s="554"/>
      <c r="C344" s="944"/>
      <c r="D344" s="463"/>
      <c r="E344" s="463"/>
      <c r="F344" s="359" t="str">
        <f>IF('C-Design&amp;Const'!$Q344="","",'C-Design&amp;Const'!$Q344)</f>
        <v>Y</v>
      </c>
      <c r="G344" s="291"/>
      <c r="H344" s="469" t="str">
        <f>CONCATENATE(IF(F344="N","PLACEHOLDER ROW - ",""),'C-Design&amp;Const'!Z344,IF(F344="N","",J344))</f>
        <v>Building Automation Systems Demolition(s) (Complete)</v>
      </c>
      <c r="I344" s="552"/>
      <c r="J344" s="578" t="str">
        <f>IF('C-Design&amp;Const'!AI344="","",'C-Design&amp;Const'!AI344)</f>
        <v>(Complete)</v>
      </c>
      <c r="K344" s="285" t="str">
        <f>IF((COUNTIF(D344:G344,"Y")=COUNTIF('04 - 95% CD'!A344,"Y")),"match","no 95% match")</f>
        <v>match</v>
      </c>
      <c r="L344" s="1410" t="str">
        <f t="shared" si="20"/>
        <v/>
      </c>
      <c r="M344" s="1382"/>
      <c r="N344" s="1382"/>
      <c r="O344" s="1382"/>
      <c r="P344" s="1382"/>
      <c r="Q344" s="1382"/>
      <c r="R344" s="1382"/>
      <c r="S344" s="1382"/>
      <c r="T344" s="1382"/>
      <c r="U344" s="1382"/>
      <c r="V344" s="1382"/>
      <c r="W344" s="1382"/>
      <c r="X344" s="1382"/>
      <c r="Y344" s="1382"/>
      <c r="Z344" s="1382"/>
      <c r="AA344" s="1382"/>
      <c r="AB344" s="1382"/>
      <c r="AC344" s="1382"/>
      <c r="AD344" s="1382"/>
      <c r="AE344" s="1382"/>
      <c r="AF344" s="1382"/>
      <c r="AG344" s="1382"/>
      <c r="AH344" s="1382"/>
      <c r="AI344" s="1382"/>
      <c r="AJ344" s="1382"/>
      <c r="AK344" s="551"/>
      <c r="AL344" s="551"/>
      <c r="AM344" s="551"/>
      <c r="AN344" s="551"/>
      <c r="AO344" s="551"/>
      <c r="AP344" s="551"/>
      <c r="AQ344" s="551"/>
      <c r="AR344" s="551"/>
      <c r="AS344" s="551"/>
      <c r="AT344" s="551"/>
      <c r="AU344" s="551"/>
      <c r="AV344" s="551"/>
      <c r="AW344" s="551"/>
    </row>
    <row r="345" spans="1:49" ht="30" x14ac:dyDescent="0.25">
      <c r="A345" s="1518" t="str">
        <f>IF(COUNTIF('04 - 95% CD'!D345:G345,"Y")&gt;0,"Y",IF(COUNTIF('04 - 95% CD'!D345:G345,"N"),"N",""))</f>
        <v>Y</v>
      </c>
      <c r="B345" s="125"/>
      <c r="C345" s="944"/>
      <c r="D345" s="411"/>
      <c r="E345" s="321"/>
      <c r="F345" s="559" t="str">
        <f>IF('C-Design&amp;Const'!$Q345="","",'C-Design&amp;Const'!$Q345)</f>
        <v>Y</v>
      </c>
      <c r="G345" s="485"/>
      <c r="H345" s="243" t="str">
        <f>CONCATENATE(IF(F345="N","PLACEHOLDER ROW - ",""),'C-Design&amp;Const'!Z345,IF(F345="N","",J345))</f>
        <v>Building Automation Floor Plans and Approximate Control Panel Locations &amp; Other Instruments or Device Locations (Complete)</v>
      </c>
      <c r="I345" s="146"/>
      <c r="J345" s="578" t="str">
        <f>IF('C-Design&amp;Const'!AI345="","",'C-Design&amp;Const'!AI345)</f>
        <v>(Complete)</v>
      </c>
      <c r="K345" s="285" t="str">
        <f>IF((COUNTIF(D345:G345,"Y")=COUNTIF('04 - 95% CD'!A345,"Y")),"match","no 95% match")</f>
        <v>match</v>
      </c>
      <c r="L345" s="1410" t="str">
        <f t="shared" si="20"/>
        <v/>
      </c>
      <c r="M345" s="1333"/>
      <c r="N345" s="1333"/>
      <c r="O345" s="1333"/>
      <c r="P345" s="1333"/>
      <c r="Q345" s="1333"/>
      <c r="R345" s="1453"/>
      <c r="S345" s="1364"/>
      <c r="T345" s="1404"/>
      <c r="U345" s="1333"/>
      <c r="V345" s="1333"/>
      <c r="W345" s="1333"/>
      <c r="X345" s="1333"/>
      <c r="Y345" s="1333"/>
      <c r="Z345" s="1333"/>
      <c r="AA345" s="1333"/>
      <c r="AB345" s="1333"/>
      <c r="AC345" s="1333"/>
      <c r="AD345" s="1333"/>
      <c r="AE345" s="1333"/>
      <c r="AF345" s="1333"/>
      <c r="AG345" s="1333"/>
      <c r="AH345" s="1333"/>
      <c r="AI345" s="1333"/>
      <c r="AJ345" s="1333"/>
    </row>
    <row r="346" spans="1:49" ht="30" x14ac:dyDescent="0.25">
      <c r="A346" s="1518" t="str">
        <f>IF(COUNTIF('04 - 95% CD'!D346:G346,"Y")&gt;0,"Y",IF(COUNTIF('04 - 95% CD'!D346:G346,"N"),"N",""))</f>
        <v>Y</v>
      </c>
      <c r="B346" s="125"/>
      <c r="C346" s="944"/>
      <c r="D346" s="411"/>
      <c r="E346" s="321"/>
      <c r="F346" s="559" t="str">
        <f>IF('C-Design&amp;Const'!$Q346="","",'C-Design&amp;Const'!$Q346)</f>
        <v>Y</v>
      </c>
      <c r="G346" s="485"/>
      <c r="H346" s="243" t="str">
        <f>CONCATENATE(IF(F346="N","PLACEHOLDER ROW - ",""),'C-Design&amp;Const'!Z346,IF(F346="N","",J346))</f>
        <v>Building Automation Systems Diagrams, Points List (Diagrammatical or Spreadsheet), Device Schedule, and Sequences of Operation (Complete)</v>
      </c>
      <c r="I346" s="146"/>
      <c r="J346" s="578" t="str">
        <f>IF('C-Design&amp;Const'!AI346="","",'C-Design&amp;Const'!AI346)</f>
        <v>(Complete)</v>
      </c>
      <c r="K346" s="285" t="str">
        <f>IF((COUNTIF(D346:G346,"Y")=COUNTIF('04 - 95% CD'!A346,"Y")),"match","no 95% match")</f>
        <v>match</v>
      </c>
      <c r="L346" s="1410" t="str">
        <f t="shared" si="20"/>
        <v/>
      </c>
      <c r="M346" s="1333"/>
      <c r="N346" s="1333"/>
      <c r="O346" s="1333"/>
      <c r="P346" s="1333"/>
      <c r="Q346" s="1333"/>
      <c r="R346" s="1284"/>
      <c r="S346" s="1513"/>
      <c r="T346" s="1404"/>
      <c r="U346" s="1333"/>
      <c r="V346" s="1333"/>
      <c r="W346" s="1333"/>
      <c r="X346" s="1333"/>
      <c r="Y346" s="1333"/>
      <c r="Z346" s="1333"/>
      <c r="AA346" s="1333"/>
      <c r="AB346" s="1333"/>
      <c r="AC346" s="1333"/>
      <c r="AD346" s="1333"/>
      <c r="AE346" s="1333"/>
      <c r="AF346" s="1333"/>
      <c r="AG346" s="1333"/>
      <c r="AH346" s="1333"/>
      <c r="AI346" s="1333"/>
      <c r="AJ346" s="1333"/>
    </row>
    <row r="347" spans="1:49" s="30" customFormat="1" ht="15" customHeight="1" x14ac:dyDescent="0.25">
      <c r="A347" s="1518" t="str">
        <f>IF(COUNTIF('04 - 95% CD'!D347:G347,"Y")&gt;0,"Y",IF(COUNTIF('04 - 95% CD'!D347:G347,"N"),"N",""))</f>
        <v>Y</v>
      </c>
      <c r="B347" s="191"/>
      <c r="C347" s="944"/>
      <c r="D347" s="463"/>
      <c r="E347" s="463"/>
      <c r="F347" s="359" t="str">
        <f>IF('C-Design&amp;Const'!$Q347="","",'C-Design&amp;Const'!$Q347)</f>
        <v>Y</v>
      </c>
      <c r="G347" s="291"/>
      <c r="H347" s="469" t="str">
        <f>CONCATENATE(IF(F347="N","PLACEHOLDER ROW - ",""),'C-Design&amp;Const'!Z347,IF(F347="N","",J347))</f>
        <v>Building Network Connections and Integration (Complete)</v>
      </c>
      <c r="I347" s="146"/>
      <c r="J347" s="578" t="str">
        <f>IF('C-Design&amp;Const'!AI347="","",'C-Design&amp;Const'!AI347)</f>
        <v>(Complete)</v>
      </c>
      <c r="K347" s="285" t="str">
        <f>IF((COUNTIF(D347:G347,"Y")=COUNTIF('04 - 95% CD'!A347,"Y")),"match","no 95% match")</f>
        <v>match</v>
      </c>
      <c r="L347" s="1410" t="str">
        <f t="shared" si="20"/>
        <v/>
      </c>
      <c r="M347" s="1382"/>
      <c r="N347" s="1382"/>
      <c r="O347" s="1382"/>
      <c r="P347" s="1382"/>
      <c r="Q347" s="1382"/>
      <c r="R347" s="1382"/>
      <c r="S347" s="1382"/>
      <c r="T347" s="1382"/>
      <c r="U347" s="1382"/>
      <c r="V347" s="1382"/>
      <c r="W347" s="1382"/>
      <c r="X347" s="1382"/>
      <c r="Y347" s="1382"/>
      <c r="Z347" s="1382"/>
      <c r="AA347" s="1382"/>
      <c r="AB347" s="1382"/>
      <c r="AC347" s="1382"/>
      <c r="AD347" s="1382"/>
      <c r="AE347" s="1382"/>
      <c r="AF347" s="1382"/>
      <c r="AG347" s="1382"/>
      <c r="AH347" s="1382"/>
      <c r="AI347" s="1382"/>
      <c r="AJ347" s="1382"/>
      <c r="AK347" s="181"/>
      <c r="AL347" s="181"/>
      <c r="AM347" s="181"/>
      <c r="AN347" s="181"/>
      <c r="AO347" s="181"/>
      <c r="AP347" s="181"/>
      <c r="AQ347" s="181"/>
      <c r="AR347" s="181"/>
      <c r="AS347" s="181"/>
      <c r="AT347" s="181"/>
      <c r="AU347" s="181"/>
      <c r="AV347" s="181"/>
      <c r="AW347" s="181"/>
    </row>
    <row r="348" spans="1:49" s="30" customFormat="1" ht="15" customHeight="1" x14ac:dyDescent="0.25">
      <c r="A348" s="1518" t="str">
        <f>IF(COUNTIF('04 - 95% CD'!D348:G348,"Y")&gt;0,"Y",IF(COUNTIF('04 - 95% CD'!D348:G348,"N"),"N",""))</f>
        <v>Y</v>
      </c>
      <c r="B348" s="191"/>
      <c r="C348" s="944"/>
      <c r="D348" s="463"/>
      <c r="E348" s="463"/>
      <c r="F348" s="359" t="str">
        <f>IF('C-Design&amp;Const'!$Q348="","",'C-Design&amp;Const'!$Q348)</f>
        <v>Y</v>
      </c>
      <c r="G348" s="291"/>
      <c r="H348" s="469" t="str">
        <f>CONCATENATE(IF(F348="N","PLACEHOLDER ROW - ",""),'C-Design&amp;Const'!Z348,IF(F348="N","",J348))</f>
        <v>Temperature Controls Building Automation Systems - Sequence of Operation (Complete)</v>
      </c>
      <c r="I348" s="146"/>
      <c r="J348" s="578" t="str">
        <f>IF('C-Design&amp;Const'!AI348="","",'C-Design&amp;Const'!AI348)</f>
        <v>(Complete)</v>
      </c>
      <c r="K348" s="285" t="str">
        <f>IF((COUNTIF(D348:G348,"Y")=COUNTIF('04 - 95% CD'!A348,"Y")),"match","no 95% match")</f>
        <v>match</v>
      </c>
      <c r="L348" s="1410" t="str">
        <f t="shared" si="20"/>
        <v/>
      </c>
      <c r="M348" s="1382"/>
      <c r="N348" s="1382"/>
      <c r="O348" s="1382"/>
      <c r="P348" s="1382"/>
      <c r="Q348" s="1382"/>
      <c r="R348" s="1382"/>
      <c r="S348" s="1382"/>
      <c r="T348" s="1382"/>
      <c r="U348" s="1382"/>
      <c r="V348" s="1382"/>
      <c r="W348" s="1382"/>
      <c r="X348" s="1382"/>
      <c r="Y348" s="1382"/>
      <c r="Z348" s="1382"/>
      <c r="AA348" s="1382"/>
      <c r="AB348" s="1382"/>
      <c r="AC348" s="1382"/>
      <c r="AD348" s="1382"/>
      <c r="AE348" s="1382"/>
      <c r="AF348" s="1382"/>
      <c r="AG348" s="1382"/>
      <c r="AH348" s="1382"/>
      <c r="AI348" s="1382"/>
      <c r="AJ348" s="1382"/>
      <c r="AK348" s="181"/>
      <c r="AL348" s="181"/>
      <c r="AM348" s="181"/>
      <c r="AN348" s="181"/>
      <c r="AO348" s="181"/>
      <c r="AP348" s="181"/>
      <c r="AQ348" s="181"/>
      <c r="AR348" s="181"/>
      <c r="AS348" s="181"/>
      <c r="AT348" s="181"/>
      <c r="AU348" s="181"/>
      <c r="AV348" s="181"/>
      <c r="AW348" s="181"/>
    </row>
    <row r="349" spans="1:49" x14ac:dyDescent="0.25">
      <c r="A349" s="1518" t="str">
        <f>IF(COUNTIF('04 - 95% CD'!D349:G349,"Y")&gt;0,"Y",IF(COUNTIF('04 - 95% CD'!D349:G349,"N"),"N",""))</f>
        <v>Y</v>
      </c>
      <c r="B349" s="125"/>
      <c r="C349" s="944"/>
      <c r="D349" s="411"/>
      <c r="E349" s="321"/>
      <c r="F349" s="559" t="str">
        <f>IF('C-Design&amp;Const'!$Q349="","",'C-Design&amp;Const'!$Q349)</f>
        <v>Y</v>
      </c>
      <c r="G349" s="485"/>
      <c r="H349" s="243" t="str">
        <f>CONCATENATE(IF(F349="N","PLACEHOLDER ROW - ",""),'C-Design&amp;Const'!Z349,IF(F349="N","",J349))</f>
        <v>Building Automation Systems Details (Complete)</v>
      </c>
      <c r="I349" s="146"/>
      <c r="J349" s="578" t="str">
        <f>IF('C-Design&amp;Const'!AI349="","",'C-Design&amp;Const'!AI349)</f>
        <v>(Complete)</v>
      </c>
      <c r="K349" s="285" t="str">
        <f>IF((COUNTIF(D349:G349,"Y")=COUNTIF('04 - 95% CD'!A349,"Y")),"match","no 95% match")</f>
        <v>match</v>
      </c>
      <c r="L349" s="1410" t="str">
        <f t="shared" si="20"/>
        <v/>
      </c>
      <c r="M349" s="1333"/>
      <c r="N349" s="1333"/>
      <c r="O349" s="1333"/>
      <c r="P349" s="1333"/>
      <c r="Q349" s="1333"/>
      <c r="R349" s="1284"/>
      <c r="S349" s="1513"/>
      <c r="T349" s="1404"/>
      <c r="U349" s="1333"/>
      <c r="V349" s="1333"/>
      <c r="W349" s="1333"/>
      <c r="X349" s="1333"/>
      <c r="Y349" s="1333"/>
      <c r="Z349" s="1333"/>
      <c r="AA349" s="1333"/>
      <c r="AB349" s="1333"/>
      <c r="AC349" s="1333"/>
      <c r="AD349" s="1333"/>
      <c r="AE349" s="1333"/>
      <c r="AF349" s="1333"/>
      <c r="AG349" s="1333"/>
      <c r="AH349" s="1333"/>
      <c r="AI349" s="1333"/>
      <c r="AJ349" s="1333"/>
    </row>
    <row r="350" spans="1:49" x14ac:dyDescent="0.25">
      <c r="A350" s="1407" t="str">
        <f>IF(COUNTIF('04 - 95% CD'!D350:G350,"Y")&gt;0,"Y",IF(COUNTIF('04 - 95% CD'!D350:G350,"N"),"N",""))</f>
        <v>Y</v>
      </c>
      <c r="B350" s="125"/>
      <c r="C350" s="944"/>
      <c r="D350" s="411"/>
      <c r="E350" s="559" t="str">
        <f>IF('C-Design&amp;Const'!$Q350="","",'C-Design&amp;Const'!$Q350)</f>
        <v>Y</v>
      </c>
      <c r="F350" s="321"/>
      <c r="G350" s="485"/>
      <c r="H350" s="244" t="str">
        <f>CONCATENATE(IF(F350="N","PLACEHOLDER ROW - ",""),'C-Design&amp;Const'!Z350,IF(F350="N","",J350))</f>
        <v>Access Controls Drawings (Including Bid Alts.)</v>
      </c>
      <c r="I350" s="146"/>
      <c r="J350" s="578" t="str">
        <f>IF('C-Design&amp;Const'!AI350="","",'C-Design&amp;Const'!AI350)</f>
        <v xml:space="preserve"> (Including Bid Alts.)</v>
      </c>
      <c r="K350" s="285" t="str">
        <f>IF((COUNTIF(D350:G350,"Y")=COUNTIF('04 - 95% CD'!A350,"Y")),"match","no 95% match")</f>
        <v>match</v>
      </c>
      <c r="L350" s="1410" t="str">
        <f t="shared" si="20"/>
        <v/>
      </c>
      <c r="M350" s="1333"/>
      <c r="N350" s="1333"/>
      <c r="O350" s="1333"/>
      <c r="P350" s="1333"/>
      <c r="Q350" s="1333"/>
      <c r="R350" s="1453"/>
      <c r="S350" s="1364"/>
      <c r="T350" s="1404"/>
      <c r="U350" s="1333"/>
      <c r="V350" s="1333"/>
      <c r="W350" s="1333"/>
      <c r="X350" s="1333"/>
      <c r="Y350" s="1333"/>
      <c r="Z350" s="1333"/>
      <c r="AA350" s="1333"/>
      <c r="AB350" s="1333"/>
      <c r="AC350" s="1333"/>
      <c r="AD350" s="1333"/>
      <c r="AE350" s="1333"/>
      <c r="AF350" s="1333"/>
      <c r="AG350" s="1333"/>
      <c r="AH350" s="1333"/>
      <c r="AI350" s="1333"/>
      <c r="AJ350" s="1333"/>
    </row>
    <row r="351" spans="1:49" s="30" customFormat="1" ht="13.5" customHeight="1" x14ac:dyDescent="0.25">
      <c r="A351" s="1518" t="str">
        <f>IF(COUNTIF('04 - 95% CD'!D351:G351,"Y")&gt;0,"Y",IF(COUNTIF('04 - 95% CD'!D351:G351,"N"),"N",""))</f>
        <v>N</v>
      </c>
      <c r="B351" s="191"/>
      <c r="C351" s="944"/>
      <c r="D351" s="463"/>
      <c r="E351" s="463"/>
      <c r="F351" s="359" t="str">
        <f>IF('C-Design&amp;Const'!$Q351="","",'C-Design&amp;Const'!$Q351)</f>
        <v>N</v>
      </c>
      <c r="G351" s="291"/>
      <c r="H351" s="469" t="str">
        <f>CONCATENATE(IF(F351="N","PLACEHOLDER ROW - ",""),'C-Design&amp;Const'!Z351,IF(F351="N","",J351))</f>
        <v xml:space="preserve">PLACEHOLDER ROW - CUSTOM Access Controls </v>
      </c>
      <c r="I351" s="146"/>
      <c r="J351" s="578" t="str">
        <f>IF('C-Design&amp;Const'!AI351="","",'C-Design&amp;Const'!AI351)</f>
        <v>(Complete)</v>
      </c>
      <c r="K351" s="285" t="str">
        <f>IF((COUNTIF(D351:G351,"Y")=COUNTIF('04 - 95% CD'!A351,"Y")),"match","no 95% match")</f>
        <v>match</v>
      </c>
      <c r="L351" s="1410" t="str">
        <f t="shared" si="20"/>
        <v>&lt;---PM/Planner may hide PLACEHOLDER ROW</v>
      </c>
      <c r="M351" s="1382"/>
      <c r="N351" s="1382"/>
      <c r="O351" s="1382"/>
      <c r="P351" s="1382"/>
      <c r="Q351" s="1382"/>
      <c r="R351" s="1382"/>
      <c r="S351" s="1382"/>
      <c r="T351" s="1382"/>
      <c r="U351" s="1382"/>
      <c r="V351" s="1382"/>
      <c r="W351" s="1382"/>
      <c r="X351" s="1382"/>
      <c r="Y351" s="1382"/>
      <c r="Z351" s="1382"/>
      <c r="AA351" s="1382"/>
      <c r="AB351" s="1382"/>
      <c r="AC351" s="1382"/>
      <c r="AD351" s="1382"/>
      <c r="AE351" s="1382"/>
      <c r="AF351" s="1382"/>
      <c r="AG351" s="1382"/>
      <c r="AH351" s="1382"/>
      <c r="AI351" s="1382"/>
      <c r="AJ351" s="1382"/>
      <c r="AK351" s="181"/>
      <c r="AL351" s="181"/>
      <c r="AM351" s="181"/>
      <c r="AN351" s="181"/>
      <c r="AO351" s="181"/>
      <c r="AP351" s="181"/>
      <c r="AQ351" s="181"/>
      <c r="AR351" s="181"/>
      <c r="AS351" s="181"/>
      <c r="AT351" s="181"/>
      <c r="AU351" s="181"/>
      <c r="AV351" s="181"/>
      <c r="AW351" s="181"/>
    </row>
    <row r="352" spans="1:49" s="30" customFormat="1" ht="13.5" customHeight="1" x14ac:dyDescent="0.25">
      <c r="A352" s="1518" t="str">
        <f>IF(COUNTIF('04 - 95% CD'!D352:G352,"Y")&gt;0,"Y",IF(COUNTIF('04 - 95% CD'!D352:G352,"N"),"N",""))</f>
        <v>N</v>
      </c>
      <c r="B352" s="191"/>
      <c r="C352" s="944"/>
      <c r="D352" s="463"/>
      <c r="E352" s="463"/>
      <c r="F352" s="359" t="str">
        <f>IF('C-Design&amp;Const'!$Q352="","",'C-Design&amp;Const'!$Q352)</f>
        <v>N</v>
      </c>
      <c r="G352" s="291"/>
      <c r="H352" s="469" t="str">
        <f>CONCATENATE(IF(F352="N","PLACEHOLDER ROW - ",""),'C-Design&amp;Const'!Z352,IF(F352="N","",J352))</f>
        <v xml:space="preserve">PLACEHOLDER ROW - CUSTOM Access Controls </v>
      </c>
      <c r="I352" s="146"/>
      <c r="J352" s="578" t="str">
        <f>IF('C-Design&amp;Const'!AI352="","",'C-Design&amp;Const'!AI352)</f>
        <v>(Complete)</v>
      </c>
      <c r="K352" s="285" t="str">
        <f>IF((COUNTIF(D352:G352,"Y")=COUNTIF('04 - 95% CD'!A352,"Y")),"match","no 95% match")</f>
        <v>match</v>
      </c>
      <c r="L352" s="1410" t="str">
        <f t="shared" si="20"/>
        <v>&lt;---PM/Planner may hide PLACEHOLDER ROW</v>
      </c>
      <c r="M352" s="1382"/>
      <c r="N352" s="1382"/>
      <c r="O352" s="1382"/>
      <c r="P352" s="1382"/>
      <c r="Q352" s="1382"/>
      <c r="R352" s="1382"/>
      <c r="S352" s="1382"/>
      <c r="T352" s="1382"/>
      <c r="U352" s="1382"/>
      <c r="V352" s="1382"/>
      <c r="W352" s="1382"/>
      <c r="X352" s="1382"/>
      <c r="Y352" s="1382"/>
      <c r="Z352" s="1382"/>
      <c r="AA352" s="1382"/>
      <c r="AB352" s="1382"/>
      <c r="AC352" s="1382"/>
      <c r="AD352" s="1382"/>
      <c r="AE352" s="1382"/>
      <c r="AF352" s="1382"/>
      <c r="AG352" s="1382"/>
      <c r="AH352" s="1382"/>
      <c r="AI352" s="1382"/>
      <c r="AJ352" s="1382"/>
      <c r="AK352" s="181"/>
      <c r="AL352" s="181"/>
      <c r="AM352" s="181"/>
      <c r="AN352" s="181"/>
      <c r="AO352" s="181"/>
      <c r="AP352" s="181"/>
      <c r="AQ352" s="181"/>
      <c r="AR352" s="181"/>
      <c r="AS352" s="181"/>
      <c r="AT352" s="181"/>
      <c r="AU352" s="181"/>
      <c r="AV352" s="181"/>
      <c r="AW352" s="181"/>
    </row>
    <row r="353" spans="1:49" s="545" customFormat="1" ht="13.5" customHeight="1" x14ac:dyDescent="0.25">
      <c r="A353" s="1518" t="str">
        <f>IF(COUNTIF('04 - 95% CD'!D353:G353,"Y")&gt;0,"Y",IF(COUNTIF('04 - 95% CD'!D353:G353,"N"),"N",""))</f>
        <v>Y</v>
      </c>
      <c r="B353" s="554"/>
      <c r="C353" s="944"/>
      <c r="D353" s="463"/>
      <c r="E353" s="463"/>
      <c r="F353" s="359" t="str">
        <f>IF('C-Design&amp;Const'!$Q353="","",'C-Design&amp;Const'!$Q353)</f>
        <v>Y</v>
      </c>
      <c r="G353" s="291"/>
      <c r="H353" s="469" t="str">
        <f>CONCATENATE(IF(F353="N","PLACEHOLDER ROW - ",""),'C-Design&amp;Const'!Z353,IF(F353="N","",J353))</f>
        <v>Access Control Symbols, Abbreviations, and General Notes (Complete)</v>
      </c>
      <c r="I353" s="552"/>
      <c r="J353" s="578" t="str">
        <f>IF('C-Design&amp;Const'!AI353="","",'C-Design&amp;Const'!AI353)</f>
        <v>(Complete)</v>
      </c>
      <c r="K353" s="285" t="str">
        <f>IF((COUNTIF(D353:G353,"Y")=COUNTIF('04 - 95% CD'!A353,"Y")),"match","no 95% match")</f>
        <v>match</v>
      </c>
      <c r="L353" s="1410" t="str">
        <f t="shared" ref="L353:L354" si="21">CONCATENATE(IF(ISNUMBER(SEARCH("Placeholder",H353))=TRUE,"&lt;---PM/Planner may hide PLACEHOLDER ROW",""))</f>
        <v/>
      </c>
      <c r="M353" s="1382"/>
      <c r="N353" s="1382"/>
      <c r="O353" s="1382"/>
      <c r="P353" s="1382"/>
      <c r="Q353" s="1382"/>
      <c r="R353" s="1382"/>
      <c r="S353" s="1382"/>
      <c r="T353" s="1382"/>
      <c r="U353" s="1382"/>
      <c r="V353" s="1382"/>
      <c r="W353" s="1382"/>
      <c r="X353" s="1382"/>
      <c r="Y353" s="1382"/>
      <c r="Z353" s="1382"/>
      <c r="AA353" s="1382"/>
      <c r="AB353" s="1382"/>
      <c r="AC353" s="1382"/>
      <c r="AD353" s="1382"/>
      <c r="AE353" s="1382"/>
      <c r="AF353" s="1382"/>
      <c r="AG353" s="1382"/>
      <c r="AH353" s="1382"/>
      <c r="AI353" s="1382"/>
      <c r="AJ353" s="1382"/>
      <c r="AK353" s="551"/>
      <c r="AL353" s="551"/>
      <c r="AM353" s="551"/>
      <c r="AN353" s="551"/>
      <c r="AO353" s="551"/>
      <c r="AP353" s="551"/>
      <c r="AQ353" s="551"/>
      <c r="AR353" s="551"/>
      <c r="AS353" s="551"/>
      <c r="AT353" s="551"/>
      <c r="AU353" s="551"/>
      <c r="AV353" s="551"/>
      <c r="AW353" s="551"/>
    </row>
    <row r="354" spans="1:49" s="545" customFormat="1" ht="13.5" customHeight="1" x14ac:dyDescent="0.25">
      <c r="A354" s="1518" t="str">
        <f>IF(COUNTIF('04 - 95% CD'!D354:G354,"Y")&gt;0,"Y",IF(COUNTIF('04 - 95% CD'!D354:G354,"N"),"N",""))</f>
        <v>Y</v>
      </c>
      <c r="B354" s="554"/>
      <c r="C354" s="944"/>
      <c r="D354" s="463"/>
      <c r="E354" s="463"/>
      <c r="F354" s="359" t="str">
        <f>IF('C-Design&amp;Const'!$Q354="","",'C-Design&amp;Const'!$Q354)</f>
        <v>Y</v>
      </c>
      <c r="G354" s="291"/>
      <c r="H354" s="469" t="str">
        <f>CONCATENATE(IF(F354="N","PLACEHOLDER ROW - ",""),'C-Design&amp;Const'!Z354,IF(F354="N","",J354))</f>
        <v>Access Control Demolition(s) (Complete)</v>
      </c>
      <c r="I354" s="552"/>
      <c r="J354" s="578" t="str">
        <f>IF('C-Design&amp;Const'!AI354="","",'C-Design&amp;Const'!AI354)</f>
        <v>(Complete)</v>
      </c>
      <c r="K354" s="285" t="str">
        <f>IF((COUNTIF(D354:G354,"Y")=COUNTIF('04 - 95% CD'!A354,"Y")),"match","no 95% match")</f>
        <v>match</v>
      </c>
      <c r="L354" s="1410" t="str">
        <f t="shared" si="21"/>
        <v/>
      </c>
      <c r="M354" s="1382"/>
      <c r="N354" s="1382"/>
      <c r="O354" s="1382"/>
      <c r="P354" s="1382"/>
      <c r="Q354" s="1382"/>
      <c r="R354" s="1382"/>
      <c r="S354" s="1382"/>
      <c r="T354" s="1382"/>
      <c r="U354" s="1382"/>
      <c r="V354" s="1382"/>
      <c r="W354" s="1382"/>
      <c r="X354" s="1382"/>
      <c r="Y354" s="1382"/>
      <c r="Z354" s="1382"/>
      <c r="AA354" s="1382"/>
      <c r="AB354" s="1382"/>
      <c r="AC354" s="1382"/>
      <c r="AD354" s="1382"/>
      <c r="AE354" s="1382"/>
      <c r="AF354" s="1382"/>
      <c r="AG354" s="1382"/>
      <c r="AH354" s="1382"/>
      <c r="AI354" s="1382"/>
      <c r="AJ354" s="1382"/>
      <c r="AK354" s="551"/>
      <c r="AL354" s="551"/>
      <c r="AM354" s="551"/>
      <c r="AN354" s="551"/>
      <c r="AO354" s="551"/>
      <c r="AP354" s="551"/>
      <c r="AQ354" s="551"/>
      <c r="AR354" s="551"/>
      <c r="AS354" s="551"/>
      <c r="AT354" s="551"/>
      <c r="AU354" s="551"/>
      <c r="AV354" s="551"/>
      <c r="AW354" s="551"/>
    </row>
    <row r="355" spans="1:49" x14ac:dyDescent="0.25">
      <c r="A355" s="1518" t="str">
        <f>IF(COUNTIF('04 - 95% CD'!D355:G355,"Y")&gt;0,"Y",IF(COUNTIF('04 - 95% CD'!D355:G355,"N"),"N",""))</f>
        <v>Y</v>
      </c>
      <c r="B355" s="125"/>
      <c r="C355" s="944"/>
      <c r="D355" s="411"/>
      <c r="E355" s="321"/>
      <c r="F355" s="559" t="str">
        <f>IF('C-Design&amp;Const'!$Q355="","",'C-Design&amp;Const'!$Q355)</f>
        <v>Y</v>
      </c>
      <c r="G355" s="485"/>
      <c r="H355" s="243" t="str">
        <f>CONCATENATE(IF(F355="N","PLACEHOLDER ROW - ",""),'C-Design&amp;Const'!Z355,IF(F355="N","",J355))</f>
        <v>Access Control Floor Plans (Complete)</v>
      </c>
      <c r="I355" s="146"/>
      <c r="J355" s="578" t="str">
        <f>IF('C-Design&amp;Const'!AI355="","",'C-Design&amp;Const'!AI355)</f>
        <v>(Complete)</v>
      </c>
      <c r="K355" s="285" t="str">
        <f>IF((COUNTIF(D355:G355,"Y")=COUNTIF('04 - 95% CD'!A355,"Y")),"match","no 95% match")</f>
        <v>match</v>
      </c>
      <c r="L355" s="1410" t="str">
        <f t="shared" si="20"/>
        <v/>
      </c>
      <c r="M355" s="1333"/>
      <c r="N355" s="1333"/>
      <c r="O355" s="1333"/>
      <c r="P355" s="1333"/>
      <c r="Q355" s="1333"/>
      <c r="R355" s="1453"/>
      <c r="S355" s="1364"/>
      <c r="T355" s="1404"/>
      <c r="U355" s="1333"/>
      <c r="V355" s="1333"/>
      <c r="W355" s="1333"/>
      <c r="X355" s="1333"/>
      <c r="Y355" s="1333"/>
      <c r="Z355" s="1333"/>
      <c r="AA355" s="1333"/>
      <c r="AB355" s="1333"/>
      <c r="AC355" s="1333"/>
      <c r="AD355" s="1333"/>
      <c r="AE355" s="1333"/>
      <c r="AF355" s="1333"/>
      <c r="AG355" s="1333"/>
      <c r="AH355" s="1333"/>
      <c r="AI355" s="1333"/>
      <c r="AJ355" s="1333"/>
    </row>
    <row r="356" spans="1:49" x14ac:dyDescent="0.25">
      <c r="A356" s="1518" t="str">
        <f>IF(COUNTIF('04 - 95% CD'!D356:G356,"Y")&gt;0,"Y",IF(COUNTIF('04 - 95% CD'!D356:G356,"N"),"N",""))</f>
        <v>Y</v>
      </c>
      <c r="B356" s="125"/>
      <c r="C356" s="944"/>
      <c r="D356" s="411"/>
      <c r="E356" s="321"/>
      <c r="F356" s="559" t="str">
        <f>IF('C-Design&amp;Const'!$Q356="","",'C-Design&amp;Const'!$Q356)</f>
        <v>Y</v>
      </c>
      <c r="G356" s="485"/>
      <c r="H356" s="243" t="str">
        <f>CONCATENATE(IF(F356="N","PLACEHOLDER ROW - ",""),'C-Design&amp;Const'!Z356,IF(F356="N","",J356))</f>
        <v>Access Control Logic Diagrams, Points Lists and Device Schedule (Complete)</v>
      </c>
      <c r="I356" s="146"/>
      <c r="J356" s="578" t="str">
        <f>IF('C-Design&amp;Const'!AI356="","",'C-Design&amp;Const'!AI356)</f>
        <v>(Complete)</v>
      </c>
      <c r="K356" s="285" t="str">
        <f>IF((COUNTIF(D356:G356,"Y")=COUNTIF('04 - 95% CD'!A356,"Y")),"match","no 95% match")</f>
        <v>match</v>
      </c>
      <c r="L356" s="1410" t="str">
        <f t="shared" si="20"/>
        <v/>
      </c>
      <c r="M356" s="1333"/>
      <c r="N356" s="1333"/>
      <c r="O356" s="1333"/>
      <c r="P356" s="1333"/>
      <c r="Q356" s="1333"/>
      <c r="R356" s="1453"/>
      <c r="S356" s="1364"/>
      <c r="T356" s="1404"/>
      <c r="U356" s="1333"/>
      <c r="V356" s="1333"/>
      <c r="W356" s="1333"/>
      <c r="X356" s="1333"/>
      <c r="Y356" s="1333"/>
      <c r="Z356" s="1333"/>
      <c r="AA356" s="1333"/>
      <c r="AB356" s="1333"/>
      <c r="AC356" s="1333"/>
      <c r="AD356" s="1333"/>
      <c r="AE356" s="1333"/>
      <c r="AF356" s="1333"/>
      <c r="AG356" s="1333"/>
      <c r="AH356" s="1333"/>
      <c r="AI356" s="1333"/>
      <c r="AJ356" s="1333"/>
    </row>
    <row r="357" spans="1:49" x14ac:dyDescent="0.25">
      <c r="A357" s="1518" t="str">
        <f>IF(COUNTIF('04 - 95% CD'!D357:G357,"Y")&gt;0,"Y",IF(COUNTIF('04 - 95% CD'!D357:G357,"N"),"N",""))</f>
        <v>Y</v>
      </c>
      <c r="B357" s="125"/>
      <c r="C357" s="944"/>
      <c r="D357" s="411"/>
      <c r="E357" s="321"/>
      <c r="F357" s="559" t="str">
        <f>IF('C-Design&amp;Const'!$Q357="","",'C-Design&amp;Const'!$Q357)</f>
        <v>Y</v>
      </c>
      <c r="G357" s="485"/>
      <c r="H357" s="243" t="str">
        <f>CONCATENATE(IF(F357="N","PLACEHOLDER ROW - ",""),'C-Design&amp;Const'!Z357,IF(F357="N","",J357))</f>
        <v>Access Control Details (Complete)</v>
      </c>
      <c r="I357" s="146"/>
      <c r="J357" s="578" t="str">
        <f>IF('C-Design&amp;Const'!AI357="","",'C-Design&amp;Const'!AI357)</f>
        <v>(Complete)</v>
      </c>
      <c r="K357" s="285" t="str">
        <f>IF((COUNTIF(D357:G357,"Y")=COUNTIF('04 - 95% CD'!A357,"Y")),"match","no 95% match")</f>
        <v>match</v>
      </c>
      <c r="L357" s="1410" t="str">
        <f t="shared" si="20"/>
        <v/>
      </c>
      <c r="M357" s="1333"/>
      <c r="N357" s="1333"/>
      <c r="O357" s="1333"/>
      <c r="P357" s="1333"/>
      <c r="Q357" s="1333"/>
      <c r="R357" s="1453"/>
      <c r="S357" s="1364"/>
      <c r="T357" s="1404"/>
      <c r="U357" s="1333"/>
      <c r="V357" s="1333"/>
      <c r="W357" s="1333"/>
      <c r="X357" s="1333"/>
      <c r="Y357" s="1333"/>
      <c r="Z357" s="1333"/>
      <c r="AA357" s="1333"/>
      <c r="AB357" s="1333"/>
      <c r="AC357" s="1333"/>
      <c r="AD357" s="1333"/>
      <c r="AE357" s="1333"/>
      <c r="AF357" s="1333"/>
      <c r="AG357" s="1333"/>
      <c r="AH357" s="1333"/>
      <c r="AI357" s="1333"/>
      <c r="AJ357" s="1333"/>
    </row>
    <row r="358" spans="1:49" x14ac:dyDescent="0.25">
      <c r="A358" s="1407" t="str">
        <f>IF(COUNTIF('04 - 95% CD'!D358:G358,"Y")&gt;0,"Y",IF(COUNTIF('04 - 95% CD'!D358:G358,"N"),"N",""))</f>
        <v>Y</v>
      </c>
      <c r="B358" s="125"/>
      <c r="C358" s="944"/>
      <c r="D358" s="411"/>
      <c r="E358" s="559" t="str">
        <f>IF('C-Design&amp;Const'!$Q358="","",'C-Design&amp;Const'!$Q358)</f>
        <v>Y</v>
      </c>
      <c r="F358" s="321"/>
      <c r="G358" s="485"/>
      <c r="H358" s="244" t="str">
        <f>CONCATENATE(IF(F358="N","PLACEHOLDER ROW - ",""),'C-Design&amp;Const'!Z358,IF(F358="N","",J358))</f>
        <v>Telecom Drawings (Including Bid Alts.)</v>
      </c>
      <c r="I358" s="148"/>
      <c r="J358" s="578" t="str">
        <f>IF('C-Design&amp;Const'!AI358="","",'C-Design&amp;Const'!AI358)</f>
        <v xml:space="preserve"> (Including Bid Alts.)</v>
      </c>
      <c r="K358" s="285" t="str">
        <f>IF((COUNTIF(D358:G358,"Y")=COUNTIF('04 - 95% CD'!A358,"Y")),"match","no 95% match")</f>
        <v>match</v>
      </c>
      <c r="L358" s="1410" t="str">
        <f t="shared" si="19"/>
        <v/>
      </c>
      <c r="M358" s="1333"/>
      <c r="N358" s="1333"/>
      <c r="O358" s="1333"/>
      <c r="P358" s="1333"/>
      <c r="Q358" s="1333"/>
      <c r="R358" s="1284"/>
      <c r="S358" s="1513"/>
      <c r="T358" s="1404"/>
      <c r="U358" s="1333"/>
      <c r="V358" s="1333"/>
      <c r="W358" s="1333"/>
      <c r="X358" s="1333"/>
      <c r="Y358" s="1333"/>
      <c r="Z358" s="1333"/>
      <c r="AA358" s="1333"/>
      <c r="AB358" s="1333"/>
      <c r="AC358" s="1333"/>
      <c r="AD358" s="1333"/>
      <c r="AE358" s="1333"/>
      <c r="AF358" s="1333"/>
      <c r="AG358" s="1333"/>
      <c r="AH358" s="1333"/>
      <c r="AI358" s="1333"/>
      <c r="AJ358" s="1333"/>
    </row>
    <row r="359" spans="1:49" s="30" customFormat="1" ht="13.5" customHeight="1" x14ac:dyDescent="0.25">
      <c r="A359" s="1518" t="str">
        <f>IF(COUNTIF('04 - 95% CD'!D359:G359,"Y")&gt;0,"Y",IF(COUNTIF('04 - 95% CD'!D359:G359,"N"),"N",""))</f>
        <v>N</v>
      </c>
      <c r="B359" s="191"/>
      <c r="C359" s="944"/>
      <c r="D359" s="463"/>
      <c r="E359" s="463"/>
      <c r="F359" s="359" t="str">
        <f>IF('C-Design&amp;Const'!$Q359="","",'C-Design&amp;Const'!$Q359)</f>
        <v>N</v>
      </c>
      <c r="G359" s="291"/>
      <c r="H359" s="469" t="str">
        <f>CONCATENATE(IF(F359="N","PLACEHOLDER ROW - ",""),'C-Design&amp;Const'!Z359,IF(F359="N","",J359))</f>
        <v xml:space="preserve">PLACEHOLDER ROW - CUSTOM - Telecom  </v>
      </c>
      <c r="I359" s="184"/>
      <c r="J359" s="578" t="str">
        <f>IF('C-Design&amp;Const'!AI359="","",'C-Design&amp;Const'!AI359)</f>
        <v>(Complete)</v>
      </c>
      <c r="K359" s="285" t="str">
        <f>IF((COUNTIF(D359:G359,"Y")=COUNTIF('04 - 95% CD'!A359,"Y")),"match","no 95% match")</f>
        <v>match</v>
      </c>
      <c r="L359" s="1410" t="str">
        <f t="shared" si="19"/>
        <v>&lt;---PM/Planner may hide PLACEHOLDER ROW</v>
      </c>
      <c r="M359" s="1382"/>
      <c r="N359" s="1382"/>
      <c r="O359" s="1382"/>
      <c r="P359" s="1382"/>
      <c r="Q359" s="1382"/>
      <c r="R359" s="1382"/>
      <c r="S359" s="1382"/>
      <c r="T359" s="1382"/>
      <c r="U359" s="1382"/>
      <c r="V359" s="1382"/>
      <c r="W359" s="1382"/>
      <c r="X359" s="1382"/>
      <c r="Y359" s="1382"/>
      <c r="Z359" s="1382"/>
      <c r="AA359" s="1382"/>
      <c r="AB359" s="1382"/>
      <c r="AC359" s="1382"/>
      <c r="AD359" s="1382"/>
      <c r="AE359" s="1382"/>
      <c r="AF359" s="1382"/>
      <c r="AG359" s="1382"/>
      <c r="AH359" s="1382"/>
      <c r="AI359" s="1382"/>
      <c r="AJ359" s="1382"/>
      <c r="AK359" s="181"/>
      <c r="AL359" s="181"/>
      <c r="AM359" s="181"/>
      <c r="AN359" s="181"/>
      <c r="AO359" s="181"/>
      <c r="AP359" s="181"/>
      <c r="AQ359" s="181"/>
      <c r="AR359" s="181"/>
      <c r="AS359" s="181"/>
      <c r="AT359" s="181"/>
      <c r="AU359" s="181"/>
      <c r="AV359" s="181"/>
      <c r="AW359" s="181"/>
    </row>
    <row r="360" spans="1:49" s="30" customFormat="1" ht="13.5" customHeight="1" x14ac:dyDescent="0.25">
      <c r="A360" s="1518" t="str">
        <f>IF(COUNTIF('04 - 95% CD'!D360:G360,"Y")&gt;0,"Y",IF(COUNTIF('04 - 95% CD'!D360:G360,"N"),"N",""))</f>
        <v>N</v>
      </c>
      <c r="B360" s="191"/>
      <c r="C360" s="944"/>
      <c r="D360" s="463"/>
      <c r="E360" s="463"/>
      <c r="F360" s="359" t="str">
        <f>IF('C-Design&amp;Const'!$Q360="","",'C-Design&amp;Const'!$Q360)</f>
        <v>N</v>
      </c>
      <c r="G360" s="291"/>
      <c r="H360" s="469" t="str">
        <f>CONCATENATE(IF(F360="N","PLACEHOLDER ROW - ",""),'C-Design&amp;Const'!Z360,IF(F360="N","",J360))</f>
        <v xml:space="preserve">PLACEHOLDER ROW - CUSTOM - Telecom  </v>
      </c>
      <c r="I360" s="184"/>
      <c r="J360" s="578" t="str">
        <f>IF('C-Design&amp;Const'!AI360="","",'C-Design&amp;Const'!AI360)</f>
        <v>(Complete)</v>
      </c>
      <c r="K360" s="285" t="str">
        <f>IF((COUNTIF(D360:G360,"Y")=COUNTIF('04 - 95% CD'!A360,"Y")),"match","no 95% match")</f>
        <v>match</v>
      </c>
      <c r="L360" s="1410" t="str">
        <f t="shared" si="19"/>
        <v>&lt;---PM/Planner may hide PLACEHOLDER ROW</v>
      </c>
      <c r="M360" s="1382"/>
      <c r="N360" s="1382"/>
      <c r="O360" s="1382"/>
      <c r="P360" s="1382"/>
      <c r="Q360" s="1382"/>
      <c r="R360" s="1382"/>
      <c r="S360" s="1382"/>
      <c r="T360" s="1382"/>
      <c r="U360" s="1382"/>
      <c r="V360" s="1382"/>
      <c r="W360" s="1382"/>
      <c r="X360" s="1382"/>
      <c r="Y360" s="1382"/>
      <c r="Z360" s="1382"/>
      <c r="AA360" s="1382"/>
      <c r="AB360" s="1382"/>
      <c r="AC360" s="1382"/>
      <c r="AD360" s="1382"/>
      <c r="AE360" s="1382"/>
      <c r="AF360" s="1382"/>
      <c r="AG360" s="1382"/>
      <c r="AH360" s="1382"/>
      <c r="AI360" s="1382"/>
      <c r="AJ360" s="1382"/>
      <c r="AK360" s="181"/>
      <c r="AL360" s="181"/>
      <c r="AM360" s="181"/>
      <c r="AN360" s="181"/>
      <c r="AO360" s="181"/>
      <c r="AP360" s="181"/>
      <c r="AQ360" s="181"/>
      <c r="AR360" s="181"/>
      <c r="AS360" s="181"/>
      <c r="AT360" s="181"/>
      <c r="AU360" s="181"/>
      <c r="AV360" s="181"/>
      <c r="AW360" s="181"/>
    </row>
    <row r="361" spans="1:49" s="545" customFormat="1" ht="13.5" customHeight="1" x14ac:dyDescent="0.25">
      <c r="A361" s="1518" t="str">
        <f>IF(COUNTIF('04 - 95% CD'!D361:G361,"Y")&gt;0,"Y",IF(COUNTIF('04 - 95% CD'!D361:G361,"N"),"N",""))</f>
        <v>Y</v>
      </c>
      <c r="B361" s="554"/>
      <c r="C361" s="944"/>
      <c r="D361" s="463"/>
      <c r="E361" s="463"/>
      <c r="F361" s="359" t="str">
        <f>IF('C-Design&amp;Const'!$Q361="","",'C-Design&amp;Const'!$Q361)</f>
        <v>Y</v>
      </c>
      <c r="G361" s="291"/>
      <c r="H361" s="469" t="str">
        <f>CONCATENATE(IF(F361="N","PLACEHOLDER ROW - ",""),'C-Design&amp;Const'!Z361,IF(F361="N","",J361))</f>
        <v>Telecom Symbols, Abbreviations, and General Notes (Complete)</v>
      </c>
      <c r="I361" s="552"/>
      <c r="J361" s="578" t="str">
        <f>IF('C-Design&amp;Const'!AI361="","",'C-Design&amp;Const'!AI361)</f>
        <v>(Complete)</v>
      </c>
      <c r="K361" s="285" t="str">
        <f>IF((COUNTIF(D361:G361,"Y")=COUNTIF('04 - 95% CD'!A361,"Y")),"match","no 95% match")</f>
        <v>match</v>
      </c>
      <c r="L361" s="1410" t="str">
        <f t="shared" si="19"/>
        <v/>
      </c>
      <c r="M361" s="1382"/>
      <c r="N361" s="1382"/>
      <c r="O361" s="1382"/>
      <c r="P361" s="1382"/>
      <c r="Q361" s="1382"/>
      <c r="R361" s="1382"/>
      <c r="S361" s="1382"/>
      <c r="T361" s="1382"/>
      <c r="U361" s="1382"/>
      <c r="V361" s="1382"/>
      <c r="W361" s="1382"/>
      <c r="X361" s="1382"/>
      <c r="Y361" s="1382"/>
      <c r="Z361" s="1382"/>
      <c r="AA361" s="1382"/>
      <c r="AB361" s="1382"/>
      <c r="AC361" s="1382"/>
      <c r="AD361" s="1382"/>
      <c r="AE361" s="1382"/>
      <c r="AF361" s="1382"/>
      <c r="AG361" s="1382"/>
      <c r="AH361" s="1382"/>
      <c r="AI361" s="1382"/>
      <c r="AJ361" s="1382"/>
      <c r="AK361" s="551"/>
      <c r="AL361" s="551"/>
      <c r="AM361" s="551"/>
      <c r="AN361" s="551"/>
      <c r="AO361" s="551"/>
      <c r="AP361" s="551"/>
      <c r="AQ361" s="551"/>
      <c r="AR361" s="551"/>
      <c r="AS361" s="551"/>
      <c r="AT361" s="551"/>
      <c r="AU361" s="551"/>
      <c r="AV361" s="551"/>
      <c r="AW361" s="551"/>
    </row>
    <row r="362" spans="1:49" s="545" customFormat="1" ht="13.5" customHeight="1" x14ac:dyDescent="0.25">
      <c r="A362" s="1518" t="str">
        <f>IF(COUNTIF('04 - 95% CD'!D362:G362,"Y")&gt;0,"Y",IF(COUNTIF('04 - 95% CD'!D362:G362,"N"),"N",""))</f>
        <v>Y</v>
      </c>
      <c r="B362" s="554"/>
      <c r="C362" s="944"/>
      <c r="D362" s="463"/>
      <c r="E362" s="463"/>
      <c r="F362" s="359" t="str">
        <f>IF('C-Design&amp;Const'!$Q362="","",'C-Design&amp;Const'!$Q362)</f>
        <v>Y</v>
      </c>
      <c r="G362" s="291"/>
      <c r="H362" s="469" t="str">
        <f>CONCATENATE(IF(F362="N","PLACEHOLDER ROW - ",""),'C-Design&amp;Const'!Z362,IF(F362="N","",J362))</f>
        <v>Telecom Demolition(s) (Complete)</v>
      </c>
      <c r="I362" s="552"/>
      <c r="J362" s="578" t="str">
        <f>IF('C-Design&amp;Const'!AI362="","",'C-Design&amp;Const'!AI362)</f>
        <v>(Complete)</v>
      </c>
      <c r="K362" s="285" t="str">
        <f>IF((COUNTIF(D362:G362,"Y")=COUNTIF('04 - 95% CD'!A362,"Y")),"match","no 95% match")</f>
        <v>match</v>
      </c>
      <c r="L362" s="1410" t="str">
        <f t="shared" si="19"/>
        <v/>
      </c>
      <c r="M362" s="1382"/>
      <c r="N362" s="1382"/>
      <c r="O362" s="1382"/>
      <c r="P362" s="1382"/>
      <c r="Q362" s="1382"/>
      <c r="R362" s="1382"/>
      <c r="S362" s="1382"/>
      <c r="T362" s="1382"/>
      <c r="U362" s="1382"/>
      <c r="V362" s="1382"/>
      <c r="W362" s="1382"/>
      <c r="X362" s="1382"/>
      <c r="Y362" s="1382"/>
      <c r="Z362" s="1382"/>
      <c r="AA362" s="1382"/>
      <c r="AB362" s="1382"/>
      <c r="AC362" s="1382"/>
      <c r="AD362" s="1382"/>
      <c r="AE362" s="1382"/>
      <c r="AF362" s="1382"/>
      <c r="AG362" s="1382"/>
      <c r="AH362" s="1382"/>
      <c r="AI362" s="1382"/>
      <c r="AJ362" s="1382"/>
      <c r="AK362" s="551"/>
      <c r="AL362" s="551"/>
      <c r="AM362" s="551"/>
      <c r="AN362" s="551"/>
      <c r="AO362" s="551"/>
      <c r="AP362" s="551"/>
      <c r="AQ362" s="551"/>
      <c r="AR362" s="551"/>
      <c r="AS362" s="551"/>
      <c r="AT362" s="551"/>
      <c r="AU362" s="551"/>
      <c r="AV362" s="551"/>
      <c r="AW362" s="551"/>
    </row>
    <row r="363" spans="1:49" x14ac:dyDescent="0.25">
      <c r="A363" s="1518" t="str">
        <f>IF(COUNTIF('04 - 95% CD'!D363:G363,"Y")&gt;0,"Y",IF(COUNTIF('04 - 95% CD'!D363:G363,"N"),"N",""))</f>
        <v>Y</v>
      </c>
      <c r="B363" s="125"/>
      <c r="C363" s="944"/>
      <c r="D363" s="411"/>
      <c r="E363" s="321"/>
      <c r="F363" s="559" t="str">
        <f>IF('C-Design&amp;Const'!$Q363="","",'C-Design&amp;Const'!$Q363)</f>
        <v>Y</v>
      </c>
      <c r="G363" s="485"/>
      <c r="H363" s="243" t="str">
        <f>CONCATENATE(IF(F363="N","PLACEHOLDER ROW - ",""),'C-Design&amp;Const'!Z363,IF(F363="N","",J363))</f>
        <v>Telecom/Data Floor Plans w/ Devices   (Complete)</v>
      </c>
      <c r="I363" s="137"/>
      <c r="J363" s="578" t="str">
        <f>IF('C-Design&amp;Const'!AI363="","",'C-Design&amp;Const'!AI363)</f>
        <v>(Complete)</v>
      </c>
      <c r="K363" s="285" t="str">
        <f>IF((COUNTIF(D363:G363,"Y")=COUNTIF('04 - 95% CD'!A363,"Y")),"match","no 95% match")</f>
        <v>match</v>
      </c>
      <c r="L363" s="1410" t="str">
        <f t="shared" si="19"/>
        <v/>
      </c>
      <c r="M363" s="1333"/>
      <c r="N363" s="1333"/>
      <c r="O363" s="1333"/>
      <c r="P363" s="1333"/>
      <c r="Q363" s="1333"/>
      <c r="R363" s="1453"/>
      <c r="S363" s="1364"/>
      <c r="T363" s="1404"/>
      <c r="U363" s="1333"/>
      <c r="V363" s="1333"/>
      <c r="W363" s="1333"/>
      <c r="X363" s="1333"/>
      <c r="Y363" s="1333"/>
      <c r="Z363" s="1333"/>
      <c r="AA363" s="1333"/>
      <c r="AB363" s="1333"/>
      <c r="AC363" s="1333"/>
      <c r="AD363" s="1333"/>
      <c r="AE363" s="1333"/>
      <c r="AF363" s="1333"/>
      <c r="AG363" s="1333"/>
      <c r="AH363" s="1333"/>
      <c r="AI363" s="1333"/>
      <c r="AJ363" s="1333"/>
    </row>
    <row r="364" spans="1:49" x14ac:dyDescent="0.25">
      <c r="A364" s="1518" t="str">
        <f>IF(COUNTIF('04 - 95% CD'!D364:G364,"Y")&gt;0,"Y",IF(COUNTIF('04 - 95% CD'!D364:G364,"N"),"N",""))</f>
        <v>Y</v>
      </c>
      <c r="B364" s="125"/>
      <c r="C364" s="944"/>
      <c r="D364" s="411"/>
      <c r="E364" s="321"/>
      <c r="F364" s="559" t="str">
        <f>IF('C-Design&amp;Const'!$Q364="","",'C-Design&amp;Const'!$Q364)</f>
        <v>Y</v>
      </c>
      <c r="G364" s="485"/>
      <c r="H364" s="243" t="str">
        <f>CONCATENATE(IF(F364="N","PLACEHOLDER ROW - ",""),'C-Design&amp;Const'!Z364,IF(F364="N","",J364))</f>
        <v>Telecom/Data Raceway Distribution   (Complete)</v>
      </c>
      <c r="I364" s="137"/>
      <c r="J364" s="578" t="str">
        <f>IF('C-Design&amp;Const'!AI364="","",'C-Design&amp;Const'!AI364)</f>
        <v>(Complete)</v>
      </c>
      <c r="K364" s="285" t="str">
        <f>IF((COUNTIF(D364:G364,"Y")=COUNTIF('04 - 95% CD'!A364,"Y")),"match","no 95% match")</f>
        <v>match</v>
      </c>
      <c r="L364" s="1410" t="str">
        <f t="shared" si="19"/>
        <v/>
      </c>
      <c r="M364" s="1333"/>
      <c r="N364" s="1333"/>
      <c r="O364" s="1333"/>
      <c r="P364" s="1333"/>
      <c r="Q364" s="1333"/>
      <c r="R364" s="1453"/>
      <c r="S364" s="1364"/>
      <c r="T364" s="1404"/>
      <c r="U364" s="1333"/>
      <c r="V364" s="1333"/>
      <c r="W364" s="1333"/>
      <c r="X364" s="1333"/>
      <c r="Y364" s="1333"/>
      <c r="Z364" s="1333"/>
      <c r="AA364" s="1333"/>
      <c r="AB364" s="1333"/>
      <c r="AC364" s="1333"/>
      <c r="AD364" s="1333"/>
      <c r="AE364" s="1333"/>
      <c r="AF364" s="1333"/>
      <c r="AG364" s="1333"/>
      <c r="AH364" s="1333"/>
      <c r="AI364" s="1333"/>
      <c r="AJ364" s="1333"/>
    </row>
    <row r="365" spans="1:49" x14ac:dyDescent="0.25">
      <c r="A365" s="1518" t="str">
        <f>IF(COUNTIF('04 - 95% CD'!D365:G365,"Y")&gt;0,"Y",IF(COUNTIF('04 - 95% CD'!D365:G365,"N"),"N",""))</f>
        <v>Y</v>
      </c>
      <c r="B365" s="125"/>
      <c r="C365" s="944"/>
      <c r="D365" s="411"/>
      <c r="E365" s="321"/>
      <c r="F365" s="559" t="str">
        <f>IF('C-Design&amp;Const'!$Q365="","",'C-Design&amp;Const'!$Q365)</f>
        <v>Y</v>
      </c>
      <c r="G365" s="485"/>
      <c r="H365" s="243" t="str">
        <f>CONCATENATE(IF(F365="N","PLACEHOLDER ROW - ",""),'C-Design&amp;Const'!Z365,IF(F365="N","",J365))</f>
        <v>Telecom/Data Riser Diagram   (Complete)</v>
      </c>
      <c r="I365" s="137"/>
      <c r="J365" s="578" t="str">
        <f>IF('C-Design&amp;Const'!AI365="","",'C-Design&amp;Const'!AI365)</f>
        <v>(Complete)</v>
      </c>
      <c r="K365" s="285" t="str">
        <f>IF((COUNTIF(D365:G365,"Y")=COUNTIF('04 - 95% CD'!A365,"Y")),"match","no 95% match")</f>
        <v>match</v>
      </c>
      <c r="L365" s="1410" t="str">
        <f t="shared" si="19"/>
        <v/>
      </c>
      <c r="M365" s="1333"/>
      <c r="N365" s="1333"/>
      <c r="O365" s="1333"/>
      <c r="P365" s="1333"/>
      <c r="Q365" s="1333"/>
      <c r="R365" s="1284"/>
      <c r="S365" s="1513"/>
      <c r="T365" s="1404"/>
      <c r="U365" s="1333"/>
      <c r="V365" s="1333"/>
      <c r="W365" s="1333"/>
      <c r="X365" s="1333"/>
      <c r="Y365" s="1333"/>
      <c r="Z365" s="1333"/>
      <c r="AA365" s="1333"/>
      <c r="AB365" s="1333"/>
      <c r="AC365" s="1333"/>
      <c r="AD365" s="1333"/>
      <c r="AE365" s="1333"/>
      <c r="AF365" s="1333"/>
      <c r="AG365" s="1333"/>
      <c r="AH365" s="1333"/>
      <c r="AI365" s="1333"/>
      <c r="AJ365" s="1333"/>
    </row>
    <row r="366" spans="1:49" x14ac:dyDescent="0.25">
      <c r="A366" s="1518" t="str">
        <f>IF(COUNTIF('04 - 95% CD'!D366:G366,"Y")&gt;0,"Y",IF(COUNTIF('04 - 95% CD'!D366:G366,"N"),"N",""))</f>
        <v>Y</v>
      </c>
      <c r="B366" s="125"/>
      <c r="C366" s="944"/>
      <c r="D366" s="411"/>
      <c r="E366" s="321"/>
      <c r="F366" s="559" t="str">
        <f>IF('C-Design&amp;Const'!$Q366="","",'C-Design&amp;Const'!$Q366)</f>
        <v>Y</v>
      </c>
      <c r="G366" s="485"/>
      <c r="H366" s="243" t="str">
        <f>CONCATENATE(IF(F366="N","PLACEHOLDER ROW - ",""),'C-Design&amp;Const'!Z366,IF(F366="N","",J366))</f>
        <v>Telecom/Data Details and Sections (Complete)</v>
      </c>
      <c r="I366" s="137"/>
      <c r="J366" s="578" t="str">
        <f>IF('C-Design&amp;Const'!AI366="","",'C-Design&amp;Const'!AI366)</f>
        <v>(Complete)</v>
      </c>
      <c r="K366" s="285" t="str">
        <f>IF((COUNTIF(D366:G366,"Y")=COUNTIF('04 - 95% CD'!A366,"Y")),"match","no 95% match")</f>
        <v>match</v>
      </c>
      <c r="L366" s="1410" t="str">
        <f t="shared" si="19"/>
        <v/>
      </c>
      <c r="M366" s="1333"/>
      <c r="N366" s="1333"/>
      <c r="O366" s="1333"/>
      <c r="P366" s="1333"/>
      <c r="Q366" s="1333"/>
      <c r="R366" s="1453"/>
      <c r="S366" s="1364"/>
      <c r="T366" s="1404"/>
      <c r="U366" s="1333"/>
      <c r="V366" s="1333"/>
      <c r="W366" s="1333"/>
      <c r="X366" s="1333"/>
      <c r="Y366" s="1333"/>
      <c r="Z366" s="1333"/>
      <c r="AA366" s="1333"/>
      <c r="AB366" s="1333"/>
      <c r="AC366" s="1333"/>
      <c r="AD366" s="1333"/>
      <c r="AE366" s="1333"/>
      <c r="AF366" s="1333"/>
      <c r="AG366" s="1333"/>
      <c r="AH366" s="1333"/>
      <c r="AI366" s="1333"/>
      <c r="AJ366" s="1333"/>
    </row>
    <row r="367" spans="1:49" s="30" customFormat="1" ht="15" customHeight="1" x14ac:dyDescent="0.25">
      <c r="A367" s="1407" t="str">
        <f>IF(COUNTIF('04 - 95% CD'!D367:G367,"Y")&gt;0,"Y",IF(COUNTIF('04 - 95% CD'!D367:G367,"N"),"N",""))</f>
        <v>Y</v>
      </c>
      <c r="B367" s="191"/>
      <c r="C367" s="944"/>
      <c r="D367" s="463"/>
      <c r="E367" s="359" t="str">
        <f>IF('C-Design&amp;Const'!$Q367="","",'C-Design&amp;Const'!$Q367)</f>
        <v>Y</v>
      </c>
      <c r="F367" s="235"/>
      <c r="G367" s="291"/>
      <c r="H367" s="242" t="str">
        <f>CONCATENATE(IF(F367="N","PLACEHOLDER ROW - ",""),'C-Design&amp;Const'!Z367,IF(F367="N","",J367))</f>
        <v>Audio Visual Drawings (Including Bid Alts.)</v>
      </c>
      <c r="I367" s="184"/>
      <c r="J367" s="578" t="str">
        <f>IF('C-Design&amp;Const'!AI367="","",'C-Design&amp;Const'!AI367)</f>
        <v xml:space="preserve"> (Including Bid Alts.)</v>
      </c>
      <c r="K367" s="285" t="str">
        <f>IF((COUNTIF(D367:G367,"Y")=COUNTIF('04 - 95% CD'!A367,"Y")),"match","no 95% match")</f>
        <v>match</v>
      </c>
      <c r="L367" s="1410" t="str">
        <f t="shared" si="19"/>
        <v/>
      </c>
      <c r="M367" s="1382"/>
      <c r="N367" s="1382"/>
      <c r="O367" s="1382"/>
      <c r="P367" s="1382"/>
      <c r="Q367" s="1382"/>
      <c r="R367" s="1382"/>
      <c r="S367" s="1382"/>
      <c r="T367" s="1382"/>
      <c r="U367" s="1382"/>
      <c r="V367" s="1382"/>
      <c r="W367" s="1382"/>
      <c r="X367" s="1382"/>
      <c r="Y367" s="1382"/>
      <c r="Z367" s="1382"/>
      <c r="AA367" s="1382"/>
      <c r="AB367" s="1382"/>
      <c r="AC367" s="1382"/>
      <c r="AD367" s="1382"/>
      <c r="AE367" s="1382"/>
      <c r="AF367" s="1382"/>
      <c r="AG367" s="1382"/>
      <c r="AH367" s="1382"/>
      <c r="AI367" s="1382"/>
      <c r="AJ367" s="1382"/>
      <c r="AK367" s="181"/>
      <c r="AL367" s="181"/>
      <c r="AM367" s="181"/>
      <c r="AN367" s="181"/>
      <c r="AO367" s="181"/>
      <c r="AP367" s="181"/>
      <c r="AQ367" s="181"/>
      <c r="AR367" s="181"/>
      <c r="AS367" s="181"/>
      <c r="AT367" s="181"/>
      <c r="AU367" s="181"/>
      <c r="AV367" s="181"/>
      <c r="AW367" s="181"/>
    </row>
    <row r="368" spans="1:49" s="545" customFormat="1" ht="13.5" customHeight="1" x14ac:dyDescent="0.25">
      <c r="A368" s="1518" t="str">
        <f>IF(COUNTIF('04 - 95% CD'!D368:G368,"Y")&gt;0,"Y",IF(COUNTIF('04 - 95% CD'!D368:G368,"N"),"N",""))</f>
        <v>Y</v>
      </c>
      <c r="B368" s="554"/>
      <c r="C368" s="944"/>
      <c r="D368" s="463"/>
      <c r="E368" s="463"/>
      <c r="F368" s="359" t="str">
        <f>IF('C-Design&amp;Const'!$Q368="","",'C-Design&amp;Const'!$Q368)</f>
        <v>Y</v>
      </c>
      <c r="G368" s="291"/>
      <c r="H368" s="469" t="str">
        <f>CONCATENATE(IF(F368="N","PLACEHOLDER ROW - ",""),'C-Design&amp;Const'!Z368,IF(F368="N","",J368))</f>
        <v>Audio Visual Symbols, Abbreviations, and General Notes (Complete)</v>
      </c>
      <c r="I368" s="552"/>
      <c r="J368" s="578" t="str">
        <f>IF('C-Design&amp;Const'!AI368="","",'C-Design&amp;Const'!AI368)</f>
        <v>(Complete)</v>
      </c>
      <c r="K368" s="285" t="str">
        <f>IF((COUNTIF(D368:G368,"Y")=COUNTIF('04 - 95% CD'!A368,"Y")),"match","no 95% match")</f>
        <v>match</v>
      </c>
      <c r="L368" s="1410" t="str">
        <f t="shared" ref="L368:L369" si="22">CONCATENATE(IF(ISNUMBER(SEARCH("Placeholder",H368))=TRUE,"&lt;---PM/Planner may hide PLACEHOLDER ROW",""))</f>
        <v/>
      </c>
      <c r="M368" s="1382"/>
      <c r="N368" s="1382"/>
      <c r="O368" s="1382"/>
      <c r="P368" s="1382"/>
      <c r="Q368" s="1382"/>
      <c r="R368" s="1382"/>
      <c r="S368" s="1382"/>
      <c r="T368" s="1382"/>
      <c r="U368" s="1382"/>
      <c r="V368" s="1382"/>
      <c r="W368" s="1382"/>
      <c r="X368" s="1382"/>
      <c r="Y368" s="1382"/>
      <c r="Z368" s="1382"/>
      <c r="AA368" s="1382"/>
      <c r="AB368" s="1382"/>
      <c r="AC368" s="1382"/>
      <c r="AD368" s="1382"/>
      <c r="AE368" s="1382"/>
      <c r="AF368" s="1382"/>
      <c r="AG368" s="1382"/>
      <c r="AH368" s="1382"/>
      <c r="AI368" s="1382"/>
      <c r="AJ368" s="1382"/>
      <c r="AK368" s="551"/>
      <c r="AL368" s="551"/>
      <c r="AM368" s="551"/>
      <c r="AN368" s="551"/>
      <c r="AO368" s="551"/>
      <c r="AP368" s="551"/>
      <c r="AQ368" s="551"/>
      <c r="AR368" s="551"/>
      <c r="AS368" s="551"/>
      <c r="AT368" s="551"/>
      <c r="AU368" s="551"/>
      <c r="AV368" s="551"/>
      <c r="AW368" s="551"/>
    </row>
    <row r="369" spans="1:49" s="545" customFormat="1" ht="13.5" customHeight="1" x14ac:dyDescent="0.25">
      <c r="A369" s="1518" t="str">
        <f>IF(COUNTIF('04 - 95% CD'!D369:G369,"Y")&gt;0,"Y",IF(COUNTIF('04 - 95% CD'!D369:G369,"N"),"N",""))</f>
        <v>Y</v>
      </c>
      <c r="B369" s="554"/>
      <c r="C369" s="944"/>
      <c r="D369" s="463"/>
      <c r="E369" s="463"/>
      <c r="F369" s="359" t="str">
        <f>IF('C-Design&amp;Const'!$Q369="","",'C-Design&amp;Const'!$Q369)</f>
        <v>Y</v>
      </c>
      <c r="G369" s="291"/>
      <c r="H369" s="469" t="str">
        <f>CONCATENATE(IF(F369="N","PLACEHOLDER ROW - ",""),'C-Design&amp;Const'!Z369,IF(F369="N","",J369))</f>
        <v>A/V Demolition(s) (Complete)</v>
      </c>
      <c r="I369" s="552"/>
      <c r="J369" s="578" t="str">
        <f>IF('C-Design&amp;Const'!AI369="","",'C-Design&amp;Const'!AI369)</f>
        <v>(Complete)</v>
      </c>
      <c r="K369" s="285" t="str">
        <f>IF((COUNTIF(D369:G369,"Y")=COUNTIF('04 - 95% CD'!A369,"Y")),"match","no 95% match")</f>
        <v>match</v>
      </c>
      <c r="L369" s="1410" t="str">
        <f t="shared" si="22"/>
        <v/>
      </c>
      <c r="M369" s="1382"/>
      <c r="N369" s="1382"/>
      <c r="O369" s="1382"/>
      <c r="P369" s="1382"/>
      <c r="Q369" s="1382"/>
      <c r="R369" s="1382"/>
      <c r="S369" s="1382"/>
      <c r="T369" s="1382"/>
      <c r="U369" s="1382"/>
      <c r="V369" s="1382"/>
      <c r="W369" s="1382"/>
      <c r="X369" s="1382"/>
      <c r="Y369" s="1382"/>
      <c r="Z369" s="1382"/>
      <c r="AA369" s="1382"/>
      <c r="AB369" s="1382"/>
      <c r="AC369" s="1382"/>
      <c r="AD369" s="1382"/>
      <c r="AE369" s="1382"/>
      <c r="AF369" s="1382"/>
      <c r="AG369" s="1382"/>
      <c r="AH369" s="1382"/>
      <c r="AI369" s="1382"/>
      <c r="AJ369" s="1382"/>
      <c r="AK369" s="551"/>
      <c r="AL369" s="551"/>
      <c r="AM369" s="551"/>
      <c r="AN369" s="551"/>
      <c r="AO369" s="551"/>
      <c r="AP369" s="551"/>
      <c r="AQ369" s="551"/>
      <c r="AR369" s="551"/>
      <c r="AS369" s="551"/>
      <c r="AT369" s="551"/>
      <c r="AU369" s="551"/>
      <c r="AV369" s="551"/>
      <c r="AW369" s="551"/>
    </row>
    <row r="370" spans="1:49" ht="45" x14ac:dyDescent="0.25">
      <c r="A370" s="1518" t="str">
        <f>IF(COUNTIF('04 - 95% CD'!D370:G370,"Y")&gt;0,"Y",IF(COUNTIF('04 - 95% CD'!D370:G370,"N"),"N",""))</f>
        <v>Y</v>
      </c>
      <c r="B370" s="125"/>
      <c r="C370" s="944"/>
      <c r="D370" s="411"/>
      <c r="E370" s="321"/>
      <c r="F370" s="559" t="str">
        <f>IF('C-Design&amp;Const'!$Q370="","",'C-Design&amp;Const'!$Q370)</f>
        <v>Y</v>
      </c>
      <c r="G370" s="485"/>
      <c r="H370" s="469" t="str">
        <f>CONCATENATE(IF(F370="N","PLACEHOLDER ROW - ",""),'C-Design&amp;Const'!Z370,IF(F370="N","",J370))</f>
        <v>AV System Floor Plans.  Equipment identified, Equipment Clearance &amp; Throw Distances Dimensioned, Power, Conduit &amp; Backbox Layouts Shown.  Cables shown separated by type/signal level; all Cables Leaving Room Clearly Shown. (Complete)</v>
      </c>
      <c r="I370" s="137"/>
      <c r="J370" s="578" t="str">
        <f>IF('C-Design&amp;Const'!AI370="","",'C-Design&amp;Const'!AI370)</f>
        <v>(Complete)</v>
      </c>
      <c r="K370" s="285" t="str">
        <f>IF((COUNTIF(D370:G370,"Y")=COUNTIF('04 - 95% CD'!A370,"Y")),"match","no 95% match")</f>
        <v>match</v>
      </c>
      <c r="L370" s="1410" t="str">
        <f t="shared" si="19"/>
        <v/>
      </c>
      <c r="M370" s="1333"/>
      <c r="N370" s="1333"/>
      <c r="O370" s="1333"/>
      <c r="P370" s="1333"/>
      <c r="Q370" s="1333"/>
      <c r="R370" s="1453"/>
      <c r="S370" s="1364"/>
      <c r="T370" s="1404"/>
      <c r="U370" s="1333"/>
      <c r="V370" s="1333"/>
      <c r="W370" s="1333"/>
      <c r="X370" s="1333"/>
      <c r="Y370" s="1333"/>
      <c r="Z370" s="1333"/>
      <c r="AA370" s="1333"/>
      <c r="AB370" s="1333"/>
      <c r="AC370" s="1333"/>
      <c r="AD370" s="1333"/>
      <c r="AE370" s="1333"/>
      <c r="AF370" s="1333"/>
      <c r="AG370" s="1333"/>
      <c r="AH370" s="1333"/>
      <c r="AI370" s="1333"/>
      <c r="AJ370" s="1333"/>
    </row>
    <row r="371" spans="1:49" ht="75" x14ac:dyDescent="0.25">
      <c r="A371" s="1518" t="str">
        <f>IF(COUNTIF('04 - 95% CD'!D371:G371,"Y")&gt;0,"Y",IF(COUNTIF('04 - 95% CD'!D371:G371,"N"),"N",""))</f>
        <v>Y</v>
      </c>
      <c r="B371" s="125"/>
      <c r="C371" s="944"/>
      <c r="D371" s="411"/>
      <c r="E371" s="321"/>
      <c r="F371" s="559" t="str">
        <f>IF('C-Design&amp;Const'!$Q371="","",'C-Design&amp;Const'!$Q371)</f>
        <v>Y</v>
      </c>
      <c r="G371" s="485"/>
      <c r="H371" s="469" t="str">
        <f>CONCATENATE(IF(F371="N","PLACEHOLDER ROW - ",""),'C-Design&amp;Const'!Z371,IF(F371="N","",J371))</f>
        <v>AV System Details:  Equipment Installation Details, AV Rack Elevations for each Rack, Major Equipment Components Located in the Rack, Custom Plate Details, and Plates Associated with Equipment Plans and System Line Diagrams.  Equipment Mounting Details which Support More than 40 Pounds shall be stamped by a Licensed Structural Engineer. (Complete)</v>
      </c>
      <c r="I371" s="137"/>
      <c r="J371" s="578" t="str">
        <f>IF('C-Design&amp;Const'!AI371="","",'C-Design&amp;Const'!AI371)</f>
        <v>(Complete)</v>
      </c>
      <c r="K371" s="285" t="str">
        <f>IF((COUNTIF(D371:G371,"Y")=COUNTIF('04 - 95% CD'!A371,"Y")),"match","no 95% match")</f>
        <v>match</v>
      </c>
      <c r="L371" s="1410" t="str">
        <f t="shared" si="19"/>
        <v/>
      </c>
      <c r="M371" s="1333"/>
      <c r="N371" s="1333"/>
      <c r="O371" s="1333"/>
      <c r="P371" s="1333"/>
      <c r="Q371" s="1333"/>
      <c r="R371" s="1453"/>
      <c r="S371" s="1364"/>
      <c r="T371" s="1404"/>
      <c r="U371" s="1333"/>
      <c r="V371" s="1333"/>
      <c r="W371" s="1333"/>
      <c r="X371" s="1333"/>
      <c r="Y371" s="1333"/>
      <c r="Z371" s="1333"/>
      <c r="AA371" s="1333"/>
      <c r="AB371" s="1333"/>
      <c r="AC371" s="1333"/>
      <c r="AD371" s="1333"/>
      <c r="AE371" s="1333"/>
      <c r="AF371" s="1333"/>
      <c r="AG371" s="1333"/>
      <c r="AH371" s="1333"/>
      <c r="AI371" s="1333"/>
      <c r="AJ371" s="1333"/>
    </row>
    <row r="372" spans="1:49" x14ac:dyDescent="0.25">
      <c r="A372" s="1518" t="str">
        <f>IF(COUNTIF('04 - 95% CD'!D372:G372,"Y")&gt;0,"Y",IF(COUNTIF('04 - 95% CD'!D372:G372,"N"),"N",""))</f>
        <v>Y</v>
      </c>
      <c r="B372" s="125"/>
      <c r="C372" s="944"/>
      <c r="D372" s="411"/>
      <c r="E372" s="321"/>
      <c r="F372" s="559" t="str">
        <f>IF('C-Design&amp;Const'!$Q372="","",'C-Design&amp;Const'!$Q372)</f>
        <v>Y</v>
      </c>
      <c r="G372" s="485"/>
      <c r="H372" s="1015" t="str">
        <f>CONCATENATE(IF(F372="N","PLACEHOLDER ROW - ",""),'C-Design&amp;Const'!Z372,IF(F372="N","",J372))</f>
        <v>AV System Line Diagrams, showing: (Complete)</v>
      </c>
      <c r="I372" s="137"/>
      <c r="J372" s="578" t="str">
        <f>IF('C-Design&amp;Const'!AI372="","",'C-Design&amp;Const'!AI372)</f>
        <v>(Complete)</v>
      </c>
      <c r="K372" s="285" t="str">
        <f>IF((COUNTIF(D372:G372,"Y")=COUNTIF('04 - 95% CD'!A372,"Y")),"match","no 95% match")</f>
        <v>match</v>
      </c>
      <c r="L372" s="1410" t="str">
        <f t="shared" si="19"/>
        <v/>
      </c>
      <c r="M372" s="1333"/>
      <c r="N372" s="1333"/>
      <c r="O372" s="1333"/>
      <c r="P372" s="1333"/>
      <c r="Q372" s="1333"/>
      <c r="R372" s="1453"/>
      <c r="S372" s="1364"/>
      <c r="T372" s="1404"/>
      <c r="U372" s="1333"/>
      <c r="V372" s="1333"/>
      <c r="W372" s="1333"/>
      <c r="X372" s="1333"/>
      <c r="Y372" s="1333"/>
      <c r="Z372" s="1333"/>
      <c r="AA372" s="1333"/>
      <c r="AB372" s="1333"/>
      <c r="AC372" s="1333"/>
      <c r="AD372" s="1333"/>
      <c r="AE372" s="1333"/>
      <c r="AF372" s="1333"/>
      <c r="AG372" s="1333"/>
      <c r="AH372" s="1333"/>
      <c r="AI372" s="1333"/>
      <c r="AJ372" s="1333"/>
    </row>
    <row r="373" spans="1:49" x14ac:dyDescent="0.25">
      <c r="A373" s="1518" t="str">
        <f>IF(COUNTIF('04 - 95% CD'!D373:G373,"Y")&gt;0,"Y",IF(COUNTIF('04 - 95% CD'!D373:G373,"N"),"N",""))</f>
        <v>Y</v>
      </c>
      <c r="B373" s="125"/>
      <c r="C373" s="944"/>
      <c r="D373" s="411"/>
      <c r="E373" s="321"/>
      <c r="F373" s="524"/>
      <c r="G373" s="559" t="str">
        <f>IF('C-Design&amp;Const'!$Q373="","",'C-Design&amp;Const'!$Q373)</f>
        <v>Y</v>
      </c>
      <c r="H373" s="1021" t="str">
        <f>CONCATENATE(IF(G373="N","PLACEHOLDER ROW - ",""),'C-Design&amp;Const'!Z373,IF(G373="N","",J373))</f>
        <v>Signal flow from input to output, left to right (Complete)</v>
      </c>
      <c r="I373" s="150"/>
      <c r="J373" s="578" t="str">
        <f>IF('C-Design&amp;Const'!AI373="","",'C-Design&amp;Const'!AI373)</f>
        <v>(Complete)</v>
      </c>
      <c r="K373" s="285" t="str">
        <f>IF((COUNTIF(D373:G373,"Y")=COUNTIF('04 - 95% CD'!A373,"Y")),"match","no 95% match")</f>
        <v>match</v>
      </c>
      <c r="L373" s="1410" t="str">
        <f t="shared" si="19"/>
        <v/>
      </c>
      <c r="M373" s="1333"/>
      <c r="N373" s="1333"/>
      <c r="O373" s="1333"/>
      <c r="P373" s="1333"/>
      <c r="Q373" s="1333"/>
      <c r="R373" s="1446"/>
      <c r="S373" s="1364"/>
      <c r="T373" s="1404"/>
      <c r="U373" s="1333"/>
      <c r="V373" s="1333"/>
      <c r="W373" s="1333"/>
      <c r="X373" s="1333"/>
      <c r="Y373" s="1333"/>
      <c r="Z373" s="1333"/>
      <c r="AA373" s="1333"/>
      <c r="AB373" s="1333"/>
      <c r="AC373" s="1333"/>
      <c r="AD373" s="1333"/>
      <c r="AE373" s="1333"/>
      <c r="AF373" s="1333"/>
      <c r="AG373" s="1333"/>
      <c r="AH373" s="1333"/>
      <c r="AI373" s="1333"/>
      <c r="AJ373" s="1333"/>
    </row>
    <row r="374" spans="1:49" ht="30" x14ac:dyDescent="0.25">
      <c r="A374" s="1518" t="str">
        <f>IF(COUNTIF('04 - 95% CD'!D374:G374,"Y")&gt;0,"Y",IF(COUNTIF('04 - 95% CD'!D374:G374,"N"),"N",""))</f>
        <v>Y</v>
      </c>
      <c r="B374" s="125"/>
      <c r="C374" s="944"/>
      <c r="D374" s="411"/>
      <c r="E374" s="321"/>
      <c r="F374" s="524"/>
      <c r="G374" s="559" t="str">
        <f>IF('C-Design&amp;Const'!$Q374="","",'C-Design&amp;Const'!$Q374)</f>
        <v>Y</v>
      </c>
      <c r="H374" s="1021" t="str">
        <f>CONCATENATE(IF(G374="N","PLACEHOLDER ROW - ",""),'C-Design&amp;Const'!Z374,IF(G374="N","",J374))</f>
        <v>Major pieces of equipment identified by manufacturer, model number &amp; description (Complete)</v>
      </c>
      <c r="I374" s="150"/>
      <c r="J374" s="578" t="str">
        <f>IF('C-Design&amp;Const'!AI374="","",'C-Design&amp;Const'!AI374)</f>
        <v>(Complete)</v>
      </c>
      <c r="K374" s="285" t="str">
        <f>IF((COUNTIF(D374:G374,"Y")=COUNTIF('04 - 95% CD'!A374,"Y")),"match","no 95% match")</f>
        <v>match</v>
      </c>
      <c r="L374" s="1410" t="str">
        <f t="shared" si="19"/>
        <v/>
      </c>
      <c r="M374" s="1333"/>
      <c r="N374" s="1333"/>
      <c r="O374" s="1333"/>
      <c r="P374" s="1333"/>
      <c r="Q374" s="1333"/>
      <c r="R374" s="1444"/>
      <c r="S374" s="1448"/>
      <c r="T374" s="1404"/>
      <c r="U374" s="1333"/>
      <c r="V374" s="1333"/>
      <c r="W374" s="1333"/>
      <c r="X374" s="1333"/>
      <c r="Y374" s="1333"/>
      <c r="Z374" s="1333"/>
      <c r="AA374" s="1333"/>
      <c r="AB374" s="1333"/>
      <c r="AC374" s="1333"/>
      <c r="AD374" s="1333"/>
      <c r="AE374" s="1333"/>
      <c r="AF374" s="1333"/>
      <c r="AG374" s="1333"/>
      <c r="AH374" s="1333"/>
      <c r="AI374" s="1333"/>
      <c r="AJ374" s="1333"/>
    </row>
    <row r="375" spans="1:49" x14ac:dyDescent="0.25">
      <c r="A375" s="1518" t="str">
        <f>IF(COUNTIF('04 - 95% CD'!D375:G375,"Y")&gt;0,"Y",IF(COUNTIF('04 - 95% CD'!D375:G375,"N"),"N",""))</f>
        <v>Y</v>
      </c>
      <c r="B375" s="125"/>
      <c r="C375" s="944"/>
      <c r="D375" s="411"/>
      <c r="E375" s="321"/>
      <c r="F375" s="524"/>
      <c r="G375" s="559" t="str">
        <f>IF('C-Design&amp;Const'!$Q375="","",'C-Design&amp;Const'!$Q375)</f>
        <v>Y</v>
      </c>
      <c r="H375" s="1021" t="str">
        <f>CONCATENATE(IF(G375="N","PLACEHOLDER ROW - ",""),'C-Design&amp;Const'!Z375,IF(G375="N","",J375))</f>
        <v>Equipment associated with plans and details (Complete)</v>
      </c>
      <c r="I375" s="150"/>
      <c r="J375" s="578" t="str">
        <f>IF('C-Design&amp;Const'!AI375="","",'C-Design&amp;Const'!AI375)</f>
        <v>(Complete)</v>
      </c>
      <c r="K375" s="285" t="str">
        <f>IF((COUNTIF(D375:G375,"Y")=COUNTIF('04 - 95% CD'!A375,"Y")),"match","no 95% match")</f>
        <v>match</v>
      </c>
      <c r="L375" s="1410" t="str">
        <f t="shared" si="19"/>
        <v/>
      </c>
      <c r="M375" s="1333"/>
      <c r="N375" s="1333"/>
      <c r="O375" s="1333"/>
      <c r="P375" s="1333"/>
      <c r="Q375" s="1333"/>
      <c r="R375" s="1487"/>
      <c r="S375" s="1364"/>
      <c r="T375" s="1404"/>
      <c r="U375" s="1333"/>
      <c r="V375" s="1333"/>
      <c r="W375" s="1333"/>
      <c r="X375" s="1333"/>
      <c r="Y375" s="1333"/>
      <c r="Z375" s="1333"/>
      <c r="AA375" s="1333"/>
      <c r="AB375" s="1333"/>
      <c r="AC375" s="1333"/>
      <c r="AD375" s="1333"/>
      <c r="AE375" s="1333"/>
      <c r="AF375" s="1333"/>
      <c r="AG375" s="1333"/>
      <c r="AH375" s="1333"/>
      <c r="AI375" s="1333"/>
      <c r="AJ375" s="1333"/>
    </row>
    <row r="376" spans="1:49" x14ac:dyDescent="0.25">
      <c r="A376" s="1518" t="str">
        <f>IF(COUNTIF('04 - 95% CD'!D376:G376,"Y")&gt;0,"Y",IF(COUNTIF('04 - 95% CD'!D376:G376,"N"),"N",""))</f>
        <v>Y</v>
      </c>
      <c r="B376" s="125"/>
      <c r="C376" s="944"/>
      <c r="D376" s="411"/>
      <c r="E376" s="321"/>
      <c r="F376" s="524"/>
      <c r="G376" s="559" t="str">
        <f>IF('C-Design&amp;Const'!$Q376="","",'C-Design&amp;Const'!$Q376)</f>
        <v>Y</v>
      </c>
      <c r="H376" s="1021" t="str">
        <f>CONCATENATE(IF(G376="N","PLACEHOLDER ROW - ",""),'C-Design&amp;Const'!Z376,IF(G376="N","",J376))</f>
        <v>All field and rack cabling and signal type (Complete)</v>
      </c>
      <c r="I376" s="150"/>
      <c r="J376" s="578" t="str">
        <f>IF('C-Design&amp;Const'!AI376="","",'C-Design&amp;Const'!AI376)</f>
        <v>(Complete)</v>
      </c>
      <c r="K376" s="285" t="str">
        <f>IF((COUNTIF(D376:G376,"Y")=COUNTIF('04 - 95% CD'!A376,"Y")),"match","no 95% match")</f>
        <v>match</v>
      </c>
      <c r="L376" s="1410" t="str">
        <f t="shared" si="19"/>
        <v/>
      </c>
      <c r="M376" s="1333"/>
      <c r="N376" s="1333"/>
      <c r="O376" s="1333"/>
      <c r="P376" s="1333"/>
      <c r="Q376" s="1333"/>
      <c r="R376" s="1444"/>
      <c r="S376" s="1448"/>
      <c r="T376" s="1404"/>
      <c r="U376" s="1333"/>
      <c r="V376" s="1333"/>
      <c r="W376" s="1333"/>
      <c r="X376" s="1333"/>
      <c r="Y376" s="1333"/>
      <c r="Z376" s="1333"/>
      <c r="AA376" s="1333"/>
      <c r="AB376" s="1333"/>
      <c r="AC376" s="1333"/>
      <c r="AD376" s="1333"/>
      <c r="AE376" s="1333"/>
      <c r="AF376" s="1333"/>
      <c r="AG376" s="1333"/>
      <c r="AH376" s="1333"/>
      <c r="AI376" s="1333"/>
      <c r="AJ376" s="1333"/>
    </row>
    <row r="377" spans="1:49" x14ac:dyDescent="0.25">
      <c r="A377" s="1518" t="str">
        <f>IF(COUNTIF('04 - 95% CD'!D377:G377,"Y")&gt;0,"Y",IF(COUNTIF('04 - 95% CD'!D377:G377,"N"),"N",""))</f>
        <v>Y</v>
      </c>
      <c r="B377" s="125"/>
      <c r="C377" s="944"/>
      <c r="D377" s="411"/>
      <c r="E377" s="321"/>
      <c r="F377" s="524"/>
      <c r="G377" s="559" t="str">
        <f>IF('C-Design&amp;Const'!$Q377="","",'C-Design&amp;Const'!$Q377)</f>
        <v>Y</v>
      </c>
      <c r="H377" s="1021" t="str">
        <f>CONCATENATE(IF(G377="N","PLACEHOLDER ROW - ",""),'C-Design&amp;Const'!Z377,IF(G377="N","",J377))</f>
        <v>Video signal resolutions (Complete)</v>
      </c>
      <c r="I377" s="150"/>
      <c r="J377" s="578" t="str">
        <f>IF('C-Design&amp;Const'!AI377="","",'C-Design&amp;Const'!AI377)</f>
        <v>(Complete)</v>
      </c>
      <c r="K377" s="285" t="str">
        <f>IF((COUNTIF(D377:G377,"Y")=COUNTIF('04 - 95% CD'!A377,"Y")),"match","no 95% match")</f>
        <v>match</v>
      </c>
      <c r="L377" s="1410" t="str">
        <f t="shared" si="19"/>
        <v/>
      </c>
      <c r="M377" s="1333"/>
      <c r="N377" s="1333"/>
      <c r="O377" s="1333"/>
      <c r="P377" s="1333"/>
      <c r="Q377" s="1333"/>
      <c r="R377" s="1284"/>
      <c r="S377" s="1488"/>
      <c r="T377" s="1404"/>
      <c r="U377" s="1333"/>
      <c r="V377" s="1333"/>
      <c r="W377" s="1333"/>
      <c r="X377" s="1333"/>
      <c r="Y377" s="1333"/>
      <c r="Z377" s="1333"/>
      <c r="AA377" s="1333"/>
      <c r="AB377" s="1333"/>
      <c r="AC377" s="1333"/>
      <c r="AD377" s="1333"/>
      <c r="AE377" s="1333"/>
      <c r="AF377" s="1333"/>
      <c r="AG377" s="1333"/>
      <c r="AH377" s="1333"/>
      <c r="AI377" s="1333"/>
      <c r="AJ377" s="1333"/>
    </row>
    <row r="378" spans="1:49" x14ac:dyDescent="0.25">
      <c r="A378" s="1518" t="str">
        <f>IF(COUNTIF('04 - 95% CD'!D378:G378,"Y")&gt;0,"Y",IF(COUNTIF('04 - 95% CD'!D378:G378,"N"),"N",""))</f>
        <v>Y</v>
      </c>
      <c r="B378" s="125"/>
      <c r="C378" s="944"/>
      <c r="D378" s="411"/>
      <c r="E378" s="321"/>
      <c r="F378" s="524"/>
      <c r="G378" s="559" t="str">
        <f>IF('C-Design&amp;Const'!$Q378="","",'C-Design&amp;Const'!$Q378)</f>
        <v>Y</v>
      </c>
      <c r="H378" s="1021" t="str">
        <f>CONCATENATE(IF(G378="N","PLACEHOLDER ROW - ",""),'C-Design&amp;Const'!Z378,IF(G378="N","",J378))</f>
        <v>Manufacturer &amp; model number of all premade cables  (Complete)</v>
      </c>
      <c r="I378" s="150"/>
      <c r="J378" s="578" t="str">
        <f>IF('C-Design&amp;Const'!AI378="","",'C-Design&amp;Const'!AI378)</f>
        <v>(Complete)</v>
      </c>
      <c r="K378" s="285" t="str">
        <f>IF((COUNTIF(D378:G378,"Y")=COUNTIF('04 - 95% CD'!A378,"Y")),"match","no 95% match")</f>
        <v>match</v>
      </c>
      <c r="L378" s="1410" t="str">
        <f t="shared" si="19"/>
        <v/>
      </c>
      <c r="M378" s="1333"/>
      <c r="N378" s="1333"/>
      <c r="O378" s="1333"/>
      <c r="P378" s="1333"/>
      <c r="Q378" s="1333"/>
      <c r="R378" s="1453"/>
      <c r="S378" s="1364"/>
      <c r="T378" s="1404"/>
      <c r="U378" s="1333"/>
      <c r="V378" s="1333"/>
      <c r="W378" s="1333"/>
      <c r="X378" s="1333"/>
      <c r="Y378" s="1333"/>
      <c r="Z378" s="1333"/>
      <c r="AA378" s="1333"/>
      <c r="AB378" s="1333"/>
      <c r="AC378" s="1333"/>
      <c r="AD378" s="1333"/>
      <c r="AE378" s="1333"/>
      <c r="AF378" s="1333"/>
      <c r="AG378" s="1333"/>
      <c r="AH378" s="1333"/>
      <c r="AI378" s="1333"/>
      <c r="AJ378" s="1333"/>
    </row>
    <row r="379" spans="1:49" x14ac:dyDescent="0.25">
      <c r="A379" s="1518" t="str">
        <f>IF(COUNTIF('04 - 95% CD'!D379:G379,"Y")&gt;0,"Y",IF(COUNTIF('04 - 95% CD'!D379:G379,"N"),"N",""))</f>
        <v>Y</v>
      </c>
      <c r="B379" s="125"/>
      <c r="C379" s="944"/>
      <c r="D379" s="411"/>
      <c r="E379" s="321"/>
      <c r="F379" s="524"/>
      <c r="G379" s="1001" t="str">
        <f>IF('C-Design&amp;Const'!$Q379="","",'C-Design&amp;Const'!$Q379)</f>
        <v>Y</v>
      </c>
      <c r="H379" s="1021" t="str">
        <f>CONCATENATE(IF(G379="N","PLACEHOLDER ROW - ",""),'C-Design&amp;Const'!Z379,IF(G379="N","",J379))</f>
        <v>Typical pin out details (Complete)</v>
      </c>
      <c r="I379" s="150"/>
      <c r="J379" s="578" t="str">
        <f>IF('C-Design&amp;Const'!AI379="","",'C-Design&amp;Const'!AI379)</f>
        <v>(Complete)</v>
      </c>
      <c r="K379" s="285" t="str">
        <f>IF((COUNTIF(D379:G379,"Y")=COUNTIF('04 - 95% CD'!A379,"Y")),"match","no 95% match")</f>
        <v>match</v>
      </c>
      <c r="L379" s="1410" t="str">
        <f t="shared" si="19"/>
        <v/>
      </c>
      <c r="M379" s="1333"/>
      <c r="N379" s="1333"/>
      <c r="O379" s="1333"/>
      <c r="P379" s="1333"/>
      <c r="Q379" s="1333"/>
      <c r="R379" s="1453"/>
      <c r="S379" s="1364"/>
      <c r="T379" s="1404"/>
      <c r="U379" s="1333"/>
      <c r="V379" s="1333"/>
      <c r="W379" s="1333"/>
      <c r="X379" s="1333"/>
      <c r="Y379" s="1333"/>
      <c r="Z379" s="1333"/>
      <c r="AA379" s="1333"/>
      <c r="AB379" s="1333"/>
      <c r="AC379" s="1333"/>
      <c r="AD379" s="1333"/>
      <c r="AE379" s="1333"/>
      <c r="AF379" s="1333"/>
      <c r="AG379" s="1333"/>
      <c r="AH379" s="1333"/>
      <c r="AI379" s="1333"/>
      <c r="AJ379" s="1333"/>
    </row>
    <row r="380" spans="1:49" x14ac:dyDescent="0.25">
      <c r="A380" s="1518" t="str">
        <f>IF(COUNTIF('04 - 95% CD'!D380:G380,"Y")&gt;0,"Y",IF(COUNTIF('04 - 95% CD'!D380:G380,"N"),"N",""))</f>
        <v>Y</v>
      </c>
      <c r="B380" s="125"/>
      <c r="C380" s="944"/>
      <c r="D380" s="411"/>
      <c r="E380" s="321"/>
      <c r="F380" s="1002" t="str">
        <f>IF('C-Design&amp;Const'!$Q380="","",'C-Design&amp;Const'!$Q380)</f>
        <v>Y</v>
      </c>
      <c r="G380" s="460"/>
      <c r="H380" s="243" t="str">
        <f>CONCATENATE(IF(F380="N","PLACEHOLDER ROW - ",""),'C-Design&amp;Const'!Z380,IF(F380="N","",J380))</f>
        <v>Video Security System – Approved Camera Locations (Complete)</v>
      </c>
      <c r="I380" s="150"/>
      <c r="J380" s="578" t="str">
        <f>IF('C-Design&amp;Const'!AI380="","",'C-Design&amp;Const'!AI380)</f>
        <v>(Complete)</v>
      </c>
      <c r="K380" s="285" t="str">
        <f>IF((COUNTIF(D380:G380,"Y")=COUNTIF('04 - 95% CD'!A380,"Y")),"match","no 95% match")</f>
        <v>match</v>
      </c>
      <c r="L380" s="1410" t="str">
        <f t="shared" si="19"/>
        <v/>
      </c>
      <c r="M380" s="1333"/>
      <c r="N380" s="1333"/>
      <c r="O380" s="1333"/>
      <c r="P380" s="1333"/>
      <c r="Q380" s="1333"/>
      <c r="R380" s="1453"/>
      <c r="S380" s="1364"/>
      <c r="T380" s="1404"/>
      <c r="U380" s="1333"/>
      <c r="V380" s="1333"/>
      <c r="W380" s="1333"/>
      <c r="X380" s="1333"/>
      <c r="Y380" s="1333"/>
      <c r="Z380" s="1333"/>
      <c r="AA380" s="1333"/>
      <c r="AB380" s="1333"/>
      <c r="AC380" s="1333"/>
      <c r="AD380" s="1333"/>
      <c r="AE380" s="1333"/>
      <c r="AF380" s="1333"/>
      <c r="AG380" s="1333"/>
      <c r="AH380" s="1333"/>
      <c r="AI380" s="1333"/>
      <c r="AJ380" s="1333"/>
    </row>
    <row r="381" spans="1:49" s="17" customFormat="1" x14ac:dyDescent="0.25">
      <c r="A381" s="1520" t="str">
        <f>IF(COUNTIF('04 - 95% CD'!D381:G381,"Y")&gt;0,"Y",IF(COUNTIF('04 - 95% CD'!D381:G381,"N"),"N",""))</f>
        <v/>
      </c>
      <c r="B381" s="141"/>
      <c r="C381" s="944"/>
      <c r="D381" s="411"/>
      <c r="E381" s="411"/>
      <c r="F381" s="321"/>
      <c r="G381" s="294"/>
      <c r="H381" s="296"/>
      <c r="I381" s="146"/>
      <c r="J381" s="578" t="str">
        <f>IF('C-Design&amp;Const'!AI381="","",'C-Design&amp;Const'!AI381)</f>
        <v/>
      </c>
      <c r="K381" s="285" t="str">
        <f>IF((COUNTIF(D381:G381,"Y")=COUNTIF('04 - 95% CD'!A381,"Y")),"match","no 95% match")</f>
        <v>match</v>
      </c>
      <c r="L381" s="1410" t="str">
        <f t="shared" si="19"/>
        <v/>
      </c>
      <c r="M381" s="1333"/>
      <c r="N381" s="1333"/>
      <c r="O381" s="1333"/>
      <c r="P381" s="1333"/>
      <c r="Q381" s="1333"/>
      <c r="R381" s="1453"/>
      <c r="S381" s="1364"/>
      <c r="T381" s="1404"/>
      <c r="U381" s="1333"/>
      <c r="V381" s="1333"/>
      <c r="W381" s="1333"/>
      <c r="X381" s="1333"/>
      <c r="Y381" s="1333"/>
      <c r="Z381" s="1333"/>
      <c r="AA381" s="1333"/>
      <c r="AB381" s="1333"/>
      <c r="AC381" s="1333"/>
      <c r="AD381" s="1333"/>
      <c r="AE381" s="1333"/>
      <c r="AF381" s="1333"/>
      <c r="AG381" s="1333"/>
      <c r="AH381" s="1333"/>
      <c r="AI381" s="1333"/>
      <c r="AJ381" s="1333"/>
    </row>
    <row r="382" spans="1:49" s="181" customFormat="1" ht="18.75" x14ac:dyDescent="0.25">
      <c r="A382" s="1501" t="str">
        <f>IF(COUNTIF('04 - 95% CD'!D382:G382,"Y")&gt;0,"Y",IF(COUNTIF('04 - 95% CD'!D382:G382,"N"),"N",""))</f>
        <v>N</v>
      </c>
      <c r="B382" s="177"/>
      <c r="C382" s="948"/>
      <c r="D382" s="359" t="str">
        <f>IF('C-Design&amp;Const'!$Q382="","",'C-Design&amp;Const'!$Q382)</f>
        <v>N</v>
      </c>
      <c r="E382" s="234"/>
      <c r="F382" s="235"/>
      <c r="G382" s="291" t="str">
        <f>IF('C-Design&amp;Const'!Y382="","",'C-Design&amp;Const'!Y382)</f>
        <v>07b.</v>
      </c>
      <c r="H382" s="290" t="str">
        <f>CONCATENATE('C-Design&amp;Const'!Z382,IF(D382="N"," Not Used In This Construction Phase",J382))</f>
        <v>Building Information Model (BIM) Not Used In This Construction Phase</v>
      </c>
      <c r="I382" s="146"/>
      <c r="J382" s="578" t="str">
        <f>IF('C-Design&amp;Const'!AI382="","",'C-Design&amp;Const'!AI382)</f>
        <v xml:space="preserve"> (Updates &amp; LOD of 300)</v>
      </c>
      <c r="K382" s="285" t="str">
        <f>IF((COUNTIF(D382:G382,"Y")=COUNTIF('04 - 95% CD'!A382,"Y")),"match","no 95% match")</f>
        <v>match</v>
      </c>
      <c r="L382" s="1410" t="str">
        <f t="shared" si="19"/>
        <v/>
      </c>
      <c r="M382" s="1382"/>
      <c r="N382" s="1382"/>
      <c r="O382" s="1382"/>
      <c r="P382" s="1382"/>
      <c r="Q382" s="1382"/>
      <c r="R382" s="1447"/>
      <c r="S382" s="1448"/>
      <c r="T382" s="1404"/>
      <c r="U382" s="1382"/>
      <c r="V382" s="1382"/>
      <c r="W382" s="1382"/>
      <c r="X382" s="1382"/>
      <c r="Y382" s="1382"/>
      <c r="Z382" s="1382"/>
      <c r="AA382" s="1382"/>
      <c r="AB382" s="1382"/>
      <c r="AC382" s="1382"/>
      <c r="AD382" s="1382"/>
      <c r="AE382" s="1382"/>
      <c r="AF382" s="1382"/>
      <c r="AG382" s="1382"/>
      <c r="AH382" s="1382"/>
      <c r="AI382" s="1382"/>
      <c r="AJ382" s="1382"/>
    </row>
    <row r="383" spans="1:49" x14ac:dyDescent="0.25">
      <c r="A383" s="1407" t="str">
        <f>IF(COUNTIF('04 - 95% CD'!D383:G383,"Y")&gt;0,"Y",IF(COUNTIF('04 - 95% CD'!D383:G383,"N"),"N",""))</f>
        <v/>
      </c>
      <c r="B383" s="125"/>
      <c r="C383" s="944"/>
      <c r="D383" s="321"/>
      <c r="E383" s="321"/>
      <c r="F383" s="321"/>
      <c r="G383" s="294"/>
      <c r="H383" s="296"/>
      <c r="I383" s="146"/>
      <c r="J383" s="578" t="str">
        <f>IF('C-Design&amp;Const'!AI383="","",'C-Design&amp;Const'!AI383)</f>
        <v/>
      </c>
      <c r="K383" s="285" t="str">
        <f>IF((COUNTIF(D383:G383,"Y")=COUNTIF('04 - 95% CD'!A383,"Y")),"match","no 95% match")</f>
        <v>match</v>
      </c>
      <c r="L383" s="1410" t="str">
        <f t="shared" si="19"/>
        <v/>
      </c>
      <c r="M383" s="1333"/>
      <c r="N383" s="1333"/>
      <c r="O383" s="1333"/>
      <c r="P383" s="1333"/>
      <c r="Q383" s="1333"/>
      <c r="R383" s="1453"/>
      <c r="S383" s="1364"/>
      <c r="T383" s="1284"/>
      <c r="U383" s="1333"/>
      <c r="V383" s="1333"/>
      <c r="W383" s="1333"/>
      <c r="X383" s="1333"/>
      <c r="Y383" s="1333"/>
      <c r="Z383" s="1333"/>
      <c r="AA383" s="1333"/>
      <c r="AB383" s="1333"/>
      <c r="AC383" s="1333"/>
      <c r="AD383" s="1333"/>
      <c r="AE383" s="1333"/>
      <c r="AF383" s="1333"/>
      <c r="AG383" s="1333"/>
      <c r="AH383" s="1333"/>
      <c r="AI383" s="1333"/>
      <c r="AJ383" s="1333"/>
    </row>
    <row r="384" spans="1:49" x14ac:dyDescent="0.25">
      <c r="A384" s="1407" t="str">
        <f>IF(COUNTIF('04 - 95% CD'!D384:G384,"Y")&gt;0,"Y",IF(COUNTIF('04 - 95% CD'!D384:G384,"N"),"N",""))</f>
        <v/>
      </c>
      <c r="B384" s="125"/>
      <c r="C384" s="944"/>
      <c r="D384" s="321"/>
      <c r="E384" s="321"/>
      <c r="F384" s="321"/>
      <c r="G384" s="294"/>
      <c r="H384" s="296"/>
      <c r="I384" s="146"/>
      <c r="J384" s="578" t="str">
        <f>IF('C-Design&amp;Const'!AI384="","",'C-Design&amp;Const'!AI384)</f>
        <v/>
      </c>
      <c r="K384" s="285" t="str">
        <f>IF((COUNTIF(D384:G384,"Y")=COUNTIF('04 - 95% CD'!A384,"Y")),"match","no 95% match")</f>
        <v>match</v>
      </c>
      <c r="L384" s="1410" t="str">
        <f t="shared" si="19"/>
        <v/>
      </c>
      <c r="M384" s="1333"/>
      <c r="N384" s="1333"/>
      <c r="O384" s="1333"/>
      <c r="P384" s="1333"/>
      <c r="Q384" s="1333"/>
      <c r="R384" s="1453"/>
      <c r="S384" s="1364"/>
      <c r="T384" s="1284"/>
      <c r="U384" s="1333"/>
      <c r="V384" s="1333"/>
      <c r="W384" s="1333"/>
      <c r="X384" s="1333"/>
      <c r="Y384" s="1333"/>
      <c r="Z384" s="1333"/>
      <c r="AA384" s="1333"/>
      <c r="AB384" s="1333"/>
      <c r="AC384" s="1333"/>
      <c r="AD384" s="1333"/>
      <c r="AE384" s="1333"/>
      <c r="AF384" s="1333"/>
      <c r="AG384" s="1333"/>
      <c r="AH384" s="1333"/>
      <c r="AI384" s="1333"/>
      <c r="AJ384" s="1333"/>
    </row>
    <row r="385" spans="1:50" s="181" customFormat="1" ht="18.75" x14ac:dyDescent="0.25">
      <c r="A385" s="1501" t="str">
        <f>IF(COUNTIF('04 - 95% CD'!D385:G385,"Y")&gt;0,"Y",IF(COUNTIF('04 - 95% CD'!D385:G385,"N"),"N",""))</f>
        <v>N</v>
      </c>
      <c r="B385" s="177"/>
      <c r="C385" s="944"/>
      <c r="D385" s="559" t="str">
        <f>IF('C-Design&amp;Const'!$Q385="","",'C-Design&amp;Const'!$Q385)</f>
        <v>N</v>
      </c>
      <c r="E385" s="234"/>
      <c r="F385" s="235"/>
      <c r="G385" s="291" t="str">
        <f>IF('C-Design&amp;Const'!Y385="","",'C-Design&amp;Const'!Y385)</f>
        <v>08a.</v>
      </c>
      <c r="H385" s="290" t="str">
        <f>CONCATENATE('C-Design&amp;Const'!Z385,IF(D385="N"," Not Used In This Construction Phase",J385))</f>
        <v>Design Presentation Not Used In This Construction Phase</v>
      </c>
      <c r="I385" s="146"/>
      <c r="J385" s="578" t="str">
        <f>IF('C-Design&amp;Const'!AI385="","",'C-Design&amp;Const'!AI385)</f>
        <v/>
      </c>
      <c r="K385" s="285" t="str">
        <f>IF((COUNTIF(D385:G385,"Y")=COUNTIF('04 - 95% CD'!A385,"Y")),"match","no 95% match")</f>
        <v>match</v>
      </c>
      <c r="L385" s="1410" t="str">
        <f t="shared" si="19"/>
        <v/>
      </c>
      <c r="M385" s="1382"/>
      <c r="N385" s="1382"/>
      <c r="O385" s="1382"/>
      <c r="P385" s="1382"/>
      <c r="Q385" s="1382"/>
      <c r="R385" s="1447"/>
      <c r="S385" s="1448"/>
      <c r="T385" s="1274"/>
      <c r="U385" s="1382"/>
      <c r="V385" s="1382"/>
      <c r="W385" s="1382"/>
      <c r="X385" s="1382"/>
      <c r="Y385" s="1382"/>
      <c r="Z385" s="1382"/>
      <c r="AA385" s="1382"/>
      <c r="AB385" s="1382"/>
      <c r="AC385" s="1382"/>
      <c r="AD385" s="1382"/>
      <c r="AE385" s="1382"/>
      <c r="AF385" s="1382"/>
      <c r="AG385" s="1382"/>
      <c r="AH385" s="1382"/>
      <c r="AI385" s="1382"/>
      <c r="AJ385" s="1382"/>
      <c r="AX385" s="30"/>
    </row>
    <row r="386" spans="1:50" s="30" customFormat="1" hidden="1" x14ac:dyDescent="0.25">
      <c r="A386" s="1407" t="str">
        <f>IF(COUNTIF('04 - 95% CD'!D386:G386,"Y")&gt;0,"Y",IF(COUNTIF('04 - 95% CD'!D386:G386,"N"),"N",""))</f>
        <v>N</v>
      </c>
      <c r="B386" s="191"/>
      <c r="C386" s="944"/>
      <c r="D386" s="321"/>
      <c r="E386" s="559" t="s">
        <v>38</v>
      </c>
      <c r="F386" s="560"/>
      <c r="G386" s="558"/>
      <c r="H386" s="410" t="str">
        <f>CONCATENATE(IF(F386="N","PLACEHOLDER ROW - ",""),'C-Design&amp;Const'!Z386,IF(F386="N","",J386))</f>
        <v xml:space="preserve">Overall Campus Map next to zoomed in aerial image map </v>
      </c>
      <c r="I386" s="146"/>
      <c r="J386" s="578" t="str">
        <f>IF('C-Design&amp;Const'!AI386="","",'C-Design&amp;Const'!AI386)</f>
        <v/>
      </c>
      <c r="K386" s="285" t="str">
        <f>IF((COUNTIF(D386:G386,"Y")=COUNTIF('04 - 95% CD'!A386,"Y")),"match","no 95% match")</f>
        <v>match</v>
      </c>
      <c r="L386" s="1410" t="str">
        <f t="shared" si="19"/>
        <v/>
      </c>
      <c r="M386" s="1382"/>
      <c r="N386" s="1382"/>
      <c r="O386" s="1382"/>
      <c r="P386" s="1382"/>
      <c r="Q386" s="1382"/>
      <c r="R386" s="1490"/>
      <c r="S386" s="1274"/>
      <c r="T386" s="1274"/>
      <c r="U386" s="1382"/>
      <c r="V386" s="1382"/>
      <c r="W386" s="1382"/>
      <c r="X386" s="1382"/>
      <c r="Y386" s="1382"/>
      <c r="Z386" s="1382"/>
      <c r="AA386" s="1382"/>
      <c r="AB386" s="1382"/>
      <c r="AC386" s="1382"/>
      <c r="AD386" s="1382"/>
      <c r="AE386" s="1382"/>
      <c r="AF386" s="1382"/>
      <c r="AG386" s="1382"/>
      <c r="AH386" s="1382"/>
      <c r="AI386" s="1382"/>
      <c r="AJ386" s="1382"/>
      <c r="AK386" s="181"/>
      <c r="AL386" s="181"/>
      <c r="AM386" s="181"/>
      <c r="AN386" s="181"/>
      <c r="AO386" s="181"/>
      <c r="AP386" s="181"/>
      <c r="AQ386" s="181"/>
      <c r="AR386" s="181"/>
      <c r="AS386" s="181"/>
      <c r="AT386" s="181"/>
      <c r="AU386" s="181"/>
      <c r="AV386" s="181"/>
      <c r="AW386" s="181"/>
    </row>
    <row r="387" spans="1:50" s="30" customFormat="1" hidden="1" x14ac:dyDescent="0.25">
      <c r="A387" s="1407" t="str">
        <f>IF(COUNTIF('04 - 95% CD'!D387:G387,"Y")&gt;0,"Y",IF(COUNTIF('04 - 95% CD'!D387:G387,"N"),"N",""))</f>
        <v>N</v>
      </c>
      <c r="B387" s="191"/>
      <c r="C387" s="944"/>
      <c r="D387" s="321"/>
      <c r="E387" s="559" t="s">
        <v>38</v>
      </c>
      <c r="F387" s="560"/>
      <c r="G387" s="558"/>
      <c r="H387" s="410" t="str">
        <f>CONCATENATE(IF(F387="N","PLACEHOLDER ROW - ",""),'C-Design&amp;Const'!Z387,IF(F387="N","",J387))</f>
        <v>Building Footprint on Master Plan</v>
      </c>
      <c r="I387" s="146"/>
      <c r="J387" s="578" t="str">
        <f>IF('C-Design&amp;Const'!AI387="","",'C-Design&amp;Const'!AI387)</f>
        <v/>
      </c>
      <c r="K387" s="285" t="str">
        <f>IF((COUNTIF(D387:G387,"Y")=COUNTIF('04 - 95% CD'!A387,"Y")),"match","no 95% match")</f>
        <v>match</v>
      </c>
      <c r="L387" s="1410" t="str">
        <f t="shared" si="19"/>
        <v/>
      </c>
      <c r="M387" s="1382"/>
      <c r="N387" s="1382"/>
      <c r="O387" s="1382"/>
      <c r="P387" s="1382"/>
      <c r="Q387" s="1382"/>
      <c r="R387" s="1490"/>
      <c r="S387" s="1274"/>
      <c r="T387" s="1274"/>
      <c r="U387" s="1382"/>
      <c r="V387" s="1382"/>
      <c r="W387" s="1382"/>
      <c r="X387" s="1382"/>
      <c r="Y387" s="1382"/>
      <c r="Z387" s="1382"/>
      <c r="AA387" s="1382"/>
      <c r="AB387" s="1382"/>
      <c r="AC387" s="1382"/>
      <c r="AD387" s="1382"/>
      <c r="AE387" s="1382"/>
      <c r="AF387" s="1382"/>
      <c r="AG387" s="1382"/>
      <c r="AH387" s="1382"/>
      <c r="AI387" s="1382"/>
      <c r="AJ387" s="1382"/>
      <c r="AK387" s="181"/>
      <c r="AL387" s="181"/>
      <c r="AM387" s="181"/>
      <c r="AN387" s="181"/>
      <c r="AO387" s="181"/>
      <c r="AP387" s="181"/>
      <c r="AQ387" s="181"/>
      <c r="AR387" s="181"/>
      <c r="AS387" s="181"/>
      <c r="AT387" s="181"/>
      <c r="AU387" s="181"/>
      <c r="AV387" s="181"/>
      <c r="AW387" s="181"/>
    </row>
    <row r="388" spans="1:50" s="30" customFormat="1" hidden="1" x14ac:dyDescent="0.25">
      <c r="A388" s="1407" t="str">
        <f>IF(COUNTIF('04 - 95% CD'!D388:G388,"Y")&gt;0,"Y",IF(COUNTIF('04 - 95% CD'!D388:G388,"N"),"N",""))</f>
        <v>N</v>
      </c>
      <c r="B388" s="191"/>
      <c r="C388" s="944"/>
      <c r="D388" s="321"/>
      <c r="E388" s="559" t="s">
        <v>38</v>
      </c>
      <c r="F388" s="560"/>
      <c r="G388" s="558"/>
      <c r="H388" s="410" t="str">
        <f>CONCATENATE(IF(F388="N","PLACEHOLDER ROW - ",""),'C-Design&amp;Const'!Z388,IF(F388="N","",J388))</f>
        <v>**Bullet Points of Major Project Goals &amp; Objectives, New GSF, Renovated GSF, Demolished GSF</v>
      </c>
      <c r="I388" s="146"/>
      <c r="J388" s="578" t="str">
        <f>IF('C-Design&amp;Const'!AI388="","",'C-Design&amp;Const'!AI388)</f>
        <v/>
      </c>
      <c r="K388" s="285" t="str">
        <f>IF((COUNTIF(D388:G388,"Y")=COUNTIF('04 - 95% CD'!A388,"Y")),"match","no 95% match")</f>
        <v>match</v>
      </c>
      <c r="L388" s="1410" t="str">
        <f t="shared" si="19"/>
        <v/>
      </c>
      <c r="M388" s="1382"/>
      <c r="N388" s="1382"/>
      <c r="O388" s="1382"/>
      <c r="P388" s="1382"/>
      <c r="Q388" s="1382"/>
      <c r="R388" s="1490"/>
      <c r="S388" s="1274"/>
      <c r="T388" s="1274"/>
      <c r="U388" s="1382"/>
      <c r="V388" s="1382"/>
      <c r="W388" s="1382"/>
      <c r="X388" s="1382"/>
      <c r="Y388" s="1382"/>
      <c r="Z388" s="1382"/>
      <c r="AA388" s="1382"/>
      <c r="AB388" s="1382"/>
      <c r="AC388" s="1382"/>
      <c r="AD388" s="1382"/>
      <c r="AE388" s="1382"/>
      <c r="AF388" s="1382"/>
      <c r="AG388" s="1382"/>
      <c r="AH388" s="1382"/>
      <c r="AI388" s="1382"/>
      <c r="AJ388" s="1382"/>
      <c r="AK388" s="181"/>
      <c r="AL388" s="181"/>
      <c r="AM388" s="181"/>
      <c r="AN388" s="181"/>
      <c r="AO388" s="181"/>
      <c r="AP388" s="181"/>
      <c r="AQ388" s="181"/>
      <c r="AR388" s="181"/>
      <c r="AS388" s="181"/>
      <c r="AT388" s="181"/>
      <c r="AU388" s="181"/>
      <c r="AV388" s="181"/>
      <c r="AW388" s="181"/>
    </row>
    <row r="389" spans="1:50" s="30" customFormat="1" hidden="1" x14ac:dyDescent="0.25">
      <c r="A389" s="1407" t="str">
        <f>IF(COUNTIF('04 - 95% CD'!D389:G389,"Y")&gt;0,"Y",IF(COUNTIF('04 - 95% CD'!D389:G389,"N"),"N",""))</f>
        <v>N</v>
      </c>
      <c r="B389" s="191"/>
      <c r="C389" s="944"/>
      <c r="D389" s="321"/>
      <c r="E389" s="559" t="s">
        <v>38</v>
      </c>
      <c r="F389" s="560"/>
      <c r="G389" s="558"/>
      <c r="H389" s="410" t="str">
        <f>CONCATENATE(IF(F389="N","PLACEHOLDER ROW - ",""),'C-Design&amp;Const'!Z389,IF(F389="N","",J389))</f>
        <v>**Overall Construction Budget, Construction Begin &amp; End</v>
      </c>
      <c r="I389" s="146"/>
      <c r="J389" s="578" t="str">
        <f>IF('C-Design&amp;Const'!AI389="","",'C-Design&amp;Const'!AI389)</f>
        <v/>
      </c>
      <c r="K389" s="285" t="str">
        <f>IF((COUNTIF(D389:G389,"Y")=COUNTIF('04 - 95% CD'!A389,"Y")),"match","no 95% match")</f>
        <v>match</v>
      </c>
      <c r="L389" s="1410" t="str">
        <f t="shared" si="19"/>
        <v/>
      </c>
      <c r="M389" s="1382"/>
      <c r="N389" s="1382"/>
      <c r="O389" s="1382"/>
      <c r="P389" s="1382"/>
      <c r="Q389" s="1382"/>
      <c r="R389" s="1490"/>
      <c r="S389" s="1274"/>
      <c r="T389" s="1274"/>
      <c r="U389" s="1382"/>
      <c r="V389" s="1382"/>
      <c r="W389" s="1382"/>
      <c r="X389" s="1382"/>
      <c r="Y389" s="1382"/>
      <c r="Z389" s="1382"/>
      <c r="AA389" s="1382"/>
      <c r="AB389" s="1382"/>
      <c r="AC389" s="1382"/>
      <c r="AD389" s="1382"/>
      <c r="AE389" s="1382"/>
      <c r="AF389" s="1382"/>
      <c r="AG389" s="1382"/>
      <c r="AH389" s="1382"/>
      <c r="AI389" s="1382"/>
      <c r="AJ389" s="1382"/>
      <c r="AK389" s="181"/>
      <c r="AL389" s="181"/>
      <c r="AM389" s="181"/>
      <c r="AN389" s="181"/>
      <c r="AO389" s="181"/>
      <c r="AP389" s="181"/>
      <c r="AQ389" s="181"/>
      <c r="AR389" s="181"/>
      <c r="AS389" s="181"/>
      <c r="AT389" s="181"/>
      <c r="AU389" s="181"/>
      <c r="AV389" s="181"/>
      <c r="AW389" s="181"/>
    </row>
    <row r="390" spans="1:50" s="30" customFormat="1" hidden="1" x14ac:dyDescent="0.25">
      <c r="A390" s="1407" t="str">
        <f>IF(COUNTIF('04 - 95% CD'!D390:G390,"Y")&gt;0,"Y",IF(COUNTIF('04 - 95% CD'!D390:G390,"N"),"N",""))</f>
        <v>N</v>
      </c>
      <c r="B390" s="191"/>
      <c r="C390" s="944"/>
      <c r="D390" s="321"/>
      <c r="E390" s="559" t="s">
        <v>38</v>
      </c>
      <c r="F390" s="560"/>
      <c r="G390" s="558"/>
      <c r="H390" s="410" t="str">
        <f>CONCATENATE(IF(F390="N","PLACEHOLDER ROW - ",""),'C-Design&amp;Const'!Z390,IF(F390="N","",J390))</f>
        <v>**LEED Goal (and LEED Project Checklist - for client presentations only)</v>
      </c>
      <c r="I390" s="146"/>
      <c r="J390" s="578" t="str">
        <f>IF('C-Design&amp;Const'!AI390="","",'C-Design&amp;Const'!AI390)</f>
        <v/>
      </c>
      <c r="K390" s="285" t="str">
        <f>IF((COUNTIF(D390:G390,"Y")=COUNTIF('04 - 95% CD'!A390,"Y")),"match","no 95% match")</f>
        <v>match</v>
      </c>
      <c r="L390" s="1410" t="str">
        <f t="shared" si="19"/>
        <v/>
      </c>
      <c r="M390" s="1382"/>
      <c r="N390" s="1382"/>
      <c r="O390" s="1382"/>
      <c r="P390" s="1382"/>
      <c r="Q390" s="1382"/>
      <c r="R390" s="1490"/>
      <c r="S390" s="1274"/>
      <c r="T390" s="1274"/>
      <c r="U390" s="1382"/>
      <c r="V390" s="1382"/>
      <c r="W390" s="1382"/>
      <c r="X390" s="1382"/>
      <c r="Y390" s="1382"/>
      <c r="Z390" s="1382"/>
      <c r="AA390" s="1382"/>
      <c r="AB390" s="1382"/>
      <c r="AC390" s="1382"/>
      <c r="AD390" s="1382"/>
      <c r="AE390" s="1382"/>
      <c r="AF390" s="1382"/>
      <c r="AG390" s="1382"/>
      <c r="AH390" s="1382"/>
      <c r="AI390" s="1382"/>
      <c r="AJ390" s="1382"/>
      <c r="AK390" s="181"/>
      <c r="AL390" s="181"/>
      <c r="AM390" s="181"/>
      <c r="AN390" s="181"/>
      <c r="AO390" s="181"/>
      <c r="AP390" s="181"/>
      <c r="AQ390" s="181"/>
      <c r="AR390" s="181"/>
      <c r="AS390" s="181"/>
      <c r="AT390" s="181"/>
      <c r="AU390" s="181"/>
      <c r="AV390" s="181"/>
      <c r="AW390" s="181"/>
    </row>
    <row r="391" spans="1:50" s="30" customFormat="1" hidden="1" x14ac:dyDescent="0.25">
      <c r="A391" s="1407" t="str">
        <f>IF(COUNTIF('04 - 95% CD'!D391:G391,"Y")&gt;0,"Y",IF(COUNTIF('04 - 95% CD'!D391:G391,"N"),"N",""))</f>
        <v>N</v>
      </c>
      <c r="B391" s="191"/>
      <c r="C391" s="944"/>
      <c r="D391" s="321"/>
      <c r="E391" s="559" t="s">
        <v>38</v>
      </c>
      <c r="F391" s="560"/>
      <c r="G391" s="558"/>
      <c r="H391" s="410" t="str">
        <f>CONCATENATE(IF(F391="N","PLACEHOLDER ROW - ",""),'C-Design&amp;Const'!Z391,IF(F391="N","",J391))</f>
        <v>Proposed combined Site / Landscape Plan</v>
      </c>
      <c r="I391" s="146"/>
      <c r="J391" s="578" t="str">
        <f>IF('C-Design&amp;Const'!AI391="","",'C-Design&amp;Const'!AI391)</f>
        <v/>
      </c>
      <c r="K391" s="285" t="str">
        <f>IF((COUNTIF(D391:G391,"Y")=COUNTIF('04 - 95% CD'!A391,"Y")),"match","no 95% match")</f>
        <v>match</v>
      </c>
      <c r="L391" s="1410" t="str">
        <f t="shared" si="19"/>
        <v/>
      </c>
      <c r="M391" s="1382"/>
      <c r="N391" s="1382"/>
      <c r="O391" s="1382"/>
      <c r="P391" s="1382"/>
      <c r="Q391" s="1382"/>
      <c r="R391" s="1490"/>
      <c r="S391" s="1274"/>
      <c r="T391" s="1274"/>
      <c r="U391" s="1382"/>
      <c r="V391" s="1382"/>
      <c r="W391" s="1382"/>
      <c r="X391" s="1382"/>
      <c r="Y391" s="1382"/>
      <c r="Z391" s="1382"/>
      <c r="AA391" s="1382"/>
      <c r="AB391" s="1382"/>
      <c r="AC391" s="1382"/>
      <c r="AD391" s="1382"/>
      <c r="AE391" s="1382"/>
      <c r="AF391" s="1382"/>
      <c r="AG391" s="1382"/>
      <c r="AH391" s="1382"/>
      <c r="AI391" s="1382"/>
      <c r="AJ391" s="1382"/>
      <c r="AK391" s="181"/>
      <c r="AL391" s="181"/>
      <c r="AM391" s="181"/>
      <c r="AN391" s="181"/>
      <c r="AO391" s="181"/>
      <c r="AP391" s="181"/>
      <c r="AQ391" s="181"/>
      <c r="AR391" s="181"/>
      <c r="AS391" s="181"/>
      <c r="AT391" s="181"/>
      <c r="AU391" s="181"/>
      <c r="AV391" s="181"/>
      <c r="AW391" s="181"/>
    </row>
    <row r="392" spans="1:50" s="30" customFormat="1" hidden="1" x14ac:dyDescent="0.25">
      <c r="A392" s="1407" t="str">
        <f>IF(COUNTIF('04 - 95% CD'!D392:G392,"Y")&gt;0,"Y",IF(COUNTIF('04 - 95% CD'!D392:G392,"N"),"N",""))</f>
        <v>N</v>
      </c>
      <c r="B392" s="191"/>
      <c r="C392" s="944"/>
      <c r="D392" s="321"/>
      <c r="E392" s="559" t="s">
        <v>38</v>
      </c>
      <c r="F392" s="560"/>
      <c r="G392" s="558"/>
      <c r="H392" s="410" t="str">
        <f>CONCATENATE(IF(F392="N","PLACEHOLDER ROW - ",""),'C-Design&amp;Const'!Z392,IF(F392="N","",J392))</f>
        <v xml:space="preserve">Massing or Renderings of </v>
      </c>
      <c r="I392" s="146"/>
      <c r="J392" s="578" t="str">
        <f>IF('C-Design&amp;Const'!AI395="","",'C-Design&amp;Const'!AI395)</f>
        <v/>
      </c>
      <c r="K392" s="285" t="str">
        <f>IF((COUNTIF(D392:G392,"Y")=COUNTIF('04 - 95% CD'!A392,"Y")),"match","no 95% match")</f>
        <v>match</v>
      </c>
      <c r="L392" s="1410" t="str">
        <f t="shared" si="19"/>
        <v/>
      </c>
      <c r="M392" s="1382"/>
      <c r="N392" s="1382"/>
      <c r="O392" s="1382"/>
      <c r="P392" s="1382"/>
      <c r="Q392" s="1382"/>
      <c r="R392" s="1490"/>
      <c r="S392" s="1274"/>
      <c r="T392" s="1274"/>
      <c r="U392" s="1382"/>
      <c r="V392" s="1382"/>
      <c r="W392" s="1382"/>
      <c r="X392" s="1382"/>
      <c r="Y392" s="1382"/>
      <c r="Z392" s="1382"/>
      <c r="AA392" s="1382"/>
      <c r="AB392" s="1382"/>
      <c r="AC392" s="1382"/>
      <c r="AD392" s="1382"/>
      <c r="AE392" s="1382"/>
      <c r="AF392" s="1382"/>
      <c r="AG392" s="1382"/>
      <c r="AH392" s="1382"/>
      <c r="AI392" s="1382"/>
      <c r="AJ392" s="1382"/>
      <c r="AK392" s="181"/>
      <c r="AL392" s="181"/>
      <c r="AM392" s="181"/>
      <c r="AN392" s="181"/>
      <c r="AO392" s="181"/>
      <c r="AP392" s="181"/>
      <c r="AQ392" s="181"/>
      <c r="AR392" s="181"/>
      <c r="AS392" s="181"/>
      <c r="AT392" s="181"/>
      <c r="AU392" s="181"/>
      <c r="AV392" s="181"/>
      <c r="AW392" s="181"/>
    </row>
    <row r="393" spans="1:50" s="30" customFormat="1" hidden="1" x14ac:dyDescent="0.25">
      <c r="A393" s="1407" t="str">
        <f>IF(COUNTIF('04 - 95% CD'!D393:G393,"Y")&gt;0,"Y",IF(COUNTIF('04 - 95% CD'!D393:G393,"N"),"N",""))</f>
        <v>N</v>
      </c>
      <c r="B393" s="191"/>
      <c r="C393" s="944"/>
      <c r="D393" s="321"/>
      <c r="E393" s="559" t="s">
        <v>38</v>
      </c>
      <c r="F393" s="560"/>
      <c r="G393" s="558"/>
      <c r="H393" s="410" t="str">
        <f>CONCATENATE(IF(F393="N","PLACEHOLDER ROW - ",""),'C-Design&amp;Const'!Z393,IF(F393="N","",J393))</f>
        <v>All Exterior Elevations with materials identified</v>
      </c>
      <c r="I393" s="146"/>
      <c r="J393" s="578" t="str">
        <f>IF('C-Design&amp;Const'!AI392="","",'C-Design&amp;Const'!AI392)</f>
        <v/>
      </c>
      <c r="K393" s="285" t="str">
        <f>IF((COUNTIF(D393:G393,"Y")=COUNTIF('04 - 95% CD'!A393,"Y")),"match","no 95% match")</f>
        <v>match</v>
      </c>
      <c r="L393" s="1410" t="str">
        <f t="shared" si="19"/>
        <v/>
      </c>
      <c r="M393" s="1382"/>
      <c r="N393" s="1382"/>
      <c r="O393" s="1382"/>
      <c r="P393" s="1382"/>
      <c r="Q393" s="1382"/>
      <c r="R393" s="1490"/>
      <c r="S393" s="1274"/>
      <c r="T393" s="1274"/>
      <c r="U393" s="1382"/>
      <c r="V393" s="1382"/>
      <c r="W393" s="1382"/>
      <c r="X393" s="1382"/>
      <c r="Y393" s="1382"/>
      <c r="Z393" s="1382"/>
      <c r="AA393" s="1382"/>
      <c r="AB393" s="1382"/>
      <c r="AC393" s="1382"/>
      <c r="AD393" s="1382"/>
      <c r="AE393" s="1382"/>
      <c r="AF393" s="1382"/>
      <c r="AG393" s="1382"/>
      <c r="AH393" s="1382"/>
      <c r="AI393" s="1382"/>
      <c r="AJ393" s="1382"/>
      <c r="AK393" s="181"/>
      <c r="AL393" s="181"/>
      <c r="AM393" s="181"/>
      <c r="AN393" s="181"/>
      <c r="AO393" s="181"/>
      <c r="AP393" s="181"/>
      <c r="AQ393" s="181"/>
      <c r="AR393" s="181"/>
      <c r="AS393" s="181"/>
      <c r="AT393" s="181"/>
      <c r="AU393" s="181"/>
      <c r="AV393" s="181"/>
      <c r="AW393" s="181"/>
    </row>
    <row r="394" spans="1:50" s="30" customFormat="1" ht="28.5" hidden="1" x14ac:dyDescent="0.25">
      <c r="A394" s="1407" t="str">
        <f>IF(COUNTIF('04 - 95% CD'!D394:G394,"Y")&gt;0,"Y",IF(COUNTIF('04 - 95% CD'!D394:G394,"N"),"N",""))</f>
        <v>N</v>
      </c>
      <c r="B394" s="191"/>
      <c r="C394" s="944"/>
      <c r="D394" s="321"/>
      <c r="E394" s="559" t="s">
        <v>38</v>
      </c>
      <c r="F394" s="560"/>
      <c r="G394" s="558"/>
      <c r="H394" s="410" t="str">
        <f>CONCATENATE(IF(F394="N","PLACEHOLDER ROW - ",""),'C-Design&amp;Const'!Z394,IF(F394="N","",J394))</f>
        <v>All major public spaces (entrances, galleries, auditoriums, lecture halls, etc…) with materials identified</v>
      </c>
      <c r="I394" s="146"/>
      <c r="J394" s="578" t="str">
        <f>IF('C-Design&amp;Const'!AI393="","",'C-Design&amp;Const'!AI393)</f>
        <v/>
      </c>
      <c r="K394" s="285" t="str">
        <f>IF((COUNTIF(D394:G394,"Y")=COUNTIF('04 - 95% CD'!A394,"Y")),"match","no 95% match")</f>
        <v>match</v>
      </c>
      <c r="L394" s="1410" t="str">
        <f t="shared" si="19"/>
        <v/>
      </c>
      <c r="M394" s="1382"/>
      <c r="N394" s="1382"/>
      <c r="O394" s="1382"/>
      <c r="P394" s="1382"/>
      <c r="Q394" s="1382"/>
      <c r="R394" s="1490"/>
      <c r="S394" s="1274"/>
      <c r="T394" s="1274"/>
      <c r="U394" s="1382"/>
      <c r="V394" s="1382"/>
      <c r="W394" s="1382"/>
      <c r="X394" s="1382"/>
      <c r="Y394" s="1382"/>
      <c r="Z394" s="1382"/>
      <c r="AA394" s="1382"/>
      <c r="AB394" s="1382"/>
      <c r="AC394" s="1382"/>
      <c r="AD394" s="1382"/>
      <c r="AE394" s="1382"/>
      <c r="AF394" s="1382"/>
      <c r="AG394" s="1382"/>
      <c r="AH394" s="1382"/>
      <c r="AI394" s="1382"/>
      <c r="AJ394" s="1382"/>
      <c r="AK394" s="181"/>
      <c r="AL394" s="181"/>
      <c r="AM394" s="181"/>
      <c r="AN394" s="181"/>
      <c r="AO394" s="181"/>
      <c r="AP394" s="181"/>
      <c r="AQ394" s="181"/>
      <c r="AR394" s="181"/>
      <c r="AS394" s="181"/>
      <c r="AT394" s="181"/>
      <c r="AU394" s="181"/>
      <c r="AV394" s="181"/>
      <c r="AW394" s="181"/>
    </row>
    <row r="395" spans="1:50" s="30" customFormat="1" hidden="1" x14ac:dyDescent="0.25">
      <c r="A395" s="1407" t="str">
        <f>IF(COUNTIF('04 - 95% CD'!D395:G395,"Y")&gt;0,"Y",IF(COUNTIF('04 - 95% CD'!D395:G395,"N"),"N",""))</f>
        <v>N</v>
      </c>
      <c r="B395" s="191"/>
      <c r="C395" s="944"/>
      <c r="D395" s="321"/>
      <c r="E395" s="559" t="s">
        <v>38</v>
      </c>
      <c r="F395" s="560"/>
      <c r="G395" s="558"/>
      <c r="H395" s="410" t="str">
        <f>CONCATENATE(IF(F395="N","PLACEHOLDER ROW - ",""),'C-Design&amp;Const'!Z395,IF(F395="N","",J395))</f>
        <v>Stacked Floor Plans with space types show by color (include key)</v>
      </c>
      <c r="I395" s="146"/>
      <c r="J395" s="578" t="str">
        <f>IF('C-Design&amp;Const'!AI394="","",'C-Design&amp;Const'!AI394)</f>
        <v/>
      </c>
      <c r="K395" s="285" t="str">
        <f>IF((COUNTIF(D395:G395,"Y")=COUNTIF('04 - 95% CD'!A395,"Y")),"match","no 95% match")</f>
        <v>match</v>
      </c>
      <c r="L395" s="1410" t="str">
        <f t="shared" si="19"/>
        <v/>
      </c>
      <c r="M395" s="1382"/>
      <c r="N395" s="1382"/>
      <c r="O395" s="1382"/>
      <c r="P395" s="1382"/>
      <c r="Q395" s="1382"/>
      <c r="R395" s="1490"/>
      <c r="S395" s="1274"/>
      <c r="T395" s="1274"/>
      <c r="U395" s="1382"/>
      <c r="V395" s="1382"/>
      <c r="W395" s="1382"/>
      <c r="X395" s="1382"/>
      <c r="Y395" s="1382"/>
      <c r="Z395" s="1382"/>
      <c r="AA395" s="1382"/>
      <c r="AB395" s="1382"/>
      <c r="AC395" s="1382"/>
      <c r="AD395" s="1382"/>
      <c r="AE395" s="1382"/>
      <c r="AF395" s="1382"/>
      <c r="AG395" s="1382"/>
      <c r="AH395" s="1382"/>
      <c r="AI395" s="1382"/>
      <c r="AJ395" s="1382"/>
      <c r="AK395" s="181"/>
      <c r="AL395" s="181"/>
      <c r="AM395" s="181"/>
      <c r="AN395" s="181"/>
      <c r="AO395" s="181"/>
      <c r="AP395" s="181"/>
      <c r="AQ395" s="181"/>
      <c r="AR395" s="181"/>
      <c r="AS395" s="181"/>
      <c r="AT395" s="181"/>
      <c r="AU395" s="181"/>
      <c r="AV395" s="181"/>
      <c r="AW395" s="181"/>
    </row>
    <row r="396" spans="1:50" s="30" customFormat="1" hidden="1" x14ac:dyDescent="0.25">
      <c r="A396" s="1407" t="str">
        <f>IF(COUNTIF('04 - 95% CD'!D396:G396,"Y")&gt;0,"Y",IF(COUNTIF('04 - 95% CD'!D396:G396,"N"),"N",""))</f>
        <v>N</v>
      </c>
      <c r="B396" s="191"/>
      <c r="C396" s="944"/>
      <c r="D396" s="321"/>
      <c r="E396" s="559" t="s">
        <v>38</v>
      </c>
      <c r="F396" s="560"/>
      <c r="G396" s="558"/>
      <c r="H396" s="410" t="str">
        <f>CONCATENATE(IF(F396="N","PLACEHOLDER ROW - ",""),'C-Design&amp;Const'!Z396,IF(F396="N","",J396))</f>
        <v>Simple full building sections showing relative spaces and framing from floor to floor.</v>
      </c>
      <c r="I396" s="146"/>
      <c r="J396" s="578" t="str">
        <f>IF('C-Design&amp;Const'!AI396="","",'C-Design&amp;Const'!AI396)</f>
        <v/>
      </c>
      <c r="K396" s="285" t="str">
        <f>IF((COUNTIF(D396:G396,"Y")=COUNTIF('04 - 95% CD'!A396,"Y")),"match","no 95% match")</f>
        <v>match</v>
      </c>
      <c r="L396" s="1410" t="str">
        <f t="shared" si="19"/>
        <v/>
      </c>
      <c r="M396" s="1382"/>
      <c r="N396" s="1382"/>
      <c r="O396" s="1382"/>
      <c r="P396" s="1382"/>
      <c r="Q396" s="1382"/>
      <c r="R396" s="1490"/>
      <c r="S396" s="1274"/>
      <c r="T396" s="1274"/>
      <c r="U396" s="1382"/>
      <c r="V396" s="1382"/>
      <c r="W396" s="1382"/>
      <c r="X396" s="1382"/>
      <c r="Y396" s="1382"/>
      <c r="Z396" s="1382"/>
      <c r="AA396" s="1382"/>
      <c r="AB396" s="1382"/>
      <c r="AC396" s="1382"/>
      <c r="AD396" s="1382"/>
      <c r="AE396" s="1382"/>
      <c r="AF396" s="1382"/>
      <c r="AG396" s="1382"/>
      <c r="AH396" s="1382"/>
      <c r="AI396" s="1382"/>
      <c r="AJ396" s="1382"/>
      <c r="AK396" s="181"/>
      <c r="AL396" s="181"/>
      <c r="AM396" s="181"/>
      <c r="AN396" s="181"/>
      <c r="AO396" s="181"/>
      <c r="AP396" s="181"/>
      <c r="AQ396" s="181"/>
      <c r="AR396" s="181"/>
      <c r="AS396" s="181"/>
      <c r="AT396" s="181"/>
      <c r="AU396" s="181"/>
      <c r="AV396" s="181"/>
      <c r="AW396" s="181"/>
    </row>
    <row r="397" spans="1:50" s="30" customFormat="1" hidden="1" x14ac:dyDescent="0.25">
      <c r="A397" s="1407" t="str">
        <f>IF(COUNTIF('04 - 95% CD'!D397:G397,"Y")&gt;0,"Y",IF(COUNTIF('04 - 95% CD'!D397:G397,"N"),"N",""))</f>
        <v>N</v>
      </c>
      <c r="B397" s="191"/>
      <c r="C397" s="944"/>
      <c r="D397" s="321"/>
      <c r="E397" s="559" t="s">
        <v>38</v>
      </c>
      <c r="F397" s="560"/>
      <c r="G397" s="558"/>
      <c r="H397" s="410" t="str">
        <f>CONCATENATE(IF(F397="N","PLACEHOLDER ROW - ",""),'C-Design&amp;Const'!Z397,IF(F397="N","",J397))</f>
        <v>General Air Handling Unit Fan Maps (verify with PM if necessary)</v>
      </c>
      <c r="I397" s="146"/>
      <c r="J397" s="578" t="str">
        <f>IF('C-Design&amp;Const'!AI397="","",'C-Design&amp;Const'!AI397)</f>
        <v/>
      </c>
      <c r="K397" s="285" t="str">
        <f>IF((COUNTIF(D397:G397,"Y")=COUNTIF('04 - 95% CD'!A397,"Y")),"match","no 95% match")</f>
        <v>match</v>
      </c>
      <c r="L397" s="1410" t="str">
        <f t="shared" si="19"/>
        <v/>
      </c>
      <c r="M397" s="1382"/>
      <c r="N397" s="1382"/>
      <c r="O397" s="1382"/>
      <c r="P397" s="1382"/>
      <c r="Q397" s="1382"/>
      <c r="R397" s="1490"/>
      <c r="S397" s="1274"/>
      <c r="T397" s="1274"/>
      <c r="U397" s="1382"/>
      <c r="V397" s="1382"/>
      <c r="W397" s="1382"/>
      <c r="X397" s="1382"/>
      <c r="Y397" s="1382"/>
      <c r="Z397" s="1382"/>
      <c r="AA397" s="1382"/>
      <c r="AB397" s="1382"/>
      <c r="AC397" s="1382"/>
      <c r="AD397" s="1382"/>
      <c r="AE397" s="1382"/>
      <c r="AF397" s="1382"/>
      <c r="AG397" s="1382"/>
      <c r="AH397" s="1382"/>
      <c r="AI397" s="1382"/>
      <c r="AJ397" s="1382"/>
      <c r="AK397" s="181"/>
      <c r="AL397" s="181"/>
      <c r="AM397" s="181"/>
      <c r="AN397" s="181"/>
      <c r="AO397" s="181"/>
      <c r="AP397" s="181"/>
      <c r="AQ397" s="181"/>
      <c r="AR397" s="181"/>
      <c r="AS397" s="181"/>
      <c r="AT397" s="181"/>
      <c r="AU397" s="181"/>
      <c r="AV397" s="181"/>
      <c r="AW397" s="181"/>
    </row>
    <row r="398" spans="1:50" s="30" customFormat="1" hidden="1" x14ac:dyDescent="0.25">
      <c r="A398" s="1407" t="str">
        <f>IF(COUNTIF('04 - 95% CD'!D398:G398,"Y")&gt;0,"Y",IF(COUNTIF('04 - 95% CD'!D398:G398,"N"),"N",""))</f>
        <v>N</v>
      </c>
      <c r="B398" s="191"/>
      <c r="C398" s="944"/>
      <c r="D398" s="321"/>
      <c r="E398" s="559" t="s">
        <v>38</v>
      </c>
      <c r="F398" s="560"/>
      <c r="G398" s="558"/>
      <c r="H398" s="410" t="str">
        <f>CONCATENATE(IF(F398="N","PLACEHOLDER ROW - ",""),'C-Design&amp;Const'!Z398,IF(F398="N","",J398))</f>
        <v>Design Concept(s) Considered and Design Concept(s) Selected w/ Construction Budget</v>
      </c>
      <c r="I398" s="146"/>
      <c r="J398" s="578" t="str">
        <f>IF('C-Design&amp;Const'!AI398="","",'C-Design&amp;Const'!AI398)</f>
        <v/>
      </c>
      <c r="K398" s="285" t="str">
        <f>IF((COUNTIF(D398:G398,"Y")=COUNTIF('04 - 95% CD'!A398,"Y")),"match","no 95% match")</f>
        <v>match</v>
      </c>
      <c r="L398" s="1410" t="str">
        <f t="shared" si="19"/>
        <v/>
      </c>
      <c r="M398" s="1382"/>
      <c r="N398" s="1382"/>
      <c r="O398" s="1382"/>
      <c r="P398" s="1382"/>
      <c r="Q398" s="1382"/>
      <c r="R398" s="1490"/>
      <c r="S398" s="1274"/>
      <c r="T398" s="1274"/>
      <c r="U398" s="1382"/>
      <c r="V398" s="1382"/>
      <c r="W398" s="1382"/>
      <c r="X398" s="1382"/>
      <c r="Y398" s="1382"/>
      <c r="Z398" s="1382"/>
      <c r="AA398" s="1382"/>
      <c r="AB398" s="1382"/>
      <c r="AC398" s="1382"/>
      <c r="AD398" s="1382"/>
      <c r="AE398" s="1382"/>
      <c r="AF398" s="1382"/>
      <c r="AG398" s="1382"/>
      <c r="AH398" s="1382"/>
      <c r="AI398" s="1382"/>
      <c r="AJ398" s="1382"/>
      <c r="AK398" s="181"/>
      <c r="AL398" s="181"/>
      <c r="AM398" s="181"/>
      <c r="AN398" s="181"/>
      <c r="AO398" s="181"/>
      <c r="AP398" s="181"/>
      <c r="AQ398" s="181"/>
      <c r="AR398" s="181"/>
      <c r="AS398" s="181"/>
      <c r="AT398" s="181"/>
      <c r="AU398" s="181"/>
      <c r="AV398" s="181"/>
      <c r="AW398" s="181"/>
    </row>
    <row r="399" spans="1:50" s="30" customFormat="1" hidden="1" x14ac:dyDescent="0.25">
      <c r="A399" s="1407" t="str">
        <f>IF(COUNTIF('04 - 95% CD'!D399:G399,"Y")&gt;0,"Y",IF(COUNTIF('04 - 95% CD'!D399:G399,"N"),"N",""))</f>
        <v>N</v>
      </c>
      <c r="B399" s="191"/>
      <c r="C399" s="944"/>
      <c r="D399" s="321"/>
      <c r="E399" s="559" t="s">
        <v>38</v>
      </c>
      <c r="F399" s="560"/>
      <c r="G399" s="558"/>
      <c r="H399" s="410" t="str">
        <f>CONCATENATE(IF(F399="N","PLACEHOLDER ROW - ",""),'C-Design&amp;Const'!Z399,IF(F399="N","",J399))</f>
        <v>CUSTOM ROW - OPTIONAL CLIENT ITEM</v>
      </c>
      <c r="I399" s="146"/>
      <c r="J399" s="578" t="str">
        <f>IF('C-Design&amp;Const'!AI399="","",'C-Design&amp;Const'!AI399)</f>
        <v/>
      </c>
      <c r="K399" s="285" t="str">
        <f>IF((COUNTIF(D399:G399,"Y")=COUNTIF('04 - 95% CD'!A399,"Y")),"match","no 95% match")</f>
        <v>match</v>
      </c>
      <c r="L399" s="1410" t="str">
        <f t="shared" si="19"/>
        <v/>
      </c>
      <c r="M399" s="1382"/>
      <c r="N399" s="1382"/>
      <c r="O399" s="1382"/>
      <c r="P399" s="1382"/>
      <c r="Q399" s="1382"/>
      <c r="R399" s="1490"/>
      <c r="S399" s="1274"/>
      <c r="T399" s="1274"/>
      <c r="U399" s="1382"/>
      <c r="V399" s="1382"/>
      <c r="W399" s="1382"/>
      <c r="X399" s="1382"/>
      <c r="Y399" s="1382"/>
      <c r="Z399" s="1382"/>
      <c r="AA399" s="1382"/>
      <c r="AB399" s="1382"/>
      <c r="AC399" s="1382"/>
      <c r="AD399" s="1382"/>
      <c r="AE399" s="1382"/>
      <c r="AF399" s="1382"/>
      <c r="AG399" s="1382"/>
      <c r="AH399" s="1382"/>
      <c r="AI399" s="1382"/>
      <c r="AJ399" s="1382"/>
      <c r="AK399" s="181"/>
      <c r="AL399" s="181"/>
      <c r="AM399" s="181"/>
      <c r="AN399" s="181"/>
      <c r="AO399" s="181"/>
      <c r="AP399" s="181"/>
      <c r="AQ399" s="181"/>
      <c r="AR399" s="181"/>
      <c r="AS399" s="181"/>
      <c r="AT399" s="181"/>
      <c r="AU399" s="181"/>
      <c r="AV399" s="181"/>
      <c r="AW399" s="181"/>
    </row>
    <row r="400" spans="1:50" s="30" customFormat="1" hidden="1" x14ac:dyDescent="0.25">
      <c r="A400" s="1407" t="str">
        <f>IF(COUNTIF('04 - 95% CD'!D400:G400,"Y")&gt;0,"Y",IF(COUNTIF('04 - 95% CD'!D400:G400,"N"),"N",""))</f>
        <v>N</v>
      </c>
      <c r="B400" s="191"/>
      <c r="C400" s="944"/>
      <c r="D400" s="321"/>
      <c r="E400" s="559" t="s">
        <v>38</v>
      </c>
      <c r="F400" s="560"/>
      <c r="G400" s="558"/>
      <c r="H400" s="410" t="str">
        <f>CONCATENATE(IF(F400="N","PLACEHOLDER ROW - ",""),'C-Design&amp;Const'!Z400,IF(F400="N","",J400))</f>
        <v>CUSTOM ROW - OPTIONAL CLIENT ITEM</v>
      </c>
      <c r="I400" s="146"/>
      <c r="J400" s="578" t="str">
        <f>IF('C-Design&amp;Const'!AI400="","",'C-Design&amp;Const'!AI400)</f>
        <v/>
      </c>
      <c r="K400" s="285" t="str">
        <f>IF((COUNTIF(D400:G400,"Y")=COUNTIF('04 - 95% CD'!A400,"Y")),"match","no 95% match")</f>
        <v>match</v>
      </c>
      <c r="L400" s="1410" t="str">
        <f t="shared" si="19"/>
        <v/>
      </c>
      <c r="M400" s="1382"/>
      <c r="N400" s="1382"/>
      <c r="O400" s="1382"/>
      <c r="P400" s="1382"/>
      <c r="Q400" s="1382"/>
      <c r="R400" s="1490"/>
      <c r="S400" s="1274"/>
      <c r="T400" s="1274"/>
      <c r="U400" s="1382"/>
      <c r="V400" s="1382"/>
      <c r="W400" s="1382"/>
      <c r="X400" s="1382"/>
      <c r="Y400" s="1382"/>
      <c r="Z400" s="1382"/>
      <c r="AA400" s="1382"/>
      <c r="AB400" s="1382"/>
      <c r="AC400" s="1382"/>
      <c r="AD400" s="1382"/>
      <c r="AE400" s="1382"/>
      <c r="AF400" s="1382"/>
      <c r="AG400" s="1382"/>
      <c r="AH400" s="1382"/>
      <c r="AI400" s="1382"/>
      <c r="AJ400" s="1382"/>
      <c r="AK400" s="181"/>
      <c r="AL400" s="181"/>
      <c r="AM400" s="181"/>
      <c r="AN400" s="181"/>
      <c r="AO400" s="181"/>
      <c r="AP400" s="181"/>
      <c r="AQ400" s="181"/>
      <c r="AR400" s="181"/>
      <c r="AS400" s="181"/>
      <c r="AT400" s="181"/>
      <c r="AU400" s="181"/>
      <c r="AV400" s="181"/>
      <c r="AW400" s="181"/>
    </row>
    <row r="401" spans="1:49" s="30" customFormat="1" hidden="1" x14ac:dyDescent="0.25">
      <c r="A401" s="1407" t="str">
        <f>IF(COUNTIF('04 - 95% CD'!D401:G401,"Y")&gt;0,"Y",IF(COUNTIF('04 - 95% CD'!D401:G401,"N"),"N",""))</f>
        <v>N</v>
      </c>
      <c r="B401" s="191"/>
      <c r="C401" s="944"/>
      <c r="D401" s="321"/>
      <c r="E401" s="559" t="s">
        <v>38</v>
      </c>
      <c r="F401" s="560"/>
      <c r="G401" s="558"/>
      <c r="H401" s="410" t="str">
        <f>CONCATENATE(IF(F401="N","PLACEHOLDER ROW - ",""),'C-Design&amp;Const'!Z401,IF(F401="N","",J401))</f>
        <v>CUSTOM ROW - OPTIONAL CLIENT ITEM</v>
      </c>
      <c r="I401" s="146"/>
      <c r="J401" s="578" t="str">
        <f>IF('C-Design&amp;Const'!AI401="","",'C-Design&amp;Const'!AI401)</f>
        <v/>
      </c>
      <c r="K401" s="285" t="str">
        <f>IF((COUNTIF(D401:G401,"Y")=COUNTIF('04 - 95% CD'!A401,"Y")),"match","no 95% match")</f>
        <v>match</v>
      </c>
      <c r="L401" s="1410" t="str">
        <f t="shared" ref="L401:L464" si="23">CONCATENATE(IF(ISNUMBER(SEARCH("Placeholder",H401))=TRUE,"&lt;---PM/Planner may hide PLACEHOLDER ROW",""))</f>
        <v/>
      </c>
      <c r="M401" s="1382"/>
      <c r="N401" s="1382"/>
      <c r="O401" s="1382"/>
      <c r="P401" s="1382"/>
      <c r="Q401" s="1382"/>
      <c r="R401" s="1490"/>
      <c r="S401" s="1274"/>
      <c r="T401" s="1274"/>
      <c r="U401" s="1382"/>
      <c r="V401" s="1382"/>
      <c r="W401" s="1382"/>
      <c r="X401" s="1382"/>
      <c r="Y401" s="1382"/>
      <c r="Z401" s="1382"/>
      <c r="AA401" s="1382"/>
      <c r="AB401" s="1382"/>
      <c r="AC401" s="1382"/>
      <c r="AD401" s="1382"/>
      <c r="AE401" s="1382"/>
      <c r="AF401" s="1382"/>
      <c r="AG401" s="1382"/>
      <c r="AH401" s="1382"/>
      <c r="AI401" s="1382"/>
      <c r="AJ401" s="1382"/>
      <c r="AK401" s="181"/>
      <c r="AL401" s="181"/>
      <c r="AM401" s="181"/>
      <c r="AN401" s="181"/>
      <c r="AO401" s="181"/>
      <c r="AP401" s="181"/>
      <c r="AQ401" s="181"/>
      <c r="AR401" s="181"/>
      <c r="AS401" s="181"/>
      <c r="AT401" s="181"/>
      <c r="AU401" s="181"/>
      <c r="AV401" s="181"/>
      <c r="AW401" s="181"/>
    </row>
    <row r="402" spans="1:49" s="30" customFormat="1" hidden="1" x14ac:dyDescent="0.25">
      <c r="A402" s="1407" t="str">
        <f>IF(COUNTIF('04 - 95% CD'!D402:G402,"Y")&gt;0,"Y",IF(COUNTIF('04 - 95% CD'!D402:G402,"N"),"N",""))</f>
        <v/>
      </c>
      <c r="B402" s="191"/>
      <c r="C402" s="944"/>
      <c r="D402" s="321"/>
      <c r="E402" s="559" t="s">
        <v>38</v>
      </c>
      <c r="F402" s="560"/>
      <c r="G402" s="558"/>
      <c r="H402" s="410" t="str">
        <f>CONCATENATE(IF(F402="N","PLACEHOLDER ROW - ",""),'C-Design&amp;Const'!Z402,IF(F402="N","",J402))</f>
        <v>**  - For ARC, combine these items on to 1 or 2 total slides.</v>
      </c>
      <c r="I402" s="146"/>
      <c r="J402" s="578" t="str">
        <f>IF('C-Design&amp;Const'!AI402="","",'C-Design&amp;Const'!AI402)</f>
        <v/>
      </c>
      <c r="K402" s="285" t="str">
        <f>IF((COUNTIF(D402:G402,"Y")=COUNTIF('04 - 95% CD'!A402,"Y")),"match","no 95% match")</f>
        <v>match</v>
      </c>
      <c r="L402" s="1410" t="str">
        <f t="shared" si="23"/>
        <v/>
      </c>
      <c r="M402" s="1382"/>
      <c r="N402" s="1382"/>
      <c r="O402" s="1382"/>
      <c r="P402" s="1382"/>
      <c r="Q402" s="1382"/>
      <c r="R402" s="1490"/>
      <c r="S402" s="1274"/>
      <c r="T402" s="1274"/>
      <c r="U402" s="1382"/>
      <c r="V402" s="1382"/>
      <c r="W402" s="1382"/>
      <c r="X402" s="1382"/>
      <c r="Y402" s="1382"/>
      <c r="Z402" s="1382"/>
      <c r="AA402" s="1382"/>
      <c r="AB402" s="1382"/>
      <c r="AC402" s="1382"/>
      <c r="AD402" s="1382"/>
      <c r="AE402" s="1382"/>
      <c r="AF402" s="1382"/>
      <c r="AG402" s="1382"/>
      <c r="AH402" s="1382"/>
      <c r="AI402" s="1382"/>
      <c r="AJ402" s="1382"/>
      <c r="AK402" s="181"/>
      <c r="AL402" s="181"/>
      <c r="AM402" s="181"/>
      <c r="AN402" s="181"/>
      <c r="AO402" s="181"/>
      <c r="AP402" s="181"/>
      <c r="AQ402" s="181"/>
      <c r="AR402" s="181"/>
      <c r="AS402" s="181"/>
      <c r="AT402" s="181"/>
      <c r="AU402" s="181"/>
      <c r="AV402" s="181"/>
      <c r="AW402" s="181"/>
    </row>
    <row r="403" spans="1:49" s="30" customFormat="1" hidden="1" x14ac:dyDescent="0.25">
      <c r="A403" s="1407" t="str">
        <f>IF(COUNTIF('04 - 95% CD'!D403:G403,"Y")&gt;0,"Y",IF(COUNTIF('04 - 95% CD'!D403:G403,"N"),"N",""))</f>
        <v>N</v>
      </c>
      <c r="B403" s="191"/>
      <c r="C403" s="944"/>
      <c r="D403" s="321"/>
      <c r="E403" s="559" t="s">
        <v>38</v>
      </c>
      <c r="F403" s="560"/>
      <c r="G403" s="558"/>
      <c r="H403" s="410" t="str">
        <f>CONCATENATE(IF(F403="N","PLACEHOLDER ROW - ",""),'C-Design&amp;Const'!Z403,IF(F403="N","",J403))</f>
        <v>Design Presentation - Chancellor's Design Advisory Committee (CDAC)</v>
      </c>
      <c r="I403" s="146"/>
      <c r="J403" s="578" t="str">
        <f>IF('C-Design&amp;Const'!AI403="","",'C-Design&amp;Const'!AI403)</f>
        <v/>
      </c>
      <c r="K403" s="285" t="str">
        <f>IF((COUNTIF(D403:G403,"Y")=COUNTIF('04 - 95% CD'!A403,"Y")),"match","no 95% match")</f>
        <v>match</v>
      </c>
      <c r="L403" s="1410" t="str">
        <f t="shared" si="23"/>
        <v/>
      </c>
      <c r="M403" s="1382"/>
      <c r="N403" s="1382"/>
      <c r="O403" s="1382"/>
      <c r="P403" s="1382"/>
      <c r="Q403" s="1382"/>
      <c r="R403" s="1490"/>
      <c r="S403" s="1274"/>
      <c r="T403" s="1274"/>
      <c r="U403" s="1382"/>
      <c r="V403" s="1382"/>
      <c r="W403" s="1382"/>
      <c r="X403" s="1382"/>
      <c r="Y403" s="1382"/>
      <c r="Z403" s="1382"/>
      <c r="AA403" s="1382"/>
      <c r="AB403" s="1382"/>
      <c r="AC403" s="1382"/>
      <c r="AD403" s="1382"/>
      <c r="AE403" s="1382"/>
      <c r="AF403" s="1382"/>
      <c r="AG403" s="1382"/>
      <c r="AH403" s="1382"/>
      <c r="AI403" s="1382"/>
      <c r="AJ403" s="1382"/>
      <c r="AK403" s="181"/>
      <c r="AL403" s="181"/>
      <c r="AM403" s="181"/>
      <c r="AN403" s="181"/>
      <c r="AO403" s="181"/>
      <c r="AP403" s="181"/>
      <c r="AQ403" s="181"/>
      <c r="AR403" s="181"/>
      <c r="AS403" s="181"/>
      <c r="AT403" s="181"/>
      <c r="AU403" s="181"/>
      <c r="AV403" s="181"/>
      <c r="AW403" s="181"/>
    </row>
    <row r="404" spans="1:49" s="30" customFormat="1" hidden="1" x14ac:dyDescent="0.25">
      <c r="A404" s="1407" t="str">
        <f>IF(COUNTIF('04 - 95% CD'!D404:G404,"Y")&gt;0,"Y",IF(COUNTIF('04 - 95% CD'!D404:G404,"N"),"N",""))</f>
        <v>N</v>
      </c>
      <c r="B404" s="191"/>
      <c r="C404" s="944"/>
      <c r="D404" s="321"/>
      <c r="E404" s="559" t="s">
        <v>38</v>
      </c>
      <c r="F404" s="560"/>
      <c r="G404" s="558"/>
      <c r="H404" s="410" t="str">
        <f>CONCATENATE(IF(F404="N","PLACEHOLDER ROW - ",""),'C-Design&amp;Const'!Z404,IF(F404="N","",J404))</f>
        <v xml:space="preserve">Overall Campus Map next to zoomed in aerial image map </v>
      </c>
      <c r="I404" s="146"/>
      <c r="J404" s="578" t="str">
        <f>IF('C-Design&amp;Const'!AI404="","",'C-Design&amp;Const'!AI404)</f>
        <v/>
      </c>
      <c r="K404" s="285" t="str">
        <f>IF((COUNTIF(D404:G404,"Y")=COUNTIF('04 - 95% CD'!A404,"Y")),"match","no 95% match")</f>
        <v>match</v>
      </c>
      <c r="L404" s="1410" t="str">
        <f t="shared" si="23"/>
        <v/>
      </c>
      <c r="M404" s="1382"/>
      <c r="N404" s="1382"/>
      <c r="O404" s="1382"/>
      <c r="P404" s="1382"/>
      <c r="Q404" s="1382"/>
      <c r="R404" s="1490"/>
      <c r="S404" s="1274"/>
      <c r="T404" s="1274"/>
      <c r="U404" s="1382"/>
      <c r="V404" s="1382"/>
      <c r="W404" s="1382"/>
      <c r="X404" s="1382"/>
      <c r="Y404" s="1382"/>
      <c r="Z404" s="1382"/>
      <c r="AA404" s="1382"/>
      <c r="AB404" s="1382"/>
      <c r="AC404" s="1382"/>
      <c r="AD404" s="1382"/>
      <c r="AE404" s="1382"/>
      <c r="AF404" s="1382"/>
      <c r="AG404" s="1382"/>
      <c r="AH404" s="1382"/>
      <c r="AI404" s="1382"/>
      <c r="AJ404" s="1382"/>
      <c r="AK404" s="181"/>
      <c r="AL404" s="181"/>
      <c r="AM404" s="181"/>
      <c r="AN404" s="181"/>
      <c r="AO404" s="181"/>
      <c r="AP404" s="181"/>
      <c r="AQ404" s="181"/>
      <c r="AR404" s="181"/>
      <c r="AS404" s="181"/>
      <c r="AT404" s="181"/>
      <c r="AU404" s="181"/>
      <c r="AV404" s="181"/>
      <c r="AW404" s="181"/>
    </row>
    <row r="405" spans="1:49" s="30" customFormat="1" hidden="1" x14ac:dyDescent="0.25">
      <c r="A405" s="1407" t="str">
        <f>IF(COUNTIF('04 - 95% CD'!D405:G405,"Y")&gt;0,"Y",IF(COUNTIF('04 - 95% CD'!D405:G405,"N"),"N",""))</f>
        <v>N</v>
      </c>
      <c r="B405" s="191"/>
      <c r="C405" s="944"/>
      <c r="D405" s="321"/>
      <c r="E405" s="559" t="s">
        <v>38</v>
      </c>
      <c r="F405" s="560"/>
      <c r="G405" s="558"/>
      <c r="H405" s="410" t="str">
        <f>CONCATENATE(IF(F405="N","PLACEHOLDER ROW - ",""),'C-Design&amp;Const'!Z405,IF(F405="N","",J405))</f>
        <v>Building Footprint on Master Plan</v>
      </c>
      <c r="I405" s="146"/>
      <c r="J405" s="578" t="str">
        <f>IF('C-Design&amp;Const'!AI405="","",'C-Design&amp;Const'!AI405)</f>
        <v/>
      </c>
      <c r="K405" s="285" t="str">
        <f>IF((COUNTIF(D405:G405,"Y")=COUNTIF('04 - 95% CD'!A405,"Y")),"match","no 95% match")</f>
        <v>match</v>
      </c>
      <c r="L405" s="1410" t="str">
        <f t="shared" si="23"/>
        <v/>
      </c>
      <c r="M405" s="1382"/>
      <c r="N405" s="1382"/>
      <c r="O405" s="1382"/>
      <c r="P405" s="1382"/>
      <c r="Q405" s="1382"/>
      <c r="R405" s="1490"/>
      <c r="S405" s="1274"/>
      <c r="T405" s="1274"/>
      <c r="U405" s="1382"/>
      <c r="V405" s="1382"/>
      <c r="W405" s="1382"/>
      <c r="X405" s="1382"/>
      <c r="Y405" s="1382"/>
      <c r="Z405" s="1382"/>
      <c r="AA405" s="1382"/>
      <c r="AB405" s="1382"/>
      <c r="AC405" s="1382"/>
      <c r="AD405" s="1382"/>
      <c r="AE405" s="1382"/>
      <c r="AF405" s="1382"/>
      <c r="AG405" s="1382"/>
      <c r="AH405" s="1382"/>
      <c r="AI405" s="1382"/>
      <c r="AJ405" s="1382"/>
      <c r="AK405" s="181"/>
      <c r="AL405" s="181"/>
      <c r="AM405" s="181"/>
      <c r="AN405" s="181"/>
      <c r="AO405" s="181"/>
      <c r="AP405" s="181"/>
      <c r="AQ405" s="181"/>
      <c r="AR405" s="181"/>
      <c r="AS405" s="181"/>
      <c r="AT405" s="181"/>
      <c r="AU405" s="181"/>
      <c r="AV405" s="181"/>
      <c r="AW405" s="181"/>
    </row>
    <row r="406" spans="1:49" s="30" customFormat="1" hidden="1" x14ac:dyDescent="0.25">
      <c r="A406" s="1407" t="str">
        <f>IF(COUNTIF('04 - 95% CD'!D406:G406,"Y")&gt;0,"Y",IF(COUNTIF('04 - 95% CD'!D406:G406,"N"),"N",""))</f>
        <v>N</v>
      </c>
      <c r="B406" s="191"/>
      <c r="C406" s="944"/>
      <c r="D406" s="321"/>
      <c r="E406" s="559" t="s">
        <v>38</v>
      </c>
      <c r="F406" s="560"/>
      <c r="G406" s="558"/>
      <c r="H406" s="410" t="str">
        <f>CONCATENATE(IF(F406="N","PLACEHOLDER ROW - ",""),'C-Design&amp;Const'!Z406,IF(F406="N","",J406))</f>
        <v>**Bullet Points of Major Project Goals &amp; Objectives, New GSF, Renovated GSF, Demolished GSF</v>
      </c>
      <c r="I406" s="146"/>
      <c r="J406" s="578" t="str">
        <f>IF('C-Design&amp;Const'!AI406="","",'C-Design&amp;Const'!AI406)</f>
        <v/>
      </c>
      <c r="K406" s="285" t="str">
        <f>IF((COUNTIF(D406:G406,"Y")=COUNTIF('04 - 95% CD'!A406,"Y")),"match","no 95% match")</f>
        <v>match</v>
      </c>
      <c r="L406" s="1410" t="str">
        <f t="shared" si="23"/>
        <v/>
      </c>
      <c r="M406" s="1382"/>
      <c r="N406" s="1382"/>
      <c r="O406" s="1382"/>
      <c r="P406" s="1382"/>
      <c r="Q406" s="1382"/>
      <c r="R406" s="1490"/>
      <c r="S406" s="1274"/>
      <c r="T406" s="1274"/>
      <c r="U406" s="1382"/>
      <c r="V406" s="1382"/>
      <c r="W406" s="1382"/>
      <c r="X406" s="1382"/>
      <c r="Y406" s="1382"/>
      <c r="Z406" s="1382"/>
      <c r="AA406" s="1382"/>
      <c r="AB406" s="1382"/>
      <c r="AC406" s="1382"/>
      <c r="AD406" s="1382"/>
      <c r="AE406" s="1382"/>
      <c r="AF406" s="1382"/>
      <c r="AG406" s="1382"/>
      <c r="AH406" s="1382"/>
      <c r="AI406" s="1382"/>
      <c r="AJ406" s="1382"/>
      <c r="AK406" s="181"/>
      <c r="AL406" s="181"/>
      <c r="AM406" s="181"/>
      <c r="AN406" s="181"/>
      <c r="AO406" s="181"/>
      <c r="AP406" s="181"/>
      <c r="AQ406" s="181"/>
      <c r="AR406" s="181"/>
      <c r="AS406" s="181"/>
      <c r="AT406" s="181"/>
      <c r="AU406" s="181"/>
      <c r="AV406" s="181"/>
      <c r="AW406" s="181"/>
    </row>
    <row r="407" spans="1:49" s="30" customFormat="1" hidden="1" x14ac:dyDescent="0.25">
      <c r="A407" s="1407" t="str">
        <f>IF(COUNTIF('04 - 95% CD'!D407:G407,"Y")&gt;0,"Y",IF(COUNTIF('04 - 95% CD'!D407:G407,"N"),"N",""))</f>
        <v>N</v>
      </c>
      <c r="B407" s="191"/>
      <c r="C407" s="944"/>
      <c r="D407" s="321"/>
      <c r="E407" s="559" t="s">
        <v>38</v>
      </c>
      <c r="F407" s="560"/>
      <c r="G407" s="558"/>
      <c r="H407" s="410" t="str">
        <f>CONCATENATE(IF(F407="N","PLACEHOLDER ROW - ",""),'C-Design&amp;Const'!Z407,IF(F407="N","",J407))</f>
        <v>**Overall Construction Budget, Construction Begin &amp; End</v>
      </c>
      <c r="I407" s="146"/>
      <c r="J407" s="578" t="str">
        <f>IF('C-Design&amp;Const'!AI407="","",'C-Design&amp;Const'!AI407)</f>
        <v/>
      </c>
      <c r="K407" s="285" t="str">
        <f>IF((COUNTIF(D407:G407,"Y")=COUNTIF('04 - 95% CD'!A407,"Y")),"match","no 95% match")</f>
        <v>match</v>
      </c>
      <c r="L407" s="1410" t="str">
        <f t="shared" si="23"/>
        <v/>
      </c>
      <c r="M407" s="1382"/>
      <c r="N407" s="1382"/>
      <c r="O407" s="1382"/>
      <c r="P407" s="1382"/>
      <c r="Q407" s="1382"/>
      <c r="R407" s="1490"/>
      <c r="S407" s="1274"/>
      <c r="T407" s="1274"/>
      <c r="U407" s="1382"/>
      <c r="V407" s="1382"/>
      <c r="W407" s="1382"/>
      <c r="X407" s="1382"/>
      <c r="Y407" s="1382"/>
      <c r="Z407" s="1382"/>
      <c r="AA407" s="1382"/>
      <c r="AB407" s="1382"/>
      <c r="AC407" s="1382"/>
      <c r="AD407" s="1382"/>
      <c r="AE407" s="1382"/>
      <c r="AF407" s="1382"/>
      <c r="AG407" s="1382"/>
      <c r="AH407" s="1382"/>
      <c r="AI407" s="1382"/>
      <c r="AJ407" s="1382"/>
      <c r="AK407" s="181"/>
      <c r="AL407" s="181"/>
      <c r="AM407" s="181"/>
      <c r="AN407" s="181"/>
      <c r="AO407" s="181"/>
      <c r="AP407" s="181"/>
      <c r="AQ407" s="181"/>
      <c r="AR407" s="181"/>
      <c r="AS407" s="181"/>
      <c r="AT407" s="181"/>
      <c r="AU407" s="181"/>
      <c r="AV407" s="181"/>
      <c r="AW407" s="181"/>
    </row>
    <row r="408" spans="1:49" s="30" customFormat="1" hidden="1" x14ac:dyDescent="0.25">
      <c r="A408" s="1407" t="str">
        <f>IF(COUNTIF('04 - 95% CD'!D408:G408,"Y")&gt;0,"Y",IF(COUNTIF('04 - 95% CD'!D408:G408,"N"),"N",""))</f>
        <v>N</v>
      </c>
      <c r="B408" s="191"/>
      <c r="C408" s="944"/>
      <c r="D408" s="321"/>
      <c r="E408" s="559" t="s">
        <v>38</v>
      </c>
      <c r="F408" s="560"/>
      <c r="G408" s="558"/>
      <c r="H408" s="410" t="str">
        <f>CONCATENATE(IF(F408="N","PLACEHOLDER ROW - ",""),'C-Design&amp;Const'!Z408,IF(F408="N","",J408))</f>
        <v>**LEED Goal and highlights of LEED measures</v>
      </c>
      <c r="I408" s="146"/>
      <c r="J408" s="578" t="str">
        <f>IF('C-Design&amp;Const'!AI408="","",'C-Design&amp;Const'!AI408)</f>
        <v/>
      </c>
      <c r="K408" s="285" t="str">
        <f>IF((COUNTIF(D408:G408,"Y")=COUNTIF('04 - 95% CD'!A408,"Y")),"match","no 95% match")</f>
        <v>match</v>
      </c>
      <c r="L408" s="1410" t="str">
        <f t="shared" si="23"/>
        <v/>
      </c>
      <c r="M408" s="1382"/>
      <c r="N408" s="1382"/>
      <c r="O408" s="1382"/>
      <c r="P408" s="1382"/>
      <c r="Q408" s="1382"/>
      <c r="R408" s="1490"/>
      <c r="S408" s="1274"/>
      <c r="T408" s="1274"/>
      <c r="U408" s="1382"/>
      <c r="V408" s="1382"/>
      <c r="W408" s="1382"/>
      <c r="X408" s="1382"/>
      <c r="Y408" s="1382"/>
      <c r="Z408" s="1382"/>
      <c r="AA408" s="1382"/>
      <c r="AB408" s="1382"/>
      <c r="AC408" s="1382"/>
      <c r="AD408" s="1382"/>
      <c r="AE408" s="1382"/>
      <c r="AF408" s="1382"/>
      <c r="AG408" s="1382"/>
      <c r="AH408" s="1382"/>
      <c r="AI408" s="1382"/>
      <c r="AJ408" s="1382"/>
      <c r="AK408" s="181"/>
      <c r="AL408" s="181"/>
      <c r="AM408" s="181"/>
      <c r="AN408" s="181"/>
      <c r="AO408" s="181"/>
      <c r="AP408" s="181"/>
      <c r="AQ408" s="181"/>
      <c r="AR408" s="181"/>
      <c r="AS408" s="181"/>
      <c r="AT408" s="181"/>
      <c r="AU408" s="181"/>
      <c r="AV408" s="181"/>
      <c r="AW408" s="181"/>
    </row>
    <row r="409" spans="1:49" s="30" customFormat="1" hidden="1" x14ac:dyDescent="0.25">
      <c r="A409" s="1407" t="str">
        <f>IF(COUNTIF('04 - 95% CD'!D409:G409,"Y")&gt;0,"Y",IF(COUNTIF('04 - 95% CD'!D409:G409,"N"),"N",""))</f>
        <v>N</v>
      </c>
      <c r="B409" s="191"/>
      <c r="C409" s="944"/>
      <c r="D409" s="321"/>
      <c r="E409" s="559" t="s">
        <v>38</v>
      </c>
      <c r="F409" s="560"/>
      <c r="G409" s="558"/>
      <c r="H409" s="410" t="str">
        <f>CONCATENATE(IF(F409="N","PLACEHOLDER ROW - ",""),'C-Design&amp;Const'!Z409,IF(F409="N","",J409))</f>
        <v>Proposed combined Site / Landscape Plan</v>
      </c>
      <c r="I409" s="146"/>
      <c r="J409" s="578" t="str">
        <f>IF('C-Design&amp;Const'!AI409="","",'C-Design&amp;Const'!AI409)</f>
        <v/>
      </c>
      <c r="K409" s="285" t="str">
        <f>IF((COUNTIF(D409:G409,"Y")=COUNTIF('04 - 95% CD'!A409,"Y")),"match","no 95% match")</f>
        <v>match</v>
      </c>
      <c r="L409" s="1410" t="str">
        <f t="shared" si="23"/>
        <v/>
      </c>
      <c r="M409" s="1382"/>
      <c r="N409" s="1382"/>
      <c r="O409" s="1382"/>
      <c r="P409" s="1382"/>
      <c r="Q409" s="1382"/>
      <c r="R409" s="1490"/>
      <c r="S409" s="1274"/>
      <c r="T409" s="1274"/>
      <c r="U409" s="1382"/>
      <c r="V409" s="1382"/>
      <c r="W409" s="1382"/>
      <c r="X409" s="1382"/>
      <c r="Y409" s="1382"/>
      <c r="Z409" s="1382"/>
      <c r="AA409" s="1382"/>
      <c r="AB409" s="1382"/>
      <c r="AC409" s="1382"/>
      <c r="AD409" s="1382"/>
      <c r="AE409" s="1382"/>
      <c r="AF409" s="1382"/>
      <c r="AG409" s="1382"/>
      <c r="AH409" s="1382"/>
      <c r="AI409" s="1382"/>
      <c r="AJ409" s="1382"/>
      <c r="AK409" s="181"/>
      <c r="AL409" s="181"/>
      <c r="AM409" s="181"/>
      <c r="AN409" s="181"/>
      <c r="AO409" s="181"/>
      <c r="AP409" s="181"/>
      <c r="AQ409" s="181"/>
      <c r="AR409" s="181"/>
      <c r="AS409" s="181"/>
      <c r="AT409" s="181"/>
      <c r="AU409" s="181"/>
      <c r="AV409" s="181"/>
      <c r="AW409" s="181"/>
    </row>
    <row r="410" spans="1:49" s="30" customFormat="1" hidden="1" x14ac:dyDescent="0.25">
      <c r="A410" s="1407" t="str">
        <f>IF(COUNTIF('04 - 95% CD'!D410:G410,"Y")&gt;0,"Y",IF(COUNTIF('04 - 95% CD'!D410:G410,"N"),"N",""))</f>
        <v>N</v>
      </c>
      <c r="B410" s="191"/>
      <c r="C410" s="944"/>
      <c r="D410" s="321"/>
      <c r="E410" s="559" t="s">
        <v>38</v>
      </c>
      <c r="F410" s="560"/>
      <c r="G410" s="558"/>
      <c r="H410" s="410" t="str">
        <f>CONCATENATE(IF(F410="N","PLACEHOLDER ROW - ",""),'C-Design&amp;Const'!Z410,IF(F410="N","",J410))</f>
        <v xml:space="preserve">Massing or Renderings of </v>
      </c>
      <c r="I410" s="146"/>
      <c r="J410" s="578" t="str">
        <f>IF('C-Design&amp;Const'!AI413="","",'C-Design&amp;Const'!AI413)</f>
        <v/>
      </c>
      <c r="K410" s="285" t="str">
        <f>IF((COUNTIF(D410:G410,"Y")=COUNTIF('04 - 95% CD'!A410,"Y")),"match","no 95% match")</f>
        <v>match</v>
      </c>
      <c r="L410" s="1410" t="str">
        <f t="shared" si="23"/>
        <v/>
      </c>
      <c r="M410" s="1382"/>
      <c r="N410" s="1382"/>
      <c r="O410" s="1382"/>
      <c r="P410" s="1382"/>
      <c r="Q410" s="1382"/>
      <c r="R410" s="1490"/>
      <c r="S410" s="1274"/>
      <c r="T410" s="1274"/>
      <c r="U410" s="1382"/>
      <c r="V410" s="1382"/>
      <c r="W410" s="1382"/>
      <c r="X410" s="1382"/>
      <c r="Y410" s="1382"/>
      <c r="Z410" s="1382"/>
      <c r="AA410" s="1382"/>
      <c r="AB410" s="1382"/>
      <c r="AC410" s="1382"/>
      <c r="AD410" s="1382"/>
      <c r="AE410" s="1382"/>
      <c r="AF410" s="1382"/>
      <c r="AG410" s="1382"/>
      <c r="AH410" s="1382"/>
      <c r="AI410" s="1382"/>
      <c r="AJ410" s="1382"/>
      <c r="AK410" s="181"/>
      <c r="AL410" s="181"/>
      <c r="AM410" s="181"/>
      <c r="AN410" s="181"/>
      <c r="AO410" s="181"/>
      <c r="AP410" s="181"/>
      <c r="AQ410" s="181"/>
      <c r="AR410" s="181"/>
      <c r="AS410" s="181"/>
      <c r="AT410" s="181"/>
      <c r="AU410" s="181"/>
      <c r="AV410" s="181"/>
      <c r="AW410" s="181"/>
    </row>
    <row r="411" spans="1:49" s="30" customFormat="1" hidden="1" x14ac:dyDescent="0.25">
      <c r="A411" s="1407" t="str">
        <f>IF(COUNTIF('04 - 95% CD'!D411:G411,"Y")&gt;0,"Y",IF(COUNTIF('04 - 95% CD'!D411:G411,"N"),"N",""))</f>
        <v>N</v>
      </c>
      <c r="B411" s="191"/>
      <c r="C411" s="944"/>
      <c r="D411" s="321"/>
      <c r="E411" s="559" t="s">
        <v>38</v>
      </c>
      <c r="F411" s="560"/>
      <c r="G411" s="558"/>
      <c r="H411" s="410" t="str">
        <f>CONCATENATE(IF(F411="N","PLACEHOLDER ROW - ",""),'C-Design&amp;Const'!Z411,IF(F411="N","",J411))</f>
        <v>All Exterior Elevations with materials identified</v>
      </c>
      <c r="I411" s="146"/>
      <c r="J411" s="578" t="str">
        <f>IF('C-Design&amp;Const'!AI410="","",'C-Design&amp;Const'!AI410)</f>
        <v/>
      </c>
      <c r="K411" s="285" t="str">
        <f>IF((COUNTIF(D411:G411,"Y")=COUNTIF('04 - 95% CD'!A411,"Y")),"match","no 95% match")</f>
        <v>match</v>
      </c>
      <c r="L411" s="1410" t="str">
        <f t="shared" si="23"/>
        <v/>
      </c>
      <c r="M411" s="1382"/>
      <c r="N411" s="1382"/>
      <c r="O411" s="1382"/>
      <c r="P411" s="1382"/>
      <c r="Q411" s="1382"/>
      <c r="R411" s="1490"/>
      <c r="S411" s="1274"/>
      <c r="T411" s="1274"/>
      <c r="U411" s="1382"/>
      <c r="V411" s="1382"/>
      <c r="W411" s="1382"/>
      <c r="X411" s="1382"/>
      <c r="Y411" s="1382"/>
      <c r="Z411" s="1382"/>
      <c r="AA411" s="1382"/>
      <c r="AB411" s="1382"/>
      <c r="AC411" s="1382"/>
      <c r="AD411" s="1382"/>
      <c r="AE411" s="1382"/>
      <c r="AF411" s="1382"/>
      <c r="AG411" s="1382"/>
      <c r="AH411" s="1382"/>
      <c r="AI411" s="1382"/>
      <c r="AJ411" s="1382"/>
      <c r="AK411" s="181"/>
      <c r="AL411" s="181"/>
      <c r="AM411" s="181"/>
      <c r="AN411" s="181"/>
      <c r="AO411" s="181"/>
      <c r="AP411" s="181"/>
      <c r="AQ411" s="181"/>
      <c r="AR411" s="181"/>
      <c r="AS411" s="181"/>
      <c r="AT411" s="181"/>
      <c r="AU411" s="181"/>
      <c r="AV411" s="181"/>
      <c r="AW411" s="181"/>
    </row>
    <row r="412" spans="1:49" s="30" customFormat="1" ht="28.5" hidden="1" x14ac:dyDescent="0.25">
      <c r="A412" s="1407" t="str">
        <f>IF(COUNTIF('04 - 95% CD'!D412:G412,"Y")&gt;0,"Y",IF(COUNTIF('04 - 95% CD'!D412:G412,"N"),"N",""))</f>
        <v>N</v>
      </c>
      <c r="B412" s="191"/>
      <c r="C412" s="944"/>
      <c r="D412" s="321"/>
      <c r="E412" s="559" t="s">
        <v>38</v>
      </c>
      <c r="F412" s="560"/>
      <c r="G412" s="558"/>
      <c r="H412" s="410" t="str">
        <f>CONCATENATE(IF(F412="N","PLACEHOLDER ROW - ",""),'C-Design&amp;Const'!Z412,IF(F412="N","",J412))</f>
        <v>All major public spaces (entrances, galleries, auditoriums, lecture halls, etc…) with materials identified</v>
      </c>
      <c r="I412" s="146"/>
      <c r="J412" s="578" t="str">
        <f>IF('C-Design&amp;Const'!AI411="","",'C-Design&amp;Const'!AI411)</f>
        <v/>
      </c>
      <c r="K412" s="285" t="str">
        <f>IF((COUNTIF(D412:G412,"Y")=COUNTIF('04 - 95% CD'!A412,"Y")),"match","no 95% match")</f>
        <v>match</v>
      </c>
      <c r="L412" s="1410" t="str">
        <f t="shared" si="23"/>
        <v/>
      </c>
      <c r="M412" s="1382"/>
      <c r="N412" s="1382"/>
      <c r="O412" s="1382"/>
      <c r="P412" s="1382"/>
      <c r="Q412" s="1382"/>
      <c r="R412" s="1490"/>
      <c r="S412" s="1274"/>
      <c r="T412" s="1274"/>
      <c r="U412" s="1382"/>
      <c r="V412" s="1382"/>
      <c r="W412" s="1382"/>
      <c r="X412" s="1382"/>
      <c r="Y412" s="1382"/>
      <c r="Z412" s="1382"/>
      <c r="AA412" s="1382"/>
      <c r="AB412" s="1382"/>
      <c r="AC412" s="1382"/>
      <c r="AD412" s="1382"/>
      <c r="AE412" s="1382"/>
      <c r="AF412" s="1382"/>
      <c r="AG412" s="1382"/>
      <c r="AH412" s="1382"/>
      <c r="AI412" s="1382"/>
      <c r="AJ412" s="1382"/>
      <c r="AK412" s="181"/>
      <c r="AL412" s="181"/>
      <c r="AM412" s="181"/>
      <c r="AN412" s="181"/>
      <c r="AO412" s="181"/>
      <c r="AP412" s="181"/>
      <c r="AQ412" s="181"/>
      <c r="AR412" s="181"/>
      <c r="AS412" s="181"/>
      <c r="AT412" s="181"/>
      <c r="AU412" s="181"/>
      <c r="AV412" s="181"/>
      <c r="AW412" s="181"/>
    </row>
    <row r="413" spans="1:49" s="30" customFormat="1" hidden="1" x14ac:dyDescent="0.25">
      <c r="A413" s="1407" t="str">
        <f>IF(COUNTIF('04 - 95% CD'!D413:G413,"Y")&gt;0,"Y",IF(COUNTIF('04 - 95% CD'!D413:G413,"N"),"N",""))</f>
        <v>N</v>
      </c>
      <c r="B413" s="191"/>
      <c r="C413" s="944"/>
      <c r="D413" s="321"/>
      <c r="E413" s="559" t="s">
        <v>38</v>
      </c>
      <c r="F413" s="560"/>
      <c r="G413" s="558"/>
      <c r="H413" s="410" t="str">
        <f>CONCATENATE(IF(F413="N","PLACEHOLDER ROW - ",""),'C-Design&amp;Const'!Z413,IF(F413="N","",J413))</f>
        <v>Stacked Floor Plans with space types show by color (include key)</v>
      </c>
      <c r="I413" s="146"/>
      <c r="J413" s="578" t="str">
        <f>IF('C-Design&amp;Const'!AI412="","",'C-Design&amp;Const'!AI412)</f>
        <v/>
      </c>
      <c r="K413" s="285" t="str">
        <f>IF((COUNTIF(D413:G413,"Y")=COUNTIF('04 - 95% CD'!A413,"Y")),"match","no 95% match")</f>
        <v>match</v>
      </c>
      <c r="L413" s="1410" t="str">
        <f t="shared" si="23"/>
        <v/>
      </c>
      <c r="M413" s="1382"/>
      <c r="N413" s="1382"/>
      <c r="O413" s="1382"/>
      <c r="P413" s="1382"/>
      <c r="Q413" s="1382"/>
      <c r="R413" s="1490"/>
      <c r="S413" s="1274"/>
      <c r="T413" s="1274"/>
      <c r="U413" s="1382"/>
      <c r="V413" s="1382"/>
      <c r="W413" s="1382"/>
      <c r="X413" s="1382"/>
      <c r="Y413" s="1382"/>
      <c r="Z413" s="1382"/>
      <c r="AA413" s="1382"/>
      <c r="AB413" s="1382"/>
      <c r="AC413" s="1382"/>
      <c r="AD413" s="1382"/>
      <c r="AE413" s="1382"/>
      <c r="AF413" s="1382"/>
      <c r="AG413" s="1382"/>
      <c r="AH413" s="1382"/>
      <c r="AI413" s="1382"/>
      <c r="AJ413" s="1382"/>
      <c r="AK413" s="181"/>
      <c r="AL413" s="181"/>
      <c r="AM413" s="181"/>
      <c r="AN413" s="181"/>
      <c r="AO413" s="181"/>
      <c r="AP413" s="181"/>
      <c r="AQ413" s="181"/>
      <c r="AR413" s="181"/>
      <c r="AS413" s="181"/>
      <c r="AT413" s="181"/>
      <c r="AU413" s="181"/>
      <c r="AV413" s="181"/>
      <c r="AW413" s="181"/>
    </row>
    <row r="414" spans="1:49" s="30" customFormat="1" hidden="1" x14ac:dyDescent="0.25">
      <c r="A414" s="1407" t="str">
        <f>IF(COUNTIF('04 - 95% CD'!D414:G414,"Y")&gt;0,"Y",IF(COUNTIF('04 - 95% CD'!D414:G414,"N"),"N",""))</f>
        <v>N</v>
      </c>
      <c r="B414" s="191"/>
      <c r="C414" s="944"/>
      <c r="D414" s="321"/>
      <c r="E414" s="559" t="s">
        <v>38</v>
      </c>
      <c r="F414" s="560"/>
      <c r="G414" s="558"/>
      <c r="H414" s="410" t="str">
        <f>CONCATENATE(IF(F414="N","PLACEHOLDER ROW - ",""),'C-Design&amp;Const'!Z414,IF(F414="N","",J414))</f>
        <v>Simple full building sections showing relative spaces and framing from floor to floor.</v>
      </c>
      <c r="I414" s="146"/>
      <c r="J414" s="578" t="str">
        <f>IF('C-Design&amp;Const'!AI414="","",'C-Design&amp;Const'!AI414)</f>
        <v/>
      </c>
      <c r="K414" s="285" t="str">
        <f>IF((COUNTIF(D414:G414,"Y")=COUNTIF('04 - 95% CD'!A414,"Y")),"match","no 95% match")</f>
        <v>match</v>
      </c>
      <c r="L414" s="1410" t="str">
        <f t="shared" si="23"/>
        <v/>
      </c>
      <c r="M414" s="1382"/>
      <c r="N414" s="1382"/>
      <c r="O414" s="1382"/>
      <c r="P414" s="1382"/>
      <c r="Q414" s="1382"/>
      <c r="R414" s="1490"/>
      <c r="S414" s="1274"/>
      <c r="T414" s="1274"/>
      <c r="U414" s="1382"/>
      <c r="V414" s="1382"/>
      <c r="W414" s="1382"/>
      <c r="X414" s="1382"/>
      <c r="Y414" s="1382"/>
      <c r="Z414" s="1382"/>
      <c r="AA414" s="1382"/>
      <c r="AB414" s="1382"/>
      <c r="AC414" s="1382"/>
      <c r="AD414" s="1382"/>
      <c r="AE414" s="1382"/>
      <c r="AF414" s="1382"/>
      <c r="AG414" s="1382"/>
      <c r="AH414" s="1382"/>
      <c r="AI414" s="1382"/>
      <c r="AJ414" s="1382"/>
      <c r="AK414" s="181"/>
      <c r="AL414" s="181"/>
      <c r="AM414" s="181"/>
      <c r="AN414" s="181"/>
      <c r="AO414" s="181"/>
      <c r="AP414" s="181"/>
      <c r="AQ414" s="181"/>
      <c r="AR414" s="181"/>
      <c r="AS414" s="181"/>
      <c r="AT414" s="181"/>
      <c r="AU414" s="181"/>
      <c r="AV414" s="181"/>
      <c r="AW414" s="181"/>
    </row>
    <row r="415" spans="1:49" s="30" customFormat="1" hidden="1" x14ac:dyDescent="0.25">
      <c r="A415" s="1407" t="str">
        <f>IF(COUNTIF('04 - 95% CD'!D415:G415,"Y")&gt;0,"Y",IF(COUNTIF('04 - 95% CD'!D415:G415,"N"),"N",""))</f>
        <v>N</v>
      </c>
      <c r="B415" s="191"/>
      <c r="C415" s="944"/>
      <c r="D415" s="321"/>
      <c r="E415" s="559" t="s">
        <v>38</v>
      </c>
      <c r="F415" s="560"/>
      <c r="G415" s="558"/>
      <c r="H415" s="410" t="str">
        <f>CONCATENATE(IF(F415="N","PLACEHOLDER ROW - ",""),'C-Design&amp;Const'!Z415,IF(F415="N","",J415))</f>
        <v>General Air Handling Unit Fan Maps</v>
      </c>
      <c r="I415" s="146"/>
      <c r="J415" s="578" t="str">
        <f>IF('C-Design&amp;Const'!AI415="","",'C-Design&amp;Const'!AI415)</f>
        <v/>
      </c>
      <c r="K415" s="285" t="str">
        <f>IF((COUNTIF(D415:G415,"Y")=COUNTIF('04 - 95% CD'!A415,"Y")),"match","no 95% match")</f>
        <v>match</v>
      </c>
      <c r="L415" s="1410" t="str">
        <f t="shared" si="23"/>
        <v/>
      </c>
      <c r="M415" s="1382"/>
      <c r="N415" s="1382"/>
      <c r="O415" s="1382"/>
      <c r="P415" s="1382"/>
      <c r="Q415" s="1382"/>
      <c r="R415" s="1490"/>
      <c r="S415" s="1274"/>
      <c r="T415" s="1274"/>
      <c r="U415" s="1382"/>
      <c r="V415" s="1382"/>
      <c r="W415" s="1382"/>
      <c r="X415" s="1382"/>
      <c r="Y415" s="1382"/>
      <c r="Z415" s="1382"/>
      <c r="AA415" s="1382"/>
      <c r="AB415" s="1382"/>
      <c r="AC415" s="1382"/>
      <c r="AD415" s="1382"/>
      <c r="AE415" s="1382"/>
      <c r="AF415" s="1382"/>
      <c r="AG415" s="1382"/>
      <c r="AH415" s="1382"/>
      <c r="AI415" s="1382"/>
      <c r="AJ415" s="1382"/>
      <c r="AK415" s="181"/>
      <c r="AL415" s="181"/>
      <c r="AM415" s="181"/>
      <c r="AN415" s="181"/>
      <c r="AO415" s="181"/>
      <c r="AP415" s="181"/>
      <c r="AQ415" s="181"/>
      <c r="AR415" s="181"/>
      <c r="AS415" s="181"/>
      <c r="AT415" s="181"/>
      <c r="AU415" s="181"/>
      <c r="AV415" s="181"/>
      <c r="AW415" s="181"/>
    </row>
    <row r="416" spans="1:49" s="30" customFormat="1" hidden="1" x14ac:dyDescent="0.25">
      <c r="A416" s="1407" t="str">
        <f>IF(COUNTIF('04 - 95% CD'!D416:G416,"Y")&gt;0,"Y",IF(COUNTIF('04 - 95% CD'!D416:G416,"N"),"N",""))</f>
        <v>N</v>
      </c>
      <c r="B416" s="191"/>
      <c r="C416" s="944"/>
      <c r="D416" s="321"/>
      <c r="E416" s="559" t="s">
        <v>38</v>
      </c>
      <c r="F416" s="560"/>
      <c r="G416" s="558"/>
      <c r="H416" s="410" t="str">
        <f>CONCATENATE(IF(F416="N","PLACEHOLDER ROW - ",""),'C-Design&amp;Const'!Z416,IF(F416="N","",J416))</f>
        <v>Incorporated Comments from ARC</v>
      </c>
      <c r="I416" s="146"/>
      <c r="J416" s="578" t="str">
        <f>IF('C-Design&amp;Const'!AI416="","",'C-Design&amp;Const'!AI416)</f>
        <v/>
      </c>
      <c r="K416" s="285" t="str">
        <f>IF((COUNTIF(D416:G416,"Y")=COUNTIF('04 - 95% CD'!A416,"Y")),"match","no 95% match")</f>
        <v>match</v>
      </c>
      <c r="L416" s="1410" t="str">
        <f t="shared" si="23"/>
        <v/>
      </c>
      <c r="M416" s="1382"/>
      <c r="N416" s="1382"/>
      <c r="O416" s="1382"/>
      <c r="P416" s="1382"/>
      <c r="Q416" s="1382"/>
      <c r="R416" s="1490"/>
      <c r="S416" s="1274"/>
      <c r="T416" s="1274"/>
      <c r="U416" s="1382"/>
      <c r="V416" s="1382"/>
      <c r="W416" s="1382"/>
      <c r="X416" s="1382"/>
      <c r="Y416" s="1382"/>
      <c r="Z416" s="1382"/>
      <c r="AA416" s="1382"/>
      <c r="AB416" s="1382"/>
      <c r="AC416" s="1382"/>
      <c r="AD416" s="1382"/>
      <c r="AE416" s="1382"/>
      <c r="AF416" s="1382"/>
      <c r="AG416" s="1382"/>
      <c r="AH416" s="1382"/>
      <c r="AI416" s="1382"/>
      <c r="AJ416" s="1382"/>
      <c r="AK416" s="181"/>
      <c r="AL416" s="181"/>
      <c r="AM416" s="181"/>
      <c r="AN416" s="181"/>
      <c r="AO416" s="181"/>
      <c r="AP416" s="181"/>
      <c r="AQ416" s="181"/>
      <c r="AR416" s="181"/>
      <c r="AS416" s="181"/>
      <c r="AT416" s="181"/>
      <c r="AU416" s="181"/>
      <c r="AV416" s="181"/>
      <c r="AW416" s="181"/>
    </row>
    <row r="417" spans="1:49" s="30" customFormat="1" hidden="1" x14ac:dyDescent="0.25">
      <c r="A417" s="1407" t="str">
        <f>IF(COUNTIF('04 - 95% CD'!D417:G417,"Y")&gt;0,"Y",IF(COUNTIF('04 - 95% CD'!D417:G417,"N"),"N",""))</f>
        <v>N</v>
      </c>
      <c r="B417" s="191"/>
      <c r="C417" s="944"/>
      <c r="D417" s="321"/>
      <c r="E417" s="559" t="s">
        <v>38</v>
      </c>
      <c r="F417" s="560"/>
      <c r="G417" s="558"/>
      <c r="H417" s="410" t="str">
        <f>CONCATENATE(IF(F417="N","PLACEHOLDER ROW - ",""),'C-Design&amp;Const'!Z417,IF(F417="N","",J417))</f>
        <v>CUSTOM ROW - OPTIONAL CLIENT ITEM</v>
      </c>
      <c r="I417" s="146"/>
      <c r="J417" s="578" t="str">
        <f>IF('C-Design&amp;Const'!AI417="","",'C-Design&amp;Const'!AI417)</f>
        <v/>
      </c>
      <c r="K417" s="285" t="str">
        <f>IF((COUNTIF(D417:G417,"Y")=COUNTIF('04 - 95% CD'!A417,"Y")),"match","no 95% match")</f>
        <v>match</v>
      </c>
      <c r="L417" s="1410" t="str">
        <f t="shared" si="23"/>
        <v/>
      </c>
      <c r="M417" s="1382"/>
      <c r="N417" s="1382"/>
      <c r="O417" s="1382"/>
      <c r="P417" s="1382"/>
      <c r="Q417" s="1382"/>
      <c r="R417" s="1490"/>
      <c r="S417" s="1274"/>
      <c r="T417" s="1274"/>
      <c r="U417" s="1382"/>
      <c r="V417" s="1382"/>
      <c r="W417" s="1382"/>
      <c r="X417" s="1382"/>
      <c r="Y417" s="1382"/>
      <c r="Z417" s="1382"/>
      <c r="AA417" s="1382"/>
      <c r="AB417" s="1382"/>
      <c r="AC417" s="1382"/>
      <c r="AD417" s="1382"/>
      <c r="AE417" s="1382"/>
      <c r="AF417" s="1382"/>
      <c r="AG417" s="1382"/>
      <c r="AH417" s="1382"/>
      <c r="AI417" s="1382"/>
      <c r="AJ417" s="1382"/>
      <c r="AK417" s="181"/>
      <c r="AL417" s="181"/>
      <c r="AM417" s="181"/>
      <c r="AN417" s="181"/>
      <c r="AO417" s="181"/>
      <c r="AP417" s="181"/>
      <c r="AQ417" s="181"/>
      <c r="AR417" s="181"/>
      <c r="AS417" s="181"/>
      <c r="AT417" s="181"/>
      <c r="AU417" s="181"/>
      <c r="AV417" s="181"/>
      <c r="AW417" s="181"/>
    </row>
    <row r="418" spans="1:49" s="30" customFormat="1" hidden="1" x14ac:dyDescent="0.25">
      <c r="A418" s="1407" t="str">
        <f>IF(COUNTIF('04 - 95% CD'!D418:G418,"Y")&gt;0,"Y",IF(COUNTIF('04 - 95% CD'!D418:G418,"N"),"N",""))</f>
        <v>N</v>
      </c>
      <c r="B418" s="191"/>
      <c r="C418" s="944"/>
      <c r="D418" s="321"/>
      <c r="E418" s="559" t="s">
        <v>38</v>
      </c>
      <c r="F418" s="560"/>
      <c r="G418" s="558"/>
      <c r="H418" s="410" t="str">
        <f>CONCATENATE(IF(F418="N","PLACEHOLDER ROW - ",""),'C-Design&amp;Const'!Z418,IF(F418="N","",J418))</f>
        <v>CUSTOM ROW - OPTIONAL CLIENT ITEM</v>
      </c>
      <c r="I418" s="146"/>
      <c r="J418" s="578" t="str">
        <f>IF('C-Design&amp;Const'!AI418="","",'C-Design&amp;Const'!AI418)</f>
        <v/>
      </c>
      <c r="K418" s="285" t="str">
        <f>IF((COUNTIF(D418:G418,"Y")=COUNTIF('04 - 95% CD'!A418,"Y")),"match","no 95% match")</f>
        <v>match</v>
      </c>
      <c r="L418" s="1410" t="str">
        <f t="shared" si="23"/>
        <v/>
      </c>
      <c r="M418" s="1382"/>
      <c r="N418" s="1382"/>
      <c r="O418" s="1382"/>
      <c r="P418" s="1382"/>
      <c r="Q418" s="1382"/>
      <c r="R418" s="1490"/>
      <c r="S418" s="1274"/>
      <c r="T418" s="1274"/>
      <c r="U418" s="1382"/>
      <c r="V418" s="1382"/>
      <c r="W418" s="1382"/>
      <c r="X418" s="1382"/>
      <c r="Y418" s="1382"/>
      <c r="Z418" s="1382"/>
      <c r="AA418" s="1382"/>
      <c r="AB418" s="1382"/>
      <c r="AC418" s="1382"/>
      <c r="AD418" s="1382"/>
      <c r="AE418" s="1382"/>
      <c r="AF418" s="1382"/>
      <c r="AG418" s="1382"/>
      <c r="AH418" s="1382"/>
      <c r="AI418" s="1382"/>
      <c r="AJ418" s="1382"/>
      <c r="AK418" s="181"/>
      <c r="AL418" s="181"/>
      <c r="AM418" s="181"/>
      <c r="AN418" s="181"/>
      <c r="AO418" s="181"/>
      <c r="AP418" s="181"/>
      <c r="AQ418" s="181"/>
      <c r="AR418" s="181"/>
      <c r="AS418" s="181"/>
      <c r="AT418" s="181"/>
      <c r="AU418" s="181"/>
      <c r="AV418" s="181"/>
      <c r="AW418" s="181"/>
    </row>
    <row r="419" spans="1:49" s="30" customFormat="1" hidden="1" x14ac:dyDescent="0.25">
      <c r="A419" s="1407" t="str">
        <f>IF(COUNTIF('04 - 95% CD'!D419:G419,"Y")&gt;0,"Y",IF(COUNTIF('04 - 95% CD'!D419:G419,"N"),"N",""))</f>
        <v>N</v>
      </c>
      <c r="B419" s="191"/>
      <c r="C419" s="944"/>
      <c r="D419" s="321"/>
      <c r="E419" s="559" t="s">
        <v>38</v>
      </c>
      <c r="F419" s="560"/>
      <c r="G419" s="558"/>
      <c r="H419" s="410" t="str">
        <f>CONCATENATE(IF(F419="N","PLACEHOLDER ROW - ",""),'C-Design&amp;Const'!Z419,IF(F419="N","",J419))</f>
        <v>CUSTOM ROW - OPTIONAL CLIENT ITEM</v>
      </c>
      <c r="I419" s="146"/>
      <c r="J419" s="578" t="str">
        <f>IF('C-Design&amp;Const'!AI419="","",'C-Design&amp;Const'!AI419)</f>
        <v/>
      </c>
      <c r="K419" s="285" t="str">
        <f>IF((COUNTIF(D419:G419,"Y")=COUNTIF('04 - 95% CD'!A419,"Y")),"match","no 95% match")</f>
        <v>match</v>
      </c>
      <c r="L419" s="1410" t="str">
        <f t="shared" si="23"/>
        <v/>
      </c>
      <c r="M419" s="1382"/>
      <c r="N419" s="1382"/>
      <c r="O419" s="1382"/>
      <c r="P419" s="1382"/>
      <c r="Q419" s="1382"/>
      <c r="R419" s="1490"/>
      <c r="S419" s="1274"/>
      <c r="T419" s="1274"/>
      <c r="U419" s="1382"/>
      <c r="V419" s="1382"/>
      <c r="W419" s="1382"/>
      <c r="X419" s="1382"/>
      <c r="Y419" s="1382"/>
      <c r="Z419" s="1382"/>
      <c r="AA419" s="1382"/>
      <c r="AB419" s="1382"/>
      <c r="AC419" s="1382"/>
      <c r="AD419" s="1382"/>
      <c r="AE419" s="1382"/>
      <c r="AF419" s="1382"/>
      <c r="AG419" s="1382"/>
      <c r="AH419" s="1382"/>
      <c r="AI419" s="1382"/>
      <c r="AJ419" s="1382"/>
      <c r="AK419" s="181"/>
      <c r="AL419" s="181"/>
      <c r="AM419" s="181"/>
      <c r="AN419" s="181"/>
      <c r="AO419" s="181"/>
      <c r="AP419" s="181"/>
      <c r="AQ419" s="181"/>
      <c r="AR419" s="181"/>
      <c r="AS419" s="181"/>
      <c r="AT419" s="181"/>
      <c r="AU419" s="181"/>
      <c r="AV419" s="181"/>
      <c r="AW419" s="181"/>
    </row>
    <row r="420" spans="1:49" s="30" customFormat="1" hidden="1" x14ac:dyDescent="0.25">
      <c r="A420" s="1407" t="str">
        <f>IF(COUNTIF('04 - 95% CD'!D420:G420,"Y")&gt;0,"Y",IF(COUNTIF('04 - 95% CD'!D420:G420,"N"),"N",""))</f>
        <v>N</v>
      </c>
      <c r="B420" s="191"/>
      <c r="C420" s="944"/>
      <c r="D420" s="321"/>
      <c r="E420" s="559" t="s">
        <v>38</v>
      </c>
      <c r="F420" s="560"/>
      <c r="G420" s="558"/>
      <c r="H420" s="410" t="str">
        <f>CONCATENATE(IF(F420="N","PLACEHOLDER ROW - ",""),'C-Design&amp;Const'!Z420,IF(F420="N","",J420))</f>
        <v>CUSTOM ROW - OPTIONAL CLIENT ITEM</v>
      </c>
      <c r="I420" s="146"/>
      <c r="J420" s="578" t="str">
        <f>IF('C-Design&amp;Const'!AI420="","",'C-Design&amp;Const'!AI420)</f>
        <v/>
      </c>
      <c r="K420" s="285" t="str">
        <f>IF((COUNTIF(D420:G420,"Y")=COUNTIF('04 - 95% CD'!A420,"Y")),"match","no 95% match")</f>
        <v>match</v>
      </c>
      <c r="L420" s="1410" t="str">
        <f t="shared" si="23"/>
        <v/>
      </c>
      <c r="M420" s="1382"/>
      <c r="N420" s="1382"/>
      <c r="O420" s="1382"/>
      <c r="P420" s="1382"/>
      <c r="Q420" s="1382"/>
      <c r="R420" s="1490"/>
      <c r="S420" s="1274"/>
      <c r="T420" s="1274"/>
      <c r="U420" s="1382"/>
      <c r="V420" s="1382"/>
      <c r="W420" s="1382"/>
      <c r="X420" s="1382"/>
      <c r="Y420" s="1382"/>
      <c r="Z420" s="1382"/>
      <c r="AA420" s="1382"/>
      <c r="AB420" s="1382"/>
      <c r="AC420" s="1382"/>
      <c r="AD420" s="1382"/>
      <c r="AE420" s="1382"/>
      <c r="AF420" s="1382"/>
      <c r="AG420" s="1382"/>
      <c r="AH420" s="1382"/>
      <c r="AI420" s="1382"/>
      <c r="AJ420" s="1382"/>
      <c r="AK420" s="181"/>
      <c r="AL420" s="181"/>
      <c r="AM420" s="181"/>
      <c r="AN420" s="181"/>
      <c r="AO420" s="181"/>
      <c r="AP420" s="181"/>
      <c r="AQ420" s="181"/>
      <c r="AR420" s="181"/>
      <c r="AS420" s="181"/>
      <c r="AT420" s="181"/>
      <c r="AU420" s="181"/>
      <c r="AV420" s="181"/>
      <c r="AW420" s="181"/>
    </row>
    <row r="421" spans="1:49" s="30" customFormat="1" hidden="1" x14ac:dyDescent="0.25">
      <c r="A421" s="1407" t="str">
        <f>IF(COUNTIF('04 - 95% CD'!D421:G421,"Y")&gt;0,"Y",IF(COUNTIF('04 - 95% CD'!D421:G421,"N"),"N",""))</f>
        <v/>
      </c>
      <c r="B421" s="191"/>
      <c r="C421" s="944"/>
      <c r="D421" s="321"/>
      <c r="E421" s="559" t="s">
        <v>38</v>
      </c>
      <c r="F421" s="560"/>
      <c r="G421" s="558"/>
      <c r="H421" s="410" t="str">
        <f>CONCATENATE(IF(F421="N","PLACEHOLDER ROW - ",""),'C-Design&amp;Const'!Z421,IF(F421="N","",J421))</f>
        <v>**  - For CDAC, combine these items on to 1 or 2 total slides.</v>
      </c>
      <c r="I421" s="146"/>
      <c r="J421" s="578" t="str">
        <f>IF('C-Design&amp;Const'!AI421="","",'C-Design&amp;Const'!AI421)</f>
        <v/>
      </c>
      <c r="K421" s="285" t="str">
        <f>IF((COUNTIF(D421:G421,"Y")=COUNTIF('04 - 95% CD'!A421,"Y")),"match","no 95% match")</f>
        <v>match</v>
      </c>
      <c r="L421" s="1410" t="str">
        <f t="shared" si="23"/>
        <v/>
      </c>
      <c r="M421" s="1382"/>
      <c r="N421" s="1382"/>
      <c r="O421" s="1382"/>
      <c r="P421" s="1382"/>
      <c r="Q421" s="1382"/>
      <c r="R421" s="1490"/>
      <c r="S421" s="1274"/>
      <c r="T421" s="1274"/>
      <c r="U421" s="1382"/>
      <c r="V421" s="1382"/>
      <c r="W421" s="1382"/>
      <c r="X421" s="1382"/>
      <c r="Y421" s="1382"/>
      <c r="Z421" s="1382"/>
      <c r="AA421" s="1382"/>
      <c r="AB421" s="1382"/>
      <c r="AC421" s="1382"/>
      <c r="AD421" s="1382"/>
      <c r="AE421" s="1382"/>
      <c r="AF421" s="1382"/>
      <c r="AG421" s="1382"/>
      <c r="AH421" s="1382"/>
      <c r="AI421" s="1382"/>
      <c r="AJ421" s="1382"/>
      <c r="AK421" s="181"/>
      <c r="AL421" s="181"/>
      <c r="AM421" s="181"/>
      <c r="AN421" s="181"/>
      <c r="AO421" s="181"/>
      <c r="AP421" s="181"/>
      <c r="AQ421" s="181"/>
      <c r="AR421" s="181"/>
      <c r="AS421" s="181"/>
      <c r="AT421" s="181"/>
      <c r="AU421" s="181"/>
      <c r="AV421" s="181"/>
      <c r="AW421" s="181"/>
    </row>
    <row r="422" spans="1:49" s="30" customFormat="1" hidden="1" x14ac:dyDescent="0.25">
      <c r="A422" s="1407" t="str">
        <f>IF(COUNTIF('04 - 95% CD'!D422:G422,"Y")&gt;0,"Y",IF(COUNTIF('04 - 95% CD'!D422:G422,"N"),"N",""))</f>
        <v>N</v>
      </c>
      <c r="B422" s="191"/>
      <c r="C422" s="944"/>
      <c r="D422" s="321"/>
      <c r="E422" s="559" t="s">
        <v>38</v>
      </c>
      <c r="F422" s="560"/>
      <c r="G422" s="558"/>
      <c r="H422" s="410" t="str">
        <f>CONCATENATE(IF(F422="N","PLACEHOLDER ROW - ",""),'C-Design&amp;Const'!Z422,IF(F422="N","",J422))</f>
        <v>Design Presentation - President and Chancellor</v>
      </c>
      <c r="I422" s="146"/>
      <c r="J422" s="578" t="str">
        <f>IF('C-Design&amp;Const'!AI422="","",'C-Design&amp;Const'!AI422)</f>
        <v/>
      </c>
      <c r="K422" s="285" t="str">
        <f>IF((COUNTIF(D422:G422,"Y")=COUNTIF('04 - 95% CD'!A422,"Y")),"match","no 95% match")</f>
        <v>match</v>
      </c>
      <c r="L422" s="1410" t="str">
        <f t="shared" si="23"/>
        <v/>
      </c>
      <c r="M422" s="1382"/>
      <c r="N422" s="1382"/>
      <c r="O422" s="1382"/>
      <c r="P422" s="1382"/>
      <c r="Q422" s="1382"/>
      <c r="R422" s="1490"/>
      <c r="S422" s="1274"/>
      <c r="T422" s="1274"/>
      <c r="U422" s="1382"/>
      <c r="V422" s="1382"/>
      <c r="W422" s="1382"/>
      <c r="X422" s="1382"/>
      <c r="Y422" s="1382"/>
      <c r="Z422" s="1382"/>
      <c r="AA422" s="1382"/>
      <c r="AB422" s="1382"/>
      <c r="AC422" s="1382"/>
      <c r="AD422" s="1382"/>
      <c r="AE422" s="1382"/>
      <c r="AF422" s="1382"/>
      <c r="AG422" s="1382"/>
      <c r="AH422" s="1382"/>
      <c r="AI422" s="1382"/>
      <c r="AJ422" s="1382"/>
      <c r="AK422" s="181"/>
      <c r="AL422" s="181"/>
      <c r="AM422" s="181"/>
      <c r="AN422" s="181"/>
      <c r="AO422" s="181"/>
      <c r="AP422" s="181"/>
      <c r="AQ422" s="181"/>
      <c r="AR422" s="181"/>
      <c r="AS422" s="181"/>
      <c r="AT422" s="181"/>
      <c r="AU422" s="181"/>
      <c r="AV422" s="181"/>
      <c r="AW422" s="181"/>
    </row>
    <row r="423" spans="1:49" s="30" customFormat="1" hidden="1" x14ac:dyDescent="0.25">
      <c r="A423" s="1407" t="str">
        <f>IF(COUNTIF('04 - 95% CD'!D423:G423,"Y")&gt;0,"Y",IF(COUNTIF('04 - 95% CD'!D423:G423,"N"),"N",""))</f>
        <v/>
      </c>
      <c r="B423" s="191"/>
      <c r="C423" s="944"/>
      <c r="D423" s="321"/>
      <c r="E423" s="559" t="s">
        <v>38</v>
      </c>
      <c r="F423" s="560"/>
      <c r="G423" s="558"/>
      <c r="H423" s="410" t="str">
        <f>CONCATENATE(IF(F423="N","PLACEHOLDER ROW - ",""),'C-Design&amp;Const'!Z423,IF(F423="N","",J423))</f>
        <v>Brochures for Board of Trustees</v>
      </c>
      <c r="I423" s="146"/>
      <c r="J423" s="578" t="str">
        <f>IF('C-Design&amp;Const'!AI423="","",'C-Design&amp;Const'!AI423)</f>
        <v/>
      </c>
      <c r="K423" s="285" t="str">
        <f>IF((COUNTIF(D423:G423,"Y")=COUNTIF('04 - 95% CD'!A423,"Y")),"match","no 95% match")</f>
        <v>match</v>
      </c>
      <c r="L423" s="1410" t="str">
        <f t="shared" si="23"/>
        <v/>
      </c>
      <c r="M423" s="1382"/>
      <c r="N423" s="1382"/>
      <c r="O423" s="1382"/>
      <c r="P423" s="1382"/>
      <c r="Q423" s="1382"/>
      <c r="R423" s="1490"/>
      <c r="S423" s="1274"/>
      <c r="T423" s="1274"/>
      <c r="U423" s="1382"/>
      <c r="V423" s="1382"/>
      <c r="W423" s="1382"/>
      <c r="X423" s="1382"/>
      <c r="Y423" s="1382"/>
      <c r="Z423" s="1382"/>
      <c r="AA423" s="1382"/>
      <c r="AB423" s="1382"/>
      <c r="AC423" s="1382"/>
      <c r="AD423" s="1382"/>
      <c r="AE423" s="1382"/>
      <c r="AF423" s="1382"/>
      <c r="AG423" s="1382"/>
      <c r="AH423" s="1382"/>
      <c r="AI423" s="1382"/>
      <c r="AJ423" s="1382"/>
      <c r="AK423" s="181"/>
      <c r="AL423" s="181"/>
      <c r="AM423" s="181"/>
      <c r="AN423" s="181"/>
      <c r="AO423" s="181"/>
      <c r="AP423" s="181"/>
      <c r="AQ423" s="181"/>
      <c r="AR423" s="181"/>
      <c r="AS423" s="181"/>
      <c r="AT423" s="181"/>
      <c r="AU423" s="181"/>
      <c r="AV423" s="181"/>
      <c r="AW423" s="181"/>
    </row>
    <row r="424" spans="1:49" s="30" customFormat="1" hidden="1" x14ac:dyDescent="0.25">
      <c r="A424" s="1407" t="str">
        <f>IF(COUNTIF('04 - 95% CD'!D424:G424,"Y")&gt;0,"Y",IF(COUNTIF('04 - 95% CD'!D424:G424,"N"),"N",""))</f>
        <v/>
      </c>
      <c r="B424" s="191"/>
      <c r="C424" s="944"/>
      <c r="D424" s="321"/>
      <c r="E424" s="559" t="s">
        <v>38</v>
      </c>
      <c r="F424" s="560"/>
      <c r="G424" s="558"/>
      <c r="H424" s="410" t="str">
        <f>CONCATENATE(IF(F424="N","PLACEHOLDER ROW - ",""),'C-Design&amp;Const'!Z424,IF(F424="N","",J424))</f>
        <v>Design Presentation - Board of Trustees - Audit, Budget, Finance, &amp; Facilities Committee</v>
      </c>
      <c r="I424" s="146"/>
      <c r="J424" s="578" t="str">
        <f>IF('C-Design&amp;Const'!AI424="","",'C-Design&amp;Const'!AI424)</f>
        <v/>
      </c>
      <c r="K424" s="285" t="str">
        <f>IF((COUNTIF(D424:G424,"Y")=COUNTIF('04 - 95% CD'!A424,"Y")),"match","no 95% match")</f>
        <v>match</v>
      </c>
      <c r="L424" s="1410" t="str">
        <f t="shared" si="23"/>
        <v/>
      </c>
      <c r="M424" s="1382"/>
      <c r="N424" s="1382"/>
      <c r="O424" s="1382"/>
      <c r="P424" s="1382"/>
      <c r="Q424" s="1382"/>
      <c r="R424" s="1490"/>
      <c r="S424" s="1274"/>
      <c r="T424" s="1274"/>
      <c r="U424" s="1382"/>
      <c r="V424" s="1382"/>
      <c r="W424" s="1382"/>
      <c r="X424" s="1382"/>
      <c r="Y424" s="1382"/>
      <c r="Z424" s="1382"/>
      <c r="AA424" s="1382"/>
      <c r="AB424" s="1382"/>
      <c r="AC424" s="1382"/>
      <c r="AD424" s="1382"/>
      <c r="AE424" s="1382"/>
      <c r="AF424" s="1382"/>
      <c r="AG424" s="1382"/>
      <c r="AH424" s="1382"/>
      <c r="AI424" s="1382"/>
      <c r="AJ424" s="1382"/>
      <c r="AK424" s="181"/>
      <c r="AL424" s="181"/>
      <c r="AM424" s="181"/>
      <c r="AN424" s="181"/>
      <c r="AO424" s="181"/>
      <c r="AP424" s="181"/>
      <c r="AQ424" s="181"/>
      <c r="AR424" s="181"/>
      <c r="AS424" s="181"/>
      <c r="AT424" s="181"/>
      <c r="AU424" s="181"/>
      <c r="AV424" s="181"/>
      <c r="AW424" s="181"/>
    </row>
    <row r="425" spans="1:49" s="30" customFormat="1" hidden="1" x14ac:dyDescent="0.25">
      <c r="A425" s="1407" t="str">
        <f>IF(COUNTIF('04 - 95% CD'!D425:G425,"Y")&gt;0,"Y",IF(COUNTIF('04 - 95% CD'!D425:G425,"N"),"N",""))</f>
        <v>N</v>
      </c>
      <c r="B425" s="191"/>
      <c r="C425" s="944"/>
      <c r="D425" s="321"/>
      <c r="E425" s="559" t="s">
        <v>38</v>
      </c>
      <c r="F425" s="560"/>
      <c r="G425" s="558"/>
      <c r="H425" s="410" t="str">
        <f>CONCATENATE(IF(F425="N","PLACEHOLDER ROW - ",""),'C-Design&amp;Const'!Z425,IF(F425="N","",J425))</f>
        <v xml:space="preserve">Overall Campus Map next to zoomed in aerial image map </v>
      </c>
      <c r="I425" s="146"/>
      <c r="J425" s="578" t="str">
        <f>IF('C-Design&amp;Const'!AI425="","",'C-Design&amp;Const'!AI425)</f>
        <v/>
      </c>
      <c r="K425" s="285" t="str">
        <f>IF((COUNTIF(D425:G425,"Y")=COUNTIF('04 - 95% CD'!A425,"Y")),"match","no 95% match")</f>
        <v>match</v>
      </c>
      <c r="L425" s="1410" t="str">
        <f t="shared" si="23"/>
        <v/>
      </c>
      <c r="M425" s="1382"/>
      <c r="N425" s="1382"/>
      <c r="O425" s="1382"/>
      <c r="P425" s="1382"/>
      <c r="Q425" s="1382"/>
      <c r="R425" s="1490"/>
      <c r="S425" s="1274"/>
      <c r="T425" s="1274"/>
      <c r="U425" s="1382"/>
      <c r="V425" s="1382"/>
      <c r="W425" s="1382"/>
      <c r="X425" s="1382"/>
      <c r="Y425" s="1382"/>
      <c r="Z425" s="1382"/>
      <c r="AA425" s="1382"/>
      <c r="AB425" s="1382"/>
      <c r="AC425" s="1382"/>
      <c r="AD425" s="1382"/>
      <c r="AE425" s="1382"/>
      <c r="AF425" s="1382"/>
      <c r="AG425" s="1382"/>
      <c r="AH425" s="1382"/>
      <c r="AI425" s="1382"/>
      <c r="AJ425" s="1382"/>
      <c r="AK425" s="181"/>
      <c r="AL425" s="181"/>
      <c r="AM425" s="181"/>
      <c r="AN425" s="181"/>
      <c r="AO425" s="181"/>
      <c r="AP425" s="181"/>
      <c r="AQ425" s="181"/>
      <c r="AR425" s="181"/>
      <c r="AS425" s="181"/>
      <c r="AT425" s="181"/>
      <c r="AU425" s="181"/>
      <c r="AV425" s="181"/>
      <c r="AW425" s="181"/>
    </row>
    <row r="426" spans="1:49" s="30" customFormat="1" hidden="1" x14ac:dyDescent="0.25">
      <c r="A426" s="1407" t="str">
        <f>IF(COUNTIF('04 - 95% CD'!D426:G426,"Y")&gt;0,"Y",IF(COUNTIF('04 - 95% CD'!D426:G426,"N"),"N",""))</f>
        <v>N</v>
      </c>
      <c r="B426" s="191"/>
      <c r="C426" s="944"/>
      <c r="D426" s="321"/>
      <c r="E426" s="559" t="s">
        <v>38</v>
      </c>
      <c r="F426" s="560"/>
      <c r="G426" s="558"/>
      <c r="H426" s="410" t="str">
        <f>CONCATENATE(IF(F426="N","PLACEHOLDER ROW - ",""),'C-Design&amp;Const'!Z426,IF(F426="N","",J426))</f>
        <v>Building Footprint on Master Plan</v>
      </c>
      <c r="I426" s="146"/>
      <c r="J426" s="578" t="str">
        <f>IF('C-Design&amp;Const'!AI426="","",'C-Design&amp;Const'!AI426)</f>
        <v/>
      </c>
      <c r="K426" s="285" t="str">
        <f>IF((COUNTIF(D426:G426,"Y")=COUNTIF('04 - 95% CD'!A426,"Y")),"match","no 95% match")</f>
        <v>match</v>
      </c>
      <c r="L426" s="1410" t="str">
        <f t="shared" si="23"/>
        <v/>
      </c>
      <c r="M426" s="1382"/>
      <c r="N426" s="1382"/>
      <c r="O426" s="1382"/>
      <c r="P426" s="1382"/>
      <c r="Q426" s="1382"/>
      <c r="R426" s="1490"/>
      <c r="S426" s="1274"/>
      <c r="T426" s="1274"/>
      <c r="U426" s="1382"/>
      <c r="V426" s="1382"/>
      <c r="W426" s="1382"/>
      <c r="X426" s="1382"/>
      <c r="Y426" s="1382"/>
      <c r="Z426" s="1382"/>
      <c r="AA426" s="1382"/>
      <c r="AB426" s="1382"/>
      <c r="AC426" s="1382"/>
      <c r="AD426" s="1382"/>
      <c r="AE426" s="1382"/>
      <c r="AF426" s="1382"/>
      <c r="AG426" s="1382"/>
      <c r="AH426" s="1382"/>
      <c r="AI426" s="1382"/>
      <c r="AJ426" s="1382"/>
      <c r="AK426" s="181"/>
      <c r="AL426" s="181"/>
      <c r="AM426" s="181"/>
      <c r="AN426" s="181"/>
      <c r="AO426" s="181"/>
      <c r="AP426" s="181"/>
      <c r="AQ426" s="181"/>
      <c r="AR426" s="181"/>
      <c r="AS426" s="181"/>
      <c r="AT426" s="181"/>
      <c r="AU426" s="181"/>
      <c r="AV426" s="181"/>
      <c r="AW426" s="181"/>
    </row>
    <row r="427" spans="1:49" s="30" customFormat="1" hidden="1" x14ac:dyDescent="0.25">
      <c r="A427" s="1407" t="str">
        <f>IF(COUNTIF('04 - 95% CD'!D427:G427,"Y")&gt;0,"Y",IF(COUNTIF('04 - 95% CD'!D427:G427,"N"),"N",""))</f>
        <v>N</v>
      </c>
      <c r="B427" s="191"/>
      <c r="C427" s="944"/>
      <c r="D427" s="321"/>
      <c r="E427" s="559" t="s">
        <v>38</v>
      </c>
      <c r="F427" s="560"/>
      <c r="G427" s="558"/>
      <c r="H427" s="410" t="str">
        <f>CONCATENATE(IF(F427="N","PLACEHOLDER ROW - ",""),'C-Design&amp;Const'!Z427,IF(F427="N","",J427))</f>
        <v>**Bullet Points of Major Project Goals &amp; Objectives, New GSF, Renovated GSF, Demolished GSF</v>
      </c>
      <c r="I427" s="146"/>
      <c r="J427" s="578" t="str">
        <f>IF('C-Design&amp;Const'!AI427="","",'C-Design&amp;Const'!AI427)</f>
        <v/>
      </c>
      <c r="K427" s="285" t="str">
        <f>IF((COUNTIF(D427:G427,"Y")=COUNTIF('04 - 95% CD'!A427,"Y")),"match","no 95% match")</f>
        <v>match</v>
      </c>
      <c r="L427" s="1410" t="str">
        <f t="shared" si="23"/>
        <v/>
      </c>
      <c r="M427" s="1382"/>
      <c r="N427" s="1382"/>
      <c r="O427" s="1382"/>
      <c r="P427" s="1382"/>
      <c r="Q427" s="1382"/>
      <c r="R427" s="1490"/>
      <c r="S427" s="1274"/>
      <c r="T427" s="1274"/>
      <c r="U427" s="1382"/>
      <c r="V427" s="1382"/>
      <c r="W427" s="1382"/>
      <c r="X427" s="1382"/>
      <c r="Y427" s="1382"/>
      <c r="Z427" s="1382"/>
      <c r="AA427" s="1382"/>
      <c r="AB427" s="1382"/>
      <c r="AC427" s="1382"/>
      <c r="AD427" s="1382"/>
      <c r="AE427" s="1382"/>
      <c r="AF427" s="1382"/>
      <c r="AG427" s="1382"/>
      <c r="AH427" s="1382"/>
      <c r="AI427" s="1382"/>
      <c r="AJ427" s="1382"/>
      <c r="AK427" s="181"/>
      <c r="AL427" s="181"/>
      <c r="AM427" s="181"/>
      <c r="AN427" s="181"/>
      <c r="AO427" s="181"/>
      <c r="AP427" s="181"/>
      <c r="AQ427" s="181"/>
      <c r="AR427" s="181"/>
      <c r="AS427" s="181"/>
      <c r="AT427" s="181"/>
      <c r="AU427" s="181"/>
      <c r="AV427" s="181"/>
      <c r="AW427" s="181"/>
    </row>
    <row r="428" spans="1:49" s="30" customFormat="1" hidden="1" x14ac:dyDescent="0.25">
      <c r="A428" s="1407" t="str">
        <f>IF(COUNTIF('04 - 95% CD'!D428:G428,"Y")&gt;0,"Y",IF(COUNTIF('04 - 95% CD'!D428:G428,"N"),"N",""))</f>
        <v>N</v>
      </c>
      <c r="B428" s="191"/>
      <c r="C428" s="944"/>
      <c r="D428" s="321"/>
      <c r="E428" s="559" t="s">
        <v>38</v>
      </c>
      <c r="F428" s="560"/>
      <c r="G428" s="558"/>
      <c r="H428" s="410" t="str">
        <f>CONCATENATE(IF(F428="N","PLACEHOLDER ROW - ",""),'C-Design&amp;Const'!Z428,IF(F428="N","",J428))</f>
        <v>**Overall Construction Budget, Construction Begin &amp; End</v>
      </c>
      <c r="I428" s="146"/>
      <c r="J428" s="578" t="str">
        <f>IF('C-Design&amp;Const'!AI428="","",'C-Design&amp;Const'!AI428)</f>
        <v/>
      </c>
      <c r="K428" s="285" t="str">
        <f>IF((COUNTIF(D428:G428,"Y")=COUNTIF('04 - 95% CD'!A428,"Y")),"match","no 95% match")</f>
        <v>match</v>
      </c>
      <c r="L428" s="1410" t="str">
        <f t="shared" si="23"/>
        <v/>
      </c>
      <c r="M428" s="1382"/>
      <c r="N428" s="1382"/>
      <c r="O428" s="1382"/>
      <c r="P428" s="1382"/>
      <c r="Q428" s="1382"/>
      <c r="R428" s="1490"/>
      <c r="S428" s="1274"/>
      <c r="T428" s="1274"/>
      <c r="U428" s="1382"/>
      <c r="V428" s="1382"/>
      <c r="W428" s="1382"/>
      <c r="X428" s="1382"/>
      <c r="Y428" s="1382"/>
      <c r="Z428" s="1382"/>
      <c r="AA428" s="1382"/>
      <c r="AB428" s="1382"/>
      <c r="AC428" s="1382"/>
      <c r="AD428" s="1382"/>
      <c r="AE428" s="1382"/>
      <c r="AF428" s="1382"/>
      <c r="AG428" s="1382"/>
      <c r="AH428" s="1382"/>
      <c r="AI428" s="1382"/>
      <c r="AJ428" s="1382"/>
      <c r="AK428" s="181"/>
      <c r="AL428" s="181"/>
      <c r="AM428" s="181"/>
      <c r="AN428" s="181"/>
      <c r="AO428" s="181"/>
      <c r="AP428" s="181"/>
      <c r="AQ428" s="181"/>
      <c r="AR428" s="181"/>
      <c r="AS428" s="181"/>
      <c r="AT428" s="181"/>
      <c r="AU428" s="181"/>
      <c r="AV428" s="181"/>
      <c r="AW428" s="181"/>
    </row>
    <row r="429" spans="1:49" s="30" customFormat="1" hidden="1" x14ac:dyDescent="0.25">
      <c r="A429" s="1407" t="str">
        <f>IF(COUNTIF('04 - 95% CD'!D429:G429,"Y")&gt;0,"Y",IF(COUNTIF('04 - 95% CD'!D429:G429,"N"),"N",""))</f>
        <v>N</v>
      </c>
      <c r="B429" s="191"/>
      <c r="C429" s="944"/>
      <c r="D429" s="321"/>
      <c r="E429" s="559" t="s">
        <v>38</v>
      </c>
      <c r="F429" s="560"/>
      <c r="G429" s="558"/>
      <c r="H429" s="410" t="str">
        <f>CONCATENATE(IF(F429="N","PLACEHOLDER ROW - ",""),'C-Design&amp;Const'!Z429,IF(F429="N","",J429))</f>
        <v>**LEED Goal and highlights of LEED measures</v>
      </c>
      <c r="I429" s="146"/>
      <c r="J429" s="578" t="str">
        <f>IF('C-Design&amp;Const'!AI429="","",'C-Design&amp;Const'!AI429)</f>
        <v/>
      </c>
      <c r="K429" s="285" t="str">
        <f>IF((COUNTIF(D429:G429,"Y")=COUNTIF('04 - 95% CD'!A429,"Y")),"match","no 95% match")</f>
        <v>match</v>
      </c>
      <c r="L429" s="1410" t="str">
        <f t="shared" si="23"/>
        <v/>
      </c>
      <c r="M429" s="1382"/>
      <c r="N429" s="1382"/>
      <c r="O429" s="1382"/>
      <c r="P429" s="1382"/>
      <c r="Q429" s="1382"/>
      <c r="R429" s="1490"/>
      <c r="S429" s="1274"/>
      <c r="T429" s="1274"/>
      <c r="U429" s="1382"/>
      <c r="V429" s="1382"/>
      <c r="W429" s="1382"/>
      <c r="X429" s="1382"/>
      <c r="Y429" s="1382"/>
      <c r="Z429" s="1382"/>
      <c r="AA429" s="1382"/>
      <c r="AB429" s="1382"/>
      <c r="AC429" s="1382"/>
      <c r="AD429" s="1382"/>
      <c r="AE429" s="1382"/>
      <c r="AF429" s="1382"/>
      <c r="AG429" s="1382"/>
      <c r="AH429" s="1382"/>
      <c r="AI429" s="1382"/>
      <c r="AJ429" s="1382"/>
      <c r="AK429" s="181"/>
      <c r="AL429" s="181"/>
      <c r="AM429" s="181"/>
      <c r="AN429" s="181"/>
      <c r="AO429" s="181"/>
      <c r="AP429" s="181"/>
      <c r="AQ429" s="181"/>
      <c r="AR429" s="181"/>
      <c r="AS429" s="181"/>
      <c r="AT429" s="181"/>
      <c r="AU429" s="181"/>
      <c r="AV429" s="181"/>
      <c r="AW429" s="181"/>
    </row>
    <row r="430" spans="1:49" s="30" customFormat="1" hidden="1" x14ac:dyDescent="0.25">
      <c r="A430" s="1407" t="str">
        <f>IF(COUNTIF('04 - 95% CD'!D430:G430,"Y")&gt;0,"Y",IF(COUNTIF('04 - 95% CD'!D430:G430,"N"),"N",""))</f>
        <v>N</v>
      </c>
      <c r="B430" s="191"/>
      <c r="C430" s="944"/>
      <c r="D430" s="321"/>
      <c r="E430" s="559" t="s">
        <v>38</v>
      </c>
      <c r="F430" s="560"/>
      <c r="G430" s="558"/>
      <c r="H430" s="410" t="str">
        <f>CONCATENATE(IF(F430="N","PLACEHOLDER ROW - ",""),'C-Design&amp;Const'!Z430,IF(F430="N","",J430))</f>
        <v>Proposed combined Site / Landscape Plan</v>
      </c>
      <c r="I430" s="146"/>
      <c r="J430" s="578" t="str">
        <f>IF('C-Design&amp;Const'!AI430="","",'C-Design&amp;Const'!AI430)</f>
        <v/>
      </c>
      <c r="K430" s="285" t="str">
        <f>IF((COUNTIF(D430:G430,"Y")=COUNTIF('04 - 95% CD'!A430,"Y")),"match","no 95% match")</f>
        <v>match</v>
      </c>
      <c r="L430" s="1410" t="str">
        <f t="shared" si="23"/>
        <v/>
      </c>
      <c r="M430" s="1382"/>
      <c r="N430" s="1382"/>
      <c r="O430" s="1382"/>
      <c r="P430" s="1382"/>
      <c r="Q430" s="1382"/>
      <c r="R430" s="1490"/>
      <c r="S430" s="1274"/>
      <c r="T430" s="1274"/>
      <c r="U430" s="1382"/>
      <c r="V430" s="1382"/>
      <c r="W430" s="1382"/>
      <c r="X430" s="1382"/>
      <c r="Y430" s="1382"/>
      <c r="Z430" s="1382"/>
      <c r="AA430" s="1382"/>
      <c r="AB430" s="1382"/>
      <c r="AC430" s="1382"/>
      <c r="AD430" s="1382"/>
      <c r="AE430" s="1382"/>
      <c r="AF430" s="1382"/>
      <c r="AG430" s="1382"/>
      <c r="AH430" s="1382"/>
      <c r="AI430" s="1382"/>
      <c r="AJ430" s="1382"/>
      <c r="AK430" s="181"/>
      <c r="AL430" s="181"/>
      <c r="AM430" s="181"/>
      <c r="AN430" s="181"/>
      <c r="AO430" s="181"/>
      <c r="AP430" s="181"/>
      <c r="AQ430" s="181"/>
      <c r="AR430" s="181"/>
      <c r="AS430" s="181"/>
      <c r="AT430" s="181"/>
      <c r="AU430" s="181"/>
      <c r="AV430" s="181"/>
      <c r="AW430" s="181"/>
    </row>
    <row r="431" spans="1:49" s="30" customFormat="1" hidden="1" x14ac:dyDescent="0.25">
      <c r="A431" s="1407" t="str">
        <f>IF(COUNTIF('04 - 95% CD'!D431:G431,"Y")&gt;0,"Y",IF(COUNTIF('04 - 95% CD'!D431:G431,"N"),"N",""))</f>
        <v>N</v>
      </c>
      <c r="B431" s="191"/>
      <c r="C431" s="944"/>
      <c r="D431" s="321"/>
      <c r="E431" s="559" t="s">
        <v>38</v>
      </c>
      <c r="F431" s="560"/>
      <c r="G431" s="558"/>
      <c r="H431" s="410" t="str">
        <f>CONCATENATE(IF(F431="N","PLACEHOLDER ROW - ",""),'C-Design&amp;Const'!Z431,IF(F431="N","",J431))</f>
        <v xml:space="preserve">Massing or Renderings of </v>
      </c>
      <c r="I431" s="146"/>
      <c r="J431" s="578" t="str">
        <f>IF('C-Design&amp;Const'!AI434="","",'C-Design&amp;Const'!AI434)</f>
        <v/>
      </c>
      <c r="K431" s="285" t="str">
        <f>IF((COUNTIF(D431:G431,"Y")=COUNTIF('04 - 95% CD'!A431,"Y")),"match","no 95% match")</f>
        <v>match</v>
      </c>
      <c r="L431" s="1410" t="str">
        <f t="shared" si="23"/>
        <v/>
      </c>
      <c r="M431" s="1382"/>
      <c r="N431" s="1382"/>
      <c r="O431" s="1382"/>
      <c r="P431" s="1382"/>
      <c r="Q431" s="1382"/>
      <c r="R431" s="1490"/>
      <c r="S431" s="1274"/>
      <c r="T431" s="1274"/>
      <c r="U431" s="1382"/>
      <c r="V431" s="1382"/>
      <c r="W431" s="1382"/>
      <c r="X431" s="1382"/>
      <c r="Y431" s="1382"/>
      <c r="Z431" s="1382"/>
      <c r="AA431" s="1382"/>
      <c r="AB431" s="1382"/>
      <c r="AC431" s="1382"/>
      <c r="AD431" s="1382"/>
      <c r="AE431" s="1382"/>
      <c r="AF431" s="1382"/>
      <c r="AG431" s="1382"/>
      <c r="AH431" s="1382"/>
      <c r="AI431" s="1382"/>
      <c r="AJ431" s="1382"/>
      <c r="AK431" s="181"/>
      <c r="AL431" s="181"/>
      <c r="AM431" s="181"/>
      <c r="AN431" s="181"/>
      <c r="AO431" s="181"/>
      <c r="AP431" s="181"/>
      <c r="AQ431" s="181"/>
      <c r="AR431" s="181"/>
      <c r="AS431" s="181"/>
      <c r="AT431" s="181"/>
      <c r="AU431" s="181"/>
      <c r="AV431" s="181"/>
      <c r="AW431" s="181"/>
    </row>
    <row r="432" spans="1:49" s="30" customFormat="1" hidden="1" x14ac:dyDescent="0.25">
      <c r="A432" s="1407" t="str">
        <f>IF(COUNTIF('04 - 95% CD'!D432:G432,"Y")&gt;0,"Y",IF(COUNTIF('04 - 95% CD'!D432:G432,"N"),"N",""))</f>
        <v>N</v>
      </c>
      <c r="B432" s="191"/>
      <c r="C432" s="944"/>
      <c r="D432" s="321"/>
      <c r="E432" s="559" t="s">
        <v>38</v>
      </c>
      <c r="F432" s="560"/>
      <c r="G432" s="558"/>
      <c r="H432" s="410" t="str">
        <f>CONCATENATE(IF(F432="N","PLACEHOLDER ROW - ",""),'C-Design&amp;Const'!Z432,IF(F432="N","",J432))</f>
        <v>All Exterior Elevations with materials identified</v>
      </c>
      <c r="I432" s="146"/>
      <c r="J432" s="578" t="str">
        <f>IF('C-Design&amp;Const'!AI431="","",'C-Design&amp;Const'!AI431)</f>
        <v/>
      </c>
      <c r="K432" s="285" t="str">
        <f>IF((COUNTIF(D432:G432,"Y")=COUNTIF('04 - 95% CD'!A432,"Y")),"match","no 95% match")</f>
        <v>match</v>
      </c>
      <c r="L432" s="1410" t="str">
        <f t="shared" si="23"/>
        <v/>
      </c>
      <c r="M432" s="1382"/>
      <c r="N432" s="1382"/>
      <c r="O432" s="1382"/>
      <c r="P432" s="1382"/>
      <c r="Q432" s="1382"/>
      <c r="R432" s="1490"/>
      <c r="S432" s="1274"/>
      <c r="T432" s="1274"/>
      <c r="U432" s="1382"/>
      <c r="V432" s="1382"/>
      <c r="W432" s="1382"/>
      <c r="X432" s="1382"/>
      <c r="Y432" s="1382"/>
      <c r="Z432" s="1382"/>
      <c r="AA432" s="1382"/>
      <c r="AB432" s="1382"/>
      <c r="AC432" s="1382"/>
      <c r="AD432" s="1382"/>
      <c r="AE432" s="1382"/>
      <c r="AF432" s="1382"/>
      <c r="AG432" s="1382"/>
      <c r="AH432" s="1382"/>
      <c r="AI432" s="1382"/>
      <c r="AJ432" s="1382"/>
      <c r="AK432" s="181"/>
      <c r="AL432" s="181"/>
      <c r="AM432" s="181"/>
      <c r="AN432" s="181"/>
      <c r="AO432" s="181"/>
      <c r="AP432" s="181"/>
      <c r="AQ432" s="181"/>
      <c r="AR432" s="181"/>
      <c r="AS432" s="181"/>
      <c r="AT432" s="181"/>
      <c r="AU432" s="181"/>
      <c r="AV432" s="181"/>
      <c r="AW432" s="181"/>
    </row>
    <row r="433" spans="1:50" s="30" customFormat="1" ht="28.5" hidden="1" x14ac:dyDescent="0.25">
      <c r="A433" s="1407" t="str">
        <f>IF(COUNTIF('04 - 95% CD'!D433:G433,"Y")&gt;0,"Y",IF(COUNTIF('04 - 95% CD'!D433:G433,"N"),"N",""))</f>
        <v>N</v>
      </c>
      <c r="B433" s="191"/>
      <c r="C433" s="944"/>
      <c r="D433" s="321"/>
      <c r="E433" s="559" t="s">
        <v>38</v>
      </c>
      <c r="F433" s="560"/>
      <c r="G433" s="558"/>
      <c r="H433" s="410" t="str">
        <f>CONCATENATE(IF(F433="N","PLACEHOLDER ROW - ",""),'C-Design&amp;Const'!Z433,IF(F433="N","",J433))</f>
        <v>All major public spaces (entrances, galleries, auditoriums, lecture halls, etc…) with materials identified</v>
      </c>
      <c r="I433" s="146"/>
      <c r="J433" s="578" t="str">
        <f>IF('C-Design&amp;Const'!AI432="","",'C-Design&amp;Const'!AI432)</f>
        <v/>
      </c>
      <c r="K433" s="285" t="str">
        <f>IF((COUNTIF(D433:G433,"Y")=COUNTIF('04 - 95% CD'!A433,"Y")),"match","no 95% match")</f>
        <v>match</v>
      </c>
      <c r="L433" s="1410" t="str">
        <f t="shared" si="23"/>
        <v/>
      </c>
      <c r="M433" s="1382"/>
      <c r="N433" s="1382"/>
      <c r="O433" s="1382"/>
      <c r="P433" s="1382"/>
      <c r="Q433" s="1382"/>
      <c r="R433" s="1490"/>
      <c r="S433" s="1274"/>
      <c r="T433" s="1274"/>
      <c r="U433" s="1382"/>
      <c r="V433" s="1382"/>
      <c r="W433" s="1382"/>
      <c r="X433" s="1382"/>
      <c r="Y433" s="1382"/>
      <c r="Z433" s="1382"/>
      <c r="AA433" s="1382"/>
      <c r="AB433" s="1382"/>
      <c r="AC433" s="1382"/>
      <c r="AD433" s="1382"/>
      <c r="AE433" s="1382"/>
      <c r="AF433" s="1382"/>
      <c r="AG433" s="1382"/>
      <c r="AH433" s="1382"/>
      <c r="AI433" s="1382"/>
      <c r="AJ433" s="1382"/>
      <c r="AK433" s="181"/>
      <c r="AL433" s="181"/>
      <c r="AM433" s="181"/>
      <c r="AN433" s="181"/>
      <c r="AO433" s="181"/>
      <c r="AP433" s="181"/>
      <c r="AQ433" s="181"/>
      <c r="AR433" s="181"/>
      <c r="AS433" s="181"/>
      <c r="AT433" s="181"/>
      <c r="AU433" s="181"/>
      <c r="AV433" s="181"/>
      <c r="AW433" s="181"/>
    </row>
    <row r="434" spans="1:50" s="30" customFormat="1" hidden="1" x14ac:dyDescent="0.25">
      <c r="A434" s="1407" t="str">
        <f>IF(COUNTIF('04 - 95% CD'!D434:G434,"Y")&gt;0,"Y",IF(COUNTIF('04 - 95% CD'!D434:G434,"N"),"N",""))</f>
        <v>N</v>
      </c>
      <c r="B434" s="191"/>
      <c r="C434" s="944"/>
      <c r="D434" s="321"/>
      <c r="E434" s="559" t="s">
        <v>38</v>
      </c>
      <c r="F434" s="560"/>
      <c r="G434" s="558"/>
      <c r="H434" s="410" t="str">
        <f>CONCATENATE(IF(F434="N","PLACEHOLDER ROW - ",""),'C-Design&amp;Const'!Z434,IF(F434="N","",J434))</f>
        <v>Stacked Floor Plans with space types show by color (include key)</v>
      </c>
      <c r="I434" s="146"/>
      <c r="J434" s="578" t="str">
        <f>IF('C-Design&amp;Const'!AI433="","",'C-Design&amp;Const'!AI433)</f>
        <v/>
      </c>
      <c r="K434" s="285" t="str">
        <f>IF((COUNTIF(D434:G434,"Y")=COUNTIF('04 - 95% CD'!A434,"Y")),"match","no 95% match")</f>
        <v>match</v>
      </c>
      <c r="L434" s="1410" t="str">
        <f t="shared" si="23"/>
        <v/>
      </c>
      <c r="M434" s="1382"/>
      <c r="N434" s="1382"/>
      <c r="O434" s="1382"/>
      <c r="P434" s="1382"/>
      <c r="Q434" s="1382"/>
      <c r="R434" s="1490"/>
      <c r="S434" s="1274"/>
      <c r="T434" s="1274"/>
      <c r="U434" s="1382"/>
      <c r="V434" s="1382"/>
      <c r="W434" s="1382"/>
      <c r="X434" s="1382"/>
      <c r="Y434" s="1382"/>
      <c r="Z434" s="1382"/>
      <c r="AA434" s="1382"/>
      <c r="AB434" s="1382"/>
      <c r="AC434" s="1382"/>
      <c r="AD434" s="1382"/>
      <c r="AE434" s="1382"/>
      <c r="AF434" s="1382"/>
      <c r="AG434" s="1382"/>
      <c r="AH434" s="1382"/>
      <c r="AI434" s="1382"/>
      <c r="AJ434" s="1382"/>
      <c r="AK434" s="181"/>
      <c r="AL434" s="181"/>
      <c r="AM434" s="181"/>
      <c r="AN434" s="181"/>
      <c r="AO434" s="181"/>
      <c r="AP434" s="181"/>
      <c r="AQ434" s="181"/>
      <c r="AR434" s="181"/>
      <c r="AS434" s="181"/>
      <c r="AT434" s="181"/>
      <c r="AU434" s="181"/>
      <c r="AV434" s="181"/>
      <c r="AW434" s="181"/>
    </row>
    <row r="435" spans="1:50" s="30" customFormat="1" hidden="1" x14ac:dyDescent="0.25">
      <c r="A435" s="1407" t="str">
        <f>IF(COUNTIF('04 - 95% CD'!D435:G435,"Y")&gt;0,"Y",IF(COUNTIF('04 - 95% CD'!D435:G435,"N"),"N",""))</f>
        <v>N</v>
      </c>
      <c r="B435" s="191"/>
      <c r="C435" s="944"/>
      <c r="D435" s="321"/>
      <c r="E435" s="559" t="s">
        <v>38</v>
      </c>
      <c r="F435" s="560"/>
      <c r="G435" s="558"/>
      <c r="H435" s="410" t="str">
        <f>CONCATENATE(IF(F435="N","PLACEHOLDER ROW - ",""),'C-Design&amp;Const'!Z435,IF(F435="N","",J435))</f>
        <v>Simple full building sections showing relative spaces and framing from floor to floor.</v>
      </c>
      <c r="I435" s="146"/>
      <c r="J435" s="578" t="str">
        <f>IF('C-Design&amp;Const'!AI435="","",'C-Design&amp;Const'!AI435)</f>
        <v/>
      </c>
      <c r="K435" s="285" t="str">
        <f>IF((COUNTIF(D435:G435,"Y")=COUNTIF('04 - 95% CD'!A435,"Y")),"match","no 95% match")</f>
        <v>match</v>
      </c>
      <c r="L435" s="1410" t="str">
        <f t="shared" si="23"/>
        <v/>
      </c>
      <c r="M435" s="1382"/>
      <c r="N435" s="1382"/>
      <c r="O435" s="1382"/>
      <c r="P435" s="1382"/>
      <c r="Q435" s="1382"/>
      <c r="R435" s="1490"/>
      <c r="S435" s="1274"/>
      <c r="T435" s="1274"/>
      <c r="U435" s="1382"/>
      <c r="V435" s="1382"/>
      <c r="W435" s="1382"/>
      <c r="X435" s="1382"/>
      <c r="Y435" s="1382"/>
      <c r="Z435" s="1382"/>
      <c r="AA435" s="1382"/>
      <c r="AB435" s="1382"/>
      <c r="AC435" s="1382"/>
      <c r="AD435" s="1382"/>
      <c r="AE435" s="1382"/>
      <c r="AF435" s="1382"/>
      <c r="AG435" s="1382"/>
      <c r="AH435" s="1382"/>
      <c r="AI435" s="1382"/>
      <c r="AJ435" s="1382"/>
      <c r="AK435" s="181"/>
      <c r="AL435" s="181"/>
      <c r="AM435" s="181"/>
      <c r="AN435" s="181"/>
      <c r="AO435" s="181"/>
      <c r="AP435" s="181"/>
      <c r="AQ435" s="181"/>
      <c r="AR435" s="181"/>
      <c r="AS435" s="181"/>
      <c r="AT435" s="181"/>
      <c r="AU435" s="181"/>
      <c r="AV435" s="181"/>
      <c r="AW435" s="181"/>
    </row>
    <row r="436" spans="1:50" s="30" customFormat="1" hidden="1" x14ac:dyDescent="0.25">
      <c r="A436" s="1407" t="str">
        <f>IF(COUNTIF('04 - 95% CD'!D436:G436,"Y")&gt;0,"Y",IF(COUNTIF('04 - 95% CD'!D436:G436,"N"),"N",""))</f>
        <v>N</v>
      </c>
      <c r="B436" s="191"/>
      <c r="C436" s="944"/>
      <c r="D436" s="321"/>
      <c r="E436" s="559" t="s">
        <v>38</v>
      </c>
      <c r="F436" s="560"/>
      <c r="G436" s="558"/>
      <c r="H436" s="410" t="str">
        <f>CONCATENATE(IF(F436="N","PLACEHOLDER ROW - ",""),'C-Design&amp;Const'!Z436,IF(F436="N","",J436))</f>
        <v>General Air Handling Unit Fan Maps</v>
      </c>
      <c r="I436" s="146"/>
      <c r="J436" s="578" t="str">
        <f>IF('C-Design&amp;Const'!AI436="","",'C-Design&amp;Const'!AI436)</f>
        <v/>
      </c>
      <c r="K436" s="285" t="str">
        <f>IF((COUNTIF(D436:G436,"Y")=COUNTIF('04 - 95% CD'!A436,"Y")),"match","no 95% match")</f>
        <v>match</v>
      </c>
      <c r="L436" s="1410" t="str">
        <f t="shared" si="23"/>
        <v/>
      </c>
      <c r="M436" s="1382"/>
      <c r="N436" s="1382"/>
      <c r="O436" s="1382"/>
      <c r="P436" s="1382"/>
      <c r="Q436" s="1382"/>
      <c r="R436" s="1490"/>
      <c r="S436" s="1274"/>
      <c r="T436" s="1274"/>
      <c r="U436" s="1382"/>
      <c r="V436" s="1382"/>
      <c r="W436" s="1382"/>
      <c r="X436" s="1382"/>
      <c r="Y436" s="1382"/>
      <c r="Z436" s="1382"/>
      <c r="AA436" s="1382"/>
      <c r="AB436" s="1382"/>
      <c r="AC436" s="1382"/>
      <c r="AD436" s="1382"/>
      <c r="AE436" s="1382"/>
      <c r="AF436" s="1382"/>
      <c r="AG436" s="1382"/>
      <c r="AH436" s="1382"/>
      <c r="AI436" s="1382"/>
      <c r="AJ436" s="1382"/>
      <c r="AK436" s="181"/>
      <c r="AL436" s="181"/>
      <c r="AM436" s="181"/>
      <c r="AN436" s="181"/>
      <c r="AO436" s="181"/>
      <c r="AP436" s="181"/>
      <c r="AQ436" s="181"/>
      <c r="AR436" s="181"/>
      <c r="AS436" s="181"/>
      <c r="AT436" s="181"/>
      <c r="AU436" s="181"/>
      <c r="AV436" s="181"/>
      <c r="AW436" s="181"/>
    </row>
    <row r="437" spans="1:50" s="30" customFormat="1" hidden="1" x14ac:dyDescent="0.25">
      <c r="A437" s="1407" t="str">
        <f>IF(COUNTIF('04 - 95% CD'!D437:G437,"Y")&gt;0,"Y",IF(COUNTIF('04 - 95% CD'!D437:G437,"N"),"N",""))</f>
        <v>N</v>
      </c>
      <c r="B437" s="191"/>
      <c r="C437" s="944"/>
      <c r="D437" s="321"/>
      <c r="E437" s="559" t="s">
        <v>38</v>
      </c>
      <c r="F437" s="560"/>
      <c r="G437" s="558"/>
      <c r="H437" s="410" t="str">
        <f>CONCATENATE(IF(F437="N","PLACEHOLDER ROW - ",""),'C-Design&amp;Const'!Z437,IF(F437="N","",J437))</f>
        <v>Incorporated Comments from CDAC</v>
      </c>
      <c r="I437" s="146"/>
      <c r="J437" s="578" t="str">
        <f>IF('C-Design&amp;Const'!AI437="","",'C-Design&amp;Const'!AI437)</f>
        <v/>
      </c>
      <c r="K437" s="285" t="str">
        <f>IF((COUNTIF(D437:G437,"Y")=COUNTIF('04 - 95% CD'!A437,"Y")),"match","no 95% match")</f>
        <v>match</v>
      </c>
      <c r="L437" s="1410" t="str">
        <f t="shared" si="23"/>
        <v/>
      </c>
      <c r="M437" s="1382"/>
      <c r="N437" s="1382"/>
      <c r="O437" s="1382"/>
      <c r="P437" s="1382"/>
      <c r="Q437" s="1382"/>
      <c r="R437" s="1490"/>
      <c r="S437" s="1274"/>
      <c r="T437" s="1274"/>
      <c r="U437" s="1382"/>
      <c r="V437" s="1382"/>
      <c r="W437" s="1382"/>
      <c r="X437" s="1382"/>
      <c r="Y437" s="1382"/>
      <c r="Z437" s="1382"/>
      <c r="AA437" s="1382"/>
      <c r="AB437" s="1382"/>
      <c r="AC437" s="1382"/>
      <c r="AD437" s="1382"/>
      <c r="AE437" s="1382"/>
      <c r="AF437" s="1382"/>
      <c r="AG437" s="1382"/>
      <c r="AH437" s="1382"/>
      <c r="AI437" s="1382"/>
      <c r="AJ437" s="1382"/>
      <c r="AK437" s="181"/>
      <c r="AL437" s="181"/>
      <c r="AM437" s="181"/>
      <c r="AN437" s="181"/>
      <c r="AO437" s="181"/>
      <c r="AP437" s="181"/>
      <c r="AQ437" s="181"/>
      <c r="AR437" s="181"/>
      <c r="AS437" s="181"/>
      <c r="AT437" s="181"/>
      <c r="AU437" s="181"/>
      <c r="AV437" s="181"/>
      <c r="AW437" s="181"/>
    </row>
    <row r="438" spans="1:50" s="30" customFormat="1" hidden="1" x14ac:dyDescent="0.25">
      <c r="A438" s="1407" t="str">
        <f>IF(COUNTIF('04 - 95% CD'!D438:G438,"Y")&gt;0,"Y",IF(COUNTIF('04 - 95% CD'!D438:G438,"N"),"N",""))</f>
        <v>N</v>
      </c>
      <c r="B438" s="191"/>
      <c r="C438" s="944"/>
      <c r="D438" s="321"/>
      <c r="E438" s="559" t="s">
        <v>38</v>
      </c>
      <c r="F438" s="560"/>
      <c r="G438" s="558"/>
      <c r="H438" s="410" t="str">
        <f>CONCATENATE(IF(F438="N","PLACEHOLDER ROW - ",""),'C-Design&amp;Const'!Z438,IF(F438="N","",J438))</f>
        <v>CUSTOM ROW - OPTIONAL CLIENT ITEM</v>
      </c>
      <c r="I438" s="146"/>
      <c r="J438" s="578" t="str">
        <f>IF('C-Design&amp;Const'!AI438="","",'C-Design&amp;Const'!AI438)</f>
        <v/>
      </c>
      <c r="K438" s="285" t="str">
        <f>IF((COUNTIF(D438:G438,"Y")=COUNTIF('04 - 95% CD'!A438,"Y")),"match","no 95% match")</f>
        <v>match</v>
      </c>
      <c r="L438" s="1410" t="str">
        <f t="shared" si="23"/>
        <v/>
      </c>
      <c r="M438" s="1382"/>
      <c r="N438" s="1382"/>
      <c r="O438" s="1382"/>
      <c r="P438" s="1382"/>
      <c r="Q438" s="1382"/>
      <c r="R438" s="1490"/>
      <c r="S438" s="1274"/>
      <c r="T438" s="1274"/>
      <c r="U438" s="1382"/>
      <c r="V438" s="1382"/>
      <c r="W438" s="1382"/>
      <c r="X438" s="1382"/>
      <c r="Y438" s="1382"/>
      <c r="Z438" s="1382"/>
      <c r="AA438" s="1382"/>
      <c r="AB438" s="1382"/>
      <c r="AC438" s="1382"/>
      <c r="AD438" s="1382"/>
      <c r="AE438" s="1382"/>
      <c r="AF438" s="1382"/>
      <c r="AG438" s="1382"/>
      <c r="AH438" s="1382"/>
      <c r="AI438" s="1382"/>
      <c r="AJ438" s="1382"/>
      <c r="AK438" s="181"/>
      <c r="AL438" s="181"/>
      <c r="AM438" s="181"/>
      <c r="AN438" s="181"/>
      <c r="AO438" s="181"/>
      <c r="AP438" s="181"/>
      <c r="AQ438" s="181"/>
      <c r="AR438" s="181"/>
      <c r="AS438" s="181"/>
      <c r="AT438" s="181"/>
      <c r="AU438" s="181"/>
      <c r="AV438" s="181"/>
      <c r="AW438" s="181"/>
    </row>
    <row r="439" spans="1:50" s="30" customFormat="1" hidden="1" x14ac:dyDescent="0.25">
      <c r="A439" s="1407" t="str">
        <f>IF(COUNTIF('04 - 95% CD'!D439:G439,"Y")&gt;0,"Y",IF(COUNTIF('04 - 95% CD'!D439:G439,"N"),"N",""))</f>
        <v>N</v>
      </c>
      <c r="B439" s="191"/>
      <c r="C439" s="944"/>
      <c r="D439" s="321"/>
      <c r="E439" s="559" t="s">
        <v>38</v>
      </c>
      <c r="F439" s="560"/>
      <c r="G439" s="558"/>
      <c r="H439" s="410" t="str">
        <f>CONCATENATE(IF(F439="N","PLACEHOLDER ROW - ",""),'C-Design&amp;Const'!Z439,IF(F439="N","",J439))</f>
        <v>CUSTOM ROW - OPTIONAL CLIENT ITEM</v>
      </c>
      <c r="I439" s="146"/>
      <c r="J439" s="578" t="str">
        <f>IF('C-Design&amp;Const'!AI439="","",'C-Design&amp;Const'!AI439)</f>
        <v/>
      </c>
      <c r="K439" s="285" t="str">
        <f>IF((COUNTIF(D439:G439,"Y")=COUNTIF('04 - 95% CD'!A439,"Y")),"match","no 95% match")</f>
        <v>match</v>
      </c>
      <c r="L439" s="1410" t="str">
        <f t="shared" si="23"/>
        <v/>
      </c>
      <c r="M439" s="1382"/>
      <c r="N439" s="1382"/>
      <c r="O439" s="1382"/>
      <c r="P439" s="1382"/>
      <c r="Q439" s="1382"/>
      <c r="R439" s="1490"/>
      <c r="S439" s="1274"/>
      <c r="T439" s="1274"/>
      <c r="U439" s="1382"/>
      <c r="V439" s="1382"/>
      <c r="W439" s="1382"/>
      <c r="X439" s="1382"/>
      <c r="Y439" s="1382"/>
      <c r="Z439" s="1382"/>
      <c r="AA439" s="1382"/>
      <c r="AB439" s="1382"/>
      <c r="AC439" s="1382"/>
      <c r="AD439" s="1382"/>
      <c r="AE439" s="1382"/>
      <c r="AF439" s="1382"/>
      <c r="AG439" s="1382"/>
      <c r="AH439" s="1382"/>
      <c r="AI439" s="1382"/>
      <c r="AJ439" s="1382"/>
      <c r="AK439" s="181"/>
      <c r="AL439" s="181"/>
      <c r="AM439" s="181"/>
      <c r="AN439" s="181"/>
      <c r="AO439" s="181"/>
      <c r="AP439" s="181"/>
      <c r="AQ439" s="181"/>
      <c r="AR439" s="181"/>
      <c r="AS439" s="181"/>
      <c r="AT439" s="181"/>
      <c r="AU439" s="181"/>
      <c r="AV439" s="181"/>
      <c r="AW439" s="181"/>
    </row>
    <row r="440" spans="1:50" s="30" customFormat="1" hidden="1" x14ac:dyDescent="0.25">
      <c r="A440" s="1407" t="str">
        <f>IF(COUNTIF('04 - 95% CD'!D440:G440,"Y")&gt;0,"Y",IF(COUNTIF('04 - 95% CD'!D440:G440,"N"),"N",""))</f>
        <v>N</v>
      </c>
      <c r="B440" s="191"/>
      <c r="C440" s="944"/>
      <c r="D440" s="321"/>
      <c r="E440" s="559" t="s">
        <v>38</v>
      </c>
      <c r="F440" s="560"/>
      <c r="G440" s="558"/>
      <c r="H440" s="410" t="str">
        <f>CONCATENATE(IF(F440="N","PLACEHOLDER ROW - ",""),'C-Design&amp;Const'!Z440,IF(F440="N","",J440))</f>
        <v>CUSTOM ROW - OPTIONAL CLIENT ITEM</v>
      </c>
      <c r="I440" s="146"/>
      <c r="J440" s="578" t="str">
        <f>IF('C-Design&amp;Const'!AI440="","",'C-Design&amp;Const'!AI440)</f>
        <v/>
      </c>
      <c r="K440" s="285" t="str">
        <f>IF((COUNTIF(D440:G440,"Y")=COUNTIF('04 - 95% CD'!A440,"Y")),"match","no 95% match")</f>
        <v>match</v>
      </c>
      <c r="L440" s="1410" t="str">
        <f t="shared" si="23"/>
        <v/>
      </c>
      <c r="M440" s="1382"/>
      <c r="N440" s="1382"/>
      <c r="O440" s="1382"/>
      <c r="P440" s="1382"/>
      <c r="Q440" s="1382"/>
      <c r="R440" s="1490"/>
      <c r="S440" s="1274"/>
      <c r="T440" s="1274"/>
      <c r="U440" s="1382"/>
      <c r="V440" s="1382"/>
      <c r="W440" s="1382"/>
      <c r="X440" s="1382"/>
      <c r="Y440" s="1382"/>
      <c r="Z440" s="1382"/>
      <c r="AA440" s="1382"/>
      <c r="AB440" s="1382"/>
      <c r="AC440" s="1382"/>
      <c r="AD440" s="1382"/>
      <c r="AE440" s="1382"/>
      <c r="AF440" s="1382"/>
      <c r="AG440" s="1382"/>
      <c r="AH440" s="1382"/>
      <c r="AI440" s="1382"/>
      <c r="AJ440" s="1382"/>
      <c r="AK440" s="181"/>
      <c r="AL440" s="181"/>
      <c r="AM440" s="181"/>
      <c r="AN440" s="181"/>
      <c r="AO440" s="181"/>
      <c r="AP440" s="181"/>
      <c r="AQ440" s="181"/>
      <c r="AR440" s="181"/>
      <c r="AS440" s="181"/>
      <c r="AT440" s="181"/>
      <c r="AU440" s="181"/>
      <c r="AV440" s="181"/>
      <c r="AW440" s="181"/>
    </row>
    <row r="441" spans="1:50" s="30" customFormat="1" x14ac:dyDescent="0.25">
      <c r="A441" s="1407" t="str">
        <f>IF(COUNTIF('04 - 95% CD'!D441:G441,"Y")&gt;0,"Y",IF(COUNTIF('04 - 95% CD'!D441:G441,"N"),"N",""))</f>
        <v/>
      </c>
      <c r="B441" s="191"/>
      <c r="C441" s="944"/>
      <c r="D441" s="411"/>
      <c r="E441" s="411"/>
      <c r="F441" s="411"/>
      <c r="G441" s="511"/>
      <c r="H441" s="411"/>
      <c r="I441" s="146"/>
      <c r="J441" s="578" t="str">
        <f>IF('C-Design&amp;Const'!AI441="","",'C-Design&amp;Const'!AI441)</f>
        <v/>
      </c>
      <c r="K441" s="285" t="str">
        <f>IF((COUNTIF(D441:G441,"Y")=COUNTIF('04 - 95% CD'!A441,"Y")),"match","no 95% match")</f>
        <v>match</v>
      </c>
      <c r="L441" s="1410" t="str">
        <f t="shared" si="23"/>
        <v/>
      </c>
      <c r="M441" s="1382"/>
      <c r="N441" s="1382"/>
      <c r="O441" s="1382"/>
      <c r="P441" s="1382"/>
      <c r="Q441" s="1382"/>
      <c r="R441" s="1490"/>
      <c r="S441" s="1274"/>
      <c r="T441" s="1274"/>
      <c r="U441" s="1382"/>
      <c r="V441" s="1382"/>
      <c r="W441" s="1382"/>
      <c r="X441" s="1382"/>
      <c r="Y441" s="1382"/>
      <c r="Z441" s="1382"/>
      <c r="AA441" s="1382"/>
      <c r="AB441" s="1382"/>
      <c r="AC441" s="1382"/>
      <c r="AD441" s="1382"/>
      <c r="AE441" s="1382"/>
      <c r="AF441" s="1382"/>
      <c r="AG441" s="1382"/>
      <c r="AH441" s="1382"/>
      <c r="AI441" s="1382"/>
      <c r="AJ441" s="1382"/>
      <c r="AK441" s="181"/>
      <c r="AL441" s="181"/>
      <c r="AM441" s="181"/>
      <c r="AN441" s="181"/>
      <c r="AO441" s="181"/>
      <c r="AP441" s="181"/>
      <c r="AQ441" s="181"/>
      <c r="AR441" s="181"/>
      <c r="AS441" s="181"/>
      <c r="AT441" s="181"/>
      <c r="AU441" s="181"/>
      <c r="AV441" s="181"/>
      <c r="AW441" s="181"/>
    </row>
    <row r="442" spans="1:50" s="30" customFormat="1" x14ac:dyDescent="0.25">
      <c r="A442" s="1407" t="str">
        <f>IF(COUNTIF('04 - 95% CD'!D442:G442,"Y")&gt;0,"Y",IF(COUNTIF('04 - 95% CD'!D442:G442,"N"),"N",""))</f>
        <v/>
      </c>
      <c r="B442" s="191"/>
      <c r="C442" s="944"/>
      <c r="D442" s="411"/>
      <c r="E442" s="411"/>
      <c r="F442" s="411"/>
      <c r="G442" s="511"/>
      <c r="H442" s="411"/>
      <c r="I442" s="146"/>
      <c r="J442" s="578" t="str">
        <f>IF('C-Design&amp;Const'!AI442="","",'C-Design&amp;Const'!AI442)</f>
        <v/>
      </c>
      <c r="K442" s="285" t="str">
        <f>IF((COUNTIF(D442:G442,"Y")=COUNTIF('04 - 95% CD'!A442,"Y")),"match","no 95% match")</f>
        <v>match</v>
      </c>
      <c r="L442" s="1410" t="str">
        <f t="shared" si="23"/>
        <v/>
      </c>
      <c r="M442" s="1382"/>
      <c r="N442" s="1382"/>
      <c r="O442" s="1382"/>
      <c r="P442" s="1382"/>
      <c r="Q442" s="1382"/>
      <c r="R442" s="1490"/>
      <c r="S442" s="1274"/>
      <c r="T442" s="1274"/>
      <c r="U442" s="1382"/>
      <c r="V442" s="1382"/>
      <c r="W442" s="1382"/>
      <c r="X442" s="1382"/>
      <c r="Y442" s="1382"/>
      <c r="Z442" s="1382"/>
      <c r="AA442" s="1382"/>
      <c r="AB442" s="1382"/>
      <c r="AC442" s="1382"/>
      <c r="AD442" s="1382"/>
      <c r="AE442" s="1382"/>
      <c r="AF442" s="1382"/>
      <c r="AG442" s="1382"/>
      <c r="AH442" s="1382"/>
      <c r="AI442" s="1382"/>
      <c r="AJ442" s="1382"/>
      <c r="AK442" s="181"/>
      <c r="AL442" s="181"/>
      <c r="AM442" s="181"/>
      <c r="AN442" s="181"/>
      <c r="AO442" s="181"/>
      <c r="AP442" s="181"/>
      <c r="AQ442" s="181"/>
      <c r="AR442" s="181"/>
      <c r="AS442" s="181"/>
      <c r="AT442" s="181"/>
      <c r="AU442" s="181"/>
      <c r="AV442" s="181"/>
      <c r="AW442" s="181"/>
    </row>
    <row r="443" spans="1:50" s="181" customFormat="1" ht="38.25" customHeight="1" x14ac:dyDescent="0.25">
      <c r="A443" s="1501" t="str">
        <f>IF(COUNTIF('04 - 95% CD'!D443:G443,"Y")&gt;0,"Y",IF(COUNTIF('04 - 95% CD'!D443:G443,"N"),"N",""))</f>
        <v>N</v>
      </c>
      <c r="B443" s="177"/>
      <c r="C443" s="944"/>
      <c r="D443" s="559" t="str">
        <f>IF('C-Design&amp;Const'!$Q443="","",'C-Design&amp;Const'!$Q443)</f>
        <v>N</v>
      </c>
      <c r="E443" s="234"/>
      <c r="F443" s="235"/>
      <c r="G443" s="291" t="str">
        <f>IF('C-Design&amp;Const'!Y443="","",'C-Design&amp;Const'!Y443)</f>
        <v>09.</v>
      </c>
      <c r="H443" s="290" t="str">
        <f>CONCATENATE('C-Design&amp;Const'!Z443,IF(D443="N"," Not Used In This Construction Phase",J443))</f>
        <v>Illinois State Historic Preservation Office (ISHPO) Not Used In This Construction Phase</v>
      </c>
      <c r="I443" s="146"/>
      <c r="J443" s="578" t="str">
        <f>IF('C-Design&amp;Const'!AI443="","",'C-Design&amp;Const'!AI443)</f>
        <v/>
      </c>
      <c r="K443" s="285" t="str">
        <f>IF((COUNTIF(D443:G443,"Y")=COUNTIF('04 - 95% CD'!A443,"Y")),"match","no 95% match")</f>
        <v>match</v>
      </c>
      <c r="L443" s="1410" t="str">
        <f t="shared" si="23"/>
        <v/>
      </c>
      <c r="M443" s="1382"/>
      <c r="N443" s="1382"/>
      <c r="O443" s="1382"/>
      <c r="P443" s="1382"/>
      <c r="Q443" s="1382"/>
      <c r="R443" s="1447"/>
      <c r="S443" s="1448"/>
      <c r="T443" s="1274"/>
      <c r="U443" s="1382"/>
      <c r="V443" s="1382"/>
      <c r="W443" s="1382"/>
      <c r="X443" s="1382"/>
      <c r="Y443" s="1382"/>
      <c r="Z443" s="1382"/>
      <c r="AA443" s="1382"/>
      <c r="AB443" s="1382"/>
      <c r="AC443" s="1382"/>
      <c r="AD443" s="1382"/>
      <c r="AE443" s="1382"/>
      <c r="AF443" s="1382"/>
      <c r="AG443" s="1382"/>
      <c r="AH443" s="1382"/>
      <c r="AI443" s="1382"/>
      <c r="AJ443" s="1382"/>
      <c r="AX443" s="30"/>
    </row>
    <row r="444" spans="1:50" s="181" customFormat="1" ht="15" hidden="1" customHeight="1" x14ac:dyDescent="0.25">
      <c r="A444" s="1407" t="str">
        <f>IF(COUNTIF('04 - 95% CD'!D444:G444,"Y")&gt;0,"Y",IF(COUNTIF('04 - 95% CD'!D444:G444,"N"),"N",""))</f>
        <v>N</v>
      </c>
      <c r="B444" s="177"/>
      <c r="C444" s="944"/>
      <c r="D444" s="297"/>
      <c r="E444" s="559" t="s">
        <v>38</v>
      </c>
      <c r="F444" s="502"/>
      <c r="G444" s="558"/>
      <c r="H444" s="410" t="str">
        <f>CONCATENATE(IF(F444="N","PLACEHOLDER ROW - ",""),'C-Design&amp;Const'!Z444,IF(F444="N","",J444))</f>
        <v>Meeting notes from walk through with ISHPO</v>
      </c>
      <c r="I444" s="146"/>
      <c r="J444" s="578" t="str">
        <f>IF('C-Design&amp;Const'!AI444="","",'C-Design&amp;Const'!AI444)</f>
        <v/>
      </c>
      <c r="K444" s="285" t="str">
        <f>IF((COUNTIF(D444:G444,"Y")=COUNTIF('04 - 95% CD'!A444,"Y")),"match","no 95% match")</f>
        <v>match</v>
      </c>
      <c r="L444" s="1410" t="str">
        <f t="shared" si="23"/>
        <v/>
      </c>
      <c r="M444" s="1382"/>
      <c r="N444" s="1382"/>
      <c r="O444" s="1382"/>
      <c r="P444" s="1382"/>
      <c r="Q444" s="1382"/>
      <c r="R444" s="1447"/>
      <c r="S444" s="1448"/>
      <c r="T444" s="1274"/>
      <c r="U444" s="1382"/>
      <c r="V444" s="1382"/>
      <c r="W444" s="1382"/>
      <c r="X444" s="1382"/>
      <c r="Y444" s="1382"/>
      <c r="Z444" s="1382"/>
      <c r="AA444" s="1382"/>
      <c r="AB444" s="1382"/>
      <c r="AC444" s="1382"/>
      <c r="AD444" s="1382"/>
      <c r="AE444" s="1382"/>
      <c r="AF444" s="1382"/>
      <c r="AG444" s="1382"/>
      <c r="AH444" s="1382"/>
      <c r="AI444" s="1382"/>
      <c r="AJ444" s="1382"/>
      <c r="AX444" s="30"/>
    </row>
    <row r="445" spans="1:50" s="181" customFormat="1" ht="15" hidden="1" customHeight="1" x14ac:dyDescent="0.25">
      <c r="A445" s="1407" t="str">
        <f>IF(COUNTIF('04 - 95% CD'!D445:G445,"Y")&gt;0,"Y",IF(COUNTIF('04 - 95% CD'!D445:G445,"N"),"N",""))</f>
        <v>N</v>
      </c>
      <c r="B445" s="177"/>
      <c r="C445" s="944"/>
      <c r="D445" s="297"/>
      <c r="E445" s="559" t="s">
        <v>38</v>
      </c>
      <c r="F445" s="502"/>
      <c r="G445" s="558"/>
      <c r="H445" s="410" t="str">
        <f>CONCATENATE(IF(F445="N","PLACEHOLDER ROW - ",""),'C-Design&amp;Const'!Z445,IF(F445="N","",J445))</f>
        <v>Narrative on building and historical significance</v>
      </c>
      <c r="I445" s="146"/>
      <c r="J445" s="578" t="str">
        <f>IF('C-Design&amp;Const'!AI445="","",'C-Design&amp;Const'!AI445)</f>
        <v/>
      </c>
      <c r="K445" s="285" t="str">
        <f>IF((COUNTIF(D445:G445,"Y")=COUNTIF('04 - 95% CD'!A445,"Y")),"match","no 95% match")</f>
        <v>match</v>
      </c>
      <c r="L445" s="1410" t="str">
        <f t="shared" si="23"/>
        <v/>
      </c>
      <c r="M445" s="1382"/>
      <c r="N445" s="1382"/>
      <c r="O445" s="1382"/>
      <c r="P445" s="1382"/>
      <c r="Q445" s="1382"/>
      <c r="R445" s="1447"/>
      <c r="S445" s="1448"/>
      <c r="T445" s="1274"/>
      <c r="U445" s="1382"/>
      <c r="V445" s="1382"/>
      <c r="W445" s="1382"/>
      <c r="X445" s="1382"/>
      <c r="Y445" s="1382"/>
      <c r="Z445" s="1382"/>
      <c r="AA445" s="1382"/>
      <c r="AB445" s="1382"/>
      <c r="AC445" s="1382"/>
      <c r="AD445" s="1382"/>
      <c r="AE445" s="1382"/>
      <c r="AF445" s="1382"/>
      <c r="AG445" s="1382"/>
      <c r="AH445" s="1382"/>
      <c r="AI445" s="1382"/>
      <c r="AJ445" s="1382"/>
      <c r="AX445" s="30"/>
    </row>
    <row r="446" spans="1:50" s="181" customFormat="1" ht="15" hidden="1" customHeight="1" x14ac:dyDescent="0.25">
      <c r="A446" s="1407" t="str">
        <f>IF(COUNTIF('04 - 95% CD'!D446:G446,"Y")&gt;0,"Y",IF(COUNTIF('04 - 95% CD'!D446:G446,"N"),"N",""))</f>
        <v>N</v>
      </c>
      <c r="B446" s="177"/>
      <c r="C446" s="944"/>
      <c r="D446" s="297"/>
      <c r="E446" s="559" t="s">
        <v>38</v>
      </c>
      <c r="F446" s="502"/>
      <c r="G446" s="558"/>
      <c r="H446" s="410" t="str">
        <f>CONCATENATE(IF(F446="N","PLACEHOLDER ROW - ",""),'C-Design&amp;Const'!Z446,IF(F446="N","",J446))</f>
        <v>Exterior Photographic Documentation</v>
      </c>
      <c r="I446" s="146"/>
      <c r="J446" s="578" t="str">
        <f>IF('C-Design&amp;Const'!AI446="","",'C-Design&amp;Const'!AI446)</f>
        <v/>
      </c>
      <c r="K446" s="285" t="str">
        <f>IF((COUNTIF(D446:G446,"Y")=COUNTIF('04 - 95% CD'!A446,"Y")),"match","no 95% match")</f>
        <v>match</v>
      </c>
      <c r="L446" s="1410" t="str">
        <f t="shared" si="23"/>
        <v/>
      </c>
      <c r="M446" s="1382"/>
      <c r="N446" s="1382"/>
      <c r="O446" s="1382"/>
      <c r="P446" s="1382"/>
      <c r="Q446" s="1382"/>
      <c r="R446" s="1447"/>
      <c r="S446" s="1448"/>
      <c r="T446" s="1274"/>
      <c r="U446" s="1382"/>
      <c r="V446" s="1382"/>
      <c r="W446" s="1382"/>
      <c r="X446" s="1382"/>
      <c r="Y446" s="1382"/>
      <c r="Z446" s="1382"/>
      <c r="AA446" s="1382"/>
      <c r="AB446" s="1382"/>
      <c r="AC446" s="1382"/>
      <c r="AD446" s="1382"/>
      <c r="AE446" s="1382"/>
      <c r="AF446" s="1382"/>
      <c r="AG446" s="1382"/>
      <c r="AH446" s="1382"/>
      <c r="AI446" s="1382"/>
      <c r="AJ446" s="1382"/>
      <c r="AX446" s="30"/>
    </row>
    <row r="447" spans="1:50" s="181" customFormat="1" ht="15" hidden="1" customHeight="1" x14ac:dyDescent="0.25">
      <c r="A447" s="1407" t="str">
        <f>IF(COUNTIF('04 - 95% CD'!D447:G447,"Y")&gt;0,"Y",IF(COUNTIF('04 - 95% CD'!D447:G447,"N"),"N",""))</f>
        <v>N</v>
      </c>
      <c r="B447" s="177"/>
      <c r="C447" s="944"/>
      <c r="D447" s="297"/>
      <c r="E447" s="559" t="s">
        <v>38</v>
      </c>
      <c r="F447" s="502"/>
      <c r="G447" s="558"/>
      <c r="H447" s="410" t="str">
        <f>CONCATENATE(IF(F447="N","PLACEHOLDER ROW - ",""),'C-Design&amp;Const'!Z447,IF(F447="N","",J447))</f>
        <v>Exterior preservation drawings</v>
      </c>
      <c r="I447" s="146"/>
      <c r="J447" s="578" t="str">
        <f>IF('C-Design&amp;Const'!AI447="","",'C-Design&amp;Const'!AI447)</f>
        <v/>
      </c>
      <c r="K447" s="285" t="str">
        <f>IF((COUNTIF(D447:G447,"Y")=COUNTIF('04 - 95% CD'!A447,"Y")),"match","no 95% match")</f>
        <v>match</v>
      </c>
      <c r="L447" s="1410" t="str">
        <f t="shared" si="23"/>
        <v/>
      </c>
      <c r="M447" s="1382"/>
      <c r="N447" s="1382"/>
      <c r="O447" s="1382"/>
      <c r="P447" s="1382"/>
      <c r="Q447" s="1382"/>
      <c r="R447" s="1447"/>
      <c r="S447" s="1448"/>
      <c r="T447" s="1274"/>
      <c r="U447" s="1382"/>
      <c r="V447" s="1382"/>
      <c r="W447" s="1382"/>
      <c r="X447" s="1382"/>
      <c r="Y447" s="1382"/>
      <c r="Z447" s="1382"/>
      <c r="AA447" s="1382"/>
      <c r="AB447" s="1382"/>
      <c r="AC447" s="1382"/>
      <c r="AD447" s="1382"/>
      <c r="AE447" s="1382"/>
      <c r="AF447" s="1382"/>
      <c r="AG447" s="1382"/>
      <c r="AH447" s="1382"/>
      <c r="AI447" s="1382"/>
      <c r="AJ447" s="1382"/>
      <c r="AX447" s="30"/>
    </row>
    <row r="448" spans="1:50" s="181" customFormat="1" ht="15" hidden="1" customHeight="1" x14ac:dyDescent="0.25">
      <c r="A448" s="1407" t="str">
        <f>IF(COUNTIF('04 - 95% CD'!D448:G448,"Y")&gt;0,"Y",IF(COUNTIF('04 - 95% CD'!D448:G448,"N"),"N",""))</f>
        <v>N</v>
      </c>
      <c r="B448" s="177"/>
      <c r="C448" s="944"/>
      <c r="D448" s="297"/>
      <c r="E448" s="559" t="s">
        <v>38</v>
      </c>
      <c r="F448" s="502"/>
      <c r="G448" s="558"/>
      <c r="H448" s="410" t="str">
        <f>CONCATENATE(IF(F448="N","PLACEHOLDER ROW - ",""),'C-Design&amp;Const'!Z448,IF(F448="N","",J448))</f>
        <v>Interior Photographic Documentation</v>
      </c>
      <c r="I448" s="146"/>
      <c r="J448" s="578" t="str">
        <f>IF('C-Design&amp;Const'!AI448="","",'C-Design&amp;Const'!AI448)</f>
        <v/>
      </c>
      <c r="K448" s="285" t="str">
        <f>IF((COUNTIF(D448:G448,"Y")=COUNTIF('04 - 95% CD'!A448,"Y")),"match","no 95% match")</f>
        <v>match</v>
      </c>
      <c r="L448" s="1410" t="str">
        <f t="shared" si="23"/>
        <v/>
      </c>
      <c r="M448" s="1382"/>
      <c r="N448" s="1382"/>
      <c r="O448" s="1382"/>
      <c r="P448" s="1382"/>
      <c r="Q448" s="1382"/>
      <c r="R448" s="1447"/>
      <c r="S448" s="1448"/>
      <c r="T448" s="1274"/>
      <c r="U448" s="1382"/>
      <c r="V448" s="1382"/>
      <c r="W448" s="1382"/>
      <c r="X448" s="1382"/>
      <c r="Y448" s="1382"/>
      <c r="Z448" s="1382"/>
      <c r="AA448" s="1382"/>
      <c r="AB448" s="1382"/>
      <c r="AC448" s="1382"/>
      <c r="AD448" s="1382"/>
      <c r="AE448" s="1382"/>
      <c r="AF448" s="1382"/>
      <c r="AG448" s="1382"/>
      <c r="AH448" s="1382"/>
      <c r="AI448" s="1382"/>
      <c r="AJ448" s="1382"/>
      <c r="AX448" s="30"/>
    </row>
    <row r="449" spans="1:50" s="181" customFormat="1" ht="15" hidden="1" customHeight="1" x14ac:dyDescent="0.25">
      <c r="A449" s="1407" t="str">
        <f>IF(COUNTIF('04 - 95% CD'!D449:G449,"Y")&gt;0,"Y",IF(COUNTIF('04 - 95% CD'!D449:G449,"N"),"N",""))</f>
        <v>N</v>
      </c>
      <c r="B449" s="177"/>
      <c r="C449" s="944"/>
      <c r="D449" s="297"/>
      <c r="E449" s="559" t="s">
        <v>38</v>
      </c>
      <c r="F449" s="502"/>
      <c r="G449" s="558"/>
      <c r="H449" s="410" t="str">
        <f>CONCATENATE(IF(F449="N","PLACEHOLDER ROW - ",""),'C-Design&amp;Const'!Z449,IF(F449="N","",J449))</f>
        <v>Interior preservation drawings</v>
      </c>
      <c r="I449" s="146"/>
      <c r="J449" s="578" t="str">
        <f>IF('C-Design&amp;Const'!AI449="","",'C-Design&amp;Const'!AI449)</f>
        <v/>
      </c>
      <c r="K449" s="285" t="str">
        <f>IF((COUNTIF(D449:G449,"Y")=COUNTIF('04 - 95% CD'!A449,"Y")),"match","no 95% match")</f>
        <v>match</v>
      </c>
      <c r="L449" s="1410" t="str">
        <f t="shared" si="23"/>
        <v/>
      </c>
      <c r="M449" s="1382"/>
      <c r="N449" s="1382"/>
      <c r="O449" s="1382"/>
      <c r="P449" s="1382"/>
      <c r="Q449" s="1382"/>
      <c r="R449" s="1447"/>
      <c r="S449" s="1448"/>
      <c r="T449" s="1274"/>
      <c r="U449" s="1382"/>
      <c r="V449" s="1382"/>
      <c r="W449" s="1382"/>
      <c r="X449" s="1382"/>
      <c r="Y449" s="1382"/>
      <c r="Z449" s="1382"/>
      <c r="AA449" s="1382"/>
      <c r="AB449" s="1382"/>
      <c r="AC449" s="1382"/>
      <c r="AD449" s="1382"/>
      <c r="AE449" s="1382"/>
      <c r="AF449" s="1382"/>
      <c r="AG449" s="1382"/>
      <c r="AH449" s="1382"/>
      <c r="AI449" s="1382"/>
      <c r="AJ449" s="1382"/>
      <c r="AX449" s="30"/>
    </row>
    <row r="450" spans="1:50" s="181" customFormat="1" ht="15" hidden="1" customHeight="1" x14ac:dyDescent="0.25">
      <c r="A450" s="1407" t="str">
        <f>IF(COUNTIF('04 - 95% CD'!D450:G450,"Y")&gt;0,"Y",IF(COUNTIF('04 - 95% CD'!D450:G450,"N"),"N",""))</f>
        <v>N</v>
      </c>
      <c r="B450" s="177"/>
      <c r="C450" s="944"/>
      <c r="D450" s="297"/>
      <c r="E450" s="559" t="s">
        <v>38</v>
      </c>
      <c r="F450" s="502"/>
      <c r="G450" s="558"/>
      <c r="H450" s="410" t="str">
        <f>CONCATENATE(IF(F450="N","PLACEHOLDER ROW - ",""),'C-Design&amp;Const'!Z450,IF(F450="N","",J450))</f>
        <v>Historic Illinois Building Survey</v>
      </c>
      <c r="I450" s="146"/>
      <c r="J450" s="578" t="str">
        <f>IF('C-Design&amp;Const'!AI450="","",'C-Design&amp;Const'!AI450)</f>
        <v/>
      </c>
      <c r="K450" s="285" t="str">
        <f>IF((COUNTIF(D450:G450,"Y")=COUNTIF('04 - 95% CD'!A450,"Y")),"match","no 95% match")</f>
        <v>match</v>
      </c>
      <c r="L450" s="1410" t="str">
        <f t="shared" si="23"/>
        <v/>
      </c>
      <c r="M450" s="1382"/>
      <c r="N450" s="1382"/>
      <c r="O450" s="1382"/>
      <c r="P450" s="1382"/>
      <c r="Q450" s="1382"/>
      <c r="R450" s="1447"/>
      <c r="S450" s="1448"/>
      <c r="T450" s="1274"/>
      <c r="U450" s="1382"/>
      <c r="V450" s="1382"/>
      <c r="W450" s="1382"/>
      <c r="X450" s="1382"/>
      <c r="Y450" s="1382"/>
      <c r="Z450" s="1382"/>
      <c r="AA450" s="1382"/>
      <c r="AB450" s="1382"/>
      <c r="AC450" s="1382"/>
      <c r="AD450" s="1382"/>
      <c r="AE450" s="1382"/>
      <c r="AF450" s="1382"/>
      <c r="AG450" s="1382"/>
      <c r="AH450" s="1382"/>
      <c r="AI450" s="1382"/>
      <c r="AJ450" s="1382"/>
      <c r="AX450" s="30"/>
    </row>
    <row r="451" spans="1:50" s="181" customFormat="1" ht="15" hidden="1" customHeight="1" x14ac:dyDescent="0.25">
      <c r="A451" s="1407" t="str">
        <f>IF(COUNTIF('04 - 95% CD'!D451:G451,"Y")&gt;0,"Y",IF(COUNTIF('04 - 95% CD'!D451:G451,"N"),"N",""))</f>
        <v>N</v>
      </c>
      <c r="B451" s="177"/>
      <c r="C451" s="944"/>
      <c r="D451" s="297"/>
      <c r="E451" s="559" t="s">
        <v>38</v>
      </c>
      <c r="F451" s="502"/>
      <c r="G451" s="558"/>
      <c r="H451" s="410" t="str">
        <f>CONCATENATE(IF(F451="N","PLACEHOLDER ROW - ",""),'C-Design&amp;Const'!Z451,IF(F451="N","",J451))</f>
        <v>Historic Illinois Engineering Record</v>
      </c>
      <c r="I451" s="146"/>
      <c r="J451" s="578" t="str">
        <f>IF('C-Design&amp;Const'!AI451="","",'C-Design&amp;Const'!AI451)</f>
        <v/>
      </c>
      <c r="K451" s="285" t="str">
        <f>IF((COUNTIF(D451:G451,"Y")=COUNTIF('04 - 95% CD'!A451,"Y")),"match","no 95% match")</f>
        <v>match</v>
      </c>
      <c r="L451" s="1410" t="str">
        <f t="shared" si="23"/>
        <v/>
      </c>
      <c r="M451" s="1382"/>
      <c r="N451" s="1382"/>
      <c r="O451" s="1382"/>
      <c r="P451" s="1382"/>
      <c r="Q451" s="1382"/>
      <c r="R451" s="1447"/>
      <c r="S451" s="1448"/>
      <c r="T451" s="1274"/>
      <c r="U451" s="1382"/>
      <c r="V451" s="1382"/>
      <c r="W451" s="1382"/>
      <c r="X451" s="1382"/>
      <c r="Y451" s="1382"/>
      <c r="Z451" s="1382"/>
      <c r="AA451" s="1382"/>
      <c r="AB451" s="1382"/>
      <c r="AC451" s="1382"/>
      <c r="AD451" s="1382"/>
      <c r="AE451" s="1382"/>
      <c r="AF451" s="1382"/>
      <c r="AG451" s="1382"/>
      <c r="AH451" s="1382"/>
      <c r="AI451" s="1382"/>
      <c r="AJ451" s="1382"/>
      <c r="AX451" s="30"/>
    </row>
    <row r="452" spans="1:50" s="181" customFormat="1" ht="15" hidden="1" customHeight="1" x14ac:dyDescent="0.25">
      <c r="A452" s="1407" t="str">
        <f>IF(COUNTIF('04 - 95% CD'!D452:G452,"Y")&gt;0,"Y",IF(COUNTIF('04 - 95% CD'!D452:G452,"N"),"N",""))</f>
        <v>N</v>
      </c>
      <c r="B452" s="177"/>
      <c r="C452" s="944"/>
      <c r="D452" s="297"/>
      <c r="E452" s="559" t="s">
        <v>38</v>
      </c>
      <c r="F452" s="502"/>
      <c r="G452" s="558"/>
      <c r="H452" s="410" t="str">
        <f>CONCATENATE(IF(F452="N","PLACEHOLDER ROW - ",""),'C-Design&amp;Const'!Z452,IF(F452="N","",J452))</f>
        <v>ISHPO item to be determined per project</v>
      </c>
      <c r="I452" s="146"/>
      <c r="J452" s="578" t="str">
        <f>IF('C-Design&amp;Const'!AI452="","",'C-Design&amp;Const'!AI452)</f>
        <v/>
      </c>
      <c r="K452" s="285" t="str">
        <f>IF((COUNTIF(D452:G452,"Y")=COUNTIF('04 - 95% CD'!A452,"Y")),"match","no 95% match")</f>
        <v>match</v>
      </c>
      <c r="L452" s="1410" t="str">
        <f t="shared" si="23"/>
        <v/>
      </c>
      <c r="M452" s="1382"/>
      <c r="N452" s="1382"/>
      <c r="O452" s="1382"/>
      <c r="P452" s="1382"/>
      <c r="Q452" s="1382"/>
      <c r="R452" s="1447"/>
      <c r="S452" s="1448"/>
      <c r="T452" s="1274"/>
      <c r="U452" s="1382"/>
      <c r="V452" s="1382"/>
      <c r="W452" s="1382"/>
      <c r="X452" s="1382"/>
      <c r="Y452" s="1382"/>
      <c r="Z452" s="1382"/>
      <c r="AA452" s="1382"/>
      <c r="AB452" s="1382"/>
      <c r="AC452" s="1382"/>
      <c r="AD452" s="1382"/>
      <c r="AE452" s="1382"/>
      <c r="AF452" s="1382"/>
      <c r="AG452" s="1382"/>
      <c r="AH452" s="1382"/>
      <c r="AI452" s="1382"/>
      <c r="AJ452" s="1382"/>
      <c r="AX452" s="30"/>
    </row>
    <row r="453" spans="1:50" s="181" customFormat="1" ht="15" hidden="1" customHeight="1" x14ac:dyDescent="0.25">
      <c r="A453" s="1407" t="str">
        <f>IF(COUNTIF('04 - 95% CD'!D453:G453,"Y")&gt;0,"Y",IF(COUNTIF('04 - 95% CD'!D453:G453,"N"),"N",""))</f>
        <v>N</v>
      </c>
      <c r="B453" s="177"/>
      <c r="C453" s="944"/>
      <c r="D453" s="297"/>
      <c r="E453" s="559" t="s">
        <v>38</v>
      </c>
      <c r="F453" s="502"/>
      <c r="G453" s="558"/>
      <c r="H453" s="410" t="str">
        <f>CONCATENATE(IF(F453="N","PLACEHOLDER ROW - ",""),'C-Design&amp;Const'!Z453,IF(F453="N","",J453))</f>
        <v>ISHPO item to be determined per project</v>
      </c>
      <c r="I453" s="146"/>
      <c r="J453" s="578" t="str">
        <f>IF('C-Design&amp;Const'!AI453="","",'C-Design&amp;Const'!AI453)</f>
        <v/>
      </c>
      <c r="K453" s="285" t="str">
        <f>IF((COUNTIF(D453:G453,"Y")=COUNTIF('04 - 95% CD'!A453,"Y")),"match","no 95% match")</f>
        <v>match</v>
      </c>
      <c r="L453" s="1410" t="str">
        <f t="shared" si="23"/>
        <v/>
      </c>
      <c r="M453" s="1382"/>
      <c r="N453" s="1382"/>
      <c r="O453" s="1382"/>
      <c r="P453" s="1382"/>
      <c r="Q453" s="1382"/>
      <c r="R453" s="1447"/>
      <c r="S453" s="1448"/>
      <c r="T453" s="1274"/>
      <c r="U453" s="1382"/>
      <c r="V453" s="1382"/>
      <c r="W453" s="1382"/>
      <c r="X453" s="1382"/>
      <c r="Y453" s="1382"/>
      <c r="Z453" s="1382"/>
      <c r="AA453" s="1382"/>
      <c r="AB453" s="1382"/>
      <c r="AC453" s="1382"/>
      <c r="AD453" s="1382"/>
      <c r="AE453" s="1382"/>
      <c r="AF453" s="1382"/>
      <c r="AG453" s="1382"/>
      <c r="AH453" s="1382"/>
      <c r="AI453" s="1382"/>
      <c r="AJ453" s="1382"/>
      <c r="AX453" s="30"/>
    </row>
    <row r="454" spans="1:50" s="181" customFormat="1" ht="15" hidden="1" customHeight="1" x14ac:dyDescent="0.25">
      <c r="A454" s="1407" t="str">
        <f>IF(COUNTIF('04 - 95% CD'!D454:G454,"Y")&gt;0,"Y",IF(COUNTIF('04 - 95% CD'!D454:G454,"N"),"N",""))</f>
        <v>N</v>
      </c>
      <c r="B454" s="177"/>
      <c r="C454" s="944"/>
      <c r="D454" s="297"/>
      <c r="E454" s="559" t="s">
        <v>38</v>
      </c>
      <c r="F454" s="502"/>
      <c r="G454" s="558"/>
      <c r="H454" s="410" t="str">
        <f>CONCATENATE(IF(F454="N","PLACEHOLDER ROW - ",""),'C-Design&amp;Const'!Z454,IF(F454="N","",J454))</f>
        <v>ISHPO item to be determined per project</v>
      </c>
      <c r="I454" s="146"/>
      <c r="J454" s="578" t="str">
        <f>IF('C-Design&amp;Const'!AI454="","",'C-Design&amp;Const'!AI454)</f>
        <v/>
      </c>
      <c r="K454" s="285" t="str">
        <f>IF((COUNTIF(D454:G454,"Y")=COUNTIF('04 - 95% CD'!A454,"Y")),"match","no 95% match")</f>
        <v>match</v>
      </c>
      <c r="L454" s="1410" t="str">
        <f t="shared" si="23"/>
        <v/>
      </c>
      <c r="M454" s="1382"/>
      <c r="N454" s="1382"/>
      <c r="O454" s="1382"/>
      <c r="P454" s="1382"/>
      <c r="Q454" s="1382"/>
      <c r="R454" s="1447"/>
      <c r="S454" s="1448"/>
      <c r="T454" s="1274"/>
      <c r="U454" s="1382"/>
      <c r="V454" s="1382"/>
      <c r="W454" s="1382"/>
      <c r="X454" s="1382"/>
      <c r="Y454" s="1382"/>
      <c r="Z454" s="1382"/>
      <c r="AA454" s="1382"/>
      <c r="AB454" s="1382"/>
      <c r="AC454" s="1382"/>
      <c r="AD454" s="1382"/>
      <c r="AE454" s="1382"/>
      <c r="AF454" s="1382"/>
      <c r="AG454" s="1382"/>
      <c r="AH454" s="1382"/>
      <c r="AI454" s="1382"/>
      <c r="AJ454" s="1382"/>
      <c r="AX454" s="30"/>
    </row>
    <row r="455" spans="1:50" s="181" customFormat="1" ht="16.5" customHeight="1" x14ac:dyDescent="0.25">
      <c r="A455" s="1407" t="str">
        <f>IF(COUNTIF('04 - 95% CD'!D455:G455,"Y")&gt;0,"Y",IF(COUNTIF('04 - 95% CD'!D455:G455,"N"),"N",""))</f>
        <v/>
      </c>
      <c r="B455" s="177"/>
      <c r="C455" s="944"/>
      <c r="D455" s="499"/>
      <c r="E455" s="520"/>
      <c r="F455" s="536"/>
      <c r="G455" s="527"/>
      <c r="H455" s="528"/>
      <c r="I455" s="146"/>
      <c r="J455" s="578" t="str">
        <f>IF('C-Design&amp;Const'!AI455="","",'C-Design&amp;Const'!AI455)</f>
        <v/>
      </c>
      <c r="K455" s="285" t="str">
        <f>IF((COUNTIF(D455:G455,"Y")=COUNTIF('04 - 95% CD'!A455,"Y")),"match","no 95% match")</f>
        <v>match</v>
      </c>
      <c r="L455" s="1410" t="str">
        <f t="shared" si="23"/>
        <v/>
      </c>
      <c r="M455" s="1382"/>
      <c r="N455" s="1382"/>
      <c r="O455" s="1382"/>
      <c r="P455" s="1382"/>
      <c r="Q455" s="1382"/>
      <c r="R455" s="1447"/>
      <c r="S455" s="1448"/>
      <c r="T455" s="1274"/>
      <c r="U455" s="1382"/>
      <c r="V455" s="1382"/>
      <c r="W455" s="1382"/>
      <c r="X455" s="1382"/>
      <c r="Y455" s="1382"/>
      <c r="Z455" s="1382"/>
      <c r="AA455" s="1382"/>
      <c r="AB455" s="1382"/>
      <c r="AC455" s="1382"/>
      <c r="AD455" s="1382"/>
      <c r="AE455" s="1382"/>
      <c r="AF455" s="1382"/>
      <c r="AG455" s="1382"/>
      <c r="AH455" s="1382"/>
      <c r="AI455" s="1382"/>
      <c r="AJ455" s="1382"/>
      <c r="AX455" s="30"/>
    </row>
    <row r="456" spans="1:50" s="181" customFormat="1" ht="15" customHeight="1" x14ac:dyDescent="0.25">
      <c r="A456" s="1510" t="str">
        <f>IF(COUNTIF('04 - 95% CD'!D455:G455,"Y")&gt;0,"Y",IF(COUNTIF('04 - 95% CD'!D455:G455,"N"),"N",""))</f>
        <v/>
      </c>
      <c r="B456" s="177"/>
      <c r="C456" s="944"/>
      <c r="D456" s="499"/>
      <c r="E456" s="286"/>
      <c r="F456" s="286"/>
      <c r="G456" s="292"/>
      <c r="H456" s="293"/>
      <c r="I456" s="146"/>
      <c r="J456" s="578" t="str">
        <f>IF('C-Design&amp;Const'!AI456="","",'C-Design&amp;Const'!AI456)</f>
        <v/>
      </c>
      <c r="K456" s="285" t="str">
        <f>IF((COUNTIF(D456:G456,"Y")=COUNTIF('04 - 95% CD'!A456,"Y")),"match","no 95% match")</f>
        <v>match</v>
      </c>
      <c r="L456" s="1410" t="str">
        <f t="shared" si="23"/>
        <v/>
      </c>
      <c r="M456" s="1382"/>
      <c r="N456" s="1382"/>
      <c r="O456" s="1382"/>
      <c r="P456" s="1382"/>
      <c r="Q456" s="1382"/>
      <c r="R456" s="1447"/>
      <c r="S456" s="1448"/>
      <c r="T456" s="1274"/>
      <c r="U456" s="1382"/>
      <c r="V456" s="1382"/>
      <c r="W456" s="1382"/>
      <c r="X456" s="1382"/>
      <c r="Y456" s="1382"/>
      <c r="Z456" s="1382"/>
      <c r="AA456" s="1382"/>
      <c r="AB456" s="1382"/>
      <c r="AC456" s="1382"/>
      <c r="AD456" s="1382"/>
      <c r="AE456" s="1382"/>
      <c r="AF456" s="1382"/>
      <c r="AG456" s="1382"/>
      <c r="AH456" s="1382"/>
      <c r="AI456" s="1382"/>
      <c r="AJ456" s="1382"/>
      <c r="AX456" s="30"/>
    </row>
    <row r="457" spans="1:50" ht="21" x14ac:dyDescent="0.25">
      <c r="A457" s="2311" t="s">
        <v>512</v>
      </c>
      <c r="B457" s="125"/>
      <c r="C457" s="951"/>
      <c r="D457" s="530" t="s">
        <v>314</v>
      </c>
      <c r="E457" s="806"/>
      <c r="F457" s="806"/>
      <c r="G457" s="529"/>
      <c r="H457" s="530"/>
      <c r="I457" s="146"/>
      <c r="J457" s="578" t="str">
        <f>IF('C-Design&amp;Const'!AI457="","",'C-Design&amp;Const'!AI457)</f>
        <v/>
      </c>
      <c r="L457" s="1529" t="s">
        <v>236</v>
      </c>
      <c r="M457" s="1333"/>
      <c r="N457" s="1333"/>
      <c r="O457" s="1333"/>
      <c r="P457" s="1333"/>
      <c r="Q457" s="1333"/>
      <c r="R457" s="1453"/>
      <c r="S457" s="1364"/>
      <c r="T457" s="1284"/>
      <c r="U457" s="1333"/>
      <c r="V457" s="1333"/>
      <c r="W457" s="1333"/>
      <c r="X457" s="1333"/>
      <c r="Y457" s="1333"/>
      <c r="Z457" s="1333"/>
      <c r="AA457" s="1333"/>
      <c r="AB457" s="1333"/>
      <c r="AC457" s="1333"/>
      <c r="AD457" s="1333"/>
      <c r="AE457" s="1333"/>
      <c r="AF457" s="1333"/>
      <c r="AG457" s="1333"/>
      <c r="AH457" s="1333"/>
      <c r="AI457" s="1333"/>
      <c r="AJ457" s="1333"/>
    </row>
    <row r="458" spans="1:50" ht="15.75" x14ac:dyDescent="0.25">
      <c r="A458" s="2312"/>
      <c r="B458" s="125"/>
      <c r="C458" s="943"/>
      <c r="D458" s="295"/>
      <c r="E458" s="297"/>
      <c r="F458" s="297"/>
      <c r="G458" s="294"/>
      <c r="H458" s="295"/>
      <c r="I458" s="146"/>
      <c r="J458" s="578" t="str">
        <f>IF('C-Design&amp;Const'!AI458="","",'C-Design&amp;Const'!AI458)</f>
        <v/>
      </c>
      <c r="L458" s="1410" t="str">
        <f t="shared" si="23"/>
        <v/>
      </c>
      <c r="M458" s="1333"/>
      <c r="N458" s="1333"/>
      <c r="O458" s="1333"/>
      <c r="P458" s="1333"/>
      <c r="Q458" s="1333"/>
      <c r="R458" s="1453"/>
      <c r="S458" s="1364"/>
      <c r="T458" s="1284"/>
      <c r="U458" s="1333"/>
      <c r="V458" s="1333"/>
      <c r="W458" s="1333"/>
      <c r="X458" s="1333"/>
      <c r="Y458" s="1333"/>
      <c r="Z458" s="1333"/>
      <c r="AA458" s="1333"/>
      <c r="AB458" s="1333"/>
      <c r="AC458" s="1333"/>
      <c r="AD458" s="1333"/>
      <c r="AE458" s="1333"/>
      <c r="AF458" s="1333"/>
      <c r="AG458" s="1333"/>
      <c r="AH458" s="1333"/>
      <c r="AI458" s="1333"/>
      <c r="AJ458" s="1333"/>
    </row>
    <row r="459" spans="1:50" ht="18.75" x14ac:dyDescent="0.25">
      <c r="A459" s="2312"/>
      <c r="B459" s="125"/>
      <c r="C459" s="944"/>
      <c r="D459" s="559" t="str">
        <f>IF('C-Design&amp;Const'!$Q459="","",'C-Design&amp;Const'!$Q459)</f>
        <v>Y</v>
      </c>
      <c r="E459" s="492"/>
      <c r="F459" s="210"/>
      <c r="G459" s="291" t="str">
        <f>IF('C-Design&amp;Const'!Y459="","",'C-Design&amp;Const'!Y459)</f>
        <v>10.</v>
      </c>
      <c r="H459" s="290" t="str">
        <f>CONCATENATE('C-Design&amp;Const'!Z459,IF(D459="N"," Not Used In This Construction Phase",J459))</f>
        <v>Log of Plan Holders</v>
      </c>
      <c r="I459" s="146"/>
      <c r="J459" s="578" t="str">
        <f>IF('C-Design&amp;Const'!AI459="","",'C-Design&amp;Const'!AI459)</f>
        <v/>
      </c>
      <c r="L459" s="1410" t="str">
        <f t="shared" si="23"/>
        <v/>
      </c>
      <c r="M459" s="1333"/>
      <c r="N459" s="1333"/>
      <c r="O459" s="1333"/>
      <c r="P459" s="1333"/>
      <c r="Q459" s="1333"/>
      <c r="R459" s="1453"/>
      <c r="S459" s="1364"/>
      <c r="T459" s="1284"/>
      <c r="U459" s="1333"/>
      <c r="V459" s="1333"/>
      <c r="W459" s="1333"/>
      <c r="X459" s="1333"/>
      <c r="Y459" s="1333"/>
      <c r="Z459" s="1333"/>
      <c r="AA459" s="1333"/>
      <c r="AB459" s="1333"/>
      <c r="AC459" s="1333"/>
      <c r="AD459" s="1333"/>
      <c r="AE459" s="1333"/>
      <c r="AF459" s="1333"/>
      <c r="AG459" s="1333"/>
      <c r="AH459" s="1333"/>
      <c r="AI459" s="1333"/>
      <c r="AJ459" s="1333"/>
    </row>
    <row r="460" spans="1:50" s="181" customFormat="1" ht="15" customHeight="1" x14ac:dyDescent="0.25">
      <c r="A460" s="2312"/>
      <c r="B460" s="177"/>
      <c r="C460" s="944"/>
      <c r="D460" s="499"/>
      <c r="E460" s="286"/>
      <c r="F460" s="286"/>
      <c r="G460" s="292"/>
      <c r="H460" s="293"/>
      <c r="I460" s="146"/>
      <c r="J460" s="578" t="str">
        <f>IF('C-Design&amp;Const'!AI460="","",'C-Design&amp;Const'!AI460)</f>
        <v/>
      </c>
      <c r="L460" s="1410" t="str">
        <f t="shared" si="23"/>
        <v/>
      </c>
      <c r="M460" s="1382"/>
      <c r="N460" s="1382"/>
      <c r="O460" s="1382"/>
      <c r="P460" s="1382"/>
      <c r="Q460" s="1382"/>
      <c r="R460" s="1447"/>
      <c r="S460" s="1448"/>
      <c r="T460" s="1274"/>
      <c r="U460" s="1382"/>
      <c r="V460" s="1382"/>
      <c r="W460" s="1382"/>
      <c r="X460" s="1382"/>
      <c r="Y460" s="1382"/>
      <c r="Z460" s="1382"/>
      <c r="AA460" s="1382"/>
      <c r="AB460" s="1382"/>
      <c r="AC460" s="1382"/>
      <c r="AD460" s="1382"/>
      <c r="AE460" s="1382"/>
      <c r="AF460" s="1382"/>
      <c r="AG460" s="1382"/>
      <c r="AH460" s="1382"/>
      <c r="AI460" s="1382"/>
      <c r="AJ460" s="1382"/>
      <c r="AX460" s="30"/>
    </row>
    <row r="461" spans="1:50" ht="18.75" x14ac:dyDescent="0.25">
      <c r="A461" s="2312"/>
      <c r="B461" s="125"/>
      <c r="C461" s="944"/>
      <c r="D461" s="559" t="str">
        <f>IF('C-Design&amp;Const'!$Q461="","",'C-Design&amp;Const'!$Q461)</f>
        <v>Y</v>
      </c>
      <c r="E461" s="492"/>
      <c r="F461" s="210"/>
      <c r="G461" s="291" t="str">
        <f>IF('C-Design&amp;Const'!Y461="","",'C-Design&amp;Const'!Y461)</f>
        <v>11.</v>
      </c>
      <c r="H461" s="290" t="str">
        <f>CONCATENATE('C-Design&amp;Const'!Z461,IF(D461="N"," Not Used In This Construction Phase",J461))</f>
        <v>Addenda to Project Manual and Drawings (Signed &amp; Sealed)</v>
      </c>
      <c r="I461" s="146"/>
      <c r="J461" s="578" t="str">
        <f>IF('C-Design&amp;Const'!AI461="","",'C-Design&amp;Const'!AI461)</f>
        <v xml:space="preserve"> (Signed &amp; Sealed)</v>
      </c>
      <c r="L461" s="1410" t="str">
        <f t="shared" si="23"/>
        <v/>
      </c>
      <c r="M461" s="1333"/>
      <c r="N461" s="1333"/>
      <c r="O461" s="1333"/>
      <c r="P461" s="1333"/>
      <c r="Q461" s="1333"/>
      <c r="R461" s="1453"/>
      <c r="S461" s="1364"/>
      <c r="T461" s="1284"/>
      <c r="U461" s="1333"/>
      <c r="V461" s="1333"/>
      <c r="W461" s="1333"/>
      <c r="X461" s="1333"/>
      <c r="Y461" s="1333"/>
      <c r="Z461" s="1333"/>
      <c r="AA461" s="1333"/>
      <c r="AB461" s="1333"/>
      <c r="AC461" s="1333"/>
      <c r="AD461" s="1333"/>
      <c r="AE461" s="1333"/>
      <c r="AF461" s="1333"/>
      <c r="AG461" s="1333"/>
      <c r="AH461" s="1333"/>
      <c r="AI461" s="1333"/>
      <c r="AJ461" s="1333"/>
    </row>
    <row r="462" spans="1:50" s="181" customFormat="1" ht="15" customHeight="1" x14ac:dyDescent="0.25">
      <c r="A462" s="2312"/>
      <c r="B462" s="177"/>
      <c r="C462" s="944"/>
      <c r="D462" s="499"/>
      <c r="E462" s="286"/>
      <c r="F462" s="286"/>
      <c r="G462" s="292"/>
      <c r="H462" s="293"/>
      <c r="I462" s="146"/>
      <c r="J462" s="578" t="str">
        <f>IF('C-Design&amp;Const'!AI462="","",'C-Design&amp;Const'!AI462)</f>
        <v/>
      </c>
      <c r="L462" s="1410" t="str">
        <f t="shared" si="23"/>
        <v/>
      </c>
      <c r="M462" s="1382"/>
      <c r="N462" s="1382"/>
      <c r="O462" s="1382"/>
      <c r="P462" s="1382"/>
      <c r="Q462" s="1382"/>
      <c r="R462" s="1447"/>
      <c r="S462" s="1448"/>
      <c r="T462" s="1274"/>
      <c r="U462" s="1382"/>
      <c r="V462" s="1382"/>
      <c r="W462" s="1382"/>
      <c r="X462" s="1382"/>
      <c r="Y462" s="1382"/>
      <c r="Z462" s="1382"/>
      <c r="AA462" s="1382"/>
      <c r="AB462" s="1382"/>
      <c r="AC462" s="1382"/>
      <c r="AD462" s="1382"/>
      <c r="AE462" s="1382"/>
      <c r="AF462" s="1382"/>
      <c r="AG462" s="1382"/>
      <c r="AH462" s="1382"/>
      <c r="AI462" s="1382"/>
      <c r="AJ462" s="1382"/>
      <c r="AX462" s="30"/>
    </row>
    <row r="463" spans="1:50" ht="18.75" x14ac:dyDescent="0.25">
      <c r="A463" s="2312"/>
      <c r="B463" s="125"/>
      <c r="C463" s="944"/>
      <c r="D463" s="559" t="str">
        <f>IF('C-Design&amp;Const'!$Q463="","",'C-Design&amp;Const'!$Q463)</f>
        <v>Y</v>
      </c>
      <c r="E463" s="492"/>
      <c r="F463" s="210"/>
      <c r="G463" s="291" t="str">
        <f>IF('C-Design&amp;Const'!Y463="","",'C-Design&amp;Const'!Y463)</f>
        <v>12.</v>
      </c>
      <c r="H463" s="290" t="str">
        <f>CONCATENATE('C-Design&amp;Const'!Z463,IF(D463="N"," Not Used In This Construction Phase",J463))</f>
        <v>PreBid Meeting</v>
      </c>
      <c r="I463" s="146"/>
      <c r="J463" s="578" t="str">
        <f>IF('C-Design&amp;Const'!AI463="","",'C-Design&amp;Const'!AI463)</f>
        <v/>
      </c>
      <c r="L463" s="1410" t="str">
        <f t="shared" si="23"/>
        <v/>
      </c>
      <c r="M463" s="1333"/>
      <c r="N463" s="1333"/>
      <c r="O463" s="1333"/>
      <c r="P463" s="1333"/>
      <c r="Q463" s="1333"/>
      <c r="R463" s="1453"/>
      <c r="S463" s="1364"/>
      <c r="T463" s="1284"/>
      <c r="U463" s="1333"/>
      <c r="V463" s="1333"/>
      <c r="W463" s="1333"/>
      <c r="X463" s="1333"/>
      <c r="Y463" s="1333"/>
      <c r="Z463" s="1333"/>
      <c r="AA463" s="1333"/>
      <c r="AB463" s="1333"/>
      <c r="AC463" s="1333"/>
      <c r="AD463" s="1333"/>
      <c r="AE463" s="1333"/>
      <c r="AF463" s="1333"/>
      <c r="AG463" s="1333"/>
      <c r="AH463" s="1333"/>
      <c r="AI463" s="1333"/>
      <c r="AJ463" s="1333"/>
    </row>
    <row r="464" spans="1:50" s="181" customFormat="1" ht="15" customHeight="1" x14ac:dyDescent="0.25">
      <c r="A464" s="2312"/>
      <c r="B464" s="177"/>
      <c r="C464" s="944"/>
      <c r="D464" s="297"/>
      <c r="E464" s="559" t="str">
        <f>IF('C-Design&amp;Const'!$Q464="","",'C-Design&amp;Const'!$Q464)</f>
        <v>N</v>
      </c>
      <c r="F464" s="502"/>
      <c r="G464" s="558"/>
      <c r="H464" s="238" t="str">
        <f>CONCATENATE(IF(ISNUMBER(SEARCH("Placeholder",'C-Design&amp;Const'!Z464))=TRUE,"",IF(E464="N","PLACEHOLDER ROW - ","")),'C-Design&amp;Const'!Z464,IF(E464="N","",J464))</f>
        <v>PLACEHOLDER ROW - Agenda</v>
      </c>
      <c r="I464" s="146"/>
      <c r="J464" s="578" t="str">
        <f>IF('C-Design&amp;Const'!AI464="","",'C-Design&amp;Const'!AI464)</f>
        <v/>
      </c>
      <c r="L464" s="1410" t="str">
        <f t="shared" si="23"/>
        <v>&lt;---PM/Planner may hide PLACEHOLDER ROW</v>
      </c>
      <c r="M464" s="1382"/>
      <c r="N464" s="1382"/>
      <c r="O464" s="1382"/>
      <c r="P464" s="1382"/>
      <c r="Q464" s="1382"/>
      <c r="R464" s="1447"/>
      <c r="S464" s="1448"/>
      <c r="T464" s="1274"/>
      <c r="U464" s="1382"/>
      <c r="V464" s="1382"/>
      <c r="W464" s="1382"/>
      <c r="X464" s="1382"/>
      <c r="Y464" s="1382"/>
      <c r="Z464" s="1382"/>
      <c r="AA464" s="1382"/>
      <c r="AB464" s="1382"/>
      <c r="AC464" s="1382"/>
      <c r="AD464" s="1382"/>
      <c r="AE464" s="1382"/>
      <c r="AF464" s="1382"/>
      <c r="AG464" s="1382"/>
      <c r="AH464" s="1382"/>
      <c r="AI464" s="1382"/>
      <c r="AJ464" s="1382"/>
      <c r="AX464" s="30"/>
    </row>
    <row r="465" spans="1:50" s="181" customFormat="1" ht="15" customHeight="1" x14ac:dyDescent="0.25">
      <c r="A465" s="2312"/>
      <c r="B465" s="177"/>
      <c r="C465" s="944"/>
      <c r="D465" s="297"/>
      <c r="E465" s="559" t="str">
        <f>IF('C-Design&amp;Const'!$Q465="","",'C-Design&amp;Const'!$Q465)</f>
        <v>N</v>
      </c>
      <c r="F465" s="502"/>
      <c r="G465" s="558"/>
      <c r="H465" s="238" t="str">
        <f>CONCATENATE(IF(ISNUMBER(SEARCH("Placeholder",'C-Design&amp;Const'!Z465))=TRUE,"",IF(E465="N","PLACEHOLDER ROW - ","")),'C-Design&amp;Const'!Z465,IF(E465="N","",J465))</f>
        <v>PLACEHOLDER ROW - Sign In</v>
      </c>
      <c r="I465" s="146"/>
      <c r="J465" s="578" t="str">
        <f>IF('C-Design&amp;Const'!AI465="","",'C-Design&amp;Const'!AI465)</f>
        <v/>
      </c>
      <c r="L465" s="1410" t="str">
        <f t="shared" ref="L465:L531" si="24">CONCATENATE(IF(ISNUMBER(SEARCH("Placeholder",H465))=TRUE,"&lt;---PM/Planner may hide PLACEHOLDER ROW",""))</f>
        <v>&lt;---PM/Planner may hide PLACEHOLDER ROW</v>
      </c>
      <c r="M465" s="1382"/>
      <c r="N465" s="1382"/>
      <c r="O465" s="1382"/>
      <c r="P465" s="1382"/>
      <c r="Q465" s="1382"/>
      <c r="R465" s="1447"/>
      <c r="S465" s="1448"/>
      <c r="T465" s="1274"/>
      <c r="U465" s="1382"/>
      <c r="V465" s="1382"/>
      <c r="W465" s="1382"/>
      <c r="X465" s="1382"/>
      <c r="Y465" s="1382"/>
      <c r="Z465" s="1382"/>
      <c r="AA465" s="1382"/>
      <c r="AB465" s="1382"/>
      <c r="AC465" s="1382"/>
      <c r="AD465" s="1382"/>
      <c r="AE465" s="1382"/>
      <c r="AF465" s="1382"/>
      <c r="AG465" s="1382"/>
      <c r="AH465" s="1382"/>
      <c r="AI465" s="1382"/>
      <c r="AJ465" s="1382"/>
      <c r="AX465" s="30"/>
    </row>
    <row r="466" spans="1:50" s="181" customFormat="1" ht="15" customHeight="1" x14ac:dyDescent="0.25">
      <c r="A466" s="2312"/>
      <c r="B466" s="177"/>
      <c r="C466" s="944"/>
      <c r="D466" s="297"/>
      <c r="E466" s="559" t="str">
        <f>IF('C-Design&amp;Const'!$Q466="","",'C-Design&amp;Const'!$Q466)</f>
        <v>Y</v>
      </c>
      <c r="F466" s="502"/>
      <c r="G466" s="558"/>
      <c r="H466" s="238" t="str">
        <f>CONCATENATE(IF(ISNUMBER(SEARCH("Placeholder",'C-Design&amp;Const'!Z466))=TRUE,"",IF(E466="N","PLACEHOLDER ROW - ","")),'C-Design&amp;Const'!Z466,IF(E466="N","",J466))</f>
        <v>Meeting Minutes</v>
      </c>
      <c r="I466" s="146"/>
      <c r="J466" s="578" t="str">
        <f>IF('C-Design&amp;Const'!AI466="","",'C-Design&amp;Const'!AI466)</f>
        <v/>
      </c>
      <c r="L466" s="1410" t="str">
        <f t="shared" si="24"/>
        <v/>
      </c>
      <c r="M466" s="1382"/>
      <c r="N466" s="1382"/>
      <c r="O466" s="1382"/>
      <c r="P466" s="1382"/>
      <c r="Q466" s="1382"/>
      <c r="R466" s="1447"/>
      <c r="S466" s="1448"/>
      <c r="T466" s="1274"/>
      <c r="U466" s="1382"/>
      <c r="V466" s="1382"/>
      <c r="W466" s="1382"/>
      <c r="X466" s="1382"/>
      <c r="Y466" s="1382"/>
      <c r="Z466" s="1382"/>
      <c r="AA466" s="1382"/>
      <c r="AB466" s="1382"/>
      <c r="AC466" s="1382"/>
      <c r="AD466" s="1382"/>
      <c r="AE466" s="1382"/>
      <c r="AF466" s="1382"/>
      <c r="AG466" s="1382"/>
      <c r="AH466" s="1382"/>
      <c r="AI466" s="1382"/>
      <c r="AJ466" s="1382"/>
      <c r="AX466" s="30"/>
    </row>
    <row r="467" spans="1:50" s="181" customFormat="1" ht="15" customHeight="1" x14ac:dyDescent="0.25">
      <c r="A467" s="2312"/>
      <c r="B467" s="177"/>
      <c r="C467" s="944"/>
      <c r="D467" s="499"/>
      <c r="E467" s="286"/>
      <c r="F467" s="286"/>
      <c r="G467" s="292"/>
      <c r="H467" s="293"/>
      <c r="I467" s="146"/>
      <c r="J467" s="578" t="str">
        <f>IF('C-Design&amp;Const'!AI467="","",'C-Design&amp;Const'!AI467)</f>
        <v/>
      </c>
      <c r="L467" s="1410" t="str">
        <f t="shared" si="24"/>
        <v/>
      </c>
      <c r="M467" s="1382"/>
      <c r="N467" s="1382"/>
      <c r="O467" s="1382"/>
      <c r="P467" s="1382"/>
      <c r="Q467" s="1382"/>
      <c r="R467" s="1447"/>
      <c r="S467" s="1448"/>
      <c r="T467" s="1274"/>
      <c r="U467" s="1382"/>
      <c r="V467" s="1382"/>
      <c r="W467" s="1382"/>
      <c r="X467" s="1382"/>
      <c r="Y467" s="1382"/>
      <c r="Z467" s="1382"/>
      <c r="AA467" s="1382"/>
      <c r="AB467" s="1382"/>
      <c r="AC467" s="1382"/>
      <c r="AD467" s="1382"/>
      <c r="AE467" s="1382"/>
      <c r="AF467" s="1382"/>
      <c r="AG467" s="1382"/>
      <c r="AH467" s="1382"/>
      <c r="AI467" s="1382"/>
      <c r="AJ467" s="1382"/>
      <c r="AX467" s="30"/>
    </row>
    <row r="468" spans="1:50" ht="18.75" x14ac:dyDescent="0.25">
      <c r="A468" s="2312"/>
      <c r="B468" s="125"/>
      <c r="C468" s="944"/>
      <c r="D468" s="559" t="str">
        <f>IF('C-Design&amp;Const'!$Q468="","",'C-Design&amp;Const'!$Q468)</f>
        <v>Y</v>
      </c>
      <c r="E468" s="492"/>
      <c r="F468" s="210"/>
      <c r="G468" s="291" t="str">
        <f>IF('C-Design&amp;Const'!Y468="","",'C-Design&amp;Const'!Y468)</f>
        <v>13.</v>
      </c>
      <c r="H468" s="290" t="str">
        <f>CONCATENATE('C-Design&amp;Const'!Z468,IF(D468="N"," Not Used In This Construction Phase",J468))</f>
        <v>Written Analysis of Award of Construction Contract</v>
      </c>
      <c r="I468" s="146"/>
      <c r="J468" s="578" t="str">
        <f>IF('C-Design&amp;Const'!AI468="","",'C-Design&amp;Const'!AI468)</f>
        <v/>
      </c>
      <c r="L468" s="1410" t="str">
        <f t="shared" si="24"/>
        <v/>
      </c>
      <c r="M468" s="1333"/>
      <c r="N468" s="1333"/>
      <c r="O468" s="1333"/>
      <c r="P468" s="1333"/>
      <c r="Q468" s="1333"/>
      <c r="R468" s="1453"/>
      <c r="S468" s="1364"/>
      <c r="T468" s="1284"/>
      <c r="U468" s="1333"/>
      <c r="V468" s="1333"/>
      <c r="W468" s="1333"/>
      <c r="X468" s="1333"/>
      <c r="Y468" s="1333"/>
      <c r="Z468" s="1333"/>
      <c r="AA468" s="1333"/>
      <c r="AB468" s="1333"/>
      <c r="AC468" s="1333"/>
      <c r="AD468" s="1333"/>
      <c r="AE468" s="1333"/>
      <c r="AF468" s="1333"/>
      <c r="AG468" s="1333"/>
      <c r="AH468" s="1333"/>
      <c r="AI468" s="1333"/>
      <c r="AJ468" s="1333"/>
    </row>
    <row r="469" spans="1:50" ht="18.75" x14ac:dyDescent="0.25">
      <c r="A469" s="2313"/>
      <c r="B469" s="125"/>
      <c r="C469" s="945"/>
      <c r="D469" s="223"/>
      <c r="E469" s="202"/>
      <c r="F469" s="202"/>
      <c r="G469" s="259"/>
      <c r="H469" s="260"/>
      <c r="I469" s="146"/>
      <c r="J469" s="578" t="str">
        <f>IF('C-Design&amp;Const'!AI469="","",'C-Design&amp;Const'!AI469)</f>
        <v/>
      </c>
      <c r="L469" s="1410" t="str">
        <f t="shared" si="24"/>
        <v/>
      </c>
      <c r="M469" s="1333"/>
      <c r="N469" s="1333"/>
      <c r="O469" s="1333"/>
      <c r="P469" s="1333"/>
      <c r="Q469" s="1333"/>
      <c r="R469" s="1453"/>
      <c r="S469" s="1364"/>
      <c r="T469" s="1284"/>
      <c r="U469" s="1333"/>
      <c r="V469" s="1333"/>
      <c r="W469" s="1333"/>
      <c r="X469" s="1333"/>
      <c r="Y469" s="1333"/>
      <c r="Z469" s="1333"/>
      <c r="AA469" s="1333"/>
      <c r="AB469" s="1333"/>
      <c r="AC469" s="1333"/>
      <c r="AD469" s="1333"/>
      <c r="AE469" s="1333"/>
      <c r="AF469" s="1333"/>
      <c r="AG469" s="1333"/>
      <c r="AH469" s="1333"/>
      <c r="AI469" s="1333"/>
      <c r="AJ469" s="1333"/>
    </row>
    <row r="470" spans="1:50" ht="21" hidden="1" x14ac:dyDescent="0.25">
      <c r="A470" s="2317" t="s">
        <v>513</v>
      </c>
      <c r="B470" s="125"/>
      <c r="C470" s="952"/>
      <c r="D470" s="312" t="s">
        <v>227</v>
      </c>
      <c r="E470" s="313"/>
      <c r="F470" s="313"/>
      <c r="G470" s="845"/>
      <c r="H470" s="846"/>
      <c r="I470" s="146"/>
      <c r="L470" s="1410" t="str">
        <f t="shared" si="24"/>
        <v/>
      </c>
      <c r="M470" s="1333"/>
      <c r="N470" s="1333"/>
      <c r="O470" s="1333"/>
      <c r="P470" s="1333"/>
      <c r="Q470" s="1333"/>
      <c r="R470" s="1453"/>
      <c r="S470" s="1364"/>
      <c r="T470" s="1284"/>
      <c r="U470" s="1333"/>
      <c r="V470" s="1333"/>
      <c r="W470" s="1333"/>
      <c r="X470" s="1333"/>
      <c r="Y470" s="1333"/>
      <c r="Z470" s="1333"/>
      <c r="AA470" s="1333"/>
      <c r="AB470" s="1333"/>
      <c r="AC470" s="1333"/>
      <c r="AD470" s="1333"/>
      <c r="AE470" s="1333"/>
      <c r="AF470" s="1333"/>
      <c r="AG470" s="1333"/>
      <c r="AH470" s="1333"/>
      <c r="AI470" s="1333"/>
      <c r="AJ470" s="1333"/>
    </row>
    <row r="471" spans="1:50" ht="15.75" hidden="1" x14ac:dyDescent="0.25">
      <c r="A471" s="2318"/>
      <c r="B471" s="125"/>
      <c r="C471" s="921"/>
      <c r="D471" s="258"/>
      <c r="E471" s="21"/>
      <c r="F471" s="21"/>
      <c r="G471" s="565"/>
      <c r="H471" s="576"/>
      <c r="I471" s="146"/>
      <c r="L471" s="1410" t="str">
        <f t="shared" si="24"/>
        <v/>
      </c>
      <c r="M471" s="1333"/>
      <c r="N471" s="1333"/>
      <c r="O471" s="1333"/>
      <c r="P471" s="1333"/>
      <c r="Q471" s="1333"/>
      <c r="R471" s="1453"/>
      <c r="S471" s="1364"/>
      <c r="T471" s="1284"/>
      <c r="U471" s="1333"/>
      <c r="V471" s="1333"/>
      <c r="W471" s="1333"/>
      <c r="X471" s="1333"/>
      <c r="Y471" s="1333"/>
      <c r="Z471" s="1333"/>
      <c r="AA471" s="1333"/>
      <c r="AB471" s="1333"/>
      <c r="AC471" s="1333"/>
      <c r="AD471" s="1333"/>
      <c r="AE471" s="1333"/>
      <c r="AF471" s="1333"/>
      <c r="AG471" s="1333"/>
      <c r="AH471" s="1333"/>
      <c r="AI471" s="1333"/>
      <c r="AJ471" s="1333"/>
    </row>
    <row r="472" spans="1:50" ht="18.75" hidden="1" x14ac:dyDescent="0.25">
      <c r="A472" s="2318"/>
      <c r="B472" s="125"/>
      <c r="C472" s="945"/>
      <c r="D472" s="29" t="str">
        <f>IF('C-Design&amp;Const'!$Q472="","",'C-Design&amp;Const'!$Q472)</f>
        <v>N</v>
      </c>
      <c r="E472" s="31"/>
      <c r="F472" s="178"/>
      <c r="G472" s="550" t="str">
        <f>IF('C-Design&amp;Const'!Y472="","",'C-Design&amp;Const'!Y472)</f>
        <v>20.</v>
      </c>
      <c r="H472" s="555" t="str">
        <f>CONCATENATE('C-Design&amp;Const'!Z472,IF(D472="N"," Not Used In This Construction Phase",J472))</f>
        <v>Results of PSC Construction Reviews Not Used In This Construction Phase</v>
      </c>
      <c r="I472" s="146"/>
      <c r="L472" s="1410" t="str">
        <f t="shared" si="24"/>
        <v/>
      </c>
      <c r="M472" s="1333"/>
      <c r="N472" s="1333"/>
      <c r="O472" s="1333"/>
      <c r="P472" s="1333"/>
      <c r="Q472" s="1333"/>
      <c r="R472" s="1453"/>
      <c r="S472" s="1364"/>
      <c r="T472" s="1284"/>
      <c r="U472" s="1333"/>
      <c r="V472" s="1333"/>
      <c r="W472" s="1333"/>
      <c r="X472" s="1333"/>
      <c r="Y472" s="1333"/>
      <c r="Z472" s="1333"/>
      <c r="AA472" s="1333"/>
      <c r="AB472" s="1333"/>
      <c r="AC472" s="1333"/>
      <c r="AD472" s="1333"/>
      <c r="AE472" s="1333"/>
      <c r="AF472" s="1333"/>
      <c r="AG472" s="1333"/>
      <c r="AH472" s="1333"/>
      <c r="AI472" s="1333"/>
      <c r="AJ472" s="1333"/>
    </row>
    <row r="473" spans="1:50" s="181" customFormat="1" ht="15" hidden="1" customHeight="1" x14ac:dyDescent="0.25">
      <c r="A473" s="2318"/>
      <c r="B473" s="177"/>
      <c r="C473" s="945"/>
      <c r="D473" s="21"/>
      <c r="E473" s="29" t="str">
        <f>IF('C-Design&amp;Const'!$Q473="","",'C-Design&amp;Const'!$Q473)</f>
        <v>N</v>
      </c>
      <c r="F473" s="22"/>
      <c r="G473" s="567"/>
      <c r="H473" s="546" t="str">
        <f>CONCATENATE(IF(ISNUMBER(SEARCH("Placeholder",'C-Design&amp;Const'!Z473))=TRUE,"",IF(E473="N","PLACEHOLDER ROW - ","")),'C-Design&amp;Const'!Z473,IF(E473="N","",J473))</f>
        <v>PLACEHOLDER ROW - Contractor Baseline Schedule</v>
      </c>
      <c r="I473" s="146"/>
      <c r="L473" s="1410" t="str">
        <f t="shared" si="24"/>
        <v>&lt;---PM/Planner may hide PLACEHOLDER ROW</v>
      </c>
      <c r="M473" s="1382"/>
      <c r="N473" s="1382"/>
      <c r="O473" s="1382"/>
      <c r="P473" s="1382"/>
      <c r="Q473" s="1382"/>
      <c r="R473" s="1447"/>
      <c r="S473" s="1448"/>
      <c r="T473" s="1274"/>
      <c r="U473" s="1382"/>
      <c r="V473" s="1382"/>
      <c r="W473" s="1382"/>
      <c r="X473" s="1382"/>
      <c r="Y473" s="1382"/>
      <c r="Z473" s="1382"/>
      <c r="AA473" s="1382"/>
      <c r="AB473" s="1382"/>
      <c r="AC473" s="1382"/>
      <c r="AD473" s="1382"/>
      <c r="AE473" s="1382"/>
      <c r="AF473" s="1382"/>
      <c r="AG473" s="1382"/>
      <c r="AH473" s="1382"/>
      <c r="AI473" s="1382"/>
      <c r="AJ473" s="1382"/>
      <c r="AX473" s="30"/>
    </row>
    <row r="474" spans="1:50" s="181" customFormat="1" ht="15" hidden="1" customHeight="1" x14ac:dyDescent="0.25">
      <c r="A474" s="2318"/>
      <c r="B474" s="177"/>
      <c r="C474" s="945"/>
      <c r="D474" s="21"/>
      <c r="E474" s="29" t="str">
        <f>IF('C-Design&amp;Const'!$Q474="","",'C-Design&amp;Const'!$Q474)</f>
        <v>N</v>
      </c>
      <c r="F474" s="22"/>
      <c r="G474" s="567"/>
      <c r="H474" s="546" t="str">
        <f>CONCATENATE(IF(ISNUMBER(SEARCH("Placeholder",'C-Design&amp;Const'!Z474))=TRUE,"",IF(E474="N","PLACEHOLDER ROW - ","")),'C-Design&amp;Const'!Z474,IF(E474="N","",J474))</f>
        <v>PLACEHOLDER ROW - Log of Contractor Submittals</v>
      </c>
      <c r="I474" s="146"/>
      <c r="L474" s="1410" t="str">
        <f t="shared" si="24"/>
        <v>&lt;---PM/Planner may hide PLACEHOLDER ROW</v>
      </c>
      <c r="M474" s="1382"/>
      <c r="N474" s="1382"/>
      <c r="O474" s="1382"/>
      <c r="P474" s="1382"/>
      <c r="Q474" s="1382"/>
      <c r="R474" s="1447"/>
      <c r="S474" s="1448"/>
      <c r="T474" s="1274"/>
      <c r="U474" s="1382"/>
      <c r="V474" s="1382"/>
      <c r="W474" s="1382"/>
      <c r="X474" s="1382"/>
      <c r="Y474" s="1382"/>
      <c r="Z474" s="1382"/>
      <c r="AA474" s="1382"/>
      <c r="AB474" s="1382"/>
      <c r="AC474" s="1382"/>
      <c r="AD474" s="1382"/>
      <c r="AE474" s="1382"/>
      <c r="AF474" s="1382"/>
      <c r="AG474" s="1382"/>
      <c r="AH474" s="1382"/>
      <c r="AI474" s="1382"/>
      <c r="AJ474" s="1382"/>
      <c r="AX474" s="30"/>
    </row>
    <row r="475" spans="1:50" s="181" customFormat="1" ht="15" hidden="1" customHeight="1" x14ac:dyDescent="0.25">
      <c r="A475" s="2318"/>
      <c r="B475" s="177"/>
      <c r="C475" s="945"/>
      <c r="D475" s="21"/>
      <c r="E475" s="29" t="str">
        <f>IF('C-Design&amp;Const'!$Q475="","",'C-Design&amp;Const'!$Q475)</f>
        <v>N</v>
      </c>
      <c r="F475" s="22"/>
      <c r="G475" s="567"/>
      <c r="H475" s="546" t="str">
        <f>CONCATENATE(IF(ISNUMBER(SEARCH("Placeholder",'C-Design&amp;Const'!Z475))=TRUE,"",IF(E475="N","PLACEHOLDER ROW - ","")),'C-Design&amp;Const'!Z475,IF(E475="N","",J475))</f>
        <v>PLACEHOLDER ROW - Schedule of Values</v>
      </c>
      <c r="I475" s="146"/>
      <c r="L475" s="1410" t="str">
        <f t="shared" si="24"/>
        <v>&lt;---PM/Planner may hide PLACEHOLDER ROW</v>
      </c>
      <c r="M475" s="1382"/>
      <c r="N475" s="1382"/>
      <c r="O475" s="1382"/>
      <c r="P475" s="1382"/>
      <c r="Q475" s="1382"/>
      <c r="R475" s="1447"/>
      <c r="S475" s="1448"/>
      <c r="T475" s="1274"/>
      <c r="U475" s="1382"/>
      <c r="V475" s="1382"/>
      <c r="W475" s="1382"/>
      <c r="X475" s="1382"/>
      <c r="Y475" s="1382"/>
      <c r="Z475" s="1382"/>
      <c r="AA475" s="1382"/>
      <c r="AB475" s="1382"/>
      <c r="AC475" s="1382"/>
      <c r="AD475" s="1382"/>
      <c r="AE475" s="1382"/>
      <c r="AF475" s="1382"/>
      <c r="AG475" s="1382"/>
      <c r="AH475" s="1382"/>
      <c r="AI475" s="1382"/>
      <c r="AJ475" s="1382"/>
      <c r="AX475" s="30"/>
    </row>
    <row r="476" spans="1:50" s="181" customFormat="1" ht="15" hidden="1" customHeight="1" x14ac:dyDescent="0.25">
      <c r="A476" s="2318"/>
      <c r="B476" s="177"/>
      <c r="C476" s="945"/>
      <c r="D476" s="21"/>
      <c r="E476" s="29" t="str">
        <f>IF('C-Design&amp;Const'!$Q476="","",'C-Design&amp;Const'!$Q476)</f>
        <v>N</v>
      </c>
      <c r="F476" s="22"/>
      <c r="G476" s="567"/>
      <c r="H476" s="562" t="str">
        <f>CONCATENATE(IF(ISNUMBER(SEARCH("Placeholder",'C-Design&amp;Const'!Z476))=TRUE,"",IF(E476="N","PLACEHOLDER ROW - ","")),'C-Design&amp;Const'!Z476,IF(E476="N","",J476))</f>
        <v>PLACEHOLDER ROW - Shop Drawings, Product Data, &amp; Quality Assurance Submittals (with all comments &amp; recommendation)</v>
      </c>
      <c r="I476" s="146"/>
      <c r="L476" s="1410" t="str">
        <f t="shared" si="24"/>
        <v>&lt;---PM/Planner may hide PLACEHOLDER ROW</v>
      </c>
      <c r="M476" s="1382"/>
      <c r="N476" s="1382"/>
      <c r="O476" s="1382"/>
      <c r="P476" s="1382"/>
      <c r="Q476" s="1382"/>
      <c r="R476" s="1447"/>
      <c r="S476" s="1448"/>
      <c r="T476" s="1274"/>
      <c r="U476" s="1382"/>
      <c r="V476" s="1382"/>
      <c r="W476" s="1382"/>
      <c r="X476" s="1382"/>
      <c r="Y476" s="1382"/>
      <c r="Z476" s="1382"/>
      <c r="AA476" s="1382"/>
      <c r="AB476" s="1382"/>
      <c r="AC476" s="1382"/>
      <c r="AD476" s="1382"/>
      <c r="AE476" s="1382"/>
      <c r="AF476" s="1382"/>
      <c r="AG476" s="1382"/>
      <c r="AH476" s="1382"/>
      <c r="AI476" s="1382"/>
      <c r="AJ476" s="1382"/>
      <c r="AX476" s="30"/>
    </row>
    <row r="477" spans="1:50" s="181" customFormat="1" ht="15" hidden="1" customHeight="1" x14ac:dyDescent="0.25">
      <c r="A477" s="2318"/>
      <c r="B477" s="177"/>
      <c r="C477" s="945"/>
      <c r="D477" s="21"/>
      <c r="E477" s="29" t="str">
        <f>IF('C-Design&amp;Const'!$Q477="","",'C-Design&amp;Const'!$Q477)</f>
        <v>N</v>
      </c>
      <c r="F477" s="22"/>
      <c r="G477" s="567"/>
      <c r="H477" s="562" t="str">
        <f>CONCATENATE(IF(ISNUMBER(SEARCH("Placeholder",'C-Design&amp;Const'!Z477))=TRUE,"",IF(E477="N","PLACEHOLDER ROW - ","")),'C-Design&amp;Const'!Z477,IF(E477="N","",J477))</f>
        <v>PLACEHOLDER ROW - Breaker Fuse Coordination Analysis based on equipment selected</v>
      </c>
      <c r="I477" s="146"/>
      <c r="L477" s="1410" t="str">
        <f t="shared" si="24"/>
        <v>&lt;---PM/Planner may hide PLACEHOLDER ROW</v>
      </c>
      <c r="M477" s="1382"/>
      <c r="N477" s="1382"/>
      <c r="O477" s="1382"/>
      <c r="P477" s="1382"/>
      <c r="Q477" s="1382"/>
      <c r="R477" s="1447"/>
      <c r="S477" s="1448"/>
      <c r="T477" s="1274"/>
      <c r="U477" s="1382"/>
      <c r="V477" s="1382"/>
      <c r="W477" s="1382"/>
      <c r="X477" s="1382"/>
      <c r="Y477" s="1382"/>
      <c r="Z477" s="1382"/>
      <c r="AA477" s="1382"/>
      <c r="AB477" s="1382"/>
      <c r="AC477" s="1382"/>
      <c r="AD477" s="1382"/>
      <c r="AE477" s="1382"/>
      <c r="AF477" s="1382"/>
      <c r="AG477" s="1382"/>
      <c r="AH477" s="1382"/>
      <c r="AI477" s="1382"/>
      <c r="AJ477" s="1382"/>
      <c r="AX477" s="30"/>
    </row>
    <row r="478" spans="1:50" s="181" customFormat="1" ht="15" hidden="1" customHeight="1" x14ac:dyDescent="0.25">
      <c r="A478" s="2318"/>
      <c r="B478" s="177"/>
      <c r="C478" s="945"/>
      <c r="D478" s="21"/>
      <c r="E478" s="29" t="str">
        <f>IF('C-Design&amp;Const'!$Q478="","",'C-Design&amp;Const'!$Q478)</f>
        <v>N</v>
      </c>
      <c r="F478" s="22"/>
      <c r="G478" s="567"/>
      <c r="H478" s="562" t="str">
        <f>CONCATENATE(IF(ISNUMBER(SEARCH("Placeholder",'C-Design&amp;Const'!Z478))=TRUE,"",IF(E478="N","PLACEHOLDER ROW - ","")),'C-Design&amp;Const'!Z478,IF(E478="N","",J478))</f>
        <v>PLACEHOLDER ROW - Updates to Checklist for spec sections w/ submittals recv'd vs reqd (shop drawings, calcs, etc…).  (NOTE:  previously received under separate cover with Item 06 - Project Manual.)</v>
      </c>
      <c r="I478" s="146"/>
      <c r="L478" s="1410" t="str">
        <f t="shared" si="24"/>
        <v>&lt;---PM/Planner may hide PLACEHOLDER ROW</v>
      </c>
      <c r="M478" s="1382"/>
      <c r="N478" s="1382"/>
      <c r="O478" s="1382"/>
      <c r="P478" s="1382"/>
      <c r="Q478" s="1382"/>
      <c r="R478" s="1447"/>
      <c r="S478" s="1448"/>
      <c r="T478" s="1274"/>
      <c r="U478" s="1382"/>
      <c r="V478" s="1382"/>
      <c r="W478" s="1382"/>
      <c r="X478" s="1382"/>
      <c r="Y478" s="1382"/>
      <c r="Z478" s="1382"/>
      <c r="AA478" s="1382"/>
      <c r="AB478" s="1382"/>
      <c r="AC478" s="1382"/>
      <c r="AD478" s="1382"/>
      <c r="AE478" s="1382"/>
      <c r="AF478" s="1382"/>
      <c r="AG478" s="1382"/>
      <c r="AH478" s="1382"/>
      <c r="AI478" s="1382"/>
      <c r="AJ478" s="1382"/>
      <c r="AX478" s="30"/>
    </row>
    <row r="479" spans="1:50" ht="18.75" hidden="1" x14ac:dyDescent="0.25">
      <c r="A479" s="2318"/>
      <c r="B479" s="125"/>
      <c r="C479" s="945"/>
      <c r="D479" s="223"/>
      <c r="E479" s="202"/>
      <c r="F479" s="202"/>
      <c r="G479" s="259"/>
      <c r="H479" s="260"/>
      <c r="I479" s="146"/>
      <c r="L479" s="1410" t="str">
        <f t="shared" si="24"/>
        <v/>
      </c>
      <c r="M479" s="1333"/>
      <c r="N479" s="1333"/>
      <c r="O479" s="1333"/>
      <c r="P479" s="1333"/>
      <c r="Q479" s="1333"/>
      <c r="R479" s="1453"/>
      <c r="S479" s="1364"/>
      <c r="T479" s="1284"/>
      <c r="U479" s="1333"/>
      <c r="V479" s="1333"/>
      <c r="W479" s="1333"/>
      <c r="X479" s="1333"/>
      <c r="Y479" s="1333"/>
      <c r="Z479" s="1333"/>
      <c r="AA479" s="1333"/>
      <c r="AB479" s="1333"/>
      <c r="AC479" s="1333"/>
      <c r="AD479" s="1333"/>
      <c r="AE479" s="1333"/>
      <c r="AF479" s="1333"/>
      <c r="AG479" s="1333"/>
      <c r="AH479" s="1333"/>
      <c r="AI479" s="1333"/>
      <c r="AJ479" s="1333"/>
    </row>
    <row r="480" spans="1:50" ht="18.75" hidden="1" x14ac:dyDescent="0.25">
      <c r="A480" s="2318"/>
      <c r="B480" s="125"/>
      <c r="C480" s="945"/>
      <c r="D480" s="29" t="str">
        <f>IF('C-Design&amp;Const'!$Q480="","",'C-Design&amp;Const'!$Q480)</f>
        <v>N</v>
      </c>
      <c r="E480" s="31"/>
      <c r="F480" s="178"/>
      <c r="G480" s="550" t="str">
        <f>IF('C-Design&amp;Const'!Y480="","",'C-Design&amp;Const'!Y480)</f>
        <v>21.</v>
      </c>
      <c r="H480" s="555" t="str">
        <f>CONCATENATE('C-Design&amp;Const'!Z480,IF(D480="N"," Not Used In This Construction Phase",J480))</f>
        <v>Pay / Progress Meetings Not Used In This Construction Phase</v>
      </c>
      <c r="I480" s="146"/>
      <c r="L480" s="1410" t="str">
        <f t="shared" si="24"/>
        <v/>
      </c>
      <c r="M480" s="1333"/>
      <c r="N480" s="1333"/>
      <c r="O480" s="1333"/>
      <c r="P480" s="1333"/>
      <c r="Q480" s="1333"/>
      <c r="R480" s="1453"/>
      <c r="S480" s="1364"/>
      <c r="T480" s="1284"/>
      <c r="U480" s="1333"/>
      <c r="V480" s="1333"/>
      <c r="W480" s="1333"/>
      <c r="X480" s="1333"/>
      <c r="Y480" s="1333"/>
      <c r="Z480" s="1333"/>
      <c r="AA480" s="1333"/>
      <c r="AB480" s="1333"/>
      <c r="AC480" s="1333"/>
      <c r="AD480" s="1333"/>
      <c r="AE480" s="1333"/>
      <c r="AF480" s="1333"/>
      <c r="AG480" s="1333"/>
      <c r="AH480" s="1333"/>
      <c r="AI480" s="1333"/>
      <c r="AJ480" s="1333"/>
    </row>
    <row r="481" spans="1:50" s="181" customFormat="1" ht="15" hidden="1" customHeight="1" x14ac:dyDescent="0.25">
      <c r="A481" s="2318"/>
      <c r="B481" s="177"/>
      <c r="C481" s="945"/>
      <c r="D481" s="21"/>
      <c r="E481" s="29" t="str">
        <f>IF('C-Design&amp;Const'!$Q481="","",'C-Design&amp;Const'!$Q481)</f>
        <v>N</v>
      </c>
      <c r="F481" s="22"/>
      <c r="G481" s="567"/>
      <c r="H481" s="546" t="str">
        <f>CONCATENATE(IF(ISNUMBER(SEARCH("Placeholder",'C-Design&amp;Const'!Z481))=TRUE,"",IF(E481="N","PLACEHOLDER ROW - ","")),'C-Design&amp;Const'!Z481,IF(E481="N","",J481))</f>
        <v>PLACEHOLDER ROW - Agenda</v>
      </c>
      <c r="I481" s="146"/>
      <c r="L481" s="1410" t="str">
        <f t="shared" si="24"/>
        <v>&lt;---PM/Planner may hide PLACEHOLDER ROW</v>
      </c>
      <c r="M481" s="1382"/>
      <c r="N481" s="1382"/>
      <c r="O481" s="1382"/>
      <c r="P481" s="1382"/>
      <c r="Q481" s="1382"/>
      <c r="R481" s="1447"/>
      <c r="S481" s="1448"/>
      <c r="T481" s="1274"/>
      <c r="U481" s="1382"/>
      <c r="V481" s="1382"/>
      <c r="W481" s="1382"/>
      <c r="X481" s="1382"/>
      <c r="Y481" s="1382"/>
      <c r="Z481" s="1382"/>
      <c r="AA481" s="1382"/>
      <c r="AB481" s="1382"/>
      <c r="AC481" s="1382"/>
      <c r="AD481" s="1382"/>
      <c r="AE481" s="1382"/>
      <c r="AF481" s="1382"/>
      <c r="AG481" s="1382"/>
      <c r="AH481" s="1382"/>
      <c r="AI481" s="1382"/>
      <c r="AJ481" s="1382"/>
      <c r="AX481" s="30"/>
    </row>
    <row r="482" spans="1:50" s="181" customFormat="1" ht="15" hidden="1" customHeight="1" x14ac:dyDescent="0.25">
      <c r="A482" s="2318"/>
      <c r="B482" s="177"/>
      <c r="C482" s="945"/>
      <c r="D482" s="21"/>
      <c r="E482" s="29" t="str">
        <f>IF('C-Design&amp;Const'!$Q482="","",'C-Design&amp;Const'!$Q482)</f>
        <v>N</v>
      </c>
      <c r="F482" s="22"/>
      <c r="G482" s="567"/>
      <c r="H482" s="546" t="str">
        <f>CONCATENATE(IF(ISNUMBER(SEARCH("Placeholder",'C-Design&amp;Const'!Z482))=TRUE,"",IF(E482="N","PLACEHOLDER ROW - ","")),'C-Design&amp;Const'!Z482,IF(E482="N","",J482))</f>
        <v>PLACEHOLDER ROW - Sign In</v>
      </c>
      <c r="I482" s="146"/>
      <c r="L482" s="1410" t="str">
        <f t="shared" si="24"/>
        <v>&lt;---PM/Planner may hide PLACEHOLDER ROW</v>
      </c>
      <c r="M482" s="1382"/>
      <c r="N482" s="1382"/>
      <c r="O482" s="1382"/>
      <c r="P482" s="1382"/>
      <c r="Q482" s="1382"/>
      <c r="R482" s="1447"/>
      <c r="S482" s="1448"/>
      <c r="T482" s="1274"/>
      <c r="U482" s="1382"/>
      <c r="V482" s="1382"/>
      <c r="W482" s="1382"/>
      <c r="X482" s="1382"/>
      <c r="Y482" s="1382"/>
      <c r="Z482" s="1382"/>
      <c r="AA482" s="1382"/>
      <c r="AB482" s="1382"/>
      <c r="AC482" s="1382"/>
      <c r="AD482" s="1382"/>
      <c r="AE482" s="1382"/>
      <c r="AF482" s="1382"/>
      <c r="AG482" s="1382"/>
      <c r="AH482" s="1382"/>
      <c r="AI482" s="1382"/>
      <c r="AJ482" s="1382"/>
      <c r="AX482" s="30"/>
    </row>
    <row r="483" spans="1:50" s="181" customFormat="1" ht="15" hidden="1" customHeight="1" x14ac:dyDescent="0.25">
      <c r="A483" s="2318"/>
      <c r="B483" s="177"/>
      <c r="C483" s="945"/>
      <c r="D483" s="21"/>
      <c r="E483" s="29" t="str">
        <f>IF('C-Design&amp;Const'!$Q483="","",'C-Design&amp;Const'!$Q483)</f>
        <v>N</v>
      </c>
      <c r="F483" s="22"/>
      <c r="G483" s="567"/>
      <c r="H483" s="546" t="str">
        <f>CONCATENATE(IF(ISNUMBER(SEARCH("Placeholder",'C-Design&amp;Const'!Z483))=TRUE,"",IF(E483="N","PLACEHOLDER ROW - ","")),'C-Design&amp;Const'!Z483,IF(E483="N","",J483))</f>
        <v>PLACEHOLDER ROW - Meeting Minutes (including field decisions)</v>
      </c>
      <c r="I483" s="146"/>
      <c r="L483" s="1410" t="str">
        <f t="shared" si="24"/>
        <v>&lt;---PM/Planner may hide PLACEHOLDER ROW</v>
      </c>
      <c r="M483" s="1382"/>
      <c r="N483" s="1382"/>
      <c r="O483" s="1382"/>
      <c r="P483" s="1382"/>
      <c r="Q483" s="1382"/>
      <c r="R483" s="1447"/>
      <c r="S483" s="1448"/>
      <c r="T483" s="1274"/>
      <c r="U483" s="1382"/>
      <c r="V483" s="1382"/>
      <c r="W483" s="1382"/>
      <c r="X483" s="1382"/>
      <c r="Y483" s="1382"/>
      <c r="Z483" s="1382"/>
      <c r="AA483" s="1382"/>
      <c r="AB483" s="1382"/>
      <c r="AC483" s="1382"/>
      <c r="AD483" s="1382"/>
      <c r="AE483" s="1382"/>
      <c r="AF483" s="1382"/>
      <c r="AG483" s="1382"/>
      <c r="AH483" s="1382"/>
      <c r="AI483" s="1382"/>
      <c r="AJ483" s="1382"/>
      <c r="AX483" s="30"/>
    </row>
    <row r="484" spans="1:50" ht="18.75" hidden="1" x14ac:dyDescent="0.25">
      <c r="A484" s="2318"/>
      <c r="B484" s="125"/>
      <c r="C484" s="945"/>
      <c r="D484" s="223"/>
      <c r="E484" s="202"/>
      <c r="F484" s="202"/>
      <c r="G484" s="259"/>
      <c r="H484" s="260"/>
      <c r="I484" s="146"/>
      <c r="L484" s="1410" t="str">
        <f t="shared" si="24"/>
        <v/>
      </c>
      <c r="M484" s="1333"/>
      <c r="N484" s="1333"/>
      <c r="O484" s="1333"/>
      <c r="P484" s="1333"/>
      <c r="Q484" s="1333"/>
      <c r="R484" s="1453"/>
      <c r="S484" s="1364"/>
      <c r="T484" s="1284"/>
      <c r="U484" s="1333"/>
      <c r="V484" s="1333"/>
      <c r="W484" s="1333"/>
      <c r="X484" s="1333"/>
      <c r="Y484" s="1333"/>
      <c r="Z484" s="1333"/>
      <c r="AA484" s="1333"/>
      <c r="AB484" s="1333"/>
      <c r="AC484" s="1333"/>
      <c r="AD484" s="1333"/>
      <c r="AE484" s="1333"/>
      <c r="AF484" s="1333"/>
      <c r="AG484" s="1333"/>
      <c r="AH484" s="1333"/>
      <c r="AI484" s="1333"/>
      <c r="AJ484" s="1333"/>
    </row>
    <row r="485" spans="1:50" ht="18.75" hidden="1" x14ac:dyDescent="0.25">
      <c r="A485" s="2318"/>
      <c r="B485" s="125"/>
      <c r="C485" s="945"/>
      <c r="D485" s="29" t="str">
        <f>IF('C-Design&amp;Const'!$Q485="","",'C-Design&amp;Const'!$Q485)</f>
        <v>N</v>
      </c>
      <c r="E485" s="31"/>
      <c r="F485" s="178"/>
      <c r="G485" s="550" t="str">
        <f>IF('C-Design&amp;Const'!Y485="","",'C-Design&amp;Const'!Y485)</f>
        <v>22.</v>
      </c>
      <c r="H485" s="555" t="str">
        <f>CONCATENATE('C-Design&amp;Const'!Z485,IF(D485="N"," Not Used In This Construction Phase",J485))</f>
        <v>Written Description of Delays Not Used In This Construction Phase</v>
      </c>
      <c r="I485" s="146"/>
      <c r="L485" s="1410" t="str">
        <f t="shared" si="24"/>
        <v/>
      </c>
      <c r="M485" s="1333"/>
      <c r="N485" s="1333"/>
      <c r="O485" s="1333"/>
      <c r="P485" s="1333"/>
      <c r="Q485" s="1333"/>
      <c r="R485" s="1453"/>
      <c r="S485" s="1364"/>
      <c r="T485" s="1284"/>
      <c r="U485" s="1333"/>
      <c r="V485" s="1333"/>
      <c r="W485" s="1333"/>
      <c r="X485" s="1333"/>
      <c r="Y485" s="1333"/>
      <c r="Z485" s="1333"/>
      <c r="AA485" s="1333"/>
      <c r="AB485" s="1333"/>
      <c r="AC485" s="1333"/>
      <c r="AD485" s="1333"/>
      <c r="AE485" s="1333"/>
      <c r="AF485" s="1333"/>
      <c r="AG485" s="1333"/>
      <c r="AH485" s="1333"/>
      <c r="AI485" s="1333"/>
      <c r="AJ485" s="1333"/>
    </row>
    <row r="486" spans="1:50" ht="18.75" hidden="1" x14ac:dyDescent="0.25">
      <c r="A486" s="2318"/>
      <c r="B486" s="125"/>
      <c r="C486" s="945"/>
      <c r="D486" s="223"/>
      <c r="E486" s="202"/>
      <c r="F486" s="202"/>
      <c r="G486" s="259"/>
      <c r="H486" s="260"/>
      <c r="I486" s="146"/>
      <c r="L486" s="1410" t="str">
        <f t="shared" si="24"/>
        <v/>
      </c>
      <c r="M486" s="1333"/>
      <c r="N486" s="1333"/>
      <c r="O486" s="1333"/>
      <c r="P486" s="1333"/>
      <c r="Q486" s="1333"/>
      <c r="R486" s="1453"/>
      <c r="S486" s="1364"/>
      <c r="T486" s="1284"/>
      <c r="U486" s="1333"/>
      <c r="V486" s="1333"/>
      <c r="W486" s="1333"/>
      <c r="X486" s="1333"/>
      <c r="Y486" s="1333"/>
      <c r="Z486" s="1333"/>
      <c r="AA486" s="1333"/>
      <c r="AB486" s="1333"/>
      <c r="AC486" s="1333"/>
      <c r="AD486" s="1333"/>
      <c r="AE486" s="1333"/>
      <c r="AF486" s="1333"/>
      <c r="AG486" s="1333"/>
      <c r="AH486" s="1333"/>
      <c r="AI486" s="1333"/>
      <c r="AJ486" s="1333"/>
    </row>
    <row r="487" spans="1:50" ht="18.75" hidden="1" x14ac:dyDescent="0.25">
      <c r="A487" s="2318"/>
      <c r="B487" s="125"/>
      <c r="C487" s="945"/>
      <c r="D487" s="29" t="str">
        <f>IF('C-Design&amp;Const'!$Q487="","",'C-Design&amp;Const'!$Q487)</f>
        <v>N</v>
      </c>
      <c r="E487" s="31"/>
      <c r="F487" s="178"/>
      <c r="G487" s="550" t="str">
        <f>IF('C-Design&amp;Const'!Y487="","",'C-Design&amp;Const'!Y487)</f>
        <v>23.</v>
      </c>
      <c r="H487" s="290" t="str">
        <f>CONCATENATE('C-Design&amp;Const'!Z487,IF(D487="N"," Not Used In This Construction Phase",J487))</f>
        <v>Construction Information / Changes Not Used In This Construction Phase</v>
      </c>
      <c r="I487" s="146"/>
      <c r="L487" s="1410" t="str">
        <f t="shared" si="24"/>
        <v/>
      </c>
      <c r="M487" s="1333"/>
      <c r="N487" s="1333"/>
      <c r="O487" s="1333"/>
      <c r="P487" s="1333"/>
      <c r="Q487" s="1333"/>
      <c r="R487" s="1453"/>
      <c r="S487" s="1364"/>
      <c r="T487" s="1284"/>
      <c r="U487" s="1333"/>
      <c r="V487" s="1333"/>
      <c r="W487" s="1333"/>
      <c r="X487" s="1333"/>
      <c r="Y487" s="1333"/>
      <c r="Z487" s="1333"/>
      <c r="AA487" s="1333"/>
      <c r="AB487" s="1333"/>
      <c r="AC487" s="1333"/>
      <c r="AD487" s="1333"/>
      <c r="AE487" s="1333"/>
      <c r="AF487" s="1333"/>
      <c r="AG487" s="1333"/>
      <c r="AH487" s="1333"/>
      <c r="AI487" s="1333"/>
      <c r="AJ487" s="1333"/>
    </row>
    <row r="488" spans="1:50" s="181" customFormat="1" ht="15" hidden="1" customHeight="1" x14ac:dyDescent="0.25">
      <c r="A488" s="2318"/>
      <c r="B488" s="177"/>
      <c r="C488" s="945"/>
      <c r="D488" s="21"/>
      <c r="E488" s="29" t="str">
        <f>IF('C-Design&amp;Const'!$Q488="","",'C-Design&amp;Const'!$Q488)</f>
        <v>N</v>
      </c>
      <c r="F488" s="22"/>
      <c r="G488" s="567"/>
      <c r="H488" s="546" t="str">
        <f>CONCATENATE(IF(ISNUMBER(SEARCH("Placeholder",'C-Design&amp;Const'!Z488))=TRUE,"",IF(E488="N","PLACEHOLDER ROW - ","")),'C-Design&amp;Const'!Z488,IF(E488="N","",J488))</f>
        <v>PLACEHOLDER ROW - RFI's responses, ASI's, RFP's, Change Orders and Field Directives</v>
      </c>
      <c r="I488" s="146"/>
      <c r="L488" s="1410" t="str">
        <f t="shared" si="24"/>
        <v>&lt;---PM/Planner may hide PLACEHOLDER ROW</v>
      </c>
      <c r="M488" s="1382"/>
      <c r="N488" s="1382"/>
      <c r="O488" s="1382"/>
      <c r="P488" s="1382"/>
      <c r="Q488" s="1382"/>
      <c r="R488" s="1447"/>
      <c r="S488" s="1448"/>
      <c r="T488" s="1274"/>
      <c r="U488" s="1382"/>
      <c r="V488" s="1382"/>
      <c r="W488" s="1382"/>
      <c r="X488" s="1382"/>
      <c r="Y488" s="1382"/>
      <c r="Z488" s="1382"/>
      <c r="AA488" s="1382"/>
      <c r="AB488" s="1382"/>
      <c r="AC488" s="1382"/>
      <c r="AD488" s="1382"/>
      <c r="AE488" s="1382"/>
      <c r="AF488" s="1382"/>
      <c r="AG488" s="1382"/>
      <c r="AH488" s="1382"/>
      <c r="AI488" s="1382"/>
      <c r="AJ488" s="1382"/>
      <c r="AX488" s="30"/>
    </row>
    <row r="489" spans="1:50" s="181" customFormat="1" ht="15" hidden="1" customHeight="1" x14ac:dyDescent="0.25">
      <c r="A489" s="2318"/>
      <c r="B489" s="177"/>
      <c r="C489" s="945"/>
      <c r="D489" s="21"/>
      <c r="E489" s="29" t="str">
        <f>IF('C-Design&amp;Const'!$Q489="","",'C-Design&amp;Const'!$Q489)</f>
        <v>N</v>
      </c>
      <c r="F489" s="22"/>
      <c r="G489" s="567"/>
      <c r="H489" s="546" t="str">
        <f>CONCATENATE(IF(ISNUMBER(SEARCH("Placeholder",'C-Design&amp;Const'!Z489))=TRUE,"",IF(E489="N","PLACEHOLDER ROW - ","")),'C-Design&amp;Const'!Z489,IF(E489="N","",J489))</f>
        <v>PLACEHOLDER ROW - Logs of RFI's &amp; responses, ASI's, RFP's, Change Orders and Field Directives</v>
      </c>
      <c r="I489" s="146"/>
      <c r="L489" s="1410" t="str">
        <f t="shared" si="24"/>
        <v>&lt;---PM/Planner may hide PLACEHOLDER ROW</v>
      </c>
      <c r="M489" s="1382"/>
      <c r="N489" s="1382"/>
      <c r="O489" s="1382"/>
      <c r="P489" s="1382"/>
      <c r="Q489" s="1382"/>
      <c r="R489" s="1447"/>
      <c r="S489" s="1448"/>
      <c r="T489" s="1274"/>
      <c r="U489" s="1382"/>
      <c r="V489" s="1382"/>
      <c r="W489" s="1382"/>
      <c r="X489" s="1382"/>
      <c r="Y489" s="1382"/>
      <c r="Z489" s="1382"/>
      <c r="AA489" s="1382"/>
      <c r="AB489" s="1382"/>
      <c r="AC489" s="1382"/>
      <c r="AD489" s="1382"/>
      <c r="AE489" s="1382"/>
      <c r="AF489" s="1382"/>
      <c r="AG489" s="1382"/>
      <c r="AH489" s="1382"/>
      <c r="AI489" s="1382"/>
      <c r="AJ489" s="1382"/>
      <c r="AX489" s="30"/>
    </row>
    <row r="490" spans="1:50" s="181" customFormat="1" ht="15" hidden="1" customHeight="1" x14ac:dyDescent="0.25">
      <c r="A490" s="2318"/>
      <c r="B490" s="177"/>
      <c r="C490" s="945"/>
      <c r="D490" s="21"/>
      <c r="E490" s="29" t="str">
        <f>IF('C-Design&amp;Const'!$Q490="","",'C-Design&amp;Const'!$Q490)</f>
        <v>N</v>
      </c>
      <c r="F490" s="22"/>
      <c r="G490" s="567"/>
      <c r="H490" s="546" t="str">
        <f>CONCATENATE(IF(ISNUMBER(SEARCH("Placeholder",'C-Design&amp;Const'!Z490))=TRUE,"",IF(E490="N","PLACEHOLDER ROW - ","")),'C-Design&amp;Const'!Z490,IF(E490="N","",J490))</f>
        <v>PLACEHOLDER ROW - Justifications or Explanations for Errors/ Omissions, Deficiencies or Conflicts</v>
      </c>
      <c r="I490" s="146"/>
      <c r="L490" s="1410" t="str">
        <f t="shared" si="24"/>
        <v>&lt;---PM/Planner may hide PLACEHOLDER ROW</v>
      </c>
      <c r="M490" s="1382"/>
      <c r="N490" s="1382"/>
      <c r="O490" s="1382"/>
      <c r="P490" s="1382"/>
      <c r="Q490" s="1382"/>
      <c r="R490" s="1447"/>
      <c r="S490" s="1448"/>
      <c r="T490" s="1274"/>
      <c r="U490" s="1382"/>
      <c r="V490" s="1382"/>
      <c r="W490" s="1382"/>
      <c r="X490" s="1382"/>
      <c r="Y490" s="1382"/>
      <c r="Z490" s="1382"/>
      <c r="AA490" s="1382"/>
      <c r="AB490" s="1382"/>
      <c r="AC490" s="1382"/>
      <c r="AD490" s="1382"/>
      <c r="AE490" s="1382"/>
      <c r="AF490" s="1382"/>
      <c r="AG490" s="1382"/>
      <c r="AH490" s="1382"/>
      <c r="AI490" s="1382"/>
      <c r="AJ490" s="1382"/>
      <c r="AX490" s="30"/>
    </row>
    <row r="491" spans="1:50" s="181" customFormat="1" ht="15" hidden="1" customHeight="1" x14ac:dyDescent="0.25">
      <c r="A491" s="2318"/>
      <c r="B491" s="177"/>
      <c r="C491" s="945"/>
      <c r="D491" s="21"/>
      <c r="E491" s="29" t="str">
        <f>IF('C-Design&amp;Const'!$Q491="","",'C-Design&amp;Const'!$Q491)</f>
        <v>N</v>
      </c>
      <c r="F491" s="22"/>
      <c r="G491" s="567"/>
      <c r="H491" s="546" t="str">
        <f>CONCATENATE(IF(ISNUMBER(SEARCH("Placeholder",'C-Design&amp;Const'!Z491))=TRUE,"",IF(E491="N","PLACEHOLDER ROW - ","")),'C-Design&amp;Const'!Z491,IF(E491="N","",J491))</f>
        <v>PLACEHOLDER ROW - Corrections to Errors / Omissions, Deficiencies, or Conflicts</v>
      </c>
      <c r="I491" s="146"/>
      <c r="L491" s="1410" t="str">
        <f t="shared" si="24"/>
        <v>&lt;---PM/Planner may hide PLACEHOLDER ROW</v>
      </c>
      <c r="M491" s="1382"/>
      <c r="N491" s="1382"/>
      <c r="O491" s="1382"/>
      <c r="P491" s="1382"/>
      <c r="Q491" s="1382"/>
      <c r="R491" s="1447"/>
      <c r="S491" s="1448"/>
      <c r="T491" s="1274"/>
      <c r="U491" s="1382"/>
      <c r="V491" s="1382"/>
      <c r="W491" s="1382"/>
      <c r="X491" s="1382"/>
      <c r="Y491" s="1382"/>
      <c r="Z491" s="1382"/>
      <c r="AA491" s="1382"/>
      <c r="AB491" s="1382"/>
      <c r="AC491" s="1382"/>
      <c r="AD491" s="1382"/>
      <c r="AE491" s="1382"/>
      <c r="AF491" s="1382"/>
      <c r="AG491" s="1382"/>
      <c r="AH491" s="1382"/>
      <c r="AI491" s="1382"/>
      <c r="AJ491" s="1382"/>
      <c r="AX491" s="30"/>
    </row>
    <row r="492" spans="1:50" s="181" customFormat="1" ht="15" hidden="1" customHeight="1" x14ac:dyDescent="0.25">
      <c r="A492" s="2318"/>
      <c r="B492" s="177"/>
      <c r="C492" s="945"/>
      <c r="D492" s="21"/>
      <c r="E492" s="29" t="str">
        <f>IF('C-Design&amp;Const'!$Q492="","",'C-Design&amp;Const'!$Q492)</f>
        <v>N</v>
      </c>
      <c r="F492" s="22"/>
      <c r="G492" s="567"/>
      <c r="H492" s="562" t="str">
        <f>CONCATENATE(IF(ISNUMBER(SEARCH("Placeholder",'C-Design&amp;Const'!Z492))=TRUE,"",IF(E492="N","PLACEHOLDER ROW - ","")),'C-Design&amp;Const'!Z492,IF(E492="N","",J492))</f>
        <v>PLACEHOLDER ROW - OPTIONAL CLIENT CUSTOM ITEM</v>
      </c>
      <c r="I492" s="146"/>
      <c r="L492" s="1410" t="str">
        <f t="shared" si="24"/>
        <v>&lt;---PM/Planner may hide PLACEHOLDER ROW</v>
      </c>
      <c r="M492" s="1382"/>
      <c r="N492" s="1382"/>
      <c r="O492" s="1382"/>
      <c r="P492" s="1382"/>
      <c r="Q492" s="1382"/>
      <c r="R492" s="1447"/>
      <c r="S492" s="1448"/>
      <c r="T492" s="1274"/>
      <c r="U492" s="1382"/>
      <c r="V492" s="1382"/>
      <c r="W492" s="1382"/>
      <c r="X492" s="1382"/>
      <c r="Y492" s="1382"/>
      <c r="Z492" s="1382"/>
      <c r="AA492" s="1382"/>
      <c r="AB492" s="1382"/>
      <c r="AC492" s="1382"/>
      <c r="AD492" s="1382"/>
      <c r="AE492" s="1382"/>
      <c r="AF492" s="1382"/>
      <c r="AG492" s="1382"/>
      <c r="AH492" s="1382"/>
      <c r="AI492" s="1382"/>
      <c r="AJ492" s="1382"/>
      <c r="AX492" s="30"/>
    </row>
    <row r="493" spans="1:50" s="181" customFormat="1" ht="15" hidden="1" customHeight="1" x14ac:dyDescent="0.25">
      <c r="A493" s="2318"/>
      <c r="B493" s="177"/>
      <c r="C493" s="945"/>
      <c r="D493" s="21"/>
      <c r="E493" s="29" t="str">
        <f>IF('C-Design&amp;Const'!$Q493="","",'C-Design&amp;Const'!$Q493)</f>
        <v>N</v>
      </c>
      <c r="F493" s="22"/>
      <c r="G493" s="567"/>
      <c r="H493" s="562" t="str">
        <f>CONCATENATE(IF(ISNUMBER(SEARCH("Placeholder",'C-Design&amp;Const'!Z493))=TRUE,"",IF(E493="N","PLACEHOLDER ROW - ","")),'C-Design&amp;Const'!Z493,IF(E493="N","",J493))</f>
        <v>PLACEHOLDER ROW - OPTIONAL CLIENT CUSTOM ITEM</v>
      </c>
      <c r="I493" s="146"/>
      <c r="L493" s="1410" t="str">
        <f t="shared" si="24"/>
        <v>&lt;---PM/Planner may hide PLACEHOLDER ROW</v>
      </c>
      <c r="M493" s="1382"/>
      <c r="N493" s="1382"/>
      <c r="O493" s="1382"/>
      <c r="P493" s="1382"/>
      <c r="Q493" s="1382"/>
      <c r="R493" s="1447"/>
      <c r="S493" s="1448"/>
      <c r="T493" s="1274"/>
      <c r="U493" s="1382"/>
      <c r="V493" s="1382"/>
      <c r="W493" s="1382"/>
      <c r="X493" s="1382"/>
      <c r="Y493" s="1382"/>
      <c r="Z493" s="1382"/>
      <c r="AA493" s="1382"/>
      <c r="AB493" s="1382"/>
      <c r="AC493" s="1382"/>
      <c r="AD493" s="1382"/>
      <c r="AE493" s="1382"/>
      <c r="AF493" s="1382"/>
      <c r="AG493" s="1382"/>
      <c r="AH493" s="1382"/>
      <c r="AI493" s="1382"/>
      <c r="AJ493" s="1382"/>
      <c r="AX493" s="30"/>
    </row>
    <row r="494" spans="1:50" ht="18.75" hidden="1" x14ac:dyDescent="0.25">
      <c r="A494" s="2318"/>
      <c r="B494" s="125"/>
      <c r="C494" s="945"/>
      <c r="D494" s="223"/>
      <c r="E494" s="202"/>
      <c r="F494" s="202"/>
      <c r="G494" s="259"/>
      <c r="H494" s="260"/>
      <c r="I494" s="146"/>
      <c r="L494" s="1410" t="str">
        <f t="shared" si="24"/>
        <v/>
      </c>
      <c r="M494" s="1333"/>
      <c r="N494" s="1333"/>
      <c r="O494" s="1333"/>
      <c r="P494" s="1333"/>
      <c r="Q494" s="1333"/>
      <c r="R494" s="1453"/>
      <c r="S494" s="1364"/>
      <c r="T494" s="1284"/>
      <c r="U494" s="1333"/>
      <c r="V494" s="1333"/>
      <c r="W494" s="1333"/>
      <c r="X494" s="1333"/>
      <c r="Y494" s="1333"/>
      <c r="Z494" s="1333"/>
      <c r="AA494" s="1333"/>
      <c r="AB494" s="1333"/>
      <c r="AC494" s="1333"/>
      <c r="AD494" s="1333"/>
      <c r="AE494" s="1333"/>
      <c r="AF494" s="1333"/>
      <c r="AG494" s="1333"/>
      <c r="AH494" s="1333"/>
      <c r="AI494" s="1333"/>
      <c r="AJ494" s="1333"/>
    </row>
    <row r="495" spans="1:50" ht="37.5" hidden="1" x14ac:dyDescent="0.25">
      <c r="A495" s="2318"/>
      <c r="B495" s="125"/>
      <c r="C495" s="945"/>
      <c r="D495" s="29" t="str">
        <f>IF('C-Design&amp;Const'!$Q495="","",'C-Design&amp;Const'!$Q495)</f>
        <v>N</v>
      </c>
      <c r="E495" s="31"/>
      <c r="F495" s="178"/>
      <c r="G495" s="550" t="str">
        <f>IF('C-Design&amp;Const'!Y495="","",'C-Design&amp;Const'!Y495)</f>
        <v>24.</v>
      </c>
      <c r="H495" s="555" t="str">
        <f>CONCATENATE('C-Design&amp;Const'!Z495,IF(D495="N"," Not Used In This Construction Phase",J495))</f>
        <v>On-site Inspection / Observation Reports Not Used In This Construction Phase</v>
      </c>
      <c r="I495" s="146"/>
      <c r="L495" s="1410" t="str">
        <f t="shared" si="24"/>
        <v/>
      </c>
      <c r="M495" s="1333"/>
      <c r="N495" s="1333"/>
      <c r="O495" s="1333"/>
      <c r="P495" s="1333"/>
      <c r="Q495" s="1333"/>
      <c r="R495" s="1453"/>
      <c r="S495" s="1364"/>
      <c r="T495" s="1284"/>
      <c r="U495" s="1333"/>
      <c r="V495" s="1333"/>
      <c r="W495" s="1333"/>
      <c r="X495" s="1333"/>
      <c r="Y495" s="1333"/>
      <c r="Z495" s="1333"/>
      <c r="AA495" s="1333"/>
      <c r="AB495" s="1333"/>
      <c r="AC495" s="1333"/>
      <c r="AD495" s="1333"/>
      <c r="AE495" s="1333"/>
      <c r="AF495" s="1333"/>
      <c r="AG495" s="1333"/>
      <c r="AH495" s="1333"/>
      <c r="AI495" s="1333"/>
      <c r="AJ495" s="1333"/>
    </row>
    <row r="496" spans="1:50" s="17" customFormat="1" ht="15" hidden="1" customHeight="1" x14ac:dyDescent="0.25">
      <c r="A496" s="2318"/>
      <c r="B496" s="141"/>
      <c r="C496" s="945"/>
      <c r="D496" s="21"/>
      <c r="E496" s="29" t="str">
        <f>IF('C-Design&amp;Const'!$Q496="","",'C-Design&amp;Const'!$Q496)</f>
        <v>N</v>
      </c>
      <c r="F496" s="22"/>
      <c r="G496" s="567"/>
      <c r="H496" s="546" t="str">
        <f>CONCATENATE(IF(ISNUMBER(SEARCH("Placeholder",'C-Design&amp;Const'!Z496))=TRUE,"",IF(E496="N","PLACEHOLDER ROW - ","")),'C-Design&amp;Const'!Z496,IF(E496="N","",J496))</f>
        <v>PLACEHOLDER ROW - Progress Photos</v>
      </c>
      <c r="I496" s="146"/>
      <c r="L496" s="1410" t="str">
        <f t="shared" si="24"/>
        <v>&lt;---PM/Planner may hide PLACEHOLDER ROW</v>
      </c>
      <c r="M496" s="1333"/>
      <c r="N496" s="1333"/>
      <c r="O496" s="1333"/>
      <c r="P496" s="1333"/>
      <c r="Q496" s="1333"/>
      <c r="R496" s="1453"/>
      <c r="S496" s="1364"/>
      <c r="T496" s="1333"/>
      <c r="U496" s="1333"/>
      <c r="V496" s="1333"/>
      <c r="W496" s="1333"/>
      <c r="X496" s="1333"/>
      <c r="Y496" s="1333"/>
      <c r="Z496" s="1333"/>
      <c r="AA496" s="1333"/>
      <c r="AB496" s="1333"/>
      <c r="AC496" s="1333"/>
      <c r="AD496" s="1333"/>
      <c r="AE496" s="1333"/>
      <c r="AF496" s="1333"/>
      <c r="AG496" s="1333"/>
      <c r="AH496" s="1333"/>
      <c r="AI496" s="1333"/>
      <c r="AJ496" s="1333"/>
      <c r="AX496"/>
    </row>
    <row r="497" spans="1:50" s="17" customFormat="1" ht="15" hidden="1" customHeight="1" x14ac:dyDescent="0.25">
      <c r="A497" s="2318"/>
      <c r="B497" s="141"/>
      <c r="C497" s="945"/>
      <c r="D497" s="21"/>
      <c r="E497" s="29" t="str">
        <f>IF('C-Design&amp;Const'!$Q497="","",'C-Design&amp;Const'!$Q497)</f>
        <v>N</v>
      </c>
      <c r="F497" s="23"/>
      <c r="G497" s="568"/>
      <c r="H497" s="546" t="str">
        <f>CONCATENATE(IF(ISNUMBER(SEARCH("Placeholder",'C-Design&amp;Const'!Z497))=TRUE,"",IF(E497="N","PLACEHOLDER ROW - ","")),'C-Design&amp;Const'!Z497,IF(E497="N","",J497))</f>
        <v>PLACEHOLDER ROW - Observations / Inspections results</v>
      </c>
      <c r="I497" s="146"/>
      <c r="L497" s="1410" t="str">
        <f t="shared" si="24"/>
        <v>&lt;---PM/Planner may hide PLACEHOLDER ROW</v>
      </c>
      <c r="M497" s="1333"/>
      <c r="N497" s="1333"/>
      <c r="O497" s="1333"/>
      <c r="P497" s="1333"/>
      <c r="Q497" s="1333"/>
      <c r="R497" s="1453"/>
      <c r="S497" s="1364"/>
      <c r="T497" s="1333"/>
      <c r="U497" s="1333"/>
      <c r="V497" s="1333"/>
      <c r="W497" s="1333"/>
      <c r="X497" s="1333"/>
      <c r="Y497" s="1333"/>
      <c r="Z497" s="1333"/>
      <c r="AA497" s="1333"/>
      <c r="AB497" s="1333"/>
      <c r="AC497" s="1333"/>
      <c r="AD497" s="1333"/>
      <c r="AE497" s="1333"/>
      <c r="AF497" s="1333"/>
      <c r="AG497" s="1333"/>
      <c r="AH497" s="1333"/>
      <c r="AI497" s="1333"/>
      <c r="AJ497" s="1333"/>
      <c r="AX497"/>
    </row>
    <row r="498" spans="1:50" s="17" customFormat="1" ht="15" hidden="1" customHeight="1" x14ac:dyDescent="0.25">
      <c r="A498" s="2318"/>
      <c r="B498" s="141"/>
      <c r="C498" s="945"/>
      <c r="D498" s="62"/>
      <c r="E498" s="29" t="str">
        <f>IF('C-Design&amp;Const'!$Q498="","",'C-Design&amp;Const'!$Q498)</f>
        <v>N</v>
      </c>
      <c r="F498" s="28"/>
      <c r="G498" s="569"/>
      <c r="H498" s="561" t="str">
        <f>CONCATENATE(IF(ISNUMBER(SEARCH("Placeholder",'C-Design&amp;Const'!Z498))=TRUE,"",IF(E498="N","PLACEHOLDER ROW - ","")),'C-Design&amp;Const'!Z498,IF(E498="N","",J498))</f>
        <v>PLACEHOLDER ROW - Summary of Tests observed</v>
      </c>
      <c r="I498" s="146"/>
      <c r="L498" s="1410" t="str">
        <f t="shared" si="24"/>
        <v>&lt;---PM/Planner may hide PLACEHOLDER ROW</v>
      </c>
      <c r="M498" s="1333"/>
      <c r="N498" s="1333"/>
      <c r="O498" s="1333"/>
      <c r="P498" s="1333"/>
      <c r="Q498" s="1333"/>
      <c r="R498" s="1444"/>
      <c r="S498" s="1448"/>
      <c r="T498" s="1333"/>
      <c r="U498" s="1333"/>
      <c r="V498" s="1333"/>
      <c r="W498" s="1333"/>
      <c r="X498" s="1333"/>
      <c r="Y498" s="1333"/>
      <c r="Z498" s="1333"/>
      <c r="AA498" s="1333"/>
      <c r="AB498" s="1333"/>
      <c r="AC498" s="1333"/>
      <c r="AD498" s="1333"/>
      <c r="AE498" s="1333"/>
      <c r="AF498" s="1333"/>
      <c r="AG498" s="1333"/>
      <c r="AH498" s="1333"/>
      <c r="AI498" s="1333"/>
      <c r="AJ498" s="1333"/>
      <c r="AX498"/>
    </row>
    <row r="499" spans="1:50" s="17" customFormat="1" ht="15" hidden="1" customHeight="1" x14ac:dyDescent="0.25">
      <c r="A499" s="2318"/>
      <c r="B499" s="141"/>
      <c r="C499" s="945"/>
      <c r="D499" s="62"/>
      <c r="E499" s="29" t="str">
        <f>IF('C-Design&amp;Const'!$Q499="","",'C-Design&amp;Const'!$Q499)</f>
        <v>N</v>
      </c>
      <c r="F499" s="28"/>
      <c r="G499" s="569"/>
      <c r="H499" s="562" t="str">
        <f>CONCATENATE(IF(ISNUMBER(SEARCH("Placeholder",'C-Design&amp;Const'!Z499))=TRUE,"",IF(E499="N","PLACEHOLDER ROW - ","")),'C-Design&amp;Const'!Z499,IF(E499="N","",J499))</f>
        <v>PLACEHOLDER ROW - OPTIONAL CLIENT CUSTOM ITEM</v>
      </c>
      <c r="I499" s="146"/>
      <c r="L499" s="1410" t="str">
        <f t="shared" si="24"/>
        <v>&lt;---PM/Planner may hide PLACEHOLDER ROW</v>
      </c>
      <c r="M499" s="1333"/>
      <c r="N499" s="1333"/>
      <c r="O499" s="1333"/>
      <c r="P499" s="1333"/>
      <c r="Q499" s="1333"/>
      <c r="R499" s="1444"/>
      <c r="S499" s="1448"/>
      <c r="T499" s="1333"/>
      <c r="U499" s="1333"/>
      <c r="V499" s="1333"/>
      <c r="W499" s="1333"/>
      <c r="X499" s="1333"/>
      <c r="Y499" s="1333"/>
      <c r="Z499" s="1333"/>
      <c r="AA499" s="1333"/>
      <c r="AB499" s="1333"/>
      <c r="AC499" s="1333"/>
      <c r="AD499" s="1333"/>
      <c r="AE499" s="1333"/>
      <c r="AF499" s="1333"/>
      <c r="AG499" s="1333"/>
      <c r="AH499" s="1333"/>
      <c r="AI499" s="1333"/>
      <c r="AJ499" s="1333"/>
      <c r="AX499"/>
    </row>
    <row r="500" spans="1:50" s="17" customFormat="1" ht="15" hidden="1" customHeight="1" x14ac:dyDescent="0.25">
      <c r="A500" s="2318"/>
      <c r="B500" s="141"/>
      <c r="C500" s="945"/>
      <c r="D500" s="62"/>
      <c r="E500" s="29" t="str">
        <f>IF('C-Design&amp;Const'!$Q500="","",'C-Design&amp;Const'!$Q500)</f>
        <v>N</v>
      </c>
      <c r="F500" s="28"/>
      <c r="G500" s="569"/>
      <c r="H500" s="562" t="str">
        <f>CONCATENATE(IF(ISNUMBER(SEARCH("Placeholder",'C-Design&amp;Const'!Z500))=TRUE,"",IF(E500="N","PLACEHOLDER ROW - ","")),'C-Design&amp;Const'!Z500,IF(E500="N","",J500))</f>
        <v>PLACEHOLDER ROW - OPTIONAL CLIENT CUSTOM ITEM</v>
      </c>
      <c r="I500" s="146"/>
      <c r="L500" s="1410" t="str">
        <f t="shared" si="24"/>
        <v>&lt;---PM/Planner may hide PLACEHOLDER ROW</v>
      </c>
      <c r="M500" s="1333"/>
      <c r="N500" s="1333"/>
      <c r="O500" s="1333"/>
      <c r="P500" s="1333"/>
      <c r="Q500" s="1333"/>
      <c r="R500" s="1444"/>
      <c r="S500" s="1448"/>
      <c r="T500" s="1333"/>
      <c r="U500" s="1333"/>
      <c r="V500" s="1333"/>
      <c r="W500" s="1333"/>
      <c r="X500" s="1333"/>
      <c r="Y500" s="1333"/>
      <c r="Z500" s="1333"/>
      <c r="AA500" s="1333"/>
      <c r="AB500" s="1333"/>
      <c r="AC500" s="1333"/>
      <c r="AD500" s="1333"/>
      <c r="AE500" s="1333"/>
      <c r="AF500" s="1333"/>
      <c r="AG500" s="1333"/>
      <c r="AH500" s="1333"/>
      <c r="AI500" s="1333"/>
      <c r="AJ500" s="1333"/>
      <c r="AX500"/>
    </row>
    <row r="501" spans="1:50" ht="18.75" hidden="1" x14ac:dyDescent="0.25">
      <c r="A501" s="2318"/>
      <c r="B501" s="125"/>
      <c r="C501" s="945"/>
      <c r="D501" s="223"/>
      <c r="E501" s="202"/>
      <c r="F501" s="323"/>
      <c r="G501" s="259"/>
      <c r="H501" s="260"/>
      <c r="I501" s="146"/>
      <c r="L501" s="1410" t="str">
        <f t="shared" si="24"/>
        <v/>
      </c>
      <c r="M501" s="1333"/>
      <c r="N501" s="1333"/>
      <c r="O501" s="1333"/>
      <c r="P501" s="1333"/>
      <c r="Q501" s="1333"/>
      <c r="R501" s="1453"/>
      <c r="S501" s="1364"/>
      <c r="T501" s="1284"/>
      <c r="U501" s="1333"/>
      <c r="V501" s="1333"/>
      <c r="W501" s="1333"/>
      <c r="X501" s="1333"/>
      <c r="Y501" s="1333"/>
      <c r="Z501" s="1333"/>
      <c r="AA501" s="1333"/>
      <c r="AB501" s="1333"/>
      <c r="AC501" s="1333"/>
      <c r="AD501" s="1333"/>
      <c r="AE501" s="1333"/>
      <c r="AF501" s="1333"/>
      <c r="AG501" s="1333"/>
      <c r="AH501" s="1333"/>
      <c r="AI501" s="1333"/>
      <c r="AJ501" s="1333"/>
    </row>
    <row r="502" spans="1:50" ht="37.5" hidden="1" x14ac:dyDescent="0.25">
      <c r="A502" s="2318"/>
      <c r="B502" s="125"/>
      <c r="C502" s="945"/>
      <c r="D502" s="29" t="str">
        <f>IF('C-Design&amp;Const'!$Q502="","",'C-Design&amp;Const'!$Q502)</f>
        <v>N</v>
      </c>
      <c r="E502" s="31"/>
      <c r="F502" s="248"/>
      <c r="G502" s="550" t="str">
        <f>IF('C-Design&amp;Const'!Y502="","",'C-Design&amp;Const'!Y502)</f>
        <v>25.</v>
      </c>
      <c r="H502" s="555" t="str">
        <f>CONCATENATE('C-Design&amp;Const'!Z502,IF(D502="N"," Not Used In This Construction Phase",J502))</f>
        <v>Results of Construction Inspection / Survey / Testing Not Used In This Construction Phase</v>
      </c>
      <c r="I502" s="146"/>
      <c r="L502" s="1410" t="str">
        <f t="shared" si="24"/>
        <v/>
      </c>
      <c r="M502" s="1333"/>
      <c r="N502" s="1333"/>
      <c r="O502" s="1333"/>
      <c r="P502" s="1333"/>
      <c r="Q502" s="1333"/>
      <c r="R502" s="1453"/>
      <c r="S502" s="1364"/>
      <c r="T502" s="1284"/>
      <c r="U502" s="1333"/>
      <c r="V502" s="1333"/>
      <c r="W502" s="1333"/>
      <c r="X502" s="1333"/>
      <c r="Y502" s="1333"/>
      <c r="Z502" s="1333"/>
      <c r="AA502" s="1333"/>
      <c r="AB502" s="1333"/>
      <c r="AC502" s="1333"/>
      <c r="AD502" s="1333"/>
      <c r="AE502" s="1333"/>
      <c r="AF502" s="1333"/>
      <c r="AG502" s="1333"/>
      <c r="AH502" s="1333"/>
      <c r="AI502" s="1333"/>
      <c r="AJ502" s="1333"/>
    </row>
    <row r="503" spans="1:50" ht="18.75" hidden="1" x14ac:dyDescent="0.25">
      <c r="A503" s="2318"/>
      <c r="B503" s="125"/>
      <c r="C503" s="921"/>
      <c r="D503" s="21"/>
      <c r="E503" s="21"/>
      <c r="F503" s="21"/>
      <c r="G503" s="573" t="s">
        <v>234</v>
      </c>
      <c r="H503" s="574" t="s">
        <v>233</v>
      </c>
      <c r="I503" s="146"/>
      <c r="L503" s="1410" t="str">
        <f t="shared" si="24"/>
        <v/>
      </c>
      <c r="M503" s="1333"/>
      <c r="N503" s="1333"/>
      <c r="O503" s="1333"/>
      <c r="P503" s="1333"/>
      <c r="Q503" s="1333"/>
      <c r="R503" s="1453"/>
      <c r="S503" s="1364"/>
      <c r="T503" s="1284"/>
      <c r="U503" s="1333"/>
      <c r="V503" s="1333"/>
      <c r="W503" s="1333"/>
      <c r="X503" s="1333"/>
      <c r="Y503" s="1333"/>
      <c r="Z503" s="1333"/>
      <c r="AA503" s="1333"/>
      <c r="AB503" s="1333"/>
      <c r="AC503" s="1333"/>
      <c r="AD503" s="1333"/>
      <c r="AE503" s="1333"/>
      <c r="AF503" s="1333"/>
      <c r="AG503" s="1333"/>
      <c r="AH503" s="1333"/>
      <c r="AI503" s="1333"/>
      <c r="AJ503" s="1333"/>
    </row>
    <row r="504" spans="1:50" s="181" customFormat="1" ht="15" hidden="1" customHeight="1" x14ac:dyDescent="0.25">
      <c r="A504" s="2318"/>
      <c r="B504" s="177"/>
      <c r="C504" s="945"/>
      <c r="D504" s="21"/>
      <c r="E504" s="29" t="str">
        <f>IF('C-Design&amp;Const'!$Q504="","",'C-Design&amp;Const'!$Q504)</f>
        <v>N</v>
      </c>
      <c r="F504" s="22"/>
      <c r="G504" s="567"/>
      <c r="H504" s="546" t="str">
        <f>CONCATENATE(IF(ISNUMBER(SEARCH("Placeholder",'C-Design&amp;Const'!Z504))=TRUE,"",IF(E504="N","PLACEHOLDER ROW - ","")),'C-Design&amp;Const'!Z504,IF(E504="N","",J504))</f>
        <v>PLACEHOLDER ROW - Asbestos Testing and Abatement Report</v>
      </c>
      <c r="I504" s="146"/>
      <c r="L504" s="1410" t="str">
        <f t="shared" si="24"/>
        <v>&lt;---PM/Planner may hide PLACEHOLDER ROW</v>
      </c>
      <c r="M504" s="1382"/>
      <c r="N504" s="1382"/>
      <c r="O504" s="1382"/>
      <c r="P504" s="1382"/>
      <c r="Q504" s="1382"/>
      <c r="R504" s="1447"/>
      <c r="S504" s="1448"/>
      <c r="T504" s="1274"/>
      <c r="U504" s="1382"/>
      <c r="V504" s="1382"/>
      <c r="W504" s="1382"/>
      <c r="X504" s="1382"/>
      <c r="Y504" s="1382"/>
      <c r="Z504" s="1382"/>
      <c r="AA504" s="1382"/>
      <c r="AB504" s="1382"/>
      <c r="AC504" s="1382"/>
      <c r="AD504" s="1382"/>
      <c r="AE504" s="1382"/>
      <c r="AF504" s="1382"/>
      <c r="AG504" s="1382"/>
      <c r="AH504" s="1382"/>
      <c r="AI504" s="1382"/>
      <c r="AJ504" s="1382"/>
      <c r="AX504" s="30"/>
    </row>
    <row r="505" spans="1:50" s="181" customFormat="1" ht="15" hidden="1" customHeight="1" x14ac:dyDescent="0.25">
      <c r="A505" s="2318"/>
      <c r="B505" s="177"/>
      <c r="C505" s="945"/>
      <c r="D505" s="21"/>
      <c r="E505" s="29" t="str">
        <f>IF('C-Design&amp;Const'!$Q505="","",'C-Design&amp;Const'!$Q505)</f>
        <v>N</v>
      </c>
      <c r="F505" s="22"/>
      <c r="G505" s="567"/>
      <c r="H505" s="546" t="str">
        <f>CONCATENATE(IF(ISNUMBER(SEARCH("Placeholder",'C-Design&amp;Const'!Z505))=TRUE,"",IF(E505="N","PLACEHOLDER ROW - ","")),'C-Design&amp;Const'!Z505,IF(E505="N","",J505))</f>
        <v>PLACEHOLDER ROW - Lead-based paint field survey and material analysis</v>
      </c>
      <c r="I505" s="146"/>
      <c r="L505" s="1410" t="str">
        <f t="shared" si="24"/>
        <v>&lt;---PM/Planner may hide PLACEHOLDER ROW</v>
      </c>
      <c r="M505" s="1382"/>
      <c r="N505" s="1382"/>
      <c r="O505" s="1382"/>
      <c r="P505" s="1382"/>
      <c r="Q505" s="1382"/>
      <c r="R505" s="1447"/>
      <c r="S505" s="1448"/>
      <c r="T505" s="1274"/>
      <c r="U505" s="1382"/>
      <c r="V505" s="1382"/>
      <c r="W505" s="1382"/>
      <c r="X505" s="1382"/>
      <c r="Y505" s="1382"/>
      <c r="Z505" s="1382"/>
      <c r="AA505" s="1382"/>
      <c r="AB505" s="1382"/>
      <c r="AC505" s="1382"/>
      <c r="AD505" s="1382"/>
      <c r="AE505" s="1382"/>
      <c r="AF505" s="1382"/>
      <c r="AG505" s="1382"/>
      <c r="AH505" s="1382"/>
      <c r="AI505" s="1382"/>
      <c r="AJ505" s="1382"/>
      <c r="AX505" s="30"/>
    </row>
    <row r="506" spans="1:50" s="181" customFormat="1" ht="15" hidden="1" customHeight="1" x14ac:dyDescent="0.25">
      <c r="A506" s="2318"/>
      <c r="B506" s="177"/>
      <c r="C506" s="945"/>
      <c r="D506" s="21"/>
      <c r="E506" s="29" t="str">
        <f>IF('C-Design&amp;Const'!$Q506="","",'C-Design&amp;Const'!$Q506)</f>
        <v>N</v>
      </c>
      <c r="F506" s="22"/>
      <c r="G506" s="567"/>
      <c r="H506" s="546" t="str">
        <f>CONCATENATE(IF(ISNUMBER(SEARCH("Placeholder",'C-Design&amp;Const'!Z506))=TRUE,"",IF(E506="N","PLACEHOLDER ROW - ","")),'C-Design&amp;Const'!Z506,IF(E506="N","",J506))</f>
        <v>PLACEHOLDER ROW - Review and submit flow tests</v>
      </c>
      <c r="I506" s="146"/>
      <c r="L506" s="1410" t="str">
        <f t="shared" si="24"/>
        <v>&lt;---PM/Planner may hide PLACEHOLDER ROW</v>
      </c>
      <c r="M506" s="1382"/>
      <c r="N506" s="1382"/>
      <c r="O506" s="1382"/>
      <c r="P506" s="1382"/>
      <c r="Q506" s="1382"/>
      <c r="R506" s="1447"/>
      <c r="S506" s="1448"/>
      <c r="T506" s="1274"/>
      <c r="U506" s="1382"/>
      <c r="V506" s="1382"/>
      <c r="W506" s="1382"/>
      <c r="X506" s="1382"/>
      <c r="Y506" s="1382"/>
      <c r="Z506" s="1382"/>
      <c r="AA506" s="1382"/>
      <c r="AB506" s="1382"/>
      <c r="AC506" s="1382"/>
      <c r="AD506" s="1382"/>
      <c r="AE506" s="1382"/>
      <c r="AF506" s="1382"/>
      <c r="AG506" s="1382"/>
      <c r="AH506" s="1382"/>
      <c r="AI506" s="1382"/>
      <c r="AJ506" s="1382"/>
      <c r="AX506" s="30"/>
    </row>
    <row r="507" spans="1:50" s="181" customFormat="1" ht="15" hidden="1" customHeight="1" x14ac:dyDescent="0.25">
      <c r="A507" s="2318"/>
      <c r="B507" s="177"/>
      <c r="C507" s="945"/>
      <c r="D507" s="21"/>
      <c r="E507" s="29" t="str">
        <f>IF('C-Design&amp;Const'!$Q507="","",'C-Design&amp;Const'!$Q507)</f>
        <v>N</v>
      </c>
      <c r="F507" s="22"/>
      <c r="G507" s="567"/>
      <c r="H507" s="546" t="str">
        <f>CONCATENATE(IF(ISNUMBER(SEARCH("Placeholder",'C-Design&amp;Const'!Z507))=TRUE,"",IF(E507="N","PLACEHOLDER ROW - ","")),'C-Design&amp;Const'!Z507,IF(E507="N","",J507))</f>
        <v>PLACEHOLDER ROW - Review and submit surveying results from contractor</v>
      </c>
      <c r="I507" s="146"/>
      <c r="L507" s="1410" t="str">
        <f t="shared" si="24"/>
        <v>&lt;---PM/Planner may hide PLACEHOLDER ROW</v>
      </c>
      <c r="M507" s="1382"/>
      <c r="N507" s="1382"/>
      <c r="O507" s="1382"/>
      <c r="P507" s="1382"/>
      <c r="Q507" s="1382"/>
      <c r="R507" s="1447"/>
      <c r="S507" s="1448"/>
      <c r="T507" s="1274"/>
      <c r="U507" s="1382"/>
      <c r="V507" s="1382"/>
      <c r="W507" s="1382"/>
      <c r="X507" s="1382"/>
      <c r="Y507" s="1382"/>
      <c r="Z507" s="1382"/>
      <c r="AA507" s="1382"/>
      <c r="AB507" s="1382"/>
      <c r="AC507" s="1382"/>
      <c r="AD507" s="1382"/>
      <c r="AE507" s="1382"/>
      <c r="AF507" s="1382"/>
      <c r="AG507" s="1382"/>
      <c r="AH507" s="1382"/>
      <c r="AI507" s="1382"/>
      <c r="AJ507" s="1382"/>
      <c r="AX507" s="30"/>
    </row>
    <row r="508" spans="1:50" s="181" customFormat="1" ht="27.75" hidden="1" customHeight="1" x14ac:dyDescent="0.25">
      <c r="A508" s="2318"/>
      <c r="B508" s="177"/>
      <c r="C508" s="945"/>
      <c r="D508" s="21"/>
      <c r="E508" s="29" t="str">
        <f>IF('C-Design&amp;Const'!$Q508="","",'C-Design&amp;Const'!$Q508)</f>
        <v>N</v>
      </c>
      <c r="F508" s="22"/>
      <c r="G508" s="567"/>
      <c r="H508" s="546" t="str">
        <f>CONCATENATE(IF(ISNUMBER(SEARCH("Placeholder",'C-Design&amp;Const'!Z508))=TRUE,"",IF(E508="N","PLACEHOLDER ROW - ","")),'C-Design&amp;Const'!Z508,IF(E508="N","",J508))</f>
        <v>PLACEHOLDER ROW - Review &amp; Submit results of soil compaction tests at roadways, sidewalks, and driveways. - May be updated from STNDS</v>
      </c>
      <c r="I508" s="146"/>
      <c r="L508" s="1410" t="str">
        <f t="shared" si="24"/>
        <v>&lt;---PM/Planner may hide PLACEHOLDER ROW</v>
      </c>
      <c r="M508" s="1382"/>
      <c r="N508" s="1382"/>
      <c r="O508" s="1382"/>
      <c r="P508" s="1382"/>
      <c r="Q508" s="1382"/>
      <c r="R508" s="1447"/>
      <c r="S508" s="1448"/>
      <c r="T508" s="1274"/>
      <c r="U508" s="1382"/>
      <c r="V508" s="1382"/>
      <c r="W508" s="1382"/>
      <c r="X508" s="1382"/>
      <c r="Y508" s="1382"/>
      <c r="Z508" s="1382"/>
      <c r="AA508" s="1382"/>
      <c r="AB508" s="1382"/>
      <c r="AC508" s="1382"/>
      <c r="AD508" s="1382"/>
      <c r="AE508" s="1382"/>
      <c r="AF508" s="1382"/>
      <c r="AG508" s="1382"/>
      <c r="AH508" s="1382"/>
      <c r="AI508" s="1382"/>
      <c r="AJ508" s="1382"/>
      <c r="AX508" s="30"/>
    </row>
    <row r="509" spans="1:50" s="181" customFormat="1" ht="15" hidden="1" customHeight="1" x14ac:dyDescent="0.25">
      <c r="A509" s="2318"/>
      <c r="B509" s="177"/>
      <c r="C509" s="945"/>
      <c r="D509" s="21"/>
      <c r="E509" s="29" t="str">
        <f>IF('C-Design&amp;Const'!$Q509="","",'C-Design&amp;Const'!$Q509)</f>
        <v>N</v>
      </c>
      <c r="F509" s="22"/>
      <c r="G509" s="567"/>
      <c r="H509" s="546" t="str">
        <f>CONCATENATE(IF(ISNUMBER(SEARCH("Placeholder",'C-Design&amp;Const'!Z509))=TRUE,"",IF(E509="N","PLACEHOLDER ROW - ","")),'C-Design&amp;Const'!Z509,IF(E509="N","",J509))</f>
        <v>PLACEHOLDER ROW - Review and submit results of soil compaction tests at backfill against structures. - May be updated from STNDS</v>
      </c>
      <c r="I509" s="146"/>
      <c r="L509" s="1410" t="str">
        <f t="shared" si="24"/>
        <v>&lt;---PM/Planner may hide PLACEHOLDER ROW</v>
      </c>
      <c r="M509" s="1382"/>
      <c r="N509" s="1382"/>
      <c r="O509" s="1382"/>
      <c r="P509" s="1382"/>
      <c r="Q509" s="1382"/>
      <c r="R509" s="1447"/>
      <c r="S509" s="1448"/>
      <c r="T509" s="1274"/>
      <c r="U509" s="1382"/>
      <c r="V509" s="1382"/>
      <c r="W509" s="1382"/>
      <c r="X509" s="1382"/>
      <c r="Y509" s="1382"/>
      <c r="Z509" s="1382"/>
      <c r="AA509" s="1382"/>
      <c r="AB509" s="1382"/>
      <c r="AC509" s="1382"/>
      <c r="AD509" s="1382"/>
      <c r="AE509" s="1382"/>
      <c r="AF509" s="1382"/>
      <c r="AG509" s="1382"/>
      <c r="AH509" s="1382"/>
      <c r="AI509" s="1382"/>
      <c r="AJ509" s="1382"/>
      <c r="AX509" s="30"/>
    </row>
    <row r="510" spans="1:50" s="181" customFormat="1" ht="15" hidden="1" customHeight="1" x14ac:dyDescent="0.25">
      <c r="A510" s="2318"/>
      <c r="B510" s="177"/>
      <c r="C510" s="945"/>
      <c r="D510" s="21"/>
      <c r="E510" s="29" t="str">
        <f>IF('C-Design&amp;Const'!$Q510="","",'C-Design&amp;Const'!$Q510)</f>
        <v>N</v>
      </c>
      <c r="F510" s="22"/>
      <c r="G510" s="567"/>
      <c r="H510" s="546" t="str">
        <f>CONCATENATE(IF(ISNUMBER(SEARCH("Placeholder",'C-Design&amp;Const'!Z510))=TRUE,"",IF(E510="N","PLACEHOLDER ROW - ","")),'C-Design&amp;Const'!Z510,IF(E510="N","",J510))</f>
        <v>PLACEHOLDER ROW - Review and submit results of nuclear density tests for bituminous pavements. - May be updated from STNDS</v>
      </c>
      <c r="I510" s="146"/>
      <c r="L510" s="1410" t="str">
        <f t="shared" si="24"/>
        <v>&lt;---PM/Planner may hide PLACEHOLDER ROW</v>
      </c>
      <c r="M510" s="1382"/>
      <c r="N510" s="1382"/>
      <c r="O510" s="1382"/>
      <c r="P510" s="1382"/>
      <c r="Q510" s="1382"/>
      <c r="R510" s="1447"/>
      <c r="S510" s="1448"/>
      <c r="T510" s="1274"/>
      <c r="U510" s="1382"/>
      <c r="V510" s="1382"/>
      <c r="W510" s="1382"/>
      <c r="X510" s="1382"/>
      <c r="Y510" s="1382"/>
      <c r="Z510" s="1382"/>
      <c r="AA510" s="1382"/>
      <c r="AB510" s="1382"/>
      <c r="AC510" s="1382"/>
      <c r="AD510" s="1382"/>
      <c r="AE510" s="1382"/>
      <c r="AF510" s="1382"/>
      <c r="AG510" s="1382"/>
      <c r="AH510" s="1382"/>
      <c r="AI510" s="1382"/>
      <c r="AJ510" s="1382"/>
      <c r="AX510" s="30"/>
    </row>
    <row r="511" spans="1:50" s="181" customFormat="1" ht="15" hidden="1" customHeight="1" x14ac:dyDescent="0.25">
      <c r="A511" s="2318"/>
      <c r="B511" s="177"/>
      <c r="C511" s="945"/>
      <c r="D511" s="21"/>
      <c r="E511" s="29" t="str">
        <f>IF('C-Design&amp;Const'!$Q511="","",'C-Design&amp;Const'!$Q511)</f>
        <v>N</v>
      </c>
      <c r="F511" s="22"/>
      <c r="G511" s="567"/>
      <c r="H511" s="546" t="str">
        <f>CONCATENATE(IF(ISNUMBER(SEARCH("Placeholder",'C-Design&amp;Const'!Z511))=TRUE,"",IF(E511="N","PLACEHOLDER ROW - ","")),'C-Design&amp;Const'!Z511,IF(E511="N","",J511))</f>
        <v>PLACEHOLDER ROW - Review and submit results pile driving records. - May be updated from STNDS</v>
      </c>
      <c r="I511" s="146"/>
      <c r="L511" s="1410" t="str">
        <f t="shared" si="24"/>
        <v>&lt;---PM/Planner may hide PLACEHOLDER ROW</v>
      </c>
      <c r="M511" s="1382"/>
      <c r="N511" s="1382"/>
      <c r="O511" s="1382"/>
      <c r="P511" s="1382"/>
      <c r="Q511" s="1382"/>
      <c r="R511" s="1447"/>
      <c r="S511" s="1448"/>
      <c r="T511" s="1274"/>
      <c r="U511" s="1382"/>
      <c r="V511" s="1382"/>
      <c r="W511" s="1382"/>
      <c r="X511" s="1382"/>
      <c r="Y511" s="1382"/>
      <c r="Z511" s="1382"/>
      <c r="AA511" s="1382"/>
      <c r="AB511" s="1382"/>
      <c r="AC511" s="1382"/>
      <c r="AD511" s="1382"/>
      <c r="AE511" s="1382"/>
      <c r="AF511" s="1382"/>
      <c r="AG511" s="1382"/>
      <c r="AH511" s="1382"/>
      <c r="AI511" s="1382"/>
      <c r="AJ511" s="1382"/>
      <c r="AX511" s="30"/>
    </row>
    <row r="512" spans="1:50" s="181" customFormat="1" ht="15" hidden="1" customHeight="1" x14ac:dyDescent="0.25">
      <c r="A512" s="2318"/>
      <c r="B512" s="177"/>
      <c r="C512" s="945"/>
      <c r="D512" s="21"/>
      <c r="E512" s="29" t="str">
        <f>IF('C-Design&amp;Const'!$Q512="","",'C-Design&amp;Const'!$Q512)</f>
        <v>N</v>
      </c>
      <c r="F512" s="22"/>
      <c r="G512" s="567"/>
      <c r="H512" s="546" t="str">
        <f>CONCATENATE(IF(ISNUMBER(SEARCH("Placeholder",'C-Design&amp;Const'!Z512))=TRUE,"",IF(E512="N","PLACEHOLDER ROW - ","")),'C-Design&amp;Const'!Z512,IF(E512="N","",J512))</f>
        <v>PLACEHOLDER ROW - Results of all concrete cylinder tests. - May be updated from STNDS</v>
      </c>
      <c r="I512" s="146"/>
      <c r="L512" s="1410" t="str">
        <f t="shared" si="24"/>
        <v>&lt;---PM/Planner may hide PLACEHOLDER ROW</v>
      </c>
      <c r="M512" s="1382"/>
      <c r="N512" s="1382"/>
      <c r="O512" s="1382"/>
      <c r="P512" s="1382"/>
      <c r="Q512" s="1382"/>
      <c r="R512" s="1447"/>
      <c r="S512" s="1448"/>
      <c r="T512" s="1274"/>
      <c r="U512" s="1382"/>
      <c r="V512" s="1382"/>
      <c r="W512" s="1382"/>
      <c r="X512" s="1382"/>
      <c r="Y512" s="1382"/>
      <c r="Z512" s="1382"/>
      <c r="AA512" s="1382"/>
      <c r="AB512" s="1382"/>
      <c r="AC512" s="1382"/>
      <c r="AD512" s="1382"/>
      <c r="AE512" s="1382"/>
      <c r="AF512" s="1382"/>
      <c r="AG512" s="1382"/>
      <c r="AH512" s="1382"/>
      <c r="AI512" s="1382"/>
      <c r="AJ512" s="1382"/>
      <c r="AX512" s="30"/>
    </row>
    <row r="513" spans="1:50" s="30" customFormat="1" ht="15" hidden="1" customHeight="1" x14ac:dyDescent="0.25">
      <c r="A513" s="2318"/>
      <c r="B513" s="191"/>
      <c r="C513" s="921"/>
      <c r="E513" s="52" t="str">
        <f>IF('C-Design&amp;Const'!$Q513="","",'C-Design&amp;Const'!$Q513)</f>
        <v>N</v>
      </c>
      <c r="F513" s="248"/>
      <c r="G513" s="550"/>
      <c r="H513" s="563" t="str">
        <f>CONCATENATE(IF(ISNUMBER(SEARCH("Placeholder",'C-Design&amp;Const'!Z513))=TRUE,"",IF(E513="N","PLACEHOLDER ROW - ","")),'C-Design&amp;Const'!Z513,IF(E513="N","",J513))</f>
        <v>PLACEHOLDER ROW - Results of Harmonic Analysis Reports for VFD's. - May be updated from STNDS</v>
      </c>
      <c r="I513" s="146"/>
      <c r="J513" s="181"/>
      <c r="L513" s="1410" t="str">
        <f t="shared" si="24"/>
        <v>&lt;---PM/Planner may hide PLACEHOLDER ROW</v>
      </c>
      <c r="M513" s="1382"/>
      <c r="N513" s="1382"/>
      <c r="O513" s="1382"/>
      <c r="P513" s="1382"/>
      <c r="Q513" s="1382"/>
      <c r="R513" s="1382"/>
      <c r="S513" s="1382"/>
      <c r="T513" s="1382"/>
      <c r="U513" s="1382"/>
      <c r="V513" s="1382"/>
      <c r="W513" s="1382"/>
      <c r="X513" s="1382"/>
      <c r="Y513" s="1382"/>
      <c r="Z513" s="1382"/>
      <c r="AA513" s="1382"/>
      <c r="AB513" s="1382"/>
      <c r="AC513" s="1382"/>
      <c r="AD513" s="1382"/>
      <c r="AE513" s="1382"/>
      <c r="AF513" s="1382"/>
      <c r="AG513" s="1382"/>
      <c r="AH513" s="1382"/>
      <c r="AI513" s="1382"/>
      <c r="AJ513" s="1382"/>
      <c r="AK513" s="181"/>
      <c r="AL513" s="181"/>
      <c r="AM513" s="181"/>
      <c r="AN513" s="181"/>
      <c r="AO513" s="181"/>
      <c r="AP513" s="181"/>
      <c r="AQ513" s="181"/>
      <c r="AR513" s="181"/>
      <c r="AS513" s="181"/>
      <c r="AT513" s="181"/>
      <c r="AU513" s="181"/>
      <c r="AV513" s="181"/>
      <c r="AW513" s="181"/>
    </row>
    <row r="514" spans="1:50" s="181" customFormat="1" ht="15" hidden="1" customHeight="1" x14ac:dyDescent="0.25">
      <c r="A514" s="2318"/>
      <c r="B514" s="177"/>
      <c r="C514" s="945"/>
      <c r="D514" s="21"/>
      <c r="E514" s="29" t="str">
        <f>IF('C-Design&amp;Const'!$Q514="","",'C-Design&amp;Const'!$Q514)</f>
        <v>N</v>
      </c>
      <c r="F514" s="22"/>
      <c r="G514" s="567"/>
      <c r="H514" s="546" t="str">
        <f>CONCATENATE(IF(ISNUMBER(SEARCH("Placeholder",'C-Design&amp;Const'!Z514))=TRUE,"",IF(E514="N","PLACEHOLDER ROW - ","")),'C-Design&amp;Const'!Z514,IF(E514="N","",J514))</f>
        <v>PLACEHOLDER ROW - Results of Equipment Tests - May be updated from STNDS</v>
      </c>
      <c r="I514" s="146"/>
      <c r="L514" s="1410" t="str">
        <f t="shared" si="24"/>
        <v>&lt;---PM/Planner may hide PLACEHOLDER ROW</v>
      </c>
      <c r="M514" s="1382"/>
      <c r="N514" s="1382"/>
      <c r="O514" s="1382"/>
      <c r="P514" s="1382"/>
      <c r="Q514" s="1382"/>
      <c r="R514" s="1447"/>
      <c r="S514" s="1448"/>
      <c r="T514" s="1274"/>
      <c r="U514" s="1382"/>
      <c r="V514" s="1382"/>
      <c r="W514" s="1382"/>
      <c r="X514" s="1382"/>
      <c r="Y514" s="1382"/>
      <c r="Z514" s="1382"/>
      <c r="AA514" s="1382"/>
      <c r="AB514" s="1382"/>
      <c r="AC514" s="1382"/>
      <c r="AD514" s="1382"/>
      <c r="AE514" s="1382"/>
      <c r="AF514" s="1382"/>
      <c r="AG514" s="1382"/>
      <c r="AH514" s="1382"/>
      <c r="AI514" s="1382"/>
      <c r="AJ514" s="1382"/>
      <c r="AX514" s="30"/>
    </row>
    <row r="515" spans="1:50" s="551" customFormat="1" ht="15" hidden="1" customHeight="1" x14ac:dyDescent="0.25">
      <c r="A515" s="2318"/>
      <c r="B515" s="549"/>
      <c r="C515" s="945"/>
      <c r="D515" s="547"/>
      <c r="E515" s="29" t="str">
        <f>IF('C-Design&amp;Const'!$Q515="","",'C-Design&amp;Const'!$Q515)</f>
        <v>N</v>
      </c>
      <c r="F515" s="322"/>
      <c r="G515" s="567"/>
      <c r="H515" s="546" t="str">
        <f>CONCATENATE(IF(ISNUMBER(SEARCH("Placeholder",'C-Design&amp;Const'!Z515))=TRUE,"",IF(E515="N","PLACEHOLDER ROW - ","")),'C-Design&amp;Const'!Z515,IF(E515="N","",J515))</f>
        <v>PLACEHOLDER ROW - Results of Material Testing - May be updated from  STNDS</v>
      </c>
      <c r="I515" s="146"/>
      <c r="L515" s="1410" t="str">
        <f t="shared" ref="L515:L517" si="25">CONCATENATE(IF(ISNUMBER(SEARCH("Placeholder",H515))=TRUE,"&lt;---PM/Planner may hide PLACEHOLDER ROW",""))</f>
        <v>&lt;---PM/Planner may hide PLACEHOLDER ROW</v>
      </c>
      <c r="M515" s="1382"/>
      <c r="N515" s="1382"/>
      <c r="O515" s="1382"/>
      <c r="P515" s="1382"/>
      <c r="Q515" s="1382"/>
      <c r="R515" s="1447"/>
      <c r="S515" s="1448"/>
      <c r="T515" s="1274"/>
      <c r="U515" s="1382"/>
      <c r="V515" s="1382"/>
      <c r="W515" s="1382"/>
      <c r="X515" s="1382"/>
      <c r="Y515" s="1382"/>
      <c r="Z515" s="1382"/>
      <c r="AA515" s="1382"/>
      <c r="AB515" s="1382"/>
      <c r="AC515" s="1382"/>
      <c r="AD515" s="1382"/>
      <c r="AE515" s="1382"/>
      <c r="AF515" s="1382"/>
      <c r="AG515" s="1382"/>
      <c r="AH515" s="1382"/>
      <c r="AI515" s="1382"/>
      <c r="AJ515" s="1382"/>
      <c r="AX515" s="545"/>
    </row>
    <row r="516" spans="1:50" s="551" customFormat="1" ht="15" hidden="1" customHeight="1" x14ac:dyDescent="0.25">
      <c r="A516" s="2318"/>
      <c r="B516" s="549"/>
      <c r="C516" s="945"/>
      <c r="D516" s="547"/>
      <c r="E516" s="29" t="str">
        <f>IF('C-Design&amp;Const'!$Q516="","",'C-Design&amp;Const'!$Q516)</f>
        <v>N</v>
      </c>
      <c r="F516" s="322"/>
      <c r="G516" s="567"/>
      <c r="H516" s="546" t="str">
        <f>CONCATENATE(IF(ISNUMBER(SEARCH("Placeholder",'C-Design&amp;Const'!Z516))=TRUE,"",IF(E516="N","PLACEHOLDER ROW - ","")),'C-Design&amp;Const'!Z516,IF(E516="N","",J516))</f>
        <v>PLACEHOLDER ROW - OPTIONAL CLIENT CUSTOM ITEM</v>
      </c>
      <c r="I516" s="146"/>
      <c r="L516" s="1410" t="str">
        <f t="shared" si="25"/>
        <v>&lt;---PM/Planner may hide PLACEHOLDER ROW</v>
      </c>
      <c r="M516" s="1382"/>
      <c r="N516" s="1382"/>
      <c r="O516" s="1382"/>
      <c r="P516" s="1382"/>
      <c r="Q516" s="1382"/>
      <c r="R516" s="1447"/>
      <c r="S516" s="1448"/>
      <c r="T516" s="1274"/>
      <c r="U516" s="1382"/>
      <c r="V516" s="1382"/>
      <c r="W516" s="1382"/>
      <c r="X516" s="1382"/>
      <c r="Y516" s="1382"/>
      <c r="Z516" s="1382"/>
      <c r="AA516" s="1382"/>
      <c r="AB516" s="1382"/>
      <c r="AC516" s="1382"/>
      <c r="AD516" s="1382"/>
      <c r="AE516" s="1382"/>
      <c r="AF516" s="1382"/>
      <c r="AG516" s="1382"/>
      <c r="AH516" s="1382"/>
      <c r="AI516" s="1382"/>
      <c r="AJ516" s="1382"/>
      <c r="AX516" s="545"/>
    </row>
    <row r="517" spans="1:50" s="551" customFormat="1" ht="15" hidden="1" customHeight="1" x14ac:dyDescent="0.25">
      <c r="A517" s="2318"/>
      <c r="B517" s="549"/>
      <c r="C517" s="945"/>
      <c r="D517" s="547"/>
      <c r="E517" s="29" t="str">
        <f>IF('C-Design&amp;Const'!$Q517="","",'C-Design&amp;Const'!$Q517)</f>
        <v>N</v>
      </c>
      <c r="F517" s="322"/>
      <c r="G517" s="567"/>
      <c r="H517" s="546" t="str">
        <f>CONCATENATE(IF(ISNUMBER(SEARCH("Placeholder",'C-Design&amp;Const'!Z517))=TRUE,"",IF(E517="N","PLACEHOLDER ROW - ","")),'C-Design&amp;Const'!Z517,IF(E517="N","",J517))</f>
        <v>PLACEHOLDER ROW - OPTIONAL CLIENT CUSTOM ITEM</v>
      </c>
      <c r="I517" s="146"/>
      <c r="L517" s="1410" t="str">
        <f t="shared" si="25"/>
        <v>&lt;---PM/Planner may hide PLACEHOLDER ROW</v>
      </c>
      <c r="M517" s="1382"/>
      <c r="N517" s="1382"/>
      <c r="O517" s="1382"/>
      <c r="P517" s="1382"/>
      <c r="Q517" s="1382"/>
      <c r="R517" s="1447"/>
      <c r="S517" s="1448"/>
      <c r="T517" s="1274"/>
      <c r="U517" s="1382"/>
      <c r="V517" s="1382"/>
      <c r="W517" s="1382"/>
      <c r="X517" s="1382"/>
      <c r="Y517" s="1382"/>
      <c r="Z517" s="1382"/>
      <c r="AA517" s="1382"/>
      <c r="AB517" s="1382"/>
      <c r="AC517" s="1382"/>
      <c r="AD517" s="1382"/>
      <c r="AE517" s="1382"/>
      <c r="AF517" s="1382"/>
      <c r="AG517" s="1382"/>
      <c r="AH517" s="1382"/>
      <c r="AI517" s="1382"/>
      <c r="AJ517" s="1382"/>
      <c r="AX517" s="545"/>
    </row>
    <row r="518" spans="1:50" ht="18.75" hidden="1" x14ac:dyDescent="0.25">
      <c r="A518" s="2318"/>
      <c r="B518" s="125"/>
      <c r="C518" s="945"/>
      <c r="D518" s="223"/>
      <c r="E518" s="202"/>
      <c r="F518" s="202"/>
      <c r="G518" s="259"/>
      <c r="H518" s="260"/>
      <c r="I518" s="146"/>
      <c r="L518" s="1410" t="str">
        <f t="shared" si="24"/>
        <v/>
      </c>
      <c r="M518" s="1333"/>
      <c r="N518" s="1333"/>
      <c r="O518" s="1333"/>
      <c r="P518" s="1333"/>
      <c r="Q518" s="1333"/>
      <c r="R518" s="1453"/>
      <c r="S518" s="1364"/>
      <c r="T518" s="1284"/>
      <c r="U518" s="1333"/>
      <c r="V518" s="1333"/>
      <c r="W518" s="1333"/>
      <c r="X518" s="1333"/>
      <c r="Y518" s="1333"/>
      <c r="Z518" s="1333"/>
      <c r="AA518" s="1333"/>
      <c r="AB518" s="1333"/>
      <c r="AC518" s="1333"/>
      <c r="AD518" s="1333"/>
      <c r="AE518" s="1333"/>
      <c r="AF518" s="1333"/>
      <c r="AG518" s="1333"/>
      <c r="AH518" s="1333"/>
      <c r="AI518" s="1333"/>
      <c r="AJ518" s="1333"/>
    </row>
    <row r="519" spans="1:50" ht="37.5" hidden="1" x14ac:dyDescent="0.25">
      <c r="A519" s="2318"/>
      <c r="B519" s="125"/>
      <c r="C519" s="945"/>
      <c r="D519" s="29" t="str">
        <f>IF('C-Design&amp;Const'!$Q519="","",'C-Design&amp;Const'!$Q519)</f>
        <v>N</v>
      </c>
      <c r="E519" s="31"/>
      <c r="F519" s="178"/>
      <c r="G519" s="550" t="str">
        <f>IF('C-Design&amp;Const'!Y519="","",'C-Design&amp;Const'!Y519)</f>
        <v>28.</v>
      </c>
      <c r="H519" s="555" t="str">
        <f>CONCATENATE('C-Design&amp;Const'!Z519,IF(D519="N"," Not Used In This Construction Phase",J519))</f>
        <v>List of Systems / Items to Commission Not Used In This Construction Phase</v>
      </c>
      <c r="I519" s="146"/>
      <c r="L519" s="1410" t="str">
        <f t="shared" si="24"/>
        <v/>
      </c>
      <c r="M519" s="1333"/>
      <c r="N519" s="1333"/>
      <c r="O519" s="1333"/>
      <c r="P519" s="1333"/>
      <c r="Q519" s="1333"/>
      <c r="R519" s="1453"/>
      <c r="S519" s="1364"/>
      <c r="T519" s="1284"/>
      <c r="U519" s="1333"/>
      <c r="V519" s="1333"/>
      <c r="W519" s="1333"/>
      <c r="X519" s="1333"/>
      <c r="Y519" s="1333"/>
      <c r="Z519" s="1333"/>
      <c r="AA519" s="1333"/>
      <c r="AB519" s="1333"/>
      <c r="AC519" s="1333"/>
      <c r="AD519" s="1333"/>
      <c r="AE519" s="1333"/>
      <c r="AF519" s="1333"/>
      <c r="AG519" s="1333"/>
      <c r="AH519" s="1333"/>
      <c r="AI519" s="1333"/>
      <c r="AJ519" s="1333"/>
    </row>
    <row r="520" spans="1:50" ht="18.75" hidden="1" x14ac:dyDescent="0.25">
      <c r="A520" s="2319"/>
      <c r="B520" s="125"/>
      <c r="C520" s="921"/>
      <c r="D520" s="257"/>
      <c r="E520" s="21"/>
      <c r="F520" s="21"/>
      <c r="G520" s="565"/>
      <c r="H520" s="851"/>
      <c r="I520" s="146"/>
      <c r="L520" s="1410" t="str">
        <f t="shared" si="24"/>
        <v/>
      </c>
      <c r="M520" s="1333"/>
      <c r="N520" s="1333"/>
      <c r="O520" s="1333"/>
      <c r="P520" s="1333"/>
      <c r="Q520" s="1333"/>
      <c r="R520" s="1453"/>
      <c r="S520" s="1364"/>
      <c r="T520" s="1284"/>
      <c r="U520" s="1333"/>
      <c r="V520" s="1333"/>
      <c r="W520" s="1333"/>
      <c r="X520" s="1333"/>
      <c r="Y520" s="1333"/>
      <c r="Z520" s="1333"/>
      <c r="AA520" s="1333"/>
      <c r="AB520" s="1333"/>
      <c r="AC520" s="1333"/>
      <c r="AD520" s="1333"/>
      <c r="AE520" s="1333"/>
      <c r="AF520" s="1333"/>
      <c r="AG520" s="1333"/>
      <c r="AH520" s="1333"/>
      <c r="AI520" s="1333"/>
      <c r="AJ520" s="1333"/>
    </row>
    <row r="521" spans="1:50" ht="37.5" hidden="1" x14ac:dyDescent="0.25">
      <c r="A521" s="2318"/>
      <c r="B521" s="125"/>
      <c r="C521" s="945"/>
      <c r="D521" s="29" t="str">
        <f>IF('C-Design&amp;Const'!$Q521="","",'C-Design&amp;Const'!$Q521)</f>
        <v>N</v>
      </c>
      <c r="E521" s="31"/>
      <c r="F521" s="178"/>
      <c r="G521" s="550" t="str">
        <f>IF('C-Design&amp;Const'!Y521="","",'C-Design&amp;Const'!Y521)</f>
        <v>26.</v>
      </c>
      <c r="H521" s="555" t="str">
        <f>CONCATENATE('C-Design&amp;Const'!Z521,IF(D521="N"," Not Used In This Construction Phase",J521))</f>
        <v>Certificate of Substantial Completion Not Used In This Construction Phase</v>
      </c>
      <c r="I521" s="146"/>
      <c r="L521" s="1410" t="str">
        <f t="shared" si="24"/>
        <v/>
      </c>
      <c r="M521" s="1333"/>
      <c r="N521" s="1333"/>
      <c r="O521" s="1333"/>
      <c r="P521" s="1333"/>
      <c r="Q521" s="1333"/>
      <c r="R521" s="1453"/>
      <c r="S521" s="1364"/>
      <c r="T521" s="1284"/>
      <c r="U521" s="1333"/>
      <c r="V521" s="1333"/>
      <c r="W521" s="1333"/>
      <c r="X521" s="1333"/>
      <c r="Y521" s="1333"/>
      <c r="Z521" s="1333"/>
      <c r="AA521" s="1333"/>
      <c r="AB521" s="1333"/>
      <c r="AC521" s="1333"/>
      <c r="AD521" s="1333"/>
      <c r="AE521" s="1333"/>
      <c r="AF521" s="1333"/>
      <c r="AG521" s="1333"/>
      <c r="AH521" s="1333"/>
      <c r="AI521" s="1333"/>
      <c r="AJ521" s="1333"/>
    </row>
    <row r="522" spans="1:50" ht="18.75" hidden="1" x14ac:dyDescent="0.25">
      <c r="A522" s="2318"/>
      <c r="B522" s="125"/>
      <c r="C522" s="945"/>
      <c r="D522" s="223"/>
      <c r="E522" s="323"/>
      <c r="F522" s="323"/>
      <c r="G522" s="259"/>
      <c r="H522" s="260"/>
      <c r="I522" s="146"/>
      <c r="L522" s="1410" t="str">
        <f t="shared" si="24"/>
        <v/>
      </c>
      <c r="M522" s="1333"/>
      <c r="N522" s="1333"/>
      <c r="O522" s="1333"/>
      <c r="P522" s="1333"/>
      <c r="Q522" s="1333"/>
      <c r="R522" s="1453"/>
      <c r="S522" s="1364"/>
      <c r="T522" s="1284"/>
      <c r="U522" s="1333"/>
      <c r="V522" s="1333"/>
      <c r="W522" s="1333"/>
      <c r="X522" s="1333"/>
      <c r="Y522" s="1333"/>
      <c r="Z522" s="1333"/>
      <c r="AA522" s="1333"/>
      <c r="AB522" s="1333"/>
      <c r="AC522" s="1333"/>
      <c r="AD522" s="1333"/>
      <c r="AE522" s="1333"/>
      <c r="AF522" s="1333"/>
      <c r="AG522" s="1333"/>
      <c r="AH522" s="1333"/>
      <c r="AI522" s="1333"/>
      <c r="AJ522" s="1333"/>
    </row>
    <row r="523" spans="1:50" ht="18.75" hidden="1" x14ac:dyDescent="0.25">
      <c r="A523" s="2318"/>
      <c r="B523" s="125"/>
      <c r="C523" s="945"/>
      <c r="D523" s="29" t="str">
        <f>IF('C-Design&amp;Const'!$Q523="","",'C-Design&amp;Const'!$Q523)</f>
        <v>N</v>
      </c>
      <c r="E523" s="247"/>
      <c r="F523" s="248"/>
      <c r="G523" s="550" t="str">
        <f>IF('C-Design&amp;Const'!Y523="","",'C-Design&amp;Const'!Y523)</f>
        <v>27.</v>
      </c>
      <c r="H523" s="555" t="str">
        <f>CONCATENATE('C-Design&amp;Const'!Z523,IF(D523="N"," Not Used In This Construction Phase",J523))</f>
        <v>Punch List Not Used In This Construction Phase</v>
      </c>
      <c r="I523" s="146"/>
      <c r="L523" s="1410" t="str">
        <f t="shared" si="24"/>
        <v/>
      </c>
      <c r="M523" s="1333"/>
      <c r="N523" s="1333"/>
      <c r="O523" s="1333"/>
      <c r="P523" s="1333"/>
      <c r="Q523" s="1333"/>
      <c r="R523" s="1453"/>
      <c r="S523" s="1364"/>
      <c r="T523" s="1284"/>
      <c r="U523" s="1333"/>
      <c r="V523" s="1333"/>
      <c r="W523" s="1333"/>
      <c r="X523" s="1333"/>
      <c r="Y523" s="1333"/>
      <c r="Z523" s="1333"/>
      <c r="AA523" s="1333"/>
      <c r="AB523" s="1333"/>
      <c r="AC523" s="1333"/>
      <c r="AD523" s="1333"/>
      <c r="AE523" s="1333"/>
      <c r="AF523" s="1333"/>
      <c r="AG523" s="1333"/>
      <c r="AH523" s="1333"/>
      <c r="AI523" s="1333"/>
      <c r="AJ523" s="1333"/>
    </row>
    <row r="524" spans="1:50" ht="18.75" hidden="1" x14ac:dyDescent="0.25">
      <c r="A524" s="2318"/>
      <c r="B524" s="125"/>
      <c r="C524" s="945"/>
      <c r="D524" s="223"/>
      <c r="E524" s="323"/>
      <c r="F524" s="323"/>
      <c r="G524" s="259"/>
      <c r="H524" s="260"/>
      <c r="I524" s="146"/>
      <c r="L524" s="1410" t="str">
        <f t="shared" si="24"/>
        <v/>
      </c>
      <c r="M524" s="1333"/>
      <c r="N524" s="1333"/>
      <c r="O524" s="1333"/>
      <c r="P524" s="1333"/>
      <c r="Q524" s="1333"/>
      <c r="R524" s="1453"/>
      <c r="S524" s="1364"/>
      <c r="T524" s="1284"/>
      <c r="U524" s="1333"/>
      <c r="V524" s="1333"/>
      <c r="W524" s="1333"/>
      <c r="X524" s="1333"/>
      <c r="Y524" s="1333"/>
      <c r="Z524" s="1333"/>
      <c r="AA524" s="1333"/>
      <c r="AB524" s="1333"/>
      <c r="AC524" s="1333"/>
      <c r="AD524" s="1333"/>
      <c r="AE524" s="1333"/>
      <c r="AF524" s="1333"/>
      <c r="AG524" s="1333"/>
      <c r="AH524" s="1333"/>
      <c r="AI524" s="1333"/>
      <c r="AJ524" s="1333"/>
    </row>
    <row r="525" spans="1:50" s="542" customFormat="1" ht="21" hidden="1" x14ac:dyDescent="0.25">
      <c r="A525" s="2318"/>
      <c r="B525" s="125"/>
      <c r="C525" s="953"/>
      <c r="D525" s="310" t="s">
        <v>226</v>
      </c>
      <c r="E525" s="311"/>
      <c r="F525" s="311"/>
      <c r="G525" s="847"/>
      <c r="H525" s="848"/>
      <c r="I525" s="146"/>
      <c r="J525" s="17"/>
      <c r="K525" s="17"/>
      <c r="L525" s="1410" t="str">
        <f t="shared" ref="L525:L526" si="26">CONCATENATE(IF(ISNUMBER(SEARCH("Placeholder",H525))=TRUE,"&lt;---PM/Planner may hide PLACEHOLDER ROW",""))</f>
        <v/>
      </c>
      <c r="M525" s="1333"/>
      <c r="N525" s="1333"/>
      <c r="O525" s="1333"/>
      <c r="P525" s="1333"/>
      <c r="Q525" s="1333"/>
      <c r="R525" s="1453"/>
      <c r="S525" s="1364"/>
      <c r="T525" s="1284"/>
      <c r="U525" s="1333"/>
      <c r="V525" s="1333"/>
      <c r="W525" s="1333"/>
      <c r="X525" s="1333"/>
      <c r="Y525" s="1333"/>
      <c r="Z525" s="1333"/>
      <c r="AA525" s="1333"/>
      <c r="AB525" s="1333"/>
      <c r="AC525" s="1333"/>
      <c r="AD525" s="1333"/>
      <c r="AE525" s="1333"/>
      <c r="AF525" s="1333"/>
      <c r="AG525" s="1333"/>
      <c r="AH525" s="1333"/>
      <c r="AI525" s="1333"/>
      <c r="AJ525" s="1333"/>
      <c r="AK525" s="17"/>
      <c r="AL525" s="17"/>
      <c r="AM525" s="17"/>
      <c r="AN525" s="17"/>
      <c r="AO525" s="17"/>
      <c r="AP525" s="17"/>
      <c r="AQ525" s="17"/>
      <c r="AR525" s="17"/>
      <c r="AS525" s="17"/>
      <c r="AT525" s="17"/>
      <c r="AU525" s="17"/>
      <c r="AV525" s="17"/>
      <c r="AW525" s="17"/>
    </row>
    <row r="526" spans="1:50" s="542" customFormat="1" ht="15.75" hidden="1" x14ac:dyDescent="0.25">
      <c r="A526" s="2318"/>
      <c r="B526" s="125"/>
      <c r="C526" s="921"/>
      <c r="D526" s="258"/>
      <c r="E526" s="21"/>
      <c r="F526" s="21"/>
      <c r="G526" s="565"/>
      <c r="H526" s="576"/>
      <c r="I526" s="146"/>
      <c r="J526" s="17"/>
      <c r="K526" s="17"/>
      <c r="L526" s="1410" t="str">
        <f t="shared" si="26"/>
        <v/>
      </c>
      <c r="M526" s="1333"/>
      <c r="N526" s="1333"/>
      <c r="O526" s="1333"/>
      <c r="P526" s="1333"/>
      <c r="Q526" s="1333"/>
      <c r="R526" s="1453"/>
      <c r="S526" s="1364"/>
      <c r="T526" s="1284"/>
      <c r="U526" s="1333"/>
      <c r="V526" s="1333"/>
      <c r="W526" s="1333"/>
      <c r="X526" s="1333"/>
      <c r="Y526" s="1333"/>
      <c r="Z526" s="1333"/>
      <c r="AA526" s="1333"/>
      <c r="AB526" s="1333"/>
      <c r="AC526" s="1333"/>
      <c r="AD526" s="1333"/>
      <c r="AE526" s="1333"/>
      <c r="AF526" s="1333"/>
      <c r="AG526" s="1333"/>
      <c r="AH526" s="1333"/>
      <c r="AI526" s="1333"/>
      <c r="AJ526" s="1333"/>
      <c r="AK526" s="17"/>
      <c r="AL526" s="17"/>
      <c r="AM526" s="17"/>
      <c r="AN526" s="17"/>
      <c r="AO526" s="17"/>
      <c r="AP526" s="17"/>
      <c r="AQ526" s="17"/>
      <c r="AR526" s="17"/>
      <c r="AS526" s="17"/>
      <c r="AT526" s="17"/>
      <c r="AU526" s="17"/>
      <c r="AV526" s="17"/>
      <c r="AW526" s="17"/>
    </row>
    <row r="527" spans="1:50" ht="37.5" hidden="1" x14ac:dyDescent="0.25">
      <c r="A527" s="2318"/>
      <c r="B527" s="125"/>
      <c r="C527" s="945"/>
      <c r="D527" s="29" t="str">
        <f>IF('C-Design&amp;Const'!$Q527="","",'C-Design&amp;Const'!$Q527)</f>
        <v>N</v>
      </c>
      <c r="E527" s="31"/>
      <c r="F527" s="178"/>
      <c r="G527" s="550" t="str">
        <f>IF('C-Design&amp;Const'!Y527="","",'C-Design&amp;Const'!Y527)</f>
        <v>30.</v>
      </c>
      <c r="H527" s="555" t="str">
        <f>CONCATENATE('C-Design&amp;Const'!Z527,IF(D527="N"," Not Used In This Construction Phase",J527))</f>
        <v>O &amp; M's &amp; Systems Manuals (check for full component list in the facility standards) Not Used In This Construction Phase</v>
      </c>
      <c r="I527" s="146"/>
      <c r="L527" s="1410" t="str">
        <f t="shared" si="24"/>
        <v/>
      </c>
      <c r="M527" s="1333"/>
      <c r="N527" s="1333"/>
      <c r="O527" s="1333"/>
      <c r="P527" s="1333"/>
      <c r="Q527" s="1333"/>
      <c r="R527" s="1453"/>
      <c r="S527" s="1364"/>
      <c r="T527" s="1284"/>
      <c r="U527" s="1333"/>
      <c r="V527" s="1333"/>
      <c r="W527" s="1333"/>
      <c r="X527" s="1333"/>
      <c r="Y527" s="1333"/>
      <c r="Z527" s="1333"/>
      <c r="AA527" s="1333"/>
      <c r="AB527" s="1333"/>
      <c r="AC527" s="1333"/>
      <c r="AD527" s="1333"/>
      <c r="AE527" s="1333"/>
      <c r="AF527" s="1333"/>
      <c r="AG527" s="1333"/>
      <c r="AH527" s="1333"/>
      <c r="AI527" s="1333"/>
      <c r="AJ527" s="1333"/>
    </row>
    <row r="528" spans="1:50" ht="25.5" hidden="1" x14ac:dyDescent="0.25">
      <c r="A528" s="2318"/>
      <c r="B528" s="125"/>
      <c r="C528" s="921"/>
      <c r="D528" s="258"/>
      <c r="E528" s="21"/>
      <c r="F528" s="21"/>
      <c r="G528" s="565"/>
      <c r="H528" s="574" t="s">
        <v>232</v>
      </c>
      <c r="I528" s="146"/>
      <c r="L528" s="1410" t="str">
        <f t="shared" si="24"/>
        <v/>
      </c>
      <c r="M528" s="1333"/>
      <c r="N528" s="1333"/>
      <c r="O528" s="1333"/>
      <c r="P528" s="1333"/>
      <c r="Q528" s="1333"/>
      <c r="R528" s="1453"/>
      <c r="S528" s="1364"/>
      <c r="T528" s="1284"/>
      <c r="U528" s="1333"/>
      <c r="V528" s="1333"/>
      <c r="W528" s="1333"/>
      <c r="X528" s="1333"/>
      <c r="Y528" s="1333"/>
      <c r="Z528" s="1333"/>
      <c r="AA528" s="1333"/>
      <c r="AB528" s="1333"/>
      <c r="AC528" s="1333"/>
      <c r="AD528" s="1333"/>
      <c r="AE528" s="1333"/>
      <c r="AF528" s="1333"/>
      <c r="AG528" s="1333"/>
      <c r="AH528" s="1333"/>
      <c r="AI528" s="1333"/>
      <c r="AJ528" s="1333"/>
    </row>
    <row r="529" spans="1:50" s="181" customFormat="1" ht="15" hidden="1" customHeight="1" x14ac:dyDescent="0.25">
      <c r="A529" s="2318"/>
      <c r="B529" s="177"/>
      <c r="C529" s="945"/>
      <c r="D529" s="152"/>
      <c r="E529" s="360" t="str">
        <f>IF('C-Design&amp;Const'!$Q529="","",'C-Design&amp;Const'!$Q529)</f>
        <v>N</v>
      </c>
      <c r="F529" s="322"/>
      <c r="G529" s="567"/>
      <c r="H529" s="546" t="str">
        <f>CONCATENATE(IF(ISNUMBER(SEARCH("Placeholder",'C-Design&amp;Const'!Z529))=TRUE,"",IF(E529="N","PLACEHOLDER ROW - ","")),'C-Design&amp;Const'!Z529,IF(E529="N","",J529))</f>
        <v>PLACEHOLDER ROW - Manufacturer’s Product Data (Tech Specifications/ Cut Sheets)</v>
      </c>
      <c r="I529" s="146"/>
      <c r="L529" s="1410" t="str">
        <f t="shared" si="24"/>
        <v>&lt;---PM/Planner may hide PLACEHOLDER ROW</v>
      </c>
      <c r="M529" s="1382"/>
      <c r="N529" s="1382"/>
      <c r="O529" s="1382"/>
      <c r="P529" s="1382"/>
      <c r="Q529" s="1382"/>
      <c r="R529" s="1447"/>
      <c r="S529" s="1448"/>
      <c r="T529" s="1274"/>
      <c r="U529" s="1382"/>
      <c r="V529" s="1382"/>
      <c r="W529" s="1382"/>
      <c r="X529" s="1382"/>
      <c r="Y529" s="1382"/>
      <c r="Z529" s="1382"/>
      <c r="AA529" s="1382"/>
      <c r="AB529" s="1382"/>
      <c r="AC529" s="1382"/>
      <c r="AD529" s="1382"/>
      <c r="AE529" s="1382"/>
      <c r="AF529" s="1382"/>
      <c r="AG529" s="1382"/>
      <c r="AH529" s="1382"/>
      <c r="AI529" s="1382"/>
      <c r="AJ529" s="1382"/>
      <c r="AX529" s="30"/>
    </row>
    <row r="530" spans="1:50" s="181" customFormat="1" ht="15" hidden="1" customHeight="1" x14ac:dyDescent="0.25">
      <c r="A530" s="2318"/>
      <c r="B530" s="177"/>
      <c r="C530" s="945"/>
      <c r="D530" s="152"/>
      <c r="E530" s="360" t="str">
        <f>IF('C-Design&amp;Const'!$Q530="","",'C-Design&amp;Const'!$Q530)</f>
        <v>N</v>
      </c>
      <c r="F530" s="322"/>
      <c r="G530" s="567"/>
      <c r="H530" s="546" t="str">
        <f>CONCATENATE(IF(ISNUMBER(SEARCH("Placeholder",'C-Design&amp;Const'!Z530))=TRUE,"",IF(E530="N","PLACEHOLDER ROW - ","")),'C-Design&amp;Const'!Z530,IF(E530="N","",J530))</f>
        <v>PLACEHOLDER ROW - Manufacturer’s Operational Instructions</v>
      </c>
      <c r="I530" s="146"/>
      <c r="L530" s="1410" t="str">
        <f t="shared" si="24"/>
        <v>&lt;---PM/Planner may hide PLACEHOLDER ROW</v>
      </c>
      <c r="M530" s="1382"/>
      <c r="N530" s="1382"/>
      <c r="O530" s="1382"/>
      <c r="P530" s="1382"/>
      <c r="Q530" s="1382"/>
      <c r="R530" s="1447"/>
      <c r="S530" s="1448"/>
      <c r="T530" s="1274"/>
      <c r="U530" s="1382"/>
      <c r="V530" s="1382"/>
      <c r="W530" s="1382"/>
      <c r="X530" s="1382"/>
      <c r="Y530" s="1382"/>
      <c r="Z530" s="1382"/>
      <c r="AA530" s="1382"/>
      <c r="AB530" s="1382"/>
      <c r="AC530" s="1382"/>
      <c r="AD530" s="1382"/>
      <c r="AE530" s="1382"/>
      <c r="AF530" s="1382"/>
      <c r="AG530" s="1382"/>
      <c r="AH530" s="1382"/>
      <c r="AI530" s="1382"/>
      <c r="AJ530" s="1382"/>
      <c r="AX530" s="30"/>
    </row>
    <row r="531" spans="1:50" s="181" customFormat="1" ht="15" hidden="1" customHeight="1" x14ac:dyDescent="0.25">
      <c r="A531" s="2318"/>
      <c r="B531" s="177"/>
      <c r="C531" s="945"/>
      <c r="D531" s="152"/>
      <c r="E531" s="360" t="str">
        <f>IF('C-Design&amp;Const'!$Q531="","",'C-Design&amp;Const'!$Q531)</f>
        <v>N</v>
      </c>
      <c r="F531" s="322"/>
      <c r="G531" s="567"/>
      <c r="H531" s="546" t="str">
        <f>CONCATENATE(IF(ISNUMBER(SEARCH("Placeholder",'C-Design&amp;Const'!Z531))=TRUE,"",IF(E531="N","PLACEHOLDER ROW - ","")),'C-Design&amp;Const'!Z531,IF(E531="N","",J531))</f>
        <v>PLACEHOLDER ROW - Supplemental Product Submittals &amp; Shop Drawings / Approved</v>
      </c>
      <c r="I531" s="146"/>
      <c r="L531" s="1410" t="str">
        <f t="shared" si="24"/>
        <v>&lt;---PM/Planner may hide PLACEHOLDER ROW</v>
      </c>
      <c r="M531" s="1382"/>
      <c r="N531" s="1382"/>
      <c r="O531" s="1382"/>
      <c r="P531" s="1382"/>
      <c r="Q531" s="1382"/>
      <c r="R531" s="1447"/>
      <c r="S531" s="1448"/>
      <c r="T531" s="1274"/>
      <c r="U531" s="1382"/>
      <c r="V531" s="1382"/>
      <c r="W531" s="1382"/>
      <c r="X531" s="1382"/>
      <c r="Y531" s="1382"/>
      <c r="Z531" s="1382"/>
      <c r="AA531" s="1382"/>
      <c r="AB531" s="1382"/>
      <c r="AC531" s="1382"/>
      <c r="AD531" s="1382"/>
      <c r="AE531" s="1382"/>
      <c r="AF531" s="1382"/>
      <c r="AG531" s="1382"/>
      <c r="AH531" s="1382"/>
      <c r="AI531" s="1382"/>
      <c r="AJ531" s="1382"/>
      <c r="AX531" s="30"/>
    </row>
    <row r="532" spans="1:50" s="181" customFormat="1" ht="15" hidden="1" customHeight="1" x14ac:dyDescent="0.25">
      <c r="A532" s="2318"/>
      <c r="B532" s="177"/>
      <c r="C532" s="945"/>
      <c r="D532" s="152"/>
      <c r="E532" s="360" t="str">
        <f>IF('C-Design&amp;Const'!$Q532="","",'C-Design&amp;Const'!$Q532)</f>
        <v>N</v>
      </c>
      <c r="F532" s="322"/>
      <c r="G532" s="567"/>
      <c r="H532" s="546" t="str">
        <f>CONCATENATE(IF(ISNUMBER(SEARCH("Placeholder",'C-Design&amp;Const'!Z532))=TRUE,"",IF(E532="N","PLACEHOLDER ROW - ","")),'C-Design&amp;Const'!Z532,IF(E532="N","",J532))</f>
        <v>PLACEHOLDER ROW - Manufacturer’s Preventive Maintenance Instructions</v>
      </c>
      <c r="I532" s="146"/>
      <c r="L532" s="1410" t="str">
        <f t="shared" ref="L532:L565" si="27">CONCATENATE(IF(ISNUMBER(SEARCH("Placeholder",H532))=TRUE,"&lt;---PM/Planner may hide PLACEHOLDER ROW",""))</f>
        <v>&lt;---PM/Planner may hide PLACEHOLDER ROW</v>
      </c>
      <c r="M532" s="1382"/>
      <c r="N532" s="1382"/>
      <c r="O532" s="1382"/>
      <c r="P532" s="1382"/>
      <c r="Q532" s="1382"/>
      <c r="R532" s="1447"/>
      <c r="S532" s="1448"/>
      <c r="T532" s="1274"/>
      <c r="U532" s="1382"/>
      <c r="V532" s="1382"/>
      <c r="W532" s="1382"/>
      <c r="X532" s="1382"/>
      <c r="Y532" s="1382"/>
      <c r="Z532" s="1382"/>
      <c r="AA532" s="1382"/>
      <c r="AB532" s="1382"/>
      <c r="AC532" s="1382"/>
      <c r="AD532" s="1382"/>
      <c r="AE532" s="1382"/>
      <c r="AF532" s="1382"/>
      <c r="AG532" s="1382"/>
      <c r="AH532" s="1382"/>
      <c r="AI532" s="1382"/>
      <c r="AJ532" s="1382"/>
      <c r="AX532" s="30"/>
    </row>
    <row r="533" spans="1:50" s="181" customFormat="1" ht="15" hidden="1" customHeight="1" x14ac:dyDescent="0.25">
      <c r="A533" s="2318"/>
      <c r="B533" s="177"/>
      <c r="C533" s="945"/>
      <c r="D533" s="152"/>
      <c r="E533" s="360" t="str">
        <f>IF('C-Design&amp;Const'!$Q533="","",'C-Design&amp;Const'!$Q533)</f>
        <v>N</v>
      </c>
      <c r="F533" s="322"/>
      <c r="G533" s="567"/>
      <c r="H533" s="546" t="str">
        <f>CONCATENATE(IF(ISNUMBER(SEARCH("Placeholder",'C-Design&amp;Const'!Z533))=TRUE,"",IF(E533="N","PLACEHOLDER ROW - ","")),'C-Design&amp;Const'!Z533,IF(E533="N","",J533))</f>
        <v xml:space="preserve">PLACEHOLDER ROW - Warranties and Bonds  </v>
      </c>
      <c r="I533" s="146"/>
      <c r="L533" s="1410" t="str">
        <f t="shared" si="27"/>
        <v>&lt;---PM/Planner may hide PLACEHOLDER ROW</v>
      </c>
      <c r="M533" s="1382"/>
      <c r="N533" s="1382"/>
      <c r="O533" s="1382"/>
      <c r="P533" s="1382"/>
      <c r="Q533" s="1382"/>
      <c r="R533" s="1447"/>
      <c r="S533" s="1448"/>
      <c r="T533" s="1274"/>
      <c r="U533" s="1382"/>
      <c r="V533" s="1382"/>
      <c r="W533" s="1382"/>
      <c r="X533" s="1382"/>
      <c r="Y533" s="1382"/>
      <c r="Z533" s="1382"/>
      <c r="AA533" s="1382"/>
      <c r="AB533" s="1382"/>
      <c r="AC533" s="1382"/>
      <c r="AD533" s="1382"/>
      <c r="AE533" s="1382"/>
      <c r="AF533" s="1382"/>
      <c r="AG533" s="1382"/>
      <c r="AH533" s="1382"/>
      <c r="AI533" s="1382"/>
      <c r="AJ533" s="1382"/>
      <c r="AX533" s="30"/>
    </row>
    <row r="534" spans="1:50" s="181" customFormat="1" ht="15" hidden="1" customHeight="1" x14ac:dyDescent="0.25">
      <c r="A534" s="2318"/>
      <c r="B534" s="177"/>
      <c r="C534" s="945"/>
      <c r="D534" s="152"/>
      <c r="E534" s="360" t="str">
        <f>IF('C-Design&amp;Const'!$Q534="","",'C-Design&amp;Const'!$Q534)</f>
        <v>N</v>
      </c>
      <c r="F534" s="322"/>
      <c r="G534" s="567"/>
      <c r="H534" s="546" t="str">
        <f>CONCATENATE(IF(ISNUMBER(SEARCH("Placeholder",'C-Design&amp;Const'!Z534))=TRUE,"",IF(E534="N","PLACEHOLDER ROW - ","")),'C-Design&amp;Const'!Z534,IF(E534="N","",J534))</f>
        <v>PLACEHOLDER ROW - Functional Performance Tests</v>
      </c>
      <c r="I534" s="146"/>
      <c r="L534" s="1410" t="str">
        <f t="shared" si="27"/>
        <v>&lt;---PM/Planner may hide PLACEHOLDER ROW</v>
      </c>
      <c r="M534" s="1382"/>
      <c r="N534" s="1382"/>
      <c r="O534" s="1382"/>
      <c r="P534" s="1382"/>
      <c r="Q534" s="1382"/>
      <c r="R534" s="1447"/>
      <c r="S534" s="1448"/>
      <c r="T534" s="1274"/>
      <c r="U534" s="1382"/>
      <c r="V534" s="1382"/>
      <c r="W534" s="1382"/>
      <c r="X534" s="1382"/>
      <c r="Y534" s="1382"/>
      <c r="Z534" s="1382"/>
      <c r="AA534" s="1382"/>
      <c r="AB534" s="1382"/>
      <c r="AC534" s="1382"/>
      <c r="AD534" s="1382"/>
      <c r="AE534" s="1382"/>
      <c r="AF534" s="1382"/>
      <c r="AG534" s="1382"/>
      <c r="AH534" s="1382"/>
      <c r="AI534" s="1382"/>
      <c r="AJ534" s="1382"/>
      <c r="AX534" s="30"/>
    </row>
    <row r="535" spans="1:50" s="181" customFormat="1" ht="15" hidden="1" customHeight="1" x14ac:dyDescent="0.25">
      <c r="A535" s="2318"/>
      <c r="B535" s="177"/>
      <c r="C535" s="945"/>
      <c r="D535" s="152"/>
      <c r="E535" s="360" t="str">
        <f>IF('C-Design&amp;Const'!$Q535="","",'C-Design&amp;Const'!$Q535)</f>
        <v>N</v>
      </c>
      <c r="F535" s="322"/>
      <c r="G535" s="567"/>
      <c r="H535" s="546" t="str">
        <f>CONCATENATE(IF(ISNUMBER(SEARCH("Placeholder",'C-Design&amp;Const'!Z535))=TRUE,"",IF(E535="N","PLACEHOLDER ROW - ","")),'C-Design&amp;Const'!Z535,IF(E535="N","",J535))</f>
        <v>PLACEHOLDER ROW - Safety Precautions</v>
      </c>
      <c r="I535" s="146"/>
      <c r="L535" s="1410" t="str">
        <f t="shared" si="27"/>
        <v>&lt;---PM/Planner may hide PLACEHOLDER ROW</v>
      </c>
      <c r="M535" s="1382"/>
      <c r="N535" s="1382"/>
      <c r="O535" s="1382"/>
      <c r="P535" s="1382"/>
      <c r="Q535" s="1382"/>
      <c r="R535" s="1447"/>
      <c r="S535" s="1448"/>
      <c r="T535" s="1274"/>
      <c r="U535" s="1382"/>
      <c r="V535" s="1382"/>
      <c r="W535" s="1382"/>
      <c r="X535" s="1382"/>
      <c r="Y535" s="1382"/>
      <c r="Z535" s="1382"/>
      <c r="AA535" s="1382"/>
      <c r="AB535" s="1382"/>
      <c r="AC535" s="1382"/>
      <c r="AD535" s="1382"/>
      <c r="AE535" s="1382"/>
      <c r="AF535" s="1382"/>
      <c r="AG535" s="1382"/>
      <c r="AH535" s="1382"/>
      <c r="AI535" s="1382"/>
      <c r="AJ535" s="1382"/>
      <c r="AX535" s="30"/>
    </row>
    <row r="536" spans="1:50" s="181" customFormat="1" ht="15" hidden="1" customHeight="1" x14ac:dyDescent="0.25">
      <c r="A536" s="2318"/>
      <c r="B536" s="177"/>
      <c r="C536" s="945"/>
      <c r="D536" s="152"/>
      <c r="E536" s="360" t="str">
        <f>IF('C-Design&amp;Const'!$Q536="","",'C-Design&amp;Const'!$Q536)</f>
        <v>N</v>
      </c>
      <c r="F536" s="322"/>
      <c r="G536" s="567"/>
      <c r="H536" s="546" t="str">
        <f>CONCATENATE(IF(ISNUMBER(SEARCH("Placeholder",'C-Design&amp;Const'!Z536))=TRUE,"",IF(E536="N","PLACEHOLDER ROW - ","")),'C-Design&amp;Const'!Z536,IF(E536="N","",J536))</f>
        <v>PLACEHOLDER ROW - Emergency Procedures</v>
      </c>
      <c r="I536" s="146"/>
      <c r="L536" s="1410" t="str">
        <f t="shared" si="27"/>
        <v>&lt;---PM/Planner may hide PLACEHOLDER ROW</v>
      </c>
      <c r="M536" s="1382"/>
      <c r="N536" s="1382"/>
      <c r="O536" s="1382"/>
      <c r="P536" s="1382"/>
      <c r="Q536" s="1382"/>
      <c r="R536" s="1447"/>
      <c r="S536" s="1448"/>
      <c r="T536" s="1274"/>
      <c r="U536" s="1382"/>
      <c r="V536" s="1382"/>
      <c r="W536" s="1382"/>
      <c r="X536" s="1382"/>
      <c r="Y536" s="1382"/>
      <c r="Z536" s="1382"/>
      <c r="AA536" s="1382"/>
      <c r="AB536" s="1382"/>
      <c r="AC536" s="1382"/>
      <c r="AD536" s="1382"/>
      <c r="AE536" s="1382"/>
      <c r="AF536" s="1382"/>
      <c r="AG536" s="1382"/>
      <c r="AH536" s="1382"/>
      <c r="AI536" s="1382"/>
      <c r="AJ536" s="1382"/>
      <c r="AX536" s="30"/>
    </row>
    <row r="537" spans="1:50" s="545" customFormat="1" ht="15" hidden="1" customHeight="1" x14ac:dyDescent="0.25">
      <c r="A537" s="2318"/>
      <c r="B537" s="554"/>
      <c r="C537" s="921"/>
      <c r="E537" s="360" t="str">
        <f>IF('C-Design&amp;Const'!$Q537="","",'C-Design&amp;Const'!$Q537)</f>
        <v>N</v>
      </c>
      <c r="F537" s="556"/>
      <c r="G537" s="550"/>
      <c r="H537" s="561" t="str">
        <f>CONCATENATE(IF(ISNUMBER(SEARCH("Placeholder",'C-Design&amp;Const'!Z537))=TRUE,"",IF(E537="N","PLACEHOLDER ROW - ","")),'C-Design&amp;Const'!Z537,IF(E537="N","",J537))</f>
        <v>PLACEHOLDER ROW - BMS/BAS Network Architecture Diagrams</v>
      </c>
      <c r="I537" s="146"/>
      <c r="J537" s="551"/>
      <c r="L537" s="1410" t="str">
        <f t="shared" si="27"/>
        <v>&lt;---PM/Planner may hide PLACEHOLDER ROW</v>
      </c>
      <c r="M537" s="1382"/>
      <c r="N537" s="1382"/>
      <c r="O537" s="1382"/>
      <c r="P537" s="1382"/>
      <c r="Q537" s="1382"/>
      <c r="R537" s="1382"/>
      <c r="S537" s="1382"/>
      <c r="T537" s="1382"/>
      <c r="U537" s="1382"/>
      <c r="V537" s="1382"/>
      <c r="W537" s="1382"/>
      <c r="X537" s="1382"/>
      <c r="Y537" s="1382"/>
      <c r="Z537" s="1382"/>
      <c r="AA537" s="1382"/>
      <c r="AB537" s="1382"/>
      <c r="AC537" s="1382"/>
      <c r="AD537" s="1382"/>
      <c r="AE537" s="1382"/>
      <c r="AF537" s="1382"/>
      <c r="AG537" s="1382"/>
      <c r="AH537" s="1382"/>
      <c r="AI537" s="1382"/>
      <c r="AJ537" s="1382"/>
      <c r="AK537" s="551"/>
      <c r="AL537" s="551"/>
      <c r="AM537" s="551"/>
      <c r="AN537" s="551"/>
      <c r="AO537" s="551"/>
      <c r="AP537" s="551"/>
      <c r="AQ537" s="551"/>
      <c r="AR537" s="551"/>
      <c r="AS537" s="551"/>
      <c r="AT537" s="551"/>
      <c r="AU537" s="551"/>
      <c r="AV537" s="551"/>
      <c r="AW537" s="551"/>
    </row>
    <row r="538" spans="1:50" s="545" customFormat="1" ht="15" hidden="1" customHeight="1" x14ac:dyDescent="0.25">
      <c r="A538" s="2318"/>
      <c r="B538" s="554"/>
      <c r="C538" s="921"/>
      <c r="E538" s="360" t="str">
        <f>IF('C-Design&amp;Const'!$Q538="","",'C-Design&amp;Const'!$Q538)</f>
        <v>N</v>
      </c>
      <c r="F538" s="556"/>
      <c r="G538" s="550"/>
      <c r="H538" s="561" t="str">
        <f>CONCATENATE(IF(ISNUMBER(SEARCH("Placeholder",'C-Design&amp;Const'!Z538))=TRUE,"",IF(E538="N","PLACEHOLDER ROW - ","")),'C-Design&amp;Const'!Z538,IF(E538="N","",J538))</f>
        <v>PLACEHOLDER ROW - BMS/BAS Input / Output Point List</v>
      </c>
      <c r="I538" s="146"/>
      <c r="J538" s="551"/>
      <c r="L538" s="1410" t="str">
        <f t="shared" si="27"/>
        <v>&lt;---PM/Planner may hide PLACEHOLDER ROW</v>
      </c>
      <c r="M538" s="1382"/>
      <c r="N538" s="1382"/>
      <c r="O538" s="1382"/>
      <c r="P538" s="1382"/>
      <c r="Q538" s="1382"/>
      <c r="R538" s="1382"/>
      <c r="S538" s="1382"/>
      <c r="T538" s="1382"/>
      <c r="U538" s="1382"/>
      <c r="V538" s="1382"/>
      <c r="W538" s="1382"/>
      <c r="X538" s="1382"/>
      <c r="Y538" s="1382"/>
      <c r="Z538" s="1382"/>
      <c r="AA538" s="1382"/>
      <c r="AB538" s="1382"/>
      <c r="AC538" s="1382"/>
      <c r="AD538" s="1382"/>
      <c r="AE538" s="1382"/>
      <c r="AF538" s="1382"/>
      <c r="AG538" s="1382"/>
      <c r="AH538" s="1382"/>
      <c r="AI538" s="1382"/>
      <c r="AJ538" s="1382"/>
      <c r="AK538" s="551"/>
      <c r="AL538" s="551"/>
      <c r="AM538" s="551"/>
      <c r="AN538" s="551"/>
      <c r="AO538" s="551"/>
      <c r="AP538" s="551"/>
      <c r="AQ538" s="551"/>
      <c r="AR538" s="551"/>
      <c r="AS538" s="551"/>
      <c r="AT538" s="551"/>
      <c r="AU538" s="551"/>
      <c r="AV538" s="551"/>
      <c r="AW538" s="551"/>
    </row>
    <row r="539" spans="1:50" s="545" customFormat="1" ht="15" hidden="1" customHeight="1" x14ac:dyDescent="0.25">
      <c r="A539" s="2318"/>
      <c r="B539" s="554"/>
      <c r="C539" s="921"/>
      <c r="E539" s="360" t="str">
        <f>IF('C-Design&amp;Const'!$Q539="","",'C-Design&amp;Const'!$Q539)</f>
        <v>N</v>
      </c>
      <c r="F539" s="556"/>
      <c r="G539" s="550"/>
      <c r="H539" s="561" t="str">
        <f>CONCATENATE(IF(ISNUMBER(SEARCH("Placeholder",'C-Design&amp;Const'!Z539))=TRUE,"",IF(E539="N","PLACEHOLDER ROW - ","")),'C-Design&amp;Const'!Z539,IF(E539="N","",J539))</f>
        <v>PLACEHOLDER ROW - BMS/BAS Integration and Mapping Details</v>
      </c>
      <c r="I539" s="146"/>
      <c r="J539" s="551"/>
      <c r="L539" s="1410" t="str">
        <f t="shared" si="27"/>
        <v>&lt;---PM/Planner may hide PLACEHOLDER ROW</v>
      </c>
      <c r="M539" s="1382"/>
      <c r="N539" s="1382"/>
      <c r="O539" s="1382"/>
      <c r="P539" s="1382"/>
      <c r="Q539" s="1382"/>
      <c r="R539" s="1382"/>
      <c r="S539" s="1382"/>
      <c r="T539" s="1382"/>
      <c r="U539" s="1382"/>
      <c r="V539" s="1382"/>
      <c r="W539" s="1382"/>
      <c r="X539" s="1382"/>
      <c r="Y539" s="1382"/>
      <c r="Z539" s="1382"/>
      <c r="AA539" s="1382"/>
      <c r="AB539" s="1382"/>
      <c r="AC539" s="1382"/>
      <c r="AD539" s="1382"/>
      <c r="AE539" s="1382"/>
      <c r="AF539" s="1382"/>
      <c r="AG539" s="1382"/>
      <c r="AH539" s="1382"/>
      <c r="AI539" s="1382"/>
      <c r="AJ539" s="1382"/>
      <c r="AK539" s="551"/>
      <c r="AL539" s="551"/>
      <c r="AM539" s="551"/>
      <c r="AN539" s="551"/>
      <c r="AO539" s="551"/>
      <c r="AP539" s="551"/>
      <c r="AQ539" s="551"/>
      <c r="AR539" s="551"/>
      <c r="AS539" s="551"/>
      <c r="AT539" s="551"/>
      <c r="AU539" s="551"/>
      <c r="AV539" s="551"/>
      <c r="AW539" s="551"/>
    </row>
    <row r="540" spans="1:50" s="545" customFormat="1" ht="15" hidden="1" customHeight="1" x14ac:dyDescent="0.25">
      <c r="A540" s="2318"/>
      <c r="B540" s="554"/>
      <c r="C540" s="921"/>
      <c r="E540" s="360" t="str">
        <f>IF('C-Design&amp;Const'!$Q540="","",'C-Design&amp;Const'!$Q540)</f>
        <v>N</v>
      </c>
      <c r="F540" s="556"/>
      <c r="G540" s="550"/>
      <c r="H540" s="561" t="str">
        <f>CONCATENATE(IF(ISNUMBER(SEARCH("Placeholder",'C-Design&amp;Const'!Z540))=TRUE,"",IF(E540="N","PLACEHOLDER ROW - ","")),'C-Design&amp;Const'!Z540,IF(E540="N","",J540))</f>
        <v>PLACEHOLDER ROW - BAS Licensing, Programming, and Engineering Tools</v>
      </c>
      <c r="I540" s="146"/>
      <c r="J540" s="551"/>
      <c r="L540" s="1410" t="str">
        <f t="shared" si="27"/>
        <v>&lt;---PM/Planner may hide PLACEHOLDER ROW</v>
      </c>
      <c r="M540" s="1382"/>
      <c r="N540" s="1382"/>
      <c r="O540" s="1382"/>
      <c r="P540" s="1382"/>
      <c r="Q540" s="1382"/>
      <c r="R540" s="1382"/>
      <c r="S540" s="1382"/>
      <c r="T540" s="1382"/>
      <c r="U540" s="1382"/>
      <c r="V540" s="1382"/>
      <c r="W540" s="1382"/>
      <c r="X540" s="1382"/>
      <c r="Y540" s="1382"/>
      <c r="Z540" s="1382"/>
      <c r="AA540" s="1382"/>
      <c r="AB540" s="1382"/>
      <c r="AC540" s="1382"/>
      <c r="AD540" s="1382"/>
      <c r="AE540" s="1382"/>
      <c r="AF540" s="1382"/>
      <c r="AG540" s="1382"/>
      <c r="AH540" s="1382"/>
      <c r="AI540" s="1382"/>
      <c r="AJ540" s="1382"/>
      <c r="AK540" s="551"/>
      <c r="AL540" s="551"/>
      <c r="AM540" s="551"/>
      <c r="AN540" s="551"/>
      <c r="AO540" s="551"/>
      <c r="AP540" s="551"/>
      <c r="AQ540" s="551"/>
      <c r="AR540" s="551"/>
      <c r="AS540" s="551"/>
      <c r="AT540" s="551"/>
      <c r="AU540" s="551"/>
      <c r="AV540" s="551"/>
      <c r="AW540" s="551"/>
    </row>
    <row r="541" spans="1:50" s="545" customFormat="1" ht="15" hidden="1" customHeight="1" x14ac:dyDescent="0.25">
      <c r="A541" s="2318"/>
      <c r="B541" s="554"/>
      <c r="C541" s="921"/>
      <c r="E541" s="360" t="str">
        <f>IF('C-Design&amp;Const'!$Q541="","",'C-Design&amp;Const'!$Q541)</f>
        <v>N</v>
      </c>
      <c r="F541" s="556"/>
      <c r="G541" s="550"/>
      <c r="H541" s="561" t="str">
        <f>CONCATENATE(IF(ISNUMBER(SEARCH("Placeholder",'C-Design&amp;Const'!Z541))=TRUE,"",IF(E541="N","PLACEHOLDER ROW - ","")),'C-Design&amp;Const'!Z541,IF(E541="N","",J541))</f>
        <v>PLACEHOLDER ROW - Images and/or screen shots of final graphical user interfaces for each installed</v>
      </c>
      <c r="I541" s="146"/>
      <c r="J541" s="551"/>
      <c r="L541" s="1410" t="str">
        <f t="shared" si="27"/>
        <v>&lt;---PM/Planner may hide PLACEHOLDER ROW</v>
      </c>
      <c r="M541" s="1382"/>
      <c r="N541" s="1382"/>
      <c r="O541" s="1382"/>
      <c r="P541" s="1382"/>
      <c r="Q541" s="1382"/>
      <c r="R541" s="1382"/>
      <c r="S541" s="1382"/>
      <c r="T541" s="1382"/>
      <c r="U541" s="1382"/>
      <c r="V541" s="1382"/>
      <c r="W541" s="1382"/>
      <c r="X541" s="1382"/>
      <c r="Y541" s="1382"/>
      <c r="Z541" s="1382"/>
      <c r="AA541" s="1382"/>
      <c r="AB541" s="1382"/>
      <c r="AC541" s="1382"/>
      <c r="AD541" s="1382"/>
      <c r="AE541" s="1382"/>
      <c r="AF541" s="1382"/>
      <c r="AG541" s="1382"/>
      <c r="AH541" s="1382"/>
      <c r="AI541" s="1382"/>
      <c r="AJ541" s="1382"/>
      <c r="AK541" s="551"/>
      <c r="AL541" s="551"/>
      <c r="AM541" s="551"/>
      <c r="AN541" s="551"/>
      <c r="AO541" s="551"/>
      <c r="AP541" s="551"/>
      <c r="AQ541" s="551"/>
      <c r="AR541" s="551"/>
      <c r="AS541" s="551"/>
      <c r="AT541" s="551"/>
      <c r="AU541" s="551"/>
      <c r="AV541" s="551"/>
      <c r="AW541" s="551"/>
    </row>
    <row r="542" spans="1:50" s="551" customFormat="1" ht="15" hidden="1" customHeight="1" x14ac:dyDescent="0.25">
      <c r="A542" s="2318"/>
      <c r="B542" s="549"/>
      <c r="C542" s="945"/>
      <c r="D542" s="547"/>
      <c r="E542" s="29" t="str">
        <f>IF('C-Design&amp;Const'!$Q542="","",'C-Design&amp;Const'!$Q542)</f>
        <v>N</v>
      </c>
      <c r="F542" s="322"/>
      <c r="G542" s="567"/>
      <c r="H542" s="546" t="str">
        <f>CONCATENATE(IF(ISNUMBER(SEARCH("Placeholder",'C-Design&amp;Const'!Z542))=TRUE,"",IF(E542="N","PLACEHOLDER ROW - ","")),'C-Design&amp;Const'!Z542,IF(E542="N","",J542))</f>
        <v>PLACEHOLDER ROW - OPTIONAL CLIENT CUSTOM ITEM</v>
      </c>
      <c r="I542" s="146"/>
      <c r="L542" s="1410" t="str">
        <f t="shared" si="27"/>
        <v>&lt;---PM/Planner may hide PLACEHOLDER ROW</v>
      </c>
      <c r="M542" s="1382"/>
      <c r="N542" s="1382"/>
      <c r="O542" s="1382"/>
      <c r="P542" s="1382"/>
      <c r="Q542" s="1382"/>
      <c r="R542" s="1447"/>
      <c r="S542" s="1448"/>
      <c r="T542" s="1274"/>
      <c r="U542" s="1382"/>
      <c r="V542" s="1382"/>
      <c r="W542" s="1382"/>
      <c r="X542" s="1382"/>
      <c r="Y542" s="1382"/>
      <c r="Z542" s="1382"/>
      <c r="AA542" s="1382"/>
      <c r="AB542" s="1382"/>
      <c r="AC542" s="1382"/>
      <c r="AD542" s="1382"/>
      <c r="AE542" s="1382"/>
      <c r="AF542" s="1382"/>
      <c r="AG542" s="1382"/>
      <c r="AH542" s="1382"/>
      <c r="AI542" s="1382"/>
      <c r="AJ542" s="1382"/>
      <c r="AX542" s="545"/>
    </row>
    <row r="543" spans="1:50" s="551" customFormat="1" ht="15" hidden="1" customHeight="1" x14ac:dyDescent="0.25">
      <c r="A543" s="2318"/>
      <c r="B543" s="549"/>
      <c r="C543" s="945"/>
      <c r="D543" s="547"/>
      <c r="E543" s="29" t="str">
        <f>IF('C-Design&amp;Const'!$Q543="","",'C-Design&amp;Const'!$Q543)</f>
        <v>N</v>
      </c>
      <c r="F543" s="322"/>
      <c r="G543" s="567"/>
      <c r="H543" s="546" t="str">
        <f>CONCATENATE(IF(ISNUMBER(SEARCH("Placeholder",'C-Design&amp;Const'!Z543))=TRUE,"",IF(E543="N","PLACEHOLDER ROW - ","")),'C-Design&amp;Const'!Z543,IF(E543="N","",J543))</f>
        <v>PLACEHOLDER ROW - OPTIONAL CLIENT CUSTOM ITEM</v>
      </c>
      <c r="I543" s="146"/>
      <c r="L543" s="1410" t="str">
        <f t="shared" si="27"/>
        <v>&lt;---PM/Planner may hide PLACEHOLDER ROW</v>
      </c>
      <c r="M543" s="1382"/>
      <c r="N543" s="1382"/>
      <c r="O543" s="1382"/>
      <c r="P543" s="1382"/>
      <c r="Q543" s="1382"/>
      <c r="R543" s="1447"/>
      <c r="S543" s="1448"/>
      <c r="T543" s="1274"/>
      <c r="U543" s="1382"/>
      <c r="V543" s="1382"/>
      <c r="W543" s="1382"/>
      <c r="X543" s="1382"/>
      <c r="Y543" s="1382"/>
      <c r="Z543" s="1382"/>
      <c r="AA543" s="1382"/>
      <c r="AB543" s="1382"/>
      <c r="AC543" s="1382"/>
      <c r="AD543" s="1382"/>
      <c r="AE543" s="1382"/>
      <c r="AF543" s="1382"/>
      <c r="AG543" s="1382"/>
      <c r="AH543" s="1382"/>
      <c r="AI543" s="1382"/>
      <c r="AJ543" s="1382"/>
      <c r="AX543" s="545"/>
    </row>
    <row r="544" spans="1:50" s="551" customFormat="1" ht="15" hidden="1" customHeight="1" x14ac:dyDescent="0.25">
      <c r="A544" s="2318"/>
      <c r="B544" s="549"/>
      <c r="C544" s="945"/>
      <c r="D544" s="547"/>
      <c r="E544" s="29" t="str">
        <f>IF('C-Design&amp;Const'!$Q544="","",'C-Design&amp;Const'!$Q544)</f>
        <v>N</v>
      </c>
      <c r="F544" s="322"/>
      <c r="G544" s="567"/>
      <c r="H544" s="546" t="str">
        <f>CONCATENATE(IF(ISNUMBER(SEARCH("Placeholder",'C-Design&amp;Const'!Z544))=TRUE,"",IF(E544="N","PLACEHOLDER ROW - ","")),'C-Design&amp;Const'!Z544,IF(E544="N","",J544))</f>
        <v>PLACEHOLDER ROW - OPTIONAL CLIENT CUSTOM ITEM</v>
      </c>
      <c r="I544" s="146"/>
      <c r="L544" s="1410" t="str">
        <f t="shared" si="27"/>
        <v>&lt;---PM/Planner may hide PLACEHOLDER ROW</v>
      </c>
      <c r="M544" s="1382"/>
      <c r="N544" s="1382"/>
      <c r="O544" s="1382"/>
      <c r="P544" s="1382"/>
      <c r="Q544" s="1382"/>
      <c r="R544" s="1447"/>
      <c r="S544" s="1448"/>
      <c r="T544" s="1274"/>
      <c r="U544" s="1382"/>
      <c r="V544" s="1382"/>
      <c r="W544" s="1382"/>
      <c r="X544" s="1382"/>
      <c r="Y544" s="1382"/>
      <c r="Z544" s="1382"/>
      <c r="AA544" s="1382"/>
      <c r="AB544" s="1382"/>
      <c r="AC544" s="1382"/>
      <c r="AD544" s="1382"/>
      <c r="AE544" s="1382"/>
      <c r="AF544" s="1382"/>
      <c r="AG544" s="1382"/>
      <c r="AH544" s="1382"/>
      <c r="AI544" s="1382"/>
      <c r="AJ544" s="1382"/>
      <c r="AX544" s="545"/>
    </row>
    <row r="545" spans="1:50" hidden="1" x14ac:dyDescent="0.25">
      <c r="A545" s="2318"/>
      <c r="B545" s="125"/>
      <c r="C545" s="945"/>
      <c r="D545" s="265"/>
      <c r="E545" s="152"/>
      <c r="F545" s="152"/>
      <c r="G545" s="565"/>
      <c r="H545" s="575"/>
      <c r="I545" s="146"/>
      <c r="L545" s="1410" t="str">
        <f t="shared" si="27"/>
        <v/>
      </c>
      <c r="M545" s="1333"/>
      <c r="N545" s="1333"/>
      <c r="O545" s="1333"/>
      <c r="P545" s="1333"/>
      <c r="Q545" s="1333"/>
      <c r="R545" s="1453"/>
      <c r="S545" s="1364"/>
      <c r="T545" s="1284"/>
      <c r="U545" s="1333"/>
      <c r="V545" s="1333"/>
      <c r="W545" s="1333"/>
      <c r="X545" s="1333"/>
      <c r="Y545" s="1333"/>
      <c r="Z545" s="1333"/>
      <c r="AA545" s="1333"/>
      <c r="AB545" s="1333"/>
      <c r="AC545" s="1333"/>
      <c r="AD545" s="1333"/>
      <c r="AE545" s="1333"/>
      <c r="AF545" s="1333"/>
      <c r="AG545" s="1333"/>
      <c r="AH545" s="1333"/>
      <c r="AI545" s="1333"/>
      <c r="AJ545" s="1333"/>
    </row>
    <row r="546" spans="1:50" ht="18.75" hidden="1" x14ac:dyDescent="0.25">
      <c r="A546" s="2318"/>
      <c r="B546" s="125"/>
      <c r="C546" s="945"/>
      <c r="D546" s="29" t="str">
        <f>IF('C-Design&amp;Const'!$Q546="","",'C-Design&amp;Const'!$Q546)</f>
        <v>N</v>
      </c>
      <c r="E546" s="31"/>
      <c r="F546" s="178"/>
      <c r="G546" s="550" t="str">
        <f>IF('C-Design&amp;Const'!Y546="","",'C-Design&amp;Const'!Y546)</f>
        <v>31.</v>
      </c>
      <c r="H546" s="555" t="str">
        <f>CONCATENATE('C-Design&amp;Const'!Z546,IF(D546="N"," Not Used In This Construction Phase",J546))</f>
        <v>LEED Certification / Documentation Not Used In This Construction Phase</v>
      </c>
      <c r="I546" s="146"/>
      <c r="L546" s="1410" t="str">
        <f t="shared" si="27"/>
        <v/>
      </c>
      <c r="M546" s="1333"/>
      <c r="N546" s="1333"/>
      <c r="O546" s="1333"/>
      <c r="P546" s="1333"/>
      <c r="Q546" s="1333"/>
      <c r="R546" s="1453"/>
      <c r="S546" s="1364"/>
      <c r="T546" s="1284"/>
      <c r="U546" s="1333"/>
      <c r="V546" s="1333"/>
      <c r="W546" s="1333"/>
      <c r="X546" s="1333"/>
      <c r="Y546" s="1333"/>
      <c r="Z546" s="1333"/>
      <c r="AA546" s="1333"/>
      <c r="AB546" s="1333"/>
      <c r="AC546" s="1333"/>
      <c r="AD546" s="1333"/>
      <c r="AE546" s="1333"/>
      <c r="AF546" s="1333"/>
      <c r="AG546" s="1333"/>
      <c r="AH546" s="1333"/>
      <c r="AI546" s="1333"/>
      <c r="AJ546" s="1333"/>
    </row>
    <row r="547" spans="1:50" s="181" customFormat="1" ht="15" hidden="1" customHeight="1" x14ac:dyDescent="0.25">
      <c r="A547" s="2318"/>
      <c r="B547" s="177"/>
      <c r="C547" s="945"/>
      <c r="D547" s="21"/>
      <c r="E547" s="29" t="str">
        <f>IF('C-Design&amp;Const'!$Q547="","",'C-Design&amp;Const'!$Q547)</f>
        <v>N</v>
      </c>
      <c r="F547" s="22"/>
      <c r="G547" s="567"/>
      <c r="H547" s="562" t="str">
        <f>CONCATENATE(IF(ISNUMBER(SEARCH("Placeholder",'C-Design&amp;Const'!Z547))=TRUE,"",IF(E547="N","PLACEHOLDER ROW - ","")),'C-Design&amp;Const'!Z547,IF(E547="N","",J547))</f>
        <v>PLACEHOLDER ROW - Supplemental - US Green Buildings Council Building Certification</v>
      </c>
      <c r="I547" s="146"/>
      <c r="L547" s="1410" t="str">
        <f t="shared" si="27"/>
        <v>&lt;---PM/Planner may hide PLACEHOLDER ROW</v>
      </c>
      <c r="M547" s="1382"/>
      <c r="N547" s="1382"/>
      <c r="O547" s="1382"/>
      <c r="P547" s="1382"/>
      <c r="Q547" s="1382"/>
      <c r="R547" s="1447"/>
      <c r="S547" s="1448"/>
      <c r="T547" s="1274"/>
      <c r="U547" s="1382"/>
      <c r="V547" s="1382"/>
      <c r="W547" s="1382"/>
      <c r="X547" s="1382"/>
      <c r="Y547" s="1382"/>
      <c r="Z547" s="1382"/>
      <c r="AA547" s="1382"/>
      <c r="AB547" s="1382"/>
      <c r="AC547" s="1382"/>
      <c r="AD547" s="1382"/>
      <c r="AE547" s="1382"/>
      <c r="AF547" s="1382"/>
      <c r="AG547" s="1382"/>
      <c r="AH547" s="1382"/>
      <c r="AI547" s="1382"/>
      <c r="AJ547" s="1382"/>
      <c r="AX547" s="30"/>
    </row>
    <row r="548" spans="1:50" s="551" customFormat="1" ht="15" hidden="1" customHeight="1" x14ac:dyDescent="0.25">
      <c r="A548" s="2318"/>
      <c r="B548" s="549"/>
      <c r="C548" s="945"/>
      <c r="D548" s="547"/>
      <c r="E548" s="29" t="str">
        <f>IF('C-Design&amp;Const'!$Q548="","",'C-Design&amp;Const'!$Q548)</f>
        <v>N</v>
      </c>
      <c r="F548" s="322"/>
      <c r="G548" s="567"/>
      <c r="H548" s="546" t="str">
        <f>CONCATENATE(IF(ISNUMBER(SEARCH("Placeholder",'C-Design&amp;Const'!Z548))=TRUE,"",IF(E548="N","PLACEHOLDER ROW - ","")),'C-Design&amp;Const'!Z548,IF(E548="N","",J548))</f>
        <v>PLACEHOLDER ROW - OPTIONAL CLIENT CUSTOM ITEM</v>
      </c>
      <c r="I548" s="146"/>
      <c r="L548" s="1410" t="str">
        <f t="shared" ref="L548:L549" si="28">CONCATENATE(IF(ISNUMBER(SEARCH("Placeholder",H548))=TRUE,"&lt;---PM/Planner may hide PLACEHOLDER ROW",""))</f>
        <v>&lt;---PM/Planner may hide PLACEHOLDER ROW</v>
      </c>
      <c r="M548" s="1382"/>
      <c r="N548" s="1382"/>
      <c r="O548" s="1382"/>
      <c r="P548" s="1382"/>
      <c r="Q548" s="1382"/>
      <c r="R548" s="1447"/>
      <c r="S548" s="1448"/>
      <c r="T548" s="1274"/>
      <c r="U548" s="1382"/>
      <c r="V548" s="1382"/>
      <c r="W548" s="1382"/>
      <c r="X548" s="1382"/>
      <c r="Y548" s="1382"/>
      <c r="Z548" s="1382"/>
      <c r="AA548" s="1382"/>
      <c r="AB548" s="1382"/>
      <c r="AC548" s="1382"/>
      <c r="AD548" s="1382"/>
      <c r="AE548" s="1382"/>
      <c r="AF548" s="1382"/>
      <c r="AG548" s="1382"/>
      <c r="AH548" s="1382"/>
      <c r="AI548" s="1382"/>
      <c r="AJ548" s="1382"/>
      <c r="AX548" s="545"/>
    </row>
    <row r="549" spans="1:50" s="551" customFormat="1" ht="15" hidden="1" customHeight="1" x14ac:dyDescent="0.25">
      <c r="A549" s="2318"/>
      <c r="B549" s="549"/>
      <c r="C549" s="945"/>
      <c r="D549" s="547"/>
      <c r="E549" s="29" t="str">
        <f>IF('C-Design&amp;Const'!$Q549="","",'C-Design&amp;Const'!$Q549)</f>
        <v>N</v>
      </c>
      <c r="F549" s="322"/>
      <c r="G549" s="567"/>
      <c r="H549" s="546" t="str">
        <f>CONCATENATE(IF(ISNUMBER(SEARCH("Placeholder",'C-Design&amp;Const'!Z549))=TRUE,"",IF(E549="N","PLACEHOLDER ROW - ","")),'C-Design&amp;Const'!Z549,IF(E549="N","",J549))</f>
        <v>PLACEHOLDER ROW - OPTIONAL CLIENT CUSTOM ITEM</v>
      </c>
      <c r="I549" s="146"/>
      <c r="L549" s="1410" t="str">
        <f t="shared" si="28"/>
        <v>&lt;---PM/Planner may hide PLACEHOLDER ROW</v>
      </c>
      <c r="M549" s="1382"/>
      <c r="N549" s="1382"/>
      <c r="O549" s="1382"/>
      <c r="P549" s="1382"/>
      <c r="Q549" s="1382"/>
      <c r="R549" s="1447"/>
      <c r="S549" s="1448"/>
      <c r="T549" s="1274"/>
      <c r="U549" s="1382"/>
      <c r="V549" s="1382"/>
      <c r="W549" s="1382"/>
      <c r="X549" s="1382"/>
      <c r="Y549" s="1382"/>
      <c r="Z549" s="1382"/>
      <c r="AA549" s="1382"/>
      <c r="AB549" s="1382"/>
      <c r="AC549" s="1382"/>
      <c r="AD549" s="1382"/>
      <c r="AE549" s="1382"/>
      <c r="AF549" s="1382"/>
      <c r="AG549" s="1382"/>
      <c r="AH549" s="1382"/>
      <c r="AI549" s="1382"/>
      <c r="AJ549" s="1382"/>
      <c r="AX549" s="545"/>
    </row>
    <row r="550" spans="1:50" ht="15.75" hidden="1" x14ac:dyDescent="0.25">
      <c r="A550" s="2318"/>
      <c r="B550" s="125"/>
      <c r="C550" s="921"/>
      <c r="D550" s="258"/>
      <c r="E550" s="21"/>
      <c r="F550" s="21"/>
      <c r="G550" s="565"/>
      <c r="H550" s="576"/>
      <c r="I550" s="146"/>
      <c r="L550" s="1410" t="str">
        <f t="shared" si="27"/>
        <v/>
      </c>
      <c r="M550" s="1333"/>
      <c r="N550" s="1333"/>
      <c r="O550" s="1333"/>
      <c r="P550" s="1333"/>
      <c r="Q550" s="1333"/>
      <c r="R550" s="1453"/>
      <c r="S550" s="1364"/>
      <c r="T550" s="1284"/>
      <c r="U550" s="1333"/>
      <c r="V550" s="1333"/>
      <c r="W550" s="1333"/>
      <c r="X550" s="1333"/>
      <c r="Y550" s="1333"/>
      <c r="Z550" s="1333"/>
      <c r="AA550" s="1333"/>
      <c r="AB550" s="1333"/>
      <c r="AC550" s="1333"/>
      <c r="AD550" s="1333"/>
      <c r="AE550" s="1333"/>
      <c r="AF550" s="1333"/>
      <c r="AG550" s="1333"/>
      <c r="AH550" s="1333"/>
      <c r="AI550" s="1333"/>
      <c r="AJ550" s="1333"/>
    </row>
    <row r="551" spans="1:50" ht="37.5" hidden="1" x14ac:dyDescent="0.25">
      <c r="A551" s="2318"/>
      <c r="B551" s="125"/>
      <c r="C551" s="945"/>
      <c r="D551" s="29" t="str">
        <f>IF('C-Design&amp;Const'!$Q551="","",'C-Design&amp;Const'!$Q551)</f>
        <v>N</v>
      </c>
      <c r="E551" s="247"/>
      <c r="F551" s="248"/>
      <c r="G551" s="550" t="str">
        <f>IF('C-Design&amp;Const'!Y551="","",'C-Design&amp;Const'!Y551)</f>
        <v>32.</v>
      </c>
      <c r="H551" s="555" t="str">
        <f>CONCATENATE('C-Design&amp;Const'!Z551,IF(D551="N"," Not Used In This Construction Phase",J551))</f>
        <v>Final Approved Contractor Submittals with Log Not Used In This Construction Phase</v>
      </c>
      <c r="I551" s="146"/>
      <c r="L551" s="1410" t="str">
        <f t="shared" si="27"/>
        <v/>
      </c>
      <c r="M551" s="1333"/>
      <c r="N551" s="1333"/>
      <c r="O551" s="1333"/>
      <c r="P551" s="1333"/>
      <c r="Q551" s="1333"/>
      <c r="R551" s="1453"/>
      <c r="S551" s="1364"/>
      <c r="T551" s="1284"/>
      <c r="U551" s="1333"/>
      <c r="V551" s="1333"/>
      <c r="W551" s="1333"/>
      <c r="X551" s="1333"/>
      <c r="Y551" s="1333"/>
      <c r="Z551" s="1333"/>
      <c r="AA551" s="1333"/>
      <c r="AB551" s="1333"/>
      <c r="AC551" s="1333"/>
      <c r="AD551" s="1333"/>
      <c r="AE551" s="1333"/>
      <c r="AF551" s="1333"/>
      <c r="AG551" s="1333"/>
      <c r="AH551" s="1333"/>
      <c r="AI551" s="1333"/>
      <c r="AJ551" s="1333"/>
    </row>
    <row r="552" spans="1:50" hidden="1" x14ac:dyDescent="0.25">
      <c r="A552" s="2318"/>
      <c r="B552" s="125"/>
      <c r="C552" s="921"/>
      <c r="D552" s="265"/>
      <c r="E552" s="152"/>
      <c r="F552" s="152"/>
      <c r="G552" s="565"/>
      <c r="H552" s="575"/>
      <c r="I552" s="146"/>
      <c r="L552" s="1410" t="str">
        <f t="shared" si="27"/>
        <v/>
      </c>
      <c r="M552" s="1333"/>
      <c r="N552" s="1333"/>
      <c r="O552" s="1333"/>
      <c r="P552" s="1333"/>
      <c r="Q552" s="1333"/>
      <c r="R552" s="1453"/>
      <c r="S552" s="1364"/>
      <c r="T552" s="1284"/>
      <c r="U552" s="1333"/>
      <c r="V552" s="1333"/>
      <c r="W552" s="1333"/>
      <c r="X552" s="1333"/>
      <c r="Y552" s="1333"/>
      <c r="Z552" s="1333"/>
      <c r="AA552" s="1333"/>
      <c r="AB552" s="1333"/>
      <c r="AC552" s="1333"/>
      <c r="AD552" s="1333"/>
      <c r="AE552" s="1333"/>
      <c r="AF552" s="1333"/>
      <c r="AG552" s="1333"/>
      <c r="AH552" s="1333"/>
      <c r="AI552" s="1333"/>
      <c r="AJ552" s="1333"/>
    </row>
    <row r="553" spans="1:50" ht="37.5" hidden="1" x14ac:dyDescent="0.25">
      <c r="A553" s="2318"/>
      <c r="B553" s="125"/>
      <c r="C553" s="945"/>
      <c r="D553" s="29" t="str">
        <f>IF('C-Design&amp;Const'!$Q553="","",'C-Design&amp;Const'!$Q553)</f>
        <v>N</v>
      </c>
      <c r="E553" s="247"/>
      <c r="F553" s="248"/>
      <c r="G553" s="550" t="str">
        <f>IF('C-Design&amp;Const'!Y553="","",'C-Design&amp;Const'!Y553)</f>
        <v>33.</v>
      </c>
      <c r="H553" s="555" t="str">
        <f>CONCATENATE('C-Design&amp;Const'!Z553,IF(D553="N"," Not Used In This Construction Phase",J553))</f>
        <v>Contractor As-Built Drawings and As-Built Project Manual Not Used In This Construction Phase</v>
      </c>
      <c r="I553" s="146"/>
      <c r="L553" s="1410" t="str">
        <f t="shared" si="27"/>
        <v/>
      </c>
      <c r="M553" s="1333"/>
      <c r="N553" s="1333"/>
      <c r="O553" s="1333"/>
      <c r="P553" s="1333"/>
      <c r="Q553" s="1333"/>
      <c r="R553" s="1453"/>
      <c r="S553" s="1364"/>
      <c r="T553" s="1284"/>
      <c r="U553" s="1333"/>
      <c r="V553" s="1333"/>
      <c r="W553" s="1333"/>
      <c r="X553" s="1333"/>
      <c r="Y553" s="1333"/>
      <c r="Z553" s="1333"/>
      <c r="AA553" s="1333"/>
      <c r="AB553" s="1333"/>
      <c r="AC553" s="1333"/>
      <c r="AD553" s="1333"/>
      <c r="AE553" s="1333"/>
      <c r="AF553" s="1333"/>
      <c r="AG553" s="1333"/>
      <c r="AH553" s="1333"/>
      <c r="AI553" s="1333"/>
      <c r="AJ553" s="1333"/>
    </row>
    <row r="554" spans="1:50" hidden="1" x14ac:dyDescent="0.25">
      <c r="A554" s="2319"/>
      <c r="B554" s="125"/>
      <c r="C554" s="921"/>
      <c r="D554" s="265"/>
      <c r="E554" s="152"/>
      <c r="F554" s="152"/>
      <c r="G554" s="565"/>
      <c r="H554" s="575"/>
      <c r="I554" s="146"/>
      <c r="L554" s="1410" t="str">
        <f t="shared" si="27"/>
        <v/>
      </c>
      <c r="M554" s="1333"/>
      <c r="N554" s="1333"/>
      <c r="O554" s="1333"/>
      <c r="P554" s="1333"/>
      <c r="Q554" s="1333"/>
      <c r="R554" s="1453"/>
      <c r="S554" s="1364"/>
      <c r="T554" s="1284"/>
      <c r="U554" s="1333"/>
      <c r="V554" s="1333"/>
      <c r="W554" s="1333"/>
      <c r="X554" s="1333"/>
      <c r="Y554" s="1333"/>
      <c r="Z554" s="1333"/>
      <c r="AA554" s="1333"/>
      <c r="AB554" s="1333"/>
      <c r="AC554" s="1333"/>
      <c r="AD554" s="1333"/>
      <c r="AE554" s="1333"/>
      <c r="AF554" s="1333"/>
      <c r="AG554" s="1333"/>
      <c r="AH554" s="1333"/>
      <c r="AI554" s="1333"/>
      <c r="AJ554" s="1333"/>
    </row>
    <row r="555" spans="1:50" ht="21" hidden="1" x14ac:dyDescent="0.25">
      <c r="A555" s="2317" t="s">
        <v>266</v>
      </c>
      <c r="B555" s="125"/>
      <c r="C555" s="954"/>
      <c r="D555" s="308" t="s">
        <v>147</v>
      </c>
      <c r="E555" s="309"/>
      <c r="F555" s="309"/>
      <c r="G555" s="849"/>
      <c r="H555" s="850"/>
      <c r="I555" s="146"/>
      <c r="L555" s="1410" t="str">
        <f t="shared" si="27"/>
        <v/>
      </c>
      <c r="M555" s="1333"/>
      <c r="N555" s="1333"/>
      <c r="O555" s="1333"/>
      <c r="P555" s="1333"/>
      <c r="Q555" s="1333"/>
      <c r="R555" s="1453"/>
      <c r="S555" s="1364"/>
      <c r="T555" s="1284"/>
      <c r="U555" s="1333"/>
      <c r="V555" s="1333"/>
      <c r="W555" s="1333"/>
      <c r="X555" s="1333"/>
      <c r="Y555" s="1333"/>
      <c r="Z555" s="1333"/>
      <c r="AA555" s="1333"/>
      <c r="AB555" s="1333"/>
      <c r="AC555" s="1333"/>
      <c r="AD555" s="1333"/>
      <c r="AE555" s="1333"/>
      <c r="AF555" s="1333"/>
      <c r="AG555" s="1333"/>
      <c r="AH555" s="1333"/>
      <c r="AI555" s="1333"/>
      <c r="AJ555" s="1333"/>
    </row>
    <row r="556" spans="1:50" ht="15.75" hidden="1" x14ac:dyDescent="0.25">
      <c r="A556" s="2318"/>
      <c r="B556" s="125"/>
      <c r="C556" s="921"/>
      <c r="D556" s="258"/>
      <c r="E556" s="21"/>
      <c r="F556" s="21"/>
      <c r="G556" s="565"/>
      <c r="H556" s="576"/>
      <c r="I556" s="146"/>
      <c r="L556" s="1410" t="str">
        <f t="shared" si="27"/>
        <v/>
      </c>
      <c r="M556" s="1333"/>
      <c r="N556" s="1333"/>
      <c r="O556" s="1333"/>
      <c r="P556" s="1333"/>
      <c r="Q556" s="1333"/>
      <c r="R556" s="1453"/>
      <c r="S556" s="1364"/>
      <c r="T556" s="1284"/>
      <c r="U556" s="1333"/>
      <c r="V556" s="1333"/>
      <c r="W556" s="1333"/>
      <c r="X556" s="1333"/>
      <c r="Y556" s="1333"/>
      <c r="Z556" s="1333"/>
      <c r="AA556" s="1333"/>
      <c r="AB556" s="1333"/>
      <c r="AC556" s="1333"/>
      <c r="AD556" s="1333"/>
      <c r="AE556" s="1333"/>
      <c r="AF556" s="1333"/>
      <c r="AG556" s="1333"/>
      <c r="AH556" s="1333"/>
      <c r="AI556" s="1333"/>
      <c r="AJ556" s="1333"/>
    </row>
    <row r="557" spans="1:50" ht="18.75" hidden="1" x14ac:dyDescent="0.25">
      <c r="A557" s="2318"/>
      <c r="B557" s="125"/>
      <c r="C557" s="945"/>
      <c r="D557" s="29" t="str">
        <f>IF('C-Design&amp;Const'!$Q557="","",'C-Design&amp;Const'!$Q557)</f>
        <v>N</v>
      </c>
      <c r="E557" s="31"/>
      <c r="F557" s="210"/>
      <c r="G557" s="550" t="str">
        <f>IF('C-Design&amp;Const'!Y557="","",'C-Design&amp;Const'!Y557)</f>
        <v>40.</v>
      </c>
      <c r="H557" s="555" t="str">
        <f>CONCATENATE('C-Design&amp;Const'!Z557,IF(D557="N"," Not Used In This Construction Phase",J557))</f>
        <v>Post Construction Activities Log Not Used In This Construction Phase</v>
      </c>
      <c r="I557" s="146"/>
      <c r="L557" s="1410" t="str">
        <f t="shared" si="27"/>
        <v/>
      </c>
      <c r="M557" s="1333"/>
      <c r="N557" s="1333"/>
      <c r="O557" s="1333"/>
      <c r="P557" s="1333"/>
      <c r="Q557" s="1333"/>
      <c r="R557" s="1453"/>
      <c r="S557" s="1364"/>
      <c r="T557" s="1284"/>
      <c r="U557" s="1333"/>
      <c r="V557" s="1333"/>
      <c r="W557" s="1333"/>
      <c r="X557" s="1333"/>
      <c r="Y557" s="1333"/>
      <c r="Z557" s="1333"/>
      <c r="AA557" s="1333"/>
      <c r="AB557" s="1333"/>
      <c r="AC557" s="1333"/>
      <c r="AD557" s="1333"/>
      <c r="AE557" s="1333"/>
      <c r="AF557" s="1333"/>
      <c r="AG557" s="1333"/>
      <c r="AH557" s="1333"/>
      <c r="AI557" s="1333"/>
      <c r="AJ557" s="1333"/>
    </row>
    <row r="558" spans="1:50" ht="15.75" hidden="1" x14ac:dyDescent="0.25">
      <c r="A558" s="2318"/>
      <c r="B558" s="125"/>
      <c r="C558" s="921"/>
      <c r="D558" s="258"/>
      <c r="E558" s="21"/>
      <c r="F558" s="297"/>
      <c r="G558" s="565"/>
      <c r="H558" s="576"/>
      <c r="I558" s="146"/>
      <c r="L558" s="1410" t="str">
        <f t="shared" si="27"/>
        <v/>
      </c>
      <c r="M558" s="1333"/>
      <c r="N558" s="1333"/>
      <c r="O558" s="1333"/>
      <c r="P558" s="1333"/>
      <c r="Q558" s="1333"/>
      <c r="R558" s="1453"/>
      <c r="S558" s="1364"/>
      <c r="T558" s="1284"/>
      <c r="U558" s="1333"/>
      <c r="V558" s="1333"/>
      <c r="W558" s="1333"/>
      <c r="X558" s="1333"/>
      <c r="Y558" s="1333"/>
      <c r="Z558" s="1333"/>
      <c r="AA558" s="1333"/>
      <c r="AB558" s="1333"/>
      <c r="AC558" s="1333"/>
      <c r="AD558" s="1333"/>
      <c r="AE558" s="1333"/>
      <c r="AF558" s="1333"/>
      <c r="AG558" s="1333"/>
      <c r="AH558" s="1333"/>
      <c r="AI558" s="1333"/>
      <c r="AJ558" s="1333"/>
    </row>
    <row r="559" spans="1:50" ht="37.5" hidden="1" x14ac:dyDescent="0.25">
      <c r="A559" s="2318"/>
      <c r="B559" s="125"/>
      <c r="C559" s="945"/>
      <c r="D559" s="29" t="str">
        <f>IF('C-Design&amp;Const'!$Q559="","",'C-Design&amp;Const'!$Q559)</f>
        <v>N</v>
      </c>
      <c r="E559" s="31"/>
      <c r="F559" s="210"/>
      <c r="G559" s="550" t="str">
        <f>IF('C-Design&amp;Const'!Y559="","",'C-Design&amp;Const'!Y559)</f>
        <v>41.</v>
      </c>
      <c r="H559" s="555" t="str">
        <f>CONCATENATE('C-Design&amp;Const'!Z559,IF(D559="N"," Not Used In This Construction Phase",J559))</f>
        <v>Log of Equipment with Settings Different than Manufacturer's Recommendations Not Used In This Construction Phase</v>
      </c>
      <c r="I559" s="146"/>
      <c r="L559" s="1410" t="str">
        <f t="shared" si="27"/>
        <v/>
      </c>
      <c r="M559" s="1333"/>
      <c r="N559" s="1333"/>
      <c r="O559" s="1333"/>
      <c r="P559" s="1333"/>
      <c r="Q559" s="1333"/>
      <c r="R559" s="1453"/>
      <c r="S559" s="1364"/>
      <c r="T559" s="1284"/>
      <c r="U559" s="1333"/>
      <c r="V559" s="1333"/>
      <c r="W559" s="1333"/>
      <c r="X559" s="1333"/>
      <c r="Y559" s="1333"/>
      <c r="Z559" s="1333"/>
      <c r="AA559" s="1333"/>
      <c r="AB559" s="1333"/>
      <c r="AC559" s="1333"/>
      <c r="AD559" s="1333"/>
      <c r="AE559" s="1333"/>
      <c r="AF559" s="1333"/>
      <c r="AG559" s="1333"/>
      <c r="AH559" s="1333"/>
      <c r="AI559" s="1333"/>
      <c r="AJ559" s="1333"/>
    </row>
    <row r="560" spans="1:50" hidden="1" x14ac:dyDescent="0.25">
      <c r="A560" s="2318"/>
      <c r="B560" s="125"/>
      <c r="C560" s="921"/>
      <c r="D560" s="21"/>
      <c r="E560" s="21"/>
      <c r="F560" s="297"/>
      <c r="G560" s="565"/>
      <c r="H560" s="566"/>
      <c r="I560" s="146"/>
      <c r="L560" s="1410" t="str">
        <f t="shared" si="27"/>
        <v/>
      </c>
      <c r="M560" s="1333"/>
      <c r="N560" s="1333"/>
      <c r="O560" s="1333"/>
      <c r="P560" s="1333"/>
      <c r="Q560" s="1333"/>
      <c r="R560" s="1453"/>
      <c r="S560" s="1364"/>
      <c r="T560" s="1284"/>
      <c r="U560" s="1333"/>
      <c r="V560" s="1333"/>
      <c r="W560" s="1333"/>
      <c r="X560" s="1333"/>
      <c r="Y560" s="1333"/>
      <c r="Z560" s="1333"/>
      <c r="AA560" s="1333"/>
      <c r="AB560" s="1333"/>
      <c r="AC560" s="1333"/>
      <c r="AD560" s="1333"/>
      <c r="AE560" s="1333"/>
      <c r="AF560" s="1333"/>
      <c r="AG560" s="1333"/>
      <c r="AH560" s="1333"/>
      <c r="AI560" s="1333"/>
      <c r="AJ560" s="1333"/>
    </row>
    <row r="561" spans="1:51" ht="18.75" hidden="1" x14ac:dyDescent="0.25">
      <c r="A561" s="2318"/>
      <c r="B561" s="125"/>
      <c r="C561" s="945"/>
      <c r="D561" s="29" t="str">
        <f>IF('C-Design&amp;Const'!$Q561="","",'C-Design&amp;Const'!$Q561)</f>
        <v>N</v>
      </c>
      <c r="E561" s="31"/>
      <c r="F561" s="210"/>
      <c r="G561" s="550" t="str">
        <f>IF('C-Design&amp;Const'!Y561="","",'C-Design&amp;Const'!Y561)</f>
        <v>42.</v>
      </c>
      <c r="H561" s="555" t="str">
        <f>CONCATENATE('C-Design&amp;Const'!Z561,IF(D561="N"," Not Used In This Construction Phase",J561))</f>
        <v>Post Construction Report Not Used In This Construction Phase</v>
      </c>
      <c r="I561" s="146"/>
      <c r="L561" s="1410" t="str">
        <f t="shared" si="27"/>
        <v/>
      </c>
      <c r="M561" s="1333"/>
      <c r="N561" s="1333"/>
      <c r="O561" s="1333"/>
      <c r="P561" s="1333"/>
      <c r="Q561" s="1333"/>
      <c r="R561" s="1453"/>
      <c r="S561" s="1364"/>
      <c r="T561" s="1284"/>
      <c r="U561" s="1333"/>
      <c r="V561" s="1333"/>
      <c r="W561" s="1333"/>
      <c r="X561" s="1333"/>
      <c r="Y561" s="1333"/>
      <c r="Z561" s="1333"/>
      <c r="AA561" s="1333"/>
      <c r="AB561" s="1333"/>
      <c r="AC561" s="1333"/>
      <c r="AD561" s="1333"/>
      <c r="AE561" s="1333"/>
      <c r="AF561" s="1333"/>
      <c r="AG561" s="1333"/>
      <c r="AH561" s="1333"/>
      <c r="AI561" s="1333"/>
      <c r="AJ561" s="1333"/>
    </row>
    <row r="562" spans="1:51" ht="15.75" hidden="1" x14ac:dyDescent="0.25">
      <c r="A562" s="2318"/>
      <c r="B562" s="125"/>
      <c r="C562" s="921"/>
      <c r="D562" s="258"/>
      <c r="E562" s="21"/>
      <c r="F562" s="297"/>
      <c r="G562" s="565"/>
      <c r="H562" s="576"/>
      <c r="I562" s="146"/>
      <c r="L562" s="1410" t="str">
        <f t="shared" si="27"/>
        <v/>
      </c>
      <c r="M562" s="1333"/>
      <c r="N562" s="1333"/>
      <c r="O562" s="1333"/>
      <c r="P562" s="1333"/>
      <c r="Q562" s="1333"/>
      <c r="R562" s="1453"/>
      <c r="S562" s="1364"/>
      <c r="T562" s="1284"/>
      <c r="U562" s="1333"/>
      <c r="V562" s="1333"/>
      <c r="W562" s="1333"/>
      <c r="X562" s="1333"/>
      <c r="Y562" s="1333"/>
      <c r="Z562" s="1333"/>
      <c r="AA562" s="1333"/>
      <c r="AB562" s="1333"/>
      <c r="AC562" s="1333"/>
      <c r="AD562" s="1333"/>
      <c r="AE562" s="1333"/>
      <c r="AF562" s="1333"/>
      <c r="AG562" s="1333"/>
      <c r="AH562" s="1333"/>
      <c r="AI562" s="1333"/>
      <c r="AJ562" s="1333"/>
    </row>
    <row r="563" spans="1:51" ht="18.75" hidden="1" x14ac:dyDescent="0.25">
      <c r="A563" s="2318"/>
      <c r="B563" s="125"/>
      <c r="C563" s="945"/>
      <c r="D563" s="29" t="str">
        <f>IF('C-Design&amp;Const'!$Q563="","",'C-Design&amp;Const'!$Q563)</f>
        <v>N</v>
      </c>
      <c r="E563" s="31"/>
      <c r="F563" s="210"/>
      <c r="G563" s="550" t="str">
        <f>IF('C-Design&amp;Const'!Y563="","",'C-Design&amp;Const'!Y563)</f>
        <v>43.</v>
      </c>
      <c r="H563" s="555" t="str">
        <f>CONCATENATE('C-Design&amp;Const'!Z563,IF(D563="N"," Not Used In This Construction Phase",J563))</f>
        <v>Final Completion Certification Not Used In This Construction Phase</v>
      </c>
      <c r="I563" s="146"/>
      <c r="L563" s="1410" t="str">
        <f t="shared" si="27"/>
        <v/>
      </c>
      <c r="M563" s="1333"/>
      <c r="N563" s="1333"/>
      <c r="O563" s="1333"/>
      <c r="P563" s="1333"/>
      <c r="Q563" s="1333"/>
      <c r="R563" s="1453"/>
      <c r="S563" s="1364"/>
      <c r="T563" s="1284"/>
      <c r="U563" s="1333"/>
      <c r="V563" s="1333"/>
      <c r="W563" s="1333"/>
      <c r="X563" s="1333"/>
      <c r="Y563" s="1333"/>
      <c r="Z563" s="1333"/>
      <c r="AA563" s="1333"/>
      <c r="AB563" s="1333"/>
      <c r="AC563" s="1333"/>
      <c r="AD563" s="1333"/>
      <c r="AE563" s="1333"/>
      <c r="AF563" s="1333"/>
      <c r="AG563" s="1333"/>
      <c r="AH563" s="1333"/>
      <c r="AI563" s="1333"/>
      <c r="AJ563" s="1333"/>
    </row>
    <row r="564" spans="1:51" ht="18.75" hidden="1" x14ac:dyDescent="0.25">
      <c r="A564" s="2319"/>
      <c r="B564" s="125"/>
      <c r="C564" s="921"/>
      <c r="D564" s="346"/>
      <c r="E564" s="178"/>
      <c r="F564" s="248"/>
      <c r="G564" s="550"/>
      <c r="H564" s="555"/>
      <c r="I564" s="146"/>
      <c r="L564" s="1410" t="str">
        <f t="shared" si="27"/>
        <v/>
      </c>
      <c r="M564" s="1333"/>
      <c r="N564" s="1333"/>
      <c r="O564" s="1333"/>
      <c r="P564" s="1333"/>
      <c r="Q564" s="1333"/>
      <c r="R564" s="1453"/>
      <c r="S564" s="1364"/>
      <c r="T564" s="1284"/>
      <c r="U564" s="1333"/>
      <c r="V564" s="1333"/>
      <c r="W564" s="1333"/>
      <c r="X564" s="1333"/>
      <c r="Y564" s="1333"/>
      <c r="Z564" s="1333"/>
      <c r="AA564" s="1333"/>
      <c r="AB564" s="1333"/>
      <c r="AC564" s="1333"/>
      <c r="AD564" s="1333"/>
      <c r="AE564" s="1333"/>
      <c r="AF564" s="1333"/>
      <c r="AG564" s="1333"/>
      <c r="AH564" s="1333"/>
      <c r="AI564" s="1333"/>
      <c r="AJ564" s="1333"/>
    </row>
    <row r="565" spans="1:51" s="30" customFormat="1" ht="18.75" x14ac:dyDescent="0.25">
      <c r="A565" s="1407"/>
      <c r="B565" s="1273"/>
      <c r="C565" s="1547"/>
      <c r="D565" s="1364"/>
      <c r="E565" s="1364"/>
      <c r="F565" s="1364"/>
      <c r="G565" s="1548"/>
      <c r="H565" s="1549"/>
      <c r="I565" s="1469"/>
      <c r="J565" s="1382"/>
      <c r="K565" s="1470"/>
      <c r="L565" s="1410" t="str">
        <f t="shared" si="27"/>
        <v/>
      </c>
      <c r="M565" s="1382"/>
      <c r="N565" s="1382"/>
      <c r="O565" s="1382"/>
      <c r="P565" s="1382"/>
      <c r="Q565" s="1382"/>
      <c r="R565" s="1382"/>
      <c r="S565" s="1382"/>
      <c r="T565" s="1382"/>
      <c r="U565" s="1382"/>
      <c r="V565" s="1382"/>
      <c r="W565" s="1382"/>
      <c r="X565" s="1382"/>
      <c r="Y565" s="1382"/>
      <c r="Z565" s="1382"/>
      <c r="AA565" s="1382"/>
      <c r="AB565" s="1382"/>
      <c r="AC565" s="1382"/>
      <c r="AD565" s="1382"/>
      <c r="AE565" s="1382"/>
      <c r="AF565" s="1382"/>
      <c r="AG565" s="1382"/>
      <c r="AH565" s="1382"/>
      <c r="AI565" s="1382"/>
      <c r="AJ565" s="1382"/>
      <c r="AK565" s="181"/>
      <c r="AL565" s="181"/>
      <c r="AM565" s="181"/>
      <c r="AN565" s="181"/>
      <c r="AO565" s="181"/>
      <c r="AP565" s="181"/>
      <c r="AQ565" s="181"/>
      <c r="AR565" s="181"/>
      <c r="AS565" s="181"/>
      <c r="AT565" s="181"/>
      <c r="AU565" s="181"/>
      <c r="AV565" s="181"/>
      <c r="AW565" s="181"/>
    </row>
    <row r="566" spans="1:51" s="30" customFormat="1" ht="15" customHeight="1" x14ac:dyDescent="0.25">
      <c r="A566" s="1407"/>
      <c r="B566" s="1273"/>
      <c r="C566" s="1284"/>
      <c r="D566" s="1364"/>
      <c r="E566" s="1364"/>
      <c r="F566" s="1364"/>
      <c r="G566" s="1548"/>
      <c r="H566" s="1549"/>
      <c r="I566" s="1469"/>
      <c r="J566" s="1382"/>
      <c r="K566" s="1470"/>
      <c r="L566" s="1471"/>
      <c r="M566" s="1382"/>
      <c r="N566" s="1382"/>
      <c r="O566" s="1382"/>
      <c r="P566" s="1382"/>
      <c r="Q566" s="1382"/>
      <c r="R566" s="1382"/>
      <c r="S566" s="1382"/>
      <c r="T566" s="1382"/>
      <c r="U566" s="1382"/>
      <c r="V566" s="1382"/>
      <c r="W566" s="1382"/>
      <c r="X566" s="1382"/>
      <c r="Y566" s="1382"/>
      <c r="Z566" s="1382"/>
      <c r="AA566" s="1382"/>
      <c r="AB566" s="1382"/>
      <c r="AC566" s="1382"/>
      <c r="AD566" s="1382"/>
      <c r="AE566" s="1382"/>
      <c r="AF566" s="1382"/>
      <c r="AG566" s="1382"/>
      <c r="AH566" s="1382"/>
      <c r="AI566" s="1382"/>
      <c r="AJ566" s="1382"/>
      <c r="AK566" s="181"/>
      <c r="AL566" s="181"/>
      <c r="AM566" s="181"/>
      <c r="AN566" s="181"/>
      <c r="AO566" s="181"/>
      <c r="AP566" s="181"/>
      <c r="AQ566" s="181"/>
      <c r="AR566" s="181"/>
      <c r="AS566" s="181"/>
      <c r="AT566" s="181"/>
      <c r="AU566" s="181"/>
      <c r="AV566" s="181"/>
      <c r="AW566" s="181"/>
    </row>
    <row r="567" spans="1:51" s="30" customFormat="1" ht="15" customHeight="1" x14ac:dyDescent="0.25">
      <c r="A567" s="1407"/>
      <c r="B567" s="1273"/>
      <c r="C567" s="1284"/>
      <c r="D567" s="1364"/>
      <c r="E567" s="1364"/>
      <c r="F567" s="1364"/>
      <c r="G567" s="1548"/>
      <c r="H567" s="1549"/>
      <c r="I567" s="1469"/>
      <c r="J567" s="1382"/>
      <c r="K567" s="1470"/>
      <c r="L567" s="1472"/>
      <c r="M567" s="1382"/>
      <c r="N567" s="1382"/>
      <c r="O567" s="1382"/>
      <c r="P567" s="1382"/>
      <c r="Q567" s="1382"/>
      <c r="R567" s="1382"/>
      <c r="S567" s="1382"/>
      <c r="T567" s="1382"/>
      <c r="U567" s="1382"/>
      <c r="V567" s="1382"/>
      <c r="W567" s="1382"/>
      <c r="X567" s="1382"/>
      <c r="Y567" s="1382"/>
      <c r="Z567" s="1382"/>
      <c r="AA567" s="1382"/>
      <c r="AB567" s="1382"/>
      <c r="AC567" s="1382"/>
      <c r="AD567" s="1382"/>
      <c r="AE567" s="1382"/>
      <c r="AF567" s="1382"/>
      <c r="AG567" s="1382"/>
      <c r="AH567" s="1382"/>
      <c r="AI567" s="1382"/>
      <c r="AJ567" s="1382"/>
      <c r="AK567" s="181"/>
      <c r="AL567" s="181"/>
      <c r="AM567" s="181"/>
      <c r="AN567" s="181"/>
      <c r="AO567" s="181"/>
      <c r="AP567" s="181"/>
      <c r="AQ567" s="181"/>
      <c r="AR567" s="181"/>
      <c r="AS567" s="181"/>
      <c r="AT567" s="181"/>
      <c r="AU567" s="181"/>
      <c r="AV567" s="181"/>
      <c r="AW567" s="181"/>
    </row>
    <row r="568" spans="1:51" ht="3.75" customHeight="1" x14ac:dyDescent="0.3">
      <c r="A568" s="1331"/>
      <c r="B568" s="1405"/>
      <c r="C568" s="1497"/>
      <c r="D568" s="1474"/>
      <c r="E568" s="1474"/>
      <c r="F568" s="1474"/>
      <c r="G568" s="1498"/>
      <c r="H568" s="1369"/>
      <c r="I568" s="1406"/>
      <c r="J568" s="1333"/>
      <c r="K568" s="1550"/>
      <c r="L568" s="1333"/>
      <c r="M568" s="1333"/>
      <c r="N568" s="1333"/>
      <c r="O568" s="1333"/>
      <c r="P568" s="1333"/>
      <c r="Q568" s="1333"/>
      <c r="R568" s="1453"/>
      <c r="S568" s="1364"/>
      <c r="T568" s="1284"/>
      <c r="U568" s="1333"/>
      <c r="V568" s="1333"/>
      <c r="W568" s="1333"/>
      <c r="X568" s="1333"/>
      <c r="Y568" s="1333"/>
      <c r="Z568" s="1333"/>
      <c r="AA568" s="1333"/>
      <c r="AB568" s="1333"/>
      <c r="AC568" s="1333"/>
      <c r="AD568" s="1333"/>
      <c r="AE568" s="1333"/>
      <c r="AF568" s="1333"/>
      <c r="AG568" s="1333"/>
      <c r="AH568" s="1333"/>
      <c r="AI568" s="1333"/>
      <c r="AJ568" s="1333"/>
    </row>
    <row r="569" spans="1:51" x14ac:dyDescent="0.25">
      <c r="A569" s="1370"/>
      <c r="B569" s="1285"/>
      <c r="C569" s="1284"/>
      <c r="D569" s="1364"/>
      <c r="E569" s="1364"/>
      <c r="F569" s="1364"/>
      <c r="G569" s="1499"/>
      <c r="H569" s="1333"/>
      <c r="I569" s="1467"/>
      <c r="J569" s="1374"/>
      <c r="K569" s="1374"/>
      <c r="L569" s="1374"/>
      <c r="M569" s="1374"/>
      <c r="N569" s="1374"/>
      <c r="O569" s="1333"/>
      <c r="P569" s="1333"/>
      <c r="Q569" s="1333"/>
      <c r="R569" s="1453"/>
      <c r="S569" s="1364"/>
      <c r="T569" s="1284"/>
      <c r="U569" s="1333"/>
      <c r="V569" s="1333"/>
      <c r="W569" s="1333"/>
      <c r="X569" s="1333"/>
      <c r="Y569" s="1333"/>
      <c r="Z569" s="1333"/>
      <c r="AA569" s="1333"/>
      <c r="AB569" s="1333"/>
      <c r="AC569" s="1333"/>
      <c r="AD569" s="1333"/>
      <c r="AE569" s="1333"/>
      <c r="AF569" s="1333"/>
      <c r="AG569" s="1333"/>
      <c r="AH569" s="1333"/>
      <c r="AI569" s="1333"/>
      <c r="AJ569" s="1333"/>
    </row>
    <row r="570" spans="1:51" x14ac:dyDescent="0.25">
      <c r="A570" s="1342"/>
      <c r="B570" s="1285"/>
      <c r="C570" s="1284"/>
      <c r="D570" s="1364"/>
      <c r="E570" s="1364"/>
      <c r="F570" s="1364"/>
      <c r="G570" s="1499"/>
      <c r="H570" s="1333"/>
      <c r="I570" s="1467"/>
      <c r="J570" s="1351"/>
      <c r="K570" s="1351"/>
      <c r="L570" s="1351"/>
      <c r="M570" s="1351"/>
      <c r="N570" s="1351"/>
      <c r="O570" s="1333"/>
      <c r="P570" s="1333"/>
      <c r="Q570" s="1333"/>
      <c r="R570" s="1453"/>
      <c r="S570" s="1364"/>
      <c r="T570" s="1284"/>
      <c r="U570" s="1333"/>
      <c r="V570" s="1333"/>
      <c r="W570" s="1333"/>
      <c r="X570" s="1333"/>
      <c r="Y570" s="1333"/>
      <c r="Z570" s="1333"/>
      <c r="AA570" s="1333"/>
      <c r="AB570" s="1333"/>
      <c r="AC570" s="1333"/>
      <c r="AD570" s="1333"/>
      <c r="AE570" s="1333"/>
      <c r="AF570" s="1333"/>
      <c r="AG570" s="1333"/>
      <c r="AH570" s="1333"/>
      <c r="AI570" s="1333"/>
      <c r="AJ570" s="1333"/>
    </row>
    <row r="571" spans="1:51" x14ac:dyDescent="0.25">
      <c r="A571" s="1342"/>
      <c r="B571" s="1285"/>
      <c r="C571" s="1287" t="str">
        <f ca="1">CONCATENATE("UIUC Template Change Log hidden below for TAB [",MID(CELL("filename",C133),FIND("]",CELL("filename",C133))+1,255),"] :")</f>
        <v>UIUC Template Change Log hidden below for TAB [05-BID] :</v>
      </c>
      <c r="D571" s="1364"/>
      <c r="E571" s="1364"/>
      <c r="F571" s="1364"/>
      <c r="G571" s="1499"/>
      <c r="H571" s="1333"/>
      <c r="I571" s="1467"/>
      <c r="J571" s="1351"/>
      <c r="K571" s="1351"/>
      <c r="L571" s="1351"/>
      <c r="M571" s="1351"/>
      <c r="N571" s="1351"/>
      <c r="O571" s="1333"/>
      <c r="P571" s="1351"/>
      <c r="Q571" s="1351"/>
      <c r="R571" s="1530"/>
      <c r="S571" s="1344"/>
      <c r="T571" s="1285"/>
      <c r="U571" s="1351"/>
      <c r="V571" s="1351"/>
      <c r="W571" s="1351"/>
      <c r="X571" s="1351"/>
      <c r="Y571" s="1351"/>
      <c r="Z571" s="1333"/>
      <c r="AA571" s="1333"/>
      <c r="AB571" s="1333"/>
      <c r="AC571" s="1333"/>
      <c r="AD571" s="1333"/>
      <c r="AE571" s="1333"/>
      <c r="AF571" s="1333"/>
      <c r="AG571" s="1333"/>
      <c r="AH571" s="1333"/>
      <c r="AI571" s="1333"/>
      <c r="AJ571" s="1333"/>
    </row>
    <row r="572" spans="1:51" ht="15" customHeight="1" x14ac:dyDescent="0.25">
      <c r="A572" s="1331"/>
      <c r="B572" s="1284"/>
      <c r="C572" s="1291"/>
      <c r="D572" s="1284"/>
      <c r="E572" s="1291"/>
      <c r="F572" s="1284"/>
      <c r="G572" s="1499"/>
      <c r="H572" s="1333"/>
      <c r="I572" s="1333"/>
      <c r="J572" s="1333"/>
      <c r="K572" s="1333"/>
      <c r="L572" s="1333"/>
      <c r="M572" s="1333"/>
      <c r="N572" s="1333"/>
      <c r="O572" s="1333"/>
      <c r="P572" s="1531"/>
      <c r="Q572" s="1531"/>
      <c r="R572" s="1531"/>
      <c r="S572" s="1531"/>
      <c r="T572" s="1415"/>
      <c r="U572" s="1285"/>
      <c r="V572" s="1285"/>
      <c r="W572" s="1351"/>
      <c r="X572" s="1351"/>
      <c r="Y572" s="1351"/>
      <c r="Z572" s="1333"/>
      <c r="AA572" s="1333"/>
      <c r="AB572" s="1333"/>
      <c r="AC572" s="1333"/>
      <c r="AD572" s="1333"/>
      <c r="AE572" s="1333"/>
      <c r="AF572" s="1333"/>
      <c r="AG572" s="1333"/>
      <c r="AH572" s="1333"/>
      <c r="AI572" s="1333"/>
      <c r="AJ572" s="1333"/>
      <c r="AX572" s="17"/>
      <c r="AY572" s="17"/>
    </row>
    <row r="573" spans="1:51" ht="15" hidden="1" customHeight="1" x14ac:dyDescent="0.3">
      <c r="A573" s="1331"/>
      <c r="B573" s="1284"/>
      <c r="C573" s="2062">
        <v>42486</v>
      </c>
      <c r="D573" s="2062"/>
      <c r="E573" s="2062"/>
      <c r="F573" s="1297"/>
      <c r="G573" s="1297" t="s">
        <v>639</v>
      </c>
      <c r="H573" s="1333"/>
      <c r="I573" s="1333"/>
      <c r="J573" s="1333"/>
      <c r="K573" s="1550"/>
      <c r="L573" s="1333"/>
      <c r="M573" s="1333"/>
      <c r="N573" s="1333"/>
      <c r="O573" s="1333"/>
      <c r="P573" s="1532"/>
      <c r="Q573" s="1532"/>
      <c r="R573" s="1532"/>
      <c r="S573" s="1532"/>
      <c r="T573" s="1415"/>
      <c r="U573" s="1285"/>
      <c r="V573" s="1285"/>
      <c r="W573" s="1351"/>
      <c r="X573" s="1351"/>
      <c r="Y573" s="1351"/>
      <c r="Z573" s="1333"/>
      <c r="AA573" s="1333"/>
      <c r="AB573" s="1333"/>
      <c r="AC573" s="1333"/>
      <c r="AD573" s="1333"/>
      <c r="AE573" s="1333"/>
      <c r="AF573" s="1333"/>
      <c r="AG573" s="1333"/>
      <c r="AH573" s="1333"/>
      <c r="AI573" s="1333"/>
      <c r="AJ573" s="1333"/>
      <c r="AX573" s="17"/>
      <c r="AY573" s="17"/>
    </row>
    <row r="574" spans="1:51" ht="15" hidden="1" customHeight="1" x14ac:dyDescent="0.3">
      <c r="A574" s="1331"/>
      <c r="B574" s="1284"/>
      <c r="C574" s="2062"/>
      <c r="D574" s="2062"/>
      <c r="E574" s="2062"/>
      <c r="F574" s="1297"/>
      <c r="G574" s="1297" t="s">
        <v>675</v>
      </c>
      <c r="H574" s="1333"/>
      <c r="I574" s="1333"/>
      <c r="J574" s="1333"/>
      <c r="K574" s="1550"/>
      <c r="L574" s="1333"/>
      <c r="M574" s="1333"/>
      <c r="N574" s="1333"/>
      <c r="O574" s="1333"/>
      <c r="P574" s="1533"/>
      <c r="Q574" s="1533"/>
      <c r="R574" s="1533"/>
      <c r="S574" s="1534"/>
      <c r="T574" s="1535"/>
      <c r="U574" s="1285"/>
      <c r="V574" s="1285"/>
      <c r="W574" s="1351"/>
      <c r="X574" s="1351"/>
      <c r="Y574" s="1351"/>
      <c r="Z574" s="1333"/>
      <c r="AA574" s="1333"/>
      <c r="AB574" s="1333"/>
      <c r="AC574" s="1333"/>
      <c r="AD574" s="1333"/>
      <c r="AE574" s="1333"/>
      <c r="AF574" s="1333"/>
      <c r="AG574" s="1333"/>
      <c r="AH574" s="1333"/>
      <c r="AI574" s="1333"/>
      <c r="AJ574" s="1333"/>
      <c r="AX574" s="17"/>
      <c r="AY574" s="17"/>
    </row>
    <row r="575" spans="1:51" ht="15" hidden="1" customHeight="1" x14ac:dyDescent="0.3">
      <c r="A575" s="1331"/>
      <c r="B575" s="1284"/>
      <c r="C575" s="1291"/>
      <c r="D575" s="1284"/>
      <c r="E575" s="1291"/>
      <c r="F575" s="1284"/>
      <c r="G575" s="1499"/>
      <c r="H575" s="1333"/>
      <c r="I575" s="1333"/>
      <c r="J575" s="1333"/>
      <c r="K575" s="1550"/>
      <c r="L575" s="1333"/>
      <c r="M575" s="1333"/>
      <c r="N575" s="1333"/>
      <c r="O575" s="1333"/>
      <c r="P575" s="1533"/>
      <c r="Q575" s="1533"/>
      <c r="R575" s="1533"/>
      <c r="S575" s="1536"/>
      <c r="T575" s="1535"/>
      <c r="U575" s="1285"/>
      <c r="V575" s="1285"/>
      <c r="W575" s="1351"/>
      <c r="X575" s="1351"/>
      <c r="Y575" s="1351"/>
      <c r="Z575" s="1333"/>
      <c r="AA575" s="1333"/>
      <c r="AB575" s="1333"/>
      <c r="AC575" s="1333"/>
      <c r="AD575" s="1333"/>
      <c r="AE575" s="1333"/>
      <c r="AF575" s="1333"/>
      <c r="AG575" s="1333"/>
      <c r="AH575" s="1333"/>
      <c r="AI575" s="1333"/>
      <c r="AJ575" s="1333"/>
      <c r="AX575" s="17"/>
      <c r="AY575" s="17"/>
    </row>
    <row r="576" spans="1:51" ht="15" hidden="1" customHeight="1" x14ac:dyDescent="0.3">
      <c r="A576" s="1331"/>
      <c r="B576" s="1284"/>
      <c r="C576" s="2062">
        <v>42490</v>
      </c>
      <c r="D576" s="2062"/>
      <c r="E576" s="2062"/>
      <c r="F576" s="1297"/>
      <c r="G576" s="1297" t="s">
        <v>684</v>
      </c>
      <c r="H576" s="1333"/>
      <c r="I576" s="1333"/>
      <c r="J576" s="1333"/>
      <c r="K576" s="1550"/>
      <c r="L576" s="1333"/>
      <c r="M576" s="1333"/>
      <c r="N576" s="1333"/>
      <c r="O576" s="1333"/>
      <c r="P576" s="1533"/>
      <c r="Q576" s="1533"/>
      <c r="R576" s="1533"/>
      <c r="S576" s="1534"/>
      <c r="T576" s="1535"/>
      <c r="U576" s="1537"/>
      <c r="V576" s="1285"/>
      <c r="W576" s="1351"/>
      <c r="X576" s="1351"/>
      <c r="Y576" s="1351"/>
      <c r="Z576" s="1333"/>
      <c r="AA576" s="1333"/>
      <c r="AB576" s="1333"/>
      <c r="AC576" s="1333"/>
      <c r="AD576" s="1333"/>
      <c r="AE576" s="1333"/>
      <c r="AF576" s="1333"/>
      <c r="AG576" s="1333"/>
      <c r="AH576" s="1333"/>
      <c r="AI576" s="1333"/>
      <c r="AJ576" s="1333"/>
      <c r="AX576" s="17"/>
      <c r="AY576" s="17"/>
    </row>
    <row r="577" spans="1:51" ht="15" hidden="1" customHeight="1" x14ac:dyDescent="0.3">
      <c r="A577" s="1331"/>
      <c r="B577" s="1284"/>
      <c r="C577" s="1291"/>
      <c r="D577" s="1284"/>
      <c r="E577" s="1303"/>
      <c r="F577" s="1364"/>
      <c r="G577" s="1291" t="s">
        <v>688</v>
      </c>
      <c r="H577" s="1333"/>
      <c r="I577" s="1333"/>
      <c r="J577" s="1333"/>
      <c r="K577" s="1550"/>
      <c r="L577" s="1333"/>
      <c r="M577" s="1333"/>
      <c r="N577" s="1333"/>
      <c r="O577" s="1333"/>
      <c r="P577" s="1533"/>
      <c r="Q577" s="1533"/>
      <c r="R577" s="1533"/>
      <c r="S577" s="1538"/>
      <c r="T577" s="1535"/>
      <c r="U577" s="1285"/>
      <c r="V577" s="1285"/>
      <c r="W577" s="1351"/>
      <c r="X577" s="1351"/>
      <c r="Y577" s="1351"/>
      <c r="Z577" s="1333"/>
      <c r="AA577" s="1333"/>
      <c r="AB577" s="1333"/>
      <c r="AC577" s="1333"/>
      <c r="AD577" s="1333"/>
      <c r="AE577" s="1333"/>
      <c r="AF577" s="1333"/>
      <c r="AG577" s="1333"/>
      <c r="AH577" s="1333"/>
      <c r="AI577" s="1333"/>
      <c r="AJ577" s="1333"/>
      <c r="AX577" s="17"/>
      <c r="AY577" s="17"/>
    </row>
    <row r="578" spans="1:51" ht="15" hidden="1" customHeight="1" x14ac:dyDescent="0.3">
      <c r="A578" s="1331"/>
      <c r="B578" s="1284"/>
      <c r="C578" s="1291"/>
      <c r="D578" s="1284"/>
      <c r="E578" s="1303"/>
      <c r="F578" s="1364"/>
      <c r="G578" s="1291" t="s">
        <v>689</v>
      </c>
      <c r="H578" s="1333"/>
      <c r="I578" s="1333"/>
      <c r="J578" s="1333"/>
      <c r="K578" s="1550"/>
      <c r="L578" s="1333"/>
      <c r="M578" s="1333"/>
      <c r="N578" s="1333"/>
      <c r="O578" s="1333"/>
      <c r="P578" s="1533"/>
      <c r="Q578" s="1533"/>
      <c r="R578" s="1533"/>
      <c r="S578" s="1536"/>
      <c r="T578" s="1535"/>
      <c r="U578" s="1285"/>
      <c r="V578" s="1285"/>
      <c r="W578" s="1351"/>
      <c r="X578" s="1351"/>
      <c r="Y578" s="1351"/>
      <c r="Z578" s="1333"/>
      <c r="AA578" s="1333"/>
      <c r="AB578" s="1333"/>
      <c r="AC578" s="1333"/>
      <c r="AD578" s="1333"/>
      <c r="AE578" s="1333"/>
      <c r="AF578" s="1333"/>
      <c r="AG578" s="1333"/>
      <c r="AH578" s="1333"/>
      <c r="AI578" s="1333"/>
      <c r="AJ578" s="1333"/>
      <c r="AX578" s="17"/>
      <c r="AY578" s="17"/>
    </row>
    <row r="579" spans="1:51" ht="15" hidden="1" customHeight="1" x14ac:dyDescent="0.3">
      <c r="A579" s="1331"/>
      <c r="B579" s="1284"/>
      <c r="C579" s="1284"/>
      <c r="D579" s="1364"/>
      <c r="E579" s="1364"/>
      <c r="F579" s="1364"/>
      <c r="G579" s="1499"/>
      <c r="H579" s="1333"/>
      <c r="I579" s="1333"/>
      <c r="J579" s="1333"/>
      <c r="K579" s="1550"/>
      <c r="L579" s="1333"/>
      <c r="M579" s="1333"/>
      <c r="N579" s="1333"/>
      <c r="O579" s="1333"/>
      <c r="P579" s="1532"/>
      <c r="Q579" s="1532"/>
      <c r="R579" s="1532"/>
      <c r="S579" s="1532"/>
      <c r="T579" s="1415"/>
      <c r="U579" s="1539"/>
      <c r="V579" s="1285"/>
      <c r="W579" s="1351"/>
      <c r="X579" s="1351"/>
      <c r="Y579" s="1351"/>
      <c r="Z579" s="1333"/>
      <c r="AA579" s="1333"/>
      <c r="AB579" s="1333"/>
      <c r="AC579" s="1333"/>
      <c r="AD579" s="1333"/>
      <c r="AE579" s="1333"/>
      <c r="AF579" s="1333"/>
      <c r="AG579" s="1333"/>
      <c r="AH579" s="1333"/>
      <c r="AI579" s="1333"/>
      <c r="AJ579" s="1333"/>
      <c r="AX579" s="17"/>
      <c r="AY579" s="17"/>
    </row>
    <row r="580" spans="1:51" ht="15" hidden="1" customHeight="1" x14ac:dyDescent="0.3">
      <c r="A580" s="1331"/>
      <c r="B580" s="1284"/>
      <c r="C580" s="2062">
        <v>42492</v>
      </c>
      <c r="D580" s="2062"/>
      <c r="E580" s="2062"/>
      <c r="F580" s="1297"/>
      <c r="G580" s="1297" t="s">
        <v>695</v>
      </c>
      <c r="H580" s="1333"/>
      <c r="I580" s="1333"/>
      <c r="J580" s="1333"/>
      <c r="K580" s="1550"/>
      <c r="L580" s="1333"/>
      <c r="M580" s="1333"/>
      <c r="N580" s="1333"/>
      <c r="O580" s="1333"/>
      <c r="P580" s="1533"/>
      <c r="Q580" s="1533"/>
      <c r="R580" s="1533"/>
      <c r="S580" s="1534"/>
      <c r="T580" s="1535"/>
      <c r="U580" s="1285"/>
      <c r="V580" s="1285"/>
      <c r="W580" s="1351"/>
      <c r="X580" s="1351"/>
      <c r="Y580" s="1351"/>
      <c r="Z580" s="1333"/>
      <c r="AA580" s="1333"/>
      <c r="AB580" s="1333"/>
      <c r="AC580" s="1333"/>
      <c r="AD580" s="1333"/>
      <c r="AE580" s="1333"/>
      <c r="AF580" s="1333"/>
      <c r="AG580" s="1333"/>
      <c r="AH580" s="1333"/>
      <c r="AI580" s="1333"/>
      <c r="AJ580" s="1333"/>
      <c r="AX580" s="17"/>
      <c r="AY580" s="17"/>
    </row>
    <row r="581" spans="1:51" ht="15" hidden="1" customHeight="1" x14ac:dyDescent="0.3">
      <c r="A581" s="1331"/>
      <c r="B581" s="1284"/>
      <c r="C581" s="1291"/>
      <c r="D581" s="1284"/>
      <c r="E581" s="1291"/>
      <c r="F581" s="1284"/>
      <c r="G581" s="1291"/>
      <c r="H581" s="1284"/>
      <c r="I581" s="1333"/>
      <c r="J581" s="1333"/>
      <c r="K581" s="1550"/>
      <c r="L581" s="1333"/>
      <c r="M581" s="1333"/>
      <c r="N581" s="1333"/>
      <c r="O581" s="1333"/>
      <c r="P581" s="1540"/>
      <c r="Q581" s="1540"/>
      <c r="R581" s="1540"/>
      <c r="S581" s="1534"/>
      <c r="T581" s="1535"/>
      <c r="U581" s="1285"/>
      <c r="V581" s="1285"/>
      <c r="W581" s="1351"/>
      <c r="X581" s="1351"/>
      <c r="Y581" s="1351"/>
      <c r="Z581" s="1333"/>
      <c r="AA581" s="1333"/>
      <c r="AB581" s="1333"/>
      <c r="AC581" s="1333"/>
      <c r="AD581" s="1333"/>
      <c r="AE581" s="1333"/>
      <c r="AF581" s="1333"/>
      <c r="AG581" s="1333"/>
      <c r="AH581" s="1333"/>
      <c r="AI581" s="1333"/>
      <c r="AJ581" s="1333"/>
      <c r="AX581" s="17"/>
      <c r="AY581" s="17"/>
    </row>
    <row r="582" spans="1:51" ht="15" hidden="1" customHeight="1" x14ac:dyDescent="0.3">
      <c r="A582" s="1331"/>
      <c r="B582" s="1284"/>
      <c r="C582" s="2062">
        <v>42496</v>
      </c>
      <c r="D582" s="2062"/>
      <c r="E582" s="2062"/>
      <c r="F582" s="1297"/>
      <c r="G582" s="1297" t="s">
        <v>718</v>
      </c>
      <c r="H582" s="1284"/>
      <c r="I582" s="1333"/>
      <c r="J582" s="1333"/>
      <c r="K582" s="1550"/>
      <c r="L582" s="1333"/>
      <c r="M582" s="1333"/>
      <c r="N582" s="1333"/>
      <c r="O582" s="1333"/>
      <c r="P582" s="1533"/>
      <c r="Q582" s="1533"/>
      <c r="R582" s="1533"/>
      <c r="S582" s="1534"/>
      <c r="T582" s="1535"/>
      <c r="U582" s="1285"/>
      <c r="V582" s="1285"/>
      <c r="W582" s="1351"/>
      <c r="X582" s="1351"/>
      <c r="Y582" s="1351"/>
      <c r="Z582" s="1333"/>
      <c r="AA582" s="1333"/>
      <c r="AB582" s="1333"/>
      <c r="AC582" s="1333"/>
      <c r="AD582" s="1333"/>
      <c r="AE582" s="1333"/>
      <c r="AF582" s="1333"/>
      <c r="AG582" s="1333"/>
      <c r="AH582" s="1333"/>
      <c r="AI582" s="1333"/>
      <c r="AJ582" s="1333"/>
      <c r="AX582" s="17"/>
      <c r="AY582" s="17"/>
    </row>
    <row r="583" spans="1:51" ht="15" hidden="1" customHeight="1" x14ac:dyDescent="0.3">
      <c r="A583" s="1331"/>
      <c r="B583" s="1284"/>
      <c r="C583" s="2062"/>
      <c r="D583" s="2062"/>
      <c r="E583" s="2062"/>
      <c r="F583" s="1297"/>
      <c r="G583" s="1297"/>
      <c r="H583" s="1284"/>
      <c r="I583" s="1333"/>
      <c r="J583" s="1333"/>
      <c r="K583" s="1550"/>
      <c r="L583" s="1333"/>
      <c r="M583" s="1333"/>
      <c r="N583" s="1333"/>
      <c r="O583" s="1333"/>
      <c r="P583" s="1540"/>
      <c r="Q583" s="1540"/>
      <c r="R583" s="1540"/>
      <c r="S583" s="1541"/>
      <c r="T583" s="1535"/>
      <c r="U583" s="1285"/>
      <c r="V583" s="1285"/>
      <c r="W583" s="1351"/>
      <c r="X583" s="1351"/>
      <c r="Y583" s="1351"/>
      <c r="Z583" s="1333"/>
      <c r="AA583" s="1333"/>
      <c r="AB583" s="1333"/>
      <c r="AC583" s="1333"/>
      <c r="AD583" s="1333"/>
      <c r="AE583" s="1333"/>
      <c r="AF583" s="1333"/>
      <c r="AG583" s="1333"/>
      <c r="AH583" s="1333"/>
      <c r="AI583" s="1333"/>
      <c r="AJ583" s="1333"/>
      <c r="AX583" s="17"/>
      <c r="AY583" s="17"/>
    </row>
    <row r="584" spans="1:51" ht="15" hidden="1" customHeight="1" x14ac:dyDescent="0.3">
      <c r="A584" s="1331"/>
      <c r="B584" s="1284"/>
      <c r="C584" s="2062">
        <v>42523</v>
      </c>
      <c r="D584" s="2062"/>
      <c r="E584" s="2062"/>
      <c r="F584" s="1297"/>
      <c r="G584" s="1297" t="s">
        <v>827</v>
      </c>
      <c r="H584" s="1284"/>
      <c r="I584" s="1333"/>
      <c r="J584" s="1333"/>
      <c r="K584" s="1550"/>
      <c r="L584" s="1333"/>
      <c r="M584" s="1333"/>
      <c r="N584" s="1333"/>
      <c r="O584" s="1333"/>
      <c r="P584" s="1533"/>
      <c r="Q584" s="1533"/>
      <c r="R584" s="1533"/>
      <c r="S584" s="1534"/>
      <c r="T584" s="1535"/>
      <c r="U584" s="1285"/>
      <c r="V584" s="1285"/>
      <c r="W584" s="1351"/>
      <c r="X584" s="1351"/>
      <c r="Y584" s="1351"/>
      <c r="Z584" s="1333"/>
      <c r="AA584" s="1333"/>
      <c r="AB584" s="1333"/>
      <c r="AC584" s="1333"/>
      <c r="AD584" s="1333"/>
      <c r="AE584" s="1333"/>
      <c r="AF584" s="1333"/>
      <c r="AG584" s="1333"/>
      <c r="AH584" s="1333"/>
      <c r="AI584" s="1333"/>
      <c r="AJ584" s="1333"/>
      <c r="AX584" s="17"/>
      <c r="AY584" s="17"/>
    </row>
    <row r="585" spans="1:51" ht="15" hidden="1" customHeight="1" x14ac:dyDescent="0.3">
      <c r="A585" s="1331"/>
      <c r="B585" s="1284"/>
      <c r="C585" s="2062"/>
      <c r="D585" s="2062"/>
      <c r="E585" s="2062"/>
      <c r="F585" s="1297"/>
      <c r="G585" s="1297"/>
      <c r="H585" s="1284"/>
      <c r="I585" s="1333"/>
      <c r="J585" s="1333"/>
      <c r="K585" s="1550"/>
      <c r="L585" s="1333"/>
      <c r="M585" s="1333"/>
      <c r="N585" s="1333"/>
      <c r="O585" s="1333"/>
      <c r="P585" s="1533"/>
      <c r="Q585" s="1533"/>
      <c r="R585" s="1533"/>
      <c r="S585" s="1534"/>
      <c r="T585" s="1535"/>
      <c r="U585" s="1539"/>
      <c r="V585" s="1285"/>
      <c r="W585" s="1351"/>
      <c r="X585" s="1351"/>
      <c r="Y585" s="1351"/>
      <c r="Z585" s="1333"/>
      <c r="AA585" s="1333"/>
      <c r="AB585" s="1333"/>
      <c r="AC585" s="1333"/>
      <c r="AD585" s="1333"/>
      <c r="AE585" s="1333"/>
      <c r="AF585" s="1333"/>
      <c r="AG585" s="1333"/>
      <c r="AH585" s="1333"/>
      <c r="AI585" s="1333"/>
      <c r="AJ585" s="1333"/>
      <c r="AX585" s="17"/>
      <c r="AY585" s="17"/>
    </row>
    <row r="586" spans="1:51" ht="15" hidden="1" customHeight="1" x14ac:dyDescent="0.3">
      <c r="A586" s="1331"/>
      <c r="B586" s="1284"/>
      <c r="C586" s="2062">
        <v>42635</v>
      </c>
      <c r="D586" s="2062"/>
      <c r="E586" s="2062"/>
      <c r="F586" s="1297"/>
      <c r="G586" s="1297" t="s">
        <v>838</v>
      </c>
      <c r="H586" s="1284"/>
      <c r="I586" s="1333"/>
      <c r="J586" s="1333"/>
      <c r="K586" s="1550"/>
      <c r="L586" s="1333"/>
      <c r="M586" s="1333"/>
      <c r="N586" s="1333"/>
      <c r="O586" s="1333"/>
      <c r="P586" s="1533"/>
      <c r="Q586" s="1533"/>
      <c r="R586" s="1533"/>
      <c r="S586" s="1534"/>
      <c r="T586" s="1535"/>
      <c r="U586" s="1285"/>
      <c r="V586" s="1285"/>
      <c r="W586" s="1351"/>
      <c r="X586" s="1351"/>
      <c r="Y586" s="1351"/>
      <c r="Z586" s="1333"/>
      <c r="AA586" s="1333"/>
      <c r="AB586" s="1333"/>
      <c r="AC586" s="1333"/>
      <c r="AD586" s="1333"/>
      <c r="AE586" s="1333"/>
      <c r="AF586" s="1333"/>
      <c r="AG586" s="1333"/>
      <c r="AH586" s="1333"/>
      <c r="AI586" s="1333"/>
      <c r="AJ586" s="1333"/>
      <c r="AX586" s="17"/>
      <c r="AY586" s="17"/>
    </row>
    <row r="587" spans="1:51" ht="15" hidden="1" customHeight="1" x14ac:dyDescent="0.3">
      <c r="A587" s="1331"/>
      <c r="B587" s="1284"/>
      <c r="C587" s="2062"/>
      <c r="D587" s="2062"/>
      <c r="E587" s="2062"/>
      <c r="F587" s="1297"/>
      <c r="G587" s="1297" t="s">
        <v>837</v>
      </c>
      <c r="H587" s="1284"/>
      <c r="I587" s="1333"/>
      <c r="J587" s="1333"/>
      <c r="K587" s="1550"/>
      <c r="L587" s="1333"/>
      <c r="M587" s="1333"/>
      <c r="N587" s="1333"/>
      <c r="O587" s="1333"/>
      <c r="P587" s="1540"/>
      <c r="Q587" s="1540"/>
      <c r="R587" s="1540"/>
      <c r="S587" s="1534"/>
      <c r="T587" s="1535"/>
      <c r="U587" s="1285"/>
      <c r="V587" s="1285"/>
      <c r="W587" s="1351"/>
      <c r="X587" s="1351"/>
      <c r="Y587" s="1351"/>
      <c r="Z587" s="1333"/>
      <c r="AA587" s="1333"/>
      <c r="AB587" s="1333"/>
      <c r="AC587" s="1333"/>
      <c r="AD587" s="1333"/>
      <c r="AE587" s="1333"/>
      <c r="AF587" s="1333"/>
      <c r="AG587" s="1333"/>
      <c r="AH587" s="1333"/>
      <c r="AI587" s="1333"/>
      <c r="AJ587" s="1333"/>
      <c r="AX587" s="17"/>
      <c r="AY587" s="17"/>
    </row>
    <row r="588" spans="1:51" ht="15" hidden="1" customHeight="1" x14ac:dyDescent="0.3">
      <c r="A588" s="1331"/>
      <c r="B588" s="1284"/>
      <c r="C588" s="2062"/>
      <c r="D588" s="2062"/>
      <c r="E588" s="2062"/>
      <c r="F588" s="1297"/>
      <c r="G588" s="1297"/>
      <c r="H588" s="1284"/>
      <c r="I588" s="1333"/>
      <c r="J588" s="1333"/>
      <c r="K588" s="1550"/>
      <c r="L588" s="1333"/>
      <c r="M588" s="1333"/>
      <c r="N588" s="1333"/>
      <c r="O588" s="1333"/>
      <c r="P588" s="1533"/>
      <c r="Q588" s="1533"/>
      <c r="R588" s="1533"/>
      <c r="S588" s="1534"/>
      <c r="T588" s="1535"/>
      <c r="U588" s="1285"/>
      <c r="V588" s="1285"/>
      <c r="W588" s="1351"/>
      <c r="X588" s="1351"/>
      <c r="Y588" s="1351"/>
      <c r="Z588" s="1333"/>
      <c r="AA588" s="1333"/>
      <c r="AB588" s="1333"/>
      <c r="AC588" s="1333"/>
      <c r="AD588" s="1333"/>
      <c r="AE588" s="1333"/>
      <c r="AF588" s="1333"/>
      <c r="AG588" s="1333"/>
      <c r="AH588" s="1333"/>
      <c r="AI588" s="1333"/>
      <c r="AJ588" s="1333"/>
      <c r="AX588" s="17"/>
      <c r="AY588" s="17"/>
    </row>
    <row r="589" spans="1:51" ht="15" hidden="1" customHeight="1" x14ac:dyDescent="0.3">
      <c r="A589" s="1331"/>
      <c r="B589" s="1284"/>
      <c r="C589" s="2062">
        <v>42653</v>
      </c>
      <c r="D589" s="2062"/>
      <c r="E589" s="2062"/>
      <c r="F589" s="1297"/>
      <c r="G589" s="1297" t="s">
        <v>867</v>
      </c>
      <c r="H589" s="1284"/>
      <c r="I589" s="1333"/>
      <c r="J589" s="1333"/>
      <c r="K589" s="1550"/>
      <c r="L589" s="1333"/>
      <c r="M589" s="1333"/>
      <c r="N589" s="1333"/>
      <c r="O589" s="1333"/>
      <c r="P589" s="1533"/>
      <c r="Q589" s="1533"/>
      <c r="R589" s="1533"/>
      <c r="S589" s="1534"/>
      <c r="T589" s="1535"/>
      <c r="U589" s="1285"/>
      <c r="V589" s="1285"/>
      <c r="W589" s="1351"/>
      <c r="X589" s="1351"/>
      <c r="Y589" s="1351"/>
      <c r="Z589" s="1333"/>
      <c r="AA589" s="1333"/>
      <c r="AB589" s="1333"/>
      <c r="AC589" s="1333"/>
      <c r="AD589" s="1333"/>
      <c r="AE589" s="1333"/>
      <c r="AF589" s="1333"/>
      <c r="AG589" s="1333"/>
      <c r="AH589" s="1333"/>
      <c r="AI589" s="1333"/>
      <c r="AJ589" s="1333"/>
      <c r="AX589" s="17"/>
      <c r="AY589" s="17"/>
    </row>
    <row r="590" spans="1:51" ht="15" hidden="1" customHeight="1" x14ac:dyDescent="0.3">
      <c r="A590" s="1331"/>
      <c r="B590" s="1284"/>
      <c r="C590" s="2062"/>
      <c r="D590" s="2062"/>
      <c r="E590" s="2062"/>
      <c r="F590" s="1297"/>
      <c r="G590" s="1297"/>
      <c r="H590" s="1284"/>
      <c r="I590" s="1333"/>
      <c r="J590" s="1333"/>
      <c r="K590" s="1550"/>
      <c r="L590" s="1333"/>
      <c r="M590" s="1333"/>
      <c r="N590" s="1333"/>
      <c r="O590" s="1333"/>
      <c r="P590" s="1533"/>
      <c r="Q590" s="1533"/>
      <c r="R590" s="1533"/>
      <c r="S590" s="1534"/>
      <c r="T590" s="1535"/>
      <c r="U590" s="1285"/>
      <c r="V590" s="1285"/>
      <c r="W590" s="1351"/>
      <c r="X590" s="1351"/>
      <c r="Y590" s="1351"/>
      <c r="Z590" s="1333"/>
      <c r="AA590" s="1333"/>
      <c r="AB590" s="1333"/>
      <c r="AC590" s="1333"/>
      <c r="AD590" s="1333"/>
      <c r="AE590" s="1333"/>
      <c r="AF590" s="1333"/>
      <c r="AG590" s="1333"/>
      <c r="AH590" s="1333"/>
      <c r="AI590" s="1333"/>
      <c r="AJ590" s="1333"/>
      <c r="AX590" s="17"/>
      <c r="AY590" s="17"/>
    </row>
    <row r="591" spans="1:51" ht="15" hidden="1" customHeight="1" x14ac:dyDescent="0.3">
      <c r="A591" s="1331"/>
      <c r="B591" s="1284"/>
      <c r="C591" s="2062">
        <v>42696</v>
      </c>
      <c r="D591" s="2062"/>
      <c r="E591" s="2062"/>
      <c r="F591" s="1297"/>
      <c r="G591" s="1418" t="s">
        <v>890</v>
      </c>
      <c r="H591" s="1284"/>
      <c r="I591" s="1333"/>
      <c r="J591" s="1333"/>
      <c r="K591" s="1550"/>
      <c r="L591" s="1333"/>
      <c r="M591" s="1333"/>
      <c r="N591" s="1333"/>
      <c r="O591" s="1333"/>
      <c r="P591" s="1533"/>
      <c r="Q591" s="1533"/>
      <c r="R591" s="1533"/>
      <c r="S591" s="1542"/>
      <c r="T591" s="1535"/>
      <c r="U591" s="1285"/>
      <c r="V591" s="1285"/>
      <c r="W591" s="1351"/>
      <c r="X591" s="1351"/>
      <c r="Y591" s="1351"/>
      <c r="Z591" s="1333"/>
      <c r="AA591" s="1333"/>
      <c r="AB591" s="1333"/>
      <c r="AC591" s="1333"/>
      <c r="AD591" s="1333"/>
      <c r="AE591" s="1333"/>
      <c r="AF591" s="1333"/>
      <c r="AG591" s="1333"/>
      <c r="AH591" s="1333"/>
      <c r="AI591" s="1333"/>
      <c r="AJ591" s="1333"/>
      <c r="AX591" s="17"/>
      <c r="AY591" s="17"/>
    </row>
    <row r="592" spans="1:51" ht="15" hidden="1" customHeight="1" x14ac:dyDescent="0.3">
      <c r="A592" s="1331"/>
      <c r="B592" s="1284"/>
      <c r="C592" s="2062"/>
      <c r="D592" s="2062"/>
      <c r="E592" s="2062"/>
      <c r="F592" s="1297"/>
      <c r="G592" s="1297"/>
      <c r="H592" s="1284"/>
      <c r="I592" s="1333"/>
      <c r="J592" s="1333"/>
      <c r="K592" s="1550"/>
      <c r="L592" s="1333"/>
      <c r="M592" s="1333"/>
      <c r="N592" s="1333"/>
      <c r="O592" s="1333"/>
      <c r="P592" s="1533"/>
      <c r="Q592" s="1533"/>
      <c r="R592" s="1533"/>
      <c r="S592" s="1542"/>
      <c r="T592" s="1535"/>
      <c r="U592" s="1539"/>
      <c r="V592" s="1285"/>
      <c r="W592" s="1351"/>
      <c r="X592" s="1351"/>
      <c r="Y592" s="1351"/>
      <c r="Z592" s="1333"/>
      <c r="AA592" s="1333"/>
      <c r="AB592" s="1333"/>
      <c r="AC592" s="1333"/>
      <c r="AD592" s="1333"/>
      <c r="AE592" s="1333"/>
      <c r="AF592" s="1333"/>
      <c r="AG592" s="1333"/>
      <c r="AH592" s="1333"/>
      <c r="AI592" s="1333"/>
      <c r="AJ592" s="1333"/>
      <c r="AX592" s="17"/>
      <c r="AY592" s="17"/>
    </row>
    <row r="593" spans="1:51" ht="15" hidden="1" customHeight="1" x14ac:dyDescent="0.3">
      <c r="A593" s="1331"/>
      <c r="B593" s="1284"/>
      <c r="C593" s="2062">
        <v>42702</v>
      </c>
      <c r="D593" s="2062"/>
      <c r="E593" s="2062"/>
      <c r="F593" s="1297"/>
      <c r="G593" s="1418" t="s">
        <v>896</v>
      </c>
      <c r="H593" s="1284"/>
      <c r="I593" s="1333"/>
      <c r="J593" s="1333"/>
      <c r="K593" s="1550"/>
      <c r="L593" s="1333"/>
      <c r="M593" s="1333"/>
      <c r="N593" s="1333"/>
      <c r="O593" s="1333"/>
      <c r="P593" s="1540"/>
      <c r="Q593" s="1540"/>
      <c r="R593" s="1540"/>
      <c r="S593" s="1542"/>
      <c r="T593" s="1535"/>
      <c r="U593" s="1285"/>
      <c r="V593" s="1285"/>
      <c r="W593" s="1351"/>
      <c r="X593" s="1351"/>
      <c r="Y593" s="1351"/>
      <c r="Z593" s="1333"/>
      <c r="AA593" s="1333"/>
      <c r="AB593" s="1333"/>
      <c r="AC593" s="1333"/>
      <c r="AD593" s="1333"/>
      <c r="AE593" s="1333"/>
      <c r="AF593" s="1333"/>
      <c r="AG593" s="1333"/>
      <c r="AH593" s="1333"/>
      <c r="AI593" s="1333"/>
      <c r="AJ593" s="1333"/>
      <c r="AX593" s="17"/>
      <c r="AY593" s="17"/>
    </row>
    <row r="594" spans="1:51" ht="15" hidden="1" customHeight="1" x14ac:dyDescent="0.3">
      <c r="A594" s="1331"/>
      <c r="B594" s="1284"/>
      <c r="C594" s="2062"/>
      <c r="D594" s="2062"/>
      <c r="E594" s="2062"/>
      <c r="F594" s="1297"/>
      <c r="G594" s="1418" t="s">
        <v>899</v>
      </c>
      <c r="H594" s="1284"/>
      <c r="I594" s="1333"/>
      <c r="J594" s="1333"/>
      <c r="K594" s="1550"/>
      <c r="L594" s="1333"/>
      <c r="M594" s="1333"/>
      <c r="N594" s="1333"/>
      <c r="O594" s="1333"/>
      <c r="P594" s="1533"/>
      <c r="Q594" s="1533"/>
      <c r="R594" s="1533"/>
      <c r="S594" s="1542"/>
      <c r="T594" s="1535"/>
      <c r="U594" s="1285"/>
      <c r="V594" s="1285"/>
      <c r="W594" s="1351"/>
      <c r="X594" s="1351"/>
      <c r="Y594" s="1351"/>
      <c r="Z594" s="1333"/>
      <c r="AA594" s="1333"/>
      <c r="AB594" s="1333"/>
      <c r="AC594" s="1333"/>
      <c r="AD594" s="1333"/>
      <c r="AE594" s="1333"/>
      <c r="AF594" s="1333"/>
      <c r="AG594" s="1333"/>
      <c r="AH594" s="1333"/>
      <c r="AI594" s="1333"/>
      <c r="AJ594" s="1333"/>
      <c r="AX594" s="17"/>
      <c r="AY594" s="17"/>
    </row>
    <row r="595" spans="1:51" ht="15" hidden="1" customHeight="1" x14ac:dyDescent="0.3">
      <c r="A595" s="1331"/>
      <c r="B595" s="1284"/>
      <c r="C595" s="2062"/>
      <c r="D595" s="2062"/>
      <c r="E595" s="2062"/>
      <c r="F595" s="1297"/>
      <c r="G595" s="1297"/>
      <c r="H595" s="1284"/>
      <c r="I595" s="1333"/>
      <c r="J595" s="1333"/>
      <c r="K595" s="1550"/>
      <c r="L595" s="1333"/>
      <c r="M595" s="1333"/>
      <c r="N595" s="1333"/>
      <c r="O595" s="1333"/>
      <c r="P595" s="1533"/>
      <c r="Q595" s="1533"/>
      <c r="R595" s="1533"/>
      <c r="S595" s="1542"/>
      <c r="T595" s="1535"/>
      <c r="U595" s="1285"/>
      <c r="V595" s="1285"/>
      <c r="W595" s="1351"/>
      <c r="X595" s="1351"/>
      <c r="Y595" s="1351"/>
      <c r="Z595" s="1333"/>
      <c r="AA595" s="1333"/>
      <c r="AB595" s="1333"/>
      <c r="AC595" s="1333"/>
      <c r="AD595" s="1333"/>
      <c r="AE595" s="1333"/>
      <c r="AF595" s="1333"/>
      <c r="AG595" s="1333"/>
      <c r="AH595" s="1333"/>
      <c r="AI595" s="1333"/>
      <c r="AJ595" s="1333"/>
      <c r="AX595" s="17"/>
      <c r="AY595" s="17"/>
    </row>
    <row r="596" spans="1:51" ht="15" hidden="1" customHeight="1" x14ac:dyDescent="0.3">
      <c r="A596" s="1331"/>
      <c r="B596" s="1284"/>
      <c r="C596" s="2062">
        <v>42947</v>
      </c>
      <c r="D596" s="2062"/>
      <c r="E596" s="2062"/>
      <c r="F596" s="1297"/>
      <c r="G596" s="1297" t="s">
        <v>962</v>
      </c>
      <c r="H596" s="1284"/>
      <c r="I596" s="1333"/>
      <c r="J596" s="1333"/>
      <c r="K596" s="1550"/>
      <c r="L596" s="1333"/>
      <c r="M596" s="1333"/>
      <c r="N596" s="1333"/>
      <c r="O596" s="1333"/>
      <c r="P596" s="1533"/>
      <c r="Q596" s="1533"/>
      <c r="R596" s="1533"/>
      <c r="S596" s="1534"/>
      <c r="T596" s="1535"/>
      <c r="U596" s="1285"/>
      <c r="V596" s="1285"/>
      <c r="W596" s="1351"/>
      <c r="X596" s="1351"/>
      <c r="Y596" s="1351"/>
      <c r="Z596" s="1333"/>
      <c r="AA596" s="1333"/>
      <c r="AB596" s="1333"/>
      <c r="AC596" s="1333"/>
      <c r="AD596" s="1333"/>
      <c r="AE596" s="1333"/>
      <c r="AF596" s="1333"/>
      <c r="AG596" s="1333"/>
      <c r="AH596" s="1333"/>
      <c r="AI596" s="1333"/>
      <c r="AJ596" s="1333"/>
      <c r="AX596" s="17"/>
      <c r="AY596" s="17"/>
    </row>
    <row r="597" spans="1:51" ht="15" hidden="1" customHeight="1" x14ac:dyDescent="0.3">
      <c r="A597" s="1331"/>
      <c r="B597" s="1284"/>
      <c r="C597" s="2062"/>
      <c r="D597" s="2062"/>
      <c r="E597" s="2062"/>
      <c r="F597" s="1297"/>
      <c r="G597" s="1297" t="s">
        <v>1018</v>
      </c>
      <c r="H597" s="1284"/>
      <c r="I597" s="1333"/>
      <c r="J597" s="1333"/>
      <c r="K597" s="1550"/>
      <c r="L597" s="1333"/>
      <c r="M597" s="1333"/>
      <c r="N597" s="1333"/>
      <c r="O597" s="1333"/>
      <c r="P597" s="1540"/>
      <c r="Q597" s="1540"/>
      <c r="R597" s="1540"/>
      <c r="S597" s="1541"/>
      <c r="T597" s="1535"/>
      <c r="U597" s="1285"/>
      <c r="V597" s="1285"/>
      <c r="W597" s="1351"/>
      <c r="X597" s="1351"/>
      <c r="Y597" s="1351"/>
      <c r="Z597" s="1333"/>
      <c r="AA597" s="1333"/>
      <c r="AB597" s="1333"/>
      <c r="AC597" s="1333"/>
      <c r="AD597" s="1333"/>
      <c r="AE597" s="1333"/>
      <c r="AF597" s="1333"/>
      <c r="AG597" s="1333"/>
      <c r="AH597" s="1333"/>
      <c r="AI597" s="1333"/>
      <c r="AJ597" s="1333"/>
      <c r="AX597" s="17"/>
      <c r="AY597" s="17"/>
    </row>
    <row r="598" spans="1:51" ht="15" hidden="1" customHeight="1" x14ac:dyDescent="0.3">
      <c r="A598" s="1331"/>
      <c r="B598" s="1284"/>
      <c r="C598" s="2062"/>
      <c r="D598" s="2062"/>
      <c r="E598" s="2062"/>
      <c r="F598" s="1297"/>
      <c r="G598" s="1418" t="s">
        <v>1015</v>
      </c>
      <c r="H598" s="1284"/>
      <c r="I598" s="1333"/>
      <c r="J598" s="1333"/>
      <c r="K598" s="1550"/>
      <c r="L598" s="1333"/>
      <c r="M598" s="1333"/>
      <c r="N598" s="1333"/>
      <c r="O598" s="1333"/>
      <c r="P598" s="1532"/>
      <c r="Q598" s="1532"/>
      <c r="R598" s="1532"/>
      <c r="S598" s="1532"/>
      <c r="T598" s="1415"/>
      <c r="U598" s="1285"/>
      <c r="V598" s="1285"/>
      <c r="W598" s="1351"/>
      <c r="X598" s="1351"/>
      <c r="Y598" s="1351"/>
      <c r="Z598" s="1333"/>
      <c r="AA598" s="1333"/>
      <c r="AB598" s="1333"/>
      <c r="AC598" s="1333"/>
      <c r="AD598" s="1333"/>
      <c r="AE598" s="1333"/>
      <c r="AF598" s="1333"/>
      <c r="AG598" s="1333"/>
      <c r="AH598" s="1333"/>
      <c r="AI598" s="1333"/>
      <c r="AJ598" s="1333"/>
      <c r="AX598" s="17"/>
      <c r="AY598" s="17"/>
    </row>
    <row r="599" spans="1:51" ht="15" hidden="1" customHeight="1" x14ac:dyDescent="0.3">
      <c r="A599" s="1331"/>
      <c r="B599" s="1284"/>
      <c r="C599" s="2062"/>
      <c r="D599" s="2062"/>
      <c r="E599" s="2062"/>
      <c r="F599" s="1297"/>
      <c r="G599" s="1418" t="s">
        <v>1012</v>
      </c>
      <c r="H599" s="1284"/>
      <c r="I599" s="1333"/>
      <c r="J599" s="1333"/>
      <c r="K599" s="1550"/>
      <c r="L599" s="1333"/>
      <c r="M599" s="1333"/>
      <c r="N599" s="1333"/>
      <c r="O599" s="1333"/>
      <c r="P599" s="1540"/>
      <c r="Q599" s="1540"/>
      <c r="R599" s="1540"/>
      <c r="S599" s="1534"/>
      <c r="T599" s="1535"/>
      <c r="U599" s="1539"/>
      <c r="V599" s="1285"/>
      <c r="W599" s="1351"/>
      <c r="X599" s="1351"/>
      <c r="Y599" s="1351"/>
      <c r="Z599" s="1333"/>
      <c r="AA599" s="1333"/>
      <c r="AB599" s="1333"/>
      <c r="AC599" s="1333"/>
      <c r="AD599" s="1333"/>
      <c r="AE599" s="1333"/>
      <c r="AF599" s="1333"/>
      <c r="AG599" s="1333"/>
      <c r="AH599" s="1333"/>
      <c r="AI599" s="1333"/>
      <c r="AJ599" s="1333"/>
      <c r="AX599" s="17"/>
      <c r="AY599" s="17"/>
    </row>
    <row r="600" spans="1:51" ht="15" hidden="1" customHeight="1" x14ac:dyDescent="0.3">
      <c r="A600" s="1331"/>
      <c r="B600" s="1284"/>
      <c r="C600" s="2062"/>
      <c r="D600" s="2062"/>
      <c r="E600" s="2062"/>
      <c r="F600" s="1297"/>
      <c r="G600" s="1660" t="s">
        <v>1013</v>
      </c>
      <c r="H600" s="1284"/>
      <c r="I600" s="1333"/>
      <c r="J600" s="1333"/>
      <c r="K600" s="1550"/>
      <c r="L600" s="1333"/>
      <c r="M600" s="1333"/>
      <c r="N600" s="1333"/>
      <c r="O600" s="1333"/>
      <c r="P600" s="1540"/>
      <c r="Q600" s="1540"/>
      <c r="R600" s="1540"/>
      <c r="S600" s="1541"/>
      <c r="T600" s="1535"/>
      <c r="U600" s="1285"/>
      <c r="V600" s="1285"/>
      <c r="W600" s="1351"/>
      <c r="X600" s="1351"/>
      <c r="Y600" s="1351"/>
      <c r="Z600" s="1333"/>
      <c r="AA600" s="1333"/>
      <c r="AB600" s="1333"/>
      <c r="AC600" s="1333"/>
      <c r="AD600" s="1333"/>
      <c r="AE600" s="1333"/>
      <c r="AF600" s="1333"/>
      <c r="AG600" s="1333"/>
      <c r="AH600" s="1333"/>
      <c r="AI600" s="1333"/>
      <c r="AJ600" s="1333"/>
      <c r="AX600" s="17"/>
      <c r="AY600" s="17"/>
    </row>
    <row r="601" spans="1:51" ht="15" hidden="1" customHeight="1" x14ac:dyDescent="0.3">
      <c r="A601" s="1331"/>
      <c r="B601" s="1284"/>
      <c r="C601" s="2062"/>
      <c r="D601" s="2062"/>
      <c r="E601" s="2062"/>
      <c r="F601" s="1297"/>
      <c r="G601" s="1660" t="s">
        <v>1014</v>
      </c>
      <c r="H601" s="1284"/>
      <c r="I601" s="1333"/>
      <c r="J601" s="1333"/>
      <c r="K601" s="1550"/>
      <c r="L601" s="1333"/>
      <c r="M601" s="1333"/>
      <c r="N601" s="1333"/>
      <c r="O601" s="1333"/>
      <c r="P601" s="1540"/>
      <c r="Q601" s="1540"/>
      <c r="R601" s="1540"/>
      <c r="S601" s="1541"/>
      <c r="T601" s="1535"/>
      <c r="U601" s="1285"/>
      <c r="V601" s="1285"/>
      <c r="W601" s="1351"/>
      <c r="X601" s="1351"/>
      <c r="Y601" s="1351"/>
      <c r="Z601" s="1333"/>
      <c r="AA601" s="1333"/>
      <c r="AB601" s="1333"/>
      <c r="AC601" s="1333"/>
      <c r="AD601" s="1333"/>
      <c r="AE601" s="1333"/>
      <c r="AF601" s="1333"/>
      <c r="AG601" s="1333"/>
      <c r="AH601" s="1333"/>
      <c r="AI601" s="1333"/>
      <c r="AJ601" s="1333"/>
      <c r="AX601" s="17"/>
      <c r="AY601" s="17"/>
    </row>
    <row r="602" spans="1:51" ht="15" hidden="1" customHeight="1" x14ac:dyDescent="0.3">
      <c r="A602" s="1331"/>
      <c r="B602" s="1284"/>
      <c r="C602" s="2062"/>
      <c r="D602" s="2062"/>
      <c r="E602" s="2062"/>
      <c r="F602" s="1297"/>
      <c r="G602" s="1418"/>
      <c r="H602" s="1284"/>
      <c r="I602" s="1333"/>
      <c r="J602" s="1333"/>
      <c r="K602" s="1550"/>
      <c r="L602" s="1333"/>
      <c r="M602" s="1333"/>
      <c r="N602" s="1333"/>
      <c r="O602" s="1333"/>
      <c r="P602" s="1540"/>
      <c r="Q602" s="1540"/>
      <c r="R602" s="1540"/>
      <c r="S602" s="1541"/>
      <c r="T602" s="1535"/>
      <c r="U602" s="1285"/>
      <c r="V602" s="1285"/>
      <c r="W602" s="1351"/>
      <c r="X602" s="1351"/>
      <c r="Y602" s="1351"/>
      <c r="Z602" s="1333"/>
      <c r="AA602" s="1333"/>
      <c r="AB602" s="1333"/>
      <c r="AC602" s="1333"/>
      <c r="AD602" s="1333"/>
      <c r="AE602" s="1333"/>
      <c r="AF602" s="1333"/>
      <c r="AG602" s="1333"/>
      <c r="AH602" s="1333"/>
      <c r="AI602" s="1333"/>
      <c r="AJ602" s="1333"/>
      <c r="AX602" s="17"/>
      <c r="AY602" s="17"/>
    </row>
    <row r="603" spans="1:51" ht="15" hidden="1" customHeight="1" x14ac:dyDescent="0.3">
      <c r="A603" s="1331"/>
      <c r="B603" s="1284"/>
      <c r="C603" s="2062">
        <v>42993</v>
      </c>
      <c r="D603" s="2062"/>
      <c r="E603" s="2062"/>
      <c r="F603" s="1297"/>
      <c r="G603" s="1297" t="s">
        <v>1084</v>
      </c>
      <c r="H603" s="1284"/>
      <c r="I603" s="1333"/>
      <c r="J603" s="1333"/>
      <c r="K603" s="1550"/>
      <c r="L603" s="1333"/>
      <c r="M603" s="1333"/>
      <c r="N603" s="1333"/>
      <c r="O603" s="1333"/>
      <c r="P603" s="1540"/>
      <c r="Q603" s="1540"/>
      <c r="R603" s="1540"/>
      <c r="S603" s="1541"/>
      <c r="T603" s="1535"/>
      <c r="U603" s="1285"/>
      <c r="V603" s="1285"/>
      <c r="W603" s="1351"/>
      <c r="X603" s="1351"/>
      <c r="Y603" s="1351"/>
      <c r="Z603" s="1333"/>
      <c r="AA603" s="1333"/>
      <c r="AB603" s="1333"/>
      <c r="AC603" s="1333"/>
      <c r="AD603" s="1333"/>
      <c r="AE603" s="1333"/>
      <c r="AF603" s="1333"/>
      <c r="AG603" s="1333"/>
      <c r="AH603" s="1333"/>
      <c r="AI603" s="1333"/>
      <c r="AJ603" s="1333"/>
      <c r="AX603" s="17"/>
      <c r="AY603" s="17"/>
    </row>
    <row r="604" spans="1:51" s="542" customFormat="1" ht="15" hidden="1" customHeight="1" x14ac:dyDescent="0.3">
      <c r="A604" s="1331"/>
      <c r="B604" s="1284"/>
      <c r="C604" s="2062"/>
      <c r="D604" s="2062"/>
      <c r="E604" s="2062"/>
      <c r="F604" s="1297"/>
      <c r="G604" s="1297"/>
      <c r="H604" s="1284"/>
      <c r="I604" s="1333"/>
      <c r="J604" s="1333"/>
      <c r="K604" s="1550"/>
      <c r="L604" s="1333"/>
      <c r="M604" s="1333"/>
      <c r="N604" s="1333"/>
      <c r="O604" s="1333"/>
      <c r="P604" s="1540"/>
      <c r="Q604" s="1540"/>
      <c r="R604" s="1540"/>
      <c r="S604" s="1541"/>
      <c r="T604" s="1535"/>
      <c r="U604" s="1285"/>
      <c r="V604" s="1285"/>
      <c r="W604" s="1351"/>
      <c r="X604" s="1351"/>
      <c r="Y604" s="1351"/>
      <c r="Z604" s="1333"/>
      <c r="AA604" s="1333"/>
      <c r="AB604" s="1333"/>
      <c r="AC604" s="1333"/>
      <c r="AD604" s="1333"/>
      <c r="AE604" s="1333"/>
      <c r="AF604" s="1333"/>
      <c r="AG604" s="1333"/>
      <c r="AH604" s="1333"/>
      <c r="AI604" s="1333"/>
      <c r="AJ604" s="1333"/>
      <c r="AK604" s="17"/>
      <c r="AL604" s="17"/>
      <c r="AM604" s="17"/>
      <c r="AN604" s="17"/>
      <c r="AO604" s="17"/>
      <c r="AP604" s="17"/>
      <c r="AQ604" s="17"/>
      <c r="AR604" s="17"/>
      <c r="AS604" s="17"/>
      <c r="AT604" s="17"/>
      <c r="AU604" s="17"/>
      <c r="AV604" s="17"/>
      <c r="AW604" s="17"/>
      <c r="AX604" s="17"/>
      <c r="AY604" s="17"/>
    </row>
    <row r="605" spans="1:51" s="542" customFormat="1" ht="15" hidden="1" customHeight="1" x14ac:dyDescent="0.3">
      <c r="A605" s="1331"/>
      <c r="B605" s="1284"/>
      <c r="C605" s="2062">
        <v>43084</v>
      </c>
      <c r="D605" s="2062"/>
      <c r="E605" s="2062"/>
      <c r="F605" s="1297"/>
      <c r="G605" s="1297" t="s">
        <v>1127</v>
      </c>
      <c r="H605" s="1284"/>
      <c r="I605" s="1333"/>
      <c r="J605" s="1333"/>
      <c r="K605" s="1550"/>
      <c r="L605" s="1333"/>
      <c r="M605" s="1333"/>
      <c r="N605" s="1333"/>
      <c r="O605" s="1333"/>
      <c r="P605" s="1540"/>
      <c r="Q605" s="1540"/>
      <c r="R605" s="1540"/>
      <c r="S605" s="1541"/>
      <c r="T605" s="1535"/>
      <c r="U605" s="1285"/>
      <c r="V605" s="1285"/>
      <c r="W605" s="1351"/>
      <c r="X605" s="1351"/>
      <c r="Y605" s="1351"/>
      <c r="Z605" s="1333"/>
      <c r="AA605" s="1333"/>
      <c r="AB605" s="1333"/>
      <c r="AC605" s="1333"/>
      <c r="AD605" s="1333"/>
      <c r="AE605" s="1333"/>
      <c r="AF605" s="1333"/>
      <c r="AG605" s="1333"/>
      <c r="AH605" s="1333"/>
      <c r="AI605" s="1333"/>
      <c r="AJ605" s="1333"/>
      <c r="AK605" s="17"/>
      <c r="AL605" s="17"/>
      <c r="AM605" s="17"/>
      <c r="AN605" s="17"/>
      <c r="AO605" s="17"/>
      <c r="AP605" s="17"/>
      <c r="AQ605" s="17"/>
      <c r="AR605" s="17"/>
      <c r="AS605" s="17"/>
      <c r="AT605" s="17"/>
      <c r="AU605" s="17"/>
      <c r="AV605" s="17"/>
      <c r="AW605" s="17"/>
      <c r="AX605" s="17"/>
      <c r="AY605" s="17"/>
    </row>
    <row r="606" spans="1:51" s="542" customFormat="1" ht="15" hidden="1" customHeight="1" x14ac:dyDescent="0.3">
      <c r="A606" s="1331"/>
      <c r="B606" s="1284"/>
      <c r="C606" s="2062"/>
      <c r="D606" s="2062"/>
      <c r="E606" s="2062"/>
      <c r="F606" s="1297"/>
      <c r="G606" s="1297"/>
      <c r="H606" s="1284"/>
      <c r="I606" s="1333"/>
      <c r="J606" s="1333"/>
      <c r="K606" s="1550"/>
      <c r="L606" s="1333"/>
      <c r="M606" s="1333"/>
      <c r="N606" s="1333"/>
      <c r="O606" s="1333"/>
      <c r="P606" s="1540"/>
      <c r="Q606" s="1540"/>
      <c r="R606" s="1540"/>
      <c r="S606" s="1541"/>
      <c r="T606" s="1535"/>
      <c r="U606" s="1285"/>
      <c r="V606" s="1285"/>
      <c r="W606" s="1351"/>
      <c r="X606" s="1351"/>
      <c r="Y606" s="1351"/>
      <c r="Z606" s="1333"/>
      <c r="AA606" s="1333"/>
      <c r="AB606" s="1333"/>
      <c r="AC606" s="1333"/>
      <c r="AD606" s="1333"/>
      <c r="AE606" s="1333"/>
      <c r="AF606" s="1333"/>
      <c r="AG606" s="1333"/>
      <c r="AH606" s="1333"/>
      <c r="AI606" s="1333"/>
      <c r="AJ606" s="1333"/>
      <c r="AK606" s="17"/>
      <c r="AL606" s="17"/>
      <c r="AM606" s="17"/>
      <c r="AN606" s="17"/>
      <c r="AO606" s="17"/>
      <c r="AP606" s="17"/>
      <c r="AQ606" s="17"/>
      <c r="AR606" s="17"/>
      <c r="AS606" s="17"/>
      <c r="AT606" s="17"/>
      <c r="AU606" s="17"/>
      <c r="AV606" s="17"/>
      <c r="AW606" s="17"/>
      <c r="AX606" s="17"/>
      <c r="AY606" s="17"/>
    </row>
    <row r="607" spans="1:51" s="542" customFormat="1" ht="15" customHeight="1" x14ac:dyDescent="0.3">
      <c r="A607" s="1331"/>
      <c r="B607" s="1284"/>
      <c r="C607" s="2062"/>
      <c r="D607" s="2062"/>
      <c r="E607" s="2062"/>
      <c r="F607" s="1297"/>
      <c r="G607" s="1297"/>
      <c r="H607" s="1284"/>
      <c r="I607" s="1333"/>
      <c r="J607" s="1333"/>
      <c r="K607" s="1550"/>
      <c r="L607" s="1333"/>
      <c r="M607" s="1333"/>
      <c r="N607" s="1333"/>
      <c r="O607" s="1333"/>
      <c r="P607" s="1540"/>
      <c r="Q607" s="1540"/>
      <c r="R607" s="1540"/>
      <c r="S607" s="1541"/>
      <c r="T607" s="1535"/>
      <c r="U607" s="1285"/>
      <c r="V607" s="1285"/>
      <c r="W607" s="1351"/>
      <c r="X607" s="1351"/>
      <c r="Y607" s="1351"/>
      <c r="Z607" s="1333"/>
      <c r="AA607" s="1333"/>
      <c r="AB607" s="1333"/>
      <c r="AC607" s="1333"/>
      <c r="AD607" s="1333"/>
      <c r="AE607" s="1333"/>
      <c r="AF607" s="1333"/>
      <c r="AG607" s="1333"/>
      <c r="AH607" s="1333"/>
      <c r="AI607" s="1333"/>
      <c r="AJ607" s="1333"/>
      <c r="AK607" s="17"/>
      <c r="AL607" s="17"/>
      <c r="AM607" s="17"/>
      <c r="AN607" s="17"/>
      <c r="AO607" s="17"/>
      <c r="AP607" s="17"/>
      <c r="AQ607" s="17"/>
      <c r="AR607" s="17"/>
      <c r="AS607" s="17"/>
      <c r="AT607" s="17"/>
      <c r="AU607" s="17"/>
      <c r="AV607" s="17"/>
      <c r="AW607" s="17"/>
      <c r="AX607" s="17"/>
      <c r="AY607" s="17"/>
    </row>
    <row r="608" spans="1:51" s="542" customFormat="1" ht="15" customHeight="1" x14ac:dyDescent="0.3">
      <c r="A608" s="1331"/>
      <c r="B608" s="1284"/>
      <c r="C608" s="2062"/>
      <c r="D608" s="2062"/>
      <c r="E608" s="2062"/>
      <c r="F608" s="1297"/>
      <c r="G608" s="1297"/>
      <c r="H608" s="1284"/>
      <c r="I608" s="1333"/>
      <c r="J608" s="1333"/>
      <c r="K608" s="1550"/>
      <c r="L608" s="1333"/>
      <c r="M608" s="1333"/>
      <c r="N608" s="1333"/>
      <c r="O608" s="1333"/>
      <c r="P608" s="1540"/>
      <c r="Q608" s="1540"/>
      <c r="R608" s="1540"/>
      <c r="S608" s="1541"/>
      <c r="T608" s="1535"/>
      <c r="U608" s="1285"/>
      <c r="V608" s="1285"/>
      <c r="W608" s="1351"/>
      <c r="X608" s="1351"/>
      <c r="Y608" s="1351"/>
      <c r="Z608" s="1333"/>
      <c r="AA608" s="1333"/>
      <c r="AB608" s="1333"/>
      <c r="AC608" s="1333"/>
      <c r="AD608" s="1333"/>
      <c r="AE608" s="1333"/>
      <c r="AF608" s="1333"/>
      <c r="AG608" s="1333"/>
      <c r="AH608" s="1333"/>
      <c r="AI608" s="1333"/>
      <c r="AJ608" s="1333"/>
      <c r="AK608" s="17"/>
      <c r="AL608" s="17"/>
      <c r="AM608" s="17"/>
      <c r="AN608" s="17"/>
      <c r="AO608" s="17"/>
      <c r="AP608" s="17"/>
      <c r="AQ608" s="17"/>
      <c r="AR608" s="17"/>
      <c r="AS608" s="17"/>
      <c r="AT608" s="17"/>
      <c r="AU608" s="17"/>
      <c r="AV608" s="17"/>
      <c r="AW608" s="17"/>
      <c r="AX608" s="17"/>
      <c r="AY608" s="17"/>
    </row>
    <row r="609" spans="1:51" s="542" customFormat="1" ht="15" customHeight="1" x14ac:dyDescent="0.3">
      <c r="A609" s="1331"/>
      <c r="B609" s="1284"/>
      <c r="C609" s="2062"/>
      <c r="D609" s="2062"/>
      <c r="E609" s="2062"/>
      <c r="F609" s="1297"/>
      <c r="G609" s="1297"/>
      <c r="H609" s="1284"/>
      <c r="I609" s="1333"/>
      <c r="J609" s="1333"/>
      <c r="K609" s="1550"/>
      <c r="L609" s="1333"/>
      <c r="M609" s="1333"/>
      <c r="N609" s="1333"/>
      <c r="O609" s="1333"/>
      <c r="P609" s="1540"/>
      <c r="Q609" s="1540"/>
      <c r="R609" s="1540"/>
      <c r="S609" s="1541"/>
      <c r="T609" s="1535"/>
      <c r="U609" s="1285"/>
      <c r="V609" s="1285"/>
      <c r="W609" s="1351"/>
      <c r="X609" s="1351"/>
      <c r="Y609" s="1351"/>
      <c r="Z609" s="1333"/>
      <c r="AA609" s="1333"/>
      <c r="AB609" s="1333"/>
      <c r="AC609" s="1333"/>
      <c r="AD609" s="1333"/>
      <c r="AE609" s="1333"/>
      <c r="AF609" s="1333"/>
      <c r="AG609" s="1333"/>
      <c r="AH609" s="1333"/>
      <c r="AI609" s="1333"/>
      <c r="AJ609" s="1333"/>
      <c r="AK609" s="17"/>
      <c r="AL609" s="17"/>
      <c r="AM609" s="17"/>
      <c r="AN609" s="17"/>
      <c r="AO609" s="17"/>
      <c r="AP609" s="17"/>
      <c r="AQ609" s="17"/>
      <c r="AR609" s="17"/>
      <c r="AS609" s="17"/>
      <c r="AT609" s="17"/>
      <c r="AU609" s="17"/>
      <c r="AV609" s="17"/>
      <c r="AW609" s="17"/>
      <c r="AX609" s="17"/>
      <c r="AY609" s="17"/>
    </row>
    <row r="610" spans="1:51" s="542" customFormat="1" ht="15" customHeight="1" x14ac:dyDescent="0.3">
      <c r="A610" s="1331"/>
      <c r="B610" s="1284"/>
      <c r="C610" s="2062"/>
      <c r="D610" s="2062"/>
      <c r="E610" s="2062"/>
      <c r="F610" s="1297"/>
      <c r="G610" s="1297"/>
      <c r="H610" s="1284"/>
      <c r="I610" s="1333"/>
      <c r="J610" s="1333"/>
      <c r="K610" s="1550"/>
      <c r="L610" s="1333"/>
      <c r="M610" s="1333"/>
      <c r="N610" s="1333"/>
      <c r="O610" s="1333"/>
      <c r="P610" s="1540"/>
      <c r="Q610" s="1540"/>
      <c r="R610" s="1540"/>
      <c r="S610" s="1541"/>
      <c r="T610" s="1535"/>
      <c r="U610" s="1285"/>
      <c r="V610" s="1285"/>
      <c r="W610" s="1351"/>
      <c r="X610" s="1351"/>
      <c r="Y610" s="1351"/>
      <c r="Z610" s="1333"/>
      <c r="AA610" s="1333"/>
      <c r="AB610" s="1333"/>
      <c r="AC610" s="1333"/>
      <c r="AD610" s="1333"/>
      <c r="AE610" s="1333"/>
      <c r="AF610" s="1333"/>
      <c r="AG610" s="1333"/>
      <c r="AH610" s="1333"/>
      <c r="AI610" s="1333"/>
      <c r="AJ610" s="1333"/>
      <c r="AK610" s="17"/>
      <c r="AL610" s="17"/>
      <c r="AM610" s="17"/>
      <c r="AN610" s="17"/>
      <c r="AO610" s="17"/>
      <c r="AP610" s="17"/>
      <c r="AQ610" s="17"/>
      <c r="AR610" s="17"/>
      <c r="AS610" s="17"/>
      <c r="AT610" s="17"/>
      <c r="AU610" s="17"/>
      <c r="AV610" s="17"/>
      <c r="AW610" s="17"/>
      <c r="AX610" s="17"/>
      <c r="AY610" s="17"/>
    </row>
    <row r="611" spans="1:51" s="542" customFormat="1" ht="15" customHeight="1" x14ac:dyDescent="0.3">
      <c r="A611" s="1331"/>
      <c r="B611" s="1284"/>
      <c r="C611" s="2062"/>
      <c r="D611" s="2062"/>
      <c r="E611" s="2062"/>
      <c r="F611" s="1297"/>
      <c r="G611" s="1297"/>
      <c r="H611" s="1284"/>
      <c r="I611" s="1333"/>
      <c r="J611" s="1333"/>
      <c r="K611" s="1550"/>
      <c r="L611" s="1333"/>
      <c r="M611" s="1333"/>
      <c r="N611" s="1333"/>
      <c r="O611" s="1333"/>
      <c r="P611" s="1540"/>
      <c r="Q611" s="1540"/>
      <c r="R611" s="1540"/>
      <c r="S611" s="1541"/>
      <c r="T611" s="1535"/>
      <c r="U611" s="1285"/>
      <c r="V611" s="1285"/>
      <c r="W611" s="1351"/>
      <c r="X611" s="1351"/>
      <c r="Y611" s="1351"/>
      <c r="Z611" s="1333"/>
      <c r="AA611" s="1333"/>
      <c r="AB611" s="1333"/>
      <c r="AC611" s="1333"/>
      <c r="AD611" s="1333"/>
      <c r="AE611" s="1333"/>
      <c r="AF611" s="1333"/>
      <c r="AG611" s="1333"/>
      <c r="AH611" s="1333"/>
      <c r="AI611" s="1333"/>
      <c r="AJ611" s="1333"/>
      <c r="AK611" s="17"/>
      <c r="AL611" s="17"/>
      <c r="AM611" s="17"/>
      <c r="AN611" s="17"/>
      <c r="AO611" s="17"/>
      <c r="AP611" s="17"/>
      <c r="AQ611" s="17"/>
      <c r="AR611" s="17"/>
      <c r="AS611" s="17"/>
      <c r="AT611" s="17"/>
      <c r="AU611" s="17"/>
      <c r="AV611" s="17"/>
      <c r="AW611" s="17"/>
      <c r="AX611" s="17"/>
      <c r="AY611" s="17"/>
    </row>
    <row r="612" spans="1:51" s="542" customFormat="1" ht="15" customHeight="1" x14ac:dyDescent="0.3">
      <c r="A612" s="1331"/>
      <c r="B612" s="1284"/>
      <c r="C612" s="2062"/>
      <c r="D612" s="2062"/>
      <c r="E612" s="2062"/>
      <c r="F612" s="1297"/>
      <c r="G612" s="1297"/>
      <c r="H612" s="1284"/>
      <c r="I612" s="1333"/>
      <c r="J612" s="1333"/>
      <c r="K612" s="1550"/>
      <c r="L612" s="1333"/>
      <c r="M612" s="1333"/>
      <c r="N612" s="1333"/>
      <c r="O612" s="1333"/>
      <c r="P612" s="1540"/>
      <c r="Q612" s="1540"/>
      <c r="R612" s="1540"/>
      <c r="S612" s="1541"/>
      <c r="T612" s="1535"/>
      <c r="U612" s="1285"/>
      <c r="V612" s="1285"/>
      <c r="W612" s="1351"/>
      <c r="X612" s="1351"/>
      <c r="Y612" s="1351"/>
      <c r="Z612" s="1333"/>
      <c r="AA612" s="1333"/>
      <c r="AB612" s="1333"/>
      <c r="AC612" s="1333"/>
      <c r="AD612" s="1333"/>
      <c r="AE612" s="1333"/>
      <c r="AF612" s="1333"/>
      <c r="AG612" s="1333"/>
      <c r="AH612" s="1333"/>
      <c r="AI612" s="1333"/>
      <c r="AJ612" s="1333"/>
      <c r="AK612" s="17"/>
      <c r="AL612" s="17"/>
      <c r="AM612" s="17"/>
      <c r="AN612" s="17"/>
      <c r="AO612" s="17"/>
      <c r="AP612" s="17"/>
      <c r="AQ612" s="17"/>
      <c r="AR612" s="17"/>
      <c r="AS612" s="17"/>
      <c r="AT612" s="17"/>
      <c r="AU612" s="17"/>
      <c r="AV612" s="17"/>
      <c r="AW612" s="17"/>
      <c r="AX612" s="17"/>
      <c r="AY612" s="17"/>
    </row>
    <row r="613" spans="1:51" s="542" customFormat="1" ht="15" customHeight="1" x14ac:dyDescent="0.3">
      <c r="A613" s="1331"/>
      <c r="B613" s="1284"/>
      <c r="C613" s="2062"/>
      <c r="D613" s="2062"/>
      <c r="E613" s="2062"/>
      <c r="F613" s="1297"/>
      <c r="G613" s="1297"/>
      <c r="H613" s="1284"/>
      <c r="I613" s="1333"/>
      <c r="J613" s="1333"/>
      <c r="K613" s="1550"/>
      <c r="L613" s="1333"/>
      <c r="M613" s="1333"/>
      <c r="N613" s="1333"/>
      <c r="O613" s="1333"/>
      <c r="P613" s="1540"/>
      <c r="Q613" s="1540"/>
      <c r="R613" s="1540"/>
      <c r="S613" s="1541"/>
      <c r="T613" s="1535"/>
      <c r="U613" s="1285"/>
      <c r="V613" s="1285"/>
      <c r="W613" s="1351"/>
      <c r="X613" s="1351"/>
      <c r="Y613" s="1351"/>
      <c r="Z613" s="1333"/>
      <c r="AA613" s="1333"/>
      <c r="AB613" s="1333"/>
      <c r="AC613" s="1333"/>
      <c r="AD613" s="1333"/>
      <c r="AE613" s="1333"/>
      <c r="AF613" s="1333"/>
      <c r="AG613" s="1333"/>
      <c r="AH613" s="1333"/>
      <c r="AI613" s="1333"/>
      <c r="AJ613" s="1333"/>
      <c r="AK613" s="17"/>
      <c r="AL613" s="17"/>
      <c r="AM613" s="17"/>
      <c r="AN613" s="17"/>
      <c r="AO613" s="17"/>
      <c r="AP613" s="17"/>
      <c r="AQ613" s="17"/>
      <c r="AR613" s="17"/>
      <c r="AS613" s="17"/>
      <c r="AT613" s="17"/>
      <c r="AU613" s="17"/>
      <c r="AV613" s="17"/>
      <c r="AW613" s="17"/>
      <c r="AX613" s="17"/>
      <c r="AY613" s="17"/>
    </row>
    <row r="614" spans="1:51" s="542" customFormat="1" ht="15" customHeight="1" x14ac:dyDescent="0.3">
      <c r="A614" s="1331"/>
      <c r="B614" s="1284"/>
      <c r="C614" s="2062"/>
      <c r="D614" s="2062"/>
      <c r="E614" s="2062"/>
      <c r="F614" s="1297"/>
      <c r="G614" s="1297"/>
      <c r="H614" s="1284"/>
      <c r="I614" s="1333"/>
      <c r="J614" s="1333"/>
      <c r="K614" s="1550"/>
      <c r="L614" s="1333"/>
      <c r="M614" s="1333"/>
      <c r="N614" s="1333"/>
      <c r="O614" s="1333"/>
      <c r="P614" s="1540"/>
      <c r="Q614" s="1540"/>
      <c r="R614" s="1540"/>
      <c r="S614" s="1541"/>
      <c r="T614" s="1535"/>
      <c r="U614" s="1285"/>
      <c r="V614" s="1285"/>
      <c r="W614" s="1351"/>
      <c r="X614" s="1351"/>
      <c r="Y614" s="1351"/>
      <c r="Z614" s="1333"/>
      <c r="AA614" s="1333"/>
      <c r="AB614" s="1333"/>
      <c r="AC614" s="1333"/>
      <c r="AD614" s="1333"/>
      <c r="AE614" s="1333"/>
      <c r="AF614" s="1333"/>
      <c r="AG614" s="1333"/>
      <c r="AH614" s="1333"/>
      <c r="AI614" s="1333"/>
      <c r="AJ614" s="1333"/>
      <c r="AK614" s="17"/>
      <c r="AL614" s="17"/>
      <c r="AM614" s="17"/>
      <c r="AN614" s="17"/>
      <c r="AO614" s="17"/>
      <c r="AP614" s="17"/>
      <c r="AQ614" s="17"/>
      <c r="AR614" s="17"/>
      <c r="AS614" s="17"/>
      <c r="AT614" s="17"/>
      <c r="AU614" s="17"/>
      <c r="AV614" s="17"/>
      <c r="AW614" s="17"/>
      <c r="AX614" s="17"/>
      <c r="AY614" s="17"/>
    </row>
    <row r="615" spans="1:51" s="542" customFormat="1" ht="15" customHeight="1" x14ac:dyDescent="0.3">
      <c r="A615" s="1331"/>
      <c r="B615" s="1284"/>
      <c r="C615" s="2062"/>
      <c r="D615" s="2062"/>
      <c r="E615" s="2062"/>
      <c r="F615" s="1297"/>
      <c r="G615" s="1297"/>
      <c r="H615" s="1284"/>
      <c r="I615" s="1333"/>
      <c r="J615" s="1333"/>
      <c r="K615" s="1550"/>
      <c r="L615" s="1333"/>
      <c r="M615" s="1333"/>
      <c r="N615" s="1333"/>
      <c r="O615" s="1333"/>
      <c r="P615" s="1540"/>
      <c r="Q615" s="1540"/>
      <c r="R615" s="1540"/>
      <c r="S615" s="1541"/>
      <c r="T615" s="1535"/>
      <c r="U615" s="1285"/>
      <c r="V615" s="1285"/>
      <c r="W615" s="1351"/>
      <c r="X615" s="1351"/>
      <c r="Y615" s="1351"/>
      <c r="Z615" s="1333"/>
      <c r="AA615" s="1333"/>
      <c r="AB615" s="1333"/>
      <c r="AC615" s="1333"/>
      <c r="AD615" s="1333"/>
      <c r="AE615" s="1333"/>
      <c r="AF615" s="1333"/>
      <c r="AG615" s="1333"/>
      <c r="AH615" s="1333"/>
      <c r="AI615" s="1333"/>
      <c r="AJ615" s="1333"/>
      <c r="AK615" s="17"/>
      <c r="AL615" s="17"/>
      <c r="AM615" s="17"/>
      <c r="AN615" s="17"/>
      <c r="AO615" s="17"/>
      <c r="AP615" s="17"/>
      <c r="AQ615" s="17"/>
      <c r="AR615" s="17"/>
      <c r="AS615" s="17"/>
      <c r="AT615" s="17"/>
      <c r="AU615" s="17"/>
      <c r="AV615" s="17"/>
      <c r="AW615" s="17"/>
      <c r="AX615" s="17"/>
      <c r="AY615" s="17"/>
    </row>
    <row r="616" spans="1:51" s="542" customFormat="1" ht="15" customHeight="1" x14ac:dyDescent="0.3">
      <c r="A616" s="1331"/>
      <c r="B616" s="1284"/>
      <c r="C616" s="2062"/>
      <c r="D616" s="2062"/>
      <c r="E616" s="2062"/>
      <c r="F616" s="1297"/>
      <c r="G616" s="1297"/>
      <c r="H616" s="1284"/>
      <c r="I616" s="1333"/>
      <c r="J616" s="1333"/>
      <c r="K616" s="1550"/>
      <c r="L616" s="1333"/>
      <c r="M616" s="1333"/>
      <c r="N616" s="1333"/>
      <c r="O616" s="1333"/>
      <c r="P616" s="1540"/>
      <c r="Q616" s="1540"/>
      <c r="R616" s="1540"/>
      <c r="S616" s="1541"/>
      <c r="T616" s="1535"/>
      <c r="U616" s="1285"/>
      <c r="V616" s="1285"/>
      <c r="W616" s="1351"/>
      <c r="X616" s="1351"/>
      <c r="Y616" s="1351"/>
      <c r="Z616" s="1333"/>
      <c r="AA616" s="1333"/>
      <c r="AB616" s="1333"/>
      <c r="AC616" s="1333"/>
      <c r="AD616" s="1333"/>
      <c r="AE616" s="1333"/>
      <c r="AF616" s="1333"/>
      <c r="AG616" s="1333"/>
      <c r="AH616" s="1333"/>
      <c r="AI616" s="1333"/>
      <c r="AJ616" s="1333"/>
      <c r="AK616" s="17"/>
      <c r="AL616" s="17"/>
      <c r="AM616" s="17"/>
      <c r="AN616" s="17"/>
      <c r="AO616" s="17"/>
      <c r="AP616" s="17"/>
      <c r="AQ616" s="17"/>
      <c r="AR616" s="17"/>
      <c r="AS616" s="17"/>
      <c r="AT616" s="17"/>
      <c r="AU616" s="17"/>
      <c r="AV616" s="17"/>
      <c r="AW616" s="17"/>
      <c r="AX616" s="17"/>
      <c r="AY616" s="17"/>
    </row>
    <row r="617" spans="1:51" s="542" customFormat="1" ht="15" customHeight="1" x14ac:dyDescent="0.3">
      <c r="A617" s="1331"/>
      <c r="B617" s="1284"/>
      <c r="C617" s="2062"/>
      <c r="D617" s="2062"/>
      <c r="E617" s="2062"/>
      <c r="F617" s="1297"/>
      <c r="G617" s="1297"/>
      <c r="H617" s="1284"/>
      <c r="I617" s="1333"/>
      <c r="J617" s="1333"/>
      <c r="K617" s="1550"/>
      <c r="L617" s="1333"/>
      <c r="M617" s="1333"/>
      <c r="N617" s="1333"/>
      <c r="O617" s="1333"/>
      <c r="P617" s="1540"/>
      <c r="Q617" s="1540"/>
      <c r="R617" s="1540"/>
      <c r="S617" s="1541"/>
      <c r="T617" s="1535"/>
      <c r="U617" s="1285"/>
      <c r="V617" s="1285"/>
      <c r="W617" s="1351"/>
      <c r="X617" s="1351"/>
      <c r="Y617" s="1351"/>
      <c r="Z617" s="1333"/>
      <c r="AA617" s="1333"/>
      <c r="AB617" s="1333"/>
      <c r="AC617" s="1333"/>
      <c r="AD617" s="1333"/>
      <c r="AE617" s="1333"/>
      <c r="AF617" s="1333"/>
      <c r="AG617" s="1333"/>
      <c r="AH617" s="1333"/>
      <c r="AI617" s="1333"/>
      <c r="AJ617" s="1333"/>
      <c r="AK617" s="17"/>
      <c r="AL617" s="17"/>
      <c r="AM617" s="17"/>
      <c r="AN617" s="17"/>
      <c r="AO617" s="17"/>
      <c r="AP617" s="17"/>
      <c r="AQ617" s="17"/>
      <c r="AR617" s="17"/>
      <c r="AS617" s="17"/>
      <c r="AT617" s="17"/>
      <c r="AU617" s="17"/>
      <c r="AV617" s="17"/>
      <c r="AW617" s="17"/>
      <c r="AX617" s="17"/>
      <c r="AY617" s="17"/>
    </row>
    <row r="618" spans="1:51" s="542" customFormat="1" ht="15" customHeight="1" x14ac:dyDescent="0.3">
      <c r="A618" s="1331"/>
      <c r="B618" s="1284"/>
      <c r="C618" s="2062"/>
      <c r="D618" s="2062"/>
      <c r="E618" s="2062"/>
      <c r="F618" s="1297"/>
      <c r="G618" s="1297"/>
      <c r="H618" s="1284"/>
      <c r="I618" s="1333"/>
      <c r="J618" s="1333"/>
      <c r="K618" s="1550"/>
      <c r="L618" s="1333"/>
      <c r="M618" s="1333"/>
      <c r="N618" s="1333"/>
      <c r="O618" s="1333"/>
      <c r="P618" s="1540"/>
      <c r="Q618" s="1540"/>
      <c r="R618" s="1540"/>
      <c r="S618" s="1541"/>
      <c r="T618" s="1535"/>
      <c r="U618" s="1285"/>
      <c r="V618" s="1285"/>
      <c r="W618" s="1351"/>
      <c r="X618" s="1351"/>
      <c r="Y618" s="1351"/>
      <c r="Z618" s="1333"/>
      <c r="AA618" s="1333"/>
      <c r="AB618" s="1333"/>
      <c r="AC618" s="1333"/>
      <c r="AD618" s="1333"/>
      <c r="AE618" s="1333"/>
      <c r="AF618" s="1333"/>
      <c r="AG618" s="1333"/>
      <c r="AH618" s="1333"/>
      <c r="AI618" s="1333"/>
      <c r="AJ618" s="1333"/>
      <c r="AK618" s="17"/>
      <c r="AL618" s="17"/>
      <c r="AM618" s="17"/>
      <c r="AN618" s="17"/>
      <c r="AO618" s="17"/>
      <c r="AP618" s="17"/>
      <c r="AQ618" s="17"/>
      <c r="AR618" s="17"/>
      <c r="AS618" s="17"/>
      <c r="AT618" s="17"/>
      <c r="AU618" s="17"/>
      <c r="AV618" s="17"/>
      <c r="AW618" s="17"/>
      <c r="AX618" s="17"/>
      <c r="AY618" s="17"/>
    </row>
    <row r="619" spans="1:51" s="542" customFormat="1" ht="15" customHeight="1" x14ac:dyDescent="0.3">
      <c r="A619" s="1331"/>
      <c r="B619" s="1284"/>
      <c r="C619" s="2062"/>
      <c r="D619" s="2062"/>
      <c r="E619" s="2062"/>
      <c r="F619" s="1297"/>
      <c r="G619" s="1297"/>
      <c r="H619" s="1284"/>
      <c r="I619" s="1333"/>
      <c r="J619" s="1333"/>
      <c r="K619" s="1550"/>
      <c r="L619" s="1333"/>
      <c r="M619" s="1333"/>
      <c r="N619" s="1333"/>
      <c r="O619" s="1333"/>
      <c r="P619" s="1540"/>
      <c r="Q619" s="1540"/>
      <c r="R619" s="1540"/>
      <c r="S619" s="1541"/>
      <c r="T619" s="1535"/>
      <c r="U619" s="1285"/>
      <c r="V619" s="1285"/>
      <c r="W619" s="1351"/>
      <c r="X619" s="1351"/>
      <c r="Y619" s="1351"/>
      <c r="Z619" s="1333"/>
      <c r="AA619" s="1333"/>
      <c r="AB619" s="1333"/>
      <c r="AC619" s="1333"/>
      <c r="AD619" s="1333"/>
      <c r="AE619" s="1333"/>
      <c r="AF619" s="1333"/>
      <c r="AG619" s="1333"/>
      <c r="AH619" s="1333"/>
      <c r="AI619" s="1333"/>
      <c r="AJ619" s="1333"/>
      <c r="AK619" s="17"/>
      <c r="AL619" s="17"/>
      <c r="AM619" s="17"/>
      <c r="AN619" s="17"/>
      <c r="AO619" s="17"/>
      <c r="AP619" s="17"/>
      <c r="AQ619" s="17"/>
      <c r="AR619" s="17"/>
      <c r="AS619" s="17"/>
      <c r="AT619" s="17"/>
      <c r="AU619" s="17"/>
      <c r="AV619" s="17"/>
      <c r="AW619" s="17"/>
      <c r="AX619" s="17"/>
      <c r="AY619" s="17"/>
    </row>
    <row r="620" spans="1:51" s="542" customFormat="1" ht="15" customHeight="1" x14ac:dyDescent="0.3">
      <c r="A620" s="1331"/>
      <c r="B620" s="1284"/>
      <c r="C620" s="2062"/>
      <c r="D620" s="2062"/>
      <c r="E620" s="2062"/>
      <c r="F620" s="1297"/>
      <c r="G620" s="1297"/>
      <c r="H620" s="1284"/>
      <c r="I620" s="1333"/>
      <c r="J620" s="1333"/>
      <c r="K620" s="1550"/>
      <c r="L620" s="1333"/>
      <c r="M620" s="1333"/>
      <c r="N620" s="1333"/>
      <c r="O620" s="1333"/>
      <c r="P620" s="1540"/>
      <c r="Q620" s="1540"/>
      <c r="R620" s="1540"/>
      <c r="S620" s="1541"/>
      <c r="T620" s="1535"/>
      <c r="U620" s="1285"/>
      <c r="V620" s="1285"/>
      <c r="W620" s="1351"/>
      <c r="X620" s="1351"/>
      <c r="Y620" s="1351"/>
      <c r="Z620" s="1333"/>
      <c r="AA620" s="1333"/>
      <c r="AB620" s="1333"/>
      <c r="AC620" s="1333"/>
      <c r="AD620" s="1333"/>
      <c r="AE620" s="1333"/>
      <c r="AF620" s="1333"/>
      <c r="AG620" s="1333"/>
      <c r="AH620" s="1333"/>
      <c r="AI620" s="1333"/>
      <c r="AJ620" s="1333"/>
      <c r="AK620" s="17"/>
      <c r="AL620" s="17"/>
      <c r="AM620" s="17"/>
      <c r="AN620" s="17"/>
      <c r="AO620" s="17"/>
      <c r="AP620" s="17"/>
      <c r="AQ620" s="17"/>
      <c r="AR620" s="17"/>
      <c r="AS620" s="17"/>
      <c r="AT620" s="17"/>
      <c r="AU620" s="17"/>
      <c r="AV620" s="17"/>
      <c r="AW620" s="17"/>
      <c r="AX620" s="17"/>
      <c r="AY620" s="17"/>
    </row>
    <row r="621" spans="1:51" s="542" customFormat="1" ht="15" customHeight="1" x14ac:dyDescent="0.3">
      <c r="A621" s="1331"/>
      <c r="B621" s="1284"/>
      <c r="C621" s="2062"/>
      <c r="D621" s="2062"/>
      <c r="E621" s="2062"/>
      <c r="F621" s="1297"/>
      <c r="G621" s="1297"/>
      <c r="H621" s="1284"/>
      <c r="I621" s="1333"/>
      <c r="J621" s="1333"/>
      <c r="K621" s="1550"/>
      <c r="L621" s="1333"/>
      <c r="M621" s="1333"/>
      <c r="N621" s="1333"/>
      <c r="O621" s="1333"/>
      <c r="P621" s="1540"/>
      <c r="Q621" s="1540"/>
      <c r="R621" s="1540"/>
      <c r="S621" s="1541"/>
      <c r="T621" s="1535"/>
      <c r="U621" s="1285"/>
      <c r="V621" s="1285"/>
      <c r="W621" s="1351"/>
      <c r="X621" s="1351"/>
      <c r="Y621" s="1351"/>
      <c r="Z621" s="1333"/>
      <c r="AA621" s="1333"/>
      <c r="AB621" s="1333"/>
      <c r="AC621" s="1333"/>
      <c r="AD621" s="1333"/>
      <c r="AE621" s="1333"/>
      <c r="AF621" s="1333"/>
      <c r="AG621" s="1333"/>
      <c r="AH621" s="1333"/>
      <c r="AI621" s="1333"/>
      <c r="AJ621" s="1333"/>
      <c r="AK621" s="17"/>
      <c r="AL621" s="17"/>
      <c r="AM621" s="17"/>
      <c r="AN621" s="17"/>
      <c r="AO621" s="17"/>
      <c r="AP621" s="17"/>
      <c r="AQ621" s="17"/>
      <c r="AR621" s="17"/>
      <c r="AS621" s="17"/>
      <c r="AT621" s="17"/>
      <c r="AU621" s="17"/>
      <c r="AV621" s="17"/>
      <c r="AW621" s="17"/>
      <c r="AX621" s="17"/>
      <c r="AY621" s="17"/>
    </row>
    <row r="622" spans="1:51" s="542" customFormat="1" ht="15" customHeight="1" x14ac:dyDescent="0.3">
      <c r="A622" s="1331"/>
      <c r="B622" s="1284"/>
      <c r="C622" s="2062"/>
      <c r="D622" s="2062"/>
      <c r="E622" s="2062"/>
      <c r="F622" s="1297"/>
      <c r="G622" s="1297"/>
      <c r="H622" s="1284"/>
      <c r="I622" s="1333"/>
      <c r="J622" s="1333"/>
      <c r="K622" s="1550"/>
      <c r="L622" s="1333"/>
      <c r="M622" s="1333"/>
      <c r="N622" s="1333"/>
      <c r="O622" s="1333"/>
      <c r="P622" s="1540"/>
      <c r="Q622" s="1540"/>
      <c r="R622" s="1540"/>
      <c r="S622" s="1541"/>
      <c r="T622" s="1535"/>
      <c r="U622" s="1285"/>
      <c r="V622" s="1285"/>
      <c r="W622" s="1351"/>
      <c r="X622" s="1351"/>
      <c r="Y622" s="1351"/>
      <c r="Z622" s="1333"/>
      <c r="AA622" s="1333"/>
      <c r="AB622" s="1333"/>
      <c r="AC622" s="1333"/>
      <c r="AD622" s="1333"/>
      <c r="AE622" s="1333"/>
      <c r="AF622" s="1333"/>
      <c r="AG622" s="1333"/>
      <c r="AH622" s="1333"/>
      <c r="AI622" s="1333"/>
      <c r="AJ622" s="1333"/>
      <c r="AK622" s="17"/>
      <c r="AL622" s="17"/>
      <c r="AM622" s="17"/>
      <c r="AN622" s="17"/>
      <c r="AO622" s="17"/>
      <c r="AP622" s="17"/>
      <c r="AQ622" s="17"/>
      <c r="AR622" s="17"/>
      <c r="AS622" s="17"/>
      <c r="AT622" s="17"/>
      <c r="AU622" s="17"/>
      <c r="AV622" s="17"/>
      <c r="AW622" s="17"/>
      <c r="AX622" s="17"/>
      <c r="AY622" s="17"/>
    </row>
    <row r="623" spans="1:51" s="542" customFormat="1" ht="15" customHeight="1" x14ac:dyDescent="0.3">
      <c r="A623" s="1331"/>
      <c r="B623" s="1284"/>
      <c r="C623" s="2062"/>
      <c r="D623" s="2062"/>
      <c r="E623" s="2062"/>
      <c r="F623" s="1297"/>
      <c r="G623" s="1297"/>
      <c r="H623" s="1284"/>
      <c r="I623" s="1333"/>
      <c r="J623" s="1333"/>
      <c r="K623" s="1550"/>
      <c r="L623" s="1333"/>
      <c r="M623" s="1333"/>
      <c r="N623" s="1333"/>
      <c r="O623" s="1333"/>
      <c r="P623" s="1540"/>
      <c r="Q623" s="1540"/>
      <c r="R623" s="1540"/>
      <c r="S623" s="1541"/>
      <c r="T623" s="1535"/>
      <c r="U623" s="1285"/>
      <c r="V623" s="1285"/>
      <c r="W623" s="1351"/>
      <c r="X623" s="1351"/>
      <c r="Y623" s="1351"/>
      <c r="Z623" s="1333"/>
      <c r="AA623" s="1333"/>
      <c r="AB623" s="1333"/>
      <c r="AC623" s="1333"/>
      <c r="AD623" s="1333"/>
      <c r="AE623" s="1333"/>
      <c r="AF623" s="1333"/>
      <c r="AG623" s="1333"/>
      <c r="AH623" s="1333"/>
      <c r="AI623" s="1333"/>
      <c r="AJ623" s="1333"/>
      <c r="AK623" s="17"/>
      <c r="AL623" s="17"/>
      <c r="AM623" s="17"/>
      <c r="AN623" s="17"/>
      <c r="AO623" s="17"/>
      <c r="AP623" s="17"/>
      <c r="AQ623" s="17"/>
      <c r="AR623" s="17"/>
      <c r="AS623" s="17"/>
      <c r="AT623" s="17"/>
      <c r="AU623" s="17"/>
      <c r="AV623" s="17"/>
      <c r="AW623" s="17"/>
      <c r="AX623" s="17"/>
      <c r="AY623" s="17"/>
    </row>
    <row r="624" spans="1:51" s="542" customFormat="1" ht="15" customHeight="1" x14ac:dyDescent="0.3">
      <c r="A624" s="1331"/>
      <c r="B624" s="1284"/>
      <c r="C624" s="2062"/>
      <c r="D624" s="2062"/>
      <c r="E624" s="2062"/>
      <c r="F624" s="1297"/>
      <c r="G624" s="1297"/>
      <c r="H624" s="1284"/>
      <c r="I624" s="1333"/>
      <c r="J624" s="1333"/>
      <c r="K624" s="1550"/>
      <c r="L624" s="1333"/>
      <c r="M624" s="1333"/>
      <c r="N624" s="1333"/>
      <c r="O624" s="1333"/>
      <c r="P624" s="1540"/>
      <c r="Q624" s="1540"/>
      <c r="R624" s="1540"/>
      <c r="S624" s="1541"/>
      <c r="T624" s="1535"/>
      <c r="U624" s="1285"/>
      <c r="V624" s="1285"/>
      <c r="W624" s="1351"/>
      <c r="X624" s="1351"/>
      <c r="Y624" s="1351"/>
      <c r="Z624" s="1333"/>
      <c r="AA624" s="1333"/>
      <c r="AB624" s="1333"/>
      <c r="AC624" s="1333"/>
      <c r="AD624" s="1333"/>
      <c r="AE624" s="1333"/>
      <c r="AF624" s="1333"/>
      <c r="AG624" s="1333"/>
      <c r="AH624" s="1333"/>
      <c r="AI624" s="1333"/>
      <c r="AJ624" s="1333"/>
      <c r="AK624" s="17"/>
      <c r="AL624" s="17"/>
      <c r="AM624" s="17"/>
      <c r="AN624" s="17"/>
      <c r="AO624" s="17"/>
      <c r="AP624" s="17"/>
      <c r="AQ624" s="17"/>
      <c r="AR624" s="17"/>
      <c r="AS624" s="17"/>
      <c r="AT624" s="17"/>
      <c r="AU624" s="17"/>
      <c r="AV624" s="17"/>
      <c r="AW624" s="17"/>
      <c r="AX624" s="17"/>
      <c r="AY624" s="17"/>
    </row>
    <row r="625" spans="1:36" ht="15" customHeight="1" x14ac:dyDescent="0.3">
      <c r="A625" s="1331"/>
      <c r="B625" s="1284"/>
      <c r="C625" s="1284"/>
      <c r="D625" s="1364"/>
      <c r="E625" s="1364"/>
      <c r="F625" s="1364"/>
      <c r="G625" s="1365"/>
      <c r="H625" s="1333"/>
      <c r="I625" s="1333"/>
      <c r="J625" s="1333"/>
      <c r="K625" s="1550"/>
      <c r="L625" s="1333"/>
      <c r="M625" s="1333"/>
      <c r="N625" s="1333"/>
      <c r="O625" s="1333"/>
      <c r="P625" s="1533"/>
      <c r="Q625" s="1540"/>
      <c r="R625" s="1535"/>
      <c r="S625" s="1344"/>
      <c r="T625" s="1285"/>
      <c r="U625" s="1351"/>
      <c r="V625" s="1351"/>
      <c r="W625" s="1351"/>
      <c r="X625" s="1351"/>
      <c r="Y625" s="1351"/>
      <c r="Z625" s="1333"/>
      <c r="AA625" s="1333"/>
      <c r="AB625" s="1333"/>
      <c r="AC625" s="1333"/>
      <c r="AD625" s="1333"/>
      <c r="AE625" s="1333"/>
      <c r="AF625" s="1333"/>
      <c r="AG625" s="1333"/>
      <c r="AH625" s="1333"/>
      <c r="AI625" s="1333"/>
      <c r="AJ625" s="1333"/>
    </row>
    <row r="626" spans="1:36" ht="15" customHeight="1" x14ac:dyDescent="0.3">
      <c r="A626" s="1331"/>
      <c r="B626" s="1284"/>
      <c r="C626" s="1284"/>
      <c r="D626" s="1364"/>
      <c r="E626" s="1364"/>
      <c r="F626" s="1364"/>
      <c r="G626" s="1365"/>
      <c r="H626" s="1333"/>
      <c r="I626" s="1333"/>
      <c r="J626" s="1333"/>
      <c r="K626" s="1550"/>
      <c r="L626" s="1333"/>
      <c r="M626" s="1333"/>
      <c r="N626" s="1333"/>
      <c r="O626" s="1333"/>
      <c r="P626" s="1533"/>
      <c r="Q626" s="1540"/>
      <c r="R626" s="1535"/>
      <c r="S626" s="1344"/>
      <c r="T626" s="1285"/>
      <c r="U626" s="1351"/>
      <c r="V626" s="1351"/>
      <c r="W626" s="1351"/>
      <c r="X626" s="1351"/>
      <c r="Y626" s="1351"/>
      <c r="Z626" s="1333"/>
      <c r="AA626" s="1333"/>
      <c r="AB626" s="1333"/>
      <c r="AC626" s="1333"/>
      <c r="AD626" s="1333"/>
      <c r="AE626" s="1333"/>
      <c r="AF626" s="1333"/>
      <c r="AG626" s="1333"/>
      <c r="AH626" s="1333"/>
      <c r="AI626" s="1333"/>
      <c r="AJ626" s="1333"/>
    </row>
    <row r="627" spans="1:36" ht="15" customHeight="1" x14ac:dyDescent="0.3">
      <c r="A627" s="1331"/>
      <c r="B627" s="1284"/>
      <c r="C627" s="1284"/>
      <c r="D627" s="1364"/>
      <c r="E627" s="1364"/>
      <c r="F627" s="1364"/>
      <c r="G627" s="1365"/>
      <c r="H627" s="1333"/>
      <c r="I627" s="1333"/>
      <c r="J627" s="1333"/>
      <c r="K627" s="1550"/>
      <c r="L627" s="1333"/>
      <c r="M627" s="1333"/>
      <c r="N627" s="1333"/>
      <c r="O627" s="1333"/>
      <c r="P627" s="1351"/>
      <c r="Q627" s="1351"/>
      <c r="R627" s="1530"/>
      <c r="S627" s="1344"/>
      <c r="T627" s="1285"/>
      <c r="U627" s="1351"/>
      <c r="V627" s="1351"/>
      <c r="W627" s="1351"/>
      <c r="X627" s="1351"/>
      <c r="Y627" s="1351"/>
      <c r="Z627" s="1333"/>
      <c r="AA627" s="1333"/>
      <c r="AB627" s="1333"/>
      <c r="AC627" s="1333"/>
      <c r="AD627" s="1333"/>
      <c r="AE627" s="1333"/>
      <c r="AF627" s="1333"/>
      <c r="AG627" s="1333"/>
      <c r="AH627" s="1333"/>
      <c r="AI627" s="1333"/>
      <c r="AJ627" s="1333"/>
    </row>
    <row r="628" spans="1:36" ht="15" customHeight="1" x14ac:dyDescent="0.3">
      <c r="A628" s="1331"/>
      <c r="B628" s="1284"/>
      <c r="C628" s="1284"/>
      <c r="D628" s="1364"/>
      <c r="E628" s="1364"/>
      <c r="F628" s="1364"/>
      <c r="G628" s="1365"/>
      <c r="H628" s="1333"/>
      <c r="I628" s="1333"/>
      <c r="J628" s="1333"/>
      <c r="K628" s="1550"/>
      <c r="L628" s="1333"/>
      <c r="M628" s="1333"/>
      <c r="N628" s="1333"/>
      <c r="O628" s="1333"/>
      <c r="P628" s="1351"/>
      <c r="Q628" s="1351"/>
      <c r="R628" s="1530"/>
      <c r="S628" s="1344"/>
      <c r="T628" s="1285"/>
      <c r="U628" s="1351"/>
      <c r="V628" s="1351"/>
      <c r="W628" s="1351"/>
      <c r="X628" s="1351"/>
      <c r="Y628" s="1351"/>
      <c r="Z628" s="1333"/>
      <c r="AA628" s="1333"/>
      <c r="AB628" s="1333"/>
      <c r="AC628" s="1333"/>
      <c r="AD628" s="1333"/>
      <c r="AE628" s="1333"/>
      <c r="AF628" s="1333"/>
      <c r="AG628" s="1333"/>
      <c r="AH628" s="1333"/>
      <c r="AI628" s="1333"/>
      <c r="AJ628" s="1333"/>
    </row>
    <row r="629" spans="1:36" ht="15" customHeight="1" x14ac:dyDescent="0.3">
      <c r="A629" s="1331"/>
      <c r="B629" s="1284"/>
      <c r="C629" s="1284"/>
      <c r="D629" s="1364"/>
      <c r="E629" s="1364"/>
      <c r="F629" s="1364"/>
      <c r="G629" s="1365"/>
      <c r="H629" s="1333"/>
      <c r="I629" s="1333"/>
      <c r="J629" s="1333"/>
      <c r="K629" s="1550"/>
      <c r="L629" s="1333"/>
      <c r="M629" s="1333"/>
      <c r="N629" s="1333"/>
      <c r="O629" s="1333"/>
      <c r="P629" s="1351"/>
      <c r="Q629" s="1351"/>
      <c r="R629" s="1530"/>
      <c r="S629" s="1344"/>
      <c r="T629" s="1285"/>
      <c r="U629" s="1351"/>
      <c r="V629" s="1351"/>
      <c r="W629" s="1351"/>
      <c r="X629" s="1351"/>
      <c r="Y629" s="1351"/>
      <c r="Z629" s="1333"/>
      <c r="AA629" s="1333"/>
      <c r="AB629" s="1333"/>
      <c r="AC629" s="1333"/>
      <c r="AD629" s="1333"/>
      <c r="AE629" s="1333"/>
      <c r="AF629" s="1333"/>
      <c r="AG629" s="1333"/>
      <c r="AH629" s="1333"/>
      <c r="AI629" s="1333"/>
      <c r="AJ629" s="1333"/>
    </row>
    <row r="630" spans="1:36" ht="15" customHeight="1" x14ac:dyDescent="0.3">
      <c r="A630" s="1331"/>
      <c r="B630" s="1284"/>
      <c r="C630" s="1284"/>
      <c r="D630" s="1364"/>
      <c r="E630" s="1364"/>
      <c r="F630" s="1364"/>
      <c r="G630" s="1365"/>
      <c r="H630" s="1333"/>
      <c r="I630" s="1333"/>
      <c r="J630" s="1333"/>
      <c r="K630" s="1550"/>
      <c r="L630" s="1333"/>
      <c r="M630" s="1333"/>
      <c r="N630" s="1333"/>
      <c r="O630" s="1333"/>
      <c r="P630" s="1351"/>
      <c r="Q630" s="1351"/>
      <c r="R630" s="1544"/>
      <c r="S630" s="1344"/>
      <c r="T630" s="1285"/>
      <c r="U630" s="1351"/>
      <c r="V630" s="1351"/>
      <c r="W630" s="1351"/>
      <c r="X630" s="1351"/>
      <c r="Y630" s="1351"/>
      <c r="Z630" s="1333"/>
      <c r="AA630" s="1333"/>
      <c r="AB630" s="1333"/>
      <c r="AC630" s="1333"/>
      <c r="AD630" s="1333"/>
      <c r="AE630" s="1333"/>
      <c r="AF630" s="1333"/>
      <c r="AG630" s="1333"/>
      <c r="AH630" s="1333"/>
      <c r="AI630" s="1333"/>
      <c r="AJ630" s="1333"/>
    </row>
    <row r="631" spans="1:36" ht="15" customHeight="1" x14ac:dyDescent="0.3">
      <c r="A631" s="1331"/>
      <c r="B631" s="1284"/>
      <c r="C631" s="1284"/>
      <c r="D631" s="1364"/>
      <c r="E631" s="1364"/>
      <c r="F631" s="1364"/>
      <c r="G631" s="1365"/>
      <c r="H631" s="1333"/>
      <c r="I631" s="1333"/>
      <c r="J631" s="1333"/>
      <c r="K631" s="1550"/>
      <c r="L631" s="1333"/>
      <c r="M631" s="1333"/>
      <c r="N631" s="1333"/>
      <c r="O631" s="1333"/>
      <c r="P631" s="1351"/>
      <c r="Q631" s="1351"/>
      <c r="R631" s="1544"/>
      <c r="S631" s="1344"/>
      <c r="T631" s="1285"/>
      <c r="U631" s="1351"/>
      <c r="V631" s="1351"/>
      <c r="W631" s="1351"/>
      <c r="X631" s="1351"/>
      <c r="Y631" s="1351"/>
      <c r="Z631" s="1333"/>
      <c r="AA631" s="1333"/>
      <c r="AB631" s="1333"/>
      <c r="AC631" s="1333"/>
      <c r="AD631" s="1333"/>
      <c r="AE631" s="1333"/>
      <c r="AF631" s="1333"/>
      <c r="AG631" s="1333"/>
      <c r="AH631" s="1333"/>
      <c r="AI631" s="1333"/>
      <c r="AJ631" s="1333"/>
    </row>
    <row r="632" spans="1:36" ht="15" customHeight="1" x14ac:dyDescent="0.3">
      <c r="A632" s="1331"/>
      <c r="B632" s="1284"/>
      <c r="C632" s="1284"/>
      <c r="D632" s="1364"/>
      <c r="E632" s="1364"/>
      <c r="F632" s="1364"/>
      <c r="G632" s="1365"/>
      <c r="H632" s="1333"/>
      <c r="I632" s="1333"/>
      <c r="J632" s="1333"/>
      <c r="K632" s="1550"/>
      <c r="L632" s="1333"/>
      <c r="M632" s="1333"/>
      <c r="N632" s="1333"/>
      <c r="O632" s="1333"/>
      <c r="P632" s="1351"/>
      <c r="Q632" s="1351"/>
      <c r="R632" s="1544"/>
      <c r="S632" s="1344"/>
      <c r="T632" s="1285"/>
      <c r="U632" s="1351"/>
      <c r="V632" s="1351"/>
      <c r="W632" s="1351"/>
      <c r="X632" s="1351"/>
      <c r="Y632" s="1351"/>
      <c r="Z632" s="1333"/>
      <c r="AA632" s="1333"/>
      <c r="AB632" s="1333"/>
      <c r="AC632" s="1333"/>
      <c r="AD632" s="1333"/>
      <c r="AE632" s="1333"/>
      <c r="AF632" s="1333"/>
      <c r="AG632" s="1333"/>
      <c r="AH632" s="1333"/>
      <c r="AI632" s="1333"/>
      <c r="AJ632" s="1333"/>
    </row>
    <row r="633" spans="1:36" ht="15" customHeight="1" x14ac:dyDescent="0.3">
      <c r="A633" s="1331"/>
      <c r="B633" s="1284"/>
      <c r="C633" s="1284"/>
      <c r="D633" s="1364"/>
      <c r="E633" s="1364"/>
      <c r="F633" s="1364"/>
      <c r="G633" s="1365"/>
      <c r="H633" s="1333"/>
      <c r="I633" s="1333"/>
      <c r="J633" s="1333"/>
      <c r="K633" s="1550"/>
      <c r="L633" s="1333"/>
      <c r="M633" s="1333"/>
      <c r="N633" s="1333"/>
      <c r="O633" s="1333"/>
      <c r="P633" s="1351"/>
      <c r="Q633" s="1351"/>
      <c r="R633" s="1544"/>
      <c r="S633" s="1344"/>
      <c r="T633" s="1285"/>
      <c r="U633" s="1351"/>
      <c r="V633" s="1351"/>
      <c r="W633" s="1351"/>
      <c r="X633" s="1351"/>
      <c r="Y633" s="1351"/>
      <c r="Z633" s="1333"/>
      <c r="AA633" s="1333"/>
      <c r="AB633" s="1333"/>
      <c r="AC633" s="1333"/>
      <c r="AD633" s="1333"/>
      <c r="AE633" s="1333"/>
      <c r="AF633" s="1333"/>
      <c r="AG633" s="1333"/>
      <c r="AH633" s="1333"/>
      <c r="AI633" s="1333"/>
      <c r="AJ633" s="1333"/>
    </row>
    <row r="634" spans="1:36" ht="15" customHeight="1" x14ac:dyDescent="0.3">
      <c r="A634" s="1331"/>
      <c r="B634" s="1284"/>
      <c r="C634" s="1284"/>
      <c r="D634" s="1364"/>
      <c r="E634" s="1364"/>
      <c r="F634" s="1364"/>
      <c r="G634" s="1365"/>
      <c r="H634" s="1333"/>
      <c r="I634" s="1333"/>
      <c r="J634" s="1333"/>
      <c r="K634" s="1550"/>
      <c r="L634" s="1333"/>
      <c r="M634" s="1333"/>
      <c r="N634" s="1333"/>
      <c r="O634" s="1333"/>
      <c r="P634" s="1351"/>
      <c r="Q634" s="1351"/>
      <c r="R634" s="1544"/>
      <c r="S634" s="1344"/>
      <c r="T634" s="1285"/>
      <c r="U634" s="1351"/>
      <c r="V634" s="1351"/>
      <c r="W634" s="1351"/>
      <c r="X634" s="1351"/>
      <c r="Y634" s="1351"/>
      <c r="Z634" s="1333"/>
      <c r="AA634" s="1333"/>
      <c r="AB634" s="1333"/>
      <c r="AC634" s="1333"/>
      <c r="AD634" s="1333"/>
      <c r="AE634" s="1333"/>
      <c r="AF634" s="1333"/>
      <c r="AG634" s="1333"/>
      <c r="AH634" s="1333"/>
      <c r="AI634" s="1333"/>
      <c r="AJ634" s="1333"/>
    </row>
    <row r="635" spans="1:36" ht="15" customHeight="1" x14ac:dyDescent="0.3">
      <c r="A635" s="1331"/>
      <c r="B635" s="1284"/>
      <c r="C635" s="1284"/>
      <c r="D635" s="1364"/>
      <c r="E635" s="1364"/>
      <c r="F635" s="1364"/>
      <c r="G635" s="1365"/>
      <c r="H635" s="1333"/>
      <c r="I635" s="1333"/>
      <c r="J635" s="1333"/>
      <c r="K635" s="1550"/>
      <c r="L635" s="1333"/>
      <c r="M635" s="1333"/>
      <c r="N635" s="1333"/>
      <c r="O635" s="1333"/>
      <c r="P635" s="1351"/>
      <c r="Q635" s="1351"/>
      <c r="R635" s="1544"/>
      <c r="S635" s="1344"/>
      <c r="T635" s="1285"/>
      <c r="U635" s="1351"/>
      <c r="V635" s="1351"/>
      <c r="W635" s="1351"/>
      <c r="X635" s="1351"/>
      <c r="Y635" s="1351"/>
      <c r="Z635" s="1333"/>
      <c r="AA635" s="1333"/>
      <c r="AB635" s="1333"/>
      <c r="AC635" s="1333"/>
      <c r="AD635" s="1333"/>
      <c r="AE635" s="1333"/>
      <c r="AF635" s="1333"/>
      <c r="AG635" s="1333"/>
      <c r="AH635" s="1333"/>
      <c r="AI635" s="1333"/>
      <c r="AJ635" s="1333"/>
    </row>
    <row r="636" spans="1:36" ht="15" customHeight="1" x14ac:dyDescent="0.3">
      <c r="A636" s="1331"/>
      <c r="B636" s="1284"/>
      <c r="C636" s="1284"/>
      <c r="D636" s="1364"/>
      <c r="E636" s="1364"/>
      <c r="F636" s="1364"/>
      <c r="G636" s="1365"/>
      <c r="H636" s="1333"/>
      <c r="I636" s="1333"/>
      <c r="J636" s="1333"/>
      <c r="K636" s="1550"/>
      <c r="L636" s="1333"/>
      <c r="M636" s="1333"/>
      <c r="N636" s="1333"/>
      <c r="O636" s="1333"/>
      <c r="P636" s="1351"/>
      <c r="Q636" s="1351"/>
      <c r="R636" s="1544"/>
      <c r="S636" s="1344"/>
      <c r="T636" s="1285"/>
      <c r="U636" s="1351"/>
      <c r="V636" s="1351"/>
      <c r="W636" s="1351"/>
      <c r="X636" s="1351"/>
      <c r="Y636" s="1351"/>
      <c r="Z636" s="1333"/>
      <c r="AA636" s="1333"/>
      <c r="AB636" s="1333"/>
      <c r="AC636" s="1333"/>
      <c r="AD636" s="1333"/>
      <c r="AE636" s="1333"/>
      <c r="AF636" s="1333"/>
      <c r="AG636" s="1333"/>
      <c r="AH636" s="1333"/>
      <c r="AI636" s="1333"/>
      <c r="AJ636" s="1333"/>
    </row>
    <row r="637" spans="1:36" ht="15" customHeight="1" x14ac:dyDescent="0.3">
      <c r="A637" s="1331"/>
      <c r="B637" s="1284"/>
      <c r="C637" s="1284"/>
      <c r="D637" s="1364"/>
      <c r="E637" s="1364"/>
      <c r="F637" s="1364"/>
      <c r="G637" s="1365"/>
      <c r="H637" s="1333"/>
      <c r="I637" s="1333"/>
      <c r="J637" s="1333"/>
      <c r="K637" s="1550"/>
      <c r="L637" s="1333"/>
      <c r="M637" s="1333"/>
      <c r="N637" s="1333"/>
      <c r="O637" s="1333"/>
      <c r="P637" s="1351"/>
      <c r="Q637" s="1351"/>
      <c r="R637" s="1530"/>
      <c r="S637" s="1344"/>
      <c r="T637" s="1285"/>
      <c r="U637" s="1351"/>
      <c r="V637" s="1351"/>
      <c r="W637" s="1351"/>
      <c r="X637" s="1351"/>
      <c r="Y637" s="1351"/>
      <c r="Z637" s="1333"/>
      <c r="AA637" s="1333"/>
      <c r="AB637" s="1333"/>
      <c r="AC637" s="1333"/>
      <c r="AD637" s="1333"/>
      <c r="AE637" s="1333"/>
      <c r="AF637" s="1333"/>
      <c r="AG637" s="1333"/>
      <c r="AH637" s="1333"/>
      <c r="AI637" s="1333"/>
      <c r="AJ637" s="1333"/>
    </row>
    <row r="638" spans="1:36" ht="15" customHeight="1" x14ac:dyDescent="0.3">
      <c r="A638" s="1331"/>
      <c r="B638" s="1284"/>
      <c r="C638" s="1284"/>
      <c r="D638" s="1364"/>
      <c r="E638" s="1364"/>
      <c r="F638" s="1364"/>
      <c r="G638" s="1365"/>
      <c r="H638" s="1333"/>
      <c r="I638" s="1333"/>
      <c r="J638" s="1333"/>
      <c r="K638" s="1550"/>
      <c r="L638" s="1333"/>
      <c r="M638" s="1333"/>
      <c r="N638" s="1333"/>
      <c r="O638" s="1333"/>
      <c r="P638" s="1351"/>
      <c r="Q638" s="1351"/>
      <c r="R638" s="1285"/>
      <c r="S638" s="1545"/>
      <c r="T638" s="1285"/>
      <c r="U638" s="1351"/>
      <c r="V638" s="1351"/>
      <c r="W638" s="1351"/>
      <c r="X638" s="1351"/>
      <c r="Y638" s="1351"/>
      <c r="Z638" s="1333"/>
      <c r="AA638" s="1333"/>
      <c r="AB638" s="1333"/>
      <c r="AC638" s="1333"/>
      <c r="AD638" s="1333"/>
      <c r="AE638" s="1333"/>
      <c r="AF638" s="1333"/>
      <c r="AG638" s="1333"/>
      <c r="AH638" s="1333"/>
      <c r="AI638" s="1333"/>
      <c r="AJ638" s="1333"/>
    </row>
    <row r="639" spans="1:36" ht="15" customHeight="1" x14ac:dyDescent="0.3">
      <c r="A639" s="1331"/>
      <c r="B639" s="1284"/>
      <c r="C639" s="1284"/>
      <c r="D639" s="1364"/>
      <c r="E639" s="1364"/>
      <c r="F639" s="1364"/>
      <c r="G639" s="1365"/>
      <c r="H639" s="1333"/>
      <c r="I639" s="1333"/>
      <c r="J639" s="1333"/>
      <c r="K639" s="1550"/>
      <c r="L639" s="1333"/>
      <c r="M639" s="1333"/>
      <c r="N639" s="1333"/>
      <c r="O639" s="1333"/>
      <c r="P639" s="1351"/>
      <c r="Q639" s="1351"/>
      <c r="R639" s="1530"/>
      <c r="S639" s="1344"/>
      <c r="T639" s="1285"/>
      <c r="U639" s="1351"/>
      <c r="V639" s="1351"/>
      <c r="W639" s="1351"/>
      <c r="X639" s="1351"/>
      <c r="Y639" s="1351"/>
      <c r="Z639" s="1333"/>
      <c r="AA639" s="1333"/>
      <c r="AB639" s="1333"/>
      <c r="AC639" s="1333"/>
      <c r="AD639" s="1333"/>
      <c r="AE639" s="1333"/>
      <c r="AF639" s="1333"/>
      <c r="AG639" s="1333"/>
      <c r="AH639" s="1333"/>
      <c r="AI639" s="1333"/>
      <c r="AJ639" s="1333"/>
    </row>
    <row r="640" spans="1:36" ht="15" customHeight="1" x14ac:dyDescent="0.3">
      <c r="A640" s="1331"/>
      <c r="B640" s="1284"/>
      <c r="C640" s="1284"/>
      <c r="D640" s="1364"/>
      <c r="E640" s="1364"/>
      <c r="F640" s="1364"/>
      <c r="G640" s="1365"/>
      <c r="H640" s="1333"/>
      <c r="I640" s="1333"/>
      <c r="J640" s="1333"/>
      <c r="K640" s="1550"/>
      <c r="L640" s="1333"/>
      <c r="M640" s="1333"/>
      <c r="N640" s="1333"/>
      <c r="O640" s="1333"/>
      <c r="P640" s="1351"/>
      <c r="Q640" s="1351"/>
      <c r="R640" s="1530"/>
      <c r="S640" s="1344"/>
      <c r="T640" s="1285"/>
      <c r="U640" s="1351"/>
      <c r="V640" s="1351"/>
      <c r="W640" s="1351"/>
      <c r="X640" s="1351"/>
      <c r="Y640" s="1351"/>
      <c r="Z640" s="1333"/>
      <c r="AA640" s="1333"/>
      <c r="AB640" s="1333"/>
      <c r="AC640" s="1333"/>
      <c r="AD640" s="1333"/>
      <c r="AE640" s="1333"/>
      <c r="AF640" s="1333"/>
      <c r="AG640" s="1333"/>
      <c r="AH640" s="1333"/>
      <c r="AI640" s="1333"/>
      <c r="AJ640" s="1333"/>
    </row>
    <row r="641" spans="1:36" ht="15" customHeight="1" x14ac:dyDescent="0.3">
      <c r="A641" s="1331"/>
      <c r="B641" s="1284"/>
      <c r="C641" s="1284"/>
      <c r="D641" s="1364"/>
      <c r="E641" s="1364"/>
      <c r="F641" s="1364"/>
      <c r="G641" s="1365"/>
      <c r="H641" s="1333"/>
      <c r="I641" s="1333"/>
      <c r="J641" s="1333"/>
      <c r="K641" s="1550"/>
      <c r="L641" s="1333"/>
      <c r="M641" s="1333"/>
      <c r="N641" s="1333"/>
      <c r="O641" s="1333"/>
      <c r="P641" s="1351"/>
      <c r="Q641" s="1351"/>
      <c r="R641" s="1530"/>
      <c r="S641" s="1344"/>
      <c r="T641" s="1285"/>
      <c r="U641" s="1351"/>
      <c r="V641" s="1351"/>
      <c r="W641" s="1351"/>
      <c r="X641" s="1351"/>
      <c r="Y641" s="1351"/>
      <c r="Z641" s="1333"/>
      <c r="AA641" s="1333"/>
      <c r="AB641" s="1333"/>
      <c r="AC641" s="1333"/>
      <c r="AD641" s="1333"/>
      <c r="AE641" s="1333"/>
      <c r="AF641" s="1333"/>
      <c r="AG641" s="1333"/>
      <c r="AH641" s="1333"/>
      <c r="AI641" s="1333"/>
      <c r="AJ641" s="1333"/>
    </row>
    <row r="642" spans="1:36" ht="15" customHeight="1" x14ac:dyDescent="0.3">
      <c r="A642" s="1331"/>
      <c r="B642" s="1284"/>
      <c r="C642" s="1284"/>
      <c r="D642" s="1364"/>
      <c r="E642" s="1364"/>
      <c r="F642" s="1364"/>
      <c r="G642" s="1365"/>
      <c r="H642" s="1333"/>
      <c r="I642" s="1333"/>
      <c r="J642" s="1333"/>
      <c r="K642" s="1550"/>
      <c r="L642" s="1333"/>
      <c r="M642" s="1333"/>
      <c r="N642" s="1333"/>
      <c r="O642" s="1333"/>
      <c r="P642" s="1351"/>
      <c r="Q642" s="1351"/>
      <c r="R642" s="1285"/>
      <c r="S642" s="1545"/>
      <c r="T642" s="1285"/>
      <c r="U642" s="1351"/>
      <c r="V642" s="1351"/>
      <c r="W642" s="1351"/>
      <c r="X642" s="1351"/>
      <c r="Y642" s="1351"/>
      <c r="Z642" s="1333"/>
      <c r="AA642" s="1333"/>
      <c r="AB642" s="1333"/>
      <c r="AC642" s="1333"/>
      <c r="AD642" s="1333"/>
      <c r="AE642" s="1333"/>
      <c r="AF642" s="1333"/>
      <c r="AG642" s="1333"/>
      <c r="AH642" s="1333"/>
      <c r="AI642" s="1333"/>
      <c r="AJ642" s="1333"/>
    </row>
    <row r="643" spans="1:36" ht="15" customHeight="1" x14ac:dyDescent="0.3">
      <c r="A643" s="1331"/>
      <c r="B643" s="1284"/>
      <c r="C643" s="1284"/>
      <c r="D643" s="1364"/>
      <c r="E643" s="1364"/>
      <c r="F643" s="1364"/>
      <c r="G643" s="1365"/>
      <c r="H643" s="1333"/>
      <c r="I643" s="1333"/>
      <c r="J643" s="1333"/>
      <c r="K643" s="1550"/>
      <c r="L643" s="1333"/>
      <c r="M643" s="1333"/>
      <c r="N643" s="1333"/>
      <c r="O643" s="1333"/>
      <c r="P643" s="1351"/>
      <c r="Q643" s="1351"/>
      <c r="R643" s="1530"/>
      <c r="S643" s="1344"/>
      <c r="T643" s="1285"/>
      <c r="U643" s="1351"/>
      <c r="V643" s="1351"/>
      <c r="W643" s="1351"/>
      <c r="X643" s="1351"/>
      <c r="Y643" s="1351"/>
      <c r="Z643" s="1333"/>
      <c r="AA643" s="1333"/>
      <c r="AB643" s="1333"/>
      <c r="AC643" s="1333"/>
      <c r="AD643" s="1333"/>
      <c r="AE643" s="1333"/>
      <c r="AF643" s="1333"/>
      <c r="AG643" s="1333"/>
      <c r="AH643" s="1333"/>
      <c r="AI643" s="1333"/>
      <c r="AJ643" s="1333"/>
    </row>
    <row r="644" spans="1:36" ht="15" customHeight="1" x14ac:dyDescent="0.3">
      <c r="A644" s="1331"/>
      <c r="B644" s="1284"/>
      <c r="C644" s="1284"/>
      <c r="D644" s="1364"/>
      <c r="E644" s="1364"/>
      <c r="F644" s="1364"/>
      <c r="G644" s="1365"/>
      <c r="H644" s="1333"/>
      <c r="I644" s="1333"/>
      <c r="J644" s="1333"/>
      <c r="K644" s="1550"/>
      <c r="L644" s="1333"/>
      <c r="M644" s="1333"/>
      <c r="N644" s="1333"/>
      <c r="O644" s="1333"/>
      <c r="P644" s="1351"/>
      <c r="Q644" s="1351"/>
      <c r="R644" s="1530"/>
      <c r="S644" s="1344"/>
      <c r="T644" s="1285"/>
      <c r="U644" s="1351"/>
      <c r="V644" s="1351"/>
      <c r="W644" s="1351"/>
      <c r="X644" s="1351"/>
      <c r="Y644" s="1351"/>
      <c r="Z644" s="1333"/>
      <c r="AA644" s="1333"/>
      <c r="AB644" s="1333"/>
      <c r="AC644" s="1333"/>
      <c r="AD644" s="1333"/>
      <c r="AE644" s="1333"/>
      <c r="AF644" s="1333"/>
      <c r="AG644" s="1333"/>
      <c r="AH644" s="1333"/>
      <c r="AI644" s="1333"/>
      <c r="AJ644" s="1333"/>
    </row>
    <row r="645" spans="1:36" ht="15" customHeight="1" x14ac:dyDescent="0.3">
      <c r="A645" s="1331"/>
      <c r="B645" s="1284"/>
      <c r="C645" s="1284"/>
      <c r="D645" s="1364"/>
      <c r="E645" s="1364"/>
      <c r="F645" s="1364"/>
      <c r="G645" s="1365"/>
      <c r="H645" s="1333"/>
      <c r="I645" s="1333"/>
      <c r="J645" s="1333"/>
      <c r="K645" s="1550"/>
      <c r="L645" s="1333"/>
      <c r="M645" s="1333"/>
      <c r="N645" s="1333"/>
      <c r="O645" s="1333"/>
      <c r="P645" s="1351"/>
      <c r="Q645" s="1351"/>
      <c r="R645" s="1351"/>
      <c r="S645" s="1546"/>
      <c r="T645" s="1285"/>
      <c r="U645" s="1351"/>
      <c r="V645" s="1351"/>
      <c r="W645" s="1351"/>
      <c r="X645" s="1351"/>
      <c r="Y645" s="1351"/>
      <c r="Z645" s="1333"/>
      <c r="AA645" s="1333"/>
      <c r="AB645" s="1333"/>
      <c r="AC645" s="1333"/>
      <c r="AD645" s="1333"/>
      <c r="AE645" s="1333"/>
      <c r="AF645" s="1333"/>
      <c r="AG645" s="1333"/>
      <c r="AH645" s="1333"/>
      <c r="AI645" s="1333"/>
      <c r="AJ645" s="1333"/>
    </row>
    <row r="646" spans="1:36" ht="18.75" x14ac:dyDescent="0.3">
      <c r="A646" s="1331"/>
      <c r="B646" s="1284"/>
      <c r="C646" s="1284"/>
      <c r="D646" s="1364"/>
      <c r="E646" s="1364"/>
      <c r="F646" s="1364"/>
      <c r="G646" s="1365"/>
      <c r="H646" s="1333"/>
      <c r="I646" s="1333"/>
      <c r="J646" s="1333"/>
      <c r="K646" s="1550"/>
      <c r="L646" s="1333"/>
      <c r="M646" s="1333"/>
      <c r="N646" s="1333"/>
      <c r="O646" s="1333"/>
      <c r="P646" s="1351"/>
      <c r="Q646" s="1351"/>
      <c r="R646" s="1351"/>
      <c r="S646" s="1546"/>
      <c r="T646" s="1285"/>
      <c r="U646" s="1351"/>
      <c r="V646" s="1351"/>
      <c r="W646" s="1351"/>
      <c r="X646" s="1351"/>
      <c r="Y646" s="1351"/>
      <c r="Z646" s="1333"/>
      <c r="AA646" s="1333"/>
      <c r="AB646" s="1333"/>
      <c r="AC646" s="1333"/>
      <c r="AD646" s="1333"/>
      <c r="AE646" s="1333"/>
      <c r="AF646" s="1333"/>
      <c r="AG646" s="1333"/>
      <c r="AH646" s="1333"/>
      <c r="AI646" s="1333"/>
      <c r="AJ646" s="1333"/>
    </row>
    <row r="647" spans="1:36" ht="18.75" x14ac:dyDescent="0.3">
      <c r="A647" s="1331"/>
      <c r="B647" s="1284"/>
      <c r="C647" s="1284"/>
      <c r="D647" s="1364"/>
      <c r="E647" s="1364"/>
      <c r="F647" s="1364"/>
      <c r="G647" s="1365"/>
      <c r="H647" s="1333"/>
      <c r="I647" s="1333"/>
      <c r="J647" s="1333"/>
      <c r="K647" s="1550"/>
      <c r="L647" s="1333"/>
      <c r="M647" s="1333"/>
      <c r="N647" s="1333"/>
      <c r="O647" s="1333"/>
      <c r="P647" s="1351"/>
      <c r="Q647" s="1351"/>
      <c r="R647" s="1351"/>
      <c r="S647" s="1546"/>
      <c r="T647" s="1285"/>
      <c r="U647" s="1351"/>
      <c r="V647" s="1351"/>
      <c r="W647" s="1351"/>
      <c r="X647" s="1351"/>
      <c r="Y647" s="1351"/>
      <c r="Z647" s="1333"/>
      <c r="AA647" s="1333"/>
      <c r="AB647" s="1333"/>
      <c r="AC647" s="1333"/>
      <c r="AD647" s="1333"/>
      <c r="AE647" s="1333"/>
      <c r="AF647" s="1333"/>
      <c r="AG647" s="1333"/>
      <c r="AH647" s="1333"/>
      <c r="AI647" s="1333"/>
      <c r="AJ647" s="1333"/>
    </row>
    <row r="648" spans="1:36" ht="18.75" x14ac:dyDescent="0.3">
      <c r="A648" s="1331"/>
      <c r="B648" s="1284"/>
      <c r="C648" s="1284"/>
      <c r="D648" s="1364"/>
      <c r="E648" s="1364"/>
      <c r="F648" s="1364"/>
      <c r="G648" s="1365"/>
      <c r="H648" s="1333"/>
      <c r="I648" s="1333"/>
      <c r="J648" s="1333"/>
      <c r="K648" s="1550"/>
      <c r="L648" s="1333"/>
      <c r="M648" s="1333"/>
      <c r="N648" s="1333"/>
      <c r="O648" s="1333"/>
      <c r="P648" s="1351"/>
      <c r="Q648" s="1351"/>
      <c r="R648" s="1351"/>
      <c r="S648" s="1546"/>
      <c r="T648" s="1285"/>
      <c r="U648" s="1351"/>
      <c r="V648" s="1351"/>
      <c r="W648" s="1351"/>
      <c r="X648" s="1351"/>
      <c r="Y648" s="1351"/>
      <c r="Z648" s="1333"/>
      <c r="AA648" s="1333"/>
      <c r="AB648" s="1333"/>
      <c r="AC648" s="1333"/>
      <c r="AD648" s="1333"/>
      <c r="AE648" s="1333"/>
      <c r="AF648" s="1333"/>
      <c r="AG648" s="1333"/>
      <c r="AH648" s="1333"/>
      <c r="AI648" s="1333"/>
      <c r="AJ648" s="1333"/>
    </row>
    <row r="649" spans="1:36" ht="18.75" x14ac:dyDescent="0.3">
      <c r="A649" s="1331"/>
      <c r="B649" s="1284"/>
      <c r="C649" s="1284"/>
      <c r="D649" s="1364"/>
      <c r="E649" s="1364"/>
      <c r="F649" s="1364"/>
      <c r="G649" s="1365"/>
      <c r="H649" s="1333"/>
      <c r="I649" s="1333"/>
      <c r="J649" s="1333"/>
      <c r="K649" s="1550"/>
      <c r="L649" s="1333"/>
      <c r="M649" s="1333"/>
      <c r="N649" s="1333"/>
      <c r="O649" s="1333"/>
      <c r="P649" s="1351"/>
      <c r="Q649" s="1351"/>
      <c r="R649" s="1351"/>
      <c r="S649" s="1546"/>
      <c r="T649" s="1285"/>
      <c r="U649" s="1351"/>
      <c r="V649" s="1351"/>
      <c r="W649" s="1351"/>
      <c r="X649" s="1351"/>
      <c r="Y649" s="1351"/>
      <c r="Z649" s="1333"/>
      <c r="AA649" s="1333"/>
      <c r="AB649" s="1333"/>
      <c r="AC649" s="1333"/>
      <c r="AD649" s="1333"/>
      <c r="AE649" s="1333"/>
      <c r="AF649" s="1333"/>
      <c r="AG649" s="1333"/>
      <c r="AH649" s="1333"/>
      <c r="AI649" s="1333"/>
      <c r="AJ649" s="1333"/>
    </row>
    <row r="650" spans="1:36" ht="18.75" x14ac:dyDescent="0.3">
      <c r="A650" s="1331"/>
      <c r="B650" s="1284"/>
      <c r="C650" s="1284"/>
      <c r="D650" s="1364"/>
      <c r="E650" s="1364"/>
      <c r="F650" s="1364"/>
      <c r="G650" s="1365"/>
      <c r="H650" s="1333"/>
      <c r="I650" s="1333"/>
      <c r="J650" s="1333"/>
      <c r="K650" s="1550"/>
      <c r="L650" s="1333"/>
      <c r="M650" s="1333"/>
      <c r="N650" s="1333"/>
      <c r="O650" s="1333"/>
      <c r="P650" s="1351"/>
      <c r="Q650" s="1351"/>
      <c r="R650" s="1351"/>
      <c r="S650" s="1546"/>
      <c r="T650" s="1285"/>
      <c r="U650" s="1351"/>
      <c r="V650" s="1351"/>
      <c r="W650" s="1351"/>
      <c r="X650" s="1351"/>
      <c r="Y650" s="1351"/>
      <c r="Z650" s="1333"/>
      <c r="AA650" s="1333"/>
      <c r="AB650" s="1333"/>
      <c r="AC650" s="1333"/>
      <c r="AD650" s="1333"/>
      <c r="AE650" s="1333"/>
      <c r="AF650" s="1333"/>
      <c r="AG650" s="1333"/>
      <c r="AH650" s="1333"/>
      <c r="AI650" s="1333"/>
      <c r="AJ650" s="1333"/>
    </row>
    <row r="651" spans="1:36" ht="18.75" x14ac:dyDescent="0.3">
      <c r="A651" s="1331"/>
      <c r="B651" s="1284"/>
      <c r="C651" s="1284"/>
      <c r="D651" s="1364"/>
      <c r="E651" s="1364"/>
      <c r="F651" s="1364"/>
      <c r="G651" s="1365"/>
      <c r="H651" s="1333"/>
      <c r="I651" s="1333"/>
      <c r="J651" s="1333"/>
      <c r="K651" s="1550"/>
      <c r="L651" s="1333"/>
      <c r="M651" s="1333"/>
      <c r="N651" s="1333"/>
      <c r="O651" s="1333"/>
      <c r="P651" s="1351"/>
      <c r="Q651" s="1351"/>
      <c r="R651" s="1351"/>
      <c r="S651" s="1546"/>
      <c r="T651" s="1285"/>
      <c r="U651" s="1351"/>
      <c r="V651" s="1351"/>
      <c r="W651" s="1351"/>
      <c r="X651" s="1351"/>
      <c r="Y651" s="1351"/>
      <c r="Z651" s="1333"/>
      <c r="AA651" s="1333"/>
      <c r="AB651" s="1333"/>
      <c r="AC651" s="1333"/>
      <c r="AD651" s="1333"/>
      <c r="AE651" s="1333"/>
      <c r="AF651" s="1333"/>
      <c r="AG651" s="1333"/>
      <c r="AH651" s="1333"/>
      <c r="AI651" s="1333"/>
      <c r="AJ651" s="1333"/>
    </row>
    <row r="652" spans="1:36" ht="18.75" x14ac:dyDescent="0.3">
      <c r="A652" s="1331"/>
      <c r="B652" s="1284"/>
      <c r="C652" s="1284"/>
      <c r="D652" s="1364"/>
      <c r="E652" s="1364"/>
      <c r="F652" s="1364"/>
      <c r="G652" s="1365"/>
      <c r="H652" s="1333"/>
      <c r="I652" s="1333"/>
      <c r="J652" s="1333"/>
      <c r="K652" s="1550"/>
      <c r="L652" s="1333"/>
      <c r="M652" s="1333"/>
      <c r="N652" s="1333"/>
      <c r="O652" s="1333"/>
      <c r="P652" s="1351"/>
      <c r="Q652" s="1351"/>
      <c r="R652" s="1351"/>
      <c r="S652" s="1546"/>
      <c r="T652" s="1285"/>
      <c r="U652" s="1351"/>
      <c r="V652" s="1351"/>
      <c r="W652" s="1351"/>
      <c r="X652" s="1351"/>
      <c r="Y652" s="1351"/>
      <c r="Z652" s="1333"/>
      <c r="AA652" s="1333"/>
      <c r="AB652" s="1333"/>
      <c r="AC652" s="1333"/>
      <c r="AD652" s="1333"/>
      <c r="AE652" s="1333"/>
      <c r="AF652" s="1333"/>
      <c r="AG652" s="1333"/>
      <c r="AH652" s="1333"/>
      <c r="AI652" s="1333"/>
      <c r="AJ652" s="1333"/>
    </row>
    <row r="653" spans="1:36" ht="18.75" x14ac:dyDescent="0.3">
      <c r="A653" s="1331"/>
      <c r="B653" s="1284"/>
      <c r="C653" s="1284"/>
      <c r="D653" s="1364"/>
      <c r="E653" s="1364"/>
      <c r="F653" s="1364"/>
      <c r="G653" s="1365"/>
      <c r="H653" s="1333"/>
      <c r="I653" s="1333"/>
      <c r="J653" s="1333"/>
      <c r="K653" s="1550"/>
      <c r="L653" s="1333"/>
      <c r="M653" s="1333"/>
      <c r="N653" s="1333"/>
      <c r="O653" s="1333"/>
      <c r="P653" s="1351"/>
      <c r="Q653" s="1351"/>
      <c r="R653" s="1351"/>
      <c r="S653" s="1546"/>
      <c r="T653" s="1285"/>
      <c r="U653" s="1351"/>
      <c r="V653" s="1351"/>
      <c r="W653" s="1351"/>
      <c r="X653" s="1351"/>
      <c r="Y653" s="1351"/>
      <c r="Z653" s="1333"/>
      <c r="AA653" s="1333"/>
      <c r="AB653" s="1333"/>
      <c r="AC653" s="1333"/>
      <c r="AD653" s="1333"/>
      <c r="AE653" s="1333"/>
      <c r="AF653" s="1333"/>
      <c r="AG653" s="1333"/>
      <c r="AH653" s="1333"/>
      <c r="AI653" s="1333"/>
      <c r="AJ653" s="1333"/>
    </row>
    <row r="654" spans="1:36" ht="18.75" x14ac:dyDescent="0.3">
      <c r="A654" s="1331"/>
      <c r="B654" s="1284"/>
      <c r="C654" s="1284"/>
      <c r="D654" s="1364"/>
      <c r="E654" s="1364"/>
      <c r="F654" s="1364"/>
      <c r="G654" s="1365"/>
      <c r="H654" s="1333"/>
      <c r="I654" s="1333"/>
      <c r="J654" s="1333"/>
      <c r="K654" s="1550"/>
      <c r="L654" s="1333"/>
      <c r="M654" s="1333"/>
      <c r="N654" s="1333"/>
      <c r="O654" s="1333"/>
      <c r="P654" s="1351"/>
      <c r="Q654" s="1351"/>
      <c r="R654" s="1351"/>
      <c r="S654" s="1546"/>
      <c r="T654" s="1285"/>
      <c r="U654" s="1351"/>
      <c r="V654" s="1351"/>
      <c r="W654" s="1351"/>
      <c r="X654" s="1351"/>
      <c r="Y654" s="1351"/>
      <c r="Z654" s="1333"/>
      <c r="AA654" s="1333"/>
      <c r="AB654" s="1333"/>
      <c r="AC654" s="1333"/>
      <c r="AD654" s="1333"/>
      <c r="AE654" s="1333"/>
      <c r="AF654" s="1333"/>
      <c r="AG654" s="1333"/>
      <c r="AH654" s="1333"/>
      <c r="AI654" s="1333"/>
      <c r="AJ654" s="1333"/>
    </row>
    <row r="655" spans="1:36" ht="18.75" x14ac:dyDescent="0.3">
      <c r="A655" s="1331"/>
      <c r="B655" s="1284"/>
      <c r="C655" s="1284"/>
      <c r="D655" s="1364"/>
      <c r="E655" s="1364"/>
      <c r="F655" s="1364"/>
      <c r="G655" s="1365"/>
      <c r="H655" s="1333"/>
      <c r="I655" s="1333"/>
      <c r="J655" s="1333"/>
      <c r="K655" s="1550"/>
      <c r="L655" s="1333"/>
      <c r="M655" s="1333"/>
      <c r="N655" s="1333"/>
      <c r="O655" s="1333"/>
      <c r="P655" s="1351"/>
      <c r="Q655" s="1351"/>
      <c r="R655" s="1351"/>
      <c r="S655" s="1546"/>
      <c r="T655" s="1285"/>
      <c r="U655" s="1351"/>
      <c r="V655" s="1351"/>
      <c r="W655" s="1351"/>
      <c r="X655" s="1351"/>
      <c r="Y655" s="1351"/>
      <c r="Z655" s="1333"/>
      <c r="AA655" s="1333"/>
      <c r="AB655" s="1333"/>
      <c r="AC655" s="1333"/>
      <c r="AD655" s="1333"/>
      <c r="AE655" s="1333"/>
      <c r="AF655" s="1333"/>
      <c r="AG655" s="1333"/>
      <c r="AH655" s="1333"/>
      <c r="AI655" s="1333"/>
      <c r="AJ655" s="1333"/>
    </row>
    <row r="656" spans="1:36" ht="18.75" x14ac:dyDescent="0.3">
      <c r="A656" s="1331"/>
      <c r="B656" s="1284"/>
      <c r="C656" s="1284"/>
      <c r="D656" s="1364"/>
      <c r="E656" s="1364"/>
      <c r="F656" s="1364"/>
      <c r="G656" s="1365"/>
      <c r="H656" s="1333"/>
      <c r="I656" s="1333"/>
      <c r="J656" s="1333"/>
      <c r="K656" s="1550"/>
      <c r="L656" s="1333"/>
      <c r="M656" s="1333"/>
      <c r="N656" s="1333"/>
      <c r="O656" s="1333"/>
      <c r="P656" s="1351"/>
      <c r="Q656" s="1351"/>
      <c r="R656" s="1351"/>
      <c r="S656" s="1546"/>
      <c r="T656" s="1285"/>
      <c r="U656" s="1351"/>
      <c r="V656" s="1351"/>
      <c r="W656" s="1351"/>
      <c r="X656" s="1351"/>
      <c r="Y656" s="1351"/>
      <c r="Z656" s="1333"/>
      <c r="AA656" s="1333"/>
      <c r="AB656" s="1333"/>
      <c r="AC656" s="1333"/>
      <c r="AD656" s="1333"/>
      <c r="AE656" s="1333"/>
      <c r="AF656" s="1333"/>
      <c r="AG656" s="1333"/>
      <c r="AH656" s="1333"/>
      <c r="AI656" s="1333"/>
      <c r="AJ656" s="1333"/>
    </row>
    <row r="657" spans="1:36" ht="18.75" x14ac:dyDescent="0.3">
      <c r="A657" s="1331"/>
      <c r="B657" s="1284"/>
      <c r="C657" s="1284"/>
      <c r="D657" s="1364"/>
      <c r="E657" s="1364"/>
      <c r="F657" s="1364"/>
      <c r="G657" s="1365"/>
      <c r="H657" s="1333"/>
      <c r="I657" s="1333"/>
      <c r="J657" s="1333"/>
      <c r="K657" s="1550"/>
      <c r="L657" s="1333"/>
      <c r="M657" s="1333"/>
      <c r="N657" s="1333"/>
      <c r="O657" s="1333"/>
      <c r="P657" s="1351"/>
      <c r="Q657" s="1351"/>
      <c r="R657" s="1351"/>
      <c r="S657" s="1546"/>
      <c r="T657" s="1285"/>
      <c r="U657" s="1351"/>
      <c r="V657" s="1351"/>
      <c r="W657" s="1351"/>
      <c r="X657" s="1351"/>
      <c r="Y657" s="1351"/>
      <c r="Z657" s="1333"/>
      <c r="AA657" s="1333"/>
      <c r="AB657" s="1333"/>
      <c r="AC657" s="1333"/>
      <c r="AD657" s="1333"/>
      <c r="AE657" s="1333"/>
      <c r="AF657" s="1333"/>
      <c r="AG657" s="1333"/>
      <c r="AH657" s="1333"/>
      <c r="AI657" s="1333"/>
      <c r="AJ657" s="1333"/>
    </row>
    <row r="658" spans="1:36" ht="18.75" x14ac:dyDescent="0.3">
      <c r="A658" s="1331"/>
      <c r="B658" s="1284"/>
      <c r="C658" s="1284"/>
      <c r="D658" s="1364"/>
      <c r="E658" s="1364"/>
      <c r="F658" s="1364"/>
      <c r="G658" s="1365"/>
      <c r="H658" s="1333"/>
      <c r="I658" s="1333"/>
      <c r="J658" s="1333"/>
      <c r="K658" s="1550"/>
      <c r="L658" s="1333"/>
      <c r="M658" s="1333"/>
      <c r="N658" s="1333"/>
      <c r="O658" s="1333"/>
      <c r="P658" s="1351"/>
      <c r="Q658" s="1351"/>
      <c r="R658" s="1351"/>
      <c r="S658" s="1546"/>
      <c r="T658" s="1285"/>
      <c r="U658" s="1351"/>
      <c r="V658" s="1351"/>
      <c r="W658" s="1351"/>
      <c r="X658" s="1351"/>
      <c r="Y658" s="1351"/>
      <c r="Z658" s="1333"/>
      <c r="AA658" s="1333"/>
      <c r="AB658" s="1333"/>
      <c r="AC658" s="1333"/>
      <c r="AD658" s="1333"/>
      <c r="AE658" s="1333"/>
      <c r="AF658" s="1333"/>
      <c r="AG658" s="1333"/>
      <c r="AH658" s="1333"/>
      <c r="AI658" s="1333"/>
      <c r="AJ658" s="1333"/>
    </row>
    <row r="659" spans="1:36" ht="18.75" x14ac:dyDescent="0.3">
      <c r="A659" s="1331"/>
      <c r="B659" s="1284"/>
      <c r="C659" s="1284"/>
      <c r="D659" s="1364"/>
      <c r="E659" s="1364"/>
      <c r="F659" s="1364"/>
      <c r="G659" s="1365"/>
      <c r="H659" s="1333"/>
      <c r="I659" s="1333"/>
      <c r="J659" s="1333"/>
      <c r="K659" s="1550"/>
      <c r="L659" s="1333"/>
      <c r="M659" s="1333"/>
      <c r="N659" s="1333"/>
      <c r="O659" s="1333"/>
      <c r="P659" s="1351"/>
      <c r="Q659" s="1351"/>
      <c r="R659" s="1351"/>
      <c r="S659" s="1546"/>
      <c r="T659" s="1285"/>
      <c r="U659" s="1351"/>
      <c r="V659" s="1351"/>
      <c r="W659" s="1351"/>
      <c r="X659" s="1351"/>
      <c r="Y659" s="1351"/>
      <c r="Z659" s="1333"/>
      <c r="AA659" s="1333"/>
      <c r="AB659" s="1333"/>
      <c r="AC659" s="1333"/>
      <c r="AD659" s="1333"/>
      <c r="AE659" s="1333"/>
      <c r="AF659" s="1333"/>
      <c r="AG659" s="1333"/>
      <c r="AH659" s="1333"/>
      <c r="AI659" s="1333"/>
      <c r="AJ659" s="1333"/>
    </row>
    <row r="660" spans="1:36" x14ac:dyDescent="0.25">
      <c r="A660" s="1331"/>
      <c r="B660" s="1284"/>
      <c r="C660" s="1284"/>
      <c r="D660" s="1364"/>
      <c r="E660" s="1364"/>
      <c r="F660" s="1364"/>
      <c r="G660" s="1365"/>
      <c r="H660" s="1333"/>
      <c r="I660" s="1333"/>
      <c r="J660" s="1333"/>
      <c r="K660" s="1333"/>
      <c r="L660" s="1333"/>
      <c r="M660" s="1333"/>
      <c r="N660" s="1333"/>
      <c r="O660" s="1333"/>
      <c r="P660" s="1351"/>
      <c r="Q660" s="1351"/>
      <c r="R660" s="1351"/>
      <c r="S660" s="1546"/>
      <c r="T660" s="1285"/>
      <c r="U660" s="1351"/>
      <c r="V660" s="1351"/>
      <c r="W660" s="1351"/>
      <c r="X660" s="1351"/>
      <c r="Y660" s="1351"/>
      <c r="Z660" s="1333"/>
      <c r="AA660" s="1333"/>
      <c r="AB660" s="1333"/>
      <c r="AC660" s="1333"/>
      <c r="AD660" s="1333"/>
      <c r="AE660" s="1333"/>
      <c r="AF660" s="1333"/>
      <c r="AG660" s="1333"/>
      <c r="AH660" s="1333"/>
      <c r="AI660" s="1333"/>
      <c r="AJ660" s="1333"/>
    </row>
    <row r="661" spans="1:36" x14ac:dyDescent="0.25">
      <c r="A661" s="1331"/>
      <c r="B661" s="1284"/>
      <c r="C661" s="1284"/>
      <c r="D661" s="1364"/>
      <c r="E661" s="1364"/>
      <c r="F661" s="1364"/>
      <c r="G661" s="1365"/>
      <c r="H661" s="1333"/>
      <c r="I661" s="1333"/>
      <c r="J661" s="1333"/>
      <c r="K661" s="1333"/>
      <c r="L661" s="1333"/>
      <c r="M661" s="1333"/>
      <c r="N661" s="1333"/>
      <c r="O661" s="1333"/>
      <c r="P661" s="1351"/>
      <c r="Q661" s="1351"/>
      <c r="R661" s="1351"/>
      <c r="S661" s="1546"/>
      <c r="T661" s="1285"/>
      <c r="U661" s="1351"/>
      <c r="V661" s="1351"/>
      <c r="W661" s="1351"/>
      <c r="X661" s="1351"/>
      <c r="Y661" s="1351"/>
      <c r="Z661" s="1333"/>
      <c r="AA661" s="1333"/>
      <c r="AB661" s="1333"/>
      <c r="AC661" s="1333"/>
      <c r="AD661" s="1333"/>
      <c r="AE661" s="1333"/>
      <c r="AF661" s="1333"/>
      <c r="AG661" s="1333"/>
      <c r="AH661" s="1333"/>
      <c r="AI661" s="1333"/>
      <c r="AJ661" s="1333"/>
    </row>
    <row r="662" spans="1:36" x14ac:dyDescent="0.25">
      <c r="A662" s="1331"/>
      <c r="B662" s="1284"/>
      <c r="C662" s="1284"/>
      <c r="D662" s="1364"/>
      <c r="E662" s="1364"/>
      <c r="F662" s="1364"/>
      <c r="G662" s="1365"/>
      <c r="H662" s="1333"/>
      <c r="I662" s="1333"/>
      <c r="J662" s="1333"/>
      <c r="K662" s="1333"/>
      <c r="L662" s="1333"/>
      <c r="M662" s="1333"/>
      <c r="N662" s="1333"/>
      <c r="O662" s="1333"/>
      <c r="P662" s="1351"/>
      <c r="Q662" s="1351"/>
      <c r="R662" s="1351"/>
      <c r="S662" s="1546"/>
      <c r="T662" s="1285"/>
      <c r="U662" s="1351"/>
      <c r="V662" s="1351"/>
      <c r="W662" s="1351"/>
      <c r="X662" s="1351"/>
      <c r="Y662" s="1351"/>
      <c r="Z662" s="1333"/>
      <c r="AA662" s="1333"/>
      <c r="AB662" s="1333"/>
      <c r="AC662" s="1333"/>
      <c r="AD662" s="1333"/>
      <c r="AE662" s="1333"/>
      <c r="AF662" s="1333"/>
      <c r="AG662" s="1333"/>
      <c r="AH662" s="1333"/>
      <c r="AI662" s="1333"/>
      <c r="AJ662" s="1333"/>
    </row>
    <row r="663" spans="1:36" x14ac:dyDescent="0.25">
      <c r="A663" s="1331"/>
      <c r="B663" s="1284"/>
      <c r="C663" s="1284"/>
      <c r="D663" s="1364"/>
      <c r="E663" s="1364"/>
      <c r="F663" s="1364"/>
      <c r="G663" s="1365"/>
      <c r="H663" s="1333"/>
      <c r="I663" s="1333"/>
      <c r="J663" s="1333"/>
      <c r="K663" s="1333"/>
      <c r="L663" s="1333"/>
      <c r="M663" s="1333"/>
      <c r="N663" s="1333"/>
      <c r="O663" s="1333"/>
      <c r="P663" s="1351"/>
      <c r="Q663" s="1351"/>
      <c r="R663" s="1351"/>
      <c r="S663" s="1546"/>
      <c r="T663" s="1285"/>
      <c r="U663" s="1351"/>
      <c r="V663" s="1351"/>
      <c r="W663" s="1351"/>
      <c r="X663" s="1351"/>
      <c r="Y663" s="1351"/>
      <c r="Z663" s="1333"/>
      <c r="AA663" s="1333"/>
      <c r="AB663" s="1333"/>
      <c r="AC663" s="1333"/>
      <c r="AD663" s="1333"/>
      <c r="AE663" s="1333"/>
      <c r="AF663" s="1333"/>
      <c r="AG663" s="1333"/>
      <c r="AH663" s="1333"/>
      <c r="AI663" s="1333"/>
      <c r="AJ663" s="1333"/>
    </row>
    <row r="664" spans="1:36" x14ac:dyDescent="0.25">
      <c r="A664" s="1331"/>
      <c r="B664" s="1284"/>
      <c r="C664" s="1284"/>
      <c r="D664" s="1364"/>
      <c r="E664" s="1364"/>
      <c r="F664" s="1364"/>
      <c r="G664" s="1365"/>
      <c r="H664" s="1333"/>
      <c r="I664" s="1333"/>
      <c r="J664" s="1333"/>
      <c r="K664" s="1333"/>
      <c r="L664" s="1333"/>
      <c r="M664" s="1333"/>
      <c r="N664" s="1333"/>
      <c r="O664" s="1333"/>
      <c r="P664" s="1351"/>
      <c r="Q664" s="1351"/>
      <c r="R664" s="1351"/>
      <c r="S664" s="1546"/>
      <c r="T664" s="1285"/>
      <c r="U664" s="1351"/>
      <c r="V664" s="1351"/>
      <c r="W664" s="1351"/>
      <c r="X664" s="1351"/>
      <c r="Y664" s="1351"/>
      <c r="Z664" s="1333"/>
      <c r="AA664" s="1333"/>
      <c r="AB664" s="1333"/>
      <c r="AC664" s="1333"/>
      <c r="AD664" s="1333"/>
      <c r="AE664" s="1333"/>
      <c r="AF664" s="1333"/>
      <c r="AG664" s="1333"/>
      <c r="AH664" s="1333"/>
      <c r="AI664" s="1333"/>
      <c r="AJ664" s="1333"/>
    </row>
    <row r="665" spans="1:36" x14ac:dyDescent="0.25">
      <c r="A665" s="1331"/>
      <c r="B665" s="1284"/>
      <c r="C665" s="1284"/>
      <c r="D665" s="1364"/>
      <c r="E665" s="1364"/>
      <c r="F665" s="1364"/>
      <c r="G665" s="1365"/>
      <c r="H665" s="1333"/>
      <c r="I665" s="1333"/>
      <c r="J665" s="1333"/>
      <c r="K665" s="1333"/>
      <c r="L665" s="1333"/>
      <c r="M665" s="1333"/>
      <c r="N665" s="1333"/>
      <c r="O665" s="1333"/>
      <c r="P665" s="1351"/>
      <c r="Q665" s="1351"/>
      <c r="R665" s="1351"/>
      <c r="S665" s="1546"/>
      <c r="T665" s="1285"/>
      <c r="U665" s="1351"/>
      <c r="V665" s="1351"/>
      <c r="W665" s="1351"/>
      <c r="X665" s="1351"/>
      <c r="Y665" s="1351"/>
      <c r="Z665" s="1333"/>
      <c r="AA665" s="1333"/>
      <c r="AB665" s="1333"/>
      <c r="AC665" s="1333"/>
      <c r="AD665" s="1333"/>
      <c r="AE665" s="1333"/>
      <c r="AF665" s="1333"/>
      <c r="AG665" s="1333"/>
      <c r="AH665" s="1333"/>
      <c r="AI665" s="1333"/>
      <c r="AJ665" s="1333"/>
    </row>
    <row r="666" spans="1:36" x14ac:dyDescent="0.25">
      <c r="A666" s="1331"/>
      <c r="B666" s="1284"/>
      <c r="C666" s="1284"/>
      <c r="D666" s="1364"/>
      <c r="E666" s="1364"/>
      <c r="F666" s="1364"/>
      <c r="G666" s="1365"/>
      <c r="H666" s="1333"/>
      <c r="I666" s="1333"/>
      <c r="J666" s="1333"/>
      <c r="K666" s="1333"/>
      <c r="L666" s="1333"/>
      <c r="M666" s="1333"/>
      <c r="N666" s="1333"/>
      <c r="O666" s="1333"/>
      <c r="P666" s="1351"/>
      <c r="Q666" s="1351"/>
      <c r="R666" s="1351"/>
      <c r="S666" s="1546"/>
      <c r="T666" s="1285"/>
      <c r="U666" s="1351"/>
      <c r="V666" s="1351"/>
      <c r="W666" s="1351"/>
      <c r="X666" s="1351"/>
      <c r="Y666" s="1351"/>
      <c r="Z666" s="1333"/>
      <c r="AA666" s="1333"/>
      <c r="AB666" s="1333"/>
      <c r="AC666" s="1333"/>
      <c r="AD666" s="1333"/>
      <c r="AE666" s="1333"/>
      <c r="AF666" s="1333"/>
      <c r="AG666" s="1333"/>
      <c r="AH666" s="1333"/>
      <c r="AI666" s="1333"/>
      <c r="AJ666" s="1333"/>
    </row>
    <row r="667" spans="1:36" x14ac:dyDescent="0.25">
      <c r="A667" s="1331"/>
      <c r="B667" s="1284"/>
      <c r="C667" s="1284"/>
      <c r="D667" s="1364"/>
      <c r="E667" s="1364"/>
      <c r="F667" s="1364"/>
      <c r="G667" s="1365"/>
      <c r="H667" s="1333"/>
      <c r="I667" s="1333"/>
      <c r="J667" s="1333"/>
      <c r="K667" s="1333"/>
      <c r="L667" s="1333"/>
      <c r="M667" s="1333"/>
      <c r="N667" s="1333"/>
      <c r="O667" s="1333"/>
      <c r="P667" s="1351"/>
      <c r="Q667" s="1351"/>
      <c r="R667" s="1351"/>
      <c r="S667" s="1546"/>
      <c r="T667" s="1285"/>
      <c r="U667" s="1351"/>
      <c r="V667" s="1351"/>
      <c r="W667" s="1351"/>
      <c r="X667" s="1351"/>
      <c r="Y667" s="1351"/>
      <c r="Z667" s="1333"/>
      <c r="AA667" s="1333"/>
      <c r="AB667" s="1333"/>
      <c r="AC667" s="1333"/>
      <c r="AD667" s="1333"/>
      <c r="AE667" s="1333"/>
      <c r="AF667" s="1333"/>
      <c r="AG667" s="1333"/>
      <c r="AH667" s="1333"/>
      <c r="AI667" s="1333"/>
      <c r="AJ667" s="1333"/>
    </row>
    <row r="668" spans="1:36" x14ac:dyDescent="0.25">
      <c r="A668" s="1331"/>
      <c r="B668" s="1284"/>
      <c r="C668" s="1284"/>
      <c r="D668" s="1364"/>
      <c r="E668" s="1364"/>
      <c r="F668" s="1364"/>
      <c r="G668" s="1365"/>
      <c r="H668" s="1333"/>
      <c r="I668" s="1333"/>
      <c r="J668" s="1333"/>
      <c r="K668" s="1333"/>
      <c r="L668" s="1333"/>
      <c r="M668" s="1333"/>
      <c r="N668" s="1333"/>
      <c r="O668" s="1333"/>
      <c r="P668" s="1351"/>
      <c r="Q668" s="1351"/>
      <c r="R668" s="1351"/>
      <c r="S668" s="1546"/>
      <c r="T668" s="1285"/>
      <c r="U668" s="1351"/>
      <c r="V668" s="1351"/>
      <c r="W668" s="1351"/>
      <c r="X668" s="1351"/>
      <c r="Y668" s="1351"/>
      <c r="Z668" s="1333"/>
      <c r="AA668" s="1333"/>
      <c r="AB668" s="1333"/>
      <c r="AC668" s="1333"/>
      <c r="AD668" s="1333"/>
      <c r="AE668" s="1333"/>
      <c r="AF668" s="1333"/>
      <c r="AG668" s="1333"/>
      <c r="AH668" s="1333"/>
      <c r="AI668" s="1333"/>
      <c r="AJ668" s="1333"/>
    </row>
    <row r="669" spans="1:36" x14ac:dyDescent="0.25">
      <c r="A669" s="1331"/>
      <c r="B669" s="1284"/>
      <c r="C669" s="1284"/>
      <c r="D669" s="1364"/>
      <c r="E669" s="1364"/>
      <c r="F669" s="1364"/>
      <c r="G669" s="1365"/>
      <c r="H669" s="1333"/>
      <c r="I669" s="1333"/>
      <c r="J669" s="1333"/>
      <c r="K669" s="1333"/>
      <c r="L669" s="1333"/>
      <c r="M669" s="1333"/>
      <c r="N669" s="1333"/>
      <c r="O669" s="1333"/>
      <c r="P669" s="1351"/>
      <c r="Q669" s="1351"/>
      <c r="R669" s="1351"/>
      <c r="S669" s="1546"/>
      <c r="T669" s="1285"/>
      <c r="U669" s="1351"/>
      <c r="V669" s="1351"/>
      <c r="W669" s="1351"/>
      <c r="X669" s="1351"/>
      <c r="Y669" s="1351"/>
      <c r="Z669" s="1333"/>
      <c r="AA669" s="1333"/>
      <c r="AB669" s="1333"/>
      <c r="AC669" s="1333"/>
      <c r="AD669" s="1333"/>
      <c r="AE669" s="1333"/>
      <c r="AF669" s="1333"/>
      <c r="AG669" s="1333"/>
      <c r="AH669" s="1333"/>
      <c r="AI669" s="1333"/>
      <c r="AJ669" s="1333"/>
    </row>
    <row r="670" spans="1:36" x14ac:dyDescent="0.25">
      <c r="A670" s="1331"/>
      <c r="B670" s="1284"/>
      <c r="C670" s="1284"/>
      <c r="D670" s="1364"/>
      <c r="E670" s="1364"/>
      <c r="F670" s="1364"/>
      <c r="G670" s="1365"/>
      <c r="H670" s="1333"/>
      <c r="I670" s="1333"/>
      <c r="J670" s="1333"/>
      <c r="K670" s="1333"/>
      <c r="L670" s="1333"/>
      <c r="M670" s="1333"/>
      <c r="N670" s="1333"/>
      <c r="O670" s="1333"/>
      <c r="P670" s="1351"/>
      <c r="Q670" s="1351"/>
      <c r="R670" s="1351"/>
      <c r="S670" s="1546"/>
      <c r="T670" s="1285"/>
      <c r="U670" s="1351"/>
      <c r="V670" s="1351"/>
      <c r="W670" s="1351"/>
      <c r="X670" s="1351"/>
      <c r="Y670" s="1351"/>
      <c r="Z670" s="1333"/>
      <c r="AA670" s="1333"/>
      <c r="AB670" s="1333"/>
      <c r="AC670" s="1333"/>
      <c r="AD670" s="1333"/>
      <c r="AE670" s="1333"/>
      <c r="AF670" s="1333"/>
      <c r="AG670" s="1333"/>
      <c r="AH670" s="1333"/>
      <c r="AI670" s="1333"/>
      <c r="AJ670" s="1333"/>
    </row>
    <row r="671" spans="1:36" x14ac:dyDescent="0.25">
      <c r="A671" s="1331"/>
      <c r="B671" s="1284"/>
      <c r="C671" s="1284"/>
      <c r="D671" s="1364"/>
      <c r="E671" s="1364"/>
      <c r="F671" s="1364"/>
      <c r="G671" s="1365"/>
      <c r="H671" s="1333"/>
      <c r="I671" s="1333"/>
      <c r="J671" s="1333"/>
      <c r="K671" s="1333"/>
      <c r="L671" s="1333"/>
      <c r="M671" s="1333"/>
      <c r="N671" s="1333"/>
      <c r="O671" s="1333"/>
      <c r="P671" s="1351"/>
      <c r="Q671" s="1351"/>
      <c r="R671" s="1351"/>
      <c r="S671" s="1546"/>
      <c r="T671" s="1285"/>
      <c r="U671" s="1351"/>
      <c r="V671" s="1351"/>
      <c r="W671" s="1351"/>
      <c r="X671" s="1351"/>
      <c r="Y671" s="1351"/>
      <c r="Z671" s="1333"/>
      <c r="AA671" s="1333"/>
      <c r="AB671" s="1333"/>
      <c r="AC671" s="1333"/>
      <c r="AD671" s="1333"/>
      <c r="AE671" s="1333"/>
      <c r="AF671" s="1333"/>
      <c r="AG671" s="1333"/>
      <c r="AH671" s="1333"/>
      <c r="AI671" s="1333"/>
      <c r="AJ671" s="1333"/>
    </row>
    <row r="672" spans="1:36" x14ac:dyDescent="0.25">
      <c r="A672" s="1331"/>
      <c r="B672" s="1284"/>
      <c r="C672" s="1284"/>
      <c r="D672" s="1364"/>
      <c r="E672" s="1364"/>
      <c r="F672" s="1364"/>
      <c r="G672" s="1365"/>
      <c r="H672" s="1333"/>
      <c r="I672" s="1333"/>
      <c r="J672" s="1333"/>
      <c r="K672" s="1333"/>
      <c r="L672" s="1333"/>
      <c r="M672" s="1333"/>
      <c r="N672" s="1333"/>
      <c r="O672" s="1333"/>
      <c r="P672" s="1351"/>
      <c r="Q672" s="1351"/>
      <c r="R672" s="1351"/>
      <c r="S672" s="1546"/>
      <c r="T672" s="1285"/>
      <c r="U672" s="1351"/>
      <c r="V672" s="1351"/>
      <c r="W672" s="1351"/>
      <c r="X672" s="1351"/>
      <c r="Y672" s="1351"/>
      <c r="Z672" s="1333"/>
      <c r="AA672" s="1333"/>
      <c r="AB672" s="1333"/>
      <c r="AC672" s="1333"/>
      <c r="AD672" s="1333"/>
      <c r="AE672" s="1333"/>
      <c r="AF672" s="1333"/>
      <c r="AG672" s="1333"/>
      <c r="AH672" s="1333"/>
      <c r="AI672" s="1333"/>
      <c r="AJ672" s="1333"/>
    </row>
    <row r="673" spans="1:36" x14ac:dyDescent="0.25">
      <c r="A673" s="1331"/>
      <c r="B673" s="1284"/>
      <c r="C673" s="1284"/>
      <c r="D673" s="1364"/>
      <c r="E673" s="1364"/>
      <c r="F673" s="1364"/>
      <c r="G673" s="1365"/>
      <c r="H673" s="1333"/>
      <c r="I673" s="1333"/>
      <c r="J673" s="1333"/>
      <c r="K673" s="1333"/>
      <c r="L673" s="1333"/>
      <c r="M673" s="1333"/>
      <c r="N673" s="1333"/>
      <c r="O673" s="1333"/>
      <c r="P673" s="1351"/>
      <c r="Q673" s="1351"/>
      <c r="R673" s="1351"/>
      <c r="S673" s="1546"/>
      <c r="T673" s="1285"/>
      <c r="U673" s="1351"/>
      <c r="V673" s="1351"/>
      <c r="W673" s="1351"/>
      <c r="X673" s="1351"/>
      <c r="Y673" s="1351"/>
      <c r="Z673" s="1333"/>
      <c r="AA673" s="1333"/>
      <c r="AB673" s="1333"/>
      <c r="AC673" s="1333"/>
      <c r="AD673" s="1333"/>
      <c r="AE673" s="1333"/>
      <c r="AF673" s="1333"/>
      <c r="AG673" s="1333"/>
      <c r="AH673" s="1333"/>
      <c r="AI673" s="1333"/>
      <c r="AJ673" s="1333"/>
    </row>
    <row r="674" spans="1:36" x14ac:dyDescent="0.25">
      <c r="A674" s="1331"/>
      <c r="B674" s="1284"/>
      <c r="C674" s="1284"/>
      <c r="D674" s="1364"/>
      <c r="E674" s="1364"/>
      <c r="F674" s="1364"/>
      <c r="G674" s="1365"/>
      <c r="H674" s="1333"/>
      <c r="I674" s="1333"/>
      <c r="J674" s="1333"/>
      <c r="K674" s="1333"/>
      <c r="L674" s="1333"/>
      <c r="M674" s="1333"/>
      <c r="N674" s="1333"/>
      <c r="O674" s="1333"/>
      <c r="P674" s="1351"/>
      <c r="Q674" s="1351"/>
      <c r="R674" s="1351"/>
      <c r="S674" s="1546"/>
      <c r="T674" s="1285"/>
      <c r="U674" s="1351"/>
      <c r="V674" s="1351"/>
      <c r="W674" s="1351"/>
      <c r="X674" s="1351"/>
      <c r="Y674" s="1351"/>
      <c r="Z674" s="1333"/>
      <c r="AA674" s="1333"/>
      <c r="AB674" s="1333"/>
      <c r="AC674" s="1333"/>
      <c r="AD674" s="1333"/>
      <c r="AE674" s="1333"/>
      <c r="AF674" s="1333"/>
      <c r="AG674" s="1333"/>
      <c r="AH674" s="1333"/>
      <c r="AI674" s="1333"/>
      <c r="AJ674" s="1333"/>
    </row>
    <row r="675" spans="1:36" x14ac:dyDescent="0.25">
      <c r="A675" s="1331"/>
      <c r="B675" s="1284"/>
      <c r="C675" s="1284"/>
      <c r="D675" s="1364"/>
      <c r="E675" s="1364"/>
      <c r="F675" s="1364"/>
      <c r="G675" s="1365"/>
      <c r="H675" s="1333"/>
      <c r="I675" s="1333"/>
      <c r="J675" s="1333"/>
      <c r="K675" s="1333"/>
      <c r="L675" s="1333"/>
      <c r="M675" s="1333"/>
      <c r="N675" s="1333"/>
      <c r="O675" s="1333"/>
      <c r="P675" s="1351"/>
      <c r="Q675" s="1351"/>
      <c r="R675" s="1351"/>
      <c r="S675" s="1546"/>
      <c r="T675" s="1285"/>
      <c r="U675" s="1351"/>
      <c r="V675" s="1351"/>
      <c r="W675" s="1351"/>
      <c r="X675" s="1351"/>
      <c r="Y675" s="1351"/>
      <c r="Z675" s="1333"/>
      <c r="AA675" s="1333"/>
      <c r="AB675" s="1333"/>
      <c r="AC675" s="1333"/>
      <c r="AD675" s="1333"/>
      <c r="AE675" s="1333"/>
      <c r="AF675" s="1333"/>
      <c r="AG675" s="1333"/>
      <c r="AH675" s="1333"/>
      <c r="AI675" s="1333"/>
      <c r="AJ675" s="1333"/>
    </row>
    <row r="676" spans="1:36" x14ac:dyDescent="0.25">
      <c r="A676" s="1331"/>
      <c r="B676" s="1284"/>
      <c r="C676" s="1284"/>
      <c r="D676" s="1364"/>
      <c r="E676" s="1364"/>
      <c r="F676" s="1364"/>
      <c r="G676" s="1365"/>
      <c r="H676" s="1333"/>
      <c r="I676" s="1333"/>
      <c r="J676" s="1333"/>
      <c r="K676" s="1333"/>
      <c r="L676" s="1333"/>
      <c r="M676" s="1333"/>
      <c r="N676" s="1333"/>
      <c r="O676" s="1333"/>
      <c r="P676" s="1351"/>
      <c r="Q676" s="1351"/>
      <c r="R676" s="1351"/>
      <c r="S676" s="1546"/>
      <c r="T676" s="1285"/>
      <c r="U676" s="1351"/>
      <c r="V676" s="1351"/>
      <c r="W676" s="1351"/>
      <c r="X676" s="1351"/>
      <c r="Y676" s="1351"/>
      <c r="Z676" s="1333"/>
      <c r="AA676" s="1333"/>
      <c r="AB676" s="1333"/>
      <c r="AC676" s="1333"/>
      <c r="AD676" s="1333"/>
      <c r="AE676" s="1333"/>
      <c r="AF676" s="1333"/>
      <c r="AG676" s="1333"/>
      <c r="AH676" s="1333"/>
      <c r="AI676" s="1333"/>
      <c r="AJ676" s="1333"/>
    </row>
    <row r="677" spans="1:36" x14ac:dyDescent="0.25">
      <c r="A677" s="1331"/>
      <c r="B677" s="1284"/>
      <c r="C677" s="1284"/>
      <c r="D677" s="1364"/>
      <c r="E677" s="1364"/>
      <c r="F677" s="1364"/>
      <c r="G677" s="1365"/>
      <c r="H677" s="1333"/>
      <c r="I677" s="1333"/>
      <c r="J677" s="1333"/>
      <c r="K677" s="1333"/>
      <c r="L677" s="1333"/>
      <c r="M677" s="1333"/>
      <c r="N677" s="1333"/>
      <c r="O677" s="1333"/>
      <c r="P677" s="1351"/>
      <c r="Q677" s="1351"/>
      <c r="R677" s="1351"/>
      <c r="S677" s="1546"/>
      <c r="T677" s="1285"/>
      <c r="U677" s="1351"/>
      <c r="V677" s="1351"/>
      <c r="W677" s="1351"/>
      <c r="X677" s="1351"/>
      <c r="Y677" s="1351"/>
      <c r="Z677" s="1333"/>
      <c r="AA677" s="1333"/>
      <c r="AB677" s="1333"/>
      <c r="AC677" s="1333"/>
      <c r="AD677" s="1333"/>
      <c r="AE677" s="1333"/>
      <c r="AF677" s="1333"/>
      <c r="AG677" s="1333"/>
      <c r="AH677" s="1333"/>
      <c r="AI677" s="1333"/>
      <c r="AJ677" s="1333"/>
    </row>
    <row r="678" spans="1:36" x14ac:dyDescent="0.25">
      <c r="A678" s="1331"/>
      <c r="B678" s="1284"/>
      <c r="C678" s="1284"/>
      <c r="D678" s="1364"/>
      <c r="E678" s="1364"/>
      <c r="F678" s="1364"/>
      <c r="G678" s="1365"/>
      <c r="H678" s="1333"/>
      <c r="I678" s="1333"/>
      <c r="J678" s="1333"/>
      <c r="K678" s="1333"/>
      <c r="L678" s="1333"/>
      <c r="M678" s="1333"/>
      <c r="N678" s="1333"/>
      <c r="O678" s="1333"/>
      <c r="P678" s="1351"/>
      <c r="Q678" s="1351"/>
      <c r="R678" s="1351"/>
      <c r="S678" s="1546"/>
      <c r="T678" s="1285"/>
      <c r="U678" s="1351"/>
      <c r="V678" s="1351"/>
      <c r="W678" s="1351"/>
      <c r="X678" s="1351"/>
      <c r="Y678" s="1351"/>
      <c r="Z678" s="1333"/>
      <c r="AA678" s="1333"/>
      <c r="AB678" s="1333"/>
      <c r="AC678" s="1333"/>
      <c r="AD678" s="1333"/>
      <c r="AE678" s="1333"/>
      <c r="AF678" s="1333"/>
      <c r="AG678" s="1333"/>
      <c r="AH678" s="1333"/>
      <c r="AI678" s="1333"/>
      <c r="AJ678" s="1333"/>
    </row>
    <row r="679" spans="1:36" x14ac:dyDescent="0.25">
      <c r="A679" s="1331"/>
      <c r="B679" s="1284"/>
      <c r="C679" s="1284"/>
      <c r="D679" s="1364"/>
      <c r="E679" s="1364"/>
      <c r="F679" s="1364"/>
      <c r="G679" s="1365"/>
      <c r="H679" s="1333"/>
      <c r="I679" s="1333"/>
      <c r="J679" s="1333"/>
      <c r="K679" s="1333"/>
      <c r="L679" s="1333"/>
      <c r="M679" s="1333"/>
      <c r="N679" s="1333"/>
      <c r="O679" s="1333"/>
      <c r="P679" s="1351"/>
      <c r="Q679" s="1351"/>
      <c r="R679" s="1351"/>
      <c r="S679" s="1546"/>
      <c r="T679" s="1285"/>
      <c r="U679" s="1351"/>
      <c r="V679" s="1351"/>
      <c r="W679" s="1351"/>
      <c r="X679" s="1351"/>
      <c r="Y679" s="1351"/>
      <c r="Z679" s="1333"/>
      <c r="AA679" s="1333"/>
      <c r="AB679" s="1333"/>
      <c r="AC679" s="1333"/>
      <c r="AD679" s="1333"/>
      <c r="AE679" s="1333"/>
      <c r="AF679" s="1333"/>
      <c r="AG679" s="1333"/>
      <c r="AH679" s="1333"/>
      <c r="AI679" s="1333"/>
      <c r="AJ679" s="1333"/>
    </row>
    <row r="680" spans="1:36" x14ac:dyDescent="0.25">
      <c r="A680" s="1331"/>
      <c r="B680" s="1284"/>
      <c r="C680" s="1284"/>
      <c r="D680" s="1364"/>
      <c r="E680" s="1364"/>
      <c r="F680" s="1364"/>
      <c r="G680" s="1365"/>
      <c r="H680" s="1333"/>
      <c r="I680" s="1333"/>
      <c r="J680" s="1333"/>
      <c r="K680" s="1333"/>
      <c r="L680" s="1333"/>
      <c r="M680" s="1333"/>
      <c r="N680" s="1333"/>
      <c r="O680" s="1333"/>
      <c r="P680" s="1351"/>
      <c r="Q680" s="1351"/>
      <c r="R680" s="1351"/>
      <c r="S680" s="1546"/>
      <c r="T680" s="1285"/>
      <c r="U680" s="1351"/>
      <c r="V680" s="1351"/>
      <c r="W680" s="1351"/>
      <c r="X680" s="1351"/>
      <c r="Y680" s="1351"/>
      <c r="Z680" s="1333"/>
      <c r="AA680" s="1333"/>
      <c r="AB680" s="1333"/>
      <c r="AC680" s="1333"/>
      <c r="AD680" s="1333"/>
      <c r="AE680" s="1333"/>
      <c r="AF680" s="1333"/>
      <c r="AG680" s="1333"/>
      <c r="AH680" s="1333"/>
      <c r="AI680" s="1333"/>
      <c r="AJ680" s="1333"/>
    </row>
    <row r="681" spans="1:36" x14ac:dyDescent="0.25">
      <c r="A681" s="1331"/>
      <c r="B681" s="1284"/>
      <c r="C681" s="1284"/>
      <c r="D681" s="1364"/>
      <c r="E681" s="1364"/>
      <c r="F681" s="1364"/>
      <c r="G681" s="1365"/>
      <c r="H681" s="1333"/>
      <c r="I681" s="1333"/>
      <c r="J681" s="1333"/>
      <c r="K681" s="1333"/>
      <c r="L681" s="1333"/>
      <c r="M681" s="1333"/>
      <c r="N681" s="1333"/>
      <c r="O681" s="1333"/>
      <c r="P681" s="1351"/>
      <c r="Q681" s="1351"/>
      <c r="R681" s="1351"/>
      <c r="S681" s="1546"/>
      <c r="T681" s="1285"/>
      <c r="U681" s="1351"/>
      <c r="V681" s="1351"/>
      <c r="W681" s="1351"/>
      <c r="X681" s="1351"/>
      <c r="Y681" s="1351"/>
      <c r="Z681" s="1333"/>
      <c r="AA681" s="1333"/>
      <c r="AB681" s="1333"/>
      <c r="AC681" s="1333"/>
      <c r="AD681" s="1333"/>
      <c r="AE681" s="1333"/>
      <c r="AF681" s="1333"/>
      <c r="AG681" s="1333"/>
      <c r="AH681" s="1333"/>
      <c r="AI681" s="1333"/>
      <c r="AJ681" s="1333"/>
    </row>
    <row r="682" spans="1:36" x14ac:dyDescent="0.25">
      <c r="A682" s="1331"/>
      <c r="B682" s="1284"/>
      <c r="C682" s="1284"/>
      <c r="D682" s="1364"/>
      <c r="E682" s="1364"/>
      <c r="F682" s="1364"/>
      <c r="G682" s="1365"/>
      <c r="H682" s="1333"/>
      <c r="I682" s="1333"/>
      <c r="J682" s="1333"/>
      <c r="K682" s="1333"/>
      <c r="L682" s="1333"/>
      <c r="M682" s="1333"/>
      <c r="N682" s="1333"/>
      <c r="O682" s="1333"/>
      <c r="P682" s="1351"/>
      <c r="Q682" s="1351"/>
      <c r="R682" s="1351"/>
      <c r="S682" s="1546"/>
      <c r="T682" s="1285"/>
      <c r="U682" s="1351"/>
      <c r="V682" s="1351"/>
      <c r="W682" s="1351"/>
      <c r="X682" s="1351"/>
      <c r="Y682" s="1351"/>
      <c r="Z682" s="1333"/>
      <c r="AA682" s="1333"/>
      <c r="AB682" s="1333"/>
      <c r="AC682" s="1333"/>
      <c r="AD682" s="1333"/>
      <c r="AE682" s="1333"/>
      <c r="AF682" s="1333"/>
      <c r="AG682" s="1333"/>
      <c r="AH682" s="1333"/>
      <c r="AI682" s="1333"/>
      <c r="AJ682" s="1333"/>
    </row>
    <row r="683" spans="1:36" x14ac:dyDescent="0.25">
      <c r="A683" s="1331"/>
      <c r="B683" s="1284"/>
      <c r="C683" s="1284"/>
      <c r="D683" s="1364"/>
      <c r="E683" s="1364"/>
      <c r="F683" s="1364"/>
      <c r="G683" s="1365"/>
      <c r="H683" s="1333"/>
      <c r="I683" s="1333"/>
      <c r="J683" s="1333"/>
      <c r="K683" s="1333"/>
      <c r="L683" s="1333"/>
      <c r="M683" s="1333"/>
      <c r="N683" s="1333"/>
      <c r="O683" s="1333"/>
      <c r="P683" s="1351"/>
      <c r="Q683" s="1351"/>
      <c r="R683" s="1351"/>
      <c r="S683" s="1546"/>
      <c r="T683" s="1285"/>
      <c r="U683" s="1351"/>
      <c r="V683" s="1351"/>
      <c r="W683" s="1351"/>
      <c r="X683" s="1351"/>
      <c r="Y683" s="1351"/>
      <c r="Z683" s="1333"/>
      <c r="AA683" s="1333"/>
      <c r="AB683" s="1333"/>
      <c r="AC683" s="1333"/>
      <c r="AD683" s="1333"/>
      <c r="AE683" s="1333"/>
      <c r="AF683" s="1333"/>
      <c r="AG683" s="1333"/>
      <c r="AH683" s="1333"/>
      <c r="AI683" s="1333"/>
      <c r="AJ683" s="1333"/>
    </row>
    <row r="684" spans="1:36" x14ac:dyDescent="0.25">
      <c r="A684" s="1331"/>
      <c r="B684" s="1284"/>
      <c r="C684" s="1284"/>
      <c r="D684" s="1364"/>
      <c r="E684" s="1364"/>
      <c r="F684" s="1364"/>
      <c r="G684" s="1365"/>
      <c r="H684" s="1333"/>
      <c r="I684" s="1333"/>
      <c r="J684" s="1333"/>
      <c r="K684" s="1333"/>
      <c r="L684" s="1333"/>
      <c r="M684" s="1333"/>
      <c r="N684" s="1333"/>
      <c r="O684" s="1333"/>
      <c r="P684" s="1351"/>
      <c r="Q684" s="1351"/>
      <c r="R684" s="1351"/>
      <c r="S684" s="1546"/>
      <c r="T684" s="1285"/>
      <c r="U684" s="1351"/>
      <c r="V684" s="1351"/>
      <c r="W684" s="1351"/>
      <c r="X684" s="1351"/>
      <c r="Y684" s="1351"/>
      <c r="Z684" s="1333"/>
      <c r="AA684" s="1333"/>
      <c r="AB684" s="1333"/>
      <c r="AC684" s="1333"/>
      <c r="AD684" s="1333"/>
      <c r="AE684" s="1333"/>
      <c r="AF684" s="1333"/>
      <c r="AG684" s="1333"/>
      <c r="AH684" s="1333"/>
      <c r="AI684" s="1333"/>
      <c r="AJ684" s="1333"/>
    </row>
    <row r="685" spans="1:36" x14ac:dyDescent="0.25">
      <c r="A685" s="1331"/>
      <c r="B685" s="1284"/>
      <c r="C685" s="1284"/>
      <c r="D685" s="1364"/>
      <c r="E685" s="1364"/>
      <c r="F685" s="1364"/>
      <c r="G685" s="1365"/>
      <c r="H685" s="1333"/>
      <c r="I685" s="1333"/>
      <c r="J685" s="1333"/>
      <c r="K685" s="1333"/>
      <c r="L685" s="1333"/>
      <c r="M685" s="1333"/>
      <c r="N685" s="1333"/>
      <c r="O685" s="1333"/>
      <c r="P685" s="1351"/>
      <c r="Q685" s="1351"/>
      <c r="R685" s="1351"/>
      <c r="S685" s="1546"/>
      <c r="T685" s="1285"/>
      <c r="U685" s="1351"/>
      <c r="V685" s="1351"/>
      <c r="W685" s="1351"/>
      <c r="X685" s="1351"/>
      <c r="Y685" s="1351"/>
      <c r="Z685" s="1333"/>
      <c r="AA685" s="1333"/>
      <c r="AB685" s="1333"/>
      <c r="AC685" s="1333"/>
      <c r="AD685" s="1333"/>
      <c r="AE685" s="1333"/>
      <c r="AF685" s="1333"/>
      <c r="AG685" s="1333"/>
      <c r="AH685" s="1333"/>
      <c r="AI685" s="1333"/>
      <c r="AJ685" s="1333"/>
    </row>
    <row r="686" spans="1:36" x14ac:dyDescent="0.25">
      <c r="A686" s="1331"/>
      <c r="B686" s="1284"/>
      <c r="C686" s="1284"/>
      <c r="D686" s="1364"/>
      <c r="E686" s="1364"/>
      <c r="F686" s="1364"/>
      <c r="G686" s="1365"/>
      <c r="H686" s="1333"/>
      <c r="I686" s="1333"/>
      <c r="J686" s="1333"/>
      <c r="K686" s="1333"/>
      <c r="L686" s="1333"/>
      <c r="M686" s="1333"/>
      <c r="N686" s="1333"/>
      <c r="O686" s="1333"/>
      <c r="P686" s="1351"/>
      <c r="Q686" s="1351"/>
      <c r="R686" s="1351"/>
      <c r="S686" s="1546"/>
      <c r="T686" s="1285"/>
      <c r="U686" s="1351"/>
      <c r="V686" s="1351"/>
      <c r="W686" s="1351"/>
      <c r="X686" s="1351"/>
      <c r="Y686" s="1351"/>
      <c r="Z686" s="1333"/>
      <c r="AA686" s="1333"/>
      <c r="AB686" s="1333"/>
      <c r="AC686" s="1333"/>
      <c r="AD686" s="1333"/>
      <c r="AE686" s="1333"/>
      <c r="AF686" s="1333"/>
      <c r="AG686" s="1333"/>
      <c r="AH686" s="1333"/>
      <c r="AI686" s="1333"/>
      <c r="AJ686" s="1333"/>
    </row>
    <row r="687" spans="1:36" x14ac:dyDescent="0.25">
      <c r="A687" s="1331"/>
      <c r="B687" s="1284"/>
      <c r="C687" s="1284"/>
      <c r="D687" s="1364"/>
      <c r="E687" s="1364"/>
      <c r="F687" s="1364"/>
      <c r="G687" s="1365"/>
      <c r="H687" s="1333"/>
      <c r="I687" s="1333"/>
      <c r="J687" s="1333"/>
      <c r="K687" s="1333"/>
      <c r="L687" s="1333"/>
      <c r="M687" s="1333"/>
      <c r="N687" s="1333"/>
      <c r="O687" s="1333"/>
      <c r="P687" s="1351"/>
      <c r="Q687" s="1351"/>
      <c r="R687" s="1351"/>
      <c r="S687" s="1546"/>
      <c r="T687" s="1285"/>
      <c r="U687" s="1351"/>
      <c r="V687" s="1351"/>
      <c r="W687" s="1351"/>
      <c r="X687" s="1351"/>
      <c r="Y687" s="1351"/>
      <c r="Z687" s="1333"/>
      <c r="AA687" s="1333"/>
      <c r="AB687" s="1333"/>
      <c r="AC687" s="1333"/>
      <c r="AD687" s="1333"/>
      <c r="AE687" s="1333"/>
      <c r="AF687" s="1333"/>
      <c r="AG687" s="1333"/>
      <c r="AH687" s="1333"/>
      <c r="AI687" s="1333"/>
      <c r="AJ687" s="1333"/>
    </row>
    <row r="688" spans="1:36" x14ac:dyDescent="0.25">
      <c r="A688" s="1331"/>
      <c r="B688" s="1284"/>
      <c r="C688" s="1284"/>
      <c r="D688" s="1364"/>
      <c r="E688" s="1364"/>
      <c r="F688" s="1364"/>
      <c r="G688" s="1365"/>
      <c r="H688" s="1333"/>
      <c r="I688" s="1333"/>
      <c r="J688" s="1333"/>
      <c r="K688" s="1333"/>
      <c r="L688" s="1333"/>
      <c r="M688" s="1333"/>
      <c r="N688" s="1333"/>
      <c r="O688" s="1333"/>
      <c r="P688" s="1351"/>
      <c r="Q688" s="1351"/>
      <c r="R688" s="1351"/>
      <c r="S688" s="1546"/>
      <c r="T688" s="1285"/>
      <c r="U688" s="1351"/>
      <c r="V688" s="1351"/>
      <c r="W688" s="1351"/>
      <c r="X688" s="1351"/>
      <c r="Y688" s="1351"/>
      <c r="Z688" s="1333"/>
      <c r="AA688" s="1333"/>
      <c r="AB688" s="1333"/>
      <c r="AC688" s="1333"/>
      <c r="AD688" s="1333"/>
      <c r="AE688" s="1333"/>
      <c r="AF688" s="1333"/>
      <c r="AG688" s="1333"/>
      <c r="AH688" s="1333"/>
      <c r="AI688" s="1333"/>
      <c r="AJ688" s="1333"/>
    </row>
    <row r="689" spans="1:36" x14ac:dyDescent="0.25">
      <c r="A689" s="1331"/>
      <c r="B689" s="1284"/>
      <c r="C689" s="1284"/>
      <c r="D689" s="1364"/>
      <c r="E689" s="1364"/>
      <c r="F689" s="1364"/>
      <c r="G689" s="1365"/>
      <c r="H689" s="1333"/>
      <c r="I689" s="1333"/>
      <c r="J689" s="1333"/>
      <c r="K689" s="1333"/>
      <c r="L689" s="1333"/>
      <c r="M689" s="1333"/>
      <c r="N689" s="1333"/>
      <c r="O689" s="1333"/>
      <c r="P689" s="1351"/>
      <c r="Q689" s="1351"/>
      <c r="R689" s="1351"/>
      <c r="S689" s="1546"/>
      <c r="T689" s="1285"/>
      <c r="U689" s="1351"/>
      <c r="V689" s="1351"/>
      <c r="W689" s="1351"/>
      <c r="X689" s="1351"/>
      <c r="Y689" s="1351"/>
      <c r="Z689" s="1333"/>
      <c r="AA689" s="1333"/>
      <c r="AB689" s="1333"/>
      <c r="AC689" s="1333"/>
      <c r="AD689" s="1333"/>
      <c r="AE689" s="1333"/>
      <c r="AF689" s="1333"/>
      <c r="AG689" s="1333"/>
      <c r="AH689" s="1333"/>
      <c r="AI689" s="1333"/>
      <c r="AJ689" s="1333"/>
    </row>
    <row r="690" spans="1:36" x14ac:dyDescent="0.25">
      <c r="A690" s="1331"/>
      <c r="B690" s="1284"/>
      <c r="C690" s="1284"/>
      <c r="D690" s="1364"/>
      <c r="E690" s="1364"/>
      <c r="F690" s="1364"/>
      <c r="G690" s="1365"/>
      <c r="H690" s="1333"/>
      <c r="I690" s="1333"/>
      <c r="J690" s="1333"/>
      <c r="K690" s="1333"/>
      <c r="L690" s="1333"/>
      <c r="M690" s="1333"/>
      <c r="N690" s="1333"/>
      <c r="O690" s="1333"/>
      <c r="P690" s="1351"/>
      <c r="Q690" s="1351"/>
      <c r="R690" s="1351"/>
      <c r="S690" s="1546"/>
      <c r="T690" s="1285"/>
      <c r="U690" s="1351"/>
      <c r="V690" s="1351"/>
      <c r="W690" s="1351"/>
      <c r="X690" s="1351"/>
      <c r="Y690" s="1351"/>
      <c r="Z690" s="1333"/>
      <c r="AA690" s="1333"/>
      <c r="AB690" s="1333"/>
      <c r="AC690" s="1333"/>
      <c r="AD690" s="1333"/>
      <c r="AE690" s="1333"/>
      <c r="AF690" s="1333"/>
      <c r="AG690" s="1333"/>
      <c r="AH690" s="1333"/>
      <c r="AI690" s="1333"/>
      <c r="AJ690" s="1333"/>
    </row>
    <row r="691" spans="1:36" x14ac:dyDescent="0.25">
      <c r="A691" s="1331"/>
      <c r="B691" s="1284"/>
      <c r="C691" s="1284"/>
      <c r="D691" s="1364"/>
      <c r="E691" s="1364"/>
      <c r="F691" s="1364"/>
      <c r="G691" s="1365"/>
      <c r="H691" s="1333"/>
      <c r="I691" s="1333"/>
      <c r="J691" s="1333"/>
      <c r="K691" s="1333"/>
      <c r="L691" s="1333"/>
      <c r="M691" s="1333"/>
      <c r="N691" s="1333"/>
      <c r="O691" s="1333"/>
      <c r="P691" s="1351"/>
      <c r="Q691" s="1351"/>
      <c r="R691" s="1351"/>
      <c r="S691" s="1546"/>
      <c r="T691" s="1285"/>
      <c r="U691" s="1351"/>
      <c r="V691" s="1351"/>
      <c r="W691" s="1351"/>
      <c r="X691" s="1351"/>
      <c r="Y691" s="1351"/>
      <c r="Z691" s="1333"/>
      <c r="AA691" s="1333"/>
      <c r="AB691" s="1333"/>
      <c r="AC691" s="1333"/>
      <c r="AD691" s="1333"/>
      <c r="AE691" s="1333"/>
      <c r="AF691" s="1333"/>
      <c r="AG691" s="1333"/>
      <c r="AH691" s="1333"/>
      <c r="AI691" s="1333"/>
      <c r="AJ691" s="1333"/>
    </row>
    <row r="692" spans="1:36" x14ac:dyDescent="0.25">
      <c r="A692" s="1331"/>
      <c r="B692" s="1284"/>
      <c r="C692" s="1284"/>
      <c r="D692" s="1364"/>
      <c r="E692" s="1364"/>
      <c r="F692" s="1364"/>
      <c r="G692" s="1365"/>
      <c r="H692" s="1333"/>
      <c r="I692" s="1333"/>
      <c r="J692" s="1333"/>
      <c r="K692" s="1333"/>
      <c r="L692" s="1333"/>
      <c r="M692" s="1333"/>
      <c r="N692" s="1333"/>
      <c r="O692" s="1333"/>
      <c r="P692" s="1333"/>
      <c r="Q692" s="1333"/>
      <c r="R692" s="1333"/>
      <c r="S692" s="1449"/>
      <c r="T692" s="1284"/>
      <c r="U692" s="1333"/>
      <c r="V692" s="1333"/>
      <c r="W692" s="1333"/>
      <c r="X692" s="1333"/>
      <c r="Y692" s="1333"/>
      <c r="Z692" s="1333"/>
      <c r="AA692" s="1333"/>
      <c r="AB692" s="1333"/>
      <c r="AC692" s="1333"/>
      <c r="AD692" s="1333"/>
      <c r="AE692" s="1333"/>
      <c r="AF692" s="1333"/>
      <c r="AG692" s="1333"/>
      <c r="AH692" s="1333"/>
      <c r="AI692" s="1333"/>
      <c r="AJ692" s="1333"/>
    </row>
    <row r="693" spans="1:36" x14ac:dyDescent="0.25">
      <c r="A693" s="1331"/>
      <c r="B693" s="1284"/>
      <c r="C693" s="1284"/>
      <c r="D693" s="1364"/>
      <c r="E693" s="1364"/>
      <c r="F693" s="1364"/>
      <c r="G693" s="1365"/>
      <c r="H693" s="1333"/>
      <c r="I693" s="1333"/>
      <c r="J693" s="1333"/>
      <c r="K693" s="1333"/>
      <c r="L693" s="1333"/>
      <c r="M693" s="1333"/>
      <c r="N693" s="1333"/>
      <c r="O693" s="1333"/>
      <c r="P693" s="1333"/>
      <c r="Q693" s="1333"/>
      <c r="R693" s="1333"/>
      <c r="S693" s="1449"/>
      <c r="T693" s="1284"/>
      <c r="U693" s="1333"/>
      <c r="V693" s="1333"/>
      <c r="W693" s="1333"/>
      <c r="X693" s="1333"/>
      <c r="Y693" s="1333"/>
      <c r="Z693" s="1333"/>
      <c r="AA693" s="1333"/>
      <c r="AB693" s="1333"/>
      <c r="AC693" s="1333"/>
      <c r="AD693" s="1333"/>
      <c r="AE693" s="1333"/>
      <c r="AF693" s="1333"/>
      <c r="AG693" s="1333"/>
      <c r="AH693" s="1333"/>
      <c r="AI693" s="1333"/>
      <c r="AJ693" s="1333"/>
    </row>
    <row r="694" spans="1:36" x14ac:dyDescent="0.25">
      <c r="A694" s="1331"/>
      <c r="B694" s="1284"/>
      <c r="C694" s="1284"/>
      <c r="D694" s="1364"/>
      <c r="E694" s="1364"/>
      <c r="F694" s="1364"/>
      <c r="G694" s="1365"/>
      <c r="H694" s="1333"/>
      <c r="I694" s="1333"/>
      <c r="J694" s="1333"/>
      <c r="K694" s="1333"/>
      <c r="L694" s="1333"/>
      <c r="M694" s="1333"/>
      <c r="N694" s="1333"/>
      <c r="O694" s="1333"/>
      <c r="P694" s="1333"/>
      <c r="Q694" s="1333"/>
      <c r="R694" s="1333"/>
      <c r="S694" s="1449"/>
      <c r="T694" s="1284"/>
      <c r="U694" s="1333"/>
      <c r="V694" s="1333"/>
      <c r="W694" s="1333"/>
      <c r="X694" s="1333"/>
      <c r="Y694" s="1333"/>
      <c r="Z694" s="1333"/>
      <c r="AA694" s="1333"/>
      <c r="AB694" s="1333"/>
      <c r="AC694" s="1333"/>
      <c r="AD694" s="1333"/>
      <c r="AE694" s="1333"/>
      <c r="AF694" s="1333"/>
      <c r="AG694" s="1333"/>
      <c r="AH694" s="1333"/>
      <c r="AI694" s="1333"/>
      <c r="AJ694" s="1333"/>
    </row>
    <row r="695" spans="1:36" x14ac:dyDescent="0.25">
      <c r="A695" s="1331"/>
      <c r="B695" s="1284"/>
      <c r="C695" s="1284"/>
      <c r="D695" s="1364"/>
      <c r="E695" s="1364"/>
      <c r="F695" s="1364"/>
      <c r="G695" s="1365"/>
      <c r="H695" s="1333"/>
      <c r="I695" s="1333"/>
      <c r="J695" s="1333"/>
      <c r="K695" s="1333"/>
      <c r="L695" s="1333"/>
      <c r="M695" s="1333"/>
      <c r="N695" s="1333"/>
      <c r="O695" s="1333"/>
      <c r="P695" s="1333"/>
      <c r="Q695" s="1333"/>
      <c r="R695" s="1333"/>
      <c r="S695" s="1449"/>
      <c r="T695" s="1284"/>
      <c r="U695" s="1333"/>
      <c r="V695" s="1333"/>
      <c r="W695" s="1333"/>
      <c r="X695" s="1333"/>
      <c r="Y695" s="1333"/>
      <c r="Z695" s="1333"/>
      <c r="AA695" s="1333"/>
      <c r="AB695" s="1333"/>
      <c r="AC695" s="1333"/>
      <c r="AD695" s="1333"/>
      <c r="AE695" s="1333"/>
      <c r="AF695" s="1333"/>
      <c r="AG695" s="1333"/>
      <c r="AH695" s="1333"/>
      <c r="AI695" s="1333"/>
      <c r="AJ695" s="1333"/>
    </row>
    <row r="696" spans="1:36" x14ac:dyDescent="0.25">
      <c r="A696" s="1331"/>
      <c r="B696" s="1284"/>
      <c r="C696" s="1284"/>
      <c r="D696" s="1364"/>
      <c r="E696" s="1364"/>
      <c r="F696" s="1364"/>
      <c r="G696" s="1365"/>
      <c r="H696" s="1333"/>
      <c r="I696" s="1333"/>
      <c r="J696" s="1333"/>
      <c r="K696" s="1333"/>
      <c r="L696" s="1333"/>
      <c r="M696" s="1333"/>
      <c r="N696" s="1333"/>
      <c r="O696" s="1333"/>
      <c r="P696" s="1333"/>
      <c r="Q696" s="1333"/>
      <c r="R696" s="1333"/>
      <c r="S696" s="1449"/>
      <c r="T696" s="1284"/>
      <c r="U696" s="1333"/>
      <c r="V696" s="1333"/>
      <c r="W696" s="1333"/>
      <c r="X696" s="1333"/>
      <c r="Y696" s="1333"/>
      <c r="Z696" s="1333"/>
      <c r="AA696" s="1333"/>
      <c r="AB696" s="1333"/>
      <c r="AC696" s="1333"/>
      <c r="AD696" s="1333"/>
      <c r="AE696" s="1333"/>
      <c r="AF696" s="1333"/>
      <c r="AG696" s="1333"/>
      <c r="AH696" s="1333"/>
      <c r="AI696" s="1333"/>
      <c r="AJ696" s="1333"/>
    </row>
    <row r="697" spans="1:36" x14ac:dyDescent="0.25">
      <c r="A697" s="1331"/>
      <c r="B697" s="1284"/>
      <c r="C697" s="1284"/>
      <c r="D697" s="1364"/>
      <c r="E697" s="1364"/>
      <c r="F697" s="1364"/>
      <c r="G697" s="1365"/>
      <c r="H697" s="1333"/>
      <c r="I697" s="1333"/>
      <c r="J697" s="1333"/>
      <c r="K697" s="1333"/>
      <c r="L697" s="1333"/>
      <c r="M697" s="1333"/>
      <c r="N697" s="1333"/>
      <c r="O697" s="1333"/>
      <c r="P697" s="1333"/>
      <c r="Q697" s="1333"/>
      <c r="R697" s="1333"/>
      <c r="S697" s="1449"/>
      <c r="T697" s="1284"/>
      <c r="U697" s="1333"/>
      <c r="V697" s="1333"/>
      <c r="W697" s="1333"/>
      <c r="X697" s="1333"/>
      <c r="Y697" s="1333"/>
      <c r="Z697" s="1333"/>
      <c r="AA697" s="1333"/>
      <c r="AB697" s="1333"/>
      <c r="AC697" s="1333"/>
      <c r="AD697" s="1333"/>
      <c r="AE697" s="1333"/>
      <c r="AF697" s="1333"/>
      <c r="AG697" s="1333"/>
      <c r="AH697" s="1333"/>
      <c r="AI697" s="1333"/>
      <c r="AJ697" s="1333"/>
    </row>
    <row r="698" spans="1:36" x14ac:dyDescent="0.25">
      <c r="A698" s="1331"/>
      <c r="B698" s="1284"/>
      <c r="C698" s="1284"/>
      <c r="D698" s="1364"/>
      <c r="E698" s="1364"/>
      <c r="F698" s="1364"/>
      <c r="G698" s="1365"/>
      <c r="H698" s="1333"/>
      <c r="I698" s="1333"/>
      <c r="J698" s="1333"/>
      <c r="K698" s="1333"/>
      <c r="L698" s="1333"/>
      <c r="M698" s="1333"/>
      <c r="N698" s="1333"/>
      <c r="O698" s="1333"/>
      <c r="P698" s="1333"/>
      <c r="Q698" s="1333"/>
      <c r="R698" s="1333"/>
      <c r="S698" s="1449"/>
      <c r="T698" s="1284"/>
      <c r="U698" s="1333"/>
      <c r="V698" s="1333"/>
      <c r="W698" s="1333"/>
      <c r="X698" s="1333"/>
      <c r="Y698" s="1333"/>
      <c r="Z698" s="1333"/>
      <c r="AA698" s="1333"/>
      <c r="AB698" s="1333"/>
      <c r="AC698" s="1333"/>
      <c r="AD698" s="1333"/>
      <c r="AE698" s="1333"/>
      <c r="AF698" s="1333"/>
      <c r="AG698" s="1333"/>
      <c r="AH698" s="1333"/>
      <c r="AI698" s="1333"/>
      <c r="AJ698" s="1333"/>
    </row>
    <row r="699" spans="1:36" x14ac:dyDescent="0.25">
      <c r="A699" s="1331"/>
      <c r="B699" s="1284"/>
      <c r="C699" s="1284"/>
      <c r="D699" s="1364"/>
      <c r="E699" s="1364"/>
      <c r="F699" s="1364"/>
      <c r="G699" s="1365"/>
      <c r="H699" s="1333"/>
      <c r="I699" s="1333"/>
      <c r="J699" s="1333"/>
      <c r="K699" s="1333"/>
      <c r="L699" s="1333"/>
      <c r="M699" s="1333"/>
      <c r="N699" s="1333"/>
      <c r="O699" s="1333"/>
      <c r="P699" s="1333"/>
      <c r="Q699" s="1333"/>
      <c r="R699" s="1333"/>
      <c r="S699" s="1449"/>
      <c r="T699" s="1284"/>
      <c r="U699" s="1333"/>
      <c r="V699" s="1333"/>
      <c r="W699" s="1333"/>
      <c r="X699" s="1333"/>
      <c r="Y699" s="1333"/>
      <c r="Z699" s="1333"/>
      <c r="AA699" s="1333"/>
      <c r="AB699" s="1333"/>
      <c r="AC699" s="1333"/>
      <c r="AD699" s="1333"/>
      <c r="AE699" s="1333"/>
      <c r="AF699" s="1333"/>
      <c r="AG699" s="1333"/>
      <c r="AH699" s="1333"/>
      <c r="AI699" s="1333"/>
      <c r="AJ699" s="1333"/>
    </row>
    <row r="700" spans="1:36" x14ac:dyDescent="0.25">
      <c r="A700" s="1331"/>
      <c r="B700" s="1284"/>
      <c r="C700" s="1284"/>
      <c r="D700" s="1364"/>
      <c r="E700" s="1364"/>
      <c r="F700" s="1364"/>
      <c r="G700" s="1365"/>
      <c r="H700" s="1333"/>
      <c r="I700" s="1333"/>
      <c r="J700" s="1333"/>
      <c r="K700" s="1333"/>
      <c r="L700" s="1333"/>
      <c r="M700" s="1333"/>
      <c r="N700" s="1333"/>
      <c r="O700" s="1333"/>
      <c r="P700" s="1333"/>
      <c r="Q700" s="1333"/>
      <c r="R700" s="1333"/>
      <c r="S700" s="1449"/>
      <c r="T700" s="1333"/>
      <c r="U700" s="1333"/>
      <c r="V700" s="1333"/>
      <c r="W700" s="1333"/>
      <c r="X700" s="1333"/>
      <c r="Y700" s="1333"/>
      <c r="Z700" s="1333"/>
      <c r="AA700" s="1333"/>
      <c r="AB700" s="1333"/>
      <c r="AC700" s="1333"/>
      <c r="AD700" s="1333"/>
      <c r="AE700" s="1333"/>
      <c r="AF700" s="1333"/>
      <c r="AG700" s="1333"/>
      <c r="AH700" s="1333"/>
      <c r="AI700" s="1333"/>
      <c r="AJ700" s="1333"/>
    </row>
    <row r="701" spans="1:36" x14ac:dyDescent="0.25">
      <c r="A701" s="1331"/>
      <c r="B701" s="1284"/>
      <c r="C701" s="1284"/>
      <c r="D701" s="1364"/>
      <c r="E701" s="1364"/>
      <c r="F701" s="1364"/>
      <c r="G701" s="1365"/>
      <c r="H701" s="1333"/>
      <c r="I701" s="1333"/>
      <c r="J701" s="1333"/>
      <c r="K701" s="1333"/>
      <c r="L701" s="1333"/>
      <c r="M701" s="1333"/>
      <c r="N701" s="1333"/>
      <c r="O701" s="1333"/>
      <c r="P701" s="1333"/>
      <c r="Q701" s="1333"/>
      <c r="R701" s="1333"/>
      <c r="S701" s="1449"/>
      <c r="T701" s="1333"/>
      <c r="U701" s="1333"/>
      <c r="V701" s="1333"/>
      <c r="W701" s="1333"/>
      <c r="X701" s="1333"/>
      <c r="Y701" s="1333"/>
      <c r="Z701" s="1333"/>
      <c r="AA701" s="1333"/>
      <c r="AB701" s="1333"/>
      <c r="AC701" s="1333"/>
      <c r="AD701" s="1333"/>
      <c r="AE701" s="1333"/>
      <c r="AF701" s="1333"/>
      <c r="AG701" s="1333"/>
      <c r="AH701" s="1333"/>
      <c r="AI701" s="1333"/>
      <c r="AJ701" s="1333"/>
    </row>
    <row r="702" spans="1:36" x14ac:dyDescent="0.25">
      <c r="A702" s="1331"/>
      <c r="B702" s="1284"/>
      <c r="C702" s="1284"/>
      <c r="D702" s="1364"/>
      <c r="E702" s="1364"/>
      <c r="F702" s="1364"/>
      <c r="G702" s="1365"/>
      <c r="H702" s="1333"/>
      <c r="I702" s="1333"/>
      <c r="J702" s="1333"/>
      <c r="K702" s="1333"/>
      <c r="L702" s="1333"/>
      <c r="M702" s="1333"/>
      <c r="N702" s="1333"/>
      <c r="O702" s="1333"/>
      <c r="P702" s="1333"/>
      <c r="Q702" s="1333"/>
      <c r="R702" s="1333"/>
      <c r="S702" s="1449"/>
      <c r="T702" s="1333"/>
      <c r="U702" s="1333"/>
      <c r="V702" s="1333"/>
      <c r="W702" s="1333"/>
      <c r="X702" s="1333"/>
      <c r="Y702" s="1333"/>
      <c r="Z702" s="1333"/>
      <c r="AA702" s="1333"/>
      <c r="AB702" s="1333"/>
      <c r="AC702" s="1333"/>
      <c r="AD702" s="1333"/>
      <c r="AE702" s="1333"/>
      <c r="AF702" s="1333"/>
      <c r="AG702" s="1333"/>
      <c r="AH702" s="1333"/>
      <c r="AI702" s="1333"/>
      <c r="AJ702" s="1333"/>
    </row>
    <row r="703" spans="1:36" x14ac:dyDescent="0.25">
      <c r="A703" s="1331"/>
      <c r="B703" s="1284"/>
      <c r="C703" s="1284"/>
      <c r="D703" s="1364"/>
      <c r="E703" s="1364"/>
      <c r="F703" s="1364"/>
      <c r="G703" s="1365"/>
      <c r="H703" s="1333"/>
      <c r="I703" s="1333"/>
      <c r="J703" s="1333"/>
      <c r="K703" s="1333"/>
      <c r="L703" s="1333"/>
      <c r="M703" s="1333"/>
      <c r="N703" s="1333"/>
      <c r="O703" s="1333"/>
      <c r="P703" s="1333"/>
      <c r="Q703" s="1333"/>
      <c r="R703" s="1333"/>
      <c r="S703" s="1449"/>
      <c r="T703" s="1333"/>
      <c r="U703" s="1333"/>
      <c r="V703" s="1333"/>
      <c r="W703" s="1333"/>
      <c r="X703" s="1333"/>
      <c r="Y703" s="1333"/>
      <c r="Z703" s="1333"/>
      <c r="AA703" s="1333"/>
      <c r="AB703" s="1333"/>
      <c r="AC703" s="1333"/>
      <c r="AD703" s="1333"/>
      <c r="AE703" s="1333"/>
      <c r="AF703" s="1333"/>
      <c r="AG703" s="1333"/>
      <c r="AH703" s="1333"/>
      <c r="AI703" s="1333"/>
      <c r="AJ703" s="1333"/>
    </row>
    <row r="704" spans="1:36" x14ac:dyDescent="0.25">
      <c r="A704" s="1331"/>
      <c r="B704" s="1284"/>
      <c r="C704" s="1284"/>
      <c r="D704" s="1364"/>
      <c r="E704" s="1364"/>
      <c r="F704" s="1364"/>
      <c r="G704" s="1365"/>
      <c r="H704" s="1333"/>
      <c r="I704" s="1333"/>
      <c r="J704" s="1333"/>
      <c r="K704" s="1333"/>
      <c r="L704" s="1333"/>
      <c r="M704" s="1333"/>
      <c r="N704" s="1333"/>
      <c r="O704" s="1333"/>
      <c r="P704" s="1333"/>
      <c r="Q704" s="1333"/>
      <c r="R704" s="1333"/>
      <c r="S704" s="1449"/>
      <c r="T704" s="1333"/>
      <c r="U704" s="1333"/>
      <c r="V704" s="1333"/>
      <c r="W704" s="1333"/>
      <c r="X704" s="1333"/>
      <c r="Y704" s="1333"/>
      <c r="Z704" s="1333"/>
      <c r="AA704" s="1333"/>
      <c r="AB704" s="1333"/>
      <c r="AC704" s="1333"/>
      <c r="AD704" s="1333"/>
      <c r="AE704" s="1333"/>
      <c r="AF704" s="1333"/>
      <c r="AG704" s="1333"/>
      <c r="AH704" s="1333"/>
      <c r="AI704" s="1333"/>
      <c r="AJ704" s="1333"/>
    </row>
    <row r="705" spans="1:36" x14ac:dyDescent="0.25">
      <c r="A705" s="1331"/>
      <c r="B705" s="1284"/>
      <c r="C705" s="1284"/>
      <c r="D705" s="1364"/>
      <c r="E705" s="1364"/>
      <c r="F705" s="1364"/>
      <c r="G705" s="1365"/>
      <c r="H705" s="1333"/>
      <c r="I705" s="1333"/>
      <c r="J705" s="1333"/>
      <c r="K705" s="1333"/>
      <c r="L705" s="1333"/>
      <c r="M705" s="1333"/>
      <c r="N705" s="1333"/>
      <c r="O705" s="1333"/>
      <c r="P705" s="1333"/>
      <c r="Q705" s="1333"/>
      <c r="R705" s="1333"/>
      <c r="S705" s="1449"/>
      <c r="T705" s="1333"/>
      <c r="U705" s="1333"/>
      <c r="V705" s="1333"/>
      <c r="W705" s="1333"/>
      <c r="X705" s="1333"/>
      <c r="Y705" s="1333"/>
      <c r="Z705" s="1333"/>
      <c r="AA705" s="1333"/>
      <c r="AB705" s="1333"/>
      <c r="AC705" s="1333"/>
      <c r="AD705" s="1333"/>
      <c r="AE705" s="1333"/>
      <c r="AF705" s="1333"/>
      <c r="AG705" s="1333"/>
      <c r="AH705" s="1333"/>
      <c r="AI705" s="1333"/>
      <c r="AJ705" s="1333"/>
    </row>
    <row r="706" spans="1:36" x14ac:dyDescent="0.25">
      <c r="A706" s="1331"/>
      <c r="B706" s="1284"/>
      <c r="C706" s="1284"/>
      <c r="D706" s="1364"/>
      <c r="E706" s="1364"/>
      <c r="F706" s="1364"/>
      <c r="G706" s="1365"/>
      <c r="H706" s="1333"/>
      <c r="I706" s="1333"/>
      <c r="J706" s="1333"/>
      <c r="K706" s="1333"/>
      <c r="L706" s="1333"/>
      <c r="M706" s="1333"/>
      <c r="N706" s="1333"/>
      <c r="O706" s="1333"/>
      <c r="P706" s="1333"/>
      <c r="Q706" s="1333"/>
      <c r="R706" s="1333"/>
      <c r="S706" s="1449"/>
      <c r="T706" s="1333"/>
      <c r="U706" s="1333"/>
      <c r="V706" s="1333"/>
      <c r="W706" s="1333"/>
      <c r="X706" s="1333"/>
      <c r="Y706" s="1333"/>
      <c r="Z706" s="1333"/>
      <c r="AA706" s="1333"/>
      <c r="AB706" s="1333"/>
      <c r="AC706" s="1333"/>
      <c r="AD706" s="1333"/>
      <c r="AE706" s="1333"/>
      <c r="AF706" s="1333"/>
      <c r="AG706" s="1333"/>
      <c r="AH706" s="1333"/>
      <c r="AI706" s="1333"/>
      <c r="AJ706" s="1333"/>
    </row>
    <row r="707" spans="1:36" x14ac:dyDescent="0.25">
      <c r="A707" s="1331"/>
      <c r="B707" s="1284"/>
      <c r="C707" s="1284"/>
      <c r="D707" s="1364"/>
      <c r="E707" s="1364"/>
      <c r="F707" s="1364"/>
      <c r="G707" s="1365"/>
      <c r="H707" s="1333"/>
      <c r="I707" s="1333"/>
      <c r="J707" s="1333"/>
      <c r="K707" s="1333"/>
      <c r="L707" s="1333"/>
      <c r="M707" s="1333"/>
      <c r="N707" s="1333"/>
      <c r="O707" s="1333"/>
      <c r="P707" s="1333"/>
      <c r="Q707" s="1333"/>
      <c r="R707" s="1333"/>
      <c r="S707" s="1449"/>
      <c r="T707" s="1333"/>
      <c r="U707" s="1333"/>
      <c r="V707" s="1333"/>
      <c r="W707" s="1333"/>
      <c r="X707" s="1333"/>
      <c r="Y707" s="1333"/>
      <c r="Z707" s="1333"/>
      <c r="AA707" s="1333"/>
      <c r="AB707" s="1333"/>
      <c r="AC707" s="1333"/>
      <c r="AD707" s="1333"/>
      <c r="AE707" s="1333"/>
      <c r="AF707" s="1333"/>
      <c r="AG707" s="1333"/>
      <c r="AH707" s="1333"/>
      <c r="AI707" s="1333"/>
      <c r="AJ707" s="1333"/>
    </row>
    <row r="708" spans="1:36" x14ac:dyDescent="0.25">
      <c r="A708" s="1331"/>
      <c r="B708" s="1284"/>
      <c r="C708" s="1284"/>
      <c r="D708" s="1364"/>
      <c r="E708" s="1364"/>
      <c r="F708" s="1364"/>
      <c r="G708" s="1365"/>
      <c r="H708" s="1333"/>
      <c r="I708" s="1333"/>
      <c r="J708" s="1333"/>
      <c r="K708" s="1333"/>
      <c r="L708" s="1333"/>
      <c r="M708" s="1333"/>
      <c r="N708" s="1333"/>
      <c r="O708" s="1333"/>
      <c r="P708" s="1333"/>
      <c r="Q708" s="1333"/>
      <c r="R708" s="1333"/>
      <c r="S708" s="1449"/>
      <c r="T708" s="1333"/>
      <c r="U708" s="1333"/>
      <c r="V708" s="1333"/>
      <c r="W708" s="1333"/>
      <c r="X708" s="1333"/>
      <c r="Y708" s="1333"/>
      <c r="Z708" s="1333"/>
      <c r="AA708" s="1333"/>
      <c r="AB708" s="1333"/>
      <c r="AC708" s="1333"/>
      <c r="AD708" s="1333"/>
      <c r="AE708" s="1333"/>
      <c r="AF708" s="1333"/>
      <c r="AG708" s="1333"/>
      <c r="AH708" s="1333"/>
      <c r="AI708" s="1333"/>
      <c r="AJ708" s="1333"/>
    </row>
    <row r="709" spans="1:36" x14ac:dyDescent="0.25">
      <c r="A709" s="1331"/>
      <c r="B709" s="1284"/>
      <c r="C709" s="1284"/>
      <c r="D709" s="1364"/>
      <c r="E709" s="1364"/>
      <c r="F709" s="1364"/>
      <c r="G709" s="1365"/>
      <c r="H709" s="1333"/>
      <c r="I709" s="1333"/>
      <c r="J709" s="1333"/>
      <c r="K709" s="1333"/>
      <c r="L709" s="1333"/>
      <c r="M709" s="1333"/>
      <c r="N709" s="1333"/>
      <c r="O709" s="1333"/>
      <c r="P709" s="1333"/>
      <c r="Q709" s="1333"/>
      <c r="R709" s="1333"/>
      <c r="S709" s="1449"/>
      <c r="T709" s="1333"/>
      <c r="U709" s="1333"/>
      <c r="V709" s="1333"/>
      <c r="W709" s="1333"/>
      <c r="X709" s="1333"/>
      <c r="Y709" s="1333"/>
      <c r="Z709" s="1333"/>
      <c r="AA709" s="1333"/>
      <c r="AB709" s="1333"/>
      <c r="AC709" s="1333"/>
      <c r="AD709" s="1333"/>
      <c r="AE709" s="1333"/>
      <c r="AF709" s="1333"/>
      <c r="AG709" s="1333"/>
      <c r="AH709" s="1333"/>
      <c r="AI709" s="1333"/>
      <c r="AJ709" s="1333"/>
    </row>
    <row r="710" spans="1:36" x14ac:dyDescent="0.25">
      <c r="A710" s="1331"/>
      <c r="B710" s="1284"/>
      <c r="C710" s="1284"/>
      <c r="D710" s="1364"/>
      <c r="E710" s="1364"/>
      <c r="F710" s="1364"/>
      <c r="G710" s="1365"/>
      <c r="H710" s="1333"/>
      <c r="I710" s="1333"/>
      <c r="J710" s="1333"/>
      <c r="K710" s="1333"/>
      <c r="L710" s="1333"/>
      <c r="M710" s="1333"/>
      <c r="N710" s="1333"/>
      <c r="O710" s="1333"/>
      <c r="P710" s="1333"/>
      <c r="Q710" s="1333"/>
      <c r="R710" s="1333"/>
      <c r="S710" s="1449"/>
      <c r="T710" s="1333"/>
      <c r="U710" s="1333"/>
      <c r="V710" s="1333"/>
      <c r="W710" s="1333"/>
      <c r="X710" s="1333"/>
      <c r="Y710" s="1333"/>
      <c r="Z710" s="1333"/>
      <c r="AA710" s="1333"/>
      <c r="AB710" s="1333"/>
      <c r="AC710" s="1333"/>
      <c r="AD710" s="1333"/>
      <c r="AE710" s="1333"/>
      <c r="AF710" s="1333"/>
      <c r="AG710" s="1333"/>
      <c r="AH710" s="1333"/>
      <c r="AI710" s="1333"/>
      <c r="AJ710" s="1333"/>
    </row>
    <row r="711" spans="1:36" x14ac:dyDescent="0.25">
      <c r="A711" s="1331"/>
      <c r="B711" s="1284"/>
      <c r="C711" s="1284"/>
      <c r="D711" s="1364"/>
      <c r="E711" s="1364"/>
      <c r="F711" s="1364"/>
      <c r="G711" s="1365"/>
      <c r="H711" s="1333"/>
      <c r="I711" s="1333"/>
      <c r="J711" s="1333"/>
      <c r="K711" s="1333"/>
      <c r="L711" s="1333"/>
      <c r="M711" s="1333"/>
      <c r="N711" s="1333"/>
      <c r="O711" s="1333"/>
      <c r="P711" s="1333"/>
      <c r="Q711" s="1333"/>
      <c r="R711" s="1333"/>
      <c r="S711" s="1449"/>
      <c r="T711" s="1333"/>
      <c r="U711" s="1333"/>
      <c r="V711" s="1333"/>
      <c r="W711" s="1333"/>
      <c r="X711" s="1333"/>
      <c r="Y711" s="1333"/>
      <c r="Z711" s="1333"/>
      <c r="AA711" s="1333"/>
      <c r="AB711" s="1333"/>
      <c r="AC711" s="1333"/>
      <c r="AD711" s="1333"/>
      <c r="AE711" s="1333"/>
      <c r="AF711" s="1333"/>
      <c r="AG711" s="1333"/>
      <c r="AH711" s="1333"/>
      <c r="AI711" s="1333"/>
      <c r="AJ711" s="1333"/>
    </row>
    <row r="712" spans="1:36" x14ac:dyDescent="0.25">
      <c r="A712" s="1331"/>
      <c r="B712" s="1284"/>
      <c r="C712" s="1284"/>
      <c r="D712" s="1364"/>
      <c r="E712" s="1364"/>
      <c r="F712" s="1364"/>
      <c r="G712" s="1365"/>
      <c r="H712" s="1333"/>
      <c r="I712" s="1333"/>
      <c r="J712" s="1333"/>
      <c r="K712" s="1333"/>
      <c r="L712" s="1333"/>
      <c r="M712" s="1333"/>
      <c r="N712" s="1333"/>
      <c r="O712" s="1333"/>
      <c r="P712" s="1333"/>
      <c r="Q712" s="1333"/>
      <c r="R712" s="1333"/>
      <c r="S712" s="1449"/>
      <c r="T712" s="1333"/>
      <c r="U712" s="1333"/>
      <c r="V712" s="1333"/>
      <c r="W712" s="1333"/>
      <c r="X712" s="1333"/>
      <c r="Y712" s="1333"/>
      <c r="Z712" s="1333"/>
      <c r="AA712" s="1333"/>
      <c r="AB712" s="1333"/>
      <c r="AC712" s="1333"/>
      <c r="AD712" s="1333"/>
      <c r="AE712" s="1333"/>
      <c r="AF712" s="1333"/>
      <c r="AG712" s="1333"/>
      <c r="AH712" s="1333"/>
      <c r="AI712" s="1333"/>
      <c r="AJ712" s="1333"/>
    </row>
    <row r="713" spans="1:36" x14ac:dyDescent="0.25">
      <c r="A713" s="1331"/>
      <c r="B713" s="1284"/>
      <c r="C713" s="1284"/>
      <c r="D713" s="1364"/>
      <c r="E713" s="1364"/>
      <c r="F713" s="1364"/>
      <c r="G713" s="1365"/>
      <c r="H713" s="1333"/>
      <c r="I713" s="1333"/>
      <c r="J713" s="1333"/>
      <c r="K713" s="1333"/>
      <c r="L713" s="1333"/>
      <c r="M713" s="1333"/>
      <c r="N713" s="1333"/>
      <c r="O713" s="1333"/>
      <c r="P713" s="1333"/>
      <c r="Q713" s="1333"/>
      <c r="R713" s="1333"/>
      <c r="S713" s="1449"/>
      <c r="T713" s="1333"/>
      <c r="U713" s="1333"/>
      <c r="V713" s="1333"/>
      <c r="W713" s="1333"/>
      <c r="X713" s="1333"/>
      <c r="Y713" s="1333"/>
      <c r="Z713" s="1333"/>
      <c r="AA713" s="1333"/>
      <c r="AB713" s="1333"/>
      <c r="AC713" s="1333"/>
      <c r="AD713" s="1333"/>
      <c r="AE713" s="1333"/>
      <c r="AF713" s="1333"/>
      <c r="AG713" s="1333"/>
      <c r="AH713" s="1333"/>
      <c r="AI713" s="1333"/>
      <c r="AJ713" s="1333"/>
    </row>
    <row r="714" spans="1:36" x14ac:dyDescent="0.25">
      <c r="A714" s="1331"/>
      <c r="B714" s="1284"/>
      <c r="C714" s="1284"/>
      <c r="D714" s="1364"/>
      <c r="E714" s="1364"/>
      <c r="F714" s="1364"/>
      <c r="G714" s="1365"/>
      <c r="H714" s="1333"/>
      <c r="I714" s="1333"/>
      <c r="J714" s="1333"/>
      <c r="K714" s="1333"/>
      <c r="L714" s="1333"/>
      <c r="M714" s="1333"/>
      <c r="N714" s="1333"/>
      <c r="O714" s="1333"/>
      <c r="P714" s="1333"/>
      <c r="Q714" s="1333"/>
      <c r="R714" s="1333"/>
      <c r="S714" s="1449"/>
      <c r="T714" s="1333"/>
      <c r="U714" s="1333"/>
      <c r="V714" s="1333"/>
      <c r="W714" s="1333"/>
      <c r="X714" s="1333"/>
      <c r="Y714" s="1333"/>
      <c r="Z714" s="1333"/>
      <c r="AA714" s="1333"/>
      <c r="AB714" s="1333"/>
      <c r="AC714" s="1333"/>
      <c r="AD714" s="1333"/>
      <c r="AE714" s="1333"/>
      <c r="AF714" s="1333"/>
      <c r="AG714" s="1333"/>
      <c r="AH714" s="1333"/>
      <c r="AI714" s="1333"/>
      <c r="AJ714" s="1333"/>
    </row>
    <row r="715" spans="1:36" x14ac:dyDescent="0.25">
      <c r="A715" s="1331"/>
      <c r="B715" s="1284"/>
      <c r="C715" s="1284"/>
      <c r="D715" s="1364"/>
      <c r="E715" s="1364"/>
      <c r="F715" s="1364"/>
      <c r="G715" s="1365"/>
      <c r="H715" s="1333"/>
      <c r="I715" s="1333"/>
      <c r="J715" s="1333"/>
      <c r="K715" s="1333"/>
      <c r="L715" s="1333"/>
      <c r="M715" s="1333"/>
      <c r="N715" s="1333"/>
      <c r="O715" s="1333"/>
      <c r="P715" s="1333"/>
      <c r="Q715" s="1333"/>
      <c r="R715" s="1333"/>
      <c r="S715" s="1449"/>
      <c r="T715" s="1333"/>
      <c r="U715" s="1333"/>
      <c r="V715" s="1333"/>
      <c r="W715" s="1333"/>
      <c r="X715" s="1333"/>
      <c r="Y715" s="1333"/>
      <c r="Z715" s="1333"/>
      <c r="AA715" s="1333"/>
      <c r="AB715" s="1333"/>
      <c r="AC715" s="1333"/>
      <c r="AD715" s="1333"/>
      <c r="AE715" s="1333"/>
      <c r="AF715" s="1333"/>
      <c r="AG715" s="1333"/>
      <c r="AH715" s="1333"/>
      <c r="AI715" s="1333"/>
      <c r="AJ715" s="1333"/>
    </row>
    <row r="716" spans="1:36" x14ac:dyDescent="0.25">
      <c r="A716" s="1331"/>
      <c r="B716" s="1284"/>
      <c r="C716" s="1284"/>
      <c r="D716" s="1364"/>
      <c r="E716" s="1364"/>
      <c r="F716" s="1364"/>
      <c r="G716" s="1365"/>
      <c r="H716" s="1333"/>
      <c r="I716" s="1333"/>
      <c r="J716" s="1333"/>
      <c r="K716" s="1333"/>
      <c r="L716" s="1333"/>
      <c r="M716" s="1333"/>
      <c r="N716" s="1333"/>
      <c r="O716" s="1333"/>
      <c r="P716" s="1333"/>
      <c r="Q716" s="1333"/>
      <c r="R716" s="1333"/>
      <c r="S716" s="1449"/>
      <c r="T716" s="1333"/>
      <c r="U716" s="1333"/>
      <c r="V716" s="1333"/>
      <c r="W716" s="1333"/>
      <c r="X716" s="1333"/>
      <c r="Y716" s="1333"/>
      <c r="Z716" s="1333"/>
      <c r="AA716" s="1333"/>
      <c r="AB716" s="1333"/>
      <c r="AC716" s="1333"/>
      <c r="AD716" s="1333"/>
      <c r="AE716" s="1333"/>
      <c r="AF716" s="1333"/>
      <c r="AG716" s="1333"/>
      <c r="AH716" s="1333"/>
      <c r="AI716" s="1333"/>
      <c r="AJ716" s="1333"/>
    </row>
    <row r="717" spans="1:36" x14ac:dyDescent="0.25">
      <c r="A717" s="1331"/>
      <c r="B717" s="1284"/>
      <c r="C717" s="1284"/>
      <c r="D717" s="1364"/>
      <c r="E717" s="1364"/>
      <c r="F717" s="1364"/>
      <c r="G717" s="1365"/>
      <c r="H717" s="1333"/>
      <c r="I717" s="1333"/>
      <c r="J717" s="1333"/>
      <c r="K717" s="1333"/>
      <c r="L717" s="1333"/>
      <c r="M717" s="1333"/>
      <c r="N717" s="1333"/>
      <c r="O717" s="1333"/>
      <c r="P717" s="1333"/>
      <c r="Q717" s="1333"/>
      <c r="R717" s="1333"/>
      <c r="S717" s="1449"/>
      <c r="T717" s="1333"/>
      <c r="U717" s="1333"/>
      <c r="V717" s="1333"/>
      <c r="W717" s="1333"/>
      <c r="X717" s="1333"/>
      <c r="Y717" s="1333"/>
      <c r="Z717" s="1333"/>
      <c r="AA717" s="1333"/>
      <c r="AB717" s="1333"/>
      <c r="AC717" s="1333"/>
      <c r="AD717" s="1333"/>
      <c r="AE717" s="1333"/>
      <c r="AF717" s="1333"/>
      <c r="AG717" s="1333"/>
      <c r="AH717" s="1333"/>
      <c r="AI717" s="1333"/>
      <c r="AJ717" s="1333"/>
    </row>
    <row r="718" spans="1:36" x14ac:dyDescent="0.25">
      <c r="A718" s="1331"/>
      <c r="B718" s="1284"/>
      <c r="C718" s="1284"/>
      <c r="D718" s="1364"/>
      <c r="E718" s="1364"/>
      <c r="F718" s="1364"/>
      <c r="G718" s="1365"/>
      <c r="H718" s="1333"/>
      <c r="I718" s="1333"/>
      <c r="J718" s="1333"/>
      <c r="K718" s="1333"/>
      <c r="L718" s="1333"/>
      <c r="M718" s="1333"/>
      <c r="N718" s="1333"/>
      <c r="O718" s="1333"/>
      <c r="P718" s="1333"/>
      <c r="Q718" s="1333"/>
      <c r="R718" s="1333"/>
      <c r="S718" s="1449"/>
      <c r="T718" s="1333"/>
      <c r="U718" s="1333"/>
      <c r="V718" s="1333"/>
      <c r="W718" s="1333"/>
      <c r="X718" s="1333"/>
      <c r="Y718" s="1333"/>
      <c r="Z718" s="1333"/>
      <c r="AA718" s="1333"/>
      <c r="AB718" s="1333"/>
      <c r="AC718" s="1333"/>
      <c r="AD718" s="1333"/>
      <c r="AE718" s="1333"/>
      <c r="AF718" s="1333"/>
      <c r="AG718" s="1333"/>
      <c r="AH718" s="1333"/>
      <c r="AI718" s="1333"/>
      <c r="AJ718" s="1333"/>
    </row>
    <row r="719" spans="1:36" x14ac:dyDescent="0.25">
      <c r="A719" s="1331"/>
      <c r="B719" s="1284"/>
      <c r="C719" s="1284"/>
      <c r="D719" s="1364"/>
      <c r="E719" s="1364"/>
      <c r="F719" s="1364"/>
      <c r="G719" s="1365"/>
      <c r="H719" s="1333"/>
      <c r="I719" s="1333"/>
      <c r="J719" s="1333"/>
      <c r="K719" s="1333"/>
      <c r="L719" s="1333"/>
      <c r="M719" s="1333"/>
      <c r="N719" s="1333"/>
      <c r="O719" s="1333"/>
      <c r="P719" s="1333"/>
      <c r="Q719" s="1333"/>
      <c r="R719" s="1333"/>
      <c r="S719" s="1449"/>
      <c r="T719" s="1333"/>
      <c r="U719" s="1333"/>
      <c r="V719" s="1333"/>
      <c r="W719" s="1333"/>
      <c r="X719" s="1333"/>
      <c r="Y719" s="1333"/>
      <c r="Z719" s="1333"/>
      <c r="AA719" s="1333"/>
      <c r="AB719" s="1333"/>
      <c r="AC719" s="1333"/>
      <c r="AD719" s="1333"/>
      <c r="AE719" s="1333"/>
      <c r="AF719" s="1333"/>
      <c r="AG719" s="1333"/>
      <c r="AH719" s="1333"/>
      <c r="AI719" s="1333"/>
      <c r="AJ719" s="1333"/>
    </row>
    <row r="720" spans="1:36" x14ac:dyDescent="0.25">
      <c r="A720" s="1331"/>
      <c r="B720" s="1284"/>
      <c r="C720" s="1284"/>
      <c r="D720" s="1364"/>
      <c r="E720" s="1364"/>
      <c r="F720" s="1364"/>
      <c r="G720" s="1365"/>
      <c r="H720" s="1333"/>
      <c r="I720" s="1333"/>
      <c r="J720" s="1333"/>
      <c r="K720" s="1333"/>
      <c r="L720" s="1333"/>
      <c r="M720" s="1333"/>
      <c r="N720" s="1333"/>
      <c r="O720" s="1333"/>
      <c r="P720" s="1333"/>
      <c r="Q720" s="1333"/>
      <c r="R720" s="1333"/>
      <c r="S720" s="1449"/>
      <c r="T720" s="1333"/>
      <c r="U720" s="1333"/>
      <c r="V720" s="1333"/>
      <c r="W720" s="1333"/>
      <c r="X720" s="1333"/>
      <c r="Y720" s="1333"/>
      <c r="Z720" s="1333"/>
      <c r="AA720" s="1333"/>
      <c r="AB720" s="1333"/>
      <c r="AC720" s="1333"/>
      <c r="AD720" s="1333"/>
      <c r="AE720" s="1333"/>
      <c r="AF720" s="1333"/>
      <c r="AG720" s="1333"/>
      <c r="AH720" s="1333"/>
      <c r="AI720" s="1333"/>
      <c r="AJ720" s="1333"/>
    </row>
    <row r="721" spans="1:36" x14ac:dyDescent="0.25">
      <c r="A721" s="1331"/>
      <c r="B721" s="1284"/>
      <c r="C721" s="1284"/>
      <c r="D721" s="1364"/>
      <c r="E721" s="1364"/>
      <c r="F721" s="1364"/>
      <c r="G721" s="1365"/>
      <c r="H721" s="1333"/>
      <c r="I721" s="1333"/>
      <c r="J721" s="1333"/>
      <c r="K721" s="1333"/>
      <c r="L721" s="1333"/>
      <c r="M721" s="1333"/>
      <c r="N721" s="1333"/>
      <c r="O721" s="1333"/>
      <c r="P721" s="1333"/>
      <c r="Q721" s="1333"/>
      <c r="R721" s="1333"/>
      <c r="S721" s="1449"/>
      <c r="T721" s="1333"/>
      <c r="U721" s="1333"/>
      <c r="V721" s="1333"/>
      <c r="W721" s="1333"/>
      <c r="X721" s="1333"/>
      <c r="Y721" s="1333"/>
      <c r="Z721" s="1333"/>
      <c r="AA721" s="1333"/>
      <c r="AB721" s="1333"/>
      <c r="AC721" s="1333"/>
      <c r="AD721" s="1333"/>
      <c r="AE721" s="1333"/>
      <c r="AF721" s="1333"/>
      <c r="AG721" s="1333"/>
      <c r="AH721" s="1333"/>
      <c r="AI721" s="1333"/>
      <c r="AJ721" s="1333"/>
    </row>
    <row r="722" spans="1:36" x14ac:dyDescent="0.25">
      <c r="A722" s="1331"/>
      <c r="B722" s="1284"/>
      <c r="C722" s="1284"/>
      <c r="D722" s="1364"/>
      <c r="E722" s="1364"/>
      <c r="F722" s="1364"/>
      <c r="G722" s="1365"/>
      <c r="H722" s="1333"/>
      <c r="I722" s="1333"/>
      <c r="J722" s="1333"/>
      <c r="K722" s="1333"/>
      <c r="L722" s="1333"/>
      <c r="M722" s="1333"/>
      <c r="N722" s="1333"/>
      <c r="O722" s="1333"/>
      <c r="P722" s="1333"/>
      <c r="Q722" s="1333"/>
      <c r="R722" s="1333"/>
      <c r="S722" s="1449"/>
      <c r="T722" s="1333"/>
      <c r="U722" s="1333"/>
      <c r="V722" s="1333"/>
      <c r="W722" s="1333"/>
      <c r="X722" s="1333"/>
      <c r="Y722" s="1333"/>
      <c r="Z722" s="1333"/>
      <c r="AA722" s="1333"/>
      <c r="AB722" s="1333"/>
      <c r="AC722" s="1333"/>
      <c r="AD722" s="1333"/>
      <c r="AE722" s="1333"/>
      <c r="AF722" s="1333"/>
      <c r="AG722" s="1333"/>
      <c r="AH722" s="1333"/>
      <c r="AI722" s="1333"/>
      <c r="AJ722" s="1333"/>
    </row>
    <row r="723" spans="1:36" x14ac:dyDescent="0.25">
      <c r="A723" s="1331"/>
      <c r="B723" s="1284"/>
      <c r="C723" s="1284"/>
      <c r="D723" s="1364"/>
      <c r="E723" s="1364"/>
      <c r="F723" s="1364"/>
      <c r="G723" s="1365"/>
      <c r="H723" s="1333"/>
      <c r="I723" s="1333"/>
      <c r="J723" s="1333"/>
      <c r="K723" s="1333"/>
      <c r="L723" s="1333"/>
      <c r="M723" s="1333"/>
      <c r="N723" s="1333"/>
      <c r="O723" s="1333"/>
      <c r="P723" s="1333"/>
      <c r="Q723" s="1333"/>
      <c r="R723" s="1333"/>
      <c r="S723" s="1449"/>
      <c r="T723" s="1333"/>
      <c r="U723" s="1333"/>
      <c r="V723" s="1333"/>
      <c r="W723" s="1333"/>
      <c r="X723" s="1333"/>
      <c r="Y723" s="1333"/>
      <c r="Z723" s="1333"/>
      <c r="AA723" s="1333"/>
      <c r="AB723" s="1333"/>
      <c r="AC723" s="1333"/>
      <c r="AD723" s="1333"/>
      <c r="AE723" s="1333"/>
      <c r="AF723" s="1333"/>
      <c r="AG723" s="1333"/>
      <c r="AH723" s="1333"/>
      <c r="AI723" s="1333"/>
      <c r="AJ723" s="1333"/>
    </row>
    <row r="724" spans="1:36" x14ac:dyDescent="0.25">
      <c r="A724" s="1331"/>
      <c r="B724" s="1284"/>
      <c r="C724" s="1284"/>
      <c r="D724" s="1364"/>
      <c r="E724" s="1364"/>
      <c r="F724" s="1364"/>
      <c r="G724" s="1365"/>
      <c r="H724" s="1333"/>
      <c r="I724" s="1333"/>
      <c r="J724" s="1333"/>
      <c r="K724" s="1333"/>
      <c r="L724" s="1333"/>
      <c r="M724" s="1333"/>
      <c r="N724" s="1333"/>
      <c r="O724" s="1333"/>
      <c r="P724" s="1333"/>
      <c r="Q724" s="1333"/>
      <c r="R724" s="1333"/>
      <c r="S724" s="1449"/>
      <c r="T724" s="1333"/>
      <c r="U724" s="1333"/>
      <c r="V724" s="1333"/>
      <c r="W724" s="1333"/>
      <c r="X724" s="1333"/>
      <c r="Y724" s="1333"/>
      <c r="Z724" s="1333"/>
      <c r="AA724" s="1333"/>
      <c r="AB724" s="1333"/>
      <c r="AC724" s="1333"/>
      <c r="AD724" s="1333"/>
      <c r="AE724" s="1333"/>
      <c r="AF724" s="1333"/>
      <c r="AG724" s="1333"/>
      <c r="AH724" s="1333"/>
      <c r="AI724" s="1333"/>
      <c r="AJ724" s="1333"/>
    </row>
    <row r="725" spans="1:36" x14ac:dyDescent="0.25">
      <c r="A725" s="1331"/>
      <c r="B725" s="1284"/>
      <c r="C725" s="1284"/>
      <c r="D725" s="1364"/>
      <c r="E725" s="1364"/>
      <c r="F725" s="1364"/>
      <c r="G725" s="1365"/>
      <c r="H725" s="1333"/>
      <c r="I725" s="1333"/>
      <c r="J725" s="1333"/>
      <c r="K725" s="1333"/>
      <c r="L725" s="1333"/>
      <c r="M725" s="1333"/>
      <c r="N725" s="1333"/>
      <c r="O725" s="1333"/>
      <c r="P725" s="1333"/>
      <c r="Q725" s="1333"/>
      <c r="R725" s="1333"/>
      <c r="S725" s="1449"/>
      <c r="T725" s="1333"/>
      <c r="U725" s="1333"/>
      <c r="V725" s="1333"/>
      <c r="W725" s="1333"/>
      <c r="X725" s="1333"/>
      <c r="Y725" s="1333"/>
      <c r="Z725" s="1333"/>
      <c r="AA725" s="1333"/>
      <c r="AB725" s="1333"/>
      <c r="AC725" s="1333"/>
      <c r="AD725" s="1333"/>
      <c r="AE725" s="1333"/>
      <c r="AF725" s="1333"/>
      <c r="AG725" s="1333"/>
      <c r="AH725" s="1333"/>
      <c r="AI725" s="1333"/>
      <c r="AJ725" s="1333"/>
    </row>
    <row r="726" spans="1:36" x14ac:dyDescent="0.25">
      <c r="A726" s="1331"/>
      <c r="B726" s="1284"/>
      <c r="C726" s="1284"/>
      <c r="D726" s="1364"/>
      <c r="E726" s="1364"/>
      <c r="F726" s="1364"/>
      <c r="G726" s="1365"/>
      <c r="H726" s="1333"/>
      <c r="I726" s="1333"/>
      <c r="J726" s="1333"/>
      <c r="K726" s="1333"/>
      <c r="L726" s="1333"/>
      <c r="M726" s="1333"/>
      <c r="N726" s="1333"/>
      <c r="O726" s="1333"/>
      <c r="P726" s="1333"/>
      <c r="Q726" s="1333"/>
      <c r="R726" s="1333"/>
      <c r="S726" s="1449"/>
      <c r="T726" s="1333"/>
      <c r="U726" s="1333"/>
      <c r="V726" s="1333"/>
      <c r="W726" s="1333"/>
      <c r="X726" s="1333"/>
      <c r="Y726" s="1333"/>
      <c r="Z726" s="1333"/>
      <c r="AA726" s="1333"/>
      <c r="AB726" s="1333"/>
      <c r="AC726" s="1333"/>
      <c r="AD726" s="1333"/>
      <c r="AE726" s="1333"/>
      <c r="AF726" s="1333"/>
      <c r="AG726" s="1333"/>
      <c r="AH726" s="1333"/>
      <c r="AI726" s="1333"/>
      <c r="AJ726" s="1333"/>
    </row>
    <row r="727" spans="1:36" x14ac:dyDescent="0.25">
      <c r="A727" s="1331"/>
      <c r="B727" s="1284"/>
      <c r="C727" s="1284"/>
      <c r="D727" s="1364"/>
      <c r="E727" s="1364"/>
      <c r="F727" s="1364"/>
      <c r="G727" s="1365"/>
      <c r="H727" s="1333"/>
      <c r="I727" s="1333"/>
      <c r="J727" s="1333"/>
      <c r="K727" s="1333"/>
      <c r="L727" s="1333"/>
      <c r="M727" s="1333"/>
      <c r="N727" s="1333"/>
      <c r="O727" s="1333"/>
      <c r="P727" s="1333"/>
      <c r="Q727" s="1333"/>
      <c r="R727" s="1333"/>
      <c r="S727" s="1449"/>
      <c r="T727" s="1333"/>
      <c r="U727" s="1333"/>
      <c r="V727" s="1333"/>
      <c r="W727" s="1333"/>
      <c r="X727" s="1333"/>
      <c r="Y727" s="1333"/>
      <c r="Z727" s="1333"/>
      <c r="AA727" s="1333"/>
      <c r="AB727" s="1333"/>
      <c r="AC727" s="1333"/>
      <c r="AD727" s="1333"/>
      <c r="AE727" s="1333"/>
      <c r="AF727" s="1333"/>
      <c r="AG727" s="1333"/>
      <c r="AH727" s="1333"/>
      <c r="AI727" s="1333"/>
      <c r="AJ727" s="1333"/>
    </row>
    <row r="728" spans="1:36" x14ac:dyDescent="0.25">
      <c r="A728" s="1331"/>
      <c r="B728" s="1284"/>
      <c r="C728" s="1284"/>
      <c r="D728" s="1364"/>
      <c r="E728" s="1364"/>
      <c r="F728" s="1364"/>
      <c r="G728" s="1365"/>
      <c r="H728" s="1333"/>
      <c r="I728" s="1333"/>
      <c r="J728" s="1333"/>
      <c r="K728" s="1333"/>
      <c r="L728" s="1333"/>
      <c r="M728" s="1333"/>
      <c r="N728" s="1333"/>
      <c r="O728" s="1333"/>
      <c r="P728" s="1333"/>
      <c r="Q728" s="1333"/>
      <c r="R728" s="1333"/>
      <c r="S728" s="1449"/>
      <c r="T728" s="1333"/>
      <c r="U728" s="1333"/>
      <c r="V728" s="1333"/>
      <c r="W728" s="1333"/>
      <c r="X728" s="1333"/>
      <c r="Y728" s="1333"/>
      <c r="Z728" s="1333"/>
      <c r="AA728" s="1333"/>
      <c r="AB728" s="1333"/>
      <c r="AC728" s="1333"/>
      <c r="AD728" s="1333"/>
      <c r="AE728" s="1333"/>
      <c r="AF728" s="1333"/>
      <c r="AG728" s="1333"/>
      <c r="AH728" s="1333"/>
      <c r="AI728" s="1333"/>
      <c r="AJ728" s="1333"/>
    </row>
    <row r="729" spans="1:36" x14ac:dyDescent="0.25">
      <c r="A729" s="1331"/>
      <c r="B729" s="1284"/>
      <c r="C729" s="1284"/>
      <c r="D729" s="1364"/>
      <c r="E729" s="1364"/>
      <c r="F729" s="1364"/>
      <c r="G729" s="1365"/>
      <c r="H729" s="1333"/>
      <c r="I729" s="1333"/>
      <c r="J729" s="1333"/>
      <c r="K729" s="1333"/>
      <c r="L729" s="1333"/>
      <c r="M729" s="1333"/>
      <c r="N729" s="1333"/>
      <c r="O729" s="1333"/>
      <c r="P729" s="1333"/>
      <c r="Q729" s="1333"/>
      <c r="R729" s="1333"/>
      <c r="S729" s="1449"/>
      <c r="T729" s="1333"/>
      <c r="U729" s="1333"/>
      <c r="V729" s="1333"/>
      <c r="W729" s="1333"/>
      <c r="X729" s="1333"/>
      <c r="Y729" s="1333"/>
      <c r="Z729" s="1333"/>
      <c r="AA729" s="1333"/>
      <c r="AB729" s="1333"/>
      <c r="AC729" s="1333"/>
      <c r="AD729" s="1333"/>
      <c r="AE729" s="1333"/>
      <c r="AF729" s="1333"/>
      <c r="AG729" s="1333"/>
      <c r="AH729" s="1333"/>
      <c r="AI729" s="1333"/>
      <c r="AJ729" s="1333"/>
    </row>
    <row r="730" spans="1:36" x14ac:dyDescent="0.25">
      <c r="A730" s="1331"/>
      <c r="B730" s="1284"/>
      <c r="C730" s="1284"/>
      <c r="D730" s="1364"/>
      <c r="E730" s="1364"/>
      <c r="F730" s="1364"/>
      <c r="G730" s="1365"/>
      <c r="H730" s="1333"/>
      <c r="I730" s="1333"/>
      <c r="J730" s="1333"/>
      <c r="K730" s="1333"/>
      <c r="L730" s="1333"/>
      <c r="M730" s="1333"/>
      <c r="N730" s="1333"/>
      <c r="O730" s="1333"/>
      <c r="P730" s="1333"/>
      <c r="Q730" s="1333"/>
      <c r="R730" s="1333"/>
      <c r="S730" s="1449"/>
      <c r="T730" s="1333"/>
      <c r="U730" s="1333"/>
      <c r="V730" s="1333"/>
      <c r="W730" s="1333"/>
      <c r="X730" s="1333"/>
      <c r="Y730" s="1333"/>
      <c r="Z730" s="1333"/>
      <c r="AA730" s="1333"/>
      <c r="AB730" s="1333"/>
      <c r="AC730" s="1333"/>
      <c r="AD730" s="1333"/>
      <c r="AE730" s="1333"/>
      <c r="AF730" s="1333"/>
      <c r="AG730" s="1333"/>
      <c r="AH730" s="1333"/>
      <c r="AI730" s="1333"/>
      <c r="AJ730" s="1333"/>
    </row>
    <row r="731" spans="1:36" x14ac:dyDescent="0.25">
      <c r="A731" s="1331"/>
      <c r="B731" s="1284"/>
      <c r="C731" s="1284"/>
      <c r="D731" s="1364"/>
      <c r="E731" s="1364"/>
      <c r="F731" s="1364"/>
      <c r="G731" s="1365"/>
      <c r="H731" s="1333"/>
      <c r="I731" s="1333"/>
      <c r="J731" s="1333"/>
      <c r="K731" s="1333"/>
      <c r="L731" s="1333"/>
      <c r="M731" s="1333"/>
      <c r="N731" s="1333"/>
      <c r="O731" s="1333"/>
      <c r="P731" s="1333"/>
      <c r="Q731" s="1333"/>
      <c r="R731" s="1333"/>
      <c r="S731" s="1449"/>
      <c r="T731" s="1333"/>
      <c r="U731" s="1333"/>
      <c r="V731" s="1333"/>
      <c r="W731" s="1333"/>
      <c r="X731" s="1333"/>
      <c r="Y731" s="1333"/>
      <c r="Z731" s="1333"/>
      <c r="AA731" s="1333"/>
      <c r="AB731" s="1333"/>
      <c r="AC731" s="1333"/>
      <c r="AD731" s="1333"/>
      <c r="AE731" s="1333"/>
      <c r="AF731" s="1333"/>
      <c r="AG731" s="1333"/>
      <c r="AH731" s="1333"/>
      <c r="AI731" s="1333"/>
      <c r="AJ731" s="1333"/>
    </row>
    <row r="732" spans="1:36" x14ac:dyDescent="0.25">
      <c r="A732" s="1331"/>
      <c r="B732" s="1284"/>
      <c r="C732" s="1284"/>
      <c r="D732" s="1364"/>
      <c r="E732" s="1364"/>
      <c r="F732" s="1364"/>
      <c r="G732" s="1365"/>
      <c r="H732" s="1333"/>
      <c r="I732" s="1333"/>
      <c r="J732" s="1333"/>
      <c r="K732" s="1333"/>
      <c r="L732" s="1333"/>
      <c r="M732" s="1333"/>
      <c r="N732" s="1333"/>
      <c r="O732" s="1333"/>
      <c r="P732" s="1333"/>
      <c r="Q732" s="1333"/>
      <c r="R732" s="1333"/>
      <c r="S732" s="1449"/>
      <c r="T732" s="1333"/>
      <c r="U732" s="1333"/>
      <c r="V732" s="1333"/>
      <c r="W732" s="1333"/>
      <c r="X732" s="1333"/>
      <c r="Y732" s="1333"/>
      <c r="Z732" s="1333"/>
      <c r="AA732" s="1333"/>
      <c r="AB732" s="1333"/>
      <c r="AC732" s="1333"/>
      <c r="AD732" s="1333"/>
      <c r="AE732" s="1333"/>
      <c r="AF732" s="1333"/>
      <c r="AG732" s="1333"/>
      <c r="AH732" s="1333"/>
      <c r="AI732" s="1333"/>
      <c r="AJ732" s="1333"/>
    </row>
    <row r="733" spans="1:36" x14ac:dyDescent="0.25">
      <c r="A733" s="1331"/>
      <c r="B733" s="1284"/>
      <c r="C733" s="1284"/>
      <c r="D733" s="1364"/>
      <c r="E733" s="1364"/>
      <c r="F733" s="1364"/>
      <c r="G733" s="1365"/>
      <c r="H733" s="1333"/>
      <c r="I733" s="1333"/>
      <c r="J733" s="1333"/>
      <c r="K733" s="1333"/>
      <c r="L733" s="1333"/>
      <c r="M733" s="1333"/>
      <c r="N733" s="1333"/>
      <c r="O733" s="1333"/>
      <c r="P733" s="1333"/>
      <c r="Q733" s="1333"/>
      <c r="R733" s="1333"/>
      <c r="S733" s="1449"/>
      <c r="T733" s="1333"/>
      <c r="U733" s="1333"/>
      <c r="V733" s="1333"/>
      <c r="W733" s="1333"/>
      <c r="X733" s="1333"/>
      <c r="Y733" s="1333"/>
      <c r="Z733" s="1333"/>
      <c r="AA733" s="1333"/>
      <c r="AB733" s="1333"/>
      <c r="AC733" s="1333"/>
      <c r="AD733" s="1333"/>
      <c r="AE733" s="1333"/>
      <c r="AF733" s="1333"/>
      <c r="AG733" s="1333"/>
      <c r="AH733" s="1333"/>
      <c r="AI733" s="1333"/>
      <c r="AJ733" s="1333"/>
    </row>
    <row r="734" spans="1:36" x14ac:dyDescent="0.25">
      <c r="A734" s="1331"/>
      <c r="B734" s="1284"/>
      <c r="C734" s="1284"/>
      <c r="D734" s="1364"/>
      <c r="E734" s="1364"/>
      <c r="F734" s="1364"/>
      <c r="G734" s="1365"/>
      <c r="H734" s="1333"/>
      <c r="I734" s="1333"/>
      <c r="J734" s="1333"/>
      <c r="K734" s="1333"/>
      <c r="L734" s="1333"/>
      <c r="M734" s="1333"/>
      <c r="N734" s="1333"/>
      <c r="O734" s="1333"/>
      <c r="P734" s="1333"/>
      <c r="Q734" s="1333"/>
      <c r="R734" s="1333"/>
      <c r="S734" s="1449"/>
      <c r="T734" s="1333"/>
      <c r="U734" s="1333"/>
      <c r="V734" s="1333"/>
      <c r="W734" s="1333"/>
      <c r="X734" s="1333"/>
      <c r="Y734" s="1333"/>
      <c r="Z734" s="1333"/>
      <c r="AA734" s="1333"/>
      <c r="AB734" s="1333"/>
      <c r="AC734" s="1333"/>
      <c r="AD734" s="1333"/>
      <c r="AE734" s="1333"/>
      <c r="AF734" s="1333"/>
      <c r="AG734" s="1333"/>
      <c r="AH734" s="1333"/>
      <c r="AI734" s="1333"/>
      <c r="AJ734" s="1333"/>
    </row>
    <row r="735" spans="1:36" x14ac:dyDescent="0.25">
      <c r="A735" s="1331"/>
      <c r="B735" s="1284"/>
      <c r="C735" s="1284"/>
      <c r="D735" s="1364"/>
      <c r="E735" s="1364"/>
      <c r="F735" s="1364"/>
      <c r="G735" s="1365"/>
      <c r="H735" s="1333"/>
      <c r="I735" s="1333"/>
      <c r="J735" s="1333"/>
      <c r="K735" s="1333"/>
      <c r="L735" s="1333"/>
      <c r="M735" s="1333"/>
      <c r="N735" s="1333"/>
      <c r="O735" s="1333"/>
      <c r="P735" s="1333"/>
      <c r="Q735" s="1333"/>
      <c r="R735" s="1333"/>
      <c r="S735" s="1449"/>
      <c r="T735" s="1333"/>
      <c r="U735" s="1333"/>
      <c r="V735" s="1333"/>
      <c r="W735" s="1333"/>
      <c r="X735" s="1333"/>
      <c r="Y735" s="1333"/>
      <c r="Z735" s="1333"/>
      <c r="AA735" s="1333"/>
      <c r="AB735" s="1333"/>
      <c r="AC735" s="1333"/>
      <c r="AD735" s="1333"/>
      <c r="AE735" s="1333"/>
      <c r="AF735" s="1333"/>
      <c r="AG735" s="1333"/>
      <c r="AH735" s="1333"/>
      <c r="AI735" s="1333"/>
      <c r="AJ735" s="1333"/>
    </row>
    <row r="736" spans="1:36" x14ac:dyDescent="0.25">
      <c r="A736" s="1331"/>
      <c r="B736" s="1284"/>
      <c r="C736" s="1284"/>
      <c r="D736" s="1364"/>
      <c r="E736" s="1364"/>
      <c r="F736" s="1364"/>
      <c r="G736" s="1365"/>
      <c r="H736" s="1333"/>
      <c r="I736" s="1333"/>
      <c r="J736" s="1333"/>
      <c r="K736" s="1333"/>
      <c r="L736" s="1333"/>
      <c r="M736" s="1333"/>
      <c r="N736" s="1333"/>
      <c r="O736" s="1333"/>
      <c r="P736" s="1333"/>
      <c r="Q736" s="1333"/>
      <c r="R736" s="1333"/>
      <c r="S736" s="1449"/>
      <c r="T736" s="1333"/>
      <c r="U736" s="1333"/>
      <c r="V736" s="1333"/>
      <c r="W736" s="1333"/>
      <c r="X736" s="1333"/>
      <c r="Y736" s="1333"/>
      <c r="Z736" s="1333"/>
      <c r="AA736" s="1333"/>
      <c r="AB736" s="1333"/>
      <c r="AC736" s="1333"/>
      <c r="AD736" s="1333"/>
      <c r="AE736" s="1333"/>
      <c r="AF736" s="1333"/>
      <c r="AG736" s="1333"/>
      <c r="AH736" s="1333"/>
      <c r="AI736" s="1333"/>
      <c r="AJ736" s="1333"/>
    </row>
    <row r="737" spans="1:36" x14ac:dyDescent="0.25">
      <c r="A737" s="1331"/>
      <c r="B737" s="1284"/>
      <c r="C737" s="1284"/>
      <c r="D737" s="1364"/>
      <c r="E737" s="1364"/>
      <c r="F737" s="1364"/>
      <c r="G737" s="1365"/>
      <c r="H737" s="1333"/>
      <c r="I737" s="1333"/>
      <c r="J737" s="1333"/>
      <c r="K737" s="1333"/>
      <c r="L737" s="1333"/>
      <c r="M737" s="1333"/>
      <c r="N737" s="1333"/>
      <c r="O737" s="1333"/>
      <c r="P737" s="1333"/>
      <c r="Q737" s="1333"/>
      <c r="R737" s="1333"/>
      <c r="S737" s="1449"/>
      <c r="T737" s="1333"/>
      <c r="U737" s="1333"/>
      <c r="V737" s="1333"/>
      <c r="W737" s="1333"/>
      <c r="X737" s="1333"/>
      <c r="Y737" s="1333"/>
      <c r="Z737" s="1333"/>
      <c r="AA737" s="1333"/>
      <c r="AB737" s="1333"/>
      <c r="AC737" s="1333"/>
      <c r="AD737" s="1333"/>
      <c r="AE737" s="1333"/>
      <c r="AF737" s="1333"/>
      <c r="AG737" s="1333"/>
      <c r="AH737" s="1333"/>
      <c r="AI737" s="1333"/>
      <c r="AJ737" s="1333"/>
    </row>
    <row r="738" spans="1:36" x14ac:dyDescent="0.25">
      <c r="A738" s="1331"/>
      <c r="B738" s="1284"/>
      <c r="C738" s="1284"/>
      <c r="D738" s="1364"/>
      <c r="E738" s="1364"/>
      <c r="F738" s="1364"/>
      <c r="G738" s="1365"/>
      <c r="H738" s="1333"/>
      <c r="I738" s="1333"/>
      <c r="J738" s="1333"/>
      <c r="K738" s="1333"/>
      <c r="L738" s="1333"/>
      <c r="M738" s="1333"/>
      <c r="N738" s="1333"/>
      <c r="O738" s="1333"/>
      <c r="P738" s="1333"/>
      <c r="Q738" s="1333"/>
      <c r="R738" s="1333"/>
      <c r="S738" s="1449"/>
      <c r="T738" s="1333"/>
      <c r="U738" s="1333"/>
      <c r="V738" s="1333"/>
      <c r="W738" s="1333"/>
      <c r="X738" s="1333"/>
      <c r="Y738" s="1333"/>
      <c r="Z738" s="1333"/>
      <c r="AA738" s="1333"/>
      <c r="AB738" s="1333"/>
      <c r="AC738" s="1333"/>
      <c r="AD738" s="1333"/>
      <c r="AE738" s="1333"/>
      <c r="AF738" s="1333"/>
      <c r="AG738" s="1333"/>
      <c r="AH738" s="1333"/>
      <c r="AI738" s="1333"/>
      <c r="AJ738" s="1333"/>
    </row>
    <row r="739" spans="1:36" x14ac:dyDescent="0.25">
      <c r="A739" s="1331"/>
      <c r="B739" s="1284"/>
      <c r="C739" s="1284"/>
      <c r="D739" s="1364"/>
      <c r="E739" s="1364"/>
      <c r="F739" s="1364"/>
      <c r="G739" s="1365"/>
      <c r="H739" s="1333"/>
      <c r="I739" s="1333"/>
      <c r="J739" s="1333"/>
      <c r="K739" s="1333"/>
      <c r="L739" s="1333"/>
      <c r="M739" s="1333"/>
      <c r="N739" s="1333"/>
      <c r="O739" s="1333"/>
      <c r="P739" s="1333"/>
      <c r="Q739" s="1333"/>
      <c r="R739" s="1333"/>
      <c r="S739" s="1449"/>
      <c r="T739" s="1333"/>
      <c r="U739" s="1333"/>
      <c r="V739" s="1333"/>
      <c r="W739" s="1333"/>
      <c r="X739" s="1333"/>
      <c r="Y739" s="1333"/>
      <c r="Z739" s="1333"/>
      <c r="AA739" s="1333"/>
      <c r="AB739" s="1333"/>
      <c r="AC739" s="1333"/>
      <c r="AD739" s="1333"/>
      <c r="AE739" s="1333"/>
      <c r="AF739" s="1333"/>
      <c r="AG739" s="1333"/>
      <c r="AH739" s="1333"/>
      <c r="AI739" s="1333"/>
      <c r="AJ739" s="1333"/>
    </row>
    <row r="740" spans="1:36" x14ac:dyDescent="0.25">
      <c r="A740" s="1331"/>
      <c r="B740" s="1284"/>
      <c r="C740" s="1284"/>
      <c r="D740" s="1364"/>
      <c r="E740" s="1364"/>
      <c r="F740" s="1364"/>
      <c r="G740" s="1365"/>
      <c r="H740" s="1333"/>
      <c r="I740" s="1333"/>
      <c r="J740" s="1333"/>
      <c r="K740" s="1333"/>
      <c r="L740" s="1333"/>
      <c r="M740" s="1333"/>
      <c r="N740" s="1333"/>
      <c r="O740" s="1333"/>
      <c r="P740" s="1333"/>
      <c r="Q740" s="1333"/>
      <c r="R740" s="1333"/>
      <c r="S740" s="1449"/>
      <c r="T740" s="1333"/>
      <c r="U740" s="1333"/>
      <c r="V740" s="1333"/>
      <c r="W740" s="1333"/>
      <c r="X740" s="1333"/>
      <c r="Y740" s="1333"/>
      <c r="Z740" s="1333"/>
      <c r="AA740" s="1333"/>
      <c r="AB740" s="1333"/>
      <c r="AC740" s="1333"/>
      <c r="AD740" s="1333"/>
      <c r="AE740" s="1333"/>
      <c r="AF740" s="1333"/>
      <c r="AG740" s="1333"/>
      <c r="AH740" s="1333"/>
      <c r="AI740" s="1333"/>
      <c r="AJ740" s="1333"/>
    </row>
    <row r="741" spans="1:36" x14ac:dyDescent="0.25">
      <c r="A741" s="1331"/>
      <c r="B741" s="1284"/>
      <c r="C741" s="1284"/>
      <c r="D741" s="1364"/>
      <c r="E741" s="1364"/>
      <c r="F741" s="1364"/>
      <c r="G741" s="1365"/>
      <c r="H741" s="1333"/>
      <c r="I741" s="1333"/>
      <c r="J741" s="1333"/>
      <c r="K741" s="1333"/>
      <c r="L741" s="1333"/>
      <c r="M741" s="1333"/>
      <c r="N741" s="1333"/>
      <c r="O741" s="1333"/>
      <c r="P741" s="1333"/>
      <c r="Q741" s="1333"/>
      <c r="R741" s="1333"/>
      <c r="S741" s="1449"/>
      <c r="T741" s="1333"/>
      <c r="U741" s="1333"/>
      <c r="V741" s="1333"/>
      <c r="W741" s="1333"/>
      <c r="X741" s="1333"/>
      <c r="Y741" s="1333"/>
      <c r="Z741" s="1333"/>
      <c r="AA741" s="1333"/>
      <c r="AB741" s="1333"/>
      <c r="AC741" s="1333"/>
      <c r="AD741" s="1333"/>
      <c r="AE741" s="1333"/>
      <c r="AF741" s="1333"/>
      <c r="AG741" s="1333"/>
      <c r="AH741" s="1333"/>
      <c r="AI741" s="1333"/>
      <c r="AJ741" s="1333"/>
    </row>
    <row r="742" spans="1:36" x14ac:dyDescent="0.25">
      <c r="A742" s="1331"/>
      <c r="B742" s="1284"/>
      <c r="C742" s="1284"/>
      <c r="D742" s="1364"/>
      <c r="E742" s="1364"/>
      <c r="F742" s="1364"/>
      <c r="G742" s="1365"/>
      <c r="H742" s="1333"/>
      <c r="I742" s="1333"/>
      <c r="J742" s="1333"/>
      <c r="K742" s="1333"/>
      <c r="L742" s="1333"/>
      <c r="M742" s="1333"/>
      <c r="N742" s="1333"/>
      <c r="O742" s="1333"/>
      <c r="P742" s="1333"/>
      <c r="Q742" s="1333"/>
      <c r="R742" s="1333"/>
      <c r="S742" s="1449"/>
      <c r="T742" s="1333"/>
      <c r="U742" s="1333"/>
      <c r="V742" s="1333"/>
      <c r="W742" s="1333"/>
      <c r="X742" s="1333"/>
      <c r="Y742" s="1333"/>
      <c r="Z742" s="1333"/>
      <c r="AA742" s="1333"/>
      <c r="AB742" s="1333"/>
      <c r="AC742" s="1333"/>
      <c r="AD742" s="1333"/>
      <c r="AE742" s="1333"/>
      <c r="AF742" s="1333"/>
      <c r="AG742" s="1333"/>
      <c r="AH742" s="1333"/>
      <c r="AI742" s="1333"/>
      <c r="AJ742" s="1333"/>
    </row>
    <row r="743" spans="1:36" x14ac:dyDescent="0.25">
      <c r="A743" s="1331"/>
      <c r="B743" s="1284"/>
      <c r="C743" s="1284"/>
      <c r="D743" s="1364"/>
      <c r="E743" s="1364"/>
      <c r="F743" s="1364"/>
      <c r="G743" s="1365"/>
      <c r="H743" s="1333"/>
      <c r="I743" s="1333"/>
      <c r="J743" s="1333"/>
      <c r="K743" s="1333"/>
      <c r="L743" s="1333"/>
      <c r="M743" s="1333"/>
      <c r="N743" s="1333"/>
      <c r="O743" s="1333"/>
      <c r="P743" s="1333"/>
      <c r="Q743" s="1333"/>
      <c r="R743" s="1333"/>
      <c r="S743" s="1449"/>
      <c r="T743" s="1333"/>
      <c r="U743" s="1333"/>
      <c r="V743" s="1333"/>
      <c r="W743" s="1333"/>
      <c r="X743" s="1333"/>
      <c r="Y743" s="1333"/>
      <c r="Z743" s="1333"/>
      <c r="AA743" s="1333"/>
      <c r="AB743" s="1333"/>
      <c r="AC743" s="1333"/>
      <c r="AD743" s="1333"/>
      <c r="AE743" s="1333"/>
      <c r="AF743" s="1333"/>
      <c r="AG743" s="1333"/>
      <c r="AH743" s="1333"/>
      <c r="AI743" s="1333"/>
      <c r="AJ743" s="1333"/>
    </row>
    <row r="744" spans="1:36" x14ac:dyDescent="0.25">
      <c r="A744" s="1331"/>
      <c r="B744" s="1284"/>
      <c r="C744" s="1284"/>
      <c r="D744" s="1364"/>
      <c r="E744" s="1364"/>
      <c r="F744" s="1364"/>
      <c r="G744" s="1365"/>
      <c r="H744" s="1333"/>
      <c r="I744" s="1333"/>
      <c r="J744" s="1333"/>
      <c r="K744" s="1333"/>
      <c r="L744" s="1333"/>
      <c r="M744" s="1333"/>
      <c r="N744" s="1333"/>
      <c r="O744" s="1333"/>
      <c r="P744" s="1333"/>
      <c r="Q744" s="1333"/>
      <c r="R744" s="1333"/>
      <c r="S744" s="1449"/>
      <c r="T744" s="1333"/>
      <c r="U744" s="1333"/>
      <c r="V744" s="1333"/>
      <c r="W744" s="1333"/>
      <c r="X744" s="1333"/>
      <c r="Y744" s="1333"/>
      <c r="Z744" s="1333"/>
      <c r="AA744" s="1333"/>
      <c r="AB744" s="1333"/>
      <c r="AC744" s="1333"/>
      <c r="AD744" s="1333"/>
      <c r="AE744" s="1333"/>
      <c r="AF744" s="1333"/>
      <c r="AG744" s="1333"/>
      <c r="AH744" s="1333"/>
      <c r="AI744" s="1333"/>
      <c r="AJ744" s="1333"/>
    </row>
    <row r="745" spans="1:36" x14ac:dyDescent="0.25">
      <c r="A745" s="1331"/>
      <c r="B745" s="1284"/>
      <c r="C745" s="1284"/>
      <c r="D745" s="1364"/>
      <c r="E745" s="1364"/>
      <c r="F745" s="1364"/>
      <c r="G745" s="1365"/>
      <c r="H745" s="1333"/>
      <c r="I745" s="1333"/>
      <c r="J745" s="1333"/>
      <c r="K745" s="1333"/>
      <c r="L745" s="1333"/>
      <c r="M745" s="1333"/>
      <c r="N745" s="1333"/>
      <c r="O745" s="1333"/>
      <c r="P745" s="1333"/>
      <c r="Q745" s="1333"/>
      <c r="R745" s="1333"/>
      <c r="S745" s="1449"/>
      <c r="T745" s="1333"/>
      <c r="U745" s="1333"/>
      <c r="V745" s="1333"/>
      <c r="W745" s="1333"/>
      <c r="X745" s="1333"/>
      <c r="Y745" s="1333"/>
      <c r="Z745" s="1333"/>
      <c r="AA745" s="1333"/>
      <c r="AB745" s="1333"/>
      <c r="AC745" s="1333"/>
      <c r="AD745" s="1333"/>
      <c r="AE745" s="1333"/>
      <c r="AF745" s="1333"/>
      <c r="AG745" s="1333"/>
      <c r="AH745" s="1333"/>
      <c r="AI745" s="1333"/>
      <c r="AJ745" s="1333"/>
    </row>
    <row r="746" spans="1:36" x14ac:dyDescent="0.25">
      <c r="A746" s="1331"/>
      <c r="B746" s="1284"/>
      <c r="C746" s="1284"/>
      <c r="D746" s="1364"/>
      <c r="E746" s="1364"/>
      <c r="F746" s="1364"/>
      <c r="G746" s="1365"/>
      <c r="H746" s="1333"/>
      <c r="I746" s="1333"/>
      <c r="J746" s="1333"/>
      <c r="K746" s="1333"/>
      <c r="L746" s="1333"/>
      <c r="M746" s="1333"/>
      <c r="N746" s="1333"/>
      <c r="O746" s="1333"/>
      <c r="P746" s="1333"/>
      <c r="Q746" s="1333"/>
      <c r="R746" s="1333"/>
      <c r="S746" s="1449"/>
      <c r="T746" s="1333"/>
      <c r="U746" s="1333"/>
      <c r="V746" s="1333"/>
      <c r="W746" s="1333"/>
      <c r="X746" s="1333"/>
      <c r="Y746" s="1333"/>
      <c r="Z746" s="1333"/>
      <c r="AA746" s="1333"/>
      <c r="AB746" s="1333"/>
      <c r="AC746" s="1333"/>
      <c r="AD746" s="1333"/>
      <c r="AE746" s="1333"/>
      <c r="AF746" s="1333"/>
      <c r="AG746" s="1333"/>
      <c r="AH746" s="1333"/>
      <c r="AI746" s="1333"/>
      <c r="AJ746" s="1333"/>
    </row>
    <row r="747" spans="1:36" x14ac:dyDescent="0.25">
      <c r="A747" s="1331"/>
      <c r="B747" s="1284"/>
      <c r="C747" s="1284"/>
      <c r="D747" s="1364"/>
      <c r="E747" s="1364"/>
      <c r="F747" s="1364"/>
      <c r="G747" s="1365"/>
      <c r="H747" s="1333"/>
      <c r="I747" s="1333"/>
      <c r="J747" s="1333"/>
      <c r="K747" s="1333"/>
      <c r="L747" s="1333"/>
      <c r="M747" s="1333"/>
      <c r="N747" s="1333"/>
      <c r="O747" s="1333"/>
      <c r="P747" s="1333"/>
      <c r="Q747" s="1333"/>
      <c r="R747" s="1333"/>
      <c r="S747" s="1449"/>
      <c r="T747" s="1333"/>
      <c r="U747" s="1333"/>
      <c r="V747" s="1333"/>
      <c r="W747" s="1333"/>
      <c r="X747" s="1333"/>
      <c r="Y747" s="1333"/>
      <c r="Z747" s="1333"/>
      <c r="AA747" s="1333"/>
      <c r="AB747" s="1333"/>
      <c r="AC747" s="1333"/>
      <c r="AD747" s="1333"/>
      <c r="AE747" s="1333"/>
      <c r="AF747" s="1333"/>
      <c r="AG747" s="1333"/>
      <c r="AH747" s="1333"/>
      <c r="AI747" s="1333"/>
      <c r="AJ747" s="1333"/>
    </row>
    <row r="748" spans="1:36" x14ac:dyDescent="0.25">
      <c r="A748" s="1331"/>
      <c r="B748" s="1284"/>
      <c r="C748" s="1284"/>
      <c r="D748" s="1364"/>
      <c r="E748" s="1364"/>
      <c r="F748" s="1364"/>
      <c r="G748" s="1365"/>
      <c r="H748" s="1333"/>
      <c r="I748" s="1333"/>
      <c r="J748" s="1333"/>
      <c r="K748" s="1333"/>
      <c r="L748" s="1333"/>
      <c r="M748" s="1333"/>
      <c r="N748" s="1333"/>
      <c r="O748" s="1333"/>
      <c r="P748" s="1333"/>
      <c r="Q748" s="1333"/>
      <c r="R748" s="1333"/>
      <c r="S748" s="1449"/>
      <c r="T748" s="1333"/>
      <c r="U748" s="1333"/>
      <c r="V748" s="1333"/>
      <c r="W748" s="1333"/>
      <c r="X748" s="1333"/>
      <c r="Y748" s="1333"/>
      <c r="Z748" s="1333"/>
      <c r="AA748" s="1333"/>
      <c r="AB748" s="1333"/>
      <c r="AC748" s="1333"/>
      <c r="AD748" s="1333"/>
      <c r="AE748" s="1333"/>
      <c r="AF748" s="1333"/>
      <c r="AG748" s="1333"/>
      <c r="AH748" s="1333"/>
      <c r="AI748" s="1333"/>
      <c r="AJ748" s="1333"/>
    </row>
    <row r="749" spans="1:36" x14ac:dyDescent="0.25">
      <c r="A749" s="1331"/>
      <c r="B749" s="1284"/>
      <c r="C749" s="1284"/>
      <c r="D749" s="1364"/>
      <c r="E749" s="1364"/>
      <c r="F749" s="1364"/>
      <c r="G749" s="1365"/>
      <c r="H749" s="1333"/>
      <c r="I749" s="1333"/>
      <c r="J749" s="1333"/>
      <c r="K749" s="1333"/>
      <c r="L749" s="1333"/>
      <c r="M749" s="1333"/>
      <c r="N749" s="1333"/>
      <c r="O749" s="1333"/>
      <c r="P749" s="1333"/>
      <c r="Q749" s="1333"/>
      <c r="R749" s="1333"/>
      <c r="S749" s="1449"/>
      <c r="T749" s="1333"/>
      <c r="U749" s="1333"/>
      <c r="V749" s="1333"/>
      <c r="W749" s="1333"/>
      <c r="X749" s="1333"/>
      <c r="Y749" s="1333"/>
      <c r="Z749" s="1333"/>
      <c r="AA749" s="1333"/>
      <c r="AB749" s="1333"/>
      <c r="AC749" s="1333"/>
      <c r="AD749" s="1333"/>
      <c r="AE749" s="1333"/>
      <c r="AF749" s="1333"/>
      <c r="AG749" s="1333"/>
      <c r="AH749" s="1333"/>
      <c r="AI749" s="1333"/>
      <c r="AJ749" s="1333"/>
    </row>
    <row r="750" spans="1:36" x14ac:dyDescent="0.25">
      <c r="A750" s="1331"/>
      <c r="B750" s="1284"/>
      <c r="C750" s="1284"/>
      <c r="D750" s="1364"/>
      <c r="E750" s="1364"/>
      <c r="F750" s="1364"/>
      <c r="G750" s="1365"/>
      <c r="H750" s="1333"/>
      <c r="I750" s="1333"/>
      <c r="J750" s="1333"/>
      <c r="K750" s="1333"/>
      <c r="L750" s="1333"/>
      <c r="M750" s="1333"/>
      <c r="N750" s="1333"/>
      <c r="O750" s="1333"/>
      <c r="P750" s="1333"/>
      <c r="Q750" s="1333"/>
      <c r="R750" s="1333"/>
      <c r="S750" s="1449"/>
      <c r="T750" s="1333"/>
      <c r="U750" s="1333"/>
      <c r="V750" s="1333"/>
      <c r="W750" s="1333"/>
      <c r="X750" s="1333"/>
      <c r="Y750" s="1333"/>
      <c r="Z750" s="1333"/>
      <c r="AA750" s="1333"/>
      <c r="AB750" s="1333"/>
      <c r="AC750" s="1333"/>
      <c r="AD750" s="1333"/>
      <c r="AE750" s="1333"/>
      <c r="AF750" s="1333"/>
      <c r="AG750" s="1333"/>
      <c r="AH750" s="1333"/>
      <c r="AI750" s="1333"/>
      <c r="AJ750" s="1333"/>
    </row>
    <row r="751" spans="1:36" x14ac:dyDescent="0.25">
      <c r="A751" s="1331"/>
      <c r="B751" s="1284"/>
      <c r="C751" s="1284"/>
      <c r="D751" s="1364"/>
      <c r="E751" s="1364"/>
      <c r="F751" s="1364"/>
      <c r="G751" s="1365"/>
      <c r="H751" s="1333"/>
      <c r="I751" s="1333"/>
      <c r="J751" s="1333"/>
      <c r="K751" s="1333"/>
      <c r="L751" s="1333"/>
      <c r="M751" s="1333"/>
      <c r="N751" s="1333"/>
      <c r="O751" s="1333"/>
      <c r="P751" s="1333"/>
      <c r="Q751" s="1333"/>
      <c r="R751" s="1333"/>
      <c r="S751" s="1449"/>
      <c r="T751" s="1333"/>
      <c r="U751" s="1333"/>
      <c r="V751" s="1333"/>
      <c r="W751" s="1333"/>
      <c r="X751" s="1333"/>
      <c r="Y751" s="1333"/>
      <c r="Z751" s="1333"/>
      <c r="AA751" s="1333"/>
      <c r="AB751" s="1333"/>
      <c r="AC751" s="1333"/>
      <c r="AD751" s="1333"/>
      <c r="AE751" s="1333"/>
      <c r="AF751" s="1333"/>
      <c r="AG751" s="1333"/>
      <c r="AH751" s="1333"/>
      <c r="AI751" s="1333"/>
      <c r="AJ751" s="1333"/>
    </row>
    <row r="752" spans="1:36" x14ac:dyDescent="0.25">
      <c r="A752" s="1331"/>
      <c r="B752" s="1284"/>
      <c r="C752" s="1284"/>
      <c r="D752" s="1364"/>
      <c r="E752" s="1364"/>
      <c r="F752" s="1364"/>
      <c r="G752" s="1365"/>
      <c r="H752" s="1333"/>
      <c r="I752" s="1333"/>
      <c r="J752" s="1333"/>
      <c r="K752" s="1333"/>
      <c r="L752" s="1333"/>
      <c r="M752" s="1333"/>
      <c r="N752" s="1333"/>
      <c r="O752" s="1333"/>
      <c r="P752" s="1333"/>
      <c r="Q752" s="1333"/>
      <c r="R752" s="1333"/>
      <c r="S752" s="1449"/>
      <c r="T752" s="1333"/>
      <c r="U752" s="1333"/>
      <c r="V752" s="1333"/>
      <c r="W752" s="1333"/>
      <c r="X752" s="1333"/>
      <c r="Y752" s="1333"/>
      <c r="Z752" s="1333"/>
      <c r="AA752" s="1333"/>
      <c r="AB752" s="1333"/>
      <c r="AC752" s="1333"/>
      <c r="AD752" s="1333"/>
      <c r="AE752" s="1333"/>
      <c r="AF752" s="1333"/>
      <c r="AG752" s="1333"/>
      <c r="AH752" s="1333"/>
      <c r="AI752" s="1333"/>
      <c r="AJ752" s="1333"/>
    </row>
    <row r="753" spans="1:36" x14ac:dyDescent="0.25">
      <c r="A753" s="1331"/>
      <c r="B753" s="1284"/>
      <c r="C753" s="1284"/>
      <c r="D753" s="1364"/>
      <c r="E753" s="1364"/>
      <c r="F753" s="1364"/>
      <c r="G753" s="1365"/>
      <c r="H753" s="1333"/>
      <c r="I753" s="1333"/>
      <c r="J753" s="1333"/>
      <c r="K753" s="1333"/>
      <c r="L753" s="1333"/>
      <c r="M753" s="1333"/>
      <c r="N753" s="1333"/>
      <c r="O753" s="1333"/>
      <c r="P753" s="1333"/>
      <c r="Q753" s="1333"/>
      <c r="R753" s="1333"/>
      <c r="S753" s="1449"/>
      <c r="T753" s="1333"/>
      <c r="U753" s="1333"/>
      <c r="V753" s="1333"/>
      <c r="W753" s="1333"/>
      <c r="X753" s="1333"/>
      <c r="Y753" s="1333"/>
      <c r="Z753" s="1333"/>
      <c r="AA753" s="1333"/>
      <c r="AB753" s="1333"/>
      <c r="AC753" s="1333"/>
      <c r="AD753" s="1333"/>
      <c r="AE753" s="1333"/>
      <c r="AF753" s="1333"/>
      <c r="AG753" s="1333"/>
      <c r="AH753" s="1333"/>
      <c r="AI753" s="1333"/>
      <c r="AJ753" s="1333"/>
    </row>
    <row r="754" spans="1:36" x14ac:dyDescent="0.25">
      <c r="A754" s="1331"/>
      <c r="B754" s="1284"/>
      <c r="C754" s="1284"/>
      <c r="D754" s="1364"/>
      <c r="E754" s="1364"/>
      <c r="F754" s="1364"/>
      <c r="G754" s="1365"/>
      <c r="H754" s="1333"/>
      <c r="I754" s="1333"/>
      <c r="J754" s="1333"/>
      <c r="K754" s="1333"/>
      <c r="L754" s="1333"/>
      <c r="M754" s="1333"/>
      <c r="N754" s="1333"/>
      <c r="O754" s="1333"/>
      <c r="P754" s="1333"/>
      <c r="Q754" s="1333"/>
      <c r="R754" s="1333"/>
      <c r="S754" s="1449"/>
      <c r="T754" s="1333"/>
      <c r="U754" s="1333"/>
      <c r="V754" s="1333"/>
      <c r="W754" s="1333"/>
      <c r="X754" s="1333"/>
      <c r="Y754" s="1333"/>
      <c r="Z754" s="1333"/>
      <c r="AA754" s="1333"/>
      <c r="AB754" s="1333"/>
      <c r="AC754" s="1333"/>
      <c r="AD754" s="1333"/>
      <c r="AE754" s="1333"/>
      <c r="AF754" s="1333"/>
      <c r="AG754" s="1333"/>
      <c r="AH754" s="1333"/>
      <c r="AI754" s="1333"/>
      <c r="AJ754" s="1333"/>
    </row>
    <row r="755" spans="1:36" x14ac:dyDescent="0.25">
      <c r="A755" s="1331"/>
      <c r="B755" s="1284"/>
      <c r="C755" s="1284"/>
      <c r="D755" s="1364"/>
      <c r="E755" s="1364"/>
      <c r="F755" s="1364"/>
      <c r="G755" s="1365"/>
      <c r="H755" s="1333"/>
      <c r="I755" s="1333"/>
      <c r="J755" s="1333"/>
      <c r="K755" s="1333"/>
      <c r="L755" s="1333"/>
      <c r="M755" s="1333"/>
      <c r="N755" s="1333"/>
      <c r="O755" s="1333"/>
      <c r="P755" s="1333"/>
      <c r="Q755" s="1333"/>
      <c r="R755" s="1333"/>
      <c r="S755" s="1449"/>
      <c r="T755" s="1333"/>
      <c r="U755" s="1333"/>
      <c r="V755" s="1333"/>
      <c r="W755" s="1333"/>
      <c r="X755" s="1333"/>
      <c r="Y755" s="1333"/>
      <c r="Z755" s="1333"/>
      <c r="AA755" s="1333"/>
      <c r="AB755" s="1333"/>
      <c r="AC755" s="1333"/>
      <c r="AD755" s="1333"/>
      <c r="AE755" s="1333"/>
      <c r="AF755" s="1333"/>
      <c r="AG755" s="1333"/>
      <c r="AH755" s="1333"/>
      <c r="AI755" s="1333"/>
      <c r="AJ755" s="1333"/>
    </row>
    <row r="756" spans="1:36" x14ac:dyDescent="0.25">
      <c r="A756" s="1331"/>
      <c r="B756" s="1284"/>
      <c r="C756" s="1284"/>
      <c r="D756" s="1364"/>
      <c r="E756" s="1364"/>
      <c r="F756" s="1364"/>
      <c r="G756" s="1365"/>
      <c r="H756" s="1333"/>
      <c r="I756" s="1333"/>
      <c r="J756" s="1333"/>
      <c r="K756" s="1333"/>
      <c r="L756" s="1333"/>
      <c r="M756" s="1333"/>
      <c r="N756" s="1333"/>
      <c r="O756" s="1333"/>
      <c r="P756" s="1333"/>
      <c r="Q756" s="1333"/>
      <c r="R756" s="1333"/>
      <c r="S756" s="1449"/>
      <c r="T756" s="1333"/>
      <c r="U756" s="1333"/>
      <c r="V756" s="1333"/>
      <c r="W756" s="1333"/>
      <c r="X756" s="1333"/>
      <c r="Y756" s="1333"/>
      <c r="Z756" s="1333"/>
      <c r="AA756" s="1333"/>
      <c r="AB756" s="1333"/>
      <c r="AC756" s="1333"/>
      <c r="AD756" s="1333"/>
      <c r="AE756" s="1333"/>
      <c r="AF756" s="1333"/>
      <c r="AG756" s="1333"/>
      <c r="AH756" s="1333"/>
      <c r="AI756" s="1333"/>
      <c r="AJ756" s="1333"/>
    </row>
    <row r="757" spans="1:36" x14ac:dyDescent="0.25">
      <c r="A757" s="1331"/>
      <c r="B757" s="1284"/>
      <c r="C757" s="1284"/>
      <c r="D757" s="1364"/>
      <c r="E757" s="1364"/>
      <c r="F757" s="1364"/>
      <c r="G757" s="1365"/>
      <c r="H757" s="1333"/>
      <c r="I757" s="1333"/>
      <c r="J757" s="1333"/>
      <c r="K757" s="1333"/>
      <c r="L757" s="1333"/>
      <c r="M757" s="1333"/>
      <c r="N757" s="1333"/>
      <c r="O757" s="1333"/>
      <c r="P757" s="1333"/>
      <c r="Q757" s="1333"/>
      <c r="R757" s="1333"/>
      <c r="S757" s="1449"/>
      <c r="T757" s="1333"/>
      <c r="U757" s="1333"/>
      <c r="V757" s="1333"/>
      <c r="W757" s="1333"/>
      <c r="X757" s="1333"/>
      <c r="Y757" s="1333"/>
      <c r="Z757" s="1333"/>
      <c r="AA757" s="1333"/>
      <c r="AB757" s="1333"/>
      <c r="AC757" s="1333"/>
      <c r="AD757" s="1333"/>
      <c r="AE757" s="1333"/>
      <c r="AF757" s="1333"/>
      <c r="AG757" s="1333"/>
      <c r="AH757" s="1333"/>
      <c r="AI757" s="1333"/>
      <c r="AJ757" s="1333"/>
    </row>
    <row r="758" spans="1:36" x14ac:dyDescent="0.25">
      <c r="A758" s="1331"/>
      <c r="B758" s="1284"/>
      <c r="C758" s="1284"/>
      <c r="D758" s="1364"/>
      <c r="E758" s="1364"/>
      <c r="F758" s="1364"/>
      <c r="G758" s="1365"/>
      <c r="H758" s="1333"/>
      <c r="I758" s="1333"/>
      <c r="J758" s="1333"/>
      <c r="K758" s="1333"/>
      <c r="L758" s="1333"/>
      <c r="M758" s="1333"/>
      <c r="N758" s="1333"/>
      <c r="O758" s="1333"/>
      <c r="P758" s="1333"/>
      <c r="Q758" s="1333"/>
      <c r="R758" s="1333"/>
      <c r="S758" s="1449"/>
      <c r="T758" s="1333"/>
      <c r="U758" s="1333"/>
      <c r="V758" s="1333"/>
      <c r="W758" s="1333"/>
      <c r="X758" s="1333"/>
      <c r="Y758" s="1333"/>
      <c r="Z758" s="1333"/>
      <c r="AA758" s="1333"/>
      <c r="AB758" s="1333"/>
      <c r="AC758" s="1333"/>
      <c r="AD758" s="1333"/>
      <c r="AE758" s="1333"/>
      <c r="AF758" s="1333"/>
      <c r="AG758" s="1333"/>
      <c r="AH758" s="1333"/>
      <c r="AI758" s="1333"/>
      <c r="AJ758" s="1333"/>
    </row>
    <row r="759" spans="1:36" x14ac:dyDescent="0.25">
      <c r="A759" s="1331"/>
      <c r="B759" s="1284"/>
      <c r="C759" s="1284"/>
      <c r="D759" s="1364"/>
      <c r="E759" s="1364"/>
      <c r="F759" s="1364"/>
      <c r="G759" s="1365"/>
      <c r="H759" s="1333"/>
      <c r="I759" s="1333"/>
      <c r="J759" s="1333"/>
      <c r="K759" s="1333"/>
      <c r="L759" s="1333"/>
      <c r="M759" s="1333"/>
      <c r="N759" s="1333"/>
      <c r="O759" s="1333"/>
      <c r="P759" s="1333"/>
      <c r="Q759" s="1333"/>
      <c r="R759" s="1333"/>
      <c r="S759" s="1449"/>
      <c r="T759" s="1333"/>
      <c r="U759" s="1333"/>
      <c r="V759" s="1333"/>
      <c r="W759" s="1333"/>
      <c r="X759" s="1333"/>
      <c r="Y759" s="1333"/>
      <c r="Z759" s="1333"/>
      <c r="AA759" s="1333"/>
      <c r="AB759" s="1333"/>
      <c r="AC759" s="1333"/>
      <c r="AD759" s="1333"/>
      <c r="AE759" s="1333"/>
      <c r="AF759" s="1333"/>
      <c r="AG759" s="1333"/>
      <c r="AH759" s="1333"/>
      <c r="AI759" s="1333"/>
      <c r="AJ759" s="1333"/>
    </row>
    <row r="760" spans="1:36" x14ac:dyDescent="0.25">
      <c r="A760" s="1331"/>
      <c r="B760" s="1284"/>
      <c r="C760" s="1284"/>
      <c r="D760" s="1364"/>
      <c r="E760" s="1364"/>
      <c r="F760" s="1364"/>
      <c r="G760" s="1365"/>
      <c r="H760" s="1333"/>
      <c r="I760" s="1333"/>
      <c r="J760" s="1333"/>
      <c r="K760" s="1333"/>
      <c r="L760" s="1333"/>
      <c r="M760" s="1333"/>
      <c r="N760" s="1333"/>
      <c r="O760" s="1333"/>
      <c r="P760" s="1333"/>
      <c r="Q760" s="1333"/>
      <c r="R760" s="1333"/>
      <c r="S760" s="1449"/>
      <c r="T760" s="1333"/>
      <c r="U760" s="1333"/>
      <c r="V760" s="1333"/>
      <c r="W760" s="1333"/>
      <c r="X760" s="1333"/>
      <c r="Y760" s="1333"/>
      <c r="Z760" s="1333"/>
      <c r="AA760" s="1333"/>
      <c r="AB760" s="1333"/>
      <c r="AC760" s="1333"/>
      <c r="AD760" s="1333"/>
      <c r="AE760" s="1333"/>
      <c r="AF760" s="1333"/>
      <c r="AG760" s="1333"/>
      <c r="AH760" s="1333"/>
      <c r="AI760" s="1333"/>
      <c r="AJ760" s="1333"/>
    </row>
    <row r="761" spans="1:36" x14ac:dyDescent="0.25">
      <c r="A761" s="1331"/>
      <c r="B761" s="1284"/>
      <c r="C761" s="1284"/>
      <c r="D761" s="1364"/>
      <c r="E761" s="1364"/>
      <c r="F761" s="1364"/>
      <c r="G761" s="1365"/>
      <c r="H761" s="1333"/>
      <c r="I761" s="1333"/>
      <c r="J761" s="1333"/>
      <c r="K761" s="1333"/>
      <c r="L761" s="1333"/>
      <c r="M761" s="1333"/>
      <c r="N761" s="1333"/>
      <c r="O761" s="1333"/>
      <c r="P761" s="1333"/>
      <c r="Q761" s="1333"/>
      <c r="R761" s="1333"/>
      <c r="S761" s="1449"/>
      <c r="T761" s="1333"/>
      <c r="U761" s="1333"/>
      <c r="V761" s="1333"/>
      <c r="W761" s="1333"/>
      <c r="X761" s="1333"/>
      <c r="Y761" s="1333"/>
      <c r="Z761" s="1333"/>
      <c r="AA761" s="1333"/>
      <c r="AB761" s="1333"/>
      <c r="AC761" s="1333"/>
      <c r="AD761" s="1333"/>
      <c r="AE761" s="1333"/>
      <c r="AF761" s="1333"/>
      <c r="AG761" s="1333"/>
      <c r="AH761" s="1333"/>
      <c r="AI761" s="1333"/>
      <c r="AJ761" s="1333"/>
    </row>
    <row r="762" spans="1:36" x14ac:dyDescent="0.25">
      <c r="A762" s="1331"/>
      <c r="B762" s="1284"/>
      <c r="C762" s="1284"/>
      <c r="D762" s="1364"/>
      <c r="E762" s="1364"/>
      <c r="F762" s="1364"/>
      <c r="G762" s="1365"/>
      <c r="H762" s="1333"/>
      <c r="I762" s="1333"/>
      <c r="J762" s="1333"/>
      <c r="K762" s="1333"/>
      <c r="L762" s="1333"/>
      <c r="M762" s="1333"/>
      <c r="N762" s="1333"/>
      <c r="O762" s="1333"/>
      <c r="P762" s="1333"/>
      <c r="Q762" s="1333"/>
      <c r="R762" s="1333"/>
      <c r="S762" s="1449"/>
      <c r="T762" s="1333"/>
      <c r="U762" s="1333"/>
      <c r="V762" s="1333"/>
      <c r="W762" s="1333"/>
      <c r="X762" s="1333"/>
      <c r="Y762" s="1333"/>
      <c r="Z762" s="1333"/>
      <c r="AA762" s="1333"/>
      <c r="AB762" s="1333"/>
      <c r="AC762" s="1333"/>
      <c r="AD762" s="1333"/>
      <c r="AE762" s="1333"/>
      <c r="AF762" s="1333"/>
      <c r="AG762" s="1333"/>
      <c r="AH762" s="1333"/>
      <c r="AI762" s="1333"/>
      <c r="AJ762" s="1333"/>
    </row>
    <row r="763" spans="1:36" x14ac:dyDescent="0.25">
      <c r="A763" s="1331"/>
      <c r="B763" s="1284"/>
      <c r="C763" s="1284"/>
      <c r="D763" s="1364"/>
      <c r="E763" s="1364"/>
      <c r="F763" s="1364"/>
      <c r="G763" s="1365"/>
      <c r="H763" s="1333"/>
      <c r="I763" s="1333"/>
      <c r="J763" s="1333"/>
      <c r="K763" s="1333"/>
      <c r="L763" s="1333"/>
      <c r="M763" s="1333"/>
      <c r="N763" s="1333"/>
      <c r="O763" s="1333"/>
      <c r="P763" s="1333"/>
      <c r="Q763" s="1333"/>
      <c r="R763" s="1333"/>
      <c r="S763" s="1449"/>
      <c r="T763" s="1333"/>
      <c r="U763" s="1333"/>
      <c r="V763" s="1333"/>
      <c r="W763" s="1333"/>
      <c r="X763" s="1333"/>
      <c r="Y763" s="1333"/>
      <c r="Z763" s="1333"/>
      <c r="AA763" s="1333"/>
      <c r="AB763" s="1333"/>
      <c r="AC763" s="1333"/>
      <c r="AD763" s="1333"/>
      <c r="AE763" s="1333"/>
      <c r="AF763" s="1333"/>
      <c r="AG763" s="1333"/>
      <c r="AH763" s="1333"/>
      <c r="AI763" s="1333"/>
      <c r="AJ763" s="1333"/>
    </row>
    <row r="764" spans="1:36" x14ac:dyDescent="0.25">
      <c r="A764" s="1331"/>
      <c r="B764" s="1284"/>
      <c r="C764" s="1284"/>
      <c r="D764" s="1364"/>
      <c r="E764" s="1364"/>
      <c r="F764" s="1364"/>
      <c r="G764" s="1365"/>
      <c r="H764" s="1333"/>
      <c r="I764" s="1333"/>
      <c r="J764" s="1333"/>
      <c r="K764" s="1333"/>
      <c r="L764" s="1333"/>
      <c r="M764" s="1333"/>
      <c r="N764" s="1333"/>
      <c r="O764" s="1333"/>
      <c r="P764" s="1333"/>
      <c r="Q764" s="1333"/>
      <c r="R764" s="1333"/>
      <c r="S764" s="1449"/>
      <c r="T764" s="1333"/>
      <c r="U764" s="1333"/>
      <c r="V764" s="1333"/>
      <c r="W764" s="1333"/>
      <c r="X764" s="1333"/>
      <c r="Y764" s="1333"/>
      <c r="Z764" s="1333"/>
      <c r="AA764" s="1333"/>
      <c r="AB764" s="1333"/>
      <c r="AC764" s="1333"/>
      <c r="AD764" s="1333"/>
      <c r="AE764" s="1333"/>
      <c r="AF764" s="1333"/>
      <c r="AG764" s="1333"/>
      <c r="AH764" s="1333"/>
      <c r="AI764" s="1333"/>
      <c r="AJ764" s="1333"/>
    </row>
    <row r="765" spans="1:36" x14ac:dyDescent="0.25">
      <c r="A765" s="1331"/>
      <c r="B765" s="1284"/>
      <c r="C765" s="1284"/>
      <c r="D765" s="1364"/>
      <c r="E765" s="1364"/>
      <c r="F765" s="1364"/>
      <c r="G765" s="1365"/>
      <c r="H765" s="1333"/>
      <c r="I765" s="1333"/>
      <c r="J765" s="1333"/>
      <c r="K765" s="1333"/>
      <c r="L765" s="1333"/>
      <c r="M765" s="1333"/>
      <c r="N765" s="1333"/>
      <c r="O765" s="1333"/>
      <c r="P765" s="1333"/>
      <c r="Q765" s="1333"/>
      <c r="R765" s="1333"/>
      <c r="S765" s="1449"/>
      <c r="T765" s="1333"/>
      <c r="U765" s="1333"/>
      <c r="V765" s="1333"/>
      <c r="W765" s="1333"/>
      <c r="X765" s="1333"/>
      <c r="Y765" s="1333"/>
      <c r="Z765" s="1333"/>
      <c r="AA765" s="1333"/>
      <c r="AB765" s="1333"/>
      <c r="AC765" s="1333"/>
      <c r="AD765" s="1333"/>
      <c r="AE765" s="1333"/>
      <c r="AF765" s="1333"/>
      <c r="AG765" s="1333"/>
      <c r="AH765" s="1333"/>
      <c r="AI765" s="1333"/>
      <c r="AJ765" s="1333"/>
    </row>
    <row r="766" spans="1:36" x14ac:dyDescent="0.25">
      <c r="A766" s="1331"/>
      <c r="B766" s="1284"/>
      <c r="C766" s="1284"/>
      <c r="D766" s="1364"/>
      <c r="E766" s="1364"/>
      <c r="F766" s="1364"/>
      <c r="G766" s="1365"/>
      <c r="H766" s="1333"/>
      <c r="I766" s="1333"/>
      <c r="J766" s="1333"/>
      <c r="K766" s="1333"/>
      <c r="L766" s="1333"/>
      <c r="M766" s="1333"/>
      <c r="N766" s="1333"/>
      <c r="O766" s="1333"/>
      <c r="P766" s="1333"/>
      <c r="Q766" s="1333"/>
      <c r="R766" s="1333"/>
      <c r="S766" s="1449"/>
      <c r="T766" s="1333"/>
      <c r="U766" s="1333"/>
      <c r="V766" s="1333"/>
      <c r="W766" s="1333"/>
      <c r="X766" s="1333"/>
      <c r="Y766" s="1333"/>
      <c r="Z766" s="1333"/>
      <c r="AA766" s="1333"/>
      <c r="AB766" s="1333"/>
      <c r="AC766" s="1333"/>
      <c r="AD766" s="1333"/>
      <c r="AE766" s="1333"/>
      <c r="AF766" s="1333"/>
      <c r="AG766" s="1333"/>
      <c r="AH766" s="1333"/>
      <c r="AI766" s="1333"/>
      <c r="AJ766" s="1333"/>
    </row>
    <row r="767" spans="1:36" x14ac:dyDescent="0.25">
      <c r="A767" s="1331"/>
      <c r="B767" s="1284"/>
      <c r="C767" s="1284"/>
      <c r="D767" s="1364"/>
      <c r="E767" s="1364"/>
      <c r="F767" s="1364"/>
      <c r="G767" s="1365"/>
      <c r="H767" s="1333"/>
      <c r="I767" s="1333"/>
      <c r="J767" s="1333"/>
      <c r="K767" s="1333"/>
      <c r="L767" s="1333"/>
      <c r="M767" s="1333"/>
      <c r="N767" s="1333"/>
      <c r="O767" s="1333"/>
      <c r="P767" s="1333"/>
      <c r="Q767" s="1333"/>
      <c r="R767" s="1333"/>
      <c r="S767" s="1449"/>
      <c r="T767" s="1333"/>
      <c r="U767" s="1333"/>
      <c r="V767" s="1333"/>
      <c r="W767" s="1333"/>
      <c r="X767" s="1333"/>
      <c r="Y767" s="1333"/>
      <c r="Z767" s="1333"/>
      <c r="AA767" s="1333"/>
      <c r="AB767" s="1333"/>
      <c r="AC767" s="1333"/>
      <c r="AD767" s="1333"/>
      <c r="AE767" s="1333"/>
      <c r="AF767" s="1333"/>
      <c r="AG767" s="1333"/>
      <c r="AH767" s="1333"/>
      <c r="AI767" s="1333"/>
      <c r="AJ767" s="1333"/>
    </row>
    <row r="768" spans="1:36" x14ac:dyDescent="0.25">
      <c r="A768" s="1331"/>
      <c r="B768" s="1284"/>
      <c r="C768" s="1284"/>
      <c r="D768" s="1364"/>
      <c r="E768" s="1364"/>
      <c r="F768" s="1364"/>
      <c r="G768" s="1365"/>
      <c r="H768" s="1333"/>
      <c r="I768" s="1333"/>
      <c r="J768" s="1333"/>
      <c r="K768" s="1333"/>
      <c r="L768" s="1333"/>
      <c r="M768" s="1333"/>
      <c r="N768" s="1333"/>
      <c r="O768" s="1333"/>
      <c r="P768" s="1333"/>
      <c r="Q768" s="1333"/>
      <c r="R768" s="1333"/>
      <c r="S768" s="1449"/>
      <c r="T768" s="1333"/>
      <c r="U768" s="1333"/>
      <c r="V768" s="1333"/>
      <c r="W768" s="1333"/>
      <c r="X768" s="1333"/>
      <c r="Y768" s="1333"/>
      <c r="Z768" s="1333"/>
      <c r="AA768" s="1333"/>
      <c r="AB768" s="1333"/>
      <c r="AC768" s="1333"/>
      <c r="AD768" s="1333"/>
      <c r="AE768" s="1333"/>
      <c r="AF768" s="1333"/>
      <c r="AG768" s="1333"/>
      <c r="AH768" s="1333"/>
      <c r="AI768" s="1333"/>
      <c r="AJ768" s="1333"/>
    </row>
    <row r="769" spans="1:36" x14ac:dyDescent="0.25">
      <c r="A769" s="1331"/>
      <c r="B769" s="1284"/>
      <c r="C769" s="1284"/>
      <c r="D769" s="1364"/>
      <c r="E769" s="1364"/>
      <c r="F769" s="1364"/>
      <c r="G769" s="1365"/>
      <c r="H769" s="1333"/>
      <c r="I769" s="1333"/>
      <c r="J769" s="1333"/>
      <c r="K769" s="1333"/>
      <c r="L769" s="1333"/>
      <c r="M769" s="1333"/>
      <c r="N769" s="1333"/>
      <c r="O769" s="1333"/>
      <c r="P769" s="1333"/>
      <c r="Q769" s="1333"/>
      <c r="R769" s="1333"/>
      <c r="S769" s="1449"/>
      <c r="T769" s="1333"/>
      <c r="U769" s="1333"/>
      <c r="V769" s="1333"/>
      <c r="W769" s="1333"/>
      <c r="X769" s="1333"/>
      <c r="Y769" s="1333"/>
      <c r="Z769" s="1333"/>
      <c r="AA769" s="1333"/>
      <c r="AB769" s="1333"/>
      <c r="AC769" s="1333"/>
      <c r="AD769" s="1333"/>
      <c r="AE769" s="1333"/>
      <c r="AF769" s="1333"/>
      <c r="AG769" s="1333"/>
      <c r="AH769" s="1333"/>
      <c r="AI769" s="1333"/>
      <c r="AJ769" s="1333"/>
    </row>
    <row r="770" spans="1:36" x14ac:dyDescent="0.25">
      <c r="A770" s="1331"/>
      <c r="B770" s="1284"/>
      <c r="C770" s="1284"/>
      <c r="D770" s="1364"/>
      <c r="E770" s="1364"/>
      <c r="F770" s="1364"/>
      <c r="G770" s="1365"/>
      <c r="H770" s="1333"/>
      <c r="I770" s="1333"/>
      <c r="J770" s="1333"/>
      <c r="K770" s="1333"/>
      <c r="L770" s="1333"/>
      <c r="M770" s="1333"/>
      <c r="N770" s="1333"/>
      <c r="O770" s="1333"/>
      <c r="P770" s="1333"/>
      <c r="Q770" s="1333"/>
      <c r="R770" s="1333"/>
      <c r="S770" s="1449"/>
      <c r="T770" s="1333"/>
      <c r="U770" s="1333"/>
      <c r="V770" s="1333"/>
      <c r="W770" s="1333"/>
      <c r="X770" s="1333"/>
      <c r="Y770" s="1333"/>
      <c r="Z770" s="1333"/>
      <c r="AA770" s="1333"/>
      <c r="AB770" s="1333"/>
      <c r="AC770" s="1333"/>
      <c r="AD770" s="1333"/>
      <c r="AE770" s="1333"/>
      <c r="AF770" s="1333"/>
      <c r="AG770" s="1333"/>
      <c r="AH770" s="1333"/>
      <c r="AI770" s="1333"/>
      <c r="AJ770" s="1333"/>
    </row>
    <row r="771" spans="1:36" x14ac:dyDescent="0.25">
      <c r="A771" s="1331"/>
      <c r="B771" s="1284"/>
      <c r="C771" s="1284"/>
      <c r="D771" s="1364"/>
      <c r="E771" s="1364"/>
      <c r="F771" s="1364"/>
      <c r="G771" s="1365"/>
      <c r="H771" s="1333"/>
      <c r="I771" s="1333"/>
      <c r="J771" s="1333"/>
      <c r="K771" s="1333"/>
      <c r="L771" s="1333"/>
      <c r="M771" s="1333"/>
      <c r="N771" s="1333"/>
      <c r="O771" s="1333"/>
      <c r="P771" s="1333"/>
      <c r="Q771" s="1333"/>
      <c r="R771" s="1333"/>
      <c r="S771" s="1449"/>
      <c r="T771" s="1333"/>
      <c r="U771" s="1333"/>
      <c r="V771" s="1333"/>
      <c r="W771" s="1333"/>
      <c r="X771" s="1333"/>
      <c r="Y771" s="1333"/>
      <c r="Z771" s="1333"/>
      <c r="AA771" s="1333"/>
      <c r="AB771" s="1333"/>
      <c r="AC771" s="1333"/>
      <c r="AD771" s="1333"/>
      <c r="AE771" s="1333"/>
      <c r="AF771" s="1333"/>
      <c r="AG771" s="1333"/>
      <c r="AH771" s="1333"/>
      <c r="AI771" s="1333"/>
      <c r="AJ771" s="1333"/>
    </row>
    <row r="772" spans="1:36" x14ac:dyDescent="0.25">
      <c r="A772" s="1331"/>
      <c r="B772" s="1284"/>
      <c r="C772" s="1284"/>
      <c r="D772" s="1364"/>
      <c r="E772" s="1364"/>
      <c r="F772" s="1364"/>
      <c r="G772" s="1365"/>
      <c r="H772" s="1333"/>
      <c r="I772" s="1333"/>
      <c r="J772" s="1333"/>
      <c r="K772" s="1333"/>
      <c r="L772" s="1333"/>
      <c r="M772" s="1333"/>
      <c r="N772" s="1333"/>
      <c r="O772" s="1333"/>
      <c r="P772" s="1333"/>
      <c r="Q772" s="1333"/>
      <c r="R772" s="1333"/>
      <c r="S772" s="1449"/>
      <c r="T772" s="1333"/>
      <c r="U772" s="1333"/>
      <c r="V772" s="1333"/>
      <c r="W772" s="1333"/>
      <c r="X772" s="1333"/>
      <c r="Y772" s="1333"/>
      <c r="Z772" s="1333"/>
      <c r="AA772" s="1333"/>
      <c r="AB772" s="1333"/>
      <c r="AC772" s="1333"/>
      <c r="AD772" s="1333"/>
      <c r="AE772" s="1333"/>
      <c r="AF772" s="1333"/>
      <c r="AG772" s="1333"/>
      <c r="AH772" s="1333"/>
      <c r="AI772" s="1333"/>
      <c r="AJ772" s="1333"/>
    </row>
    <row r="773" spans="1:36" x14ac:dyDescent="0.25">
      <c r="A773" s="1331"/>
      <c r="B773" s="1284"/>
      <c r="C773" s="1284"/>
      <c r="D773" s="1364"/>
      <c r="E773" s="1364"/>
      <c r="F773" s="1364"/>
      <c r="G773" s="1365"/>
      <c r="H773" s="1333"/>
      <c r="I773" s="1333"/>
      <c r="J773" s="1333"/>
      <c r="K773" s="1333"/>
      <c r="L773" s="1333"/>
      <c r="M773" s="1333"/>
      <c r="N773" s="1333"/>
      <c r="O773" s="1333"/>
      <c r="P773" s="1333"/>
      <c r="Q773" s="1333"/>
      <c r="R773" s="1333"/>
      <c r="S773" s="1449"/>
      <c r="T773" s="1333"/>
      <c r="U773" s="1333"/>
      <c r="V773" s="1333"/>
      <c r="W773" s="1333"/>
      <c r="X773" s="1333"/>
      <c r="Y773" s="1333"/>
      <c r="Z773" s="1333"/>
      <c r="AA773" s="1333"/>
      <c r="AB773" s="1333"/>
      <c r="AC773" s="1333"/>
      <c r="AD773" s="1333"/>
      <c r="AE773" s="1333"/>
      <c r="AF773" s="1333"/>
      <c r="AG773" s="1333"/>
      <c r="AH773" s="1333"/>
      <c r="AI773" s="1333"/>
      <c r="AJ773" s="1333"/>
    </row>
    <row r="774" spans="1:36" x14ac:dyDescent="0.25">
      <c r="A774" s="1331"/>
      <c r="B774" s="1284"/>
      <c r="C774" s="1284"/>
      <c r="D774" s="1364"/>
      <c r="E774" s="1364"/>
      <c r="F774" s="1364"/>
      <c r="G774" s="1365"/>
      <c r="H774" s="1333"/>
      <c r="I774" s="1333"/>
      <c r="J774" s="1333"/>
      <c r="K774" s="1333"/>
      <c r="L774" s="1333"/>
      <c r="M774" s="1333"/>
      <c r="N774" s="1333"/>
      <c r="O774" s="1333"/>
      <c r="P774" s="1333"/>
      <c r="Q774" s="1333"/>
      <c r="R774" s="1333"/>
      <c r="S774" s="1449"/>
      <c r="T774" s="1333"/>
      <c r="U774" s="1333"/>
      <c r="V774" s="1333"/>
      <c r="W774" s="1333"/>
      <c r="X774" s="1333"/>
      <c r="Y774" s="1333"/>
      <c r="Z774" s="1333"/>
      <c r="AA774" s="1333"/>
      <c r="AB774" s="1333"/>
      <c r="AC774" s="1333"/>
      <c r="AD774" s="1333"/>
      <c r="AE774" s="1333"/>
      <c r="AF774" s="1333"/>
      <c r="AG774" s="1333"/>
      <c r="AH774" s="1333"/>
      <c r="AI774" s="1333"/>
      <c r="AJ774" s="1333"/>
    </row>
    <row r="775" spans="1:36" x14ac:dyDescent="0.25">
      <c r="A775" s="1331"/>
      <c r="B775" s="1284"/>
      <c r="C775" s="1284"/>
      <c r="D775" s="1364"/>
      <c r="E775" s="1364"/>
      <c r="F775" s="1364"/>
      <c r="G775" s="1365"/>
      <c r="H775" s="1333"/>
      <c r="I775" s="1333"/>
      <c r="J775" s="1333"/>
      <c r="K775" s="1333"/>
      <c r="L775" s="1333"/>
      <c r="M775" s="1333"/>
      <c r="N775" s="1333"/>
      <c r="O775" s="1333"/>
      <c r="P775" s="1333"/>
      <c r="Q775" s="1333"/>
      <c r="R775" s="1333"/>
      <c r="S775" s="1449"/>
      <c r="T775" s="1333"/>
      <c r="U775" s="1333"/>
      <c r="V775" s="1333"/>
      <c r="W775" s="1333"/>
      <c r="X775" s="1333"/>
      <c r="Y775" s="1333"/>
      <c r="Z775" s="1333"/>
      <c r="AA775" s="1333"/>
      <c r="AB775" s="1333"/>
      <c r="AC775" s="1333"/>
      <c r="AD775" s="1333"/>
      <c r="AE775" s="1333"/>
      <c r="AF775" s="1333"/>
      <c r="AG775" s="1333"/>
      <c r="AH775" s="1333"/>
      <c r="AI775" s="1333"/>
      <c r="AJ775" s="1333"/>
    </row>
    <row r="776" spans="1:36" x14ac:dyDescent="0.25">
      <c r="A776" s="1331"/>
      <c r="B776" s="1284"/>
      <c r="C776" s="1284"/>
      <c r="D776" s="1364"/>
      <c r="E776" s="1364"/>
      <c r="F776" s="1364"/>
      <c r="G776" s="1365"/>
      <c r="H776" s="1333"/>
      <c r="I776" s="1333"/>
      <c r="J776" s="1333"/>
      <c r="K776" s="1333"/>
      <c r="L776" s="1333"/>
      <c r="M776" s="1333"/>
      <c r="N776" s="1333"/>
      <c r="O776" s="1333"/>
      <c r="P776" s="1333"/>
      <c r="Q776" s="1333"/>
      <c r="R776" s="1333"/>
      <c r="S776" s="1449"/>
      <c r="T776" s="1333"/>
      <c r="U776" s="1333"/>
      <c r="V776" s="1333"/>
      <c r="W776" s="1333"/>
      <c r="X776" s="1333"/>
      <c r="Y776" s="1333"/>
      <c r="Z776" s="1333"/>
      <c r="AA776" s="1333"/>
      <c r="AB776" s="1333"/>
      <c r="AC776" s="1333"/>
      <c r="AD776" s="1333"/>
      <c r="AE776" s="1333"/>
      <c r="AF776" s="1333"/>
      <c r="AG776" s="1333"/>
      <c r="AH776" s="1333"/>
      <c r="AI776" s="1333"/>
      <c r="AJ776" s="1333"/>
    </row>
    <row r="777" spans="1:36" x14ac:dyDescent="0.25">
      <c r="A777" s="1331"/>
      <c r="B777" s="1284"/>
      <c r="C777" s="1284"/>
      <c r="D777" s="1364"/>
      <c r="E777" s="1364"/>
      <c r="F777" s="1364"/>
      <c r="G777" s="1365"/>
      <c r="H777" s="1333"/>
      <c r="I777" s="1333"/>
      <c r="J777" s="1333"/>
      <c r="K777" s="1333"/>
      <c r="L777" s="1333"/>
      <c r="M777" s="1333"/>
      <c r="N777" s="1333"/>
      <c r="O777" s="1333"/>
      <c r="P777" s="1333"/>
      <c r="Q777" s="1333"/>
      <c r="R777" s="1333"/>
      <c r="S777" s="1449"/>
      <c r="T777" s="1333"/>
      <c r="U777" s="1333"/>
      <c r="V777" s="1333"/>
      <c r="W777" s="1333"/>
      <c r="X777" s="1333"/>
      <c r="Y777" s="1333"/>
      <c r="Z777" s="1333"/>
      <c r="AA777" s="1333"/>
      <c r="AB777" s="1333"/>
      <c r="AC777" s="1333"/>
      <c r="AD777" s="1333"/>
      <c r="AE777" s="1333"/>
      <c r="AF777" s="1333"/>
      <c r="AG777" s="1333"/>
      <c r="AH777" s="1333"/>
      <c r="AI777" s="1333"/>
      <c r="AJ777" s="1333"/>
    </row>
    <row r="778" spans="1:36" x14ac:dyDescent="0.25">
      <c r="A778" s="1331"/>
      <c r="B778" s="1284"/>
      <c r="C778" s="1284"/>
      <c r="D778" s="1364"/>
      <c r="E778" s="1364"/>
      <c r="F778" s="1364"/>
      <c r="G778" s="1365"/>
      <c r="H778" s="1333"/>
      <c r="I778" s="1333"/>
      <c r="J778" s="1333"/>
      <c r="K778" s="1333"/>
      <c r="L778" s="1333"/>
      <c r="M778" s="1333"/>
      <c r="N778" s="1333"/>
      <c r="O778" s="1333"/>
      <c r="P778" s="1333"/>
      <c r="Q778" s="1333"/>
      <c r="R778" s="1333"/>
      <c r="S778" s="1449"/>
      <c r="T778" s="1333"/>
      <c r="U778" s="1333"/>
      <c r="V778" s="1333"/>
      <c r="W778" s="1333"/>
      <c r="X778" s="1333"/>
      <c r="Y778" s="1333"/>
      <c r="Z778" s="1333"/>
      <c r="AA778" s="1333"/>
      <c r="AB778" s="1333"/>
      <c r="AC778" s="1333"/>
      <c r="AD778" s="1333"/>
      <c r="AE778" s="1333"/>
      <c r="AF778" s="1333"/>
      <c r="AG778" s="1333"/>
      <c r="AH778" s="1333"/>
      <c r="AI778" s="1333"/>
      <c r="AJ778" s="1333"/>
    </row>
    <row r="779" spans="1:36" x14ac:dyDescent="0.25">
      <c r="A779" s="1331"/>
      <c r="B779" s="1284"/>
      <c r="C779" s="1284"/>
      <c r="D779" s="1364"/>
      <c r="E779" s="1364"/>
      <c r="F779" s="1364"/>
      <c r="G779" s="1365"/>
      <c r="H779" s="1333"/>
      <c r="I779" s="1333"/>
      <c r="J779" s="1333"/>
      <c r="K779" s="1333"/>
      <c r="L779" s="1333"/>
      <c r="M779" s="1333"/>
      <c r="N779" s="1333"/>
      <c r="O779" s="1333"/>
      <c r="P779" s="1333"/>
      <c r="Q779" s="1333"/>
      <c r="R779" s="1333"/>
      <c r="S779" s="1449"/>
      <c r="T779" s="1333"/>
      <c r="U779" s="1333"/>
      <c r="V779" s="1333"/>
      <c r="W779" s="1333"/>
      <c r="X779" s="1333"/>
      <c r="Y779" s="1333"/>
      <c r="Z779" s="1333"/>
      <c r="AA779" s="1333"/>
      <c r="AB779" s="1333"/>
      <c r="AC779" s="1333"/>
      <c r="AD779" s="1333"/>
      <c r="AE779" s="1333"/>
      <c r="AF779" s="1333"/>
      <c r="AG779" s="1333"/>
      <c r="AH779" s="1333"/>
      <c r="AI779" s="1333"/>
      <c r="AJ779" s="1333"/>
    </row>
    <row r="780" spans="1:36" x14ac:dyDescent="0.25">
      <c r="A780" s="1331"/>
      <c r="B780" s="1284"/>
      <c r="C780" s="1284"/>
      <c r="D780" s="1364"/>
      <c r="E780" s="1364"/>
      <c r="F780" s="1364"/>
      <c r="G780" s="1365"/>
      <c r="H780" s="1333"/>
      <c r="I780" s="1333"/>
      <c r="J780" s="1333"/>
      <c r="K780" s="1333"/>
      <c r="L780" s="1333"/>
      <c r="M780" s="1333"/>
      <c r="N780" s="1333"/>
      <c r="O780" s="1333"/>
      <c r="P780" s="1333"/>
      <c r="Q780" s="1333"/>
      <c r="R780" s="1333"/>
      <c r="S780" s="1449"/>
      <c r="T780" s="1333"/>
      <c r="U780" s="1333"/>
      <c r="V780" s="1333"/>
      <c r="W780" s="1333"/>
      <c r="X780" s="1333"/>
      <c r="Y780" s="1333"/>
      <c r="Z780" s="1333"/>
      <c r="AA780" s="1333"/>
      <c r="AB780" s="1333"/>
      <c r="AC780" s="1333"/>
      <c r="AD780" s="1333"/>
      <c r="AE780" s="1333"/>
      <c r="AF780" s="1333"/>
      <c r="AG780" s="1333"/>
      <c r="AH780" s="1333"/>
      <c r="AI780" s="1333"/>
      <c r="AJ780" s="1333"/>
    </row>
    <row r="781" spans="1:36" x14ac:dyDescent="0.25">
      <c r="A781" s="1331"/>
      <c r="B781" s="1284"/>
      <c r="C781" s="1284"/>
      <c r="D781" s="1364"/>
      <c r="E781" s="1364"/>
      <c r="F781" s="1364"/>
      <c r="G781" s="1365"/>
      <c r="H781" s="1333"/>
      <c r="I781" s="1333"/>
      <c r="J781" s="1333"/>
      <c r="K781" s="1333"/>
      <c r="L781" s="1333"/>
      <c r="M781" s="1333"/>
      <c r="N781" s="1333"/>
      <c r="O781" s="1333"/>
      <c r="P781" s="1333"/>
      <c r="Q781" s="1333"/>
      <c r="R781" s="1333"/>
      <c r="S781" s="1449"/>
      <c r="T781" s="1333"/>
      <c r="U781" s="1333"/>
      <c r="V781" s="1333"/>
      <c r="W781" s="1333"/>
      <c r="X781" s="1333"/>
      <c r="Y781" s="1333"/>
      <c r="Z781" s="1333"/>
      <c r="AA781" s="1333"/>
      <c r="AB781" s="1333"/>
      <c r="AC781" s="1333"/>
      <c r="AD781" s="1333"/>
      <c r="AE781" s="1333"/>
      <c r="AF781" s="1333"/>
      <c r="AG781" s="1333"/>
      <c r="AH781" s="1333"/>
      <c r="AI781" s="1333"/>
      <c r="AJ781" s="1333"/>
    </row>
    <row r="782" spans="1:36" x14ac:dyDescent="0.25">
      <c r="A782" s="1331"/>
      <c r="B782" s="1284"/>
      <c r="C782" s="1284"/>
      <c r="D782" s="1364"/>
      <c r="E782" s="1364"/>
      <c r="F782" s="1364"/>
      <c r="G782" s="1365"/>
      <c r="H782" s="1333"/>
      <c r="I782" s="1333"/>
      <c r="J782" s="1333"/>
      <c r="K782" s="1333"/>
      <c r="L782" s="1333"/>
      <c r="M782" s="1333"/>
      <c r="N782" s="1333"/>
      <c r="O782" s="1333"/>
      <c r="P782" s="1333"/>
      <c r="Q782" s="1333"/>
      <c r="R782" s="1333"/>
      <c r="S782" s="1449"/>
      <c r="T782" s="1333"/>
      <c r="U782" s="1333"/>
      <c r="V782" s="1333"/>
      <c r="W782" s="1333"/>
      <c r="X782" s="1333"/>
      <c r="Y782" s="1333"/>
      <c r="Z782" s="1333"/>
      <c r="AA782" s="1333"/>
      <c r="AB782" s="1333"/>
      <c r="AC782" s="1333"/>
      <c r="AD782" s="1333"/>
      <c r="AE782" s="1333"/>
      <c r="AF782" s="1333"/>
      <c r="AG782" s="1333"/>
      <c r="AH782" s="1333"/>
      <c r="AI782" s="1333"/>
      <c r="AJ782" s="1333"/>
    </row>
    <row r="783" spans="1:36" x14ac:dyDescent="0.25">
      <c r="A783" s="1331"/>
      <c r="B783" s="1284"/>
      <c r="C783" s="1284"/>
      <c r="D783" s="1364"/>
      <c r="E783" s="1364"/>
      <c r="F783" s="1364"/>
      <c r="G783" s="1365"/>
      <c r="H783" s="1333"/>
      <c r="I783" s="1333"/>
      <c r="J783" s="1333"/>
      <c r="K783" s="1333"/>
      <c r="L783" s="1333"/>
      <c r="M783" s="1333"/>
      <c r="N783" s="1333"/>
      <c r="O783" s="1333"/>
      <c r="P783" s="1333"/>
      <c r="Q783" s="1333"/>
      <c r="R783" s="1333"/>
      <c r="S783" s="1449"/>
      <c r="T783" s="1333"/>
      <c r="U783" s="1333"/>
      <c r="V783" s="1333"/>
      <c r="W783" s="1333"/>
      <c r="X783" s="1333"/>
      <c r="Y783" s="1333"/>
      <c r="Z783" s="1333"/>
      <c r="AA783" s="1333"/>
      <c r="AB783" s="1333"/>
      <c r="AC783" s="1333"/>
      <c r="AD783" s="1333"/>
      <c r="AE783" s="1333"/>
      <c r="AF783" s="1333"/>
      <c r="AG783" s="1333"/>
      <c r="AH783" s="1333"/>
      <c r="AI783" s="1333"/>
      <c r="AJ783" s="1333"/>
    </row>
    <row r="784" spans="1:36" x14ac:dyDescent="0.25">
      <c r="A784" s="1331"/>
      <c r="B784" s="1284"/>
      <c r="C784" s="1284"/>
      <c r="D784" s="1364"/>
      <c r="E784" s="1364"/>
      <c r="F784" s="1364"/>
      <c r="G784" s="1365"/>
      <c r="H784" s="1333"/>
      <c r="I784" s="1333"/>
      <c r="J784" s="1333"/>
      <c r="K784" s="1333"/>
      <c r="L784" s="1333"/>
      <c r="M784" s="1333"/>
      <c r="N784" s="1333"/>
      <c r="O784" s="1333"/>
      <c r="P784" s="1333"/>
      <c r="Q784" s="1333"/>
      <c r="R784" s="1333"/>
      <c r="S784" s="1449"/>
      <c r="T784" s="1333"/>
      <c r="U784" s="1333"/>
      <c r="V784" s="1333"/>
      <c r="W784" s="1333"/>
      <c r="X784" s="1333"/>
      <c r="Y784" s="1333"/>
      <c r="Z784" s="1333"/>
      <c r="AA784" s="1333"/>
      <c r="AB784" s="1333"/>
      <c r="AC784" s="1333"/>
      <c r="AD784" s="1333"/>
      <c r="AE784" s="1333"/>
      <c r="AF784" s="1333"/>
      <c r="AG784" s="1333"/>
      <c r="AH784" s="1333"/>
      <c r="AI784" s="1333"/>
      <c r="AJ784" s="1333"/>
    </row>
    <row r="785" spans="1:36" x14ac:dyDescent="0.25">
      <c r="A785" s="1331"/>
      <c r="B785" s="1284"/>
      <c r="C785" s="1284"/>
      <c r="D785" s="1364"/>
      <c r="E785" s="1364"/>
      <c r="F785" s="1364"/>
      <c r="G785" s="1365"/>
      <c r="H785" s="1333"/>
      <c r="I785" s="1333"/>
      <c r="J785" s="1333"/>
      <c r="K785" s="1333"/>
      <c r="L785" s="1333"/>
      <c r="M785" s="1333"/>
      <c r="N785" s="1333"/>
      <c r="O785" s="1333"/>
      <c r="P785" s="1333"/>
      <c r="Q785" s="1333"/>
      <c r="R785" s="1333"/>
      <c r="S785" s="1449"/>
      <c r="T785" s="1333"/>
      <c r="U785" s="1333"/>
      <c r="V785" s="1333"/>
      <c r="W785" s="1333"/>
      <c r="X785" s="1333"/>
      <c r="Y785" s="1333"/>
      <c r="Z785" s="1333"/>
      <c r="AA785" s="1333"/>
      <c r="AB785" s="1333"/>
      <c r="AC785" s="1333"/>
      <c r="AD785" s="1333"/>
      <c r="AE785" s="1333"/>
      <c r="AF785" s="1333"/>
      <c r="AG785" s="1333"/>
      <c r="AH785" s="1333"/>
      <c r="AI785" s="1333"/>
      <c r="AJ785" s="1333"/>
    </row>
    <row r="786" spans="1:36" x14ac:dyDescent="0.25">
      <c r="A786" s="1331"/>
      <c r="B786" s="1284"/>
      <c r="C786" s="1284"/>
      <c r="D786" s="1364"/>
      <c r="E786" s="1364"/>
      <c r="F786" s="1364"/>
      <c r="G786" s="1365"/>
      <c r="H786" s="1333"/>
      <c r="I786" s="1333"/>
      <c r="J786" s="1333"/>
      <c r="K786" s="1333"/>
      <c r="L786" s="1333"/>
      <c r="M786" s="1333"/>
      <c r="N786" s="1333"/>
      <c r="O786" s="1333"/>
      <c r="P786" s="1333"/>
      <c r="Q786" s="1333"/>
      <c r="R786" s="1333"/>
      <c r="S786" s="1449"/>
      <c r="T786" s="1333"/>
      <c r="U786" s="1333"/>
      <c r="V786" s="1333"/>
      <c r="W786" s="1333"/>
      <c r="X786" s="1333"/>
      <c r="Y786" s="1333"/>
      <c r="Z786" s="1333"/>
      <c r="AA786" s="1333"/>
      <c r="AB786" s="1333"/>
      <c r="AC786" s="1333"/>
      <c r="AD786" s="1333"/>
      <c r="AE786" s="1333"/>
      <c r="AF786" s="1333"/>
      <c r="AG786" s="1333"/>
      <c r="AH786" s="1333"/>
      <c r="AI786" s="1333"/>
      <c r="AJ786" s="1333"/>
    </row>
    <row r="787" spans="1:36" x14ac:dyDescent="0.25">
      <c r="A787" s="1331"/>
      <c r="B787" s="1284"/>
      <c r="C787" s="1284"/>
      <c r="D787" s="1364"/>
      <c r="E787" s="1364"/>
      <c r="F787" s="1364"/>
      <c r="G787" s="1365"/>
      <c r="H787" s="1333"/>
      <c r="I787" s="1333"/>
      <c r="J787" s="1333"/>
      <c r="K787" s="1333"/>
      <c r="L787" s="1333"/>
      <c r="M787" s="1333"/>
      <c r="N787" s="1333"/>
      <c r="O787" s="1333"/>
      <c r="P787" s="1333"/>
      <c r="Q787" s="1333"/>
      <c r="R787" s="1333"/>
      <c r="S787" s="1449"/>
      <c r="T787" s="1333"/>
      <c r="U787" s="1333"/>
      <c r="V787" s="1333"/>
      <c r="W787" s="1333"/>
      <c r="X787" s="1333"/>
      <c r="Y787" s="1333"/>
      <c r="Z787" s="1333"/>
      <c r="AA787" s="1333"/>
      <c r="AB787" s="1333"/>
      <c r="AC787" s="1333"/>
      <c r="AD787" s="1333"/>
      <c r="AE787" s="1333"/>
      <c r="AF787" s="1333"/>
      <c r="AG787" s="1333"/>
      <c r="AH787" s="1333"/>
      <c r="AI787" s="1333"/>
      <c r="AJ787" s="1333"/>
    </row>
  </sheetData>
  <sheetProtection formatColumns="0" formatRows="0" selectLockedCells="1"/>
  <mergeCells count="66">
    <mergeCell ref="C593:E593"/>
    <mergeCell ref="C594:E594"/>
    <mergeCell ref="C595:E595"/>
    <mergeCell ref="C596:E596"/>
    <mergeCell ref="C597:E597"/>
    <mergeCell ref="C588:E588"/>
    <mergeCell ref="C589:E589"/>
    <mergeCell ref="C590:E590"/>
    <mergeCell ref="C591:E591"/>
    <mergeCell ref="C592:E592"/>
    <mergeCell ref="C583:E583"/>
    <mergeCell ref="C584:E584"/>
    <mergeCell ref="C585:E585"/>
    <mergeCell ref="C586:E586"/>
    <mergeCell ref="C587:E587"/>
    <mergeCell ref="C582:E582"/>
    <mergeCell ref="A470:A520"/>
    <mergeCell ref="A521:A554"/>
    <mergeCell ref="A555:A564"/>
    <mergeCell ref="C576:E576"/>
    <mergeCell ref="C580:E580"/>
    <mergeCell ref="C574:E574"/>
    <mergeCell ref="A457:A469"/>
    <mergeCell ref="A15:A23"/>
    <mergeCell ref="C15:H15"/>
    <mergeCell ref="C16:H16"/>
    <mergeCell ref="C18:H18"/>
    <mergeCell ref="C19:H19"/>
    <mergeCell ref="C21:D21"/>
    <mergeCell ref="F21:G21"/>
    <mergeCell ref="C22:D22"/>
    <mergeCell ref="F22:G22"/>
    <mergeCell ref="D23:F23"/>
    <mergeCell ref="F3:H3"/>
    <mergeCell ref="L31:U31"/>
    <mergeCell ref="K15:K23"/>
    <mergeCell ref="G23:H23"/>
    <mergeCell ref="C573:E573"/>
    <mergeCell ref="J15:J22"/>
    <mergeCell ref="C603:E603"/>
    <mergeCell ref="C598:E598"/>
    <mergeCell ref="C599:E599"/>
    <mergeCell ref="C600:E600"/>
    <mergeCell ref="C601:E601"/>
    <mergeCell ref="C602:E602"/>
    <mergeCell ref="C604:E604"/>
    <mergeCell ref="C605:E605"/>
    <mergeCell ref="C606:E606"/>
    <mergeCell ref="C607:E607"/>
    <mergeCell ref="C608:E608"/>
    <mergeCell ref="C609:E609"/>
    <mergeCell ref="C610:E610"/>
    <mergeCell ref="C611:E611"/>
    <mergeCell ref="C612:E612"/>
    <mergeCell ref="C613:E613"/>
    <mergeCell ref="C614:E614"/>
    <mergeCell ref="C615:E615"/>
    <mergeCell ref="C616:E616"/>
    <mergeCell ref="C617:E617"/>
    <mergeCell ref="C618:E618"/>
    <mergeCell ref="C624:E624"/>
    <mergeCell ref="C619:E619"/>
    <mergeCell ref="C620:E620"/>
    <mergeCell ref="C621:E621"/>
    <mergeCell ref="C622:E622"/>
    <mergeCell ref="C623:E623"/>
  </mergeCells>
  <conditionalFormatting sqref="E37:I37">
    <cfRule type="expression" dxfId="756" priority="851">
      <formula>$D$37="N"</formula>
    </cfRule>
  </conditionalFormatting>
  <conditionalFormatting sqref="E32:I32">
    <cfRule type="expression" dxfId="755" priority="849">
      <formula>$D$32="N"</formula>
    </cfRule>
  </conditionalFormatting>
  <conditionalFormatting sqref="D4">
    <cfRule type="cellIs" dxfId="754" priority="1720" operator="equal">
      <formula>"?"</formula>
    </cfRule>
    <cfRule type="cellIs" dxfId="753" priority="1721" operator="equal">
      <formula>"Y"</formula>
    </cfRule>
  </conditionalFormatting>
  <conditionalFormatting sqref="E5">
    <cfRule type="cellIs" dxfId="752" priority="1718" operator="equal">
      <formula>"?"</formula>
    </cfRule>
    <cfRule type="cellIs" dxfId="751" priority="1719" operator="equal">
      <formula>"Y"</formula>
    </cfRule>
  </conditionalFormatting>
  <conditionalFormatting sqref="F6">
    <cfRule type="cellIs" dxfId="750" priority="1716" operator="equal">
      <formula>"?"</formula>
    </cfRule>
    <cfRule type="cellIs" dxfId="749" priority="1717" operator="equal">
      <formula>"Y"</formula>
    </cfRule>
  </conditionalFormatting>
  <conditionalFormatting sqref="F218:H230">
    <cfRule type="expression" dxfId="748" priority="1028">
      <formula>$E$218="N"</formula>
    </cfRule>
  </conditionalFormatting>
  <conditionalFormatting sqref="F231:H254">
    <cfRule type="expression" dxfId="747" priority="1031">
      <formula>$E$231="N"</formula>
    </cfRule>
  </conditionalFormatting>
  <conditionalFormatting sqref="F270:H278">
    <cfRule type="expression" dxfId="746" priority="1033">
      <formula>$E$270="N"</formula>
    </cfRule>
  </conditionalFormatting>
  <conditionalFormatting sqref="F289:H298">
    <cfRule type="expression" dxfId="745" priority="1035">
      <formula>$E$289="N"</formula>
    </cfRule>
  </conditionalFormatting>
  <conditionalFormatting sqref="F299:H308">
    <cfRule type="expression" dxfId="744" priority="1661">
      <formula>$E$299="N"</formula>
    </cfRule>
  </conditionalFormatting>
  <conditionalFormatting sqref="F316:H331">
    <cfRule type="expression" dxfId="743" priority="1663">
      <formula>$E$316="N"</formula>
    </cfRule>
  </conditionalFormatting>
  <conditionalFormatting sqref="F340:H349">
    <cfRule type="expression" dxfId="742" priority="1667">
      <formula>$E$340="N"</formula>
    </cfRule>
  </conditionalFormatting>
  <conditionalFormatting sqref="F279:H288">
    <cfRule type="expression" dxfId="741" priority="1034">
      <formula>$E$279="N"</formula>
    </cfRule>
  </conditionalFormatting>
  <conditionalFormatting sqref="E206:H381">
    <cfRule type="expression" dxfId="740" priority="1027">
      <formula>$D$206="N"</formula>
    </cfRule>
  </conditionalFormatting>
  <conditionalFormatting sqref="E168:H168">
    <cfRule type="expression" dxfId="739" priority="857">
      <formula>$D$168="N"</formula>
    </cfRule>
  </conditionalFormatting>
  <conditionalFormatting sqref="I4 K4">
    <cfRule type="expression" dxfId="738" priority="1702">
      <formula>$C4="N"</formula>
    </cfRule>
  </conditionalFormatting>
  <conditionalFormatting sqref="H5:I5 K5:K6">
    <cfRule type="expression" dxfId="737" priority="1701">
      <formula>$C$180="N"</formula>
    </cfRule>
  </conditionalFormatting>
  <conditionalFormatting sqref="H6:I6">
    <cfRule type="expression" dxfId="736" priority="1699">
      <formula>$C$180="N"</formula>
    </cfRule>
  </conditionalFormatting>
  <conditionalFormatting sqref="F332:H339">
    <cfRule type="expression" dxfId="735" priority="1664">
      <formula>$E$332="N"</formula>
    </cfRule>
  </conditionalFormatting>
  <conditionalFormatting sqref="F350:H357">
    <cfRule type="expression" dxfId="734" priority="1668">
      <formula>$E$350="N"</formula>
    </cfRule>
  </conditionalFormatting>
  <conditionalFormatting sqref="F255:H269">
    <cfRule type="expression" dxfId="733" priority="1032">
      <formula>$E$255="N"</formula>
    </cfRule>
  </conditionalFormatting>
  <conditionalFormatting sqref="E180:H205">
    <cfRule type="expression" dxfId="732" priority="1025">
      <formula>$D$180="N"</formula>
    </cfRule>
  </conditionalFormatting>
  <conditionalFormatting sqref="E27:I27">
    <cfRule type="expression" dxfId="731" priority="623">
      <formula>$D$27="N"</formula>
    </cfRule>
  </conditionalFormatting>
  <conditionalFormatting sqref="E126:H126">
    <cfRule type="expression" dxfId="730" priority="856">
      <formula>$D$126="N"</formula>
    </cfRule>
  </conditionalFormatting>
  <conditionalFormatting sqref="E39:H39">
    <cfRule type="expression" dxfId="729" priority="853">
      <formula>$D$39="N"</formula>
    </cfRule>
  </conditionalFormatting>
  <conditionalFormatting sqref="I269">
    <cfRule type="expression" dxfId="728" priority="1685">
      <formula>$E$255="N"</formula>
    </cfRule>
  </conditionalFormatting>
  <conditionalFormatting sqref="I269">
    <cfRule type="expression" dxfId="727" priority="1684">
      <formula>$D$206="N"</formula>
    </cfRule>
  </conditionalFormatting>
  <conditionalFormatting sqref="E25:I25">
    <cfRule type="expression" dxfId="726" priority="848">
      <formula>$D$25="N"</formula>
    </cfRule>
  </conditionalFormatting>
  <conditionalFormatting sqref="E180:H180">
    <cfRule type="expression" dxfId="725" priority="1024">
      <formula>$D$180="N"</formula>
    </cfRule>
  </conditionalFormatting>
  <conditionalFormatting sqref="E206:H206">
    <cfRule type="expression" dxfId="724" priority="1026">
      <formula>$D$206="N"</formula>
    </cfRule>
  </conditionalFormatting>
  <conditionalFormatting sqref="F358:H366">
    <cfRule type="expression" dxfId="723" priority="1665">
      <formula>$E$358="N"</formula>
    </cfRule>
  </conditionalFormatting>
  <conditionalFormatting sqref="E385:H441">
    <cfRule type="expression" dxfId="722" priority="1678">
      <formula>$D$385="N"</formula>
    </cfRule>
  </conditionalFormatting>
  <conditionalFormatting sqref="E385:H385">
    <cfRule type="expression" dxfId="721" priority="1677">
      <formula>$D$385="N"</formula>
    </cfRule>
  </conditionalFormatting>
  <conditionalFormatting sqref="E443:H443">
    <cfRule type="expression" dxfId="720" priority="1679">
      <formula>$D$443="N"</formula>
    </cfRule>
  </conditionalFormatting>
  <conditionalFormatting sqref="E39:H125">
    <cfRule type="expression" dxfId="719" priority="852">
      <formula>$D$39="N"</formula>
    </cfRule>
  </conditionalFormatting>
  <conditionalFormatting sqref="E126:H167">
    <cfRule type="expression" dxfId="718" priority="855">
      <formula>$D$126="N"</formula>
    </cfRule>
  </conditionalFormatting>
  <conditionalFormatting sqref="E382:H382">
    <cfRule type="expression" dxfId="717" priority="1674">
      <formula>$D$382="N"</formula>
    </cfRule>
  </conditionalFormatting>
  <conditionalFormatting sqref="E25:H564">
    <cfRule type="expression" dxfId="716" priority="444">
      <formula>$D25="N"</formula>
    </cfRule>
  </conditionalFormatting>
  <conditionalFormatting sqref="E502:H502">
    <cfRule type="expression" dxfId="715" priority="1697">
      <formula>$D$502="N"</formula>
    </cfRule>
  </conditionalFormatting>
  <conditionalFormatting sqref="E502:H518">
    <cfRule type="expression" dxfId="714" priority="1700">
      <formula>$D$502="N"</formula>
    </cfRule>
  </conditionalFormatting>
  <conditionalFormatting sqref="E519:H519">
    <cfRule type="expression" dxfId="713" priority="1703">
      <formula>$D$519="N"</formula>
    </cfRule>
  </conditionalFormatting>
  <conditionalFormatting sqref="E521:H521">
    <cfRule type="expression" dxfId="712" priority="1704">
      <formula>$D$521="N"</formula>
    </cfRule>
  </conditionalFormatting>
  <conditionalFormatting sqref="E527:H527">
    <cfRule type="expression" dxfId="711" priority="1706">
      <formula>$D$527="N"</formula>
    </cfRule>
  </conditionalFormatting>
  <conditionalFormatting sqref="E527:H544">
    <cfRule type="expression" dxfId="710" priority="1708">
      <formula>$D$527="N"</formula>
    </cfRule>
  </conditionalFormatting>
  <conditionalFormatting sqref="E546:H546">
    <cfRule type="expression" dxfId="709" priority="1709">
      <formula>$D$546="N"</formula>
    </cfRule>
  </conditionalFormatting>
  <conditionalFormatting sqref="E546:H549">
    <cfRule type="expression" dxfId="708" priority="1710">
      <formula>$D$546="N"</formula>
    </cfRule>
  </conditionalFormatting>
  <conditionalFormatting sqref="E557:H557">
    <cfRule type="expression" dxfId="707" priority="1713">
      <formula>$D$557="N"</formula>
    </cfRule>
  </conditionalFormatting>
  <conditionalFormatting sqref="E559:H559">
    <cfRule type="expression" dxfId="706" priority="1714">
      <formula>$D$559="N"</formula>
    </cfRule>
  </conditionalFormatting>
  <conditionalFormatting sqref="K260:K270 K273 K292 K302 K319 K282 K218:K220 K316 K363:K367 K337:K342 K25:K27 K237:K255 K227 K223:K224 K61:K65 K67:K82 K84:K90 K92:K95 K97:K100 K102:K109 K111:K114 K116:K117 K119:K120 K122:K133 K275:K279 K284:K289 K294:K299 K304:K308 K321:K332 K345:K352 K355:K358 K370:K456 K135:K168 K229:K231 K173:K210 K36:K59 K31:K32">
    <cfRule type="expression" dxfId="705" priority="966">
      <formula>$K25="no 95% match"</formula>
    </cfRule>
  </conditionalFormatting>
  <conditionalFormatting sqref="E472:H479">
    <cfRule type="expression" dxfId="704" priority="1681">
      <formula>$D$472="N"</formula>
    </cfRule>
  </conditionalFormatting>
  <conditionalFormatting sqref="E472:H472">
    <cfRule type="expression" dxfId="703" priority="1680">
      <formula>$D$472="N"</formula>
    </cfRule>
  </conditionalFormatting>
  <conditionalFormatting sqref="E480:H484">
    <cfRule type="expression" dxfId="702" priority="1687">
      <formula>$D$480="N"</formula>
    </cfRule>
  </conditionalFormatting>
  <conditionalFormatting sqref="E480:H480">
    <cfRule type="expression" dxfId="701" priority="1683">
      <formula>$D$480="N"</formula>
    </cfRule>
  </conditionalFormatting>
  <conditionalFormatting sqref="E485:H485">
    <cfRule type="expression" dxfId="700" priority="1688">
      <formula>$D$485="N"</formula>
    </cfRule>
  </conditionalFormatting>
  <conditionalFormatting sqref="E487:H494">
    <cfRule type="expression" dxfId="699" priority="1693">
      <formula>$D$487="N"</formula>
    </cfRule>
  </conditionalFormatting>
  <conditionalFormatting sqref="E487:H487">
    <cfRule type="expression" dxfId="698" priority="1692">
      <formula>$D$487="N"</formula>
    </cfRule>
  </conditionalFormatting>
  <conditionalFormatting sqref="E495:H501">
    <cfRule type="expression" dxfId="697" priority="1694">
      <formula>$D$495="N"</formula>
    </cfRule>
  </conditionalFormatting>
  <conditionalFormatting sqref="E495:H495">
    <cfRule type="expression" dxfId="696" priority="1695">
      <formula>$D$495="N"</formula>
    </cfRule>
  </conditionalFormatting>
  <conditionalFormatting sqref="E561:H561">
    <cfRule type="expression" dxfId="695" priority="1715">
      <formula>$D$561="N"</formula>
    </cfRule>
  </conditionalFormatting>
  <conditionalFormatting sqref="E563:H563">
    <cfRule type="expression" dxfId="694" priority="1722">
      <formula>$D$563="N"</formula>
    </cfRule>
  </conditionalFormatting>
  <conditionalFormatting sqref="E459:H459">
    <cfRule type="expression" dxfId="693" priority="7356">
      <formula>$D$459="N"</formula>
    </cfRule>
  </conditionalFormatting>
  <conditionalFormatting sqref="K116:K117 K109 A25:A59 A61:A65 A67:A82 A84:A90 A92:A95 A97:A100 A102:A109 A111:A114 K111:K112 A116:A117 A119:A120 K119:K120 A222:A227 A235 A237:A257 A260:A273 A275:A282 A284:A292 A294:A302 A304:A312 A314:A319 A321:A334 A337:A342 A345:A352 A355:A360 A363:A367 A370:A455 A229:A233 A122:A220">
    <cfRule type="expression" dxfId="692" priority="833">
      <formula>$K25="no 95% match"</formula>
    </cfRule>
  </conditionalFormatting>
  <conditionalFormatting sqref="F25:H564">
    <cfRule type="expression" dxfId="691" priority="620">
      <formula>$E25="N"</formula>
    </cfRule>
  </conditionalFormatting>
  <conditionalFormatting sqref="G25:H564">
    <cfRule type="expression" dxfId="690" priority="621">
      <formula>$F25="N"</formula>
    </cfRule>
  </conditionalFormatting>
  <conditionalFormatting sqref="E174:H174">
    <cfRule type="expression" dxfId="689" priority="859">
      <formula>$D$174="N"</formula>
    </cfRule>
  </conditionalFormatting>
  <conditionalFormatting sqref="E174:H179">
    <cfRule type="expression" dxfId="688" priority="860">
      <formula>$D$174="N"</formula>
    </cfRule>
  </conditionalFormatting>
  <conditionalFormatting sqref="E523:H523">
    <cfRule type="expression" dxfId="687" priority="1705">
      <formula>$D$523="N"</formula>
    </cfRule>
  </conditionalFormatting>
  <conditionalFormatting sqref="E551:H551">
    <cfRule type="expression" dxfId="686" priority="1711">
      <formula>$D$551="N"</formula>
    </cfRule>
  </conditionalFormatting>
  <conditionalFormatting sqref="K25:K27 K61:K65 K67:K82 K84:K90 K92:K95 K97:K100 K102:K108 K36:K59 K31:K32">
    <cfRule type="expression" dxfId="685" priority="527">
      <formula>$K25="no 95% match"</formula>
    </cfRule>
  </conditionalFormatting>
  <conditionalFormatting sqref="K40:K42">
    <cfRule type="expression" dxfId="684" priority="449">
      <formula>$K40="no 95% match"</formula>
    </cfRule>
  </conditionalFormatting>
  <conditionalFormatting sqref="F367:H380">
    <cfRule type="expression" dxfId="683" priority="1666">
      <formula>$E$367="N"</formula>
    </cfRule>
  </conditionalFormatting>
  <conditionalFormatting sqref="G372:H380">
    <cfRule type="expression" dxfId="682" priority="1673">
      <formula>$F$372="N"</formula>
    </cfRule>
  </conditionalFormatting>
  <conditionalFormatting sqref="C16">
    <cfRule type="cellIs" dxfId="681" priority="220" operator="equal">
      <formula>"NO CONSTRUCTION - BID DOES NOT APPLY"</formula>
    </cfRule>
    <cfRule type="cellIs" dxfId="680" priority="221" operator="equal">
      <formula>"BID DOES NOT APPLY"</formula>
    </cfRule>
  </conditionalFormatting>
  <conditionalFormatting sqref="C373:C380">
    <cfRule type="expression" dxfId="679" priority="7353">
      <formula>$E373="Y"</formula>
    </cfRule>
    <cfRule type="expression" dxfId="678" priority="7354">
      <formula>$G373="Y"</formula>
    </cfRule>
    <cfRule type="expression" dxfId="677" priority="7355">
      <formula>$D373="Y"</formula>
    </cfRule>
  </conditionalFormatting>
  <conditionalFormatting sqref="K260:K270 K273 K292 K302 K319 K345:K350 K282 K218 K316 K337:K340 K363:K367 K355:K358 K25:K27 K237:K255 K227 K223:K224 K61:K65 K67:K82 K84:K90 K92:K95 K97:K100 K102:K109 K111:K114 K116:K117 K119:K120 K122:K133 K275:K279 K284:K289 K294:K299 K304:K308 K321:K332 K370:K456 K135:K168 K229:K231 K173:K210 K36:K59 K31:K32">
    <cfRule type="containsText" dxfId="676" priority="430" operator="containsText" text="no 95% match">
      <formula>NOT(ISERROR(SEARCH("no 95% match",K25)))</formula>
    </cfRule>
  </conditionalFormatting>
  <conditionalFormatting sqref="L567 L457">
    <cfRule type="containsText" dxfId="675" priority="428" operator="containsText" text="HIDE">
      <formula>NOT(ISERROR(SEARCH("HIDE",L457)))</formula>
    </cfRule>
  </conditionalFormatting>
  <conditionalFormatting sqref="F56:H125">
    <cfRule type="expression" dxfId="674" priority="854">
      <formula>$E$56="N"</formula>
    </cfRule>
  </conditionalFormatting>
  <conditionalFormatting sqref="E553:H553">
    <cfRule type="expression" dxfId="673" priority="1712">
      <formula>$D$553="N"</formula>
    </cfRule>
  </conditionalFormatting>
  <conditionalFormatting sqref="K222">
    <cfRule type="expression" dxfId="672" priority="355">
      <formula>$K222="no 95% match"</formula>
    </cfRule>
  </conditionalFormatting>
  <conditionalFormatting sqref="K222">
    <cfRule type="containsText" dxfId="671" priority="353" operator="containsText" text="no 95% match">
      <formula>NOT(ISERROR(SEARCH("no 95% match",K222)))</formula>
    </cfRule>
  </conditionalFormatting>
  <conditionalFormatting sqref="K225:K226">
    <cfRule type="expression" dxfId="670" priority="348">
      <formula>$K225="no 95% match"</formula>
    </cfRule>
  </conditionalFormatting>
  <conditionalFormatting sqref="K225:K226">
    <cfRule type="containsText" dxfId="669" priority="346" operator="containsText" text="no 95% match">
      <formula>NOT(ISERROR(SEARCH("no 95% match",K225)))</formula>
    </cfRule>
  </conditionalFormatting>
  <conditionalFormatting sqref="K219:K220">
    <cfRule type="containsText" dxfId="668" priority="339" operator="containsText" text="no 95% match">
      <formula>NOT(ISERROR(SEARCH("no 95% match",K219)))</formula>
    </cfRule>
  </conditionalFormatting>
  <conditionalFormatting sqref="K232:K233">
    <cfRule type="expression" dxfId="667" priority="327">
      <formula>$K232="no 95% match"</formula>
    </cfRule>
  </conditionalFormatting>
  <conditionalFormatting sqref="K232:K233">
    <cfRule type="containsText" dxfId="666" priority="325" operator="containsText" text="no 95% match">
      <formula>NOT(ISERROR(SEARCH("no 95% match",K232)))</formula>
    </cfRule>
  </conditionalFormatting>
  <conditionalFormatting sqref="K256:K257">
    <cfRule type="expression" dxfId="665" priority="320">
      <formula>$K256="no 95% match"</formula>
    </cfRule>
  </conditionalFormatting>
  <conditionalFormatting sqref="K256:K257">
    <cfRule type="containsText" dxfId="664" priority="318" operator="containsText" text="no 95% match">
      <formula>NOT(ISERROR(SEARCH("no 95% match",K256)))</formula>
    </cfRule>
  </conditionalFormatting>
  <conditionalFormatting sqref="K271:K272">
    <cfRule type="expression" dxfId="663" priority="313">
      <formula>$K271="no 95% match"</formula>
    </cfRule>
  </conditionalFormatting>
  <conditionalFormatting sqref="K271:K272">
    <cfRule type="containsText" dxfId="662" priority="311" operator="containsText" text="no 95% match">
      <formula>NOT(ISERROR(SEARCH("no 95% match",K271)))</formula>
    </cfRule>
  </conditionalFormatting>
  <conditionalFormatting sqref="K290:K291">
    <cfRule type="expression" dxfId="661" priority="306">
      <formula>$K290="no 95% match"</formula>
    </cfRule>
  </conditionalFormatting>
  <conditionalFormatting sqref="K290:K291">
    <cfRule type="containsText" dxfId="660" priority="304" operator="containsText" text="no 95% match">
      <formula>NOT(ISERROR(SEARCH("no 95% match",K290)))</formula>
    </cfRule>
  </conditionalFormatting>
  <conditionalFormatting sqref="K300:K301">
    <cfRule type="expression" dxfId="659" priority="299">
      <formula>$K300="no 95% match"</formula>
    </cfRule>
  </conditionalFormatting>
  <conditionalFormatting sqref="K300:K301">
    <cfRule type="containsText" dxfId="658" priority="297" operator="containsText" text="no 95% match">
      <formula>NOT(ISERROR(SEARCH("no 95% match",K300)))</formula>
    </cfRule>
  </conditionalFormatting>
  <conditionalFormatting sqref="K317:K318">
    <cfRule type="expression" dxfId="657" priority="292">
      <formula>$K317="no 95% match"</formula>
    </cfRule>
  </conditionalFormatting>
  <conditionalFormatting sqref="K317:K318">
    <cfRule type="containsText" dxfId="656" priority="290" operator="containsText" text="no 95% match">
      <formula>NOT(ISERROR(SEARCH("no 95% match",K317)))</formula>
    </cfRule>
  </conditionalFormatting>
  <conditionalFormatting sqref="K333:K334">
    <cfRule type="expression" dxfId="655" priority="285">
      <formula>$K333="no 95% match"</formula>
    </cfRule>
  </conditionalFormatting>
  <conditionalFormatting sqref="K333:K334">
    <cfRule type="containsText" dxfId="654" priority="283" operator="containsText" text="no 95% match">
      <formula>NOT(ISERROR(SEARCH("no 95% match",K333)))</formula>
    </cfRule>
  </conditionalFormatting>
  <conditionalFormatting sqref="K359:K360">
    <cfRule type="expression" dxfId="653" priority="278">
      <formula>$K359="no 95% match"</formula>
    </cfRule>
  </conditionalFormatting>
  <conditionalFormatting sqref="K359:K360">
    <cfRule type="containsText" dxfId="652" priority="276" operator="containsText" text="no 95% match">
      <formula>NOT(ISERROR(SEARCH("no 95% match",K359)))</formula>
    </cfRule>
  </conditionalFormatting>
  <conditionalFormatting sqref="K341:K342">
    <cfRule type="containsText" dxfId="651" priority="269" operator="containsText" text="no 95% match">
      <formula>NOT(ISERROR(SEARCH("no 95% match",K341)))</formula>
    </cfRule>
  </conditionalFormatting>
  <conditionalFormatting sqref="K351:K352">
    <cfRule type="containsText" dxfId="650" priority="262" operator="containsText" text="no 95% match">
      <formula>NOT(ISERROR(SEARCH("no 95% match",K351)))</formula>
    </cfRule>
  </conditionalFormatting>
  <conditionalFormatting sqref="K280:K281">
    <cfRule type="expression" dxfId="649" priority="257">
      <formula>$K280="no 95% match"</formula>
    </cfRule>
  </conditionalFormatting>
  <conditionalFormatting sqref="K280:K281">
    <cfRule type="containsText" dxfId="648" priority="255" operator="containsText" text="no 95% match">
      <formula>NOT(ISERROR(SEARCH("no 95% match",K280)))</formula>
    </cfRule>
  </conditionalFormatting>
  <conditionalFormatting sqref="K235">
    <cfRule type="expression" dxfId="647" priority="250">
      <formula>$K235="no 95% match"</formula>
    </cfRule>
  </conditionalFormatting>
  <conditionalFormatting sqref="K235">
    <cfRule type="containsText" dxfId="646" priority="248" operator="containsText" text="no 95% match">
      <formula>NOT(ISERROR(SEARCH("no 95% match",K235)))</formula>
    </cfRule>
  </conditionalFormatting>
  <conditionalFormatting sqref="E168:H172">
    <cfRule type="expression" dxfId="645" priority="858">
      <formula>$D$168="N"</formula>
    </cfRule>
  </conditionalFormatting>
  <conditionalFormatting sqref="C15:H16 C18:H18">
    <cfRule type="containsText" dxfId="644" priority="396" operator="containsText" text="Choose">
      <formula>NOT(ISERROR(SEARCH("Choose",C15)))</formula>
    </cfRule>
    <cfRule type="containsText" dxfId="643" priority="432" operator="containsText" text="Insert">
      <formula>NOT(ISERROR(SEARCH("Insert",C15)))</formula>
    </cfRule>
    <cfRule type="containsText" dxfId="642" priority="433" operator="containsText" text="##">
      <formula>NOT(ISERROR(SEARCH("##",C15)))</formula>
    </cfRule>
  </conditionalFormatting>
  <conditionalFormatting sqref="F211:H217">
    <cfRule type="expression" dxfId="641" priority="1030">
      <formula>$E$211="N"</formula>
    </cfRule>
  </conditionalFormatting>
  <conditionalFormatting sqref="K134">
    <cfRule type="expression" dxfId="640" priority="190">
      <formula>$K134="no 95% match"</formula>
    </cfRule>
  </conditionalFormatting>
  <conditionalFormatting sqref="K134">
    <cfRule type="containsText" dxfId="639" priority="178" operator="containsText" text="no 95% match">
      <formula>NOT(ISERROR(SEARCH("no 95% match",K134)))</formula>
    </cfRule>
  </conditionalFormatting>
  <conditionalFormatting sqref="K312 K309 K314:K315">
    <cfRule type="expression" dxfId="638" priority="172">
      <formula>$K309="no 95% match"</formula>
    </cfRule>
  </conditionalFormatting>
  <conditionalFormatting sqref="K312 K309 K314:K315">
    <cfRule type="containsText" dxfId="637" priority="160" operator="containsText" text="no 95% match">
      <formula>NOT(ISERROR(SEARCH("no 95% match",K309)))</formula>
    </cfRule>
  </conditionalFormatting>
  <conditionalFormatting sqref="K310:K311">
    <cfRule type="expression" dxfId="636" priority="158">
      <formula>$K310="no 95% match"</formula>
    </cfRule>
  </conditionalFormatting>
  <conditionalFormatting sqref="K310:K311">
    <cfRule type="containsText" dxfId="635" priority="157" operator="containsText" text="no 95% match">
      <formula>NOT(ISERROR(SEARCH("no 95% match",K310)))</formula>
    </cfRule>
  </conditionalFormatting>
  <conditionalFormatting sqref="F309:H315">
    <cfRule type="expression" dxfId="634" priority="1662">
      <formula>$E$309="N"</formula>
    </cfRule>
  </conditionalFormatting>
  <conditionalFormatting sqref="L15:L21">
    <cfRule type="containsText" dxfId="633" priority="115" operator="containsText" text="Enter/Update">
      <formula>NOT(ISERROR(SEARCH("Enter/Update",L15)))</formula>
    </cfRule>
    <cfRule type="containsText" dxfId="632" priority="116" operator="containsText" text="&lt;----Fill in information">
      <formula>NOT(ISERROR(SEARCH("&lt;----Fill in information",L15)))</formula>
    </cfRule>
  </conditionalFormatting>
  <conditionalFormatting sqref="A66">
    <cfRule type="expression" dxfId="631" priority="109">
      <formula>$K66="no 95% match"</formula>
    </cfRule>
  </conditionalFormatting>
  <conditionalFormatting sqref="A83">
    <cfRule type="expression" dxfId="630" priority="95">
      <formula>$K83="no 95% match"</formula>
    </cfRule>
  </conditionalFormatting>
  <conditionalFormatting sqref="A91">
    <cfRule type="expression" dxfId="629" priority="94">
      <formula>$K91="no 95% match"</formula>
    </cfRule>
  </conditionalFormatting>
  <conditionalFormatting sqref="A96">
    <cfRule type="expression" dxfId="628" priority="93">
      <formula>$K96="no 95% match"</formula>
    </cfRule>
  </conditionalFormatting>
  <conditionalFormatting sqref="A101">
    <cfRule type="expression" dxfId="627" priority="92">
      <formula>$K101="no 95% match"</formula>
    </cfRule>
  </conditionalFormatting>
  <conditionalFormatting sqref="A110">
    <cfRule type="expression" dxfId="626" priority="91">
      <formula>$K110="no 95% match"</formula>
    </cfRule>
  </conditionalFormatting>
  <conditionalFormatting sqref="A115">
    <cfRule type="expression" dxfId="625" priority="90">
      <formula>$K115="no 95% match"</formula>
    </cfRule>
  </conditionalFormatting>
  <conditionalFormatting sqref="A118">
    <cfRule type="expression" dxfId="624" priority="89">
      <formula>$K118="no 95% match"</formula>
    </cfRule>
  </conditionalFormatting>
  <conditionalFormatting sqref="A121">
    <cfRule type="expression" dxfId="623" priority="88">
      <formula>$K121="no 95% match"</formula>
    </cfRule>
  </conditionalFormatting>
  <conditionalFormatting sqref="A221">
    <cfRule type="expression" dxfId="622" priority="82">
      <formula>$K221="no 95% match"</formula>
    </cfRule>
  </conditionalFormatting>
  <conditionalFormatting sqref="A234">
    <cfRule type="expression" dxfId="621" priority="68">
      <formula>$K234="no 95% match"</formula>
    </cfRule>
  </conditionalFormatting>
  <conditionalFormatting sqref="A236">
    <cfRule type="expression" dxfId="620" priority="67">
      <formula>$K236="no 95% match"</formula>
    </cfRule>
  </conditionalFormatting>
  <conditionalFormatting sqref="A258:A259">
    <cfRule type="expression" dxfId="619" priority="66">
      <formula>$K258="no 95% match"</formula>
    </cfRule>
  </conditionalFormatting>
  <conditionalFormatting sqref="A274">
    <cfRule type="expression" dxfId="618" priority="65">
      <formula>$K274="no 95% match"</formula>
    </cfRule>
  </conditionalFormatting>
  <conditionalFormatting sqref="A283">
    <cfRule type="expression" dxfId="617" priority="64">
      <formula>$K283="no 95% match"</formula>
    </cfRule>
  </conditionalFormatting>
  <conditionalFormatting sqref="A293">
    <cfRule type="expression" dxfId="616" priority="63">
      <formula>$K293="no 95% match"</formula>
    </cfRule>
  </conditionalFormatting>
  <conditionalFormatting sqref="A303">
    <cfRule type="expression" dxfId="615" priority="62">
      <formula>$K303="no 95% match"</formula>
    </cfRule>
  </conditionalFormatting>
  <conditionalFormatting sqref="A313">
    <cfRule type="expression" dxfId="614" priority="61">
      <formula>$K313="no 95% match"</formula>
    </cfRule>
  </conditionalFormatting>
  <conditionalFormatting sqref="A320">
    <cfRule type="expression" dxfId="613" priority="60">
      <formula>$K320="no 95% match"</formula>
    </cfRule>
  </conditionalFormatting>
  <conditionalFormatting sqref="A335:A336">
    <cfRule type="expression" dxfId="612" priority="59">
      <formula>$K335="no 95% match"</formula>
    </cfRule>
  </conditionalFormatting>
  <conditionalFormatting sqref="A343:A344">
    <cfRule type="expression" dxfId="611" priority="58">
      <formula>$K343="no 95% match"</formula>
    </cfRule>
  </conditionalFormatting>
  <conditionalFormatting sqref="A353:A354">
    <cfRule type="expression" dxfId="610" priority="57">
      <formula>$K353="no 95% match"</formula>
    </cfRule>
  </conditionalFormatting>
  <conditionalFormatting sqref="A361:A362">
    <cfRule type="expression" dxfId="609" priority="56">
      <formula>$K361="no 95% match"</formula>
    </cfRule>
  </conditionalFormatting>
  <conditionalFormatting sqref="A368:A369">
    <cfRule type="expression" dxfId="608" priority="55">
      <formula>$K368="no 95% match"</formula>
    </cfRule>
  </conditionalFormatting>
  <conditionalFormatting sqref="H25:H27 H36:H564 H31:H32">
    <cfRule type="expression" dxfId="607" priority="622">
      <formula>$G25="n"</formula>
    </cfRule>
  </conditionalFormatting>
  <conditionalFormatting sqref="K33:K35">
    <cfRule type="expression" dxfId="606" priority="39">
      <formula>$K33="no 95% match"</formula>
    </cfRule>
  </conditionalFormatting>
  <conditionalFormatting sqref="K33:K35">
    <cfRule type="expression" dxfId="605" priority="32">
      <formula>$K33="no 95% match"</formula>
    </cfRule>
  </conditionalFormatting>
  <conditionalFormatting sqref="K33:K35">
    <cfRule type="expression" dxfId="604" priority="31">
      <formula>$K33="no 95% match"</formula>
    </cfRule>
  </conditionalFormatting>
  <conditionalFormatting sqref="K33:K35">
    <cfRule type="containsText" dxfId="603" priority="28" operator="containsText" text="no 95% match">
      <formula>NOT(ISERROR(SEARCH("no 95% match",K33)))</formula>
    </cfRule>
  </conditionalFormatting>
  <conditionalFormatting sqref="K28:K30">
    <cfRule type="expression" dxfId="602" priority="20">
      <formula>$K28="no 95% match"</formula>
    </cfRule>
  </conditionalFormatting>
  <conditionalFormatting sqref="K28:K30">
    <cfRule type="expression" dxfId="601" priority="13">
      <formula>$K28="no 95% match"</formula>
    </cfRule>
  </conditionalFormatting>
  <conditionalFormatting sqref="K28:K30">
    <cfRule type="expression" dxfId="600" priority="12">
      <formula>$K28="no 95% match"</formula>
    </cfRule>
  </conditionalFormatting>
  <conditionalFormatting sqref="K28:K30">
    <cfRule type="containsText" dxfId="599" priority="9" operator="containsText" text="no 95% match">
      <formula>NOT(ISERROR(SEARCH("no 95% match",K28)))</formula>
    </cfRule>
  </conditionalFormatting>
  <conditionalFormatting sqref="C18:H564">
    <cfRule type="expression" dxfId="598" priority="1">
      <formula>$C$16="BID DOES NOT APPLY"</formula>
    </cfRule>
    <cfRule type="expression" dxfId="597" priority="2">
      <formula>$C$16="NO CONSTRUCTION - BID DOES NOT APPLY"</formula>
    </cfRule>
  </conditionalFormatting>
  <conditionalFormatting sqref="H25:H564">
    <cfRule type="containsText" dxfId="596" priority="152" operator="containsText" text="PLACEHOLDER">
      <formula>NOT(ISERROR(SEARCH("PLACEHOLDER",H25)))</formula>
    </cfRule>
  </conditionalFormatting>
  <conditionalFormatting sqref="D25:G564">
    <cfRule type="cellIs" dxfId="595" priority="192" operator="equal">
      <formula>"Y"</formula>
    </cfRule>
    <cfRule type="cellIs" dxfId="594" priority="222" operator="equal">
      <formula>"?"</formula>
    </cfRule>
  </conditionalFormatting>
  <conditionalFormatting sqref="C25:C564">
    <cfRule type="expression" dxfId="593" priority="225">
      <formula>$D25="Y"</formula>
    </cfRule>
    <cfRule type="expression" dxfId="592" priority="244">
      <formula>$E25="Y"</formula>
    </cfRule>
    <cfRule type="expression" dxfId="591" priority="378">
      <formula>$F25="Y"</formula>
    </cfRule>
    <cfRule type="expression" dxfId="590" priority="443">
      <formula>$G25="y"</formula>
    </cfRule>
  </conditionalFormatting>
  <conditionalFormatting sqref="D28:H30">
    <cfRule type="expression" dxfId="589" priority="847">
      <formula>$D$27="N"</formula>
    </cfRule>
  </conditionalFormatting>
  <conditionalFormatting sqref="D33:H35">
    <cfRule type="expression" dxfId="588" priority="850">
      <formula>$D$32="Y"</formula>
    </cfRule>
  </conditionalFormatting>
  <dataValidations count="3">
    <dataValidation type="list" allowBlank="1" showInputMessage="1" showErrorMessage="1" sqref="C23">
      <formula1>$C$8:$C$11</formula1>
    </dataValidation>
    <dataValidation type="list" allowBlank="1" showInputMessage="1" showErrorMessage="1" sqref="D4 F6 E5">
      <formula1>$D$8:$D$11</formula1>
    </dataValidation>
    <dataValidation allowBlank="1" showInputMessage="1" showErrorMessage="1" promptTitle="NO INPUTS IN THESE CELLS" prompt="Changes are only made in TAB C." sqref="C21:D21 F21:H21 D25:H565"/>
  </dataValidations>
  <hyperlinks>
    <hyperlink ref="H503" r:id="rId1" display="http://www.fs.illinois.edu/docs/default-source/facility-standards/technical-sections/division-01---administrative/01-33-23---shop-drawings-product-data-and-samples.docx?sfvrsn=2"/>
    <hyperlink ref="H528" r:id="rId2"/>
  </hyperlinks>
  <printOptions horizontalCentered="1"/>
  <pageMargins left="0.45" right="0.45" top="0.5" bottom="0.65" header="0.3" footer="0.3"/>
  <pageSetup scale="85" fitToHeight="10" orientation="portrait" r:id="rId3"/>
  <headerFooter>
    <oddFooter>&amp;L&amp;"-,Bold"&amp;10TAB &amp;A&amp;C&amp;8&amp;P of &amp;N&amp;R&amp;G</oddFooter>
  </headerFooter>
  <rowBreaks count="5" manualBreakCount="5">
    <brk id="125" min="2" max="7" man="1"/>
    <brk id="173" min="2" max="7" man="1"/>
    <brk id="230" min="2" max="7" man="1"/>
    <brk id="339" min="2" max="7" man="1"/>
    <brk id="381" min="2" max="7" man="1"/>
  </rowBreaks>
  <drawing r:id="rId4"/>
  <legacyDrawing r:id="rId5"/>
  <legacyDrawingHF r:id="rId6"/>
  <extLst>
    <ext xmlns:x14="http://schemas.microsoft.com/office/spreadsheetml/2009/9/main" uri="{78C0D931-6437-407d-A8EE-F0AAD7539E65}">
      <x14:conditionalFormattings>
        <x14:conditionalFormatting xmlns:xm="http://schemas.microsoft.com/office/excel/2006/main">
          <x14:cfRule type="expression" priority="1723" id="{3937D992-46A9-49DF-B0B4-7FF2E5A15B61}">
            <xm:f>'00 - Concept.'!$D551="N"</xm:f>
            <x14:dxf>
              <font>
                <strike/>
              </font>
            </x14:dxf>
          </x14:cfRule>
          <xm:sqref>I565</xm:sqref>
        </x14:conditionalFormatting>
        <x14:conditionalFormatting xmlns:xm="http://schemas.microsoft.com/office/excel/2006/main">
          <x14:cfRule type="expression" priority="541" id="{EA15264E-1302-4EF4-957D-F3CA2D4D2310}">
            <xm:f>'00 - Concept.'!$F553="N"</xm:f>
            <x14:dxf>
              <font>
                <strike/>
              </font>
            </x14:dxf>
          </x14:cfRule>
          <xm:sqref>I567</xm:sqref>
        </x14:conditionalFormatting>
        <x14:conditionalFormatting xmlns:xm="http://schemas.microsoft.com/office/excel/2006/main">
          <x14:cfRule type="expression" priority="2711" id="{346C835A-E5B6-40E6-A3EB-6D774E91E6B8}">
            <xm:f>'00 - Concept.'!$E376="N"</xm:f>
            <x14:dxf>
              <font>
                <strike/>
              </font>
            </x14:dxf>
          </x14:cfRule>
          <xm:sqref>I367</xm:sqref>
        </x14:conditionalFormatting>
        <x14:conditionalFormatting xmlns:xm="http://schemas.microsoft.com/office/excel/2006/main">
          <x14:cfRule type="expression" priority="6495" id="{346C835A-E5B6-40E6-A3EB-6D774E91E6B8}">
            <xm:f>'00 - Concept.'!#REF!="N"</xm:f>
            <x14:dxf>
              <font>
                <strike/>
              </font>
            </x14:dxf>
          </x14:cfRule>
          <xm:sqref>I127:I129</xm:sqref>
        </x14:conditionalFormatting>
        <x14:conditionalFormatting xmlns:xm="http://schemas.microsoft.com/office/excel/2006/main">
          <x14:cfRule type="expression" priority="7440" id="{EAED3C1C-BF48-411E-8B97-2AF013C57EE8}">
            <xm:f>'00 - Concept.'!$F200="N"</xm:f>
            <x14:dxf>
              <font>
                <strike/>
              </font>
            </x14:dxf>
          </x14:cfRule>
          <xm:sqref>I182</xm:sqref>
        </x14:conditionalFormatting>
        <x14:conditionalFormatting xmlns:xm="http://schemas.microsoft.com/office/excel/2006/main">
          <x14:cfRule type="expression" priority="13226" id="{EA15264E-1302-4EF4-957D-F3CA2D4D2310}">
            <xm:f>'00 - Concept.'!$F351="N"</xm:f>
            <x14:dxf>
              <font>
                <strike/>
              </font>
            </x14:dxf>
          </x14:cfRule>
          <xm:sqref>I359:I360</xm:sqref>
        </x14:conditionalFormatting>
        <x14:conditionalFormatting xmlns:xm="http://schemas.microsoft.com/office/excel/2006/main">
          <x14:cfRule type="expression" priority="15112" id="{346C835A-E5B6-40E6-A3EB-6D774E91E6B8}">
            <xm:f>'00 - Concept.'!#REF!="N"</xm:f>
            <x14:dxf>
              <font>
                <strike/>
              </font>
            </x14:dxf>
          </x14:cfRule>
          <xm:sqref>I165:I166</xm:sqref>
        </x14:conditionalFormatting>
        <x14:conditionalFormatting xmlns:xm="http://schemas.microsoft.com/office/excel/2006/main">
          <x14:cfRule type="expression" priority="15249" id="{EA15264E-1302-4EF4-957D-F3CA2D4D2310}">
            <xm:f>'00 - Concept.'!#REF!="N"</xm:f>
            <x14:dxf>
              <font>
                <strike/>
              </font>
            </x14:dxf>
          </x14:cfRule>
          <xm:sqref>I201</xm:sqref>
        </x14:conditionalFormatting>
        <x14:conditionalFormatting xmlns:xm="http://schemas.microsoft.com/office/excel/2006/main">
          <x14:cfRule type="expression" priority="420" id="{62C24C4A-0E2F-4C2C-B41D-161391870096}">
            <xm:f>'00 - Concept.'!$E74="N"</xm:f>
            <x14:dxf>
              <font>
                <strike/>
              </font>
            </x14:dxf>
          </x14:cfRule>
          <xm:sqref>I122:I124</xm:sqref>
        </x14:conditionalFormatting>
        <x14:conditionalFormatting xmlns:xm="http://schemas.microsoft.com/office/excel/2006/main">
          <x14:cfRule type="expression" priority="418" id="{9516AB40-7B6C-439C-A7F2-06AF1523EEBA}">
            <xm:f>'00 - Concept.'!#REF!="N"</xm:f>
            <x14:dxf>
              <font>
                <strike/>
              </font>
            </x14:dxf>
          </x14:cfRule>
          <xm:sqref>I178</xm:sqref>
        </x14:conditionalFormatting>
        <x14:conditionalFormatting xmlns:xm="http://schemas.microsoft.com/office/excel/2006/main">
          <x14:cfRule type="expression" priority="18908" id="{EA15264E-1302-4EF4-957D-F3CA2D4D2310}">
            <xm:f>'00 - Concept.'!$F338="N"</xm:f>
            <x14:dxf>
              <font>
                <strike/>
              </font>
            </x14:dxf>
          </x14:cfRule>
          <xm:sqref>I300:I301</xm:sqref>
        </x14:conditionalFormatting>
        <x14:conditionalFormatting xmlns:xm="http://schemas.microsoft.com/office/excel/2006/main">
          <x14:cfRule type="expression" priority="356" id="{E6D45D5E-A2E7-41F4-BB29-A688282A424A}">
            <xm:f>'00 - Concept.'!$F367="N"</xm:f>
            <x14:dxf>
              <font>
                <strike/>
              </font>
            </x14:dxf>
          </x14:cfRule>
          <xm:sqref>I317</xm:sqref>
        </x14:conditionalFormatting>
        <x14:conditionalFormatting xmlns:xm="http://schemas.microsoft.com/office/excel/2006/main">
          <x14:cfRule type="expression" priority="19422" id="{EA15264E-1302-4EF4-957D-F3CA2D4D2310}">
            <xm:f>'00 - Concept.'!$F268="N"</xm:f>
            <x14:dxf>
              <font>
                <strike/>
              </font>
            </x14:dxf>
          </x14:cfRule>
          <xm:sqref>I243:I245</xm:sqref>
        </x14:conditionalFormatting>
        <x14:conditionalFormatting xmlns:xm="http://schemas.microsoft.com/office/excel/2006/main">
          <x14:cfRule type="expression" priority="19631" id="{346C835A-E5B6-40E6-A3EB-6D774E91E6B8}">
            <xm:f>'00 - Concept.'!$E19="N"</xm:f>
            <x14:dxf>
              <font>
                <strike/>
              </font>
            </x14:dxf>
          </x14:cfRule>
          <xm:sqref>I40:I41 I33:I35 I28:I30</xm:sqref>
        </x14:conditionalFormatting>
        <x14:conditionalFormatting xmlns:xm="http://schemas.microsoft.com/office/excel/2006/main">
          <x14:cfRule type="expression" priority="19833" id="{EA15264E-1302-4EF4-957D-F3CA2D4D2310}">
            <xm:f>'00 - Concept.'!$F289="N"</xm:f>
            <x14:dxf>
              <font>
                <strike/>
              </font>
            </x14:dxf>
          </x14:cfRule>
          <xm:sqref>I331 I256:I257 I271:I272</xm:sqref>
        </x14:conditionalFormatting>
        <x14:conditionalFormatting xmlns:xm="http://schemas.microsoft.com/office/excel/2006/main">
          <x14:cfRule type="expression" priority="25371" id="{346C835A-E5B6-40E6-A3EB-6D774E91E6B8}">
            <xm:f>'00 - Concept.'!$E125="N"</xm:f>
            <x14:dxf>
              <font>
                <strike/>
              </font>
            </x14:dxf>
          </x14:cfRule>
          <xm:sqref>I130:I132</xm:sqref>
        </x14:conditionalFormatting>
        <x14:conditionalFormatting xmlns:xm="http://schemas.microsoft.com/office/excel/2006/main">
          <x14:cfRule type="expression" priority="25483" id="{346C835A-E5B6-40E6-A3EB-6D774E91E6B8}">
            <xm:f>'00 - Concept.'!$E137="N"</xm:f>
            <x14:dxf>
              <font>
                <strike/>
              </font>
            </x14:dxf>
          </x14:cfRule>
          <xm:sqref>I163:I164 I135</xm:sqref>
        </x14:conditionalFormatting>
        <x14:conditionalFormatting xmlns:xm="http://schemas.microsoft.com/office/excel/2006/main">
          <x14:cfRule type="expression" priority="32306" id="{EA15264E-1302-4EF4-957D-F3CA2D4D2310}">
            <xm:f>'00 - Concept.'!$F345="N"</xm:f>
            <x14:dxf>
              <font>
                <strike/>
              </font>
            </x14:dxf>
          </x14:cfRule>
          <xm:sqref>I333:I334</xm:sqref>
        </x14:conditionalFormatting>
        <x14:conditionalFormatting xmlns:xm="http://schemas.microsoft.com/office/excel/2006/main">
          <x14:cfRule type="expression" priority="34189" id="{62C24C4A-0E2F-4C2C-B41D-161391870096}">
            <xm:f>'00 - Concept.'!$E72="N"</xm:f>
            <x14:dxf>
              <font>
                <strike/>
              </font>
            </x14:dxf>
          </x14:cfRule>
          <xm:sqref>I113:I114</xm:sqref>
        </x14:conditionalFormatting>
        <x14:conditionalFormatting xmlns:xm="http://schemas.microsoft.com/office/excel/2006/main">
          <x14:cfRule type="expression" priority="41685" id="{EA15264E-1302-4EF4-957D-F3CA2D4D2310}">
            <xm:f>'00 - Concept.'!$F257="N"</xm:f>
            <x14:dxf>
              <font>
                <strike/>
              </font>
            </x14:dxf>
          </x14:cfRule>
          <xm:sqref>I229</xm:sqref>
        </x14:conditionalFormatting>
        <x14:conditionalFormatting xmlns:xm="http://schemas.microsoft.com/office/excel/2006/main">
          <x14:cfRule type="expression" priority="41841" id="{EA15264E-1302-4EF4-957D-F3CA2D4D2310}">
            <xm:f>'00 - Concept.'!$F255="N"</xm:f>
            <x14:dxf>
              <font>
                <strike/>
              </font>
            </x14:dxf>
          </x14:cfRule>
          <xm:sqref>I225:I226</xm:sqref>
        </x14:conditionalFormatting>
        <x14:conditionalFormatting xmlns:xm="http://schemas.microsoft.com/office/excel/2006/main">
          <x14:cfRule type="expression" priority="41993" id="{EA15264E-1302-4EF4-957D-F3CA2D4D2310}">
            <xm:f>'00 - Concept.'!$F253="N"</xm:f>
            <x14:dxf>
              <font>
                <strike/>
              </font>
            </x14:dxf>
          </x14:cfRule>
          <xm:sqref>I222</xm:sqref>
        </x14:conditionalFormatting>
        <x14:conditionalFormatting xmlns:xm="http://schemas.microsoft.com/office/excel/2006/main">
          <x14:cfRule type="expression" priority="42307" id="{EA15264E-1302-4EF4-957D-F3CA2D4D2310}">
            <xm:f>'00 - Concept.'!$F267="N"</xm:f>
            <x14:dxf>
              <font>
                <strike/>
              </font>
            </x14:dxf>
          </x14:cfRule>
          <xm:sqref>I235</xm:sqref>
        </x14:conditionalFormatting>
        <x14:conditionalFormatting xmlns:xm="http://schemas.microsoft.com/office/excel/2006/main">
          <x14:cfRule type="expression" priority="43304" id="{E6D45D5E-A2E7-41F4-BB29-A688282A424A}">
            <xm:f>'00 - Concept.'!$F359="N"</xm:f>
            <x14:dxf>
              <font>
                <strike/>
              </font>
            </x14:dxf>
          </x14:cfRule>
          <xm:sqref>I310:I311</xm:sqref>
        </x14:conditionalFormatting>
        <x14:conditionalFormatting xmlns:xm="http://schemas.microsoft.com/office/excel/2006/main">
          <x14:cfRule type="expression" priority="43482" id="{E6D45D5E-A2E7-41F4-BB29-A688282A424A}">
            <xm:f>'00 - Concept.'!$F370="N"</xm:f>
            <x14:dxf>
              <font>
                <strike/>
              </font>
            </x14:dxf>
          </x14:cfRule>
          <xm:sqref>I318</xm:sqref>
        </x14:conditionalFormatting>
        <x14:conditionalFormatting xmlns:xm="http://schemas.microsoft.com/office/excel/2006/main">
          <x14:cfRule type="expression" priority="45721" id="{EA15264E-1302-4EF4-957D-F3CA2D4D2310}">
            <xm:f>'00 - Concept.'!$F203="N"</xm:f>
            <x14:dxf>
              <font>
                <strike/>
              </font>
            </x14:dxf>
          </x14:cfRule>
          <xm:sqref>I198:I199</xm:sqref>
        </x14:conditionalFormatting>
        <x14:conditionalFormatting xmlns:xm="http://schemas.microsoft.com/office/excel/2006/main">
          <x14:cfRule type="expression" priority="45831" id="{EA15264E-1302-4EF4-957D-F3CA2D4D2310}">
            <xm:f>'00 - Concept.'!$F263="N"</xm:f>
            <x14:dxf>
              <font>
                <strike/>
              </font>
            </x14:dxf>
          </x14:cfRule>
          <xm:sqref>I219:I220</xm:sqref>
        </x14:conditionalFormatting>
        <x14:conditionalFormatting xmlns:xm="http://schemas.microsoft.com/office/excel/2006/main">
          <x14:cfRule type="expression" priority="45941" id="{EA15264E-1302-4EF4-957D-F3CA2D4D2310}">
            <xm:f>'00 - Concept.'!$F250="N"</xm:f>
            <x14:dxf>
              <font>
                <strike/>
              </font>
            </x14:dxf>
          </x14:cfRule>
          <xm:sqref>I208:I210</xm:sqref>
        </x14:conditionalFormatting>
        <x14:conditionalFormatting xmlns:xm="http://schemas.microsoft.com/office/excel/2006/main">
          <x14:cfRule type="expression" priority="46050" id="{EA15264E-1302-4EF4-957D-F3CA2D4D2310}">
            <xm:f>'00 - Concept.'!$F321="N"</xm:f>
            <x14:dxf>
              <font>
                <strike/>
              </font>
            </x14:dxf>
          </x14:cfRule>
          <xm:sqref>I281</xm:sqref>
        </x14:conditionalFormatting>
        <x14:conditionalFormatting xmlns:xm="http://schemas.microsoft.com/office/excel/2006/main">
          <x14:cfRule type="expression" priority="46157" id="{3937D992-46A9-49DF-B0B4-7FF2E5A15B61}">
            <xm:f>'00 - Concept.'!$D4="N"</xm:f>
            <x14:dxf>
              <font>
                <strike/>
              </font>
            </x14:dxf>
          </x14:cfRule>
          <xm:sqref>G4</xm:sqref>
        </x14:conditionalFormatting>
        <x14:conditionalFormatting xmlns:xm="http://schemas.microsoft.com/office/excel/2006/main">
          <x14:cfRule type="expression" priority="46160" id="{EA15264E-1302-4EF4-957D-F3CA2D4D2310}">
            <xm:f>'00 - Concept.'!$F319="N"</xm:f>
            <x14:dxf>
              <font>
                <strike/>
              </font>
            </x14:dxf>
          </x14:cfRule>
          <xm:sqref>I280</xm:sqref>
        </x14:conditionalFormatting>
        <x14:conditionalFormatting xmlns:xm="http://schemas.microsoft.com/office/excel/2006/main">
          <x14:cfRule type="expression" priority="46163" id="{EA15264E-1302-4EF4-957D-F3CA2D4D2310}">
            <xm:f>'00 - Concept.'!$F327="N"</xm:f>
            <x14:dxf>
              <font>
                <strike/>
              </font>
            </x14:dxf>
          </x14:cfRule>
          <xm:sqref>I290:I291</xm:sqref>
        </x14:conditionalFormatting>
        <x14:conditionalFormatting xmlns:xm="http://schemas.microsoft.com/office/excel/2006/main">
          <x14:cfRule type="expression" priority="46276" id="{EA15264E-1302-4EF4-957D-F3CA2D4D2310}">
            <xm:f>'00 - Concept.'!$F266="N"</xm:f>
            <x14:dxf>
              <font>
                <strike/>
              </font>
            </x14:dxf>
          </x14:cfRule>
          <xm:sqref>I232:I233</xm:sqref>
        </x14:conditionalFormatting>
        <x14:conditionalFormatting xmlns:xm="http://schemas.microsoft.com/office/excel/2006/main">
          <x14:cfRule type="expression" priority="46384" id="{EA15264E-1302-4EF4-957D-F3CA2D4D2310}">
            <xm:f>'00 - Concept.'!$F194="N"</xm:f>
            <x14:dxf>
              <font>
                <strike/>
              </font>
            </x14:dxf>
          </x14:cfRule>
          <xm:sqref>I190</xm:sqref>
        </x14:conditionalFormatting>
        <x14:conditionalFormatting xmlns:xm="http://schemas.microsoft.com/office/excel/2006/main">
          <x14:cfRule type="expression" priority="52956" id="{346C835A-E5B6-40E6-A3EB-6D774E91E6B8}">
            <xm:f>'00 - Concept.'!$E136="N"</xm:f>
            <x14:dxf>
              <font>
                <strike/>
              </font>
            </x14:dxf>
          </x14:cfRule>
          <xm:sqref>I133:I134</xm:sqref>
        </x14:conditionalFormatting>
        <x14:conditionalFormatting xmlns:xm="http://schemas.microsoft.com/office/excel/2006/main">
          <x14:cfRule type="expression" priority="53912" id="{EA15264E-1302-4EF4-957D-F3CA2D4D2310}">
            <xm:f>'00 - Concept.'!$F190="N"</xm:f>
            <x14:dxf>
              <font>
                <strike/>
              </font>
            </x14:dxf>
          </x14:cfRule>
          <xm:sqref>I193</xm:sqref>
        </x14:conditionalFormatting>
        <x14:conditionalFormatting xmlns:xm="http://schemas.microsoft.com/office/excel/2006/main">
          <x14:cfRule type="expression" priority="54320" id="{EA15264E-1302-4EF4-957D-F3CA2D4D2310}">
            <xm:f>'00 - Concept.'!$F198="N"</xm:f>
            <x14:dxf>
              <font>
                <strike/>
              </font>
            </x14:dxf>
          </x14:cfRule>
          <xm:sqref>I195</xm:sqref>
        </x14:conditionalFormatting>
        <x14:conditionalFormatting xmlns:xm="http://schemas.microsoft.com/office/excel/2006/main">
          <x14:cfRule type="expression" priority="55347" id="{346C835A-E5B6-40E6-A3EB-6D774E91E6B8}">
            <xm:f>'00 - Concept.'!$E36="N"</xm:f>
            <x14:dxf>
              <font>
                <strike/>
              </font>
            </x14:dxf>
          </x14:cfRule>
          <xm:sqref>I42:I44</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pageSetUpPr fitToPage="1"/>
  </sheetPr>
  <dimension ref="A1:AY778"/>
  <sheetViews>
    <sheetView showGridLines="0" view="pageBreakPreview" topLeftCell="B1" zoomScaleNormal="100" zoomScaleSheetLayoutView="100" workbookViewId="0">
      <pane ySplit="23" topLeftCell="A24" activePane="bottomLeft" state="frozen"/>
      <selection pane="bottomLeft" activeCell="H31" sqref="H31"/>
    </sheetView>
  </sheetViews>
  <sheetFormatPr defaultRowHeight="15" x14ac:dyDescent="0.25"/>
  <cols>
    <col min="1" max="1" width="5.7109375" style="190" hidden="1" customWidth="1"/>
    <col min="2" max="2" width="0.85546875" customWidth="1"/>
    <col min="3" max="3" width="9.28515625" customWidth="1"/>
    <col min="4" max="6" width="3.28515625" style="16" customWidth="1"/>
    <col min="7" max="7" width="8" style="19" customWidth="1"/>
    <col min="8" max="8" width="86" style="17" customWidth="1"/>
    <col min="9" max="9" width="0.85546875" style="17" customWidth="1"/>
    <col min="10" max="10" width="11.5703125" style="17" hidden="1" customWidth="1"/>
    <col min="11" max="11" width="10.140625" style="17" hidden="1" customWidth="1"/>
    <col min="12" max="12" width="9.140625" style="181"/>
    <col min="13" max="17" width="9.140625" style="17" customWidth="1"/>
    <col min="18" max="18" width="9.140625" style="17"/>
    <col min="19" max="19" width="9.140625" style="255"/>
    <col min="20" max="49" width="9.140625" style="17"/>
  </cols>
  <sheetData>
    <row r="1" spans="1:49" s="542" customFormat="1" hidden="1" x14ac:dyDescent="0.25">
      <c r="A1" s="1407"/>
      <c r="D1" s="543"/>
      <c r="E1" s="543"/>
      <c r="F1" s="543"/>
      <c r="G1" s="19"/>
      <c r="H1" s="17"/>
      <c r="I1" s="17"/>
      <c r="J1" s="17"/>
      <c r="K1" s="17"/>
      <c r="L1" s="551"/>
      <c r="M1" s="17"/>
      <c r="N1" s="17"/>
      <c r="O1" s="17"/>
      <c r="P1" s="17"/>
      <c r="Q1" s="17"/>
      <c r="R1" s="17"/>
      <c r="S1" s="255"/>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row>
    <row r="2" spans="1:49" s="542" customFormat="1" hidden="1" x14ac:dyDescent="0.25">
      <c r="A2" s="1407"/>
      <c r="D2" s="543"/>
      <c r="E2" s="543"/>
      <c r="F2" s="543"/>
      <c r="G2" s="19"/>
      <c r="H2" s="17"/>
      <c r="I2" s="17"/>
      <c r="J2" s="17"/>
      <c r="K2" s="17"/>
      <c r="L2" s="551"/>
      <c r="M2" s="17"/>
      <c r="N2" s="17"/>
      <c r="O2" s="17"/>
      <c r="P2" s="17"/>
      <c r="Q2" s="17"/>
      <c r="R2" s="17"/>
      <c r="S2" s="255"/>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row>
    <row r="3" spans="1:49" ht="30" customHeight="1" x14ac:dyDescent="0.25">
      <c r="A3" s="1407"/>
      <c r="B3" s="1185"/>
      <c r="C3" s="1577" t="s">
        <v>46</v>
      </c>
      <c r="D3" s="1577"/>
      <c r="E3" s="1577"/>
      <c r="F3" s="2160" t="str">
        <f ca="1">CONCATENATE("READ DIRECTIONS FILE FIRST.  PSC should print &amp; use at CONST submittals. PM/ Planner only should hide non-applicable rows.  Choices for applicability are in the tab [",MID(CELL("filename",Date_edited_TAB_C),FIND("]",CELL("filename",Date_edited_TAB_C))+1,255),"]")</f>
        <v>READ DIRECTIONS FILE FIRST.  PSC should print &amp; use at CONST submittals. PM/ Planner only should hide non-applicable rows.  Choices for applicability are in the tab [C-Design&amp;Const]</v>
      </c>
      <c r="G3" s="2160"/>
      <c r="H3" s="2160"/>
      <c r="I3" s="1421"/>
      <c r="J3" s="1186"/>
      <c r="K3" s="1441"/>
      <c r="L3" s="1558"/>
      <c r="M3" s="1186"/>
      <c r="N3" s="1186"/>
      <c r="O3" s="1186"/>
      <c r="P3" s="1186"/>
      <c r="Q3" s="1186"/>
      <c r="R3" s="1333"/>
      <c r="S3" s="1449"/>
      <c r="T3" s="1333"/>
      <c r="U3" s="1333"/>
      <c r="V3" s="1333"/>
      <c r="W3" s="1333"/>
      <c r="X3" s="1333"/>
      <c r="Y3" s="1333"/>
      <c r="Z3" s="1333"/>
      <c r="AA3" s="1333"/>
      <c r="AB3" s="1333"/>
      <c r="AC3" s="1333"/>
      <c r="AD3" s="1333"/>
      <c r="AE3" s="1333"/>
      <c r="AF3" s="1333"/>
      <c r="AG3" s="1333"/>
      <c r="AH3" s="1333"/>
      <c r="AI3" s="1333"/>
      <c r="AJ3" s="1333"/>
      <c r="AW3"/>
    </row>
    <row r="4" spans="1:49" ht="19.5" hidden="1" thickTop="1" x14ac:dyDescent="0.25">
      <c r="A4" s="1407"/>
      <c r="C4" s="34"/>
      <c r="D4" s="35" t="s">
        <v>37</v>
      </c>
      <c r="E4" s="36"/>
      <c r="F4" s="28"/>
      <c r="G4" s="1801" t="s">
        <v>39</v>
      </c>
      <c r="H4" s="1803" t="s">
        <v>219</v>
      </c>
      <c r="I4" s="63"/>
      <c r="J4" s="53"/>
      <c r="K4" s="63"/>
      <c r="L4" s="1276" t="s">
        <v>142</v>
      </c>
      <c r="M4" s="1341"/>
      <c r="N4" s="1333"/>
      <c r="O4" s="1333"/>
      <c r="P4" s="1333"/>
      <c r="Q4" s="1333"/>
      <c r="R4" s="1333"/>
      <c r="S4" s="1449"/>
      <c r="T4" s="1333"/>
      <c r="U4" s="1333"/>
      <c r="V4" s="1333"/>
      <c r="W4" s="1333"/>
      <c r="X4" s="1333"/>
      <c r="Y4" s="1333"/>
      <c r="Z4" s="1333"/>
      <c r="AA4" s="1333"/>
      <c r="AB4" s="1333"/>
      <c r="AC4" s="1333"/>
      <c r="AD4" s="1333"/>
      <c r="AE4" s="1333"/>
      <c r="AF4" s="1333"/>
      <c r="AG4" s="1333"/>
      <c r="AH4" s="1333"/>
      <c r="AI4" s="1333"/>
      <c r="AJ4" s="1333"/>
      <c r="AW4"/>
    </row>
    <row r="5" spans="1:49" hidden="1" x14ac:dyDescent="0.25">
      <c r="A5" s="1508"/>
      <c r="C5" s="39"/>
      <c r="D5" s="21"/>
      <c r="E5" s="29" t="s">
        <v>37</v>
      </c>
      <c r="F5" s="22"/>
      <c r="G5" s="33"/>
      <c r="H5" s="40" t="s">
        <v>50</v>
      </c>
      <c r="I5" s="299"/>
      <c r="J5" s="153"/>
      <c r="K5" s="302"/>
      <c r="L5" s="1554" t="s">
        <v>49</v>
      </c>
      <c r="M5" s="1521"/>
      <c r="N5" s="1351"/>
      <c r="O5" s="1333"/>
      <c r="P5" s="1333"/>
      <c r="Q5" s="1333"/>
      <c r="R5" s="1333"/>
      <c r="S5" s="1449"/>
      <c r="T5" s="1333"/>
      <c r="U5" s="1333"/>
      <c r="V5" s="1333"/>
      <c r="W5" s="1333"/>
      <c r="X5" s="1333"/>
      <c r="Y5" s="1333"/>
      <c r="Z5" s="1333"/>
      <c r="AA5" s="1333"/>
      <c r="AB5" s="1333"/>
      <c r="AC5" s="1333"/>
      <c r="AD5" s="1333"/>
      <c r="AE5" s="1333"/>
      <c r="AF5" s="1333"/>
      <c r="AG5" s="1333"/>
      <c r="AH5" s="1333"/>
      <c r="AI5" s="1333"/>
      <c r="AJ5" s="1333"/>
      <c r="AW5"/>
    </row>
    <row r="6" spans="1:49" ht="15.75" hidden="1" thickBot="1" x14ac:dyDescent="0.3">
      <c r="A6" s="1508"/>
      <c r="C6" s="41"/>
      <c r="D6" s="42"/>
      <c r="E6" s="42"/>
      <c r="F6" s="43" t="s">
        <v>37</v>
      </c>
      <c r="G6" s="44"/>
      <c r="H6" s="45" t="s">
        <v>51</v>
      </c>
      <c r="I6" s="300"/>
      <c r="J6" s="62"/>
      <c r="K6" s="303"/>
      <c r="L6" s="1495"/>
      <c r="M6" s="1351"/>
      <c r="N6" s="1351"/>
      <c r="O6" s="1333"/>
      <c r="P6" s="1333"/>
      <c r="Q6" s="1333"/>
      <c r="R6" s="1333"/>
      <c r="S6" s="1449"/>
      <c r="T6" s="1333"/>
      <c r="U6" s="1333"/>
      <c r="V6" s="1333"/>
      <c r="W6" s="1333"/>
      <c r="X6" s="1333"/>
      <c r="Y6" s="1333"/>
      <c r="Z6" s="1333"/>
      <c r="AA6" s="1333"/>
      <c r="AB6" s="1333"/>
      <c r="AC6" s="1333"/>
      <c r="AD6" s="1333"/>
      <c r="AE6" s="1333"/>
      <c r="AF6" s="1333"/>
      <c r="AG6" s="1333"/>
      <c r="AH6" s="1333"/>
      <c r="AI6" s="1333"/>
      <c r="AJ6" s="1333"/>
      <c r="AW6"/>
    </row>
    <row r="7" spans="1:49" hidden="1" x14ac:dyDescent="0.25">
      <c r="A7" s="1508"/>
      <c r="C7" s="47" t="s">
        <v>71</v>
      </c>
      <c r="D7" s="47" t="s">
        <v>45</v>
      </c>
      <c r="E7" s="47"/>
      <c r="F7" s="47"/>
      <c r="G7" s="48"/>
      <c r="H7" s="96" t="s">
        <v>107</v>
      </c>
      <c r="I7" s="301"/>
      <c r="J7" s="62"/>
      <c r="K7" s="304"/>
      <c r="L7" s="1495"/>
      <c r="M7" s="1351"/>
      <c r="N7" s="1351"/>
      <c r="O7" s="1333"/>
      <c r="P7" s="1333"/>
      <c r="Q7" s="1333"/>
      <c r="R7" s="1333"/>
      <c r="S7" s="1449"/>
      <c r="T7" s="1333"/>
      <c r="U7" s="1333"/>
      <c r="V7" s="1333"/>
      <c r="W7" s="1333"/>
      <c r="X7" s="1333"/>
      <c r="Y7" s="1333"/>
      <c r="Z7" s="1333"/>
      <c r="AA7" s="1333"/>
      <c r="AB7" s="1333"/>
      <c r="AC7" s="1333"/>
      <c r="AD7" s="1333"/>
      <c r="AE7" s="1333"/>
      <c r="AF7" s="1333"/>
      <c r="AG7" s="1333"/>
      <c r="AH7" s="1333"/>
      <c r="AI7" s="1333"/>
      <c r="AJ7" s="1333"/>
    </row>
    <row r="8" spans="1:49" hidden="1" x14ac:dyDescent="0.25">
      <c r="A8" s="1508"/>
      <c r="C8" s="20" t="s">
        <v>100</v>
      </c>
      <c r="D8" s="20" t="s">
        <v>37</v>
      </c>
      <c r="E8" s="46" t="s">
        <v>47</v>
      </c>
      <c r="H8" s="97" t="s">
        <v>268</v>
      </c>
      <c r="I8" s="264"/>
      <c r="J8" s="62"/>
      <c r="K8" s="141"/>
      <c r="L8" s="1495"/>
      <c r="M8" s="1351"/>
      <c r="N8" s="1351"/>
      <c r="O8" s="1333"/>
      <c r="P8" s="1333"/>
      <c r="Q8" s="1333"/>
      <c r="R8" s="1333"/>
      <c r="S8" s="1449"/>
      <c r="T8" s="1333"/>
      <c r="U8" s="1333"/>
      <c r="V8" s="1333"/>
      <c r="W8" s="1333"/>
      <c r="X8" s="1333"/>
      <c r="Y8" s="1333"/>
      <c r="Z8" s="1333"/>
      <c r="AA8" s="1333"/>
      <c r="AB8" s="1333"/>
      <c r="AC8" s="1333"/>
      <c r="AD8" s="1333"/>
      <c r="AE8" s="1333"/>
      <c r="AF8" s="1333"/>
      <c r="AG8" s="1333"/>
      <c r="AH8" s="1333"/>
      <c r="AI8" s="1333"/>
      <c r="AJ8" s="1333"/>
    </row>
    <row r="9" spans="1:49" hidden="1" x14ac:dyDescent="0.25">
      <c r="A9" s="1508"/>
      <c r="C9" s="20" t="s">
        <v>72</v>
      </c>
      <c r="D9" s="20" t="s">
        <v>38</v>
      </c>
      <c r="E9" s="46" t="s">
        <v>47</v>
      </c>
      <c r="H9" s="97" t="s">
        <v>53</v>
      </c>
      <c r="I9" s="264"/>
      <c r="J9" s="62"/>
      <c r="K9" s="141"/>
      <c r="L9" s="1495"/>
      <c r="M9" s="1351"/>
      <c r="N9" s="1351"/>
      <c r="O9" s="1333"/>
      <c r="P9" s="1333"/>
      <c r="Q9" s="1333"/>
      <c r="R9" s="1333"/>
      <c r="S9" s="1449"/>
      <c r="T9" s="1333"/>
      <c r="U9" s="1333"/>
      <c r="V9" s="1333"/>
      <c r="W9" s="1333"/>
      <c r="X9" s="1333"/>
      <c r="Y9" s="1333"/>
      <c r="Z9" s="1333"/>
      <c r="AA9" s="1333"/>
      <c r="AB9" s="1333"/>
      <c r="AC9" s="1333"/>
      <c r="AD9" s="1333"/>
      <c r="AE9" s="1333"/>
      <c r="AF9" s="1333"/>
      <c r="AG9" s="1333"/>
      <c r="AH9" s="1333"/>
      <c r="AI9" s="1333"/>
      <c r="AJ9" s="1333"/>
    </row>
    <row r="10" spans="1:49" hidden="1" x14ac:dyDescent="0.25">
      <c r="A10" s="1508"/>
      <c r="C10" s="20"/>
      <c r="D10" s="20" t="s">
        <v>21</v>
      </c>
      <c r="E10" s="46" t="s">
        <v>47</v>
      </c>
      <c r="H10" s="98" t="s">
        <v>109</v>
      </c>
      <c r="I10" s="264"/>
      <c r="J10" s="62"/>
      <c r="K10" s="141"/>
      <c r="L10" s="1495"/>
      <c r="M10" s="1351"/>
      <c r="N10" s="1351"/>
      <c r="O10" s="1333"/>
      <c r="P10" s="1333"/>
      <c r="Q10" s="1333"/>
      <c r="R10" s="1333"/>
      <c r="S10" s="1449"/>
      <c r="T10" s="1333"/>
      <c r="U10" s="1333"/>
      <c r="V10" s="1333"/>
      <c r="W10" s="1333"/>
      <c r="X10" s="1333"/>
      <c r="Y10" s="1333"/>
      <c r="Z10" s="1333"/>
      <c r="AA10" s="1333"/>
      <c r="AB10" s="1333"/>
      <c r="AC10" s="1333"/>
      <c r="AD10" s="1333"/>
      <c r="AE10" s="1333"/>
      <c r="AF10" s="1333"/>
      <c r="AG10" s="1333"/>
      <c r="AH10" s="1333"/>
      <c r="AI10" s="1333"/>
      <c r="AJ10" s="1333"/>
    </row>
    <row r="11" spans="1:49" hidden="1" x14ac:dyDescent="0.25">
      <c r="A11" s="1508"/>
      <c r="C11" s="20"/>
      <c r="D11" s="20"/>
      <c r="I11" s="264"/>
      <c r="J11" s="62"/>
      <c r="K11" s="141"/>
      <c r="L11" s="1495"/>
      <c r="M11" s="1351"/>
      <c r="N11" s="1351"/>
      <c r="O11" s="1333"/>
      <c r="P11" s="1333"/>
      <c r="Q11" s="1333"/>
      <c r="R11" s="1333"/>
      <c r="S11" s="1449"/>
      <c r="T11" s="1333"/>
      <c r="U11" s="1333"/>
      <c r="V11" s="1333"/>
      <c r="W11" s="1333"/>
      <c r="X11" s="1333"/>
      <c r="Y11" s="1333"/>
      <c r="Z11" s="1333"/>
      <c r="AA11" s="1333"/>
      <c r="AB11" s="1333"/>
      <c r="AC11" s="1333"/>
      <c r="AD11" s="1333"/>
      <c r="AE11" s="1333"/>
      <c r="AF11" s="1333"/>
      <c r="AG11" s="1333"/>
      <c r="AH11" s="1333"/>
      <c r="AI11" s="1333"/>
      <c r="AJ11" s="1333"/>
    </row>
    <row r="12" spans="1:49" hidden="1" x14ac:dyDescent="0.25">
      <c r="A12" s="1508"/>
      <c r="I12" s="264"/>
      <c r="J12" s="62"/>
      <c r="K12" s="141"/>
      <c r="L12" s="1495"/>
      <c r="M12" s="1351"/>
      <c r="N12" s="1351"/>
      <c r="O12" s="1333"/>
      <c r="P12" s="1333"/>
      <c r="Q12" s="1333"/>
      <c r="R12" s="1333"/>
      <c r="S12" s="1449"/>
      <c r="T12" s="1333"/>
      <c r="U12" s="1333"/>
      <c r="V12" s="1333"/>
      <c r="W12" s="1333"/>
      <c r="X12" s="1333"/>
      <c r="Y12" s="1333"/>
      <c r="Z12" s="1333"/>
      <c r="AA12" s="1333"/>
      <c r="AB12" s="1333"/>
      <c r="AC12" s="1333"/>
      <c r="AD12" s="1333"/>
      <c r="AE12" s="1333"/>
      <c r="AF12" s="1333"/>
      <c r="AG12" s="1333"/>
      <c r="AH12" s="1333"/>
      <c r="AI12" s="1333"/>
      <c r="AJ12" s="1333"/>
    </row>
    <row r="13" spans="1:49" ht="6" customHeight="1" x14ac:dyDescent="0.25">
      <c r="A13" s="1515"/>
      <c r="I13" s="264"/>
      <c r="J13" s="140"/>
      <c r="K13" s="143"/>
      <c r="L13" s="1555"/>
      <c r="M13" s="1369"/>
      <c r="N13" s="1369"/>
      <c r="O13" s="1333"/>
      <c r="P13" s="1333"/>
      <c r="Q13" s="1333"/>
      <c r="R13" s="1333"/>
      <c r="S13" s="1449"/>
      <c r="T13" s="1333"/>
      <c r="U13" s="1333"/>
      <c r="V13" s="1333"/>
      <c r="W13" s="1333"/>
      <c r="X13" s="1333"/>
      <c r="Y13" s="1333"/>
      <c r="Z13" s="1333"/>
      <c r="AA13" s="1333"/>
      <c r="AB13" s="1333"/>
      <c r="AC13" s="1333"/>
      <c r="AD13" s="1333"/>
      <c r="AE13" s="1333"/>
      <c r="AF13" s="1333"/>
      <c r="AG13" s="1333"/>
      <c r="AH13" s="1333"/>
      <c r="AI13" s="1333"/>
      <c r="AJ13" s="1333"/>
    </row>
    <row r="14" spans="1:49" ht="6" customHeight="1" x14ac:dyDescent="0.25">
      <c r="A14" s="1407"/>
      <c r="B14" s="119"/>
      <c r="C14" s="120"/>
      <c r="D14" s="121"/>
      <c r="E14" s="121"/>
      <c r="F14" s="121"/>
      <c r="G14" s="122"/>
      <c r="H14" s="123"/>
      <c r="I14" s="124"/>
      <c r="K14" s="62"/>
      <c r="L14" s="1382"/>
      <c r="M14" s="1333"/>
      <c r="N14" s="1333"/>
      <c r="O14" s="1333"/>
      <c r="P14" s="1333"/>
      <c r="Q14" s="1333"/>
      <c r="R14" s="1333"/>
      <c r="S14" s="1449"/>
      <c r="T14" s="1333"/>
      <c r="U14" s="1333"/>
      <c r="V14" s="1333"/>
      <c r="W14" s="1333"/>
      <c r="X14" s="1333"/>
      <c r="Y14" s="1333"/>
      <c r="Z14" s="1333"/>
      <c r="AA14" s="1333"/>
      <c r="AB14" s="1333"/>
      <c r="AC14" s="1333"/>
      <c r="AD14" s="1333"/>
      <c r="AE14" s="1333"/>
      <c r="AF14" s="1333"/>
      <c r="AG14" s="1333"/>
      <c r="AH14" s="1333"/>
      <c r="AI14" s="1333"/>
      <c r="AJ14" s="1333"/>
    </row>
    <row r="15" spans="1:49" ht="18.75" customHeight="1" x14ac:dyDescent="0.3">
      <c r="A15" s="2314" t="str">
        <f>IF(CD95_apply="Yes","95% CD list of applicability","-")</f>
        <v>95% CD list of applicability</v>
      </c>
      <c r="B15" s="125"/>
      <c r="C15" s="2330" t="str">
        <f>CONCATENATE(Project_No," - ",Project_Name)</f>
        <v>U12345 - Davenport Hall Addition &amp; Remodel - Example</v>
      </c>
      <c r="D15" s="2330"/>
      <c r="E15" s="2330"/>
      <c r="F15" s="2330"/>
      <c r="G15" s="2330"/>
      <c r="H15" s="2330"/>
      <c r="I15" s="126"/>
      <c r="K15" s="2308" t="str">
        <f>IF(CD95_apply="Yes","Check match w/ 95%CD list","-")</f>
        <v>Check match w/ 95%CD list</v>
      </c>
      <c r="L15" s="1378" t="str">
        <f ca="1">CONCATENATE(IF(ISNUMBER(SEARCH("INSERT",C15))=TRUE,"&lt;----Fill in information in tab [","&lt;----ECHOED from Tab ["),MID(CELL("filename",'A-Info, Phases, Recip.'!D4),FIND("]",CELL("filename",'A-Info, Phases, Recip.'!D4))+1,255),"]")</f>
        <v>&lt;----ECHOED from Tab [A-Info, Phases, Recip.]</v>
      </c>
      <c r="M15" s="1333"/>
      <c r="N15" s="1333"/>
      <c r="O15" s="1333"/>
      <c r="P15" s="1333"/>
      <c r="Q15" s="1333"/>
      <c r="R15" s="1333"/>
      <c r="S15" s="1449"/>
      <c r="T15" s="1333"/>
      <c r="U15" s="1333"/>
      <c r="V15" s="1333"/>
      <c r="W15" s="1333"/>
      <c r="X15" s="1333"/>
      <c r="Y15" s="1333"/>
      <c r="Z15" s="1333"/>
      <c r="AA15" s="1333"/>
      <c r="AB15" s="1333"/>
      <c r="AC15" s="1333"/>
      <c r="AD15" s="1333"/>
      <c r="AE15" s="1333"/>
      <c r="AF15" s="1333"/>
      <c r="AG15" s="1333"/>
      <c r="AH15" s="1333"/>
      <c r="AI15" s="1333"/>
      <c r="AJ15" s="1333"/>
    </row>
    <row r="16" spans="1:49" ht="18.75" x14ac:dyDescent="0.3">
      <c r="A16" s="2314"/>
      <c r="B16" s="125"/>
      <c r="C16" s="2054" t="str">
        <f>IF(OR(Construction="Construction does not apply",Feasibility_Concept="Conceptualization Only",Feasibility_Concept="Feasibility Study"),"NO CONSTRUCTION - CONST. DOES NOT APPLY",IF(Const_apply="NO","CONSTRUCTION DOES NOT APPLY",CONCATENATE(VLOOKUP(Const_placeholder,'A-Info, Phases, Recip.'!E$126:F$146,2,FALSE)," - PSC Minimum List of Deliverables")))</f>
        <v>Construction - PSC Minimum List of Deliverables</v>
      </c>
      <c r="D16" s="2054"/>
      <c r="E16" s="2054"/>
      <c r="F16" s="2054"/>
      <c r="G16" s="2054"/>
      <c r="H16" s="2054"/>
      <c r="I16" s="126"/>
      <c r="K16" s="2308"/>
      <c r="L16" s="1442" t="str">
        <f ca="1">CONCATENATE("&lt;----Phase Applicability chosen in Tab [",MID(CELL("filename",'A-Info, Phases, Recip.'!D4),FIND("]",CELL("filename",'A-Info, Phases, Recip.'!D4))+1,255),"]")</f>
        <v>&lt;----Phase Applicability chosen in Tab [A-Info, Phases, Recip.]</v>
      </c>
      <c r="M16" s="1333"/>
      <c r="N16" s="1333"/>
      <c r="O16" s="1333"/>
      <c r="P16" s="1333"/>
      <c r="Q16" s="1333"/>
      <c r="R16" s="1333"/>
      <c r="S16" s="1449"/>
      <c r="T16" s="1333"/>
      <c r="U16" s="1333"/>
      <c r="V16" s="1333"/>
      <c r="W16" s="1333"/>
      <c r="X16" s="1333"/>
      <c r="Y16" s="1333"/>
      <c r="Z16" s="1333"/>
      <c r="AA16" s="1333"/>
      <c r="AB16" s="1333"/>
      <c r="AC16" s="1333"/>
      <c r="AD16" s="1333"/>
      <c r="AE16" s="1333"/>
      <c r="AF16" s="1333"/>
      <c r="AG16" s="1333"/>
      <c r="AH16" s="1333"/>
      <c r="AI16" s="1333"/>
      <c r="AJ16" s="1333"/>
    </row>
    <row r="17" spans="1:49" s="542" customFormat="1" ht="7.5" customHeight="1" x14ac:dyDescent="0.3">
      <c r="A17" s="2314"/>
      <c r="B17" s="125"/>
      <c r="C17" s="1047"/>
      <c r="D17" s="1047"/>
      <c r="E17" s="1047"/>
      <c r="F17" s="1047"/>
      <c r="G17" s="1047"/>
      <c r="H17" s="1047"/>
      <c r="I17" s="126"/>
      <c r="J17" s="17"/>
      <c r="K17" s="2308"/>
      <c r="L17" s="1442"/>
      <c r="M17" s="1333"/>
      <c r="N17" s="1333"/>
      <c r="O17" s="1333"/>
      <c r="P17" s="1333"/>
      <c r="Q17" s="1333"/>
      <c r="R17" s="1333"/>
      <c r="S17" s="1449"/>
      <c r="T17" s="1333"/>
      <c r="U17" s="1333"/>
      <c r="V17" s="1333"/>
      <c r="W17" s="1333"/>
      <c r="X17" s="1333"/>
      <c r="Y17" s="1333"/>
      <c r="Z17" s="1333"/>
      <c r="AA17" s="1333"/>
      <c r="AB17" s="1333"/>
      <c r="AC17" s="1333"/>
      <c r="AD17" s="1333"/>
      <c r="AE17" s="1333"/>
      <c r="AF17" s="1333"/>
      <c r="AG17" s="1333"/>
      <c r="AH17" s="1333"/>
      <c r="AI17" s="1333"/>
      <c r="AJ17" s="1333"/>
      <c r="AK17" s="17"/>
      <c r="AL17" s="17"/>
      <c r="AM17" s="17"/>
      <c r="AN17" s="17"/>
      <c r="AO17" s="17"/>
      <c r="AP17" s="17"/>
      <c r="AQ17" s="17"/>
      <c r="AR17" s="17"/>
      <c r="AS17" s="17"/>
      <c r="AT17" s="17"/>
      <c r="AU17" s="17"/>
      <c r="AV17" s="17"/>
      <c r="AW17" s="17"/>
    </row>
    <row r="18" spans="1:49" ht="12.75" customHeight="1" x14ac:dyDescent="0.25">
      <c r="A18" s="2314"/>
      <c r="B18" s="125"/>
      <c r="C18" s="2055" t="str">
        <f>CONCATENATE("Const. Delivery = ",Const_Delivery_Method," ; Const. Type = ",Const_Type,"; LEED Goal = ",IF(LEED_Goal="none","N/A",LEED_Goal),"; Bldg, lot, or Utility: ",Bldg_No_or_Utility)</f>
        <v>Const. Delivery = BID ; Const. Type = Remodeling/Addition; LEED Goal = Silver - Certified; Bldg, lot, or Utility: 0001</v>
      </c>
      <c r="D18" s="2056"/>
      <c r="E18" s="2056"/>
      <c r="F18" s="2056"/>
      <c r="G18" s="2056"/>
      <c r="H18" s="2056"/>
      <c r="I18" s="127"/>
      <c r="K18" s="2308"/>
      <c r="L18" s="1378" t="str">
        <f ca="1">CONCATENATE(IF(OR(ISNUMBER(SEARCH("Select",C18))=TRUE,ISNUMBER(SEARCH("Choose",D18))=TRUE,ISNUMBER(SEARCH("####",C18))=TRUE),"&lt;----Fill in information in tab [","&lt;----ECHOED from Tab ["),MID(CELL("filename",'A-Info, Phases, Recip.'!D6),FIND("]",CELL("filename",'A-Info, Phases, Recip.'!D6))+1,255),"]")</f>
        <v>&lt;----ECHOED from Tab [A-Info, Phases, Recip.]</v>
      </c>
      <c r="M18" s="1333"/>
      <c r="N18" s="1333"/>
      <c r="O18" s="1333"/>
      <c r="P18" s="1333"/>
      <c r="Q18" s="1333"/>
      <c r="R18" s="1333"/>
      <c r="S18" s="1449"/>
      <c r="T18" s="1333"/>
      <c r="U18" s="1333"/>
      <c r="V18" s="1333"/>
      <c r="W18" s="1333"/>
      <c r="X18" s="1333"/>
      <c r="Y18" s="1333"/>
      <c r="Z18" s="1333"/>
      <c r="AA18" s="1333"/>
      <c r="AB18" s="1333"/>
      <c r="AC18" s="1333"/>
      <c r="AD18" s="1333"/>
      <c r="AE18" s="1333"/>
      <c r="AF18" s="1333"/>
      <c r="AG18" s="1333"/>
      <c r="AH18" s="1333"/>
      <c r="AI18" s="1333"/>
      <c r="AJ18" s="1333"/>
    </row>
    <row r="19" spans="1:49" ht="11.1" customHeight="1" x14ac:dyDescent="0.25">
      <c r="A19" s="2314"/>
      <c r="B19" s="125"/>
      <c r="C19" s="2057" t="str">
        <f>CONCATENATE("Master Template last updated on: ",TEXT(Form_Update,"MM/DD/YYYY"),".  Struck out text is not required.")</f>
        <v>Master Template last updated on: 08/31/2020.  Struck out text is not required.</v>
      </c>
      <c r="D19" s="2057"/>
      <c r="E19" s="2057"/>
      <c r="F19" s="2057"/>
      <c r="G19" s="2057"/>
      <c r="H19" s="2057"/>
      <c r="I19" s="128"/>
      <c r="K19" s="2308"/>
      <c r="L19" s="1333"/>
      <c r="M19" s="1333"/>
      <c r="N19" s="1333"/>
      <c r="O19" s="1333"/>
      <c r="P19" s="1333"/>
      <c r="Q19" s="1333"/>
      <c r="R19" s="1333"/>
      <c r="S19" s="1449"/>
      <c r="T19" s="1333"/>
      <c r="U19" s="1333"/>
      <c r="V19" s="1333"/>
      <c r="W19" s="1333"/>
      <c r="X19" s="1333"/>
      <c r="Y19" s="1333"/>
      <c r="Z19" s="1333"/>
      <c r="AA19" s="1333"/>
      <c r="AB19" s="1333"/>
      <c r="AC19" s="1333"/>
      <c r="AD19" s="1333"/>
      <c r="AE19" s="1333"/>
      <c r="AF19" s="1333"/>
      <c r="AG19" s="1333"/>
      <c r="AH19" s="1333"/>
      <c r="AI19" s="1333"/>
      <c r="AJ19" s="1333"/>
      <c r="AV19"/>
      <c r="AW19"/>
    </row>
    <row r="20" spans="1:49" ht="9" customHeight="1" x14ac:dyDescent="0.25">
      <c r="A20" s="2314"/>
      <c r="B20" s="125"/>
      <c r="C20" s="18"/>
      <c r="D20" s="21"/>
      <c r="E20" s="21"/>
      <c r="F20" s="21"/>
      <c r="G20" s="129"/>
      <c r="H20" s="62"/>
      <c r="I20" s="130"/>
      <c r="K20" s="2308"/>
      <c r="L20" s="1333"/>
      <c r="M20" s="1333"/>
      <c r="N20" s="1333"/>
      <c r="O20" s="1333"/>
      <c r="P20" s="1333"/>
      <c r="Q20" s="1333"/>
      <c r="R20" s="1333"/>
      <c r="S20" s="1449"/>
      <c r="T20" s="1333"/>
      <c r="U20" s="1333"/>
      <c r="V20" s="1333"/>
      <c r="W20" s="1333"/>
      <c r="X20" s="1333"/>
      <c r="Y20" s="1333"/>
      <c r="Z20" s="1333"/>
      <c r="AA20" s="1333"/>
      <c r="AB20" s="1333"/>
      <c r="AC20" s="1333"/>
      <c r="AD20" s="1333"/>
      <c r="AE20" s="1333"/>
      <c r="AF20" s="1333"/>
      <c r="AG20" s="1333"/>
      <c r="AH20" s="1333"/>
      <c r="AI20" s="1333"/>
      <c r="AJ20" s="1333"/>
    </row>
    <row r="21" spans="1:49" ht="12.75" customHeight="1" x14ac:dyDescent="0.25">
      <c r="A21" s="2314"/>
      <c r="B21" s="125"/>
      <c r="C21" s="2276">
        <f>IF(Date_edited_TAB_C="","",Date_edited_TAB_C)</f>
        <v>44069</v>
      </c>
      <c r="D21" s="2276"/>
      <c r="E21" s="254"/>
      <c r="F21" s="2277" t="str">
        <f>IF(Edit_by_Entity_TAB_C="","",Edit_by_Entity_TAB_C)</f>
        <v>PM</v>
      </c>
      <c r="G21" s="2277"/>
      <c r="H21" s="99" t="str">
        <f>IF(Editor_Name_TAB_C="","",Editor_Name_TAB_C)</f>
        <v>Smith</v>
      </c>
      <c r="I21" s="128"/>
      <c r="K21" s="2308"/>
      <c r="L21" s="1443" t="str">
        <f ca="1">CONCATENATE("&lt;----Enter/Update ''EDIT DATE'' / ''ENTITY'' / ''EDITOR NAME'' in TAB [",MID(CELL("filename",Date_edited_TAB_C),FIND("]",CELL("filename",Date_edited_TAB_C))+1,255),"]")</f>
        <v>&lt;----Enter/Update ''EDIT DATE'' / ''ENTITY'' / ''EDITOR NAME'' in TAB [C-Design&amp;Const]</v>
      </c>
      <c r="M21" s="1333"/>
      <c r="N21" s="1333"/>
      <c r="O21" s="1333"/>
      <c r="P21" s="1333"/>
      <c r="Q21" s="1333"/>
      <c r="R21" s="1333"/>
      <c r="S21" s="1449"/>
      <c r="T21" s="1333"/>
      <c r="U21" s="1333"/>
      <c r="V21" s="1333"/>
      <c r="W21" s="1333"/>
      <c r="X21" s="1333"/>
      <c r="Y21" s="1333"/>
      <c r="Z21" s="1333"/>
      <c r="AA21" s="1333"/>
      <c r="AB21" s="1333"/>
      <c r="AC21" s="1333"/>
      <c r="AD21" s="1333"/>
      <c r="AE21" s="1333"/>
      <c r="AF21" s="1333"/>
      <c r="AG21" s="1333"/>
      <c r="AH21" s="1333"/>
      <c r="AI21" s="1333"/>
      <c r="AJ21" s="1333"/>
    </row>
    <row r="22" spans="1:49" ht="15" customHeight="1" x14ac:dyDescent="0.25">
      <c r="A22" s="2314"/>
      <c r="B22" s="125"/>
      <c r="C22" s="2060" t="s">
        <v>106</v>
      </c>
      <c r="D22" s="2060"/>
      <c r="E22" s="21"/>
      <c r="F22" s="2060" t="s">
        <v>267</v>
      </c>
      <c r="G22" s="2060"/>
      <c r="H22" s="256" t="s">
        <v>110</v>
      </c>
      <c r="I22" s="128"/>
      <c r="K22" s="2308"/>
      <c r="L22" s="1382"/>
      <c r="M22" s="1333"/>
      <c r="N22" s="1333"/>
      <c r="O22" s="1333"/>
      <c r="P22" s="1333"/>
      <c r="Q22" s="1333"/>
      <c r="R22" s="1333"/>
      <c r="S22" s="1449"/>
      <c r="T22" s="1333"/>
      <c r="U22" s="1333"/>
      <c r="V22" s="1333"/>
      <c r="W22" s="1333"/>
      <c r="X22" s="1333"/>
      <c r="Y22" s="1333"/>
      <c r="Z22" s="1333"/>
      <c r="AA22" s="1333"/>
      <c r="AB22" s="1333"/>
      <c r="AC22" s="1333"/>
      <c r="AD22" s="1333"/>
      <c r="AE22" s="1333"/>
      <c r="AF22" s="1333"/>
      <c r="AG22" s="1333"/>
      <c r="AH22" s="1333"/>
      <c r="AI22" s="1333"/>
      <c r="AJ22" s="1333"/>
    </row>
    <row r="23" spans="1:49" ht="27" customHeight="1" thickBot="1" x14ac:dyDescent="0.3">
      <c r="A23" s="2314"/>
      <c r="B23" s="125"/>
      <c r="C23" s="268" t="s">
        <v>100</v>
      </c>
      <c r="D23" s="2329" t="s">
        <v>36</v>
      </c>
      <c r="E23" s="2329"/>
      <c r="F23" s="2329"/>
      <c r="G23" s="2324" t="s">
        <v>782</v>
      </c>
      <c r="H23" s="2325"/>
      <c r="I23" s="131"/>
      <c r="J23" s="419" t="s">
        <v>389</v>
      </c>
      <c r="K23" s="2308"/>
      <c r="L23" s="1379" t="s">
        <v>48</v>
      </c>
      <c r="M23" s="1379"/>
      <c r="N23" s="1379"/>
      <c r="O23" s="1379"/>
      <c r="P23" s="1379"/>
      <c r="Q23" s="1380"/>
      <c r="R23" s="1380"/>
      <c r="S23" s="1380"/>
      <c r="T23" s="1333"/>
      <c r="U23" s="1333"/>
      <c r="V23" s="1333"/>
      <c r="W23" s="1333"/>
      <c r="X23" s="1333"/>
      <c r="Y23" s="1333"/>
      <c r="Z23" s="1333"/>
      <c r="AA23" s="1333"/>
      <c r="AB23" s="1333"/>
      <c r="AC23" s="1333"/>
      <c r="AD23" s="1333"/>
      <c r="AE23" s="1333"/>
      <c r="AF23" s="1333"/>
      <c r="AG23" s="1333"/>
      <c r="AH23" s="1333"/>
      <c r="AI23" s="1333"/>
      <c r="AJ23" s="1333"/>
    </row>
    <row r="24" spans="1:49" s="1" customFormat="1" ht="6.75" customHeight="1" thickTop="1" x14ac:dyDescent="0.3">
      <c r="A24" s="1407" t="str">
        <f>IF(COUNTIF('04 - 95% CD'!D24:G24,"Y")&gt;0,"Y","")</f>
        <v/>
      </c>
      <c r="B24" s="67"/>
      <c r="C24" s="25"/>
      <c r="D24" s="26"/>
      <c r="E24" s="26"/>
      <c r="F24" s="26"/>
      <c r="G24" s="27"/>
      <c r="H24" s="27"/>
      <c r="I24" s="132"/>
      <c r="J24" s="17"/>
      <c r="K24" s="224"/>
      <c r="L24" s="1382"/>
      <c r="M24" s="1333"/>
      <c r="N24" s="1333"/>
      <c r="O24" s="1333"/>
      <c r="P24" s="1333"/>
      <c r="Q24" s="1333"/>
      <c r="R24" s="1333"/>
      <c r="S24" s="1449"/>
      <c r="T24" s="1333"/>
      <c r="U24" s="1333"/>
      <c r="V24" s="1333"/>
      <c r="W24" s="1333"/>
      <c r="X24" s="1333"/>
      <c r="Y24" s="1333"/>
      <c r="Z24" s="1333"/>
      <c r="AA24" s="1333"/>
      <c r="AB24" s="1333"/>
      <c r="AC24" s="1333"/>
      <c r="AD24" s="1333"/>
      <c r="AE24" s="1333"/>
      <c r="AF24" s="1333"/>
      <c r="AG24" s="1333"/>
      <c r="AH24" s="1333"/>
      <c r="AI24" s="1333"/>
      <c r="AJ24" s="1333"/>
      <c r="AK24" s="13"/>
      <c r="AL24" s="13"/>
      <c r="AM24" s="13"/>
      <c r="AN24" s="13"/>
      <c r="AO24" s="13"/>
      <c r="AP24" s="13"/>
      <c r="AQ24" s="13"/>
      <c r="AR24" s="13"/>
      <c r="AS24" s="13"/>
      <c r="AT24" s="13"/>
      <c r="AU24" s="13"/>
      <c r="AV24" s="13"/>
      <c r="AW24" s="13"/>
    </row>
    <row r="25" spans="1:49" s="255" customFormat="1" ht="18.75" x14ac:dyDescent="0.3">
      <c r="A25" s="1551" t="str">
        <f>IF(COUNTIF('04 - 95% CD'!D25:G25,"Y")&gt;0,"Y",IF(COUNTIF('04 - 95% CD'!D25:G25,"N"),"N",""))</f>
        <v>Y</v>
      </c>
      <c r="B25" s="318"/>
      <c r="C25" s="949"/>
      <c r="D25" s="489" t="str">
        <f>IF('C-Design&amp;Const'!$S25="","",'C-Design&amp;Const'!$S25)</f>
        <v>Y</v>
      </c>
      <c r="E25" s="503"/>
      <c r="F25" s="444"/>
      <c r="G25" s="319" t="str">
        <f>IF('C-Design&amp;Const'!Y25="","",'C-Design&amp;Const'!Y25)</f>
        <v>00. *</v>
      </c>
      <c r="H25" s="298" t="str">
        <f>CONCATENATE('C-Design&amp;Const'!Z25,IF(D25="N"," Not Used In This Construction Phase",J25))</f>
        <v>Minimum List of Deliverables - Current</v>
      </c>
      <c r="I25" s="183"/>
      <c r="J25" s="609" t="str">
        <f>IF('C-Design&amp;Const'!AJ25="","",'C-Design&amp;Const'!AJ25)</f>
        <v xml:space="preserve"> - Current</v>
      </c>
      <c r="K25" s="285" t="str">
        <f t="shared" ref="K25:K99" si="0">IF((COUNTIF(D25:F25,"Y")=COUNTIF(A25,"Y")),"match","no 95% match")</f>
        <v>match</v>
      </c>
      <c r="L25" s="1410" t="str">
        <f t="shared" ref="L25:L99" si="1">CONCATENATE(IF(ISNUMBER(SEARCH("Placeholder",H25))=TRUE,"&lt;---PM/Planner may hide PLACEHOLDER ROW",""))</f>
        <v/>
      </c>
      <c r="M25" s="1449"/>
      <c r="N25" s="1449"/>
      <c r="O25" s="1449"/>
      <c r="P25" s="1449"/>
      <c r="Q25" s="1449"/>
      <c r="R25" s="1450"/>
      <c r="S25" s="1451"/>
      <c r="T25" s="1364"/>
      <c r="U25" s="1449"/>
      <c r="V25" s="1449"/>
      <c r="W25" s="1449"/>
      <c r="X25" s="1449"/>
      <c r="Y25" s="1449"/>
      <c r="Z25" s="1449"/>
      <c r="AA25" s="1449"/>
      <c r="AB25" s="1449"/>
      <c r="AC25" s="1449"/>
      <c r="AD25" s="1449"/>
      <c r="AE25" s="1449"/>
      <c r="AF25" s="1449"/>
      <c r="AG25" s="1449"/>
      <c r="AH25" s="1449"/>
      <c r="AI25" s="1449"/>
      <c r="AJ25" s="1449"/>
    </row>
    <row r="26" spans="1:49" s="255" customFormat="1" ht="17.25" customHeight="1" x14ac:dyDescent="0.25">
      <c r="A26" s="1552" t="str">
        <f>IF(COUNTIF('04 - 95% CD'!D26:G26,"Y")&gt;0,"Y",IF(COUNTIF('04 - 95% CD'!D26:G26,"N"),"N",""))</f>
        <v/>
      </c>
      <c r="B26" s="318"/>
      <c r="C26" s="949"/>
      <c r="D26" s="321"/>
      <c r="E26" s="321"/>
      <c r="F26" s="321"/>
      <c r="G26" s="320"/>
      <c r="H26" s="526"/>
      <c r="I26" s="188"/>
      <c r="J26" s="609" t="str">
        <f>IF('C-Design&amp;Const'!AJ26="","",'C-Design&amp;Const'!AJ26)</f>
        <v/>
      </c>
      <c r="K26" s="285" t="str">
        <f t="shared" si="0"/>
        <v>match</v>
      </c>
      <c r="L26" s="1410" t="str">
        <f t="shared" si="1"/>
        <v/>
      </c>
      <c r="M26" s="1449"/>
      <c r="N26" s="1449"/>
      <c r="O26" s="1449"/>
      <c r="P26" s="1449"/>
      <c r="Q26" s="1449"/>
      <c r="R26" s="1457"/>
      <c r="S26" s="1364"/>
      <c r="T26" s="1364"/>
      <c r="U26" s="1449"/>
      <c r="V26" s="1449"/>
      <c r="W26" s="1449"/>
      <c r="X26" s="1449"/>
      <c r="Y26" s="1449"/>
      <c r="Z26" s="1449"/>
      <c r="AA26" s="1449"/>
      <c r="AB26" s="1449"/>
      <c r="AC26" s="1449"/>
      <c r="AD26" s="1449"/>
      <c r="AE26" s="1449"/>
      <c r="AF26" s="1449"/>
      <c r="AG26" s="1449"/>
      <c r="AH26" s="1449"/>
      <c r="AI26" s="1449"/>
      <c r="AJ26" s="1449"/>
    </row>
    <row r="27" spans="1:49" s="255" customFormat="1" ht="18.75" x14ac:dyDescent="0.3">
      <c r="A27" s="1551" t="str">
        <f>IF(COUNTIF('04 - 95% CD'!D27:G27,"Y")&gt;0,"Y",IF(COUNTIF('04 - 95% CD'!D27:G27,"N"),"N",""))</f>
        <v>Y</v>
      </c>
      <c r="B27" s="318"/>
      <c r="C27" s="949"/>
      <c r="D27" s="489" t="str">
        <f>IF('C-Design&amp;Const'!$S27="","",'C-Design&amp;Const'!$S27)</f>
        <v>Y</v>
      </c>
      <c r="E27" s="503"/>
      <c r="F27" s="444"/>
      <c r="G27" s="319" t="str">
        <f>IF('C-Design&amp;Const'!Y27="","",'C-Design&amp;Const'!Y27)</f>
        <v>01.</v>
      </c>
      <c r="H27" s="298" t="str">
        <f>CONCATENATE('C-Design&amp;Const'!Z27,IF(D27="N"," Not Used In This Construction Phase",J27))</f>
        <v>Construction Cost Estimate</v>
      </c>
      <c r="I27" s="183"/>
      <c r="J27" s="609" t="str">
        <f>IF('C-Design&amp;Const'!AJ27="","",'C-Design&amp;Const'!AJ27)</f>
        <v/>
      </c>
      <c r="K27" s="285" t="str">
        <f t="shared" si="0"/>
        <v>match</v>
      </c>
      <c r="L27" s="1410" t="str">
        <f t="shared" si="1"/>
        <v/>
      </c>
      <c r="M27" s="1449"/>
      <c r="N27" s="1449"/>
      <c r="O27" s="1449"/>
      <c r="P27" s="1449"/>
      <c r="Q27" s="1449"/>
      <c r="R27" s="1450"/>
      <c r="S27" s="1451"/>
      <c r="T27" s="1364"/>
      <c r="U27" s="1449"/>
      <c r="V27" s="1449"/>
      <c r="W27" s="1449"/>
      <c r="X27" s="1449"/>
      <c r="Y27" s="1449"/>
      <c r="Z27" s="1449"/>
      <c r="AA27" s="1449"/>
      <c r="AB27" s="1449"/>
      <c r="AC27" s="1449"/>
      <c r="AD27" s="1449"/>
      <c r="AE27" s="1449"/>
      <c r="AF27" s="1449"/>
      <c r="AG27" s="1449"/>
      <c r="AH27" s="1449"/>
      <c r="AI27" s="1449"/>
      <c r="AJ27" s="1449"/>
    </row>
    <row r="28" spans="1:49" s="255" customFormat="1" ht="15.75" x14ac:dyDescent="0.25">
      <c r="A28" s="1551"/>
      <c r="B28" s="318"/>
      <c r="C28" s="944"/>
      <c r="D28" s="321"/>
      <c r="E28" s="559" t="str">
        <f>IF('C-Design&amp;Const'!$S28="","",'C-Design&amp;Const'!$S28)</f>
        <v>N</v>
      </c>
      <c r="F28" s="478"/>
      <c r="G28" s="558"/>
      <c r="H28" s="238" t="str">
        <f>CONCATENATE(IF(E28="N","PLACEHOLDER ROW - ",""),IF(E28="N","",J28),'C-Design&amp;Const'!Z28,)</f>
        <v>PLACEHOLDER ROW - Construction Cost Estimate</v>
      </c>
      <c r="I28" s="136"/>
      <c r="J28" s="609" t="str">
        <f>IF('C-Design&amp;Const'!AJ28="","",'C-Design&amp;Const'!AJ28)</f>
        <v/>
      </c>
      <c r="K28" s="285" t="str">
        <f t="shared" si="0"/>
        <v>match</v>
      </c>
      <c r="L28" s="1410"/>
      <c r="M28" s="1449"/>
      <c r="N28" s="1449"/>
      <c r="O28" s="1449"/>
      <c r="P28" s="1449"/>
      <c r="Q28" s="1449"/>
      <c r="R28" s="1450"/>
      <c r="S28" s="1451"/>
      <c r="T28" s="1364"/>
      <c r="U28" s="1449"/>
      <c r="V28" s="1449"/>
      <c r="W28" s="1449"/>
      <c r="X28" s="1449"/>
      <c r="Y28" s="1449"/>
      <c r="Z28" s="1449"/>
      <c r="AA28" s="1449"/>
      <c r="AB28" s="1449"/>
      <c r="AC28" s="1449"/>
      <c r="AD28" s="1449"/>
      <c r="AE28" s="1449"/>
      <c r="AF28" s="1449"/>
      <c r="AG28" s="1449"/>
      <c r="AH28" s="1449"/>
      <c r="AI28" s="1449"/>
      <c r="AJ28" s="1449"/>
    </row>
    <row r="29" spans="1:49" s="255" customFormat="1" ht="15.75" x14ac:dyDescent="0.25">
      <c r="A29" s="1551"/>
      <c r="B29" s="318"/>
      <c r="C29" s="944"/>
      <c r="D29" s="321"/>
      <c r="E29" s="559" t="str">
        <f>IF('C-Design&amp;Const'!$S29="","",'C-Design&amp;Const'!$S29)</f>
        <v>N</v>
      </c>
      <c r="F29" s="478"/>
      <c r="G29" s="558"/>
      <c r="H29" s="238" t="str">
        <f>CONCATENATE(IF(E29="N","PLACEHOLDER ROW - ",""),IF(E29="N","",J29),'C-Design&amp;Const'!Z29,)</f>
        <v>PLACEHOLDER ROW - Reconciliation with Owner's 3rd party estimater</v>
      </c>
      <c r="I29" s="136"/>
      <c r="J29" s="609" t="str">
        <f>IF('C-Design&amp;Const'!AJ29="","",'C-Design&amp;Const'!AJ29)</f>
        <v/>
      </c>
      <c r="K29" s="285" t="str">
        <f t="shared" si="0"/>
        <v>match</v>
      </c>
      <c r="L29" s="1410"/>
      <c r="M29" s="1449"/>
      <c r="N29" s="1449"/>
      <c r="O29" s="1449"/>
      <c r="P29" s="1449"/>
      <c r="Q29" s="1449"/>
      <c r="R29" s="1450"/>
      <c r="S29" s="1451"/>
      <c r="T29" s="1364"/>
      <c r="U29" s="1449"/>
      <c r="V29" s="1449"/>
      <c r="W29" s="1449"/>
      <c r="X29" s="1449"/>
      <c r="Y29" s="1449"/>
      <c r="Z29" s="1449"/>
      <c r="AA29" s="1449"/>
      <c r="AB29" s="1449"/>
      <c r="AC29" s="1449"/>
      <c r="AD29" s="1449"/>
      <c r="AE29" s="1449"/>
      <c r="AF29" s="1449"/>
      <c r="AG29" s="1449"/>
      <c r="AH29" s="1449"/>
      <c r="AI29" s="1449"/>
      <c r="AJ29" s="1449"/>
    </row>
    <row r="30" spans="1:49" s="255" customFormat="1" ht="15.75" x14ac:dyDescent="0.25">
      <c r="A30" s="1551"/>
      <c r="B30" s="318"/>
      <c r="C30" s="944"/>
      <c r="D30" s="321"/>
      <c r="E30" s="559" t="str">
        <f>IF('C-Design&amp;Const'!$S30="","",'C-Design&amp;Const'!$S30)</f>
        <v>N</v>
      </c>
      <c r="F30" s="478"/>
      <c r="G30" s="558"/>
      <c r="H30" s="1958" t="str">
        <f>CONCATENATE(IF(E30="N","PLACEHOLDER ROW - ",""),IF(E30="N","",J30),'C-Design&amp;Const'!Z30,)</f>
        <v>PLACEHOLDER ROW - CUSTOM ROW - OPTIONAL CLIENT ITEM</v>
      </c>
      <c r="I30" s="136"/>
      <c r="J30" s="609" t="str">
        <f>IF('C-Design&amp;Const'!AJ30="","",'C-Design&amp;Const'!AJ30)</f>
        <v/>
      </c>
      <c r="K30" s="285" t="str">
        <f t="shared" si="0"/>
        <v>match</v>
      </c>
      <c r="L30" s="1410"/>
      <c r="M30" s="1449"/>
      <c r="N30" s="1449"/>
      <c r="O30" s="1449"/>
      <c r="P30" s="1449"/>
      <c r="Q30" s="1449"/>
      <c r="R30" s="1450"/>
      <c r="S30" s="1451"/>
      <c r="T30" s="1364"/>
      <c r="U30" s="1449"/>
      <c r="V30" s="1449"/>
      <c r="W30" s="1449"/>
      <c r="X30" s="1449"/>
      <c r="Y30" s="1449"/>
      <c r="Z30" s="1449"/>
      <c r="AA30" s="1449"/>
      <c r="AB30" s="1449"/>
      <c r="AC30" s="1449"/>
      <c r="AD30" s="1449"/>
      <c r="AE30" s="1449"/>
      <c r="AF30" s="1449"/>
      <c r="AG30" s="1449"/>
      <c r="AH30" s="1449"/>
      <c r="AI30" s="1449"/>
      <c r="AJ30" s="1449"/>
    </row>
    <row r="31" spans="1:49" s="255" customFormat="1" ht="22.5" customHeight="1" x14ac:dyDescent="0.25">
      <c r="A31" s="1552" t="str">
        <f>IF(COUNTIF('04 - 95% CD'!D31:G31,"Y")&gt;0,"Y",IF(COUNTIF('04 - 95% CD'!D31:G31,"N"),"N",""))</f>
        <v/>
      </c>
      <c r="B31" s="318"/>
      <c r="C31" s="949"/>
      <c r="D31" s="321"/>
      <c r="E31" s="321"/>
      <c r="F31" s="321"/>
      <c r="G31" s="320"/>
      <c r="H31" s="519" t="str">
        <f>IF(D27="N","",IF('C-Design&amp;Const'!Z31="","",'C-Design&amp;Const'!Z31))</f>
        <v>Estimates for all ADA upgrades and deficiency corrections shall be broken out in an additional estimate</v>
      </c>
      <c r="I31" s="188"/>
      <c r="J31" s="609" t="str">
        <f>IF('C-Design&amp;Const'!AJ31="","",'C-Design&amp;Const'!AJ31)</f>
        <v/>
      </c>
      <c r="K31" s="285" t="str">
        <f t="shared" si="0"/>
        <v>match</v>
      </c>
      <c r="L31" s="1410" t="str">
        <f t="shared" si="1"/>
        <v/>
      </c>
      <c r="M31" s="1449"/>
      <c r="N31" s="1449"/>
      <c r="O31" s="1449"/>
      <c r="P31" s="1449"/>
      <c r="Q31" s="1449"/>
      <c r="R31" s="1457"/>
      <c r="S31" s="1364"/>
      <c r="T31" s="1364"/>
      <c r="U31" s="1449"/>
      <c r="V31" s="1449"/>
      <c r="W31" s="1449"/>
      <c r="X31" s="1449"/>
      <c r="Y31" s="1449"/>
      <c r="Z31" s="1449"/>
      <c r="AA31" s="1449"/>
      <c r="AB31" s="1449"/>
      <c r="AC31" s="1449"/>
      <c r="AD31" s="1449"/>
      <c r="AE31" s="1449"/>
      <c r="AF31" s="1449"/>
      <c r="AG31" s="1449"/>
      <c r="AH31" s="1449"/>
      <c r="AI31" s="1449"/>
      <c r="AJ31" s="1449"/>
    </row>
    <row r="32" spans="1:49" s="255" customFormat="1" ht="18.75" x14ac:dyDescent="0.3">
      <c r="A32" s="1551" t="str">
        <f>IF(COUNTIF('04 - 95% CD'!D32:G32,"Y")&gt;0,"Y",IF(COUNTIF('04 - 95% CD'!D32:G32,"N"),"N",""))</f>
        <v>Y</v>
      </c>
      <c r="B32" s="318"/>
      <c r="C32" s="949"/>
      <c r="D32" s="489" t="str">
        <f>IF('C-Design&amp;Const'!$S32="","",'C-Design&amp;Const'!$S32)</f>
        <v>N</v>
      </c>
      <c r="E32" s="503"/>
      <c r="F32" s="444"/>
      <c r="G32" s="319" t="str">
        <f>IF('C-Design&amp;Const'!Y32="","",'C-Design&amp;Const'!Y32)</f>
        <v>02. *</v>
      </c>
      <c r="H32" s="298" t="str">
        <f>CONCATENATE('C-Design&amp;Const'!Z32,IF(D32="N"," Not Used In This Construction Phase",J32))</f>
        <v>Project Schedule Not Used In This Construction Phase</v>
      </c>
      <c r="I32" s="183"/>
      <c r="J32" s="609" t="str">
        <f>IF('C-Design&amp;Const'!AJ32="","",'C-Design&amp;Const'!AJ32)</f>
        <v/>
      </c>
      <c r="K32" s="285" t="str">
        <f t="shared" si="0"/>
        <v>no 95% match</v>
      </c>
      <c r="L32" s="1410" t="str">
        <f t="shared" si="1"/>
        <v/>
      </c>
      <c r="M32" s="1449"/>
      <c r="N32" s="1449"/>
      <c r="O32" s="1449"/>
      <c r="P32" s="1449"/>
      <c r="Q32" s="1449"/>
      <c r="R32" s="1450"/>
      <c r="S32" s="1451"/>
      <c r="T32" s="1364"/>
      <c r="U32" s="1449"/>
      <c r="V32" s="1449"/>
      <c r="W32" s="1449"/>
      <c r="X32" s="1449"/>
      <c r="Y32" s="1449"/>
      <c r="Z32" s="1449"/>
      <c r="AA32" s="1449"/>
      <c r="AB32" s="1449"/>
      <c r="AC32" s="1449"/>
      <c r="AD32" s="1449"/>
      <c r="AE32" s="1449"/>
      <c r="AF32" s="1449"/>
      <c r="AG32" s="1449"/>
      <c r="AH32" s="1449"/>
      <c r="AI32" s="1449"/>
      <c r="AJ32" s="1449"/>
    </row>
    <row r="33" spans="1:50" s="255" customFormat="1" ht="15.75" x14ac:dyDescent="0.25">
      <c r="A33" s="1551"/>
      <c r="B33" s="318"/>
      <c r="C33" s="944"/>
      <c r="D33" s="321"/>
      <c r="E33" s="559" t="str">
        <f>IF('C-Design&amp;Const'!$S33="","",'C-Design&amp;Const'!$S33)</f>
        <v>N</v>
      </c>
      <c r="F33" s="478"/>
      <c r="G33" s="558"/>
      <c r="H33" s="238" t="str">
        <f>CONCATENATE(IF(E33="N","PLACEHOLDER ROW - ",""),IF(E33="N","",J33),'C-Design&amp;Const'!Z33,)</f>
        <v>PLACEHOLDER ROW - Project Schedule</v>
      </c>
      <c r="I33" s="136"/>
      <c r="J33" s="609" t="str">
        <f>IF('C-Design&amp;Const'!AJ33="","",'C-Design&amp;Const'!AJ33)</f>
        <v/>
      </c>
      <c r="K33" s="285" t="str">
        <f t="shared" si="0"/>
        <v>match</v>
      </c>
      <c r="L33" s="1410"/>
      <c r="M33" s="1449"/>
      <c r="N33" s="1449"/>
      <c r="O33" s="1449"/>
      <c r="P33" s="1449"/>
      <c r="Q33" s="1449"/>
      <c r="R33" s="1450"/>
      <c r="S33" s="1451"/>
      <c r="T33" s="1364"/>
      <c r="U33" s="1449"/>
      <c r="V33" s="1449"/>
      <c r="W33" s="1449"/>
      <c r="X33" s="1449"/>
      <c r="Y33" s="1449"/>
      <c r="Z33" s="1449"/>
      <c r="AA33" s="1449"/>
      <c r="AB33" s="1449"/>
      <c r="AC33" s="1449"/>
      <c r="AD33" s="1449"/>
      <c r="AE33" s="1449"/>
      <c r="AF33" s="1449"/>
      <c r="AG33" s="1449"/>
      <c r="AH33" s="1449"/>
      <c r="AI33" s="1449"/>
      <c r="AJ33" s="1449"/>
    </row>
    <row r="34" spans="1:50" s="255" customFormat="1" ht="15.75" x14ac:dyDescent="0.25">
      <c r="A34" s="1551"/>
      <c r="B34" s="318"/>
      <c r="C34" s="944"/>
      <c r="D34" s="321"/>
      <c r="E34" s="559" t="str">
        <f>IF('C-Design&amp;Const'!$S34="","",'C-Design&amp;Const'!$S34)</f>
        <v>N</v>
      </c>
      <c r="F34" s="478"/>
      <c r="G34" s="558"/>
      <c r="H34" s="238" t="str">
        <f>CONCATENATE(IF(E34="N","PLACEHOLDER ROW - ",""),IF(E34="N","",J34),'C-Design&amp;Const'!Z34,)</f>
        <v>PLACEHOLDER ROW - Summary of Coordination with Owner's 3rd party scheduler</v>
      </c>
      <c r="I34" s="136"/>
      <c r="J34" s="609" t="str">
        <f>IF('C-Design&amp;Const'!AJ34="","",'C-Design&amp;Const'!AJ34)</f>
        <v/>
      </c>
      <c r="K34" s="285" t="str">
        <f t="shared" si="0"/>
        <v>match</v>
      </c>
      <c r="L34" s="1410"/>
      <c r="M34" s="1449"/>
      <c r="N34" s="1449"/>
      <c r="O34" s="1449"/>
      <c r="P34" s="1449"/>
      <c r="Q34" s="1449"/>
      <c r="R34" s="1450"/>
      <c r="S34" s="1451"/>
      <c r="T34" s="1364"/>
      <c r="U34" s="1449"/>
      <c r="V34" s="1449"/>
      <c r="W34" s="1449"/>
      <c r="X34" s="1449"/>
      <c r="Y34" s="1449"/>
      <c r="Z34" s="1449"/>
      <c r="AA34" s="1449"/>
      <c r="AB34" s="1449"/>
      <c r="AC34" s="1449"/>
      <c r="AD34" s="1449"/>
      <c r="AE34" s="1449"/>
      <c r="AF34" s="1449"/>
      <c r="AG34" s="1449"/>
      <c r="AH34" s="1449"/>
      <c r="AI34" s="1449"/>
      <c r="AJ34" s="1449"/>
    </row>
    <row r="35" spans="1:50" s="255" customFormat="1" ht="15.75" x14ac:dyDescent="0.25">
      <c r="A35" s="1551"/>
      <c r="B35" s="318"/>
      <c r="C35" s="944"/>
      <c r="D35" s="321"/>
      <c r="E35" s="559" t="str">
        <f>IF('C-Design&amp;Const'!$S35="","",'C-Design&amp;Const'!$S35)</f>
        <v>N</v>
      </c>
      <c r="F35" s="478"/>
      <c r="G35" s="558"/>
      <c r="H35" s="238" t="str">
        <f>CONCATENATE(IF(E35="N","PLACEHOLDER ROW - ",""),IF(E35="N","",J35),'C-Design&amp;Const'!Z35,)</f>
        <v>PLACEHOLDER ROW - Reconciliation with Owner's 3rd party scheduler</v>
      </c>
      <c r="I35" s="136"/>
      <c r="J35" s="609" t="str">
        <f>IF('C-Design&amp;Const'!AJ35="","",'C-Design&amp;Const'!AJ35)</f>
        <v/>
      </c>
      <c r="K35" s="285" t="str">
        <f t="shared" si="0"/>
        <v>match</v>
      </c>
      <c r="L35" s="1410"/>
      <c r="M35" s="1449"/>
      <c r="N35" s="1449"/>
      <c r="O35" s="1449"/>
      <c r="P35" s="1449"/>
      <c r="Q35" s="1449"/>
      <c r="R35" s="1450"/>
      <c r="S35" s="1451"/>
      <c r="T35" s="1364"/>
      <c r="U35" s="1449"/>
      <c r="V35" s="1449"/>
      <c r="W35" s="1449"/>
      <c r="X35" s="1449"/>
      <c r="Y35" s="1449"/>
      <c r="Z35" s="1449"/>
      <c r="AA35" s="1449"/>
      <c r="AB35" s="1449"/>
      <c r="AC35" s="1449"/>
      <c r="AD35" s="1449"/>
      <c r="AE35" s="1449"/>
      <c r="AF35" s="1449"/>
      <c r="AG35" s="1449"/>
      <c r="AH35" s="1449"/>
      <c r="AI35" s="1449"/>
      <c r="AJ35" s="1449"/>
    </row>
    <row r="36" spans="1:50" s="255" customFormat="1" x14ac:dyDescent="0.25">
      <c r="A36" s="1552" t="str">
        <f>IF(COUNTIF('04 - 95% CD'!D36:G36,"Y")&gt;0,"Y",IF(COUNTIF('04 - 95% CD'!D36:G36,"N"),"N",""))</f>
        <v/>
      </c>
      <c r="B36" s="318"/>
      <c r="C36" s="949"/>
      <c r="D36" s="321"/>
      <c r="E36" s="321"/>
      <c r="F36" s="321"/>
      <c r="G36" s="320"/>
      <c r="H36" s="321"/>
      <c r="I36" s="188"/>
      <c r="J36" s="609" t="str">
        <f>IF('C-Design&amp;Const'!AJ36="","",'C-Design&amp;Const'!AJ36)</f>
        <v/>
      </c>
      <c r="K36" s="285" t="str">
        <f t="shared" si="0"/>
        <v>match</v>
      </c>
      <c r="L36" s="1410" t="str">
        <f t="shared" si="1"/>
        <v/>
      </c>
      <c r="M36" s="1449"/>
      <c r="N36" s="1449"/>
      <c r="O36" s="1449"/>
      <c r="P36" s="1449"/>
      <c r="Q36" s="1449"/>
      <c r="R36" s="1457"/>
      <c r="S36" s="1364"/>
      <c r="T36" s="1364"/>
      <c r="U36" s="1449"/>
      <c r="V36" s="1449"/>
      <c r="W36" s="1449"/>
      <c r="X36" s="1449"/>
      <c r="Y36" s="1449"/>
      <c r="Z36" s="1449"/>
      <c r="AA36" s="1449"/>
      <c r="AB36" s="1449"/>
      <c r="AC36" s="1449"/>
      <c r="AD36" s="1449"/>
      <c r="AE36" s="1449"/>
      <c r="AF36" s="1449"/>
      <c r="AG36" s="1449"/>
      <c r="AH36" s="1449"/>
      <c r="AI36" s="1449"/>
      <c r="AJ36" s="1449"/>
    </row>
    <row r="37" spans="1:50" s="255" customFormat="1" ht="18.75" x14ac:dyDescent="0.3">
      <c r="A37" s="1551" t="str">
        <f>IF(COUNTIF('04 - 95% CD'!D37:G37,"Y")&gt;0,"Y",IF(COUNTIF('04 - 95% CD'!D37:G37,"N"),"N",""))</f>
        <v>Y</v>
      </c>
      <c r="B37" s="318"/>
      <c r="C37" s="950"/>
      <c r="D37" s="489" t="str">
        <f>IF('C-Design&amp;Const'!$S37="","",'C-Design&amp;Const'!$S37)</f>
        <v>N</v>
      </c>
      <c r="E37" s="503"/>
      <c r="F37" s="444"/>
      <c r="G37" s="319" t="str">
        <f>IF('C-Design&amp;Const'!Y37="","",'C-Design&amp;Const'!Y37)</f>
        <v>03.</v>
      </c>
      <c r="H37" s="298" t="str">
        <f>CONCATENATE('C-Design&amp;Const'!Z37,IF(D37="N"," Not Used In This Construction Phase",J37))</f>
        <v>Written Response to Comments Not Used In This Construction Phase</v>
      </c>
      <c r="I37" s="183"/>
      <c r="J37" s="609" t="str">
        <f>IF('C-Design&amp;Const'!AJ37="","",'C-Design&amp;Const'!AJ37)</f>
        <v/>
      </c>
      <c r="K37" s="285" t="str">
        <f t="shared" si="0"/>
        <v>no 95% match</v>
      </c>
      <c r="L37" s="1410" t="str">
        <f t="shared" si="1"/>
        <v/>
      </c>
      <c r="M37" s="1449"/>
      <c r="N37" s="1449"/>
      <c r="O37" s="1449"/>
      <c r="P37" s="1449"/>
      <c r="Q37" s="1449"/>
      <c r="R37" s="1450"/>
      <c r="S37" s="1451"/>
      <c r="T37" s="1364"/>
      <c r="U37" s="1449"/>
      <c r="V37" s="1449"/>
      <c r="W37" s="1449"/>
      <c r="X37" s="1449"/>
      <c r="Y37" s="1449"/>
      <c r="Z37" s="1449"/>
      <c r="AA37" s="1449"/>
      <c r="AB37" s="1449"/>
      <c r="AC37" s="1449"/>
      <c r="AD37" s="1449"/>
      <c r="AE37" s="1449"/>
      <c r="AF37" s="1449"/>
      <c r="AG37" s="1449"/>
      <c r="AH37" s="1449"/>
      <c r="AI37" s="1449"/>
      <c r="AJ37" s="1449"/>
    </row>
    <row r="38" spans="1:50" s="17" customFormat="1" x14ac:dyDescent="0.25">
      <c r="A38" s="1516" t="str">
        <f>IF(COUNTIF('04 - 95% CD'!D38:G38,"Y")&gt;0,"Y",IF(COUNTIF('04 - 95% CD'!D38:G38,"N"),"N",""))</f>
        <v/>
      </c>
      <c r="B38" s="141"/>
      <c r="C38" s="944"/>
      <c r="D38" s="411"/>
      <c r="E38" s="411"/>
      <c r="F38" s="321"/>
      <c r="G38" s="294"/>
      <c r="H38" s="296"/>
      <c r="I38" s="130"/>
      <c r="J38" s="609" t="str">
        <f>IF('C-Design&amp;Const'!AJ38="","",'C-Design&amp;Const'!AJ38)</f>
        <v/>
      </c>
      <c r="K38" s="285" t="str">
        <f t="shared" si="0"/>
        <v>match</v>
      </c>
      <c r="L38" s="1410" t="str">
        <f t="shared" si="1"/>
        <v/>
      </c>
      <c r="M38" s="1333"/>
      <c r="N38" s="1333"/>
      <c r="O38" s="1333"/>
      <c r="P38" s="1333"/>
      <c r="Q38" s="1333"/>
      <c r="R38" s="1445"/>
      <c r="S38" s="1364"/>
      <c r="T38" s="1284"/>
      <c r="U38" s="1333"/>
      <c r="V38" s="1333"/>
      <c r="W38" s="1333"/>
      <c r="X38" s="1333"/>
      <c r="Y38" s="1333"/>
      <c r="Z38" s="1333"/>
      <c r="AA38" s="1333"/>
      <c r="AB38" s="1333"/>
      <c r="AC38" s="1333"/>
      <c r="AD38" s="1333"/>
      <c r="AE38" s="1333"/>
      <c r="AF38" s="1333"/>
      <c r="AG38" s="1333"/>
      <c r="AH38" s="1333"/>
      <c r="AI38" s="1333"/>
      <c r="AJ38" s="1333"/>
    </row>
    <row r="39" spans="1:50" s="181" customFormat="1" ht="18" customHeight="1" x14ac:dyDescent="0.2">
      <c r="A39" s="1501" t="str">
        <f>IF(COUNTIF('04 - 95% CD'!D39:G39,"Y")&gt;0,"Y",IF(COUNTIF('04 - 95% CD'!D39:G39,"N"),"N",""))</f>
        <v>Y</v>
      </c>
      <c r="B39" s="177"/>
      <c r="C39" s="944"/>
      <c r="D39" s="559" t="str">
        <f>IF('C-Design&amp;Const'!$S39="","",'C-Design&amp;Const'!$S39)</f>
        <v>N</v>
      </c>
      <c r="E39" s="234"/>
      <c r="F39" s="235"/>
      <c r="G39" s="291" t="str">
        <f>IF('C-Design&amp;Const'!Y39="","",'C-Design&amp;Const'!Y39)</f>
        <v>04a. *</v>
      </c>
      <c r="H39" s="290" t="str">
        <f>CONCATENATE('C-Design&amp;Const'!Z39,IF(D39="N"," Not Used In This Construction Phase",J39))</f>
        <v>Basis of Design (BOD) Not Used In This Construction Phase</v>
      </c>
      <c r="I39" s="180"/>
      <c r="J39" s="609" t="str">
        <f>IF('C-Design&amp;Const'!AJ39="","",'C-Design&amp;Const'!AJ39)</f>
        <v/>
      </c>
      <c r="K39" s="285" t="str">
        <f t="shared" si="0"/>
        <v>no 95% match</v>
      </c>
      <c r="L39" s="1410" t="str">
        <f t="shared" si="1"/>
        <v/>
      </c>
      <c r="M39" s="1382"/>
      <c r="N39" s="1382"/>
      <c r="O39" s="1382"/>
      <c r="P39" s="1382"/>
      <c r="Q39" s="1382"/>
      <c r="R39" s="1447"/>
      <c r="S39" s="1448"/>
      <c r="T39" s="1382"/>
      <c r="U39" s="1382"/>
      <c r="V39" s="1382"/>
      <c r="W39" s="1382"/>
      <c r="X39" s="1382"/>
      <c r="Y39" s="1382"/>
      <c r="Z39" s="1382"/>
      <c r="AA39" s="1382"/>
      <c r="AB39" s="1382"/>
      <c r="AC39" s="1382"/>
      <c r="AD39" s="1382"/>
      <c r="AE39" s="1382"/>
      <c r="AF39" s="1382"/>
      <c r="AG39" s="1382"/>
      <c r="AH39" s="1382"/>
      <c r="AI39" s="1382"/>
      <c r="AJ39" s="1382"/>
      <c r="AX39" s="30"/>
    </row>
    <row r="40" spans="1:50" s="30" customFormat="1" ht="15" hidden="1" customHeight="1" x14ac:dyDescent="0.2">
      <c r="A40" s="1407" t="str">
        <f>IF(COUNTIF('04 - 95% CD'!D40:G40,"Y")&gt;0,"Y",IF(COUNTIF('04 - 95% CD'!D40:G40,"N"),"N",""))</f>
        <v>Y</v>
      </c>
      <c r="B40" s="191"/>
      <c r="C40" s="944"/>
      <c r="D40" s="463"/>
      <c r="E40" s="359" t="str">
        <f>IF('C-Design&amp;Const'!$S40="","",'C-Design&amp;Const'!$S40)</f>
        <v>N</v>
      </c>
      <c r="F40" s="235"/>
      <c r="G40" s="291"/>
      <c r="H40" s="340" t="str">
        <f>CONCATENATE(IF(ISNUMBER(SEARCH("Placeholder",'C-Design&amp;Const'!Z40))=TRUE,"",IF(E40="N","PLACEHOLDER ROW - ","")),'C-Design&amp;Const'!Z40,IF(E40="N","",J40))</f>
        <v xml:space="preserve">PLACEHOLDER ROW - Project Description </v>
      </c>
      <c r="I40" s="184"/>
      <c r="J40" s="609" t="str">
        <f>IF('C-Design&amp;Const'!AJ40="","",'C-Design&amp;Const'!AJ40)</f>
        <v/>
      </c>
      <c r="K40" s="285" t="str">
        <f t="shared" si="0"/>
        <v>no 95% match</v>
      </c>
      <c r="L40" s="1410" t="str">
        <f t="shared" si="1"/>
        <v>&lt;---PM/Planner may hide PLACEHOLDER ROW</v>
      </c>
      <c r="M40" s="1382"/>
      <c r="N40" s="1382"/>
      <c r="O40" s="1382"/>
      <c r="P40" s="1382"/>
      <c r="Q40" s="1382"/>
      <c r="R40" s="1382"/>
      <c r="S40" s="1382"/>
      <c r="T40" s="1382"/>
      <c r="U40" s="1382"/>
      <c r="V40" s="1382"/>
      <c r="W40" s="1382"/>
      <c r="X40" s="1382"/>
      <c r="Y40" s="1382"/>
      <c r="Z40" s="1382"/>
      <c r="AA40" s="1382"/>
      <c r="AB40" s="1382"/>
      <c r="AC40" s="1382"/>
      <c r="AD40" s="1382"/>
      <c r="AE40" s="1382"/>
      <c r="AF40" s="1382"/>
      <c r="AG40" s="1382"/>
      <c r="AH40" s="1382"/>
      <c r="AI40" s="1382"/>
      <c r="AJ40" s="1382"/>
      <c r="AK40" s="181"/>
      <c r="AL40" s="181"/>
      <c r="AM40" s="181"/>
      <c r="AN40" s="181"/>
      <c r="AO40" s="181"/>
      <c r="AP40" s="181"/>
      <c r="AQ40" s="181"/>
      <c r="AR40" s="181"/>
      <c r="AS40" s="181"/>
      <c r="AT40" s="181"/>
      <c r="AU40" s="181"/>
      <c r="AV40" s="181"/>
      <c r="AW40" s="181"/>
    </row>
    <row r="41" spans="1:50" s="30" customFormat="1" ht="15" hidden="1" customHeight="1" x14ac:dyDescent="0.2">
      <c r="A41" s="1407" t="str">
        <f>IF(COUNTIF('04 - 95% CD'!D41:G41,"Y")&gt;0,"Y",IF(COUNTIF('04 - 95% CD'!D41:G41,"N"),"N",""))</f>
        <v>N</v>
      </c>
      <c r="B41" s="191"/>
      <c r="C41" s="944"/>
      <c r="D41" s="463"/>
      <c r="E41" s="359" t="str">
        <f>IF('C-Design&amp;Const'!$S41="","",'C-Design&amp;Const'!$S41)</f>
        <v>N</v>
      </c>
      <c r="F41" s="235"/>
      <c r="G41" s="291"/>
      <c r="H41" s="358" t="str">
        <f>CONCATENATE(IF(ISNUMBER(SEARCH("Placeholder",'C-Design&amp;Const'!Z41))=TRUE,"",IF(E41="N","PLACEHOLDER ROW - ","")),'C-Design&amp;Const'!Z41,IF(E41="N","",J41))</f>
        <v xml:space="preserve">PLACEHOLDER ROW - Program Needs Assessment </v>
      </c>
      <c r="I41" s="184"/>
      <c r="J41" s="609" t="str">
        <f>IF('C-Design&amp;Const'!AJ41="","",'C-Design&amp;Const'!AJ41)</f>
        <v/>
      </c>
      <c r="K41" s="285" t="str">
        <f t="shared" si="0"/>
        <v>match</v>
      </c>
      <c r="L41" s="1410" t="str">
        <f t="shared" si="1"/>
        <v>&lt;---PM/Planner may hide PLACEHOLDER ROW</v>
      </c>
      <c r="M41" s="1382"/>
      <c r="N41" s="1382"/>
      <c r="O41" s="1382"/>
      <c r="P41" s="1382"/>
      <c r="Q41" s="1382"/>
      <c r="R41" s="1382"/>
      <c r="S41" s="1382"/>
      <c r="T41" s="1382"/>
      <c r="U41" s="1382"/>
      <c r="V41" s="1382"/>
      <c r="W41" s="1382"/>
      <c r="X41" s="1382"/>
      <c r="Y41" s="1382"/>
      <c r="Z41" s="1382"/>
      <c r="AA41" s="1382"/>
      <c r="AB41" s="1382"/>
      <c r="AC41" s="1382"/>
      <c r="AD41" s="1382"/>
      <c r="AE41" s="1382"/>
      <c r="AF41" s="1382"/>
      <c r="AG41" s="1382"/>
      <c r="AH41" s="1382"/>
      <c r="AI41" s="1382"/>
      <c r="AJ41" s="1382"/>
      <c r="AK41" s="181"/>
      <c r="AL41" s="181"/>
      <c r="AM41" s="181"/>
      <c r="AN41" s="181"/>
      <c r="AO41" s="181"/>
      <c r="AP41" s="181"/>
      <c r="AQ41" s="181"/>
      <c r="AR41" s="181"/>
      <c r="AS41" s="181"/>
      <c r="AT41" s="181"/>
      <c r="AU41" s="181"/>
      <c r="AV41" s="181"/>
      <c r="AW41" s="181"/>
    </row>
    <row r="42" spans="1:50" s="30" customFormat="1" ht="15" hidden="1" customHeight="1" x14ac:dyDescent="0.2">
      <c r="A42" s="1407" t="str">
        <f>IF(COUNTIF('04 - 95% CD'!D42:G42,"Y")&gt;0,"Y",IF(COUNTIF('04 - 95% CD'!D42:G42,"N"),"N",""))</f>
        <v>N</v>
      </c>
      <c r="B42" s="191"/>
      <c r="C42" s="944"/>
      <c r="D42" s="463"/>
      <c r="E42" s="359" t="str">
        <f>IF('C-Design&amp;Const'!$S42="","",'C-Design&amp;Const'!$S42)</f>
        <v>N</v>
      </c>
      <c r="F42" s="235"/>
      <c r="G42" s="291"/>
      <c r="H42" s="358" t="str">
        <f>CONCATENATE(IF(ISNUMBER(SEARCH("Placeholder",'C-Design&amp;Const'!Z42))=TRUE,"",IF(E42="N","PLACEHOLDER ROW - ","")),'C-Design&amp;Const'!Z42,IF(E42="N","",J42))</f>
        <v xml:space="preserve">PLACEHOLDER ROW - Program Summary / Analysis </v>
      </c>
      <c r="I42" s="184"/>
      <c r="J42" s="609" t="str">
        <f>IF('C-Design&amp;Const'!AJ42="","",'C-Design&amp;Const'!AJ42)</f>
        <v/>
      </c>
      <c r="K42" s="285" t="str">
        <f t="shared" si="0"/>
        <v>match</v>
      </c>
      <c r="L42" s="1410" t="str">
        <f t="shared" si="1"/>
        <v>&lt;---PM/Planner may hide PLACEHOLDER ROW</v>
      </c>
      <c r="M42" s="1382"/>
      <c r="N42" s="1382"/>
      <c r="O42" s="1382"/>
      <c r="P42" s="1382"/>
      <c r="Q42" s="1382"/>
      <c r="R42" s="1382"/>
      <c r="S42" s="1382"/>
      <c r="T42" s="1382"/>
      <c r="U42" s="1382"/>
      <c r="V42" s="1382"/>
      <c r="W42" s="1382"/>
      <c r="X42" s="1382"/>
      <c r="Y42" s="1382"/>
      <c r="Z42" s="1382"/>
      <c r="AA42" s="1382"/>
      <c r="AB42" s="1382"/>
      <c r="AC42" s="1382"/>
      <c r="AD42" s="1382"/>
      <c r="AE42" s="1382"/>
      <c r="AF42" s="1382"/>
      <c r="AG42" s="1382"/>
      <c r="AH42" s="1382"/>
      <c r="AI42" s="1382"/>
      <c r="AJ42" s="1382"/>
      <c r="AK42" s="181"/>
      <c r="AL42" s="181"/>
      <c r="AM42" s="181"/>
      <c r="AN42" s="181"/>
      <c r="AO42" s="181"/>
      <c r="AP42" s="181"/>
      <c r="AQ42" s="181"/>
      <c r="AR42" s="181"/>
      <c r="AS42" s="181"/>
      <c r="AT42" s="181"/>
      <c r="AU42" s="181"/>
      <c r="AV42" s="181"/>
      <c r="AW42" s="181"/>
    </row>
    <row r="43" spans="1:50" s="30" customFormat="1" ht="15" hidden="1" customHeight="1" x14ac:dyDescent="0.2">
      <c r="A43" s="1407" t="str">
        <f>IF(COUNTIF('04 - 95% CD'!D43:G43,"Y")&gt;0,"Y",IF(COUNTIF('04 - 95% CD'!D43:G43,"N"),"N",""))</f>
        <v>N</v>
      </c>
      <c r="B43" s="191"/>
      <c r="C43" s="944"/>
      <c r="D43" s="463"/>
      <c r="E43" s="359" t="str">
        <f>IF('C-Design&amp;Const'!$S43="","",'C-Design&amp;Const'!$S43)</f>
        <v>N</v>
      </c>
      <c r="F43" s="235"/>
      <c r="G43" s="291"/>
      <c r="H43" s="358" t="str">
        <f>CONCATENATE(IF(ISNUMBER(SEARCH("Placeholder",'C-Design&amp;Const'!Z43))=TRUE,"",IF(E43="N","PLACEHOLDER ROW - ","")),'C-Design&amp;Const'!Z43,IF(E43="N","",J43))</f>
        <v>PLACEHOLDER - Program Study</v>
      </c>
      <c r="I43" s="184"/>
      <c r="J43" s="609" t="str">
        <f>IF('C-Design&amp;Const'!AJ43="","",'C-Design&amp;Const'!AJ43)</f>
        <v/>
      </c>
      <c r="K43" s="285" t="str">
        <f t="shared" si="0"/>
        <v>match</v>
      </c>
      <c r="L43" s="1410" t="str">
        <f t="shared" si="1"/>
        <v>&lt;---PM/Planner may hide PLACEHOLDER ROW</v>
      </c>
      <c r="M43" s="1382"/>
      <c r="N43" s="1382"/>
      <c r="O43" s="1382"/>
      <c r="P43" s="1382"/>
      <c r="Q43" s="1382"/>
      <c r="R43" s="1382"/>
      <c r="S43" s="1382"/>
      <c r="T43" s="1382"/>
      <c r="U43" s="1382"/>
      <c r="V43" s="1382"/>
      <c r="W43" s="1382"/>
      <c r="X43" s="1382"/>
      <c r="Y43" s="1382"/>
      <c r="Z43" s="1382"/>
      <c r="AA43" s="1382"/>
      <c r="AB43" s="1382"/>
      <c r="AC43" s="1382"/>
      <c r="AD43" s="1382"/>
      <c r="AE43" s="1382"/>
      <c r="AF43" s="1382"/>
      <c r="AG43" s="1382"/>
      <c r="AH43" s="1382"/>
      <c r="AI43" s="1382"/>
      <c r="AJ43" s="1382"/>
      <c r="AK43" s="181"/>
      <c r="AL43" s="181"/>
      <c r="AM43" s="181"/>
      <c r="AN43" s="181"/>
      <c r="AO43" s="181"/>
      <c r="AP43" s="181"/>
      <c r="AQ43" s="181"/>
      <c r="AR43" s="181"/>
      <c r="AS43" s="181"/>
      <c r="AT43" s="181"/>
      <c r="AU43" s="181"/>
      <c r="AV43" s="181"/>
      <c r="AW43" s="181"/>
    </row>
    <row r="44" spans="1:50" s="30" customFormat="1" ht="15" hidden="1" customHeight="1" x14ac:dyDescent="0.2">
      <c r="A44" s="1407" t="str">
        <f>IF(COUNTIF('04 - 95% CD'!D44:G44,"Y")&gt;0,"Y",IF(COUNTIF('04 - 95% CD'!D44:G44,"N"),"N",""))</f>
        <v>N</v>
      </c>
      <c r="B44" s="191"/>
      <c r="C44" s="944"/>
      <c r="D44" s="463"/>
      <c r="E44" s="359" t="str">
        <f>IF('C-Design&amp;Const'!$S44="","",'C-Design&amp;Const'!$S44)</f>
        <v>N</v>
      </c>
      <c r="F44" s="235"/>
      <c r="G44" s="291"/>
      <c r="H44" s="340" t="str">
        <f>CONCATENATE(IF(ISNUMBER(SEARCH("Placeholder",'C-Design&amp;Const'!Z44))=TRUE,"",IF(E44="N","PLACEHOLDER ROW - ","")),'C-Design&amp;Const'!Z44,IF(E44="N","",J44))</f>
        <v xml:space="preserve">PLACEHOLDER ROW - Major Project Goals; Objectives; and Design Requirements </v>
      </c>
      <c r="I44" s="184"/>
      <c r="J44" s="609" t="str">
        <f>IF('C-Design&amp;Const'!AJ44="","",'C-Design&amp;Const'!AJ44)</f>
        <v/>
      </c>
      <c r="K44" s="285" t="str">
        <f t="shared" si="0"/>
        <v>match</v>
      </c>
      <c r="L44" s="1410" t="str">
        <f t="shared" si="1"/>
        <v>&lt;---PM/Planner may hide PLACEHOLDER ROW</v>
      </c>
      <c r="M44" s="1382"/>
      <c r="N44" s="1382"/>
      <c r="O44" s="1382"/>
      <c r="P44" s="1382"/>
      <c r="Q44" s="1382"/>
      <c r="R44" s="1382"/>
      <c r="S44" s="1382"/>
      <c r="T44" s="1382"/>
      <c r="U44" s="1382"/>
      <c r="V44" s="1382"/>
      <c r="W44" s="1382"/>
      <c r="X44" s="1382"/>
      <c r="Y44" s="1382"/>
      <c r="Z44" s="1382"/>
      <c r="AA44" s="1382"/>
      <c r="AB44" s="1382"/>
      <c r="AC44" s="1382"/>
      <c r="AD44" s="1382"/>
      <c r="AE44" s="1382"/>
      <c r="AF44" s="1382"/>
      <c r="AG44" s="1382"/>
      <c r="AH44" s="1382"/>
      <c r="AI44" s="1382"/>
      <c r="AJ44" s="1382"/>
      <c r="AK44" s="181"/>
      <c r="AL44" s="181"/>
      <c r="AM44" s="181"/>
      <c r="AN44" s="181"/>
      <c r="AO44" s="181"/>
      <c r="AP44" s="181"/>
      <c r="AQ44" s="181"/>
      <c r="AR44" s="181"/>
      <c r="AS44" s="181"/>
      <c r="AT44" s="181"/>
      <c r="AU44" s="181"/>
      <c r="AV44" s="181"/>
      <c r="AW44" s="181"/>
    </row>
    <row r="45" spans="1:50" s="30" customFormat="1" hidden="1" x14ac:dyDescent="0.25">
      <c r="A45" s="1407" t="str">
        <f>IF(COUNTIF('04 - 95% CD'!D45:G45,"Y")&gt;0,"Y",IF(COUNTIF('04 - 95% CD'!D45:G45,"N"),"N",""))</f>
        <v>Y</v>
      </c>
      <c r="B45" s="191"/>
      <c r="C45" s="944"/>
      <c r="D45" s="321"/>
      <c r="E45" s="559" t="str">
        <f>IF('C-Design&amp;Const'!$S45="","",'C-Design&amp;Const'!$S45)</f>
        <v>N</v>
      </c>
      <c r="F45" s="560"/>
      <c r="G45" s="558"/>
      <c r="H45" s="238" t="str">
        <f>CONCATENATE(IF(ISNUMBER(SEARCH("Placeholder",'C-Design&amp;Const'!Z45))=TRUE,"",IF(E45="N","PLACEHOLDER ROW - ","")),'C-Design&amp;Const'!Z45,IF(E45="N","",J45))</f>
        <v xml:space="preserve">PLACEHOLDER ROW - Special Considerations </v>
      </c>
      <c r="I45" s="186"/>
      <c r="J45" s="609" t="str">
        <f>IF('C-Design&amp;Const'!AJ45="","",'C-Design&amp;Const'!AJ45)</f>
        <v/>
      </c>
      <c r="K45" s="285" t="str">
        <f t="shared" si="0"/>
        <v>no 95% match</v>
      </c>
      <c r="L45" s="1410" t="str">
        <f t="shared" si="1"/>
        <v>&lt;---PM/Planner may hide PLACEHOLDER ROW</v>
      </c>
      <c r="M45" s="1382"/>
      <c r="N45" s="1382"/>
      <c r="O45" s="1382"/>
      <c r="P45" s="1382"/>
      <c r="Q45" s="1382"/>
      <c r="R45" s="1490"/>
      <c r="S45" s="1274"/>
      <c r="T45" s="1274"/>
      <c r="U45" s="1382"/>
      <c r="V45" s="1382"/>
      <c r="W45" s="1382"/>
      <c r="X45" s="1382"/>
      <c r="Y45" s="1382"/>
      <c r="Z45" s="1382"/>
      <c r="AA45" s="1382"/>
      <c r="AB45" s="1382"/>
      <c r="AC45" s="1382"/>
      <c r="AD45" s="1382"/>
      <c r="AE45" s="1382"/>
      <c r="AF45" s="1382"/>
      <c r="AG45" s="1382"/>
      <c r="AH45" s="1382"/>
      <c r="AI45" s="1382"/>
      <c r="AJ45" s="1382"/>
      <c r="AK45" s="181"/>
      <c r="AL45" s="181"/>
      <c r="AM45" s="181"/>
      <c r="AN45" s="181"/>
      <c r="AO45" s="181"/>
      <c r="AP45" s="181"/>
      <c r="AQ45" s="181"/>
      <c r="AR45" s="181"/>
      <c r="AS45" s="181"/>
      <c r="AT45" s="181"/>
      <c r="AU45" s="181"/>
      <c r="AV45" s="181"/>
      <c r="AW45" s="181"/>
    </row>
    <row r="46" spans="1:50" s="30" customFormat="1" hidden="1" x14ac:dyDescent="0.25">
      <c r="A46" s="1407" t="str">
        <f>IF(COUNTIF('04 - 95% CD'!D46:G46,"Y")&gt;0,"Y",IF(COUNTIF('04 - 95% CD'!D46:G46,"N"),"N",""))</f>
        <v>Y</v>
      </c>
      <c r="B46" s="191"/>
      <c r="C46" s="944"/>
      <c r="D46" s="321"/>
      <c r="E46" s="559" t="str">
        <f>IF('C-Design&amp;Const'!$S46="","",'C-Design&amp;Const'!$S46)</f>
        <v>N</v>
      </c>
      <c r="F46" s="560"/>
      <c r="G46" s="558"/>
      <c r="H46" s="238" t="str">
        <f>CONCATENATE(IF(ISNUMBER(SEARCH("Placeholder",'C-Design&amp;Const'!Z46))=TRUE,"",IF(E46="N","PLACEHOLDER ROW - ","")),'C-Design&amp;Const'!Z46,IF(E46="N","",J46))</f>
        <v xml:space="preserve">PLACEHOLDER ROW - Code Analysis - As Applicable </v>
      </c>
      <c r="I46" s="186"/>
      <c r="J46" s="609" t="str">
        <f>IF('C-Design&amp;Const'!AJ46="","",'C-Design&amp;Const'!AJ46)</f>
        <v/>
      </c>
      <c r="K46" s="285" t="str">
        <f t="shared" si="0"/>
        <v>no 95% match</v>
      </c>
      <c r="L46" s="1410" t="str">
        <f t="shared" si="1"/>
        <v>&lt;---PM/Planner may hide PLACEHOLDER ROW</v>
      </c>
      <c r="M46" s="1382"/>
      <c r="N46" s="1382"/>
      <c r="O46" s="1382"/>
      <c r="P46" s="1382"/>
      <c r="Q46" s="1382"/>
      <c r="R46" s="1490"/>
      <c r="S46" s="1274"/>
      <c r="T46" s="1274"/>
      <c r="U46" s="1382"/>
      <c r="V46" s="1382"/>
      <c r="W46" s="1382"/>
      <c r="X46" s="1382"/>
      <c r="Y46" s="1382"/>
      <c r="Z46" s="1382"/>
      <c r="AA46" s="1382"/>
      <c r="AB46" s="1382"/>
      <c r="AC46" s="1382"/>
      <c r="AD46" s="1382"/>
      <c r="AE46" s="1382"/>
      <c r="AF46" s="1382"/>
      <c r="AG46" s="1382"/>
      <c r="AH46" s="1382"/>
      <c r="AI46" s="1382"/>
      <c r="AJ46" s="1382"/>
      <c r="AK46" s="181"/>
      <c r="AL46" s="181"/>
      <c r="AM46" s="181"/>
      <c r="AN46" s="181"/>
      <c r="AO46" s="181"/>
      <c r="AP46" s="181"/>
      <c r="AQ46" s="181"/>
      <c r="AR46" s="181"/>
      <c r="AS46" s="181"/>
      <c r="AT46" s="181"/>
      <c r="AU46" s="181"/>
      <c r="AV46" s="181"/>
      <c r="AW46" s="181"/>
    </row>
    <row r="47" spans="1:50" s="30" customFormat="1" hidden="1" x14ac:dyDescent="0.25">
      <c r="A47" s="1407" t="str">
        <f>IF(COUNTIF('04 - 95% CD'!D47:G47,"Y")&gt;0,"Y",IF(COUNTIF('04 - 95% CD'!D47:G47,"N"),"N",""))</f>
        <v>Y</v>
      </c>
      <c r="B47" s="191"/>
      <c r="C47" s="944"/>
      <c r="D47" s="321"/>
      <c r="E47" s="559" t="str">
        <f>IF('C-Design&amp;Const'!$S47="","",'C-Design&amp;Const'!$S47)</f>
        <v>N</v>
      </c>
      <c r="F47" s="560"/>
      <c r="G47" s="558"/>
      <c r="H47" s="238" t="str">
        <f>CONCATENATE(IF(ISNUMBER(SEARCH("Placeholder",'C-Design&amp;Const'!Z47))=TRUE,"",IF(E47="N","PLACEHOLDER ROW - ","")),'C-Design&amp;Const'!Z47,IF(E47="N","",J47))</f>
        <v xml:space="preserve">PLACEHOLDER ROW - Permit Analysis  - As Applicable </v>
      </c>
      <c r="I47" s="186"/>
      <c r="J47" s="609" t="str">
        <f>IF('C-Design&amp;Const'!AJ47="","",'C-Design&amp;Const'!AJ47)</f>
        <v/>
      </c>
      <c r="K47" s="285" t="str">
        <f t="shared" si="0"/>
        <v>no 95% match</v>
      </c>
      <c r="L47" s="1410" t="str">
        <f t="shared" si="1"/>
        <v>&lt;---PM/Planner may hide PLACEHOLDER ROW</v>
      </c>
      <c r="M47" s="1382"/>
      <c r="N47" s="1382"/>
      <c r="O47" s="1382"/>
      <c r="P47" s="1382"/>
      <c r="Q47" s="1382"/>
      <c r="R47" s="1490"/>
      <c r="S47" s="1274"/>
      <c r="T47" s="1274"/>
      <c r="U47" s="1382"/>
      <c r="V47" s="1382"/>
      <c r="W47" s="1382"/>
      <c r="X47" s="1382"/>
      <c r="Y47" s="1382"/>
      <c r="Z47" s="1382"/>
      <c r="AA47" s="1382"/>
      <c r="AB47" s="1382"/>
      <c r="AC47" s="1382"/>
      <c r="AD47" s="1382"/>
      <c r="AE47" s="1382"/>
      <c r="AF47" s="1382"/>
      <c r="AG47" s="1382"/>
      <c r="AH47" s="1382"/>
      <c r="AI47" s="1382"/>
      <c r="AJ47" s="1382"/>
      <c r="AK47" s="181"/>
      <c r="AL47" s="181"/>
      <c r="AM47" s="181"/>
      <c r="AN47" s="181"/>
      <c r="AO47" s="181"/>
      <c r="AP47" s="181"/>
      <c r="AQ47" s="181"/>
      <c r="AR47" s="181"/>
      <c r="AS47" s="181"/>
      <c r="AT47" s="181"/>
      <c r="AU47" s="181"/>
      <c r="AV47" s="181"/>
      <c r="AW47" s="181"/>
    </row>
    <row r="48" spans="1:50" s="30" customFormat="1" hidden="1" x14ac:dyDescent="0.25">
      <c r="A48" s="1407" t="str">
        <f>IF(COUNTIF('04 - 95% CD'!D48:G48,"Y")&gt;0,"Y",IF(COUNTIF('04 - 95% CD'!D48:G48,"N"),"N",""))</f>
        <v>Y</v>
      </c>
      <c r="B48" s="191"/>
      <c r="C48" s="944"/>
      <c r="D48" s="321"/>
      <c r="E48" s="559" t="str">
        <f>IF('C-Design&amp;Const'!$S48="","",'C-Design&amp;Const'!$S48)</f>
        <v>N</v>
      </c>
      <c r="F48" s="560"/>
      <c r="G48" s="558"/>
      <c r="H48" s="238" t="str">
        <f>CONCATENATE(IF(ISNUMBER(SEARCH("Placeholder",'C-Design&amp;Const'!Z48))=TRUE,"",IF(E48="N","PLACEHOLDER ROW - ","")),'C-Design&amp;Const'!Z48,IF(E48="N","",J48))</f>
        <v xml:space="preserve">PLACEHOLDER ROW - Variances - As Applicable </v>
      </c>
      <c r="I48" s="186"/>
      <c r="J48" s="609" t="str">
        <f>IF('C-Design&amp;Const'!AJ48="","",'C-Design&amp;Const'!AJ48)</f>
        <v/>
      </c>
      <c r="K48" s="285" t="str">
        <f t="shared" si="0"/>
        <v>no 95% match</v>
      </c>
      <c r="L48" s="1410" t="str">
        <f t="shared" si="1"/>
        <v>&lt;---PM/Planner may hide PLACEHOLDER ROW</v>
      </c>
      <c r="M48" s="1382"/>
      <c r="N48" s="1382"/>
      <c r="O48" s="1382"/>
      <c r="P48" s="1382"/>
      <c r="Q48" s="1382"/>
      <c r="R48" s="1490"/>
      <c r="S48" s="1274"/>
      <c r="T48" s="1274"/>
      <c r="U48" s="1382"/>
      <c r="V48" s="1382"/>
      <c r="W48" s="1382"/>
      <c r="X48" s="1382"/>
      <c r="Y48" s="1382"/>
      <c r="Z48" s="1382"/>
      <c r="AA48" s="1382"/>
      <c r="AB48" s="1382"/>
      <c r="AC48" s="1382"/>
      <c r="AD48" s="1382"/>
      <c r="AE48" s="1382"/>
      <c r="AF48" s="1382"/>
      <c r="AG48" s="1382"/>
      <c r="AH48" s="1382"/>
      <c r="AI48" s="1382"/>
      <c r="AJ48" s="1382"/>
      <c r="AK48" s="181"/>
      <c r="AL48" s="181"/>
      <c r="AM48" s="181"/>
      <c r="AN48" s="181"/>
      <c r="AO48" s="181"/>
      <c r="AP48" s="181"/>
      <c r="AQ48" s="181"/>
      <c r="AR48" s="181"/>
      <c r="AS48" s="181"/>
      <c r="AT48" s="181"/>
      <c r="AU48" s="181"/>
      <c r="AV48" s="181"/>
      <c r="AW48" s="181"/>
    </row>
    <row r="49" spans="1:49" s="30" customFormat="1" ht="28.5" hidden="1" x14ac:dyDescent="0.25">
      <c r="A49" s="1407" t="str">
        <f>IF(COUNTIF('04 - 95% CD'!D49:G49,"Y")&gt;0,"Y",IF(COUNTIF('04 - 95% CD'!D49:G49,"N"),"N",""))</f>
        <v>N</v>
      </c>
      <c r="B49" s="191"/>
      <c r="C49" s="944"/>
      <c r="D49" s="321"/>
      <c r="E49" s="559" t="str">
        <f>IF('C-Design&amp;Const'!$S49="","",'C-Design&amp;Const'!$S49)</f>
        <v>N</v>
      </c>
      <c r="F49" s="560"/>
      <c r="G49" s="558"/>
      <c r="H49" s="410" t="str">
        <f>CONCATENATE(IF(ISNUMBER(SEARCH("Placeholder",'C-Design&amp;Const'!Z49))=TRUE,"",IF(E49="N","PLACEHOLDER ROW - ","")),'C-Design&amp;Const'!Z49,IF(E49="N","",J49))</f>
        <v xml:space="preserve">PLACEHOLDER ROW - Results of itemized Area Analysis Comparing the Net-to-Gross Square Feet  - Per Floor; Per Assembly Space; and Per Building as applicable </v>
      </c>
      <c r="I49" s="186"/>
      <c r="J49" s="609" t="str">
        <f>IF('C-Design&amp;Const'!AJ49="","",'C-Design&amp;Const'!AJ49)</f>
        <v/>
      </c>
      <c r="K49" s="285" t="str">
        <f t="shared" si="0"/>
        <v>match</v>
      </c>
      <c r="L49" s="1410" t="str">
        <f t="shared" si="1"/>
        <v>&lt;---PM/Planner may hide PLACEHOLDER ROW</v>
      </c>
      <c r="M49" s="1382"/>
      <c r="N49" s="1382"/>
      <c r="O49" s="1382"/>
      <c r="P49" s="1382"/>
      <c r="Q49" s="1382"/>
      <c r="R49" s="1490"/>
      <c r="S49" s="1274"/>
      <c r="T49" s="1274"/>
      <c r="U49" s="1382"/>
      <c r="V49" s="1382"/>
      <c r="W49" s="1382"/>
      <c r="X49" s="1382"/>
      <c r="Y49" s="1382"/>
      <c r="Z49" s="1382"/>
      <c r="AA49" s="1382"/>
      <c r="AB49" s="1382"/>
      <c r="AC49" s="1382"/>
      <c r="AD49" s="1382"/>
      <c r="AE49" s="1382"/>
      <c r="AF49" s="1382"/>
      <c r="AG49" s="1382"/>
      <c r="AH49" s="1382"/>
      <c r="AI49" s="1382"/>
      <c r="AJ49" s="1382"/>
      <c r="AK49" s="181"/>
      <c r="AL49" s="181"/>
      <c r="AM49" s="181"/>
      <c r="AN49" s="181"/>
      <c r="AO49" s="181"/>
      <c r="AP49" s="181"/>
      <c r="AQ49" s="181"/>
      <c r="AR49" s="181"/>
      <c r="AS49" s="181"/>
      <c r="AT49" s="181"/>
      <c r="AU49" s="181"/>
      <c r="AV49" s="181"/>
      <c r="AW49" s="181"/>
    </row>
    <row r="50" spans="1:49" s="30" customFormat="1" hidden="1" x14ac:dyDescent="0.25">
      <c r="A50" s="1407" t="str">
        <f>IF(COUNTIF('04 - 95% CD'!D50:G50,"Y")&gt;0,"Y",IF(COUNTIF('04 - 95% CD'!D50:G50,"N"),"N",""))</f>
        <v>N</v>
      </c>
      <c r="B50" s="191"/>
      <c r="C50" s="944"/>
      <c r="D50" s="321"/>
      <c r="E50" s="559" t="str">
        <f>IF('C-Design&amp;Const'!$S50="","",'C-Design&amp;Const'!$S50)</f>
        <v>N</v>
      </c>
      <c r="F50" s="560"/>
      <c r="G50" s="558"/>
      <c r="H50" s="410" t="str">
        <f>CONCATENATE(IF(ISNUMBER(SEARCH("Placeholder",'C-Design&amp;Const'!Z50))=TRUE,"",IF(E50="N","PLACEHOLDER ROW - ","")),'C-Design&amp;Const'!Z50,IF(E50="N","",J50))</f>
        <v xml:space="preserve">PLACEHOLDER ROW - Room Type Alternative Concepts </v>
      </c>
      <c r="I50" s="186"/>
      <c r="J50" s="609" t="str">
        <f>IF('C-Design&amp;Const'!AJ50="","",'C-Design&amp;Const'!AJ50)</f>
        <v/>
      </c>
      <c r="K50" s="285" t="str">
        <f t="shared" si="0"/>
        <v>match</v>
      </c>
      <c r="L50" s="1410" t="str">
        <f t="shared" si="1"/>
        <v>&lt;---PM/Planner may hide PLACEHOLDER ROW</v>
      </c>
      <c r="M50" s="1382"/>
      <c r="N50" s="1382"/>
      <c r="O50" s="1382"/>
      <c r="P50" s="1382"/>
      <c r="Q50" s="1382"/>
      <c r="R50" s="1490"/>
      <c r="S50" s="1274"/>
      <c r="T50" s="1274"/>
      <c r="U50" s="1382"/>
      <c r="V50" s="1382"/>
      <c r="W50" s="1382"/>
      <c r="X50" s="1382"/>
      <c r="Y50" s="1382"/>
      <c r="Z50" s="1382"/>
      <c r="AA50" s="1382"/>
      <c r="AB50" s="1382"/>
      <c r="AC50" s="1382"/>
      <c r="AD50" s="1382"/>
      <c r="AE50" s="1382"/>
      <c r="AF50" s="1382"/>
      <c r="AG50" s="1382"/>
      <c r="AH50" s="1382"/>
      <c r="AI50" s="1382"/>
      <c r="AJ50" s="1382"/>
      <c r="AK50" s="181"/>
      <c r="AL50" s="181"/>
      <c r="AM50" s="181"/>
      <c r="AN50" s="181"/>
      <c r="AO50" s="181"/>
      <c r="AP50" s="181"/>
      <c r="AQ50" s="181"/>
      <c r="AR50" s="181"/>
      <c r="AS50" s="181"/>
      <c r="AT50" s="181"/>
      <c r="AU50" s="181"/>
      <c r="AV50" s="181"/>
      <c r="AW50" s="181"/>
    </row>
    <row r="51" spans="1:49" s="30" customFormat="1" hidden="1" x14ac:dyDescent="0.25">
      <c r="A51" s="1407" t="str">
        <f>IF(COUNTIF('04 - 95% CD'!D51:G51,"Y")&gt;0,"Y",IF(COUNTIF('04 - 95% CD'!D51:G51,"N"),"N",""))</f>
        <v>N</v>
      </c>
      <c r="B51" s="191"/>
      <c r="C51" s="944"/>
      <c r="D51" s="321"/>
      <c r="E51" s="559" t="str">
        <f>IF('C-Design&amp;Const'!$S51="","",'C-Design&amp;Const'!$S51)</f>
        <v>N</v>
      </c>
      <c r="F51" s="560"/>
      <c r="G51" s="558"/>
      <c r="H51" s="410" t="str">
        <f>CONCATENATE(IF(ISNUMBER(SEARCH("Placeholder",'C-Design&amp;Const'!Z51))=TRUE,"",IF(E51="N","PLACEHOLDER ROW - ","")),'C-Design&amp;Const'!Z51,IF(E51="N","",J51))</f>
        <v xml:space="preserve">PLACEHOLDER ROW - Design Concept(s) </v>
      </c>
      <c r="I51" s="186"/>
      <c r="J51" s="609" t="str">
        <f>IF('C-Design&amp;Const'!AJ51="","",'C-Design&amp;Const'!AJ51)</f>
        <v/>
      </c>
      <c r="K51" s="285" t="str">
        <f t="shared" si="0"/>
        <v>match</v>
      </c>
      <c r="L51" s="1410" t="str">
        <f t="shared" si="1"/>
        <v>&lt;---PM/Planner may hide PLACEHOLDER ROW</v>
      </c>
      <c r="M51" s="1382"/>
      <c r="N51" s="1382"/>
      <c r="O51" s="1382"/>
      <c r="P51" s="1382"/>
      <c r="Q51" s="1382"/>
      <c r="R51" s="1490"/>
      <c r="S51" s="1274"/>
      <c r="T51" s="1274"/>
      <c r="U51" s="1382"/>
      <c r="V51" s="1382"/>
      <c r="W51" s="1382"/>
      <c r="X51" s="1382"/>
      <c r="Y51" s="1382"/>
      <c r="Z51" s="1382"/>
      <c r="AA51" s="1382"/>
      <c r="AB51" s="1382"/>
      <c r="AC51" s="1382"/>
      <c r="AD51" s="1382"/>
      <c r="AE51" s="1382"/>
      <c r="AF51" s="1382"/>
      <c r="AG51" s="1382"/>
      <c r="AH51" s="1382"/>
      <c r="AI51" s="1382"/>
      <c r="AJ51" s="1382"/>
      <c r="AK51" s="181"/>
      <c r="AL51" s="181"/>
      <c r="AM51" s="181"/>
      <c r="AN51" s="181"/>
      <c r="AO51" s="181"/>
      <c r="AP51" s="181"/>
      <c r="AQ51" s="181"/>
      <c r="AR51" s="181"/>
      <c r="AS51" s="181"/>
      <c r="AT51" s="181"/>
      <c r="AU51" s="181"/>
      <c r="AV51" s="181"/>
      <c r="AW51" s="181"/>
    </row>
    <row r="52" spans="1:49" s="30" customFormat="1" hidden="1" x14ac:dyDescent="0.25">
      <c r="A52" s="1407" t="str">
        <f>IF(COUNTIF('04 - 95% CD'!D52:G52,"Y")&gt;0,"Y",IF(COUNTIF('04 - 95% CD'!D52:G52,"N"),"N",""))</f>
        <v>N</v>
      </c>
      <c r="B52" s="191"/>
      <c r="C52" s="944"/>
      <c r="D52" s="321"/>
      <c r="E52" s="559" t="str">
        <f>IF('C-Design&amp;Const'!$S52="","",'C-Design&amp;Const'!$S52)</f>
        <v>N</v>
      </c>
      <c r="F52" s="560"/>
      <c r="G52" s="558"/>
      <c r="H52" s="410" t="str">
        <f>CONCATENATE(IF(ISNUMBER(SEARCH("Placeholder",'C-Design&amp;Const'!Z52))=TRUE,"",IF(E52="N","PLACEHOLDER ROW - ","")),'C-Design&amp;Const'!Z52,IF(E52="N","",J52))</f>
        <v xml:space="preserve">PLACEHOLDER ROW - Master Plan Impact and Options </v>
      </c>
      <c r="I52" s="186"/>
      <c r="J52" s="609" t="str">
        <f>IF('C-Design&amp;Const'!AJ52="","",'C-Design&amp;Const'!AJ52)</f>
        <v/>
      </c>
      <c r="K52" s="285" t="str">
        <f t="shared" si="0"/>
        <v>match</v>
      </c>
      <c r="L52" s="1410" t="str">
        <f t="shared" si="1"/>
        <v>&lt;---PM/Planner may hide PLACEHOLDER ROW</v>
      </c>
      <c r="M52" s="1382"/>
      <c r="N52" s="1382"/>
      <c r="O52" s="1382"/>
      <c r="P52" s="1382"/>
      <c r="Q52" s="1382"/>
      <c r="R52" s="1490"/>
      <c r="S52" s="1274"/>
      <c r="T52" s="1274"/>
      <c r="U52" s="1382"/>
      <c r="V52" s="1382"/>
      <c r="W52" s="1382"/>
      <c r="X52" s="1382"/>
      <c r="Y52" s="1382"/>
      <c r="Z52" s="1382"/>
      <c r="AA52" s="1382"/>
      <c r="AB52" s="1382"/>
      <c r="AC52" s="1382"/>
      <c r="AD52" s="1382"/>
      <c r="AE52" s="1382"/>
      <c r="AF52" s="1382"/>
      <c r="AG52" s="1382"/>
      <c r="AH52" s="1382"/>
      <c r="AI52" s="1382"/>
      <c r="AJ52" s="1382"/>
      <c r="AK52" s="181"/>
      <c r="AL52" s="181"/>
      <c r="AM52" s="181"/>
      <c r="AN52" s="181"/>
      <c r="AO52" s="181"/>
      <c r="AP52" s="181"/>
      <c r="AQ52" s="181"/>
      <c r="AR52" s="181"/>
      <c r="AS52" s="181"/>
      <c r="AT52" s="181"/>
      <c r="AU52" s="181"/>
      <c r="AV52" s="181"/>
      <c r="AW52" s="181"/>
    </row>
    <row r="53" spans="1:49" s="30" customFormat="1" hidden="1" x14ac:dyDescent="0.25">
      <c r="A53" s="1407" t="str">
        <f>IF(COUNTIF('04 - 95% CD'!D53:G53,"Y")&gt;0,"Y",IF(COUNTIF('04 - 95% CD'!D53:G53,"N"),"N",""))</f>
        <v>N</v>
      </c>
      <c r="B53" s="191"/>
      <c r="C53" s="944"/>
      <c r="D53" s="321"/>
      <c r="E53" s="559" t="str">
        <f>IF('C-Design&amp;Const'!$S53="","",'C-Design&amp;Const'!$S53)</f>
        <v>N</v>
      </c>
      <c r="F53" s="560"/>
      <c r="G53" s="558"/>
      <c r="H53" s="410" t="str">
        <f>CONCATENATE(IF(ISNUMBER(SEARCH("Placeholder",'C-Design&amp;Const'!Z53))=TRUE,"",IF(E53="N","PLACEHOLDER ROW - ","")),'C-Design&amp;Const'!Z53,IF(E53="N","",J53))</f>
        <v>PLACEHOLDER ROW - Required adjacent property acquisitions</v>
      </c>
      <c r="I53" s="186"/>
      <c r="J53" s="609" t="str">
        <f>IF('C-Design&amp;Const'!AJ53="","",'C-Design&amp;Const'!AJ53)</f>
        <v/>
      </c>
      <c r="K53" s="285" t="str">
        <f t="shared" si="0"/>
        <v>match</v>
      </c>
      <c r="L53" s="1410" t="str">
        <f t="shared" si="1"/>
        <v>&lt;---PM/Planner may hide PLACEHOLDER ROW</v>
      </c>
      <c r="M53" s="1382"/>
      <c r="N53" s="1382"/>
      <c r="O53" s="1382"/>
      <c r="P53" s="1382"/>
      <c r="Q53" s="1382"/>
      <c r="R53" s="1490"/>
      <c r="S53" s="1274"/>
      <c r="T53" s="1274"/>
      <c r="U53" s="1382"/>
      <c r="V53" s="1382"/>
      <c r="W53" s="1382"/>
      <c r="X53" s="1382"/>
      <c r="Y53" s="1382"/>
      <c r="Z53" s="1382"/>
      <c r="AA53" s="1382"/>
      <c r="AB53" s="1382"/>
      <c r="AC53" s="1382"/>
      <c r="AD53" s="1382"/>
      <c r="AE53" s="1382"/>
      <c r="AF53" s="1382"/>
      <c r="AG53" s="1382"/>
      <c r="AH53" s="1382"/>
      <c r="AI53" s="1382"/>
      <c r="AJ53" s="1382"/>
      <c r="AK53" s="181"/>
      <c r="AL53" s="181"/>
      <c r="AM53" s="181"/>
      <c r="AN53" s="181"/>
      <c r="AO53" s="181"/>
      <c r="AP53" s="181"/>
      <c r="AQ53" s="181"/>
      <c r="AR53" s="181"/>
      <c r="AS53" s="181"/>
      <c r="AT53" s="181"/>
      <c r="AU53" s="181"/>
      <c r="AV53" s="181"/>
      <c r="AW53" s="181"/>
    </row>
    <row r="54" spans="1:49" s="30" customFormat="1" hidden="1" x14ac:dyDescent="0.25">
      <c r="A54" s="1407" t="str">
        <f>IF(COUNTIF('04 - 95% CD'!D54:G54,"Y")&gt;0,"Y",IF(COUNTIF('04 - 95% CD'!D54:G54,"N"),"N",""))</f>
        <v>N</v>
      </c>
      <c r="B54" s="191"/>
      <c r="C54" s="944"/>
      <c r="D54" s="321"/>
      <c r="E54" s="559" t="str">
        <f>IF('C-Design&amp;Const'!$S54="","",'C-Design&amp;Const'!$S54)</f>
        <v>N</v>
      </c>
      <c r="F54" s="560"/>
      <c r="G54" s="558"/>
      <c r="H54" s="410" t="str">
        <f>CONCATENATE(IF(ISNUMBER(SEARCH("Placeholder",'C-Design&amp;Const'!Z54))=TRUE,"",IF(E54="N","PLACEHOLDER ROW - ","")),'C-Design&amp;Const'!Z54,IF(E54="N","",J54))</f>
        <v>PLACEHOLDER ROW - CUSTOM ROW - OPTIONAL CLIENT ITEM</v>
      </c>
      <c r="I54" s="186"/>
      <c r="J54" s="609" t="str">
        <f>IF('C-Design&amp;Const'!AJ54="","",'C-Design&amp;Const'!AJ54)</f>
        <v/>
      </c>
      <c r="K54" s="285" t="str">
        <f t="shared" si="0"/>
        <v>match</v>
      </c>
      <c r="L54" s="1410" t="str">
        <f t="shared" si="1"/>
        <v>&lt;---PM/Planner may hide PLACEHOLDER ROW</v>
      </c>
      <c r="M54" s="1382"/>
      <c r="N54" s="1382"/>
      <c r="O54" s="1382"/>
      <c r="P54" s="1382"/>
      <c r="Q54" s="1382"/>
      <c r="R54" s="1490"/>
      <c r="S54" s="1274"/>
      <c r="T54" s="1274"/>
      <c r="U54" s="1382"/>
      <c r="V54" s="1382"/>
      <c r="W54" s="1382"/>
      <c r="X54" s="1382"/>
      <c r="Y54" s="1382"/>
      <c r="Z54" s="1382"/>
      <c r="AA54" s="1382"/>
      <c r="AB54" s="1382"/>
      <c r="AC54" s="1382"/>
      <c r="AD54" s="1382"/>
      <c r="AE54" s="1382"/>
      <c r="AF54" s="1382"/>
      <c r="AG54" s="1382"/>
      <c r="AH54" s="1382"/>
      <c r="AI54" s="1382"/>
      <c r="AJ54" s="1382"/>
      <c r="AK54" s="181"/>
      <c r="AL54" s="181"/>
      <c r="AM54" s="181"/>
      <c r="AN54" s="181"/>
      <c r="AO54" s="181"/>
      <c r="AP54" s="181"/>
      <c r="AQ54" s="181"/>
      <c r="AR54" s="181"/>
      <c r="AS54" s="181"/>
      <c r="AT54" s="181"/>
      <c r="AU54" s="181"/>
      <c r="AV54" s="181"/>
      <c r="AW54" s="181"/>
    </row>
    <row r="55" spans="1:49" s="30" customFormat="1" hidden="1" x14ac:dyDescent="0.25">
      <c r="A55" s="1407" t="str">
        <f>IF(COUNTIF('04 - 95% CD'!D55:G55,"Y")&gt;0,"Y",IF(COUNTIF('04 - 95% CD'!D55:G55,"N"),"N",""))</f>
        <v>N</v>
      </c>
      <c r="B55" s="191"/>
      <c r="C55" s="944"/>
      <c r="D55" s="321"/>
      <c r="E55" s="559" t="str">
        <f>IF('C-Design&amp;Const'!$S55="","",'C-Design&amp;Const'!$S55)</f>
        <v>N</v>
      </c>
      <c r="F55" s="560"/>
      <c r="G55" s="558"/>
      <c r="H55" s="410" t="str">
        <f>CONCATENATE(IF(ISNUMBER(SEARCH("Placeholder",'C-Design&amp;Const'!Z55))=TRUE,"",IF(E55="N","PLACEHOLDER ROW - ","")),'C-Design&amp;Const'!Z55,IF(E55="N","",J55))</f>
        <v>PLACEHOLDER ROW - CUSTOM ROW - OPTIONAL CLIENT ITEM</v>
      </c>
      <c r="I55" s="186"/>
      <c r="J55" s="609" t="str">
        <f>IF('C-Design&amp;Const'!AJ55="","",'C-Design&amp;Const'!AJ55)</f>
        <v/>
      </c>
      <c r="K55" s="285" t="str">
        <f t="shared" si="0"/>
        <v>match</v>
      </c>
      <c r="L55" s="1410" t="str">
        <f t="shared" si="1"/>
        <v>&lt;---PM/Planner may hide PLACEHOLDER ROW</v>
      </c>
      <c r="M55" s="1382"/>
      <c r="N55" s="1382"/>
      <c r="O55" s="1382"/>
      <c r="P55" s="1382"/>
      <c r="Q55" s="1382"/>
      <c r="R55" s="1490"/>
      <c r="S55" s="1274"/>
      <c r="T55" s="1274"/>
      <c r="U55" s="1382"/>
      <c r="V55" s="1382"/>
      <c r="W55" s="1382"/>
      <c r="X55" s="1382"/>
      <c r="Y55" s="1382"/>
      <c r="Z55" s="1382"/>
      <c r="AA55" s="1382"/>
      <c r="AB55" s="1382"/>
      <c r="AC55" s="1382"/>
      <c r="AD55" s="1382"/>
      <c r="AE55" s="1382"/>
      <c r="AF55" s="1382"/>
      <c r="AG55" s="1382"/>
      <c r="AH55" s="1382"/>
      <c r="AI55" s="1382"/>
      <c r="AJ55" s="1382"/>
      <c r="AK55" s="181"/>
      <c r="AL55" s="181"/>
      <c r="AM55" s="181"/>
      <c r="AN55" s="181"/>
      <c r="AO55" s="181"/>
      <c r="AP55" s="181"/>
      <c r="AQ55" s="181"/>
      <c r="AR55" s="181"/>
      <c r="AS55" s="181"/>
      <c r="AT55" s="181"/>
      <c r="AU55" s="181"/>
      <c r="AV55" s="181"/>
      <c r="AW55" s="181"/>
    </row>
    <row r="56" spans="1:49" s="30" customFormat="1" ht="15.75" hidden="1" x14ac:dyDescent="0.25">
      <c r="A56" s="1407" t="str">
        <f>IF(COUNTIF('04 - 95% CD'!D56:G56,"Y")&gt;0,"Y",IF(COUNTIF('04 - 95% CD'!D56:G56,"N"),"N",""))</f>
        <v>Y</v>
      </c>
      <c r="B56" s="191"/>
      <c r="C56" s="944"/>
      <c r="D56" s="321"/>
      <c r="E56" s="559" t="str">
        <f>IF('C-Design&amp;Const'!$S56="","",'C-Design&amp;Const'!$S56)</f>
        <v>N</v>
      </c>
      <c r="F56" s="560"/>
      <c r="G56" s="558"/>
      <c r="H56" s="1031" t="str">
        <f>CONCATENATE(IF(ISNUMBER(SEARCH("Placeholder",'C-Design&amp;Const'!Z56))=TRUE,"",IF(E56="N","PLACEHOLDER ROW - ","")),'C-Design&amp;Const'!Z56,IF(E56="N","",J56))</f>
        <v>PLACEHOLDER ROW - Building &amp; Site Systems Narratives</v>
      </c>
      <c r="I56" s="186"/>
      <c r="J56" s="609" t="str">
        <f>IF('C-Design&amp;Const'!AJ56="","",'C-Design&amp;Const'!AJ56)</f>
        <v/>
      </c>
      <c r="K56" s="285" t="str">
        <f t="shared" si="0"/>
        <v>no 95% match</v>
      </c>
      <c r="L56" s="1410" t="str">
        <f t="shared" si="1"/>
        <v>&lt;---PM/Planner may hide PLACEHOLDER ROW</v>
      </c>
      <c r="M56" s="1382"/>
      <c r="N56" s="1382"/>
      <c r="O56" s="1382"/>
      <c r="P56" s="1382"/>
      <c r="Q56" s="1382"/>
      <c r="R56" s="1490"/>
      <c r="S56" s="1274"/>
      <c r="T56" s="1274"/>
      <c r="U56" s="1382"/>
      <c r="V56" s="1382"/>
      <c r="W56" s="1382"/>
      <c r="X56" s="1382"/>
      <c r="Y56" s="1382"/>
      <c r="Z56" s="1382"/>
      <c r="AA56" s="1382"/>
      <c r="AB56" s="1382"/>
      <c r="AC56" s="1382"/>
      <c r="AD56" s="1382"/>
      <c r="AE56" s="1382"/>
      <c r="AF56" s="1382"/>
      <c r="AG56" s="1382"/>
      <c r="AH56" s="1382"/>
      <c r="AI56" s="1382"/>
      <c r="AJ56" s="1382"/>
      <c r="AK56" s="181"/>
      <c r="AL56" s="181"/>
      <c r="AM56" s="181"/>
      <c r="AN56" s="181"/>
      <c r="AO56" s="181"/>
      <c r="AP56" s="181"/>
      <c r="AQ56" s="181"/>
      <c r="AR56" s="181"/>
      <c r="AS56" s="181"/>
      <c r="AT56" s="181"/>
      <c r="AU56" s="181"/>
      <c r="AV56" s="181"/>
      <c r="AW56" s="181"/>
    </row>
    <row r="57" spans="1:49" s="30" customFormat="1" ht="27.75" hidden="1" customHeight="1" x14ac:dyDescent="0.25">
      <c r="A57" s="1407" t="str">
        <f>IF(COUNTIF('04 - 95% CD'!D57:G57,"Y")&gt;0,"Y",IF(COUNTIF('04 - 95% CD'!D57:G57,"N"),"N",""))</f>
        <v/>
      </c>
      <c r="B57" s="191"/>
      <c r="C57" s="944"/>
      <c r="D57" s="321"/>
      <c r="E57" s="520"/>
      <c r="F57" s="487"/>
      <c r="G57" s="558"/>
      <c r="H57" s="1032" t="str">
        <f>CONCATENATE(IF(ISNUMBER(SEARCH("Placeholder",'C-Design&amp;Const'!Z57))=TRUE,"",IF(E57="N","PLACEHOLDER ROW - ","")),'C-Design&amp;Const'!Z57,IF(E57="N","",J57))</f>
        <v>Under separate bound cover, any detailed results, reports, surveys, tests, etc… for existing systems verification.</v>
      </c>
      <c r="I57" s="186"/>
      <c r="J57" s="609" t="str">
        <f>IF('C-Design&amp;Const'!AJ57="","",'C-Design&amp;Const'!AJ57)</f>
        <v/>
      </c>
      <c r="K57" s="285" t="str">
        <f t="shared" si="0"/>
        <v>match</v>
      </c>
      <c r="L57" s="1410" t="str">
        <f t="shared" si="1"/>
        <v/>
      </c>
      <c r="M57" s="1382"/>
      <c r="N57" s="1382"/>
      <c r="O57" s="1382"/>
      <c r="P57" s="1382"/>
      <c r="Q57" s="1382"/>
      <c r="R57" s="1490"/>
      <c r="S57" s="1274"/>
      <c r="T57" s="1274"/>
      <c r="U57" s="1382"/>
      <c r="V57" s="1382"/>
      <c r="W57" s="1382"/>
      <c r="X57" s="1382"/>
      <c r="Y57" s="1382"/>
      <c r="Z57" s="1382"/>
      <c r="AA57" s="1382"/>
      <c r="AB57" s="1382"/>
      <c r="AC57" s="1382"/>
      <c r="AD57" s="1382"/>
      <c r="AE57" s="1382"/>
      <c r="AF57" s="1382"/>
      <c r="AG57" s="1382"/>
      <c r="AH57" s="1382"/>
      <c r="AI57" s="1382"/>
      <c r="AJ57" s="1382"/>
      <c r="AK57" s="181"/>
      <c r="AL57" s="181"/>
      <c r="AM57" s="181"/>
      <c r="AN57" s="181"/>
      <c r="AO57" s="181"/>
      <c r="AP57" s="181"/>
      <c r="AQ57" s="181"/>
      <c r="AR57" s="181"/>
      <c r="AS57" s="181"/>
      <c r="AT57" s="181"/>
      <c r="AU57" s="181"/>
      <c r="AV57" s="181"/>
      <c r="AW57" s="181"/>
    </row>
    <row r="58" spans="1:49" s="30" customFormat="1" ht="42.75" hidden="1" x14ac:dyDescent="0.25">
      <c r="A58" s="1407" t="str">
        <f>IF(COUNTIF('04 - 95% CD'!D58:G58,"Y")&gt;0,"Y",IF(COUNTIF('04 - 95% CD'!D58:G58,"N"),"N",""))</f>
        <v>Y</v>
      </c>
      <c r="B58" s="191"/>
      <c r="C58" s="944"/>
      <c r="D58" s="321"/>
      <c r="E58" s="466"/>
      <c r="F58" s="559" t="str">
        <f>IF('C-Design&amp;Const'!$S58="","",'C-Design&amp;Const'!$S58)</f>
        <v>N</v>
      </c>
      <c r="G58" s="558"/>
      <c r="H58" s="1029" t="str">
        <f>CONCATENATE(IF(F58="N","PLACEHOLDER ROW - ",""),'C-Design&amp;Const'!Z58,IF(F58="N","",J58))</f>
        <v>PLACEHOLDER ROW - Site / Civil / Landscape - Storm Water Management for changes in impervious area **(List assumptions for mitigation.  Verify existing system.  Any outlet into field tiles must be verified for size, location, and condition)</v>
      </c>
      <c r="I58" s="186"/>
      <c r="J58" s="609" t="str">
        <f>IF('C-Design&amp;Const'!AJ58="","",'C-Design&amp;Const'!AJ58)</f>
        <v/>
      </c>
      <c r="K58" s="285" t="str">
        <f t="shared" si="0"/>
        <v>no 95% match</v>
      </c>
      <c r="L58" s="1410" t="str">
        <f t="shared" si="1"/>
        <v>&lt;---PM/Planner may hide PLACEHOLDER ROW</v>
      </c>
      <c r="M58" s="1382"/>
      <c r="N58" s="1382"/>
      <c r="O58" s="1382"/>
      <c r="P58" s="1382"/>
      <c r="Q58" s="1382"/>
      <c r="R58" s="1490"/>
      <c r="S58" s="1274"/>
      <c r="T58" s="1274"/>
      <c r="U58" s="1382"/>
      <c r="V58" s="1382"/>
      <c r="W58" s="1382"/>
      <c r="X58" s="1382"/>
      <c r="Y58" s="1382"/>
      <c r="Z58" s="1382"/>
      <c r="AA58" s="1382"/>
      <c r="AB58" s="1382"/>
      <c r="AC58" s="1382"/>
      <c r="AD58" s="1382"/>
      <c r="AE58" s="1382"/>
      <c r="AF58" s="1382"/>
      <c r="AG58" s="1382"/>
      <c r="AH58" s="1382"/>
      <c r="AI58" s="1382"/>
      <c r="AJ58" s="1382"/>
      <c r="AK58" s="181"/>
      <c r="AL58" s="181"/>
      <c r="AM58" s="181"/>
      <c r="AN58" s="181"/>
      <c r="AO58" s="181"/>
      <c r="AP58" s="181"/>
      <c r="AQ58" s="181"/>
      <c r="AR58" s="181"/>
      <c r="AS58" s="181"/>
      <c r="AT58" s="181"/>
      <c r="AU58" s="181"/>
      <c r="AV58" s="181"/>
      <c r="AW58" s="181"/>
    </row>
    <row r="59" spans="1:49" s="30" customFormat="1" ht="28.5" hidden="1" x14ac:dyDescent="0.25">
      <c r="A59" s="1407" t="str">
        <f>IF(COUNTIF('04 - 95% CD'!D59:G59,"Y")&gt;0,"Y",IF(COUNTIF('04 - 95% CD'!D59:G59,"N"),"N",""))</f>
        <v>Y</v>
      </c>
      <c r="B59" s="191"/>
      <c r="C59" s="944"/>
      <c r="D59" s="321"/>
      <c r="E59" s="466"/>
      <c r="F59" s="559" t="str">
        <f>IF('C-Design&amp;Const'!$S59="","",'C-Design&amp;Const'!$S59)</f>
        <v>N</v>
      </c>
      <c r="G59" s="558"/>
      <c r="H59" s="1029" t="str">
        <f>CONCATENATE(IF(F59="N","PLACEHOLDER ROW - ",""),'C-Design&amp;Const'!Z59,IF(F59="N","",J59))</f>
        <v>PLACEHOLDER ROW - Site / Civil / Landscape - Bike Parking, Vehicle Parking,  Driveways, Multimodal Transporation</v>
      </c>
      <c r="I59" s="186"/>
      <c r="J59" s="609" t="str">
        <f>IF('C-Design&amp;Const'!AJ59="","",'C-Design&amp;Const'!AJ59)</f>
        <v/>
      </c>
      <c r="K59" s="285" t="str">
        <f t="shared" si="0"/>
        <v>no 95% match</v>
      </c>
      <c r="L59" s="1410" t="str">
        <f t="shared" si="1"/>
        <v>&lt;---PM/Planner may hide PLACEHOLDER ROW</v>
      </c>
      <c r="M59" s="1382"/>
      <c r="N59" s="1382"/>
      <c r="O59" s="1382"/>
      <c r="P59" s="1382"/>
      <c r="Q59" s="1382"/>
      <c r="R59" s="1490"/>
      <c r="S59" s="1274"/>
      <c r="T59" s="1274"/>
      <c r="U59" s="1382"/>
      <c r="V59" s="1382"/>
      <c r="W59" s="1382"/>
      <c r="X59" s="1382"/>
      <c r="Y59" s="1382"/>
      <c r="Z59" s="1382"/>
      <c r="AA59" s="1382"/>
      <c r="AB59" s="1382"/>
      <c r="AC59" s="1382"/>
      <c r="AD59" s="1382"/>
      <c r="AE59" s="1382"/>
      <c r="AF59" s="1382"/>
      <c r="AG59" s="1382"/>
      <c r="AH59" s="1382"/>
      <c r="AI59" s="1382"/>
      <c r="AJ59" s="1382"/>
      <c r="AK59" s="181"/>
      <c r="AL59" s="181"/>
      <c r="AM59" s="181"/>
      <c r="AN59" s="181"/>
      <c r="AO59" s="181"/>
      <c r="AP59" s="181"/>
      <c r="AQ59" s="181"/>
      <c r="AR59" s="181"/>
      <c r="AS59" s="181"/>
      <c r="AT59" s="181"/>
      <c r="AU59" s="181"/>
      <c r="AV59" s="181"/>
      <c r="AW59" s="181"/>
    </row>
    <row r="60" spans="1:49" s="1055" customFormat="1" ht="28.5" hidden="1" x14ac:dyDescent="0.25">
      <c r="A60" s="1407" t="str">
        <f>IF(COUNTIF('04 - 95% CD'!D60:G60,"Y")&gt;0,"Y",IF(COUNTIF('04 - 95% CD'!D60:G60,"N"),"N",""))</f>
        <v>Y</v>
      </c>
      <c r="B60" s="1050"/>
      <c r="C60" s="944"/>
      <c r="D60" s="321"/>
      <c r="E60" s="466"/>
      <c r="F60" s="559" t="str">
        <f>IF('C-Design&amp;Const'!$S60="","",'C-Design&amp;Const'!$S60)</f>
        <v>N</v>
      </c>
      <c r="G60" s="558"/>
      <c r="H60" s="1029" t="str">
        <f>CONCATENATE(IF(F60="N","PLACEHOLDER ROW - ",""),'C-Design&amp;Const'!Z60,IF(F60="N","",J60))</f>
        <v>PLACEHOLDER ROW - Site / Civil / Landscape - Waste &amp; Recycling Hauling, Service Access, &amp; Loading Zones</v>
      </c>
      <c r="I60" s="1051"/>
      <c r="J60" s="1052" t="str">
        <f>IF('C-Design&amp;Const'!AJ60="","",'C-Design&amp;Const'!AJ60)</f>
        <v/>
      </c>
      <c r="K60" s="1053" t="str">
        <f t="shared" ref="K60" si="2">IF((COUNTIF(D60:F60,"Y")=COUNTIF(A60,"Y")),"match","no 95% match")</f>
        <v>no 95% match</v>
      </c>
      <c r="L60" s="1410" t="str">
        <f t="shared" ref="L60" si="3">CONCATENATE(IF(ISNUMBER(SEARCH("Placeholder",H60))=TRUE,"&lt;---PM/Planner may hide PLACEHOLDER ROW",""))</f>
        <v>&lt;---PM/Planner may hide PLACEHOLDER ROW</v>
      </c>
      <c r="M60" s="1382"/>
      <c r="N60" s="1382"/>
      <c r="O60" s="1382"/>
      <c r="P60" s="1382"/>
      <c r="Q60" s="1382"/>
      <c r="R60" s="1490"/>
      <c r="S60" s="1274"/>
      <c r="T60" s="1274"/>
      <c r="U60" s="1382"/>
      <c r="V60" s="1382"/>
      <c r="W60" s="1382"/>
      <c r="X60" s="1382"/>
      <c r="Y60" s="1382"/>
      <c r="Z60" s="1382"/>
      <c r="AA60" s="1382"/>
      <c r="AB60" s="1382"/>
      <c r="AC60" s="1382"/>
      <c r="AD60" s="1382"/>
      <c r="AE60" s="1382"/>
      <c r="AF60" s="1382"/>
      <c r="AG60" s="1382"/>
      <c r="AH60" s="1382"/>
      <c r="AI60" s="1382"/>
      <c r="AJ60" s="1382"/>
      <c r="AK60" s="1054"/>
      <c r="AL60" s="1054"/>
      <c r="AM60" s="1054"/>
      <c r="AN60" s="1054"/>
      <c r="AO60" s="1054"/>
      <c r="AP60" s="1054"/>
      <c r="AQ60" s="1054"/>
      <c r="AR60" s="1054"/>
      <c r="AS60" s="1054"/>
      <c r="AT60" s="1054"/>
      <c r="AU60" s="1054"/>
      <c r="AV60" s="1054"/>
      <c r="AW60" s="1054"/>
    </row>
    <row r="61" spans="1:49" s="30" customFormat="1" hidden="1" x14ac:dyDescent="0.25">
      <c r="A61" s="1407" t="str">
        <f>IF(COUNTIF('04 - 95% CD'!D61:G61,"Y")&gt;0,"Y",IF(COUNTIF('04 - 95% CD'!D61:G61,"N"),"N",""))</f>
        <v>Y</v>
      </c>
      <c r="B61" s="191"/>
      <c r="C61" s="944"/>
      <c r="D61" s="321"/>
      <c r="E61" s="466"/>
      <c r="F61" s="559" t="str">
        <f>IF('C-Design&amp;Const'!$S61="","",'C-Design&amp;Const'!$S61)</f>
        <v>N</v>
      </c>
      <c r="G61" s="558"/>
      <c r="H61" s="1029" t="str">
        <f>CONCATENATE(IF(F61="N","PLACEHOLDER ROW - ",""),'C-Design&amp;Const'!Z61,IF(F61="N","",J61))</f>
        <v>PLACEHOLDER ROW - Site / Civil / Landscape - Sidewalks, Plazas, Landscape</v>
      </c>
      <c r="I61" s="186"/>
      <c r="J61" s="609" t="str">
        <f>IF('C-Design&amp;Const'!AJ61="","",'C-Design&amp;Const'!AJ61)</f>
        <v/>
      </c>
      <c r="K61" s="285" t="str">
        <f t="shared" si="0"/>
        <v>no 95% match</v>
      </c>
      <c r="L61" s="1410" t="str">
        <f t="shared" si="1"/>
        <v>&lt;---PM/Planner may hide PLACEHOLDER ROW</v>
      </c>
      <c r="M61" s="1382"/>
      <c r="N61" s="1382"/>
      <c r="O61" s="1382"/>
      <c r="P61" s="1382"/>
      <c r="Q61" s="1382"/>
      <c r="R61" s="1490"/>
      <c r="S61" s="1274"/>
      <c r="T61" s="1274"/>
      <c r="U61" s="1382"/>
      <c r="V61" s="1382"/>
      <c r="W61" s="1382"/>
      <c r="X61" s="1382"/>
      <c r="Y61" s="1382"/>
      <c r="Z61" s="1382"/>
      <c r="AA61" s="1382"/>
      <c r="AB61" s="1382"/>
      <c r="AC61" s="1382"/>
      <c r="AD61" s="1382"/>
      <c r="AE61" s="1382"/>
      <c r="AF61" s="1382"/>
      <c r="AG61" s="1382"/>
      <c r="AH61" s="1382"/>
      <c r="AI61" s="1382"/>
      <c r="AJ61" s="1382"/>
      <c r="AK61" s="181"/>
      <c r="AL61" s="181"/>
      <c r="AM61" s="181"/>
      <c r="AN61" s="181"/>
      <c r="AO61" s="181"/>
      <c r="AP61" s="181"/>
      <c r="AQ61" s="181"/>
      <c r="AR61" s="181"/>
      <c r="AS61" s="181"/>
      <c r="AT61" s="181"/>
      <c r="AU61" s="181"/>
      <c r="AV61" s="181"/>
      <c r="AW61" s="181"/>
    </row>
    <row r="62" spans="1:49" s="30" customFormat="1" hidden="1" x14ac:dyDescent="0.25">
      <c r="A62" s="1407" t="str">
        <f>IF(COUNTIF('04 - 95% CD'!D62:G62,"Y")&gt;0,"Y",IF(COUNTIF('04 - 95% CD'!D62:G62,"N"),"N",""))</f>
        <v>Y</v>
      </c>
      <c r="B62" s="191"/>
      <c r="C62" s="944"/>
      <c r="D62" s="321"/>
      <c r="E62" s="466"/>
      <c r="F62" s="559" t="str">
        <f>IF('C-Design&amp;Const'!$S62="","",'C-Design&amp;Const'!$S62)</f>
        <v>N</v>
      </c>
      <c r="G62" s="558"/>
      <c r="H62" s="1029" t="str">
        <f>CONCATENATE(IF(F62="N","PLACEHOLDER ROW - ",""),'C-Design&amp;Const'!Z62,IF(F62="N","",J62))</f>
        <v>PLACEHOLDER ROW - Site / Civil / Landscape - Demolition &amp; Site Clearing</v>
      </c>
      <c r="I62" s="186"/>
      <c r="J62" s="609" t="str">
        <f>IF('C-Design&amp;Const'!AJ62="","",'C-Design&amp;Const'!AJ62)</f>
        <v/>
      </c>
      <c r="K62" s="285" t="str">
        <f t="shared" si="0"/>
        <v>no 95% match</v>
      </c>
      <c r="L62" s="1410" t="str">
        <f t="shared" si="1"/>
        <v>&lt;---PM/Planner may hide PLACEHOLDER ROW</v>
      </c>
      <c r="M62" s="1382"/>
      <c r="N62" s="1382"/>
      <c r="O62" s="1382"/>
      <c r="P62" s="1382"/>
      <c r="Q62" s="1382"/>
      <c r="R62" s="1490"/>
      <c r="S62" s="1274"/>
      <c r="T62" s="1274"/>
      <c r="U62" s="1382"/>
      <c r="V62" s="1382"/>
      <c r="W62" s="1382"/>
      <c r="X62" s="1382"/>
      <c r="Y62" s="1382"/>
      <c r="Z62" s="1382"/>
      <c r="AA62" s="1382"/>
      <c r="AB62" s="1382"/>
      <c r="AC62" s="1382"/>
      <c r="AD62" s="1382"/>
      <c r="AE62" s="1382"/>
      <c r="AF62" s="1382"/>
      <c r="AG62" s="1382"/>
      <c r="AH62" s="1382"/>
      <c r="AI62" s="1382"/>
      <c r="AJ62" s="1382"/>
      <c r="AK62" s="181"/>
      <c r="AL62" s="181"/>
      <c r="AM62" s="181"/>
      <c r="AN62" s="181"/>
      <c r="AO62" s="181"/>
      <c r="AP62" s="181"/>
      <c r="AQ62" s="181"/>
      <c r="AR62" s="181"/>
      <c r="AS62" s="181"/>
      <c r="AT62" s="181"/>
      <c r="AU62" s="181"/>
      <c r="AV62" s="181"/>
      <c r="AW62" s="181"/>
    </row>
    <row r="63" spans="1:49" s="30" customFormat="1" hidden="1" x14ac:dyDescent="0.25">
      <c r="A63" s="1407" t="str">
        <f>IF(COUNTIF('04 - 95% CD'!D63:G63,"Y")&gt;0,"Y",IF(COUNTIF('04 - 95% CD'!D63:G63,"N"),"N",""))</f>
        <v>Y</v>
      </c>
      <c r="B63" s="191"/>
      <c r="C63" s="944"/>
      <c r="D63" s="321"/>
      <c r="E63" s="466"/>
      <c r="F63" s="559" t="str">
        <f>IF('C-Design&amp;Const'!$S63="","",'C-Design&amp;Const'!$S63)</f>
        <v>N</v>
      </c>
      <c r="G63" s="558"/>
      <c r="H63" s="1029" t="str">
        <f>CONCATENATE(IF(F63="N","PLACEHOLDER ROW - ",""),'C-Design&amp;Const'!Z63,IF(F63="N","",J63))</f>
        <v>PLACEHOLDER ROW - Site / Civil / Landscape - Utility Relocations</v>
      </c>
      <c r="I63" s="186"/>
      <c r="J63" s="609" t="str">
        <f>IF('C-Design&amp;Const'!AJ63="","",'C-Design&amp;Const'!AJ63)</f>
        <v/>
      </c>
      <c r="K63" s="285" t="str">
        <f t="shared" si="0"/>
        <v>no 95% match</v>
      </c>
      <c r="L63" s="1410" t="str">
        <f t="shared" si="1"/>
        <v>&lt;---PM/Planner may hide PLACEHOLDER ROW</v>
      </c>
      <c r="M63" s="1382"/>
      <c r="N63" s="1382"/>
      <c r="O63" s="1382"/>
      <c r="P63" s="1382"/>
      <c r="Q63" s="1382"/>
      <c r="R63" s="1490"/>
      <c r="S63" s="1274"/>
      <c r="T63" s="1274"/>
      <c r="U63" s="1382"/>
      <c r="V63" s="1382"/>
      <c r="W63" s="1382"/>
      <c r="X63" s="1382"/>
      <c r="Y63" s="1382"/>
      <c r="Z63" s="1382"/>
      <c r="AA63" s="1382"/>
      <c r="AB63" s="1382"/>
      <c r="AC63" s="1382"/>
      <c r="AD63" s="1382"/>
      <c r="AE63" s="1382"/>
      <c r="AF63" s="1382"/>
      <c r="AG63" s="1382"/>
      <c r="AH63" s="1382"/>
      <c r="AI63" s="1382"/>
      <c r="AJ63" s="1382"/>
      <c r="AK63" s="181"/>
      <c r="AL63" s="181"/>
      <c r="AM63" s="181"/>
      <c r="AN63" s="181"/>
      <c r="AO63" s="181"/>
      <c r="AP63" s="181"/>
      <c r="AQ63" s="181"/>
      <c r="AR63" s="181"/>
      <c r="AS63" s="181"/>
      <c r="AT63" s="181"/>
      <c r="AU63" s="181"/>
      <c r="AV63" s="181"/>
      <c r="AW63" s="181"/>
    </row>
    <row r="64" spans="1:49" s="30" customFormat="1" hidden="1" x14ac:dyDescent="0.25">
      <c r="A64" s="1407" t="str">
        <f>IF(COUNTIF('04 - 95% CD'!D64:G64,"Y")&gt;0,"Y",IF(COUNTIF('04 - 95% CD'!D64:G64,"N"),"N",""))</f>
        <v>Y</v>
      </c>
      <c r="B64" s="191"/>
      <c r="C64" s="944"/>
      <c r="D64" s="321"/>
      <c r="E64" s="466"/>
      <c r="F64" s="559" t="str">
        <f>IF('C-Design&amp;Const'!$S64="","",'C-Design&amp;Const'!$S64)</f>
        <v>N</v>
      </c>
      <c r="G64" s="558"/>
      <c r="H64" s="1029" t="str">
        <f>CONCATENATE(IF(F64="N","PLACEHOLDER ROW - ",""),'C-Design&amp;Const'!Z64,IF(F64="N","",J64))</f>
        <v>PLACEHOLDER ROW - Site / Civil / Landscape - Utility Abandonments</v>
      </c>
      <c r="I64" s="186"/>
      <c r="J64" s="609" t="str">
        <f>IF('C-Design&amp;Const'!AJ64="","",'C-Design&amp;Const'!AJ64)</f>
        <v/>
      </c>
      <c r="K64" s="285" t="str">
        <f t="shared" si="0"/>
        <v>no 95% match</v>
      </c>
      <c r="L64" s="1410" t="str">
        <f t="shared" si="1"/>
        <v>&lt;---PM/Planner may hide PLACEHOLDER ROW</v>
      </c>
      <c r="M64" s="1382"/>
      <c r="N64" s="1382"/>
      <c r="O64" s="1382"/>
      <c r="P64" s="1382"/>
      <c r="Q64" s="1382"/>
      <c r="R64" s="1490"/>
      <c r="S64" s="1274"/>
      <c r="T64" s="1274"/>
      <c r="U64" s="1382"/>
      <c r="V64" s="1382"/>
      <c r="W64" s="1382"/>
      <c r="X64" s="1382"/>
      <c r="Y64" s="1382"/>
      <c r="Z64" s="1382"/>
      <c r="AA64" s="1382"/>
      <c r="AB64" s="1382"/>
      <c r="AC64" s="1382"/>
      <c r="AD64" s="1382"/>
      <c r="AE64" s="1382"/>
      <c r="AF64" s="1382"/>
      <c r="AG64" s="1382"/>
      <c r="AH64" s="1382"/>
      <c r="AI64" s="1382"/>
      <c r="AJ64" s="1382"/>
      <c r="AK64" s="181"/>
      <c r="AL64" s="181"/>
      <c r="AM64" s="181"/>
      <c r="AN64" s="181"/>
      <c r="AO64" s="181"/>
      <c r="AP64" s="181"/>
      <c r="AQ64" s="181"/>
      <c r="AR64" s="181"/>
      <c r="AS64" s="181"/>
      <c r="AT64" s="181"/>
      <c r="AU64" s="181"/>
      <c r="AV64" s="181"/>
      <c r="AW64" s="181"/>
    </row>
    <row r="65" spans="1:49" s="30" customFormat="1" hidden="1" x14ac:dyDescent="0.25">
      <c r="A65" s="1407" t="str">
        <f>IF(COUNTIF('04 - 95% CD'!D65:G65,"Y")&gt;0,"Y",IF(COUNTIF('04 - 95% CD'!D65:G65,"N"),"N",""))</f>
        <v>N</v>
      </c>
      <c r="B65" s="191"/>
      <c r="C65" s="944"/>
      <c r="D65" s="321"/>
      <c r="E65" s="466"/>
      <c r="F65" s="559" t="str">
        <f>IF('C-Design&amp;Const'!$S65="","",'C-Design&amp;Const'!$S65)</f>
        <v>N</v>
      </c>
      <c r="G65" s="558"/>
      <c r="H65" s="361" t="str">
        <f>CONCATENATE(IF(F65="N","PLACEHOLDER ROW - ",""),'C-Design&amp;Const'!Z65,IF(F65="N","",J65))</f>
        <v>PLACEHOLDER ROW - Site / Civil / Landscape - CUSTOM</v>
      </c>
      <c r="I65" s="186"/>
      <c r="J65" s="609" t="str">
        <f>IF('C-Design&amp;Const'!AJ65="","",'C-Design&amp;Const'!AJ65)</f>
        <v/>
      </c>
      <c r="K65" s="285" t="str">
        <f t="shared" si="0"/>
        <v>match</v>
      </c>
      <c r="L65" s="1410" t="str">
        <f t="shared" si="1"/>
        <v>&lt;---PM/Planner may hide PLACEHOLDER ROW</v>
      </c>
      <c r="M65" s="1382"/>
      <c r="N65" s="1382"/>
      <c r="O65" s="1382"/>
      <c r="P65" s="1382"/>
      <c r="Q65" s="1382"/>
      <c r="R65" s="1490"/>
      <c r="S65" s="1274"/>
      <c r="T65" s="1274"/>
      <c r="U65" s="1382"/>
      <c r="V65" s="1382"/>
      <c r="W65" s="1382"/>
      <c r="X65" s="1382"/>
      <c r="Y65" s="1382"/>
      <c r="Z65" s="1382"/>
      <c r="AA65" s="1382"/>
      <c r="AB65" s="1382"/>
      <c r="AC65" s="1382"/>
      <c r="AD65" s="1382"/>
      <c r="AE65" s="1382"/>
      <c r="AF65" s="1382"/>
      <c r="AG65" s="1382"/>
      <c r="AH65" s="1382"/>
      <c r="AI65" s="1382"/>
      <c r="AJ65" s="1382"/>
      <c r="AK65" s="181"/>
      <c r="AL65" s="181"/>
      <c r="AM65" s="181"/>
      <c r="AN65" s="181"/>
      <c r="AO65" s="181"/>
      <c r="AP65" s="181"/>
      <c r="AQ65" s="181"/>
      <c r="AR65" s="181"/>
      <c r="AS65" s="181"/>
      <c r="AT65" s="181"/>
      <c r="AU65" s="181"/>
      <c r="AV65" s="181"/>
      <c r="AW65" s="181"/>
    </row>
    <row r="66" spans="1:49" s="545" customFormat="1" hidden="1" x14ac:dyDescent="0.25">
      <c r="A66" s="1407" t="str">
        <f>IF(COUNTIF('04 - 95% CD'!D66:G66,"Y")&gt;0,"Y",IF(COUNTIF('04 - 95% CD'!D66:G66,"N"),"N",""))</f>
        <v>Y</v>
      </c>
      <c r="B66" s="554"/>
      <c r="C66" s="944"/>
      <c r="D66" s="321"/>
      <c r="E66" s="466"/>
      <c r="F66" s="559" t="str">
        <f>IF('C-Design&amp;Const'!$S66="","",'C-Design&amp;Const'!$S66)</f>
        <v>N</v>
      </c>
      <c r="G66" s="558"/>
      <c r="H66" s="1029" t="str">
        <f>CONCATENATE(IF(F66="N","PLACEHOLDER ROW - ",""),'C-Design&amp;Const'!Z66,IF(F66="N","",J66))</f>
        <v>PLACEHOLDER ROW - Architectural - Demolition(s)</v>
      </c>
      <c r="I66" s="186"/>
      <c r="J66" s="609" t="str">
        <f>IF('C-Design&amp;Const'!AJ66="","",'C-Design&amp;Const'!AJ66)</f>
        <v/>
      </c>
      <c r="K66" s="285" t="str">
        <f t="shared" ref="K66" si="4">IF((COUNTIF(D66:F66,"Y")=COUNTIF(A66,"Y")),"match","no 95% match")</f>
        <v>no 95% match</v>
      </c>
      <c r="L66" s="1410" t="str">
        <f t="shared" ref="L66" si="5">CONCATENATE(IF(ISNUMBER(SEARCH("Placeholder",H66))=TRUE,"&lt;---PM/Planner may hide PLACEHOLDER ROW",""))</f>
        <v>&lt;---PM/Planner may hide PLACEHOLDER ROW</v>
      </c>
      <c r="M66" s="1382"/>
      <c r="N66" s="1382"/>
      <c r="O66" s="1382"/>
      <c r="P66" s="1382"/>
      <c r="Q66" s="1382"/>
      <c r="R66" s="1490"/>
      <c r="S66" s="1274"/>
      <c r="T66" s="1274"/>
      <c r="U66" s="1382"/>
      <c r="V66" s="1382"/>
      <c r="W66" s="1382"/>
      <c r="X66" s="1382"/>
      <c r="Y66" s="1382"/>
      <c r="Z66" s="1382"/>
      <c r="AA66" s="1382"/>
      <c r="AB66" s="1382"/>
      <c r="AC66" s="1382"/>
      <c r="AD66" s="1382"/>
      <c r="AE66" s="1382"/>
      <c r="AF66" s="1382"/>
      <c r="AG66" s="1382"/>
      <c r="AH66" s="1382"/>
      <c r="AI66" s="1382"/>
      <c r="AJ66" s="1382"/>
      <c r="AK66" s="551"/>
      <c r="AL66" s="551"/>
      <c r="AM66" s="551"/>
      <c r="AN66" s="551"/>
      <c r="AO66" s="551"/>
      <c r="AP66" s="551"/>
      <c r="AQ66" s="551"/>
      <c r="AR66" s="551"/>
      <c r="AS66" s="551"/>
      <c r="AT66" s="551"/>
      <c r="AU66" s="551"/>
      <c r="AV66" s="551"/>
      <c r="AW66" s="551"/>
    </row>
    <row r="67" spans="1:49" s="30" customFormat="1" hidden="1" x14ac:dyDescent="0.25">
      <c r="A67" s="1407" t="str">
        <f>IF(COUNTIF('04 - 95% CD'!D67:G67,"Y")&gt;0,"Y",IF(COUNTIF('04 - 95% CD'!D67:G67,"N"),"N",""))</f>
        <v>Y</v>
      </c>
      <c r="B67" s="191"/>
      <c r="C67" s="944"/>
      <c r="D67" s="321"/>
      <c r="E67" s="466"/>
      <c r="F67" s="559" t="str">
        <f>IF('C-Design&amp;Const'!$S67="","",'C-Design&amp;Const'!$S67)</f>
        <v>N</v>
      </c>
      <c r="G67" s="558"/>
      <c r="H67" s="1029" t="str">
        <f>CONCATENATE(IF(F67="N","PLACEHOLDER ROW - ",""),'C-Design&amp;Const'!Z67,IF(F67="N","",J67))</f>
        <v>PLACEHOLDER ROW - Architectural - Space Use</v>
      </c>
      <c r="I67" s="186"/>
      <c r="J67" s="609" t="str">
        <f>IF('C-Design&amp;Const'!AJ67="","",'C-Design&amp;Const'!AJ67)</f>
        <v/>
      </c>
      <c r="K67" s="285" t="str">
        <f t="shared" si="0"/>
        <v>no 95% match</v>
      </c>
      <c r="L67" s="1410" t="str">
        <f t="shared" si="1"/>
        <v>&lt;---PM/Planner may hide PLACEHOLDER ROW</v>
      </c>
      <c r="M67" s="1382"/>
      <c r="N67" s="1382"/>
      <c r="O67" s="1382"/>
      <c r="P67" s="1382"/>
      <c r="Q67" s="1382"/>
      <c r="R67" s="1490"/>
      <c r="S67" s="1274"/>
      <c r="T67" s="1274"/>
      <c r="U67" s="1382"/>
      <c r="V67" s="1382"/>
      <c r="W67" s="1382"/>
      <c r="X67" s="1382"/>
      <c r="Y67" s="1382"/>
      <c r="Z67" s="1382"/>
      <c r="AA67" s="1382"/>
      <c r="AB67" s="1382"/>
      <c r="AC67" s="1382"/>
      <c r="AD67" s="1382"/>
      <c r="AE67" s="1382"/>
      <c r="AF67" s="1382"/>
      <c r="AG67" s="1382"/>
      <c r="AH67" s="1382"/>
      <c r="AI67" s="1382"/>
      <c r="AJ67" s="1382"/>
      <c r="AK67" s="181"/>
      <c r="AL67" s="181"/>
      <c r="AM67" s="181"/>
      <c r="AN67" s="181"/>
      <c r="AO67" s="181"/>
      <c r="AP67" s="181"/>
      <c r="AQ67" s="181"/>
      <c r="AR67" s="181"/>
      <c r="AS67" s="181"/>
      <c r="AT67" s="181"/>
      <c r="AU67" s="181"/>
      <c r="AV67" s="181"/>
      <c r="AW67" s="181"/>
    </row>
    <row r="68" spans="1:49" s="30" customFormat="1" hidden="1" x14ac:dyDescent="0.25">
      <c r="A68" s="1407" t="str">
        <f>IF(COUNTIF('04 - 95% CD'!D68:G68,"Y")&gt;0,"Y",IF(COUNTIF('04 - 95% CD'!D68:G68,"N"),"N",""))</f>
        <v>Y</v>
      </c>
      <c r="B68" s="191"/>
      <c r="C68" s="944"/>
      <c r="D68" s="321"/>
      <c r="E68" s="466"/>
      <c r="F68" s="559" t="str">
        <f>IF('C-Design&amp;Const'!$S68="","",'C-Design&amp;Const'!$S68)</f>
        <v>N</v>
      </c>
      <c r="G68" s="558"/>
      <c r="H68" s="1029" t="str">
        <f>CONCATENATE(IF(F68="N","PLACEHOLDER ROW - ",""),'C-Design&amp;Const'!Z68,IF(F68="N","",J68))</f>
        <v>PLACEHOLDER ROW - Architectural - Historical Preservation</v>
      </c>
      <c r="I68" s="186"/>
      <c r="J68" s="609" t="str">
        <f>IF('C-Design&amp;Const'!AJ68="","",'C-Design&amp;Const'!AJ68)</f>
        <v/>
      </c>
      <c r="K68" s="285" t="str">
        <f t="shared" si="0"/>
        <v>no 95% match</v>
      </c>
      <c r="L68" s="1410" t="str">
        <f t="shared" si="1"/>
        <v>&lt;---PM/Planner may hide PLACEHOLDER ROW</v>
      </c>
      <c r="M68" s="1382"/>
      <c r="N68" s="1382"/>
      <c r="O68" s="1382"/>
      <c r="P68" s="1382"/>
      <c r="Q68" s="1382"/>
      <c r="R68" s="1490"/>
      <c r="S68" s="1274"/>
      <c r="T68" s="1274"/>
      <c r="U68" s="1382"/>
      <c r="V68" s="1382"/>
      <c r="W68" s="1382"/>
      <c r="X68" s="1382"/>
      <c r="Y68" s="1382"/>
      <c r="Z68" s="1382"/>
      <c r="AA68" s="1382"/>
      <c r="AB68" s="1382"/>
      <c r="AC68" s="1382"/>
      <c r="AD68" s="1382"/>
      <c r="AE68" s="1382"/>
      <c r="AF68" s="1382"/>
      <c r="AG68" s="1382"/>
      <c r="AH68" s="1382"/>
      <c r="AI68" s="1382"/>
      <c r="AJ68" s="1382"/>
      <c r="AK68" s="181"/>
      <c r="AL68" s="181"/>
      <c r="AM68" s="181"/>
      <c r="AN68" s="181"/>
      <c r="AO68" s="181"/>
      <c r="AP68" s="181"/>
      <c r="AQ68" s="181"/>
      <c r="AR68" s="181"/>
      <c r="AS68" s="181"/>
      <c r="AT68" s="181"/>
      <c r="AU68" s="181"/>
      <c r="AV68" s="181"/>
      <c r="AW68" s="181"/>
    </row>
    <row r="69" spans="1:49" s="30" customFormat="1" ht="28.5" hidden="1" x14ac:dyDescent="0.25">
      <c r="A69" s="1407" t="str">
        <f>IF(COUNTIF('04 - 95% CD'!D69:G69,"Y")&gt;0,"Y",IF(COUNTIF('04 - 95% CD'!D69:G69,"N"),"N",""))</f>
        <v>Y</v>
      </c>
      <c r="B69" s="191"/>
      <c r="C69" s="944"/>
      <c r="D69" s="321"/>
      <c r="E69" s="466"/>
      <c r="F69" s="559" t="str">
        <f>IF('C-Design&amp;Const'!$S69="","",'C-Design&amp;Const'!$S69)</f>
        <v>N</v>
      </c>
      <c r="G69" s="558"/>
      <c r="H69" s="1029" t="str">
        <f>CONCATENATE(IF(F69="N","PLACEHOLDER ROW - ",""),'C-Design&amp;Const'!Z69,IF(F69="N","",J69))</f>
        <v>PLACEHOLDER ROW - Architectural - Building Envelope **(existing systems verification recommended on renovations)</v>
      </c>
      <c r="I69" s="186"/>
      <c r="J69" s="609" t="str">
        <f>IF('C-Design&amp;Const'!AJ69="","",'C-Design&amp;Const'!AJ69)</f>
        <v/>
      </c>
      <c r="K69" s="285" t="str">
        <f t="shared" si="0"/>
        <v>no 95% match</v>
      </c>
      <c r="L69" s="1410" t="str">
        <f t="shared" si="1"/>
        <v>&lt;---PM/Planner may hide PLACEHOLDER ROW</v>
      </c>
      <c r="M69" s="1382"/>
      <c r="N69" s="1382"/>
      <c r="O69" s="1382"/>
      <c r="P69" s="1382"/>
      <c r="Q69" s="1382"/>
      <c r="R69" s="1490"/>
      <c r="S69" s="1274"/>
      <c r="T69" s="1274"/>
      <c r="U69" s="1382"/>
      <c r="V69" s="1382"/>
      <c r="W69" s="1382"/>
      <c r="X69" s="1382"/>
      <c r="Y69" s="1382"/>
      <c r="Z69" s="1382"/>
      <c r="AA69" s="1382"/>
      <c r="AB69" s="1382"/>
      <c r="AC69" s="1382"/>
      <c r="AD69" s="1382"/>
      <c r="AE69" s="1382"/>
      <c r="AF69" s="1382"/>
      <c r="AG69" s="1382"/>
      <c r="AH69" s="1382"/>
      <c r="AI69" s="1382"/>
      <c r="AJ69" s="1382"/>
      <c r="AK69" s="181"/>
      <c r="AL69" s="181"/>
      <c r="AM69" s="181"/>
      <c r="AN69" s="181"/>
      <c r="AO69" s="181"/>
      <c r="AP69" s="181"/>
      <c r="AQ69" s="181"/>
      <c r="AR69" s="181"/>
      <c r="AS69" s="181"/>
      <c r="AT69" s="181"/>
      <c r="AU69" s="181"/>
      <c r="AV69" s="181"/>
      <c r="AW69" s="181"/>
    </row>
    <row r="70" spans="1:49" s="30" customFormat="1" hidden="1" x14ac:dyDescent="0.25">
      <c r="A70" s="1407" t="str">
        <f>IF(COUNTIF('04 - 95% CD'!D70:G70,"Y")&gt;0,"Y",IF(COUNTIF('04 - 95% CD'!D70:G70,"N"),"N",""))</f>
        <v>Y</v>
      </c>
      <c r="B70" s="191"/>
      <c r="C70" s="944"/>
      <c r="D70" s="321"/>
      <c r="E70" s="466"/>
      <c r="F70" s="559" t="str">
        <f>IF('C-Design&amp;Const'!$S70="","",'C-Design&amp;Const'!$S70)</f>
        <v>N</v>
      </c>
      <c r="G70" s="558"/>
      <c r="H70" s="1029" t="str">
        <f>CONCATENATE(IF(F70="N","PLACEHOLDER ROW - ",""),'C-Design&amp;Const'!Z70,IF(F70="N","",J70))</f>
        <v>PLACEHOLDER ROW - Architectural - Interiors</v>
      </c>
      <c r="I70" s="186"/>
      <c r="J70" s="609" t="str">
        <f>IF('C-Design&amp;Const'!AJ70="","",'C-Design&amp;Const'!AJ70)</f>
        <v/>
      </c>
      <c r="K70" s="285" t="str">
        <f t="shared" si="0"/>
        <v>no 95% match</v>
      </c>
      <c r="L70" s="1410" t="str">
        <f t="shared" si="1"/>
        <v>&lt;---PM/Planner may hide PLACEHOLDER ROW</v>
      </c>
      <c r="M70" s="1382"/>
      <c r="N70" s="1382"/>
      <c r="O70" s="1382"/>
      <c r="P70" s="1382"/>
      <c r="Q70" s="1382"/>
      <c r="R70" s="1490"/>
      <c r="S70" s="1274"/>
      <c r="T70" s="1274"/>
      <c r="U70" s="1382"/>
      <c r="V70" s="1382"/>
      <c r="W70" s="1382"/>
      <c r="X70" s="1382"/>
      <c r="Y70" s="1382"/>
      <c r="Z70" s="1382"/>
      <c r="AA70" s="1382"/>
      <c r="AB70" s="1382"/>
      <c r="AC70" s="1382"/>
      <c r="AD70" s="1382"/>
      <c r="AE70" s="1382"/>
      <c r="AF70" s="1382"/>
      <c r="AG70" s="1382"/>
      <c r="AH70" s="1382"/>
      <c r="AI70" s="1382"/>
      <c r="AJ70" s="1382"/>
      <c r="AK70" s="181"/>
      <c r="AL70" s="181"/>
      <c r="AM70" s="181"/>
      <c r="AN70" s="181"/>
      <c r="AO70" s="181"/>
      <c r="AP70" s="181"/>
      <c r="AQ70" s="181"/>
      <c r="AR70" s="181"/>
      <c r="AS70" s="181"/>
      <c r="AT70" s="181"/>
      <c r="AU70" s="181"/>
      <c r="AV70" s="181"/>
      <c r="AW70" s="181"/>
    </row>
    <row r="71" spans="1:49" s="30" customFormat="1" hidden="1" x14ac:dyDescent="0.25">
      <c r="A71" s="1407" t="str">
        <f>IF(COUNTIF('04 - 95% CD'!D71:G71,"Y")&gt;0,"Y",IF(COUNTIF('04 - 95% CD'!D71:G71,"N"),"N",""))</f>
        <v>Y</v>
      </c>
      <c r="B71" s="191"/>
      <c r="C71" s="944"/>
      <c r="D71" s="321"/>
      <c r="E71" s="466"/>
      <c r="F71" s="559" t="str">
        <f>IF('C-Design&amp;Const'!$S71="","",'C-Design&amp;Const'!$S71)</f>
        <v>N</v>
      </c>
      <c r="G71" s="558"/>
      <c r="H71" s="1029" t="str">
        <f>CONCATENATE(IF(F71="N","PLACEHOLDER ROW - ",""),'C-Design&amp;Const'!Z71,IF(F71="N","",J71))</f>
        <v xml:space="preserve">PLACEHOLDER ROW - Architectural - Interior and Exterior Signage </v>
      </c>
      <c r="I71" s="186"/>
      <c r="J71" s="609" t="str">
        <f>IF('C-Design&amp;Const'!AJ71="","",'C-Design&amp;Const'!AJ71)</f>
        <v/>
      </c>
      <c r="K71" s="285" t="str">
        <f t="shared" si="0"/>
        <v>no 95% match</v>
      </c>
      <c r="L71" s="1410" t="str">
        <f t="shared" si="1"/>
        <v>&lt;---PM/Planner may hide PLACEHOLDER ROW</v>
      </c>
      <c r="M71" s="1382"/>
      <c r="N71" s="1382"/>
      <c r="O71" s="1382"/>
      <c r="P71" s="1382"/>
      <c r="Q71" s="1382"/>
      <c r="R71" s="1490"/>
      <c r="S71" s="1274"/>
      <c r="T71" s="1274"/>
      <c r="U71" s="1382"/>
      <c r="V71" s="1382"/>
      <c r="W71" s="1382"/>
      <c r="X71" s="1382"/>
      <c r="Y71" s="1382"/>
      <c r="Z71" s="1382"/>
      <c r="AA71" s="1382"/>
      <c r="AB71" s="1382"/>
      <c r="AC71" s="1382"/>
      <c r="AD71" s="1382"/>
      <c r="AE71" s="1382"/>
      <c r="AF71" s="1382"/>
      <c r="AG71" s="1382"/>
      <c r="AH71" s="1382"/>
      <c r="AI71" s="1382"/>
      <c r="AJ71" s="1382"/>
      <c r="AK71" s="181"/>
      <c r="AL71" s="181"/>
      <c r="AM71" s="181"/>
      <c r="AN71" s="181"/>
      <c r="AO71" s="181"/>
      <c r="AP71" s="181"/>
      <c r="AQ71" s="181"/>
      <c r="AR71" s="181"/>
      <c r="AS71" s="181"/>
      <c r="AT71" s="181"/>
      <c r="AU71" s="181"/>
      <c r="AV71" s="181"/>
      <c r="AW71" s="181"/>
    </row>
    <row r="72" spans="1:49" s="30" customFormat="1" ht="28.5" hidden="1" x14ac:dyDescent="0.25">
      <c r="A72" s="1407" t="str">
        <f>IF(COUNTIF('04 - 95% CD'!D72:G72,"Y")&gt;0,"Y",IF(COUNTIF('04 - 95% CD'!D72:G72,"N"),"N",""))</f>
        <v>Y</v>
      </c>
      <c r="B72" s="191"/>
      <c r="C72" s="944"/>
      <c r="D72" s="321"/>
      <c r="E72" s="466"/>
      <c r="F72" s="559" t="str">
        <f>IF('C-Design&amp;Const'!$S72="","",'C-Design&amp;Const'!$S72)</f>
        <v>N</v>
      </c>
      <c r="G72" s="558"/>
      <c r="H72" s="1029" t="str">
        <f>CONCATENATE(IF(F72="N","PLACEHOLDER ROW - ",""),'C-Design&amp;Const'!Z72,IF(F72="N","",J72))</f>
        <v>PLACEHOLDER ROW - Architectural - Elevators  **(existing systems verification recommended on renovations)</v>
      </c>
      <c r="I72" s="186"/>
      <c r="J72" s="609" t="str">
        <f>IF('C-Design&amp;Const'!AJ72="","",'C-Design&amp;Const'!AJ72)</f>
        <v/>
      </c>
      <c r="K72" s="285" t="str">
        <f t="shared" si="0"/>
        <v>no 95% match</v>
      </c>
      <c r="L72" s="1410" t="str">
        <f t="shared" si="1"/>
        <v>&lt;---PM/Planner may hide PLACEHOLDER ROW</v>
      </c>
      <c r="M72" s="1382"/>
      <c r="N72" s="1382"/>
      <c r="O72" s="1382"/>
      <c r="P72" s="1382"/>
      <c r="Q72" s="1382"/>
      <c r="R72" s="1490"/>
      <c r="S72" s="1274"/>
      <c r="T72" s="1274"/>
      <c r="U72" s="1382"/>
      <c r="V72" s="1382"/>
      <c r="W72" s="1382"/>
      <c r="X72" s="1382"/>
      <c r="Y72" s="1382"/>
      <c r="Z72" s="1382"/>
      <c r="AA72" s="1382"/>
      <c r="AB72" s="1382"/>
      <c r="AC72" s="1382"/>
      <c r="AD72" s="1382"/>
      <c r="AE72" s="1382"/>
      <c r="AF72" s="1382"/>
      <c r="AG72" s="1382"/>
      <c r="AH72" s="1382"/>
      <c r="AI72" s="1382"/>
      <c r="AJ72" s="1382"/>
      <c r="AK72" s="181"/>
      <c r="AL72" s="181"/>
      <c r="AM72" s="181"/>
      <c r="AN72" s="181"/>
      <c r="AO72" s="181"/>
      <c r="AP72" s="181"/>
      <c r="AQ72" s="181"/>
      <c r="AR72" s="181"/>
      <c r="AS72" s="181"/>
      <c r="AT72" s="181"/>
      <c r="AU72" s="181"/>
      <c r="AV72" s="181"/>
      <c r="AW72" s="181"/>
    </row>
    <row r="73" spans="1:49" s="30" customFormat="1" hidden="1" x14ac:dyDescent="0.25">
      <c r="A73" s="1407" t="str">
        <f>IF(COUNTIF('04 - 95% CD'!D73:G73,"Y")&gt;0,"Y",IF(COUNTIF('04 - 95% CD'!D73:G73,"N"),"N",""))</f>
        <v>N</v>
      </c>
      <c r="B73" s="191"/>
      <c r="C73" s="944"/>
      <c r="D73" s="321"/>
      <c r="E73" s="466"/>
      <c r="F73" s="559" t="str">
        <f>IF('C-Design&amp;Const'!$S73="","",'C-Design&amp;Const'!$S73)</f>
        <v>N</v>
      </c>
      <c r="G73" s="558"/>
      <c r="H73" s="361" t="str">
        <f>CONCATENATE(IF(F73="N","PLACEHOLDER ROW - ",""),'C-Design&amp;Const'!Z73,IF(F73="N","",J73))</f>
        <v>PLACEHOLDER ROW - Architectural - CUSTOM</v>
      </c>
      <c r="I73" s="186"/>
      <c r="J73" s="609" t="str">
        <f>IF('C-Design&amp;Const'!AJ73="","",'C-Design&amp;Const'!AJ73)</f>
        <v/>
      </c>
      <c r="K73" s="285" t="str">
        <f t="shared" si="0"/>
        <v>match</v>
      </c>
      <c r="L73" s="1410" t="str">
        <f t="shared" si="1"/>
        <v>&lt;---PM/Planner may hide PLACEHOLDER ROW</v>
      </c>
      <c r="M73" s="1382"/>
      <c r="N73" s="1382"/>
      <c r="O73" s="1382"/>
      <c r="P73" s="1382"/>
      <c r="Q73" s="1382"/>
      <c r="R73" s="1490"/>
      <c r="S73" s="1274"/>
      <c r="T73" s="1274"/>
      <c r="U73" s="1382"/>
      <c r="V73" s="1382"/>
      <c r="W73" s="1382"/>
      <c r="X73" s="1382"/>
      <c r="Y73" s="1382"/>
      <c r="Z73" s="1382"/>
      <c r="AA73" s="1382"/>
      <c r="AB73" s="1382"/>
      <c r="AC73" s="1382"/>
      <c r="AD73" s="1382"/>
      <c r="AE73" s="1382"/>
      <c r="AF73" s="1382"/>
      <c r="AG73" s="1382"/>
      <c r="AH73" s="1382"/>
      <c r="AI73" s="1382"/>
      <c r="AJ73" s="1382"/>
      <c r="AK73" s="181"/>
      <c r="AL73" s="181"/>
      <c r="AM73" s="181"/>
      <c r="AN73" s="181"/>
      <c r="AO73" s="181"/>
      <c r="AP73" s="181"/>
      <c r="AQ73" s="181"/>
      <c r="AR73" s="181"/>
      <c r="AS73" s="181"/>
      <c r="AT73" s="181"/>
      <c r="AU73" s="181"/>
      <c r="AV73" s="181"/>
      <c r="AW73" s="181"/>
    </row>
    <row r="74" spans="1:49" s="30" customFormat="1" hidden="1" x14ac:dyDescent="0.25">
      <c r="A74" s="1407" t="str">
        <f>IF(COUNTIF('04 - 95% CD'!D74:G74,"Y")&gt;0,"Y",IF(COUNTIF('04 - 95% CD'!D74:G74,"N"),"N",""))</f>
        <v>N</v>
      </c>
      <c r="B74" s="191"/>
      <c r="C74" s="944"/>
      <c r="D74" s="321"/>
      <c r="E74" s="466"/>
      <c r="F74" s="559" t="str">
        <f>IF('C-Design&amp;Const'!$S74="","",'C-Design&amp;Const'!$S74)</f>
        <v>N</v>
      </c>
      <c r="G74" s="558"/>
      <c r="H74" s="361" t="str">
        <f>CONCATENATE(IF(F74="N","PLACEHOLDER ROW - ",""),'C-Design&amp;Const'!Z74,IF(F74="N","",J74))</f>
        <v>PLACEHOLDER ROW - Architectural - CUSTOM</v>
      </c>
      <c r="I74" s="186"/>
      <c r="J74" s="609" t="str">
        <f>IF('C-Design&amp;Const'!AJ74="","",'C-Design&amp;Const'!AJ74)</f>
        <v/>
      </c>
      <c r="K74" s="285" t="str">
        <f t="shared" si="0"/>
        <v>match</v>
      </c>
      <c r="L74" s="1410" t="str">
        <f t="shared" si="1"/>
        <v>&lt;---PM/Planner may hide PLACEHOLDER ROW</v>
      </c>
      <c r="M74" s="1382"/>
      <c r="N74" s="1382"/>
      <c r="O74" s="1382"/>
      <c r="P74" s="1382"/>
      <c r="Q74" s="1382"/>
      <c r="R74" s="1490"/>
      <c r="S74" s="1274"/>
      <c r="T74" s="1274"/>
      <c r="U74" s="1382"/>
      <c r="V74" s="1382"/>
      <c r="W74" s="1382"/>
      <c r="X74" s="1382"/>
      <c r="Y74" s="1382"/>
      <c r="Z74" s="1382"/>
      <c r="AA74" s="1382"/>
      <c r="AB74" s="1382"/>
      <c r="AC74" s="1382"/>
      <c r="AD74" s="1382"/>
      <c r="AE74" s="1382"/>
      <c r="AF74" s="1382"/>
      <c r="AG74" s="1382"/>
      <c r="AH74" s="1382"/>
      <c r="AI74" s="1382"/>
      <c r="AJ74" s="1382"/>
      <c r="AK74" s="181"/>
      <c r="AL74" s="181"/>
      <c r="AM74" s="181"/>
      <c r="AN74" s="181"/>
      <c r="AO74" s="181"/>
      <c r="AP74" s="181"/>
      <c r="AQ74" s="181"/>
      <c r="AR74" s="181"/>
      <c r="AS74" s="181"/>
      <c r="AT74" s="181"/>
      <c r="AU74" s="181"/>
      <c r="AV74" s="181"/>
      <c r="AW74" s="181"/>
    </row>
    <row r="75" spans="1:49" s="30" customFormat="1" hidden="1" x14ac:dyDescent="0.25">
      <c r="A75" s="1407" t="str">
        <f>IF(COUNTIF('04 - 95% CD'!D75:G75,"Y")&gt;0,"Y",IF(COUNTIF('04 - 95% CD'!D75:G75,"N"),"N",""))</f>
        <v>Y</v>
      </c>
      <c r="B75" s="191"/>
      <c r="C75" s="944"/>
      <c r="D75" s="321"/>
      <c r="E75" s="466"/>
      <c r="F75" s="559" t="str">
        <f>IF('C-Design&amp;Const'!$S75="","",'C-Design&amp;Const'!$S75)</f>
        <v>N</v>
      </c>
      <c r="G75" s="558"/>
      <c r="H75" s="1029" t="str">
        <f>CONCATENATE(IF(F75="N","PLACEHOLDER ROW - ",""),'C-Design&amp;Const'!Z75,IF(F75="N","",J75))</f>
        <v>PLACEHOLDER ROW - Structural - Demolition(s)</v>
      </c>
      <c r="I75" s="186"/>
      <c r="J75" s="609" t="str">
        <f>IF('C-Design&amp;Const'!AJ75="","",'C-Design&amp;Const'!AJ75)</f>
        <v/>
      </c>
      <c r="K75" s="285" t="str">
        <f t="shared" si="0"/>
        <v>no 95% match</v>
      </c>
      <c r="L75" s="1410" t="str">
        <f t="shared" si="1"/>
        <v>&lt;---PM/Planner may hide PLACEHOLDER ROW</v>
      </c>
      <c r="M75" s="1382"/>
      <c r="N75" s="1382"/>
      <c r="O75" s="1382"/>
      <c r="P75" s="1382"/>
      <c r="Q75" s="1382"/>
      <c r="R75" s="1490"/>
      <c r="S75" s="1274"/>
      <c r="T75" s="1274"/>
      <c r="U75" s="1382"/>
      <c r="V75" s="1382"/>
      <c r="W75" s="1382"/>
      <c r="X75" s="1382"/>
      <c r="Y75" s="1382"/>
      <c r="Z75" s="1382"/>
      <c r="AA75" s="1382"/>
      <c r="AB75" s="1382"/>
      <c r="AC75" s="1382"/>
      <c r="AD75" s="1382"/>
      <c r="AE75" s="1382"/>
      <c r="AF75" s="1382"/>
      <c r="AG75" s="1382"/>
      <c r="AH75" s="1382"/>
      <c r="AI75" s="1382"/>
      <c r="AJ75" s="1382"/>
      <c r="AK75" s="181"/>
      <c r="AL75" s="181"/>
      <c r="AM75" s="181"/>
      <c r="AN75" s="181"/>
      <c r="AO75" s="181"/>
      <c r="AP75" s="181"/>
      <c r="AQ75" s="181"/>
      <c r="AR75" s="181"/>
      <c r="AS75" s="181"/>
      <c r="AT75" s="181"/>
      <c r="AU75" s="181"/>
      <c r="AV75" s="181"/>
      <c r="AW75" s="181"/>
    </row>
    <row r="76" spans="1:49" s="30" customFormat="1" hidden="1" x14ac:dyDescent="0.25">
      <c r="A76" s="1407" t="str">
        <f>IF(COUNTIF('04 - 95% CD'!D76:G76,"Y")&gt;0,"Y",IF(COUNTIF('04 - 95% CD'!D76:G76,"N"),"N",""))</f>
        <v>Y</v>
      </c>
      <c r="B76" s="191"/>
      <c r="C76" s="944"/>
      <c r="D76" s="321"/>
      <c r="E76" s="466"/>
      <c r="F76" s="559" t="str">
        <f>IF('C-Design&amp;Const'!$S76="","",'C-Design&amp;Const'!$S76)</f>
        <v>N</v>
      </c>
      <c r="G76" s="558"/>
      <c r="H76" s="1029" t="str">
        <f>CONCATENATE(IF(F76="N","PLACEHOLDER ROW - ",""),'C-Design&amp;Const'!Z76,IF(F76="N","",J76))</f>
        <v>PLACEHOLDER ROW - Structural - Gravity Loads</v>
      </c>
      <c r="I76" s="186"/>
      <c r="J76" s="609" t="str">
        <f>IF('C-Design&amp;Const'!AJ76="","",'C-Design&amp;Const'!AJ76)</f>
        <v/>
      </c>
      <c r="K76" s="285" t="str">
        <f t="shared" si="0"/>
        <v>no 95% match</v>
      </c>
      <c r="L76" s="1410" t="str">
        <f t="shared" si="1"/>
        <v>&lt;---PM/Planner may hide PLACEHOLDER ROW</v>
      </c>
      <c r="M76" s="1382"/>
      <c r="N76" s="1382"/>
      <c r="O76" s="1382"/>
      <c r="P76" s="1382"/>
      <c r="Q76" s="1382"/>
      <c r="R76" s="1490"/>
      <c r="S76" s="1274"/>
      <c r="T76" s="1274"/>
      <c r="U76" s="1382"/>
      <c r="V76" s="1382"/>
      <c r="W76" s="1382"/>
      <c r="X76" s="1382"/>
      <c r="Y76" s="1382"/>
      <c r="Z76" s="1382"/>
      <c r="AA76" s="1382"/>
      <c r="AB76" s="1382"/>
      <c r="AC76" s="1382"/>
      <c r="AD76" s="1382"/>
      <c r="AE76" s="1382"/>
      <c r="AF76" s="1382"/>
      <c r="AG76" s="1382"/>
      <c r="AH76" s="1382"/>
      <c r="AI76" s="1382"/>
      <c r="AJ76" s="1382"/>
      <c r="AK76" s="181"/>
      <c r="AL76" s="181"/>
      <c r="AM76" s="181"/>
      <c r="AN76" s="181"/>
      <c r="AO76" s="181"/>
      <c r="AP76" s="181"/>
      <c r="AQ76" s="181"/>
      <c r="AR76" s="181"/>
      <c r="AS76" s="181"/>
      <c r="AT76" s="181"/>
      <c r="AU76" s="181"/>
      <c r="AV76" s="181"/>
      <c r="AW76" s="181"/>
    </row>
    <row r="77" spans="1:49" s="30" customFormat="1" hidden="1" x14ac:dyDescent="0.25">
      <c r="A77" s="1407" t="str">
        <f>IF(COUNTIF('04 - 95% CD'!D77:G77,"Y")&gt;0,"Y",IF(COUNTIF('04 - 95% CD'!D77:G77,"N"),"N",""))</f>
        <v>Y</v>
      </c>
      <c r="B77" s="191"/>
      <c r="C77" s="944"/>
      <c r="D77" s="321"/>
      <c r="E77" s="466"/>
      <c r="F77" s="559" t="str">
        <f>IF('C-Design&amp;Const'!$S77="","",'C-Design&amp;Const'!$S77)</f>
        <v>N</v>
      </c>
      <c r="G77" s="558"/>
      <c r="H77" s="1029" t="str">
        <f>CONCATENATE(IF(F77="N","PLACEHOLDER ROW - ",""),'C-Design&amp;Const'!Z77,IF(F77="N","",J77))</f>
        <v>PLACEHOLDER ROW - Structural - Lateral loads and force resisting systems</v>
      </c>
      <c r="I77" s="186"/>
      <c r="J77" s="609" t="str">
        <f>IF('C-Design&amp;Const'!AJ77="","",'C-Design&amp;Const'!AJ77)</f>
        <v/>
      </c>
      <c r="K77" s="285" t="str">
        <f t="shared" si="0"/>
        <v>no 95% match</v>
      </c>
      <c r="L77" s="1410" t="str">
        <f t="shared" si="1"/>
        <v>&lt;---PM/Planner may hide PLACEHOLDER ROW</v>
      </c>
      <c r="M77" s="1382"/>
      <c r="N77" s="1382"/>
      <c r="O77" s="1382"/>
      <c r="P77" s="1382"/>
      <c r="Q77" s="1382"/>
      <c r="R77" s="1490"/>
      <c r="S77" s="1274"/>
      <c r="T77" s="1274"/>
      <c r="U77" s="1382"/>
      <c r="V77" s="1382"/>
      <c r="W77" s="1382"/>
      <c r="X77" s="1382"/>
      <c r="Y77" s="1382"/>
      <c r="Z77" s="1382"/>
      <c r="AA77" s="1382"/>
      <c r="AB77" s="1382"/>
      <c r="AC77" s="1382"/>
      <c r="AD77" s="1382"/>
      <c r="AE77" s="1382"/>
      <c r="AF77" s="1382"/>
      <c r="AG77" s="1382"/>
      <c r="AH77" s="1382"/>
      <c r="AI77" s="1382"/>
      <c r="AJ77" s="1382"/>
      <c r="AK77" s="181"/>
      <c r="AL77" s="181"/>
      <c r="AM77" s="181"/>
      <c r="AN77" s="181"/>
      <c r="AO77" s="181"/>
      <c r="AP77" s="181"/>
      <c r="AQ77" s="181"/>
      <c r="AR77" s="181"/>
      <c r="AS77" s="181"/>
      <c r="AT77" s="181"/>
      <c r="AU77" s="181"/>
      <c r="AV77" s="181"/>
      <c r="AW77" s="181"/>
    </row>
    <row r="78" spans="1:49" s="30" customFormat="1" hidden="1" x14ac:dyDescent="0.25">
      <c r="A78" s="1407" t="str">
        <f>IF(COUNTIF('04 - 95% CD'!D78:G78,"Y")&gt;0,"Y",IF(COUNTIF('04 - 95% CD'!D78:G78,"N"),"N",""))</f>
        <v>Y</v>
      </c>
      <c r="B78" s="191"/>
      <c r="C78" s="944"/>
      <c r="D78" s="321"/>
      <c r="E78" s="466"/>
      <c r="F78" s="559" t="str">
        <f>IF('C-Design&amp;Const'!$S78="","",'C-Design&amp;Const'!$S78)</f>
        <v>N</v>
      </c>
      <c r="G78" s="558"/>
      <c r="H78" s="1029" t="str">
        <f>CONCATENATE(IF(F78="N","PLACEHOLDER ROW - ",""),'C-Design&amp;Const'!Z78,IF(F78="N","",J78))</f>
        <v>PLACEHOLDER ROW - Structural - Foundation Systems</v>
      </c>
      <c r="I78" s="186"/>
      <c r="J78" s="609" t="str">
        <f>IF('C-Design&amp;Const'!AJ78="","",'C-Design&amp;Const'!AJ78)</f>
        <v/>
      </c>
      <c r="K78" s="285" t="str">
        <f t="shared" si="0"/>
        <v>no 95% match</v>
      </c>
      <c r="L78" s="1410" t="str">
        <f t="shared" si="1"/>
        <v>&lt;---PM/Planner may hide PLACEHOLDER ROW</v>
      </c>
      <c r="M78" s="1382"/>
      <c r="N78" s="1382"/>
      <c r="O78" s="1382"/>
      <c r="P78" s="1382"/>
      <c r="Q78" s="1382"/>
      <c r="R78" s="1490"/>
      <c r="S78" s="1274"/>
      <c r="T78" s="1274"/>
      <c r="U78" s="1382"/>
      <c r="V78" s="1382"/>
      <c r="W78" s="1382"/>
      <c r="X78" s="1382"/>
      <c r="Y78" s="1382"/>
      <c r="Z78" s="1382"/>
      <c r="AA78" s="1382"/>
      <c r="AB78" s="1382"/>
      <c r="AC78" s="1382"/>
      <c r="AD78" s="1382"/>
      <c r="AE78" s="1382"/>
      <c r="AF78" s="1382"/>
      <c r="AG78" s="1382"/>
      <c r="AH78" s="1382"/>
      <c r="AI78" s="1382"/>
      <c r="AJ78" s="1382"/>
      <c r="AK78" s="181"/>
      <c r="AL78" s="181"/>
      <c r="AM78" s="181"/>
      <c r="AN78" s="181"/>
      <c r="AO78" s="181"/>
      <c r="AP78" s="181"/>
      <c r="AQ78" s="181"/>
      <c r="AR78" s="181"/>
      <c r="AS78" s="181"/>
      <c r="AT78" s="181"/>
      <c r="AU78" s="181"/>
      <c r="AV78" s="181"/>
      <c r="AW78" s="181"/>
    </row>
    <row r="79" spans="1:49" s="30" customFormat="1" ht="28.5" hidden="1" customHeight="1" x14ac:dyDescent="0.25">
      <c r="A79" s="1407" t="str">
        <f>IF(COUNTIF('04 - 95% CD'!D79:G79,"Y")&gt;0,"Y",IF(COUNTIF('04 - 95% CD'!D79:G79,"N"),"N",""))</f>
        <v>Y</v>
      </c>
      <c r="B79" s="191"/>
      <c r="C79" s="944"/>
      <c r="D79" s="321"/>
      <c r="E79" s="466"/>
      <c r="F79" s="559" t="str">
        <f>IF('C-Design&amp;Const'!$S79="","",'C-Design&amp;Const'!$S79)</f>
        <v>N</v>
      </c>
      <c r="G79" s="558"/>
      <c r="H79" s="1029" t="str">
        <f>CONCATENATE(IF(F79="N","PLACEHOLDER ROW - ",""),'C-Design&amp;Const'!Z79,IF(F79="N","",J79))</f>
        <v>PLACEHOLDER ROW - Structural - Block, concrete, &amp; steel  **(existing systems verification recommended on renovations)</v>
      </c>
      <c r="I79" s="186"/>
      <c r="J79" s="609" t="str">
        <f>IF('C-Design&amp;Const'!AJ79="","",'C-Design&amp;Const'!AJ79)</f>
        <v/>
      </c>
      <c r="K79" s="285" t="str">
        <f t="shared" si="0"/>
        <v>no 95% match</v>
      </c>
      <c r="L79" s="1410" t="str">
        <f t="shared" si="1"/>
        <v>&lt;---PM/Planner may hide PLACEHOLDER ROW</v>
      </c>
      <c r="M79" s="1382"/>
      <c r="N79" s="1382"/>
      <c r="O79" s="1382"/>
      <c r="P79" s="1382"/>
      <c r="Q79" s="1382"/>
      <c r="R79" s="1490"/>
      <c r="S79" s="1274"/>
      <c r="T79" s="1274"/>
      <c r="U79" s="1382"/>
      <c r="V79" s="1382"/>
      <c r="W79" s="1382"/>
      <c r="X79" s="1382"/>
      <c r="Y79" s="1382"/>
      <c r="Z79" s="1382"/>
      <c r="AA79" s="1382"/>
      <c r="AB79" s="1382"/>
      <c r="AC79" s="1382"/>
      <c r="AD79" s="1382"/>
      <c r="AE79" s="1382"/>
      <c r="AF79" s="1382"/>
      <c r="AG79" s="1382"/>
      <c r="AH79" s="1382"/>
      <c r="AI79" s="1382"/>
      <c r="AJ79" s="1382"/>
      <c r="AK79" s="181"/>
      <c r="AL79" s="181"/>
      <c r="AM79" s="181"/>
      <c r="AN79" s="181"/>
      <c r="AO79" s="181"/>
      <c r="AP79" s="181"/>
      <c r="AQ79" s="181"/>
      <c r="AR79" s="181"/>
      <c r="AS79" s="181"/>
      <c r="AT79" s="181"/>
      <c r="AU79" s="181"/>
      <c r="AV79" s="181"/>
      <c r="AW79" s="181"/>
    </row>
    <row r="80" spans="1:49" s="30" customFormat="1" hidden="1" x14ac:dyDescent="0.25">
      <c r="A80" s="1407" t="str">
        <f>IF(COUNTIF('04 - 95% CD'!D80:G80,"Y")&gt;0,"Y",IF(COUNTIF('04 - 95% CD'!D80:G80,"N"),"N",""))</f>
        <v>N</v>
      </c>
      <c r="B80" s="191"/>
      <c r="C80" s="944"/>
      <c r="D80" s="321"/>
      <c r="E80" s="466"/>
      <c r="F80" s="559" t="str">
        <f>IF('C-Design&amp;Const'!$S80="","",'C-Design&amp;Const'!$S80)</f>
        <v>N</v>
      </c>
      <c r="G80" s="558"/>
      <c r="H80" s="361" t="str">
        <f>CONCATENATE(IF(F80="N","PLACEHOLDER ROW - ",""),'C-Design&amp;Const'!Z80,IF(F80="N","",J80))</f>
        <v>PLACEHOLDER ROW - Structural - CUSTOM</v>
      </c>
      <c r="I80" s="186"/>
      <c r="J80" s="609" t="str">
        <f>IF('C-Design&amp;Const'!AJ80="","",'C-Design&amp;Const'!AJ80)</f>
        <v/>
      </c>
      <c r="K80" s="285" t="str">
        <f t="shared" si="0"/>
        <v>match</v>
      </c>
      <c r="L80" s="1410" t="str">
        <f t="shared" si="1"/>
        <v>&lt;---PM/Planner may hide PLACEHOLDER ROW</v>
      </c>
      <c r="M80" s="1382"/>
      <c r="N80" s="1382"/>
      <c r="O80" s="1382"/>
      <c r="P80" s="1382"/>
      <c r="Q80" s="1382"/>
      <c r="R80" s="1490"/>
      <c r="S80" s="1274"/>
      <c r="T80" s="1274"/>
      <c r="U80" s="1382"/>
      <c r="V80" s="1382"/>
      <c r="W80" s="1382"/>
      <c r="X80" s="1382"/>
      <c r="Y80" s="1382"/>
      <c r="Z80" s="1382"/>
      <c r="AA80" s="1382"/>
      <c r="AB80" s="1382"/>
      <c r="AC80" s="1382"/>
      <c r="AD80" s="1382"/>
      <c r="AE80" s="1382"/>
      <c r="AF80" s="1382"/>
      <c r="AG80" s="1382"/>
      <c r="AH80" s="1382"/>
      <c r="AI80" s="1382"/>
      <c r="AJ80" s="1382"/>
      <c r="AK80" s="181"/>
      <c r="AL80" s="181"/>
      <c r="AM80" s="181"/>
      <c r="AN80" s="181"/>
      <c r="AO80" s="181"/>
      <c r="AP80" s="181"/>
      <c r="AQ80" s="181"/>
      <c r="AR80" s="181"/>
      <c r="AS80" s="181"/>
      <c r="AT80" s="181"/>
      <c r="AU80" s="181"/>
      <c r="AV80" s="181"/>
      <c r="AW80" s="181"/>
    </row>
    <row r="81" spans="1:49" s="30" customFormat="1" hidden="1" x14ac:dyDescent="0.25">
      <c r="A81" s="1407" t="str">
        <f>IF(COUNTIF('04 - 95% CD'!D81:G81,"Y")&gt;0,"Y",IF(COUNTIF('04 - 95% CD'!D81:G81,"N"),"N",""))</f>
        <v>N</v>
      </c>
      <c r="B81" s="191"/>
      <c r="C81" s="944"/>
      <c r="D81" s="321"/>
      <c r="E81" s="466"/>
      <c r="F81" s="559" t="str">
        <f>IF('C-Design&amp;Const'!$S81="","",'C-Design&amp;Const'!$S81)</f>
        <v>N</v>
      </c>
      <c r="G81" s="558"/>
      <c r="H81" s="361" t="str">
        <f>CONCATENATE(IF(F81="N","PLACEHOLDER ROW - ",""),'C-Design&amp;Const'!Z81,IF(F81="N","",J81))</f>
        <v>PLACEHOLDER ROW - Structural - CUSTOM</v>
      </c>
      <c r="I81" s="186"/>
      <c r="J81" s="609" t="str">
        <f>IF('C-Design&amp;Const'!AJ81="","",'C-Design&amp;Const'!AJ81)</f>
        <v/>
      </c>
      <c r="K81" s="285" t="str">
        <f t="shared" si="0"/>
        <v>match</v>
      </c>
      <c r="L81" s="1410" t="str">
        <f t="shared" si="1"/>
        <v>&lt;---PM/Planner may hide PLACEHOLDER ROW</v>
      </c>
      <c r="M81" s="1382"/>
      <c r="N81" s="1382"/>
      <c r="O81" s="1382"/>
      <c r="P81" s="1382"/>
      <c r="Q81" s="1382"/>
      <c r="R81" s="1490"/>
      <c r="S81" s="1274"/>
      <c r="T81" s="1274"/>
      <c r="U81" s="1382"/>
      <c r="V81" s="1382"/>
      <c r="W81" s="1382"/>
      <c r="X81" s="1382"/>
      <c r="Y81" s="1382"/>
      <c r="Z81" s="1382"/>
      <c r="AA81" s="1382"/>
      <c r="AB81" s="1382"/>
      <c r="AC81" s="1382"/>
      <c r="AD81" s="1382"/>
      <c r="AE81" s="1382"/>
      <c r="AF81" s="1382"/>
      <c r="AG81" s="1382"/>
      <c r="AH81" s="1382"/>
      <c r="AI81" s="1382"/>
      <c r="AJ81" s="1382"/>
      <c r="AK81" s="181"/>
      <c r="AL81" s="181"/>
      <c r="AM81" s="181"/>
      <c r="AN81" s="181"/>
      <c r="AO81" s="181"/>
      <c r="AP81" s="181"/>
      <c r="AQ81" s="181"/>
      <c r="AR81" s="181"/>
      <c r="AS81" s="181"/>
      <c r="AT81" s="181"/>
      <c r="AU81" s="181"/>
      <c r="AV81" s="181"/>
      <c r="AW81" s="181"/>
    </row>
    <row r="82" spans="1:49" s="30" customFormat="1" hidden="1" x14ac:dyDescent="0.25">
      <c r="A82" s="1407" t="str">
        <f>IF(COUNTIF('04 - 95% CD'!D82:G82,"Y")&gt;0,"Y",IF(COUNTIF('04 - 95% CD'!D82:G82,"N"),"N",""))</f>
        <v>Y</v>
      </c>
      <c r="B82" s="191"/>
      <c r="C82" s="944"/>
      <c r="D82" s="321"/>
      <c r="E82" s="466"/>
      <c r="F82" s="559" t="str">
        <f>IF('C-Design&amp;Const'!$S82="","",'C-Design&amp;Const'!$S82)</f>
        <v>N</v>
      </c>
      <c r="G82" s="558"/>
      <c r="H82" s="1029" t="str">
        <f>CONCATENATE(IF(F82="N","PLACEHOLDER ROW - ",""),'C-Design&amp;Const'!Z82,IF(F82="N","",J82))</f>
        <v>PLACEHOLDER ROW - Plumbing  - General System(s) - **(verify existing system for renovations)</v>
      </c>
      <c r="I82" s="186"/>
      <c r="J82" s="609" t="str">
        <f>IF('C-Design&amp;Const'!AJ82="","",'C-Design&amp;Const'!AJ82)</f>
        <v/>
      </c>
      <c r="K82" s="285" t="str">
        <f t="shared" si="0"/>
        <v>no 95% match</v>
      </c>
      <c r="L82" s="1410" t="str">
        <f t="shared" si="1"/>
        <v>&lt;---PM/Planner may hide PLACEHOLDER ROW</v>
      </c>
      <c r="M82" s="1382"/>
      <c r="N82" s="1382"/>
      <c r="O82" s="1382"/>
      <c r="P82" s="1382"/>
      <c r="Q82" s="1382"/>
      <c r="R82" s="1490"/>
      <c r="S82" s="1274"/>
      <c r="T82" s="1274"/>
      <c r="U82" s="1382"/>
      <c r="V82" s="1382"/>
      <c r="W82" s="1382"/>
      <c r="X82" s="1382"/>
      <c r="Y82" s="1382"/>
      <c r="Z82" s="1382"/>
      <c r="AA82" s="1382"/>
      <c r="AB82" s="1382"/>
      <c r="AC82" s="1382"/>
      <c r="AD82" s="1382"/>
      <c r="AE82" s="1382"/>
      <c r="AF82" s="1382"/>
      <c r="AG82" s="1382"/>
      <c r="AH82" s="1382"/>
      <c r="AI82" s="1382"/>
      <c r="AJ82" s="1382"/>
      <c r="AK82" s="181"/>
      <c r="AL82" s="181"/>
      <c r="AM82" s="181"/>
      <c r="AN82" s="181"/>
      <c r="AO82" s="181"/>
      <c r="AP82" s="181"/>
      <c r="AQ82" s="181"/>
      <c r="AR82" s="181"/>
      <c r="AS82" s="181"/>
      <c r="AT82" s="181"/>
      <c r="AU82" s="181"/>
      <c r="AV82" s="181"/>
      <c r="AW82" s="181"/>
    </row>
    <row r="83" spans="1:49" s="545" customFormat="1" hidden="1" x14ac:dyDescent="0.25">
      <c r="A83" s="1407" t="str">
        <f>IF(COUNTIF('04 - 95% CD'!D83:G83,"Y")&gt;0,"Y",IF(COUNTIF('04 - 95% CD'!D83:G83,"N"),"N",""))</f>
        <v>Y</v>
      </c>
      <c r="B83" s="554"/>
      <c r="C83" s="944"/>
      <c r="D83" s="321"/>
      <c r="E83" s="466"/>
      <c r="F83" s="559" t="str">
        <f>IF('C-Design&amp;Const'!$S83="","",'C-Design&amp;Const'!$S83)</f>
        <v>N</v>
      </c>
      <c r="G83" s="558"/>
      <c r="H83" s="1029" t="str">
        <f>CONCATENATE(IF(F83="N","PLACEHOLDER ROW - ",""),'C-Design&amp;Const'!Z83,IF(F83="N","",J83))</f>
        <v>PLACEHOLDER ROW - Plumbing - Demolition(s)</v>
      </c>
      <c r="I83" s="186"/>
      <c r="J83" s="609" t="str">
        <f>IF('C-Design&amp;Const'!AJ83="","",'C-Design&amp;Const'!AJ83)</f>
        <v/>
      </c>
      <c r="K83" s="285" t="str">
        <f t="shared" si="0"/>
        <v>no 95% match</v>
      </c>
      <c r="L83" s="1410" t="str">
        <f t="shared" si="1"/>
        <v>&lt;---PM/Planner may hide PLACEHOLDER ROW</v>
      </c>
      <c r="M83" s="1382"/>
      <c r="N83" s="1382"/>
      <c r="O83" s="1382"/>
      <c r="P83" s="1382"/>
      <c r="Q83" s="1382"/>
      <c r="R83" s="1490"/>
      <c r="S83" s="1274"/>
      <c r="T83" s="1274"/>
      <c r="U83" s="1382"/>
      <c r="V83" s="1382"/>
      <c r="W83" s="1382"/>
      <c r="X83" s="1382"/>
      <c r="Y83" s="1382"/>
      <c r="Z83" s="1382"/>
      <c r="AA83" s="1382"/>
      <c r="AB83" s="1382"/>
      <c r="AC83" s="1382"/>
      <c r="AD83" s="1382"/>
      <c r="AE83" s="1382"/>
      <c r="AF83" s="1382"/>
      <c r="AG83" s="1382"/>
      <c r="AH83" s="1382"/>
      <c r="AI83" s="1382"/>
      <c r="AJ83" s="1382"/>
      <c r="AK83" s="551"/>
      <c r="AL83" s="551"/>
      <c r="AM83" s="551"/>
      <c r="AN83" s="551"/>
      <c r="AO83" s="551"/>
      <c r="AP83" s="551"/>
      <c r="AQ83" s="551"/>
      <c r="AR83" s="551"/>
      <c r="AS83" s="551"/>
      <c r="AT83" s="551"/>
      <c r="AU83" s="551"/>
      <c r="AV83" s="551"/>
      <c r="AW83" s="551"/>
    </row>
    <row r="84" spans="1:49" s="30" customFormat="1" ht="28.5" hidden="1" x14ac:dyDescent="0.25">
      <c r="A84" s="1407" t="str">
        <f>IF(COUNTIF('04 - 95% CD'!D84:G84,"Y")&gt;0,"Y",IF(COUNTIF('04 - 95% CD'!D84:G84,"N"),"N",""))</f>
        <v>Y</v>
      </c>
      <c r="B84" s="191"/>
      <c r="C84" s="944"/>
      <c r="D84" s="321"/>
      <c r="E84" s="466"/>
      <c r="F84" s="559" t="str">
        <f>IF('C-Design&amp;Const'!$S84="","",'C-Design&amp;Const'!$S84)</f>
        <v>N</v>
      </c>
      <c r="G84" s="558"/>
      <c r="H84" s="1029" t="str">
        <f>CONCATENATE(IF(F84="N","PLACEHOLDER ROW - ",""),'C-Design&amp;Const'!Z84,IF(F84="N","",J84))</f>
        <v>PLACEHOLDER ROW - Plumbing - Fixtures  **(Fixture Unit Analysis as verification of existing systems on renovations)</v>
      </c>
      <c r="I84" s="186"/>
      <c r="J84" s="609" t="str">
        <f>IF('C-Design&amp;Const'!AJ84="","",'C-Design&amp;Const'!AJ84)</f>
        <v/>
      </c>
      <c r="K84" s="285" t="str">
        <f t="shared" si="0"/>
        <v>no 95% match</v>
      </c>
      <c r="L84" s="1410" t="str">
        <f t="shared" si="1"/>
        <v>&lt;---PM/Planner may hide PLACEHOLDER ROW</v>
      </c>
      <c r="M84" s="1382"/>
      <c r="N84" s="1382"/>
      <c r="O84" s="1382"/>
      <c r="P84" s="1382"/>
      <c r="Q84" s="1382"/>
      <c r="R84" s="1490"/>
      <c r="S84" s="1274"/>
      <c r="T84" s="1274"/>
      <c r="U84" s="1382"/>
      <c r="V84" s="1382"/>
      <c r="W84" s="1382"/>
      <c r="X84" s="1382"/>
      <c r="Y84" s="1382"/>
      <c r="Z84" s="1382"/>
      <c r="AA84" s="1382"/>
      <c r="AB84" s="1382"/>
      <c r="AC84" s="1382"/>
      <c r="AD84" s="1382"/>
      <c r="AE84" s="1382"/>
      <c r="AF84" s="1382"/>
      <c r="AG84" s="1382"/>
      <c r="AH84" s="1382"/>
      <c r="AI84" s="1382"/>
      <c r="AJ84" s="1382"/>
      <c r="AK84" s="181"/>
      <c r="AL84" s="181"/>
      <c r="AM84" s="181"/>
      <c r="AN84" s="181"/>
      <c r="AO84" s="181"/>
      <c r="AP84" s="181"/>
      <c r="AQ84" s="181"/>
      <c r="AR84" s="181"/>
      <c r="AS84" s="181"/>
      <c r="AT84" s="181"/>
      <c r="AU84" s="181"/>
      <c r="AV84" s="181"/>
      <c r="AW84" s="181"/>
    </row>
    <row r="85" spans="1:49" s="30" customFormat="1" hidden="1" x14ac:dyDescent="0.25">
      <c r="A85" s="1407" t="str">
        <f>IF(COUNTIF('04 - 95% CD'!D85:G85,"Y")&gt;0,"Y",IF(COUNTIF('04 - 95% CD'!D85:G85,"N"),"N",""))</f>
        <v>Y</v>
      </c>
      <c r="B85" s="191"/>
      <c r="C85" s="944"/>
      <c r="D85" s="321"/>
      <c r="E85" s="466"/>
      <c r="F85" s="559" t="str">
        <f>IF('C-Design&amp;Const'!$S85="","",'C-Design&amp;Const'!$S85)</f>
        <v>N</v>
      </c>
      <c r="G85" s="558"/>
      <c r="H85" s="1029" t="str">
        <f>CONCATENATE(IF(F85="N","PLACEHOLDER ROW - ",""),'C-Design&amp;Const'!Z85,IF(F85="N","",J85))</f>
        <v>PLACEHOLDER ROW - Plumbing - Air/Gas  **(verify existing system for renovations)</v>
      </c>
      <c r="I85" s="186"/>
      <c r="J85" s="609" t="str">
        <f>IF('C-Design&amp;Const'!AJ85="","",'C-Design&amp;Const'!AJ85)</f>
        <v/>
      </c>
      <c r="K85" s="285" t="str">
        <f t="shared" si="0"/>
        <v>no 95% match</v>
      </c>
      <c r="L85" s="1410" t="str">
        <f t="shared" si="1"/>
        <v>&lt;---PM/Planner may hide PLACEHOLDER ROW</v>
      </c>
      <c r="M85" s="1382"/>
      <c r="N85" s="1382"/>
      <c r="O85" s="1382"/>
      <c r="P85" s="1382"/>
      <c r="Q85" s="1382"/>
      <c r="R85" s="1490"/>
      <c r="S85" s="1274"/>
      <c r="T85" s="1274"/>
      <c r="U85" s="1382"/>
      <c r="V85" s="1382"/>
      <c r="W85" s="1382"/>
      <c r="X85" s="1382"/>
      <c r="Y85" s="1382"/>
      <c r="Z85" s="1382"/>
      <c r="AA85" s="1382"/>
      <c r="AB85" s="1382"/>
      <c r="AC85" s="1382"/>
      <c r="AD85" s="1382"/>
      <c r="AE85" s="1382"/>
      <c r="AF85" s="1382"/>
      <c r="AG85" s="1382"/>
      <c r="AH85" s="1382"/>
      <c r="AI85" s="1382"/>
      <c r="AJ85" s="1382"/>
      <c r="AK85" s="181"/>
      <c r="AL85" s="181"/>
      <c r="AM85" s="181"/>
      <c r="AN85" s="181"/>
      <c r="AO85" s="181"/>
      <c r="AP85" s="181"/>
      <c r="AQ85" s="181"/>
      <c r="AR85" s="181"/>
      <c r="AS85" s="181"/>
      <c r="AT85" s="181"/>
      <c r="AU85" s="181"/>
      <c r="AV85" s="181"/>
      <c r="AW85" s="181"/>
    </row>
    <row r="86" spans="1:49" s="30" customFormat="1" hidden="1" x14ac:dyDescent="0.25">
      <c r="A86" s="1407" t="str">
        <f>IF(COUNTIF('04 - 95% CD'!D86:G86,"Y")&gt;0,"Y",IF(COUNTIF('04 - 95% CD'!D86:G86,"N"),"N",""))</f>
        <v>Y</v>
      </c>
      <c r="B86" s="191"/>
      <c r="C86" s="944"/>
      <c r="D86" s="321"/>
      <c r="E86" s="466"/>
      <c r="F86" s="559" t="str">
        <f>IF('C-Design&amp;Const'!$S86="","",'C-Design&amp;Const'!$S86)</f>
        <v>N</v>
      </c>
      <c r="G86" s="558"/>
      <c r="H86" s="1029" t="str">
        <f>CONCATENATE(IF(F86="N","PLACEHOLDER ROW - ",""),'C-Design&amp;Const'!Z86,IF(F86="N","",J86))</f>
        <v>PLACEHOLDER ROW - Plumbing - Water  **(verify existing system for renovations)</v>
      </c>
      <c r="I86" s="186"/>
      <c r="J86" s="609" t="str">
        <f>IF('C-Design&amp;Const'!AJ86="","",'C-Design&amp;Const'!AJ86)</f>
        <v/>
      </c>
      <c r="K86" s="285" t="str">
        <f t="shared" si="0"/>
        <v>no 95% match</v>
      </c>
      <c r="L86" s="1410" t="str">
        <f t="shared" si="1"/>
        <v>&lt;---PM/Planner may hide PLACEHOLDER ROW</v>
      </c>
      <c r="M86" s="1382"/>
      <c r="N86" s="1382"/>
      <c r="O86" s="1382"/>
      <c r="P86" s="1382"/>
      <c r="Q86" s="1382"/>
      <c r="R86" s="1490"/>
      <c r="S86" s="1274"/>
      <c r="T86" s="1274"/>
      <c r="U86" s="1382"/>
      <c r="V86" s="1382"/>
      <c r="W86" s="1382"/>
      <c r="X86" s="1382"/>
      <c r="Y86" s="1382"/>
      <c r="Z86" s="1382"/>
      <c r="AA86" s="1382"/>
      <c r="AB86" s="1382"/>
      <c r="AC86" s="1382"/>
      <c r="AD86" s="1382"/>
      <c r="AE86" s="1382"/>
      <c r="AF86" s="1382"/>
      <c r="AG86" s="1382"/>
      <c r="AH86" s="1382"/>
      <c r="AI86" s="1382"/>
      <c r="AJ86" s="1382"/>
      <c r="AK86" s="181"/>
      <c r="AL86" s="181"/>
      <c r="AM86" s="181"/>
      <c r="AN86" s="181"/>
      <c r="AO86" s="181"/>
      <c r="AP86" s="181"/>
      <c r="AQ86" s="181"/>
      <c r="AR86" s="181"/>
      <c r="AS86" s="181"/>
      <c r="AT86" s="181"/>
      <c r="AU86" s="181"/>
      <c r="AV86" s="181"/>
      <c r="AW86" s="181"/>
    </row>
    <row r="87" spans="1:49" s="30" customFormat="1" hidden="1" x14ac:dyDescent="0.25">
      <c r="A87" s="1407" t="str">
        <f>IF(COUNTIF('04 - 95% CD'!D87:G87,"Y")&gt;0,"Y",IF(COUNTIF('04 - 95% CD'!D87:G87,"N"),"N",""))</f>
        <v>Y</v>
      </c>
      <c r="B87" s="191"/>
      <c r="C87" s="944"/>
      <c r="D87" s="321"/>
      <c r="E87" s="466"/>
      <c r="F87" s="559" t="str">
        <f>IF('C-Design&amp;Const'!$S87="","",'C-Design&amp;Const'!$S87)</f>
        <v>N</v>
      </c>
      <c r="G87" s="558"/>
      <c r="H87" s="1029" t="str">
        <f>CONCATENATE(IF(F87="N","PLACEHOLDER ROW - ",""),'C-Design&amp;Const'!Z87,IF(F87="N","",J87))</f>
        <v>PLACEHOLDER ROW - Plumbing - Sanitary **(verify existing system for renovations)</v>
      </c>
      <c r="I87" s="186"/>
      <c r="J87" s="609" t="str">
        <f>IF('C-Design&amp;Const'!AJ87="","",'C-Design&amp;Const'!AJ87)</f>
        <v/>
      </c>
      <c r="K87" s="285" t="str">
        <f t="shared" si="0"/>
        <v>no 95% match</v>
      </c>
      <c r="L87" s="1410" t="str">
        <f t="shared" si="1"/>
        <v>&lt;---PM/Planner may hide PLACEHOLDER ROW</v>
      </c>
      <c r="M87" s="1382"/>
      <c r="N87" s="1382"/>
      <c r="O87" s="1382"/>
      <c r="P87" s="1382"/>
      <c r="Q87" s="1382"/>
      <c r="R87" s="1490"/>
      <c r="S87" s="1274"/>
      <c r="T87" s="1274"/>
      <c r="U87" s="1382"/>
      <c r="V87" s="1382"/>
      <c r="W87" s="1382"/>
      <c r="X87" s="1382"/>
      <c r="Y87" s="1382"/>
      <c r="Z87" s="1382"/>
      <c r="AA87" s="1382"/>
      <c r="AB87" s="1382"/>
      <c r="AC87" s="1382"/>
      <c r="AD87" s="1382"/>
      <c r="AE87" s="1382"/>
      <c r="AF87" s="1382"/>
      <c r="AG87" s="1382"/>
      <c r="AH87" s="1382"/>
      <c r="AI87" s="1382"/>
      <c r="AJ87" s="1382"/>
      <c r="AK87" s="181"/>
      <c r="AL87" s="181"/>
      <c r="AM87" s="181"/>
      <c r="AN87" s="181"/>
      <c r="AO87" s="181"/>
      <c r="AP87" s="181"/>
      <c r="AQ87" s="181"/>
      <c r="AR87" s="181"/>
      <c r="AS87" s="181"/>
      <c r="AT87" s="181"/>
      <c r="AU87" s="181"/>
      <c r="AV87" s="181"/>
      <c r="AW87" s="181"/>
    </row>
    <row r="88" spans="1:49" s="30" customFormat="1" hidden="1" x14ac:dyDescent="0.25">
      <c r="A88" s="1407" t="str">
        <f>IF(COUNTIF('04 - 95% CD'!D88:G88,"Y")&gt;0,"Y",IF(COUNTIF('04 - 95% CD'!D88:G88,"N"),"N",""))</f>
        <v>N</v>
      </c>
      <c r="B88" s="191"/>
      <c r="C88" s="944"/>
      <c r="D88" s="321"/>
      <c r="E88" s="466"/>
      <c r="F88" s="559" t="str">
        <f>IF('C-Design&amp;Const'!$S88="","",'C-Design&amp;Const'!$S88)</f>
        <v>N</v>
      </c>
      <c r="G88" s="558"/>
      <c r="H88" s="1029" t="str">
        <f>CONCATENATE(IF(F88="N","PLACEHOLDER ROW - ",""),'C-Design&amp;Const'!Z88,IF(F88="N","",J88))</f>
        <v>PLACEHOLDER ROW - Plumbing - Cut Sheets or Product Data Sheets on Plumbing Fixtures</v>
      </c>
      <c r="I88" s="186"/>
      <c r="J88" s="609" t="str">
        <f>IF('C-Design&amp;Const'!AJ88="","",'C-Design&amp;Const'!AJ88)</f>
        <v/>
      </c>
      <c r="K88" s="285" t="str">
        <f t="shared" si="0"/>
        <v>match</v>
      </c>
      <c r="L88" s="1410" t="str">
        <f t="shared" si="1"/>
        <v>&lt;---PM/Planner may hide PLACEHOLDER ROW</v>
      </c>
      <c r="M88" s="1382"/>
      <c r="N88" s="1382"/>
      <c r="O88" s="1382"/>
      <c r="P88" s="1382"/>
      <c r="Q88" s="1382"/>
      <c r="R88" s="1490"/>
      <c r="S88" s="1274"/>
      <c r="T88" s="1274"/>
      <c r="U88" s="1382"/>
      <c r="V88" s="1382"/>
      <c r="W88" s="1382"/>
      <c r="X88" s="1382"/>
      <c r="Y88" s="1382"/>
      <c r="Z88" s="1382"/>
      <c r="AA88" s="1382"/>
      <c r="AB88" s="1382"/>
      <c r="AC88" s="1382"/>
      <c r="AD88" s="1382"/>
      <c r="AE88" s="1382"/>
      <c r="AF88" s="1382"/>
      <c r="AG88" s="1382"/>
      <c r="AH88" s="1382"/>
      <c r="AI88" s="1382"/>
      <c r="AJ88" s="1382"/>
      <c r="AK88" s="181"/>
      <c r="AL88" s="181"/>
      <c r="AM88" s="181"/>
      <c r="AN88" s="181"/>
      <c r="AO88" s="181"/>
      <c r="AP88" s="181"/>
      <c r="AQ88" s="181"/>
      <c r="AR88" s="181"/>
      <c r="AS88" s="181"/>
      <c r="AT88" s="181"/>
      <c r="AU88" s="181"/>
      <c r="AV88" s="181"/>
      <c r="AW88" s="181"/>
    </row>
    <row r="89" spans="1:49" s="30" customFormat="1" hidden="1" x14ac:dyDescent="0.25">
      <c r="A89" s="1407" t="str">
        <f>IF(COUNTIF('04 - 95% CD'!D89:G89,"Y")&gt;0,"Y",IF(COUNTIF('04 - 95% CD'!D89:G89,"N"),"N",""))</f>
        <v>Y</v>
      </c>
      <c r="B89" s="191"/>
      <c r="C89" s="944"/>
      <c r="D89" s="321"/>
      <c r="E89" s="466"/>
      <c r="F89" s="559" t="str">
        <f>IF('C-Design&amp;Const'!$S89="","",'C-Design&amp;Const'!$S89)</f>
        <v>N</v>
      </c>
      <c r="G89" s="558"/>
      <c r="H89" s="1029" t="str">
        <f>CONCATENATE(IF(F89="N","PLACEHOLDER ROW - ",""),'C-Design&amp;Const'!Z89,IF(F89="N","",J89))</f>
        <v>PLACEHOLDER ROW - Fire Suppression System(s) **(verify existing system for renovations)</v>
      </c>
      <c r="I89" s="186"/>
      <c r="J89" s="609" t="str">
        <f>IF('C-Design&amp;Const'!AJ89="","",'C-Design&amp;Const'!AJ89)</f>
        <v/>
      </c>
      <c r="K89" s="285" t="str">
        <f t="shared" si="0"/>
        <v>no 95% match</v>
      </c>
      <c r="L89" s="1410" t="str">
        <f t="shared" si="1"/>
        <v>&lt;---PM/Planner may hide PLACEHOLDER ROW</v>
      </c>
      <c r="M89" s="1382"/>
      <c r="N89" s="1382"/>
      <c r="O89" s="1382"/>
      <c r="P89" s="1382"/>
      <c r="Q89" s="1382"/>
      <c r="R89" s="1490"/>
      <c r="S89" s="1274"/>
      <c r="T89" s="1274"/>
      <c r="U89" s="1382"/>
      <c r="V89" s="1382"/>
      <c r="W89" s="1382"/>
      <c r="X89" s="1382"/>
      <c r="Y89" s="1382"/>
      <c r="Z89" s="1382"/>
      <c r="AA89" s="1382"/>
      <c r="AB89" s="1382"/>
      <c r="AC89" s="1382"/>
      <c r="AD89" s="1382"/>
      <c r="AE89" s="1382"/>
      <c r="AF89" s="1382"/>
      <c r="AG89" s="1382"/>
      <c r="AH89" s="1382"/>
      <c r="AI89" s="1382"/>
      <c r="AJ89" s="1382"/>
      <c r="AK89" s="181"/>
      <c r="AL89" s="181"/>
      <c r="AM89" s="181"/>
      <c r="AN89" s="181"/>
      <c r="AO89" s="181"/>
      <c r="AP89" s="181"/>
      <c r="AQ89" s="181"/>
      <c r="AR89" s="181"/>
      <c r="AS89" s="181"/>
      <c r="AT89" s="181"/>
      <c r="AU89" s="181"/>
      <c r="AV89" s="181"/>
      <c r="AW89" s="181"/>
    </row>
    <row r="90" spans="1:49" s="30" customFormat="1" hidden="1" x14ac:dyDescent="0.25">
      <c r="A90" s="1407" t="str">
        <f>IF(COUNTIF('04 - 95% CD'!D90:G90,"Y")&gt;0,"Y",IF(COUNTIF('04 - 95% CD'!D90:G90,"N"),"N",""))</f>
        <v>Y</v>
      </c>
      <c r="B90" s="191"/>
      <c r="C90" s="944"/>
      <c r="D90" s="321"/>
      <c r="E90" s="466"/>
      <c r="F90" s="559" t="str">
        <f>IF('C-Design&amp;Const'!$S90="","",'C-Design&amp;Const'!$S90)</f>
        <v>N</v>
      </c>
      <c r="G90" s="558"/>
      <c r="H90" s="1029" t="str">
        <f>CONCATENATE(IF(F90="N","PLACEHOLDER ROW - ",""),'C-Design&amp;Const'!Z90,IF(F90="N","",J90))</f>
        <v>PLACEHOLDER ROW - Heating - General System(s) **(verify existing system for renovations)</v>
      </c>
      <c r="I90" s="186"/>
      <c r="J90" s="609" t="str">
        <f>IF('C-Design&amp;Const'!AJ90="","",'C-Design&amp;Const'!AJ90)</f>
        <v/>
      </c>
      <c r="K90" s="285" t="str">
        <f t="shared" si="0"/>
        <v>no 95% match</v>
      </c>
      <c r="L90" s="1410" t="str">
        <f t="shared" si="1"/>
        <v>&lt;---PM/Planner may hide PLACEHOLDER ROW</v>
      </c>
      <c r="M90" s="1382"/>
      <c r="N90" s="1382"/>
      <c r="O90" s="1382"/>
      <c r="P90" s="1382"/>
      <c r="Q90" s="1382"/>
      <c r="R90" s="1490"/>
      <c r="S90" s="1274"/>
      <c r="T90" s="1274"/>
      <c r="U90" s="1382"/>
      <c r="V90" s="1382"/>
      <c r="W90" s="1382"/>
      <c r="X90" s="1382"/>
      <c r="Y90" s="1382"/>
      <c r="Z90" s="1382"/>
      <c r="AA90" s="1382"/>
      <c r="AB90" s="1382"/>
      <c r="AC90" s="1382"/>
      <c r="AD90" s="1382"/>
      <c r="AE90" s="1382"/>
      <c r="AF90" s="1382"/>
      <c r="AG90" s="1382"/>
      <c r="AH90" s="1382"/>
      <c r="AI90" s="1382"/>
      <c r="AJ90" s="1382"/>
      <c r="AK90" s="181"/>
      <c r="AL90" s="181"/>
      <c r="AM90" s="181"/>
      <c r="AN90" s="181"/>
      <c r="AO90" s="181"/>
      <c r="AP90" s="181"/>
      <c r="AQ90" s="181"/>
      <c r="AR90" s="181"/>
      <c r="AS90" s="181"/>
      <c r="AT90" s="181"/>
      <c r="AU90" s="181"/>
      <c r="AV90" s="181"/>
      <c r="AW90" s="181"/>
    </row>
    <row r="91" spans="1:49" s="545" customFormat="1" hidden="1" x14ac:dyDescent="0.25">
      <c r="A91" s="1407" t="str">
        <f>IF(COUNTIF('04 - 95% CD'!D91:G91,"Y")&gt;0,"Y",IF(COUNTIF('04 - 95% CD'!D91:G91,"N"),"N",""))</f>
        <v>Y</v>
      </c>
      <c r="B91" s="554"/>
      <c r="C91" s="944"/>
      <c r="D91" s="321"/>
      <c r="E91" s="466"/>
      <c r="F91" s="559" t="str">
        <f>IF('C-Design&amp;Const'!$S91="","",'C-Design&amp;Const'!$S91)</f>
        <v>N</v>
      </c>
      <c r="G91" s="558"/>
      <c r="H91" s="1029" t="str">
        <f>CONCATENATE(IF(F91="N","PLACEHOLDER ROW - ",""),'C-Design&amp;Const'!Z91,IF(F91="N","",J91))</f>
        <v>PLACEHOLDER ROW - Heating - Demolition(s)</v>
      </c>
      <c r="I91" s="186"/>
      <c r="J91" s="609" t="str">
        <f>IF('C-Design&amp;Const'!AJ91="","",'C-Design&amp;Const'!AJ91)</f>
        <v/>
      </c>
      <c r="K91" s="285" t="str">
        <f t="shared" ref="K91" si="6">IF((COUNTIF(D91:F91,"Y")=COUNTIF(A91,"Y")),"match","no 95% match")</f>
        <v>no 95% match</v>
      </c>
      <c r="L91" s="1410" t="str">
        <f t="shared" ref="L91" si="7">CONCATENATE(IF(ISNUMBER(SEARCH("Placeholder",H91))=TRUE,"&lt;---PM/Planner may hide PLACEHOLDER ROW",""))</f>
        <v>&lt;---PM/Planner may hide PLACEHOLDER ROW</v>
      </c>
      <c r="M91" s="1382"/>
      <c r="N91" s="1382"/>
      <c r="O91" s="1382"/>
      <c r="P91" s="1382"/>
      <c r="Q91" s="1382"/>
      <c r="R91" s="1490"/>
      <c r="S91" s="1274"/>
      <c r="T91" s="1274"/>
      <c r="U91" s="1382"/>
      <c r="V91" s="1382"/>
      <c r="W91" s="1382"/>
      <c r="X91" s="1382"/>
      <c r="Y91" s="1382"/>
      <c r="Z91" s="1382"/>
      <c r="AA91" s="1382"/>
      <c r="AB91" s="1382"/>
      <c r="AC91" s="1382"/>
      <c r="AD91" s="1382"/>
      <c r="AE91" s="1382"/>
      <c r="AF91" s="1382"/>
      <c r="AG91" s="1382"/>
      <c r="AH91" s="1382"/>
      <c r="AI91" s="1382"/>
      <c r="AJ91" s="1382"/>
      <c r="AK91" s="551"/>
      <c r="AL91" s="551"/>
      <c r="AM91" s="551"/>
      <c r="AN91" s="551"/>
      <c r="AO91" s="551"/>
      <c r="AP91" s="551"/>
      <c r="AQ91" s="551"/>
      <c r="AR91" s="551"/>
      <c r="AS91" s="551"/>
      <c r="AT91" s="551"/>
      <c r="AU91" s="551"/>
      <c r="AV91" s="551"/>
      <c r="AW91" s="551"/>
    </row>
    <row r="92" spans="1:49" s="30" customFormat="1" hidden="1" x14ac:dyDescent="0.25">
      <c r="A92" s="1407" t="str">
        <f>IF(COUNTIF('04 - 95% CD'!D92:G92,"Y")&gt;0,"Y",IF(COUNTIF('04 - 95% CD'!D92:G92,"N"),"N",""))</f>
        <v>Y</v>
      </c>
      <c r="B92" s="191"/>
      <c r="C92" s="944"/>
      <c r="D92" s="321"/>
      <c r="E92" s="466"/>
      <c r="F92" s="559" t="str">
        <f>IF('C-Design&amp;Const'!$S92="","",'C-Design&amp;Const'!$S92)</f>
        <v>N</v>
      </c>
      <c r="G92" s="558"/>
      <c r="H92" s="1029" t="str">
        <f>CONCATENATE(IF(F92="N","PLACEHOLDER ROW - ",""),'C-Design&amp;Const'!Z92,IF(F92="N","",J92))</f>
        <v>PLACEHOLDER ROW - Heating - Gas (and verify existing system for renovations)*</v>
      </c>
      <c r="I92" s="186"/>
      <c r="J92" s="609" t="str">
        <f>IF('C-Design&amp;Const'!AJ92="","",'C-Design&amp;Const'!AJ92)</f>
        <v/>
      </c>
      <c r="K92" s="285" t="str">
        <f t="shared" si="0"/>
        <v>no 95% match</v>
      </c>
      <c r="L92" s="1410" t="str">
        <f t="shared" si="1"/>
        <v>&lt;---PM/Planner may hide PLACEHOLDER ROW</v>
      </c>
      <c r="M92" s="1382"/>
      <c r="N92" s="1382"/>
      <c r="O92" s="1382"/>
      <c r="P92" s="1382"/>
      <c r="Q92" s="1382"/>
      <c r="R92" s="1490"/>
      <c r="S92" s="1274"/>
      <c r="T92" s="1274"/>
      <c r="U92" s="1382"/>
      <c r="V92" s="1382"/>
      <c r="W92" s="1382"/>
      <c r="X92" s="1382"/>
      <c r="Y92" s="1382"/>
      <c r="Z92" s="1382"/>
      <c r="AA92" s="1382"/>
      <c r="AB92" s="1382"/>
      <c r="AC92" s="1382"/>
      <c r="AD92" s="1382"/>
      <c r="AE92" s="1382"/>
      <c r="AF92" s="1382"/>
      <c r="AG92" s="1382"/>
      <c r="AH92" s="1382"/>
      <c r="AI92" s="1382"/>
      <c r="AJ92" s="1382"/>
      <c r="AK92" s="181"/>
      <c r="AL92" s="181"/>
      <c r="AM92" s="181"/>
      <c r="AN92" s="181"/>
      <c r="AO92" s="181"/>
      <c r="AP92" s="181"/>
      <c r="AQ92" s="181"/>
      <c r="AR92" s="181"/>
      <c r="AS92" s="181"/>
      <c r="AT92" s="181"/>
      <c r="AU92" s="181"/>
      <c r="AV92" s="181"/>
      <c r="AW92" s="181"/>
    </row>
    <row r="93" spans="1:49" s="30" customFormat="1" hidden="1" x14ac:dyDescent="0.25">
      <c r="A93" s="1407" t="str">
        <f>IF(COUNTIF('04 - 95% CD'!D93:G93,"Y")&gt;0,"Y",IF(COUNTIF('04 - 95% CD'!D93:G93,"N"),"N",""))</f>
        <v>Y</v>
      </c>
      <c r="B93" s="191"/>
      <c r="C93" s="944"/>
      <c r="D93" s="321"/>
      <c r="E93" s="466"/>
      <c r="F93" s="559" t="str">
        <f>IF('C-Design&amp;Const'!$S93="","",'C-Design&amp;Const'!$S93)</f>
        <v>N</v>
      </c>
      <c r="G93" s="558"/>
      <c r="H93" s="1029" t="str">
        <f>CONCATENATE(IF(F93="N","PLACEHOLDER ROW - ",""),'C-Design&amp;Const'!Z93,IF(F93="N","",J93))</f>
        <v>PLACEHOLDER ROW - Heating -  Steam  (and verify existing system for renovations)*</v>
      </c>
      <c r="I93" s="186"/>
      <c r="J93" s="609" t="str">
        <f>IF('C-Design&amp;Const'!AJ93="","",'C-Design&amp;Const'!AJ93)</f>
        <v/>
      </c>
      <c r="K93" s="285" t="str">
        <f t="shared" si="0"/>
        <v>no 95% match</v>
      </c>
      <c r="L93" s="1410" t="str">
        <f t="shared" si="1"/>
        <v>&lt;---PM/Planner may hide PLACEHOLDER ROW</v>
      </c>
      <c r="M93" s="1382"/>
      <c r="N93" s="1382"/>
      <c r="O93" s="1382"/>
      <c r="P93" s="1382"/>
      <c r="Q93" s="1382"/>
      <c r="R93" s="1490"/>
      <c r="S93" s="1274"/>
      <c r="T93" s="1274"/>
      <c r="U93" s="1382"/>
      <c r="V93" s="1382"/>
      <c r="W93" s="1382"/>
      <c r="X93" s="1382"/>
      <c r="Y93" s="1382"/>
      <c r="Z93" s="1382"/>
      <c r="AA93" s="1382"/>
      <c r="AB93" s="1382"/>
      <c r="AC93" s="1382"/>
      <c r="AD93" s="1382"/>
      <c r="AE93" s="1382"/>
      <c r="AF93" s="1382"/>
      <c r="AG93" s="1382"/>
      <c r="AH93" s="1382"/>
      <c r="AI93" s="1382"/>
      <c r="AJ93" s="1382"/>
      <c r="AK93" s="181"/>
      <c r="AL93" s="181"/>
      <c r="AM93" s="181"/>
      <c r="AN93" s="181"/>
      <c r="AO93" s="181"/>
      <c r="AP93" s="181"/>
      <c r="AQ93" s="181"/>
      <c r="AR93" s="181"/>
      <c r="AS93" s="181"/>
      <c r="AT93" s="181"/>
      <c r="AU93" s="181"/>
      <c r="AV93" s="181"/>
      <c r="AW93" s="181"/>
    </row>
    <row r="94" spans="1:49" s="30" customFormat="1" hidden="1" x14ac:dyDescent="0.25">
      <c r="A94" s="1407" t="str">
        <f>IF(COUNTIF('04 - 95% CD'!D94:G94,"Y")&gt;0,"Y",IF(COUNTIF('04 - 95% CD'!D94:G94,"N"),"N",""))</f>
        <v>N</v>
      </c>
      <c r="B94" s="191"/>
      <c r="C94" s="944"/>
      <c r="D94" s="321"/>
      <c r="E94" s="466"/>
      <c r="F94" s="559" t="str">
        <f>IF('C-Design&amp;Const'!$S94="","",'C-Design&amp;Const'!$S94)</f>
        <v>N</v>
      </c>
      <c r="G94" s="558"/>
      <c r="H94" s="1029" t="str">
        <f>CONCATENATE(IF(F94="N","PLACEHOLDER ROW - ",""),'C-Design&amp;Const'!Z94,IF(F94="N","",J94))</f>
        <v>PLACEHOLDER ROW - Heating - CUSTOM</v>
      </c>
      <c r="I94" s="186"/>
      <c r="J94" s="609" t="str">
        <f>IF('C-Design&amp;Const'!AJ94="","",'C-Design&amp;Const'!AJ94)</f>
        <v/>
      </c>
      <c r="K94" s="285" t="str">
        <f t="shared" si="0"/>
        <v>match</v>
      </c>
      <c r="L94" s="1410" t="str">
        <f t="shared" si="1"/>
        <v>&lt;---PM/Planner may hide PLACEHOLDER ROW</v>
      </c>
      <c r="M94" s="1382"/>
      <c r="N94" s="1382"/>
      <c r="O94" s="1382"/>
      <c r="P94" s="1382"/>
      <c r="Q94" s="1382"/>
      <c r="R94" s="1490"/>
      <c r="S94" s="1274"/>
      <c r="T94" s="1274"/>
      <c r="U94" s="1382"/>
      <c r="V94" s="1382"/>
      <c r="W94" s="1382"/>
      <c r="X94" s="1382"/>
      <c r="Y94" s="1382"/>
      <c r="Z94" s="1382"/>
      <c r="AA94" s="1382"/>
      <c r="AB94" s="1382"/>
      <c r="AC94" s="1382"/>
      <c r="AD94" s="1382"/>
      <c r="AE94" s="1382"/>
      <c r="AF94" s="1382"/>
      <c r="AG94" s="1382"/>
      <c r="AH94" s="1382"/>
      <c r="AI94" s="1382"/>
      <c r="AJ94" s="1382"/>
      <c r="AK94" s="181"/>
      <c r="AL94" s="181"/>
      <c r="AM94" s="181"/>
      <c r="AN94" s="181"/>
      <c r="AO94" s="181"/>
      <c r="AP94" s="181"/>
      <c r="AQ94" s="181"/>
      <c r="AR94" s="181"/>
      <c r="AS94" s="181"/>
      <c r="AT94" s="181"/>
      <c r="AU94" s="181"/>
      <c r="AV94" s="181"/>
      <c r="AW94" s="181"/>
    </row>
    <row r="95" spans="1:49" s="30" customFormat="1" hidden="1" x14ac:dyDescent="0.25">
      <c r="A95" s="1407" t="str">
        <f>IF(COUNTIF('04 - 95% CD'!D95:G95,"Y")&gt;0,"Y",IF(COUNTIF('04 - 95% CD'!D95:G95,"N"),"N",""))</f>
        <v>Y</v>
      </c>
      <c r="B95" s="191"/>
      <c r="C95" s="944"/>
      <c r="D95" s="321"/>
      <c r="E95" s="466"/>
      <c r="F95" s="559" t="str">
        <f>IF('C-Design&amp;Const'!$S95="","",'C-Design&amp;Const'!$S95)</f>
        <v>N</v>
      </c>
      <c r="G95" s="558"/>
      <c r="H95" s="1029" t="str">
        <f>CONCATENATE(IF(F95="N","PLACEHOLDER ROW - ",""),'C-Design&amp;Const'!Z95,IF(F95="N","",J95))</f>
        <v>PLACEHOLDER ROW - Ventilation - General System(s)  **(verify existing system for renovations)</v>
      </c>
      <c r="I95" s="186"/>
      <c r="J95" s="609" t="str">
        <f>IF('C-Design&amp;Const'!AJ95="","",'C-Design&amp;Const'!AJ95)</f>
        <v/>
      </c>
      <c r="K95" s="285" t="str">
        <f t="shared" si="0"/>
        <v>no 95% match</v>
      </c>
      <c r="L95" s="1410" t="str">
        <f t="shared" si="1"/>
        <v>&lt;---PM/Planner may hide PLACEHOLDER ROW</v>
      </c>
      <c r="M95" s="1382"/>
      <c r="N95" s="1382"/>
      <c r="O95" s="1382"/>
      <c r="P95" s="1382"/>
      <c r="Q95" s="1382"/>
      <c r="R95" s="1490"/>
      <c r="S95" s="1274"/>
      <c r="T95" s="1274"/>
      <c r="U95" s="1382"/>
      <c r="V95" s="1382"/>
      <c r="W95" s="1382"/>
      <c r="X95" s="1382"/>
      <c r="Y95" s="1382"/>
      <c r="Z95" s="1382"/>
      <c r="AA95" s="1382"/>
      <c r="AB95" s="1382"/>
      <c r="AC95" s="1382"/>
      <c r="AD95" s="1382"/>
      <c r="AE95" s="1382"/>
      <c r="AF95" s="1382"/>
      <c r="AG95" s="1382"/>
      <c r="AH95" s="1382"/>
      <c r="AI95" s="1382"/>
      <c r="AJ95" s="1382"/>
      <c r="AK95" s="181"/>
      <c r="AL95" s="181"/>
      <c r="AM95" s="181"/>
      <c r="AN95" s="181"/>
      <c r="AO95" s="181"/>
      <c r="AP95" s="181"/>
      <c r="AQ95" s="181"/>
      <c r="AR95" s="181"/>
      <c r="AS95" s="181"/>
      <c r="AT95" s="181"/>
      <c r="AU95" s="181"/>
      <c r="AV95" s="181"/>
      <c r="AW95" s="181"/>
    </row>
    <row r="96" spans="1:49" s="545" customFormat="1" hidden="1" x14ac:dyDescent="0.25">
      <c r="A96" s="1407" t="str">
        <f>IF(COUNTIF('04 - 95% CD'!D96:G96,"Y")&gt;0,"Y",IF(COUNTIF('04 - 95% CD'!D96:G96,"N"),"N",""))</f>
        <v>Y</v>
      </c>
      <c r="B96" s="554"/>
      <c r="C96" s="944"/>
      <c r="D96" s="321"/>
      <c r="E96" s="466"/>
      <c r="F96" s="559" t="str">
        <f>IF('C-Design&amp;Const'!$S96="","",'C-Design&amp;Const'!$S96)</f>
        <v>N</v>
      </c>
      <c r="G96" s="558"/>
      <c r="H96" s="1029" t="str">
        <f>CONCATENATE(IF(F96="N","PLACEHOLDER ROW - ",""),'C-Design&amp;Const'!Z96,IF(F96="N","",J96))</f>
        <v>PLACEHOLDER ROW - Ventilation - Demolition(s)</v>
      </c>
      <c r="I96" s="186"/>
      <c r="J96" s="609" t="str">
        <f>IF('C-Design&amp;Const'!AJ96="","",'C-Design&amp;Const'!AJ96)</f>
        <v/>
      </c>
      <c r="K96" s="285" t="str">
        <f t="shared" si="0"/>
        <v>no 95% match</v>
      </c>
      <c r="L96" s="1410" t="str">
        <f t="shared" si="1"/>
        <v>&lt;---PM/Planner may hide PLACEHOLDER ROW</v>
      </c>
      <c r="M96" s="1382"/>
      <c r="N96" s="1382"/>
      <c r="O96" s="1382"/>
      <c r="P96" s="1382"/>
      <c r="Q96" s="1382"/>
      <c r="R96" s="1490"/>
      <c r="S96" s="1274"/>
      <c r="T96" s="1274"/>
      <c r="U96" s="1382"/>
      <c r="V96" s="1382"/>
      <c r="W96" s="1382"/>
      <c r="X96" s="1382"/>
      <c r="Y96" s="1382"/>
      <c r="Z96" s="1382"/>
      <c r="AA96" s="1382"/>
      <c r="AB96" s="1382"/>
      <c r="AC96" s="1382"/>
      <c r="AD96" s="1382"/>
      <c r="AE96" s="1382"/>
      <c r="AF96" s="1382"/>
      <c r="AG96" s="1382"/>
      <c r="AH96" s="1382"/>
      <c r="AI96" s="1382"/>
      <c r="AJ96" s="1382"/>
      <c r="AK96" s="551"/>
      <c r="AL96" s="551"/>
      <c r="AM96" s="551"/>
      <c r="AN96" s="551"/>
      <c r="AO96" s="551"/>
      <c r="AP96" s="551"/>
      <c r="AQ96" s="551"/>
      <c r="AR96" s="551"/>
      <c r="AS96" s="551"/>
      <c r="AT96" s="551"/>
      <c r="AU96" s="551"/>
      <c r="AV96" s="551"/>
      <c r="AW96" s="551"/>
    </row>
    <row r="97" spans="1:49" s="30" customFormat="1" ht="28.5" hidden="1" x14ac:dyDescent="0.25">
      <c r="A97" s="1407" t="str">
        <f>IF(COUNTIF('04 - 95% CD'!D97:G97,"Y")&gt;0,"Y",IF(COUNTIF('04 - 95% CD'!D97:G97,"N"),"N",""))</f>
        <v>Y</v>
      </c>
      <c r="B97" s="191"/>
      <c r="C97" s="944"/>
      <c r="D97" s="321"/>
      <c r="E97" s="466"/>
      <c r="F97" s="559" t="str">
        <f>IF('C-Design&amp;Const'!$S97="","",'C-Design&amp;Const'!$S97)</f>
        <v>N</v>
      </c>
      <c r="G97" s="558"/>
      <c r="H97" s="361" t="str">
        <f>CONCATENATE(IF(F97="N","PLACEHOLDER ROW - ",""),'C-Design&amp;Const'!Z97,IF(F97="N","",J97))</f>
        <v>PLACEHOLDER ROW - Ventilation - Refrigeration Systems **(verify existing system for renovations)</v>
      </c>
      <c r="I97" s="186"/>
      <c r="J97" s="609" t="str">
        <f>IF('C-Design&amp;Const'!AJ97="","",'C-Design&amp;Const'!AJ97)</f>
        <v/>
      </c>
      <c r="K97" s="285" t="str">
        <f t="shared" si="0"/>
        <v>no 95% match</v>
      </c>
      <c r="L97" s="1410" t="str">
        <f t="shared" si="1"/>
        <v>&lt;---PM/Planner may hide PLACEHOLDER ROW</v>
      </c>
      <c r="M97" s="1382"/>
      <c r="N97" s="1382"/>
      <c r="O97" s="1382"/>
      <c r="P97" s="1382"/>
      <c r="Q97" s="1382"/>
      <c r="R97" s="1490"/>
      <c r="S97" s="1274"/>
      <c r="T97" s="1274"/>
      <c r="U97" s="1382"/>
      <c r="V97" s="1382"/>
      <c r="W97" s="1382"/>
      <c r="X97" s="1382"/>
      <c r="Y97" s="1382"/>
      <c r="Z97" s="1382"/>
      <c r="AA97" s="1382"/>
      <c r="AB97" s="1382"/>
      <c r="AC97" s="1382"/>
      <c r="AD97" s="1382"/>
      <c r="AE97" s="1382"/>
      <c r="AF97" s="1382"/>
      <c r="AG97" s="1382"/>
      <c r="AH97" s="1382"/>
      <c r="AI97" s="1382"/>
      <c r="AJ97" s="1382"/>
      <c r="AK97" s="181"/>
      <c r="AL97" s="181"/>
      <c r="AM97" s="181"/>
      <c r="AN97" s="181"/>
      <c r="AO97" s="181"/>
      <c r="AP97" s="181"/>
      <c r="AQ97" s="181"/>
      <c r="AR97" s="181"/>
      <c r="AS97" s="181"/>
      <c r="AT97" s="181"/>
      <c r="AU97" s="181"/>
      <c r="AV97" s="181"/>
      <c r="AW97" s="181"/>
    </row>
    <row r="98" spans="1:49" s="30" customFormat="1" hidden="1" x14ac:dyDescent="0.25">
      <c r="A98" s="1407" t="str">
        <f>IF(COUNTIF('04 - 95% CD'!D98:G98,"Y")&gt;0,"Y",IF(COUNTIF('04 - 95% CD'!D98:G98,"N"),"N",""))</f>
        <v>Y</v>
      </c>
      <c r="B98" s="191"/>
      <c r="C98" s="944"/>
      <c r="D98" s="321"/>
      <c r="E98" s="466"/>
      <c r="F98" s="559" t="str">
        <f>IF('C-Design&amp;Const'!$S98="","",'C-Design&amp;Const'!$S98)</f>
        <v>N</v>
      </c>
      <c r="G98" s="558"/>
      <c r="H98" s="361" t="str">
        <f>CONCATENATE(IF(F98="N","PLACEHOLDER ROW - ",""),'C-Design&amp;Const'!Z98,IF(F98="N","",J98))</f>
        <v>PLACEHOLDER ROW - Ventilation - Chilled Water  **(verify existing system for renovations)</v>
      </c>
      <c r="I98" s="186"/>
      <c r="J98" s="609" t="str">
        <f>IF('C-Design&amp;Const'!AJ98="","",'C-Design&amp;Const'!AJ98)</f>
        <v/>
      </c>
      <c r="K98" s="285" t="str">
        <f t="shared" si="0"/>
        <v>no 95% match</v>
      </c>
      <c r="L98" s="1410" t="str">
        <f t="shared" si="1"/>
        <v>&lt;---PM/Planner may hide PLACEHOLDER ROW</v>
      </c>
      <c r="M98" s="1382"/>
      <c r="N98" s="1382"/>
      <c r="O98" s="1382"/>
      <c r="P98" s="1382"/>
      <c r="Q98" s="1382"/>
      <c r="R98" s="1490"/>
      <c r="S98" s="1274"/>
      <c r="T98" s="1274"/>
      <c r="U98" s="1382"/>
      <c r="V98" s="1382"/>
      <c r="W98" s="1382"/>
      <c r="X98" s="1382"/>
      <c r="Y98" s="1382"/>
      <c r="Z98" s="1382"/>
      <c r="AA98" s="1382"/>
      <c r="AB98" s="1382"/>
      <c r="AC98" s="1382"/>
      <c r="AD98" s="1382"/>
      <c r="AE98" s="1382"/>
      <c r="AF98" s="1382"/>
      <c r="AG98" s="1382"/>
      <c r="AH98" s="1382"/>
      <c r="AI98" s="1382"/>
      <c r="AJ98" s="1382"/>
      <c r="AK98" s="181"/>
      <c r="AL98" s="181"/>
      <c r="AM98" s="181"/>
      <c r="AN98" s="181"/>
      <c r="AO98" s="181"/>
      <c r="AP98" s="181"/>
      <c r="AQ98" s="181"/>
      <c r="AR98" s="181"/>
      <c r="AS98" s="181"/>
      <c r="AT98" s="181"/>
      <c r="AU98" s="181"/>
      <c r="AV98" s="181"/>
      <c r="AW98" s="181"/>
    </row>
    <row r="99" spans="1:49" s="30" customFormat="1" hidden="1" x14ac:dyDescent="0.25">
      <c r="A99" s="1407" t="str">
        <f>IF(COUNTIF('04 - 95% CD'!D99:G99,"Y")&gt;0,"Y",IF(COUNTIF('04 - 95% CD'!D99:G99,"N"),"N",""))</f>
        <v>N</v>
      </c>
      <c r="B99" s="191"/>
      <c r="C99" s="944"/>
      <c r="D99" s="321"/>
      <c r="E99" s="466"/>
      <c r="F99" s="559" t="str">
        <f>IF('C-Design&amp;Const'!$S99="","",'C-Design&amp;Const'!$S99)</f>
        <v>N</v>
      </c>
      <c r="G99" s="558"/>
      <c r="H99" s="1029" t="str">
        <f>CONCATENATE(IF(F99="N","PLACEHOLDER ROW - ",""),'C-Design&amp;Const'!Z99,IF(F99="N","",J99))</f>
        <v>PLACEHOLDER ROW - Ventilation - CUSTOM</v>
      </c>
      <c r="I99" s="186"/>
      <c r="J99" s="609" t="str">
        <f>IF('C-Design&amp;Const'!AJ99="","",'C-Design&amp;Const'!AJ99)</f>
        <v/>
      </c>
      <c r="K99" s="285" t="str">
        <f t="shared" si="0"/>
        <v>match</v>
      </c>
      <c r="L99" s="1410" t="str">
        <f t="shared" si="1"/>
        <v>&lt;---PM/Planner may hide PLACEHOLDER ROW</v>
      </c>
      <c r="M99" s="1382"/>
      <c r="N99" s="1382"/>
      <c r="O99" s="1382"/>
      <c r="P99" s="1382"/>
      <c r="Q99" s="1382"/>
      <c r="R99" s="1490"/>
      <c r="S99" s="1274"/>
      <c r="T99" s="1274"/>
      <c r="U99" s="1382"/>
      <c r="V99" s="1382"/>
      <c r="W99" s="1382"/>
      <c r="X99" s="1382"/>
      <c r="Y99" s="1382"/>
      <c r="Z99" s="1382"/>
      <c r="AA99" s="1382"/>
      <c r="AB99" s="1382"/>
      <c r="AC99" s="1382"/>
      <c r="AD99" s="1382"/>
      <c r="AE99" s="1382"/>
      <c r="AF99" s="1382"/>
      <c r="AG99" s="1382"/>
      <c r="AH99" s="1382"/>
      <c r="AI99" s="1382"/>
      <c r="AJ99" s="1382"/>
      <c r="AK99" s="181"/>
      <c r="AL99" s="181"/>
      <c r="AM99" s="181"/>
      <c r="AN99" s="181"/>
      <c r="AO99" s="181"/>
      <c r="AP99" s="181"/>
      <c r="AQ99" s="181"/>
      <c r="AR99" s="181"/>
      <c r="AS99" s="181"/>
      <c r="AT99" s="181"/>
      <c r="AU99" s="181"/>
      <c r="AV99" s="181"/>
      <c r="AW99" s="181"/>
    </row>
    <row r="100" spans="1:49" s="30" customFormat="1" hidden="1" x14ac:dyDescent="0.25">
      <c r="A100" s="1407" t="str">
        <f>IF(COUNTIF('04 - 95% CD'!D100:G100,"Y")&gt;0,"Y",IF(COUNTIF('04 - 95% CD'!D100:G100,"N"),"N",""))</f>
        <v>Y</v>
      </c>
      <c r="B100" s="191"/>
      <c r="C100" s="944"/>
      <c r="D100" s="321"/>
      <c r="E100" s="466"/>
      <c r="F100" s="559" t="str">
        <f>IF('C-Design&amp;Const'!$S100="","",'C-Design&amp;Const'!$S100)</f>
        <v>N</v>
      </c>
      <c r="G100" s="558"/>
      <c r="H100" s="1029" t="str">
        <f>CONCATENATE(IF(F100="N","PLACEHOLDER ROW - ",""),'C-Design&amp;Const'!Z100,IF(F100="N","",J100))</f>
        <v>PLACEHOLDER ROW - Electrical - General System(s) - **(verify existing system for renovations)</v>
      </c>
      <c r="I100" s="186"/>
      <c r="J100" s="609" t="str">
        <f>IF('C-Design&amp;Const'!AJ100="","",'C-Design&amp;Const'!AJ100)</f>
        <v/>
      </c>
      <c r="K100" s="285" t="str">
        <f t="shared" ref="K100:K173" si="8">IF((COUNTIF(D100:F100,"Y")=COUNTIF(A100,"Y")),"match","no 95% match")</f>
        <v>no 95% match</v>
      </c>
      <c r="L100" s="1410" t="str">
        <f t="shared" ref="L100:L173" si="9">CONCATENATE(IF(ISNUMBER(SEARCH("Placeholder",H100))=TRUE,"&lt;---PM/Planner may hide PLACEHOLDER ROW",""))</f>
        <v>&lt;---PM/Planner may hide PLACEHOLDER ROW</v>
      </c>
      <c r="M100" s="1382"/>
      <c r="N100" s="1382"/>
      <c r="O100" s="1382"/>
      <c r="P100" s="1382"/>
      <c r="Q100" s="1382"/>
      <c r="R100" s="1490"/>
      <c r="S100" s="1274"/>
      <c r="T100" s="1274"/>
      <c r="U100" s="1382"/>
      <c r="V100" s="1382"/>
      <c r="W100" s="1382"/>
      <c r="X100" s="1382"/>
      <c r="Y100" s="1382"/>
      <c r="Z100" s="1382"/>
      <c r="AA100" s="1382"/>
      <c r="AB100" s="1382"/>
      <c r="AC100" s="1382"/>
      <c r="AD100" s="1382"/>
      <c r="AE100" s="1382"/>
      <c r="AF100" s="1382"/>
      <c r="AG100" s="1382"/>
      <c r="AH100" s="1382"/>
      <c r="AI100" s="1382"/>
      <c r="AJ100" s="1382"/>
      <c r="AK100" s="181"/>
      <c r="AL100" s="181"/>
      <c r="AM100" s="181"/>
      <c r="AN100" s="181"/>
      <c r="AO100" s="181"/>
      <c r="AP100" s="181"/>
      <c r="AQ100" s="181"/>
      <c r="AR100" s="181"/>
      <c r="AS100" s="181"/>
      <c r="AT100" s="181"/>
      <c r="AU100" s="181"/>
      <c r="AV100" s="181"/>
      <c r="AW100" s="181"/>
    </row>
    <row r="101" spans="1:49" s="545" customFormat="1" hidden="1" x14ac:dyDescent="0.25">
      <c r="A101" s="1407" t="str">
        <f>IF(COUNTIF('04 - 95% CD'!D101:G101,"Y")&gt;0,"Y",IF(COUNTIF('04 - 95% CD'!D101:G101,"N"),"N",""))</f>
        <v>Y</v>
      </c>
      <c r="B101" s="554"/>
      <c r="C101" s="944"/>
      <c r="D101" s="321"/>
      <c r="E101" s="466"/>
      <c r="F101" s="559" t="str">
        <f>IF('C-Design&amp;Const'!$S101="","",'C-Design&amp;Const'!$S101)</f>
        <v>N</v>
      </c>
      <c r="G101" s="558"/>
      <c r="H101" s="1029" t="str">
        <f>CONCATENATE(IF(F101="N","PLACEHOLDER ROW - ",""),'C-Design&amp;Const'!Z101,IF(F101="N","",J101))</f>
        <v>PLACEHOLDER ROW - Electrical - Demolition(s)</v>
      </c>
      <c r="I101" s="186"/>
      <c r="J101" s="609" t="str">
        <f>IF('C-Design&amp;Const'!AJ101="","",'C-Design&amp;Const'!AJ101)</f>
        <v/>
      </c>
      <c r="K101" s="285" t="str">
        <f t="shared" si="8"/>
        <v>no 95% match</v>
      </c>
      <c r="L101" s="1410" t="str">
        <f t="shared" si="9"/>
        <v>&lt;---PM/Planner may hide PLACEHOLDER ROW</v>
      </c>
      <c r="M101" s="1382"/>
      <c r="N101" s="1382"/>
      <c r="O101" s="1382"/>
      <c r="P101" s="1382"/>
      <c r="Q101" s="1382"/>
      <c r="R101" s="1490"/>
      <c r="S101" s="1274"/>
      <c r="T101" s="1274"/>
      <c r="U101" s="1382"/>
      <c r="V101" s="1382"/>
      <c r="W101" s="1382"/>
      <c r="X101" s="1382"/>
      <c r="Y101" s="1382"/>
      <c r="Z101" s="1382"/>
      <c r="AA101" s="1382"/>
      <c r="AB101" s="1382"/>
      <c r="AC101" s="1382"/>
      <c r="AD101" s="1382"/>
      <c r="AE101" s="1382"/>
      <c r="AF101" s="1382"/>
      <c r="AG101" s="1382"/>
      <c r="AH101" s="1382"/>
      <c r="AI101" s="1382"/>
      <c r="AJ101" s="1382"/>
      <c r="AK101" s="551"/>
      <c r="AL101" s="551"/>
      <c r="AM101" s="551"/>
      <c r="AN101" s="551"/>
      <c r="AO101" s="551"/>
      <c r="AP101" s="551"/>
      <c r="AQ101" s="551"/>
      <c r="AR101" s="551"/>
      <c r="AS101" s="551"/>
      <c r="AT101" s="551"/>
      <c r="AU101" s="551"/>
      <c r="AV101" s="551"/>
      <c r="AW101" s="551"/>
    </row>
    <row r="102" spans="1:49" s="30" customFormat="1" hidden="1" x14ac:dyDescent="0.25">
      <c r="A102" s="1407" t="str">
        <f>IF(COUNTIF('04 - 95% CD'!D102:G102,"Y")&gt;0,"Y",IF(COUNTIF('04 - 95% CD'!D102:G102,"N"),"N",""))</f>
        <v>Y</v>
      </c>
      <c r="B102" s="191"/>
      <c r="C102" s="944"/>
      <c r="D102" s="321"/>
      <c r="E102" s="466"/>
      <c r="F102" s="559" t="str">
        <f>IF('C-Design&amp;Const'!$S102="","",'C-Design&amp;Const'!$S102)</f>
        <v>N</v>
      </c>
      <c r="G102" s="558"/>
      <c r="H102" s="1029" t="str">
        <f>CONCATENATE(IF(F102="N","PLACEHOLDER ROW - ",""),'C-Design&amp;Const'!Z102,IF(F102="N","",J102))</f>
        <v>PLACEHOLDER ROW - Electrical - Lighting **(verify existing system for renovations)</v>
      </c>
      <c r="I102" s="186"/>
      <c r="J102" s="609" t="str">
        <f>IF('C-Design&amp;Const'!AJ102="","",'C-Design&amp;Const'!AJ102)</f>
        <v/>
      </c>
      <c r="K102" s="285" t="str">
        <f t="shared" si="8"/>
        <v>no 95% match</v>
      </c>
      <c r="L102" s="1410" t="str">
        <f t="shared" si="9"/>
        <v>&lt;---PM/Planner may hide PLACEHOLDER ROW</v>
      </c>
      <c r="M102" s="1382"/>
      <c r="N102" s="1382"/>
      <c r="O102" s="1382"/>
      <c r="P102" s="1382"/>
      <c r="Q102" s="1382"/>
      <c r="R102" s="1490"/>
      <c r="S102" s="1274"/>
      <c r="T102" s="1274"/>
      <c r="U102" s="1382"/>
      <c r="V102" s="1382"/>
      <c r="W102" s="1382"/>
      <c r="X102" s="1382"/>
      <c r="Y102" s="1382"/>
      <c r="Z102" s="1382"/>
      <c r="AA102" s="1382"/>
      <c r="AB102" s="1382"/>
      <c r="AC102" s="1382"/>
      <c r="AD102" s="1382"/>
      <c r="AE102" s="1382"/>
      <c r="AF102" s="1382"/>
      <c r="AG102" s="1382"/>
      <c r="AH102" s="1382"/>
      <c r="AI102" s="1382"/>
      <c r="AJ102" s="1382"/>
      <c r="AK102" s="181"/>
      <c r="AL102" s="181"/>
      <c r="AM102" s="181"/>
      <c r="AN102" s="181"/>
      <c r="AO102" s="181"/>
      <c r="AP102" s="181"/>
      <c r="AQ102" s="181"/>
      <c r="AR102" s="181"/>
      <c r="AS102" s="181"/>
      <c r="AT102" s="181"/>
      <c r="AU102" s="181"/>
      <c r="AV102" s="181"/>
      <c r="AW102" s="181"/>
    </row>
    <row r="103" spans="1:49" s="30" customFormat="1" hidden="1" x14ac:dyDescent="0.25">
      <c r="A103" s="1407" t="str">
        <f>IF(COUNTIF('04 - 95% CD'!D103:G103,"Y")&gt;0,"Y",IF(COUNTIF('04 - 95% CD'!D103:G103,"N"),"N",""))</f>
        <v>Y</v>
      </c>
      <c r="B103" s="191"/>
      <c r="C103" s="944"/>
      <c r="D103" s="321"/>
      <c r="E103" s="466"/>
      <c r="F103" s="559" t="str">
        <f>IF('C-Design&amp;Const'!$S103="","",'C-Design&amp;Const'!$S103)</f>
        <v>N</v>
      </c>
      <c r="G103" s="558"/>
      <c r="H103" s="1029" t="str">
        <f>CONCATENATE(IF(F103="N","PLACEHOLDER ROW - ",""),'C-Design&amp;Const'!Z103,IF(F103="N","",J103))</f>
        <v>PLACEHOLDER ROW - Electrical - Elevators **(verify existing system for renovations)</v>
      </c>
      <c r="I103" s="186"/>
      <c r="J103" s="609" t="str">
        <f>IF('C-Design&amp;Const'!AJ103="","",'C-Design&amp;Const'!AJ103)</f>
        <v/>
      </c>
      <c r="K103" s="285" t="str">
        <f t="shared" si="8"/>
        <v>no 95% match</v>
      </c>
      <c r="L103" s="1410" t="str">
        <f t="shared" si="9"/>
        <v>&lt;---PM/Planner may hide PLACEHOLDER ROW</v>
      </c>
      <c r="M103" s="1382"/>
      <c r="N103" s="1382"/>
      <c r="O103" s="1382"/>
      <c r="P103" s="1382"/>
      <c r="Q103" s="1382"/>
      <c r="R103" s="1490"/>
      <c r="S103" s="1274"/>
      <c r="T103" s="1274"/>
      <c r="U103" s="1382"/>
      <c r="V103" s="1382"/>
      <c r="W103" s="1382"/>
      <c r="X103" s="1382"/>
      <c r="Y103" s="1382"/>
      <c r="Z103" s="1382"/>
      <c r="AA103" s="1382"/>
      <c r="AB103" s="1382"/>
      <c r="AC103" s="1382"/>
      <c r="AD103" s="1382"/>
      <c r="AE103" s="1382"/>
      <c r="AF103" s="1382"/>
      <c r="AG103" s="1382"/>
      <c r="AH103" s="1382"/>
      <c r="AI103" s="1382"/>
      <c r="AJ103" s="1382"/>
      <c r="AK103" s="181"/>
      <c r="AL103" s="181"/>
      <c r="AM103" s="181"/>
      <c r="AN103" s="181"/>
      <c r="AO103" s="181"/>
      <c r="AP103" s="181"/>
      <c r="AQ103" s="181"/>
      <c r="AR103" s="181"/>
      <c r="AS103" s="181"/>
      <c r="AT103" s="181"/>
      <c r="AU103" s="181"/>
      <c r="AV103" s="181"/>
      <c r="AW103" s="181"/>
    </row>
    <row r="104" spans="1:49" s="30" customFormat="1" ht="28.5" hidden="1" x14ac:dyDescent="0.25">
      <c r="A104" s="1407" t="str">
        <f>IF(COUNTIF('04 - 95% CD'!D104:G104,"Y")&gt;0,"Y",IF(COUNTIF('04 - 95% CD'!D104:G104,"N"),"N",""))</f>
        <v>Y</v>
      </c>
      <c r="B104" s="191"/>
      <c r="C104" s="944"/>
      <c r="D104" s="321"/>
      <c r="E104" s="466"/>
      <c r="F104" s="559" t="str">
        <f>IF('C-Design&amp;Const'!$S104="","",'C-Design&amp;Const'!$S104)</f>
        <v>N</v>
      </c>
      <c r="G104" s="558"/>
      <c r="H104" s="1029" t="str">
        <f>CONCATENATE(IF(F104="N","PLACEHOLDER ROW - ",""),'C-Design&amp;Const'!Z104,IF(F104="N","",J104))</f>
        <v>PLACEHOLDER ROW - Electrical - Lightning Protection System(s) **(verify existing system for renovations)</v>
      </c>
      <c r="I104" s="186"/>
      <c r="J104" s="609" t="str">
        <f>IF('C-Design&amp;Const'!AJ104="","",'C-Design&amp;Const'!AJ104)</f>
        <v/>
      </c>
      <c r="K104" s="285" t="str">
        <f t="shared" si="8"/>
        <v>no 95% match</v>
      </c>
      <c r="L104" s="1410" t="str">
        <f t="shared" si="9"/>
        <v>&lt;---PM/Planner may hide PLACEHOLDER ROW</v>
      </c>
      <c r="M104" s="1382"/>
      <c r="N104" s="1382"/>
      <c r="O104" s="1382"/>
      <c r="P104" s="1382"/>
      <c r="Q104" s="1382"/>
      <c r="R104" s="1490"/>
      <c r="S104" s="1274"/>
      <c r="T104" s="1274"/>
      <c r="U104" s="1382"/>
      <c r="V104" s="1382"/>
      <c r="W104" s="1382"/>
      <c r="X104" s="1382"/>
      <c r="Y104" s="1382"/>
      <c r="Z104" s="1382"/>
      <c r="AA104" s="1382"/>
      <c r="AB104" s="1382"/>
      <c r="AC104" s="1382"/>
      <c r="AD104" s="1382"/>
      <c r="AE104" s="1382"/>
      <c r="AF104" s="1382"/>
      <c r="AG104" s="1382"/>
      <c r="AH104" s="1382"/>
      <c r="AI104" s="1382"/>
      <c r="AJ104" s="1382"/>
      <c r="AK104" s="181"/>
      <c r="AL104" s="181"/>
      <c r="AM104" s="181"/>
      <c r="AN104" s="181"/>
      <c r="AO104" s="181"/>
      <c r="AP104" s="181"/>
      <c r="AQ104" s="181"/>
      <c r="AR104" s="181"/>
      <c r="AS104" s="181"/>
      <c r="AT104" s="181"/>
      <c r="AU104" s="181"/>
      <c r="AV104" s="181"/>
      <c r="AW104" s="181"/>
    </row>
    <row r="105" spans="1:49" s="30" customFormat="1" hidden="1" x14ac:dyDescent="0.25">
      <c r="A105" s="1407" t="str">
        <f>IF(COUNTIF('04 - 95% CD'!D105:G105,"Y")&gt;0,"Y",IF(COUNTIF('04 - 95% CD'!D105:G105,"N"),"N",""))</f>
        <v>Y</v>
      </c>
      <c r="B105" s="191"/>
      <c r="C105" s="944"/>
      <c r="D105" s="321"/>
      <c r="E105" s="466"/>
      <c r="F105" s="559" t="str">
        <f>IF('C-Design&amp;Const'!$S105="","",'C-Design&amp;Const'!$S105)</f>
        <v>N</v>
      </c>
      <c r="G105" s="558"/>
      <c r="H105" s="361" t="str">
        <f>CONCATENATE(IF(F105="N","PLACEHOLDER ROW - ",""),'C-Design&amp;Const'!Z105,IF(F105="N","",J105))</f>
        <v>PLACEHOLDER ROW - Electrical - Fire Alarm System(s) **(verify existing system for renovations)</v>
      </c>
      <c r="I105" s="186"/>
      <c r="J105" s="609" t="str">
        <f>IF('C-Design&amp;Const'!AJ105="","",'C-Design&amp;Const'!AJ105)</f>
        <v/>
      </c>
      <c r="K105" s="285" t="str">
        <f t="shared" si="8"/>
        <v>no 95% match</v>
      </c>
      <c r="L105" s="1410" t="str">
        <f t="shared" si="9"/>
        <v>&lt;---PM/Planner may hide PLACEHOLDER ROW</v>
      </c>
      <c r="M105" s="1382"/>
      <c r="N105" s="1382"/>
      <c r="O105" s="1382"/>
      <c r="P105" s="1382"/>
      <c r="Q105" s="1382"/>
      <c r="R105" s="1490"/>
      <c r="S105" s="1274"/>
      <c r="T105" s="1274"/>
      <c r="U105" s="1382"/>
      <c r="V105" s="1382"/>
      <c r="W105" s="1382"/>
      <c r="X105" s="1382"/>
      <c r="Y105" s="1382"/>
      <c r="Z105" s="1382"/>
      <c r="AA105" s="1382"/>
      <c r="AB105" s="1382"/>
      <c r="AC105" s="1382"/>
      <c r="AD105" s="1382"/>
      <c r="AE105" s="1382"/>
      <c r="AF105" s="1382"/>
      <c r="AG105" s="1382"/>
      <c r="AH105" s="1382"/>
      <c r="AI105" s="1382"/>
      <c r="AJ105" s="1382"/>
      <c r="AK105" s="181"/>
      <c r="AL105" s="181"/>
      <c r="AM105" s="181"/>
      <c r="AN105" s="181"/>
      <c r="AO105" s="181"/>
      <c r="AP105" s="181"/>
      <c r="AQ105" s="181"/>
      <c r="AR105" s="181"/>
      <c r="AS105" s="181"/>
      <c r="AT105" s="181"/>
      <c r="AU105" s="181"/>
      <c r="AV105" s="181"/>
      <c r="AW105" s="181"/>
    </row>
    <row r="106" spans="1:49" s="30" customFormat="1" ht="24.75" hidden="1" customHeight="1" x14ac:dyDescent="0.25">
      <c r="A106" s="1407" t="str">
        <f>IF(COUNTIF('04 - 95% CD'!D106:G106,"Y")&gt;0,"Y",IF(COUNTIF('04 - 95% CD'!D106:G106,"N"),"N",""))</f>
        <v>Y</v>
      </c>
      <c r="B106" s="191"/>
      <c r="C106" s="944"/>
      <c r="D106" s="321"/>
      <c r="E106" s="466"/>
      <c r="F106" s="559" t="str">
        <f>IF('C-Design&amp;Const'!$S106="","",'C-Design&amp;Const'!$S106)</f>
        <v>N</v>
      </c>
      <c r="G106" s="558"/>
      <c r="H106" s="361" t="str">
        <f>CONCATENATE(IF(F106="N","PLACEHOLDER ROW - ",""),'C-Design&amp;Const'!Z106,IF(F106="N","",J106))</f>
        <v>PLACEHOLDER ROW - Electrical - Emergency Generator systems to support **(verify existing systems for renovations)</v>
      </c>
      <c r="I106" s="186"/>
      <c r="J106" s="609" t="str">
        <f>IF('C-Design&amp;Const'!AJ106="","",'C-Design&amp;Const'!AJ106)</f>
        <v/>
      </c>
      <c r="K106" s="285" t="str">
        <f t="shared" si="8"/>
        <v>no 95% match</v>
      </c>
      <c r="L106" s="1410" t="str">
        <f t="shared" si="9"/>
        <v>&lt;---PM/Planner may hide PLACEHOLDER ROW</v>
      </c>
      <c r="M106" s="1382"/>
      <c r="N106" s="1382"/>
      <c r="O106" s="1382"/>
      <c r="P106" s="1382"/>
      <c r="Q106" s="1382"/>
      <c r="R106" s="1490"/>
      <c r="S106" s="1274"/>
      <c r="T106" s="1274"/>
      <c r="U106" s="1382"/>
      <c r="V106" s="1382"/>
      <c r="W106" s="1382"/>
      <c r="X106" s="1382"/>
      <c r="Y106" s="1382"/>
      <c r="Z106" s="1382"/>
      <c r="AA106" s="1382"/>
      <c r="AB106" s="1382"/>
      <c r="AC106" s="1382"/>
      <c r="AD106" s="1382"/>
      <c r="AE106" s="1382"/>
      <c r="AF106" s="1382"/>
      <c r="AG106" s="1382"/>
      <c r="AH106" s="1382"/>
      <c r="AI106" s="1382"/>
      <c r="AJ106" s="1382"/>
      <c r="AK106" s="181"/>
      <c r="AL106" s="181"/>
      <c r="AM106" s="181"/>
      <c r="AN106" s="181"/>
      <c r="AO106" s="181"/>
      <c r="AP106" s="181"/>
      <c r="AQ106" s="181"/>
      <c r="AR106" s="181"/>
      <c r="AS106" s="181"/>
      <c r="AT106" s="181"/>
      <c r="AU106" s="181"/>
      <c r="AV106" s="181"/>
      <c r="AW106" s="181"/>
    </row>
    <row r="107" spans="1:49" s="30" customFormat="1" hidden="1" x14ac:dyDescent="0.25">
      <c r="A107" s="1407" t="str">
        <f>IF(COUNTIF('04 - 95% CD'!D107:G107,"Y")&gt;0,"Y",IF(COUNTIF('04 - 95% CD'!D107:G107,"N"),"N",""))</f>
        <v>N</v>
      </c>
      <c r="B107" s="191"/>
      <c r="C107" s="944"/>
      <c r="D107" s="321"/>
      <c r="E107" s="466"/>
      <c r="F107" s="559" t="str">
        <f>IF('C-Design&amp;Const'!$S107="","",'C-Design&amp;Const'!$S107)</f>
        <v>N</v>
      </c>
      <c r="G107" s="558"/>
      <c r="H107" s="361" t="str">
        <f>CONCATENATE(IF(F107="N","PLACEHOLDER ROW - ",""),'C-Design&amp;Const'!Z107,IF(F107="N","",J107))</f>
        <v>PLACEHOLDER ROW - Electrical - Cut Sheets or Product Sheets on Lighting fixtures</v>
      </c>
      <c r="I107" s="186"/>
      <c r="J107" s="609" t="str">
        <f>IF('C-Design&amp;Const'!AJ107="","",'C-Design&amp;Const'!AJ107)</f>
        <v/>
      </c>
      <c r="K107" s="285" t="str">
        <f t="shared" si="8"/>
        <v>match</v>
      </c>
      <c r="L107" s="1410" t="str">
        <f t="shared" si="9"/>
        <v>&lt;---PM/Planner may hide PLACEHOLDER ROW</v>
      </c>
      <c r="M107" s="1382"/>
      <c r="N107" s="1382"/>
      <c r="O107" s="1382"/>
      <c r="P107" s="1382"/>
      <c r="Q107" s="1382"/>
      <c r="R107" s="1490"/>
      <c r="S107" s="1274"/>
      <c r="T107" s="1274"/>
      <c r="U107" s="1382"/>
      <c r="V107" s="1382"/>
      <c r="W107" s="1382"/>
      <c r="X107" s="1382"/>
      <c r="Y107" s="1382"/>
      <c r="Z107" s="1382"/>
      <c r="AA107" s="1382"/>
      <c r="AB107" s="1382"/>
      <c r="AC107" s="1382"/>
      <c r="AD107" s="1382"/>
      <c r="AE107" s="1382"/>
      <c r="AF107" s="1382"/>
      <c r="AG107" s="1382"/>
      <c r="AH107" s="1382"/>
      <c r="AI107" s="1382"/>
      <c r="AJ107" s="1382"/>
      <c r="AK107" s="181"/>
      <c r="AL107" s="181"/>
      <c r="AM107" s="181"/>
      <c r="AN107" s="181"/>
      <c r="AO107" s="181"/>
      <c r="AP107" s="181"/>
      <c r="AQ107" s="181"/>
      <c r="AR107" s="181"/>
      <c r="AS107" s="181"/>
      <c r="AT107" s="181"/>
      <c r="AU107" s="181"/>
      <c r="AV107" s="181"/>
      <c r="AW107" s="181"/>
    </row>
    <row r="108" spans="1:49" s="30" customFormat="1" hidden="1" x14ac:dyDescent="0.25">
      <c r="A108" s="1407" t="str">
        <f>IF(COUNTIF('04 - 95% CD'!D108:G108,"Y")&gt;0,"Y",IF(COUNTIF('04 - 95% CD'!D108:G108,"N"),"N",""))</f>
        <v>N</v>
      </c>
      <c r="B108" s="191"/>
      <c r="C108" s="944"/>
      <c r="D108" s="321"/>
      <c r="E108" s="466"/>
      <c r="F108" s="559" t="str">
        <f>IF('C-Design&amp;Const'!$S108="","",'C-Design&amp;Const'!$S108)</f>
        <v>N</v>
      </c>
      <c r="G108" s="558"/>
      <c r="H108" s="1029" t="str">
        <f>CONCATENATE(IF(F108="N","PLACEHOLDER ROW - ",""),'C-Design&amp;Const'!Z108,IF(F108="N","",J108))</f>
        <v>PLACEHOLDER ROW - Electrical - CUSTOM</v>
      </c>
      <c r="I108" s="186"/>
      <c r="J108" s="609" t="str">
        <f>IF('C-Design&amp;Const'!AJ108="","",'C-Design&amp;Const'!AJ108)</f>
        <v/>
      </c>
      <c r="K108" s="285" t="str">
        <f t="shared" si="8"/>
        <v>match</v>
      </c>
      <c r="L108" s="1410" t="str">
        <f t="shared" si="9"/>
        <v>&lt;---PM/Planner may hide PLACEHOLDER ROW</v>
      </c>
      <c r="M108" s="1382"/>
      <c r="N108" s="1382"/>
      <c r="O108" s="1382"/>
      <c r="P108" s="1382"/>
      <c r="Q108" s="1382"/>
      <c r="R108" s="1490"/>
      <c r="S108" s="1274"/>
      <c r="T108" s="1274"/>
      <c r="U108" s="1382"/>
      <c r="V108" s="1382"/>
      <c r="W108" s="1382"/>
      <c r="X108" s="1382"/>
      <c r="Y108" s="1382"/>
      <c r="Z108" s="1382"/>
      <c r="AA108" s="1382"/>
      <c r="AB108" s="1382"/>
      <c r="AC108" s="1382"/>
      <c r="AD108" s="1382"/>
      <c r="AE108" s="1382"/>
      <c r="AF108" s="1382"/>
      <c r="AG108" s="1382"/>
      <c r="AH108" s="1382"/>
      <c r="AI108" s="1382"/>
      <c r="AJ108" s="1382"/>
      <c r="AK108" s="181"/>
      <c r="AL108" s="181"/>
      <c r="AM108" s="181"/>
      <c r="AN108" s="181"/>
      <c r="AO108" s="181"/>
      <c r="AP108" s="181"/>
      <c r="AQ108" s="181"/>
      <c r="AR108" s="181"/>
      <c r="AS108" s="181"/>
      <c r="AT108" s="181"/>
      <c r="AU108" s="181"/>
      <c r="AV108" s="181"/>
      <c r="AW108" s="181"/>
    </row>
    <row r="109" spans="1:49" s="30" customFormat="1" ht="27" hidden="1" customHeight="1" x14ac:dyDescent="0.25">
      <c r="A109" s="1407" t="str">
        <f>IF(COUNTIF('04 - 95% CD'!D109:G109,"Y")&gt;0,"Y",IF(COUNTIF('04 - 95% CD'!D109:G109,"N"),"N",""))</f>
        <v>Y</v>
      </c>
      <c r="B109" s="191"/>
      <c r="C109" s="944"/>
      <c r="D109" s="321"/>
      <c r="E109" s="466"/>
      <c r="F109" s="559" t="str">
        <f>IF('C-Design&amp;Const'!$S109="","",'C-Design&amp;Const'!$S109)</f>
        <v>N</v>
      </c>
      <c r="G109" s="558"/>
      <c r="H109" s="1029" t="str">
        <f>CONCATENATE(IF(F109="N","PLACEHOLDER ROW - ",""),'C-Design&amp;Const'!Z109,IF(F109="N","",J109))</f>
        <v>PLACEHOLDER ROW - Building Automation Systems- General - **(verify existing system for renovations)</v>
      </c>
      <c r="I109" s="186"/>
      <c r="J109" s="609" t="str">
        <f>IF('C-Design&amp;Const'!AJ109="","",'C-Design&amp;Const'!AJ109)</f>
        <v/>
      </c>
      <c r="K109" s="285" t="str">
        <f>IF((COUNTIF(D109:F109,"Y")=COUNTIF(A109,"Y")),"match","no 95% match")</f>
        <v>no 95% match</v>
      </c>
      <c r="L109" s="1410" t="str">
        <f>CONCATENATE(IF(ISNUMBER(SEARCH("Placeholder",H109))=TRUE,"&lt;---PM/Planner may hide PLACEHOLDER ROW",""))</f>
        <v>&lt;---PM/Planner may hide PLACEHOLDER ROW</v>
      </c>
      <c r="M109" s="1382"/>
      <c r="N109" s="1382"/>
      <c r="O109" s="1382"/>
      <c r="P109" s="1382"/>
      <c r="Q109" s="1382"/>
      <c r="R109" s="1490"/>
      <c r="S109" s="1274"/>
      <c r="T109" s="1274"/>
      <c r="U109" s="1382"/>
      <c r="V109" s="1382"/>
      <c r="W109" s="1382"/>
      <c r="X109" s="1382"/>
      <c r="Y109" s="1382"/>
      <c r="Z109" s="1382"/>
      <c r="AA109" s="1382"/>
      <c r="AB109" s="1382"/>
      <c r="AC109" s="1382"/>
      <c r="AD109" s="1382"/>
      <c r="AE109" s="1382"/>
      <c r="AF109" s="1382"/>
      <c r="AG109" s="1382"/>
      <c r="AH109" s="1382"/>
      <c r="AI109" s="1382"/>
      <c r="AJ109" s="1382"/>
      <c r="AK109" s="181"/>
      <c r="AL109" s="181"/>
      <c r="AM109" s="181"/>
      <c r="AN109" s="181"/>
      <c r="AO109" s="181"/>
      <c r="AP109" s="181"/>
      <c r="AQ109" s="181"/>
      <c r="AR109" s="181"/>
      <c r="AS109" s="181"/>
      <c r="AT109" s="181"/>
      <c r="AU109" s="181"/>
      <c r="AV109" s="181"/>
      <c r="AW109" s="181"/>
    </row>
    <row r="110" spans="1:49" s="545" customFormat="1" hidden="1" x14ac:dyDescent="0.25">
      <c r="A110" s="1407" t="str">
        <f>IF(COUNTIF('04 - 95% CD'!D110:G110,"Y")&gt;0,"Y",IF(COUNTIF('04 - 95% CD'!D110:G110,"N"),"N",""))</f>
        <v>Y</v>
      </c>
      <c r="B110" s="554"/>
      <c r="C110" s="944"/>
      <c r="D110" s="321"/>
      <c r="E110" s="466"/>
      <c r="F110" s="559" t="str">
        <f>IF('C-Design&amp;Const'!$S110="","",'C-Design&amp;Const'!$S110)</f>
        <v>N</v>
      </c>
      <c r="G110" s="558"/>
      <c r="H110" s="1029" t="str">
        <f>CONCATENATE(IF(F110="N","PLACEHOLDER ROW - ",""),'C-Design&amp;Const'!Z110,IF(F110="N","",J110))</f>
        <v>PLACEHOLDER ROW - Building Automation Systems - Demolition(s)</v>
      </c>
      <c r="I110" s="186"/>
      <c r="J110" s="609" t="str">
        <f>IF('C-Design&amp;Const'!AJ110="","",'C-Design&amp;Const'!AJ110)</f>
        <v/>
      </c>
      <c r="K110" s="285" t="str">
        <f t="shared" ref="K110" si="10">IF((COUNTIF(D110:F110,"Y")=COUNTIF(A110,"Y")),"match","no 95% match")</f>
        <v>no 95% match</v>
      </c>
      <c r="L110" s="1410" t="str">
        <f t="shared" ref="L110" si="11">CONCATENATE(IF(ISNUMBER(SEARCH("Placeholder",H110))=TRUE,"&lt;---PM/Planner may hide PLACEHOLDER ROW",""))</f>
        <v>&lt;---PM/Planner may hide PLACEHOLDER ROW</v>
      </c>
      <c r="M110" s="1382"/>
      <c r="N110" s="1382"/>
      <c r="O110" s="1382"/>
      <c r="P110" s="1382"/>
      <c r="Q110" s="1382"/>
      <c r="R110" s="1490"/>
      <c r="S110" s="1274"/>
      <c r="T110" s="1274"/>
      <c r="U110" s="1382"/>
      <c r="V110" s="1382"/>
      <c r="W110" s="1382"/>
      <c r="X110" s="1382"/>
      <c r="Y110" s="1382"/>
      <c r="Z110" s="1382"/>
      <c r="AA110" s="1382"/>
      <c r="AB110" s="1382"/>
      <c r="AC110" s="1382"/>
      <c r="AD110" s="1382"/>
      <c r="AE110" s="1382"/>
      <c r="AF110" s="1382"/>
      <c r="AG110" s="1382"/>
      <c r="AH110" s="1382"/>
      <c r="AI110" s="1382"/>
      <c r="AJ110" s="1382"/>
      <c r="AK110" s="551"/>
      <c r="AL110" s="551"/>
      <c r="AM110" s="551"/>
      <c r="AN110" s="551"/>
      <c r="AO110" s="551"/>
      <c r="AP110" s="551"/>
      <c r="AQ110" s="551"/>
      <c r="AR110" s="551"/>
      <c r="AS110" s="551"/>
      <c r="AT110" s="551"/>
      <c r="AU110" s="551"/>
      <c r="AV110" s="551"/>
      <c r="AW110" s="551"/>
    </row>
    <row r="111" spans="1:49" s="30" customFormat="1" hidden="1" x14ac:dyDescent="0.25">
      <c r="A111" s="1407" t="str">
        <f>IF(COUNTIF('04 - 95% CD'!D111:G111,"Y")&gt;0,"Y",IF(COUNTIF('04 - 95% CD'!D111:G111,"N"),"N",""))</f>
        <v>Y</v>
      </c>
      <c r="B111" s="191"/>
      <c r="C111" s="944"/>
      <c r="D111" s="321"/>
      <c r="E111" s="466"/>
      <c r="F111" s="559" t="str">
        <f>IF('C-Design&amp;Const'!$S111="","",'C-Design&amp;Const'!$S111)</f>
        <v>N</v>
      </c>
      <c r="G111" s="558"/>
      <c r="H111" s="1029" t="str">
        <f>CONCATENATE(IF(F111="N","PLACEHOLDER ROW - ",""),'C-Design&amp;Const'!Z111,IF(F111="N","",J111))</f>
        <v>PLACEHOLDER ROW - Building Automation Systems - Systems Network Architecture</v>
      </c>
      <c r="I111" s="186"/>
      <c r="J111" s="609" t="str">
        <f>IF('C-Design&amp;Const'!AJ111="","",'C-Design&amp;Const'!AJ111)</f>
        <v/>
      </c>
      <c r="K111" s="285" t="str">
        <f>IF((COUNTIF(D111:F111,"Y")=COUNTIF(A111,"Y")),"match","no 95% match")</f>
        <v>no 95% match</v>
      </c>
      <c r="L111" s="1410" t="str">
        <f>CONCATENATE(IF(ISNUMBER(SEARCH("Placeholder",H111))=TRUE,"&lt;---PM/Planner may hide PLACEHOLDER ROW",""))</f>
        <v>&lt;---PM/Planner may hide PLACEHOLDER ROW</v>
      </c>
      <c r="M111" s="1382"/>
      <c r="N111" s="1382"/>
      <c r="O111" s="1382"/>
      <c r="P111" s="1382"/>
      <c r="Q111" s="1382"/>
      <c r="R111" s="1490"/>
      <c r="S111" s="1274"/>
      <c r="T111" s="1274"/>
      <c r="U111" s="1382"/>
      <c r="V111" s="1382"/>
      <c r="W111" s="1382"/>
      <c r="X111" s="1382"/>
      <c r="Y111" s="1382"/>
      <c r="Z111" s="1382"/>
      <c r="AA111" s="1382"/>
      <c r="AB111" s="1382"/>
      <c r="AC111" s="1382"/>
      <c r="AD111" s="1382"/>
      <c r="AE111" s="1382"/>
      <c r="AF111" s="1382"/>
      <c r="AG111" s="1382"/>
      <c r="AH111" s="1382"/>
      <c r="AI111" s="1382"/>
      <c r="AJ111" s="1382"/>
      <c r="AK111" s="181"/>
      <c r="AL111" s="181"/>
      <c r="AM111" s="181"/>
      <c r="AN111" s="181"/>
      <c r="AO111" s="181"/>
      <c r="AP111" s="181"/>
      <c r="AQ111" s="181"/>
      <c r="AR111" s="181"/>
      <c r="AS111" s="181"/>
      <c r="AT111" s="181"/>
      <c r="AU111" s="181"/>
      <c r="AV111" s="181"/>
      <c r="AW111" s="181"/>
    </row>
    <row r="112" spans="1:49" s="30" customFormat="1" hidden="1" x14ac:dyDescent="0.25">
      <c r="A112" s="1407" t="str">
        <f>IF(COUNTIF('04 - 95% CD'!D112:G112,"Y")&gt;0,"Y",IF(COUNTIF('04 - 95% CD'!D112:G112,"N"),"N",""))</f>
        <v>Y</v>
      </c>
      <c r="B112" s="191"/>
      <c r="C112" s="944"/>
      <c r="D112" s="321"/>
      <c r="E112" s="466"/>
      <c r="F112" s="559" t="str">
        <f>IF('C-Design&amp;Const'!$S112="","",'C-Design&amp;Const'!$S112)</f>
        <v>N</v>
      </c>
      <c r="G112" s="558"/>
      <c r="H112" s="361" t="str">
        <f>CONCATENATE(IF(F112="N","PLACEHOLDER ROW - ",""),'C-Design&amp;Const'!Z112,IF(F112="N","",J112))</f>
        <v>PLACEHOLDER ROW - Building Automation Systems - HVAC Temperature Controls System(s)</v>
      </c>
      <c r="I112" s="186"/>
      <c r="J112" s="609" t="str">
        <f>IF('C-Design&amp;Const'!AJ112="","",'C-Design&amp;Const'!AJ112)</f>
        <v/>
      </c>
      <c r="K112" s="285" t="str">
        <f>IF((COUNTIF(D112:F112,"Y")=COUNTIF(A112,"Y")),"match","no 95% match")</f>
        <v>no 95% match</v>
      </c>
      <c r="L112" s="1410" t="str">
        <f>CONCATENATE(IF(ISNUMBER(SEARCH("Placeholder",H112))=TRUE,"&lt;---PM/Planner may hide PLACEHOLDER ROW",""))</f>
        <v>&lt;---PM/Planner may hide PLACEHOLDER ROW</v>
      </c>
      <c r="M112" s="1382"/>
      <c r="N112" s="1382"/>
      <c r="O112" s="1382"/>
      <c r="P112" s="1382"/>
      <c r="Q112" s="1382"/>
      <c r="R112" s="1490"/>
      <c r="S112" s="1274"/>
      <c r="T112" s="1274"/>
      <c r="U112" s="1382"/>
      <c r="V112" s="1382"/>
      <c r="W112" s="1382"/>
      <c r="X112" s="1382"/>
      <c r="Y112" s="1382"/>
      <c r="Z112" s="1382"/>
      <c r="AA112" s="1382"/>
      <c r="AB112" s="1382"/>
      <c r="AC112" s="1382"/>
      <c r="AD112" s="1382"/>
      <c r="AE112" s="1382"/>
      <c r="AF112" s="1382"/>
      <c r="AG112" s="1382"/>
      <c r="AH112" s="1382"/>
      <c r="AI112" s="1382"/>
      <c r="AJ112" s="1382"/>
      <c r="AK112" s="181"/>
      <c r="AL112" s="181"/>
      <c r="AM112" s="181"/>
      <c r="AN112" s="181"/>
      <c r="AO112" s="181"/>
      <c r="AP112" s="181"/>
      <c r="AQ112" s="181"/>
      <c r="AR112" s="181"/>
      <c r="AS112" s="181"/>
      <c r="AT112" s="181"/>
      <c r="AU112" s="181"/>
      <c r="AV112" s="181"/>
      <c r="AW112" s="181"/>
    </row>
    <row r="113" spans="1:50" s="30" customFormat="1" ht="15" hidden="1" customHeight="1" x14ac:dyDescent="0.2">
      <c r="A113" s="1407" t="str">
        <f>IF(COUNTIF('04 - 95% CD'!D113:G113,"Y")&gt;0,"Y",IF(COUNTIF('04 - 95% CD'!D113:G113,"N"),"N",""))</f>
        <v>N</v>
      </c>
      <c r="B113" s="191"/>
      <c r="C113" s="944"/>
      <c r="D113" s="463"/>
      <c r="E113" s="467"/>
      <c r="F113" s="468" t="str">
        <f>IF('C-Design&amp;Const'!$S113="","",'C-Design&amp;Const'!$S113)</f>
        <v>N</v>
      </c>
      <c r="G113" s="291"/>
      <c r="H113" s="1029" t="str">
        <f>CONCATENATE(IF(F113="N","PLACEHOLDER ROW - ",""),'C-Design&amp;Const'!Z113,IF(F113="N","",J113))</f>
        <v>PLACEHOLDER ROW - Building Automation Systems - CUSTOM</v>
      </c>
      <c r="I113" s="184"/>
      <c r="J113" s="609" t="str">
        <f>IF('C-Design&amp;Const'!AJ113="","",'C-Design&amp;Const'!AJ113)</f>
        <v/>
      </c>
      <c r="K113" s="285" t="str">
        <f>IF((COUNTIF(D113:F113,"Y")=COUNTIF(A113,"Y")),"match","no 95% match")</f>
        <v>match</v>
      </c>
      <c r="L113" s="1410" t="str">
        <f>CONCATENATE(IF(ISNUMBER(SEARCH("Placeholder",H113))=TRUE,"&lt;---PM/Planner may hide PLACEHOLDER ROW",""))</f>
        <v>&lt;---PM/Planner may hide PLACEHOLDER ROW</v>
      </c>
      <c r="M113" s="1382"/>
      <c r="N113" s="1382"/>
      <c r="O113" s="1382"/>
      <c r="P113" s="1382"/>
      <c r="Q113" s="1382"/>
      <c r="R113" s="1382"/>
      <c r="S113" s="1382"/>
      <c r="T113" s="1382"/>
      <c r="U113" s="1382"/>
      <c r="V113" s="1382"/>
      <c r="W113" s="1382"/>
      <c r="X113" s="1382"/>
      <c r="Y113" s="1382"/>
      <c r="Z113" s="1382"/>
      <c r="AA113" s="1382"/>
      <c r="AB113" s="1382"/>
      <c r="AC113" s="1382"/>
      <c r="AD113" s="1382"/>
      <c r="AE113" s="1382"/>
      <c r="AF113" s="1382"/>
      <c r="AG113" s="1382"/>
      <c r="AH113" s="1382"/>
      <c r="AI113" s="1382"/>
      <c r="AJ113" s="1382"/>
      <c r="AK113" s="181"/>
      <c r="AL113" s="181"/>
      <c r="AM113" s="181"/>
      <c r="AN113" s="181"/>
      <c r="AO113" s="181"/>
      <c r="AP113" s="181"/>
      <c r="AQ113" s="181"/>
      <c r="AR113" s="181"/>
      <c r="AS113" s="181"/>
      <c r="AT113" s="181"/>
      <c r="AU113" s="181"/>
      <c r="AV113" s="181"/>
      <c r="AW113" s="181"/>
    </row>
    <row r="114" spans="1:50" s="30" customFormat="1" ht="15" hidden="1" customHeight="1" x14ac:dyDescent="0.2">
      <c r="A114" s="1407" t="str">
        <f>IF(COUNTIF('04 - 95% CD'!D114:G114,"Y")&gt;0,"Y",IF(COUNTIF('04 - 95% CD'!D114:G114,"N"),"N",""))</f>
        <v>Y</v>
      </c>
      <c r="B114" s="191"/>
      <c r="C114" s="944"/>
      <c r="D114" s="463"/>
      <c r="E114" s="467"/>
      <c r="F114" s="468" t="str">
        <f>IF('C-Design&amp;Const'!$S114="","",'C-Design&amp;Const'!$S114)</f>
        <v>N</v>
      </c>
      <c r="G114" s="291"/>
      <c r="H114" s="361" t="str">
        <f>CONCATENATE(IF(F114="N","PLACEHOLDER ROW - ",""),'C-Design&amp;Const'!Z114,IF(F114="N","",J114))</f>
        <v>PLACEHOLDER ROW - Access Controls - General Systems</v>
      </c>
      <c r="I114" s="184"/>
      <c r="J114" s="609" t="str">
        <f>IF('C-Design&amp;Const'!AJ114="","",'C-Design&amp;Const'!AJ114)</f>
        <v/>
      </c>
      <c r="K114" s="285" t="str">
        <f>IF((COUNTIF(D114:F114,"Y")=COUNTIF(A114,"Y")),"match","no 95% match")</f>
        <v>no 95% match</v>
      </c>
      <c r="L114" s="1410" t="str">
        <f>CONCATENATE(IF(ISNUMBER(SEARCH("Placeholder",H114))=TRUE,"&lt;---PM/Planner may hide PLACEHOLDER ROW",""))</f>
        <v>&lt;---PM/Planner may hide PLACEHOLDER ROW</v>
      </c>
      <c r="M114" s="1382"/>
      <c r="N114" s="1382"/>
      <c r="O114" s="1382"/>
      <c r="P114" s="1382"/>
      <c r="Q114" s="1382"/>
      <c r="R114" s="1382"/>
      <c r="S114" s="1382"/>
      <c r="T114" s="1382"/>
      <c r="U114" s="1382"/>
      <c r="V114" s="1382"/>
      <c r="W114" s="1382"/>
      <c r="X114" s="1382"/>
      <c r="Y114" s="1382"/>
      <c r="Z114" s="1382"/>
      <c r="AA114" s="1382"/>
      <c r="AB114" s="1382"/>
      <c r="AC114" s="1382"/>
      <c r="AD114" s="1382"/>
      <c r="AE114" s="1382"/>
      <c r="AF114" s="1382"/>
      <c r="AG114" s="1382"/>
      <c r="AH114" s="1382"/>
      <c r="AI114" s="1382"/>
      <c r="AJ114" s="1382"/>
      <c r="AK114" s="181"/>
      <c r="AL114" s="181"/>
      <c r="AM114" s="181"/>
      <c r="AN114" s="181"/>
      <c r="AO114" s="181"/>
      <c r="AP114" s="181"/>
      <c r="AQ114" s="181"/>
      <c r="AR114" s="181"/>
      <c r="AS114" s="181"/>
      <c r="AT114" s="181"/>
      <c r="AU114" s="181"/>
      <c r="AV114" s="181"/>
      <c r="AW114" s="181"/>
    </row>
    <row r="115" spans="1:50" s="545" customFormat="1" hidden="1" x14ac:dyDescent="0.25">
      <c r="A115" s="1407" t="str">
        <f>IF(COUNTIF('04 - 95% CD'!D115:G115,"Y")&gt;0,"Y",IF(COUNTIF('04 - 95% CD'!D115:G115,"N"),"N",""))</f>
        <v>Y</v>
      </c>
      <c r="B115" s="554"/>
      <c r="C115" s="944"/>
      <c r="D115" s="321"/>
      <c r="E115" s="466"/>
      <c r="F115" s="559" t="str">
        <f>IF('C-Design&amp;Const'!$S115="","",'C-Design&amp;Const'!$S115)</f>
        <v>N</v>
      </c>
      <c r="G115" s="558"/>
      <c r="H115" s="1029" t="str">
        <f>CONCATENATE(IF(F115="N","PLACEHOLDER ROW - ",""),'C-Design&amp;Const'!Z115,IF(F115="N","",J115))</f>
        <v>PLACEHOLDER ROW - Access Controls - Demolition(s)</v>
      </c>
      <c r="I115" s="186"/>
      <c r="J115" s="609" t="str">
        <f>IF('C-Design&amp;Const'!AJ115="","",'C-Design&amp;Const'!AJ115)</f>
        <v/>
      </c>
      <c r="K115" s="285" t="str">
        <f t="shared" ref="K115" si="12">IF((COUNTIF(D115:F115,"Y")=COUNTIF(A115,"Y")),"match","no 95% match")</f>
        <v>no 95% match</v>
      </c>
      <c r="L115" s="1410" t="str">
        <f t="shared" ref="L115" si="13">CONCATENATE(IF(ISNUMBER(SEARCH("Placeholder",H115))=TRUE,"&lt;---PM/Planner may hide PLACEHOLDER ROW",""))</f>
        <v>&lt;---PM/Planner may hide PLACEHOLDER ROW</v>
      </c>
      <c r="M115" s="1382"/>
      <c r="N115" s="1382"/>
      <c r="O115" s="1382"/>
      <c r="P115" s="1382"/>
      <c r="Q115" s="1382"/>
      <c r="R115" s="1490"/>
      <c r="S115" s="1274"/>
      <c r="T115" s="1274"/>
      <c r="U115" s="1382"/>
      <c r="V115" s="1382"/>
      <c r="W115" s="1382"/>
      <c r="X115" s="1382"/>
      <c r="Y115" s="1382"/>
      <c r="Z115" s="1382"/>
      <c r="AA115" s="1382"/>
      <c r="AB115" s="1382"/>
      <c r="AC115" s="1382"/>
      <c r="AD115" s="1382"/>
      <c r="AE115" s="1382"/>
      <c r="AF115" s="1382"/>
      <c r="AG115" s="1382"/>
      <c r="AH115" s="1382"/>
      <c r="AI115" s="1382"/>
      <c r="AJ115" s="1382"/>
      <c r="AK115" s="551"/>
      <c r="AL115" s="551"/>
      <c r="AM115" s="551"/>
      <c r="AN115" s="551"/>
      <c r="AO115" s="551"/>
      <c r="AP115" s="551"/>
      <c r="AQ115" s="551"/>
      <c r="AR115" s="551"/>
      <c r="AS115" s="551"/>
      <c r="AT115" s="551"/>
      <c r="AU115" s="551"/>
      <c r="AV115" s="551"/>
      <c r="AW115" s="551"/>
    </row>
    <row r="116" spans="1:50" s="30" customFormat="1" hidden="1" x14ac:dyDescent="0.25">
      <c r="A116" s="1407" t="str">
        <f>IF(COUNTIF('04 - 95% CD'!D116:G116,"Y")&gt;0,"Y",IF(COUNTIF('04 - 95% CD'!D116:G116,"N"),"N",""))</f>
        <v>N</v>
      </c>
      <c r="B116" s="191"/>
      <c r="C116" s="944"/>
      <c r="D116" s="321"/>
      <c r="E116" s="466"/>
      <c r="F116" s="559" t="str">
        <f>IF('C-Design&amp;Const'!$S116="","",'C-Design&amp;Const'!$S116)</f>
        <v>N</v>
      </c>
      <c r="G116" s="558"/>
      <c r="H116" s="361" t="str">
        <f>CONCATENATE(IF(F116="N","PLACEHOLDER ROW - ",""),'C-Design&amp;Const'!Z116,IF(F116="N","",J116))</f>
        <v>PLACEHOLDER ROW - Access Controls - CUSTOM</v>
      </c>
      <c r="I116" s="186"/>
      <c r="J116" s="609" t="str">
        <f>IF('C-Design&amp;Const'!AJ116="","",'C-Design&amp;Const'!AJ116)</f>
        <v/>
      </c>
      <c r="K116" s="285" t="str">
        <f t="shared" si="8"/>
        <v>match</v>
      </c>
      <c r="L116" s="1410" t="str">
        <f t="shared" si="9"/>
        <v>&lt;---PM/Planner may hide PLACEHOLDER ROW</v>
      </c>
      <c r="M116" s="1382"/>
      <c r="N116" s="1382"/>
      <c r="O116" s="1382"/>
      <c r="P116" s="1382"/>
      <c r="Q116" s="1382"/>
      <c r="R116" s="1490"/>
      <c r="S116" s="1274"/>
      <c r="T116" s="1274"/>
      <c r="U116" s="1382"/>
      <c r="V116" s="1382"/>
      <c r="W116" s="1382"/>
      <c r="X116" s="1382"/>
      <c r="Y116" s="1382"/>
      <c r="Z116" s="1382"/>
      <c r="AA116" s="1382"/>
      <c r="AB116" s="1382"/>
      <c r="AC116" s="1382"/>
      <c r="AD116" s="1382"/>
      <c r="AE116" s="1382"/>
      <c r="AF116" s="1382"/>
      <c r="AG116" s="1382"/>
      <c r="AH116" s="1382"/>
      <c r="AI116" s="1382"/>
      <c r="AJ116" s="1382"/>
      <c r="AK116" s="181"/>
      <c r="AL116" s="181"/>
      <c r="AM116" s="181"/>
      <c r="AN116" s="181"/>
      <c r="AO116" s="181"/>
      <c r="AP116" s="181"/>
      <c r="AQ116" s="181"/>
      <c r="AR116" s="181"/>
      <c r="AS116" s="181"/>
      <c r="AT116" s="181"/>
      <c r="AU116" s="181"/>
      <c r="AV116" s="181"/>
      <c r="AW116" s="181"/>
    </row>
    <row r="117" spans="1:50" s="30" customFormat="1" hidden="1" x14ac:dyDescent="0.25">
      <c r="A117" s="1407" t="str">
        <f>IF(COUNTIF('04 - 95% CD'!D117:G117,"Y")&gt;0,"Y",IF(COUNTIF('04 - 95% CD'!D117:G117,"N"),"N",""))</f>
        <v>Y</v>
      </c>
      <c r="B117" s="191"/>
      <c r="C117" s="944"/>
      <c r="D117" s="321"/>
      <c r="E117" s="466"/>
      <c r="F117" s="559" t="str">
        <f>IF('C-Design&amp;Const'!$S117="","",'C-Design&amp;Const'!$S117)</f>
        <v>N</v>
      </c>
      <c r="G117" s="558"/>
      <c r="H117" s="1029" t="str">
        <f>CONCATENATE(IF(F117="N","PLACEHOLDER ROW - ",""),'C-Design&amp;Const'!Z117,IF(F117="N","",J117))</f>
        <v xml:space="preserve">PLACEHOLDER ROW - Telecom - General Systems </v>
      </c>
      <c r="I117" s="186"/>
      <c r="J117" s="609" t="str">
        <f>IF('C-Design&amp;Const'!AJ117="","",'C-Design&amp;Const'!AJ117)</f>
        <v/>
      </c>
      <c r="K117" s="285" t="str">
        <f t="shared" si="8"/>
        <v>no 95% match</v>
      </c>
      <c r="L117" s="1410" t="str">
        <f t="shared" si="9"/>
        <v>&lt;---PM/Planner may hide PLACEHOLDER ROW</v>
      </c>
      <c r="M117" s="1382"/>
      <c r="N117" s="1382"/>
      <c r="O117" s="1382"/>
      <c r="P117" s="1382"/>
      <c r="Q117" s="1382"/>
      <c r="R117" s="1490"/>
      <c r="S117" s="1274"/>
      <c r="T117" s="1274"/>
      <c r="U117" s="1382"/>
      <c r="V117" s="1382"/>
      <c r="W117" s="1382"/>
      <c r="X117" s="1382"/>
      <c r="Y117" s="1382"/>
      <c r="Z117" s="1382"/>
      <c r="AA117" s="1382"/>
      <c r="AB117" s="1382"/>
      <c r="AC117" s="1382"/>
      <c r="AD117" s="1382"/>
      <c r="AE117" s="1382"/>
      <c r="AF117" s="1382"/>
      <c r="AG117" s="1382"/>
      <c r="AH117" s="1382"/>
      <c r="AI117" s="1382"/>
      <c r="AJ117" s="1382"/>
      <c r="AK117" s="181"/>
      <c r="AL117" s="181"/>
      <c r="AM117" s="181"/>
      <c r="AN117" s="181"/>
      <c r="AO117" s="181"/>
      <c r="AP117" s="181"/>
      <c r="AQ117" s="181"/>
      <c r="AR117" s="181"/>
      <c r="AS117" s="181"/>
      <c r="AT117" s="181"/>
      <c r="AU117" s="181"/>
      <c r="AV117" s="181"/>
      <c r="AW117" s="181"/>
    </row>
    <row r="118" spans="1:50" s="545" customFormat="1" hidden="1" x14ac:dyDescent="0.25">
      <c r="A118" s="1407" t="str">
        <f>IF(COUNTIF('04 - 95% CD'!D118:G118,"Y")&gt;0,"Y",IF(COUNTIF('04 - 95% CD'!D118:G118,"N"),"N",""))</f>
        <v>Y</v>
      </c>
      <c r="B118" s="554"/>
      <c r="C118" s="944"/>
      <c r="D118" s="321"/>
      <c r="E118" s="466"/>
      <c r="F118" s="559" t="str">
        <f>IF('C-Design&amp;Const'!$S118="","",'C-Design&amp;Const'!$S118)</f>
        <v>N</v>
      </c>
      <c r="G118" s="558"/>
      <c r="H118" s="1029" t="str">
        <f>CONCATENATE(IF(F118="N","PLACEHOLDER ROW - ",""),'C-Design&amp;Const'!Z118,IF(F118="N","",J118))</f>
        <v>PLACEHOLDER ROW - Telecom - Demolition(s)</v>
      </c>
      <c r="I118" s="186"/>
      <c r="J118" s="609" t="str">
        <f>IF('C-Design&amp;Const'!AJ118="","",'C-Design&amp;Const'!AJ118)</f>
        <v/>
      </c>
      <c r="K118" s="285" t="str">
        <f t="shared" si="8"/>
        <v>no 95% match</v>
      </c>
      <c r="L118" s="1410" t="str">
        <f t="shared" si="9"/>
        <v>&lt;---PM/Planner may hide PLACEHOLDER ROW</v>
      </c>
      <c r="M118" s="1382"/>
      <c r="N118" s="1382"/>
      <c r="O118" s="1382"/>
      <c r="P118" s="1382"/>
      <c r="Q118" s="1382"/>
      <c r="R118" s="1490"/>
      <c r="S118" s="1274"/>
      <c r="T118" s="1274"/>
      <c r="U118" s="1382"/>
      <c r="V118" s="1382"/>
      <c r="W118" s="1382"/>
      <c r="X118" s="1382"/>
      <c r="Y118" s="1382"/>
      <c r="Z118" s="1382"/>
      <c r="AA118" s="1382"/>
      <c r="AB118" s="1382"/>
      <c r="AC118" s="1382"/>
      <c r="AD118" s="1382"/>
      <c r="AE118" s="1382"/>
      <c r="AF118" s="1382"/>
      <c r="AG118" s="1382"/>
      <c r="AH118" s="1382"/>
      <c r="AI118" s="1382"/>
      <c r="AJ118" s="1382"/>
      <c r="AK118" s="551"/>
      <c r="AL118" s="551"/>
      <c r="AM118" s="551"/>
      <c r="AN118" s="551"/>
      <c r="AO118" s="551"/>
      <c r="AP118" s="551"/>
      <c r="AQ118" s="551"/>
      <c r="AR118" s="551"/>
      <c r="AS118" s="551"/>
      <c r="AT118" s="551"/>
      <c r="AU118" s="551"/>
      <c r="AV118" s="551"/>
      <c r="AW118" s="551"/>
    </row>
    <row r="119" spans="1:50" s="30" customFormat="1" hidden="1" x14ac:dyDescent="0.25">
      <c r="A119" s="1407" t="str">
        <f>IF(COUNTIF('04 - 95% CD'!D119:G119,"Y")&gt;0,"Y",IF(COUNTIF('04 - 95% CD'!D119:G119,"N"),"N",""))</f>
        <v>N</v>
      </c>
      <c r="B119" s="191"/>
      <c r="C119" s="944"/>
      <c r="D119" s="321"/>
      <c r="E119" s="466"/>
      <c r="F119" s="559" t="str">
        <f>IF('C-Design&amp;Const'!$S119="","",'C-Design&amp;Const'!$S119)</f>
        <v>N</v>
      </c>
      <c r="G119" s="558"/>
      <c r="H119" s="361" t="str">
        <f>CONCATENATE(IF(F119="N","PLACEHOLDER ROW - ",""),'C-Design&amp;Const'!Z119,IF(F119="N","",J119))</f>
        <v>PLACEHOLDER ROW - Telecom - CUSTOM</v>
      </c>
      <c r="I119" s="186"/>
      <c r="J119" s="609" t="str">
        <f>IF('C-Design&amp;Const'!AJ119="","",'C-Design&amp;Const'!AJ119)</f>
        <v/>
      </c>
      <c r="K119" s="285" t="str">
        <f t="shared" si="8"/>
        <v>match</v>
      </c>
      <c r="L119" s="1410" t="str">
        <f t="shared" si="9"/>
        <v>&lt;---PM/Planner may hide PLACEHOLDER ROW</v>
      </c>
      <c r="M119" s="1382"/>
      <c r="N119" s="1382"/>
      <c r="O119" s="1382"/>
      <c r="P119" s="1382"/>
      <c r="Q119" s="1382"/>
      <c r="R119" s="1490"/>
      <c r="S119" s="1274"/>
      <c r="T119" s="1274"/>
      <c r="U119" s="1382"/>
      <c r="V119" s="1382"/>
      <c r="W119" s="1382"/>
      <c r="X119" s="1382"/>
      <c r="Y119" s="1382"/>
      <c r="Z119" s="1382"/>
      <c r="AA119" s="1382"/>
      <c r="AB119" s="1382"/>
      <c r="AC119" s="1382"/>
      <c r="AD119" s="1382"/>
      <c r="AE119" s="1382"/>
      <c r="AF119" s="1382"/>
      <c r="AG119" s="1382"/>
      <c r="AH119" s="1382"/>
      <c r="AI119" s="1382"/>
      <c r="AJ119" s="1382"/>
      <c r="AK119" s="181"/>
      <c r="AL119" s="181"/>
      <c r="AM119" s="181"/>
      <c r="AN119" s="181"/>
      <c r="AO119" s="181"/>
      <c r="AP119" s="181"/>
      <c r="AQ119" s="181"/>
      <c r="AR119" s="181"/>
      <c r="AS119" s="181"/>
      <c r="AT119" s="181"/>
      <c r="AU119" s="181"/>
      <c r="AV119" s="181"/>
      <c r="AW119" s="181"/>
    </row>
    <row r="120" spans="1:50" s="30" customFormat="1" hidden="1" x14ac:dyDescent="0.25">
      <c r="A120" s="1407" t="str">
        <f>IF(COUNTIF('04 - 95% CD'!D120:G120,"Y")&gt;0,"Y",IF(COUNTIF('04 - 95% CD'!D120:G120,"N"),"N",""))</f>
        <v>Y</v>
      </c>
      <c r="B120" s="191"/>
      <c r="C120" s="944"/>
      <c r="D120" s="321"/>
      <c r="E120" s="466"/>
      <c r="F120" s="559" t="str">
        <f>IF('C-Design&amp;Const'!$S120="","",'C-Design&amp;Const'!$S120)</f>
        <v>N</v>
      </c>
      <c r="G120" s="558"/>
      <c r="H120" s="1029" t="str">
        <f>CONCATENATE(IF(F120="N","PLACEHOLDER ROW - ",""),'C-Design&amp;Const'!Z120,IF(F120="N","",J120))</f>
        <v>PLACEHOLDER ROW - Audio Visual - General Systems</v>
      </c>
      <c r="I120" s="186"/>
      <c r="J120" s="609" t="str">
        <f>IF('C-Design&amp;Const'!AJ120="","",'C-Design&amp;Const'!AJ120)</f>
        <v/>
      </c>
      <c r="K120" s="285" t="str">
        <f t="shared" si="8"/>
        <v>no 95% match</v>
      </c>
      <c r="L120" s="1410" t="str">
        <f t="shared" si="9"/>
        <v>&lt;---PM/Planner may hide PLACEHOLDER ROW</v>
      </c>
      <c r="M120" s="1382"/>
      <c r="N120" s="1382"/>
      <c r="O120" s="1382"/>
      <c r="P120" s="1382"/>
      <c r="Q120" s="1382"/>
      <c r="R120" s="1490"/>
      <c r="S120" s="1274"/>
      <c r="T120" s="1274"/>
      <c r="U120" s="1382"/>
      <c r="V120" s="1382"/>
      <c r="W120" s="1382"/>
      <c r="X120" s="1382"/>
      <c r="Y120" s="1382"/>
      <c r="Z120" s="1382"/>
      <c r="AA120" s="1382"/>
      <c r="AB120" s="1382"/>
      <c r="AC120" s="1382"/>
      <c r="AD120" s="1382"/>
      <c r="AE120" s="1382"/>
      <c r="AF120" s="1382"/>
      <c r="AG120" s="1382"/>
      <c r="AH120" s="1382"/>
      <c r="AI120" s="1382"/>
      <c r="AJ120" s="1382"/>
      <c r="AK120" s="181"/>
      <c r="AL120" s="181"/>
      <c r="AM120" s="181"/>
      <c r="AN120" s="181"/>
      <c r="AO120" s="181"/>
      <c r="AP120" s="181"/>
      <c r="AQ120" s="181"/>
      <c r="AR120" s="181"/>
      <c r="AS120" s="181"/>
      <c r="AT120" s="181"/>
      <c r="AU120" s="181"/>
      <c r="AV120" s="181"/>
      <c r="AW120" s="181"/>
    </row>
    <row r="121" spans="1:50" s="545" customFormat="1" hidden="1" x14ac:dyDescent="0.25">
      <c r="A121" s="1407" t="str">
        <f>IF(COUNTIF('04 - 95% CD'!D121:G121,"Y")&gt;0,"Y",IF(COUNTIF('04 - 95% CD'!D121:G121,"N"),"N",""))</f>
        <v>Y</v>
      </c>
      <c r="B121" s="554"/>
      <c r="C121" s="944"/>
      <c r="D121" s="321"/>
      <c r="E121" s="466"/>
      <c r="F121" s="559" t="str">
        <f>IF('C-Design&amp;Const'!$S121="","",'C-Design&amp;Const'!$S121)</f>
        <v>N</v>
      </c>
      <c r="G121" s="558"/>
      <c r="H121" s="1029" t="str">
        <f>CONCATENATE(IF(F121="N","PLACEHOLDER ROW - ",""),'C-Design&amp;Const'!Z121,IF(F121="N","",J121))</f>
        <v>PLACEHOLDER ROW - Audio Visual - Demolition(s)</v>
      </c>
      <c r="I121" s="186"/>
      <c r="J121" s="609" t="str">
        <f>IF('C-Design&amp;Const'!AJ121="","",'C-Design&amp;Const'!AJ121)</f>
        <v/>
      </c>
      <c r="K121" s="285" t="str">
        <f t="shared" ref="K121" si="14">IF((COUNTIF(D121:F121,"Y")=COUNTIF(A121,"Y")),"match","no 95% match")</f>
        <v>no 95% match</v>
      </c>
      <c r="L121" s="1410" t="str">
        <f t="shared" ref="L121" si="15">CONCATENATE(IF(ISNUMBER(SEARCH("Placeholder",H121))=TRUE,"&lt;---PM/Planner may hide PLACEHOLDER ROW",""))</f>
        <v>&lt;---PM/Planner may hide PLACEHOLDER ROW</v>
      </c>
      <c r="M121" s="1382"/>
      <c r="N121" s="1382"/>
      <c r="O121" s="1382"/>
      <c r="P121" s="1382"/>
      <c r="Q121" s="1382"/>
      <c r="R121" s="1490"/>
      <c r="S121" s="1274"/>
      <c r="T121" s="1274"/>
      <c r="U121" s="1382"/>
      <c r="V121" s="1382"/>
      <c r="W121" s="1382"/>
      <c r="X121" s="1382"/>
      <c r="Y121" s="1382"/>
      <c r="Z121" s="1382"/>
      <c r="AA121" s="1382"/>
      <c r="AB121" s="1382"/>
      <c r="AC121" s="1382"/>
      <c r="AD121" s="1382"/>
      <c r="AE121" s="1382"/>
      <c r="AF121" s="1382"/>
      <c r="AG121" s="1382"/>
      <c r="AH121" s="1382"/>
      <c r="AI121" s="1382"/>
      <c r="AJ121" s="1382"/>
      <c r="AK121" s="551"/>
      <c r="AL121" s="551"/>
      <c r="AM121" s="551"/>
      <c r="AN121" s="551"/>
      <c r="AO121" s="551"/>
      <c r="AP121" s="551"/>
      <c r="AQ121" s="551"/>
      <c r="AR121" s="551"/>
      <c r="AS121" s="551"/>
      <c r="AT121" s="551"/>
      <c r="AU121" s="551"/>
      <c r="AV121" s="551"/>
      <c r="AW121" s="551"/>
    </row>
    <row r="122" spans="1:50" s="30" customFormat="1" ht="15" hidden="1" customHeight="1" x14ac:dyDescent="0.2">
      <c r="A122" s="1407" t="str">
        <f>IF(COUNTIF('04 - 95% CD'!D122:G122,"Y")&gt;0,"Y",IF(COUNTIF('04 - 95% CD'!D122:G122,"N"),"N",""))</f>
        <v>N</v>
      </c>
      <c r="B122" s="191"/>
      <c r="C122" s="944"/>
      <c r="D122" s="463"/>
      <c r="E122" s="467"/>
      <c r="F122" s="468" t="str">
        <f>IF('C-Design&amp;Const'!$S122="","",'C-Design&amp;Const'!$S122)</f>
        <v>N</v>
      </c>
      <c r="G122" s="291"/>
      <c r="H122" s="361" t="str">
        <f>CONCATENATE(IF(F122="N","PLACEHOLDER ROW - ",""),'C-Design&amp;Const'!Z122,IF(F122="N","",J122))</f>
        <v>PLACEHOLDER ROW - Audio Visual - CUSTOM</v>
      </c>
      <c r="I122" s="184"/>
      <c r="J122" s="609" t="str">
        <f>IF('C-Design&amp;Const'!AJ122="","",'C-Design&amp;Const'!AJ122)</f>
        <v/>
      </c>
      <c r="K122" s="285" t="str">
        <f t="shared" si="8"/>
        <v>match</v>
      </c>
      <c r="L122" s="1410" t="str">
        <f t="shared" si="9"/>
        <v>&lt;---PM/Planner may hide PLACEHOLDER ROW</v>
      </c>
      <c r="M122" s="1382"/>
      <c r="N122" s="1382"/>
      <c r="O122" s="1382"/>
      <c r="P122" s="1382"/>
      <c r="Q122" s="1382"/>
      <c r="R122" s="1382"/>
      <c r="S122" s="1382"/>
      <c r="T122" s="1382"/>
      <c r="U122" s="1382"/>
      <c r="V122" s="1382"/>
      <c r="W122" s="1382"/>
      <c r="X122" s="1382"/>
      <c r="Y122" s="1382"/>
      <c r="Z122" s="1382"/>
      <c r="AA122" s="1382"/>
      <c r="AB122" s="1382"/>
      <c r="AC122" s="1382"/>
      <c r="AD122" s="1382"/>
      <c r="AE122" s="1382"/>
      <c r="AF122" s="1382"/>
      <c r="AG122" s="1382"/>
      <c r="AH122" s="1382"/>
      <c r="AI122" s="1382"/>
      <c r="AJ122" s="1382"/>
      <c r="AK122" s="181"/>
      <c r="AL122" s="181"/>
      <c r="AM122" s="181"/>
      <c r="AN122" s="181"/>
      <c r="AO122" s="181"/>
      <c r="AP122" s="181"/>
      <c r="AQ122" s="181"/>
      <c r="AR122" s="181"/>
      <c r="AS122" s="181"/>
      <c r="AT122" s="181"/>
      <c r="AU122" s="181"/>
      <c r="AV122" s="181"/>
      <c r="AW122" s="181"/>
    </row>
    <row r="123" spans="1:50" s="30" customFormat="1" ht="15" hidden="1" customHeight="1" x14ac:dyDescent="0.2">
      <c r="A123" s="1407" t="str">
        <f>IF(COUNTIF('04 - 95% CD'!D123:G123,"Y")&gt;0,"Y",IF(COUNTIF('04 - 95% CD'!D123:G123,"N"),"N",""))</f>
        <v>N</v>
      </c>
      <c r="B123" s="191"/>
      <c r="C123" s="944"/>
      <c r="D123" s="463"/>
      <c r="E123" s="467"/>
      <c r="F123" s="468" t="str">
        <f>IF('C-Design&amp;Const'!$S123="","",'C-Design&amp;Const'!$S123)</f>
        <v>N</v>
      </c>
      <c r="G123" s="291"/>
      <c r="H123" s="361" t="str">
        <f>CONCATENATE(IF(F123="N","PLACEHOLDER ROW - ",""),'C-Design&amp;Const'!Z123,IF(F123="N","",J123))</f>
        <v>PLACEHOLDER ROW - CUSTOM ROW - OPTIONAL CLIENT ITEM</v>
      </c>
      <c r="I123" s="184"/>
      <c r="J123" s="609" t="str">
        <f>IF('C-Design&amp;Const'!AJ123="","",'C-Design&amp;Const'!AJ123)</f>
        <v/>
      </c>
      <c r="K123" s="285" t="str">
        <f t="shared" si="8"/>
        <v>match</v>
      </c>
      <c r="L123" s="1410" t="str">
        <f t="shared" si="9"/>
        <v>&lt;---PM/Planner may hide PLACEHOLDER ROW</v>
      </c>
      <c r="M123" s="1382"/>
      <c r="N123" s="1382"/>
      <c r="O123" s="1382"/>
      <c r="P123" s="1382"/>
      <c r="Q123" s="1382"/>
      <c r="R123" s="1382"/>
      <c r="S123" s="1382"/>
      <c r="T123" s="1382"/>
      <c r="U123" s="1382"/>
      <c r="V123" s="1382"/>
      <c r="W123" s="1382"/>
      <c r="X123" s="1382"/>
      <c r="Y123" s="1382"/>
      <c r="Z123" s="1382"/>
      <c r="AA123" s="1382"/>
      <c r="AB123" s="1382"/>
      <c r="AC123" s="1382"/>
      <c r="AD123" s="1382"/>
      <c r="AE123" s="1382"/>
      <c r="AF123" s="1382"/>
      <c r="AG123" s="1382"/>
      <c r="AH123" s="1382"/>
      <c r="AI123" s="1382"/>
      <c r="AJ123" s="1382"/>
      <c r="AK123" s="181"/>
      <c r="AL123" s="181"/>
      <c r="AM123" s="181"/>
      <c r="AN123" s="181"/>
      <c r="AO123" s="181"/>
      <c r="AP123" s="181"/>
      <c r="AQ123" s="181"/>
      <c r="AR123" s="181"/>
      <c r="AS123" s="181"/>
      <c r="AT123" s="181"/>
      <c r="AU123" s="181"/>
      <c r="AV123" s="181"/>
      <c r="AW123" s="181"/>
    </row>
    <row r="124" spans="1:50" s="30" customFormat="1" ht="15" hidden="1" customHeight="1" x14ac:dyDescent="0.2">
      <c r="A124" s="1407" t="str">
        <f>IF(COUNTIF('04 - 95% CD'!D124:G124,"Y")&gt;0,"Y",IF(COUNTIF('04 - 95% CD'!D124:G124,"N"),"N",""))</f>
        <v>N</v>
      </c>
      <c r="B124" s="191"/>
      <c r="C124" s="944"/>
      <c r="D124" s="463"/>
      <c r="E124" s="467"/>
      <c r="F124" s="468" t="str">
        <f>IF('C-Design&amp;Const'!$S124="","",'C-Design&amp;Const'!$S124)</f>
        <v>N</v>
      </c>
      <c r="G124" s="291"/>
      <c r="H124" s="361" t="str">
        <f>CONCATENATE(IF(F124="N","PLACEHOLDER ROW - ",""),'C-Design&amp;Const'!Z124,IF(F124="N","",J124))</f>
        <v>PLACEHOLDER ROW - CUSTOM ROW - OPTIONAL CLIENT ITEM</v>
      </c>
      <c r="I124" s="184"/>
      <c r="J124" s="609" t="str">
        <f>IF('C-Design&amp;Const'!AJ124="","",'C-Design&amp;Const'!AJ124)</f>
        <v/>
      </c>
      <c r="K124" s="285" t="str">
        <f t="shared" si="8"/>
        <v>match</v>
      </c>
      <c r="L124" s="1410" t="str">
        <f t="shared" si="9"/>
        <v>&lt;---PM/Planner may hide PLACEHOLDER ROW</v>
      </c>
      <c r="M124" s="1382"/>
      <c r="N124" s="1382"/>
      <c r="O124" s="1382"/>
      <c r="P124" s="1382"/>
      <c r="Q124" s="1382"/>
      <c r="R124" s="1382"/>
      <c r="S124" s="1382"/>
      <c r="T124" s="1382"/>
      <c r="U124" s="1382"/>
      <c r="V124" s="1382"/>
      <c r="W124" s="1382"/>
      <c r="X124" s="1382"/>
      <c r="Y124" s="1382"/>
      <c r="Z124" s="1382"/>
      <c r="AA124" s="1382"/>
      <c r="AB124" s="1382"/>
      <c r="AC124" s="1382"/>
      <c r="AD124" s="1382"/>
      <c r="AE124" s="1382"/>
      <c r="AF124" s="1382"/>
      <c r="AG124" s="1382"/>
      <c r="AH124" s="1382"/>
      <c r="AI124" s="1382"/>
      <c r="AJ124" s="1382"/>
      <c r="AK124" s="181"/>
      <c r="AL124" s="181"/>
      <c r="AM124" s="181"/>
      <c r="AN124" s="181"/>
      <c r="AO124" s="181"/>
      <c r="AP124" s="181"/>
      <c r="AQ124" s="181"/>
      <c r="AR124" s="181"/>
      <c r="AS124" s="181"/>
      <c r="AT124" s="181"/>
      <c r="AU124" s="181"/>
      <c r="AV124" s="181"/>
      <c r="AW124" s="181"/>
    </row>
    <row r="125" spans="1:50" s="17" customFormat="1" x14ac:dyDescent="0.25">
      <c r="A125" s="1516" t="str">
        <f>IF(COUNTIF('04 - 95% CD'!D125:G125,"Y")&gt;0,"Y",IF(COUNTIF('04 - 95% CD'!D125:G125,"N"),"N",""))</f>
        <v/>
      </c>
      <c r="B125" s="141"/>
      <c r="C125" s="944"/>
      <c r="D125" s="411"/>
      <c r="E125" s="411"/>
      <c r="F125" s="321"/>
      <c r="G125" s="294"/>
      <c r="H125" s="296"/>
      <c r="I125" s="130"/>
      <c r="J125" s="609" t="str">
        <f>IF('C-Design&amp;Const'!AJ125="","",'C-Design&amp;Const'!AJ125)</f>
        <v/>
      </c>
      <c r="K125" s="285" t="str">
        <f t="shared" si="8"/>
        <v>match</v>
      </c>
      <c r="L125" s="1410" t="str">
        <f t="shared" si="9"/>
        <v/>
      </c>
      <c r="M125" s="1333"/>
      <c r="N125" s="1333"/>
      <c r="O125" s="1333"/>
      <c r="P125" s="1333"/>
      <c r="Q125" s="1333"/>
      <c r="R125" s="1446"/>
      <c r="S125" s="1364"/>
      <c r="T125" s="1333"/>
      <c r="U125" s="1333"/>
      <c r="V125" s="1333"/>
      <c r="W125" s="1333"/>
      <c r="X125" s="1333"/>
      <c r="Y125" s="1333"/>
      <c r="Z125" s="1333"/>
      <c r="AA125" s="1333"/>
      <c r="AB125" s="1333"/>
      <c r="AC125" s="1333"/>
      <c r="AD125" s="1333"/>
      <c r="AE125" s="1333"/>
      <c r="AF125" s="1333"/>
      <c r="AG125" s="1333"/>
      <c r="AH125" s="1333"/>
      <c r="AI125" s="1333"/>
      <c r="AJ125" s="1333"/>
    </row>
    <row r="126" spans="1:50" s="181" customFormat="1" ht="37.5" x14ac:dyDescent="0.2">
      <c r="A126" s="1501" t="str">
        <f>IF(COUNTIF('04 - 95% CD'!D126:G126,"Y")&gt;0,"Y",IF(COUNTIF('04 - 95% CD'!D126:G126,"N"),"N",""))</f>
        <v>Y</v>
      </c>
      <c r="B126" s="177"/>
      <c r="C126" s="944"/>
      <c r="D126" s="559" t="str">
        <f>IF('C-Design&amp;Const'!$S126="","",'C-Design&amp;Const'!$S126)</f>
        <v>N</v>
      </c>
      <c r="E126" s="234"/>
      <c r="F126" s="235"/>
      <c r="G126" s="291" t="str">
        <f>IF('C-Design&amp;Const'!Y126="","",'C-Design&amp;Const'!Y126)</f>
        <v>04b.</v>
      </c>
      <c r="H126" s="290" t="str">
        <f>CONCATENATE('C-Design&amp;Const'!Z126,IF(D126="N"," Not Used In This Construction Phase",J126))</f>
        <v>Project Applicable Information / Calculations Not Used In This Construction Phase</v>
      </c>
      <c r="I126" s="180"/>
      <c r="J126" s="609" t="str">
        <f>IF('C-Design&amp;Const'!AJ126="","",'C-Design&amp;Const'!AJ126)</f>
        <v/>
      </c>
      <c r="K126" s="285" t="str">
        <f t="shared" si="8"/>
        <v>no 95% match</v>
      </c>
      <c r="L126" s="1410" t="str">
        <f t="shared" si="9"/>
        <v/>
      </c>
      <c r="M126" s="1382"/>
      <c r="N126" s="1382"/>
      <c r="O126" s="1382"/>
      <c r="P126" s="1382"/>
      <c r="Q126" s="1382"/>
      <c r="R126" s="1447"/>
      <c r="S126" s="1448"/>
      <c r="T126" s="1470"/>
      <c r="U126" s="1382"/>
      <c r="V126" s="1382"/>
      <c r="W126" s="1382"/>
      <c r="X126" s="1382"/>
      <c r="Y126" s="1382"/>
      <c r="Z126" s="1382"/>
      <c r="AA126" s="1382"/>
      <c r="AB126" s="1382"/>
      <c r="AC126" s="1382"/>
      <c r="AD126" s="1382"/>
      <c r="AE126" s="1382"/>
      <c r="AF126" s="1382"/>
      <c r="AG126" s="1382"/>
      <c r="AH126" s="1382"/>
      <c r="AI126" s="1382"/>
      <c r="AJ126" s="1382"/>
      <c r="AX126" s="30"/>
    </row>
    <row r="127" spans="1:50" s="30" customFormat="1" ht="15" hidden="1" customHeight="1" x14ac:dyDescent="0.2">
      <c r="A127" s="1407" t="str">
        <f>IF(COUNTIF('04 - 95% CD'!D127:G127,"Y")&gt;0,"Y",IF(COUNTIF('04 - 95% CD'!D127:G127,"N"),"N",""))</f>
        <v>Y</v>
      </c>
      <c r="B127" s="191"/>
      <c r="C127" s="944"/>
      <c r="D127" s="463"/>
      <c r="E127" s="359" t="str">
        <f>IF('C-Design&amp;Const'!$S127="","",'C-Design&amp;Const'!$S127)</f>
        <v>N</v>
      </c>
      <c r="F127" s="235"/>
      <c r="G127" s="291"/>
      <c r="H127" s="761" t="str">
        <f>CONCATENATE(IF(ISNUMBER(SEARCH("Placeholder",'C-Design&amp;Const'!Z127))=TRUE,"",IF(E127="N","PLACEHOLDER ROW - ","")),'C-Design&amp;Const'!Z127,IF(E127="N","",J127))</f>
        <v>PLACEHOLDER ROW - Occupancy calculations between existing and proposed; breaking down the FTE</v>
      </c>
      <c r="I127" s="184"/>
      <c r="J127" s="609" t="str">
        <f>IF('C-Design&amp;Const'!AJ127="","",'C-Design&amp;Const'!AJ127)</f>
        <v/>
      </c>
      <c r="K127" s="285" t="str">
        <f t="shared" si="8"/>
        <v>no 95% match</v>
      </c>
      <c r="L127" s="1410" t="str">
        <f t="shared" si="9"/>
        <v>&lt;---PM/Planner may hide PLACEHOLDER ROW</v>
      </c>
      <c r="M127" s="1382"/>
      <c r="N127" s="1382"/>
      <c r="O127" s="1382"/>
      <c r="P127" s="1382"/>
      <c r="Q127" s="1382"/>
      <c r="R127" s="1382"/>
      <c r="S127" s="1382"/>
      <c r="T127" s="1382"/>
      <c r="U127" s="1382"/>
      <c r="V127" s="1382"/>
      <c r="W127" s="1382"/>
      <c r="X127" s="1382"/>
      <c r="Y127" s="1382"/>
      <c r="Z127" s="1382"/>
      <c r="AA127" s="1382"/>
      <c r="AB127" s="1382"/>
      <c r="AC127" s="1382"/>
      <c r="AD127" s="1382"/>
      <c r="AE127" s="1382"/>
      <c r="AF127" s="1382"/>
      <c r="AG127" s="1382"/>
      <c r="AH127" s="1382"/>
      <c r="AI127" s="1382"/>
      <c r="AJ127" s="1382"/>
      <c r="AK127" s="181"/>
      <c r="AL127" s="181"/>
      <c r="AM127" s="181"/>
      <c r="AN127" s="181"/>
      <c r="AO127" s="181"/>
      <c r="AP127" s="181"/>
      <c r="AQ127" s="181"/>
      <c r="AR127" s="181"/>
      <c r="AS127" s="181"/>
      <c r="AT127" s="181"/>
      <c r="AU127" s="181"/>
      <c r="AV127" s="181"/>
      <c r="AW127" s="181"/>
    </row>
    <row r="128" spans="1:50" s="30" customFormat="1" ht="15" hidden="1" customHeight="1" x14ac:dyDescent="0.2">
      <c r="A128" s="1407" t="str">
        <f>IF(COUNTIF('04 - 95% CD'!D128:G128,"Y")&gt;0,"Y",IF(COUNTIF('04 - 95% CD'!D128:G128,"N"),"N",""))</f>
        <v>N</v>
      </c>
      <c r="B128" s="191"/>
      <c r="C128" s="944"/>
      <c r="D128" s="463"/>
      <c r="E128" s="359" t="str">
        <f>IF('C-Design&amp;Const'!$S128="","",'C-Design&amp;Const'!$S128)</f>
        <v>N</v>
      </c>
      <c r="F128" s="235"/>
      <c r="G128" s="291"/>
      <c r="H128" s="761" t="str">
        <f>CONCATENATE(IF(ISNUMBER(SEARCH("Placeholder",'C-Design&amp;Const'!Z128))=TRUE,"",IF(E128="N","PLACEHOLDER ROW - ","")),'C-Design&amp;Const'!Z128,IF(E128="N","",J128))</f>
        <v>PLACEHOLDER ROW - Soil Borings and Soils Report</v>
      </c>
      <c r="I128" s="184"/>
      <c r="J128" s="609" t="str">
        <f>IF('C-Design&amp;Const'!AJ128="","",'C-Design&amp;Const'!AJ128)</f>
        <v/>
      </c>
      <c r="K128" s="285" t="str">
        <f t="shared" si="8"/>
        <v>match</v>
      </c>
      <c r="L128" s="1410" t="str">
        <f t="shared" si="9"/>
        <v>&lt;---PM/Planner may hide PLACEHOLDER ROW</v>
      </c>
      <c r="M128" s="1382"/>
      <c r="N128" s="1382"/>
      <c r="O128" s="1382"/>
      <c r="P128" s="1382"/>
      <c r="Q128" s="1382"/>
      <c r="R128" s="1382"/>
      <c r="S128" s="1382"/>
      <c r="T128" s="1382"/>
      <c r="U128" s="1382"/>
      <c r="V128" s="1382"/>
      <c r="W128" s="1382"/>
      <c r="X128" s="1382"/>
      <c r="Y128" s="1382"/>
      <c r="Z128" s="1382"/>
      <c r="AA128" s="1382"/>
      <c r="AB128" s="1382"/>
      <c r="AC128" s="1382"/>
      <c r="AD128" s="1382"/>
      <c r="AE128" s="1382"/>
      <c r="AF128" s="1382"/>
      <c r="AG128" s="1382"/>
      <c r="AH128" s="1382"/>
      <c r="AI128" s="1382"/>
      <c r="AJ128" s="1382"/>
      <c r="AK128" s="181"/>
      <c r="AL128" s="181"/>
      <c r="AM128" s="181"/>
      <c r="AN128" s="181"/>
      <c r="AO128" s="181"/>
      <c r="AP128" s="181"/>
      <c r="AQ128" s="181"/>
      <c r="AR128" s="181"/>
      <c r="AS128" s="181"/>
      <c r="AT128" s="181"/>
      <c r="AU128" s="181"/>
      <c r="AV128" s="181"/>
      <c r="AW128" s="181"/>
    </row>
    <row r="129" spans="1:49" s="30" customFormat="1" ht="15" hidden="1" customHeight="1" x14ac:dyDescent="0.2">
      <c r="A129" s="1407" t="str">
        <f>IF(COUNTIF('04 - 95% CD'!D129:G129,"Y")&gt;0,"Y",IF(COUNTIF('04 - 95% CD'!D129:G129,"N"),"N",""))</f>
        <v>Y</v>
      </c>
      <c r="B129" s="191"/>
      <c r="C129" s="944"/>
      <c r="D129" s="463"/>
      <c r="E129" s="359" t="str">
        <f>IF('C-Design&amp;Const'!$S129="","",'C-Design&amp;Const'!$S129)</f>
        <v>N</v>
      </c>
      <c r="F129" s="235"/>
      <c r="G129" s="291"/>
      <c r="H129" s="761" t="str">
        <f>CONCATENATE(IF(ISNUMBER(SEARCH("Placeholder",'C-Design&amp;Const'!Z129))=TRUE,"",IF(E129="N","PLACEHOLDER ROW - ","")),'C-Design&amp;Const'!Z129,IF(E129="N","",J129))</f>
        <v>PLACEHOLDER ROW - Stormwater Runoff Rate Calculation/Model Results and Water Detention</v>
      </c>
      <c r="I129" s="184"/>
      <c r="J129" s="609" t="str">
        <f>IF('C-Design&amp;Const'!AJ129="","",'C-Design&amp;Const'!AJ129)</f>
        <v/>
      </c>
      <c r="K129" s="285" t="str">
        <f t="shared" si="8"/>
        <v>no 95% match</v>
      </c>
      <c r="L129" s="1410" t="str">
        <f t="shared" si="9"/>
        <v>&lt;---PM/Planner may hide PLACEHOLDER ROW</v>
      </c>
      <c r="M129" s="1382"/>
      <c r="N129" s="1382"/>
      <c r="O129" s="1382"/>
      <c r="P129" s="1382"/>
      <c r="Q129" s="1382"/>
      <c r="R129" s="1382"/>
      <c r="S129" s="1382"/>
      <c r="T129" s="1382"/>
      <c r="U129" s="1382"/>
      <c r="V129" s="1382"/>
      <c r="W129" s="1382"/>
      <c r="X129" s="1382"/>
      <c r="Y129" s="1382"/>
      <c r="Z129" s="1382"/>
      <c r="AA129" s="1382"/>
      <c r="AB129" s="1382"/>
      <c r="AC129" s="1382"/>
      <c r="AD129" s="1382"/>
      <c r="AE129" s="1382"/>
      <c r="AF129" s="1382"/>
      <c r="AG129" s="1382"/>
      <c r="AH129" s="1382"/>
      <c r="AI129" s="1382"/>
      <c r="AJ129" s="1382"/>
      <c r="AK129" s="181"/>
      <c r="AL129" s="181"/>
      <c r="AM129" s="181"/>
      <c r="AN129" s="181"/>
      <c r="AO129" s="181"/>
      <c r="AP129" s="181"/>
      <c r="AQ129" s="181"/>
      <c r="AR129" s="181"/>
      <c r="AS129" s="181"/>
      <c r="AT129" s="181"/>
      <c r="AU129" s="181"/>
      <c r="AV129" s="181"/>
      <c r="AW129" s="181"/>
    </row>
    <row r="130" spans="1:49" s="30" customFormat="1" ht="15" hidden="1" customHeight="1" x14ac:dyDescent="0.2">
      <c r="A130" s="1407" t="str">
        <f>IF(COUNTIF('04 - 95% CD'!D130:G130,"Y")&gt;0,"Y",IF(COUNTIF('04 - 95% CD'!D130:G130,"N"),"N",""))</f>
        <v>Y</v>
      </c>
      <c r="B130" s="191"/>
      <c r="C130" s="944"/>
      <c r="D130" s="463"/>
      <c r="E130" s="359" t="str">
        <f>IF('C-Design&amp;Const'!$S130="","",'C-Design&amp;Const'!$S130)</f>
        <v>N</v>
      </c>
      <c r="F130" s="235"/>
      <c r="G130" s="291"/>
      <c r="H130" s="761" t="str">
        <f>CONCATENATE(IF(ISNUMBER(SEARCH("Placeholder",'C-Design&amp;Const'!Z130))=TRUE,"",IF(E130="N","PLACEHOLDER ROW - ","")),'C-Design&amp;Const'!Z130,IF(E130="N","",J130))</f>
        <v>PLACEHOLDER ROW - Asbestos and Lead Survey and Recommendations</v>
      </c>
      <c r="I130" s="184"/>
      <c r="J130" s="609" t="str">
        <f>IF('C-Design&amp;Const'!AJ130="","",'C-Design&amp;Const'!AJ130)</f>
        <v/>
      </c>
      <c r="K130" s="285" t="str">
        <f t="shared" si="8"/>
        <v>no 95% match</v>
      </c>
      <c r="L130" s="1410" t="str">
        <f t="shared" si="9"/>
        <v>&lt;---PM/Planner may hide PLACEHOLDER ROW</v>
      </c>
      <c r="M130" s="1382"/>
      <c r="N130" s="1382"/>
      <c r="O130" s="1382"/>
      <c r="P130" s="1382"/>
      <c r="Q130" s="1382"/>
      <c r="R130" s="1382"/>
      <c r="S130" s="1382"/>
      <c r="T130" s="1382"/>
      <c r="U130" s="1382"/>
      <c r="V130" s="1382"/>
      <c r="W130" s="1382"/>
      <c r="X130" s="1382"/>
      <c r="Y130" s="1382"/>
      <c r="Z130" s="1382"/>
      <c r="AA130" s="1382"/>
      <c r="AB130" s="1382"/>
      <c r="AC130" s="1382"/>
      <c r="AD130" s="1382"/>
      <c r="AE130" s="1382"/>
      <c r="AF130" s="1382"/>
      <c r="AG130" s="1382"/>
      <c r="AH130" s="1382"/>
      <c r="AI130" s="1382"/>
      <c r="AJ130" s="1382"/>
      <c r="AK130" s="181"/>
      <c r="AL130" s="181"/>
      <c r="AM130" s="181"/>
      <c r="AN130" s="181"/>
      <c r="AO130" s="181"/>
      <c r="AP130" s="181"/>
      <c r="AQ130" s="181"/>
      <c r="AR130" s="181"/>
      <c r="AS130" s="181"/>
      <c r="AT130" s="181"/>
      <c r="AU130" s="181"/>
      <c r="AV130" s="181"/>
      <c r="AW130" s="181"/>
    </row>
    <row r="131" spans="1:49" s="30" customFormat="1" ht="16.5" hidden="1" customHeight="1" x14ac:dyDescent="0.2">
      <c r="A131" s="1407" t="str">
        <f>IF(COUNTIF('04 - 95% CD'!D131:G131,"Y")&gt;0,"Y",IF(COUNTIF('04 - 95% CD'!D131:G131,"N"),"N",""))</f>
        <v>N</v>
      </c>
      <c r="B131" s="191"/>
      <c r="C131" s="944"/>
      <c r="D131" s="463"/>
      <c r="E131" s="359" t="str">
        <f>IF('C-Design&amp;Const'!$S131="","",'C-Design&amp;Const'!$S131)</f>
        <v>N</v>
      </c>
      <c r="F131" s="235"/>
      <c r="G131" s="291"/>
      <c r="H131" s="761" t="str">
        <f>CONCATENATE(IF(ISNUMBER(SEARCH("Placeholder",'C-Design&amp;Const'!Z131))=TRUE,"",IF(E131="N","PLACEHOLDER ROW - ","")),'C-Design&amp;Const'!Z131,IF(E131="N","",J131))</f>
        <v>PLACEHOLDER ROW - Results of Hazardous Materials Testing and Hazardous Materials Mediation Plan</v>
      </c>
      <c r="I131" s="184"/>
      <c r="J131" s="609" t="str">
        <f>IF('C-Design&amp;Const'!AJ131="","",'C-Design&amp;Const'!AJ131)</f>
        <v/>
      </c>
      <c r="K131" s="285" t="str">
        <f t="shared" si="8"/>
        <v>match</v>
      </c>
      <c r="L131" s="1410" t="str">
        <f t="shared" si="9"/>
        <v>&lt;---PM/Planner may hide PLACEHOLDER ROW</v>
      </c>
      <c r="M131" s="1382"/>
      <c r="N131" s="1382"/>
      <c r="O131" s="1382"/>
      <c r="P131" s="1382"/>
      <c r="Q131" s="1382"/>
      <c r="R131" s="1382"/>
      <c r="S131" s="1382"/>
      <c r="T131" s="1382"/>
      <c r="U131" s="1382"/>
      <c r="V131" s="1382"/>
      <c r="W131" s="1382"/>
      <c r="X131" s="1382"/>
      <c r="Y131" s="1382"/>
      <c r="Z131" s="1382"/>
      <c r="AA131" s="1382"/>
      <c r="AB131" s="1382"/>
      <c r="AC131" s="1382"/>
      <c r="AD131" s="1382"/>
      <c r="AE131" s="1382"/>
      <c r="AF131" s="1382"/>
      <c r="AG131" s="1382"/>
      <c r="AH131" s="1382"/>
      <c r="AI131" s="1382"/>
      <c r="AJ131" s="1382"/>
      <c r="AK131" s="181"/>
      <c r="AL131" s="181"/>
      <c r="AM131" s="181"/>
      <c r="AN131" s="181"/>
      <c r="AO131" s="181"/>
      <c r="AP131" s="181"/>
      <c r="AQ131" s="181"/>
      <c r="AR131" s="181"/>
      <c r="AS131" s="181"/>
      <c r="AT131" s="181"/>
      <c r="AU131" s="181"/>
      <c r="AV131" s="181"/>
      <c r="AW131" s="181"/>
    </row>
    <row r="132" spans="1:49" s="30" customFormat="1" ht="15" hidden="1" customHeight="1" x14ac:dyDescent="0.2">
      <c r="A132" s="1407" t="str">
        <f>IF(COUNTIF('04 - 95% CD'!D132:G132,"Y")&gt;0,"Y",IF(COUNTIF('04 - 95% CD'!D132:G132,"N"),"N",""))</f>
        <v>N</v>
      </c>
      <c r="B132" s="191"/>
      <c r="C132" s="944"/>
      <c r="D132" s="463"/>
      <c r="E132" s="359" t="str">
        <f>IF('C-Design&amp;Const'!$S132="","",'C-Design&amp;Const'!$S132)</f>
        <v>N</v>
      </c>
      <c r="F132" s="235"/>
      <c r="G132" s="291"/>
      <c r="H132" s="761" t="str">
        <f>CONCATENATE(IF(ISNUMBER(SEARCH("Placeholder",'C-Design&amp;Const'!Z132))=TRUE,"",IF(E132="N","PLACEHOLDER ROW - ","")),'C-Design&amp;Const'!Z132,IF(E132="N","",J132))</f>
        <v>PLACEHOLDER ROW - EPA &amp; State Permits (including but not limited to SWPPP)</v>
      </c>
      <c r="I132" s="184"/>
      <c r="J132" s="609" t="str">
        <f>IF('C-Design&amp;Const'!AJ132="","",'C-Design&amp;Const'!AJ132)</f>
        <v/>
      </c>
      <c r="K132" s="285" t="str">
        <f t="shared" si="8"/>
        <v>match</v>
      </c>
      <c r="L132" s="1410" t="str">
        <f t="shared" si="9"/>
        <v>&lt;---PM/Planner may hide PLACEHOLDER ROW</v>
      </c>
      <c r="M132" s="1382"/>
      <c r="N132" s="1382"/>
      <c r="O132" s="1382"/>
      <c r="P132" s="1382"/>
      <c r="Q132" s="1382"/>
      <c r="R132" s="1382"/>
      <c r="S132" s="1382"/>
      <c r="T132" s="1382"/>
      <c r="U132" s="1382"/>
      <c r="V132" s="1382"/>
      <c r="W132" s="1382"/>
      <c r="X132" s="1382"/>
      <c r="Y132" s="1382"/>
      <c r="Z132" s="1382"/>
      <c r="AA132" s="1382"/>
      <c r="AB132" s="1382"/>
      <c r="AC132" s="1382"/>
      <c r="AD132" s="1382"/>
      <c r="AE132" s="1382"/>
      <c r="AF132" s="1382"/>
      <c r="AG132" s="1382"/>
      <c r="AH132" s="1382"/>
      <c r="AI132" s="1382"/>
      <c r="AJ132" s="1382"/>
      <c r="AK132" s="181"/>
      <c r="AL132" s="181"/>
      <c r="AM132" s="181"/>
      <c r="AN132" s="181"/>
      <c r="AO132" s="181"/>
      <c r="AP132" s="181"/>
      <c r="AQ132" s="181"/>
      <c r="AR132" s="181"/>
      <c r="AS132" s="181"/>
      <c r="AT132" s="181"/>
      <c r="AU132" s="181"/>
      <c r="AV132" s="181"/>
      <c r="AW132" s="181"/>
    </row>
    <row r="133" spans="1:49" s="30" customFormat="1" ht="15" hidden="1" customHeight="1" x14ac:dyDescent="0.2">
      <c r="A133" s="1407" t="str">
        <f>IF(COUNTIF('04 - 95% CD'!D133:G133,"Y")&gt;0,"Y",IF(COUNTIF('04 - 95% CD'!D133:G133,"N"),"N",""))</f>
        <v>Y</v>
      </c>
      <c r="B133" s="191"/>
      <c r="C133" s="944"/>
      <c r="D133" s="463"/>
      <c r="E133" s="359" t="str">
        <f>IF('C-Design&amp;Const'!$S133="","",'C-Design&amp;Const'!$S133)</f>
        <v>N</v>
      </c>
      <c r="F133" s="235"/>
      <c r="G133" s="291"/>
      <c r="H133" s="761" t="str">
        <f>CONCATENATE(IF(ISNUMBER(SEARCH("Placeholder",'C-Design&amp;Const'!Z133))=TRUE,"",IF(E133="N","PLACEHOLDER ROW - ","")),'C-Design&amp;Const'!Z133,IF(E133="N","",J133))</f>
        <v xml:space="preserve">PLACEHOLDER ROW - Saftey &amp; Compliance / Environmental - Checklist   </v>
      </c>
      <c r="I133" s="184"/>
      <c r="J133" s="609" t="str">
        <f>IF('C-Design&amp;Const'!AJ133="","",'C-Design&amp;Const'!AJ133)</f>
        <v/>
      </c>
      <c r="K133" s="285" t="str">
        <f t="shared" si="8"/>
        <v>no 95% match</v>
      </c>
      <c r="L133" s="1410" t="str">
        <f t="shared" si="9"/>
        <v>&lt;---PM/Planner may hide PLACEHOLDER ROW</v>
      </c>
      <c r="M133" s="1382"/>
      <c r="N133" s="1382"/>
      <c r="O133" s="1382"/>
      <c r="P133" s="1382"/>
      <c r="Q133" s="1382"/>
      <c r="R133" s="1382"/>
      <c r="S133" s="1382"/>
      <c r="T133" s="1382"/>
      <c r="U133" s="1382"/>
      <c r="V133" s="1382"/>
      <c r="W133" s="1382"/>
      <c r="X133" s="1382"/>
      <c r="Y133" s="1382"/>
      <c r="Z133" s="1382"/>
      <c r="AA133" s="1382"/>
      <c r="AB133" s="1382"/>
      <c r="AC133" s="1382"/>
      <c r="AD133" s="1382"/>
      <c r="AE133" s="1382"/>
      <c r="AF133" s="1382"/>
      <c r="AG133" s="1382"/>
      <c r="AH133" s="1382"/>
      <c r="AI133" s="1382"/>
      <c r="AJ133" s="1382"/>
      <c r="AK133" s="181"/>
      <c r="AL133" s="181"/>
      <c r="AM133" s="181"/>
      <c r="AN133" s="181"/>
      <c r="AO133" s="181"/>
      <c r="AP133" s="181"/>
      <c r="AQ133" s="181"/>
      <c r="AR133" s="181"/>
      <c r="AS133" s="181"/>
      <c r="AT133" s="181"/>
      <c r="AU133" s="181"/>
      <c r="AV133" s="181"/>
      <c r="AW133" s="181"/>
    </row>
    <row r="134" spans="1:49" s="545" customFormat="1" ht="15" hidden="1" customHeight="1" x14ac:dyDescent="0.2">
      <c r="A134" s="1407" t="str">
        <f>IF(COUNTIF('04 - 95% CD'!D134:G134,"Y")&gt;0,"Y",IF(COUNTIF('04 - 95% CD'!D134:G134,"N"),"N",""))</f>
        <v>Y</v>
      </c>
      <c r="B134" s="554"/>
      <c r="C134" s="944"/>
      <c r="D134" s="463"/>
      <c r="E134" s="359" t="str">
        <f>IF('C-Design&amp;Const'!$S134="","",'C-Design&amp;Const'!$S134)</f>
        <v>N</v>
      </c>
      <c r="F134" s="235"/>
      <c r="G134" s="291"/>
      <c r="H134" s="761" t="str">
        <f>CONCATENATE(IF(ISNUMBER(SEARCH("Placeholder",'C-Design&amp;Const'!Z134))=TRUE,"",IF(E134="N","PLACEHOLDER ROW - ","")),'C-Design&amp;Const'!Z134,IF(E134="N","",J134))</f>
        <v>PLACEHOLDER ROW - Excel files of all equipment schedules for all disciplines.</v>
      </c>
      <c r="I134" s="552"/>
      <c r="J134" s="609" t="str">
        <f>IF('C-Design&amp;Const'!AJ134="","",'C-Design&amp;Const'!AJ134)</f>
        <v/>
      </c>
      <c r="K134" s="285" t="str">
        <f t="shared" ref="K134" si="16">IF((COUNTIF(D134:F134,"Y")=COUNTIF(A134,"Y")),"match","no 95% match")</f>
        <v>no 95% match</v>
      </c>
      <c r="L134" s="1410" t="str">
        <f t="shared" ref="L134" si="17">CONCATENATE(IF(ISNUMBER(SEARCH("Placeholder",H134))=TRUE,"&lt;---PM/Planner may hide PLACEHOLDER ROW",""))</f>
        <v>&lt;---PM/Planner may hide PLACEHOLDER ROW</v>
      </c>
      <c r="M134" s="1382"/>
      <c r="N134" s="1382"/>
      <c r="O134" s="1382"/>
      <c r="P134" s="1382"/>
      <c r="Q134" s="1382"/>
      <c r="R134" s="1382"/>
      <c r="S134" s="1382"/>
      <c r="T134" s="1382"/>
      <c r="U134" s="1382"/>
      <c r="V134" s="1382"/>
      <c r="W134" s="1382"/>
      <c r="X134" s="1382"/>
      <c r="Y134" s="1382"/>
      <c r="Z134" s="1382"/>
      <c r="AA134" s="1382"/>
      <c r="AB134" s="1382"/>
      <c r="AC134" s="1382"/>
      <c r="AD134" s="1382"/>
      <c r="AE134" s="1382"/>
      <c r="AF134" s="1382"/>
      <c r="AG134" s="1382"/>
      <c r="AH134" s="1382"/>
      <c r="AI134" s="1382"/>
      <c r="AJ134" s="1382"/>
      <c r="AK134" s="551"/>
      <c r="AL134" s="551"/>
      <c r="AM134" s="551"/>
      <c r="AN134" s="551"/>
      <c r="AO134" s="551"/>
      <c r="AP134" s="551"/>
      <c r="AQ134" s="551"/>
      <c r="AR134" s="551"/>
      <c r="AS134" s="551"/>
      <c r="AT134" s="551"/>
      <c r="AU134" s="551"/>
      <c r="AV134" s="551"/>
      <c r="AW134" s="551"/>
    </row>
    <row r="135" spans="1:49" s="30" customFormat="1" ht="24.75" hidden="1" customHeight="1" x14ac:dyDescent="0.2">
      <c r="A135" s="1407" t="str">
        <f>IF(COUNTIF('04 - 95% CD'!D135:G135,"Y")&gt;0,"Y",IF(COUNTIF('04 - 95% CD'!D135:G135,"N"),"N",""))</f>
        <v>N</v>
      </c>
      <c r="B135" s="191"/>
      <c r="C135" s="944"/>
      <c r="D135" s="463"/>
      <c r="E135" s="359" t="str">
        <f>IF('C-Design&amp;Const'!$S135="","",'C-Design&amp;Const'!$S135)</f>
        <v>N</v>
      </c>
      <c r="F135" s="235"/>
      <c r="G135" s="291"/>
      <c r="H135" s="761" t="str">
        <f>CONCATENATE(IF(ISNUMBER(SEARCH("Placeholder",'C-Design&amp;Const'!Z135))=TRUE,"",IF(E135="N","PLACEHOLDER ROW - ","")),'C-Design&amp;Const'!Z135,IF(E135="N","",J135))</f>
        <v>PLACEHOLDER ROW - Results of existing exterior envelope material tests or strengths (i.e. brick and mortar tests, pull tests of existing mechanical fasteners, etc…)</v>
      </c>
      <c r="I135" s="184"/>
      <c r="J135" s="609" t="str">
        <f>IF('C-Design&amp;Const'!AJ135="","",'C-Design&amp;Const'!AJ135)</f>
        <v/>
      </c>
      <c r="K135" s="285" t="str">
        <f t="shared" si="8"/>
        <v>match</v>
      </c>
      <c r="L135" s="1410" t="str">
        <f t="shared" si="9"/>
        <v>&lt;---PM/Planner may hide PLACEHOLDER ROW</v>
      </c>
      <c r="M135" s="1382"/>
      <c r="N135" s="1382"/>
      <c r="O135" s="1382"/>
      <c r="P135" s="1382"/>
      <c r="Q135" s="1382"/>
      <c r="R135" s="1382"/>
      <c r="S135" s="1382"/>
      <c r="T135" s="1382"/>
      <c r="U135" s="1382"/>
      <c r="V135" s="1382"/>
      <c r="W135" s="1382"/>
      <c r="X135" s="1382"/>
      <c r="Y135" s="1382"/>
      <c r="Z135" s="1382"/>
      <c r="AA135" s="1382"/>
      <c r="AB135" s="1382"/>
      <c r="AC135" s="1382"/>
      <c r="AD135" s="1382"/>
      <c r="AE135" s="1382"/>
      <c r="AF135" s="1382"/>
      <c r="AG135" s="1382"/>
      <c r="AH135" s="1382"/>
      <c r="AI135" s="1382"/>
      <c r="AJ135" s="1382"/>
      <c r="AK135" s="181"/>
      <c r="AL135" s="181"/>
      <c r="AM135" s="181"/>
      <c r="AN135" s="181"/>
      <c r="AO135" s="181"/>
      <c r="AP135" s="181"/>
      <c r="AQ135" s="181"/>
      <c r="AR135" s="181"/>
      <c r="AS135" s="181"/>
      <c r="AT135" s="181"/>
      <c r="AU135" s="181"/>
      <c r="AV135" s="181"/>
      <c r="AW135" s="181"/>
    </row>
    <row r="136" spans="1:49" s="30" customFormat="1" ht="28.5" hidden="1" x14ac:dyDescent="0.25">
      <c r="A136" s="1407" t="str">
        <f>IF(COUNTIF('04 - 95% CD'!D136:G136,"Y")&gt;0,"Y",IF(COUNTIF('04 - 95% CD'!D136:G136,"N"),"N",""))</f>
        <v>N</v>
      </c>
      <c r="B136" s="191"/>
      <c r="C136" s="944"/>
      <c r="D136" s="321"/>
      <c r="E136" s="559" t="str">
        <f>IF('C-Design&amp;Const'!$S136="","",'C-Design&amp;Const'!$S136)</f>
        <v>N</v>
      </c>
      <c r="F136" s="560"/>
      <c r="G136" s="558"/>
      <c r="H136" s="761" t="str">
        <f>CONCATENATE(IF(ISNUMBER(SEARCH("Placeholder",'C-Design&amp;Const'!Z136))=TRUE,"",IF(E136="N","PLACEHOLDER ROW - ","")),'C-Design&amp;Const'!Z136,IF(E136="N","",J136))</f>
        <v>PLACEHOLDER ROW - Results of any existing structural materials tests or verification / scans of structure layout.</v>
      </c>
      <c r="I136" s="186"/>
      <c r="J136" s="609" t="str">
        <f>IF('C-Design&amp;Const'!AJ136="","",'C-Design&amp;Const'!AJ136)</f>
        <v/>
      </c>
      <c r="K136" s="285" t="str">
        <f t="shared" si="8"/>
        <v>match</v>
      </c>
      <c r="L136" s="1410" t="str">
        <f t="shared" si="9"/>
        <v>&lt;---PM/Planner may hide PLACEHOLDER ROW</v>
      </c>
      <c r="M136" s="1382"/>
      <c r="N136" s="1382"/>
      <c r="O136" s="1382"/>
      <c r="P136" s="1382"/>
      <c r="Q136" s="1382"/>
      <c r="R136" s="1490"/>
      <c r="S136" s="1274"/>
      <c r="T136" s="1274"/>
      <c r="U136" s="1382"/>
      <c r="V136" s="1382"/>
      <c r="W136" s="1382"/>
      <c r="X136" s="1382"/>
      <c r="Y136" s="1382"/>
      <c r="Z136" s="1382"/>
      <c r="AA136" s="1382"/>
      <c r="AB136" s="1382"/>
      <c r="AC136" s="1382"/>
      <c r="AD136" s="1382"/>
      <c r="AE136" s="1382"/>
      <c r="AF136" s="1382"/>
      <c r="AG136" s="1382"/>
      <c r="AH136" s="1382"/>
      <c r="AI136" s="1382"/>
      <c r="AJ136" s="1382"/>
      <c r="AK136" s="181"/>
      <c r="AL136" s="181"/>
      <c r="AM136" s="181"/>
      <c r="AN136" s="181"/>
      <c r="AO136" s="181"/>
      <c r="AP136" s="181"/>
      <c r="AQ136" s="181"/>
      <c r="AR136" s="181"/>
      <c r="AS136" s="181"/>
      <c r="AT136" s="181"/>
      <c r="AU136" s="181"/>
      <c r="AV136" s="181"/>
      <c r="AW136" s="181"/>
    </row>
    <row r="137" spans="1:49" s="30" customFormat="1" ht="28.5" hidden="1" x14ac:dyDescent="0.25">
      <c r="A137" s="1407" t="str">
        <f>IF(COUNTIF('04 - 95% CD'!D137:G137,"Y")&gt;0,"Y",IF(COUNTIF('04 - 95% CD'!D137:G137,"N"),"N",""))</f>
        <v>Y</v>
      </c>
      <c r="B137" s="191"/>
      <c r="C137" s="944"/>
      <c r="D137" s="321"/>
      <c r="E137" s="559" t="str">
        <f>IF('C-Design&amp;Const'!$S137="","",'C-Design&amp;Const'!$S137)</f>
        <v>N</v>
      </c>
      <c r="F137" s="560"/>
      <c r="G137" s="558"/>
      <c r="H137" s="761" t="str">
        <f>CONCATENATE(IF(ISNUMBER(SEARCH("Placeholder",'C-Design&amp;Const'!Z137))=TRUE,"",IF(E137="N","PLACEHOLDER ROW - ","")),'C-Design&amp;Const'!Z137,IF(E137="N","",J137))</f>
        <v>PLACEHOLDER ROW - Summary of floor analysis for required strengthening (for new walls, materials, mechanical equipment change in use).</v>
      </c>
      <c r="I137" s="186"/>
      <c r="J137" s="609" t="str">
        <f>IF('C-Design&amp;Const'!AJ137="","",'C-Design&amp;Const'!AJ137)</f>
        <v/>
      </c>
      <c r="K137" s="285" t="str">
        <f t="shared" si="8"/>
        <v>no 95% match</v>
      </c>
      <c r="L137" s="1410" t="str">
        <f t="shared" si="9"/>
        <v>&lt;---PM/Planner may hide PLACEHOLDER ROW</v>
      </c>
      <c r="M137" s="1382"/>
      <c r="N137" s="1382"/>
      <c r="O137" s="1382"/>
      <c r="P137" s="1382"/>
      <c r="Q137" s="1382"/>
      <c r="R137" s="1490"/>
      <c r="S137" s="1274"/>
      <c r="T137" s="1274"/>
      <c r="U137" s="1382"/>
      <c r="V137" s="1382"/>
      <c r="W137" s="1382"/>
      <c r="X137" s="1382"/>
      <c r="Y137" s="1382"/>
      <c r="Z137" s="1382"/>
      <c r="AA137" s="1382"/>
      <c r="AB137" s="1382"/>
      <c r="AC137" s="1382"/>
      <c r="AD137" s="1382"/>
      <c r="AE137" s="1382"/>
      <c r="AF137" s="1382"/>
      <c r="AG137" s="1382"/>
      <c r="AH137" s="1382"/>
      <c r="AI137" s="1382"/>
      <c r="AJ137" s="1382"/>
      <c r="AK137" s="181"/>
      <c r="AL137" s="181"/>
      <c r="AM137" s="181"/>
      <c r="AN137" s="181"/>
      <c r="AO137" s="181"/>
      <c r="AP137" s="181"/>
      <c r="AQ137" s="181"/>
      <c r="AR137" s="181"/>
      <c r="AS137" s="181"/>
      <c r="AT137" s="181"/>
      <c r="AU137" s="181"/>
      <c r="AV137" s="181"/>
      <c r="AW137" s="181"/>
    </row>
    <row r="138" spans="1:49" s="30" customFormat="1" ht="28.5" hidden="1" x14ac:dyDescent="0.25">
      <c r="A138" s="1407" t="str">
        <f>IF(COUNTIF('04 - 95% CD'!D138:G138,"Y")&gt;0,"Y",IF(COUNTIF('04 - 95% CD'!D138:G138,"N"),"N",""))</f>
        <v>Y</v>
      </c>
      <c r="B138" s="191"/>
      <c r="C138" s="944"/>
      <c r="D138" s="321"/>
      <c r="E138" s="559" t="str">
        <f>IF('C-Design&amp;Const'!$S138="","",'C-Design&amp;Const'!$S138)</f>
        <v>N</v>
      </c>
      <c r="F138" s="560"/>
      <c r="G138" s="558"/>
      <c r="H138" s="761" t="str">
        <f>CONCATENATE(IF(ISNUMBER(SEARCH("Placeholder",'C-Design&amp;Const'!Z138))=TRUE,"",IF(E138="N","PLACEHOLDER ROW - ","")),'C-Design&amp;Const'!Z138,IF(E138="N","",J138))</f>
        <v>PLACEHOLDER ROW - Summary of lateral force resisting systems (for new tributary load or compromising of existing system).</v>
      </c>
      <c r="I138" s="186"/>
      <c r="J138" s="609" t="str">
        <f>IF('C-Design&amp;Const'!AJ138="","",'C-Design&amp;Const'!AJ138)</f>
        <v/>
      </c>
      <c r="K138" s="285" t="str">
        <f t="shared" si="8"/>
        <v>no 95% match</v>
      </c>
      <c r="L138" s="1410" t="str">
        <f t="shared" si="9"/>
        <v>&lt;---PM/Planner may hide PLACEHOLDER ROW</v>
      </c>
      <c r="M138" s="1382"/>
      <c r="N138" s="1382"/>
      <c r="O138" s="1382"/>
      <c r="P138" s="1382"/>
      <c r="Q138" s="1382"/>
      <c r="R138" s="1490"/>
      <c r="S138" s="1274"/>
      <c r="T138" s="1274"/>
      <c r="U138" s="1382"/>
      <c r="V138" s="1382"/>
      <c r="W138" s="1382"/>
      <c r="X138" s="1382"/>
      <c r="Y138" s="1382"/>
      <c r="Z138" s="1382"/>
      <c r="AA138" s="1382"/>
      <c r="AB138" s="1382"/>
      <c r="AC138" s="1382"/>
      <c r="AD138" s="1382"/>
      <c r="AE138" s="1382"/>
      <c r="AF138" s="1382"/>
      <c r="AG138" s="1382"/>
      <c r="AH138" s="1382"/>
      <c r="AI138" s="1382"/>
      <c r="AJ138" s="1382"/>
      <c r="AK138" s="181"/>
      <c r="AL138" s="181"/>
      <c r="AM138" s="181"/>
      <c r="AN138" s="181"/>
      <c r="AO138" s="181"/>
      <c r="AP138" s="181"/>
      <c r="AQ138" s="181"/>
      <c r="AR138" s="181"/>
      <c r="AS138" s="181"/>
      <c r="AT138" s="181"/>
      <c r="AU138" s="181"/>
      <c r="AV138" s="181"/>
      <c r="AW138" s="181"/>
    </row>
    <row r="139" spans="1:49" s="30" customFormat="1" hidden="1" x14ac:dyDescent="0.25">
      <c r="A139" s="1407" t="str">
        <f>IF(COUNTIF('04 - 95% CD'!D139:G139,"Y")&gt;0,"Y",IF(COUNTIF('04 - 95% CD'!D139:G139,"N"),"N",""))</f>
        <v>Y</v>
      </c>
      <c r="B139" s="191"/>
      <c r="C139" s="944"/>
      <c r="D139" s="321"/>
      <c r="E139" s="559" t="str">
        <f>IF('C-Design&amp;Const'!$S139="","",'C-Design&amp;Const'!$S139)</f>
        <v>N</v>
      </c>
      <c r="F139" s="560"/>
      <c r="G139" s="558"/>
      <c r="H139" s="761" t="str">
        <f>CONCATENATE(IF(ISNUMBER(SEARCH("Placeholder",'C-Design&amp;Const'!Z139))=TRUE,"",IF(E139="N","PLACEHOLDER ROW - ","")),'C-Design&amp;Const'!Z139,IF(E139="N","",J139))</f>
        <v>PLACEHOLDER ROW - LEED Version (v4) Prerequisites Narrative</v>
      </c>
      <c r="I139" s="186"/>
      <c r="J139" s="609" t="str">
        <f>IF('C-Design&amp;Const'!AJ139="","",'C-Design&amp;Const'!AJ139)</f>
        <v/>
      </c>
      <c r="K139" s="285" t="str">
        <f t="shared" si="8"/>
        <v>no 95% match</v>
      </c>
      <c r="L139" s="1410" t="str">
        <f t="shared" si="9"/>
        <v>&lt;---PM/Planner may hide PLACEHOLDER ROW</v>
      </c>
      <c r="M139" s="1382"/>
      <c r="N139" s="1382"/>
      <c r="O139" s="1382"/>
      <c r="P139" s="1382"/>
      <c r="Q139" s="1382"/>
      <c r="R139" s="1490"/>
      <c r="S139" s="1274"/>
      <c r="T139" s="1274"/>
      <c r="U139" s="1382"/>
      <c r="V139" s="1382"/>
      <c r="W139" s="1382"/>
      <c r="X139" s="1382"/>
      <c r="Y139" s="1382"/>
      <c r="Z139" s="1382"/>
      <c r="AA139" s="1382"/>
      <c r="AB139" s="1382"/>
      <c r="AC139" s="1382"/>
      <c r="AD139" s="1382"/>
      <c r="AE139" s="1382"/>
      <c r="AF139" s="1382"/>
      <c r="AG139" s="1382"/>
      <c r="AH139" s="1382"/>
      <c r="AI139" s="1382"/>
      <c r="AJ139" s="1382"/>
      <c r="AK139" s="181"/>
      <c r="AL139" s="181"/>
      <c r="AM139" s="181"/>
      <c r="AN139" s="181"/>
      <c r="AO139" s="181"/>
      <c r="AP139" s="181"/>
      <c r="AQ139" s="181"/>
      <c r="AR139" s="181"/>
      <c r="AS139" s="181"/>
      <c r="AT139" s="181"/>
      <c r="AU139" s="181"/>
      <c r="AV139" s="181"/>
      <c r="AW139" s="181"/>
    </row>
    <row r="140" spans="1:49" s="30" customFormat="1" ht="28.5" hidden="1" x14ac:dyDescent="0.25">
      <c r="A140" s="1407" t="str">
        <f>IF(COUNTIF('04 - 95% CD'!D140:G140,"Y")&gt;0,"Y",IF(COUNTIF('04 - 95% CD'!D140:G140,"N"),"N",""))</f>
        <v>Y</v>
      </c>
      <c r="B140" s="191"/>
      <c r="C140" s="944"/>
      <c r="D140" s="321"/>
      <c r="E140" s="559" t="str">
        <f>IF('C-Design&amp;Const'!$S140="","",'C-Design&amp;Const'!$S140)</f>
        <v>N</v>
      </c>
      <c r="F140" s="560"/>
      <c r="G140" s="558"/>
      <c r="H140" s="761" t="str">
        <f>CONCATENATE(IF(ISNUMBER(SEARCH("Placeholder",'C-Design&amp;Const'!Z140))=TRUE,"",IF(E140="N","PLACEHOLDER ROW - ","")),'C-Design&amp;Const'!Z140,IF(E140="N","",J140))</f>
        <v>PLACEHOLDER ROW - LEED Minimum Silver or better Registration (&gt;10,000 sqft and/or Capital Projects &gt;= $5million; Major renovations or New Construction)</v>
      </c>
      <c r="I140" s="186"/>
      <c r="J140" s="609" t="str">
        <f>IF('C-Design&amp;Const'!AJ140="","",'C-Design&amp;Const'!AJ140)</f>
        <v/>
      </c>
      <c r="K140" s="285" t="str">
        <f t="shared" si="8"/>
        <v>no 95% match</v>
      </c>
      <c r="L140" s="1410" t="str">
        <f t="shared" si="9"/>
        <v>&lt;---PM/Planner may hide PLACEHOLDER ROW</v>
      </c>
      <c r="M140" s="1382"/>
      <c r="N140" s="1382"/>
      <c r="O140" s="1382"/>
      <c r="P140" s="1382"/>
      <c r="Q140" s="1382"/>
      <c r="R140" s="1490"/>
      <c r="S140" s="1274"/>
      <c r="T140" s="1274"/>
      <c r="U140" s="1382"/>
      <c r="V140" s="1382"/>
      <c r="W140" s="1382"/>
      <c r="X140" s="1382"/>
      <c r="Y140" s="1382"/>
      <c r="Z140" s="1382"/>
      <c r="AA140" s="1382"/>
      <c r="AB140" s="1382"/>
      <c r="AC140" s="1382"/>
      <c r="AD140" s="1382"/>
      <c r="AE140" s="1382"/>
      <c r="AF140" s="1382"/>
      <c r="AG140" s="1382"/>
      <c r="AH140" s="1382"/>
      <c r="AI140" s="1382"/>
      <c r="AJ140" s="1382"/>
      <c r="AK140" s="181"/>
      <c r="AL140" s="181"/>
      <c r="AM140" s="181"/>
      <c r="AN140" s="181"/>
      <c r="AO140" s="181"/>
      <c r="AP140" s="181"/>
      <c r="AQ140" s="181"/>
      <c r="AR140" s="181"/>
      <c r="AS140" s="181"/>
      <c r="AT140" s="181"/>
      <c r="AU140" s="181"/>
      <c r="AV140" s="181"/>
      <c r="AW140" s="181"/>
    </row>
    <row r="141" spans="1:49" s="30" customFormat="1" hidden="1" x14ac:dyDescent="0.25">
      <c r="A141" s="1407" t="str">
        <f>IF(COUNTIF('04 - 95% CD'!D141:G141,"Y")&gt;0,"Y",IF(COUNTIF('04 - 95% CD'!D141:G141,"N"),"N",""))</f>
        <v>Y</v>
      </c>
      <c r="B141" s="191"/>
      <c r="C141" s="944"/>
      <c r="D141" s="321"/>
      <c r="E141" s="559" t="str">
        <f>IF('C-Design&amp;Const'!$S141="","",'C-Design&amp;Const'!$S141)</f>
        <v>N</v>
      </c>
      <c r="F141" s="560"/>
      <c r="G141" s="558"/>
      <c r="H141" s="761" t="str">
        <f>CONCATENATE(IF(ISNUMBER(SEARCH("Placeholder",'C-Design&amp;Const'!Z141))=TRUE,"",IF(E141="N","PLACEHOLDER ROW - ","")),'C-Design&amp;Const'!Z141,IF(E141="N","",J141))</f>
        <v xml:space="preserve">PLACEHOLDER ROW - LEED Project Checklist - (previously referred to as LEED Scorecard) </v>
      </c>
      <c r="I141" s="186"/>
      <c r="J141" s="609" t="str">
        <f>IF('C-Design&amp;Const'!AJ141="","",'C-Design&amp;Const'!AJ141)</f>
        <v/>
      </c>
      <c r="K141" s="285" t="str">
        <f t="shared" si="8"/>
        <v>no 95% match</v>
      </c>
      <c r="L141" s="1410" t="str">
        <f t="shared" si="9"/>
        <v>&lt;---PM/Planner may hide PLACEHOLDER ROW</v>
      </c>
      <c r="M141" s="1382"/>
      <c r="N141" s="1382"/>
      <c r="O141" s="1382"/>
      <c r="P141" s="1382"/>
      <c r="Q141" s="1382"/>
      <c r="R141" s="1490"/>
      <c r="S141" s="1274"/>
      <c r="T141" s="1274"/>
      <c r="U141" s="1382"/>
      <c r="V141" s="1382"/>
      <c r="W141" s="1382"/>
      <c r="X141" s="1382"/>
      <c r="Y141" s="1382"/>
      <c r="Z141" s="1382"/>
      <c r="AA141" s="1382"/>
      <c r="AB141" s="1382"/>
      <c r="AC141" s="1382"/>
      <c r="AD141" s="1382"/>
      <c r="AE141" s="1382"/>
      <c r="AF141" s="1382"/>
      <c r="AG141" s="1382"/>
      <c r="AH141" s="1382"/>
      <c r="AI141" s="1382"/>
      <c r="AJ141" s="1382"/>
      <c r="AK141" s="181"/>
      <c r="AL141" s="181"/>
      <c r="AM141" s="181"/>
      <c r="AN141" s="181"/>
      <c r="AO141" s="181"/>
      <c r="AP141" s="181"/>
      <c r="AQ141" s="181"/>
      <c r="AR141" s="181"/>
      <c r="AS141" s="181"/>
      <c r="AT141" s="181"/>
      <c r="AU141" s="181"/>
      <c r="AV141" s="181"/>
      <c r="AW141" s="181"/>
    </row>
    <row r="142" spans="1:49" s="30" customFormat="1" hidden="1" x14ac:dyDescent="0.25">
      <c r="A142" s="1407" t="str">
        <f>IF(COUNTIF('04 - 95% CD'!D142:G142,"Y")&gt;0,"Y",IF(COUNTIF('04 - 95% CD'!D142:G142,"N"),"N",""))</f>
        <v>Y</v>
      </c>
      <c r="B142" s="191"/>
      <c r="C142" s="944"/>
      <c r="D142" s="321"/>
      <c r="E142" s="559" t="str">
        <f>IF('C-Design&amp;Const'!$S142="","",'C-Design&amp;Const'!$S142)</f>
        <v>N</v>
      </c>
      <c r="F142" s="560"/>
      <c r="G142" s="558"/>
      <c r="H142" s="761" t="str">
        <f>CONCATENATE(IF(ISNUMBER(SEARCH("Placeholder",'C-Design&amp;Const'!Z142))=TRUE,"",IF(E142="N","PLACEHOLDER ROW - ","")),'C-Design&amp;Const'!Z142,IF(E142="N","",J142))</f>
        <v xml:space="preserve">PLACEHOLDER ROW - Energy Model (per ASHRAE 90.1, version from 2013  ) </v>
      </c>
      <c r="I142" s="186"/>
      <c r="J142" s="609" t="str">
        <f>IF('C-Design&amp;Const'!AJ142="","",'C-Design&amp;Const'!AJ142)</f>
        <v/>
      </c>
      <c r="K142" s="285" t="str">
        <f t="shared" si="8"/>
        <v>no 95% match</v>
      </c>
      <c r="L142" s="1410" t="str">
        <f t="shared" si="9"/>
        <v>&lt;---PM/Planner may hide PLACEHOLDER ROW</v>
      </c>
      <c r="M142" s="1382"/>
      <c r="N142" s="1382"/>
      <c r="O142" s="1382"/>
      <c r="P142" s="1382"/>
      <c r="Q142" s="1382"/>
      <c r="R142" s="1490"/>
      <c r="S142" s="1274"/>
      <c r="T142" s="1274"/>
      <c r="U142" s="1382"/>
      <c r="V142" s="1382"/>
      <c r="W142" s="1382"/>
      <c r="X142" s="1382"/>
      <c r="Y142" s="1382"/>
      <c r="Z142" s="1382"/>
      <c r="AA142" s="1382"/>
      <c r="AB142" s="1382"/>
      <c r="AC142" s="1382"/>
      <c r="AD142" s="1382"/>
      <c r="AE142" s="1382"/>
      <c r="AF142" s="1382"/>
      <c r="AG142" s="1382"/>
      <c r="AH142" s="1382"/>
      <c r="AI142" s="1382"/>
      <c r="AJ142" s="1382"/>
      <c r="AK142" s="181"/>
      <c r="AL142" s="181"/>
      <c r="AM142" s="181"/>
      <c r="AN142" s="181"/>
      <c r="AO142" s="181"/>
      <c r="AP142" s="181"/>
      <c r="AQ142" s="181"/>
      <c r="AR142" s="181"/>
      <c r="AS142" s="181"/>
      <c r="AT142" s="181"/>
      <c r="AU142" s="181"/>
      <c r="AV142" s="181"/>
      <c r="AW142" s="181"/>
    </row>
    <row r="143" spans="1:49" s="30" customFormat="1" ht="28.5" hidden="1" x14ac:dyDescent="0.25">
      <c r="A143" s="1407" t="str">
        <f>IF(COUNTIF('04 - 95% CD'!D143:G143,"Y")&gt;0,"Y",IF(COUNTIF('04 - 95% CD'!D143:G143,"N"),"N",""))</f>
        <v>Y</v>
      </c>
      <c r="B143" s="191"/>
      <c r="C143" s="944"/>
      <c r="D143" s="321"/>
      <c r="E143" s="559" t="str">
        <f>IF('C-Design&amp;Const'!$S143="","",'C-Design&amp;Const'!$S143)</f>
        <v>N</v>
      </c>
      <c r="F143" s="560"/>
      <c r="G143" s="558"/>
      <c r="H143" s="761" t="str">
        <f>CONCATENATE(IF(ISNUMBER(SEARCH("Placeholder",'C-Design&amp;Const'!Z143))=TRUE,"",IF(E143="N","PLACEHOLDER ROW - ","")),'C-Design&amp;Const'!Z143,IF(E143="N","",J143))</f>
        <v>PLACEHOLDER ROW - Life Cycle Cost Analysis for selected systems (for projects exceeding 25,000 SF)</v>
      </c>
      <c r="I143" s="186"/>
      <c r="J143" s="609" t="str">
        <f>IF('C-Design&amp;Const'!AJ143="","",'C-Design&amp;Const'!AJ143)</f>
        <v/>
      </c>
      <c r="K143" s="285" t="str">
        <f t="shared" si="8"/>
        <v>no 95% match</v>
      </c>
      <c r="L143" s="1410" t="str">
        <f t="shared" si="9"/>
        <v>&lt;---PM/Planner may hide PLACEHOLDER ROW</v>
      </c>
      <c r="M143" s="1382"/>
      <c r="N143" s="1382"/>
      <c r="O143" s="1382"/>
      <c r="P143" s="1382"/>
      <c r="Q143" s="1382"/>
      <c r="R143" s="1490"/>
      <c r="S143" s="1274"/>
      <c r="T143" s="1274"/>
      <c r="U143" s="1382"/>
      <c r="V143" s="1382"/>
      <c r="W143" s="1382"/>
      <c r="X143" s="1382"/>
      <c r="Y143" s="1382"/>
      <c r="Z143" s="1382"/>
      <c r="AA143" s="1382"/>
      <c r="AB143" s="1382"/>
      <c r="AC143" s="1382"/>
      <c r="AD143" s="1382"/>
      <c r="AE143" s="1382"/>
      <c r="AF143" s="1382"/>
      <c r="AG143" s="1382"/>
      <c r="AH143" s="1382"/>
      <c r="AI143" s="1382"/>
      <c r="AJ143" s="1382"/>
      <c r="AK143" s="181"/>
      <c r="AL143" s="181"/>
      <c r="AM143" s="181"/>
      <c r="AN143" s="181"/>
      <c r="AO143" s="181"/>
      <c r="AP143" s="181"/>
      <c r="AQ143" s="181"/>
      <c r="AR143" s="181"/>
      <c r="AS143" s="181"/>
      <c r="AT143" s="181"/>
      <c r="AU143" s="181"/>
      <c r="AV143" s="181"/>
      <c r="AW143" s="181"/>
    </row>
    <row r="144" spans="1:49" s="30" customFormat="1" hidden="1" x14ac:dyDescent="0.25">
      <c r="A144" s="1407" t="str">
        <f>IF(COUNTIF('04 - 95% CD'!D144:G144,"Y")&gt;0,"Y",IF(COUNTIF('04 - 95% CD'!D144:G144,"N"),"N",""))</f>
        <v>Y</v>
      </c>
      <c r="B144" s="191"/>
      <c r="C144" s="944"/>
      <c r="D144" s="321"/>
      <c r="E144" s="559" t="str">
        <f>IF('C-Design&amp;Const'!$S144="","",'C-Design&amp;Const'!$S144)</f>
        <v>N</v>
      </c>
      <c r="F144" s="560"/>
      <c r="G144" s="558"/>
      <c r="H144" s="761" t="str">
        <f>CONCATENATE(IF(ISNUMBER(SEARCH("Placeholder",'C-Design&amp;Const'!Z144))=TRUE,"",IF(E144="N","PLACEHOLDER ROW - ","")),'C-Design&amp;Const'!Z144,IF(E144="N","",J144))</f>
        <v xml:space="preserve">PLACEHOLDER ROW - Energy Budget </v>
      </c>
      <c r="I144" s="186"/>
      <c r="J144" s="609" t="str">
        <f>IF('C-Design&amp;Const'!AJ144="","",'C-Design&amp;Const'!AJ144)</f>
        <v/>
      </c>
      <c r="K144" s="285" t="str">
        <f t="shared" si="8"/>
        <v>no 95% match</v>
      </c>
      <c r="L144" s="1410" t="str">
        <f t="shared" si="9"/>
        <v>&lt;---PM/Planner may hide PLACEHOLDER ROW</v>
      </c>
      <c r="M144" s="1382"/>
      <c r="N144" s="1382"/>
      <c r="O144" s="1382"/>
      <c r="P144" s="1382"/>
      <c r="Q144" s="1382"/>
      <c r="R144" s="1490"/>
      <c r="S144" s="1274"/>
      <c r="T144" s="1274"/>
      <c r="U144" s="1382"/>
      <c r="V144" s="1382"/>
      <c r="W144" s="1382"/>
      <c r="X144" s="1382"/>
      <c r="Y144" s="1382"/>
      <c r="Z144" s="1382"/>
      <c r="AA144" s="1382"/>
      <c r="AB144" s="1382"/>
      <c r="AC144" s="1382"/>
      <c r="AD144" s="1382"/>
      <c r="AE144" s="1382"/>
      <c r="AF144" s="1382"/>
      <c r="AG144" s="1382"/>
      <c r="AH144" s="1382"/>
      <c r="AI144" s="1382"/>
      <c r="AJ144" s="1382"/>
      <c r="AK144" s="181"/>
      <c r="AL144" s="181"/>
      <c r="AM144" s="181"/>
      <c r="AN144" s="181"/>
      <c r="AO144" s="181"/>
      <c r="AP144" s="181"/>
      <c r="AQ144" s="181"/>
      <c r="AR144" s="181"/>
      <c r="AS144" s="181"/>
      <c r="AT144" s="181"/>
      <c r="AU144" s="181"/>
      <c r="AV144" s="181"/>
      <c r="AW144" s="181"/>
    </row>
    <row r="145" spans="1:49" s="30" customFormat="1" hidden="1" x14ac:dyDescent="0.25">
      <c r="A145" s="1407" t="str">
        <f>IF(COUNTIF('04 - 95% CD'!D145:G145,"Y")&gt;0,"Y",IF(COUNTIF('04 - 95% CD'!D145:G145,"N"),"N",""))</f>
        <v>N</v>
      </c>
      <c r="B145" s="191"/>
      <c r="C145" s="944"/>
      <c r="D145" s="321"/>
      <c r="E145" s="559" t="str">
        <f>IF('C-Design&amp;Const'!$S146="","",'C-Design&amp;Const'!$S146)</f>
        <v>N</v>
      </c>
      <c r="F145" s="560"/>
      <c r="G145" s="558"/>
      <c r="H145" s="1033" t="str">
        <f>'04 - 95% CD'!H145</f>
        <v xml:space="preserve">PLACEHOLDER ROW - Chilled Water Capacity Charge form </v>
      </c>
      <c r="I145" s="186"/>
      <c r="J145" s="609" t="str">
        <f>IF('C-Design&amp;Const'!AJ146="","",'C-Design&amp;Const'!AJ146)</f>
        <v/>
      </c>
      <c r="K145" s="285" t="str">
        <f>IF((COUNTIF(D145:F145,"Y")=COUNTIF(A145,"Y")),"match","no 95% match")</f>
        <v>match</v>
      </c>
      <c r="L145" s="1410" t="str">
        <f>CONCATENATE(IF(ISNUMBER(SEARCH("Placeholder",H145))=TRUE,"&lt;---PM/Planner may hide PLACEHOLDER ROW",""))</f>
        <v>&lt;---PM/Planner may hide PLACEHOLDER ROW</v>
      </c>
      <c r="M145" s="1382"/>
      <c r="N145" s="1382"/>
      <c r="O145" s="1382"/>
      <c r="P145" s="1382"/>
      <c r="Q145" s="1382"/>
      <c r="R145" s="1490"/>
      <c r="S145" s="1274"/>
      <c r="T145" s="1274"/>
      <c r="U145" s="1382"/>
      <c r="V145" s="1382"/>
      <c r="W145" s="1382"/>
      <c r="X145" s="1382"/>
      <c r="Y145" s="1382"/>
      <c r="Z145" s="1382"/>
      <c r="AA145" s="1382"/>
      <c r="AB145" s="1382"/>
      <c r="AC145" s="1382"/>
      <c r="AD145" s="1382"/>
      <c r="AE145" s="1382"/>
      <c r="AF145" s="1382"/>
      <c r="AG145" s="1382"/>
      <c r="AH145" s="1382"/>
      <c r="AI145" s="1382"/>
      <c r="AJ145" s="1382"/>
      <c r="AK145" s="181"/>
      <c r="AL145" s="181"/>
      <c r="AM145" s="181"/>
      <c r="AN145" s="181"/>
      <c r="AO145" s="181"/>
      <c r="AP145" s="181"/>
      <c r="AQ145" s="181"/>
      <c r="AR145" s="181"/>
      <c r="AS145" s="181"/>
      <c r="AT145" s="181"/>
      <c r="AU145" s="181"/>
      <c r="AV145" s="181"/>
      <c r="AW145" s="181"/>
    </row>
    <row r="146" spans="1:49" s="30" customFormat="1" hidden="1" x14ac:dyDescent="0.25">
      <c r="A146" s="1407" t="str">
        <f>IF(COUNTIF('04 - 95% CD'!D146:G146,"Y")&gt;0,"Y",IF(COUNTIF('04 - 95% CD'!D146:G146,"N"),"N",""))</f>
        <v>Y</v>
      </c>
      <c r="B146" s="191"/>
      <c r="C146" s="944"/>
      <c r="D146" s="321"/>
      <c r="E146" s="559" t="str">
        <f>IF('C-Design&amp;Const'!$S145="","",'C-Design&amp;Const'!$S145)</f>
        <v>N</v>
      </c>
      <c r="F146" s="560"/>
      <c r="G146" s="558"/>
      <c r="H146" s="761" t="str">
        <f>CONCATENATE(IF(ISNUMBER(SEARCH("Placeholder",'C-Design&amp;Const'!Z145))=TRUE,"",IF(E146="N","PLACEHOLDER ROW - ","")),'C-Design&amp;Const'!Z145,IF(E146="N","",J146))</f>
        <v>PLACEHOLDER ROW - Utilities Peak Load Estimates</v>
      </c>
      <c r="I146" s="186"/>
      <c r="J146" s="609" t="str">
        <f>IF('C-Design&amp;Const'!AJ145="","",'C-Design&amp;Const'!AJ145)</f>
        <v/>
      </c>
      <c r="K146" s="285" t="str">
        <f t="shared" si="8"/>
        <v>no 95% match</v>
      </c>
      <c r="L146" s="1410" t="str">
        <f t="shared" si="9"/>
        <v>&lt;---PM/Planner may hide PLACEHOLDER ROW</v>
      </c>
      <c r="M146" s="1382"/>
      <c r="N146" s="1382"/>
      <c r="O146" s="1382"/>
      <c r="P146" s="1382"/>
      <c r="Q146" s="1382"/>
      <c r="R146" s="1490"/>
      <c r="S146" s="1274"/>
      <c r="T146" s="1274"/>
      <c r="U146" s="1382"/>
      <c r="V146" s="1382"/>
      <c r="W146" s="1382"/>
      <c r="X146" s="1382"/>
      <c r="Y146" s="1382"/>
      <c r="Z146" s="1382"/>
      <c r="AA146" s="1382"/>
      <c r="AB146" s="1382"/>
      <c r="AC146" s="1382"/>
      <c r="AD146" s="1382"/>
      <c r="AE146" s="1382"/>
      <c r="AF146" s="1382"/>
      <c r="AG146" s="1382"/>
      <c r="AH146" s="1382"/>
      <c r="AI146" s="1382"/>
      <c r="AJ146" s="1382"/>
      <c r="AK146" s="181"/>
      <c r="AL146" s="181"/>
      <c r="AM146" s="181"/>
      <c r="AN146" s="181"/>
      <c r="AO146" s="181"/>
      <c r="AP146" s="181"/>
      <c r="AQ146" s="181"/>
      <c r="AR146" s="181"/>
      <c r="AS146" s="181"/>
      <c r="AT146" s="181"/>
      <c r="AU146" s="181"/>
      <c r="AV146" s="181"/>
      <c r="AW146" s="181"/>
    </row>
    <row r="147" spans="1:49" s="30" customFormat="1" hidden="1" x14ac:dyDescent="0.25">
      <c r="A147" s="1407" t="str">
        <f>IF(COUNTIF('04 - 95% CD'!D147:G147,"Y")&gt;0,"Y",IF(COUNTIF('04 - 95% CD'!D147:G147,"N"),"N",""))</f>
        <v>Y</v>
      </c>
      <c r="B147" s="191"/>
      <c r="C147" s="944"/>
      <c r="D147" s="321"/>
      <c r="E147" s="559" t="str">
        <f>IF('C-Design&amp;Const'!$S147="","",'C-Design&amp;Const'!$S147)</f>
        <v>N</v>
      </c>
      <c r="F147" s="560"/>
      <c r="G147" s="558"/>
      <c r="H147" s="761" t="str">
        <f>CONCATENATE(IF(ISNUMBER(SEARCH("Placeholder",'C-Design&amp;Const'!Z147))=TRUE,"",IF(E147="N","PLACEHOLDER ROW - ","")),'C-Design&amp;Const'!Z147,IF(E147="N","",J147))</f>
        <v xml:space="preserve">PLACEHOLDER ROW - Energy Standards – proof of compliance </v>
      </c>
      <c r="I147" s="186"/>
      <c r="J147" s="609" t="str">
        <f>IF('C-Design&amp;Const'!AJ147="","",'C-Design&amp;Const'!AJ147)</f>
        <v/>
      </c>
      <c r="K147" s="285" t="str">
        <f t="shared" si="8"/>
        <v>no 95% match</v>
      </c>
      <c r="L147" s="1410" t="str">
        <f t="shared" si="9"/>
        <v>&lt;---PM/Planner may hide PLACEHOLDER ROW</v>
      </c>
      <c r="M147" s="1382"/>
      <c r="N147" s="1382"/>
      <c r="O147" s="1382"/>
      <c r="P147" s="1382"/>
      <c r="Q147" s="1382"/>
      <c r="R147" s="1490"/>
      <c r="S147" s="1274"/>
      <c r="T147" s="1274"/>
      <c r="U147" s="1382"/>
      <c r="V147" s="1382"/>
      <c r="W147" s="1382"/>
      <c r="X147" s="1382"/>
      <c r="Y147" s="1382"/>
      <c r="Z147" s="1382"/>
      <c r="AA147" s="1382"/>
      <c r="AB147" s="1382"/>
      <c r="AC147" s="1382"/>
      <c r="AD147" s="1382"/>
      <c r="AE147" s="1382"/>
      <c r="AF147" s="1382"/>
      <c r="AG147" s="1382"/>
      <c r="AH147" s="1382"/>
      <c r="AI147" s="1382"/>
      <c r="AJ147" s="1382"/>
      <c r="AK147" s="181"/>
      <c r="AL147" s="181"/>
      <c r="AM147" s="181"/>
      <c r="AN147" s="181"/>
      <c r="AO147" s="181"/>
      <c r="AP147" s="181"/>
      <c r="AQ147" s="181"/>
      <c r="AR147" s="181"/>
      <c r="AS147" s="181"/>
      <c r="AT147" s="181"/>
      <c r="AU147" s="181"/>
      <c r="AV147" s="181"/>
      <c r="AW147" s="181"/>
    </row>
    <row r="148" spans="1:49" s="30" customFormat="1" ht="15" hidden="1" customHeight="1" x14ac:dyDescent="0.25">
      <c r="A148" s="1407" t="str">
        <f>IF(COUNTIF('04 - 95% CD'!D148:G148,"Y")&gt;0,"Y",IF(COUNTIF('04 - 95% CD'!D148:G148,"N"),"N",""))</f>
        <v>Y</v>
      </c>
      <c r="B148" s="191"/>
      <c r="C148" s="944"/>
      <c r="D148" s="321"/>
      <c r="E148" s="559" t="str">
        <f>IF('C-Design&amp;Const'!$S148="","",'C-Design&amp;Const'!$S148)</f>
        <v>N</v>
      </c>
      <c r="F148" s="560"/>
      <c r="G148" s="558"/>
      <c r="H148" s="761" t="str">
        <f>CONCATENATE(IF(ISNUMBER(SEARCH("Placeholder",'C-Design&amp;Const'!Z148))=TRUE,"",IF(E148="N","PLACEHOLDER ROW - ","")),'C-Design&amp;Const'!Z148,IF(E148="N","",J148))</f>
        <v xml:space="preserve">PLACEHOLDER ROW - Hydraulic Analysis for water and waste - ** calculations available upon request </v>
      </c>
      <c r="I148" s="186"/>
      <c r="J148" s="609" t="str">
        <f>IF('C-Design&amp;Const'!AJ148="","",'C-Design&amp;Const'!AJ148)</f>
        <v/>
      </c>
      <c r="K148" s="285" t="str">
        <f t="shared" si="8"/>
        <v>no 95% match</v>
      </c>
      <c r="L148" s="1410" t="str">
        <f t="shared" si="9"/>
        <v>&lt;---PM/Planner may hide PLACEHOLDER ROW</v>
      </c>
      <c r="M148" s="1382"/>
      <c r="N148" s="1382"/>
      <c r="O148" s="1382"/>
      <c r="P148" s="1382"/>
      <c r="Q148" s="1382"/>
      <c r="R148" s="1490"/>
      <c r="S148" s="1274"/>
      <c r="T148" s="1274"/>
      <c r="U148" s="1382"/>
      <c r="V148" s="1382"/>
      <c r="W148" s="1382"/>
      <c r="X148" s="1382"/>
      <c r="Y148" s="1382"/>
      <c r="Z148" s="1382"/>
      <c r="AA148" s="1382"/>
      <c r="AB148" s="1382"/>
      <c r="AC148" s="1382"/>
      <c r="AD148" s="1382"/>
      <c r="AE148" s="1382"/>
      <c r="AF148" s="1382"/>
      <c r="AG148" s="1382"/>
      <c r="AH148" s="1382"/>
      <c r="AI148" s="1382"/>
      <c r="AJ148" s="1382"/>
      <c r="AK148" s="181"/>
      <c r="AL148" s="181"/>
      <c r="AM148" s="181"/>
      <c r="AN148" s="181"/>
      <c r="AO148" s="181"/>
      <c r="AP148" s="181"/>
      <c r="AQ148" s="181"/>
      <c r="AR148" s="181"/>
      <c r="AS148" s="181"/>
      <c r="AT148" s="181"/>
      <c r="AU148" s="181"/>
      <c r="AV148" s="181"/>
      <c r="AW148" s="181"/>
    </row>
    <row r="149" spans="1:49" s="30" customFormat="1" hidden="1" x14ac:dyDescent="0.25">
      <c r="A149" s="1407" t="str">
        <f>IF(COUNTIF('04 - 95% CD'!D149:G149,"Y")&gt;0,"Y",IF(COUNTIF('04 - 95% CD'!D149:G149,"N"),"N",""))</f>
        <v>Y</v>
      </c>
      <c r="B149" s="191"/>
      <c r="C149" s="944"/>
      <c r="D149" s="321"/>
      <c r="E149" s="559" t="str">
        <f>IF('C-Design&amp;Const'!$S149="","",'C-Design&amp;Const'!$S149)</f>
        <v>N</v>
      </c>
      <c r="F149" s="560"/>
      <c r="G149" s="558"/>
      <c r="H149" s="761" t="str">
        <f>CONCATENATE(IF(ISNUMBER(SEARCH("Placeholder",'C-Design&amp;Const'!Z149))=TRUE,"",IF(E149="N","PLACEHOLDER ROW - ","")),'C-Design&amp;Const'!Z149,IF(E149="N","",J149))</f>
        <v xml:space="preserve">PLACEHOLDER ROW - Hydraulic Analysis for fire protection - ** calculations available upon request </v>
      </c>
      <c r="I149" s="186"/>
      <c r="J149" s="609" t="str">
        <f>IF('C-Design&amp;Const'!AJ149="","",'C-Design&amp;Const'!AJ149)</f>
        <v/>
      </c>
      <c r="K149" s="285" t="str">
        <f t="shared" si="8"/>
        <v>no 95% match</v>
      </c>
      <c r="L149" s="1410" t="str">
        <f t="shared" si="9"/>
        <v>&lt;---PM/Planner may hide PLACEHOLDER ROW</v>
      </c>
      <c r="M149" s="1382"/>
      <c r="N149" s="1382"/>
      <c r="O149" s="1382"/>
      <c r="P149" s="1382"/>
      <c r="Q149" s="1382"/>
      <c r="R149" s="1490"/>
      <c r="S149" s="1274"/>
      <c r="T149" s="1274"/>
      <c r="U149" s="1382"/>
      <c r="V149" s="1382"/>
      <c r="W149" s="1382"/>
      <c r="X149" s="1382"/>
      <c r="Y149" s="1382"/>
      <c r="Z149" s="1382"/>
      <c r="AA149" s="1382"/>
      <c r="AB149" s="1382"/>
      <c r="AC149" s="1382"/>
      <c r="AD149" s="1382"/>
      <c r="AE149" s="1382"/>
      <c r="AF149" s="1382"/>
      <c r="AG149" s="1382"/>
      <c r="AH149" s="1382"/>
      <c r="AI149" s="1382"/>
      <c r="AJ149" s="1382"/>
      <c r="AK149" s="181"/>
      <c r="AL149" s="181"/>
      <c r="AM149" s="181"/>
      <c r="AN149" s="181"/>
      <c r="AO149" s="181"/>
      <c r="AP149" s="181"/>
      <c r="AQ149" s="181"/>
      <c r="AR149" s="181"/>
      <c r="AS149" s="181"/>
      <c r="AT149" s="181"/>
      <c r="AU149" s="181"/>
      <c r="AV149" s="181"/>
      <c r="AW149" s="181"/>
    </row>
    <row r="150" spans="1:49" s="30" customFormat="1" hidden="1" x14ac:dyDescent="0.25">
      <c r="A150" s="1407" t="str">
        <f>IF(COUNTIF('04 - 95% CD'!D150:G150,"Y")&gt;0,"Y",IF(COUNTIF('04 - 95% CD'!D150:G150,"N"),"N",""))</f>
        <v>N</v>
      </c>
      <c r="B150" s="191"/>
      <c r="C150" s="944"/>
      <c r="D150" s="321"/>
      <c r="E150" s="559" t="str">
        <f>IF('C-Design&amp;Const'!$S150="","",'C-Design&amp;Const'!$S150)</f>
        <v>N</v>
      </c>
      <c r="F150" s="560"/>
      <c r="G150" s="558"/>
      <c r="H150" s="761" t="str">
        <f>CONCATENATE(IF(ISNUMBER(SEARCH("Placeholder",'C-Design&amp;Const'!Z150))=TRUE,"",IF(E150="N","PLACEHOLDER ROW - ","")),'C-Design&amp;Const'!Z150,IF(E150="N","",J150))</f>
        <v>PLACEHOLDER ROW - Harmonic Analysis Report for VFDs (N/A till construction)</v>
      </c>
      <c r="I150" s="186"/>
      <c r="J150" s="609" t="str">
        <f>IF('C-Design&amp;Const'!AJ150="","",'C-Design&amp;Const'!AJ150)</f>
        <v/>
      </c>
      <c r="K150" s="285" t="str">
        <f t="shared" si="8"/>
        <v>match</v>
      </c>
      <c r="L150" s="1410" t="str">
        <f t="shared" si="9"/>
        <v>&lt;---PM/Planner may hide PLACEHOLDER ROW</v>
      </c>
      <c r="M150" s="1382"/>
      <c r="N150" s="1382"/>
      <c r="O150" s="1382"/>
      <c r="P150" s="1382"/>
      <c r="Q150" s="1382"/>
      <c r="R150" s="1490"/>
      <c r="S150" s="1274"/>
      <c r="T150" s="1274"/>
      <c r="U150" s="1382"/>
      <c r="V150" s="1382"/>
      <c r="W150" s="1382"/>
      <c r="X150" s="1382"/>
      <c r="Y150" s="1382"/>
      <c r="Z150" s="1382"/>
      <c r="AA150" s="1382"/>
      <c r="AB150" s="1382"/>
      <c r="AC150" s="1382"/>
      <c r="AD150" s="1382"/>
      <c r="AE150" s="1382"/>
      <c r="AF150" s="1382"/>
      <c r="AG150" s="1382"/>
      <c r="AH150" s="1382"/>
      <c r="AI150" s="1382"/>
      <c r="AJ150" s="1382"/>
      <c r="AK150" s="181"/>
      <c r="AL150" s="181"/>
      <c r="AM150" s="181"/>
      <c r="AN150" s="181"/>
      <c r="AO150" s="181"/>
      <c r="AP150" s="181"/>
      <c r="AQ150" s="181"/>
      <c r="AR150" s="181"/>
      <c r="AS150" s="181"/>
      <c r="AT150" s="181"/>
      <c r="AU150" s="181"/>
      <c r="AV150" s="181"/>
      <c r="AW150" s="181"/>
    </row>
    <row r="151" spans="1:49" s="30" customFormat="1" ht="28.5" hidden="1" x14ac:dyDescent="0.25">
      <c r="A151" s="1407" t="str">
        <f>IF(COUNTIF('04 - 95% CD'!D151:G151,"Y")&gt;0,"Y",IF(COUNTIF('04 - 95% CD'!D151:G151,"N"),"N",""))</f>
        <v>Y</v>
      </c>
      <c r="B151" s="191"/>
      <c r="C151" s="944"/>
      <c r="D151" s="321"/>
      <c r="E151" s="559" t="str">
        <f>IF('C-Design&amp;Const'!$S151="","",'C-Design&amp;Const'!$S151)</f>
        <v>N</v>
      </c>
      <c r="F151" s="560"/>
      <c r="G151" s="558"/>
      <c r="H151" s="761" t="str">
        <f>CONCATENATE(IF(ISNUMBER(SEARCH("Placeholder",'C-Design&amp;Const'!Z151))=TRUE,"",IF(E151="N","PLACEHOLDER ROW - ","")),'C-Design&amp;Const'!Z151,IF(E151="N","",J151))</f>
        <v xml:space="preserve">PLACEHOLDER ROW - Results of Emergency Generator Load Calculation - ** calculations available upon request </v>
      </c>
      <c r="I151" s="186"/>
      <c r="J151" s="609" t="str">
        <f>IF('C-Design&amp;Const'!AJ151="","",'C-Design&amp;Const'!AJ151)</f>
        <v/>
      </c>
      <c r="K151" s="285" t="str">
        <f t="shared" si="8"/>
        <v>no 95% match</v>
      </c>
      <c r="L151" s="1410" t="str">
        <f t="shared" si="9"/>
        <v>&lt;---PM/Planner may hide PLACEHOLDER ROW</v>
      </c>
      <c r="M151" s="1382"/>
      <c r="N151" s="1382"/>
      <c r="O151" s="1382"/>
      <c r="P151" s="1382"/>
      <c r="Q151" s="1382"/>
      <c r="R151" s="1490"/>
      <c r="S151" s="1274"/>
      <c r="T151" s="1274"/>
      <c r="U151" s="1382"/>
      <c r="V151" s="1382"/>
      <c r="W151" s="1382"/>
      <c r="X151" s="1382"/>
      <c r="Y151" s="1382"/>
      <c r="Z151" s="1382"/>
      <c r="AA151" s="1382"/>
      <c r="AB151" s="1382"/>
      <c r="AC151" s="1382"/>
      <c r="AD151" s="1382"/>
      <c r="AE151" s="1382"/>
      <c r="AF151" s="1382"/>
      <c r="AG151" s="1382"/>
      <c r="AH151" s="1382"/>
      <c r="AI151" s="1382"/>
      <c r="AJ151" s="1382"/>
      <c r="AK151" s="181"/>
      <c r="AL151" s="181"/>
      <c r="AM151" s="181"/>
      <c r="AN151" s="181"/>
      <c r="AO151" s="181"/>
      <c r="AP151" s="181"/>
      <c r="AQ151" s="181"/>
      <c r="AR151" s="181"/>
      <c r="AS151" s="181"/>
      <c r="AT151" s="181"/>
      <c r="AU151" s="181"/>
      <c r="AV151" s="181"/>
      <c r="AW151" s="181"/>
    </row>
    <row r="152" spans="1:49" s="30" customFormat="1" hidden="1" x14ac:dyDescent="0.25">
      <c r="A152" s="1407" t="str">
        <f>IF(COUNTIF('04 - 95% CD'!D152:G152,"Y")&gt;0,"Y",IF(COUNTIF('04 - 95% CD'!D152:G152,"N"),"N",""))</f>
        <v>N</v>
      </c>
      <c r="B152" s="191"/>
      <c r="C152" s="944"/>
      <c r="D152" s="321"/>
      <c r="E152" s="559" t="str">
        <f>IF('C-Design&amp;Const'!$S152="","",'C-Design&amp;Const'!$S152)</f>
        <v>N</v>
      </c>
      <c r="F152" s="560"/>
      <c r="G152" s="558"/>
      <c r="H152" s="761" t="str">
        <f>CONCATENATE(IF(ISNUMBER(SEARCH("Placeholder",'C-Design&amp;Const'!Z152))=TRUE,"",IF(E152="N","PLACEHOLDER ROW - ","")),'C-Design&amp;Const'!Z152,IF(E152="N","",J152))</f>
        <v>PLACEHOLDER ROW - CUSTOM ROW - OPTIONAL CLIENT ITEM</v>
      </c>
      <c r="I152" s="186"/>
      <c r="J152" s="609" t="str">
        <f>IF('C-Design&amp;Const'!AJ152="","",'C-Design&amp;Const'!AJ152)</f>
        <v/>
      </c>
      <c r="K152" s="285" t="str">
        <f t="shared" si="8"/>
        <v>match</v>
      </c>
      <c r="L152" s="1410" t="str">
        <f t="shared" si="9"/>
        <v>&lt;---PM/Planner may hide PLACEHOLDER ROW</v>
      </c>
      <c r="M152" s="1382"/>
      <c r="N152" s="1382"/>
      <c r="O152" s="1382"/>
      <c r="P152" s="1382"/>
      <c r="Q152" s="1382"/>
      <c r="R152" s="1490"/>
      <c r="S152" s="1274"/>
      <c r="T152" s="1274"/>
      <c r="U152" s="1382"/>
      <c r="V152" s="1382"/>
      <c r="W152" s="1382"/>
      <c r="X152" s="1382"/>
      <c r="Y152" s="1382"/>
      <c r="Z152" s="1382"/>
      <c r="AA152" s="1382"/>
      <c r="AB152" s="1382"/>
      <c r="AC152" s="1382"/>
      <c r="AD152" s="1382"/>
      <c r="AE152" s="1382"/>
      <c r="AF152" s="1382"/>
      <c r="AG152" s="1382"/>
      <c r="AH152" s="1382"/>
      <c r="AI152" s="1382"/>
      <c r="AJ152" s="1382"/>
      <c r="AK152" s="181"/>
      <c r="AL152" s="181"/>
      <c r="AM152" s="181"/>
      <c r="AN152" s="181"/>
      <c r="AO152" s="181"/>
      <c r="AP152" s="181"/>
      <c r="AQ152" s="181"/>
      <c r="AR152" s="181"/>
      <c r="AS152" s="181"/>
      <c r="AT152" s="181"/>
      <c r="AU152" s="181"/>
      <c r="AV152" s="181"/>
      <c r="AW152" s="181"/>
    </row>
    <row r="153" spans="1:49" s="30" customFormat="1" ht="18.75" hidden="1" customHeight="1" x14ac:dyDescent="0.25">
      <c r="A153" s="1407" t="str">
        <f>IF(COUNTIF('04 - 95% CD'!D153:G153,"Y")&gt;0,"Y",IF(COUNTIF('04 - 95% CD'!D153:G153,"N"),"N",""))</f>
        <v>Y</v>
      </c>
      <c r="B153" s="191"/>
      <c r="C153" s="944"/>
      <c r="D153" s="321"/>
      <c r="E153" s="559" t="str">
        <f>IF('C-Design&amp;Const'!$S153="","",'C-Design&amp;Const'!$S153)</f>
        <v>N</v>
      </c>
      <c r="F153" s="560"/>
      <c r="G153" s="558"/>
      <c r="H153" s="761" t="str">
        <f>CONCATENATE(IF(ISNUMBER(SEARCH("Placeholder",'C-Design&amp;Const'!Z153))=TRUE,"",IF(E153="N","PLACEHOLDER ROW - ","")),'C-Design&amp;Const'!Z153,IF(E153="N","",J153))</f>
        <v xml:space="preserve">PLACEHOLDER ROW - Results of Transformer Load Calculation -** calculations available upon request </v>
      </c>
      <c r="I153" s="186"/>
      <c r="J153" s="609" t="str">
        <f>IF('C-Design&amp;Const'!AJ153="","",'C-Design&amp;Const'!AJ153)</f>
        <v/>
      </c>
      <c r="K153" s="285" t="str">
        <f t="shared" si="8"/>
        <v>no 95% match</v>
      </c>
      <c r="L153" s="1410" t="str">
        <f t="shared" si="9"/>
        <v>&lt;---PM/Planner may hide PLACEHOLDER ROW</v>
      </c>
      <c r="M153" s="1382"/>
      <c r="N153" s="1382"/>
      <c r="O153" s="1382"/>
      <c r="P153" s="1382"/>
      <c r="Q153" s="1382"/>
      <c r="R153" s="1490"/>
      <c r="S153" s="1274"/>
      <c r="T153" s="1274"/>
      <c r="U153" s="1382"/>
      <c r="V153" s="1382"/>
      <c r="W153" s="1382"/>
      <c r="X153" s="1382"/>
      <c r="Y153" s="1382"/>
      <c r="Z153" s="1382"/>
      <c r="AA153" s="1382"/>
      <c r="AB153" s="1382"/>
      <c r="AC153" s="1382"/>
      <c r="AD153" s="1382"/>
      <c r="AE153" s="1382"/>
      <c r="AF153" s="1382"/>
      <c r="AG153" s="1382"/>
      <c r="AH153" s="1382"/>
      <c r="AI153" s="1382"/>
      <c r="AJ153" s="1382"/>
      <c r="AK153" s="181"/>
      <c r="AL153" s="181"/>
      <c r="AM153" s="181"/>
      <c r="AN153" s="181"/>
      <c r="AO153" s="181"/>
      <c r="AP153" s="181"/>
      <c r="AQ153" s="181"/>
      <c r="AR153" s="181"/>
      <c r="AS153" s="181"/>
      <c r="AT153" s="181"/>
      <c r="AU153" s="181"/>
      <c r="AV153" s="181"/>
      <c r="AW153" s="181"/>
    </row>
    <row r="154" spans="1:49" s="30" customFormat="1" ht="29.25" hidden="1" customHeight="1" x14ac:dyDescent="0.25">
      <c r="A154" s="1407" t="str">
        <f>IF(COUNTIF('04 - 95% CD'!D154:G154,"Y")&gt;0,"Y",IF(COUNTIF('04 - 95% CD'!D154:G154,"N"),"N",""))</f>
        <v>Y</v>
      </c>
      <c r="B154" s="191"/>
      <c r="C154" s="944"/>
      <c r="D154" s="321"/>
      <c r="E154" s="559" t="str">
        <f>IF('C-Design&amp;Const'!$S154="","",'C-Design&amp;Const'!$S154)</f>
        <v>N</v>
      </c>
      <c r="F154" s="560"/>
      <c r="G154" s="558"/>
      <c r="H154" s="761" t="str">
        <f>CONCATENATE(IF(ISNUMBER(SEARCH("Placeholder",'C-Design&amp;Const'!Z154))=TRUE,"",IF(E154="N","PLACEHOLDER ROW - ","")),'C-Design&amp;Const'!Z154,IF(E154="N","",J154))</f>
        <v xml:space="preserve">PLACEHOLDER ROW - Results of Short-Circuit (Fault) Analysis of Building Electrical System- ** calculations available upon request </v>
      </c>
      <c r="I154" s="186"/>
      <c r="J154" s="609" t="str">
        <f>IF('C-Design&amp;Const'!AJ154="","",'C-Design&amp;Const'!AJ154)</f>
        <v/>
      </c>
      <c r="K154" s="285" t="str">
        <f t="shared" si="8"/>
        <v>no 95% match</v>
      </c>
      <c r="L154" s="1410" t="str">
        <f t="shared" si="9"/>
        <v>&lt;---PM/Planner may hide PLACEHOLDER ROW</v>
      </c>
      <c r="M154" s="1382"/>
      <c r="N154" s="1382"/>
      <c r="O154" s="1382"/>
      <c r="P154" s="1382"/>
      <c r="Q154" s="1382"/>
      <c r="R154" s="1490"/>
      <c r="S154" s="1274"/>
      <c r="T154" s="1274"/>
      <c r="U154" s="1382"/>
      <c r="V154" s="1382"/>
      <c r="W154" s="1382"/>
      <c r="X154" s="1382"/>
      <c r="Y154" s="1382"/>
      <c r="Z154" s="1382"/>
      <c r="AA154" s="1382"/>
      <c r="AB154" s="1382"/>
      <c r="AC154" s="1382"/>
      <c r="AD154" s="1382"/>
      <c r="AE154" s="1382"/>
      <c r="AF154" s="1382"/>
      <c r="AG154" s="1382"/>
      <c r="AH154" s="1382"/>
      <c r="AI154" s="1382"/>
      <c r="AJ154" s="1382"/>
      <c r="AK154" s="181"/>
      <c r="AL154" s="181"/>
      <c r="AM154" s="181"/>
      <c r="AN154" s="181"/>
      <c r="AO154" s="181"/>
      <c r="AP154" s="181"/>
      <c r="AQ154" s="181"/>
      <c r="AR154" s="181"/>
      <c r="AS154" s="181"/>
      <c r="AT154" s="181"/>
      <c r="AU154" s="181"/>
      <c r="AV154" s="181"/>
      <c r="AW154" s="181"/>
    </row>
    <row r="155" spans="1:49" s="30" customFormat="1" ht="28.5" hidden="1" x14ac:dyDescent="0.25">
      <c r="A155" s="1407" t="str">
        <f>IF(COUNTIF('04 - 95% CD'!D155:G155,"Y")&gt;0,"Y",IF(COUNTIF('04 - 95% CD'!D155:G155,"N"),"N",""))</f>
        <v>Y</v>
      </c>
      <c r="B155" s="191"/>
      <c r="C155" s="944"/>
      <c r="D155" s="321"/>
      <c r="E155" s="559" t="str">
        <f>IF('C-Design&amp;Const'!$S155="","",'C-Design&amp;Const'!$S155)</f>
        <v>N</v>
      </c>
      <c r="F155" s="560"/>
      <c r="G155" s="558"/>
      <c r="H155" s="761" t="str">
        <f>CONCATENATE(IF(ISNUMBER(SEARCH("Placeholder",'C-Design&amp;Const'!Z155))=TRUE,"",IF(E155="N","PLACEHOLDER ROW - ","")),'C-Design&amp;Const'!Z155,IF(E155="N","",J155))</f>
        <v xml:space="preserve">PLACEHOLDER ROW - Extensions of Primary Electrical Distribution-** calculations available upon request </v>
      </c>
      <c r="I155" s="186"/>
      <c r="J155" s="609" t="str">
        <f>IF('C-Design&amp;Const'!AJ155="","",'C-Design&amp;Const'!AJ155)</f>
        <v/>
      </c>
      <c r="K155" s="285" t="str">
        <f t="shared" si="8"/>
        <v>no 95% match</v>
      </c>
      <c r="L155" s="1410" t="str">
        <f t="shared" si="9"/>
        <v>&lt;---PM/Planner may hide PLACEHOLDER ROW</v>
      </c>
      <c r="M155" s="1382"/>
      <c r="N155" s="1382"/>
      <c r="O155" s="1382"/>
      <c r="P155" s="1382"/>
      <c r="Q155" s="1382"/>
      <c r="R155" s="1490"/>
      <c r="S155" s="1274"/>
      <c r="T155" s="1274"/>
      <c r="U155" s="1382"/>
      <c r="V155" s="1382"/>
      <c r="W155" s="1382"/>
      <c r="X155" s="1382"/>
      <c r="Y155" s="1382"/>
      <c r="Z155" s="1382"/>
      <c r="AA155" s="1382"/>
      <c r="AB155" s="1382"/>
      <c r="AC155" s="1382"/>
      <c r="AD155" s="1382"/>
      <c r="AE155" s="1382"/>
      <c r="AF155" s="1382"/>
      <c r="AG155" s="1382"/>
      <c r="AH155" s="1382"/>
      <c r="AI155" s="1382"/>
      <c r="AJ155" s="1382"/>
      <c r="AK155" s="181"/>
      <c r="AL155" s="181"/>
      <c r="AM155" s="181"/>
      <c r="AN155" s="181"/>
      <c r="AO155" s="181"/>
      <c r="AP155" s="181"/>
      <c r="AQ155" s="181"/>
      <c r="AR155" s="181"/>
      <c r="AS155" s="181"/>
      <c r="AT155" s="181"/>
      <c r="AU155" s="181"/>
      <c r="AV155" s="181"/>
      <c r="AW155" s="181"/>
    </row>
    <row r="156" spans="1:49" s="30" customFormat="1" ht="42" hidden="1" customHeight="1" x14ac:dyDescent="0.25">
      <c r="A156" s="1407" t="str">
        <f>IF(COUNTIF('04 - 95% CD'!D156:G156,"Y")&gt;0,"Y",IF(COUNTIF('04 - 95% CD'!D156:G156,"N"),"N",""))</f>
        <v>Y</v>
      </c>
      <c r="B156" s="191"/>
      <c r="C156" s="944"/>
      <c r="D156" s="321"/>
      <c r="E156" s="559" t="str">
        <f>IF('C-Design&amp;Const'!$S156="","",'C-Design&amp;Const'!$S156)</f>
        <v>N</v>
      </c>
      <c r="F156" s="560"/>
      <c r="G156" s="558"/>
      <c r="H156" s="761" t="str">
        <f>CONCATENATE(IF(ISNUMBER(SEARCH("Placeholder",'C-Design&amp;Const'!Z156))=TRUE,"",IF(E156="N","PLACEHOLDER ROW - ","")),'C-Design&amp;Const'!Z156,IF(E156="N","",J156))</f>
        <v xml:space="preserve">PLACEHOLDER ROW - Results of Proposed Lighting Power Density Calculation (output from COMcheck software or similar) showing Compliance with Energy Codes and Standards -** calculations available upon request </v>
      </c>
      <c r="I156" s="186"/>
      <c r="J156" s="609" t="str">
        <f>IF('C-Design&amp;Const'!AJ156="","",'C-Design&amp;Const'!AJ156)</f>
        <v/>
      </c>
      <c r="K156" s="285" t="str">
        <f t="shared" si="8"/>
        <v>no 95% match</v>
      </c>
      <c r="L156" s="1410" t="str">
        <f t="shared" si="9"/>
        <v>&lt;---PM/Planner may hide PLACEHOLDER ROW</v>
      </c>
      <c r="M156" s="1382"/>
      <c r="N156" s="1382"/>
      <c r="O156" s="1382"/>
      <c r="P156" s="1382"/>
      <c r="Q156" s="1382"/>
      <c r="R156" s="1490"/>
      <c r="S156" s="1274"/>
      <c r="T156" s="1274"/>
      <c r="U156" s="1382"/>
      <c r="V156" s="1382"/>
      <c r="W156" s="1382"/>
      <c r="X156" s="1382"/>
      <c r="Y156" s="1382"/>
      <c r="Z156" s="1382"/>
      <c r="AA156" s="1382"/>
      <c r="AB156" s="1382"/>
      <c r="AC156" s="1382"/>
      <c r="AD156" s="1382"/>
      <c r="AE156" s="1382"/>
      <c r="AF156" s="1382"/>
      <c r="AG156" s="1382"/>
      <c r="AH156" s="1382"/>
      <c r="AI156" s="1382"/>
      <c r="AJ156" s="1382"/>
      <c r="AK156" s="181"/>
      <c r="AL156" s="181"/>
      <c r="AM156" s="181"/>
      <c r="AN156" s="181"/>
      <c r="AO156" s="181"/>
      <c r="AP156" s="181"/>
      <c r="AQ156" s="181"/>
      <c r="AR156" s="181"/>
      <c r="AS156" s="181"/>
      <c r="AT156" s="181"/>
      <c r="AU156" s="181"/>
      <c r="AV156" s="181"/>
      <c r="AW156" s="181"/>
    </row>
    <row r="157" spans="1:49" s="30" customFormat="1" ht="28.5" hidden="1" x14ac:dyDescent="0.25">
      <c r="A157" s="1407" t="str">
        <f>IF(COUNTIF('04 - 95% CD'!D157:G157,"Y")&gt;0,"Y",IF(COUNTIF('04 - 95% CD'!D157:G157,"N"),"N",""))</f>
        <v>Y</v>
      </c>
      <c r="B157" s="191"/>
      <c r="C157" s="944"/>
      <c r="D157" s="321"/>
      <c r="E157" s="559" t="str">
        <f>IF('C-Design&amp;Const'!$S157="","",'C-Design&amp;Const'!$S157)</f>
        <v>N</v>
      </c>
      <c r="F157" s="560"/>
      <c r="G157" s="558"/>
      <c r="H157" s="761" t="str">
        <f>CONCATENATE(IF(ISNUMBER(SEARCH("Placeholder",'C-Design&amp;Const'!Z157))=TRUE,"",IF(E157="N","PLACEHOLDER ROW - ","")),'C-Design&amp;Const'!Z157,IF(E157="N","",J157))</f>
        <v>PLACEHOLDER ROW - Results of Point-by-Point Exterior Lighting Calculations Showing Compliance with IESNA Recommendations</v>
      </c>
      <c r="I157" s="186"/>
      <c r="J157" s="609" t="str">
        <f>IF('C-Design&amp;Const'!AJ157="","",'C-Design&amp;Const'!AJ157)</f>
        <v/>
      </c>
      <c r="K157" s="285" t="str">
        <f t="shared" si="8"/>
        <v>no 95% match</v>
      </c>
      <c r="L157" s="1410" t="str">
        <f t="shared" si="9"/>
        <v>&lt;---PM/Planner may hide PLACEHOLDER ROW</v>
      </c>
      <c r="M157" s="1382"/>
      <c r="N157" s="1382"/>
      <c r="O157" s="1382"/>
      <c r="P157" s="1382"/>
      <c r="Q157" s="1382"/>
      <c r="R157" s="1490"/>
      <c r="S157" s="1274"/>
      <c r="T157" s="1274"/>
      <c r="U157" s="1382"/>
      <c r="V157" s="1382"/>
      <c r="W157" s="1382"/>
      <c r="X157" s="1382"/>
      <c r="Y157" s="1382"/>
      <c r="Z157" s="1382"/>
      <c r="AA157" s="1382"/>
      <c r="AB157" s="1382"/>
      <c r="AC157" s="1382"/>
      <c r="AD157" s="1382"/>
      <c r="AE157" s="1382"/>
      <c r="AF157" s="1382"/>
      <c r="AG157" s="1382"/>
      <c r="AH157" s="1382"/>
      <c r="AI157" s="1382"/>
      <c r="AJ157" s="1382"/>
      <c r="AK157" s="181"/>
      <c r="AL157" s="181"/>
      <c r="AM157" s="181"/>
      <c r="AN157" s="181"/>
      <c r="AO157" s="181"/>
      <c r="AP157" s="181"/>
      <c r="AQ157" s="181"/>
      <c r="AR157" s="181"/>
      <c r="AS157" s="181"/>
      <c r="AT157" s="181"/>
      <c r="AU157" s="181"/>
      <c r="AV157" s="181"/>
      <c r="AW157" s="181"/>
    </row>
    <row r="158" spans="1:49" s="30" customFormat="1" hidden="1" x14ac:dyDescent="0.25">
      <c r="A158" s="1407" t="str">
        <f>IF(COUNTIF('04 - 95% CD'!D158:G158,"Y")&gt;0,"Y",IF(COUNTIF('04 - 95% CD'!D158:G158,"N"),"N",""))</f>
        <v>Y</v>
      </c>
      <c r="B158" s="191"/>
      <c r="C158" s="944"/>
      <c r="D158" s="321"/>
      <c r="E158" s="559" t="str">
        <f>IF('C-Design&amp;Const'!$S158="","",'C-Design&amp;Const'!$S158)</f>
        <v>N</v>
      </c>
      <c r="F158" s="560"/>
      <c r="G158" s="558"/>
      <c r="H158" s="761" t="str">
        <f>CONCATENATE(IF(ISNUMBER(SEARCH("Placeholder",'C-Design&amp;Const'!Z158))=TRUE,"",IF(E158="N","PLACEHOLDER ROW - ","")),'C-Design&amp;Const'!Z158,IF(E158="N","",J158))</f>
        <v>PLACEHOLDER ROW - Results of Point-by-Point Interior Lighting Calculations for Each Typical Space</v>
      </c>
      <c r="I158" s="186"/>
      <c r="J158" s="609" t="str">
        <f>IF('C-Design&amp;Const'!AJ158="","",'C-Design&amp;Const'!AJ158)</f>
        <v/>
      </c>
      <c r="K158" s="285" t="str">
        <f t="shared" si="8"/>
        <v>no 95% match</v>
      </c>
      <c r="L158" s="1410" t="str">
        <f t="shared" si="9"/>
        <v>&lt;---PM/Planner may hide PLACEHOLDER ROW</v>
      </c>
      <c r="M158" s="1382"/>
      <c r="N158" s="1382"/>
      <c r="O158" s="1382"/>
      <c r="P158" s="1382"/>
      <c r="Q158" s="1382"/>
      <c r="R158" s="1490"/>
      <c r="S158" s="1274"/>
      <c r="T158" s="1274"/>
      <c r="U158" s="1382"/>
      <c r="V158" s="1382"/>
      <c r="W158" s="1382"/>
      <c r="X158" s="1382"/>
      <c r="Y158" s="1382"/>
      <c r="Z158" s="1382"/>
      <c r="AA158" s="1382"/>
      <c r="AB158" s="1382"/>
      <c r="AC158" s="1382"/>
      <c r="AD158" s="1382"/>
      <c r="AE158" s="1382"/>
      <c r="AF158" s="1382"/>
      <c r="AG158" s="1382"/>
      <c r="AH158" s="1382"/>
      <c r="AI158" s="1382"/>
      <c r="AJ158" s="1382"/>
      <c r="AK158" s="181"/>
      <c r="AL158" s="181"/>
      <c r="AM158" s="181"/>
      <c r="AN158" s="181"/>
      <c r="AO158" s="181"/>
      <c r="AP158" s="181"/>
      <c r="AQ158" s="181"/>
      <c r="AR158" s="181"/>
      <c r="AS158" s="181"/>
      <c r="AT158" s="181"/>
      <c r="AU158" s="181"/>
      <c r="AV158" s="181"/>
      <c r="AW158" s="181"/>
    </row>
    <row r="159" spans="1:49" s="30" customFormat="1" hidden="1" x14ac:dyDescent="0.25">
      <c r="A159" s="1407" t="str">
        <f>IF(COUNTIF('04 - 95% CD'!D159:G159,"Y")&gt;0,"Y",IF(COUNTIF('04 - 95% CD'!D159:G159,"N"),"N",""))</f>
        <v>Y</v>
      </c>
      <c r="B159" s="191"/>
      <c r="C159" s="944"/>
      <c r="D159" s="321"/>
      <c r="E159" s="559" t="str">
        <f>IF('C-Design&amp;Const'!$S159="","",'C-Design&amp;Const'!$S159)</f>
        <v>N</v>
      </c>
      <c r="F159" s="560"/>
      <c r="G159" s="558"/>
      <c r="H159" s="761" t="str">
        <f>CONCATENATE(IF(ISNUMBER(SEARCH("Placeholder",'C-Design&amp;Const'!Z159))=TRUE,"",IF(E159="N","PLACEHOLDER ROW - ","")),'C-Design&amp;Const'!Z159,IF(E159="N","",J159))</f>
        <v xml:space="preserve">PLACEHOLDER ROW - Extensions of Primary Building Automation Systems </v>
      </c>
      <c r="I159" s="186"/>
      <c r="J159" s="609" t="str">
        <f>IF('C-Design&amp;Const'!AJ159="","",'C-Design&amp;Const'!AJ159)</f>
        <v/>
      </c>
      <c r="K159" s="285" t="str">
        <f t="shared" si="8"/>
        <v>no 95% match</v>
      </c>
      <c r="L159" s="1410" t="str">
        <f t="shared" si="9"/>
        <v>&lt;---PM/Planner may hide PLACEHOLDER ROW</v>
      </c>
      <c r="M159" s="1382"/>
      <c r="N159" s="1382"/>
      <c r="O159" s="1382"/>
      <c r="P159" s="1382"/>
      <c r="Q159" s="1382"/>
      <c r="R159" s="1490"/>
      <c r="S159" s="1274"/>
      <c r="T159" s="1274"/>
      <c r="U159" s="1382"/>
      <c r="V159" s="1382"/>
      <c r="W159" s="1382"/>
      <c r="X159" s="1382"/>
      <c r="Y159" s="1382"/>
      <c r="Z159" s="1382"/>
      <c r="AA159" s="1382"/>
      <c r="AB159" s="1382"/>
      <c r="AC159" s="1382"/>
      <c r="AD159" s="1382"/>
      <c r="AE159" s="1382"/>
      <c r="AF159" s="1382"/>
      <c r="AG159" s="1382"/>
      <c r="AH159" s="1382"/>
      <c r="AI159" s="1382"/>
      <c r="AJ159" s="1382"/>
      <c r="AK159" s="181"/>
      <c r="AL159" s="181"/>
      <c r="AM159" s="181"/>
      <c r="AN159" s="181"/>
      <c r="AO159" s="181"/>
      <c r="AP159" s="181"/>
      <c r="AQ159" s="181"/>
      <c r="AR159" s="181"/>
      <c r="AS159" s="181"/>
      <c r="AT159" s="181"/>
      <c r="AU159" s="181"/>
      <c r="AV159" s="181"/>
      <c r="AW159" s="181"/>
    </row>
    <row r="160" spans="1:49" s="30" customFormat="1" hidden="1" x14ac:dyDescent="0.25">
      <c r="A160" s="1407" t="str">
        <f>IF(COUNTIF('04 - 95% CD'!D160:G160,"Y")&gt;0,"Y",IF(COUNTIF('04 - 95% CD'!D160:G160,"N"),"N",""))</f>
        <v>N</v>
      </c>
      <c r="B160" s="191"/>
      <c r="C160" s="944"/>
      <c r="D160" s="321"/>
      <c r="E160" s="559" t="str">
        <f>IF('C-Design&amp;Const'!$S160="","",'C-Design&amp;Const'!$S160)</f>
        <v>N</v>
      </c>
      <c r="F160" s="560"/>
      <c r="G160" s="558"/>
      <c r="H160" s="1033" t="str">
        <f>'04 - 95% CD'!H160</f>
        <v>PLACEHOLDER ROW - IDNR Consultation (EcoCAT and results)</v>
      </c>
      <c r="I160" s="186"/>
      <c r="J160" s="609" t="str">
        <f>IF('C-Design&amp;Const'!AJ160="","",'C-Design&amp;Const'!AJ160)</f>
        <v/>
      </c>
      <c r="K160" s="285" t="str">
        <f t="shared" si="8"/>
        <v>match</v>
      </c>
      <c r="L160" s="1410" t="str">
        <f t="shared" si="9"/>
        <v>&lt;---PM/Planner may hide PLACEHOLDER ROW</v>
      </c>
      <c r="M160" s="1382"/>
      <c r="N160" s="1382"/>
      <c r="O160" s="1382"/>
      <c r="P160" s="1382"/>
      <c r="Q160" s="1382"/>
      <c r="R160" s="1490"/>
      <c r="S160" s="1274"/>
      <c r="T160" s="1274"/>
      <c r="U160" s="1382"/>
      <c r="V160" s="1382"/>
      <c r="W160" s="1382"/>
      <c r="X160" s="1382"/>
      <c r="Y160" s="1382"/>
      <c r="Z160" s="1382"/>
      <c r="AA160" s="1382"/>
      <c r="AB160" s="1382"/>
      <c r="AC160" s="1382"/>
      <c r="AD160" s="1382"/>
      <c r="AE160" s="1382"/>
      <c r="AF160" s="1382"/>
      <c r="AG160" s="1382"/>
      <c r="AH160" s="1382"/>
      <c r="AI160" s="1382"/>
      <c r="AJ160" s="1382"/>
      <c r="AK160" s="181"/>
      <c r="AL160" s="181"/>
      <c r="AM160" s="181"/>
      <c r="AN160" s="181"/>
      <c r="AO160" s="181"/>
      <c r="AP160" s="181"/>
      <c r="AQ160" s="181"/>
      <c r="AR160" s="181"/>
      <c r="AS160" s="181"/>
      <c r="AT160" s="181"/>
      <c r="AU160" s="181"/>
      <c r="AV160" s="181"/>
      <c r="AW160" s="181"/>
    </row>
    <row r="161" spans="1:50" s="30" customFormat="1" hidden="1" x14ac:dyDescent="0.25">
      <c r="A161" s="1407" t="str">
        <f>IF(COUNTIF('04 - 95% CD'!D161:G161,"Y")&gt;0,"Y",IF(COUNTIF('04 - 95% CD'!D161:G161,"N"),"N",""))</f>
        <v>N</v>
      </c>
      <c r="B161" s="191"/>
      <c r="C161" s="944"/>
      <c r="D161" s="321"/>
      <c r="E161" s="559" t="str">
        <f>IF('C-Design&amp;Const'!$S161="","",'C-Design&amp;Const'!$S161)</f>
        <v>N</v>
      </c>
      <c r="F161" s="560"/>
      <c r="G161" s="558"/>
      <c r="H161" s="1033" t="str">
        <f>'04 - 95% CD'!H161</f>
        <v>PLACEHOLDER ROW - Results of Environmental Impact Assessments or Statements</v>
      </c>
      <c r="I161" s="186"/>
      <c r="J161" s="609" t="str">
        <f>IF('C-Design&amp;Const'!AJ161="","",'C-Design&amp;Const'!AJ161)</f>
        <v xml:space="preserve">(Updates to) </v>
      </c>
      <c r="K161" s="285" t="str">
        <f t="shared" si="8"/>
        <v>match</v>
      </c>
      <c r="L161" s="1410" t="str">
        <f t="shared" si="9"/>
        <v>&lt;---PM/Planner may hide PLACEHOLDER ROW</v>
      </c>
      <c r="M161" s="1382"/>
      <c r="N161" s="1382"/>
      <c r="O161" s="1382"/>
      <c r="P161" s="1382"/>
      <c r="Q161" s="1382"/>
      <c r="R161" s="1490"/>
      <c r="S161" s="1274"/>
      <c r="T161" s="1274"/>
      <c r="U161" s="1382"/>
      <c r="V161" s="1382"/>
      <c r="W161" s="1382"/>
      <c r="X161" s="1382"/>
      <c r="Y161" s="1382"/>
      <c r="Z161" s="1382"/>
      <c r="AA161" s="1382"/>
      <c r="AB161" s="1382"/>
      <c r="AC161" s="1382"/>
      <c r="AD161" s="1382"/>
      <c r="AE161" s="1382"/>
      <c r="AF161" s="1382"/>
      <c r="AG161" s="1382"/>
      <c r="AH161" s="1382"/>
      <c r="AI161" s="1382"/>
      <c r="AJ161" s="1382"/>
      <c r="AK161" s="181"/>
      <c r="AL161" s="181"/>
      <c r="AM161" s="181"/>
      <c r="AN161" s="181"/>
      <c r="AO161" s="181"/>
      <c r="AP161" s="181"/>
      <c r="AQ161" s="181"/>
      <c r="AR161" s="181"/>
      <c r="AS161" s="181"/>
      <c r="AT161" s="181"/>
      <c r="AU161" s="181"/>
      <c r="AV161" s="181"/>
      <c r="AW161" s="181"/>
    </row>
    <row r="162" spans="1:50" s="30" customFormat="1" hidden="1" x14ac:dyDescent="0.25">
      <c r="A162" s="1407" t="str">
        <f>IF(COUNTIF('04 - 95% CD'!D162:G162,"Y")&gt;0,"Y",IF(COUNTIF('04 - 95% CD'!D162:G162,"N"),"N",""))</f>
        <v>N</v>
      </c>
      <c r="B162" s="191"/>
      <c r="C162" s="944"/>
      <c r="D162" s="321"/>
      <c r="E162" s="559" t="str">
        <f>IF('C-Design&amp;Const'!$S162="","",'C-Design&amp;Const'!$S162)</f>
        <v>N</v>
      </c>
      <c r="F162" s="560"/>
      <c r="G162" s="558"/>
      <c r="H162" s="1033" t="str">
        <f>'04 - 95% CD'!H162</f>
        <v>PLACEHOLDER ROW - Results of Archealogical Field Reports or Assessments</v>
      </c>
      <c r="I162" s="186"/>
      <c r="J162" s="609" t="str">
        <f>IF('C-Design&amp;Const'!AJ162="","",'C-Design&amp;Const'!AJ162)</f>
        <v xml:space="preserve">(Updates to) </v>
      </c>
      <c r="K162" s="285" t="str">
        <f t="shared" si="8"/>
        <v>match</v>
      </c>
      <c r="L162" s="1410" t="str">
        <f t="shared" si="9"/>
        <v>&lt;---PM/Planner may hide PLACEHOLDER ROW</v>
      </c>
      <c r="M162" s="1382"/>
      <c r="N162" s="1382"/>
      <c r="O162" s="1382"/>
      <c r="P162" s="1382"/>
      <c r="Q162" s="1382"/>
      <c r="R162" s="1490"/>
      <c r="S162" s="1274"/>
      <c r="T162" s="1274"/>
      <c r="U162" s="1382"/>
      <c r="V162" s="1382"/>
      <c r="W162" s="1382"/>
      <c r="X162" s="1382"/>
      <c r="Y162" s="1382"/>
      <c r="Z162" s="1382"/>
      <c r="AA162" s="1382"/>
      <c r="AB162" s="1382"/>
      <c r="AC162" s="1382"/>
      <c r="AD162" s="1382"/>
      <c r="AE162" s="1382"/>
      <c r="AF162" s="1382"/>
      <c r="AG162" s="1382"/>
      <c r="AH162" s="1382"/>
      <c r="AI162" s="1382"/>
      <c r="AJ162" s="1382"/>
      <c r="AK162" s="181"/>
      <c r="AL162" s="181"/>
      <c r="AM162" s="181"/>
      <c r="AN162" s="181"/>
      <c r="AO162" s="181"/>
      <c r="AP162" s="181"/>
      <c r="AQ162" s="181"/>
      <c r="AR162" s="181"/>
      <c r="AS162" s="181"/>
      <c r="AT162" s="181"/>
      <c r="AU162" s="181"/>
      <c r="AV162" s="181"/>
      <c r="AW162" s="181"/>
    </row>
    <row r="163" spans="1:50" s="30" customFormat="1" ht="15" hidden="1" customHeight="1" x14ac:dyDescent="0.2">
      <c r="A163" s="1407" t="str">
        <f>IF(COUNTIF('04 - 95% CD'!D163:G163,"Y")&gt;0,"Y",IF(COUNTIF('04 - 95% CD'!D163:G163,"N"),"N",""))</f>
        <v>N</v>
      </c>
      <c r="B163" s="191"/>
      <c r="C163" s="944"/>
      <c r="D163" s="463"/>
      <c r="E163" s="359" t="str">
        <f>IF('C-Design&amp;Const'!$S163="","",'C-Design&amp;Const'!$S163)</f>
        <v>N</v>
      </c>
      <c r="F163" s="235"/>
      <c r="G163" s="291"/>
      <c r="H163" s="761" t="str">
        <f>'04 - 95% CD'!H163</f>
        <v>PLACEHOLDER ROW - CUSTOM ROW - OPTIONAL CLIENT ITEM</v>
      </c>
      <c r="I163" s="184"/>
      <c r="J163" s="609" t="str">
        <f>IF('C-Design&amp;Const'!AJ163="","",'C-Design&amp;Const'!AJ163)</f>
        <v xml:space="preserve">(Updates to) </v>
      </c>
      <c r="K163" s="285" t="str">
        <f t="shared" si="8"/>
        <v>match</v>
      </c>
      <c r="L163" s="1410" t="str">
        <f t="shared" si="9"/>
        <v>&lt;---PM/Planner may hide PLACEHOLDER ROW</v>
      </c>
      <c r="M163" s="1382"/>
      <c r="N163" s="1382"/>
      <c r="O163" s="1382"/>
      <c r="P163" s="1382"/>
      <c r="Q163" s="1382"/>
      <c r="R163" s="1382"/>
      <c r="S163" s="1382"/>
      <c r="T163" s="1382"/>
      <c r="U163" s="1382"/>
      <c r="V163" s="1382"/>
      <c r="W163" s="1382"/>
      <c r="X163" s="1382"/>
      <c r="Y163" s="1382"/>
      <c r="Z163" s="1382"/>
      <c r="AA163" s="1382"/>
      <c r="AB163" s="1382"/>
      <c r="AC163" s="1382"/>
      <c r="AD163" s="1382"/>
      <c r="AE163" s="1382"/>
      <c r="AF163" s="1382"/>
      <c r="AG163" s="1382"/>
      <c r="AH163" s="1382"/>
      <c r="AI163" s="1382"/>
      <c r="AJ163" s="1382"/>
      <c r="AK163" s="181"/>
      <c r="AL163" s="181"/>
      <c r="AM163" s="181"/>
      <c r="AN163" s="181"/>
      <c r="AO163" s="181"/>
      <c r="AP163" s="181"/>
      <c r="AQ163" s="181"/>
      <c r="AR163" s="181"/>
      <c r="AS163" s="181"/>
      <c r="AT163" s="181"/>
      <c r="AU163" s="181"/>
      <c r="AV163" s="181"/>
      <c r="AW163" s="181"/>
    </row>
    <row r="164" spans="1:50" s="30" customFormat="1" ht="15" hidden="1" customHeight="1" x14ac:dyDescent="0.2">
      <c r="A164" s="1407" t="str">
        <f>IF(COUNTIF('04 - 95% CD'!D164:G164,"Y")&gt;0,"Y",IF(COUNTIF('04 - 95% CD'!D164:G164,"N"),"N",""))</f>
        <v>N</v>
      </c>
      <c r="B164" s="191"/>
      <c r="C164" s="944"/>
      <c r="D164" s="463"/>
      <c r="E164" s="359" t="str">
        <f>IF('C-Design&amp;Const'!$S164="","",'C-Design&amp;Const'!$S164)</f>
        <v>N</v>
      </c>
      <c r="F164" s="235"/>
      <c r="G164" s="291"/>
      <c r="H164" s="761" t="str">
        <f>'04 - 95% CD'!H164</f>
        <v>PLACEHOLDER ROW - CUSTOM ROW - OPTIONAL CLIENT ITEM</v>
      </c>
      <c r="I164" s="184"/>
      <c r="J164" s="609" t="str">
        <f>IF('C-Design&amp;Const'!AJ164="","",'C-Design&amp;Const'!AJ164)</f>
        <v xml:space="preserve">(Updates to) </v>
      </c>
      <c r="K164" s="285" t="str">
        <f t="shared" si="8"/>
        <v>match</v>
      </c>
      <c r="L164" s="1410" t="str">
        <f t="shared" si="9"/>
        <v>&lt;---PM/Planner may hide PLACEHOLDER ROW</v>
      </c>
      <c r="M164" s="1382"/>
      <c r="N164" s="1382"/>
      <c r="O164" s="1382"/>
      <c r="P164" s="1382"/>
      <c r="Q164" s="1382"/>
      <c r="R164" s="1382"/>
      <c r="S164" s="1382"/>
      <c r="T164" s="1382"/>
      <c r="U164" s="1382"/>
      <c r="V164" s="1382"/>
      <c r="W164" s="1382"/>
      <c r="X164" s="1382"/>
      <c r="Y164" s="1382"/>
      <c r="Z164" s="1382"/>
      <c r="AA164" s="1382"/>
      <c r="AB164" s="1382"/>
      <c r="AC164" s="1382"/>
      <c r="AD164" s="1382"/>
      <c r="AE164" s="1382"/>
      <c r="AF164" s="1382"/>
      <c r="AG164" s="1382"/>
      <c r="AH164" s="1382"/>
      <c r="AI164" s="1382"/>
      <c r="AJ164" s="1382"/>
      <c r="AK164" s="181"/>
      <c r="AL164" s="181"/>
      <c r="AM164" s="181"/>
      <c r="AN164" s="181"/>
      <c r="AO164" s="181"/>
      <c r="AP164" s="181"/>
      <c r="AQ164" s="181"/>
      <c r="AR164" s="181"/>
      <c r="AS164" s="181"/>
      <c r="AT164" s="181"/>
      <c r="AU164" s="181"/>
      <c r="AV164" s="181"/>
      <c r="AW164" s="181"/>
    </row>
    <row r="165" spans="1:50" s="30" customFormat="1" ht="15" hidden="1" customHeight="1" x14ac:dyDescent="0.2">
      <c r="A165" s="1407" t="str">
        <f>IF(COUNTIF('04 - 95% CD'!D165:G165,"Y")&gt;0,"Y",IF(COUNTIF('04 - 95% CD'!D165:G165,"N"),"N",""))</f>
        <v>N</v>
      </c>
      <c r="B165" s="191"/>
      <c r="C165" s="944"/>
      <c r="D165" s="463"/>
      <c r="E165" s="359" t="str">
        <f>IF('C-Design&amp;Const'!$S165="","",'C-Design&amp;Const'!$S165)</f>
        <v>N</v>
      </c>
      <c r="F165" s="235"/>
      <c r="G165" s="291"/>
      <c r="H165" s="761" t="str">
        <f>'04 - 95% CD'!H165</f>
        <v>PLACEHOLDER ROW - CUSTOM ROW - OPTIONAL CLIENT ITEM</v>
      </c>
      <c r="I165" s="184"/>
      <c r="J165" s="609" t="str">
        <f>IF('C-Design&amp;Const'!AJ165="","",'C-Design&amp;Const'!AJ165)</f>
        <v xml:space="preserve">(Updates to) </v>
      </c>
      <c r="K165" s="285" t="str">
        <f t="shared" si="8"/>
        <v>match</v>
      </c>
      <c r="L165" s="1410" t="str">
        <f t="shared" si="9"/>
        <v>&lt;---PM/Planner may hide PLACEHOLDER ROW</v>
      </c>
      <c r="M165" s="1382"/>
      <c r="N165" s="1382"/>
      <c r="O165" s="1382"/>
      <c r="P165" s="1382"/>
      <c r="Q165" s="1382"/>
      <c r="R165" s="1382"/>
      <c r="S165" s="1382"/>
      <c r="T165" s="1382"/>
      <c r="U165" s="1382"/>
      <c r="V165" s="1382"/>
      <c r="W165" s="1382"/>
      <c r="X165" s="1382"/>
      <c r="Y165" s="1382"/>
      <c r="Z165" s="1382"/>
      <c r="AA165" s="1382"/>
      <c r="AB165" s="1382"/>
      <c r="AC165" s="1382"/>
      <c r="AD165" s="1382"/>
      <c r="AE165" s="1382"/>
      <c r="AF165" s="1382"/>
      <c r="AG165" s="1382"/>
      <c r="AH165" s="1382"/>
      <c r="AI165" s="1382"/>
      <c r="AJ165" s="1382"/>
      <c r="AK165" s="181"/>
      <c r="AL165" s="181"/>
      <c r="AM165" s="181"/>
      <c r="AN165" s="181"/>
      <c r="AO165" s="181"/>
      <c r="AP165" s="181"/>
      <c r="AQ165" s="181"/>
      <c r="AR165" s="181"/>
      <c r="AS165" s="181"/>
      <c r="AT165" s="181"/>
      <c r="AU165" s="181"/>
      <c r="AV165" s="181"/>
      <c r="AW165" s="181"/>
    </row>
    <row r="166" spans="1:50" s="30" customFormat="1" ht="15" hidden="1" customHeight="1" x14ac:dyDescent="0.2">
      <c r="A166" s="1407" t="str">
        <f>IF(COUNTIF('04 - 95% CD'!D166:G166,"Y")&gt;0,"Y",IF(COUNTIF('04 - 95% CD'!D166:G166,"N"),"N",""))</f>
        <v>N</v>
      </c>
      <c r="B166" s="191"/>
      <c r="C166" s="944"/>
      <c r="D166" s="463"/>
      <c r="E166" s="359" t="str">
        <f>IF('C-Design&amp;Const'!$S166="","",'C-Design&amp;Const'!$S166)</f>
        <v>N</v>
      </c>
      <c r="F166" s="235"/>
      <c r="G166" s="291"/>
      <c r="H166" s="761" t="str">
        <f>'04 - 95% CD'!H166</f>
        <v>PLACEHOLDER ROW - CUSTOM ROW - OPTIONAL CLIENT ITEM</v>
      </c>
      <c r="I166" s="184"/>
      <c r="J166" s="609" t="str">
        <f>IF('C-Design&amp;Const'!AJ166="","",'C-Design&amp;Const'!AJ166)</f>
        <v xml:space="preserve">(Updates to) </v>
      </c>
      <c r="K166" s="285" t="str">
        <f t="shared" si="8"/>
        <v>match</v>
      </c>
      <c r="L166" s="1410" t="str">
        <f t="shared" si="9"/>
        <v>&lt;---PM/Planner may hide PLACEHOLDER ROW</v>
      </c>
      <c r="M166" s="1382"/>
      <c r="N166" s="1382"/>
      <c r="O166" s="1382"/>
      <c r="P166" s="1382"/>
      <c r="Q166" s="1382"/>
      <c r="R166" s="1382"/>
      <c r="S166" s="1382"/>
      <c r="T166" s="1382"/>
      <c r="U166" s="1382"/>
      <c r="V166" s="1382"/>
      <c r="W166" s="1382"/>
      <c r="X166" s="1382"/>
      <c r="Y166" s="1382"/>
      <c r="Z166" s="1382"/>
      <c r="AA166" s="1382"/>
      <c r="AB166" s="1382"/>
      <c r="AC166" s="1382"/>
      <c r="AD166" s="1382"/>
      <c r="AE166" s="1382"/>
      <c r="AF166" s="1382"/>
      <c r="AG166" s="1382"/>
      <c r="AH166" s="1382"/>
      <c r="AI166" s="1382"/>
      <c r="AJ166" s="1382"/>
      <c r="AK166" s="181"/>
      <c r="AL166" s="181"/>
      <c r="AM166" s="181"/>
      <c r="AN166" s="181"/>
      <c r="AO166" s="181"/>
      <c r="AP166" s="181"/>
      <c r="AQ166" s="181"/>
      <c r="AR166" s="181"/>
      <c r="AS166" s="181"/>
      <c r="AT166" s="181"/>
      <c r="AU166" s="181"/>
      <c r="AV166" s="181"/>
      <c r="AW166" s="181"/>
    </row>
    <row r="167" spans="1:50" s="17" customFormat="1" x14ac:dyDescent="0.25">
      <c r="A167" s="1516" t="str">
        <f>IF(COUNTIF('04 - 95% CD'!D167:G167,"Y")&gt;0,"Y",IF(COUNTIF('04 - 95% CD'!D167:G167,"N"),"N",""))</f>
        <v/>
      </c>
      <c r="B167" s="141"/>
      <c r="C167" s="944"/>
      <c r="D167" s="411"/>
      <c r="E167" s="411"/>
      <c r="F167" s="321"/>
      <c r="G167" s="294"/>
      <c r="H167" s="296"/>
      <c r="I167" s="130"/>
      <c r="J167" s="609" t="str">
        <f>IF('C-Design&amp;Const'!AJ167="","",'C-Design&amp;Const'!AJ167)</f>
        <v/>
      </c>
      <c r="K167" s="285" t="str">
        <f t="shared" si="8"/>
        <v>match</v>
      </c>
      <c r="L167" s="1410" t="str">
        <f t="shared" si="9"/>
        <v/>
      </c>
      <c r="M167" s="1333"/>
      <c r="N167" s="1333"/>
      <c r="O167" s="1333"/>
      <c r="P167" s="1333"/>
      <c r="Q167" s="1333"/>
      <c r="R167" s="1446"/>
      <c r="S167" s="1364"/>
      <c r="T167" s="1333"/>
      <c r="U167" s="1333"/>
      <c r="V167" s="1333"/>
      <c r="W167" s="1333"/>
      <c r="X167" s="1333"/>
      <c r="Y167" s="1333"/>
      <c r="Z167" s="1333"/>
      <c r="AA167" s="1333"/>
      <c r="AB167" s="1333"/>
      <c r="AC167" s="1333"/>
      <c r="AD167" s="1333"/>
      <c r="AE167" s="1333"/>
      <c r="AF167" s="1333"/>
      <c r="AG167" s="1333"/>
      <c r="AH167" s="1333"/>
      <c r="AI167" s="1333"/>
      <c r="AJ167" s="1333"/>
    </row>
    <row r="168" spans="1:50" s="181" customFormat="1" ht="37.5" x14ac:dyDescent="0.2">
      <c r="A168" s="1501" t="str">
        <f>IF(COUNTIF('04 - 95% CD'!D168:G168,"Y")&gt;0,"Y",IF(COUNTIF('04 - 95% CD'!D168:G168,"N"),"N",""))</f>
        <v>Y</v>
      </c>
      <c r="B168" s="177"/>
      <c r="C168" s="948"/>
      <c r="D168" s="559" t="str">
        <f>IF('C-Design&amp;Const'!$S168="","",'C-Design&amp;Const'!$S168)</f>
        <v>N</v>
      </c>
      <c r="E168" s="234"/>
      <c r="F168" s="235"/>
      <c r="G168" s="291" t="str">
        <f>IF('C-Design&amp;Const'!Y168="","",'C-Design&amp;Const'!Y168)</f>
        <v>05a.</v>
      </c>
      <c r="H168" s="290" t="str">
        <f>CONCATENATE('C-Design&amp;Const'!Z168,IF(D168="N"," Not Used In This Construction Phase",J168))</f>
        <v>Ext. &amp; Int. Finishes Binder(s)/Finishes Board(s)  Not Used In This Construction Phase</v>
      </c>
      <c r="I168" s="185"/>
      <c r="J168" s="609" t="str">
        <f>IF('C-Design&amp;Const'!AJ168="","",'C-Design&amp;Const'!AJ168)</f>
        <v/>
      </c>
      <c r="K168" s="285" t="str">
        <f t="shared" si="8"/>
        <v>no 95% match</v>
      </c>
      <c r="L168" s="1410" t="str">
        <f t="shared" si="9"/>
        <v/>
      </c>
      <c r="M168" s="1382"/>
      <c r="N168" s="1382"/>
      <c r="O168" s="1382"/>
      <c r="P168" s="1382"/>
      <c r="Q168" s="1382"/>
      <c r="R168" s="1447"/>
      <c r="S168" s="1448"/>
      <c r="T168" s="1382"/>
      <c r="U168" s="1382"/>
      <c r="V168" s="1382"/>
      <c r="W168" s="1382"/>
      <c r="X168" s="1382"/>
      <c r="Y168" s="1382"/>
      <c r="Z168" s="1382"/>
      <c r="AA168" s="1382"/>
      <c r="AB168" s="1382"/>
      <c r="AC168" s="1382"/>
      <c r="AD168" s="1382"/>
      <c r="AE168" s="1382"/>
      <c r="AF168" s="1382"/>
      <c r="AG168" s="1382"/>
      <c r="AH168" s="1382"/>
      <c r="AI168" s="1382"/>
      <c r="AJ168" s="1382"/>
    </row>
    <row r="169" spans="1:50" s="551" customFormat="1" ht="15" hidden="1" customHeight="1" x14ac:dyDescent="0.25">
      <c r="A169" s="1510" t="str">
        <f>IF(COUNTIF('04 - 95% CD'!D169:G169,"Y")&gt;0,"Y",IF(COUNTIF('04 - 95% CD'!D169:G169,"N"),"N",""))</f>
        <v>Y</v>
      </c>
      <c r="B169" s="549"/>
      <c r="C169" s="944"/>
      <c r="D169" s="321"/>
      <c r="E169" s="559" t="str">
        <f>IF('C-Design&amp;Const'!$S169="","",'C-Design&amp;Const'!$S169)</f>
        <v>N</v>
      </c>
      <c r="F169" s="560"/>
      <c r="G169" s="558"/>
      <c r="H169" s="238" t="str">
        <f>CONCATENATE(IF(E169="N","PLACEHOLDER ROW - ",""),IF(E169="N","",J169),'C-Design&amp;Const'!Z169,)</f>
        <v xml:space="preserve">PLACEHOLDER ROW - Product Samples of Floor Coverings, Wall Covering, Window Treatment, Ceiling Tile, etc... </v>
      </c>
      <c r="I169" s="186"/>
      <c r="J169" s="609" t="str">
        <f>IF('C-Design&amp;Const'!AJ169="","",'C-Design&amp;Const'!AJ169)</f>
        <v/>
      </c>
      <c r="K169" s="285" t="str">
        <f t="shared" si="8"/>
        <v>no 95% match</v>
      </c>
      <c r="L169" s="1410" t="str">
        <f t="shared" si="9"/>
        <v>&lt;---PM/Planner may hide PLACEHOLDER ROW</v>
      </c>
      <c r="M169" s="1382"/>
      <c r="N169" s="1382"/>
      <c r="O169" s="1382"/>
      <c r="P169" s="1382"/>
      <c r="Q169" s="1382"/>
      <c r="R169" s="1447"/>
      <c r="S169" s="1448"/>
      <c r="T169" s="1274"/>
      <c r="U169" s="1382"/>
      <c r="V169" s="1382"/>
      <c r="W169" s="1382"/>
      <c r="X169" s="1382"/>
      <c r="Y169" s="1382"/>
      <c r="Z169" s="1382"/>
      <c r="AA169" s="1382"/>
      <c r="AB169" s="1382"/>
      <c r="AC169" s="1382"/>
      <c r="AD169" s="1382"/>
      <c r="AE169" s="1382"/>
      <c r="AF169" s="1382"/>
      <c r="AG169" s="1382"/>
      <c r="AH169" s="1382"/>
      <c r="AI169" s="1382"/>
      <c r="AJ169" s="1382"/>
      <c r="AX169" s="545"/>
    </row>
    <row r="170" spans="1:50" s="551" customFormat="1" ht="15" hidden="1" customHeight="1" x14ac:dyDescent="0.25">
      <c r="A170" s="1510" t="str">
        <f>IF(COUNTIF('04 - 95% CD'!D170:G170,"Y")&gt;0,"Y",IF(COUNTIF('04 - 95% CD'!D170:G170,"N"),"N",""))</f>
        <v>Y</v>
      </c>
      <c r="B170" s="549"/>
      <c r="C170" s="944"/>
      <c r="D170" s="321"/>
      <c r="E170" s="559" t="str">
        <f>IF('C-Design&amp;Const'!$S170="","",'C-Design&amp;Const'!$S170)</f>
        <v>N</v>
      </c>
      <c r="F170" s="560"/>
      <c r="G170" s="558"/>
      <c r="H170" s="238" t="str">
        <f>CONCATENATE(IF(E170="N","PLACEHOLDER ROW - ",""),IF(E170="N","",J170),'C-Design&amp;Const'!Z170,)</f>
        <v>PLACEHOLDER ROW - Paint selections and combinations</v>
      </c>
      <c r="I170" s="186"/>
      <c r="J170" s="609" t="str">
        <f>IF('C-Design&amp;Const'!AJ170="","",'C-Design&amp;Const'!AJ170)</f>
        <v/>
      </c>
      <c r="K170" s="285" t="str">
        <f t="shared" si="8"/>
        <v>no 95% match</v>
      </c>
      <c r="L170" s="1410" t="str">
        <f t="shared" si="9"/>
        <v>&lt;---PM/Planner may hide PLACEHOLDER ROW</v>
      </c>
      <c r="M170" s="1382"/>
      <c r="N170" s="1382"/>
      <c r="O170" s="1382"/>
      <c r="P170" s="1382"/>
      <c r="Q170" s="1382"/>
      <c r="R170" s="1447"/>
      <c r="S170" s="1448"/>
      <c r="T170" s="1274"/>
      <c r="U170" s="1382"/>
      <c r="V170" s="1382"/>
      <c r="W170" s="1382"/>
      <c r="X170" s="1382"/>
      <c r="Y170" s="1382"/>
      <c r="Z170" s="1382"/>
      <c r="AA170" s="1382"/>
      <c r="AB170" s="1382"/>
      <c r="AC170" s="1382"/>
      <c r="AD170" s="1382"/>
      <c r="AE170" s="1382"/>
      <c r="AF170" s="1382"/>
      <c r="AG170" s="1382"/>
      <c r="AH170" s="1382"/>
      <c r="AI170" s="1382"/>
      <c r="AJ170" s="1382"/>
      <c r="AX170" s="545"/>
    </row>
    <row r="171" spans="1:50" s="551" customFormat="1" ht="15" hidden="1" customHeight="1" x14ac:dyDescent="0.25">
      <c r="A171" s="1510" t="str">
        <f>IF(COUNTIF('04 - 95% CD'!D171:G171,"Y")&gt;0,"Y",IF(COUNTIF('04 - 95% CD'!D171:G171,"N"),"N",""))</f>
        <v>Y</v>
      </c>
      <c r="B171" s="549"/>
      <c r="C171" s="944"/>
      <c r="D171" s="321"/>
      <c r="E171" s="559" t="str">
        <f>IF('C-Design&amp;Const'!$S171="","",'C-Design&amp;Const'!$S171)</f>
        <v>N</v>
      </c>
      <c r="F171" s="560"/>
      <c r="G171" s="558"/>
      <c r="H171" s="238" t="str">
        <f>CONCATENATE(IF(E171="N","PLACEHOLDER ROW - ",""),IF(E171="N","",J171),'C-Design&amp;Const'!Z171,)</f>
        <v>PLACEHOLDER ROW - PSC contracted mock-ups to match existing brick</v>
      </c>
      <c r="I171" s="186"/>
      <c r="J171" s="609" t="str">
        <f>IF('C-Design&amp;Const'!AJ171="","",'C-Design&amp;Const'!AJ171)</f>
        <v/>
      </c>
      <c r="K171" s="285" t="str">
        <f t="shared" si="8"/>
        <v>no 95% match</v>
      </c>
      <c r="L171" s="1410" t="str">
        <f t="shared" si="9"/>
        <v>&lt;---PM/Planner may hide PLACEHOLDER ROW</v>
      </c>
      <c r="M171" s="1382"/>
      <c r="N171" s="1382"/>
      <c r="O171" s="1382"/>
      <c r="P171" s="1382"/>
      <c r="Q171" s="1382"/>
      <c r="R171" s="1447"/>
      <c r="S171" s="1448"/>
      <c r="T171" s="1274"/>
      <c r="U171" s="1382"/>
      <c r="V171" s="1382"/>
      <c r="W171" s="1382"/>
      <c r="X171" s="1382"/>
      <c r="Y171" s="1382"/>
      <c r="Z171" s="1382"/>
      <c r="AA171" s="1382"/>
      <c r="AB171" s="1382"/>
      <c r="AC171" s="1382"/>
      <c r="AD171" s="1382"/>
      <c r="AE171" s="1382"/>
      <c r="AF171" s="1382"/>
      <c r="AG171" s="1382"/>
      <c r="AH171" s="1382"/>
      <c r="AI171" s="1382"/>
      <c r="AJ171" s="1382"/>
      <c r="AX171" s="545"/>
    </row>
    <row r="172" spans="1:50" s="545" customFormat="1" ht="15" hidden="1" customHeight="1" x14ac:dyDescent="0.2">
      <c r="A172" s="1407" t="str">
        <f>IF(COUNTIF('04 - 95% CD'!D172:G172,"Y")&gt;0,"Y",IF(COUNTIF('04 - 95% CD'!D172:G172,"N"),"N",""))</f>
        <v>N</v>
      </c>
      <c r="B172" s="554"/>
      <c r="C172" s="944"/>
      <c r="D172" s="463"/>
      <c r="E172" s="359" t="str">
        <f>IF('C-Design&amp;Const'!$S172="","",'C-Design&amp;Const'!$S172)</f>
        <v>N</v>
      </c>
      <c r="F172" s="235"/>
      <c r="G172" s="291"/>
      <c r="H172" s="340" t="str">
        <f>CONCATENATE(IF(E172="N","PLACEHOLDER ROW - ",""),IF(E172="N","",J172),'C-Design&amp;Const'!Z172,)</f>
        <v>PLACEHOLDER ROW - CUSTOM ROW - OPTIONAL CLIENT ITEM</v>
      </c>
      <c r="I172" s="552"/>
      <c r="J172" s="609" t="str">
        <f>IF('C-Design&amp;Const'!AJ172="","",'C-Design&amp;Const'!AJ172)</f>
        <v/>
      </c>
      <c r="K172" s="285" t="str">
        <f t="shared" si="8"/>
        <v>match</v>
      </c>
      <c r="L172" s="1410" t="str">
        <f t="shared" si="9"/>
        <v>&lt;---PM/Planner may hide PLACEHOLDER ROW</v>
      </c>
      <c r="M172" s="1382"/>
      <c r="N172" s="1382"/>
      <c r="O172" s="1382"/>
      <c r="P172" s="1382"/>
      <c r="Q172" s="1382"/>
      <c r="R172" s="1382"/>
      <c r="S172" s="1382"/>
      <c r="T172" s="1382"/>
      <c r="U172" s="1382"/>
      <c r="V172" s="1382"/>
      <c r="W172" s="1382"/>
      <c r="X172" s="1382"/>
      <c r="Y172" s="1382"/>
      <c r="Z172" s="1382"/>
      <c r="AA172" s="1382"/>
      <c r="AB172" s="1382"/>
      <c r="AC172" s="1382"/>
      <c r="AD172" s="1382"/>
      <c r="AE172" s="1382"/>
      <c r="AF172" s="1382"/>
      <c r="AG172" s="1382"/>
      <c r="AH172" s="1382"/>
      <c r="AI172" s="1382"/>
      <c r="AJ172" s="1382"/>
      <c r="AK172" s="551"/>
      <c r="AL172" s="551"/>
      <c r="AM172" s="551"/>
      <c r="AN172" s="551"/>
      <c r="AO172" s="551"/>
      <c r="AP172" s="551"/>
      <c r="AQ172" s="551"/>
      <c r="AR172" s="551"/>
      <c r="AS172" s="551"/>
      <c r="AT172" s="551"/>
      <c r="AU172" s="551"/>
      <c r="AV172" s="551"/>
      <c r="AW172" s="551"/>
    </row>
    <row r="173" spans="1:50" s="17" customFormat="1" x14ac:dyDescent="0.25">
      <c r="A173" s="1516" t="str">
        <f>IF(COUNTIF('04 - 95% CD'!D173:G173,"Y")&gt;0,"Y",IF(COUNTIF('04 - 95% CD'!D173:G173,"N"),"N",""))</f>
        <v/>
      </c>
      <c r="B173" s="141"/>
      <c r="C173" s="944"/>
      <c r="D173" s="411"/>
      <c r="E173" s="411"/>
      <c r="F173" s="321"/>
      <c r="G173" s="294"/>
      <c r="H173" s="296"/>
      <c r="I173" s="130"/>
      <c r="J173" s="609" t="str">
        <f>IF('C-Design&amp;Const'!AJ173="","",'C-Design&amp;Const'!AJ173)</f>
        <v/>
      </c>
      <c r="K173" s="285" t="str">
        <f t="shared" si="8"/>
        <v>match</v>
      </c>
      <c r="L173" s="1410" t="str">
        <f t="shared" si="9"/>
        <v/>
      </c>
      <c r="M173" s="1333"/>
      <c r="N173" s="1333"/>
      <c r="O173" s="1333"/>
      <c r="P173" s="1333"/>
      <c r="Q173" s="1333"/>
      <c r="R173" s="1446"/>
      <c r="S173" s="1364"/>
      <c r="T173" s="1333"/>
      <c r="U173" s="1333"/>
      <c r="V173" s="1333"/>
      <c r="W173" s="1333"/>
      <c r="X173" s="1333"/>
      <c r="Y173" s="1333"/>
      <c r="Z173" s="1333"/>
      <c r="AA173" s="1333"/>
      <c r="AB173" s="1333"/>
      <c r="AC173" s="1333"/>
      <c r="AD173" s="1333"/>
      <c r="AE173" s="1333"/>
      <c r="AF173" s="1333"/>
      <c r="AG173" s="1333"/>
      <c r="AH173" s="1333"/>
      <c r="AI173" s="1333"/>
      <c r="AJ173" s="1333"/>
    </row>
    <row r="174" spans="1:50" s="181" customFormat="1" ht="37.5" x14ac:dyDescent="0.3">
      <c r="A174" s="1501" t="str">
        <f>IF(COUNTIF('04 - 95% CD'!D174:G174,"Y")&gt;0,"Y",IF(COUNTIF('04 - 95% CD'!D174:G174,"N"),"N",""))</f>
        <v>Y</v>
      </c>
      <c r="B174" s="177"/>
      <c r="C174" s="948"/>
      <c r="D174" s="559" t="str">
        <f>IF('C-Design&amp;Const'!$S174="","",'C-Design&amp;Const'!$S174)</f>
        <v>N</v>
      </c>
      <c r="E174" s="234"/>
      <c r="F174" s="235"/>
      <c r="G174" s="291" t="str">
        <f>IF('C-Design&amp;Const'!Y174="","",'C-Design&amp;Const'!Y174)</f>
        <v>05b.</v>
      </c>
      <c r="H174" s="298" t="str">
        <f>CONCATENATE('C-Design&amp;Const'!Z174,IF(D174="N"," Not Used In This Construction Phase",J174))</f>
        <v>Furnitures, Fixtures, and Equipment Binder(s) Not Used In This Construction Phase</v>
      </c>
      <c r="I174" s="185"/>
      <c r="J174" s="609" t="str">
        <f>IF('C-Design&amp;Const'!AJ174="","",'C-Design&amp;Const'!AJ174)</f>
        <v/>
      </c>
      <c r="K174" s="285" t="str">
        <f t="shared" ref="K174:K248" si="18">IF((COUNTIF(D174:F174,"Y")=COUNTIF(A174,"Y")),"match","no 95% match")</f>
        <v>no 95% match</v>
      </c>
      <c r="L174" s="1410" t="str">
        <f t="shared" ref="L174:L248" si="19">CONCATENATE(IF(ISNUMBER(SEARCH("Placeholder",H174))=TRUE,"&lt;---PM/Planner may hide PLACEHOLDER ROW",""))</f>
        <v/>
      </c>
      <c r="M174" s="1382"/>
      <c r="N174" s="1382"/>
      <c r="O174" s="1382"/>
      <c r="P174" s="1382"/>
      <c r="Q174" s="1382"/>
      <c r="R174" s="1447"/>
      <c r="S174" s="1448"/>
      <c r="T174" s="1382"/>
      <c r="U174" s="1382"/>
      <c r="V174" s="1382"/>
      <c r="W174" s="1382"/>
      <c r="X174" s="1382"/>
      <c r="Y174" s="1382"/>
      <c r="Z174" s="1382"/>
      <c r="AA174" s="1382"/>
      <c r="AB174" s="1382"/>
      <c r="AC174" s="1382"/>
      <c r="AD174" s="1382"/>
      <c r="AE174" s="1382"/>
      <c r="AF174" s="1382"/>
      <c r="AG174" s="1382"/>
      <c r="AH174" s="1382"/>
      <c r="AI174" s="1382"/>
      <c r="AJ174" s="1382"/>
    </row>
    <row r="175" spans="1:50" s="181" customFormat="1" ht="15" hidden="1" customHeight="1" x14ac:dyDescent="0.25">
      <c r="A175" s="1510" t="str">
        <f>IF(COUNTIF('04 - 95% CD'!D175:G175,"Y")&gt;0,"Y",IF(COUNTIF('04 - 95% CD'!D175:G175,"N"),"N",""))</f>
        <v>Y</v>
      </c>
      <c r="B175" s="177"/>
      <c r="C175" s="944"/>
      <c r="D175" s="321"/>
      <c r="E175" s="559" t="str">
        <f>IF('C-Design&amp;Const'!$S175="","",'C-Design&amp;Const'!$S175)</f>
        <v>N</v>
      </c>
      <c r="F175" s="560"/>
      <c r="G175" s="558"/>
      <c r="H175" s="238" t="str">
        <f>CONCATENATE(IF(E175="N","PLACEHOLDER ROW - ",""),IF(E175="N","",J175),'C-Design&amp;Const'!Z175,)</f>
        <v>PLACEHOLDER ROW - Cut Sheets</v>
      </c>
      <c r="I175" s="186"/>
      <c r="J175" s="609" t="str">
        <f>IF('C-Design&amp;Const'!AJ175="","",'C-Design&amp;Const'!AJ175)</f>
        <v/>
      </c>
      <c r="K175" s="285" t="str">
        <f t="shared" si="18"/>
        <v>no 95% match</v>
      </c>
      <c r="L175" s="1410" t="str">
        <f t="shared" si="19"/>
        <v>&lt;---PM/Planner may hide PLACEHOLDER ROW</v>
      </c>
      <c r="M175" s="1382"/>
      <c r="N175" s="1382"/>
      <c r="O175" s="1382"/>
      <c r="P175" s="1382"/>
      <c r="Q175" s="1382"/>
      <c r="R175" s="1447"/>
      <c r="S175" s="1448"/>
      <c r="T175" s="1274"/>
      <c r="U175" s="1382"/>
      <c r="V175" s="1382"/>
      <c r="W175" s="1382"/>
      <c r="X175" s="1382"/>
      <c r="Y175" s="1382"/>
      <c r="Z175" s="1382"/>
      <c r="AA175" s="1382"/>
      <c r="AB175" s="1382"/>
      <c r="AC175" s="1382"/>
      <c r="AD175" s="1382"/>
      <c r="AE175" s="1382"/>
      <c r="AF175" s="1382"/>
      <c r="AG175" s="1382"/>
      <c r="AH175" s="1382"/>
      <c r="AI175" s="1382"/>
      <c r="AJ175" s="1382"/>
      <c r="AX175" s="30"/>
    </row>
    <row r="176" spans="1:50" s="181" customFormat="1" ht="15" hidden="1" customHeight="1" x14ac:dyDescent="0.25">
      <c r="A176" s="1510" t="str">
        <f>IF(COUNTIF('04 - 95% CD'!D176:G176,"Y")&gt;0,"Y",IF(COUNTIF('04 - 95% CD'!D176:G176,"N"),"N",""))</f>
        <v>Y</v>
      </c>
      <c r="B176" s="177"/>
      <c r="C176" s="944"/>
      <c r="D176" s="321"/>
      <c r="E176" s="559" t="str">
        <f>IF('C-Design&amp;Const'!$S176="","",'C-Design&amp;Const'!$S176)</f>
        <v>N</v>
      </c>
      <c r="F176" s="560"/>
      <c r="G176" s="558"/>
      <c r="H176" s="238" t="str">
        <f>CONCATENATE(IF(E176="N","PLACEHOLDER ROW - ",""),IF(E176="N","",J176),'C-Design&amp;Const'!Z176,)</f>
        <v>PLACEHOLDER ROW - Product Samples</v>
      </c>
      <c r="I176" s="186"/>
      <c r="J176" s="609" t="str">
        <f>IF('C-Design&amp;Const'!AJ176="","",'C-Design&amp;Const'!AJ176)</f>
        <v/>
      </c>
      <c r="K176" s="285" t="str">
        <f t="shared" si="18"/>
        <v>no 95% match</v>
      </c>
      <c r="L176" s="1410" t="str">
        <f t="shared" si="19"/>
        <v>&lt;---PM/Planner may hide PLACEHOLDER ROW</v>
      </c>
      <c r="M176" s="1382"/>
      <c r="N176" s="1382"/>
      <c r="O176" s="1382"/>
      <c r="P176" s="1382"/>
      <c r="Q176" s="1382"/>
      <c r="R176" s="1447"/>
      <c r="S176" s="1448"/>
      <c r="T176" s="1274"/>
      <c r="U176" s="1382"/>
      <c r="V176" s="1382"/>
      <c r="W176" s="1382"/>
      <c r="X176" s="1382"/>
      <c r="Y176" s="1382"/>
      <c r="Z176" s="1382"/>
      <c r="AA176" s="1382"/>
      <c r="AB176" s="1382"/>
      <c r="AC176" s="1382"/>
      <c r="AD176" s="1382"/>
      <c r="AE176" s="1382"/>
      <c r="AF176" s="1382"/>
      <c r="AG176" s="1382"/>
      <c r="AH176" s="1382"/>
      <c r="AI176" s="1382"/>
      <c r="AJ176" s="1382"/>
      <c r="AX176" s="30"/>
    </row>
    <row r="177" spans="1:50" s="181" customFormat="1" ht="15" hidden="1" customHeight="1" x14ac:dyDescent="0.25">
      <c r="A177" s="1510" t="str">
        <f>IF(COUNTIF('04 - 95% CD'!D177:G177,"Y")&gt;0,"Y",IF(COUNTIF('04 - 95% CD'!D177:G177,"N"),"N",""))</f>
        <v>Y</v>
      </c>
      <c r="B177" s="177"/>
      <c r="C177" s="944"/>
      <c r="D177" s="321"/>
      <c r="E177" s="559" t="str">
        <f>IF('C-Design&amp;Const'!$S177="","",'C-Design&amp;Const'!$S177)</f>
        <v>N</v>
      </c>
      <c r="F177" s="560"/>
      <c r="G177" s="558"/>
      <c r="H177" s="238" t="str">
        <f>CONCATENATE(IF(E177="N","PLACEHOLDER ROW - ",""),IF(E177="N","",J177),'C-Design&amp;Const'!Z177,)</f>
        <v>PLACEHOLDER ROW - "Furniture Information Form" (electronic)</v>
      </c>
      <c r="I177" s="186"/>
      <c r="J177" s="609" t="str">
        <f>IF('C-Design&amp;Const'!AJ177="","",'C-Design&amp;Const'!AJ177)</f>
        <v/>
      </c>
      <c r="K177" s="285" t="str">
        <f t="shared" si="18"/>
        <v>no 95% match</v>
      </c>
      <c r="L177" s="1410" t="str">
        <f t="shared" si="19"/>
        <v>&lt;---PM/Planner may hide PLACEHOLDER ROW</v>
      </c>
      <c r="M177" s="1382"/>
      <c r="N177" s="1382"/>
      <c r="O177" s="1382"/>
      <c r="P177" s="1382"/>
      <c r="Q177" s="1382"/>
      <c r="R177" s="1447"/>
      <c r="S177" s="1448"/>
      <c r="T177" s="1274"/>
      <c r="U177" s="1382"/>
      <c r="V177" s="1382"/>
      <c r="W177" s="1382"/>
      <c r="X177" s="1382"/>
      <c r="Y177" s="1382"/>
      <c r="Z177" s="1382"/>
      <c r="AA177" s="1382"/>
      <c r="AB177" s="1382"/>
      <c r="AC177" s="1382"/>
      <c r="AD177" s="1382"/>
      <c r="AE177" s="1382"/>
      <c r="AF177" s="1382"/>
      <c r="AG177" s="1382"/>
      <c r="AH177" s="1382"/>
      <c r="AI177" s="1382"/>
      <c r="AJ177" s="1382"/>
      <c r="AX177" s="30"/>
    </row>
    <row r="178" spans="1:50" s="30" customFormat="1" ht="15" hidden="1" customHeight="1" x14ac:dyDescent="0.2">
      <c r="A178" s="1407" t="str">
        <f>IF(COUNTIF('04 - 95% CD'!D178:G178,"Y")&gt;0,"Y",IF(COUNTIF('04 - 95% CD'!D178:G178,"N"),"N",""))</f>
        <v>N</v>
      </c>
      <c r="B178" s="191"/>
      <c r="C178" s="944"/>
      <c r="D178" s="463"/>
      <c r="E178" s="359" t="str">
        <f>IF('C-Design&amp;Const'!$S178="","",'C-Design&amp;Const'!$S178)</f>
        <v>N</v>
      </c>
      <c r="F178" s="235"/>
      <c r="G178" s="291"/>
      <c r="H178" s="340" t="str">
        <f>CONCATENATE(IF(E178="N","PLACEHOLDER ROW - ",""),IF(E178="N","",J178),'C-Design&amp;Const'!Z178,)</f>
        <v>PLACEHOLDER ROW - CUSTOM ROW - OPTIONAL CLIENT ITEM</v>
      </c>
      <c r="I178" s="184"/>
      <c r="J178" s="609" t="str">
        <f>IF('C-Design&amp;Const'!AJ178="","",'C-Design&amp;Const'!AJ178)</f>
        <v/>
      </c>
      <c r="K178" s="285" t="str">
        <f t="shared" si="18"/>
        <v>match</v>
      </c>
      <c r="L178" s="1410" t="str">
        <f t="shared" si="19"/>
        <v>&lt;---PM/Planner may hide PLACEHOLDER ROW</v>
      </c>
      <c r="M178" s="1382"/>
      <c r="N178" s="1382"/>
      <c r="O178" s="1382"/>
      <c r="P178" s="1382"/>
      <c r="Q178" s="1382"/>
      <c r="R178" s="1382"/>
      <c r="S178" s="1382"/>
      <c r="T178" s="1382"/>
      <c r="U178" s="1382"/>
      <c r="V178" s="1382"/>
      <c r="W178" s="1382"/>
      <c r="X178" s="1382"/>
      <c r="Y178" s="1382"/>
      <c r="Z178" s="1382"/>
      <c r="AA178" s="1382"/>
      <c r="AB178" s="1382"/>
      <c r="AC178" s="1382"/>
      <c r="AD178" s="1382"/>
      <c r="AE178" s="1382"/>
      <c r="AF178" s="1382"/>
      <c r="AG178" s="1382"/>
      <c r="AH178" s="1382"/>
      <c r="AI178" s="1382"/>
      <c r="AJ178" s="1382"/>
      <c r="AK178" s="181"/>
      <c r="AL178" s="181"/>
      <c r="AM178" s="181"/>
      <c r="AN178" s="181"/>
      <c r="AO178" s="181"/>
      <c r="AP178" s="181"/>
      <c r="AQ178" s="181"/>
      <c r="AR178" s="181"/>
      <c r="AS178" s="181"/>
      <c r="AT178" s="181"/>
      <c r="AU178" s="181"/>
      <c r="AV178" s="181"/>
      <c r="AW178" s="181"/>
    </row>
    <row r="179" spans="1:50" s="17" customFormat="1" x14ac:dyDescent="0.25">
      <c r="A179" s="1510" t="str">
        <f>IF(COUNTIF('04 - 95% CD'!D179:G179,"Y")&gt;0,"Y",IF(COUNTIF('04 - 95% CD'!D179:G179,"N"),"N",""))</f>
        <v/>
      </c>
      <c r="B179" s="141"/>
      <c r="C179" s="944"/>
      <c r="D179" s="411"/>
      <c r="E179" s="411"/>
      <c r="F179" s="321"/>
      <c r="G179" s="294"/>
      <c r="H179" s="296"/>
      <c r="I179" s="130"/>
      <c r="J179" s="609" t="str">
        <f>IF('C-Design&amp;Const'!AJ179="","",'C-Design&amp;Const'!AJ179)</f>
        <v/>
      </c>
      <c r="K179" s="285" t="str">
        <f t="shared" si="18"/>
        <v>match</v>
      </c>
      <c r="L179" s="1410" t="str">
        <f t="shared" si="19"/>
        <v/>
      </c>
      <c r="M179" s="1333"/>
      <c r="N179" s="1333"/>
      <c r="O179" s="1333"/>
      <c r="P179" s="1333"/>
      <c r="Q179" s="1382"/>
      <c r="R179" s="1445"/>
      <c r="S179" s="1364"/>
      <c r="T179" s="1333"/>
      <c r="U179" s="1333"/>
      <c r="V179" s="1333"/>
      <c r="W179" s="1333"/>
      <c r="X179" s="1333"/>
      <c r="Y179" s="1333"/>
      <c r="Z179" s="1333"/>
      <c r="AA179" s="1333"/>
      <c r="AB179" s="1333"/>
      <c r="AC179" s="1333"/>
      <c r="AD179" s="1333"/>
      <c r="AE179" s="1333"/>
      <c r="AF179" s="1333"/>
      <c r="AG179" s="1333"/>
      <c r="AH179" s="1333"/>
      <c r="AI179" s="1333"/>
      <c r="AJ179" s="1333"/>
    </row>
    <row r="180" spans="1:50" s="181" customFormat="1" ht="37.5" x14ac:dyDescent="0.2">
      <c r="A180" s="1501" t="str">
        <f>IF(COUNTIF('04 - 95% CD'!D180:G180,"Y")&gt;0,"Y",IF(COUNTIF('04 - 95% CD'!D180:G180,"N"),"N",""))</f>
        <v>Y</v>
      </c>
      <c r="B180" s="177"/>
      <c r="C180" s="944"/>
      <c r="D180" s="559" t="str">
        <f>IF('C-Design&amp;Const'!$S180="","",'C-Design&amp;Const'!$S180)</f>
        <v>Y</v>
      </c>
      <c r="E180" s="234"/>
      <c r="F180" s="235"/>
      <c r="G180" s="291" t="str">
        <f>IF('C-Design&amp;Const'!Y180="","",'C-Design&amp;Const'!Y180)</f>
        <v>06.</v>
      </c>
      <c r="H180" s="290" t="str">
        <f>CONCATENATE('C-Design&amp;Const'!Z180,IF(D180="N"," Not Used In This Construction Phase",J180))</f>
        <v>Project Manual - Issue for Construction Set (then Update / Monitor for RFI, ASI, Field Directives, As-Built/Red Lines from Contactor)</v>
      </c>
      <c r="I180" s="184"/>
      <c r="J180" s="609" t="str">
        <f>IF('C-Design&amp;Const'!AJ180="","",'C-Design&amp;Const'!AJ180)</f>
        <v>- Issue for Construction Set (then Update / Monitor for RFI, ASI, Field Directives, As-Built/Red Lines from Contactor)</v>
      </c>
      <c r="K180" s="285" t="str">
        <f t="shared" si="18"/>
        <v>match</v>
      </c>
      <c r="L180" s="1410" t="str">
        <f t="shared" si="19"/>
        <v/>
      </c>
      <c r="M180" s="1382"/>
      <c r="N180" s="1382"/>
      <c r="O180" s="1382"/>
      <c r="P180" s="1382"/>
      <c r="Q180" s="1382" t="s">
        <v>1020</v>
      </c>
      <c r="R180" s="1447"/>
      <c r="S180" s="1448"/>
      <c r="T180" s="1382"/>
      <c r="U180" s="1382"/>
      <c r="V180" s="1382"/>
      <c r="W180" s="1382"/>
      <c r="X180" s="1382"/>
      <c r="Y180" s="1382"/>
      <c r="Z180" s="1382"/>
      <c r="AA180" s="1382"/>
      <c r="AB180" s="1382"/>
      <c r="AC180" s="1382"/>
      <c r="AD180" s="1382"/>
      <c r="AE180" s="1382"/>
      <c r="AF180" s="1382"/>
      <c r="AG180" s="1382"/>
      <c r="AH180" s="1382"/>
      <c r="AI180" s="1382"/>
      <c r="AJ180" s="1382"/>
      <c r="AX180" s="30"/>
    </row>
    <row r="181" spans="1:50" s="17" customFormat="1" ht="28.5" x14ac:dyDescent="0.25">
      <c r="A181" s="1510" t="str">
        <f>IF(COUNTIF('04 - 95% CD'!D181:G181,"Y")&gt;0,"Y",IF(COUNTIF('04 - 95% CD'!D181:G181,"N"),"N",""))</f>
        <v>Y</v>
      </c>
      <c r="B181" s="141"/>
      <c r="C181" s="944"/>
      <c r="D181" s="321"/>
      <c r="E181" s="559" t="str">
        <f>IF('C-Design&amp;Const'!$S181="","",'C-Design&amp;Const'!$S181)</f>
        <v>N</v>
      </c>
      <c r="F181" s="560"/>
      <c r="G181" s="558"/>
      <c r="H181" s="238" t="str">
        <f>CONCATENATE(IF(E181="N","PLACEHOLDER ROW - ",""),IF(E181="N","",J181),'C-Design&amp;Const'!Z181,)</f>
        <v>PLACEHOLDER ROW - Summary of Changes by Discipline (beyond corrections from comments) - UNDER SEPARATE COVER &amp; NOT BOUND WITH MANUAL.</v>
      </c>
      <c r="I181" s="136"/>
      <c r="J181" s="609" t="str">
        <f>IF('C-Design&amp;Const'!AJ181="","",'C-Design&amp;Const'!AJ181)</f>
        <v/>
      </c>
      <c r="K181" s="285" t="str">
        <f t="shared" si="18"/>
        <v>no 95% match</v>
      </c>
      <c r="L181" s="1410" t="str">
        <f t="shared" si="19"/>
        <v>&lt;---PM/Planner may hide PLACEHOLDER ROW</v>
      </c>
      <c r="M181" s="1333"/>
      <c r="N181" s="1333"/>
      <c r="O181" s="1333"/>
      <c r="P181" s="1333"/>
      <c r="Q181" s="1333"/>
      <c r="R181" s="1453"/>
      <c r="S181" s="1364"/>
      <c r="T181" s="1333"/>
      <c r="U181" s="1333"/>
      <c r="V181" s="1333"/>
      <c r="W181" s="1333"/>
      <c r="X181" s="1333"/>
      <c r="Y181" s="1333"/>
      <c r="Z181" s="1333"/>
      <c r="AA181" s="1333"/>
      <c r="AB181" s="1333"/>
      <c r="AC181" s="1333"/>
      <c r="AD181" s="1333"/>
      <c r="AE181" s="1333"/>
      <c r="AF181" s="1333"/>
      <c r="AG181" s="1333"/>
      <c r="AH181" s="1333"/>
      <c r="AI181" s="1333"/>
      <c r="AJ181" s="1333"/>
      <c r="AX181"/>
    </row>
    <row r="182" spans="1:50" s="553" customFormat="1" ht="24.75" customHeight="1" x14ac:dyDescent="0.2">
      <c r="A182" s="1553" t="str">
        <f>IF(COUNTIF('04 - 95% CD'!D182:G182,"Y")&gt;0,"Y",IF(COUNTIF('04 - 95% CD'!D182:G182,"N"),"N",""))</f>
        <v>Y</v>
      </c>
      <c r="B182" s="1079"/>
      <c r="C182" s="944"/>
      <c r="D182" s="1080"/>
      <c r="E182" s="559" t="str">
        <f>IF('C-Design&amp;Const'!$S182="","",'C-Design&amp;Const'!$S182)</f>
        <v>N</v>
      </c>
      <c r="F182" s="461"/>
      <c r="G182" s="535"/>
      <c r="H182" s="358" t="str">
        <f>CONCATENATE(IF(E182="N","PLACEHOLDER ROW - ",""),IF(E182="N","",J182),'C-Design&amp;Const'!Z182,)</f>
        <v>PLACEHOLDER ROW - Checklist for specification sections with submittals required (materials, shop drawings, calcs, etc…) - UNDER SEPARATE COVER &amp; NOT BOUND WITH MANUAL.</v>
      </c>
      <c r="I182" s="1081"/>
      <c r="J182" s="1082" t="str">
        <f>IF('C-Design&amp;Const'!AJ182="","",'C-Design&amp;Const'!AJ182)</f>
        <v/>
      </c>
      <c r="K182" s="285" t="str">
        <f>IF((COUNTIF(D182:F182,"Y")=COUNTIF(A182,"Y")),"match","no 95% match")</f>
        <v>no 95% match</v>
      </c>
      <c r="L182" s="1410" t="str">
        <f t="shared" si="19"/>
        <v>&lt;---PM/Planner may hide PLACEHOLDER ROW</v>
      </c>
      <c r="M182" s="1510"/>
      <c r="N182" s="1510"/>
      <c r="O182" s="1510"/>
      <c r="P182" s="1510"/>
      <c r="Q182" s="1510"/>
      <c r="R182" s="1510"/>
      <c r="S182" s="1510"/>
      <c r="T182" s="1510"/>
      <c r="U182" s="1510"/>
      <c r="V182" s="1510"/>
      <c r="W182" s="1510"/>
      <c r="X182" s="1510"/>
      <c r="Y182" s="1510"/>
      <c r="Z182" s="1510"/>
      <c r="AA182" s="1510"/>
      <c r="AB182" s="1510"/>
      <c r="AC182" s="1510"/>
      <c r="AD182" s="1510"/>
      <c r="AE182" s="1510"/>
      <c r="AF182" s="1510"/>
      <c r="AG182" s="1510"/>
      <c r="AH182" s="1510"/>
      <c r="AI182" s="1510"/>
      <c r="AJ182" s="1510"/>
      <c r="AK182" s="548"/>
      <c r="AL182" s="548"/>
      <c r="AM182" s="548"/>
      <c r="AN182" s="548"/>
      <c r="AO182" s="548"/>
      <c r="AP182" s="548"/>
      <c r="AQ182" s="548"/>
      <c r="AR182" s="548"/>
      <c r="AS182" s="548"/>
      <c r="AT182" s="548"/>
      <c r="AU182" s="548"/>
      <c r="AV182" s="548"/>
      <c r="AW182" s="548"/>
    </row>
    <row r="183" spans="1:50" s="17" customFormat="1" x14ac:dyDescent="0.25">
      <c r="A183" s="1510" t="str">
        <f>IF(COUNTIF('04 - 95% CD'!D183:G183,"Y")&gt;0,"Y",IF(COUNTIF('04 - 95% CD'!D183:G183,"N"),"N",""))</f>
        <v>Y</v>
      </c>
      <c r="B183" s="141"/>
      <c r="C183" s="944"/>
      <c r="D183" s="321"/>
      <c r="E183" s="559" t="str">
        <f>IF('C-Design&amp;Const'!$S183="","",'C-Design&amp;Const'!$S183)</f>
        <v>Y</v>
      </c>
      <c r="F183" s="478"/>
      <c r="G183" s="558"/>
      <c r="H183" s="238" t="str">
        <f>CONCATENATE(IF(E183="N","PLACEHOLDER ROW - ",""),IF(E183="N","",J183),'C-Design&amp;Const'!Z183,)</f>
        <v xml:space="preserve">Front End Documents  [Div 00] </v>
      </c>
      <c r="I183" s="136"/>
      <c r="J183" s="609" t="str">
        <f>IF('C-Design&amp;Const'!AJ183="","",'C-Design&amp;Const'!AJ183)</f>
        <v/>
      </c>
      <c r="K183" s="285" t="str">
        <f t="shared" si="18"/>
        <v>match</v>
      </c>
      <c r="L183" s="1410" t="str">
        <f t="shared" si="19"/>
        <v/>
      </c>
      <c r="M183" s="1333"/>
      <c r="N183" s="1382"/>
      <c r="O183" s="1333"/>
      <c r="P183" s="1333"/>
      <c r="Q183" s="1333"/>
      <c r="R183" s="1452"/>
      <c r="S183" s="1364"/>
      <c r="T183" s="1333"/>
      <c r="U183" s="1333"/>
      <c r="V183" s="1333"/>
      <c r="W183" s="1333"/>
      <c r="X183" s="1333"/>
      <c r="Y183" s="1333"/>
      <c r="Z183" s="1333"/>
      <c r="AA183" s="1333"/>
      <c r="AB183" s="1333"/>
      <c r="AC183" s="1333"/>
      <c r="AD183" s="1333"/>
      <c r="AE183" s="1333"/>
      <c r="AF183" s="1333"/>
      <c r="AG183" s="1333"/>
      <c r="AH183" s="1333"/>
      <c r="AI183" s="1333"/>
      <c r="AJ183" s="1333"/>
      <c r="AX183"/>
    </row>
    <row r="184" spans="1:50" s="17" customFormat="1" hidden="1" x14ac:dyDescent="0.25">
      <c r="A184" s="1510" t="str">
        <f>IF(COUNTIF('04 - 95% CD'!D184:G184,"Y")&gt;0,"Y",IF(COUNTIF('04 - 95% CD'!D184:G184,"N"),"N",""))</f>
        <v>N</v>
      </c>
      <c r="B184" s="141"/>
      <c r="C184" s="944"/>
      <c r="D184" s="321"/>
      <c r="E184" s="559" t="str">
        <f>IF('C-Design&amp;Const'!$S184="","",'C-Design&amp;Const'!$S184)</f>
        <v>N</v>
      </c>
      <c r="F184" s="478"/>
      <c r="G184" s="485"/>
      <c r="H184" s="238" t="str">
        <f>CONCATENATE(IF(E184="N","PLACEHOLDER ROW - ",""),IF(E184="N","",J184),'C-Design&amp;Const'!Z184,)</f>
        <v>PLACEHOLDER ROW - Outline Specifications (CSI Format)</v>
      </c>
      <c r="I184" s="136"/>
      <c r="J184" s="609" t="str">
        <f>IF('C-Design&amp;Const'!AJ184="","",'C-Design&amp;Const'!AJ184)</f>
        <v/>
      </c>
      <c r="K184" s="285" t="str">
        <f t="shared" si="18"/>
        <v>match</v>
      </c>
      <c r="L184" s="1410" t="str">
        <f t="shared" si="19"/>
        <v>&lt;---PM/Planner may hide PLACEHOLDER ROW</v>
      </c>
      <c r="M184" s="1333"/>
      <c r="N184" s="1382"/>
      <c r="O184" s="1333"/>
      <c r="P184" s="1333"/>
      <c r="Q184" s="1333"/>
      <c r="R184" s="1453"/>
      <c r="S184" s="1364"/>
      <c r="T184" s="1333"/>
      <c r="U184" s="1333"/>
      <c r="V184" s="1333"/>
      <c r="W184" s="1333"/>
      <c r="X184" s="1333"/>
      <c r="Y184" s="1333"/>
      <c r="Z184" s="1333"/>
      <c r="AA184" s="1333"/>
      <c r="AB184" s="1333"/>
      <c r="AC184" s="1333"/>
      <c r="AD184" s="1333"/>
      <c r="AE184" s="1333"/>
      <c r="AF184" s="1333"/>
      <c r="AG184" s="1333"/>
      <c r="AH184" s="1333"/>
      <c r="AI184" s="1333"/>
      <c r="AJ184" s="1333"/>
      <c r="AX184"/>
    </row>
    <row r="185" spans="1:50" s="17" customFormat="1" x14ac:dyDescent="0.25">
      <c r="A185" s="1510" t="str">
        <f>IF(COUNTIF('04 - 95% CD'!D185:G185,"Y")&gt;0,"Y",IF(COUNTIF('04 - 95% CD'!D185:G185,"N"),"N",""))</f>
        <v>Y</v>
      </c>
      <c r="B185" s="141"/>
      <c r="C185" s="944"/>
      <c r="D185" s="321"/>
      <c r="E185" s="559" t="str">
        <f>IF('C-Design&amp;Const'!$S185="","",'C-Design&amp;Const'!$S185)</f>
        <v>Y</v>
      </c>
      <c r="F185" s="478"/>
      <c r="G185" s="485"/>
      <c r="H185" s="238" t="str">
        <f>CONCATENATE(IF(E185="N","PLACEHOLDER ROW - ",""),IF(E185="N","",J185),'C-Design&amp;Const'!Z185,)</f>
        <v>(Complete) Technical Specifications  [Div 01 and after]</v>
      </c>
      <c r="I185" s="136"/>
      <c r="J185" s="609" t="str">
        <f>IF('C-Design&amp;Const'!AJ185="","",'C-Design&amp;Const'!AJ185)</f>
        <v xml:space="preserve">(Complete) </v>
      </c>
      <c r="K185" s="285" t="str">
        <f t="shared" si="18"/>
        <v>match</v>
      </c>
      <c r="L185" s="1410" t="str">
        <f t="shared" si="19"/>
        <v/>
      </c>
      <c r="M185" s="1333"/>
      <c r="N185" s="1333"/>
      <c r="O185" s="1333"/>
      <c r="P185" s="1333"/>
      <c r="Q185" s="1333"/>
      <c r="R185" s="1453"/>
      <c r="S185" s="1364"/>
      <c r="T185" s="1333"/>
      <c r="U185" s="1333"/>
      <c r="V185" s="1333"/>
      <c r="W185" s="1333"/>
      <c r="X185" s="1333"/>
      <c r="Y185" s="1333"/>
      <c r="Z185" s="1333"/>
      <c r="AA185" s="1333"/>
      <c r="AB185" s="1333"/>
      <c r="AC185" s="1333"/>
      <c r="AD185" s="1333"/>
      <c r="AE185" s="1333"/>
      <c r="AF185" s="1333"/>
      <c r="AG185" s="1333"/>
      <c r="AH185" s="1333"/>
      <c r="AI185" s="1333"/>
      <c r="AJ185" s="1333"/>
      <c r="AX185"/>
    </row>
    <row r="186" spans="1:50" s="17" customFormat="1" ht="18.75" x14ac:dyDescent="0.25">
      <c r="A186" s="1510" t="str">
        <f>IF(COUNTIF('04 - 95% CD'!D186:G186,"Y")&gt;0,"Y",IF(COUNTIF('04 - 95% CD'!D186:G186,"N"),"N",""))</f>
        <v>Y</v>
      </c>
      <c r="B186" s="141"/>
      <c r="C186" s="944"/>
      <c r="D186" s="296"/>
      <c r="E186" s="559" t="str">
        <f>IF('C-Design&amp;Const'!$S186="","",'C-Design&amp;Const'!$S186)</f>
        <v>Y</v>
      </c>
      <c r="F186" s="444"/>
      <c r="G186" s="94"/>
      <c r="H186" s="340" t="str">
        <f>CONCATENATE(IF(E186="N","PLACEHOLDER ROW - ",""),IF(E186="N","",J186),'C-Design&amp;Const'!Z186,)</f>
        <v xml:space="preserve">(Complete) FF&amp;E Outline Specification for at least 2 competitor packages </v>
      </c>
      <c r="I186" s="145"/>
      <c r="J186" s="609" t="str">
        <f>IF('C-Design&amp;Const'!AJ186="","",'C-Design&amp;Const'!AJ186)</f>
        <v xml:space="preserve">(Complete) </v>
      </c>
      <c r="K186" s="285" t="str">
        <f t="shared" si="18"/>
        <v>match</v>
      </c>
      <c r="L186" s="1410" t="str">
        <f t="shared" si="19"/>
        <v/>
      </c>
      <c r="M186" s="1333"/>
      <c r="N186" s="1333"/>
      <c r="O186" s="1333"/>
      <c r="P186" s="1333"/>
      <c r="Q186" s="1333"/>
      <c r="R186" s="1444"/>
      <c r="S186" s="1448"/>
      <c r="T186" s="1333"/>
      <c r="U186" s="1333"/>
      <c r="V186" s="1333"/>
      <c r="W186" s="1333"/>
      <c r="X186" s="1333"/>
      <c r="Y186" s="1333"/>
      <c r="Z186" s="1333"/>
      <c r="AA186" s="1333"/>
      <c r="AB186" s="1333"/>
      <c r="AC186" s="1333"/>
      <c r="AD186" s="1333"/>
      <c r="AE186" s="1333"/>
      <c r="AF186" s="1333"/>
      <c r="AG186" s="1333"/>
      <c r="AH186" s="1333"/>
      <c r="AI186" s="1333"/>
      <c r="AJ186" s="1333"/>
      <c r="AX186"/>
    </row>
    <row r="187" spans="1:50" s="17" customFormat="1" x14ac:dyDescent="0.25">
      <c r="A187" s="1553" t="str">
        <f>IF(COUNTIF('04 - 95% CD'!D187:G187,"Y")&gt;0,"Y",IF(COUNTIF('04 - 95% CD'!D187:G187,"N"),"N",""))</f>
        <v>Y</v>
      </c>
      <c r="B187" s="141"/>
      <c r="C187" s="944"/>
      <c r="D187" s="321"/>
      <c r="E187" s="559" t="str">
        <f>IF('C-Design&amp;Const'!$S187="","",'C-Design&amp;Const'!$S187)</f>
        <v>Y</v>
      </c>
      <c r="F187" s="460"/>
      <c r="G187" s="485"/>
      <c r="H187" s="340" t="str">
        <f>CONCATENATE(IF(E187="N","PLACEHOLDER ROW - ",""),IF(E187="N","",J187),'C-Design&amp;Const'!Z187,)</f>
        <v>(Complete) Furniture Information Form (FIF)</v>
      </c>
      <c r="I187" s="136"/>
      <c r="J187" s="609" t="str">
        <f>IF('C-Design&amp;Const'!AJ187="","",'C-Design&amp;Const'!AJ187)</f>
        <v xml:space="preserve">(Complete) </v>
      </c>
      <c r="K187" s="285" t="str">
        <f>IF((COUNTIF(D187:F187,"Y")=COUNTIF(A187,"Y")),"match","no 95% match")</f>
        <v>match</v>
      </c>
      <c r="L187" s="1410" t="str">
        <f>CONCATENATE(IF(ISNUMBER(SEARCH("Placeholder",H187))=TRUE,"&lt;---PM/Planner may hide PLACEHOLDER ROW",""))</f>
        <v/>
      </c>
      <c r="M187" s="1333"/>
      <c r="N187" s="1382"/>
      <c r="O187" s="1333"/>
      <c r="P187" s="1333"/>
      <c r="Q187" s="1333"/>
      <c r="R187" s="1453"/>
      <c r="S187" s="1364"/>
      <c r="T187" s="1333"/>
      <c r="U187" s="1333"/>
      <c r="V187" s="1333"/>
      <c r="W187" s="1333"/>
      <c r="X187" s="1333"/>
      <c r="Y187" s="1333"/>
      <c r="Z187" s="1333"/>
      <c r="AA187" s="1333"/>
      <c r="AB187" s="1333"/>
      <c r="AC187" s="1333"/>
      <c r="AD187" s="1333"/>
      <c r="AE187" s="1333"/>
      <c r="AF187" s="1333"/>
      <c r="AG187" s="1333"/>
      <c r="AH187" s="1333"/>
      <c r="AI187" s="1333"/>
      <c r="AJ187" s="1333"/>
      <c r="AX187"/>
    </row>
    <row r="188" spans="1:50" s="17" customFormat="1" x14ac:dyDescent="0.25">
      <c r="A188" s="1553" t="str">
        <f>IF(COUNTIF('04 - 95% CD'!D188:G188,"Y")&gt;0,"Y",IF(COUNTIF('04 - 95% CD'!D188:G188,"N"),"N",""))</f>
        <v>Y</v>
      </c>
      <c r="B188" s="141"/>
      <c r="C188" s="944"/>
      <c r="D188" s="321"/>
      <c r="E188" s="559" t="str">
        <f>IF('C-Design&amp;Const'!$S188="","",'C-Design&amp;Const'!$S188)</f>
        <v>Y</v>
      </c>
      <c r="F188" s="460"/>
      <c r="G188" s="485"/>
      <c r="H188" s="238" t="str">
        <f>CONCATENATE(IF(E188="N","PLACEHOLDER ROW - ",""),IF(E188="N","",J188),'C-Design&amp;Const'!Z188,)</f>
        <v xml:space="preserve">(Complete) Voice/Data Communications System Requirements </v>
      </c>
      <c r="I188" s="136"/>
      <c r="J188" s="609" t="str">
        <f>IF('C-Design&amp;Const'!AJ188="","",'C-Design&amp;Const'!AJ188)</f>
        <v xml:space="preserve">(Complete) </v>
      </c>
      <c r="K188" s="285" t="str">
        <f t="shared" si="18"/>
        <v>match</v>
      </c>
      <c r="L188" s="1410" t="str">
        <f t="shared" si="19"/>
        <v/>
      </c>
      <c r="M188" s="1333"/>
      <c r="N188" s="1333"/>
      <c r="O188" s="1333"/>
      <c r="P188" s="1333"/>
      <c r="Q188" s="1333"/>
      <c r="R188" s="1453"/>
      <c r="S188" s="1364"/>
      <c r="T188" s="1333"/>
      <c r="U188" s="1333"/>
      <c r="V188" s="1333"/>
      <c r="W188" s="1333"/>
      <c r="X188" s="1333"/>
      <c r="Y188" s="1333"/>
      <c r="Z188" s="1333"/>
      <c r="AA188" s="1333"/>
      <c r="AB188" s="1333"/>
      <c r="AC188" s="1333"/>
      <c r="AD188" s="1333"/>
      <c r="AE188" s="1333"/>
      <c r="AF188" s="1333"/>
      <c r="AG188" s="1333"/>
      <c r="AH188" s="1333"/>
      <c r="AI188" s="1333"/>
      <c r="AJ188" s="1333"/>
      <c r="AX188"/>
    </row>
    <row r="189" spans="1:50" s="17" customFormat="1" ht="42.75" x14ac:dyDescent="0.25">
      <c r="A189" s="1553" t="str">
        <f>IF(COUNTIF('04 - 95% CD'!D189:G189,"Y")&gt;0,"Y",IF(COUNTIF('04 - 95% CD'!D189:G189,"N"),"N",""))</f>
        <v>Y</v>
      </c>
      <c r="B189" s="141"/>
      <c r="C189" s="944"/>
      <c r="D189" s="321"/>
      <c r="E189" s="559" t="str">
        <f>IF('C-Design&amp;Const'!$S189="","",'C-Design&amp;Const'!$S189)</f>
        <v>Y</v>
      </c>
      <c r="F189" s="460"/>
      <c r="G189" s="485"/>
      <c r="H189" s="238" t="str">
        <f>CONCATENATE(IF(E189="N","PLACEHOLDER ROW - ",""),IF(E189="N","",J189),'C-Design&amp;Const'!Z189,)</f>
        <v xml:space="preserve">(Complete) AV Systems Requirements, including Millwork, Associated Cooling, Power, Grounding, Data / Telecomm, Acoustics &amp; Noise Control, and Lighting System. Cables Identified by Manufacturer/Model Number. </v>
      </c>
      <c r="I189" s="136"/>
      <c r="J189" s="609" t="str">
        <f>IF('C-Design&amp;Const'!AJ189="","",'C-Design&amp;Const'!AJ189)</f>
        <v xml:space="preserve">(Complete) </v>
      </c>
      <c r="K189" s="285" t="str">
        <f t="shared" si="18"/>
        <v>match</v>
      </c>
      <c r="L189" s="1410" t="str">
        <f t="shared" si="19"/>
        <v/>
      </c>
      <c r="M189" s="1333"/>
      <c r="N189" s="1333"/>
      <c r="O189" s="1333"/>
      <c r="P189" s="1333"/>
      <c r="Q189" s="1333"/>
      <c r="R189" s="1453"/>
      <c r="S189" s="1364"/>
      <c r="T189" s="1333"/>
      <c r="U189" s="1333"/>
      <c r="V189" s="1333"/>
      <c r="W189" s="1333"/>
      <c r="X189" s="1333"/>
      <c r="Y189" s="1333"/>
      <c r="Z189" s="1333"/>
      <c r="AA189" s="1333"/>
      <c r="AB189" s="1333"/>
      <c r="AC189" s="1333"/>
      <c r="AD189" s="1333"/>
      <c r="AE189" s="1333"/>
      <c r="AF189" s="1333"/>
      <c r="AG189" s="1333"/>
      <c r="AH189" s="1333"/>
      <c r="AI189" s="1333"/>
      <c r="AJ189" s="1333"/>
      <c r="AX189"/>
    </row>
    <row r="190" spans="1:50" s="17" customFormat="1" x14ac:dyDescent="0.25">
      <c r="A190" s="1553" t="str">
        <f>IF(COUNTIF('04 - 95% CD'!D190:G190,"Y")&gt;0,"Y",IF(COUNTIF('04 - 95% CD'!D190:G190,"N"),"N",""))</f>
        <v>Y</v>
      </c>
      <c r="B190" s="141"/>
      <c r="C190" s="944"/>
      <c r="D190" s="321"/>
      <c r="E190" s="559" t="str">
        <f>IF('C-Design&amp;Const'!$S190="","",'C-Design&amp;Const'!$S190)</f>
        <v>Y</v>
      </c>
      <c r="F190" s="460"/>
      <c r="G190" s="485"/>
      <c r="H190" s="340" t="str">
        <f>CONCATENATE(IF(E190="N","PLACEHOLDER ROW - ",""),IF(E190="N","",J190),'C-Design&amp;Const'!Z190,)</f>
        <v>(Complete) Audio / Visual Basis of Material (AV BOM)</v>
      </c>
      <c r="I190" s="136"/>
      <c r="J190" s="609" t="str">
        <f>IF('C-Design&amp;Const'!AJ190="","",'C-Design&amp;Const'!AJ190)</f>
        <v xml:space="preserve">(Complete) </v>
      </c>
      <c r="K190" s="285" t="str">
        <f>IF((COUNTIF(D190:F190,"Y")=COUNTIF(A190,"Y")),"match","no 95% match")</f>
        <v>match</v>
      </c>
      <c r="L190" s="1410" t="str">
        <f>CONCATENATE(IF(ISNUMBER(SEARCH("Placeholder",H190))=TRUE,"&lt;---PM/Planner may hide PLACEHOLDER ROW",""))</f>
        <v/>
      </c>
      <c r="M190" s="1333"/>
      <c r="N190" s="1382"/>
      <c r="O190" s="1333"/>
      <c r="P190" s="1333"/>
      <c r="Q190" s="1333"/>
      <c r="R190" s="1453"/>
      <c r="S190" s="1364"/>
      <c r="T190" s="1333"/>
      <c r="U190" s="1333"/>
      <c r="V190" s="1333"/>
      <c r="W190" s="1333"/>
      <c r="X190" s="1333"/>
      <c r="Y190" s="1333"/>
      <c r="Z190" s="1333"/>
      <c r="AA190" s="1333"/>
      <c r="AB190" s="1333"/>
      <c r="AC190" s="1333"/>
      <c r="AD190" s="1333"/>
      <c r="AE190" s="1333"/>
      <c r="AF190" s="1333"/>
      <c r="AG190" s="1333"/>
      <c r="AH190" s="1333"/>
      <c r="AI190" s="1333"/>
      <c r="AJ190" s="1333"/>
      <c r="AX190"/>
    </row>
    <row r="191" spans="1:50" s="17" customFormat="1" x14ac:dyDescent="0.25">
      <c r="A191" s="1553" t="str">
        <f>IF(COUNTIF('04 - 95% CD'!D191:G191,"Y")&gt;0,"Y",IF(COUNTIF('04 - 95% CD'!D191:G191,"N"),"N",""))</f>
        <v>Y</v>
      </c>
      <c r="B191" s="141"/>
      <c r="C191" s="944"/>
      <c r="D191" s="321"/>
      <c r="E191" s="559" t="str">
        <f>IF('C-Design&amp;Const'!$S191="","",'C-Design&amp;Const'!$S191)</f>
        <v>Y</v>
      </c>
      <c r="F191" s="460"/>
      <c r="G191" s="485"/>
      <c r="H191" s="410" t="str">
        <f>CONCATENATE(IF(E191="N","PLACEHOLDER ROW - ",""),IF(E191="N","",J191),'C-Design&amp;Const'!Z191,)</f>
        <v>Soil Borings and Soils Report (With Applicable Section)</v>
      </c>
      <c r="I191" s="136"/>
      <c r="J191" s="609" t="str">
        <f>IF('C-Design&amp;Const'!AJ191="","",'C-Design&amp;Const'!AJ191)</f>
        <v/>
      </c>
      <c r="K191" s="285" t="str">
        <f t="shared" si="18"/>
        <v>match</v>
      </c>
      <c r="L191" s="1410" t="str">
        <f t="shared" si="19"/>
        <v/>
      </c>
      <c r="M191" s="1333"/>
      <c r="N191" s="1333"/>
      <c r="O191" s="1333"/>
      <c r="P191" s="1333"/>
      <c r="Q191" s="1333"/>
      <c r="R191" s="1410"/>
      <c r="S191" s="1364"/>
      <c r="T191" s="1333"/>
      <c r="U191" s="1333"/>
      <c r="V191" s="1333"/>
      <c r="W191" s="1333"/>
      <c r="X191" s="1333"/>
      <c r="Y191" s="1333"/>
      <c r="Z191" s="1333"/>
      <c r="AA191" s="1333"/>
      <c r="AB191" s="1333"/>
      <c r="AC191" s="1333"/>
      <c r="AD191" s="1333"/>
      <c r="AE191" s="1333"/>
      <c r="AF191" s="1333"/>
      <c r="AG191" s="1333"/>
      <c r="AH191" s="1333"/>
      <c r="AI191" s="1333"/>
      <c r="AJ191" s="1333"/>
      <c r="AX191"/>
    </row>
    <row r="192" spans="1:50" s="17" customFormat="1" ht="28.5" x14ac:dyDescent="0.25">
      <c r="A192" s="1553" t="str">
        <f>IF(COUNTIF('04 - 95% CD'!D192:G192,"Y")&gt;0,"Y",IF(COUNTIF('04 - 95% CD'!D192:G192,"N"),"N",""))</f>
        <v>Y</v>
      </c>
      <c r="B192" s="141"/>
      <c r="C192" s="944"/>
      <c r="D192" s="321"/>
      <c r="E192" s="559" t="str">
        <f>IF('C-Design&amp;Const'!$S192="","",'C-Design&amp;Const'!$S192)</f>
        <v>Y</v>
      </c>
      <c r="F192" s="460"/>
      <c r="G192" s="485"/>
      <c r="H192" s="410" t="str">
        <f>CONCATENATE(IF(E192="N","PLACEHOLDER ROW - ",""),IF(E192="N","",J192),'C-Design&amp;Const'!Z192,)</f>
        <v>Results of Hazardous Materials Testing and Hazardous Materials Mediation Plan (With Applicable Section)</v>
      </c>
      <c r="I192" s="136"/>
      <c r="J192" s="609" t="str">
        <f>IF('C-Design&amp;Const'!AJ192="","",'C-Design&amp;Const'!AJ192)</f>
        <v/>
      </c>
      <c r="K192" s="285" t="str">
        <f t="shared" si="18"/>
        <v>match</v>
      </c>
      <c r="L192" s="1410" t="str">
        <f t="shared" si="19"/>
        <v/>
      </c>
      <c r="M192" s="1333"/>
      <c r="N192" s="1333"/>
      <c r="O192" s="1333"/>
      <c r="P192" s="1333"/>
      <c r="Q192" s="1333"/>
      <c r="R192" s="1453"/>
      <c r="S192" s="1364"/>
      <c r="T192" s="1333"/>
      <c r="U192" s="1333"/>
      <c r="V192" s="1333"/>
      <c r="W192" s="1333"/>
      <c r="X192" s="1333"/>
      <c r="Y192" s="1333"/>
      <c r="Z192" s="1333"/>
      <c r="AA192" s="1333"/>
      <c r="AB192" s="1333"/>
      <c r="AC192" s="1333"/>
      <c r="AD192" s="1333"/>
      <c r="AE192" s="1333"/>
      <c r="AF192" s="1333"/>
      <c r="AG192" s="1333"/>
      <c r="AH192" s="1333"/>
      <c r="AI192" s="1333"/>
      <c r="AJ192" s="1333"/>
      <c r="AX192"/>
    </row>
    <row r="193" spans="1:50" s="30" customFormat="1" ht="19.5" customHeight="1" x14ac:dyDescent="0.2">
      <c r="A193" s="1553" t="str">
        <f>IF(COUNTIF('04 - 95% CD'!D193:G193,"Y")&gt;0,"Y",IF(COUNTIF('04 - 95% CD'!D193:G193,"N"),"N",""))</f>
        <v>Y</v>
      </c>
      <c r="B193" s="191"/>
      <c r="C193" s="944"/>
      <c r="D193" s="463"/>
      <c r="E193" s="559" t="str">
        <f>IF('C-Design&amp;Const'!$S193="","",'C-Design&amp;Const'!$S193)</f>
        <v>Y</v>
      </c>
      <c r="F193" s="461"/>
      <c r="G193" s="291"/>
      <c r="H193" s="358" t="str">
        <f>CONCATENATE(IF(E193="N","PLACEHOLDER ROW - ",""),IF(E193="N","",J193),'C-Design&amp;Const'!Z193,)</f>
        <v>(All received) EPA &amp; State Permits (With Applicable Section)</v>
      </c>
      <c r="I193" s="184"/>
      <c r="J193" s="609" t="str">
        <f>IF('C-Design&amp;Const'!AJ193="","",'C-Design&amp;Const'!AJ193)</f>
        <v xml:space="preserve">(All received) </v>
      </c>
      <c r="K193" s="285" t="str">
        <f t="shared" si="18"/>
        <v>match</v>
      </c>
      <c r="L193" s="1410" t="str">
        <f t="shared" si="19"/>
        <v/>
      </c>
      <c r="M193" s="1382"/>
      <c r="N193" s="1382"/>
      <c r="O193" s="1382"/>
      <c r="P193" s="1382"/>
      <c r="Q193" s="1382"/>
      <c r="R193" s="1382"/>
      <c r="S193" s="1382"/>
      <c r="T193" s="1382"/>
      <c r="U193" s="1382"/>
      <c r="V193" s="1382"/>
      <c r="W193" s="1382"/>
      <c r="X193" s="1382"/>
      <c r="Y193" s="1382"/>
      <c r="Z193" s="1382"/>
      <c r="AA193" s="1382"/>
      <c r="AB193" s="1382"/>
      <c r="AC193" s="1382"/>
      <c r="AD193" s="1382"/>
      <c r="AE193" s="1382"/>
      <c r="AF193" s="1382"/>
      <c r="AG193" s="1382"/>
      <c r="AH193" s="1382"/>
      <c r="AI193" s="1382"/>
      <c r="AJ193" s="1382"/>
      <c r="AK193" s="181"/>
      <c r="AL193" s="181"/>
      <c r="AM193" s="181"/>
      <c r="AN193" s="181"/>
      <c r="AO193" s="181"/>
      <c r="AP193" s="181"/>
      <c r="AQ193" s="181"/>
      <c r="AR193" s="181"/>
      <c r="AS193" s="181"/>
      <c r="AT193" s="181"/>
      <c r="AU193" s="181"/>
      <c r="AV193" s="181"/>
      <c r="AW193" s="181"/>
    </row>
    <row r="194" spans="1:50" s="17" customFormat="1" x14ac:dyDescent="0.25">
      <c r="A194" s="1553" t="str">
        <f>IF(COUNTIF('04 - 95% CD'!D194:G194,"Y")&gt;0,"Y",IF(COUNTIF('04 - 95% CD'!D194:G194,"N"),"N",""))</f>
        <v>Y</v>
      </c>
      <c r="B194" s="141"/>
      <c r="C194" s="944"/>
      <c r="D194" s="321"/>
      <c r="E194" s="559" t="str">
        <f>IF('C-Design&amp;Const'!$S194="","",'C-Design&amp;Const'!$S194)</f>
        <v>Y</v>
      </c>
      <c r="F194" s="460"/>
      <c r="G194" s="485"/>
      <c r="H194" s="410" t="str">
        <f>CONCATENATE(IF(E194="N","PLACEHOLDER ROW - ",""),IF(E194="N","",J194),'C-Design&amp;Const'!Z194,)</f>
        <v>Results of flow testing (With Applicable Section)</v>
      </c>
      <c r="I194" s="136"/>
      <c r="J194" s="609" t="str">
        <f>IF('C-Design&amp;Const'!AJ194="","",'C-Design&amp;Const'!AJ194)</f>
        <v/>
      </c>
      <c r="K194" s="285" t="str">
        <f t="shared" si="18"/>
        <v>match</v>
      </c>
      <c r="L194" s="1410" t="str">
        <f t="shared" si="19"/>
        <v/>
      </c>
      <c r="M194" s="1333"/>
      <c r="N194" s="1333"/>
      <c r="O194" s="1333"/>
      <c r="P194" s="1333"/>
      <c r="Q194" s="1333"/>
      <c r="R194" s="1453"/>
      <c r="S194" s="1364"/>
      <c r="T194" s="1333"/>
      <c r="U194" s="1333"/>
      <c r="V194" s="1333"/>
      <c r="W194" s="1333"/>
      <c r="X194" s="1333"/>
      <c r="Y194" s="1333"/>
      <c r="Z194" s="1333"/>
      <c r="AA194" s="1333"/>
      <c r="AB194" s="1333"/>
      <c r="AC194" s="1333"/>
      <c r="AD194" s="1333"/>
      <c r="AE194" s="1333"/>
      <c r="AF194" s="1333"/>
      <c r="AG194" s="1333"/>
      <c r="AH194" s="1333"/>
      <c r="AI194" s="1333"/>
      <c r="AJ194" s="1333"/>
      <c r="AX194"/>
    </row>
    <row r="195" spans="1:50" s="30" customFormat="1" ht="15" customHeight="1" x14ac:dyDescent="0.2">
      <c r="A195" s="1553" t="str">
        <f>IF(COUNTIF('04 - 95% CD'!D195:G195,"Y")&gt;0,"Y",IF(COUNTIF('04 - 95% CD'!D195:G195,"N"),"N",""))</f>
        <v>Y</v>
      </c>
      <c r="B195" s="191"/>
      <c r="C195" s="944"/>
      <c r="D195" s="463"/>
      <c r="E195" s="559" t="str">
        <f>IF('C-Design&amp;Const'!$S195="","",'C-Design&amp;Const'!$S195)</f>
        <v>Y</v>
      </c>
      <c r="F195" s="461"/>
      <c r="G195" s="291"/>
      <c r="H195" s="358" t="str">
        <f>CONCATENATE(IF(E195="N","PLACEHOLDER ROW - ",""),IF(E195="N","",J195),'C-Design&amp;Const'!Z195,)</f>
        <v>Results of existing exterior envelope material tests or strengths (With Applicable section)</v>
      </c>
      <c r="I195" s="184"/>
      <c r="J195" s="609" t="str">
        <f>IF('C-Design&amp;Const'!AJ195="","",'C-Design&amp;Const'!AJ195)</f>
        <v/>
      </c>
      <c r="K195" s="285" t="str">
        <f t="shared" si="18"/>
        <v>match</v>
      </c>
      <c r="L195" s="1410" t="str">
        <f t="shared" si="19"/>
        <v/>
      </c>
      <c r="M195" s="1382"/>
      <c r="N195" s="1382"/>
      <c r="O195" s="1382"/>
      <c r="P195" s="1382"/>
      <c r="Q195" s="1382"/>
      <c r="R195" s="1382"/>
      <c r="S195" s="1382"/>
      <c r="T195" s="1382"/>
      <c r="U195" s="1382"/>
      <c r="V195" s="1382"/>
      <c r="W195" s="1382"/>
      <c r="X195" s="1382"/>
      <c r="Y195" s="1382"/>
      <c r="Z195" s="1382"/>
      <c r="AA195" s="1382"/>
      <c r="AB195" s="1382"/>
      <c r="AC195" s="1382"/>
      <c r="AD195" s="1382"/>
      <c r="AE195" s="1382"/>
      <c r="AF195" s="1382"/>
      <c r="AG195" s="1382"/>
      <c r="AH195" s="1382"/>
      <c r="AI195" s="1382"/>
      <c r="AJ195" s="1382"/>
      <c r="AK195" s="181"/>
      <c r="AL195" s="181"/>
      <c r="AM195" s="181"/>
      <c r="AN195" s="181"/>
      <c r="AO195" s="181"/>
      <c r="AP195" s="181"/>
      <c r="AQ195" s="181"/>
      <c r="AR195" s="181"/>
      <c r="AS195" s="181"/>
      <c r="AT195" s="181"/>
      <c r="AU195" s="181"/>
      <c r="AV195" s="181"/>
      <c r="AW195" s="181"/>
    </row>
    <row r="196" spans="1:50" s="17" customFormat="1" ht="28.5" x14ac:dyDescent="0.25">
      <c r="A196" s="1553" t="str">
        <f>IF(COUNTIF('04 - 95% CD'!D196:G196,"Y")&gt;0,"Y",IF(COUNTIF('04 - 95% CD'!D196:G196,"N"),"N",""))</f>
        <v>Y</v>
      </c>
      <c r="B196" s="141"/>
      <c r="C196" s="944"/>
      <c r="D196" s="321"/>
      <c r="E196" s="559" t="str">
        <f>IF('C-Design&amp;Const'!$S196="","",'C-Design&amp;Const'!$S196)</f>
        <v>Y</v>
      </c>
      <c r="F196" s="460"/>
      <c r="G196" s="485"/>
      <c r="H196" s="358" t="str">
        <f>CONCATENATE(IF(E196="N","PLACEHOLDER ROW - ",""),IF(E196="N","",J196),'C-Design&amp;Const'!Z196,)</f>
        <v>Results of any existing structural materials tests or verification / scans of structure layout. (With Applicable section)</v>
      </c>
      <c r="I196" s="136"/>
      <c r="J196" s="609" t="str">
        <f>IF('C-Design&amp;Const'!AJ196="","",'C-Design&amp;Const'!AJ196)</f>
        <v/>
      </c>
      <c r="K196" s="285" t="str">
        <f t="shared" si="18"/>
        <v>match</v>
      </c>
      <c r="L196" s="1410" t="str">
        <f t="shared" si="19"/>
        <v/>
      </c>
      <c r="M196" s="1333"/>
      <c r="N196" s="1333"/>
      <c r="O196" s="1333"/>
      <c r="P196" s="1333"/>
      <c r="Q196" s="1333"/>
      <c r="R196" s="1453"/>
      <c r="S196" s="1364"/>
      <c r="T196" s="1333"/>
      <c r="U196" s="1333"/>
      <c r="V196" s="1333"/>
      <c r="W196" s="1333"/>
      <c r="X196" s="1333"/>
      <c r="Y196" s="1333"/>
      <c r="Z196" s="1333"/>
      <c r="AA196" s="1333"/>
      <c r="AB196" s="1333"/>
      <c r="AC196" s="1333"/>
      <c r="AD196" s="1333"/>
      <c r="AE196" s="1333"/>
      <c r="AF196" s="1333"/>
      <c r="AG196" s="1333"/>
      <c r="AH196" s="1333"/>
      <c r="AI196" s="1333"/>
      <c r="AJ196" s="1333"/>
      <c r="AX196"/>
    </row>
    <row r="197" spans="1:50" s="30" customFormat="1" ht="16.5" customHeight="1" x14ac:dyDescent="0.2">
      <c r="A197" s="1553" t="str">
        <f>IF(COUNTIF('04 - 95% CD'!D197:G197,"Y")&gt;0,"Y",IF(COUNTIF('04 - 95% CD'!D197:G197,"N"),"N",""))</f>
        <v>N</v>
      </c>
      <c r="B197" s="191"/>
      <c r="C197" s="944"/>
      <c r="D197" s="463"/>
      <c r="E197" s="559" t="str">
        <f>IF('C-Design&amp;Const'!$S197="","",'C-Design&amp;Const'!$S197)</f>
        <v>N</v>
      </c>
      <c r="F197" s="461"/>
      <c r="G197" s="291"/>
      <c r="H197" s="358" t="str">
        <f>CONCATENATE(IF(E197="N","PLACEHOLDER ROW - ",""),IF(E197="N","",J197),'C-Design&amp;Const'!Z197,)</f>
        <v>PLACEHOLDER ROW - CUSTOM ROW - OPTIONAL CLIENT ITEM</v>
      </c>
      <c r="I197" s="184"/>
      <c r="J197" s="609" t="str">
        <f>IF('C-Design&amp;Const'!AJ197="","",'C-Design&amp;Const'!AJ197)</f>
        <v/>
      </c>
      <c r="K197" s="285" t="str">
        <f t="shared" si="18"/>
        <v>match</v>
      </c>
      <c r="L197" s="1410" t="str">
        <f t="shared" si="19"/>
        <v>&lt;---PM/Planner may hide PLACEHOLDER ROW</v>
      </c>
      <c r="M197" s="1382"/>
      <c r="N197" s="1382"/>
      <c r="O197" s="1382"/>
      <c r="P197" s="1382"/>
      <c r="Q197" s="1382"/>
      <c r="R197" s="1382"/>
      <c r="S197" s="1382"/>
      <c r="T197" s="1382"/>
      <c r="U197" s="1382"/>
      <c r="V197" s="1382"/>
      <c r="W197" s="1382"/>
      <c r="X197" s="1382"/>
      <c r="Y197" s="1382"/>
      <c r="Z197" s="1382"/>
      <c r="AA197" s="1382"/>
      <c r="AB197" s="1382"/>
      <c r="AC197" s="1382"/>
      <c r="AD197" s="1382"/>
      <c r="AE197" s="1382"/>
      <c r="AF197" s="1382"/>
      <c r="AG197" s="1382"/>
      <c r="AH197" s="1382"/>
      <c r="AI197" s="1382"/>
      <c r="AJ197" s="1382"/>
      <c r="AK197" s="181"/>
      <c r="AL197" s="181"/>
      <c r="AM197" s="181"/>
      <c r="AN197" s="181"/>
      <c r="AO197" s="181"/>
      <c r="AP197" s="181"/>
      <c r="AQ197" s="181"/>
      <c r="AR197" s="181"/>
      <c r="AS197" s="181"/>
      <c r="AT197" s="181"/>
      <c r="AU197" s="181"/>
      <c r="AV197" s="181"/>
      <c r="AW197" s="181"/>
    </row>
    <row r="198" spans="1:50" s="30" customFormat="1" ht="15.75" customHeight="1" x14ac:dyDescent="0.2">
      <c r="A198" s="1553" t="str">
        <f>IF(COUNTIF('04 - 95% CD'!D198:G198,"Y")&gt;0,"Y",IF(COUNTIF('04 - 95% CD'!D198:G198,"N"),"N",""))</f>
        <v>N</v>
      </c>
      <c r="B198" s="191"/>
      <c r="C198" s="944"/>
      <c r="D198" s="463"/>
      <c r="E198" s="559" t="str">
        <f>IF('C-Design&amp;Const'!$S198="","",'C-Design&amp;Const'!$S198)</f>
        <v>N</v>
      </c>
      <c r="F198" s="461"/>
      <c r="G198" s="291"/>
      <c r="H198" s="358" t="str">
        <f>CONCATENATE(IF(E198="N","PLACEHOLDER ROW - ",""),IF(E198="N","",J198),'C-Design&amp;Const'!Z198,)</f>
        <v>PLACEHOLDER ROW - CUSTOM ROW - OPTIONAL CLIENT ITEM</v>
      </c>
      <c r="I198" s="184"/>
      <c r="J198" s="609" t="str">
        <f>IF('C-Design&amp;Const'!AJ198="","",'C-Design&amp;Const'!AJ198)</f>
        <v/>
      </c>
      <c r="K198" s="285" t="str">
        <f t="shared" si="18"/>
        <v>match</v>
      </c>
      <c r="L198" s="1410" t="str">
        <f t="shared" si="19"/>
        <v>&lt;---PM/Planner may hide PLACEHOLDER ROW</v>
      </c>
      <c r="M198" s="1382"/>
      <c r="N198" s="1382"/>
      <c r="O198" s="1382"/>
      <c r="P198" s="1382"/>
      <c r="Q198" s="1382"/>
      <c r="R198" s="1382"/>
      <c r="S198" s="1382"/>
      <c r="T198" s="1382"/>
      <c r="U198" s="1382"/>
      <c r="V198" s="1382"/>
      <c r="W198" s="1382"/>
      <c r="X198" s="1382"/>
      <c r="Y198" s="1382"/>
      <c r="Z198" s="1382"/>
      <c r="AA198" s="1382"/>
      <c r="AB198" s="1382"/>
      <c r="AC198" s="1382"/>
      <c r="AD198" s="1382"/>
      <c r="AE198" s="1382"/>
      <c r="AF198" s="1382"/>
      <c r="AG198" s="1382"/>
      <c r="AH198" s="1382"/>
      <c r="AI198" s="1382"/>
      <c r="AJ198" s="1382"/>
      <c r="AK198" s="181"/>
      <c r="AL198" s="181"/>
      <c r="AM198" s="181"/>
      <c r="AN198" s="181"/>
      <c r="AO198" s="181"/>
      <c r="AP198" s="181"/>
      <c r="AQ198" s="181"/>
      <c r="AR198" s="181"/>
      <c r="AS198" s="181"/>
      <c r="AT198" s="181"/>
      <c r="AU198" s="181"/>
      <c r="AV198" s="181"/>
      <c r="AW198" s="181"/>
    </row>
    <row r="199" spans="1:50" s="30" customFormat="1" ht="15" hidden="1" customHeight="1" x14ac:dyDescent="0.2">
      <c r="A199" s="1553" t="str">
        <f>IF(COUNTIF('04 - 95% CD'!D199:G199,"Y")&gt;0,"Y",IF(COUNTIF('04 - 95% CD'!D199:G199,"N"),"N",""))</f>
        <v>N</v>
      </c>
      <c r="B199" s="191"/>
      <c r="C199" s="944"/>
      <c r="D199" s="463"/>
      <c r="E199" s="559" t="str">
        <f>IF('C-Design&amp;Const'!$S199="","",'C-Design&amp;Const'!$S199)</f>
        <v>N</v>
      </c>
      <c r="F199" s="461"/>
      <c r="G199" s="291"/>
      <c r="H199" s="358" t="str">
        <f>CONCATENATE(IF(E199="N","PLACEHOLDER ROW - ",""),IF(E199="N","",J199),'C-Design&amp;Const'!Z199,)</f>
        <v>PLACEHOLDER ROW - CUSTOM ROW - OPTIONAL CLIENT ITEM</v>
      </c>
      <c r="I199" s="184"/>
      <c r="J199" s="609" t="str">
        <f>IF('C-Design&amp;Const'!AJ199="","",'C-Design&amp;Const'!AJ199)</f>
        <v/>
      </c>
      <c r="K199" s="285" t="str">
        <f t="shared" si="18"/>
        <v>match</v>
      </c>
      <c r="L199" s="1410" t="str">
        <f t="shared" si="19"/>
        <v>&lt;---PM/Planner may hide PLACEHOLDER ROW</v>
      </c>
      <c r="M199" s="1382"/>
      <c r="N199" s="1382"/>
      <c r="O199" s="1382"/>
      <c r="P199" s="1382"/>
      <c r="Q199" s="1382"/>
      <c r="R199" s="1382"/>
      <c r="S199" s="1382"/>
      <c r="T199" s="1382"/>
      <c r="U199" s="1382"/>
      <c r="V199" s="1382"/>
      <c r="W199" s="1382"/>
      <c r="X199" s="1382"/>
      <c r="Y199" s="1382"/>
      <c r="Z199" s="1382"/>
      <c r="AA199" s="1382"/>
      <c r="AB199" s="1382"/>
      <c r="AC199" s="1382"/>
      <c r="AD199" s="1382"/>
      <c r="AE199" s="1382"/>
      <c r="AF199" s="1382"/>
      <c r="AG199" s="1382"/>
      <c r="AH199" s="1382"/>
      <c r="AI199" s="1382"/>
      <c r="AJ199" s="1382"/>
      <c r="AK199" s="181"/>
      <c r="AL199" s="181"/>
      <c r="AM199" s="181"/>
      <c r="AN199" s="181"/>
      <c r="AO199" s="181"/>
      <c r="AP199" s="181"/>
      <c r="AQ199" s="181"/>
      <c r="AR199" s="181"/>
      <c r="AS199" s="181"/>
      <c r="AT199" s="181"/>
      <c r="AU199" s="181"/>
      <c r="AV199" s="181"/>
      <c r="AW199" s="181"/>
    </row>
    <row r="200" spans="1:50" s="17" customFormat="1" hidden="1" x14ac:dyDescent="0.25">
      <c r="A200" s="1553" t="str">
        <f>IF(COUNTIF('04 - 95% CD'!D200:G200,"Y")&gt;0,"Y",IF(COUNTIF('04 - 95% CD'!D200:G200,"N"),"N",""))</f>
        <v>N</v>
      </c>
      <c r="B200" s="141"/>
      <c r="C200" s="944"/>
      <c r="D200" s="321"/>
      <c r="E200" s="559" t="str">
        <f>IF('C-Design&amp;Const'!$S200="","",'C-Design&amp;Const'!$S200)</f>
        <v>N</v>
      </c>
      <c r="F200" s="460"/>
      <c r="G200" s="485"/>
      <c r="H200" s="358" t="str">
        <f>CONCATENATE(IF(E200="N","PLACEHOLDER ROW - ",""),IF(E200="N","",J200),'C-Design&amp;Const'!Z200,)</f>
        <v>PLACEHOLDER ROW - CUSTOM ROW - OPTIONAL CLIENT ITEM</v>
      </c>
      <c r="I200" s="136"/>
      <c r="J200" s="609" t="str">
        <f>IF('C-Design&amp;Const'!AJ200="","",'C-Design&amp;Const'!AJ200)</f>
        <v/>
      </c>
      <c r="K200" s="285" t="str">
        <f t="shared" si="18"/>
        <v>match</v>
      </c>
      <c r="L200" s="1410" t="str">
        <f t="shared" si="19"/>
        <v>&lt;---PM/Planner may hide PLACEHOLDER ROW</v>
      </c>
      <c r="M200" s="1333"/>
      <c r="N200" s="1382"/>
      <c r="O200" s="1333"/>
      <c r="P200" s="1333"/>
      <c r="Q200" s="1333"/>
      <c r="R200" s="1453"/>
      <c r="S200" s="1364"/>
      <c r="T200" s="1333"/>
      <c r="U200" s="1333"/>
      <c r="V200" s="1333"/>
      <c r="W200" s="1333"/>
      <c r="X200" s="1333"/>
      <c r="Y200" s="1333"/>
      <c r="Z200" s="1333"/>
      <c r="AA200" s="1333"/>
      <c r="AB200" s="1333"/>
      <c r="AC200" s="1333"/>
      <c r="AD200" s="1333"/>
      <c r="AE200" s="1333"/>
      <c r="AF200" s="1333"/>
      <c r="AG200" s="1333"/>
      <c r="AH200" s="1333"/>
      <c r="AI200" s="1333"/>
      <c r="AJ200" s="1333"/>
      <c r="AX200"/>
    </row>
    <row r="201" spans="1:50" s="17" customFormat="1" hidden="1" x14ac:dyDescent="0.25">
      <c r="A201" s="1553" t="str">
        <f>IF(COUNTIF('04 - 95% CD'!D201:G201,"Y")&gt;0,"Y",IF(COUNTIF('04 - 95% CD'!D201:G201,"N"),"N",""))</f>
        <v>N</v>
      </c>
      <c r="B201" s="141"/>
      <c r="C201" s="944"/>
      <c r="D201" s="321"/>
      <c r="E201" s="559" t="str">
        <f>IF('C-Design&amp;Const'!$S201="","",'C-Design&amp;Const'!$S201)</f>
        <v>N</v>
      </c>
      <c r="F201" s="460"/>
      <c r="G201" s="485"/>
      <c r="H201" s="358" t="str">
        <f>CONCATENATE(IF(E201="N","PLACEHOLDER ROW - ",""),IF(E201="N","",J201),'C-Design&amp;Const'!Z201,)</f>
        <v>PLACEHOLDER ROW - CUSTOM ROW - OPTIONAL CLIENT ITEM</v>
      </c>
      <c r="I201" s="136"/>
      <c r="J201" s="609" t="str">
        <f>IF('C-Design&amp;Const'!AJ201="","",'C-Design&amp;Const'!AJ201)</f>
        <v/>
      </c>
      <c r="K201" s="285" t="str">
        <f t="shared" si="18"/>
        <v>match</v>
      </c>
      <c r="L201" s="1410" t="str">
        <f t="shared" si="19"/>
        <v>&lt;---PM/Planner may hide PLACEHOLDER ROW</v>
      </c>
      <c r="M201" s="1333"/>
      <c r="N201" s="1382"/>
      <c r="O201" s="1333"/>
      <c r="P201" s="1333"/>
      <c r="Q201" s="1333"/>
      <c r="R201" s="1453"/>
      <c r="S201" s="1364"/>
      <c r="T201" s="1333"/>
      <c r="U201" s="1333"/>
      <c r="V201" s="1333"/>
      <c r="W201" s="1333"/>
      <c r="X201" s="1333"/>
      <c r="Y201" s="1333"/>
      <c r="Z201" s="1333"/>
      <c r="AA201" s="1333"/>
      <c r="AB201" s="1333"/>
      <c r="AC201" s="1333"/>
      <c r="AD201" s="1333"/>
      <c r="AE201" s="1333"/>
      <c r="AF201" s="1333"/>
      <c r="AG201" s="1333"/>
      <c r="AH201" s="1333"/>
      <c r="AI201" s="1333"/>
      <c r="AJ201" s="1333"/>
      <c r="AX201"/>
    </row>
    <row r="202" spans="1:50" s="17" customFormat="1" hidden="1" x14ac:dyDescent="0.25">
      <c r="A202" s="1553" t="str">
        <f>IF(COUNTIF('04 - 95% CD'!D202:G202,"Y")&gt;0,"Y",IF(COUNTIF('04 - 95% CD'!D202:G202,"N"),"N",""))</f>
        <v>N</v>
      </c>
      <c r="B202" s="141"/>
      <c r="C202" s="944"/>
      <c r="D202" s="321"/>
      <c r="E202" s="559" t="str">
        <f>IF('C-Design&amp;Const'!$S202="","",'C-Design&amp;Const'!$S202)</f>
        <v>N</v>
      </c>
      <c r="F202" s="460"/>
      <c r="G202" s="485"/>
      <c r="H202" s="358" t="str">
        <f>CONCATENATE(IF(E202="N","PLACEHOLDER ROW - ",""),IF(E202="N","",J202),'C-Design&amp;Const'!Z202,)</f>
        <v>PLACEHOLDER ROW - CUSTOM ROW - OPTIONAL CLIENT ITEM</v>
      </c>
      <c r="I202" s="136"/>
      <c r="J202" s="609" t="str">
        <f>IF('C-Design&amp;Const'!AJ202="","",'C-Design&amp;Const'!AJ202)</f>
        <v/>
      </c>
      <c r="K202" s="285" t="str">
        <f t="shared" si="18"/>
        <v>match</v>
      </c>
      <c r="L202" s="1410" t="str">
        <f t="shared" si="19"/>
        <v>&lt;---PM/Planner may hide PLACEHOLDER ROW</v>
      </c>
      <c r="M202" s="1333"/>
      <c r="N202" s="1382"/>
      <c r="O202" s="1333"/>
      <c r="P202" s="1333"/>
      <c r="Q202" s="1333"/>
      <c r="R202" s="1453"/>
      <c r="S202" s="1364"/>
      <c r="T202" s="1333"/>
      <c r="U202" s="1333"/>
      <c r="V202" s="1333"/>
      <c r="W202" s="1333"/>
      <c r="X202" s="1333"/>
      <c r="Y202" s="1333"/>
      <c r="Z202" s="1333"/>
      <c r="AA202" s="1333"/>
      <c r="AB202" s="1333"/>
      <c r="AC202" s="1333"/>
      <c r="AD202" s="1333"/>
      <c r="AE202" s="1333"/>
      <c r="AF202" s="1333"/>
      <c r="AG202" s="1333"/>
      <c r="AH202" s="1333"/>
      <c r="AI202" s="1333"/>
      <c r="AJ202" s="1333"/>
      <c r="AX202"/>
    </row>
    <row r="203" spans="1:50" s="17" customFormat="1" hidden="1" x14ac:dyDescent="0.25">
      <c r="A203" s="1553" t="str">
        <f>IF(COUNTIF('04 - 95% CD'!D203:G203,"Y")&gt;0,"Y",IF(COUNTIF('04 - 95% CD'!D203:G203,"N"),"N",""))</f>
        <v>N</v>
      </c>
      <c r="B203" s="141"/>
      <c r="C203" s="944"/>
      <c r="D203" s="321"/>
      <c r="E203" s="559" t="str">
        <f>IF('C-Design&amp;Const'!$S203="","",'C-Design&amp;Const'!$S203)</f>
        <v>N</v>
      </c>
      <c r="F203" s="460"/>
      <c r="G203" s="485"/>
      <c r="H203" s="358" t="str">
        <f>CONCATENATE(IF(E203="N","PLACEHOLDER ROW - ",""),IF(E203="N","",J203),'C-Design&amp;Const'!Z203,)</f>
        <v>PLACEHOLDER ROW - CUSTOM ROW - OPTIONAL CLIENT ITEM</v>
      </c>
      <c r="I203" s="136"/>
      <c r="J203" s="609" t="str">
        <f>IF('C-Design&amp;Const'!AJ203="","",'C-Design&amp;Const'!AJ203)</f>
        <v/>
      </c>
      <c r="K203" s="285" t="str">
        <f t="shared" si="18"/>
        <v>match</v>
      </c>
      <c r="L203" s="1410" t="str">
        <f t="shared" si="19"/>
        <v>&lt;---PM/Planner may hide PLACEHOLDER ROW</v>
      </c>
      <c r="M203" s="1333"/>
      <c r="N203" s="1382"/>
      <c r="O203" s="1333"/>
      <c r="P203" s="1333"/>
      <c r="Q203" s="1333"/>
      <c r="R203" s="1453"/>
      <c r="S203" s="1364"/>
      <c r="T203" s="1333"/>
      <c r="U203" s="1333"/>
      <c r="V203" s="1333"/>
      <c r="W203" s="1333"/>
      <c r="X203" s="1333"/>
      <c r="Y203" s="1333"/>
      <c r="Z203" s="1333"/>
      <c r="AA203" s="1333"/>
      <c r="AB203" s="1333"/>
      <c r="AC203" s="1333"/>
      <c r="AD203" s="1333"/>
      <c r="AE203" s="1333"/>
      <c r="AF203" s="1333"/>
      <c r="AG203" s="1333"/>
      <c r="AH203" s="1333"/>
      <c r="AI203" s="1333"/>
      <c r="AJ203" s="1333"/>
      <c r="AX203"/>
    </row>
    <row r="204" spans="1:50" s="17" customFormat="1" hidden="1" x14ac:dyDescent="0.25">
      <c r="A204" s="1553" t="str">
        <f>IF(COUNTIF('04 - 95% CD'!D204:G204,"Y")&gt;0,"Y",IF(COUNTIF('04 - 95% CD'!D204:G204,"N"),"N",""))</f>
        <v>N</v>
      </c>
      <c r="B204" s="141"/>
      <c r="C204" s="944"/>
      <c r="D204" s="321"/>
      <c r="E204" s="559" t="str">
        <f>IF('C-Design&amp;Const'!$S204="","",'C-Design&amp;Const'!$S204)</f>
        <v>N</v>
      </c>
      <c r="F204" s="460"/>
      <c r="G204" s="485"/>
      <c r="H204" s="358" t="str">
        <f>CONCATENATE(IF(E204="N","PLACEHOLDER ROW - ",""),IF(E204="N","",J204),'C-Design&amp;Const'!Z204,)</f>
        <v>PLACEHOLDER ROW - CUSTOM ROW - OPTIONAL CLIENT ITEM</v>
      </c>
      <c r="I204" s="136"/>
      <c r="J204" s="609" t="str">
        <f>IF('C-Design&amp;Const'!AJ204="","",'C-Design&amp;Const'!AJ204)</f>
        <v/>
      </c>
      <c r="K204" s="285" t="str">
        <f t="shared" si="18"/>
        <v>match</v>
      </c>
      <c r="L204" s="1410" t="str">
        <f t="shared" si="19"/>
        <v>&lt;---PM/Planner may hide PLACEHOLDER ROW</v>
      </c>
      <c r="M204" s="1333"/>
      <c r="N204" s="1382"/>
      <c r="O204" s="1333"/>
      <c r="P204" s="1333"/>
      <c r="Q204" s="1333"/>
      <c r="R204" s="1453"/>
      <c r="S204" s="1364"/>
      <c r="T204" s="1333"/>
      <c r="U204" s="1333"/>
      <c r="V204" s="1333"/>
      <c r="W204" s="1333"/>
      <c r="X204" s="1333"/>
      <c r="Y204" s="1333"/>
      <c r="Z204" s="1333"/>
      <c r="AA204" s="1333"/>
      <c r="AB204" s="1333"/>
      <c r="AC204" s="1333"/>
      <c r="AD204" s="1333"/>
      <c r="AE204" s="1333"/>
      <c r="AF204" s="1333"/>
      <c r="AG204" s="1333"/>
      <c r="AH204" s="1333"/>
      <c r="AI204" s="1333"/>
      <c r="AJ204" s="1333"/>
      <c r="AX204"/>
    </row>
    <row r="205" spans="1:50" s="17" customFormat="1" x14ac:dyDescent="0.25">
      <c r="A205" s="1510" t="str">
        <f>IF(COUNTIF('04 - 95% CD'!D205:G205,"Y")&gt;0,"Y",IF(COUNTIF('04 - 95% CD'!D205:G205,"N"),"N",""))</f>
        <v/>
      </c>
      <c r="B205" s="141"/>
      <c r="C205" s="944"/>
      <c r="D205" s="411"/>
      <c r="E205" s="411"/>
      <c r="F205" s="321"/>
      <c r="G205" s="294"/>
      <c r="H205" s="296" t="str">
        <f>CONCATENATE(IF(E205="N","PLACEHOLDER ROW - ",""),IF(E205="N","",J205),'C-Design&amp;Const'!Z205,)</f>
        <v/>
      </c>
      <c r="I205" s="130"/>
      <c r="J205" s="609" t="str">
        <f>IF('C-Design&amp;Const'!AJ205="","",'C-Design&amp;Const'!AJ205)</f>
        <v/>
      </c>
      <c r="K205" s="285" t="str">
        <f t="shared" si="18"/>
        <v>match</v>
      </c>
      <c r="L205" s="1410" t="str">
        <f t="shared" si="19"/>
        <v/>
      </c>
      <c r="M205" s="1333"/>
      <c r="N205" s="1333"/>
      <c r="O205" s="1333"/>
      <c r="P205" s="1333"/>
      <c r="Q205" s="1333"/>
      <c r="R205" s="1453"/>
      <c r="S205" s="1364"/>
      <c r="T205" s="1404"/>
      <c r="U205" s="1333"/>
      <c r="V205" s="1333"/>
      <c r="W205" s="1333"/>
      <c r="X205" s="1333"/>
      <c r="Y205" s="1333"/>
      <c r="Z205" s="1333"/>
      <c r="AA205" s="1333"/>
      <c r="AB205" s="1333"/>
      <c r="AC205" s="1333"/>
      <c r="AD205" s="1333"/>
      <c r="AE205" s="1333"/>
      <c r="AF205" s="1333"/>
      <c r="AG205" s="1333"/>
      <c r="AH205" s="1333"/>
      <c r="AI205" s="1333"/>
      <c r="AJ205" s="1333"/>
    </row>
    <row r="206" spans="1:50" s="181" customFormat="1" ht="37.5" x14ac:dyDescent="0.2">
      <c r="A206" s="1501" t="str">
        <f>IF(COUNTIF('04 - 95% CD'!D206:G206,"Y")&gt;0,"Y",IF(COUNTIF('04 - 95% CD'!D206:G206,"N"),"N",""))</f>
        <v>Y</v>
      </c>
      <c r="B206" s="177"/>
      <c r="C206" s="948"/>
      <c r="D206" s="359" t="str">
        <f>IF('C-Design&amp;Const'!$S206="","",'C-Design&amp;Const'!$S206)</f>
        <v>Y</v>
      </c>
      <c r="E206" s="234"/>
      <c r="F206" s="235"/>
      <c r="G206" s="291" t="str">
        <f>IF('C-Design&amp;Const'!Y206="","",'C-Design&amp;Const'!Y206)</f>
        <v>07a.</v>
      </c>
      <c r="H206" s="290" t="str">
        <f>CONCATENATE('C-Design&amp;Const'!Z206,IF(D206="N"," Not Used In This Construction Phase",J206))</f>
        <v>Drawing Set- Issue for Construction Set (then Update / Monitor for RFI, ASI, Field Directives, As-Built/Red Lines from Contactor)</v>
      </c>
      <c r="I206" s="184"/>
      <c r="J206" s="609" t="str">
        <f>IF('C-Design&amp;Const'!AJ206="","",'C-Design&amp;Const'!AJ206)</f>
        <v>- Issue for Construction Set (then Update / Monitor for RFI, ASI, Field Directives, As-Built/Red Lines from Contactor)</v>
      </c>
      <c r="K206" s="285" t="str">
        <f t="shared" si="18"/>
        <v>match</v>
      </c>
      <c r="L206" s="1410" t="str">
        <f t="shared" si="19"/>
        <v/>
      </c>
      <c r="M206" s="1382"/>
      <c r="N206" s="1382"/>
      <c r="O206" s="1382"/>
      <c r="P206" s="1382"/>
      <c r="Q206" s="1382"/>
      <c r="R206" s="1447"/>
      <c r="S206" s="1448"/>
      <c r="T206" s="1404"/>
      <c r="U206" s="1382"/>
      <c r="V206" s="1382"/>
      <c r="W206" s="1382"/>
      <c r="X206" s="1382"/>
      <c r="Y206" s="1382"/>
      <c r="Z206" s="1382"/>
      <c r="AA206" s="1382"/>
      <c r="AB206" s="1382"/>
      <c r="AC206" s="1382"/>
      <c r="AD206" s="1382"/>
      <c r="AE206" s="1382"/>
      <c r="AF206" s="1382"/>
      <c r="AG206" s="1382"/>
      <c r="AH206" s="1382"/>
      <c r="AI206" s="1382"/>
      <c r="AJ206" s="1382"/>
    </row>
    <row r="207" spans="1:50" s="17" customFormat="1" x14ac:dyDescent="0.25">
      <c r="A207" s="1517" t="str">
        <f>IF(COUNTIF('04 - 95% CD'!D207:G207,"Y")&gt;0,"Y",IF(COUNTIF('04 - 95% CD'!D207:G207,"N"),"N",""))</f>
        <v>Y</v>
      </c>
      <c r="B207" s="141"/>
      <c r="C207" s="944"/>
      <c r="D207" s="411"/>
      <c r="E207" s="321"/>
      <c r="F207" s="559" t="str">
        <f>IF('C-Design&amp;Const'!$S207="","",'C-Design&amp;Const'!$S207)</f>
        <v>Y</v>
      </c>
      <c r="G207" s="485"/>
      <c r="H207" s="243" t="str">
        <f>CONCATENATE(IF(F207="N","PLACEHOLDER ROW - ",""),'C-Design&amp;Const'!Z207,IF(F207="N","",J207))</f>
        <v>Title Sheet (Complete)</v>
      </c>
      <c r="I207" s="137"/>
      <c r="J207" s="609" t="str">
        <f>IF('C-Design&amp;Const'!AJ207="","",'C-Design&amp;Const'!AJ207)</f>
        <v>(Complete)</v>
      </c>
      <c r="K207" s="285" t="str">
        <f t="shared" si="18"/>
        <v>match</v>
      </c>
      <c r="L207" s="1410" t="str">
        <f t="shared" si="19"/>
        <v/>
      </c>
      <c r="M207" s="1333"/>
      <c r="N207" s="1333"/>
      <c r="O207" s="1333"/>
      <c r="P207" s="1333"/>
      <c r="Q207" s="1333"/>
      <c r="R207" s="1453"/>
      <c r="S207" s="1364"/>
      <c r="T207" s="1404"/>
      <c r="U207" s="1333"/>
      <c r="V207" s="1333"/>
      <c r="W207" s="1333"/>
      <c r="X207" s="1333"/>
      <c r="Y207" s="1333"/>
      <c r="Z207" s="1333"/>
      <c r="AA207" s="1333"/>
      <c r="AB207" s="1333"/>
      <c r="AC207" s="1333"/>
      <c r="AD207" s="1333"/>
      <c r="AE207" s="1333"/>
      <c r="AF207" s="1333"/>
      <c r="AG207" s="1333"/>
      <c r="AH207" s="1333"/>
      <c r="AI207" s="1333"/>
      <c r="AJ207" s="1333"/>
    </row>
    <row r="208" spans="1:50" s="30" customFormat="1" ht="15" customHeight="1" x14ac:dyDescent="0.2">
      <c r="A208" s="1407" t="str">
        <f>IF(COUNTIF('04 - 95% CD'!D208:G208,"Y")&gt;0,"Y",IF(COUNTIF('04 - 95% CD'!D208:G208,"N"),"N",""))</f>
        <v>Y</v>
      </c>
      <c r="B208" s="191"/>
      <c r="C208" s="944"/>
      <c r="D208" s="463"/>
      <c r="E208" s="463"/>
      <c r="F208" s="359" t="str">
        <f>IF('C-Design&amp;Const'!$S208="","",'C-Design&amp;Const'!$S208)</f>
        <v>Y</v>
      </c>
      <c r="G208" s="291"/>
      <c r="H208" s="469" t="str">
        <f>CONCATENATE(IF(F208="N","PLACEHOLDER ROW - ",""),'C-Design&amp;Const'!Z208,IF(F208="N","",J208))</f>
        <v>Code Compliance (Complete)</v>
      </c>
      <c r="I208" s="184"/>
      <c r="J208" s="609" t="str">
        <f>IF('C-Design&amp;Const'!AJ208="","",'C-Design&amp;Const'!AJ208)</f>
        <v>(Complete)</v>
      </c>
      <c r="K208" s="285" t="str">
        <f t="shared" si="18"/>
        <v>match</v>
      </c>
      <c r="L208" s="1410" t="str">
        <f t="shared" si="19"/>
        <v/>
      </c>
      <c r="M208" s="1382"/>
      <c r="N208" s="1382"/>
      <c r="O208" s="1382"/>
      <c r="P208" s="1382"/>
      <c r="Q208" s="1382"/>
      <c r="R208" s="1382"/>
      <c r="S208" s="1382"/>
      <c r="T208" s="1382"/>
      <c r="U208" s="1382"/>
      <c r="V208" s="1382"/>
      <c r="W208" s="1382"/>
      <c r="X208" s="1382"/>
      <c r="Y208" s="1382"/>
      <c r="Z208" s="1382"/>
      <c r="AA208" s="1382"/>
      <c r="AB208" s="1382"/>
      <c r="AC208" s="1382"/>
      <c r="AD208" s="1382"/>
      <c r="AE208" s="1382"/>
      <c r="AF208" s="1382"/>
      <c r="AG208" s="1382"/>
      <c r="AH208" s="1382"/>
      <c r="AI208" s="1382"/>
      <c r="AJ208" s="1382"/>
      <c r="AK208" s="181"/>
      <c r="AL208" s="181"/>
      <c r="AM208" s="181"/>
      <c r="AN208" s="181"/>
      <c r="AO208" s="181"/>
      <c r="AP208" s="181"/>
      <c r="AQ208" s="181"/>
      <c r="AR208" s="181"/>
      <c r="AS208" s="181"/>
      <c r="AT208" s="181"/>
      <c r="AU208" s="181"/>
      <c r="AV208" s="181"/>
      <c r="AW208" s="181"/>
    </row>
    <row r="209" spans="1:49" s="30" customFormat="1" ht="15" customHeight="1" x14ac:dyDescent="0.2">
      <c r="A209" s="1407" t="str">
        <f>IF(COUNTIF('04 - 95% CD'!D209:G209,"Y")&gt;0,"Y",IF(COUNTIF('04 - 95% CD'!D209:G209,"N"),"N",""))</f>
        <v>Y</v>
      </c>
      <c r="B209" s="191"/>
      <c r="C209" s="944"/>
      <c r="D209" s="463"/>
      <c r="E209" s="463"/>
      <c r="F209" s="359" t="str">
        <f>IF('C-Design&amp;Const'!$S209="","",'C-Design&amp;Const'!$S209)</f>
        <v>Y</v>
      </c>
      <c r="G209" s="291"/>
      <c r="H209" s="469" t="str">
        <f>CONCATENATE(IF(F209="N","PLACEHOLDER ROW - ",""),'C-Design&amp;Const'!Z209,IF(F209="N","",J209))</f>
        <v>Life Safety (Complete)</v>
      </c>
      <c r="I209" s="184"/>
      <c r="J209" s="609" t="str">
        <f>IF('C-Design&amp;Const'!AJ209="","",'C-Design&amp;Const'!AJ209)</f>
        <v>(Complete)</v>
      </c>
      <c r="K209" s="285" t="str">
        <f t="shared" si="18"/>
        <v>match</v>
      </c>
      <c r="L209" s="1410" t="str">
        <f t="shared" si="19"/>
        <v/>
      </c>
      <c r="M209" s="1382"/>
      <c r="N209" s="1382"/>
      <c r="O209" s="1382"/>
      <c r="P209" s="1382"/>
      <c r="Q209" s="1382"/>
      <c r="R209" s="1382"/>
      <c r="S209" s="1382"/>
      <c r="T209" s="1382"/>
      <c r="U209" s="1382"/>
      <c r="V209" s="1382"/>
      <c r="W209" s="1382"/>
      <c r="X209" s="1382"/>
      <c r="Y209" s="1382"/>
      <c r="Z209" s="1382"/>
      <c r="AA209" s="1382"/>
      <c r="AB209" s="1382"/>
      <c r="AC209" s="1382"/>
      <c r="AD209" s="1382"/>
      <c r="AE209" s="1382"/>
      <c r="AF209" s="1382"/>
      <c r="AG209" s="1382"/>
      <c r="AH209" s="1382"/>
      <c r="AI209" s="1382"/>
      <c r="AJ209" s="1382"/>
      <c r="AK209" s="181"/>
      <c r="AL209" s="181"/>
      <c r="AM209" s="181"/>
      <c r="AN209" s="181"/>
      <c r="AO209" s="181"/>
      <c r="AP209" s="181"/>
      <c r="AQ209" s="181"/>
      <c r="AR209" s="181"/>
      <c r="AS209" s="181"/>
      <c r="AT209" s="181"/>
      <c r="AU209" s="181"/>
      <c r="AV209" s="181"/>
      <c r="AW209" s="181"/>
    </row>
    <row r="210" spans="1:49" s="30" customFormat="1" ht="15" customHeight="1" x14ac:dyDescent="0.2">
      <c r="A210" s="1407" t="str">
        <f>IF(COUNTIF('04 - 95% CD'!D210:G210,"Y")&gt;0,"Y",IF(COUNTIF('04 - 95% CD'!D210:G210,"N"),"N",""))</f>
        <v>Y</v>
      </c>
      <c r="B210" s="191"/>
      <c r="C210" s="944"/>
      <c r="D210" s="463"/>
      <c r="E210" s="463"/>
      <c r="F210" s="359" t="str">
        <f>IF('C-Design&amp;Const'!$S210="","",'C-Design&amp;Const'!$S210)</f>
        <v>Y</v>
      </c>
      <c r="G210" s="291"/>
      <c r="H210" s="469" t="str">
        <f>CONCATENATE(IF(F210="N","PLACEHOLDER ROW - ",""),'C-Design&amp;Const'!Z210,IF(F210="N","",J210))</f>
        <v>General Project Info (Complete)</v>
      </c>
      <c r="I210" s="184"/>
      <c r="J210" s="609" t="str">
        <f>IF('C-Design&amp;Const'!AJ210="","",'C-Design&amp;Const'!AJ210)</f>
        <v>(Complete)</v>
      </c>
      <c r="K210" s="285" t="str">
        <f t="shared" si="18"/>
        <v>match</v>
      </c>
      <c r="L210" s="1410" t="str">
        <f t="shared" si="19"/>
        <v/>
      </c>
      <c r="M210" s="1382"/>
      <c r="N210" s="1382"/>
      <c r="O210" s="1382"/>
      <c r="P210" s="1382"/>
      <c r="Q210" s="1382"/>
      <c r="R210" s="1382"/>
      <c r="S210" s="1382"/>
      <c r="T210" s="1382"/>
      <c r="U210" s="1382"/>
      <c r="V210" s="1382"/>
      <c r="W210" s="1382"/>
      <c r="X210" s="1382"/>
      <c r="Y210" s="1382"/>
      <c r="Z210" s="1382"/>
      <c r="AA210" s="1382"/>
      <c r="AB210" s="1382"/>
      <c r="AC210" s="1382"/>
      <c r="AD210" s="1382"/>
      <c r="AE210" s="1382"/>
      <c r="AF210" s="1382"/>
      <c r="AG210" s="1382"/>
      <c r="AH210" s="1382"/>
      <c r="AI210" s="1382"/>
      <c r="AJ210" s="1382"/>
      <c r="AK210" s="181"/>
      <c r="AL210" s="181"/>
      <c r="AM210" s="181"/>
      <c r="AN210" s="181"/>
      <c r="AO210" s="181"/>
      <c r="AP210" s="181"/>
      <c r="AQ210" s="181"/>
      <c r="AR210" s="181"/>
      <c r="AS210" s="181"/>
      <c r="AT210" s="181"/>
      <c r="AU210" s="181"/>
      <c r="AV210" s="181"/>
      <c r="AW210" s="181"/>
    </row>
    <row r="211" spans="1:49" s="17" customFormat="1" x14ac:dyDescent="0.25">
      <c r="A211" s="1510" t="str">
        <f>IF(COUNTIF('04 - 95% CD'!D211:G211,"Y")&gt;0,"Y",IF(COUNTIF('04 - 95% CD'!D211:G211,"N"),"N",""))</f>
        <v>Y</v>
      </c>
      <c r="B211" s="141"/>
      <c r="C211" s="944"/>
      <c r="D211" s="411"/>
      <c r="E211" s="559" t="str">
        <f>IF('C-Design&amp;Const'!$S211="","",'C-Design&amp;Const'!$S211)</f>
        <v>Y</v>
      </c>
      <c r="F211" s="478"/>
      <c r="G211" s="485"/>
      <c r="H211" s="244" t="str">
        <f>CONCATENATE(IF(F211="N","PLACEHOLDER ROW - ",""),'C-Design&amp;Const'!Z211,IF(F211="N","",J211))</f>
        <v>Asbestos, Lead Based Paint, &amp; Hazardous Materials Drawings (Including Bid Alts.)</v>
      </c>
      <c r="I211" s="146"/>
      <c r="J211" s="609" t="str">
        <f>IF('C-Design&amp;Const'!AJ211="","",'C-Design&amp;Const'!AJ211)</f>
        <v xml:space="preserve"> (Including Bid Alts.)</v>
      </c>
      <c r="K211" s="285" t="str">
        <f t="shared" ref="K211" si="20">IF((COUNTIF(D211:F211,"Y")=COUNTIF(A211,"Y")),"match","no 95% match")</f>
        <v>match</v>
      </c>
      <c r="L211" s="1410" t="str">
        <f t="shared" ref="L211" si="21">CONCATENATE(IF(ISNUMBER(SEARCH("Placeholder",H211))=TRUE,"&lt;---PM/Planner may hide PLACEHOLDER ROW",""))</f>
        <v/>
      </c>
      <c r="M211" s="1333"/>
      <c r="N211" s="1333"/>
      <c r="O211" s="1333"/>
      <c r="P211" s="1333"/>
      <c r="Q211" s="1333"/>
      <c r="R211" s="1284"/>
      <c r="S211" s="1488"/>
      <c r="T211" s="1404"/>
      <c r="U211" s="1333"/>
      <c r="V211" s="1333"/>
      <c r="W211" s="1333"/>
      <c r="X211" s="1333"/>
      <c r="Y211" s="1333"/>
      <c r="Z211" s="1333"/>
      <c r="AA211" s="1333"/>
      <c r="AB211" s="1333"/>
      <c r="AC211" s="1333"/>
      <c r="AD211" s="1333"/>
      <c r="AE211" s="1333"/>
      <c r="AF211" s="1333"/>
      <c r="AG211" s="1333"/>
      <c r="AH211" s="1333"/>
      <c r="AI211" s="1333"/>
      <c r="AJ211" s="1333"/>
    </row>
    <row r="212" spans="1:49" s="17" customFormat="1" x14ac:dyDescent="0.25">
      <c r="A212" s="1517" t="str">
        <f>IF(COUNTIF('04 - 95% CD'!D212:G212,"Y")&gt;0,"Y",IF(COUNTIF('04 - 95% CD'!D212:G212,"N"),"N",""))</f>
        <v>N</v>
      </c>
      <c r="B212" s="141"/>
      <c r="C212" s="944"/>
      <c r="D212" s="411"/>
      <c r="E212" s="321"/>
      <c r="F212" s="559" t="str">
        <f>IF('C-Design&amp;Const'!$S212="","",'C-Design&amp;Const'!$S212)</f>
        <v>N</v>
      </c>
      <c r="G212" s="491"/>
      <c r="H212" s="469" t="str">
        <f>CONCATENATE(IF(F212="N","PLACEHOLDER ROW - ",""),'C-Design&amp;Const'!Z212,IF(F212="N","",J212))</f>
        <v>PLACEHOLDER ROW - CUSTOM - Asbestos</v>
      </c>
      <c r="I212" s="151"/>
      <c r="J212" s="609" t="str">
        <f>IF('C-Design&amp;Const'!AJ212="","",'C-Design&amp;Const'!AJ212)</f>
        <v>(Complete)</v>
      </c>
      <c r="K212" s="285" t="str">
        <f>IF((COUNTIF(D212:F212,"Y")=COUNTIF(A212,"Y")),"match","no 95% match")</f>
        <v>match</v>
      </c>
      <c r="L212" s="1410" t="str">
        <f>CONCATENATE(IF(ISNUMBER(SEARCH("Placeholder",H212))=TRUE,"&lt;---PM/Planner may hide PLACEHOLDER ROW",""))</f>
        <v>&lt;---PM/Planner may hide PLACEHOLDER ROW</v>
      </c>
      <c r="M212" s="1333"/>
      <c r="N212" s="1333"/>
      <c r="O212" s="1333"/>
      <c r="P212" s="1333"/>
      <c r="Q212" s="1333"/>
      <c r="R212" s="1453"/>
      <c r="S212" s="1364"/>
      <c r="T212" s="1404"/>
      <c r="U212" s="1333"/>
      <c r="V212" s="1333"/>
      <c r="W212" s="1333"/>
      <c r="X212" s="1333"/>
      <c r="Y212" s="1333"/>
      <c r="Z212" s="1333"/>
      <c r="AA212" s="1333"/>
      <c r="AB212" s="1333"/>
      <c r="AC212" s="1333"/>
      <c r="AD212" s="1333"/>
      <c r="AE212" s="1333"/>
      <c r="AF212" s="1333"/>
      <c r="AG212" s="1333"/>
      <c r="AH212" s="1333"/>
      <c r="AI212" s="1333"/>
      <c r="AJ212" s="1333"/>
    </row>
    <row r="213" spans="1:49" s="17" customFormat="1" x14ac:dyDescent="0.25">
      <c r="A213" s="1517" t="str">
        <f>IF(COUNTIF('04 - 95% CD'!D213:G213,"Y")&gt;0,"Y",IF(COUNTIF('04 - 95% CD'!D213:G213,"N"),"N",""))</f>
        <v>Y</v>
      </c>
      <c r="B213" s="141"/>
      <c r="C213" s="944"/>
      <c r="D213" s="411"/>
      <c r="E213" s="321"/>
      <c r="F213" s="559" t="str">
        <f>IF('C-Design&amp;Const'!$S213="","",'C-Design&amp;Const'!$S213)</f>
        <v>Y</v>
      </c>
      <c r="G213" s="491"/>
      <c r="H213" s="469" t="str">
        <f>CONCATENATE(IF(F213="N","PLACEHOLDER ROW - ",""),'C-Design&amp;Const'!Z213,IF(F213="N","",J213))</f>
        <v>Asbestos Removal, Remediation, Containment (Complete)</v>
      </c>
      <c r="I213" s="151"/>
      <c r="J213" s="609" t="str">
        <f>IF('C-Design&amp;Const'!AJ213="","",'C-Design&amp;Const'!AJ213)</f>
        <v>(Complete)</v>
      </c>
      <c r="K213" s="285" t="str">
        <f>IF((COUNTIF(D213:F213,"Y")=COUNTIF(A213,"Y")),"match","no 95% match")</f>
        <v>match</v>
      </c>
      <c r="L213" s="1410" t="str">
        <f>CONCATENATE(IF(ISNUMBER(SEARCH("Placeholder",H213))=TRUE,"&lt;---PM/Planner may hide PLACEHOLDER ROW",""))</f>
        <v/>
      </c>
      <c r="M213" s="1333"/>
      <c r="N213" s="1333"/>
      <c r="O213" s="1333"/>
      <c r="P213" s="1333"/>
      <c r="Q213" s="1333"/>
      <c r="R213" s="1453"/>
      <c r="S213" s="1364"/>
      <c r="T213" s="1404"/>
      <c r="U213" s="1333"/>
      <c r="V213" s="1333"/>
      <c r="W213" s="1333"/>
      <c r="X213" s="1333"/>
      <c r="Y213" s="1333"/>
      <c r="Z213" s="1333"/>
      <c r="AA213" s="1333"/>
      <c r="AB213" s="1333"/>
      <c r="AC213" s="1333"/>
      <c r="AD213" s="1333"/>
      <c r="AE213" s="1333"/>
      <c r="AF213" s="1333"/>
      <c r="AG213" s="1333"/>
      <c r="AH213" s="1333"/>
      <c r="AI213" s="1333"/>
      <c r="AJ213" s="1333"/>
    </row>
    <row r="214" spans="1:49" s="17" customFormat="1" x14ac:dyDescent="0.25">
      <c r="A214" s="1517" t="str">
        <f>IF(COUNTIF('04 - 95% CD'!D214:G214,"Y")&gt;0,"Y",IF(COUNTIF('04 - 95% CD'!D214:G214,"N"),"N",""))</f>
        <v>N</v>
      </c>
      <c r="B214" s="141"/>
      <c r="C214" s="944"/>
      <c r="D214" s="411"/>
      <c r="E214" s="321"/>
      <c r="F214" s="559" t="str">
        <f>IF('C-Design&amp;Const'!$S214="","",'C-Design&amp;Const'!$S214)</f>
        <v>N</v>
      </c>
      <c r="G214" s="491"/>
      <c r="H214" s="469" t="str">
        <f>CONCATENATE(IF(F214="N","PLACEHOLDER ROW - ",""),'C-Design&amp;Const'!Z214,IF(F214="N","",J214))</f>
        <v>PLACEHOLDER ROW - CUSTOM - Lead Based Paint</v>
      </c>
      <c r="I214" s="151"/>
      <c r="J214" s="609" t="str">
        <f>IF('C-Design&amp;Const'!AJ214="","",'C-Design&amp;Const'!AJ214)</f>
        <v>(Complete)</v>
      </c>
      <c r="K214" s="285" t="str">
        <f t="shared" ref="K214:K217" si="22">IF((COUNTIF(D214:F214,"Y")=COUNTIF(A214,"Y")),"match","no 95% match")</f>
        <v>match</v>
      </c>
      <c r="L214" s="1410" t="str">
        <f t="shared" ref="L214:L217" si="23">CONCATENATE(IF(ISNUMBER(SEARCH("Placeholder",H214))=TRUE,"&lt;---PM/Planner may hide PLACEHOLDER ROW",""))</f>
        <v>&lt;---PM/Planner may hide PLACEHOLDER ROW</v>
      </c>
      <c r="M214" s="1333"/>
      <c r="N214" s="1333"/>
      <c r="O214" s="1333"/>
      <c r="P214" s="1333"/>
      <c r="Q214" s="1333"/>
      <c r="R214" s="1453"/>
      <c r="S214" s="1364"/>
      <c r="T214" s="1404"/>
      <c r="U214" s="1333"/>
      <c r="V214" s="1333"/>
      <c r="W214" s="1333"/>
      <c r="X214" s="1333"/>
      <c r="Y214" s="1333"/>
      <c r="Z214" s="1333"/>
      <c r="AA214" s="1333"/>
      <c r="AB214" s="1333"/>
      <c r="AC214" s="1333"/>
      <c r="AD214" s="1333"/>
      <c r="AE214" s="1333"/>
      <c r="AF214" s="1333"/>
      <c r="AG214" s="1333"/>
      <c r="AH214" s="1333"/>
      <c r="AI214" s="1333"/>
      <c r="AJ214" s="1333"/>
    </row>
    <row r="215" spans="1:49" s="17" customFormat="1" x14ac:dyDescent="0.25">
      <c r="A215" s="1517" t="str">
        <f>IF(COUNTIF('04 - 95% CD'!D215:G215,"Y")&gt;0,"Y",IF(COUNTIF('04 - 95% CD'!D215:G215,"N"),"N",""))</f>
        <v>Y</v>
      </c>
      <c r="B215" s="141"/>
      <c r="C215" s="944"/>
      <c r="D215" s="411"/>
      <c r="E215" s="321"/>
      <c r="F215" s="559" t="str">
        <f>IF('C-Design&amp;Const'!$S215="","",'C-Design&amp;Const'!$S215)</f>
        <v>Y</v>
      </c>
      <c r="G215" s="485"/>
      <c r="H215" s="469" t="str">
        <f>CONCATENATE(IF(F215="N","PLACEHOLDER ROW - ",""),'C-Design&amp;Const'!Z215,IF(F215="N","",J215))</f>
        <v>Lead Based Paint Removal, Remediation, Containment (Complete)</v>
      </c>
      <c r="I215" s="137"/>
      <c r="J215" s="609" t="str">
        <f>IF('C-Design&amp;Const'!AJ215="","",'C-Design&amp;Const'!AJ215)</f>
        <v>(Complete)</v>
      </c>
      <c r="K215" s="285" t="str">
        <f t="shared" si="22"/>
        <v>match</v>
      </c>
      <c r="L215" s="1410" t="str">
        <f t="shared" si="23"/>
        <v/>
      </c>
      <c r="M215" s="1333"/>
      <c r="N215" s="1333"/>
      <c r="O215" s="1333"/>
      <c r="P215" s="1333"/>
      <c r="Q215" s="1333"/>
      <c r="R215" s="1453"/>
      <c r="S215" s="1364"/>
      <c r="T215" s="1404"/>
      <c r="U215" s="1333"/>
      <c r="V215" s="1333"/>
      <c r="W215" s="1333"/>
      <c r="X215" s="1333"/>
      <c r="Y215" s="1333"/>
      <c r="Z215" s="1333"/>
      <c r="AA215" s="1333"/>
      <c r="AB215" s="1333"/>
      <c r="AC215" s="1333"/>
      <c r="AD215" s="1333"/>
      <c r="AE215" s="1333"/>
      <c r="AF215" s="1333"/>
      <c r="AG215" s="1333"/>
      <c r="AH215" s="1333"/>
      <c r="AI215" s="1333"/>
      <c r="AJ215" s="1333"/>
    </row>
    <row r="216" spans="1:49" s="17" customFormat="1" x14ac:dyDescent="0.25">
      <c r="A216" s="1517" t="str">
        <f>IF(COUNTIF('04 - 95% CD'!D216:G216,"Y")&gt;0,"Y",IF(COUNTIF('04 - 95% CD'!D216:G216,"N"),"N",""))</f>
        <v>N</v>
      </c>
      <c r="B216" s="141"/>
      <c r="C216" s="944"/>
      <c r="D216" s="411"/>
      <c r="E216" s="321"/>
      <c r="F216" s="559" t="str">
        <f>IF('C-Design&amp;Const'!$S216="","",'C-Design&amp;Const'!$S216)</f>
        <v>N</v>
      </c>
      <c r="G216" s="491"/>
      <c r="H216" s="469" t="str">
        <f>CONCATENATE(IF(F216="N","PLACEHOLDER ROW - ",""),'C-Design&amp;Const'!Z216,IF(F216="N","",J216))</f>
        <v>PLACEHOLDER ROW - CUSTOM - Hazardous Materials</v>
      </c>
      <c r="I216" s="151"/>
      <c r="J216" s="609" t="str">
        <f>IF('C-Design&amp;Const'!AJ216="","",'C-Design&amp;Const'!AJ216)</f>
        <v>(Complete)</v>
      </c>
      <c r="K216" s="285" t="str">
        <f t="shared" si="22"/>
        <v>match</v>
      </c>
      <c r="L216" s="1410" t="str">
        <f t="shared" si="23"/>
        <v>&lt;---PM/Planner may hide PLACEHOLDER ROW</v>
      </c>
      <c r="M216" s="1333"/>
      <c r="N216" s="1333"/>
      <c r="O216" s="1333"/>
      <c r="P216" s="1333"/>
      <c r="Q216" s="1333"/>
      <c r="R216" s="1453"/>
      <c r="S216" s="1364"/>
      <c r="T216" s="1404"/>
      <c r="U216" s="1333"/>
      <c r="V216" s="1333"/>
      <c r="W216" s="1333"/>
      <c r="X216" s="1333"/>
      <c r="Y216" s="1333"/>
      <c r="Z216" s="1333"/>
      <c r="AA216" s="1333"/>
      <c r="AB216" s="1333"/>
      <c r="AC216" s="1333"/>
      <c r="AD216" s="1333"/>
      <c r="AE216" s="1333"/>
      <c r="AF216" s="1333"/>
      <c r="AG216" s="1333"/>
      <c r="AH216" s="1333"/>
      <c r="AI216" s="1333"/>
      <c r="AJ216" s="1333"/>
    </row>
    <row r="217" spans="1:49" s="17" customFormat="1" x14ac:dyDescent="0.25">
      <c r="A217" s="1517" t="str">
        <f>IF(COUNTIF('04 - 95% CD'!D217:G217,"Y")&gt;0,"Y",IF(COUNTIF('04 - 95% CD'!D217:G217,"N"),"N",""))</f>
        <v>Y</v>
      </c>
      <c r="B217" s="141"/>
      <c r="C217" s="944"/>
      <c r="D217" s="411"/>
      <c r="E217" s="321"/>
      <c r="F217" s="559" t="str">
        <f>IF('C-Design&amp;Const'!$S217="","",'C-Design&amp;Const'!$S217)</f>
        <v>Y</v>
      </c>
      <c r="G217" s="491"/>
      <c r="H217" s="469" t="str">
        <f>CONCATENATE(IF(F217="N","PLACEHOLDER ROW - ",""),'C-Design&amp;Const'!Z217,IF(F217="N","",J217))</f>
        <v>Other Hazardous Materials Removal, Remediation, Containment (Complete)</v>
      </c>
      <c r="I217" s="151"/>
      <c r="J217" s="609" t="str">
        <f>IF('C-Design&amp;Const'!AJ217="","",'C-Design&amp;Const'!AJ217)</f>
        <v>(Complete)</v>
      </c>
      <c r="K217" s="285" t="str">
        <f t="shared" si="22"/>
        <v>match</v>
      </c>
      <c r="L217" s="1410" t="str">
        <f t="shared" si="23"/>
        <v/>
      </c>
      <c r="M217" s="1333"/>
      <c r="N217" s="1333"/>
      <c r="O217" s="1333"/>
      <c r="P217" s="1333"/>
      <c r="Q217" s="1333"/>
      <c r="R217" s="1453"/>
      <c r="S217" s="1364"/>
      <c r="T217" s="1404"/>
      <c r="U217" s="1333"/>
      <c r="V217" s="1333"/>
      <c r="W217" s="1333"/>
      <c r="X217" s="1333"/>
      <c r="Y217" s="1333"/>
      <c r="Z217" s="1333"/>
      <c r="AA217" s="1333"/>
      <c r="AB217" s="1333"/>
      <c r="AC217" s="1333"/>
      <c r="AD217" s="1333"/>
      <c r="AE217" s="1333"/>
      <c r="AF217" s="1333"/>
      <c r="AG217" s="1333"/>
      <c r="AH217" s="1333"/>
      <c r="AI217" s="1333"/>
      <c r="AJ217" s="1333"/>
    </row>
    <row r="218" spans="1:49" s="17" customFormat="1" x14ac:dyDescent="0.25">
      <c r="A218" s="1510" t="str">
        <f>IF(COUNTIF('04 - 95% CD'!D218:G218,"Y")&gt;0,"Y",IF(COUNTIF('04 - 95% CD'!D218:G218,"N"),"N",""))</f>
        <v>Y</v>
      </c>
      <c r="B218" s="141"/>
      <c r="C218" s="944"/>
      <c r="D218" s="411"/>
      <c r="E218" s="559" t="str">
        <f>IF('C-Design&amp;Const'!$S218="","",'C-Design&amp;Const'!$S218)</f>
        <v>Y</v>
      </c>
      <c r="F218" s="478"/>
      <c r="G218" s="485"/>
      <c r="H218" s="244" t="str">
        <f>CONCATENATE(IF(F218="N","PLACEHOLDER ROW - ",""),'C-Design&amp;Const'!Z218,IF(F218="N","",J218))</f>
        <v>Site, Civil, &amp; Landscape Drawings (Including Bid Alts.)</v>
      </c>
      <c r="I218" s="146"/>
      <c r="J218" s="609" t="str">
        <f>IF('C-Design&amp;Const'!AJ218="","",'C-Design&amp;Const'!AJ218)</f>
        <v xml:space="preserve"> (Including Bid Alts.)</v>
      </c>
      <c r="K218" s="285" t="str">
        <f t="shared" si="18"/>
        <v>match</v>
      </c>
      <c r="L218" s="1410" t="str">
        <f t="shared" si="19"/>
        <v/>
      </c>
      <c r="M218" s="1333"/>
      <c r="N218" s="1333"/>
      <c r="O218" s="1333"/>
      <c r="P218" s="1333"/>
      <c r="Q218" s="1333"/>
      <c r="R218" s="1284"/>
      <c r="S218" s="1488"/>
      <c r="T218" s="1404"/>
      <c r="U218" s="1333"/>
      <c r="V218" s="1333"/>
      <c r="W218" s="1333"/>
      <c r="X218" s="1333"/>
      <c r="Y218" s="1333"/>
      <c r="Z218" s="1333"/>
      <c r="AA218" s="1333"/>
      <c r="AB218" s="1333"/>
      <c r="AC218" s="1333"/>
      <c r="AD218" s="1333"/>
      <c r="AE218" s="1333"/>
      <c r="AF218" s="1333"/>
      <c r="AG218" s="1333"/>
      <c r="AH218" s="1333"/>
      <c r="AI218" s="1333"/>
      <c r="AJ218" s="1333"/>
    </row>
    <row r="219" spans="1:49" s="17" customFormat="1" x14ac:dyDescent="0.25">
      <c r="A219" s="1517" t="str">
        <f>IF(COUNTIF('04 - 95% CD'!D219:G219,"Y")&gt;0,"Y",IF(COUNTIF('04 - 95% CD'!D219:G219,"N"),"N",""))</f>
        <v>N</v>
      </c>
      <c r="B219" s="141"/>
      <c r="C219" s="944"/>
      <c r="D219" s="411"/>
      <c r="E219" s="321"/>
      <c r="F219" s="559" t="str">
        <f>IF('C-Design&amp;Const'!$S219="","",'C-Design&amp;Const'!$S219)</f>
        <v>N</v>
      </c>
      <c r="G219" s="491"/>
      <c r="H219" s="469" t="str">
        <f>CONCATENATE(IF(F219="N","PLACEHOLDER ROW - ",""),'C-Design&amp;Const'!Z219,IF(F219="N","",J219))</f>
        <v>PLACEHOLDER ROW - CUSTOM - Site / Civil / Landscape</v>
      </c>
      <c r="I219" s="151"/>
      <c r="J219" s="609" t="str">
        <f>IF('C-Design&amp;Const'!AJ219="","",'C-Design&amp;Const'!AJ219)</f>
        <v>(Complete)</v>
      </c>
      <c r="K219" s="285" t="str">
        <f>IF((COUNTIF(D219:F219,"Y")=COUNTIF(A219,"Y")),"match","no 95% match")</f>
        <v>match</v>
      </c>
      <c r="L219" s="1410" t="str">
        <f>CONCATENATE(IF(ISNUMBER(SEARCH("Placeholder",H219))=TRUE,"&lt;---PM/Planner may hide PLACEHOLDER ROW",""))</f>
        <v>&lt;---PM/Planner may hide PLACEHOLDER ROW</v>
      </c>
      <c r="M219" s="1333"/>
      <c r="N219" s="1333"/>
      <c r="O219" s="1333"/>
      <c r="P219" s="1333"/>
      <c r="Q219" s="1333"/>
      <c r="R219" s="1453"/>
      <c r="S219" s="1364"/>
      <c r="T219" s="1404"/>
      <c r="U219" s="1333"/>
      <c r="V219" s="1333"/>
      <c r="W219" s="1333"/>
      <c r="X219" s="1333"/>
      <c r="Y219" s="1333"/>
      <c r="Z219" s="1333"/>
      <c r="AA219" s="1333"/>
      <c r="AB219" s="1333"/>
      <c r="AC219" s="1333"/>
      <c r="AD219" s="1333"/>
      <c r="AE219" s="1333"/>
      <c r="AF219" s="1333"/>
      <c r="AG219" s="1333"/>
      <c r="AH219" s="1333"/>
      <c r="AI219" s="1333"/>
      <c r="AJ219" s="1333"/>
    </row>
    <row r="220" spans="1:49" s="17" customFormat="1" x14ac:dyDescent="0.25">
      <c r="A220" s="1517" t="str">
        <f>IF(COUNTIF('04 - 95% CD'!D220:G220,"Y")&gt;0,"Y",IF(COUNTIF('04 - 95% CD'!D220:G220,"N"),"N",""))</f>
        <v>N</v>
      </c>
      <c r="B220" s="141"/>
      <c r="C220" s="944"/>
      <c r="D220" s="411"/>
      <c r="E220" s="321"/>
      <c r="F220" s="559" t="str">
        <f>IF('C-Design&amp;Const'!$S220="","",'C-Design&amp;Const'!$S220)</f>
        <v>N</v>
      </c>
      <c r="G220" s="491"/>
      <c r="H220" s="469" t="str">
        <f>CONCATENATE(IF(F220="N","PLACEHOLDER ROW - ",""),'C-Design&amp;Const'!Z220,IF(F220="N","",J220))</f>
        <v>PLACEHOLDER ROW - CUSTOM - Site / Civil / Landscape</v>
      </c>
      <c r="I220" s="151"/>
      <c r="J220" s="609" t="str">
        <f>IF('C-Design&amp;Const'!AJ220="","",'C-Design&amp;Const'!AJ220)</f>
        <v>(Complete)</v>
      </c>
      <c r="K220" s="285" t="str">
        <f>IF((COUNTIF(D220:F220,"Y")=COUNTIF(A220,"Y")),"match","no 95% match")</f>
        <v>match</v>
      </c>
      <c r="L220" s="1410" t="str">
        <f>CONCATENATE(IF(ISNUMBER(SEARCH("Placeholder",H220))=TRUE,"&lt;---PM/Planner may hide PLACEHOLDER ROW",""))</f>
        <v>&lt;---PM/Planner may hide PLACEHOLDER ROW</v>
      </c>
      <c r="M220" s="1333"/>
      <c r="N220" s="1333"/>
      <c r="O220" s="1333"/>
      <c r="P220" s="1333"/>
      <c r="Q220" s="1333"/>
      <c r="R220" s="1453"/>
      <c r="S220" s="1364"/>
      <c r="T220" s="1404"/>
      <c r="U220" s="1333"/>
      <c r="V220" s="1333"/>
      <c r="W220" s="1333"/>
      <c r="X220" s="1333"/>
      <c r="Y220" s="1333"/>
      <c r="Z220" s="1333"/>
      <c r="AA220" s="1333"/>
      <c r="AB220" s="1333"/>
      <c r="AC220" s="1333"/>
      <c r="AD220" s="1333"/>
      <c r="AE220" s="1333"/>
      <c r="AF220" s="1333"/>
      <c r="AG220" s="1333"/>
      <c r="AH220" s="1333"/>
      <c r="AI220" s="1333"/>
      <c r="AJ220" s="1333"/>
    </row>
    <row r="221" spans="1:49" s="17" customFormat="1" x14ac:dyDescent="0.25">
      <c r="A221" s="1517" t="str">
        <f>IF(COUNTIF('04 - 95% CD'!D221:G221,"Y")&gt;0,"Y",IF(COUNTIF('04 - 95% CD'!D221:G221,"N"),"N",""))</f>
        <v>Y</v>
      </c>
      <c r="B221" s="141"/>
      <c r="C221" s="944"/>
      <c r="D221" s="411"/>
      <c r="E221" s="321"/>
      <c r="F221" s="559" t="str">
        <f>IF('C-Design&amp;Const'!$S221="","",'C-Design&amp;Const'!$S221)</f>
        <v>Y</v>
      </c>
      <c r="G221" s="491"/>
      <c r="H221" s="469" t="str">
        <f>CONCATENATE(IF(F221="N","PLACEHOLDER ROW - ",""),'C-Design&amp;Const'!Z221,IF(F221="N","",J221))</f>
        <v>Civil, Site, Landscape Symbols, Abbreviations, and General Notes (Complete)</v>
      </c>
      <c r="I221" s="151"/>
      <c r="J221" s="609" t="str">
        <f>IF('C-Design&amp;Const'!AJ221="","",'C-Design&amp;Const'!AJ221)</f>
        <v>(Complete)</v>
      </c>
      <c r="K221" s="285" t="str">
        <f>IF((COUNTIF(D221:F221,"Y")=COUNTIF(A221,"Y")),"match","no 95% match")</f>
        <v>match</v>
      </c>
      <c r="L221" s="1410" t="str">
        <f>CONCATENATE(IF(ISNUMBER(SEARCH("Placeholder",H221))=TRUE,"&lt;---PM/Planner may hide PLACEHOLDER ROW",""))</f>
        <v/>
      </c>
      <c r="M221" s="1333"/>
      <c r="N221" s="1333"/>
      <c r="O221" s="1333"/>
      <c r="P221" s="1333"/>
      <c r="Q221" s="1333"/>
      <c r="R221" s="1453"/>
      <c r="S221" s="1364"/>
      <c r="T221" s="1404"/>
      <c r="U221" s="1333"/>
      <c r="V221" s="1333"/>
      <c r="W221" s="1333"/>
      <c r="X221" s="1333"/>
      <c r="Y221" s="1333"/>
      <c r="Z221" s="1333"/>
      <c r="AA221" s="1333"/>
      <c r="AB221" s="1333"/>
      <c r="AC221" s="1333"/>
      <c r="AD221" s="1333"/>
      <c r="AE221" s="1333"/>
      <c r="AF221" s="1333"/>
      <c r="AG221" s="1333"/>
      <c r="AH221" s="1333"/>
      <c r="AI221" s="1333"/>
      <c r="AJ221" s="1333"/>
    </row>
    <row r="222" spans="1:49" s="17" customFormat="1" x14ac:dyDescent="0.25">
      <c r="A222" s="1517" t="str">
        <f>IF(COUNTIF('04 - 95% CD'!D222:G222,"Y")&gt;0,"Y",IF(COUNTIF('04 - 95% CD'!D222:G222,"N"),"N",""))</f>
        <v>Y</v>
      </c>
      <c r="B222" s="141"/>
      <c r="C222" s="944"/>
      <c r="D222" s="411"/>
      <c r="E222" s="321"/>
      <c r="F222" s="559" t="str">
        <f>IF('C-Design&amp;Const'!$S222="","",'C-Design&amp;Const'!$S222)</f>
        <v>Y</v>
      </c>
      <c r="G222" s="491"/>
      <c r="H222" s="469" t="str">
        <f>CONCATENATE(IF(F222="N","PLACEHOLDER ROW - ",""),'C-Design&amp;Const'!Z222,IF(F222="N","",J222))</f>
        <v>Site Clearing, Demolitions, &amp; Abandonments (Complete)</v>
      </c>
      <c r="I222" s="151"/>
      <c r="J222" s="609" t="str">
        <f>IF('C-Design&amp;Const'!AJ222="","",'C-Design&amp;Const'!AJ222)</f>
        <v>(Complete)</v>
      </c>
      <c r="K222" s="285" t="str">
        <f t="shared" si="18"/>
        <v>match</v>
      </c>
      <c r="L222" s="1410" t="str">
        <f t="shared" si="19"/>
        <v/>
      </c>
      <c r="M222" s="1333"/>
      <c r="N222" s="1333"/>
      <c r="O222" s="1333"/>
      <c r="P222" s="1333"/>
      <c r="Q222" s="1333"/>
      <c r="R222" s="1453"/>
      <c r="S222" s="1364"/>
      <c r="T222" s="1404"/>
      <c r="U222" s="1333"/>
      <c r="V222" s="1333"/>
      <c r="W222" s="1333"/>
      <c r="X222" s="1333"/>
      <c r="Y222" s="1333"/>
      <c r="Z222" s="1333"/>
      <c r="AA222" s="1333"/>
      <c r="AB222" s="1333"/>
      <c r="AC222" s="1333"/>
      <c r="AD222" s="1333"/>
      <c r="AE222" s="1333"/>
      <c r="AF222" s="1333"/>
      <c r="AG222" s="1333"/>
      <c r="AH222" s="1333"/>
      <c r="AI222" s="1333"/>
      <c r="AJ222" s="1333"/>
    </row>
    <row r="223" spans="1:49" s="17" customFormat="1" x14ac:dyDescent="0.25">
      <c r="A223" s="1517" t="str">
        <f>IF(COUNTIF('04 - 95% CD'!D223:G223,"Y")&gt;0,"Y",IF(COUNTIF('04 - 95% CD'!D223:G223,"N"),"N",""))</f>
        <v>Y</v>
      </c>
      <c r="B223" s="141"/>
      <c r="C223" s="944"/>
      <c r="D223" s="411"/>
      <c r="E223" s="321"/>
      <c r="F223" s="559" t="str">
        <f>IF('C-Design&amp;Const'!$S223="","",'C-Design&amp;Const'!$S223)</f>
        <v>Y</v>
      </c>
      <c r="G223" s="485"/>
      <c r="H223" s="469" t="str">
        <f>CONCATENATE(IF(F223="N","PLACEHOLDER ROW - ",""),'C-Design&amp;Const'!Z223,IF(F223="N","",J223))</f>
        <v>Site Plan (show tree protection if not yet shown in laydown plan)(Complete)</v>
      </c>
      <c r="I223" s="137"/>
      <c r="J223" s="609" t="str">
        <f>IF('C-Design&amp;Const'!AJ223="","",'C-Design&amp;Const'!AJ223)</f>
        <v>(Complete)</v>
      </c>
      <c r="K223" s="285" t="str">
        <f t="shared" si="18"/>
        <v>match</v>
      </c>
      <c r="L223" s="1410" t="str">
        <f t="shared" si="19"/>
        <v/>
      </c>
      <c r="M223" s="1333"/>
      <c r="N223" s="1333"/>
      <c r="O223" s="1333"/>
      <c r="P223" s="1333"/>
      <c r="Q223" s="1333"/>
      <c r="R223" s="1453"/>
      <c r="S223" s="1364"/>
      <c r="T223" s="1404"/>
      <c r="U223" s="1333"/>
      <c r="V223" s="1333"/>
      <c r="W223" s="1333"/>
      <c r="X223" s="1333"/>
      <c r="Y223" s="1333"/>
      <c r="Z223" s="1333"/>
      <c r="AA223" s="1333"/>
      <c r="AB223" s="1333"/>
      <c r="AC223" s="1333"/>
      <c r="AD223" s="1333"/>
      <c r="AE223" s="1333"/>
      <c r="AF223" s="1333"/>
      <c r="AG223" s="1333"/>
      <c r="AH223" s="1333"/>
      <c r="AI223" s="1333"/>
      <c r="AJ223" s="1333"/>
    </row>
    <row r="224" spans="1:49" s="17" customFormat="1" x14ac:dyDescent="0.25">
      <c r="A224" s="1517" t="str">
        <f>IF(COUNTIF('04 - 95% CD'!D224:G224,"Y")&gt;0,"Y",IF(COUNTIF('04 - 95% CD'!D224:G224,"N"),"N",""))</f>
        <v>Y</v>
      </c>
      <c r="B224" s="141"/>
      <c r="C224" s="944"/>
      <c r="D224" s="411"/>
      <c r="E224" s="321"/>
      <c r="F224" s="559" t="str">
        <f>IF('C-Design&amp;Const'!$S224="","",'C-Design&amp;Const'!$S224)</f>
        <v>Y</v>
      </c>
      <c r="G224" s="485"/>
      <c r="H224" s="469" t="str">
        <f>CONCATENATE(IF(F224="N","PLACEHOLDER ROW - ",""),'C-Design&amp;Const'!Z224,IF(F224="N","",J224))</f>
        <v>Storm Water Detention Plan (Complete)</v>
      </c>
      <c r="I224" s="149"/>
      <c r="J224" s="609" t="str">
        <f>IF('C-Design&amp;Const'!AJ224="","",'C-Design&amp;Const'!AJ224)</f>
        <v>(Complete)</v>
      </c>
      <c r="K224" s="285" t="str">
        <f>IF((COUNTIF(D224:F224,"Y")=COUNTIF(A224,"Y")),"match","no 95% match")</f>
        <v>match</v>
      </c>
      <c r="L224" s="1410" t="str">
        <f>CONCATENATE(IF(ISNUMBER(SEARCH("Placeholder",H224))=TRUE,"&lt;---PM/Planner may hide PLACEHOLDER ROW",""))</f>
        <v/>
      </c>
      <c r="M224" s="1333"/>
      <c r="N224" s="1333"/>
      <c r="O224" s="1333"/>
      <c r="P224" s="1333"/>
      <c r="Q224" s="1333"/>
      <c r="R224" s="1453"/>
      <c r="S224" s="1364"/>
      <c r="T224" s="1404"/>
      <c r="U224" s="1333"/>
      <c r="V224" s="1333"/>
      <c r="W224" s="1333"/>
      <c r="X224" s="1333"/>
      <c r="Y224" s="1333"/>
      <c r="Z224" s="1333"/>
      <c r="AA224" s="1333"/>
      <c r="AB224" s="1333"/>
      <c r="AC224" s="1333"/>
      <c r="AD224" s="1333"/>
      <c r="AE224" s="1333"/>
      <c r="AF224" s="1333"/>
      <c r="AG224" s="1333"/>
      <c r="AH224" s="1333"/>
      <c r="AI224" s="1333"/>
      <c r="AJ224" s="1333"/>
    </row>
    <row r="225" spans="1:49" s="17" customFormat="1" x14ac:dyDescent="0.25">
      <c r="A225" s="1517" t="str">
        <f>IF(COUNTIF('04 - 95% CD'!D225:G225,"Y")&gt;0,"Y",IF(COUNTIF('04 - 95% CD'!D225:G225,"N"),"N",""))</f>
        <v>Y</v>
      </c>
      <c r="B225" s="141"/>
      <c r="C225" s="944"/>
      <c r="D225" s="411"/>
      <c r="E225" s="321"/>
      <c r="F225" s="559" t="str">
        <f>IF('C-Design&amp;Const'!$S225="","",'C-Design&amp;Const'!$S225)</f>
        <v>Y</v>
      </c>
      <c r="G225" s="491"/>
      <c r="H225" s="469" t="str">
        <f>CONCATENATE(IF(F225="N","PLACEHOLDER ROW - ",""),'C-Design&amp;Const'!Z225,IF(F225="N","",J225))</f>
        <v>Pavement, Sidewalks, and/or Utility Sections (Complete)</v>
      </c>
      <c r="I225" s="151"/>
      <c r="J225" s="609" t="str">
        <f>IF('C-Design&amp;Const'!AJ225="","",'C-Design&amp;Const'!AJ225)</f>
        <v>(Complete)</v>
      </c>
      <c r="K225" s="285" t="str">
        <f t="shared" si="18"/>
        <v>match</v>
      </c>
      <c r="L225" s="1410" t="str">
        <f t="shared" si="19"/>
        <v/>
      </c>
      <c r="M225" s="1333"/>
      <c r="N225" s="1333"/>
      <c r="O225" s="1333"/>
      <c r="P225" s="1333"/>
      <c r="Q225" s="1333"/>
      <c r="R225" s="1453"/>
      <c r="S225" s="1364"/>
      <c r="T225" s="1404"/>
      <c r="U225" s="1333"/>
      <c r="V225" s="1333"/>
      <c r="W225" s="1333"/>
      <c r="X225" s="1333"/>
      <c r="Y225" s="1333"/>
      <c r="Z225" s="1333"/>
      <c r="AA225" s="1333"/>
      <c r="AB225" s="1333"/>
      <c r="AC225" s="1333"/>
      <c r="AD225" s="1333"/>
      <c r="AE225" s="1333"/>
      <c r="AF225" s="1333"/>
      <c r="AG225" s="1333"/>
      <c r="AH225" s="1333"/>
      <c r="AI225" s="1333"/>
      <c r="AJ225" s="1333"/>
    </row>
    <row r="226" spans="1:49" s="17" customFormat="1" x14ac:dyDescent="0.25">
      <c r="A226" s="1517" t="str">
        <f>IF(COUNTIF('04 - 95% CD'!D226:G226,"Y")&gt;0,"Y",IF(COUNTIF('04 - 95% CD'!D226:G226,"N"),"N",""))</f>
        <v>Y</v>
      </c>
      <c r="B226" s="141"/>
      <c r="C226" s="944"/>
      <c r="D226" s="411"/>
      <c r="E226" s="321"/>
      <c r="F226" s="559" t="str">
        <f>IF('C-Design&amp;Const'!$S226="","",'C-Design&amp;Const'!$S226)</f>
        <v>Y</v>
      </c>
      <c r="G226" s="491"/>
      <c r="H226" s="469" t="str">
        <f>CONCATENATE(IF(F226="N","PLACEHOLDER ROW - ",""),'C-Design&amp;Const'!Z226,IF(F226="N","",J226))</f>
        <v>Utility Relocations (Complete)</v>
      </c>
      <c r="I226" s="151"/>
      <c r="J226" s="609" t="str">
        <f>IF('C-Design&amp;Const'!AJ226="","",'C-Design&amp;Const'!AJ226)</f>
        <v>(Complete)</v>
      </c>
      <c r="K226" s="285" t="str">
        <f t="shared" si="18"/>
        <v>match</v>
      </c>
      <c r="L226" s="1410" t="str">
        <f t="shared" si="19"/>
        <v/>
      </c>
      <c r="M226" s="1333"/>
      <c r="N226" s="1333"/>
      <c r="O226" s="1333"/>
      <c r="P226" s="1333"/>
      <c r="Q226" s="1333"/>
      <c r="R226" s="1453"/>
      <c r="S226" s="1364"/>
      <c r="T226" s="1404"/>
      <c r="U226" s="1333"/>
      <c r="V226" s="1333"/>
      <c r="W226" s="1333"/>
      <c r="X226" s="1333"/>
      <c r="Y226" s="1333"/>
      <c r="Z226" s="1333"/>
      <c r="AA226" s="1333"/>
      <c r="AB226" s="1333"/>
      <c r="AC226" s="1333"/>
      <c r="AD226" s="1333"/>
      <c r="AE226" s="1333"/>
      <c r="AF226" s="1333"/>
      <c r="AG226" s="1333"/>
      <c r="AH226" s="1333"/>
      <c r="AI226" s="1333"/>
      <c r="AJ226" s="1333"/>
    </row>
    <row r="227" spans="1:49" s="17" customFormat="1" x14ac:dyDescent="0.25">
      <c r="A227" s="1517" t="str">
        <f>IF(COUNTIF('04 - 95% CD'!D227:G227,"Y")&gt;0,"Y",IF(COUNTIF('04 - 95% CD'!D227:G227,"N"),"N",""))</f>
        <v>Y</v>
      </c>
      <c r="B227" s="141"/>
      <c r="C227" s="944"/>
      <c r="D227" s="411"/>
      <c r="E227" s="321"/>
      <c r="F227" s="559" t="str">
        <f>IF('C-Design&amp;Const'!$S227="","",'C-Design&amp;Const'!$S227)</f>
        <v>Y</v>
      </c>
      <c r="G227" s="485"/>
      <c r="H227" s="469" t="str">
        <f>CONCATENATE(IF(F227="N","PLACEHOLDER ROW - ",""),'C-Design&amp;Const'!Z227,IF(F227="N","",J227))</f>
        <v>Utility Site Plan and Details (Complete)</v>
      </c>
      <c r="I227" s="137"/>
      <c r="J227" s="609" t="str">
        <f>IF('C-Design&amp;Const'!AJ227="","",'C-Design&amp;Const'!AJ227)</f>
        <v>(Complete)</v>
      </c>
      <c r="K227" s="285" t="str">
        <f t="shared" si="18"/>
        <v>match</v>
      </c>
      <c r="L227" s="1410" t="str">
        <f t="shared" si="19"/>
        <v/>
      </c>
      <c r="M227" s="1333"/>
      <c r="N227" s="1333"/>
      <c r="O227" s="1333"/>
      <c r="P227" s="1333"/>
      <c r="Q227" s="1333"/>
      <c r="R227" s="1453"/>
      <c r="S227" s="1364"/>
      <c r="T227" s="1404"/>
      <c r="U227" s="1333"/>
      <c r="V227" s="1333"/>
      <c r="W227" s="1333"/>
      <c r="X227" s="1333"/>
      <c r="Y227" s="1333"/>
      <c r="Z227" s="1333"/>
      <c r="AA227" s="1333"/>
      <c r="AB227" s="1333"/>
      <c r="AC227" s="1333"/>
      <c r="AD227" s="1333"/>
      <c r="AE227" s="1333"/>
      <c r="AF227" s="1333"/>
      <c r="AG227" s="1333"/>
      <c r="AH227" s="1333"/>
      <c r="AI227" s="1333"/>
      <c r="AJ227" s="1333"/>
    </row>
    <row r="228" spans="1:49" s="17" customFormat="1" x14ac:dyDescent="0.25">
      <c r="A228" s="1517"/>
      <c r="B228" s="141"/>
      <c r="C228" s="951"/>
      <c r="D228" s="1880"/>
      <c r="E228" s="806"/>
      <c r="F228" s="1872" t="str">
        <f>IF('C-Design&amp;Const'!$S228="","",'C-Design&amp;Const'!$S228)</f>
        <v>Y</v>
      </c>
      <c r="G228" s="1879"/>
      <c r="H228" s="1873" t="str">
        <f>CONCATENATE(IF(F228="N","PLACEHOLDER ROW - ",""),'C-Design&amp;Const'!Z228,IF(F228="N","",J228))</f>
        <v>Traffic Control Plans - Vehicular &amp; Pedestrian (Complete)</v>
      </c>
      <c r="I228" s="137"/>
      <c r="J228" s="609" t="str">
        <f>IF('C-Design&amp;Const'!AJ228="","",'C-Design&amp;Const'!AJ228)</f>
        <v>(Complete)</v>
      </c>
      <c r="K228" s="285" t="str">
        <f t="shared" ref="K228" si="24">IF((COUNTIF(D228:F228,"Y")=COUNTIF(A228,"Y")),"match","no 95% match")</f>
        <v>no 95% match</v>
      </c>
      <c r="L228" s="1410" t="str">
        <f t="shared" ref="L228" si="25">CONCATENATE(IF(ISNUMBER(SEARCH("Placeholder",H228))=TRUE,"&lt;---PM/Planner may hide PLACEHOLDER ROW",""))</f>
        <v/>
      </c>
      <c r="M228" s="1333"/>
      <c r="N228" s="1333"/>
      <c r="O228" s="1333"/>
      <c r="P228" s="1333"/>
      <c r="Q228" s="1333"/>
      <c r="R228" s="1453"/>
      <c r="S228" s="1364"/>
      <c r="T228" s="1404"/>
      <c r="U228" s="1333"/>
      <c r="V228" s="1333"/>
      <c r="W228" s="1333"/>
      <c r="X228" s="1333"/>
      <c r="Y228" s="1333"/>
      <c r="Z228" s="1333"/>
      <c r="AA228" s="1333"/>
      <c r="AB228" s="1333"/>
      <c r="AC228" s="1333"/>
      <c r="AD228" s="1333"/>
      <c r="AE228" s="1333"/>
      <c r="AF228" s="1333"/>
      <c r="AG228" s="1333"/>
      <c r="AH228" s="1333"/>
      <c r="AI228" s="1333"/>
      <c r="AJ228" s="1333"/>
    </row>
    <row r="229" spans="1:49" s="30" customFormat="1" ht="15" customHeight="1" x14ac:dyDescent="0.2">
      <c r="A229" s="1517" t="str">
        <f>IF(COUNTIF('04 - 95% CD'!D229:G229,"Y")&gt;0,"Y",IF(COUNTIF('04 - 95% CD'!D229:G229,"N"),"N",""))</f>
        <v>Y</v>
      </c>
      <c r="B229" s="191"/>
      <c r="C229" s="944"/>
      <c r="D229" s="463"/>
      <c r="E229" s="463"/>
      <c r="F229" s="359" t="str">
        <f>IF('C-Design&amp;Const'!$S229="","",'C-Design&amp;Const'!$S229)</f>
        <v>Y</v>
      </c>
      <c r="G229" s="291"/>
      <c r="H229" s="469" t="str">
        <f>CONCATENATE(IF(F229="N","PLACEHOLDER ROW - ",""),'C-Design&amp;Const'!Z229,IF(F229="N","",J229))</f>
        <v>Construction Layout/Laydown Plan with tree protection(Complete)</v>
      </c>
      <c r="I229" s="184"/>
      <c r="J229" s="609" t="str">
        <f>IF('C-Design&amp;Const'!AJ229="","",'C-Design&amp;Const'!AJ229)</f>
        <v>(Complete)</v>
      </c>
      <c r="K229" s="285" t="str">
        <f t="shared" si="18"/>
        <v>match</v>
      </c>
      <c r="L229" s="1410" t="str">
        <f t="shared" si="19"/>
        <v/>
      </c>
      <c r="M229" s="1382"/>
      <c r="N229" s="1382"/>
      <c r="O229" s="1382"/>
      <c r="P229" s="1382"/>
      <c r="Q229" s="1382"/>
      <c r="R229" s="1382"/>
      <c r="S229" s="1382"/>
      <c r="T229" s="1382"/>
      <c r="U229" s="1382"/>
      <c r="V229" s="1382"/>
      <c r="W229" s="1382"/>
      <c r="X229" s="1382"/>
      <c r="Y229" s="1382"/>
      <c r="Z229" s="1382"/>
      <c r="AA229" s="1382"/>
      <c r="AB229" s="1382"/>
      <c r="AC229" s="1382"/>
      <c r="AD229" s="1382"/>
      <c r="AE229" s="1382"/>
      <c r="AF229" s="1382"/>
      <c r="AG229" s="1382"/>
      <c r="AH229" s="1382"/>
      <c r="AI229" s="1382"/>
      <c r="AJ229" s="1382"/>
      <c r="AK229" s="181"/>
      <c r="AL229" s="181"/>
      <c r="AM229" s="181"/>
      <c r="AN229" s="181"/>
      <c r="AO229" s="181"/>
      <c r="AP229" s="181"/>
      <c r="AQ229" s="181"/>
      <c r="AR229" s="181"/>
      <c r="AS229" s="181"/>
      <c r="AT229" s="181"/>
      <c r="AU229" s="181"/>
      <c r="AV229" s="181"/>
      <c r="AW229" s="181"/>
    </row>
    <row r="230" spans="1:49" s="17" customFormat="1" x14ac:dyDescent="0.25">
      <c r="A230" s="1517" t="str">
        <f>IF(COUNTIF('04 - 95% CD'!D230:G230,"Y")&gt;0,"Y",IF(COUNTIF('04 - 95% CD'!D230:G230,"N"),"N",""))</f>
        <v>Y</v>
      </c>
      <c r="B230" s="141"/>
      <c r="C230" s="944"/>
      <c r="D230" s="411"/>
      <c r="E230" s="321"/>
      <c r="F230" s="559" t="str">
        <f>IF('C-Design&amp;Const'!$S230="","",'C-Design&amp;Const'!$S230)</f>
        <v>Y</v>
      </c>
      <c r="G230" s="485"/>
      <c r="H230" s="469" t="str">
        <f>CONCATENATE(IF(F230="N","PLACEHOLDER ROW - ",""),'C-Design&amp;Const'!Z230,IF(F230="N","",J230))</f>
        <v>Landscape Plan (Complete)</v>
      </c>
      <c r="I230" s="137"/>
      <c r="J230" s="609" t="str">
        <f>IF('C-Design&amp;Const'!AJ230="","",'C-Design&amp;Const'!AJ230)</f>
        <v>(Complete)</v>
      </c>
      <c r="K230" s="285" t="str">
        <f t="shared" si="18"/>
        <v>match</v>
      </c>
      <c r="L230" s="1410" t="str">
        <f t="shared" si="19"/>
        <v/>
      </c>
      <c r="M230" s="1333"/>
      <c r="N230" s="1333"/>
      <c r="O230" s="1333"/>
      <c r="P230" s="1333"/>
      <c r="Q230" s="1333"/>
      <c r="R230" s="1453"/>
      <c r="S230" s="1364"/>
      <c r="T230" s="1404"/>
      <c r="U230" s="1333"/>
      <c r="V230" s="1333"/>
      <c r="W230" s="1333"/>
      <c r="X230" s="1333"/>
      <c r="Y230" s="1333"/>
      <c r="Z230" s="1333"/>
      <c r="AA230" s="1333"/>
      <c r="AB230" s="1333"/>
      <c r="AC230" s="1333"/>
      <c r="AD230" s="1333"/>
      <c r="AE230" s="1333"/>
      <c r="AF230" s="1333"/>
      <c r="AG230" s="1333"/>
      <c r="AH230" s="1333"/>
      <c r="AI230" s="1333"/>
      <c r="AJ230" s="1333"/>
    </row>
    <row r="231" spans="1:49" s="17" customFormat="1" x14ac:dyDescent="0.25">
      <c r="A231" s="1510" t="str">
        <f>IF(COUNTIF('04 - 95% CD'!D231:G231,"Y")&gt;0,"Y",IF(COUNTIF('04 - 95% CD'!D231:G231,"N"),"N",""))</f>
        <v>Y</v>
      </c>
      <c r="B231" s="141"/>
      <c r="C231" s="944"/>
      <c r="D231" s="411"/>
      <c r="E231" s="559" t="str">
        <f>IF('C-Design&amp;Const'!$S231="","",'C-Design&amp;Const'!$S231)</f>
        <v>Y</v>
      </c>
      <c r="F231" s="478"/>
      <c r="G231" s="485"/>
      <c r="H231" s="244" t="str">
        <f>CONCATENATE(IF(F231="N","PLACEHOLDER ROW - ",""),'C-Design&amp;Const'!Z231,IF(F231="N","",J231))</f>
        <v>Architectural Drawings (Including Bid Alts.)</v>
      </c>
      <c r="I231" s="146"/>
      <c r="J231" s="609" t="str">
        <f>IF('C-Design&amp;Const'!AJ231="","",'C-Design&amp;Const'!AJ231)</f>
        <v xml:space="preserve"> (Including Bid Alts.)</v>
      </c>
      <c r="K231" s="285" t="str">
        <f t="shared" si="18"/>
        <v>match</v>
      </c>
      <c r="L231" s="1410" t="str">
        <f t="shared" si="19"/>
        <v/>
      </c>
      <c r="M231" s="1333"/>
      <c r="N231" s="1333"/>
      <c r="O231" s="1333"/>
      <c r="P231" s="1333"/>
      <c r="Q231" s="1333"/>
      <c r="R231" s="1284"/>
      <c r="S231" s="1513"/>
      <c r="T231" s="1404"/>
      <c r="U231" s="1333"/>
      <c r="V231" s="1333"/>
      <c r="W231" s="1333"/>
      <c r="X231" s="1333"/>
      <c r="Y231" s="1333"/>
      <c r="Z231" s="1333"/>
      <c r="AA231" s="1333"/>
      <c r="AB231" s="1333"/>
      <c r="AC231" s="1333"/>
      <c r="AD231" s="1333"/>
      <c r="AE231" s="1333"/>
      <c r="AF231" s="1333"/>
      <c r="AG231" s="1333"/>
      <c r="AH231" s="1333"/>
      <c r="AI231" s="1333"/>
      <c r="AJ231" s="1333"/>
    </row>
    <row r="232" spans="1:49" s="17" customFormat="1" x14ac:dyDescent="0.25">
      <c r="A232" s="1517" t="str">
        <f>IF(COUNTIF('04 - 95% CD'!D232:G232,"Y")&gt;0,"Y",IF(COUNTIF('04 - 95% CD'!D232:G232,"N"),"N",""))</f>
        <v/>
      </c>
      <c r="B232" s="141"/>
      <c r="C232" s="944"/>
      <c r="D232" s="411"/>
      <c r="E232" s="321"/>
      <c r="F232" s="559" t="str">
        <f>IF('C-Design&amp;Const'!$S232="","",'C-Design&amp;Const'!$S232)</f>
        <v>?</v>
      </c>
      <c r="G232" s="534"/>
      <c r="H232" s="243" t="str">
        <f>CONCATENATE(IF(F232="N","PLACEHOLDER ROW - ",""),'C-Design&amp;Const'!Z232,IF(F232="N","",J232))</f>
        <v>CUSTOM - Architectural  (Complete)</v>
      </c>
      <c r="I232" s="151"/>
      <c r="J232" s="609" t="str">
        <f>IF('C-Design&amp;Const'!AJ232="","",'C-Design&amp;Const'!AJ232)</f>
        <v>(Complete)</v>
      </c>
      <c r="K232" s="285" t="str">
        <f t="shared" si="18"/>
        <v>match</v>
      </c>
      <c r="L232" s="1410" t="str">
        <f t="shared" si="19"/>
        <v/>
      </c>
      <c r="M232" s="1333"/>
      <c r="N232" s="1333"/>
      <c r="O232" s="1333"/>
      <c r="P232" s="1333"/>
      <c r="Q232" s="1333"/>
      <c r="R232" s="1453"/>
      <c r="S232" s="1364"/>
      <c r="T232" s="1404"/>
      <c r="U232" s="1333"/>
      <c r="V232" s="1333"/>
      <c r="W232" s="1333"/>
      <c r="X232" s="1333"/>
      <c r="Y232" s="1333"/>
      <c r="Z232" s="1333"/>
      <c r="AA232" s="1333"/>
      <c r="AB232" s="1333"/>
      <c r="AC232" s="1333"/>
      <c r="AD232" s="1333"/>
      <c r="AE232" s="1333"/>
      <c r="AF232" s="1333"/>
      <c r="AG232" s="1333"/>
      <c r="AH232" s="1333"/>
      <c r="AI232" s="1333"/>
      <c r="AJ232" s="1333"/>
    </row>
    <row r="233" spans="1:49" s="17" customFormat="1" x14ac:dyDescent="0.25">
      <c r="A233" s="1517" t="str">
        <f>IF(COUNTIF('04 - 95% CD'!D233:G233,"Y")&gt;0,"Y",IF(COUNTIF('04 - 95% CD'!D233:G233,"N"),"N",""))</f>
        <v/>
      </c>
      <c r="B233" s="141"/>
      <c r="C233" s="944"/>
      <c r="D233" s="411"/>
      <c r="E233" s="321"/>
      <c r="F233" s="559" t="str">
        <f>IF('C-Design&amp;Const'!$S233="","",'C-Design&amp;Const'!$S233)</f>
        <v>?</v>
      </c>
      <c r="G233" s="534"/>
      <c r="H233" s="243" t="str">
        <f>CONCATENATE(IF(F233="N","PLACEHOLDER ROW - ",""),'C-Design&amp;Const'!Z233,IF(F233="N","",J233))</f>
        <v>CUSTOM - Architectural  (Complete)</v>
      </c>
      <c r="I233" s="151"/>
      <c r="J233" s="609" t="str">
        <f>IF('C-Design&amp;Const'!AJ233="","",'C-Design&amp;Const'!AJ233)</f>
        <v>(Complete)</v>
      </c>
      <c r="K233" s="285" t="str">
        <f t="shared" si="18"/>
        <v>match</v>
      </c>
      <c r="L233" s="1410" t="str">
        <f t="shared" si="19"/>
        <v/>
      </c>
      <c r="M233" s="1333"/>
      <c r="N233" s="1333"/>
      <c r="O233" s="1333"/>
      <c r="P233" s="1333"/>
      <c r="Q233" s="1333"/>
      <c r="R233" s="1453"/>
      <c r="S233" s="1364"/>
      <c r="T233" s="1404"/>
      <c r="U233" s="1333"/>
      <c r="V233" s="1333"/>
      <c r="W233" s="1333"/>
      <c r="X233" s="1333"/>
      <c r="Y233" s="1333"/>
      <c r="Z233" s="1333"/>
      <c r="AA233" s="1333"/>
      <c r="AB233" s="1333"/>
      <c r="AC233" s="1333"/>
      <c r="AD233" s="1333"/>
      <c r="AE233" s="1333"/>
      <c r="AF233" s="1333"/>
      <c r="AG233" s="1333"/>
      <c r="AH233" s="1333"/>
      <c r="AI233" s="1333"/>
      <c r="AJ233" s="1333"/>
    </row>
    <row r="234" spans="1:49" s="17" customFormat="1" x14ac:dyDescent="0.25">
      <c r="A234" s="1517" t="str">
        <f>IF(COUNTIF('04 - 95% CD'!D234:G234,"Y")&gt;0,"Y",IF(COUNTIF('04 - 95% CD'!D234:G234,"N"),"N",""))</f>
        <v>Y</v>
      </c>
      <c r="B234" s="141"/>
      <c r="C234" s="944"/>
      <c r="D234" s="411"/>
      <c r="E234" s="321"/>
      <c r="F234" s="559" t="str">
        <f>IF('C-Design&amp;Const'!$S234="","",'C-Design&amp;Const'!$S234)</f>
        <v>Y</v>
      </c>
      <c r="G234" s="491"/>
      <c r="H234" s="469" t="str">
        <f>CONCATENATE(IF(F234="N","PLACEHOLDER ROW - ",""),'C-Design&amp;Const'!Z234,IF(F234="N","",J234))</f>
        <v>Architectural Symbols, Abbreviations, and General Notes (Complete)</v>
      </c>
      <c r="I234" s="151"/>
      <c r="J234" s="609" t="str">
        <f>IF('C-Design&amp;Const'!AJ234="","",'C-Design&amp;Const'!AJ234)</f>
        <v>(Complete)</v>
      </c>
      <c r="K234" s="285" t="str">
        <f>IF((COUNTIF(D234:F234,"Y")=COUNTIF(A234,"Y")),"match","no 95% match")</f>
        <v>match</v>
      </c>
      <c r="L234" s="1410" t="str">
        <f>CONCATENATE(IF(ISNUMBER(SEARCH("Placeholder",H234))=TRUE,"&lt;---PM/Planner may hide PLACEHOLDER ROW",""))</f>
        <v/>
      </c>
      <c r="M234" s="1333"/>
      <c r="N234" s="1333"/>
      <c r="O234" s="1333"/>
      <c r="P234" s="1333"/>
      <c r="Q234" s="1333"/>
      <c r="R234" s="1453"/>
      <c r="S234" s="1364"/>
      <c r="T234" s="1404"/>
      <c r="U234" s="1333"/>
      <c r="V234" s="1333"/>
      <c r="W234" s="1333"/>
      <c r="X234" s="1333"/>
      <c r="Y234" s="1333"/>
      <c r="Z234" s="1333"/>
      <c r="AA234" s="1333"/>
      <c r="AB234" s="1333"/>
      <c r="AC234" s="1333"/>
      <c r="AD234" s="1333"/>
      <c r="AE234" s="1333"/>
      <c r="AF234" s="1333"/>
      <c r="AG234" s="1333"/>
      <c r="AH234" s="1333"/>
      <c r="AI234" s="1333"/>
      <c r="AJ234" s="1333"/>
    </row>
    <row r="235" spans="1:49" s="17" customFormat="1" x14ac:dyDescent="0.25">
      <c r="A235" s="1517" t="str">
        <f>IF(COUNTIF('04 - 95% CD'!D235:G235,"Y")&gt;0,"Y",IF(COUNTIF('04 - 95% CD'!D235:G235,"N"),"N",""))</f>
        <v>N</v>
      </c>
      <c r="B235" s="141"/>
      <c r="C235" s="944"/>
      <c r="D235" s="411"/>
      <c r="E235" s="321"/>
      <c r="F235" s="559" t="str">
        <f>IF('C-Design&amp;Const'!$S235="","",'C-Design&amp;Const'!$S235)</f>
        <v>N</v>
      </c>
      <c r="G235" s="534"/>
      <c r="H235" s="243" t="str">
        <f>CONCATENATE(IF(F235="N","PLACEHOLDER ROW - ",""),'C-Design&amp;Const'!Z235,IF(F235="N","",J235))</f>
        <v xml:space="preserve">PLACEHOLDER ROW - Renderings </v>
      </c>
      <c r="I235" s="151"/>
      <c r="J235" s="609" t="str">
        <f>IF('C-Design&amp;Const'!AJ235="","",'C-Design&amp;Const'!AJ235)</f>
        <v>(Complete)</v>
      </c>
      <c r="K235" s="285" t="str">
        <f t="shared" si="18"/>
        <v>match</v>
      </c>
      <c r="L235" s="1410" t="str">
        <f t="shared" si="19"/>
        <v>&lt;---PM/Planner may hide PLACEHOLDER ROW</v>
      </c>
      <c r="M235" s="1333"/>
      <c r="N235" s="1333"/>
      <c r="O235" s="1333"/>
      <c r="P235" s="1333"/>
      <c r="Q235" s="1333"/>
      <c r="R235" s="1453"/>
      <c r="S235" s="1364"/>
      <c r="T235" s="1404"/>
      <c r="U235" s="1333"/>
      <c r="V235" s="1333"/>
      <c r="W235" s="1333"/>
      <c r="X235" s="1333"/>
      <c r="Y235" s="1333"/>
      <c r="Z235" s="1333"/>
      <c r="AA235" s="1333"/>
      <c r="AB235" s="1333"/>
      <c r="AC235" s="1333"/>
      <c r="AD235" s="1333"/>
      <c r="AE235" s="1333"/>
      <c r="AF235" s="1333"/>
      <c r="AG235" s="1333"/>
      <c r="AH235" s="1333"/>
      <c r="AI235" s="1333"/>
      <c r="AJ235" s="1333"/>
    </row>
    <row r="236" spans="1:49" s="17" customFormat="1" x14ac:dyDescent="0.25">
      <c r="A236" s="1517" t="str">
        <f>IF(COUNTIF('04 - 95% CD'!D236:G236,"Y")&gt;0,"Y",IF(COUNTIF('04 - 95% CD'!D236:G236,"N"),"N",""))</f>
        <v>Y</v>
      </c>
      <c r="B236" s="141"/>
      <c r="C236" s="944"/>
      <c r="D236" s="411"/>
      <c r="E236" s="321"/>
      <c r="F236" s="559" t="str">
        <f>IF('C-Design&amp;Const'!$S236="","",'C-Design&amp;Const'!$S236)</f>
        <v>Y</v>
      </c>
      <c r="G236" s="491"/>
      <c r="H236" s="469" t="str">
        <f>CONCATENATE(IF(F236="N","PLACEHOLDER ROW - ",""),'C-Design&amp;Const'!Z236,IF(F236="N","",J236))</f>
        <v>Demolition(s) (Complete)</v>
      </c>
      <c r="I236" s="151"/>
      <c r="J236" s="609" t="str">
        <f>IF('C-Design&amp;Const'!AJ236="","",'C-Design&amp;Const'!AJ236)</f>
        <v>(Complete)</v>
      </c>
      <c r="K236" s="285" t="str">
        <f>IF((COUNTIF(D236:F236,"Y")=COUNTIF(A236,"Y")),"match","no 95% match")</f>
        <v>match</v>
      </c>
      <c r="L236" s="1410" t="str">
        <f>CONCATENATE(IF(ISNUMBER(SEARCH("Placeholder",H236))=TRUE,"&lt;---PM/Planner may hide PLACEHOLDER ROW",""))</f>
        <v/>
      </c>
      <c r="M236" s="1333"/>
      <c r="N236" s="1333"/>
      <c r="O236" s="1333"/>
      <c r="P236" s="1333"/>
      <c r="Q236" s="1333"/>
      <c r="R236" s="1453"/>
      <c r="S236" s="1364"/>
      <c r="T236" s="1404"/>
      <c r="U236" s="1333"/>
      <c r="V236" s="1333"/>
      <c r="W236" s="1333"/>
      <c r="X236" s="1333"/>
      <c r="Y236" s="1333"/>
      <c r="Z236" s="1333"/>
      <c r="AA236" s="1333"/>
      <c r="AB236" s="1333"/>
      <c r="AC236" s="1333"/>
      <c r="AD236" s="1333"/>
      <c r="AE236" s="1333"/>
      <c r="AF236" s="1333"/>
      <c r="AG236" s="1333"/>
      <c r="AH236" s="1333"/>
      <c r="AI236" s="1333"/>
      <c r="AJ236" s="1333"/>
    </row>
    <row r="237" spans="1:49" s="17" customFormat="1" x14ac:dyDescent="0.25">
      <c r="A237" s="1517" t="str">
        <f>IF(COUNTIF('04 - 95% CD'!D237:G237,"Y")&gt;0,"Y",IF(COUNTIF('04 - 95% CD'!D237:G237,"N"),"N",""))</f>
        <v>Y</v>
      </c>
      <c r="B237" s="141"/>
      <c r="C237" s="944"/>
      <c r="D237" s="411"/>
      <c r="E237" s="321"/>
      <c r="F237" s="559" t="str">
        <f>IF('C-Design&amp;Const'!$S237="","",'C-Design&amp;Const'!$S237)</f>
        <v>Y</v>
      </c>
      <c r="G237" s="501"/>
      <c r="H237" s="243" t="str">
        <f>CONCATENATE(IF(F237="N","PLACEHOLDER ROW - ",""),'C-Design&amp;Const'!Z237,IF(F237="N","",J237))</f>
        <v>Floor Plans - Large Scale (Complete)</v>
      </c>
      <c r="I237" s="151"/>
      <c r="J237" s="609" t="str">
        <f>IF('C-Design&amp;Const'!AJ237="","",'C-Design&amp;Const'!AJ237)</f>
        <v>(Complete)</v>
      </c>
      <c r="K237" s="285" t="str">
        <f>IF((COUNTIF(D237:F237,"Y")=COUNTIF(A237,"Y")),"match","no 95% match")</f>
        <v>match</v>
      </c>
      <c r="L237" s="1410" t="str">
        <f>CONCATENATE(IF(ISNUMBER(SEARCH("Placeholder",H237))=TRUE,"&lt;---PM/Planner may hide PLACEHOLDER ROW",""))</f>
        <v/>
      </c>
      <c r="M237" s="1333"/>
      <c r="N237" s="1333"/>
      <c r="O237" s="1333"/>
      <c r="P237" s="1333"/>
      <c r="Q237" s="1333"/>
      <c r="R237" s="1453"/>
      <c r="S237" s="1364"/>
      <c r="T237" s="1404"/>
      <c r="U237" s="1333"/>
      <c r="V237" s="1333"/>
      <c r="W237" s="1333"/>
      <c r="X237" s="1333"/>
      <c r="Y237" s="1333"/>
      <c r="Z237" s="1333"/>
      <c r="AA237" s="1333"/>
      <c r="AB237" s="1333"/>
      <c r="AC237" s="1333"/>
      <c r="AD237" s="1333"/>
      <c r="AE237" s="1333"/>
      <c r="AF237" s="1333"/>
      <c r="AG237" s="1333"/>
      <c r="AH237" s="1333"/>
      <c r="AI237" s="1333"/>
      <c r="AJ237" s="1333"/>
    </row>
    <row r="238" spans="1:49" s="17" customFormat="1" x14ac:dyDescent="0.25">
      <c r="A238" s="1517" t="str">
        <f>IF(COUNTIF('04 - 95% CD'!D238:G238,"Y")&gt;0,"Y",IF(COUNTIF('04 - 95% CD'!D238:G238,"N"),"N",""))</f>
        <v>Y</v>
      </c>
      <c r="B238" s="141"/>
      <c r="C238" s="944"/>
      <c r="D238" s="411"/>
      <c r="E238" s="321"/>
      <c r="F238" s="559" t="str">
        <f>IF('C-Design&amp;Const'!$S238="","",'C-Design&amp;Const'!$S238)</f>
        <v>Y</v>
      </c>
      <c r="G238" s="501"/>
      <c r="H238" s="243" t="str">
        <f>CONCATENATE(IF(F238="N","PLACEHOLDER ROW - ",""),'C-Design&amp;Const'!Z238,IF(F238="N","",J238))</f>
        <v>Floor Plans (Complete)</v>
      </c>
      <c r="I238" s="151"/>
      <c r="J238" s="609" t="str">
        <f>IF('C-Design&amp;Const'!AJ238="","",'C-Design&amp;Const'!AJ238)</f>
        <v>(Complete)</v>
      </c>
      <c r="K238" s="285" t="str">
        <f t="shared" si="18"/>
        <v>match</v>
      </c>
      <c r="L238" s="1410" t="str">
        <f t="shared" si="19"/>
        <v/>
      </c>
      <c r="M238" s="1333"/>
      <c r="N238" s="1333"/>
      <c r="O238" s="1333"/>
      <c r="P238" s="1333"/>
      <c r="Q238" s="1333"/>
      <c r="R238" s="1453"/>
      <c r="S238" s="1364"/>
      <c r="T238" s="1404"/>
      <c r="U238" s="1333"/>
      <c r="V238" s="1333"/>
      <c r="W238" s="1333"/>
      <c r="X238" s="1333"/>
      <c r="Y238" s="1333"/>
      <c r="Z238" s="1333"/>
      <c r="AA238" s="1333"/>
      <c r="AB238" s="1333"/>
      <c r="AC238" s="1333"/>
      <c r="AD238" s="1333"/>
      <c r="AE238" s="1333"/>
      <c r="AF238" s="1333"/>
      <c r="AG238" s="1333"/>
      <c r="AH238" s="1333"/>
      <c r="AI238" s="1333"/>
      <c r="AJ238" s="1333"/>
    </row>
    <row r="239" spans="1:49" s="17" customFormat="1" x14ac:dyDescent="0.25">
      <c r="A239" s="1517" t="str">
        <f>IF(COUNTIF('04 - 95% CD'!D239:G239,"Y")&gt;0,"Y",IF(COUNTIF('04 - 95% CD'!D239:G239,"N"),"N",""))</f>
        <v>Y</v>
      </c>
      <c r="B239" s="141"/>
      <c r="C239" s="944"/>
      <c r="D239" s="411"/>
      <c r="E239" s="321"/>
      <c r="F239" s="559" t="str">
        <f>IF('C-Design&amp;Const'!$S239="","",'C-Design&amp;Const'!$S239)</f>
        <v>Y</v>
      </c>
      <c r="G239" s="501"/>
      <c r="H239" s="243" t="str">
        <f>CONCATENATE(IF(F239="N","PLACEHOLDER ROW - ",""),'C-Design&amp;Const'!Z239,IF(F239="N","",J239))</f>
        <v>Roof Plan (Complete)</v>
      </c>
      <c r="I239" s="151"/>
      <c r="J239" s="609" t="str">
        <f>IF('C-Design&amp;Const'!AJ239="","",'C-Design&amp;Const'!AJ239)</f>
        <v>(Complete)</v>
      </c>
      <c r="K239" s="285" t="str">
        <f t="shared" si="18"/>
        <v>match</v>
      </c>
      <c r="L239" s="1410" t="str">
        <f t="shared" si="19"/>
        <v/>
      </c>
      <c r="M239" s="1333"/>
      <c r="N239" s="1333"/>
      <c r="O239" s="1333"/>
      <c r="P239" s="1333"/>
      <c r="Q239" s="1333"/>
      <c r="R239" s="1453"/>
      <c r="S239" s="1364"/>
      <c r="T239" s="1404"/>
      <c r="U239" s="1333"/>
      <c r="V239" s="1333"/>
      <c r="W239" s="1333"/>
      <c r="X239" s="1333"/>
      <c r="Y239" s="1333"/>
      <c r="Z239" s="1333"/>
      <c r="AA239" s="1333"/>
      <c r="AB239" s="1333"/>
      <c r="AC239" s="1333"/>
      <c r="AD239" s="1333"/>
      <c r="AE239" s="1333"/>
      <c r="AF239" s="1333"/>
      <c r="AG239" s="1333"/>
      <c r="AH239" s="1333"/>
      <c r="AI239" s="1333"/>
      <c r="AJ239" s="1333"/>
    </row>
    <row r="240" spans="1:49" s="17" customFormat="1" x14ac:dyDescent="0.25">
      <c r="A240" s="1517" t="str">
        <f>IF(COUNTIF('04 - 95% CD'!D240:G240,"Y")&gt;0,"Y",IF(COUNTIF('04 - 95% CD'!D240:G240,"N"),"N",""))</f>
        <v>Y</v>
      </c>
      <c r="B240" s="141"/>
      <c r="C240" s="944"/>
      <c r="D240" s="411"/>
      <c r="E240" s="321"/>
      <c r="F240" s="559" t="str">
        <f>IF('C-Design&amp;Const'!$S240="","",'C-Design&amp;Const'!$S240)</f>
        <v>Y</v>
      </c>
      <c r="G240" s="501"/>
      <c r="H240" s="243" t="str">
        <f>CONCATENATE(IF(F240="N","PLACEHOLDER ROW - ",""),'C-Design&amp;Const'!Z240,IF(F240="N","",J240))</f>
        <v>Building Elevations - Exterior (Complete)</v>
      </c>
      <c r="I240" s="151"/>
      <c r="J240" s="609" t="str">
        <f>IF('C-Design&amp;Const'!AJ240="","",'C-Design&amp;Const'!AJ240)</f>
        <v>(Complete)</v>
      </c>
      <c r="K240" s="285" t="str">
        <f t="shared" si="18"/>
        <v>match</v>
      </c>
      <c r="L240" s="1410" t="str">
        <f t="shared" si="19"/>
        <v/>
      </c>
      <c r="M240" s="1333"/>
      <c r="N240" s="1333"/>
      <c r="O240" s="1333"/>
      <c r="P240" s="1333"/>
      <c r="Q240" s="1333"/>
      <c r="R240" s="1453"/>
      <c r="S240" s="1364"/>
      <c r="T240" s="1404"/>
      <c r="U240" s="1333"/>
      <c r="V240" s="1333"/>
      <c r="W240" s="1333"/>
      <c r="X240" s="1333"/>
      <c r="Y240" s="1333"/>
      <c r="Z240" s="1333"/>
      <c r="AA240" s="1333"/>
      <c r="AB240" s="1333"/>
      <c r="AC240" s="1333"/>
      <c r="AD240" s="1333"/>
      <c r="AE240" s="1333"/>
      <c r="AF240" s="1333"/>
      <c r="AG240" s="1333"/>
      <c r="AH240" s="1333"/>
      <c r="AI240" s="1333"/>
      <c r="AJ240" s="1333"/>
    </row>
    <row r="241" spans="1:49" s="17" customFormat="1" x14ac:dyDescent="0.25">
      <c r="A241" s="1517" t="str">
        <f>IF(COUNTIF('04 - 95% CD'!D241:G241,"Y")&gt;0,"Y",IF(COUNTIF('04 - 95% CD'!D241:G241,"N"),"N",""))</f>
        <v>Y</v>
      </c>
      <c r="B241" s="141"/>
      <c r="C241" s="944"/>
      <c r="D241" s="411"/>
      <c r="E241" s="321"/>
      <c r="F241" s="559" t="str">
        <f>IF('C-Design&amp;Const'!$S241="","",'C-Design&amp;Const'!$S241)</f>
        <v>Y</v>
      </c>
      <c r="G241" s="501"/>
      <c r="H241" s="243" t="str">
        <f>CONCATENATE(IF(F241="N","PLACEHOLDER ROW - ",""),'C-Design&amp;Const'!Z241,IF(F241="N","",J241))</f>
        <v>Transverse and Longitudinal Sections (Complete)</v>
      </c>
      <c r="I241" s="151"/>
      <c r="J241" s="609" t="str">
        <f>IF('C-Design&amp;Const'!AJ241="","",'C-Design&amp;Const'!AJ241)</f>
        <v>(Complete)</v>
      </c>
      <c r="K241" s="285" t="str">
        <f t="shared" si="18"/>
        <v>match</v>
      </c>
      <c r="L241" s="1410" t="str">
        <f t="shared" si="19"/>
        <v/>
      </c>
      <c r="M241" s="1333"/>
      <c r="N241" s="1333"/>
      <c r="O241" s="1333"/>
      <c r="P241" s="1333"/>
      <c r="Q241" s="1333"/>
      <c r="R241" s="1453"/>
      <c r="S241" s="1364"/>
      <c r="T241" s="1404"/>
      <c r="U241" s="1333"/>
      <c r="V241" s="1333"/>
      <c r="W241" s="1333"/>
      <c r="X241" s="1333"/>
      <c r="Y241" s="1333"/>
      <c r="Z241" s="1333"/>
      <c r="AA241" s="1333"/>
      <c r="AB241" s="1333"/>
      <c r="AC241" s="1333"/>
      <c r="AD241" s="1333"/>
      <c r="AE241" s="1333"/>
      <c r="AF241" s="1333"/>
      <c r="AG241" s="1333"/>
      <c r="AH241" s="1333"/>
      <c r="AI241" s="1333"/>
      <c r="AJ241" s="1333"/>
    </row>
    <row r="242" spans="1:49" s="17" customFormat="1" x14ac:dyDescent="0.25">
      <c r="A242" s="1517" t="str">
        <f>IF(COUNTIF('04 - 95% CD'!D242:G242,"Y")&gt;0,"Y",IF(COUNTIF('04 - 95% CD'!D242:G242,"N"),"N",""))</f>
        <v>Y</v>
      </c>
      <c r="B242" s="141"/>
      <c r="C242" s="944"/>
      <c r="D242" s="411"/>
      <c r="E242" s="321"/>
      <c r="F242" s="559" t="str">
        <f>IF('C-Design&amp;Const'!$S242="","",'C-Design&amp;Const'!$S242)</f>
        <v>Y</v>
      </c>
      <c r="G242" s="501"/>
      <c r="H242" s="243" t="str">
        <f>CONCATENATE(IF(F242="N","PLACEHOLDER ROW - ",""),'C-Design&amp;Const'!Z242,IF(F242="N","",J242))</f>
        <v>Wall Sections - All Major Exterior (Complete)</v>
      </c>
      <c r="I242" s="151"/>
      <c r="J242" s="609" t="str">
        <f>IF('C-Design&amp;Const'!AJ242="","",'C-Design&amp;Const'!AJ242)</f>
        <v>(Complete)</v>
      </c>
      <c r="K242" s="285" t="str">
        <f t="shared" si="18"/>
        <v>match</v>
      </c>
      <c r="L242" s="1410" t="str">
        <f t="shared" si="19"/>
        <v/>
      </c>
      <c r="M242" s="1333"/>
      <c r="N242" s="1333"/>
      <c r="O242" s="1333"/>
      <c r="P242" s="1333"/>
      <c r="Q242" s="1333"/>
      <c r="R242" s="1453"/>
      <c r="S242" s="1364"/>
      <c r="T242" s="1404"/>
      <c r="U242" s="1333"/>
      <c r="V242" s="1333"/>
      <c r="W242" s="1333"/>
      <c r="X242" s="1333"/>
      <c r="Y242" s="1333"/>
      <c r="Z242" s="1333"/>
      <c r="AA242" s="1333"/>
      <c r="AB242" s="1333"/>
      <c r="AC242" s="1333"/>
      <c r="AD242" s="1333"/>
      <c r="AE242" s="1333"/>
      <c r="AF242" s="1333"/>
      <c r="AG242" s="1333"/>
      <c r="AH242" s="1333"/>
      <c r="AI242" s="1333"/>
      <c r="AJ242" s="1333"/>
    </row>
    <row r="243" spans="1:49" s="30" customFormat="1" ht="15" customHeight="1" x14ac:dyDescent="0.2">
      <c r="A243" s="1517" t="str">
        <f>IF(COUNTIF('04 - 95% CD'!D243:G243,"Y")&gt;0,"Y",IF(COUNTIF('04 - 95% CD'!D243:G243,"N"),"N",""))</f>
        <v>Y</v>
      </c>
      <c r="B243" s="191"/>
      <c r="C243" s="944"/>
      <c r="D243" s="463"/>
      <c r="E243" s="463"/>
      <c r="F243" s="359" t="str">
        <f>IF('C-Design&amp;Const'!$S243="","",'C-Design&amp;Const'!$S243)</f>
        <v>Y</v>
      </c>
      <c r="G243" s="535"/>
      <c r="H243" s="469" t="str">
        <f>CONCATENATE(IF(F243="N","PLACEHOLDER ROW - ",""),'C-Design&amp;Const'!Z243,IF(F243="N","",J243))</f>
        <v>Partial Sections and Details (Complete)</v>
      </c>
      <c r="I243" s="184"/>
      <c r="J243" s="609" t="str">
        <f>IF('C-Design&amp;Const'!AJ243="","",'C-Design&amp;Const'!AJ243)</f>
        <v>(Complete)</v>
      </c>
      <c r="K243" s="285" t="str">
        <f t="shared" si="18"/>
        <v>match</v>
      </c>
      <c r="L243" s="1410" t="str">
        <f t="shared" si="19"/>
        <v/>
      </c>
      <c r="M243" s="1382"/>
      <c r="N243" s="1382"/>
      <c r="O243" s="1382"/>
      <c r="P243" s="1382"/>
      <c r="Q243" s="1382"/>
      <c r="R243" s="1382"/>
      <c r="S243" s="1382"/>
      <c r="T243" s="1382"/>
      <c r="U243" s="1382"/>
      <c r="V243" s="1382"/>
      <c r="W243" s="1382"/>
      <c r="X243" s="1382"/>
      <c r="Y243" s="1382"/>
      <c r="Z243" s="1382"/>
      <c r="AA243" s="1382"/>
      <c r="AB243" s="1382"/>
      <c r="AC243" s="1382"/>
      <c r="AD243" s="1382"/>
      <c r="AE243" s="1382"/>
      <c r="AF243" s="1382"/>
      <c r="AG243" s="1382"/>
      <c r="AH243" s="1382"/>
      <c r="AI243" s="1382"/>
      <c r="AJ243" s="1382"/>
      <c r="AK243" s="181"/>
      <c r="AL243" s="181"/>
      <c r="AM243" s="181"/>
      <c r="AN243" s="181"/>
      <c r="AO243" s="181"/>
      <c r="AP243" s="181"/>
      <c r="AQ243" s="181"/>
      <c r="AR243" s="181"/>
      <c r="AS243" s="181"/>
      <c r="AT243" s="181"/>
      <c r="AU243" s="181"/>
      <c r="AV243" s="181"/>
      <c r="AW243" s="181"/>
    </row>
    <row r="244" spans="1:49" s="30" customFormat="1" ht="15" customHeight="1" x14ac:dyDescent="0.2">
      <c r="A244" s="1517" t="str">
        <f>IF(COUNTIF('04 - 95% CD'!D244:G244,"Y")&gt;0,"Y",IF(COUNTIF('04 - 95% CD'!D244:G244,"N"),"N",""))</f>
        <v>Y</v>
      </c>
      <c r="B244" s="191"/>
      <c r="C244" s="944"/>
      <c r="D244" s="463"/>
      <c r="E244" s="463"/>
      <c r="F244" s="359" t="str">
        <f>IF('C-Design&amp;Const'!$S244="","",'C-Design&amp;Const'!$S244)</f>
        <v>Y</v>
      </c>
      <c r="G244" s="535"/>
      <c r="H244" s="469" t="str">
        <f>CONCATENATE(IF(F244="N","PLACEHOLDER ROW - ",""),'C-Design&amp;Const'!Z244,IF(F244="N","",J244))</f>
        <v>Wall / Window Details (Complete)</v>
      </c>
      <c r="I244" s="184"/>
      <c r="J244" s="609" t="str">
        <f>IF('C-Design&amp;Const'!AJ244="","",'C-Design&amp;Const'!AJ244)</f>
        <v>(Complete)</v>
      </c>
      <c r="K244" s="285" t="str">
        <f t="shared" si="18"/>
        <v>match</v>
      </c>
      <c r="L244" s="1410" t="str">
        <f t="shared" si="19"/>
        <v/>
      </c>
      <c r="M244" s="1382"/>
      <c r="N244" s="1382"/>
      <c r="O244" s="1382"/>
      <c r="P244" s="1382"/>
      <c r="Q244" s="1382"/>
      <c r="R244" s="1382"/>
      <c r="S244" s="1382"/>
      <c r="T244" s="1382"/>
      <c r="U244" s="1382"/>
      <c r="V244" s="1382"/>
      <c r="W244" s="1382"/>
      <c r="X244" s="1382"/>
      <c r="Y244" s="1382"/>
      <c r="Z244" s="1382"/>
      <c r="AA244" s="1382"/>
      <c r="AB244" s="1382"/>
      <c r="AC244" s="1382"/>
      <c r="AD244" s="1382"/>
      <c r="AE244" s="1382"/>
      <c r="AF244" s="1382"/>
      <c r="AG244" s="1382"/>
      <c r="AH244" s="1382"/>
      <c r="AI244" s="1382"/>
      <c r="AJ244" s="1382"/>
      <c r="AK244" s="181"/>
      <c r="AL244" s="181"/>
      <c r="AM244" s="181"/>
      <c r="AN244" s="181"/>
      <c r="AO244" s="181"/>
      <c r="AP244" s="181"/>
      <c r="AQ244" s="181"/>
      <c r="AR244" s="181"/>
      <c r="AS244" s="181"/>
      <c r="AT244" s="181"/>
      <c r="AU244" s="181"/>
      <c r="AV244" s="181"/>
      <c r="AW244" s="181"/>
    </row>
    <row r="245" spans="1:49" s="30" customFormat="1" ht="15" customHeight="1" x14ac:dyDescent="0.2">
      <c r="A245" s="1517" t="str">
        <f>IF(COUNTIF('04 - 95% CD'!D245:G245,"Y")&gt;0,"Y",IF(COUNTIF('04 - 95% CD'!D245:G245,"N"),"N",""))</f>
        <v>Y</v>
      </c>
      <c r="B245" s="191"/>
      <c r="C245" s="944"/>
      <c r="D245" s="463"/>
      <c r="E245" s="463"/>
      <c r="F245" s="359" t="str">
        <f>IF('C-Design&amp;Const'!$S245="","",'C-Design&amp;Const'!$S245)</f>
        <v>Y</v>
      </c>
      <c r="G245" s="535"/>
      <c r="H245" s="469" t="str">
        <f>CONCATENATE(IF(F245="N","PLACEHOLDER ROW - ",""),'C-Design&amp;Const'!Z245,IF(F245="N","",J245))</f>
        <v>Sections through Elevators (Complete)</v>
      </c>
      <c r="I245" s="184"/>
      <c r="J245" s="609" t="str">
        <f>IF('C-Design&amp;Const'!AJ245="","",'C-Design&amp;Const'!AJ245)</f>
        <v>(Complete)</v>
      </c>
      <c r="K245" s="285" t="str">
        <f t="shared" si="18"/>
        <v>match</v>
      </c>
      <c r="L245" s="1410" t="str">
        <f t="shared" si="19"/>
        <v/>
      </c>
      <c r="M245" s="1382"/>
      <c r="N245" s="1382"/>
      <c r="O245" s="1382"/>
      <c r="P245" s="1382"/>
      <c r="Q245" s="1382"/>
      <c r="R245" s="1382"/>
      <c r="S245" s="1382"/>
      <c r="T245" s="1382"/>
      <c r="U245" s="1382"/>
      <c r="V245" s="1382"/>
      <c r="W245" s="1382"/>
      <c r="X245" s="1382"/>
      <c r="Y245" s="1382"/>
      <c r="Z245" s="1382"/>
      <c r="AA245" s="1382"/>
      <c r="AB245" s="1382"/>
      <c r="AC245" s="1382"/>
      <c r="AD245" s="1382"/>
      <c r="AE245" s="1382"/>
      <c r="AF245" s="1382"/>
      <c r="AG245" s="1382"/>
      <c r="AH245" s="1382"/>
      <c r="AI245" s="1382"/>
      <c r="AJ245" s="1382"/>
      <c r="AK245" s="181"/>
      <c r="AL245" s="181"/>
      <c r="AM245" s="181"/>
      <c r="AN245" s="181"/>
      <c r="AO245" s="181"/>
      <c r="AP245" s="181"/>
      <c r="AQ245" s="181"/>
      <c r="AR245" s="181"/>
      <c r="AS245" s="181"/>
      <c r="AT245" s="181"/>
      <c r="AU245" s="181"/>
      <c r="AV245" s="181"/>
      <c r="AW245" s="181"/>
    </row>
    <row r="246" spans="1:49" s="17" customFormat="1" x14ac:dyDescent="0.25">
      <c r="A246" s="1517" t="str">
        <f>IF(COUNTIF('04 - 95% CD'!D246:G246,"Y")&gt;0,"Y",IF(COUNTIF('04 - 95% CD'!D246:G246,"N"),"N",""))</f>
        <v>Y</v>
      </c>
      <c r="B246" s="141"/>
      <c r="C246" s="944"/>
      <c r="D246" s="411"/>
      <c r="E246" s="321"/>
      <c r="F246" s="559" t="str">
        <f>IF('C-Design&amp;Const'!$S246="","",'C-Design&amp;Const'!$S246)</f>
        <v>Y</v>
      </c>
      <c r="G246" s="501"/>
      <c r="H246" s="243" t="str">
        <f>CONCATENATE(IF(F246="N","PLACEHOLDER ROW - ",""),'C-Design&amp;Const'!Z246,IF(F246="N","",J246))</f>
        <v>Exterior Wall and Roof Details (Complete)</v>
      </c>
      <c r="I246" s="151"/>
      <c r="J246" s="609" t="str">
        <f>IF('C-Design&amp;Const'!AJ246="","",'C-Design&amp;Const'!AJ246)</f>
        <v>(Complete)</v>
      </c>
      <c r="K246" s="285" t="str">
        <f t="shared" si="18"/>
        <v>match</v>
      </c>
      <c r="L246" s="1410" t="str">
        <f t="shared" si="19"/>
        <v/>
      </c>
      <c r="M246" s="1333"/>
      <c r="N246" s="1333"/>
      <c r="O246" s="1333"/>
      <c r="P246" s="1333"/>
      <c r="Q246" s="1333"/>
      <c r="R246" s="1453"/>
      <c r="S246" s="1364"/>
      <c r="T246" s="1404"/>
      <c r="U246" s="1333"/>
      <c r="V246" s="1333"/>
      <c r="W246" s="1333"/>
      <c r="X246" s="1333"/>
      <c r="Y246" s="1333"/>
      <c r="Z246" s="1333"/>
      <c r="AA246" s="1333"/>
      <c r="AB246" s="1333"/>
      <c r="AC246" s="1333"/>
      <c r="AD246" s="1333"/>
      <c r="AE246" s="1333"/>
      <c r="AF246" s="1333"/>
      <c r="AG246" s="1333"/>
      <c r="AH246" s="1333"/>
      <c r="AI246" s="1333"/>
      <c r="AJ246" s="1333"/>
    </row>
    <row r="247" spans="1:49" s="17" customFormat="1" x14ac:dyDescent="0.25">
      <c r="A247" s="1517" t="str">
        <f>IF(COUNTIF('04 - 95% CD'!D247:G247,"Y")&gt;0,"Y",IF(COUNTIF('04 - 95% CD'!D247:G247,"N"),"N",""))</f>
        <v>Y</v>
      </c>
      <c r="B247" s="141"/>
      <c r="C247" s="944"/>
      <c r="D247" s="411"/>
      <c r="E247" s="321"/>
      <c r="F247" s="559" t="str">
        <f>IF('C-Design&amp;Const'!$S247="","",'C-Design&amp;Const'!$S247)</f>
        <v>Y</v>
      </c>
      <c r="G247" s="501"/>
      <c r="H247" s="243" t="str">
        <f>CONCATENATE(IF(F247="N","PLACEHOLDER ROW - ",""),'C-Design&amp;Const'!Z247,IF(F247="N","",J247))</f>
        <v>Reflected Ceiling Plan (Complete)</v>
      </c>
      <c r="I247" s="151"/>
      <c r="J247" s="609" t="str">
        <f>IF('C-Design&amp;Const'!AJ247="","",'C-Design&amp;Const'!AJ247)</f>
        <v>(Complete)</v>
      </c>
      <c r="K247" s="285" t="str">
        <f t="shared" si="18"/>
        <v>match</v>
      </c>
      <c r="L247" s="1410" t="str">
        <f t="shared" si="19"/>
        <v/>
      </c>
      <c r="M247" s="1333"/>
      <c r="N247" s="1333"/>
      <c r="O247" s="1333"/>
      <c r="P247" s="1333"/>
      <c r="Q247" s="1333"/>
      <c r="R247" s="1453"/>
      <c r="S247" s="1364"/>
      <c r="T247" s="1404"/>
      <c r="U247" s="1333"/>
      <c r="V247" s="1333"/>
      <c r="W247" s="1333"/>
      <c r="X247" s="1333"/>
      <c r="Y247" s="1333"/>
      <c r="Z247" s="1333"/>
      <c r="AA247" s="1333"/>
      <c r="AB247" s="1333"/>
      <c r="AC247" s="1333"/>
      <c r="AD247" s="1333"/>
      <c r="AE247" s="1333"/>
      <c r="AF247" s="1333"/>
      <c r="AG247" s="1333"/>
      <c r="AH247" s="1333"/>
      <c r="AI247" s="1333"/>
      <c r="AJ247" s="1333"/>
    </row>
    <row r="248" spans="1:49" s="17" customFormat="1" x14ac:dyDescent="0.25">
      <c r="A248" s="1517" t="str">
        <f>IF(COUNTIF('04 - 95% CD'!D248:G248,"Y")&gt;0,"Y",IF(COUNTIF('04 - 95% CD'!D248:G248,"N"),"N",""))</f>
        <v>Y</v>
      </c>
      <c r="B248" s="141"/>
      <c r="C248" s="944"/>
      <c r="D248" s="411"/>
      <c r="E248" s="321"/>
      <c r="F248" s="559" t="str">
        <f>IF('C-Design&amp;Const'!$S248="","",'C-Design&amp;Const'!$S248)</f>
        <v>Y</v>
      </c>
      <c r="G248" s="501"/>
      <c r="H248" s="243" t="str">
        <f>CONCATENATE(IF(F248="N","PLACEHOLDER ROW - ",""),'C-Design&amp;Const'!Z248,IF(F248="N","",J248))</f>
        <v>Interior Elevations and Details(Complete)</v>
      </c>
      <c r="I248" s="151"/>
      <c r="J248" s="609" t="str">
        <f>IF('C-Design&amp;Const'!AJ248="","",'C-Design&amp;Const'!AJ248)</f>
        <v>(Complete)</v>
      </c>
      <c r="K248" s="285" t="str">
        <f t="shared" si="18"/>
        <v>match</v>
      </c>
      <c r="L248" s="1410" t="str">
        <f t="shared" si="19"/>
        <v/>
      </c>
      <c r="M248" s="1333"/>
      <c r="N248" s="1333"/>
      <c r="O248" s="1333"/>
      <c r="P248" s="1333"/>
      <c r="Q248" s="1333"/>
      <c r="R248" s="1453"/>
      <c r="S248" s="1364"/>
      <c r="T248" s="1404"/>
      <c r="U248" s="1333"/>
      <c r="V248" s="1333"/>
      <c r="W248" s="1333"/>
      <c r="X248" s="1333"/>
      <c r="Y248" s="1333"/>
      <c r="Z248" s="1333"/>
      <c r="AA248" s="1333"/>
      <c r="AB248" s="1333"/>
      <c r="AC248" s="1333"/>
      <c r="AD248" s="1333"/>
      <c r="AE248" s="1333"/>
      <c r="AF248" s="1333"/>
      <c r="AG248" s="1333"/>
      <c r="AH248" s="1333"/>
      <c r="AI248" s="1333"/>
      <c r="AJ248" s="1333"/>
    </row>
    <row r="249" spans="1:49" x14ac:dyDescent="0.25">
      <c r="A249" s="1520" t="str">
        <f>IF(COUNTIF('04 - 95% CD'!D249:G249,"Y")&gt;0,"Y",IF(COUNTIF('04 - 95% CD'!D249:G249,"N"),"N",""))</f>
        <v>Y</v>
      </c>
      <c r="B249" s="125"/>
      <c r="C249" s="944"/>
      <c r="D249" s="411"/>
      <c r="E249" s="321"/>
      <c r="F249" s="559" t="str">
        <f>IF('C-Design&amp;Const'!$S249="","",'C-Design&amp;Const'!$S249)</f>
        <v>Y</v>
      </c>
      <c r="G249" s="501"/>
      <c r="H249" s="243" t="str">
        <f>CONCATENATE(IF(F249="N","PLACEHOLDER ROW - ",""),'C-Design&amp;Const'!Z249,IF(F249="N","",J249))</f>
        <v>Door/Hardware; Room Finish; Window; and Equipment Schedules (Complete)</v>
      </c>
      <c r="I249" s="151"/>
      <c r="J249" s="609" t="str">
        <f>IF('C-Design&amp;Const'!AJ249="","",'C-Design&amp;Const'!AJ249)</f>
        <v>(Complete)</v>
      </c>
      <c r="K249" s="285" t="str">
        <f t="shared" ref="K249:K326" si="26">IF((COUNTIF(D249:F249,"Y")=COUNTIF(A249,"Y")),"match","no 95% match")</f>
        <v>match</v>
      </c>
      <c r="L249" s="1410" t="str">
        <f t="shared" ref="L249:L326" si="27">CONCATENATE(IF(ISNUMBER(SEARCH("Placeholder",H249))=TRUE,"&lt;---PM/Planner may hide PLACEHOLDER ROW",""))</f>
        <v/>
      </c>
      <c r="M249" s="1333"/>
      <c r="N249" s="1333"/>
      <c r="O249" s="1333"/>
      <c r="P249" s="1333"/>
      <c r="Q249" s="1333"/>
      <c r="R249" s="1453"/>
      <c r="S249" s="1364"/>
      <c r="T249" s="1404"/>
      <c r="U249" s="1333"/>
      <c r="V249" s="1333"/>
      <c r="W249" s="1333"/>
      <c r="X249" s="1333"/>
      <c r="Y249" s="1333"/>
      <c r="Z249" s="1333"/>
      <c r="AA249" s="1333"/>
      <c r="AB249" s="1333"/>
      <c r="AC249" s="1333"/>
      <c r="AD249" s="1333"/>
      <c r="AE249" s="1333"/>
      <c r="AF249" s="1333"/>
      <c r="AG249" s="1333"/>
      <c r="AH249" s="1333"/>
      <c r="AI249" s="1333"/>
      <c r="AJ249" s="1333"/>
    </row>
    <row r="250" spans="1:49" x14ac:dyDescent="0.25">
      <c r="A250" s="1520" t="str">
        <f>IF(COUNTIF('04 - 95% CD'!D250:G250,"Y")&gt;0,"Y",IF(COUNTIF('04 - 95% CD'!D250:G250,"N"),"N",""))</f>
        <v>Y</v>
      </c>
      <c r="B250" s="125"/>
      <c r="C250" s="944"/>
      <c r="D250" s="411"/>
      <c r="E250" s="321"/>
      <c r="F250" s="559" t="str">
        <f>IF('C-Design&amp;Const'!$S250="","",'C-Design&amp;Const'!$S250)</f>
        <v>Y</v>
      </c>
      <c r="G250" s="501"/>
      <c r="H250" s="243" t="str">
        <f>CONCATENATE(IF(F250="N","PLACEHOLDER ROW - ",""),'C-Design&amp;Const'!Z250,IF(F250="N","",J250))</f>
        <v>Interior Partition Types; Door and Window Details (Complete)</v>
      </c>
      <c r="I250" s="151"/>
      <c r="J250" s="609" t="str">
        <f>IF('C-Design&amp;Const'!AJ250="","",'C-Design&amp;Const'!AJ250)</f>
        <v>(Complete)</v>
      </c>
      <c r="K250" s="285" t="str">
        <f t="shared" si="26"/>
        <v>match</v>
      </c>
      <c r="L250" s="1410" t="str">
        <f t="shared" si="27"/>
        <v/>
      </c>
      <c r="M250" s="1333"/>
      <c r="N250" s="1333"/>
      <c r="O250" s="1333"/>
      <c r="P250" s="1333"/>
      <c r="Q250" s="1333"/>
      <c r="R250" s="1453"/>
      <c r="S250" s="1364"/>
      <c r="T250" s="1404"/>
      <c r="U250" s="1333"/>
      <c r="V250" s="1333"/>
      <c r="W250" s="1333"/>
      <c r="X250" s="1333"/>
      <c r="Y250" s="1333"/>
      <c r="Z250" s="1333"/>
      <c r="AA250" s="1333"/>
      <c r="AB250" s="1333"/>
      <c r="AC250" s="1333"/>
      <c r="AD250" s="1333"/>
      <c r="AE250" s="1333"/>
      <c r="AF250" s="1333"/>
      <c r="AG250" s="1333"/>
      <c r="AH250" s="1333"/>
      <c r="AI250" s="1333"/>
      <c r="AJ250" s="1333"/>
    </row>
    <row r="251" spans="1:49" x14ac:dyDescent="0.25">
      <c r="A251" s="1520" t="str">
        <f>IF(COUNTIF('04 - 95% CD'!D251:G251,"Y")&gt;0,"Y",IF(COUNTIF('04 - 95% CD'!D251:G251,"N"),"N",""))</f>
        <v>Y</v>
      </c>
      <c r="B251" s="125"/>
      <c r="C251" s="944"/>
      <c r="D251" s="411"/>
      <c r="E251" s="321"/>
      <c r="F251" s="559" t="str">
        <f>IF('C-Design&amp;Const'!$S251="","",'C-Design&amp;Const'!$S251)</f>
        <v>Y</v>
      </c>
      <c r="G251" s="501"/>
      <c r="H251" s="243" t="str">
        <f>CONCATENATE(IF(F251="N","PLACEHOLDER ROW - ",""),'C-Design&amp;Const'!Z251,IF(F251="N","",J251))</f>
        <v>Interior Signage (Complete)</v>
      </c>
      <c r="I251" s="151"/>
      <c r="J251" s="609" t="str">
        <f>IF('C-Design&amp;Const'!AJ251="","",'C-Design&amp;Const'!AJ251)</f>
        <v>(Complete)</v>
      </c>
      <c r="K251" s="285" t="str">
        <f t="shared" si="26"/>
        <v>match</v>
      </c>
      <c r="L251" s="1410" t="str">
        <f t="shared" si="27"/>
        <v/>
      </c>
      <c r="M251" s="1333"/>
      <c r="N251" s="1333"/>
      <c r="O251" s="1333"/>
      <c r="P251" s="1333"/>
      <c r="Q251" s="1333"/>
      <c r="R251" s="1453"/>
      <c r="S251" s="1364"/>
      <c r="T251" s="1404"/>
      <c r="U251" s="1333"/>
      <c r="V251" s="1333"/>
      <c r="W251" s="1333"/>
      <c r="X251" s="1333"/>
      <c r="Y251" s="1333"/>
      <c r="Z251" s="1333"/>
      <c r="AA251" s="1333"/>
      <c r="AB251" s="1333"/>
      <c r="AC251" s="1333"/>
      <c r="AD251" s="1333"/>
      <c r="AE251" s="1333"/>
      <c r="AF251" s="1333"/>
      <c r="AG251" s="1333"/>
      <c r="AH251" s="1333"/>
      <c r="AI251" s="1333"/>
      <c r="AJ251" s="1333"/>
    </row>
    <row r="252" spans="1:49" x14ac:dyDescent="0.25">
      <c r="A252" s="1520" t="str">
        <f>IF(COUNTIF('04 - 95% CD'!D252:G252,"Y")&gt;0,"Y",IF(COUNTIF('04 - 95% CD'!D252:G252,"N"),"N",""))</f>
        <v>Y</v>
      </c>
      <c r="B252" s="125"/>
      <c r="C252" s="944"/>
      <c r="D252" s="411"/>
      <c r="E252" s="321"/>
      <c r="F252" s="559" t="str">
        <f>IF('C-Design&amp;Const'!$S252="","",'C-Design&amp;Const'!$S252)</f>
        <v>Y</v>
      </c>
      <c r="G252" s="501"/>
      <c r="H252" s="243" t="str">
        <f>CONCATENATE(IF(F252="N","PLACEHOLDER ROW - ",""),'C-Design&amp;Const'!Z252,IF(F252="N","",J252))</f>
        <v>Fixed Equipment; Casework; and Millwork (Complete)</v>
      </c>
      <c r="I252" s="151"/>
      <c r="J252" s="609" t="str">
        <f>IF('C-Design&amp;Const'!AJ252="","",'C-Design&amp;Const'!AJ252)</f>
        <v>(Complete)</v>
      </c>
      <c r="K252" s="285" t="str">
        <f t="shared" si="26"/>
        <v>match</v>
      </c>
      <c r="L252" s="1410" t="str">
        <f t="shared" si="27"/>
        <v/>
      </c>
      <c r="M252" s="1333"/>
      <c r="N252" s="1333"/>
      <c r="O252" s="1333"/>
      <c r="P252" s="1333"/>
      <c r="Q252" s="1333"/>
      <c r="R252" s="1453"/>
      <c r="S252" s="1364"/>
      <c r="T252" s="1404"/>
      <c r="U252" s="1333"/>
      <c r="V252" s="1333"/>
      <c r="W252" s="1333"/>
      <c r="X252" s="1333"/>
      <c r="Y252" s="1333"/>
      <c r="Z252" s="1333"/>
      <c r="AA252" s="1333"/>
      <c r="AB252" s="1333"/>
      <c r="AC252" s="1333"/>
      <c r="AD252" s="1333"/>
      <c r="AE252" s="1333"/>
      <c r="AF252" s="1333"/>
      <c r="AG252" s="1333"/>
      <c r="AH252" s="1333"/>
      <c r="AI252" s="1333"/>
      <c r="AJ252" s="1333"/>
    </row>
    <row r="253" spans="1:49" x14ac:dyDescent="0.25">
      <c r="A253" s="1520" t="str">
        <f>IF(COUNTIF('04 - 95% CD'!D253:G253,"Y")&gt;0,"Y",IF(COUNTIF('04 - 95% CD'!D253:G253,"N"),"N",""))</f>
        <v>Y</v>
      </c>
      <c r="B253" s="125"/>
      <c r="C253" s="944"/>
      <c r="D253" s="411"/>
      <c r="E253" s="321"/>
      <c r="F253" s="559" t="str">
        <f>IF('C-Design&amp;Const'!$S253="","",'C-Design&amp;Const'!$S253)</f>
        <v>Y</v>
      </c>
      <c r="G253" s="501"/>
      <c r="H253" s="243" t="str">
        <f>CONCATENATE(IF(F253="N","PLACEHOLDER ROW - ",""),'C-Design&amp;Const'!Z253,IF(F253="N","",J253))</f>
        <v>FF&amp;E Plans (Complete)</v>
      </c>
      <c r="I253" s="151"/>
      <c r="J253" s="609" t="str">
        <f>IF('C-Design&amp;Const'!AJ253="","",'C-Design&amp;Const'!AJ253)</f>
        <v>(Complete)</v>
      </c>
      <c r="K253" s="285" t="str">
        <f t="shared" si="26"/>
        <v>match</v>
      </c>
      <c r="L253" s="1410" t="str">
        <f t="shared" si="27"/>
        <v/>
      </c>
      <c r="M253" s="1333"/>
      <c r="N253" s="1333"/>
      <c r="O253" s="1333"/>
      <c r="P253" s="1333"/>
      <c r="Q253" s="1333"/>
      <c r="R253" s="1284"/>
      <c r="S253" s="1488"/>
      <c r="T253" s="1404"/>
      <c r="U253" s="1333"/>
      <c r="V253" s="1333"/>
      <c r="W253" s="1333"/>
      <c r="X253" s="1333"/>
      <c r="Y253" s="1333"/>
      <c r="Z253" s="1333"/>
      <c r="AA253" s="1333"/>
      <c r="AB253" s="1333"/>
      <c r="AC253" s="1333"/>
      <c r="AD253" s="1333"/>
      <c r="AE253" s="1333"/>
      <c r="AF253" s="1333"/>
      <c r="AG253" s="1333"/>
      <c r="AH253" s="1333"/>
      <c r="AI253" s="1333"/>
      <c r="AJ253" s="1333"/>
    </row>
    <row r="254" spans="1:49" x14ac:dyDescent="0.25">
      <c r="A254" s="1520" t="str">
        <f>IF(COUNTIF('04 - 95% CD'!D254:G254,"Y")&gt;0,"Y",IF(COUNTIF('04 - 95% CD'!D254:G254,"N"),"N",""))</f>
        <v>N</v>
      </c>
      <c r="B254" s="125"/>
      <c r="C254" s="944"/>
      <c r="D254" s="411"/>
      <c r="E254" s="321"/>
      <c r="F254" s="559" t="str">
        <f>IF('C-Design&amp;Const'!$S254="","",'C-Design&amp;Const'!$S254)</f>
        <v>N</v>
      </c>
      <c r="G254" s="501"/>
      <c r="H254" s="243" t="str">
        <f>CONCATENATE(IF(F254="N","PLACEHOLDER ROW - ",""),'C-Design&amp;Const'!Z254,IF(F254="N","",J254))</f>
        <v xml:space="preserve">PLACEHOLDER ROW - CUSTOM - Architectural  </v>
      </c>
      <c r="I254" s="149"/>
      <c r="J254" s="609" t="str">
        <f>IF('C-Design&amp;Const'!AJ254="","",'C-Design&amp;Const'!AJ254)</f>
        <v>(Complete)</v>
      </c>
      <c r="K254" s="285" t="str">
        <f t="shared" si="26"/>
        <v>match</v>
      </c>
      <c r="L254" s="1410" t="str">
        <f t="shared" si="27"/>
        <v>&lt;---PM/Planner may hide PLACEHOLDER ROW</v>
      </c>
      <c r="M254" s="1333"/>
      <c r="N254" s="1333"/>
      <c r="O254" s="1333"/>
      <c r="P254" s="1333"/>
      <c r="Q254" s="1333"/>
      <c r="R254" s="1453"/>
      <c r="S254" s="1364"/>
      <c r="T254" s="1404"/>
      <c r="U254" s="1333"/>
      <c r="V254" s="1333"/>
      <c r="W254" s="1333"/>
      <c r="X254" s="1333"/>
      <c r="Y254" s="1333"/>
      <c r="Z254" s="1333"/>
      <c r="AA254" s="1333"/>
      <c r="AB254" s="1333"/>
      <c r="AC254" s="1333"/>
      <c r="AD254" s="1333"/>
      <c r="AE254" s="1333"/>
      <c r="AF254" s="1333"/>
      <c r="AG254" s="1333"/>
      <c r="AH254" s="1333"/>
      <c r="AI254" s="1333"/>
      <c r="AJ254" s="1333"/>
    </row>
    <row r="255" spans="1:49" x14ac:dyDescent="0.25">
      <c r="A255" s="1407" t="str">
        <f>IF(COUNTIF('04 - 95% CD'!D255:G255,"Y")&gt;0,"Y",IF(COUNTIF('04 - 95% CD'!D255:G255,"N"),"N",""))</f>
        <v>Y</v>
      </c>
      <c r="B255" s="125"/>
      <c r="C255" s="944"/>
      <c r="D255" s="411"/>
      <c r="E255" s="559" t="str">
        <f>IF('C-Design&amp;Const'!$S255="","",'C-Design&amp;Const'!$S255)</f>
        <v>Y</v>
      </c>
      <c r="F255" s="478"/>
      <c r="G255" s="485"/>
      <c r="H255" s="244" t="str">
        <f>CONCATENATE(IF(F255="N","PLACEHOLDER ROW - ",""),'C-Design&amp;Const'!Z255,IF(F255="N","",J255))</f>
        <v>Structural Drawings (Including Bid Alts.)</v>
      </c>
      <c r="I255" s="146"/>
      <c r="J255" s="609" t="str">
        <f>IF('C-Design&amp;Const'!AJ255="","",'C-Design&amp;Const'!AJ255)</f>
        <v xml:space="preserve"> (Including Bid Alts.)</v>
      </c>
      <c r="K255" s="285" t="str">
        <f t="shared" si="26"/>
        <v>match</v>
      </c>
      <c r="L255" s="1410" t="str">
        <f t="shared" si="27"/>
        <v/>
      </c>
      <c r="M255" s="1333"/>
      <c r="N255" s="1333"/>
      <c r="O255" s="1333"/>
      <c r="P255" s="1333"/>
      <c r="Q255" s="1333"/>
      <c r="R255" s="1453"/>
      <c r="S255" s="1364"/>
      <c r="T255" s="1404"/>
      <c r="U255" s="1333"/>
      <c r="V255" s="1333"/>
      <c r="W255" s="1333"/>
      <c r="X255" s="1333"/>
      <c r="Y255" s="1333"/>
      <c r="Z255" s="1333"/>
      <c r="AA255" s="1333"/>
      <c r="AB255" s="1333"/>
      <c r="AC255" s="1333"/>
      <c r="AD255" s="1333"/>
      <c r="AE255" s="1333"/>
      <c r="AF255" s="1333"/>
      <c r="AG255" s="1333"/>
      <c r="AH255" s="1333"/>
      <c r="AI255" s="1333"/>
      <c r="AJ255" s="1333"/>
    </row>
    <row r="256" spans="1:49" s="17" customFormat="1" x14ac:dyDescent="0.25">
      <c r="A256" s="1517" t="str">
        <f>IF(COUNTIF('04 - 95% CD'!D256:G256,"Y")&gt;0,"Y",IF(COUNTIF('04 - 95% CD'!D256:G256,"N"),"N",""))</f>
        <v>N</v>
      </c>
      <c r="B256" s="141"/>
      <c r="C256" s="944"/>
      <c r="D256" s="411"/>
      <c r="E256" s="321"/>
      <c r="F256" s="559" t="str">
        <f>IF('C-Design&amp;Const'!$S256="","",'C-Design&amp;Const'!$S256)</f>
        <v>N</v>
      </c>
      <c r="G256" s="491"/>
      <c r="H256" s="243" t="str">
        <f>CONCATENATE(IF(F256="N","PLACEHOLDER ROW - ",""),'C-Design&amp;Const'!Z256,IF(F256="N","",J256))</f>
        <v xml:space="preserve">PLACEHOLDER ROW - CUSTOM - Structural  </v>
      </c>
      <c r="I256" s="151"/>
      <c r="J256" s="609" t="str">
        <f>IF('C-Design&amp;Const'!AJ256="","",'C-Design&amp;Const'!AJ256)</f>
        <v>(Complete)</v>
      </c>
      <c r="K256" s="285" t="str">
        <f t="shared" si="26"/>
        <v>match</v>
      </c>
      <c r="L256" s="1410" t="str">
        <f t="shared" si="27"/>
        <v>&lt;---PM/Planner may hide PLACEHOLDER ROW</v>
      </c>
      <c r="M256" s="1333"/>
      <c r="N256" s="1333"/>
      <c r="O256" s="1333"/>
      <c r="P256" s="1333"/>
      <c r="Q256" s="1333"/>
      <c r="R256" s="1453"/>
      <c r="S256" s="1364"/>
      <c r="T256" s="1404"/>
      <c r="U256" s="1333"/>
      <c r="V256" s="1333"/>
      <c r="W256" s="1333"/>
      <c r="X256" s="1333"/>
      <c r="Y256" s="1333"/>
      <c r="Z256" s="1333"/>
      <c r="AA256" s="1333"/>
      <c r="AB256" s="1333"/>
      <c r="AC256" s="1333"/>
      <c r="AD256" s="1333"/>
      <c r="AE256" s="1333"/>
      <c r="AF256" s="1333"/>
      <c r="AG256" s="1333"/>
      <c r="AH256" s="1333"/>
      <c r="AI256" s="1333"/>
      <c r="AJ256" s="1333"/>
    </row>
    <row r="257" spans="1:49" s="17" customFormat="1" x14ac:dyDescent="0.25">
      <c r="A257" s="1517" t="str">
        <f>IF(COUNTIF('04 - 95% CD'!D257:G257,"Y")&gt;0,"Y",IF(COUNTIF('04 - 95% CD'!D257:G257,"N"),"N",""))</f>
        <v>N</v>
      </c>
      <c r="B257" s="141"/>
      <c r="C257" s="944"/>
      <c r="D257" s="411"/>
      <c r="E257" s="321"/>
      <c r="F257" s="559" t="str">
        <f>IF('C-Design&amp;Const'!$S257="","",'C-Design&amp;Const'!$S257)</f>
        <v>N</v>
      </c>
      <c r="G257" s="491"/>
      <c r="H257" s="243" t="str">
        <f>CONCATENATE(IF(F257="N","PLACEHOLDER ROW - ",""),'C-Design&amp;Const'!Z257,IF(F257="N","",J257))</f>
        <v xml:space="preserve">PLACEHOLDER ROW - CUSTOM - Structural  </v>
      </c>
      <c r="I257" s="151"/>
      <c r="J257" s="609" t="str">
        <f>IF('C-Design&amp;Const'!AJ257="","",'C-Design&amp;Const'!AJ257)</f>
        <v>(Complete)</v>
      </c>
      <c r="K257" s="285" t="str">
        <f t="shared" si="26"/>
        <v>match</v>
      </c>
      <c r="L257" s="1410" t="str">
        <f t="shared" si="27"/>
        <v>&lt;---PM/Planner may hide PLACEHOLDER ROW</v>
      </c>
      <c r="M257" s="1333"/>
      <c r="N257" s="1333"/>
      <c r="O257" s="1333"/>
      <c r="P257" s="1333"/>
      <c r="Q257" s="1333"/>
      <c r="R257" s="1453"/>
      <c r="S257" s="1364"/>
      <c r="T257" s="1404"/>
      <c r="U257" s="1333"/>
      <c r="V257" s="1333"/>
      <c r="W257" s="1333"/>
      <c r="X257" s="1333"/>
      <c r="Y257" s="1333"/>
      <c r="Z257" s="1333"/>
      <c r="AA257" s="1333"/>
      <c r="AB257" s="1333"/>
      <c r="AC257" s="1333"/>
      <c r="AD257" s="1333"/>
      <c r="AE257" s="1333"/>
      <c r="AF257" s="1333"/>
      <c r="AG257" s="1333"/>
      <c r="AH257" s="1333"/>
      <c r="AI257" s="1333"/>
      <c r="AJ257" s="1333"/>
    </row>
    <row r="258" spans="1:49" s="17" customFormat="1" x14ac:dyDescent="0.25">
      <c r="A258" s="1517" t="str">
        <f>IF(COUNTIF('04 - 95% CD'!D258:G258,"Y")&gt;0,"Y",IF(COUNTIF('04 - 95% CD'!D258:G258,"N"),"N",""))</f>
        <v>Y</v>
      </c>
      <c r="B258" s="141"/>
      <c r="C258" s="944"/>
      <c r="D258" s="411"/>
      <c r="E258" s="321"/>
      <c r="F258" s="559" t="str">
        <f>IF('C-Design&amp;Const'!$S258="","",'C-Design&amp;Const'!$S258)</f>
        <v>Y</v>
      </c>
      <c r="G258" s="491"/>
      <c r="H258" s="469" t="str">
        <f>CONCATENATE(IF(F258="N","PLACEHOLDER ROW - ",""),'C-Design&amp;Const'!Z258,IF(F258="N","",J258))</f>
        <v>Structural Symbols, Abbreviations, and General Notes (Complete)</v>
      </c>
      <c r="I258" s="151"/>
      <c r="J258" s="609" t="str">
        <f>IF('C-Design&amp;Const'!AJ258="","",'C-Design&amp;Const'!AJ258)</f>
        <v>(Complete)</v>
      </c>
      <c r="K258" s="285" t="str">
        <f t="shared" si="26"/>
        <v>match</v>
      </c>
      <c r="L258" s="1410" t="str">
        <f t="shared" si="27"/>
        <v/>
      </c>
      <c r="M258" s="1333"/>
      <c r="N258" s="1333"/>
      <c r="O258" s="1333"/>
      <c r="P258" s="1333"/>
      <c r="Q258" s="1333"/>
      <c r="R258" s="1453"/>
      <c r="S258" s="1364"/>
      <c r="T258" s="1404"/>
      <c r="U258" s="1333"/>
      <c r="V258" s="1333"/>
      <c r="W258" s="1333"/>
      <c r="X258" s="1333"/>
      <c r="Y258" s="1333"/>
      <c r="Z258" s="1333"/>
      <c r="AA258" s="1333"/>
      <c r="AB258" s="1333"/>
      <c r="AC258" s="1333"/>
      <c r="AD258" s="1333"/>
      <c r="AE258" s="1333"/>
      <c r="AF258" s="1333"/>
      <c r="AG258" s="1333"/>
      <c r="AH258" s="1333"/>
      <c r="AI258" s="1333"/>
      <c r="AJ258" s="1333"/>
    </row>
    <row r="259" spans="1:49" s="17" customFormat="1" x14ac:dyDescent="0.25">
      <c r="A259" s="1517" t="str">
        <f>IF(COUNTIF('04 - 95% CD'!D259:G259,"Y")&gt;0,"Y",IF(COUNTIF('04 - 95% CD'!D259:G259,"N"),"N",""))</f>
        <v>Y</v>
      </c>
      <c r="B259" s="141"/>
      <c r="C259" s="944"/>
      <c r="D259" s="411"/>
      <c r="E259" s="321"/>
      <c r="F259" s="559" t="str">
        <f>IF('C-Design&amp;Const'!$S259="","",'C-Design&amp;Const'!$S259)</f>
        <v>Y</v>
      </c>
      <c r="G259" s="491"/>
      <c r="H259" s="469" t="str">
        <f>CONCATENATE(IF(F259="N","PLACEHOLDER ROW - ",""),'C-Design&amp;Const'!Z259,IF(F259="N","",J259))</f>
        <v>Structural Demolition(s) (Complete)</v>
      </c>
      <c r="I259" s="151"/>
      <c r="J259" s="609" t="str">
        <f>IF('C-Design&amp;Const'!AJ259="","",'C-Design&amp;Const'!AJ259)</f>
        <v>(Complete)</v>
      </c>
      <c r="K259" s="285" t="str">
        <f t="shared" si="26"/>
        <v>match</v>
      </c>
      <c r="L259" s="1410" t="str">
        <f t="shared" si="27"/>
        <v/>
      </c>
      <c r="M259" s="1333"/>
      <c r="N259" s="1333"/>
      <c r="O259" s="1333"/>
      <c r="P259" s="1333"/>
      <c r="Q259" s="1333"/>
      <c r="R259" s="1453"/>
      <c r="S259" s="1364"/>
      <c r="T259" s="1404"/>
      <c r="U259" s="1333"/>
      <c r="V259" s="1333"/>
      <c r="W259" s="1333"/>
      <c r="X259" s="1333"/>
      <c r="Y259" s="1333"/>
      <c r="Z259" s="1333"/>
      <c r="AA259" s="1333"/>
      <c r="AB259" s="1333"/>
      <c r="AC259" s="1333"/>
      <c r="AD259" s="1333"/>
      <c r="AE259" s="1333"/>
      <c r="AF259" s="1333"/>
      <c r="AG259" s="1333"/>
      <c r="AH259" s="1333"/>
      <c r="AI259" s="1333"/>
      <c r="AJ259" s="1333"/>
    </row>
    <row r="260" spans="1:49" x14ac:dyDescent="0.25">
      <c r="A260" s="1520" t="str">
        <f>IF(COUNTIF('04 - 95% CD'!D260:G260,"Y")&gt;0,"Y",IF(COUNTIF('04 - 95% CD'!D260:G260,"N"),"N",""))</f>
        <v>Y</v>
      </c>
      <c r="B260" s="125"/>
      <c r="C260" s="944"/>
      <c r="D260" s="411"/>
      <c r="E260" s="321"/>
      <c r="F260" s="559" t="str">
        <f>IF('C-Design&amp;Const'!$S260="","",'C-Design&amp;Const'!$S260)</f>
        <v>Y</v>
      </c>
      <c r="G260" s="485"/>
      <c r="H260" s="243" t="str">
        <f>CONCATENATE(IF(F260="N","PLACEHOLDER ROW - ",""),'C-Design&amp;Const'!Z260,IF(F260="N","",J260))</f>
        <v>Foundation Plan (Complete)</v>
      </c>
      <c r="I260" s="137"/>
      <c r="J260" s="609" t="str">
        <f>IF('C-Design&amp;Const'!AJ260="","",'C-Design&amp;Const'!AJ260)</f>
        <v>(Complete)</v>
      </c>
      <c r="K260" s="285" t="str">
        <f t="shared" si="26"/>
        <v>match</v>
      </c>
      <c r="L260" s="1410" t="str">
        <f t="shared" si="27"/>
        <v/>
      </c>
      <c r="M260" s="1333"/>
      <c r="N260" s="1333"/>
      <c r="O260" s="1333"/>
      <c r="P260" s="1333"/>
      <c r="Q260" s="1333"/>
      <c r="R260" s="1284"/>
      <c r="S260" s="1513"/>
      <c r="T260" s="1404"/>
      <c r="U260" s="1333"/>
      <c r="V260" s="1333"/>
      <c r="W260" s="1333"/>
      <c r="X260" s="1333"/>
      <c r="Y260" s="1333"/>
      <c r="Z260" s="1333"/>
      <c r="AA260" s="1333"/>
      <c r="AB260" s="1333"/>
      <c r="AC260" s="1333"/>
      <c r="AD260" s="1333"/>
      <c r="AE260" s="1333"/>
      <c r="AF260" s="1333"/>
      <c r="AG260" s="1333"/>
      <c r="AH260" s="1333"/>
      <c r="AI260" s="1333"/>
      <c r="AJ260" s="1333"/>
    </row>
    <row r="261" spans="1:49" s="1" customFormat="1" x14ac:dyDescent="0.25">
      <c r="A261" s="1520" t="str">
        <f>IF(COUNTIF('04 - 95% CD'!D261:G261,"Y")&gt;0,"Y",IF(COUNTIF('04 - 95% CD'!D261:G261,"N"),"N",""))</f>
        <v>Y</v>
      </c>
      <c r="B261" s="67"/>
      <c r="C261" s="944"/>
      <c r="D261" s="411"/>
      <c r="E261" s="321"/>
      <c r="F261" s="559" t="str">
        <f>IF('C-Design&amp;Const'!$S261="","",'C-Design&amp;Const'!$S261)</f>
        <v>Y</v>
      </c>
      <c r="G261" s="485"/>
      <c r="H261" s="243" t="str">
        <f>CONCATENATE(IF(F261="N","PLACEHOLDER ROW - ",""),'C-Design&amp;Const'!Z261,IF(F261="N","",J261))</f>
        <v>Foundation to wall connections (bolted/reinforcing bar dowels) (Complete)</v>
      </c>
      <c r="I261" s="137"/>
      <c r="J261" s="609" t="str">
        <f>IF('C-Design&amp;Const'!AJ261="","",'C-Design&amp;Const'!AJ261)</f>
        <v>(Complete)</v>
      </c>
      <c r="K261" s="285" t="str">
        <f t="shared" si="26"/>
        <v>match</v>
      </c>
      <c r="L261" s="1410" t="str">
        <f t="shared" si="27"/>
        <v/>
      </c>
      <c r="M261" s="1333"/>
      <c r="N261" s="1333"/>
      <c r="O261" s="1333"/>
      <c r="P261" s="1333"/>
      <c r="Q261" s="1333"/>
      <c r="R261" s="1284"/>
      <c r="S261" s="1513"/>
      <c r="T261" s="1404"/>
      <c r="U261" s="1333"/>
      <c r="V261" s="1333"/>
      <c r="W261" s="1333"/>
      <c r="X261" s="1333"/>
      <c r="Y261" s="1333"/>
      <c r="Z261" s="1333"/>
      <c r="AA261" s="1333"/>
      <c r="AB261" s="1333"/>
      <c r="AC261" s="1333"/>
      <c r="AD261" s="1333"/>
      <c r="AE261" s="1333"/>
      <c r="AF261" s="1333"/>
      <c r="AG261" s="1333"/>
      <c r="AH261" s="1333"/>
      <c r="AI261" s="1333"/>
      <c r="AJ261" s="1333"/>
      <c r="AK261" s="13"/>
      <c r="AL261" s="13"/>
      <c r="AM261" s="13"/>
      <c r="AN261" s="13"/>
      <c r="AO261" s="13"/>
      <c r="AP261" s="13"/>
      <c r="AQ261" s="13"/>
      <c r="AR261" s="13"/>
      <c r="AS261" s="13"/>
      <c r="AT261" s="13"/>
      <c r="AU261" s="13"/>
      <c r="AV261" s="13"/>
      <c r="AW261" s="13"/>
    </row>
    <row r="262" spans="1:49" s="1" customFormat="1" x14ac:dyDescent="0.25">
      <c r="A262" s="1520" t="str">
        <f>IF(COUNTIF('04 - 95% CD'!D262:G262,"Y")&gt;0,"Y",IF(COUNTIF('04 - 95% CD'!D262:G262,"N"),"N",""))</f>
        <v>Y</v>
      </c>
      <c r="B262" s="67"/>
      <c r="C262" s="944"/>
      <c r="D262" s="411"/>
      <c r="E262" s="321"/>
      <c r="F262" s="559" t="str">
        <f>IF('C-Design&amp;Const'!$S262="","",'C-Design&amp;Const'!$S262)</f>
        <v>Y</v>
      </c>
      <c r="G262" s="485"/>
      <c r="H262" s="243" t="str">
        <f>CONCATENATE(IF(F262="N","PLACEHOLDER ROW - ",""),'C-Design&amp;Const'!Z262,IF(F262="N","",J262))</f>
        <v>Column and Base Plate Schedule (Complete)</v>
      </c>
      <c r="I262" s="137"/>
      <c r="J262" s="609" t="str">
        <f>IF('C-Design&amp;Const'!AJ262="","",'C-Design&amp;Const'!AJ262)</f>
        <v>(Complete)</v>
      </c>
      <c r="K262" s="285" t="str">
        <f t="shared" si="26"/>
        <v>match</v>
      </c>
      <c r="L262" s="1410" t="str">
        <f t="shared" si="27"/>
        <v/>
      </c>
      <c r="M262" s="1333"/>
      <c r="N262" s="1333"/>
      <c r="O262" s="1333"/>
      <c r="P262" s="1333"/>
      <c r="Q262" s="1333"/>
      <c r="R262" s="1284"/>
      <c r="S262" s="1513"/>
      <c r="T262" s="1404"/>
      <c r="U262" s="1333"/>
      <c r="V262" s="1333"/>
      <c r="W262" s="1333"/>
      <c r="X262" s="1333"/>
      <c r="Y262" s="1333"/>
      <c r="Z262" s="1333"/>
      <c r="AA262" s="1333"/>
      <c r="AB262" s="1333"/>
      <c r="AC262" s="1333"/>
      <c r="AD262" s="1333"/>
      <c r="AE262" s="1333"/>
      <c r="AF262" s="1333"/>
      <c r="AG262" s="1333"/>
      <c r="AH262" s="1333"/>
      <c r="AI262" s="1333"/>
      <c r="AJ262" s="1333"/>
      <c r="AK262" s="13"/>
      <c r="AL262" s="13"/>
      <c r="AM262" s="13"/>
      <c r="AN262" s="13"/>
      <c r="AO262" s="13"/>
      <c r="AP262" s="13"/>
      <c r="AQ262" s="13"/>
      <c r="AR262" s="13"/>
      <c r="AS262" s="13"/>
      <c r="AT262" s="13"/>
      <c r="AU262" s="13"/>
      <c r="AV262" s="13"/>
      <c r="AW262" s="13"/>
    </row>
    <row r="263" spans="1:49" s="1" customFormat="1" x14ac:dyDescent="0.25">
      <c r="A263" s="1520" t="str">
        <f>IF(COUNTIF('04 - 95% CD'!D263:G263,"Y")&gt;0,"Y",IF(COUNTIF('04 - 95% CD'!D263:G263,"N"),"N",""))</f>
        <v>Y</v>
      </c>
      <c r="B263" s="67"/>
      <c r="C263" s="944"/>
      <c r="D263" s="411"/>
      <c r="E263" s="321"/>
      <c r="F263" s="559" t="str">
        <f>IF('C-Design&amp;Const'!$S263="","",'C-Design&amp;Const'!$S263)</f>
        <v>Y</v>
      </c>
      <c r="G263" s="485"/>
      <c r="H263" s="243" t="str">
        <f>CONCATENATE(IF(F263="N","PLACEHOLDER ROW - ",""),'C-Design&amp;Const'!Z263,IF(F263="N","",J263))</f>
        <v>Foundation Individual Details (Complete)</v>
      </c>
      <c r="I263" s="137"/>
      <c r="J263" s="609" t="str">
        <f>IF('C-Design&amp;Const'!AJ263="","",'C-Design&amp;Const'!AJ263)</f>
        <v>(Complete)</v>
      </c>
      <c r="K263" s="285" t="str">
        <f t="shared" si="26"/>
        <v>match</v>
      </c>
      <c r="L263" s="1410" t="str">
        <f t="shared" si="27"/>
        <v/>
      </c>
      <c r="M263" s="1333"/>
      <c r="N263" s="1333"/>
      <c r="O263" s="1333"/>
      <c r="P263" s="1333"/>
      <c r="Q263" s="1333"/>
      <c r="R263" s="1284"/>
      <c r="S263" s="1513"/>
      <c r="T263" s="1404"/>
      <c r="U263" s="1333"/>
      <c r="V263" s="1333"/>
      <c r="W263" s="1333"/>
      <c r="X263" s="1333"/>
      <c r="Y263" s="1333"/>
      <c r="Z263" s="1333"/>
      <c r="AA263" s="1333"/>
      <c r="AB263" s="1333"/>
      <c r="AC263" s="1333"/>
      <c r="AD263" s="1333"/>
      <c r="AE263" s="1333"/>
      <c r="AF263" s="1333"/>
      <c r="AG263" s="1333"/>
      <c r="AH263" s="1333"/>
      <c r="AI263" s="1333"/>
      <c r="AJ263" s="1333"/>
      <c r="AK263" s="13"/>
      <c r="AL263" s="13"/>
      <c r="AM263" s="13"/>
      <c r="AN263" s="13"/>
      <c r="AO263" s="13"/>
      <c r="AP263" s="13"/>
      <c r="AQ263" s="13"/>
      <c r="AR263" s="13"/>
      <c r="AS263" s="13"/>
      <c r="AT263" s="13"/>
      <c r="AU263" s="13"/>
      <c r="AV263" s="13"/>
      <c r="AW263" s="13"/>
    </row>
    <row r="264" spans="1:49" s="1" customFormat="1" x14ac:dyDescent="0.25">
      <c r="A264" s="1520" t="str">
        <f>IF(COUNTIF('04 - 95% CD'!D264:G264,"Y")&gt;0,"Y",IF(COUNTIF('04 - 95% CD'!D264:G264,"N"),"N",""))</f>
        <v>Y</v>
      </c>
      <c r="B264" s="67"/>
      <c r="C264" s="944"/>
      <c r="D264" s="411"/>
      <c r="E264" s="321"/>
      <c r="F264" s="559" t="str">
        <f>IF('C-Design&amp;Const'!$S264="","",'C-Design&amp;Const'!$S264)</f>
        <v>Y</v>
      </c>
      <c r="G264" s="485"/>
      <c r="H264" s="243" t="str">
        <f>CONCATENATE(IF(F264="N","PLACEHOLDER ROW - ",""),'C-Design&amp;Const'!Z264,IF(F264="N","",J264))</f>
        <v>Structural Masonry Wall Plan (Complete)</v>
      </c>
      <c r="I264" s="137"/>
      <c r="J264" s="609" t="str">
        <f>IF('C-Design&amp;Const'!AJ264="","",'C-Design&amp;Const'!AJ264)</f>
        <v>(Complete)</v>
      </c>
      <c r="K264" s="285" t="str">
        <f t="shared" si="26"/>
        <v>match</v>
      </c>
      <c r="L264" s="1410" t="str">
        <f t="shared" si="27"/>
        <v/>
      </c>
      <c r="M264" s="1333"/>
      <c r="N264" s="1333"/>
      <c r="O264" s="1333"/>
      <c r="P264" s="1333"/>
      <c r="Q264" s="1333"/>
      <c r="R264" s="1284"/>
      <c r="S264" s="1513"/>
      <c r="T264" s="1404"/>
      <c r="U264" s="1333"/>
      <c r="V264" s="1333"/>
      <c r="W264" s="1333"/>
      <c r="X264" s="1333"/>
      <c r="Y264" s="1333"/>
      <c r="Z264" s="1333"/>
      <c r="AA264" s="1333"/>
      <c r="AB264" s="1333"/>
      <c r="AC264" s="1333"/>
      <c r="AD264" s="1333"/>
      <c r="AE264" s="1333"/>
      <c r="AF264" s="1333"/>
      <c r="AG264" s="1333"/>
      <c r="AH264" s="1333"/>
      <c r="AI264" s="1333"/>
      <c r="AJ264" s="1333"/>
      <c r="AK264" s="13"/>
      <c r="AL264" s="13"/>
      <c r="AM264" s="13"/>
      <c r="AN264" s="13"/>
      <c r="AO264" s="13"/>
      <c r="AP264" s="13"/>
      <c r="AQ264" s="13"/>
      <c r="AR264" s="13"/>
      <c r="AS264" s="13"/>
      <c r="AT264" s="13"/>
      <c r="AU264" s="13"/>
      <c r="AV264" s="13"/>
      <c r="AW264" s="13"/>
    </row>
    <row r="265" spans="1:49" s="1" customFormat="1" x14ac:dyDescent="0.25">
      <c r="A265" s="1520" t="str">
        <f>IF(COUNTIF('04 - 95% CD'!D265:G265,"Y")&gt;0,"Y",IF(COUNTIF('04 - 95% CD'!D265:G265,"N"),"N",""))</f>
        <v>Y</v>
      </c>
      <c r="B265" s="67"/>
      <c r="C265" s="944"/>
      <c r="D265" s="411"/>
      <c r="E265" s="321"/>
      <c r="F265" s="559" t="str">
        <f>IF('C-Design&amp;Const'!$S265="","",'C-Design&amp;Const'!$S265)</f>
        <v>Y</v>
      </c>
      <c r="G265" s="485"/>
      <c r="H265" s="243" t="str">
        <f>CONCATENATE(IF(F265="N","PLACEHOLDER ROW - ",""),'C-Design&amp;Const'!Z265,IF(F265="N","",J265))</f>
        <v>Structural Masonry Details (Complete)</v>
      </c>
      <c r="I265" s="137"/>
      <c r="J265" s="609" t="str">
        <f>IF('C-Design&amp;Const'!AJ265="","",'C-Design&amp;Const'!AJ265)</f>
        <v>(Complete)</v>
      </c>
      <c r="K265" s="285" t="str">
        <f t="shared" si="26"/>
        <v>match</v>
      </c>
      <c r="L265" s="1410" t="str">
        <f t="shared" si="27"/>
        <v/>
      </c>
      <c r="M265" s="1333"/>
      <c r="N265" s="1333"/>
      <c r="O265" s="1333"/>
      <c r="P265" s="1333"/>
      <c r="Q265" s="1333"/>
      <c r="R265" s="1284"/>
      <c r="S265" s="1513"/>
      <c r="T265" s="1404"/>
      <c r="U265" s="1333"/>
      <c r="V265" s="1333"/>
      <c r="W265" s="1333"/>
      <c r="X265" s="1333"/>
      <c r="Y265" s="1333"/>
      <c r="Z265" s="1333"/>
      <c r="AA265" s="1333"/>
      <c r="AB265" s="1333"/>
      <c r="AC265" s="1333"/>
      <c r="AD265" s="1333"/>
      <c r="AE265" s="1333"/>
      <c r="AF265" s="1333"/>
      <c r="AG265" s="1333"/>
      <c r="AH265" s="1333"/>
      <c r="AI265" s="1333"/>
      <c r="AJ265" s="1333"/>
      <c r="AK265" s="13"/>
      <c r="AL265" s="13"/>
      <c r="AM265" s="13"/>
      <c r="AN265" s="13"/>
      <c r="AO265" s="13"/>
      <c r="AP265" s="13"/>
      <c r="AQ265" s="13"/>
      <c r="AR265" s="13"/>
      <c r="AS265" s="13"/>
      <c r="AT265" s="13"/>
      <c r="AU265" s="13"/>
      <c r="AV265" s="13"/>
      <c r="AW265" s="13"/>
    </row>
    <row r="266" spans="1:49" s="1" customFormat="1" x14ac:dyDescent="0.25">
      <c r="A266" s="1520" t="str">
        <f>IF(COUNTIF('04 - 95% CD'!D266:G266,"Y")&gt;0,"Y",IF(COUNTIF('04 - 95% CD'!D266:G266,"N"),"N",""))</f>
        <v>Y</v>
      </c>
      <c r="B266" s="67"/>
      <c r="C266" s="944"/>
      <c r="D266" s="411"/>
      <c r="E266" s="321"/>
      <c r="F266" s="559" t="str">
        <f>IF('C-Design&amp;Const'!$S266="","",'C-Design&amp;Const'!$S266)</f>
        <v>Y</v>
      </c>
      <c r="G266" s="485"/>
      <c r="H266" s="243" t="str">
        <f>CONCATENATE(IF(F266="N","PLACEHOLDER ROW - ",""),'C-Design&amp;Const'!Z266,IF(F266="N","",J266))</f>
        <v>Lintel Details (Complete)</v>
      </c>
      <c r="I266" s="137"/>
      <c r="J266" s="609" t="str">
        <f>IF('C-Design&amp;Const'!AJ266="","",'C-Design&amp;Const'!AJ266)</f>
        <v>(Complete)</v>
      </c>
      <c r="K266" s="285" t="str">
        <f t="shared" si="26"/>
        <v>match</v>
      </c>
      <c r="L266" s="1410" t="str">
        <f t="shared" si="27"/>
        <v/>
      </c>
      <c r="M266" s="1333"/>
      <c r="N266" s="1333"/>
      <c r="O266" s="1333"/>
      <c r="P266" s="1333"/>
      <c r="Q266" s="1333"/>
      <c r="R266" s="1284"/>
      <c r="S266" s="1513"/>
      <c r="T266" s="1404"/>
      <c r="U266" s="1333"/>
      <c r="V266" s="1333"/>
      <c r="W266" s="1333"/>
      <c r="X266" s="1333"/>
      <c r="Y266" s="1333"/>
      <c r="Z266" s="1333"/>
      <c r="AA266" s="1333"/>
      <c r="AB266" s="1333"/>
      <c r="AC266" s="1333"/>
      <c r="AD266" s="1333"/>
      <c r="AE266" s="1333"/>
      <c r="AF266" s="1333"/>
      <c r="AG266" s="1333"/>
      <c r="AH266" s="1333"/>
      <c r="AI266" s="1333"/>
      <c r="AJ266" s="1333"/>
      <c r="AK266" s="13"/>
      <c r="AL266" s="13"/>
      <c r="AM266" s="13"/>
      <c r="AN266" s="13"/>
      <c r="AO266" s="13"/>
      <c r="AP266" s="13"/>
      <c r="AQ266" s="13"/>
      <c r="AR266" s="13"/>
      <c r="AS266" s="13"/>
      <c r="AT266" s="13"/>
      <c r="AU266" s="13"/>
      <c r="AV266" s="13"/>
      <c r="AW266" s="13"/>
    </row>
    <row r="267" spans="1:49" s="1" customFormat="1" x14ac:dyDescent="0.25">
      <c r="A267" s="1520" t="str">
        <f>IF(COUNTIF('04 - 95% CD'!D267:G267,"Y")&gt;0,"Y",IF(COUNTIF('04 - 95% CD'!D267:G267,"N"),"N",""))</f>
        <v>Y</v>
      </c>
      <c r="B267" s="67"/>
      <c r="C267" s="944"/>
      <c r="D267" s="411"/>
      <c r="E267" s="321"/>
      <c r="F267" s="559" t="str">
        <f>IF('C-Design&amp;Const'!$S267="","",'C-Design&amp;Const'!$S267)</f>
        <v>Y</v>
      </c>
      <c r="G267" s="485"/>
      <c r="H267" s="243" t="str">
        <f>CONCATENATE(IF(F267="N","PLACEHOLDER ROW - ",""),'C-Design&amp;Const'!Z267,IF(F267="N","",J267))</f>
        <v>Lateral Force Resisting System Plan and Details (Complete)</v>
      </c>
      <c r="I267" s="137"/>
      <c r="J267" s="609" t="str">
        <f>IF('C-Design&amp;Const'!AJ267="","",'C-Design&amp;Const'!AJ267)</f>
        <v>(Complete)</v>
      </c>
      <c r="K267" s="285" t="str">
        <f t="shared" si="26"/>
        <v>match</v>
      </c>
      <c r="L267" s="1410" t="str">
        <f t="shared" si="27"/>
        <v/>
      </c>
      <c r="M267" s="1333"/>
      <c r="N267" s="1333"/>
      <c r="O267" s="1333"/>
      <c r="P267" s="1333"/>
      <c r="Q267" s="1333"/>
      <c r="R267" s="1284"/>
      <c r="S267" s="1513"/>
      <c r="T267" s="1404"/>
      <c r="U267" s="1333"/>
      <c r="V267" s="1333"/>
      <c r="W267" s="1333"/>
      <c r="X267" s="1333"/>
      <c r="Y267" s="1333"/>
      <c r="Z267" s="1333"/>
      <c r="AA267" s="1333"/>
      <c r="AB267" s="1333"/>
      <c r="AC267" s="1333"/>
      <c r="AD267" s="1333"/>
      <c r="AE267" s="1333"/>
      <c r="AF267" s="1333"/>
      <c r="AG267" s="1333"/>
      <c r="AH267" s="1333"/>
      <c r="AI267" s="1333"/>
      <c r="AJ267" s="1333"/>
      <c r="AK267" s="13"/>
      <c r="AL267" s="13"/>
      <c r="AM267" s="13"/>
      <c r="AN267" s="13"/>
      <c r="AO267" s="13"/>
      <c r="AP267" s="13"/>
      <c r="AQ267" s="13"/>
      <c r="AR267" s="13"/>
      <c r="AS267" s="13"/>
      <c r="AT267" s="13"/>
      <c r="AU267" s="13"/>
      <c r="AV267" s="13"/>
      <c r="AW267" s="13"/>
    </row>
    <row r="268" spans="1:49" x14ac:dyDescent="0.25">
      <c r="A268" s="1520" t="str">
        <f>IF(COUNTIF('04 - 95% CD'!D268:G268,"Y")&gt;0,"Y",IF(COUNTIF('04 - 95% CD'!D268:G268,"N"),"N",""))</f>
        <v>Y</v>
      </c>
      <c r="B268" s="125"/>
      <c r="C268" s="944"/>
      <c r="D268" s="411"/>
      <c r="E268" s="321"/>
      <c r="F268" s="559" t="str">
        <f>IF('C-Design&amp;Const'!$S268="","",'C-Design&amp;Const'!$S268)</f>
        <v>Y</v>
      </c>
      <c r="G268" s="485"/>
      <c r="H268" s="243" t="str">
        <f>CONCATENATE(IF(F268="N","PLACEHOLDER ROW - ",""),'C-Design&amp;Const'!Z268,IF(F268="N","",J268))</f>
        <v>Floor Framing Plans (Complete)</v>
      </c>
      <c r="I268" s="137"/>
      <c r="J268" s="609" t="str">
        <f>IF('C-Design&amp;Const'!AJ268="","",'C-Design&amp;Const'!AJ268)</f>
        <v>(Complete)</v>
      </c>
      <c r="K268" s="285" t="str">
        <f t="shared" si="26"/>
        <v>match</v>
      </c>
      <c r="L268" s="1410" t="str">
        <f t="shared" si="27"/>
        <v/>
      </c>
      <c r="M268" s="1333"/>
      <c r="N268" s="1333"/>
      <c r="O268" s="1333"/>
      <c r="P268" s="1333"/>
      <c r="Q268" s="1333"/>
      <c r="R268" s="1453"/>
      <c r="S268" s="1364"/>
      <c r="T268" s="1404"/>
      <c r="U268" s="1333"/>
      <c r="V268" s="1333"/>
      <c r="W268" s="1333"/>
      <c r="X268" s="1333"/>
      <c r="Y268" s="1333"/>
      <c r="Z268" s="1333"/>
      <c r="AA268" s="1333"/>
      <c r="AB268" s="1333"/>
      <c r="AC268" s="1333"/>
      <c r="AD268" s="1333"/>
      <c r="AE268" s="1333"/>
      <c r="AF268" s="1333"/>
      <c r="AG268" s="1333"/>
      <c r="AH268" s="1333"/>
      <c r="AI268" s="1333"/>
      <c r="AJ268" s="1333"/>
    </row>
    <row r="269" spans="1:49" x14ac:dyDescent="0.25">
      <c r="A269" s="1520" t="str">
        <f>IF(COUNTIF('04 - 95% CD'!D269:G269,"Y")&gt;0,"Y",IF(COUNTIF('04 - 95% CD'!D269:G269,"N"),"N",""))</f>
        <v>Y</v>
      </c>
      <c r="B269" s="125"/>
      <c r="C269" s="944"/>
      <c r="D269" s="411"/>
      <c r="E269" s="321"/>
      <c r="F269" s="559" t="str">
        <f>IF('C-Design&amp;Const'!$S269="","",'C-Design&amp;Const'!$S269)</f>
        <v>Y</v>
      </c>
      <c r="G269" s="485"/>
      <c r="H269" s="243" t="str">
        <f>CONCATENATE(IF(F269="N","PLACEHOLDER ROW - ",""),'C-Design&amp;Const'!Z269,IF(F269="N","",J269))</f>
        <v>Roof Framing Details (Complete)</v>
      </c>
      <c r="I269" s="137"/>
      <c r="J269" s="609" t="str">
        <f>IF('C-Design&amp;Const'!AJ269="","",'C-Design&amp;Const'!AJ269)</f>
        <v>(Complete)</v>
      </c>
      <c r="K269" s="285" t="str">
        <f t="shared" si="26"/>
        <v>match</v>
      </c>
      <c r="L269" s="1410" t="str">
        <f t="shared" si="27"/>
        <v/>
      </c>
      <c r="M269" s="1333"/>
      <c r="N269" s="1333"/>
      <c r="O269" s="1333"/>
      <c r="P269" s="1333"/>
      <c r="Q269" s="1333"/>
      <c r="R269" s="1453"/>
      <c r="S269" s="1364"/>
      <c r="T269" s="1404"/>
      <c r="U269" s="1333"/>
      <c r="V269" s="1333"/>
      <c r="W269" s="1333"/>
      <c r="X269" s="1333"/>
      <c r="Y269" s="1333"/>
      <c r="Z269" s="1333"/>
      <c r="AA269" s="1333"/>
      <c r="AB269" s="1333"/>
      <c r="AC269" s="1333"/>
      <c r="AD269" s="1333"/>
      <c r="AE269" s="1333"/>
      <c r="AF269" s="1333"/>
      <c r="AG269" s="1333"/>
      <c r="AH269" s="1333"/>
      <c r="AI269" s="1333"/>
      <c r="AJ269" s="1333"/>
    </row>
    <row r="270" spans="1:49" x14ac:dyDescent="0.25">
      <c r="A270" s="1407" t="str">
        <f>IF(COUNTIF('04 - 95% CD'!D270:G270,"Y")&gt;0,"Y",IF(COUNTIF('04 - 95% CD'!D270:G270,"N"),"N",""))</f>
        <v>Y</v>
      </c>
      <c r="B270" s="125"/>
      <c r="C270" s="944"/>
      <c r="D270" s="411"/>
      <c r="E270" s="559" t="str">
        <f>IF('C-Design&amp;Const'!$S270="","",'C-Design&amp;Const'!$S270)</f>
        <v>Y</v>
      </c>
      <c r="F270" s="478"/>
      <c r="G270" s="485"/>
      <c r="H270" s="244" t="str">
        <f>CONCATENATE(IF(F270="N","PLACEHOLDER ROW - ",""),'C-Design&amp;Const'!Z270,IF(F270="N","",J270))</f>
        <v>Plumbing Drawings (Including Bid Alts.)</v>
      </c>
      <c r="I270" s="146"/>
      <c r="J270" s="609" t="str">
        <f>IF('C-Design&amp;Const'!AJ270="","",'C-Design&amp;Const'!AJ270)</f>
        <v xml:space="preserve"> (Including Bid Alts.)</v>
      </c>
      <c r="K270" s="285" t="str">
        <f t="shared" si="26"/>
        <v>match</v>
      </c>
      <c r="L270" s="1410" t="str">
        <f t="shared" si="27"/>
        <v/>
      </c>
      <c r="M270" s="1333"/>
      <c r="N270" s="1333"/>
      <c r="O270" s="1333"/>
      <c r="P270" s="1333"/>
      <c r="Q270" s="1333"/>
      <c r="R270" s="1453"/>
      <c r="S270" s="1364"/>
      <c r="T270" s="1404"/>
      <c r="U270" s="1333"/>
      <c r="V270" s="1333"/>
      <c r="W270" s="1333"/>
      <c r="X270" s="1333"/>
      <c r="Y270" s="1333"/>
      <c r="Z270" s="1333"/>
      <c r="AA270" s="1333"/>
      <c r="AB270" s="1333"/>
      <c r="AC270" s="1333"/>
      <c r="AD270" s="1333"/>
      <c r="AE270" s="1333"/>
      <c r="AF270" s="1333"/>
      <c r="AG270" s="1333"/>
      <c r="AH270" s="1333"/>
      <c r="AI270" s="1333"/>
      <c r="AJ270" s="1333"/>
    </row>
    <row r="271" spans="1:49" s="17" customFormat="1" x14ac:dyDescent="0.25">
      <c r="A271" s="1517" t="str">
        <f>IF(COUNTIF('04 - 95% CD'!D271:G271,"Y")&gt;0,"Y",IF(COUNTIF('04 - 95% CD'!D271:G271,"N"),"N",""))</f>
        <v>N</v>
      </c>
      <c r="B271" s="141"/>
      <c r="C271" s="944"/>
      <c r="D271" s="411"/>
      <c r="E271" s="321"/>
      <c r="F271" s="559" t="str">
        <f>IF('C-Design&amp;Const'!$S271="","",'C-Design&amp;Const'!$S271)</f>
        <v>N</v>
      </c>
      <c r="G271" s="491"/>
      <c r="H271" s="243" t="str">
        <f>CONCATENATE(IF(F271="N","PLACEHOLDER ROW - ",""),'C-Design&amp;Const'!Z271,IF(F271="N","",J271))</f>
        <v xml:space="preserve">PLACEHOLDER ROW - CUSTOM - Plumbing  </v>
      </c>
      <c r="I271" s="151"/>
      <c r="J271" s="609" t="str">
        <f>IF('C-Design&amp;Const'!AJ271="","",'C-Design&amp;Const'!AJ271)</f>
        <v>(Complete)</v>
      </c>
      <c r="K271" s="285" t="str">
        <f t="shared" si="26"/>
        <v>match</v>
      </c>
      <c r="L271" s="1410" t="str">
        <f t="shared" si="27"/>
        <v>&lt;---PM/Planner may hide PLACEHOLDER ROW</v>
      </c>
      <c r="M271" s="1333"/>
      <c r="N271" s="1333"/>
      <c r="O271" s="1333"/>
      <c r="P271" s="1333"/>
      <c r="Q271" s="1333"/>
      <c r="R271" s="1453"/>
      <c r="S271" s="1364"/>
      <c r="T271" s="1404"/>
      <c r="U271" s="1333"/>
      <c r="V271" s="1333"/>
      <c r="W271" s="1333"/>
      <c r="X271" s="1333"/>
      <c r="Y271" s="1333"/>
      <c r="Z271" s="1333"/>
      <c r="AA271" s="1333"/>
      <c r="AB271" s="1333"/>
      <c r="AC271" s="1333"/>
      <c r="AD271" s="1333"/>
      <c r="AE271" s="1333"/>
      <c r="AF271" s="1333"/>
      <c r="AG271" s="1333"/>
      <c r="AH271" s="1333"/>
      <c r="AI271" s="1333"/>
      <c r="AJ271" s="1333"/>
    </row>
    <row r="272" spans="1:49" s="17" customFormat="1" x14ac:dyDescent="0.25">
      <c r="A272" s="1517" t="str">
        <f>IF(COUNTIF('04 - 95% CD'!D272:G272,"Y")&gt;0,"Y",IF(COUNTIF('04 - 95% CD'!D272:G272,"N"),"N",""))</f>
        <v>N</v>
      </c>
      <c r="B272" s="141"/>
      <c r="C272" s="944"/>
      <c r="D272" s="411"/>
      <c r="E272" s="321"/>
      <c r="F272" s="559" t="str">
        <f>IF('C-Design&amp;Const'!$S272="","",'C-Design&amp;Const'!$S272)</f>
        <v>N</v>
      </c>
      <c r="G272" s="491"/>
      <c r="H272" s="243" t="str">
        <f>CONCATENATE(IF(F272="N","PLACEHOLDER ROW - ",""),'C-Design&amp;Const'!Z272,IF(F272="N","",J272))</f>
        <v xml:space="preserve">PLACEHOLDER ROW - CUSTOM - Plumbing  </v>
      </c>
      <c r="I272" s="151"/>
      <c r="J272" s="609" t="str">
        <f>IF('C-Design&amp;Const'!AJ272="","",'C-Design&amp;Const'!AJ272)</f>
        <v>(Complete)</v>
      </c>
      <c r="K272" s="285" t="str">
        <f t="shared" si="26"/>
        <v>match</v>
      </c>
      <c r="L272" s="1410" t="str">
        <f t="shared" si="27"/>
        <v>&lt;---PM/Planner may hide PLACEHOLDER ROW</v>
      </c>
      <c r="M272" s="1333"/>
      <c r="N272" s="1333"/>
      <c r="O272" s="1333"/>
      <c r="P272" s="1333"/>
      <c r="Q272" s="1333"/>
      <c r="R272" s="1453"/>
      <c r="S272" s="1364"/>
      <c r="T272" s="1404"/>
      <c r="U272" s="1333"/>
      <c r="V272" s="1333"/>
      <c r="W272" s="1333"/>
      <c r="X272" s="1333"/>
      <c r="Y272" s="1333"/>
      <c r="Z272" s="1333"/>
      <c r="AA272" s="1333"/>
      <c r="AB272" s="1333"/>
      <c r="AC272" s="1333"/>
      <c r="AD272" s="1333"/>
      <c r="AE272" s="1333"/>
      <c r="AF272" s="1333"/>
      <c r="AG272" s="1333"/>
      <c r="AH272" s="1333"/>
      <c r="AI272" s="1333"/>
      <c r="AJ272" s="1333"/>
    </row>
    <row r="273" spans="1:36" x14ac:dyDescent="0.25">
      <c r="A273" s="1520" t="str">
        <f>IF(COUNTIF('04 - 95% CD'!D273:G273,"Y")&gt;0,"Y",IF(COUNTIF('04 - 95% CD'!D273:G273,"N"),"N",""))</f>
        <v>Y</v>
      </c>
      <c r="B273" s="125"/>
      <c r="C273" s="944"/>
      <c r="D273" s="411"/>
      <c r="E273" s="321"/>
      <c r="F273" s="559" t="str">
        <f>IF('C-Design&amp;Const'!$S273="","",'C-Design&amp;Const'!$S273)</f>
        <v>Y</v>
      </c>
      <c r="G273" s="485"/>
      <c r="H273" s="243" t="str">
        <f>CONCATENATE(IF(F273="N","PLACEHOLDER ROW - ",""),'C-Design&amp;Const'!Z273,IF(F273="N","",J273))</f>
        <v>Plumbing Symbols, Abbreviations, and General Notes (Complete)</v>
      </c>
      <c r="I273" s="137"/>
      <c r="J273" s="609" t="str">
        <f>IF('C-Design&amp;Const'!AJ273="","",'C-Design&amp;Const'!AJ273)</f>
        <v>(Complete)</v>
      </c>
      <c r="K273" s="285" t="str">
        <f t="shared" si="26"/>
        <v>match</v>
      </c>
      <c r="L273" s="1410" t="str">
        <f t="shared" si="27"/>
        <v/>
      </c>
      <c r="M273" s="1333"/>
      <c r="N273" s="1333"/>
      <c r="O273" s="1333"/>
      <c r="P273" s="1333"/>
      <c r="Q273" s="1333"/>
      <c r="R273" s="1453"/>
      <c r="S273" s="1364"/>
      <c r="T273" s="1404"/>
      <c r="U273" s="1333"/>
      <c r="V273" s="1333"/>
      <c r="W273" s="1333"/>
      <c r="X273" s="1333"/>
      <c r="Y273" s="1333"/>
      <c r="Z273" s="1333"/>
      <c r="AA273" s="1333"/>
      <c r="AB273" s="1333"/>
      <c r="AC273" s="1333"/>
      <c r="AD273" s="1333"/>
      <c r="AE273" s="1333"/>
      <c r="AF273" s="1333"/>
      <c r="AG273" s="1333"/>
      <c r="AH273" s="1333"/>
      <c r="AI273" s="1333"/>
      <c r="AJ273" s="1333"/>
    </row>
    <row r="274" spans="1:36" s="17" customFormat="1" x14ac:dyDescent="0.25">
      <c r="A274" s="1517" t="str">
        <f>IF(COUNTIF('04 - 95% CD'!D274:G274,"Y")&gt;0,"Y",IF(COUNTIF('04 - 95% CD'!D274:G274,"N"),"N",""))</f>
        <v>Y</v>
      </c>
      <c r="B274" s="141"/>
      <c r="C274" s="944"/>
      <c r="D274" s="411"/>
      <c r="E274" s="321"/>
      <c r="F274" s="559" t="str">
        <f>IF('C-Design&amp;Const'!$S274="","",'C-Design&amp;Const'!$S274)</f>
        <v>Y</v>
      </c>
      <c r="G274" s="491"/>
      <c r="H274" s="469" t="str">
        <f>CONCATENATE(IF(F274="N","PLACEHOLDER ROW - ",""),'C-Design&amp;Const'!Z274,IF(F274="N","",J274))</f>
        <v>Plumbing Demolition(s) (Complete)</v>
      </c>
      <c r="I274" s="151"/>
      <c r="J274" s="609" t="str">
        <f>IF('C-Design&amp;Const'!AJ274="","",'C-Design&amp;Const'!AJ274)</f>
        <v>(Complete)</v>
      </c>
      <c r="K274" s="285" t="str">
        <f t="shared" ref="K274" si="28">IF((COUNTIF(D274:F274,"Y")=COUNTIF(A274,"Y")),"match","no 95% match")</f>
        <v>match</v>
      </c>
      <c r="L274" s="1410" t="str">
        <f t="shared" ref="L274" si="29">CONCATENATE(IF(ISNUMBER(SEARCH("Placeholder",H274))=TRUE,"&lt;---PM/Planner may hide PLACEHOLDER ROW",""))</f>
        <v/>
      </c>
      <c r="M274" s="1333"/>
      <c r="N274" s="1333"/>
      <c r="O274" s="1333"/>
      <c r="P274" s="1333"/>
      <c r="Q274" s="1333"/>
      <c r="R274" s="1453"/>
      <c r="S274" s="1364"/>
      <c r="T274" s="1404"/>
      <c r="U274" s="1333"/>
      <c r="V274" s="1333"/>
      <c r="W274" s="1333"/>
      <c r="X274" s="1333"/>
      <c r="Y274" s="1333"/>
      <c r="Z274" s="1333"/>
      <c r="AA274" s="1333"/>
      <c r="AB274" s="1333"/>
      <c r="AC274" s="1333"/>
      <c r="AD274" s="1333"/>
      <c r="AE274" s="1333"/>
      <c r="AF274" s="1333"/>
      <c r="AG274" s="1333"/>
      <c r="AH274" s="1333"/>
      <c r="AI274" s="1333"/>
      <c r="AJ274" s="1333"/>
    </row>
    <row r="275" spans="1:36" x14ac:dyDescent="0.25">
      <c r="A275" s="1520" t="str">
        <f>IF(COUNTIF('04 - 95% CD'!D275:G275,"Y")&gt;0,"Y",IF(COUNTIF('04 - 95% CD'!D275:G275,"N"),"N",""))</f>
        <v>Y</v>
      </c>
      <c r="B275" s="125"/>
      <c r="C275" s="944"/>
      <c r="D275" s="411"/>
      <c r="E275" s="321"/>
      <c r="F275" s="559" t="str">
        <f>IF('C-Design&amp;Const'!$S275="","",'C-Design&amp;Const'!$S275)</f>
        <v>Y</v>
      </c>
      <c r="G275" s="485"/>
      <c r="H275" s="243" t="str">
        <f>CONCATENATE(IF(F275="N","PLACEHOLDER ROW - ",""),'C-Design&amp;Const'!Z275,IF(F275="N","",J275))</f>
        <v>Plumbing Floor Plans and Roof Plan (Complete)</v>
      </c>
      <c r="I275" s="137"/>
      <c r="J275" s="609" t="str">
        <f>IF('C-Design&amp;Const'!AJ275="","",'C-Design&amp;Const'!AJ275)</f>
        <v>(Complete)</v>
      </c>
      <c r="K275" s="285" t="str">
        <f t="shared" si="26"/>
        <v>match</v>
      </c>
      <c r="L275" s="1410" t="str">
        <f t="shared" si="27"/>
        <v/>
      </c>
      <c r="M275" s="1333"/>
      <c r="N275" s="1333"/>
      <c r="O275" s="1333"/>
      <c r="P275" s="1333"/>
      <c r="Q275" s="1333"/>
      <c r="R275" s="1453"/>
      <c r="S275" s="1364"/>
      <c r="T275" s="1404"/>
      <c r="U275" s="1333"/>
      <c r="V275" s="1333"/>
      <c r="W275" s="1333"/>
      <c r="X275" s="1333"/>
      <c r="Y275" s="1333"/>
      <c r="Z275" s="1333"/>
      <c r="AA275" s="1333"/>
      <c r="AB275" s="1333"/>
      <c r="AC275" s="1333"/>
      <c r="AD275" s="1333"/>
      <c r="AE275" s="1333"/>
      <c r="AF275" s="1333"/>
      <c r="AG275" s="1333"/>
      <c r="AH275" s="1333"/>
      <c r="AI275" s="1333"/>
      <c r="AJ275" s="1333"/>
    </row>
    <row r="276" spans="1:36" x14ac:dyDescent="0.25">
      <c r="A276" s="1520" t="str">
        <f>IF(COUNTIF('04 - 95% CD'!D276:G276,"Y")&gt;0,"Y",IF(COUNTIF('04 - 95% CD'!D276:G276,"N"),"N",""))</f>
        <v>Y</v>
      </c>
      <c r="B276" s="125"/>
      <c r="C276" s="944"/>
      <c r="D276" s="411"/>
      <c r="E276" s="321"/>
      <c r="F276" s="559" t="str">
        <f>IF('C-Design&amp;Const'!$S276="","",'C-Design&amp;Const'!$S276)</f>
        <v>Y</v>
      </c>
      <c r="G276" s="485"/>
      <c r="H276" s="243" t="str">
        <f>CONCATENATE(IF(F276="N","PLACEHOLDER ROW - ",""),'C-Design&amp;Const'!Z276,IF(F276="N","",J276))</f>
        <v>Plumbing Sanitary, Vent, Storm, Water Riser Diagram (Complete)</v>
      </c>
      <c r="I276" s="137"/>
      <c r="J276" s="609" t="str">
        <f>IF('C-Design&amp;Const'!AJ276="","",'C-Design&amp;Const'!AJ276)</f>
        <v>(Complete)</v>
      </c>
      <c r="K276" s="285" t="str">
        <f t="shared" si="26"/>
        <v>match</v>
      </c>
      <c r="L276" s="1410" t="str">
        <f t="shared" si="27"/>
        <v/>
      </c>
      <c r="M276" s="1333"/>
      <c r="N276" s="1333"/>
      <c r="O276" s="1333"/>
      <c r="P276" s="1333"/>
      <c r="Q276" s="1333"/>
      <c r="R276" s="1453"/>
      <c r="S276" s="1364"/>
      <c r="T276" s="1404"/>
      <c r="U276" s="1333"/>
      <c r="V276" s="1333"/>
      <c r="W276" s="1333"/>
      <c r="X276" s="1333"/>
      <c r="Y276" s="1333"/>
      <c r="Z276" s="1333"/>
      <c r="AA276" s="1333"/>
      <c r="AB276" s="1333"/>
      <c r="AC276" s="1333"/>
      <c r="AD276" s="1333"/>
      <c r="AE276" s="1333"/>
      <c r="AF276" s="1333"/>
      <c r="AG276" s="1333"/>
      <c r="AH276" s="1333"/>
      <c r="AI276" s="1333"/>
      <c r="AJ276" s="1333"/>
    </row>
    <row r="277" spans="1:36" x14ac:dyDescent="0.25">
      <c r="A277" s="1520" t="str">
        <f>IF(COUNTIF('04 - 95% CD'!D277:G277,"Y")&gt;0,"Y",IF(COUNTIF('04 - 95% CD'!D277:G277,"N"),"N",""))</f>
        <v>Y</v>
      </c>
      <c r="B277" s="125"/>
      <c r="C277" s="944"/>
      <c r="D277" s="411"/>
      <c r="E277" s="321"/>
      <c r="F277" s="559" t="str">
        <f>IF('C-Design&amp;Const'!$S277="","",'C-Design&amp;Const'!$S277)</f>
        <v>Y</v>
      </c>
      <c r="G277" s="485"/>
      <c r="H277" s="243" t="str">
        <f>CONCATENATE(IF(F277="N","PLACEHOLDER ROW - ",""),'C-Design&amp;Const'!Z277,IF(F277="N","",J277))</f>
        <v>Plumbing Details and Sections (Complete)</v>
      </c>
      <c r="I277" s="137"/>
      <c r="J277" s="609" t="str">
        <f>IF('C-Design&amp;Const'!AJ277="","",'C-Design&amp;Const'!AJ277)</f>
        <v>(Complete)</v>
      </c>
      <c r="K277" s="285" t="str">
        <f t="shared" si="26"/>
        <v>match</v>
      </c>
      <c r="L277" s="1410" t="str">
        <f t="shared" si="27"/>
        <v/>
      </c>
      <c r="M277" s="1333"/>
      <c r="N277" s="1333"/>
      <c r="O277" s="1333"/>
      <c r="P277" s="1333"/>
      <c r="Q277" s="1333"/>
      <c r="R277" s="1284"/>
      <c r="S277" s="1513"/>
      <c r="T277" s="1404"/>
      <c r="U277" s="1333"/>
      <c r="V277" s="1333"/>
      <c r="W277" s="1333"/>
      <c r="X277" s="1333"/>
      <c r="Y277" s="1333"/>
      <c r="Z277" s="1333"/>
      <c r="AA277" s="1333"/>
      <c r="AB277" s="1333"/>
      <c r="AC277" s="1333"/>
      <c r="AD277" s="1333"/>
      <c r="AE277" s="1333"/>
      <c r="AF277" s="1333"/>
      <c r="AG277" s="1333"/>
      <c r="AH277" s="1333"/>
      <c r="AI277" s="1333"/>
      <c r="AJ277" s="1333"/>
    </row>
    <row r="278" spans="1:36" x14ac:dyDescent="0.25">
      <c r="A278" s="1520" t="str">
        <f>IF(COUNTIF('04 - 95% CD'!D278:G278,"Y")&gt;0,"Y",IF(COUNTIF('04 - 95% CD'!D278:G278,"N"),"N",""))</f>
        <v>Y</v>
      </c>
      <c r="B278" s="125"/>
      <c r="C278" s="944"/>
      <c r="D278" s="411"/>
      <c r="E278" s="321"/>
      <c r="F278" s="559" t="str">
        <f>IF('C-Design&amp;Const'!$S278="","",'C-Design&amp;Const'!$S278)</f>
        <v>Y</v>
      </c>
      <c r="G278" s="485"/>
      <c r="H278" s="243" t="str">
        <f>'04 - 95% CD'!H278</f>
        <v>Plumbing Fixture Schedule (Substantially Complete)</v>
      </c>
      <c r="I278" s="137"/>
      <c r="J278" s="609" t="str">
        <f>IF('C-Design&amp;Const'!AJ278="","",'C-Design&amp;Const'!AJ278)</f>
        <v>(Complete)</v>
      </c>
      <c r="K278" s="285" t="str">
        <f t="shared" si="26"/>
        <v>match</v>
      </c>
      <c r="L278" s="1410" t="str">
        <f t="shared" si="27"/>
        <v/>
      </c>
      <c r="M278" s="1333"/>
      <c r="N278" s="1333"/>
      <c r="O278" s="1333"/>
      <c r="P278" s="1333"/>
      <c r="Q278" s="1333"/>
      <c r="R278" s="1453"/>
      <c r="S278" s="1449"/>
      <c r="T278" s="1404"/>
      <c r="U278" s="1333"/>
      <c r="V278" s="1333"/>
      <c r="W278" s="1333"/>
      <c r="X278" s="1333"/>
      <c r="Y278" s="1333"/>
      <c r="Z278" s="1333"/>
      <c r="AA278" s="1333"/>
      <c r="AB278" s="1333"/>
      <c r="AC278" s="1333"/>
      <c r="AD278" s="1333"/>
      <c r="AE278" s="1333"/>
      <c r="AF278" s="1333"/>
      <c r="AG278" s="1333"/>
      <c r="AH278" s="1333"/>
      <c r="AI278" s="1333"/>
      <c r="AJ278" s="1333"/>
    </row>
    <row r="279" spans="1:36" x14ac:dyDescent="0.25">
      <c r="A279" s="1407" t="str">
        <f>IF(COUNTIF('04 - 95% CD'!D279:G279,"Y")&gt;0,"Y",IF(COUNTIF('04 - 95% CD'!D279:G279,"N"),"N",""))</f>
        <v>Y</v>
      </c>
      <c r="B279" s="125"/>
      <c r="C279" s="944"/>
      <c r="D279" s="411"/>
      <c r="E279" s="559" t="str">
        <f>IF('C-Design&amp;Const'!$S279="","",'C-Design&amp;Const'!$S279)</f>
        <v>Y</v>
      </c>
      <c r="F279" s="478"/>
      <c r="G279" s="485"/>
      <c r="H279" s="244" t="str">
        <f>CONCATENATE(IF(F279="N","PLACEHOLDER ROW - ",""),'C-Design&amp;Const'!Z279,IF(F279="N","",J279))</f>
        <v>Fire Protection / Fire Suppression Drawings (Including Bid Alts.)</v>
      </c>
      <c r="I279" s="146"/>
      <c r="J279" s="609" t="str">
        <f>IF('C-Design&amp;Const'!AJ279="","",'C-Design&amp;Const'!AJ279)</f>
        <v xml:space="preserve"> (Including Bid Alts.)</v>
      </c>
      <c r="K279" s="285" t="str">
        <f t="shared" si="26"/>
        <v>match</v>
      </c>
      <c r="L279" s="1410" t="str">
        <f t="shared" si="27"/>
        <v/>
      </c>
      <c r="M279" s="1333"/>
      <c r="N279" s="1333"/>
      <c r="O279" s="1333"/>
      <c r="P279" s="1333"/>
      <c r="Q279" s="1333"/>
      <c r="R279" s="1453"/>
      <c r="S279" s="1449"/>
      <c r="T279" s="1404"/>
      <c r="U279" s="1333"/>
      <c r="V279" s="1333"/>
      <c r="W279" s="1333"/>
      <c r="X279" s="1333"/>
      <c r="Y279" s="1333"/>
      <c r="Z279" s="1333"/>
      <c r="AA279" s="1333"/>
      <c r="AB279" s="1333"/>
      <c r="AC279" s="1333"/>
      <c r="AD279" s="1333"/>
      <c r="AE279" s="1333"/>
      <c r="AF279" s="1333"/>
      <c r="AG279" s="1333"/>
      <c r="AH279" s="1333"/>
      <c r="AI279" s="1333"/>
      <c r="AJ279" s="1333"/>
    </row>
    <row r="280" spans="1:36" s="17" customFormat="1" x14ac:dyDescent="0.25">
      <c r="A280" s="1517" t="str">
        <f>IF(COUNTIF('04 - 95% CD'!D280:G280,"Y")&gt;0,"Y",IF(COUNTIF('04 - 95% CD'!D280:G280,"N"),"N",""))</f>
        <v>N</v>
      </c>
      <c r="B280" s="141"/>
      <c r="C280" s="944"/>
      <c r="D280" s="411"/>
      <c r="E280" s="321"/>
      <c r="F280" s="559" t="str">
        <f>IF('C-Design&amp;Const'!$S280="","",'C-Design&amp;Const'!$S280)</f>
        <v>N</v>
      </c>
      <c r="G280" s="491"/>
      <c r="H280" s="243" t="str">
        <f>CONCATENATE(IF(F280="N","PLACEHOLDER ROW - ",""),'C-Design&amp;Const'!Z280,IF(F280="N","",J280))</f>
        <v xml:space="preserve">PLACEHOLDER ROW - CUSTOM - Fire Suppression  </v>
      </c>
      <c r="I280" s="151"/>
      <c r="J280" s="609" t="str">
        <f>IF('C-Design&amp;Const'!AJ280="","",'C-Design&amp;Const'!AJ280)</f>
        <v>(Complete)</v>
      </c>
      <c r="K280" s="285" t="str">
        <f t="shared" si="26"/>
        <v>match</v>
      </c>
      <c r="L280" s="1410" t="str">
        <f t="shared" si="27"/>
        <v>&lt;---PM/Planner may hide PLACEHOLDER ROW</v>
      </c>
      <c r="M280" s="1333"/>
      <c r="N280" s="1333"/>
      <c r="O280" s="1333"/>
      <c r="P280" s="1333"/>
      <c r="Q280" s="1333"/>
      <c r="R280" s="1453"/>
      <c r="S280" s="1364"/>
      <c r="T280" s="1404"/>
      <c r="U280" s="1333"/>
      <c r="V280" s="1333"/>
      <c r="W280" s="1333"/>
      <c r="X280" s="1333"/>
      <c r="Y280" s="1333"/>
      <c r="Z280" s="1333"/>
      <c r="AA280" s="1333"/>
      <c r="AB280" s="1333"/>
      <c r="AC280" s="1333"/>
      <c r="AD280" s="1333"/>
      <c r="AE280" s="1333"/>
      <c r="AF280" s="1333"/>
      <c r="AG280" s="1333"/>
      <c r="AH280" s="1333"/>
      <c r="AI280" s="1333"/>
      <c r="AJ280" s="1333"/>
    </row>
    <row r="281" spans="1:36" s="17" customFormat="1" x14ac:dyDescent="0.25">
      <c r="A281" s="1517" t="str">
        <f>IF(COUNTIF('04 - 95% CD'!D281:G281,"Y")&gt;0,"Y",IF(COUNTIF('04 - 95% CD'!D281:G281,"N"),"N",""))</f>
        <v>N</v>
      </c>
      <c r="B281" s="141"/>
      <c r="C281" s="944"/>
      <c r="D281" s="411"/>
      <c r="E281" s="321"/>
      <c r="F281" s="559" t="str">
        <f>IF('C-Design&amp;Const'!$S281="","",'C-Design&amp;Const'!$S281)</f>
        <v>N</v>
      </c>
      <c r="G281" s="491"/>
      <c r="H281" s="243" t="str">
        <f>CONCATENATE(IF(F281="N","PLACEHOLDER ROW - ",""),'C-Design&amp;Const'!Z281,IF(F281="N","",J281))</f>
        <v xml:space="preserve">PLACEHOLDER ROW - CUSTOM - Fire Suppression  </v>
      </c>
      <c r="I281" s="151"/>
      <c r="J281" s="609" t="str">
        <f>IF('C-Design&amp;Const'!AJ281="","",'C-Design&amp;Const'!AJ281)</f>
        <v>(Complete)</v>
      </c>
      <c r="K281" s="285" t="str">
        <f t="shared" si="26"/>
        <v>match</v>
      </c>
      <c r="L281" s="1410" t="str">
        <f t="shared" si="27"/>
        <v>&lt;---PM/Planner may hide PLACEHOLDER ROW</v>
      </c>
      <c r="M281" s="1333"/>
      <c r="N281" s="1333"/>
      <c r="O281" s="1333"/>
      <c r="P281" s="1333"/>
      <c r="Q281" s="1333"/>
      <c r="R281" s="1453"/>
      <c r="S281" s="1364"/>
      <c r="T281" s="1404"/>
      <c r="U281" s="1333"/>
      <c r="V281" s="1333"/>
      <c r="W281" s="1333"/>
      <c r="X281" s="1333"/>
      <c r="Y281" s="1333"/>
      <c r="Z281" s="1333"/>
      <c r="AA281" s="1333"/>
      <c r="AB281" s="1333"/>
      <c r="AC281" s="1333"/>
      <c r="AD281" s="1333"/>
      <c r="AE281" s="1333"/>
      <c r="AF281" s="1333"/>
      <c r="AG281" s="1333"/>
      <c r="AH281" s="1333"/>
      <c r="AI281" s="1333"/>
      <c r="AJ281" s="1333"/>
    </row>
    <row r="282" spans="1:36" x14ac:dyDescent="0.25">
      <c r="A282" s="1520" t="str">
        <f>IF(COUNTIF('04 - 95% CD'!D282:G282,"Y")&gt;0,"Y",IF(COUNTIF('04 - 95% CD'!D282:G282,"N"),"N",""))</f>
        <v>Y</v>
      </c>
      <c r="B282" s="125"/>
      <c r="C282" s="944"/>
      <c r="D282" s="411"/>
      <c r="E282" s="321"/>
      <c r="F282" s="559" t="str">
        <f>IF('C-Design&amp;Const'!$S282="","",'C-Design&amp;Const'!$S282)</f>
        <v>Y</v>
      </c>
      <c r="G282" s="485"/>
      <c r="H282" s="243" t="str">
        <f>CONCATENATE(IF(F282="N","PLACEHOLDER ROW - ",""),'C-Design&amp;Const'!Z282,IF(F282="N","",J282))</f>
        <v>Sprinkler System Symbols, Abbreviations, and General Notes (Complete)</v>
      </c>
      <c r="I282" s="137"/>
      <c r="J282" s="609" t="str">
        <f>IF('C-Design&amp;Const'!AJ282="","",'C-Design&amp;Const'!AJ282)</f>
        <v>(Complete)</v>
      </c>
      <c r="K282" s="285" t="str">
        <f t="shared" si="26"/>
        <v>match</v>
      </c>
      <c r="L282" s="1410" t="str">
        <f t="shared" si="27"/>
        <v/>
      </c>
      <c r="M282" s="1333"/>
      <c r="N282" s="1333"/>
      <c r="O282" s="1333"/>
      <c r="P282" s="1333"/>
      <c r="Q282" s="1333"/>
      <c r="R282" s="1453"/>
      <c r="S282" s="1449"/>
      <c r="T282" s="1404"/>
      <c r="U282" s="1333"/>
      <c r="V282" s="1333"/>
      <c r="W282" s="1333"/>
      <c r="X282" s="1333"/>
      <c r="Y282" s="1333"/>
      <c r="Z282" s="1333"/>
      <c r="AA282" s="1333"/>
      <c r="AB282" s="1333"/>
      <c r="AC282" s="1333"/>
      <c r="AD282" s="1333"/>
      <c r="AE282" s="1333"/>
      <c r="AF282" s="1333"/>
      <c r="AG282" s="1333"/>
      <c r="AH282" s="1333"/>
      <c r="AI282" s="1333"/>
      <c r="AJ282" s="1333"/>
    </row>
    <row r="283" spans="1:36" s="17" customFormat="1" x14ac:dyDescent="0.25">
      <c r="A283" s="1517" t="str">
        <f>IF(COUNTIF('04 - 95% CD'!D283:G283,"Y")&gt;0,"Y",IF(COUNTIF('04 - 95% CD'!D283:G283,"N"),"N",""))</f>
        <v>Y</v>
      </c>
      <c r="B283" s="141"/>
      <c r="C283" s="944"/>
      <c r="D283" s="411"/>
      <c r="E283" s="321"/>
      <c r="F283" s="559" t="str">
        <f>IF('C-Design&amp;Const'!$S283="","",'C-Design&amp;Const'!$S283)</f>
        <v>Y</v>
      </c>
      <c r="G283" s="491"/>
      <c r="H283" s="469" t="str">
        <f>CONCATENATE(IF(F283="N","PLACEHOLDER ROW - ",""),'C-Design&amp;Const'!Z283,IF(F283="N","",J283))</f>
        <v>Sprinkler System Demolition(s) (Complete)</v>
      </c>
      <c r="I283" s="151"/>
      <c r="J283" s="609" t="str">
        <f>IF('C-Design&amp;Const'!AJ283="","",'C-Design&amp;Const'!AJ283)</f>
        <v>(Complete)</v>
      </c>
      <c r="K283" s="285" t="str">
        <f t="shared" si="26"/>
        <v>match</v>
      </c>
      <c r="L283" s="1410" t="str">
        <f t="shared" si="27"/>
        <v/>
      </c>
      <c r="M283" s="1333"/>
      <c r="N283" s="1333"/>
      <c r="O283" s="1333"/>
      <c r="P283" s="1333"/>
      <c r="Q283" s="1333"/>
      <c r="R283" s="1453"/>
      <c r="S283" s="1364"/>
      <c r="T283" s="1404"/>
      <c r="U283" s="1333"/>
      <c r="V283" s="1333"/>
      <c r="W283" s="1333"/>
      <c r="X283" s="1333"/>
      <c r="Y283" s="1333"/>
      <c r="Z283" s="1333"/>
      <c r="AA283" s="1333"/>
      <c r="AB283" s="1333"/>
      <c r="AC283" s="1333"/>
      <c r="AD283" s="1333"/>
      <c r="AE283" s="1333"/>
      <c r="AF283" s="1333"/>
      <c r="AG283" s="1333"/>
      <c r="AH283" s="1333"/>
      <c r="AI283" s="1333"/>
      <c r="AJ283" s="1333"/>
    </row>
    <row r="284" spans="1:36" x14ac:dyDescent="0.25">
      <c r="A284" s="1520" t="str">
        <f>IF(COUNTIF('04 - 95% CD'!D284:G284,"Y")&gt;0,"Y",IF(COUNTIF('04 - 95% CD'!D284:G284,"N"),"N",""))</f>
        <v>Y</v>
      </c>
      <c r="B284" s="125"/>
      <c r="C284" s="944"/>
      <c r="D284" s="411"/>
      <c r="E284" s="321"/>
      <c r="F284" s="559" t="str">
        <f>IF('C-Design&amp;Const'!$S284="","",'C-Design&amp;Const'!$S284)</f>
        <v>Y</v>
      </c>
      <c r="G284" s="485"/>
      <c r="H284" s="243" t="str">
        <f>CONCATENATE(IF(F284="N","PLACEHOLDER ROW - ",""),'C-Design&amp;Const'!Z284,IF(F284="N","",J284))</f>
        <v>Sprinkler System Floor Plans (Complete)</v>
      </c>
      <c r="I284" s="137"/>
      <c r="J284" s="609" t="str">
        <f>IF('C-Design&amp;Const'!AJ284="","",'C-Design&amp;Const'!AJ284)</f>
        <v>(Complete)</v>
      </c>
      <c r="K284" s="285" t="str">
        <f t="shared" si="26"/>
        <v>match</v>
      </c>
      <c r="L284" s="1410" t="str">
        <f t="shared" si="27"/>
        <v/>
      </c>
      <c r="M284" s="1333"/>
      <c r="N284" s="1333"/>
      <c r="O284" s="1333"/>
      <c r="P284" s="1333"/>
      <c r="Q284" s="1333"/>
      <c r="R284" s="1453"/>
      <c r="S284" s="1449"/>
      <c r="T284" s="1404"/>
      <c r="U284" s="1333"/>
      <c r="V284" s="1333"/>
      <c r="W284" s="1333"/>
      <c r="X284" s="1333"/>
      <c r="Y284" s="1333"/>
      <c r="Z284" s="1333"/>
      <c r="AA284" s="1333"/>
      <c r="AB284" s="1333"/>
      <c r="AC284" s="1333"/>
      <c r="AD284" s="1333"/>
      <c r="AE284" s="1333"/>
      <c r="AF284" s="1333"/>
      <c r="AG284" s="1333"/>
      <c r="AH284" s="1333"/>
      <c r="AI284" s="1333"/>
      <c r="AJ284" s="1333"/>
    </row>
    <row r="285" spans="1:36" x14ac:dyDescent="0.25">
      <c r="A285" s="1520" t="str">
        <f>IF(COUNTIF('04 - 95% CD'!D285:G285,"Y")&gt;0,"Y",IF(COUNTIF('04 - 95% CD'!D285:G285,"N"),"N",""))</f>
        <v>Y</v>
      </c>
      <c r="B285" s="125"/>
      <c r="C285" s="944"/>
      <c r="D285" s="411"/>
      <c r="E285" s="321"/>
      <c r="F285" s="559" t="str">
        <f>IF('C-Design&amp;Const'!$S285="","",'C-Design&amp;Const'!$S285)</f>
        <v>Y</v>
      </c>
      <c r="G285" s="485"/>
      <c r="H285" s="243" t="str">
        <f>CONCATENATE(IF(F285="N","PLACEHOLDER ROW - ",""),'C-Design&amp;Const'!Z285,IF(F285="N","",J285))</f>
        <v>Sprinkler System Flow and Riser Diagrams (Complete)</v>
      </c>
      <c r="I285" s="137"/>
      <c r="J285" s="609" t="str">
        <f>IF('C-Design&amp;Const'!AJ285="","",'C-Design&amp;Const'!AJ285)</f>
        <v>(Complete)</v>
      </c>
      <c r="K285" s="285" t="str">
        <f t="shared" si="26"/>
        <v>match</v>
      </c>
      <c r="L285" s="1410" t="str">
        <f t="shared" si="27"/>
        <v/>
      </c>
      <c r="M285" s="1333"/>
      <c r="N285" s="1333"/>
      <c r="O285" s="1333"/>
      <c r="P285" s="1333"/>
      <c r="Q285" s="1333"/>
      <c r="R285" s="1284"/>
      <c r="S285" s="1513"/>
      <c r="T285" s="1404"/>
      <c r="U285" s="1333"/>
      <c r="V285" s="1333"/>
      <c r="W285" s="1333"/>
      <c r="X285" s="1333"/>
      <c r="Y285" s="1333"/>
      <c r="Z285" s="1333"/>
      <c r="AA285" s="1333"/>
      <c r="AB285" s="1333"/>
      <c r="AC285" s="1333"/>
      <c r="AD285" s="1333"/>
      <c r="AE285" s="1333"/>
      <c r="AF285" s="1333"/>
      <c r="AG285" s="1333"/>
      <c r="AH285" s="1333"/>
      <c r="AI285" s="1333"/>
      <c r="AJ285" s="1333"/>
    </row>
    <row r="286" spans="1:36" x14ac:dyDescent="0.25">
      <c r="A286" s="1520" t="str">
        <f>IF(COUNTIF('04 - 95% CD'!D286:G286,"Y")&gt;0,"Y",IF(COUNTIF('04 - 95% CD'!D286:G286,"N"),"N",""))</f>
        <v>Y</v>
      </c>
      <c r="B286" s="125"/>
      <c r="C286" s="944"/>
      <c r="D286" s="411"/>
      <c r="E286" s="321"/>
      <c r="F286" s="559" t="str">
        <f>IF('C-Design&amp;Const'!$S286="","",'C-Design&amp;Const'!$S286)</f>
        <v>Y</v>
      </c>
      <c r="G286" s="485"/>
      <c r="H286" s="243" t="str">
        <f>CONCATENATE(IF(F286="N","PLACEHOLDER ROW - ",""),'C-Design&amp;Const'!Z286,IF(F286="N","",J286))</f>
        <v>Sprinkler/Fire Pump Room Large Scale Plan (Complete)</v>
      </c>
      <c r="I286" s="137"/>
      <c r="J286" s="609" t="str">
        <f>IF('C-Design&amp;Const'!AJ286="","",'C-Design&amp;Const'!AJ286)</f>
        <v>(Complete)</v>
      </c>
      <c r="K286" s="285" t="str">
        <f t="shared" si="26"/>
        <v>match</v>
      </c>
      <c r="L286" s="1410" t="str">
        <f t="shared" si="27"/>
        <v/>
      </c>
      <c r="M286" s="1333"/>
      <c r="N286" s="1333"/>
      <c r="O286" s="1333"/>
      <c r="P286" s="1333"/>
      <c r="Q286" s="1333"/>
      <c r="R286" s="1453"/>
      <c r="S286" s="1364"/>
      <c r="T286" s="1404"/>
      <c r="U286" s="1333"/>
      <c r="V286" s="1333"/>
      <c r="W286" s="1333"/>
      <c r="X286" s="1333"/>
      <c r="Y286" s="1333"/>
      <c r="Z286" s="1333"/>
      <c r="AA286" s="1333"/>
      <c r="AB286" s="1333"/>
      <c r="AC286" s="1333"/>
      <c r="AD286" s="1333"/>
      <c r="AE286" s="1333"/>
      <c r="AF286" s="1333"/>
      <c r="AG286" s="1333"/>
      <c r="AH286" s="1333"/>
      <c r="AI286" s="1333"/>
      <c r="AJ286" s="1333"/>
    </row>
    <row r="287" spans="1:36" x14ac:dyDescent="0.25">
      <c r="A287" s="1520" t="str">
        <f>IF(COUNTIF('04 - 95% CD'!D287:G287,"Y")&gt;0,"Y",IF(COUNTIF('04 - 95% CD'!D287:G287,"N"),"N",""))</f>
        <v>Y</v>
      </c>
      <c r="B287" s="125"/>
      <c r="C287" s="944"/>
      <c r="D287" s="411"/>
      <c r="E287" s="321"/>
      <c r="F287" s="559" t="str">
        <f>IF('C-Design&amp;Const'!$S287="","",'C-Design&amp;Const'!$S287)</f>
        <v>Y</v>
      </c>
      <c r="G287" s="485"/>
      <c r="H287" s="243" t="str">
        <f>CONCATENATE(IF(F287="N","PLACEHOLDER ROW - ",""),'C-Design&amp;Const'!Z287,IF(F287="N","",J287))</f>
        <v>Sprinkler System Equipment Schedule (Complete)</v>
      </c>
      <c r="I287" s="137"/>
      <c r="J287" s="609" t="str">
        <f>IF('C-Design&amp;Const'!AJ287="","",'C-Design&amp;Const'!AJ287)</f>
        <v>(Complete)</v>
      </c>
      <c r="K287" s="285" t="str">
        <f t="shared" si="26"/>
        <v>match</v>
      </c>
      <c r="L287" s="1410" t="str">
        <f t="shared" si="27"/>
        <v/>
      </c>
      <c r="M287" s="1333"/>
      <c r="N287" s="1333"/>
      <c r="O287" s="1333"/>
      <c r="P287" s="1333"/>
      <c r="Q287" s="1333"/>
      <c r="R287" s="1453"/>
      <c r="S287" s="1364"/>
      <c r="T287" s="1404"/>
      <c r="U287" s="1333"/>
      <c r="V287" s="1333"/>
      <c r="W287" s="1333"/>
      <c r="X287" s="1333"/>
      <c r="Y287" s="1333"/>
      <c r="Z287" s="1333"/>
      <c r="AA287" s="1333"/>
      <c r="AB287" s="1333"/>
      <c r="AC287" s="1333"/>
      <c r="AD287" s="1333"/>
      <c r="AE287" s="1333"/>
      <c r="AF287" s="1333"/>
      <c r="AG287" s="1333"/>
      <c r="AH287" s="1333"/>
      <c r="AI287" s="1333"/>
      <c r="AJ287" s="1333"/>
    </row>
    <row r="288" spans="1:36" x14ac:dyDescent="0.25">
      <c r="A288" s="1520" t="str">
        <f>IF(COUNTIF('04 - 95% CD'!D288:G288,"Y")&gt;0,"Y",IF(COUNTIF('04 - 95% CD'!D288:G288,"N"),"N",""))</f>
        <v>Y</v>
      </c>
      <c r="B288" s="125"/>
      <c r="C288" s="944"/>
      <c r="D288" s="411"/>
      <c r="E288" s="321"/>
      <c r="F288" s="559" t="str">
        <f>IF('C-Design&amp;Const'!$S288="","",'C-Design&amp;Const'!$S288)</f>
        <v>Y</v>
      </c>
      <c r="G288" s="485"/>
      <c r="H288" s="243" t="str">
        <f>CONCATENATE(IF(F288="N","PLACEHOLDER ROW - ",""),'C-Design&amp;Const'!Z288,IF(F288="N","",J288))</f>
        <v>Sprinkler System Details and Sections (Complete)</v>
      </c>
      <c r="I288" s="137"/>
      <c r="J288" s="609" t="str">
        <f>IF('C-Design&amp;Const'!AJ288="","",'C-Design&amp;Const'!AJ288)</f>
        <v>(Complete)</v>
      </c>
      <c r="K288" s="285" t="str">
        <f t="shared" si="26"/>
        <v>match</v>
      </c>
      <c r="L288" s="1410" t="str">
        <f t="shared" si="27"/>
        <v/>
      </c>
      <c r="M288" s="1333"/>
      <c r="N288" s="1333"/>
      <c r="O288" s="1333"/>
      <c r="P288" s="1333"/>
      <c r="Q288" s="1333"/>
      <c r="R288" s="1453"/>
      <c r="S288" s="1364"/>
      <c r="T288" s="1404"/>
      <c r="U288" s="1333"/>
      <c r="V288" s="1333"/>
      <c r="W288" s="1333"/>
      <c r="X288" s="1333"/>
      <c r="Y288" s="1333"/>
      <c r="Z288" s="1333"/>
      <c r="AA288" s="1333"/>
      <c r="AB288" s="1333"/>
      <c r="AC288" s="1333"/>
      <c r="AD288" s="1333"/>
      <c r="AE288" s="1333"/>
      <c r="AF288" s="1333"/>
      <c r="AG288" s="1333"/>
      <c r="AH288" s="1333"/>
      <c r="AI288" s="1333"/>
      <c r="AJ288" s="1333"/>
    </row>
    <row r="289" spans="1:36" x14ac:dyDescent="0.25">
      <c r="A289" s="1407" t="str">
        <f>IF(COUNTIF('04 - 95% CD'!D289:G289,"Y")&gt;0,"Y",IF(COUNTIF('04 - 95% CD'!D289:G289,"N"),"N",""))</f>
        <v>Y</v>
      </c>
      <c r="B289" s="125"/>
      <c r="C289" s="944"/>
      <c r="D289" s="411"/>
      <c r="E289" s="559" t="str">
        <f>IF('C-Design&amp;Const'!$S289="","",'C-Design&amp;Const'!$S289)</f>
        <v>Y</v>
      </c>
      <c r="F289" s="478"/>
      <c r="G289" s="485"/>
      <c r="H289" s="244" t="str">
        <f>CONCATENATE(IF(F289="N","PLACEHOLDER ROW - ",""),'C-Design&amp;Const'!Z289,IF(F289="N","",J289))</f>
        <v>Heating Drawings (Including Bid Alts.)</v>
      </c>
      <c r="I289" s="146"/>
      <c r="J289" s="609" t="str">
        <f>IF('C-Design&amp;Const'!AJ289="","",'C-Design&amp;Const'!AJ289)</f>
        <v xml:space="preserve"> (Including Bid Alts.)</v>
      </c>
      <c r="K289" s="285" t="str">
        <f t="shared" si="26"/>
        <v>match</v>
      </c>
      <c r="L289" s="1410" t="str">
        <f t="shared" si="27"/>
        <v/>
      </c>
      <c r="M289" s="1333"/>
      <c r="N289" s="1333"/>
      <c r="O289" s="1333"/>
      <c r="P289" s="1333"/>
      <c r="Q289" s="1333"/>
      <c r="R289" s="1453"/>
      <c r="S289" s="1364"/>
      <c r="T289" s="1404"/>
      <c r="U289" s="1333"/>
      <c r="V289" s="1333"/>
      <c r="W289" s="1333"/>
      <c r="X289" s="1333"/>
      <c r="Y289" s="1333"/>
      <c r="Z289" s="1333"/>
      <c r="AA289" s="1333"/>
      <c r="AB289" s="1333"/>
      <c r="AC289" s="1333"/>
      <c r="AD289" s="1333"/>
      <c r="AE289" s="1333"/>
      <c r="AF289" s="1333"/>
      <c r="AG289" s="1333"/>
      <c r="AH289" s="1333"/>
      <c r="AI289" s="1333"/>
      <c r="AJ289" s="1333"/>
    </row>
    <row r="290" spans="1:36" s="17" customFormat="1" x14ac:dyDescent="0.25">
      <c r="A290" s="1517" t="str">
        <f>IF(COUNTIF('04 - 95% CD'!D290:G290,"Y")&gt;0,"Y",IF(COUNTIF('04 - 95% CD'!D290:G290,"N"),"N",""))</f>
        <v>N</v>
      </c>
      <c r="B290" s="141"/>
      <c r="C290" s="944"/>
      <c r="D290" s="411"/>
      <c r="E290" s="321"/>
      <c r="F290" s="559" t="str">
        <f>IF('C-Design&amp;Const'!$S290="","",'C-Design&amp;Const'!$S290)</f>
        <v>N</v>
      </c>
      <c r="G290" s="491"/>
      <c r="H290" s="243" t="str">
        <f>CONCATENATE(IF(F290="N","PLACEHOLDER ROW - ",""),'C-Design&amp;Const'!Z290,IF(F290="N","",J290))</f>
        <v xml:space="preserve">PLACEHOLDER ROW - CUSTOM - Heating  </v>
      </c>
      <c r="I290" s="151"/>
      <c r="J290" s="609" t="str">
        <f>IF('C-Design&amp;Const'!AJ290="","",'C-Design&amp;Const'!AJ290)</f>
        <v>(Complete)</v>
      </c>
      <c r="K290" s="285" t="str">
        <f t="shared" si="26"/>
        <v>match</v>
      </c>
      <c r="L290" s="1410" t="str">
        <f t="shared" si="27"/>
        <v>&lt;---PM/Planner may hide PLACEHOLDER ROW</v>
      </c>
      <c r="M290" s="1333"/>
      <c r="N290" s="1333"/>
      <c r="O290" s="1333"/>
      <c r="P290" s="1333"/>
      <c r="Q290" s="1333"/>
      <c r="R290" s="1453"/>
      <c r="S290" s="1364"/>
      <c r="T290" s="1404"/>
      <c r="U290" s="1333"/>
      <c r="V290" s="1333"/>
      <c r="W290" s="1333"/>
      <c r="X290" s="1333"/>
      <c r="Y290" s="1333"/>
      <c r="Z290" s="1333"/>
      <c r="AA290" s="1333"/>
      <c r="AB290" s="1333"/>
      <c r="AC290" s="1333"/>
      <c r="AD290" s="1333"/>
      <c r="AE290" s="1333"/>
      <c r="AF290" s="1333"/>
      <c r="AG290" s="1333"/>
      <c r="AH290" s="1333"/>
      <c r="AI290" s="1333"/>
      <c r="AJ290" s="1333"/>
    </row>
    <row r="291" spans="1:36" s="17" customFormat="1" x14ac:dyDescent="0.25">
      <c r="A291" s="1517" t="str">
        <f>IF(COUNTIF('04 - 95% CD'!D291:G291,"Y")&gt;0,"Y",IF(COUNTIF('04 - 95% CD'!D291:G291,"N"),"N",""))</f>
        <v>N</v>
      </c>
      <c r="B291" s="141"/>
      <c r="C291" s="944"/>
      <c r="D291" s="411"/>
      <c r="E291" s="321"/>
      <c r="F291" s="559" t="str">
        <f>IF('C-Design&amp;Const'!$S291="","",'C-Design&amp;Const'!$S291)</f>
        <v>N</v>
      </c>
      <c r="G291" s="491"/>
      <c r="H291" s="243" t="str">
        <f>CONCATENATE(IF(F291="N","PLACEHOLDER ROW - ",""),'C-Design&amp;Const'!Z291,IF(F291="N","",J291))</f>
        <v xml:space="preserve">PLACEHOLDER ROW - CUSTOM - Heating  </v>
      </c>
      <c r="I291" s="151"/>
      <c r="J291" s="609" t="str">
        <f>IF('C-Design&amp;Const'!AJ291="","",'C-Design&amp;Const'!AJ291)</f>
        <v>(Complete)</v>
      </c>
      <c r="K291" s="285" t="str">
        <f t="shared" si="26"/>
        <v>match</v>
      </c>
      <c r="L291" s="1410" t="str">
        <f t="shared" si="27"/>
        <v>&lt;---PM/Planner may hide PLACEHOLDER ROW</v>
      </c>
      <c r="M291" s="1333"/>
      <c r="N291" s="1333"/>
      <c r="O291" s="1333"/>
      <c r="P291" s="1333"/>
      <c r="Q291" s="1333"/>
      <c r="R291" s="1453"/>
      <c r="S291" s="1364"/>
      <c r="T291" s="1404"/>
      <c r="U291" s="1333"/>
      <c r="V291" s="1333"/>
      <c r="W291" s="1333"/>
      <c r="X291" s="1333"/>
      <c r="Y291" s="1333"/>
      <c r="Z291" s="1333"/>
      <c r="AA291" s="1333"/>
      <c r="AB291" s="1333"/>
      <c r="AC291" s="1333"/>
      <c r="AD291" s="1333"/>
      <c r="AE291" s="1333"/>
      <c r="AF291" s="1333"/>
      <c r="AG291" s="1333"/>
      <c r="AH291" s="1333"/>
      <c r="AI291" s="1333"/>
      <c r="AJ291" s="1333"/>
    </row>
    <row r="292" spans="1:36" x14ac:dyDescent="0.25">
      <c r="A292" s="1520" t="str">
        <f>IF(COUNTIF('04 - 95% CD'!D292:G292,"Y")&gt;0,"Y",IF(COUNTIF('04 - 95% CD'!D292:G292,"N"),"N",""))</f>
        <v>Y</v>
      </c>
      <c r="B292" s="125"/>
      <c r="C292" s="944"/>
      <c r="D292" s="411"/>
      <c r="E292" s="321"/>
      <c r="F292" s="559" t="str">
        <f>IF('C-Design&amp;Const'!$S292="","",'C-Design&amp;Const'!$S292)</f>
        <v>Y</v>
      </c>
      <c r="G292" s="485"/>
      <c r="H292" s="243" t="str">
        <f>CONCATENATE(IF(F292="N","PLACEHOLDER ROW - ",""),'C-Design&amp;Const'!Z292,IF(F292="N","",J292))</f>
        <v>Heating and A/C Symbols, Abbreviations, and General Notes (Complete)</v>
      </c>
      <c r="I292" s="137"/>
      <c r="J292" s="609" t="str">
        <f>IF('C-Design&amp;Const'!AJ292="","",'C-Design&amp;Const'!AJ292)</f>
        <v>(Complete)</v>
      </c>
      <c r="K292" s="285" t="str">
        <f t="shared" si="26"/>
        <v>match</v>
      </c>
      <c r="L292" s="1410" t="str">
        <f t="shared" si="27"/>
        <v/>
      </c>
      <c r="M292" s="1333"/>
      <c r="N292" s="1333"/>
      <c r="O292" s="1333"/>
      <c r="P292" s="1333"/>
      <c r="Q292" s="1333"/>
      <c r="R292" s="1453"/>
      <c r="S292" s="1364"/>
      <c r="T292" s="1404"/>
      <c r="U292" s="1333"/>
      <c r="V292" s="1333"/>
      <c r="W292" s="1333"/>
      <c r="X292" s="1333"/>
      <c r="Y292" s="1333"/>
      <c r="Z292" s="1333"/>
      <c r="AA292" s="1333"/>
      <c r="AB292" s="1333"/>
      <c r="AC292" s="1333"/>
      <c r="AD292" s="1333"/>
      <c r="AE292" s="1333"/>
      <c r="AF292" s="1333"/>
      <c r="AG292" s="1333"/>
      <c r="AH292" s="1333"/>
      <c r="AI292" s="1333"/>
      <c r="AJ292" s="1333"/>
    </row>
    <row r="293" spans="1:36" s="17" customFormat="1" x14ac:dyDescent="0.25">
      <c r="A293" s="1517" t="str">
        <f>IF(COUNTIF('04 - 95% CD'!D293:G293,"Y")&gt;0,"Y",IF(COUNTIF('04 - 95% CD'!D293:G293,"N"),"N",""))</f>
        <v>Y</v>
      </c>
      <c r="B293" s="141"/>
      <c r="C293" s="944"/>
      <c r="D293" s="411"/>
      <c r="E293" s="321"/>
      <c r="F293" s="559" t="str">
        <f>IF('C-Design&amp;Const'!$S293="","",'C-Design&amp;Const'!$S293)</f>
        <v>Y</v>
      </c>
      <c r="G293" s="491"/>
      <c r="H293" s="469" t="str">
        <f>CONCATENATE(IF(F293="N","PLACEHOLDER ROW - ",""),'C-Design&amp;Const'!Z293,IF(F293="N","",J293))</f>
        <v>Heating and A/C Demolition(s) (Complete)</v>
      </c>
      <c r="I293" s="151"/>
      <c r="J293" s="609" t="str">
        <f>IF('C-Design&amp;Const'!AJ293="","",'C-Design&amp;Const'!AJ293)</f>
        <v>(Complete)</v>
      </c>
      <c r="K293" s="285" t="str">
        <f t="shared" ref="K293" si="30">IF((COUNTIF(D293:F293,"Y")=COUNTIF(A293,"Y")),"match","no 95% match")</f>
        <v>match</v>
      </c>
      <c r="L293" s="1410" t="str">
        <f t="shared" ref="L293" si="31">CONCATENATE(IF(ISNUMBER(SEARCH("Placeholder",H293))=TRUE,"&lt;---PM/Planner may hide PLACEHOLDER ROW",""))</f>
        <v/>
      </c>
      <c r="M293" s="1333"/>
      <c r="N293" s="1333"/>
      <c r="O293" s="1333"/>
      <c r="P293" s="1333"/>
      <c r="Q293" s="1333"/>
      <c r="R293" s="1453"/>
      <c r="S293" s="1364"/>
      <c r="T293" s="1404"/>
      <c r="U293" s="1333"/>
      <c r="V293" s="1333"/>
      <c r="W293" s="1333"/>
      <c r="X293" s="1333"/>
      <c r="Y293" s="1333"/>
      <c r="Z293" s="1333"/>
      <c r="AA293" s="1333"/>
      <c r="AB293" s="1333"/>
      <c r="AC293" s="1333"/>
      <c r="AD293" s="1333"/>
      <c r="AE293" s="1333"/>
      <c r="AF293" s="1333"/>
      <c r="AG293" s="1333"/>
      <c r="AH293" s="1333"/>
      <c r="AI293" s="1333"/>
      <c r="AJ293" s="1333"/>
    </row>
    <row r="294" spans="1:36" x14ac:dyDescent="0.25">
      <c r="A294" s="1520" t="str">
        <f>IF(COUNTIF('04 - 95% CD'!D294:G294,"Y")&gt;0,"Y",IF(COUNTIF('04 - 95% CD'!D294:G294,"N"),"N",""))</f>
        <v>Y</v>
      </c>
      <c r="B294" s="125"/>
      <c r="C294" s="944"/>
      <c r="D294" s="411"/>
      <c r="E294" s="321"/>
      <c r="F294" s="559" t="str">
        <f>IF('C-Design&amp;Const'!$S294="","",'C-Design&amp;Const'!$S294)</f>
        <v>Y</v>
      </c>
      <c r="G294" s="485"/>
      <c r="H294" s="243" t="str">
        <f>CONCATENATE(IF(F294="N","PLACEHOLDER ROW - ",""),'C-Design&amp;Const'!Z294,IF(F294="N","",J294))</f>
        <v>Heating and A/C Floor Plans (Complete)</v>
      </c>
      <c r="I294" s="137"/>
      <c r="J294" s="609" t="str">
        <f>IF('C-Design&amp;Const'!AJ294="","",'C-Design&amp;Const'!AJ294)</f>
        <v>(Complete)</v>
      </c>
      <c r="K294" s="285" t="str">
        <f t="shared" si="26"/>
        <v>match</v>
      </c>
      <c r="L294" s="1410" t="str">
        <f t="shared" si="27"/>
        <v/>
      </c>
      <c r="M294" s="1333"/>
      <c r="N294" s="1333"/>
      <c r="O294" s="1333"/>
      <c r="P294" s="1333"/>
      <c r="Q294" s="1333"/>
      <c r="R294" s="1284"/>
      <c r="S294" s="1513"/>
      <c r="T294" s="1404"/>
      <c r="U294" s="1333"/>
      <c r="V294" s="1333"/>
      <c r="W294" s="1333"/>
      <c r="X294" s="1333"/>
      <c r="Y294" s="1333"/>
      <c r="Z294" s="1333"/>
      <c r="AA294" s="1333"/>
      <c r="AB294" s="1333"/>
      <c r="AC294" s="1333"/>
      <c r="AD294" s="1333"/>
      <c r="AE294" s="1333"/>
      <c r="AF294" s="1333"/>
      <c r="AG294" s="1333"/>
      <c r="AH294" s="1333"/>
      <c r="AI294" s="1333"/>
      <c r="AJ294" s="1333"/>
    </row>
    <row r="295" spans="1:36" x14ac:dyDescent="0.25">
      <c r="A295" s="1520" t="str">
        <f>IF(COUNTIF('04 - 95% CD'!D295:G295,"Y")&gt;0,"Y",IF(COUNTIF('04 - 95% CD'!D295:G295,"N"),"N",""))</f>
        <v>Y</v>
      </c>
      <c r="B295" s="125"/>
      <c r="C295" s="944"/>
      <c r="D295" s="411"/>
      <c r="E295" s="321"/>
      <c r="F295" s="559" t="str">
        <f>IF('C-Design&amp;Const'!$S295="","",'C-Design&amp;Const'!$S295)</f>
        <v>Y</v>
      </c>
      <c r="G295" s="485"/>
      <c r="H295" s="243" t="str">
        <f>CONCATENATE(IF(F295="N","PLACEHOLDER ROW - ",""),'C-Design&amp;Const'!Z295,IF(F295="N","",J295))</f>
        <v>Heating and Cooling Piping Isometrics/Flow Diagrams (Complete)</v>
      </c>
      <c r="I295" s="137"/>
      <c r="J295" s="609" t="str">
        <f>IF('C-Design&amp;Const'!AJ295="","",'C-Design&amp;Const'!AJ295)</f>
        <v>(Complete)</v>
      </c>
      <c r="K295" s="285" t="str">
        <f t="shared" si="26"/>
        <v>match</v>
      </c>
      <c r="L295" s="1410" t="str">
        <f t="shared" si="27"/>
        <v/>
      </c>
      <c r="M295" s="1333"/>
      <c r="N295" s="1333"/>
      <c r="O295" s="1333"/>
      <c r="P295" s="1333"/>
      <c r="Q295" s="1333"/>
      <c r="R295" s="1453"/>
      <c r="S295" s="1364"/>
      <c r="T295" s="1404"/>
      <c r="U295" s="1333"/>
      <c r="V295" s="1333"/>
      <c r="W295" s="1333"/>
      <c r="X295" s="1333"/>
      <c r="Y295" s="1333"/>
      <c r="Z295" s="1333"/>
      <c r="AA295" s="1333"/>
      <c r="AB295" s="1333"/>
      <c r="AC295" s="1333"/>
      <c r="AD295" s="1333"/>
      <c r="AE295" s="1333"/>
      <c r="AF295" s="1333"/>
      <c r="AG295" s="1333"/>
      <c r="AH295" s="1333"/>
      <c r="AI295" s="1333"/>
      <c r="AJ295" s="1333"/>
    </row>
    <row r="296" spans="1:36" x14ac:dyDescent="0.25">
      <c r="A296" s="1520" t="str">
        <f>IF(COUNTIF('04 - 95% CD'!D296:G296,"Y")&gt;0,"Y",IF(COUNTIF('04 - 95% CD'!D296:G296,"N"),"N",""))</f>
        <v>Y</v>
      </c>
      <c r="B296" s="125"/>
      <c r="C296" s="944"/>
      <c r="D296" s="411"/>
      <c r="E296" s="321"/>
      <c r="F296" s="559" t="str">
        <f>IF('C-Design&amp;Const'!$S296="","",'C-Design&amp;Const'!$S296)</f>
        <v>Y</v>
      </c>
      <c r="G296" s="485"/>
      <c r="H296" s="243" t="str">
        <f>CONCATENATE(IF(F296="N","PLACEHOLDER ROW - ",""),'C-Design&amp;Const'!Z296,IF(F296="N","",J296))</f>
        <v>Heating and A/C Large Scale Mechanical Room Plans (Complete)</v>
      </c>
      <c r="I296" s="137"/>
      <c r="J296" s="609" t="str">
        <f>IF('C-Design&amp;Const'!AJ296="","",'C-Design&amp;Const'!AJ296)</f>
        <v>(Complete)</v>
      </c>
      <c r="K296" s="285" t="str">
        <f t="shared" si="26"/>
        <v>match</v>
      </c>
      <c r="L296" s="1410" t="str">
        <f t="shared" si="27"/>
        <v/>
      </c>
      <c r="M296" s="1333"/>
      <c r="N296" s="1333"/>
      <c r="O296" s="1333"/>
      <c r="P296" s="1333"/>
      <c r="Q296" s="1333"/>
      <c r="R296" s="1453"/>
      <c r="S296" s="1364"/>
      <c r="T296" s="1404"/>
      <c r="U296" s="1333"/>
      <c r="V296" s="1333"/>
      <c r="W296" s="1333"/>
      <c r="X296" s="1333"/>
      <c r="Y296" s="1333"/>
      <c r="Z296" s="1333"/>
      <c r="AA296" s="1333"/>
      <c r="AB296" s="1333"/>
      <c r="AC296" s="1333"/>
      <c r="AD296" s="1333"/>
      <c r="AE296" s="1333"/>
      <c r="AF296" s="1333"/>
      <c r="AG296" s="1333"/>
      <c r="AH296" s="1333"/>
      <c r="AI296" s="1333"/>
      <c r="AJ296" s="1333"/>
    </row>
    <row r="297" spans="1:36" x14ac:dyDescent="0.25">
      <c r="A297" s="1520" t="str">
        <f>IF(COUNTIF('04 - 95% CD'!D297:G297,"Y")&gt;0,"Y",IF(COUNTIF('04 - 95% CD'!D297:G297,"N"),"N",""))</f>
        <v>Y</v>
      </c>
      <c r="B297" s="125"/>
      <c r="C297" s="944"/>
      <c r="D297" s="411"/>
      <c r="E297" s="321"/>
      <c r="F297" s="559" t="str">
        <f>IF('C-Design&amp;Const'!$S297="","",'C-Design&amp;Const'!$S297)</f>
        <v>Y</v>
      </c>
      <c r="G297" s="485"/>
      <c r="H297" s="243" t="str">
        <f>CONCATENATE(IF(F297="N","PLACEHOLDER ROW - ",""),'C-Design&amp;Const'!Z297,IF(F297="N","",J297))</f>
        <v>Heating and A/C Equipment Schedule (Complete)</v>
      </c>
      <c r="I297" s="137"/>
      <c r="J297" s="609" t="str">
        <f>IF('C-Design&amp;Const'!AJ297="","",'C-Design&amp;Const'!AJ297)</f>
        <v>(Complete)</v>
      </c>
      <c r="K297" s="285" t="str">
        <f t="shared" si="26"/>
        <v>match</v>
      </c>
      <c r="L297" s="1410" t="str">
        <f t="shared" si="27"/>
        <v/>
      </c>
      <c r="M297" s="1333"/>
      <c r="N297" s="1333"/>
      <c r="O297" s="1333"/>
      <c r="P297" s="1333"/>
      <c r="Q297" s="1333"/>
      <c r="R297" s="1453"/>
      <c r="S297" s="1364"/>
      <c r="T297" s="1404"/>
      <c r="U297" s="1333"/>
      <c r="V297" s="1333"/>
      <c r="W297" s="1333"/>
      <c r="X297" s="1333"/>
      <c r="Y297" s="1333"/>
      <c r="Z297" s="1333"/>
      <c r="AA297" s="1333"/>
      <c r="AB297" s="1333"/>
      <c r="AC297" s="1333"/>
      <c r="AD297" s="1333"/>
      <c r="AE297" s="1333"/>
      <c r="AF297" s="1333"/>
      <c r="AG297" s="1333"/>
      <c r="AH297" s="1333"/>
      <c r="AI297" s="1333"/>
      <c r="AJ297" s="1333"/>
    </row>
    <row r="298" spans="1:36" x14ac:dyDescent="0.25">
      <c r="A298" s="1520" t="str">
        <f>IF(COUNTIF('04 - 95% CD'!D298:G298,"Y")&gt;0,"Y",IF(COUNTIF('04 - 95% CD'!D298:G298,"N"),"N",""))</f>
        <v>Y</v>
      </c>
      <c r="B298" s="125"/>
      <c r="C298" s="944"/>
      <c r="D298" s="411"/>
      <c r="E298" s="321"/>
      <c r="F298" s="559" t="str">
        <f>IF('C-Design&amp;Const'!$S298="","",'C-Design&amp;Const'!$S298)</f>
        <v>Y</v>
      </c>
      <c r="G298" s="521"/>
      <c r="H298" s="1030" t="str">
        <f>CONCATENATE(IF(F298="N","PLACEHOLDER ROW - ",""),'C-Design&amp;Const'!Z298,IF(F298="N","",J298))</f>
        <v>Heating and A/C Details and Sections (Complete)</v>
      </c>
      <c r="I298" s="137"/>
      <c r="J298" s="609" t="str">
        <f>IF('C-Design&amp;Const'!AJ298="","",'C-Design&amp;Const'!AJ298)</f>
        <v>(Complete)</v>
      </c>
      <c r="K298" s="285" t="str">
        <f t="shared" si="26"/>
        <v>match</v>
      </c>
      <c r="L298" s="1410" t="str">
        <f t="shared" si="27"/>
        <v/>
      </c>
      <c r="M298" s="1333"/>
      <c r="N298" s="1333"/>
      <c r="O298" s="1333"/>
      <c r="P298" s="1333"/>
      <c r="Q298" s="1333"/>
      <c r="R298" s="1453"/>
      <c r="S298" s="1364"/>
      <c r="T298" s="1404"/>
      <c r="U298" s="1333"/>
      <c r="V298" s="1333"/>
      <c r="W298" s="1333"/>
      <c r="X298" s="1333"/>
      <c r="Y298" s="1333"/>
      <c r="Z298" s="1333"/>
      <c r="AA298" s="1333"/>
      <c r="AB298" s="1333"/>
      <c r="AC298" s="1333"/>
      <c r="AD298" s="1333"/>
      <c r="AE298" s="1333"/>
      <c r="AF298" s="1333"/>
      <c r="AG298" s="1333"/>
      <c r="AH298" s="1333"/>
      <c r="AI298" s="1333"/>
      <c r="AJ298" s="1333"/>
    </row>
    <row r="299" spans="1:36" x14ac:dyDescent="0.25">
      <c r="A299" s="1407" t="str">
        <f>IF(COUNTIF('04 - 95% CD'!D299:G299,"Y")&gt;0,"Y",IF(COUNTIF('04 - 95% CD'!D299:G299,"N"),"N",""))</f>
        <v>Y</v>
      </c>
      <c r="B299" s="125"/>
      <c r="C299" s="944"/>
      <c r="D299" s="411"/>
      <c r="E299" s="559" t="str">
        <f>IF('C-Design&amp;Const'!$S299="","",'C-Design&amp;Const'!$S299)</f>
        <v>Y</v>
      </c>
      <c r="F299" s="560"/>
      <c r="G299" s="558"/>
      <c r="H299" s="244" t="str">
        <f>CONCATENATE(IF(F299="N","PLACEHOLDER ROW - ",""),'C-Design&amp;Const'!Z299,IF(F299="N","",J299))</f>
        <v>Ventilation Drawings (Including Bid Alts.)</v>
      </c>
      <c r="I299" s="146"/>
      <c r="J299" s="609" t="str">
        <f>IF('C-Design&amp;Const'!AJ299="","",'C-Design&amp;Const'!AJ299)</f>
        <v xml:space="preserve"> (Including Bid Alts.)</v>
      </c>
      <c r="K299" s="285" t="str">
        <f t="shared" si="26"/>
        <v>match</v>
      </c>
      <c r="L299" s="1410" t="str">
        <f t="shared" si="27"/>
        <v/>
      </c>
      <c r="M299" s="1333"/>
      <c r="N299" s="1333"/>
      <c r="O299" s="1333"/>
      <c r="P299" s="1333"/>
      <c r="Q299" s="1333"/>
      <c r="R299" s="1453"/>
      <c r="S299" s="1364"/>
      <c r="T299" s="1404"/>
      <c r="U299" s="1333"/>
      <c r="V299" s="1333"/>
      <c r="W299" s="1333"/>
      <c r="X299" s="1333"/>
      <c r="Y299" s="1333"/>
      <c r="Z299" s="1333"/>
      <c r="AA299" s="1333"/>
      <c r="AB299" s="1333"/>
      <c r="AC299" s="1333"/>
      <c r="AD299" s="1333"/>
      <c r="AE299" s="1333"/>
      <c r="AF299" s="1333"/>
      <c r="AG299" s="1333"/>
      <c r="AH299" s="1333"/>
      <c r="AI299" s="1333"/>
      <c r="AJ299" s="1333"/>
    </row>
    <row r="300" spans="1:36" s="17" customFormat="1" x14ac:dyDescent="0.25">
      <c r="A300" s="1517" t="str">
        <f>IF(COUNTIF('04 - 95% CD'!D300:G300,"Y")&gt;0,"Y",IF(COUNTIF('04 - 95% CD'!D300:G300,"N"),"N",""))</f>
        <v>N</v>
      </c>
      <c r="B300" s="141"/>
      <c r="C300" s="944"/>
      <c r="D300" s="411"/>
      <c r="E300" s="321"/>
      <c r="F300" s="559" t="str">
        <f>IF('C-Design&amp;Const'!$S300="","",'C-Design&amp;Const'!$S300)</f>
        <v>N</v>
      </c>
      <c r="G300" s="491"/>
      <c r="H300" s="243" t="str">
        <f>CONCATENATE(IF(F300="N","PLACEHOLDER ROW - ",""),'C-Design&amp;Const'!Z300,IF(F300="N","",J300))</f>
        <v xml:space="preserve">PLACEHOLDER ROW - CUSTOM - Ventilation  </v>
      </c>
      <c r="I300" s="151"/>
      <c r="J300" s="609" t="str">
        <f>IF('C-Design&amp;Const'!AJ300="","",'C-Design&amp;Const'!AJ300)</f>
        <v>(Complete)</v>
      </c>
      <c r="K300" s="285" t="str">
        <f t="shared" si="26"/>
        <v>match</v>
      </c>
      <c r="L300" s="1410" t="str">
        <f t="shared" si="27"/>
        <v>&lt;---PM/Planner may hide PLACEHOLDER ROW</v>
      </c>
      <c r="M300" s="1333"/>
      <c r="N300" s="1333"/>
      <c r="O300" s="1333"/>
      <c r="P300" s="1333"/>
      <c r="Q300" s="1333"/>
      <c r="R300" s="1453"/>
      <c r="S300" s="1364"/>
      <c r="T300" s="1404"/>
      <c r="U300" s="1333"/>
      <c r="V300" s="1333"/>
      <c r="W300" s="1333"/>
      <c r="X300" s="1333"/>
      <c r="Y300" s="1333"/>
      <c r="Z300" s="1333"/>
      <c r="AA300" s="1333"/>
      <c r="AB300" s="1333"/>
      <c r="AC300" s="1333"/>
      <c r="AD300" s="1333"/>
      <c r="AE300" s="1333"/>
      <c r="AF300" s="1333"/>
      <c r="AG300" s="1333"/>
      <c r="AH300" s="1333"/>
      <c r="AI300" s="1333"/>
      <c r="AJ300" s="1333"/>
    </row>
    <row r="301" spans="1:36" s="17" customFormat="1" x14ac:dyDescent="0.25">
      <c r="A301" s="1517" t="str">
        <f>IF(COUNTIF('04 - 95% CD'!D301:G301,"Y")&gt;0,"Y",IF(COUNTIF('04 - 95% CD'!D301:G301,"N"),"N",""))</f>
        <v>N</v>
      </c>
      <c r="B301" s="141"/>
      <c r="C301" s="944"/>
      <c r="D301" s="411"/>
      <c r="E301" s="321"/>
      <c r="F301" s="559" t="str">
        <f>IF('C-Design&amp;Const'!$S301="","",'C-Design&amp;Const'!$S301)</f>
        <v>N</v>
      </c>
      <c r="G301" s="491"/>
      <c r="H301" s="243" t="str">
        <f>CONCATENATE(IF(F301="N","PLACEHOLDER ROW - ",""),'C-Design&amp;Const'!Z301,IF(F301="N","",J301))</f>
        <v xml:space="preserve">PLACEHOLDER ROW - CUSTOM - Ventilation  </v>
      </c>
      <c r="I301" s="151"/>
      <c r="J301" s="609" t="str">
        <f>IF('C-Design&amp;Const'!AJ301="","",'C-Design&amp;Const'!AJ301)</f>
        <v>(Complete)</v>
      </c>
      <c r="K301" s="285" t="str">
        <f t="shared" si="26"/>
        <v>match</v>
      </c>
      <c r="L301" s="1410" t="str">
        <f t="shared" si="27"/>
        <v>&lt;---PM/Planner may hide PLACEHOLDER ROW</v>
      </c>
      <c r="M301" s="1333"/>
      <c r="N301" s="1333"/>
      <c r="O301" s="1333"/>
      <c r="P301" s="1333"/>
      <c r="Q301" s="1333"/>
      <c r="R301" s="1453"/>
      <c r="S301" s="1364"/>
      <c r="T301" s="1404"/>
      <c r="U301" s="1333"/>
      <c r="V301" s="1333"/>
      <c r="W301" s="1333"/>
      <c r="X301" s="1333"/>
      <c r="Y301" s="1333"/>
      <c r="Z301" s="1333"/>
      <c r="AA301" s="1333"/>
      <c r="AB301" s="1333"/>
      <c r="AC301" s="1333"/>
      <c r="AD301" s="1333"/>
      <c r="AE301" s="1333"/>
      <c r="AF301" s="1333"/>
      <c r="AG301" s="1333"/>
      <c r="AH301" s="1333"/>
      <c r="AI301" s="1333"/>
      <c r="AJ301" s="1333"/>
    </row>
    <row r="302" spans="1:36" x14ac:dyDescent="0.25">
      <c r="A302" s="1520" t="str">
        <f>IF(COUNTIF('04 - 95% CD'!D302:G302,"Y")&gt;0,"Y",IF(COUNTIF('04 - 95% CD'!D302:G302,"N"),"N",""))</f>
        <v>Y</v>
      </c>
      <c r="B302" s="125"/>
      <c r="C302" s="944"/>
      <c r="D302" s="411"/>
      <c r="E302" s="321"/>
      <c r="F302" s="559" t="str">
        <f>IF('C-Design&amp;Const'!$S302="","",'C-Design&amp;Const'!$S302)</f>
        <v>Y</v>
      </c>
      <c r="G302" s="485"/>
      <c r="H302" s="243" t="str">
        <f>CONCATENATE(IF(F302="N","PLACEHOLDER ROW - ",""),'C-Design&amp;Const'!Z302,IF(F302="N","",J302))</f>
        <v>Ventilation Symbols, Abbreviations, and General Notes (Complete)</v>
      </c>
      <c r="I302" s="137"/>
      <c r="J302" s="609" t="str">
        <f>IF('C-Design&amp;Const'!AJ302="","",'C-Design&amp;Const'!AJ302)</f>
        <v>(Complete)</v>
      </c>
      <c r="K302" s="285" t="str">
        <f t="shared" si="26"/>
        <v>match</v>
      </c>
      <c r="L302" s="1410" t="str">
        <f t="shared" si="27"/>
        <v/>
      </c>
      <c r="M302" s="1333"/>
      <c r="N302" s="1333"/>
      <c r="O302" s="1333"/>
      <c r="P302" s="1333"/>
      <c r="Q302" s="1333"/>
      <c r="R302" s="1284"/>
      <c r="S302" s="1513"/>
      <c r="T302" s="1404"/>
      <c r="U302" s="1333"/>
      <c r="V302" s="1333"/>
      <c r="W302" s="1333"/>
      <c r="X302" s="1333"/>
      <c r="Y302" s="1333"/>
      <c r="Z302" s="1333"/>
      <c r="AA302" s="1333"/>
      <c r="AB302" s="1333"/>
      <c r="AC302" s="1333"/>
      <c r="AD302" s="1333"/>
      <c r="AE302" s="1333"/>
      <c r="AF302" s="1333"/>
      <c r="AG302" s="1333"/>
      <c r="AH302" s="1333"/>
      <c r="AI302" s="1333"/>
      <c r="AJ302" s="1333"/>
    </row>
    <row r="303" spans="1:36" s="17" customFormat="1" x14ac:dyDescent="0.25">
      <c r="A303" s="1517" t="str">
        <f>IF(COUNTIF('04 - 95% CD'!D303:G303,"Y")&gt;0,"Y",IF(COUNTIF('04 - 95% CD'!D303:G303,"N"),"N",""))</f>
        <v>Y</v>
      </c>
      <c r="B303" s="141"/>
      <c r="C303" s="944"/>
      <c r="D303" s="411"/>
      <c r="E303" s="321"/>
      <c r="F303" s="559" t="str">
        <f>IF('C-Design&amp;Const'!$S303="","",'C-Design&amp;Const'!$S303)</f>
        <v>Y</v>
      </c>
      <c r="G303" s="491"/>
      <c r="H303" s="469" t="str">
        <f>CONCATENATE(IF(F303="N","PLACEHOLDER ROW - ",""),'C-Design&amp;Const'!Z303,IF(F303="N","",J303))</f>
        <v>Ventilation Demolition(s) (Complete)</v>
      </c>
      <c r="I303" s="151"/>
      <c r="J303" s="609" t="str">
        <f>IF('C-Design&amp;Const'!AJ303="","",'C-Design&amp;Const'!AJ303)</f>
        <v>(Complete)</v>
      </c>
      <c r="K303" s="285" t="str">
        <f t="shared" si="26"/>
        <v>match</v>
      </c>
      <c r="L303" s="1410" t="str">
        <f t="shared" si="27"/>
        <v/>
      </c>
      <c r="M303" s="1333"/>
      <c r="N303" s="1333"/>
      <c r="O303" s="1333"/>
      <c r="P303" s="1333"/>
      <c r="Q303" s="1333"/>
      <c r="R303" s="1453"/>
      <c r="S303" s="1364"/>
      <c r="T303" s="1404"/>
      <c r="U303" s="1333"/>
      <c r="V303" s="1333"/>
      <c r="W303" s="1333"/>
      <c r="X303" s="1333"/>
      <c r="Y303" s="1333"/>
      <c r="Z303" s="1333"/>
      <c r="AA303" s="1333"/>
      <c r="AB303" s="1333"/>
      <c r="AC303" s="1333"/>
      <c r="AD303" s="1333"/>
      <c r="AE303" s="1333"/>
      <c r="AF303" s="1333"/>
      <c r="AG303" s="1333"/>
      <c r="AH303" s="1333"/>
      <c r="AI303" s="1333"/>
      <c r="AJ303" s="1333"/>
    </row>
    <row r="304" spans="1:36" x14ac:dyDescent="0.25">
      <c r="A304" s="1520" t="str">
        <f>IF(COUNTIF('04 - 95% CD'!D304:G304,"Y")&gt;0,"Y",IF(COUNTIF('04 - 95% CD'!D304:G304,"N"),"N",""))</f>
        <v>Y</v>
      </c>
      <c r="B304" s="125"/>
      <c r="C304" s="944"/>
      <c r="D304" s="411"/>
      <c r="E304" s="321"/>
      <c r="F304" s="559" t="str">
        <f>IF('C-Design&amp;Const'!$S304="","",'C-Design&amp;Const'!$S304)</f>
        <v>Y</v>
      </c>
      <c r="G304" s="485"/>
      <c r="H304" s="243" t="str">
        <f>CONCATENATE(IF(F304="N","PLACEHOLDER ROW - ",""),'C-Design&amp;Const'!Z304,IF(F304="N","",J304))</f>
        <v>Ventilation Floor Plans (Complete)</v>
      </c>
      <c r="I304" s="137"/>
      <c r="J304" s="609" t="str">
        <f>IF('C-Design&amp;Const'!AJ304="","",'C-Design&amp;Const'!AJ304)</f>
        <v>(Complete)</v>
      </c>
      <c r="K304" s="285" t="str">
        <f t="shared" si="26"/>
        <v>match</v>
      </c>
      <c r="L304" s="1410" t="str">
        <f t="shared" si="27"/>
        <v/>
      </c>
      <c r="M304" s="1333"/>
      <c r="N304" s="1333"/>
      <c r="O304" s="1333"/>
      <c r="P304" s="1333"/>
      <c r="Q304" s="1333"/>
      <c r="R304" s="1453"/>
      <c r="S304" s="1364"/>
      <c r="T304" s="1404"/>
      <c r="U304" s="1333"/>
      <c r="V304" s="1333"/>
      <c r="W304" s="1333"/>
      <c r="X304" s="1333"/>
      <c r="Y304" s="1333"/>
      <c r="Z304" s="1333"/>
      <c r="AA304" s="1333"/>
      <c r="AB304" s="1333"/>
      <c r="AC304" s="1333"/>
      <c r="AD304" s="1333"/>
      <c r="AE304" s="1333"/>
      <c r="AF304" s="1333"/>
      <c r="AG304" s="1333"/>
      <c r="AH304" s="1333"/>
      <c r="AI304" s="1333"/>
      <c r="AJ304" s="1333"/>
    </row>
    <row r="305" spans="1:49" x14ac:dyDescent="0.25">
      <c r="A305" s="1520" t="str">
        <f>IF(COUNTIF('04 - 95% CD'!D305:G305,"Y")&gt;0,"Y",IF(COUNTIF('04 - 95% CD'!D305:G305,"N"),"N",""))</f>
        <v>Y</v>
      </c>
      <c r="B305" s="125"/>
      <c r="C305" s="944"/>
      <c r="D305" s="411"/>
      <c r="E305" s="321"/>
      <c r="F305" s="559" t="str">
        <f>IF('C-Design&amp;Const'!$S305="","",'C-Design&amp;Const'!$S305)</f>
        <v>Y</v>
      </c>
      <c r="G305" s="485"/>
      <c r="H305" s="243" t="str">
        <f>CONCATENATE(IF(F305="N","PLACEHOLDER ROW - ",""),'C-Design&amp;Const'!Z305,IF(F305="N","",J305))</f>
        <v>Ventilation Air Flow Diagrams (Complete)</v>
      </c>
      <c r="I305" s="137"/>
      <c r="J305" s="609" t="str">
        <f>IF('C-Design&amp;Const'!AJ305="","",'C-Design&amp;Const'!AJ305)</f>
        <v>(Complete)</v>
      </c>
      <c r="K305" s="285" t="str">
        <f t="shared" si="26"/>
        <v>match</v>
      </c>
      <c r="L305" s="1410" t="str">
        <f t="shared" si="27"/>
        <v/>
      </c>
      <c r="M305" s="1333"/>
      <c r="N305" s="1333"/>
      <c r="O305" s="1333"/>
      <c r="P305" s="1333"/>
      <c r="Q305" s="1333"/>
      <c r="R305" s="1453"/>
      <c r="S305" s="1364"/>
      <c r="T305" s="1404"/>
      <c r="U305" s="1333"/>
      <c r="V305" s="1333"/>
      <c r="W305" s="1333"/>
      <c r="X305" s="1333"/>
      <c r="Y305" s="1333"/>
      <c r="Z305" s="1333"/>
      <c r="AA305" s="1333"/>
      <c r="AB305" s="1333"/>
      <c r="AC305" s="1333"/>
      <c r="AD305" s="1333"/>
      <c r="AE305" s="1333"/>
      <c r="AF305" s="1333"/>
      <c r="AG305" s="1333"/>
      <c r="AH305" s="1333"/>
      <c r="AI305" s="1333"/>
      <c r="AJ305" s="1333"/>
    </row>
    <row r="306" spans="1:49" x14ac:dyDescent="0.25">
      <c r="A306" s="1520" t="str">
        <f>IF(COUNTIF('04 - 95% CD'!D306:G306,"Y")&gt;0,"Y",IF(COUNTIF('04 - 95% CD'!D306:G306,"N"),"N",""))</f>
        <v>Y</v>
      </c>
      <c r="B306" s="125"/>
      <c r="C306" s="944"/>
      <c r="D306" s="411"/>
      <c r="E306" s="321"/>
      <c r="F306" s="559" t="str">
        <f>IF('C-Design&amp;Const'!$S306="","",'C-Design&amp;Const'!$S306)</f>
        <v>Y</v>
      </c>
      <c r="G306" s="485"/>
      <c r="H306" s="243" t="str">
        <f>CONCATENATE(IF(F306="N","PLACEHOLDER ROW - ",""),'C-Design&amp;Const'!Z306,IF(F306="N","",J306))</f>
        <v>Ventilation Large Scale Mechanical Room Plans (Complete)</v>
      </c>
      <c r="I306" s="137"/>
      <c r="J306" s="609" t="str">
        <f>IF('C-Design&amp;Const'!AJ306="","",'C-Design&amp;Const'!AJ306)</f>
        <v>(Complete)</v>
      </c>
      <c r="K306" s="285" t="str">
        <f t="shared" si="26"/>
        <v>match</v>
      </c>
      <c r="L306" s="1410" t="str">
        <f t="shared" si="27"/>
        <v/>
      </c>
      <c r="M306" s="1333"/>
      <c r="N306" s="1333"/>
      <c r="O306" s="1333"/>
      <c r="P306" s="1333"/>
      <c r="Q306" s="1333"/>
      <c r="R306" s="1453"/>
      <c r="S306" s="1364"/>
      <c r="T306" s="1404"/>
      <c r="U306" s="1333"/>
      <c r="V306" s="1333"/>
      <c r="W306" s="1333"/>
      <c r="X306" s="1333"/>
      <c r="Y306" s="1333"/>
      <c r="Z306" s="1333"/>
      <c r="AA306" s="1333"/>
      <c r="AB306" s="1333"/>
      <c r="AC306" s="1333"/>
      <c r="AD306" s="1333"/>
      <c r="AE306" s="1333"/>
      <c r="AF306" s="1333"/>
      <c r="AG306" s="1333"/>
      <c r="AH306" s="1333"/>
      <c r="AI306" s="1333"/>
      <c r="AJ306" s="1333"/>
    </row>
    <row r="307" spans="1:49" x14ac:dyDescent="0.25">
      <c r="A307" s="1520" t="str">
        <f>IF(COUNTIF('04 - 95% CD'!D307:G307,"Y")&gt;0,"Y",IF(COUNTIF('04 - 95% CD'!D307:G307,"N"),"N",""))</f>
        <v>Y</v>
      </c>
      <c r="B307" s="125"/>
      <c r="C307" s="944"/>
      <c r="D307" s="411"/>
      <c r="E307" s="321"/>
      <c r="F307" s="559" t="str">
        <f>IF('C-Design&amp;Const'!$S307="","",'C-Design&amp;Const'!$S307)</f>
        <v>Y</v>
      </c>
      <c r="G307" s="485"/>
      <c r="H307" s="243" t="str">
        <f>CONCATENATE(IF(F307="N","PLACEHOLDER ROW - ",""),'C-Design&amp;Const'!Z307,IF(F307="N","",J307))</f>
        <v>Ventilation Details and Sections (Complete)</v>
      </c>
      <c r="I307" s="137"/>
      <c r="J307" s="609" t="str">
        <f>IF('C-Design&amp;Const'!AJ307="","",'C-Design&amp;Const'!AJ307)</f>
        <v>(Complete)</v>
      </c>
      <c r="K307" s="285" t="str">
        <f t="shared" si="26"/>
        <v>match</v>
      </c>
      <c r="L307" s="1410" t="str">
        <f t="shared" si="27"/>
        <v/>
      </c>
      <c r="M307" s="1333"/>
      <c r="N307" s="1333"/>
      <c r="O307" s="1333"/>
      <c r="P307" s="1333"/>
      <c r="Q307" s="1333"/>
      <c r="R307" s="1453"/>
      <c r="S307" s="1364"/>
      <c r="T307" s="1404"/>
      <c r="U307" s="1333"/>
      <c r="V307" s="1333"/>
      <c r="W307" s="1333"/>
      <c r="X307" s="1333"/>
      <c r="Y307" s="1333"/>
      <c r="Z307" s="1333"/>
      <c r="AA307" s="1333"/>
      <c r="AB307" s="1333"/>
      <c r="AC307" s="1333"/>
      <c r="AD307" s="1333"/>
      <c r="AE307" s="1333"/>
      <c r="AF307" s="1333"/>
      <c r="AG307" s="1333"/>
      <c r="AH307" s="1333"/>
      <c r="AI307" s="1333"/>
      <c r="AJ307" s="1333"/>
    </row>
    <row r="308" spans="1:49" x14ac:dyDescent="0.25">
      <c r="A308" s="1520" t="str">
        <f>IF(COUNTIF('04 - 95% CD'!D308:G308,"Y")&gt;0,"Y",IF(COUNTIF('04 - 95% CD'!D308:G308,"N"),"N",""))</f>
        <v>Y</v>
      </c>
      <c r="B308" s="125"/>
      <c r="C308" s="944"/>
      <c r="D308" s="411"/>
      <c r="E308" s="321"/>
      <c r="F308" s="559" t="str">
        <f>IF('C-Design&amp;Const'!$S308="","",'C-Design&amp;Const'!$S308)</f>
        <v>Y</v>
      </c>
      <c r="G308" s="485"/>
      <c r="H308" s="243" t="str">
        <f>CONCATENATE(IF(F308="N","PLACEHOLDER ROW - ",""),'C-Design&amp;Const'!Z308,IF(F308="N","",J308))</f>
        <v>Ventilation Equipment Schedule (Complete)</v>
      </c>
      <c r="I308" s="137"/>
      <c r="J308" s="609" t="str">
        <f>IF('C-Design&amp;Const'!AJ308="","",'C-Design&amp;Const'!AJ308)</f>
        <v>(Complete)</v>
      </c>
      <c r="K308" s="285" t="str">
        <f t="shared" si="26"/>
        <v>match</v>
      </c>
      <c r="L308" s="1410" t="str">
        <f t="shared" si="27"/>
        <v/>
      </c>
      <c r="M308" s="1333"/>
      <c r="N308" s="1333"/>
      <c r="O308" s="1333"/>
      <c r="P308" s="1333"/>
      <c r="Q308" s="1333"/>
      <c r="R308" s="1453"/>
      <c r="S308" s="1364"/>
      <c r="T308" s="1404"/>
      <c r="U308" s="1333"/>
      <c r="V308" s="1333"/>
      <c r="W308" s="1333"/>
      <c r="X308" s="1333"/>
      <c r="Y308" s="1333"/>
      <c r="Z308" s="1333"/>
      <c r="AA308" s="1333"/>
      <c r="AB308" s="1333"/>
      <c r="AC308" s="1333"/>
      <c r="AD308" s="1333"/>
      <c r="AE308" s="1333"/>
      <c r="AF308" s="1333"/>
      <c r="AG308" s="1333"/>
      <c r="AH308" s="1333"/>
      <c r="AI308" s="1333"/>
      <c r="AJ308" s="1333"/>
    </row>
    <row r="309" spans="1:49" s="542" customFormat="1" x14ac:dyDescent="0.25">
      <c r="A309" s="1407" t="str">
        <f>IF(COUNTIF('04 - 95% CD'!D309:G309,"Y")&gt;0,"Y",IF(COUNTIF('04 - 95% CD'!D309:G309,"N"),"N",""))</f>
        <v>Y</v>
      </c>
      <c r="B309" s="125"/>
      <c r="C309" s="944"/>
      <c r="D309" s="411"/>
      <c r="E309" s="559" t="str">
        <f>IF('C-Design&amp;Const'!$S309="","",'C-Design&amp;Const'!$S309)</f>
        <v>Y</v>
      </c>
      <c r="F309" s="478"/>
      <c r="G309" s="485"/>
      <c r="H309" s="244" t="str">
        <f>CONCATENATE(IF(F309="N","PLACEHOLDER ROW - ",""),'C-Design&amp;Const'!Z309,IF(F309="N","",J309))</f>
        <v>Temperature Control Drawings (Including Bid Alts.)</v>
      </c>
      <c r="I309" s="146"/>
      <c r="J309" s="609" t="str">
        <f>IF('C-Design&amp;Const'!AJ309="","",'C-Design&amp;Const'!AJ309)</f>
        <v xml:space="preserve"> (Including Bid Alts.)</v>
      </c>
      <c r="K309" s="285" t="str">
        <f t="shared" ref="K309:K315" si="32">IF((COUNTIF(D309:F309,"Y")=COUNTIF(A309,"Y")),"match","no 95% match")</f>
        <v>match</v>
      </c>
      <c r="L309" s="1410" t="str">
        <f t="shared" ref="L309:L315" si="33">CONCATENATE(IF(ISNUMBER(SEARCH("Placeholder",H309))=TRUE,"&lt;---PM/Planner may hide PLACEHOLDER ROW",""))</f>
        <v/>
      </c>
      <c r="M309" s="1333"/>
      <c r="N309" s="1333"/>
      <c r="O309" s="1333"/>
      <c r="P309" s="1333"/>
      <c r="Q309" s="1333"/>
      <c r="R309" s="1453"/>
      <c r="S309" s="1364"/>
      <c r="T309" s="1404"/>
      <c r="U309" s="1333"/>
      <c r="V309" s="1333"/>
      <c r="W309" s="1333"/>
      <c r="X309" s="1333"/>
      <c r="Y309" s="1333"/>
      <c r="Z309" s="1333"/>
      <c r="AA309" s="1333"/>
      <c r="AB309" s="1333"/>
      <c r="AC309" s="1333"/>
      <c r="AD309" s="1333"/>
      <c r="AE309" s="1333"/>
      <c r="AF309" s="1333"/>
      <c r="AG309" s="1333"/>
      <c r="AH309" s="1333"/>
      <c r="AI309" s="1333"/>
      <c r="AJ309" s="1333"/>
      <c r="AK309" s="17"/>
      <c r="AL309" s="17"/>
      <c r="AM309" s="17"/>
      <c r="AN309" s="17"/>
      <c r="AO309" s="17"/>
      <c r="AP309" s="17"/>
      <c r="AQ309" s="17"/>
      <c r="AR309" s="17"/>
      <c r="AS309" s="17"/>
      <c r="AT309" s="17"/>
      <c r="AU309" s="17"/>
      <c r="AV309" s="17"/>
      <c r="AW309" s="17"/>
    </row>
    <row r="310" spans="1:49" s="17" customFormat="1" x14ac:dyDescent="0.25">
      <c r="A310" s="1517" t="str">
        <f>IF(COUNTIF('04 - 95% CD'!D310:G310,"Y")&gt;0,"Y",IF(COUNTIF('04 - 95% CD'!D310:G310,"N"),"N",""))</f>
        <v>N</v>
      </c>
      <c r="B310" s="141"/>
      <c r="C310" s="944"/>
      <c r="D310" s="411"/>
      <c r="E310" s="321"/>
      <c r="F310" s="559" t="str">
        <f>IF('C-Design&amp;Const'!$S310="","",'C-Design&amp;Const'!$S310)</f>
        <v>N</v>
      </c>
      <c r="G310" s="491"/>
      <c r="H310" s="243" t="str">
        <f>CONCATENATE(IF(F310="N","PLACEHOLDER ROW - ",""),'C-Design&amp;Const'!Z310,IF(F310="N","",J310))</f>
        <v>PLACEHOLDER ROW - CUSTOM - Temperature Control</v>
      </c>
      <c r="I310" s="151"/>
      <c r="J310" s="609" t="str">
        <f>IF('C-Design&amp;Const'!AJ310="","",'C-Design&amp;Const'!AJ310)</f>
        <v>(Complete)</v>
      </c>
      <c r="K310" s="285" t="str">
        <f t="shared" si="32"/>
        <v>match</v>
      </c>
      <c r="L310" s="1410" t="str">
        <f t="shared" si="33"/>
        <v>&lt;---PM/Planner may hide PLACEHOLDER ROW</v>
      </c>
      <c r="M310" s="1333"/>
      <c r="N310" s="1333"/>
      <c r="O310" s="1333"/>
      <c r="P310" s="1333"/>
      <c r="Q310" s="1333"/>
      <c r="R310" s="1453"/>
      <c r="S310" s="1364"/>
      <c r="T310" s="1404"/>
      <c r="U310" s="1333"/>
      <c r="V310" s="1333"/>
      <c r="W310" s="1333"/>
      <c r="X310" s="1333"/>
      <c r="Y310" s="1333"/>
      <c r="Z310" s="1333"/>
      <c r="AA310" s="1333"/>
      <c r="AB310" s="1333"/>
      <c r="AC310" s="1333"/>
      <c r="AD310" s="1333"/>
      <c r="AE310" s="1333"/>
      <c r="AF310" s="1333"/>
      <c r="AG310" s="1333"/>
      <c r="AH310" s="1333"/>
      <c r="AI310" s="1333"/>
      <c r="AJ310" s="1333"/>
    </row>
    <row r="311" spans="1:49" s="17" customFormat="1" x14ac:dyDescent="0.25">
      <c r="A311" s="1517" t="str">
        <f>IF(COUNTIF('04 - 95% CD'!D311:G311,"Y")&gt;0,"Y",IF(COUNTIF('04 - 95% CD'!D311:G311,"N"),"N",""))</f>
        <v>N</v>
      </c>
      <c r="B311" s="141"/>
      <c r="C311" s="944"/>
      <c r="D311" s="411"/>
      <c r="E311" s="321"/>
      <c r="F311" s="559" t="str">
        <f>IF('C-Design&amp;Const'!$S311="","",'C-Design&amp;Const'!$S311)</f>
        <v>N</v>
      </c>
      <c r="G311" s="491"/>
      <c r="H311" s="243" t="str">
        <f>CONCATENATE(IF(F311="N","PLACEHOLDER ROW - ",""),'C-Design&amp;Const'!Z311,IF(F311="N","",J311))</f>
        <v>PLACEHOLDER ROW - CUSTOM - Temperature Control</v>
      </c>
      <c r="I311" s="151"/>
      <c r="J311" s="609" t="str">
        <f>IF('C-Design&amp;Const'!AJ311="","",'C-Design&amp;Const'!AJ311)</f>
        <v>(Complete)</v>
      </c>
      <c r="K311" s="285" t="str">
        <f t="shared" si="32"/>
        <v>match</v>
      </c>
      <c r="L311" s="1410" t="str">
        <f t="shared" si="33"/>
        <v>&lt;---PM/Planner may hide PLACEHOLDER ROW</v>
      </c>
      <c r="M311" s="1333"/>
      <c r="N311" s="1333"/>
      <c r="O311" s="1333"/>
      <c r="P311" s="1333"/>
      <c r="Q311" s="1333"/>
      <c r="R311" s="1453"/>
      <c r="S311" s="1364"/>
      <c r="T311" s="1404"/>
      <c r="U311" s="1333"/>
      <c r="V311" s="1333"/>
      <c r="W311" s="1333"/>
      <c r="X311" s="1333"/>
      <c r="Y311" s="1333"/>
      <c r="Z311" s="1333"/>
      <c r="AA311" s="1333"/>
      <c r="AB311" s="1333"/>
      <c r="AC311" s="1333"/>
      <c r="AD311" s="1333"/>
      <c r="AE311" s="1333"/>
      <c r="AF311" s="1333"/>
      <c r="AG311" s="1333"/>
      <c r="AH311" s="1333"/>
      <c r="AI311" s="1333"/>
      <c r="AJ311" s="1333"/>
    </row>
    <row r="312" spans="1:49" s="542" customFormat="1" x14ac:dyDescent="0.25">
      <c r="A312" s="1520" t="str">
        <f>IF(COUNTIF('04 - 95% CD'!D312:G312,"Y")&gt;0,"Y",IF(COUNTIF('04 - 95% CD'!D312:G312,"N"),"N",""))</f>
        <v>Y</v>
      </c>
      <c r="B312" s="125"/>
      <c r="C312" s="944"/>
      <c r="D312" s="411"/>
      <c r="E312" s="321"/>
      <c r="F312" s="559" t="str">
        <f>IF('C-Design&amp;Const'!$S312="","",'C-Design&amp;Const'!$S312)</f>
        <v>Y</v>
      </c>
      <c r="G312" s="485"/>
      <c r="H312" s="243" t="str">
        <f>CONCATENATE(IF(F312="N","PLACEHOLDER ROW - ",""),'C-Design&amp;Const'!Z312,IF(F312="N","",J312))</f>
        <v>Temperature Control Symbols, Abbreviations, and General Notes (Complete)</v>
      </c>
      <c r="I312" s="137"/>
      <c r="J312" s="609" t="str">
        <f>IF('C-Design&amp;Const'!AJ312="","",'C-Design&amp;Const'!AJ312)</f>
        <v>(Complete)</v>
      </c>
      <c r="K312" s="285" t="str">
        <f t="shared" si="32"/>
        <v>match</v>
      </c>
      <c r="L312" s="1410" t="str">
        <f t="shared" si="33"/>
        <v/>
      </c>
      <c r="M312" s="1333"/>
      <c r="N312" s="1333"/>
      <c r="O312" s="1333"/>
      <c r="P312" s="1333"/>
      <c r="Q312" s="1333"/>
      <c r="R312" s="1453"/>
      <c r="S312" s="1364"/>
      <c r="T312" s="1404"/>
      <c r="U312" s="1333"/>
      <c r="V312" s="1333"/>
      <c r="W312" s="1333"/>
      <c r="X312" s="1333"/>
      <c r="Y312" s="1333"/>
      <c r="Z312" s="1333"/>
      <c r="AA312" s="1333"/>
      <c r="AB312" s="1333"/>
      <c r="AC312" s="1333"/>
      <c r="AD312" s="1333"/>
      <c r="AE312" s="1333"/>
      <c r="AF312" s="1333"/>
      <c r="AG312" s="1333"/>
      <c r="AH312" s="1333"/>
      <c r="AI312" s="1333"/>
      <c r="AJ312" s="1333"/>
      <c r="AK312" s="17"/>
      <c r="AL312" s="17"/>
      <c r="AM312" s="17"/>
      <c r="AN312" s="17"/>
      <c r="AO312" s="17"/>
      <c r="AP312" s="17"/>
      <c r="AQ312" s="17"/>
      <c r="AR312" s="17"/>
      <c r="AS312" s="17"/>
      <c r="AT312" s="17"/>
      <c r="AU312" s="17"/>
      <c r="AV312" s="17"/>
      <c r="AW312" s="17"/>
    </row>
    <row r="313" spans="1:49" s="17" customFormat="1" x14ac:dyDescent="0.25">
      <c r="A313" s="1517" t="str">
        <f>IF(COUNTIF('04 - 95% CD'!D313:G313,"Y")&gt;0,"Y",IF(COUNTIF('04 - 95% CD'!D313:G313,"N"),"N",""))</f>
        <v>Y</v>
      </c>
      <c r="B313" s="141"/>
      <c r="C313" s="944"/>
      <c r="D313" s="411"/>
      <c r="E313" s="321"/>
      <c r="F313" s="559" t="str">
        <f>IF('C-Design&amp;Const'!$S313="","",'C-Design&amp;Const'!$S313)</f>
        <v>Y</v>
      </c>
      <c r="G313" s="491"/>
      <c r="H313" s="469" t="str">
        <f>CONCATENATE(IF(F313="N","PLACEHOLDER ROW - ",""),'C-Design&amp;Const'!Z313,IF(F313="N","",J313))</f>
        <v>Temperature Control Demolition(s) (Complete)</v>
      </c>
      <c r="I313" s="151"/>
      <c r="J313" s="609" t="str">
        <f>IF('C-Design&amp;Const'!AJ313="","",'C-Design&amp;Const'!AJ313)</f>
        <v>(Complete)</v>
      </c>
      <c r="K313" s="285" t="str">
        <f t="shared" si="32"/>
        <v>match</v>
      </c>
      <c r="L313" s="1410" t="str">
        <f t="shared" si="33"/>
        <v/>
      </c>
      <c r="M313" s="1333"/>
      <c r="N313" s="1333"/>
      <c r="O313" s="1333"/>
      <c r="P313" s="1333"/>
      <c r="Q313" s="1333"/>
      <c r="R313" s="1453"/>
      <c r="S313" s="1364"/>
      <c r="T313" s="1404"/>
      <c r="U313" s="1333"/>
      <c r="V313" s="1333"/>
      <c r="W313" s="1333"/>
      <c r="X313" s="1333"/>
      <c r="Y313" s="1333"/>
      <c r="Z313" s="1333"/>
      <c r="AA313" s="1333"/>
      <c r="AB313" s="1333"/>
      <c r="AC313" s="1333"/>
      <c r="AD313" s="1333"/>
      <c r="AE313" s="1333"/>
      <c r="AF313" s="1333"/>
      <c r="AG313" s="1333"/>
      <c r="AH313" s="1333"/>
      <c r="AI313" s="1333"/>
      <c r="AJ313" s="1333"/>
    </row>
    <row r="314" spans="1:49" s="542" customFormat="1" x14ac:dyDescent="0.25">
      <c r="A314" s="1520" t="str">
        <f>IF(COUNTIF('04 - 95% CD'!D314:G314,"Y")&gt;0,"Y",IF(COUNTIF('04 - 95% CD'!D314:G314,"N"),"N",""))</f>
        <v>Y</v>
      </c>
      <c r="B314" s="125"/>
      <c r="C314" s="944"/>
      <c r="D314" s="411"/>
      <c r="E314" s="321"/>
      <c r="F314" s="559" t="str">
        <f>IF('C-Design&amp;Const'!$S314="","",'C-Design&amp;Const'!$S314)</f>
        <v>Y</v>
      </c>
      <c r="G314" s="485"/>
      <c r="H314" s="243" t="str">
        <f>CONCATENATE(IF(F314="N","PLACEHOLDER ROW - ",""),'C-Design&amp;Const'!Z314,IF(F314="N","",J314))</f>
        <v>Temperature Control Floor Plans (Complete)</v>
      </c>
      <c r="I314" s="137"/>
      <c r="J314" s="609" t="str">
        <f>IF('C-Design&amp;Const'!AJ314="","",'C-Design&amp;Const'!AJ314)</f>
        <v>(Complete)</v>
      </c>
      <c r="K314" s="285" t="str">
        <f t="shared" si="32"/>
        <v>match</v>
      </c>
      <c r="L314" s="1410" t="str">
        <f t="shared" si="33"/>
        <v/>
      </c>
      <c r="M314" s="1333"/>
      <c r="N314" s="1333"/>
      <c r="O314" s="1333"/>
      <c r="P314" s="1333"/>
      <c r="Q314" s="1333"/>
      <c r="R314" s="1453"/>
      <c r="S314" s="1364"/>
      <c r="T314" s="1404"/>
      <c r="U314" s="1333"/>
      <c r="V314" s="1333"/>
      <c r="W314" s="1333"/>
      <c r="X314" s="1333"/>
      <c r="Y314" s="1333"/>
      <c r="Z314" s="1333"/>
      <c r="AA314" s="1333"/>
      <c r="AB314" s="1333"/>
      <c r="AC314" s="1333"/>
      <c r="AD314" s="1333"/>
      <c r="AE314" s="1333"/>
      <c r="AF314" s="1333"/>
      <c r="AG314" s="1333"/>
      <c r="AH314" s="1333"/>
      <c r="AI314" s="1333"/>
      <c r="AJ314" s="1333"/>
      <c r="AK314" s="17"/>
      <c r="AL314" s="17"/>
      <c r="AM314" s="17"/>
      <c r="AN314" s="17"/>
      <c r="AO314" s="17"/>
      <c r="AP314" s="17"/>
      <c r="AQ314" s="17"/>
      <c r="AR314" s="17"/>
      <c r="AS314" s="17"/>
      <c r="AT314" s="17"/>
      <c r="AU314" s="17"/>
      <c r="AV314" s="17"/>
      <c r="AW314" s="17"/>
    </row>
    <row r="315" spans="1:49" s="542" customFormat="1" x14ac:dyDescent="0.25">
      <c r="A315" s="1520" t="str">
        <f>IF(COUNTIF('04 - 95% CD'!D315:G315,"Y")&gt;0,"Y",IF(COUNTIF('04 - 95% CD'!D315:G315,"N"),"N",""))</f>
        <v>Y</v>
      </c>
      <c r="B315" s="125"/>
      <c r="C315" s="944"/>
      <c r="D315" s="411"/>
      <c r="E315" s="321"/>
      <c r="F315" s="559" t="str">
        <f>IF('C-Design&amp;Const'!$S315="","",'C-Design&amp;Const'!$S315)</f>
        <v>Y</v>
      </c>
      <c r="G315" s="485"/>
      <c r="H315" s="243" t="str">
        <f>CONCATENATE(IF(F315="N","PLACEHOLDER ROW - ",""),'C-Design&amp;Const'!Z315,IF(F315="N","",J315))</f>
        <v>Temperature Control Sequences, Schedules, and Diagrams(Complete)</v>
      </c>
      <c r="I315" s="137"/>
      <c r="J315" s="609" t="str">
        <f>IF('C-Design&amp;Const'!AJ315="","",'C-Design&amp;Const'!AJ315)</f>
        <v>(Complete)</v>
      </c>
      <c r="K315" s="285" t="str">
        <f t="shared" si="32"/>
        <v>match</v>
      </c>
      <c r="L315" s="1410" t="str">
        <f t="shared" si="33"/>
        <v/>
      </c>
      <c r="M315" s="1333"/>
      <c r="N315" s="1333"/>
      <c r="O315" s="1333"/>
      <c r="P315" s="1333"/>
      <c r="Q315" s="1333"/>
      <c r="R315" s="1453"/>
      <c r="S315" s="1364"/>
      <c r="T315" s="1404"/>
      <c r="U315" s="1333"/>
      <c r="V315" s="1333"/>
      <c r="W315" s="1333"/>
      <c r="X315" s="1333"/>
      <c r="Y315" s="1333"/>
      <c r="Z315" s="1333"/>
      <c r="AA315" s="1333"/>
      <c r="AB315" s="1333"/>
      <c r="AC315" s="1333"/>
      <c r="AD315" s="1333"/>
      <c r="AE315" s="1333"/>
      <c r="AF315" s="1333"/>
      <c r="AG315" s="1333"/>
      <c r="AH315" s="1333"/>
      <c r="AI315" s="1333"/>
      <c r="AJ315" s="1333"/>
      <c r="AK315" s="17"/>
      <c r="AL315" s="17"/>
      <c r="AM315" s="17"/>
      <c r="AN315" s="17"/>
      <c r="AO315" s="17"/>
      <c r="AP315" s="17"/>
      <c r="AQ315" s="17"/>
      <c r="AR315" s="17"/>
      <c r="AS315" s="17"/>
      <c r="AT315" s="17"/>
      <c r="AU315" s="17"/>
      <c r="AV315" s="17"/>
      <c r="AW315" s="17"/>
    </row>
    <row r="316" spans="1:49" x14ac:dyDescent="0.25">
      <c r="A316" s="1407" t="str">
        <f>IF(COUNTIF('04 - 95% CD'!D316:G316,"Y")&gt;0,"Y",IF(COUNTIF('04 - 95% CD'!D316:G316,"N"),"N",""))</f>
        <v>Y</v>
      </c>
      <c r="B316" s="125"/>
      <c r="C316" s="944"/>
      <c r="D316" s="411"/>
      <c r="E316" s="559" t="str">
        <f>IF('C-Design&amp;Const'!$S316="","",'C-Design&amp;Const'!$S316)</f>
        <v>Y</v>
      </c>
      <c r="F316" s="478"/>
      <c r="G316" s="485"/>
      <c r="H316" s="244" t="str">
        <f>CONCATENATE(IF(F316="N","PLACEHOLDER ROW - ",""),'C-Design&amp;Const'!Z316,IF(F316="N","",J316))</f>
        <v>Electrical Drawings (Including Bid Alts.)</v>
      </c>
      <c r="I316" s="146"/>
      <c r="J316" s="609" t="str">
        <f>IF('C-Design&amp;Const'!AJ316="","",'C-Design&amp;Const'!AJ316)</f>
        <v xml:space="preserve"> (Including Bid Alts.)</v>
      </c>
      <c r="K316" s="285" t="str">
        <f t="shared" si="26"/>
        <v>match</v>
      </c>
      <c r="L316" s="1410" t="str">
        <f t="shared" si="27"/>
        <v/>
      </c>
      <c r="M316" s="1333"/>
      <c r="N316" s="1333"/>
      <c r="O316" s="1333"/>
      <c r="P316" s="1333"/>
      <c r="Q316" s="1333"/>
      <c r="R316" s="1453"/>
      <c r="S316" s="1364"/>
      <c r="T316" s="1404"/>
      <c r="U316" s="1333"/>
      <c r="V316" s="1333"/>
      <c r="W316" s="1333"/>
      <c r="X316" s="1333"/>
      <c r="Y316" s="1333"/>
      <c r="Z316" s="1333"/>
      <c r="AA316" s="1333"/>
      <c r="AB316" s="1333"/>
      <c r="AC316" s="1333"/>
      <c r="AD316" s="1333"/>
      <c r="AE316" s="1333"/>
      <c r="AF316" s="1333"/>
      <c r="AG316" s="1333"/>
      <c r="AH316" s="1333"/>
      <c r="AI316" s="1333"/>
      <c r="AJ316" s="1333"/>
    </row>
    <row r="317" spans="1:49" s="17" customFormat="1" x14ac:dyDescent="0.25">
      <c r="A317" s="1517" t="str">
        <f>IF(COUNTIF('04 - 95% CD'!D317:G317,"Y")&gt;0,"Y",IF(COUNTIF('04 - 95% CD'!D317:G317,"N"),"N",""))</f>
        <v>N</v>
      </c>
      <c r="B317" s="141"/>
      <c r="C317" s="944"/>
      <c r="D317" s="411"/>
      <c r="E317" s="321"/>
      <c r="F317" s="559" t="str">
        <f>IF('C-Design&amp;Const'!$S317="","",'C-Design&amp;Const'!$S317)</f>
        <v>N</v>
      </c>
      <c r="G317" s="491"/>
      <c r="H317" s="243" t="str">
        <f>CONCATENATE(IF(F317="N","PLACEHOLDER ROW - ",""),'C-Design&amp;Const'!Z317,IF(F317="N","",J317))</f>
        <v xml:space="preserve">PLACEHOLDER ROW - CUSTOM - Electrical  </v>
      </c>
      <c r="I317" s="151"/>
      <c r="J317" s="609" t="str">
        <f>IF('C-Design&amp;Const'!AJ317="","",'C-Design&amp;Const'!AJ317)</f>
        <v>(Complete)</v>
      </c>
      <c r="K317" s="285" t="str">
        <f t="shared" si="26"/>
        <v>match</v>
      </c>
      <c r="L317" s="1410" t="str">
        <f t="shared" si="27"/>
        <v>&lt;---PM/Planner may hide PLACEHOLDER ROW</v>
      </c>
      <c r="M317" s="1333"/>
      <c r="N317" s="1333"/>
      <c r="O317" s="1333"/>
      <c r="P317" s="1333"/>
      <c r="Q317" s="1333"/>
      <c r="R317" s="1453"/>
      <c r="S317" s="1364"/>
      <c r="T317" s="1404"/>
      <c r="U317" s="1333"/>
      <c r="V317" s="1333"/>
      <c r="W317" s="1333"/>
      <c r="X317" s="1333"/>
      <c r="Y317" s="1333"/>
      <c r="Z317" s="1333"/>
      <c r="AA317" s="1333"/>
      <c r="AB317" s="1333"/>
      <c r="AC317" s="1333"/>
      <c r="AD317" s="1333"/>
      <c r="AE317" s="1333"/>
      <c r="AF317" s="1333"/>
      <c r="AG317" s="1333"/>
      <c r="AH317" s="1333"/>
      <c r="AI317" s="1333"/>
      <c r="AJ317" s="1333"/>
    </row>
    <row r="318" spans="1:49" s="17" customFormat="1" x14ac:dyDescent="0.25">
      <c r="A318" s="1517" t="str">
        <f>IF(COUNTIF('04 - 95% CD'!D318:G318,"Y")&gt;0,"Y",IF(COUNTIF('04 - 95% CD'!D318:G318,"N"),"N",""))</f>
        <v>N</v>
      </c>
      <c r="B318" s="141"/>
      <c r="C318" s="944"/>
      <c r="D318" s="411"/>
      <c r="E318" s="321"/>
      <c r="F318" s="559" t="str">
        <f>IF('C-Design&amp;Const'!$S318="","",'C-Design&amp;Const'!$S318)</f>
        <v>N</v>
      </c>
      <c r="G318" s="491"/>
      <c r="H318" s="243" t="str">
        <f>CONCATENATE(IF(F318="N","PLACEHOLDER ROW - ",""),'C-Design&amp;Const'!Z318,IF(F318="N","",J318))</f>
        <v xml:space="preserve">PLACEHOLDER ROW - CUSTOM - Electrical  </v>
      </c>
      <c r="I318" s="151"/>
      <c r="J318" s="609" t="str">
        <f>IF('C-Design&amp;Const'!AJ318="","",'C-Design&amp;Const'!AJ318)</f>
        <v>(Complete)</v>
      </c>
      <c r="K318" s="285" t="str">
        <f t="shared" si="26"/>
        <v>match</v>
      </c>
      <c r="L318" s="1410" t="str">
        <f t="shared" si="27"/>
        <v>&lt;---PM/Planner may hide PLACEHOLDER ROW</v>
      </c>
      <c r="M318" s="1333"/>
      <c r="N318" s="1333"/>
      <c r="O318" s="1333"/>
      <c r="P318" s="1333"/>
      <c r="Q318" s="1333"/>
      <c r="R318" s="1453"/>
      <c r="S318" s="1364"/>
      <c r="T318" s="1404"/>
      <c r="U318" s="1333"/>
      <c r="V318" s="1333"/>
      <c r="W318" s="1333"/>
      <c r="X318" s="1333"/>
      <c r="Y318" s="1333"/>
      <c r="Z318" s="1333"/>
      <c r="AA318" s="1333"/>
      <c r="AB318" s="1333"/>
      <c r="AC318" s="1333"/>
      <c r="AD318" s="1333"/>
      <c r="AE318" s="1333"/>
      <c r="AF318" s="1333"/>
      <c r="AG318" s="1333"/>
      <c r="AH318" s="1333"/>
      <c r="AI318" s="1333"/>
      <c r="AJ318" s="1333"/>
    </row>
    <row r="319" spans="1:49" x14ac:dyDescent="0.25">
      <c r="A319" s="1520" t="str">
        <f>IF(COUNTIF('04 - 95% CD'!D319:G319,"Y")&gt;0,"Y",IF(COUNTIF('04 - 95% CD'!D319:G319,"N"),"N",""))</f>
        <v>Y</v>
      </c>
      <c r="B319" s="125"/>
      <c r="C319" s="944"/>
      <c r="D319" s="411"/>
      <c r="E319" s="321"/>
      <c r="F319" s="559" t="str">
        <f>IF('C-Design&amp;Const'!$S319="","",'C-Design&amp;Const'!$S319)</f>
        <v>Y</v>
      </c>
      <c r="G319" s="485"/>
      <c r="H319" s="243" t="str">
        <f>CONCATENATE(IF(F319="N","PLACEHOLDER ROW - ",""),'C-Design&amp;Const'!Z319,IF(F319="N","",J319))</f>
        <v>Electrical Symbols, Abbreviations, and General Notes (Complete)</v>
      </c>
      <c r="I319" s="137"/>
      <c r="J319" s="609" t="str">
        <f>IF('C-Design&amp;Const'!AJ319="","",'C-Design&amp;Const'!AJ319)</f>
        <v>(Complete)</v>
      </c>
      <c r="K319" s="285" t="str">
        <f t="shared" si="26"/>
        <v>match</v>
      </c>
      <c r="L319" s="1410" t="str">
        <f t="shared" si="27"/>
        <v/>
      </c>
      <c r="M319" s="1333"/>
      <c r="N319" s="1333"/>
      <c r="O319" s="1333"/>
      <c r="P319" s="1333"/>
      <c r="Q319" s="1333"/>
      <c r="R319" s="1453"/>
      <c r="S319" s="1364"/>
      <c r="T319" s="1404"/>
      <c r="U319" s="1333"/>
      <c r="V319" s="1333"/>
      <c r="W319" s="1333"/>
      <c r="X319" s="1333"/>
      <c r="Y319" s="1333"/>
      <c r="Z319" s="1333"/>
      <c r="AA319" s="1333"/>
      <c r="AB319" s="1333"/>
      <c r="AC319" s="1333"/>
      <c r="AD319" s="1333"/>
      <c r="AE319" s="1333"/>
      <c r="AF319" s="1333"/>
      <c r="AG319" s="1333"/>
      <c r="AH319" s="1333"/>
      <c r="AI319" s="1333"/>
      <c r="AJ319" s="1333"/>
    </row>
    <row r="320" spans="1:49" s="17" customFormat="1" x14ac:dyDescent="0.25">
      <c r="A320" s="1517" t="str">
        <f>IF(COUNTIF('04 - 95% CD'!D320:G320,"Y")&gt;0,"Y",IF(COUNTIF('04 - 95% CD'!D320:G320,"N"),"N",""))</f>
        <v>Y</v>
      </c>
      <c r="B320" s="141"/>
      <c r="C320" s="944"/>
      <c r="D320" s="411"/>
      <c r="E320" s="321"/>
      <c r="F320" s="559" t="str">
        <f>IF('C-Design&amp;Const'!$S320="","",'C-Design&amp;Const'!$S320)</f>
        <v>Y</v>
      </c>
      <c r="G320" s="491"/>
      <c r="H320" s="469" t="str">
        <f>CONCATENATE(IF(F320="N","PLACEHOLDER ROW - ",""),'C-Design&amp;Const'!Z320,IF(F320="N","",J320))</f>
        <v>Electrical Demolition(s) (Complete)</v>
      </c>
      <c r="I320" s="151"/>
      <c r="J320" s="609" t="str">
        <f>IF('C-Design&amp;Const'!AJ320="","",'C-Design&amp;Const'!AJ320)</f>
        <v>(Complete)</v>
      </c>
      <c r="K320" s="285" t="str">
        <f t="shared" si="26"/>
        <v>match</v>
      </c>
      <c r="L320" s="1410" t="str">
        <f t="shared" si="27"/>
        <v/>
      </c>
      <c r="M320" s="1333"/>
      <c r="N320" s="1333"/>
      <c r="O320" s="1333"/>
      <c r="P320" s="1333"/>
      <c r="Q320" s="1333"/>
      <c r="R320" s="1453"/>
      <c r="S320" s="1364"/>
      <c r="T320" s="1404"/>
      <c r="U320" s="1333"/>
      <c r="V320" s="1333"/>
      <c r="W320" s="1333"/>
      <c r="X320" s="1333"/>
      <c r="Y320" s="1333"/>
      <c r="Z320" s="1333"/>
      <c r="AA320" s="1333"/>
      <c r="AB320" s="1333"/>
      <c r="AC320" s="1333"/>
      <c r="AD320" s="1333"/>
      <c r="AE320" s="1333"/>
      <c r="AF320" s="1333"/>
      <c r="AG320" s="1333"/>
      <c r="AH320" s="1333"/>
      <c r="AI320" s="1333"/>
      <c r="AJ320" s="1333"/>
    </row>
    <row r="321" spans="1:49" x14ac:dyDescent="0.25">
      <c r="A321" s="1520" t="str">
        <f>IF(COUNTIF('04 - 95% CD'!D321:G321,"Y")&gt;0,"Y",IF(COUNTIF('04 - 95% CD'!D321:G321,"N"),"N",""))</f>
        <v>Y</v>
      </c>
      <c r="B321" s="125"/>
      <c r="C321" s="944"/>
      <c r="D321" s="411"/>
      <c r="E321" s="321"/>
      <c r="F321" s="559" t="str">
        <f>IF('C-Design&amp;Const'!$S321="","",'C-Design&amp;Const'!$S321)</f>
        <v>Y</v>
      </c>
      <c r="G321" s="485"/>
      <c r="H321" s="243" t="str">
        <f>CONCATENATE(IF(F321="N","PLACEHOLDER ROW - ",""),'C-Design&amp;Const'!Z321,IF(F321="N","",J321))</f>
        <v>Electrical Floor Plans w/ Devices for Power (Complete)</v>
      </c>
      <c r="I321" s="137"/>
      <c r="J321" s="609" t="str">
        <f>IF('C-Design&amp;Const'!AJ321="","",'C-Design&amp;Const'!AJ321)</f>
        <v>(Complete)</v>
      </c>
      <c r="K321" s="285" t="str">
        <f t="shared" si="26"/>
        <v>match</v>
      </c>
      <c r="L321" s="1410" t="str">
        <f t="shared" si="27"/>
        <v/>
      </c>
      <c r="M321" s="1333"/>
      <c r="N321" s="1333"/>
      <c r="O321" s="1333"/>
      <c r="P321" s="1333"/>
      <c r="Q321" s="1333"/>
      <c r="R321" s="1453"/>
      <c r="S321" s="1364"/>
      <c r="T321" s="1404"/>
      <c r="U321" s="1333"/>
      <c r="V321" s="1333"/>
      <c r="W321" s="1333"/>
      <c r="X321" s="1333"/>
      <c r="Y321" s="1333"/>
      <c r="Z321" s="1333"/>
      <c r="AA321" s="1333"/>
      <c r="AB321" s="1333"/>
      <c r="AC321" s="1333"/>
      <c r="AD321" s="1333"/>
      <c r="AE321" s="1333"/>
      <c r="AF321" s="1333"/>
      <c r="AG321" s="1333"/>
      <c r="AH321" s="1333"/>
      <c r="AI321" s="1333"/>
      <c r="AJ321" s="1333"/>
    </row>
    <row r="322" spans="1:49" x14ac:dyDescent="0.25">
      <c r="A322" s="1520" t="str">
        <f>IF(COUNTIF('04 - 95% CD'!D322:G322,"Y")&gt;0,"Y",IF(COUNTIF('04 - 95% CD'!D322:G322,"N"),"N",""))</f>
        <v>Y</v>
      </c>
      <c r="B322" s="125"/>
      <c r="C322" s="944"/>
      <c r="D322" s="411"/>
      <c r="E322" s="321"/>
      <c r="F322" s="559" t="str">
        <f>IF('C-Design&amp;Const'!$S322="","",'C-Design&amp;Const'!$S322)</f>
        <v>Y</v>
      </c>
      <c r="G322" s="485"/>
      <c r="H322" s="243" t="str">
        <f>CONCATENATE(IF(F322="N","PLACEHOLDER ROW - ",""),'C-Design&amp;Const'!Z322,IF(F322="N","",J322))</f>
        <v>Electrical Lighting Plans; Power Plans (Complete)</v>
      </c>
      <c r="I322" s="137"/>
      <c r="J322" s="609" t="str">
        <f>IF('C-Design&amp;Const'!AJ322="","",'C-Design&amp;Const'!AJ322)</f>
        <v>(Complete)</v>
      </c>
      <c r="K322" s="285" t="str">
        <f t="shared" si="26"/>
        <v>match</v>
      </c>
      <c r="L322" s="1410" t="str">
        <f t="shared" si="27"/>
        <v/>
      </c>
      <c r="M322" s="1333"/>
      <c r="N322" s="1333"/>
      <c r="O322" s="1333"/>
      <c r="P322" s="1333"/>
      <c r="Q322" s="1333"/>
      <c r="R322" s="1453"/>
      <c r="S322" s="1364"/>
      <c r="T322" s="1404"/>
      <c r="U322" s="1333"/>
      <c r="V322" s="1333"/>
      <c r="W322" s="1333"/>
      <c r="X322" s="1333"/>
      <c r="Y322" s="1333"/>
      <c r="Z322" s="1333"/>
      <c r="AA322" s="1333"/>
      <c r="AB322" s="1333"/>
      <c r="AC322" s="1333"/>
      <c r="AD322" s="1333"/>
      <c r="AE322" s="1333"/>
      <c r="AF322" s="1333"/>
      <c r="AG322" s="1333"/>
      <c r="AH322" s="1333"/>
      <c r="AI322" s="1333"/>
      <c r="AJ322" s="1333"/>
    </row>
    <row r="323" spans="1:49" x14ac:dyDescent="0.25">
      <c r="A323" s="1520" t="str">
        <f>IF(COUNTIF('04 - 95% CD'!D323:G323,"Y")&gt;0,"Y",IF(COUNTIF('04 - 95% CD'!D323:G323,"N"),"N",""))</f>
        <v>Y</v>
      </c>
      <c r="B323" s="125"/>
      <c r="C323" s="944"/>
      <c r="D323" s="411"/>
      <c r="E323" s="321"/>
      <c r="F323" s="559" t="str">
        <f>IF('C-Design&amp;Const'!$S323="","",'C-Design&amp;Const'!$S323)</f>
        <v>Y</v>
      </c>
      <c r="G323" s="485"/>
      <c r="H323" s="243" t="str">
        <f>CONCATENATE(IF(F323="N","PLACEHOLDER ROW - ",""),'C-Design&amp;Const'!Z323,IF(F323="N","",J323))</f>
        <v>Electrical Primary Feed Diagrams (Complete)</v>
      </c>
      <c r="I323" s="137"/>
      <c r="J323" s="609" t="str">
        <f>IF('C-Design&amp;Const'!AJ323="","",'C-Design&amp;Const'!AJ323)</f>
        <v>(Complete)</v>
      </c>
      <c r="K323" s="285" t="str">
        <f t="shared" si="26"/>
        <v>match</v>
      </c>
      <c r="L323" s="1410" t="str">
        <f t="shared" si="27"/>
        <v/>
      </c>
      <c r="M323" s="1333"/>
      <c r="N323" s="1333"/>
      <c r="O323" s="1333"/>
      <c r="P323" s="1333"/>
      <c r="Q323" s="1333"/>
      <c r="R323" s="1453"/>
      <c r="S323" s="1364"/>
      <c r="T323" s="1404"/>
      <c r="U323" s="1333"/>
      <c r="V323" s="1333"/>
      <c r="W323" s="1333"/>
      <c r="X323" s="1333"/>
      <c r="Y323" s="1333"/>
      <c r="Z323" s="1333"/>
      <c r="AA323" s="1333"/>
      <c r="AB323" s="1333"/>
      <c r="AC323" s="1333"/>
      <c r="AD323" s="1333"/>
      <c r="AE323" s="1333"/>
      <c r="AF323" s="1333"/>
      <c r="AG323" s="1333"/>
      <c r="AH323" s="1333"/>
      <c r="AI323" s="1333"/>
      <c r="AJ323" s="1333"/>
    </row>
    <row r="324" spans="1:49" x14ac:dyDescent="0.25">
      <c r="A324" s="1520" t="str">
        <f>IF(COUNTIF('04 - 95% CD'!D324:G324,"Y")&gt;0,"Y",IF(COUNTIF('04 - 95% CD'!D324:G324,"N"),"N",""))</f>
        <v>Y</v>
      </c>
      <c r="B324" s="125"/>
      <c r="C324" s="944"/>
      <c r="D324" s="411"/>
      <c r="E324" s="321"/>
      <c r="F324" s="559" t="str">
        <f>IF('C-Design&amp;Const'!$S324="","",'C-Design&amp;Const'!$S324)</f>
        <v>Y</v>
      </c>
      <c r="G324" s="485"/>
      <c r="H324" s="243" t="str">
        <f>CONCATENATE(IF(F324="N","PLACEHOLDER ROW - ",""),'C-Design&amp;Const'!Z324,IF(F324="N","",J324))</f>
        <v>Electrical Feeder Schedule (Complete)</v>
      </c>
      <c r="I324" s="137"/>
      <c r="J324" s="609" t="str">
        <f>IF('C-Design&amp;Const'!AJ324="","",'C-Design&amp;Const'!AJ324)</f>
        <v>(Complete)</v>
      </c>
      <c r="K324" s="285" t="str">
        <f t="shared" si="26"/>
        <v>match</v>
      </c>
      <c r="L324" s="1410" t="str">
        <f t="shared" si="27"/>
        <v/>
      </c>
      <c r="M324" s="1333"/>
      <c r="N324" s="1333"/>
      <c r="O324" s="1333"/>
      <c r="P324" s="1333"/>
      <c r="Q324" s="1333"/>
      <c r="R324" s="1453"/>
      <c r="S324" s="1364"/>
      <c r="T324" s="1404"/>
      <c r="U324" s="1333"/>
      <c r="V324" s="1333"/>
      <c r="W324" s="1333"/>
      <c r="X324" s="1333"/>
      <c r="Y324" s="1333"/>
      <c r="Z324" s="1333"/>
      <c r="AA324" s="1333"/>
      <c r="AB324" s="1333"/>
      <c r="AC324" s="1333"/>
      <c r="AD324" s="1333"/>
      <c r="AE324" s="1333"/>
      <c r="AF324" s="1333"/>
      <c r="AG324" s="1333"/>
      <c r="AH324" s="1333"/>
      <c r="AI324" s="1333"/>
      <c r="AJ324" s="1333"/>
    </row>
    <row r="325" spans="1:49" x14ac:dyDescent="0.25">
      <c r="A325" s="1520" t="str">
        <f>IF(COUNTIF('04 - 95% CD'!D325:G325,"Y")&gt;0,"Y",IF(COUNTIF('04 - 95% CD'!D325:G325,"N"),"N",""))</f>
        <v>Y</v>
      </c>
      <c r="B325" s="125"/>
      <c r="C325" s="944"/>
      <c r="D325" s="411"/>
      <c r="E325" s="321"/>
      <c r="F325" s="559" t="str">
        <f>IF('C-Design&amp;Const'!$S325="","",'C-Design&amp;Const'!$S325)</f>
        <v>Y</v>
      </c>
      <c r="G325" s="485"/>
      <c r="H325" s="243" t="str">
        <f>CONCATENATE(IF(F325="N","PLACEHOLDER ROW - ",""),'C-Design&amp;Const'!Z325,IF(F325="N","",J325))</f>
        <v>Electrical Secondary Riser Diagrams (Complete)</v>
      </c>
      <c r="I325" s="137"/>
      <c r="J325" s="609" t="str">
        <f>IF('C-Design&amp;Const'!AJ325="","",'C-Design&amp;Const'!AJ325)</f>
        <v>(Complete)</v>
      </c>
      <c r="K325" s="285" t="str">
        <f t="shared" si="26"/>
        <v>match</v>
      </c>
      <c r="L325" s="1410" t="str">
        <f t="shared" si="27"/>
        <v/>
      </c>
      <c r="M325" s="1333"/>
      <c r="N325" s="1333"/>
      <c r="O325" s="1333"/>
      <c r="P325" s="1333"/>
      <c r="Q325" s="1333"/>
      <c r="R325" s="1284"/>
      <c r="S325" s="1513"/>
      <c r="T325" s="1404"/>
      <c r="U325" s="1333"/>
      <c r="V325" s="1333"/>
      <c r="W325" s="1333"/>
      <c r="X325" s="1333"/>
      <c r="Y325" s="1333"/>
      <c r="Z325" s="1333"/>
      <c r="AA325" s="1333"/>
      <c r="AB325" s="1333"/>
      <c r="AC325" s="1333"/>
      <c r="AD325" s="1333"/>
      <c r="AE325" s="1333"/>
      <c r="AF325" s="1333"/>
      <c r="AG325" s="1333"/>
      <c r="AH325" s="1333"/>
      <c r="AI325" s="1333"/>
      <c r="AJ325" s="1333"/>
    </row>
    <row r="326" spans="1:49" x14ac:dyDescent="0.25">
      <c r="A326" s="1520" t="str">
        <f>IF(COUNTIF('04 - 95% CD'!D326:G326,"Y")&gt;0,"Y",IF(COUNTIF('04 - 95% CD'!D326:G326,"N"),"N",""))</f>
        <v>Y</v>
      </c>
      <c r="B326" s="125"/>
      <c r="C326" s="944"/>
      <c r="D326" s="411"/>
      <c r="E326" s="321"/>
      <c r="F326" s="559" t="str">
        <f>IF('C-Design&amp;Const'!$S326="","",'C-Design&amp;Const'!$S326)</f>
        <v>Y</v>
      </c>
      <c r="G326" s="485"/>
      <c r="H326" s="243" t="str">
        <f>CONCATENATE(IF(F326="N","PLACEHOLDER ROW - ",""),'C-Design&amp;Const'!Z326,IF(F326="N","",J326))</f>
        <v>Electrical Power Distribution Schedule (Complete)</v>
      </c>
      <c r="I326" s="137"/>
      <c r="J326" s="609" t="str">
        <f>IF('C-Design&amp;Const'!AJ326="","",'C-Design&amp;Const'!AJ326)</f>
        <v>(Complete)</v>
      </c>
      <c r="K326" s="285" t="str">
        <f t="shared" si="26"/>
        <v>match</v>
      </c>
      <c r="L326" s="1410" t="str">
        <f t="shared" si="27"/>
        <v/>
      </c>
      <c r="M326" s="1333"/>
      <c r="N326" s="1333"/>
      <c r="O326" s="1333"/>
      <c r="P326" s="1333"/>
      <c r="Q326" s="1333"/>
      <c r="R326" s="1453"/>
      <c r="S326" s="1364"/>
      <c r="T326" s="1404"/>
      <c r="U326" s="1333"/>
      <c r="V326" s="1333"/>
      <c r="W326" s="1333"/>
      <c r="X326" s="1333"/>
      <c r="Y326" s="1333"/>
      <c r="Z326" s="1333"/>
      <c r="AA326" s="1333"/>
      <c r="AB326" s="1333"/>
      <c r="AC326" s="1333"/>
      <c r="AD326" s="1333"/>
      <c r="AE326" s="1333"/>
      <c r="AF326" s="1333"/>
      <c r="AG326" s="1333"/>
      <c r="AH326" s="1333"/>
      <c r="AI326" s="1333"/>
      <c r="AJ326" s="1333"/>
    </row>
    <row r="327" spans="1:49" x14ac:dyDescent="0.25">
      <c r="A327" s="1520" t="str">
        <f>IF(COUNTIF('04 - 95% CD'!D327:G327,"Y")&gt;0,"Y",IF(COUNTIF('04 - 95% CD'!D327:G327,"N"),"N",""))</f>
        <v>Y</v>
      </c>
      <c r="B327" s="125"/>
      <c r="C327" s="944"/>
      <c r="D327" s="411"/>
      <c r="E327" s="321"/>
      <c r="F327" s="559" t="str">
        <f>IF('C-Design&amp;Const'!$S327="","",'C-Design&amp;Const'!$S327)</f>
        <v>Y</v>
      </c>
      <c r="G327" s="485"/>
      <c r="H327" s="243" t="str">
        <f>CONCATENATE(IF(F327="N","PLACEHOLDER ROW - ",""),'C-Design&amp;Const'!Z327,IF(F327="N","",J327))</f>
        <v>Electrical Grounding Riser Diagram (Complete)</v>
      </c>
      <c r="I327" s="137"/>
      <c r="J327" s="609" t="str">
        <f>IF('C-Design&amp;Const'!AJ327="","",'C-Design&amp;Const'!AJ327)</f>
        <v>(Complete)</v>
      </c>
      <c r="K327" s="285" t="str">
        <f t="shared" ref="K327:K400" si="34">IF((COUNTIF(D327:F327,"Y")=COUNTIF(A327,"Y")),"match","no 95% match")</f>
        <v>match</v>
      </c>
      <c r="L327" s="1410" t="str">
        <f t="shared" ref="L327:L400" si="35">CONCATENATE(IF(ISNUMBER(SEARCH("Placeholder",H327))=TRUE,"&lt;---PM/Planner may hide PLACEHOLDER ROW",""))</f>
        <v/>
      </c>
      <c r="M327" s="1333"/>
      <c r="N327" s="1333"/>
      <c r="O327" s="1333"/>
      <c r="P327" s="1333"/>
      <c r="Q327" s="1333"/>
      <c r="R327" s="1453"/>
      <c r="S327" s="1364"/>
      <c r="T327" s="1404"/>
      <c r="U327" s="1333"/>
      <c r="V327" s="1333"/>
      <c r="W327" s="1333"/>
      <c r="X327" s="1333"/>
      <c r="Y327" s="1333"/>
      <c r="Z327" s="1333"/>
      <c r="AA327" s="1333"/>
      <c r="AB327" s="1333"/>
      <c r="AC327" s="1333"/>
      <c r="AD327" s="1333"/>
      <c r="AE327" s="1333"/>
      <c r="AF327" s="1333"/>
      <c r="AG327" s="1333"/>
      <c r="AH327" s="1333"/>
      <c r="AI327" s="1333"/>
      <c r="AJ327" s="1333"/>
    </row>
    <row r="328" spans="1:49" x14ac:dyDescent="0.25">
      <c r="A328" s="1520" t="str">
        <f>IF(COUNTIF('04 - 95% CD'!D328:G328,"Y")&gt;0,"Y",IF(COUNTIF('04 - 95% CD'!D328:G328,"N"),"N",""))</f>
        <v>Y</v>
      </c>
      <c r="B328" s="125"/>
      <c r="C328" s="944"/>
      <c r="D328" s="411"/>
      <c r="E328" s="321"/>
      <c r="F328" s="559" t="str">
        <f>IF('C-Design&amp;Const'!$S328="","",'C-Design&amp;Const'!$S328)</f>
        <v>Y</v>
      </c>
      <c r="G328" s="485"/>
      <c r="H328" s="243" t="str">
        <f>CONCATENATE(IF(F328="N","PLACEHOLDER ROW - ",""),'C-Design&amp;Const'!Z328,IF(F328="N","",J328))</f>
        <v>Electrical Details (Complete)</v>
      </c>
      <c r="I328" s="137"/>
      <c r="J328" s="609" t="str">
        <f>IF('C-Design&amp;Const'!AJ328="","",'C-Design&amp;Const'!AJ328)</f>
        <v>(Complete)</v>
      </c>
      <c r="K328" s="285" t="str">
        <f t="shared" si="34"/>
        <v>match</v>
      </c>
      <c r="L328" s="1410" t="str">
        <f t="shared" si="35"/>
        <v/>
      </c>
      <c r="M328" s="1333"/>
      <c r="N328" s="1333"/>
      <c r="O328" s="1333"/>
      <c r="P328" s="1333"/>
      <c r="Q328" s="1333"/>
      <c r="R328" s="1284"/>
      <c r="S328" s="1513"/>
      <c r="T328" s="1404"/>
      <c r="U328" s="1333"/>
      <c r="V328" s="1333"/>
      <c r="W328" s="1333"/>
      <c r="X328" s="1333"/>
      <c r="Y328" s="1333"/>
      <c r="Z328" s="1333"/>
      <c r="AA328" s="1333"/>
      <c r="AB328" s="1333"/>
      <c r="AC328" s="1333"/>
      <c r="AD328" s="1333"/>
      <c r="AE328" s="1333"/>
      <c r="AF328" s="1333"/>
      <c r="AG328" s="1333"/>
      <c r="AH328" s="1333"/>
      <c r="AI328" s="1333"/>
      <c r="AJ328" s="1333"/>
    </row>
    <row r="329" spans="1:49" x14ac:dyDescent="0.25">
      <c r="A329" s="1520" t="str">
        <f>IF(COUNTIF('04 - 95% CD'!D329:G329,"Y")&gt;0,"Y",IF(COUNTIF('04 - 95% CD'!D329:G329,"N"),"N",""))</f>
        <v>Y</v>
      </c>
      <c r="B329" s="125"/>
      <c r="C329" s="944"/>
      <c r="D329" s="411"/>
      <c r="E329" s="321"/>
      <c r="F329" s="559" t="str">
        <f>IF('C-Design&amp;Const'!$S329="","",'C-Design&amp;Const'!$S329)</f>
        <v>Y</v>
      </c>
      <c r="G329" s="485"/>
      <c r="H329" s="243" t="str">
        <f>CONCATENATE(IF(F329="N","PLACEHOLDER ROW - ",""),'C-Design&amp;Const'!Z329,IF(F329="N","",J329))</f>
        <v>Electrical Fixture Schedule and Equipment (Complete)</v>
      </c>
      <c r="I329" s="137"/>
      <c r="J329" s="609" t="str">
        <f>IF('C-Design&amp;Const'!AJ329="","",'C-Design&amp;Const'!AJ329)</f>
        <v>(Complete)</v>
      </c>
      <c r="K329" s="285" t="str">
        <f t="shared" si="34"/>
        <v>match</v>
      </c>
      <c r="L329" s="1410" t="str">
        <f t="shared" si="35"/>
        <v/>
      </c>
      <c r="M329" s="1333"/>
      <c r="N329" s="1333"/>
      <c r="O329" s="1333"/>
      <c r="P329" s="1333"/>
      <c r="Q329" s="1333"/>
      <c r="R329" s="1453"/>
      <c r="S329" s="1364"/>
      <c r="T329" s="1404"/>
      <c r="U329" s="1333"/>
      <c r="V329" s="1333"/>
      <c r="W329" s="1333"/>
      <c r="X329" s="1333"/>
      <c r="Y329" s="1333"/>
      <c r="Z329" s="1333"/>
      <c r="AA329" s="1333"/>
      <c r="AB329" s="1333"/>
      <c r="AC329" s="1333"/>
      <c r="AD329" s="1333"/>
      <c r="AE329" s="1333"/>
      <c r="AF329" s="1333"/>
      <c r="AG329" s="1333"/>
      <c r="AH329" s="1333"/>
      <c r="AI329" s="1333"/>
      <c r="AJ329" s="1333"/>
    </row>
    <row r="330" spans="1:49" x14ac:dyDescent="0.25">
      <c r="A330" s="1520" t="str">
        <f>IF(COUNTIF('04 - 95% CD'!D330:G330,"Y")&gt;0,"Y",IF(COUNTIF('04 - 95% CD'!D330:G330,"N"),"N",""))</f>
        <v>Y</v>
      </c>
      <c r="B330" s="125"/>
      <c r="C330" s="944"/>
      <c r="D330" s="411"/>
      <c r="E330" s="321"/>
      <c r="F330" s="559" t="str">
        <f>IF('C-Design&amp;Const'!$S330="","",'C-Design&amp;Const'!$S330)</f>
        <v>Y</v>
      </c>
      <c r="G330" s="485"/>
      <c r="H330" s="243" t="str">
        <f>CONCATENATE(IF(F330="N","PLACEHOLDER ROW - ",""),'C-Design&amp;Const'!Z330,IF(F330="N","",J330))</f>
        <v>Electrical Lightning Protection Sections / Diagrams(Complete)</v>
      </c>
      <c r="I330" s="137"/>
      <c r="J330" s="609" t="str">
        <f>IF('C-Design&amp;Const'!AJ330="","",'C-Design&amp;Const'!AJ330)</f>
        <v>(Complete)</v>
      </c>
      <c r="K330" s="285" t="str">
        <f t="shared" si="34"/>
        <v>match</v>
      </c>
      <c r="L330" s="1410" t="str">
        <f t="shared" si="35"/>
        <v/>
      </c>
      <c r="M330" s="1333"/>
      <c r="N330" s="1333"/>
      <c r="O330" s="1333"/>
      <c r="P330" s="1333"/>
      <c r="Q330" s="1333"/>
      <c r="R330" s="1453"/>
      <c r="S330" s="1364"/>
      <c r="T330" s="1404"/>
      <c r="U330" s="1333"/>
      <c r="V330" s="1333"/>
      <c r="W330" s="1333"/>
      <c r="X330" s="1333"/>
      <c r="Y330" s="1333"/>
      <c r="Z330" s="1333"/>
      <c r="AA330" s="1333"/>
      <c r="AB330" s="1333"/>
      <c r="AC330" s="1333"/>
      <c r="AD330" s="1333"/>
      <c r="AE330" s="1333"/>
      <c r="AF330" s="1333"/>
      <c r="AG330" s="1333"/>
      <c r="AH330" s="1333"/>
      <c r="AI330" s="1333"/>
      <c r="AJ330" s="1333"/>
    </row>
    <row r="331" spans="1:49" s="30" customFormat="1" ht="15.75" customHeight="1" x14ac:dyDescent="0.2">
      <c r="A331" s="1517" t="str">
        <f>IF(COUNTIF('04 - 95% CD'!D331:G331,"Y")&gt;0,"Y",IF(COUNTIF('04 - 95% CD'!D331:G331,"N"),"N",""))</f>
        <v>Y</v>
      </c>
      <c r="B331" s="191"/>
      <c r="C331" s="944"/>
      <c r="D331" s="463"/>
      <c r="E331" s="463"/>
      <c r="F331" s="359" t="str">
        <f>IF('C-Design&amp;Const'!$S331="","",'C-Design&amp;Const'!$S331)</f>
        <v>Y</v>
      </c>
      <c r="G331" s="291"/>
      <c r="H331" s="469" t="str">
        <f>CONCATENATE(IF(F331="N","PLACEHOLDER ROW - ",""),'C-Design&amp;Const'!Z331,IF(F331="N","",J331))</f>
        <v>Electrical Lightning Protection Details (Complete)</v>
      </c>
      <c r="I331" s="184"/>
      <c r="J331" s="609" t="str">
        <f>IF('C-Design&amp;Const'!AJ331="","",'C-Design&amp;Const'!AJ331)</f>
        <v>(Complete)</v>
      </c>
      <c r="K331" s="285" t="str">
        <f t="shared" si="34"/>
        <v>match</v>
      </c>
      <c r="L331" s="1410" t="str">
        <f t="shared" si="35"/>
        <v/>
      </c>
      <c r="M331" s="1382"/>
      <c r="N331" s="1382"/>
      <c r="O331" s="1382"/>
      <c r="P331" s="1382"/>
      <c r="Q331" s="1382"/>
      <c r="R331" s="1382"/>
      <c r="S331" s="1382"/>
      <c r="T331" s="1382"/>
      <c r="U331" s="1382"/>
      <c r="V331" s="1382"/>
      <c r="W331" s="1382"/>
      <c r="X331" s="1382"/>
      <c r="Y331" s="1382"/>
      <c r="Z331" s="1382"/>
      <c r="AA331" s="1382"/>
      <c r="AB331" s="1382"/>
      <c r="AC331" s="1382"/>
      <c r="AD331" s="1382"/>
      <c r="AE331" s="1382"/>
      <c r="AF331" s="1382"/>
      <c r="AG331" s="1382"/>
      <c r="AH331" s="1382"/>
      <c r="AI331" s="1382"/>
      <c r="AJ331" s="1382"/>
      <c r="AK331" s="181"/>
      <c r="AL331" s="181"/>
      <c r="AM331" s="181"/>
      <c r="AN331" s="181"/>
      <c r="AO331" s="181"/>
      <c r="AP331" s="181"/>
      <c r="AQ331" s="181"/>
      <c r="AR331" s="181"/>
      <c r="AS331" s="181"/>
      <c r="AT331" s="181"/>
      <c r="AU331" s="181"/>
      <c r="AV331" s="181"/>
      <c r="AW331" s="181"/>
    </row>
    <row r="332" spans="1:49" x14ac:dyDescent="0.25">
      <c r="A332" s="1407" t="str">
        <f>IF(COUNTIF('04 - 95% CD'!D332:G332,"Y")&gt;0,"Y",IF(COUNTIF('04 - 95% CD'!D332:G332,"N"),"N",""))</f>
        <v>Y</v>
      </c>
      <c r="B332" s="125"/>
      <c r="C332" s="944"/>
      <c r="D332" s="321"/>
      <c r="E332" s="559" t="str">
        <f>IF('C-Design&amp;Const'!$S332="","",'C-Design&amp;Const'!$S332)</f>
        <v>Y</v>
      </c>
      <c r="F332" s="478"/>
      <c r="G332" s="485"/>
      <c r="H332" s="244" t="str">
        <f>CONCATENATE(IF(F332="N","PLACEHOLDER ROW - ",""),'C-Design&amp;Const'!Z332,IF(F332="N","",J332))</f>
        <v>Fire Alarm Drawings (Including Bid Alts.)</v>
      </c>
      <c r="I332" s="146"/>
      <c r="J332" s="609" t="str">
        <f>IF('C-Design&amp;Const'!AJ332="","",'C-Design&amp;Const'!AJ332)</f>
        <v xml:space="preserve"> (Including Bid Alts.)</v>
      </c>
      <c r="K332" s="285" t="str">
        <f t="shared" si="34"/>
        <v>match</v>
      </c>
      <c r="L332" s="1410" t="str">
        <f t="shared" si="35"/>
        <v/>
      </c>
      <c r="M332" s="1333"/>
      <c r="N332" s="1333"/>
      <c r="O332" s="1333"/>
      <c r="P332" s="1333"/>
      <c r="Q332" s="1333"/>
      <c r="R332" s="1453"/>
      <c r="S332" s="1364"/>
      <c r="T332" s="1404"/>
      <c r="U332" s="1333"/>
      <c r="V332" s="1333"/>
      <c r="W332" s="1333"/>
      <c r="X332" s="1333"/>
      <c r="Y332" s="1333"/>
      <c r="Z332" s="1333"/>
      <c r="AA332" s="1333"/>
      <c r="AB332" s="1333"/>
      <c r="AC332" s="1333"/>
      <c r="AD332" s="1333"/>
      <c r="AE332" s="1333"/>
      <c r="AF332" s="1333"/>
      <c r="AG332" s="1333"/>
      <c r="AH332" s="1333"/>
      <c r="AI332" s="1333"/>
      <c r="AJ332" s="1333"/>
    </row>
    <row r="333" spans="1:49" s="17" customFormat="1" x14ac:dyDescent="0.25">
      <c r="A333" s="1517" t="str">
        <f>IF(COUNTIF('04 - 95% CD'!D333:G333,"Y")&gt;0,"Y",IF(COUNTIF('04 - 95% CD'!D333:G333,"N"),"N",""))</f>
        <v>N</v>
      </c>
      <c r="B333" s="141"/>
      <c r="C333" s="944"/>
      <c r="D333" s="411"/>
      <c r="E333" s="321"/>
      <c r="F333" s="559" t="str">
        <f>IF('C-Design&amp;Const'!$S333="","",'C-Design&amp;Const'!$S333)</f>
        <v>N</v>
      </c>
      <c r="G333" s="491"/>
      <c r="H333" s="243" t="str">
        <f>CONCATENATE(IF(F333="N","PLACEHOLDER ROW - ",""),'C-Design&amp;Const'!Z333,IF(F333="N","",J333))</f>
        <v xml:space="preserve">PLACEHOLDER ROW - CUSTOM - Fire Alarm  </v>
      </c>
      <c r="I333" s="151"/>
      <c r="J333" s="609" t="str">
        <f>IF('C-Design&amp;Const'!AJ333="","",'C-Design&amp;Const'!AJ333)</f>
        <v>(Complete)</v>
      </c>
      <c r="K333" s="285" t="str">
        <f t="shared" si="34"/>
        <v>match</v>
      </c>
      <c r="L333" s="1410" t="str">
        <f t="shared" si="35"/>
        <v>&lt;---PM/Planner may hide PLACEHOLDER ROW</v>
      </c>
      <c r="M333" s="1333"/>
      <c r="N333" s="1333"/>
      <c r="O333" s="1333"/>
      <c r="P333" s="1333"/>
      <c r="Q333" s="1333"/>
      <c r="R333" s="1453"/>
      <c r="S333" s="1364"/>
      <c r="T333" s="1404"/>
      <c r="U333" s="1333"/>
      <c r="V333" s="1333"/>
      <c r="W333" s="1333"/>
      <c r="X333" s="1333"/>
      <c r="Y333" s="1333"/>
      <c r="Z333" s="1333"/>
      <c r="AA333" s="1333"/>
      <c r="AB333" s="1333"/>
      <c r="AC333" s="1333"/>
      <c r="AD333" s="1333"/>
      <c r="AE333" s="1333"/>
      <c r="AF333" s="1333"/>
      <c r="AG333" s="1333"/>
      <c r="AH333" s="1333"/>
      <c r="AI333" s="1333"/>
      <c r="AJ333" s="1333"/>
    </row>
    <row r="334" spans="1:49" s="17" customFormat="1" x14ac:dyDescent="0.25">
      <c r="A334" s="1517" t="str">
        <f>IF(COUNTIF('04 - 95% CD'!D334:G334,"Y")&gt;0,"Y",IF(COUNTIF('04 - 95% CD'!D334:G334,"N"),"N",""))</f>
        <v>N</v>
      </c>
      <c r="B334" s="141"/>
      <c r="C334" s="944"/>
      <c r="D334" s="411"/>
      <c r="E334" s="321"/>
      <c r="F334" s="559" t="str">
        <f>IF('C-Design&amp;Const'!$S334="","",'C-Design&amp;Const'!$S334)</f>
        <v>N</v>
      </c>
      <c r="G334" s="491"/>
      <c r="H334" s="243" t="str">
        <f>CONCATENATE(IF(F334="N","PLACEHOLDER ROW - ",""),'C-Design&amp;Const'!Z334,IF(F334="N","",J334))</f>
        <v xml:space="preserve">PLACEHOLDER ROW - CUSTOM - Fire Alarm  </v>
      </c>
      <c r="I334" s="151"/>
      <c r="J334" s="609" t="str">
        <f>IF('C-Design&amp;Const'!AJ334="","",'C-Design&amp;Const'!AJ334)</f>
        <v>(Complete)</v>
      </c>
      <c r="K334" s="285" t="str">
        <f t="shared" si="34"/>
        <v>match</v>
      </c>
      <c r="L334" s="1410" t="str">
        <f t="shared" si="35"/>
        <v>&lt;---PM/Planner may hide PLACEHOLDER ROW</v>
      </c>
      <c r="M334" s="1333"/>
      <c r="N334" s="1333"/>
      <c r="O334" s="1333"/>
      <c r="P334" s="1333"/>
      <c r="Q334" s="1333"/>
      <c r="R334" s="1453"/>
      <c r="S334" s="1364"/>
      <c r="T334" s="1404"/>
      <c r="U334" s="1333"/>
      <c r="V334" s="1333"/>
      <c r="W334" s="1333"/>
      <c r="X334" s="1333"/>
      <c r="Y334" s="1333"/>
      <c r="Z334" s="1333"/>
      <c r="AA334" s="1333"/>
      <c r="AB334" s="1333"/>
      <c r="AC334" s="1333"/>
      <c r="AD334" s="1333"/>
      <c r="AE334" s="1333"/>
      <c r="AF334" s="1333"/>
      <c r="AG334" s="1333"/>
      <c r="AH334" s="1333"/>
      <c r="AI334" s="1333"/>
      <c r="AJ334" s="1333"/>
    </row>
    <row r="335" spans="1:49" s="17" customFormat="1" x14ac:dyDescent="0.25">
      <c r="A335" s="1517" t="str">
        <f>IF(COUNTIF('04 - 95% CD'!D335:G335,"Y")&gt;0,"Y",IF(COUNTIF('04 - 95% CD'!D335:G335,"N"),"N",""))</f>
        <v>Y</v>
      </c>
      <c r="B335" s="141"/>
      <c r="C335" s="944"/>
      <c r="D335" s="411"/>
      <c r="E335" s="321"/>
      <c r="F335" s="559" t="str">
        <f>IF('C-Design&amp;Const'!$S335="","",'C-Design&amp;Const'!$S335)</f>
        <v>Y</v>
      </c>
      <c r="G335" s="491"/>
      <c r="H335" s="469" t="str">
        <f>CONCATENATE(IF(F335="N","PLACEHOLDER ROW - ",""),'C-Design&amp;Const'!Z335,IF(F335="N","",J335))</f>
        <v>Fire Alarm Symbols, Abbreviations, and General Notes (Complete)</v>
      </c>
      <c r="I335" s="151"/>
      <c r="J335" s="609" t="str">
        <f>IF('C-Design&amp;Const'!AJ335="","",'C-Design&amp;Const'!AJ335)</f>
        <v>(Complete)</v>
      </c>
      <c r="K335" s="285" t="str">
        <f t="shared" si="34"/>
        <v>match</v>
      </c>
      <c r="L335" s="1410" t="str">
        <f t="shared" si="35"/>
        <v/>
      </c>
      <c r="M335" s="1333"/>
      <c r="N335" s="1333"/>
      <c r="O335" s="1333"/>
      <c r="P335" s="1333"/>
      <c r="Q335" s="1333"/>
      <c r="R335" s="1453"/>
      <c r="S335" s="1364"/>
      <c r="T335" s="1404"/>
      <c r="U335" s="1333"/>
      <c r="V335" s="1333"/>
      <c r="W335" s="1333"/>
      <c r="X335" s="1333"/>
      <c r="Y335" s="1333"/>
      <c r="Z335" s="1333"/>
      <c r="AA335" s="1333"/>
      <c r="AB335" s="1333"/>
      <c r="AC335" s="1333"/>
      <c r="AD335" s="1333"/>
      <c r="AE335" s="1333"/>
      <c r="AF335" s="1333"/>
      <c r="AG335" s="1333"/>
      <c r="AH335" s="1333"/>
      <c r="AI335" s="1333"/>
      <c r="AJ335" s="1333"/>
    </row>
    <row r="336" spans="1:49" s="17" customFormat="1" x14ac:dyDescent="0.25">
      <c r="A336" s="1517" t="str">
        <f>IF(COUNTIF('04 - 95% CD'!D336:G336,"Y")&gt;0,"Y",IF(COUNTIF('04 - 95% CD'!D336:G336,"N"),"N",""))</f>
        <v>Y</v>
      </c>
      <c r="B336" s="141"/>
      <c r="C336" s="944"/>
      <c r="D336" s="411"/>
      <c r="E336" s="321"/>
      <c r="F336" s="559" t="str">
        <f>IF('C-Design&amp;Const'!$S336="","",'C-Design&amp;Const'!$S336)</f>
        <v>Y</v>
      </c>
      <c r="G336" s="491"/>
      <c r="H336" s="469" t="str">
        <f>CONCATENATE(IF(F336="N","PLACEHOLDER ROW - ",""),'C-Design&amp;Const'!Z336,IF(F336="N","",J336))</f>
        <v>Fire Alarm Demolition(s) (Complete)</v>
      </c>
      <c r="I336" s="151"/>
      <c r="J336" s="609" t="str">
        <f>IF('C-Design&amp;Const'!AJ336="","",'C-Design&amp;Const'!AJ336)</f>
        <v>(Complete)</v>
      </c>
      <c r="K336" s="285" t="str">
        <f t="shared" si="34"/>
        <v>match</v>
      </c>
      <c r="L336" s="1410" t="str">
        <f t="shared" si="35"/>
        <v/>
      </c>
      <c r="M336" s="1333"/>
      <c r="N336" s="1333"/>
      <c r="O336" s="1333"/>
      <c r="P336" s="1333"/>
      <c r="Q336" s="1333"/>
      <c r="R336" s="1453"/>
      <c r="S336" s="1364"/>
      <c r="T336" s="1404"/>
      <c r="U336" s="1333"/>
      <c r="V336" s="1333"/>
      <c r="W336" s="1333"/>
      <c r="X336" s="1333"/>
      <c r="Y336" s="1333"/>
      <c r="Z336" s="1333"/>
      <c r="AA336" s="1333"/>
      <c r="AB336" s="1333"/>
      <c r="AC336" s="1333"/>
      <c r="AD336" s="1333"/>
      <c r="AE336" s="1333"/>
      <c r="AF336" s="1333"/>
      <c r="AG336" s="1333"/>
      <c r="AH336" s="1333"/>
      <c r="AI336" s="1333"/>
      <c r="AJ336" s="1333"/>
    </row>
    <row r="337" spans="1:49" x14ac:dyDescent="0.25">
      <c r="A337" s="1520" t="str">
        <f>IF(COUNTIF('04 - 95% CD'!D337:G337,"Y")&gt;0,"Y",IF(COUNTIF('04 - 95% CD'!D337:G337,"N"),"N",""))</f>
        <v>Y</v>
      </c>
      <c r="B337" s="125"/>
      <c r="C337" s="944"/>
      <c r="D337" s="411"/>
      <c r="E337" s="321"/>
      <c r="F337" s="559" t="str">
        <f>IF('C-Design&amp;Const'!$S337="","",'C-Design&amp;Const'!$S337)</f>
        <v>Y</v>
      </c>
      <c r="G337" s="485"/>
      <c r="H337" s="243" t="str">
        <f>CONCATENATE(IF(F337="N","PLACEHOLDER ROW - ",""),'C-Design&amp;Const'!Z337,IF(F337="N","",J337))</f>
        <v>Fire Alarm Floor Plans (Complete)</v>
      </c>
      <c r="I337" s="137"/>
      <c r="J337" s="609" t="str">
        <f>IF('C-Design&amp;Const'!AJ337="","",'C-Design&amp;Const'!AJ337)</f>
        <v>(Complete)</v>
      </c>
      <c r="K337" s="285" t="str">
        <f t="shared" si="34"/>
        <v>match</v>
      </c>
      <c r="L337" s="1410" t="str">
        <f t="shared" si="35"/>
        <v/>
      </c>
      <c r="M337" s="1333"/>
      <c r="N337" s="1333"/>
      <c r="O337" s="1333"/>
      <c r="P337" s="1333"/>
      <c r="Q337" s="1333"/>
      <c r="R337" s="1453"/>
      <c r="S337" s="1364"/>
      <c r="T337" s="1404"/>
      <c r="U337" s="1333"/>
      <c r="V337" s="1333"/>
      <c r="W337" s="1333"/>
      <c r="X337" s="1333"/>
      <c r="Y337" s="1333"/>
      <c r="Z337" s="1333"/>
      <c r="AA337" s="1333"/>
      <c r="AB337" s="1333"/>
      <c r="AC337" s="1333"/>
      <c r="AD337" s="1333"/>
      <c r="AE337" s="1333"/>
      <c r="AF337" s="1333"/>
      <c r="AG337" s="1333"/>
      <c r="AH337" s="1333"/>
      <c r="AI337" s="1333"/>
      <c r="AJ337" s="1333"/>
    </row>
    <row r="338" spans="1:49" x14ac:dyDescent="0.25">
      <c r="A338" s="1520" t="str">
        <f>IF(COUNTIF('04 - 95% CD'!D338:G338,"Y")&gt;0,"Y",IF(COUNTIF('04 - 95% CD'!D338:G338,"N"),"N",""))</f>
        <v>Y</v>
      </c>
      <c r="B338" s="125"/>
      <c r="C338" s="944"/>
      <c r="D338" s="411"/>
      <c r="E338" s="321"/>
      <c r="F338" s="559" t="str">
        <f>IF('C-Design&amp;Const'!$S338="","",'C-Design&amp;Const'!$S338)</f>
        <v>Y</v>
      </c>
      <c r="G338" s="485"/>
      <c r="H338" s="243" t="str">
        <f>CONCATENATE(IF(F338="N","PLACEHOLDER ROW - ",""),'C-Design&amp;Const'!Z338,IF(F338="N","",J338))</f>
        <v>Fire Alarm Riser Diagrams and Connections (Complete)</v>
      </c>
      <c r="I338" s="137"/>
      <c r="J338" s="609" t="str">
        <f>IF('C-Design&amp;Const'!AJ338="","",'C-Design&amp;Const'!AJ338)</f>
        <v>(Complete)</v>
      </c>
      <c r="K338" s="285" t="str">
        <f t="shared" si="34"/>
        <v>match</v>
      </c>
      <c r="L338" s="1410" t="str">
        <f t="shared" si="35"/>
        <v/>
      </c>
      <c r="M338" s="1333"/>
      <c r="N338" s="1333"/>
      <c r="O338" s="1333"/>
      <c r="P338" s="1333"/>
      <c r="Q338" s="1333"/>
      <c r="R338" s="1453"/>
      <c r="S338" s="1364"/>
      <c r="T338" s="1404"/>
      <c r="U338" s="1333"/>
      <c r="V338" s="1333"/>
      <c r="W338" s="1333"/>
      <c r="X338" s="1333"/>
      <c r="Y338" s="1333"/>
      <c r="Z338" s="1333"/>
      <c r="AA338" s="1333"/>
      <c r="AB338" s="1333"/>
      <c r="AC338" s="1333"/>
      <c r="AD338" s="1333"/>
      <c r="AE338" s="1333"/>
      <c r="AF338" s="1333"/>
      <c r="AG338" s="1333"/>
      <c r="AH338" s="1333"/>
      <c r="AI338" s="1333"/>
      <c r="AJ338" s="1333"/>
    </row>
    <row r="339" spans="1:49" x14ac:dyDescent="0.25">
      <c r="A339" s="1520" t="str">
        <f>IF(COUNTIF('04 - 95% CD'!D339:G339,"Y")&gt;0,"Y",IF(COUNTIF('04 - 95% CD'!D339:G339,"N"),"N",""))</f>
        <v>Y</v>
      </c>
      <c r="B339" s="125"/>
      <c r="C339" s="944"/>
      <c r="D339" s="411"/>
      <c r="E339" s="321"/>
      <c r="F339" s="559" t="str">
        <f>IF('C-Design&amp;Const'!$S339="","",'C-Design&amp;Const'!$S339)</f>
        <v>Y</v>
      </c>
      <c r="G339" s="485"/>
      <c r="H339" s="243" t="str">
        <f>CONCATENATE(IF(F339="N","PLACEHOLDER ROW - ",""),'C-Design&amp;Const'!Z339,IF(F339="N","",J339))</f>
        <v>Fire Alarm Details (Complete)</v>
      </c>
      <c r="I339" s="137"/>
      <c r="J339" s="609" t="str">
        <f>IF('C-Design&amp;Const'!AJ339="","",'C-Design&amp;Const'!AJ339)</f>
        <v>(Complete)</v>
      </c>
      <c r="K339" s="285" t="str">
        <f t="shared" si="34"/>
        <v>match</v>
      </c>
      <c r="L339" s="1410" t="str">
        <f t="shared" si="35"/>
        <v/>
      </c>
      <c r="M339" s="1333"/>
      <c r="N339" s="1333"/>
      <c r="O339" s="1333"/>
      <c r="P339" s="1333"/>
      <c r="Q339" s="1333"/>
      <c r="R339" s="1453"/>
      <c r="S339" s="1364"/>
      <c r="T339" s="1404"/>
      <c r="U339" s="1333"/>
      <c r="V339" s="1333"/>
      <c r="W339" s="1333"/>
      <c r="X339" s="1333"/>
      <c r="Y339" s="1333"/>
      <c r="Z339" s="1333"/>
      <c r="AA339" s="1333"/>
      <c r="AB339" s="1333"/>
      <c r="AC339" s="1333"/>
      <c r="AD339" s="1333"/>
      <c r="AE339" s="1333"/>
      <c r="AF339" s="1333"/>
      <c r="AG339" s="1333"/>
      <c r="AH339" s="1333"/>
      <c r="AI339" s="1333"/>
      <c r="AJ339" s="1333"/>
    </row>
    <row r="340" spans="1:49" ht="30" x14ac:dyDescent="0.25">
      <c r="A340" s="1407" t="str">
        <f>IF(COUNTIF('04 - 95% CD'!D340:G340,"Y")&gt;0,"Y",IF(COUNTIF('04 - 95% CD'!D340:G340,"N"),"N",""))</f>
        <v>Y</v>
      </c>
      <c r="B340" s="125"/>
      <c r="C340" s="944"/>
      <c r="D340" s="411"/>
      <c r="E340" s="559" t="str">
        <f>IF('C-Design&amp;Const'!$S340="","",'C-Design&amp;Const'!$S340)</f>
        <v>Y</v>
      </c>
      <c r="F340" s="321"/>
      <c r="G340" s="485"/>
      <c r="H340" s="244" t="str">
        <f>CONCATENATE(IF(F340="N","PLACEHOLDER ROW - ",""),'C-Design&amp;Const'!Z340,IF(F340="N","",J340))</f>
        <v>Building Automation Systems Drawings (HVAC Instrumentation and Control) (Including Bid Alts.)</v>
      </c>
      <c r="I340" s="146"/>
      <c r="J340" s="609" t="str">
        <f>IF('C-Design&amp;Const'!AJ340="","",'C-Design&amp;Const'!AJ340)</f>
        <v xml:space="preserve"> (Including Bid Alts.)</v>
      </c>
      <c r="K340" s="285" t="str">
        <f t="shared" ref="K340:K357" si="36">IF((COUNTIF(D340:F340,"Y")=COUNTIF(A340,"Y")),"match","no 95% match")</f>
        <v>match</v>
      </c>
      <c r="L340" s="1410" t="str">
        <f t="shared" ref="L340:L357" si="37">CONCATENATE(IF(ISNUMBER(SEARCH("Placeholder",H340))=TRUE,"&lt;---PM/Planner may hide PLACEHOLDER ROW",""))</f>
        <v/>
      </c>
      <c r="M340" s="1333"/>
      <c r="N340" s="1333"/>
      <c r="O340" s="1333"/>
      <c r="P340" s="1333"/>
      <c r="Q340" s="1333"/>
      <c r="R340" s="1453"/>
      <c r="S340" s="1364"/>
      <c r="T340" s="1404"/>
      <c r="U340" s="1333"/>
      <c r="V340" s="1333"/>
      <c r="W340" s="1333"/>
      <c r="X340" s="1333"/>
      <c r="Y340" s="1333"/>
      <c r="Z340" s="1333"/>
      <c r="AA340" s="1333"/>
      <c r="AB340" s="1333"/>
      <c r="AC340" s="1333"/>
      <c r="AD340" s="1333"/>
      <c r="AE340" s="1333"/>
      <c r="AF340" s="1333"/>
      <c r="AG340" s="1333"/>
      <c r="AH340" s="1333"/>
      <c r="AI340" s="1333"/>
      <c r="AJ340" s="1333"/>
    </row>
    <row r="341" spans="1:49" s="17" customFormat="1" x14ac:dyDescent="0.25">
      <c r="A341" s="1517" t="str">
        <f>IF(COUNTIF('04 - 95% CD'!D341:G341,"Y")&gt;0,"Y",IF(COUNTIF('04 - 95% CD'!D341:G341,"N"),"N",""))</f>
        <v>N</v>
      </c>
      <c r="B341" s="141"/>
      <c r="C341" s="944"/>
      <c r="D341" s="411"/>
      <c r="E341" s="321"/>
      <c r="F341" s="559" t="str">
        <f>IF('C-Design&amp;Const'!$S341="","",'C-Design&amp;Const'!$S341)</f>
        <v>N</v>
      </c>
      <c r="G341" s="491"/>
      <c r="H341" s="469" t="str">
        <f>CONCATENATE(IF(F341="N","PLACEHOLDER ROW - ",""),'C-Design&amp;Const'!Z341,IF(F341="N","",J341))</f>
        <v>PLACEHOLDER ROW - CUSTOM - Building Automation Systems</v>
      </c>
      <c r="I341" s="151"/>
      <c r="J341" s="609" t="str">
        <f>IF('C-Design&amp;Const'!AJ341="","",'C-Design&amp;Const'!AJ341)</f>
        <v>(Complete)</v>
      </c>
      <c r="K341" s="285" t="str">
        <f t="shared" si="36"/>
        <v>match</v>
      </c>
      <c r="L341" s="1410" t="str">
        <f t="shared" si="37"/>
        <v>&lt;---PM/Planner may hide PLACEHOLDER ROW</v>
      </c>
      <c r="M341" s="1333"/>
      <c r="N341" s="1333"/>
      <c r="O341" s="1333"/>
      <c r="P341" s="1333"/>
      <c r="Q341" s="1333"/>
      <c r="R341" s="1453"/>
      <c r="S341" s="1364"/>
      <c r="T341" s="1404"/>
      <c r="U341" s="1333"/>
      <c r="V341" s="1333"/>
      <c r="W341" s="1333"/>
      <c r="X341" s="1333"/>
      <c r="Y341" s="1333"/>
      <c r="Z341" s="1333"/>
      <c r="AA341" s="1333"/>
      <c r="AB341" s="1333"/>
      <c r="AC341" s="1333"/>
      <c r="AD341" s="1333"/>
      <c r="AE341" s="1333"/>
      <c r="AF341" s="1333"/>
      <c r="AG341" s="1333"/>
      <c r="AH341" s="1333"/>
      <c r="AI341" s="1333"/>
      <c r="AJ341" s="1333"/>
    </row>
    <row r="342" spans="1:49" s="17" customFormat="1" x14ac:dyDescent="0.25">
      <c r="A342" s="1517" t="str">
        <f>IF(COUNTIF('04 - 95% CD'!D342:G342,"Y")&gt;0,"Y",IF(COUNTIF('04 - 95% CD'!D342:G342,"N"),"N",""))</f>
        <v>N</v>
      </c>
      <c r="B342" s="141"/>
      <c r="C342" s="944"/>
      <c r="D342" s="411"/>
      <c r="E342" s="321"/>
      <c r="F342" s="559" t="str">
        <f>IF('C-Design&amp;Const'!$S342="","",'C-Design&amp;Const'!$S342)</f>
        <v>N</v>
      </c>
      <c r="G342" s="491"/>
      <c r="H342" s="469" t="str">
        <f>CONCATENATE(IF(F342="N","PLACEHOLDER ROW - ",""),'C-Design&amp;Const'!Z342,IF(F342="N","",J342))</f>
        <v>PLACEHOLDER ROW - CUSTOM - Building Automation Systems</v>
      </c>
      <c r="I342" s="151"/>
      <c r="J342" s="609" t="str">
        <f>IF('C-Design&amp;Const'!AJ342="","",'C-Design&amp;Const'!AJ342)</f>
        <v>(Complete)</v>
      </c>
      <c r="K342" s="285" t="str">
        <f t="shared" si="36"/>
        <v>match</v>
      </c>
      <c r="L342" s="1410" t="str">
        <f t="shared" si="37"/>
        <v>&lt;---PM/Planner may hide PLACEHOLDER ROW</v>
      </c>
      <c r="M342" s="1333"/>
      <c r="N342" s="1333"/>
      <c r="O342" s="1333"/>
      <c r="P342" s="1333"/>
      <c r="Q342" s="1333"/>
      <c r="R342" s="1453"/>
      <c r="S342" s="1364"/>
      <c r="T342" s="1404"/>
      <c r="U342" s="1333"/>
      <c r="V342" s="1333"/>
      <c r="W342" s="1333"/>
      <c r="X342" s="1333"/>
      <c r="Y342" s="1333"/>
      <c r="Z342" s="1333"/>
      <c r="AA342" s="1333"/>
      <c r="AB342" s="1333"/>
      <c r="AC342" s="1333"/>
      <c r="AD342" s="1333"/>
      <c r="AE342" s="1333"/>
      <c r="AF342" s="1333"/>
      <c r="AG342" s="1333"/>
      <c r="AH342" s="1333"/>
      <c r="AI342" s="1333"/>
      <c r="AJ342" s="1333"/>
    </row>
    <row r="343" spans="1:49" s="17" customFormat="1" x14ac:dyDescent="0.25">
      <c r="A343" s="1517" t="str">
        <f>IF(COUNTIF('04 - 95% CD'!D343:G343,"Y")&gt;0,"Y",IF(COUNTIF('04 - 95% CD'!D343:G343,"N"),"N",""))</f>
        <v>Y</v>
      </c>
      <c r="B343" s="141"/>
      <c r="C343" s="944"/>
      <c r="D343" s="411"/>
      <c r="E343" s="321"/>
      <c r="F343" s="559" t="str">
        <f>IF('C-Design&amp;Const'!$S343="","",'C-Design&amp;Const'!$S343)</f>
        <v>Y</v>
      </c>
      <c r="G343" s="491"/>
      <c r="H343" s="469" t="str">
        <f>CONCATENATE(IF(F343="N","PLACEHOLDER ROW - ",""),'C-Design&amp;Const'!Z343,IF(F343="N","",J343))</f>
        <v>Building Automation Symbols, Abbreviations, and General Notes (Complete)</v>
      </c>
      <c r="I343" s="151"/>
      <c r="J343" s="609" t="str">
        <f>IF('C-Design&amp;Const'!AJ343="","",'C-Design&amp;Const'!AJ343)</f>
        <v>(Complete)</v>
      </c>
      <c r="K343" s="285" t="str">
        <f t="shared" si="36"/>
        <v>match</v>
      </c>
      <c r="L343" s="1410" t="str">
        <f t="shared" si="37"/>
        <v/>
      </c>
      <c r="M343" s="1333"/>
      <c r="N343" s="1333"/>
      <c r="O343" s="1333"/>
      <c r="P343" s="1333"/>
      <c r="Q343" s="1333"/>
      <c r="R343" s="1453"/>
      <c r="S343" s="1364"/>
      <c r="T343" s="1404"/>
      <c r="U343" s="1333"/>
      <c r="V343" s="1333"/>
      <c r="W343" s="1333"/>
      <c r="X343" s="1333"/>
      <c r="Y343" s="1333"/>
      <c r="Z343" s="1333"/>
      <c r="AA343" s="1333"/>
      <c r="AB343" s="1333"/>
      <c r="AC343" s="1333"/>
      <c r="AD343" s="1333"/>
      <c r="AE343" s="1333"/>
      <c r="AF343" s="1333"/>
      <c r="AG343" s="1333"/>
      <c r="AH343" s="1333"/>
      <c r="AI343" s="1333"/>
      <c r="AJ343" s="1333"/>
    </row>
    <row r="344" spans="1:49" s="17" customFormat="1" x14ac:dyDescent="0.25">
      <c r="A344" s="1517" t="str">
        <f>IF(COUNTIF('04 - 95% CD'!D344:G344,"Y")&gt;0,"Y",IF(COUNTIF('04 - 95% CD'!D344:G344,"N"),"N",""))</f>
        <v>Y</v>
      </c>
      <c r="B344" s="141"/>
      <c r="C344" s="944"/>
      <c r="D344" s="411"/>
      <c r="E344" s="321"/>
      <c r="F344" s="559" t="str">
        <f>IF('C-Design&amp;Const'!$S344="","",'C-Design&amp;Const'!$S344)</f>
        <v>Y</v>
      </c>
      <c r="G344" s="491"/>
      <c r="H344" s="469" t="str">
        <f>CONCATENATE(IF(F344="N","PLACEHOLDER ROW - ",""),'C-Design&amp;Const'!Z344,IF(F344="N","",J344))</f>
        <v>Building Automation Systems Demolition(s) (Complete)</v>
      </c>
      <c r="I344" s="151"/>
      <c r="J344" s="609" t="str">
        <f>IF('C-Design&amp;Const'!AJ344="","",'C-Design&amp;Const'!AJ344)</f>
        <v>(Complete)</v>
      </c>
      <c r="K344" s="285" t="str">
        <f t="shared" si="36"/>
        <v>match</v>
      </c>
      <c r="L344" s="1410" t="str">
        <f t="shared" si="37"/>
        <v/>
      </c>
      <c r="M344" s="1333"/>
      <c r="N344" s="1333"/>
      <c r="O344" s="1333"/>
      <c r="P344" s="1333"/>
      <c r="Q344" s="1333"/>
      <c r="R344" s="1453"/>
      <c r="S344" s="1364"/>
      <c r="T344" s="1404"/>
      <c r="U344" s="1333"/>
      <c r="V344" s="1333"/>
      <c r="W344" s="1333"/>
      <c r="X344" s="1333"/>
      <c r="Y344" s="1333"/>
      <c r="Z344" s="1333"/>
      <c r="AA344" s="1333"/>
      <c r="AB344" s="1333"/>
      <c r="AC344" s="1333"/>
      <c r="AD344" s="1333"/>
      <c r="AE344" s="1333"/>
      <c r="AF344" s="1333"/>
      <c r="AG344" s="1333"/>
      <c r="AH344" s="1333"/>
      <c r="AI344" s="1333"/>
      <c r="AJ344" s="1333"/>
    </row>
    <row r="345" spans="1:49" ht="30" x14ac:dyDescent="0.25">
      <c r="A345" s="1520" t="str">
        <f>IF(COUNTIF('04 - 95% CD'!D345:G345,"Y")&gt;0,"Y",IF(COUNTIF('04 - 95% CD'!D345:G345,"N"),"N",""))</f>
        <v>Y</v>
      </c>
      <c r="B345" s="125"/>
      <c r="C345" s="944"/>
      <c r="D345" s="411"/>
      <c r="E345" s="321"/>
      <c r="F345" s="559" t="str">
        <f>IF('C-Design&amp;Const'!$S345="","",'C-Design&amp;Const'!$S345)</f>
        <v>Y</v>
      </c>
      <c r="G345" s="485"/>
      <c r="H345" s="469" t="str">
        <f>CONCATENATE(IF(F345="N","PLACEHOLDER ROW - ",""),'C-Design&amp;Const'!Z345,IF(F345="N","",J345))</f>
        <v>Building Automation Floor Plans and Approximate Control Panel Locations &amp; Other Instruments or Device Locations (Complete)</v>
      </c>
      <c r="I345" s="137"/>
      <c r="J345" s="609" t="str">
        <f>IF('C-Design&amp;Const'!AJ345="","",'C-Design&amp;Const'!AJ345)</f>
        <v>(Complete)</v>
      </c>
      <c r="K345" s="285" t="str">
        <f t="shared" si="36"/>
        <v>match</v>
      </c>
      <c r="L345" s="1410" t="str">
        <f t="shared" si="37"/>
        <v/>
      </c>
      <c r="M345" s="1333"/>
      <c r="N345" s="1333"/>
      <c r="O345" s="1333"/>
      <c r="P345" s="1333"/>
      <c r="Q345" s="1333"/>
      <c r="R345" s="1453"/>
      <c r="S345" s="1364"/>
      <c r="T345" s="1404"/>
      <c r="U345" s="1333"/>
      <c r="V345" s="1333"/>
      <c r="W345" s="1333"/>
      <c r="X345" s="1333"/>
      <c r="Y345" s="1333"/>
      <c r="Z345" s="1333"/>
      <c r="AA345" s="1333"/>
      <c r="AB345" s="1333"/>
      <c r="AC345" s="1333"/>
      <c r="AD345" s="1333"/>
      <c r="AE345" s="1333"/>
      <c r="AF345" s="1333"/>
      <c r="AG345" s="1333"/>
      <c r="AH345" s="1333"/>
      <c r="AI345" s="1333"/>
      <c r="AJ345" s="1333"/>
    </row>
    <row r="346" spans="1:49" ht="30" x14ac:dyDescent="0.25">
      <c r="A346" s="1520" t="str">
        <f>IF(COUNTIF('04 - 95% CD'!D346:G346,"Y")&gt;0,"Y",IF(COUNTIF('04 - 95% CD'!D346:G346,"N"),"N",""))</f>
        <v>Y</v>
      </c>
      <c r="B346" s="125"/>
      <c r="C346" s="944"/>
      <c r="D346" s="411"/>
      <c r="E346" s="321"/>
      <c r="F346" s="559" t="str">
        <f>IF('C-Design&amp;Const'!$S346="","",'C-Design&amp;Const'!$S346)</f>
        <v>Y</v>
      </c>
      <c r="G346" s="485"/>
      <c r="H346" s="469" t="str">
        <f>CONCATENATE(IF(F346="N","PLACEHOLDER ROW - ",""),'C-Design&amp;Const'!Z346,IF(F346="N","",J346))</f>
        <v>Building Automation Systems Diagrams, Points List (Diagrammatical or Spreadsheet), Device Schedule, and Sequences of Operation (Complete)</v>
      </c>
      <c r="I346" s="137"/>
      <c r="J346" s="609" t="str">
        <f>IF('C-Design&amp;Const'!AJ346="","",'C-Design&amp;Const'!AJ346)</f>
        <v>(Complete)</v>
      </c>
      <c r="K346" s="285" t="str">
        <f t="shared" si="36"/>
        <v>match</v>
      </c>
      <c r="L346" s="1410" t="str">
        <f t="shared" si="37"/>
        <v/>
      </c>
      <c r="M346" s="1333"/>
      <c r="N346" s="1333"/>
      <c r="O346" s="1333"/>
      <c r="P346" s="1333"/>
      <c r="Q346" s="1333"/>
      <c r="R346" s="1284"/>
      <c r="S346" s="1513"/>
      <c r="T346" s="1404"/>
      <c r="U346" s="1333"/>
      <c r="V346" s="1333"/>
      <c r="W346" s="1333"/>
      <c r="X346" s="1333"/>
      <c r="Y346" s="1333"/>
      <c r="Z346" s="1333"/>
      <c r="AA346" s="1333"/>
      <c r="AB346" s="1333"/>
      <c r="AC346" s="1333"/>
      <c r="AD346" s="1333"/>
      <c r="AE346" s="1333"/>
      <c r="AF346" s="1333"/>
      <c r="AG346" s="1333"/>
      <c r="AH346" s="1333"/>
      <c r="AI346" s="1333"/>
      <c r="AJ346" s="1333"/>
    </row>
    <row r="347" spans="1:49" s="30" customFormat="1" ht="15.75" customHeight="1" x14ac:dyDescent="0.2">
      <c r="A347" s="1517" t="str">
        <f>IF(COUNTIF('04 - 95% CD'!D347:G347,"Y")&gt;0,"Y",IF(COUNTIF('04 - 95% CD'!D347:G347,"N"),"N",""))</f>
        <v>Y</v>
      </c>
      <c r="B347" s="191"/>
      <c r="C347" s="944"/>
      <c r="D347" s="463"/>
      <c r="E347" s="463"/>
      <c r="F347" s="359" t="str">
        <f>IF('C-Design&amp;Const'!$S347="","",'C-Design&amp;Const'!$S347)</f>
        <v>Y</v>
      </c>
      <c r="G347" s="291"/>
      <c r="H347" s="469" t="str">
        <f>CONCATENATE(IF(F347="N","PLACEHOLDER ROW - ",""),'C-Design&amp;Const'!Z347,IF(F347="N","",J347))</f>
        <v>Building Network Connections and Integration (Complete)</v>
      </c>
      <c r="I347" s="184"/>
      <c r="J347" s="609" t="str">
        <f>IF('C-Design&amp;Const'!AJ347="","",'C-Design&amp;Const'!AJ347)</f>
        <v>(Complete)</v>
      </c>
      <c r="K347" s="285" t="str">
        <f t="shared" si="36"/>
        <v>match</v>
      </c>
      <c r="L347" s="1410" t="str">
        <f t="shared" si="37"/>
        <v/>
      </c>
      <c r="M347" s="1382"/>
      <c r="N347" s="1382"/>
      <c r="O347" s="1382"/>
      <c r="P347" s="1382"/>
      <c r="Q347" s="1382"/>
      <c r="R347" s="1382"/>
      <c r="S347" s="1382"/>
      <c r="T347" s="1382"/>
      <c r="U347" s="1382"/>
      <c r="V347" s="1382"/>
      <c r="W347" s="1382"/>
      <c r="X347" s="1382"/>
      <c r="Y347" s="1382"/>
      <c r="Z347" s="1382"/>
      <c r="AA347" s="1382"/>
      <c r="AB347" s="1382"/>
      <c r="AC347" s="1382"/>
      <c r="AD347" s="1382"/>
      <c r="AE347" s="1382"/>
      <c r="AF347" s="1382"/>
      <c r="AG347" s="1382"/>
      <c r="AH347" s="1382"/>
      <c r="AI347" s="1382"/>
      <c r="AJ347" s="1382"/>
      <c r="AK347" s="181"/>
      <c r="AL347" s="181"/>
      <c r="AM347" s="181"/>
      <c r="AN347" s="181"/>
      <c r="AO347" s="181"/>
      <c r="AP347" s="181"/>
      <c r="AQ347" s="181"/>
      <c r="AR347" s="181"/>
      <c r="AS347" s="181"/>
      <c r="AT347" s="181"/>
      <c r="AU347" s="181"/>
      <c r="AV347" s="181"/>
      <c r="AW347" s="181"/>
    </row>
    <row r="348" spans="1:49" s="30" customFormat="1" ht="15" customHeight="1" x14ac:dyDescent="0.2">
      <c r="A348" s="1517" t="str">
        <f>IF(COUNTIF('04 - 95% CD'!D348:G348,"Y")&gt;0,"Y",IF(COUNTIF('04 - 95% CD'!D348:G348,"N"),"N",""))</f>
        <v>Y</v>
      </c>
      <c r="B348" s="191"/>
      <c r="C348" s="944"/>
      <c r="D348" s="463"/>
      <c r="E348" s="463"/>
      <c r="F348" s="359" t="str">
        <f>IF('C-Design&amp;Const'!$S348="","",'C-Design&amp;Const'!$S348)</f>
        <v>Y</v>
      </c>
      <c r="G348" s="291"/>
      <c r="H348" s="469" t="str">
        <f>CONCATENATE(IF(F348="N","PLACEHOLDER ROW - ",""),'C-Design&amp;Const'!Z348,IF(F348="N","",J348))</f>
        <v>Temperature Controls Building Automation Systems - Sequence of Operation (Complete)</v>
      </c>
      <c r="I348" s="184"/>
      <c r="J348" s="609" t="str">
        <f>IF('C-Design&amp;Const'!AJ348="","",'C-Design&amp;Const'!AJ348)</f>
        <v>(Complete)</v>
      </c>
      <c r="K348" s="285" t="str">
        <f t="shared" si="36"/>
        <v>match</v>
      </c>
      <c r="L348" s="1410" t="str">
        <f t="shared" si="37"/>
        <v/>
      </c>
      <c r="M348" s="1382"/>
      <c r="N348" s="1382"/>
      <c r="O348" s="1382"/>
      <c r="P348" s="1382"/>
      <c r="Q348" s="1382"/>
      <c r="R348" s="1382"/>
      <c r="S348" s="1382"/>
      <c r="T348" s="1382"/>
      <c r="U348" s="1382"/>
      <c r="V348" s="1382"/>
      <c r="W348" s="1382"/>
      <c r="X348" s="1382"/>
      <c r="Y348" s="1382"/>
      <c r="Z348" s="1382"/>
      <c r="AA348" s="1382"/>
      <c r="AB348" s="1382"/>
      <c r="AC348" s="1382"/>
      <c r="AD348" s="1382"/>
      <c r="AE348" s="1382"/>
      <c r="AF348" s="1382"/>
      <c r="AG348" s="1382"/>
      <c r="AH348" s="1382"/>
      <c r="AI348" s="1382"/>
      <c r="AJ348" s="1382"/>
      <c r="AK348" s="181"/>
      <c r="AL348" s="181"/>
      <c r="AM348" s="181"/>
      <c r="AN348" s="181"/>
      <c r="AO348" s="181"/>
      <c r="AP348" s="181"/>
      <c r="AQ348" s="181"/>
      <c r="AR348" s="181"/>
      <c r="AS348" s="181"/>
      <c r="AT348" s="181"/>
      <c r="AU348" s="181"/>
      <c r="AV348" s="181"/>
      <c r="AW348" s="181"/>
    </row>
    <row r="349" spans="1:49" x14ac:dyDescent="0.25">
      <c r="A349" s="1520" t="str">
        <f>IF(COUNTIF('04 - 95% CD'!D349:G349,"Y")&gt;0,"Y",IF(COUNTIF('04 - 95% CD'!D349:G349,"N"),"N",""))</f>
        <v>Y</v>
      </c>
      <c r="B349" s="125"/>
      <c r="C349" s="944"/>
      <c r="D349" s="411"/>
      <c r="E349" s="321"/>
      <c r="F349" s="559" t="str">
        <f>IF('C-Design&amp;Const'!$S349="","",'C-Design&amp;Const'!$S349)</f>
        <v>Y</v>
      </c>
      <c r="G349" s="485"/>
      <c r="H349" s="469" t="str">
        <f>CONCATENATE(IF(F349="N","PLACEHOLDER ROW - ",""),'C-Design&amp;Const'!Z349,IF(F349="N","",J349))</f>
        <v>Building Automation Systems Details (Complete)</v>
      </c>
      <c r="I349" s="137"/>
      <c r="J349" s="609" t="str">
        <f>IF('C-Design&amp;Const'!AJ349="","",'C-Design&amp;Const'!AJ349)</f>
        <v>(Complete)</v>
      </c>
      <c r="K349" s="285" t="str">
        <f t="shared" si="36"/>
        <v>match</v>
      </c>
      <c r="L349" s="1410" t="str">
        <f t="shared" si="37"/>
        <v/>
      </c>
      <c r="M349" s="1333"/>
      <c r="N349" s="1333"/>
      <c r="O349" s="1333"/>
      <c r="P349" s="1333"/>
      <c r="Q349" s="1333"/>
      <c r="R349" s="1284"/>
      <c r="S349" s="1513"/>
      <c r="T349" s="1404"/>
      <c r="U349" s="1333"/>
      <c r="V349" s="1333"/>
      <c r="W349" s="1333"/>
      <c r="X349" s="1333"/>
      <c r="Y349" s="1333"/>
      <c r="Z349" s="1333"/>
      <c r="AA349" s="1333"/>
      <c r="AB349" s="1333"/>
      <c r="AC349" s="1333"/>
      <c r="AD349" s="1333"/>
      <c r="AE349" s="1333"/>
      <c r="AF349" s="1333"/>
      <c r="AG349" s="1333"/>
      <c r="AH349" s="1333"/>
      <c r="AI349" s="1333"/>
      <c r="AJ349" s="1333"/>
    </row>
    <row r="350" spans="1:49" x14ac:dyDescent="0.25">
      <c r="A350" s="1407" t="str">
        <f>IF(COUNTIF('04 - 95% CD'!D350:G350,"Y")&gt;0,"Y",IF(COUNTIF('04 - 95% CD'!D350:G350,"N"),"N",""))</f>
        <v>Y</v>
      </c>
      <c r="B350" s="125"/>
      <c r="C350" s="944"/>
      <c r="D350" s="411"/>
      <c r="E350" s="559" t="str">
        <f>IF('C-Design&amp;Const'!$S350="","",'C-Design&amp;Const'!$S350)</f>
        <v>Y</v>
      </c>
      <c r="F350" s="321"/>
      <c r="G350" s="485"/>
      <c r="H350" s="244" t="str">
        <f>CONCATENATE(IF(F350="N","PLACEHOLDER ROW - ",""),'C-Design&amp;Const'!Z350,IF(F350="N","",J350))</f>
        <v>Access Controls Drawings (Including Bid Alts.)</v>
      </c>
      <c r="I350" s="146"/>
      <c r="J350" s="609" t="str">
        <f>IF('C-Design&amp;Const'!AJ350="","",'C-Design&amp;Const'!AJ350)</f>
        <v xml:space="preserve"> (Including Bid Alts.)</v>
      </c>
      <c r="K350" s="285" t="str">
        <f t="shared" si="36"/>
        <v>match</v>
      </c>
      <c r="L350" s="1410" t="str">
        <f t="shared" si="37"/>
        <v/>
      </c>
      <c r="M350" s="1333"/>
      <c r="N350" s="1333"/>
      <c r="O350" s="1333"/>
      <c r="P350" s="1333"/>
      <c r="Q350" s="1333"/>
      <c r="R350" s="1453"/>
      <c r="S350" s="1364"/>
      <c r="T350" s="1404"/>
      <c r="U350" s="1333"/>
      <c r="V350" s="1333"/>
      <c r="W350" s="1333"/>
      <c r="X350" s="1333"/>
      <c r="Y350" s="1333"/>
      <c r="Z350" s="1333"/>
      <c r="AA350" s="1333"/>
      <c r="AB350" s="1333"/>
      <c r="AC350" s="1333"/>
      <c r="AD350" s="1333"/>
      <c r="AE350" s="1333"/>
      <c r="AF350" s="1333"/>
      <c r="AG350" s="1333"/>
      <c r="AH350" s="1333"/>
      <c r="AI350" s="1333"/>
      <c r="AJ350" s="1333"/>
    </row>
    <row r="351" spans="1:49" s="17" customFormat="1" x14ac:dyDescent="0.25">
      <c r="A351" s="1517" t="str">
        <f>IF(COUNTIF('04 - 95% CD'!D351:G351,"Y")&gt;0,"Y",IF(COUNTIF('04 - 95% CD'!D351:G351,"N"),"N",""))</f>
        <v>N</v>
      </c>
      <c r="B351" s="141"/>
      <c r="C351" s="944"/>
      <c r="D351" s="411"/>
      <c r="E351" s="321"/>
      <c r="F351" s="559" t="str">
        <f>IF('C-Design&amp;Const'!$S351="","",'C-Design&amp;Const'!$S351)</f>
        <v>N</v>
      </c>
      <c r="G351" s="491"/>
      <c r="H351" s="469" t="str">
        <f>CONCATENATE(IF(F351="N","PLACEHOLDER ROW - ",""),'C-Design&amp;Const'!Z351,IF(F351="N","",J351))</f>
        <v xml:space="preserve">PLACEHOLDER ROW - CUSTOM Access Controls </v>
      </c>
      <c r="I351" s="151"/>
      <c r="J351" s="609" t="str">
        <f>IF('C-Design&amp;Const'!AJ351="","",'C-Design&amp;Const'!AJ351)</f>
        <v>(Complete)</v>
      </c>
      <c r="K351" s="285" t="str">
        <f t="shared" si="36"/>
        <v>match</v>
      </c>
      <c r="L351" s="1410" t="str">
        <f t="shared" si="37"/>
        <v>&lt;---PM/Planner may hide PLACEHOLDER ROW</v>
      </c>
      <c r="M351" s="1333"/>
      <c r="N351" s="1333"/>
      <c r="O351" s="1333"/>
      <c r="P351" s="1333"/>
      <c r="Q351" s="1333"/>
      <c r="R351" s="1453"/>
      <c r="S351" s="1364"/>
      <c r="T351" s="1404"/>
      <c r="U351" s="1333"/>
      <c r="V351" s="1333"/>
      <c r="W351" s="1333"/>
      <c r="X351" s="1333"/>
      <c r="Y351" s="1333"/>
      <c r="Z351" s="1333"/>
      <c r="AA351" s="1333"/>
      <c r="AB351" s="1333"/>
      <c r="AC351" s="1333"/>
      <c r="AD351" s="1333"/>
      <c r="AE351" s="1333"/>
      <c r="AF351" s="1333"/>
      <c r="AG351" s="1333"/>
      <c r="AH351" s="1333"/>
      <c r="AI351" s="1333"/>
      <c r="AJ351" s="1333"/>
    </row>
    <row r="352" spans="1:49" s="17" customFormat="1" x14ac:dyDescent="0.25">
      <c r="A352" s="1517" t="str">
        <f>IF(COUNTIF('04 - 95% CD'!D352:G352,"Y")&gt;0,"Y",IF(COUNTIF('04 - 95% CD'!D352:G352,"N"),"N",""))</f>
        <v>N</v>
      </c>
      <c r="B352" s="141"/>
      <c r="C352" s="944"/>
      <c r="D352" s="411"/>
      <c r="E352" s="321"/>
      <c r="F352" s="559" t="str">
        <f>IF('C-Design&amp;Const'!$S352="","",'C-Design&amp;Const'!$S352)</f>
        <v>N</v>
      </c>
      <c r="G352" s="491"/>
      <c r="H352" s="469" t="str">
        <f>CONCATENATE(IF(F352="N","PLACEHOLDER ROW - ",""),'C-Design&amp;Const'!Z352,IF(F352="N","",J352))</f>
        <v xml:space="preserve">PLACEHOLDER ROW - CUSTOM Access Controls </v>
      </c>
      <c r="I352" s="151"/>
      <c r="J352" s="609" t="str">
        <f>IF('C-Design&amp;Const'!AJ352="","",'C-Design&amp;Const'!AJ352)</f>
        <v>(Complete)</v>
      </c>
      <c r="K352" s="285" t="str">
        <f t="shared" si="36"/>
        <v>match</v>
      </c>
      <c r="L352" s="1410" t="str">
        <f t="shared" si="37"/>
        <v>&lt;---PM/Planner may hide PLACEHOLDER ROW</v>
      </c>
      <c r="M352" s="1333"/>
      <c r="N352" s="1333"/>
      <c r="O352" s="1333"/>
      <c r="P352" s="1333"/>
      <c r="Q352" s="1333"/>
      <c r="R352" s="1453"/>
      <c r="S352" s="1364"/>
      <c r="T352" s="1404"/>
      <c r="U352" s="1333"/>
      <c r="V352" s="1333"/>
      <c r="W352" s="1333"/>
      <c r="X352" s="1333"/>
      <c r="Y352" s="1333"/>
      <c r="Z352" s="1333"/>
      <c r="AA352" s="1333"/>
      <c r="AB352" s="1333"/>
      <c r="AC352" s="1333"/>
      <c r="AD352" s="1333"/>
      <c r="AE352" s="1333"/>
      <c r="AF352" s="1333"/>
      <c r="AG352" s="1333"/>
      <c r="AH352" s="1333"/>
      <c r="AI352" s="1333"/>
      <c r="AJ352" s="1333"/>
    </row>
    <row r="353" spans="1:49" s="17" customFormat="1" x14ac:dyDescent="0.25">
      <c r="A353" s="1517" t="str">
        <f>IF(COUNTIF('04 - 95% CD'!D353:G353,"Y")&gt;0,"Y",IF(COUNTIF('04 - 95% CD'!D353:G353,"N"),"N",""))</f>
        <v>Y</v>
      </c>
      <c r="B353" s="141"/>
      <c r="C353" s="944"/>
      <c r="D353" s="411"/>
      <c r="E353" s="321"/>
      <c r="F353" s="559" t="str">
        <f>IF('C-Design&amp;Const'!$S353="","",'C-Design&amp;Const'!$S353)</f>
        <v>Y</v>
      </c>
      <c r="G353" s="491"/>
      <c r="H353" s="469" t="str">
        <f>CONCATENATE(IF(F353="N","PLACEHOLDER ROW - ",""),'C-Design&amp;Const'!Z353,IF(F353="N","",J353))</f>
        <v>Access Control Symbols, Abbreviations, and General Notes (Complete)</v>
      </c>
      <c r="I353" s="151"/>
      <c r="J353" s="609" t="str">
        <f>IF('C-Design&amp;Const'!AJ353="","",'C-Design&amp;Const'!AJ353)</f>
        <v>(Complete)</v>
      </c>
      <c r="K353" s="285" t="str">
        <f t="shared" ref="K353:K354" si="38">IF((COUNTIF(D353:F353,"Y")=COUNTIF(A353,"Y")),"match","no 95% match")</f>
        <v>match</v>
      </c>
      <c r="L353" s="1410" t="str">
        <f t="shared" ref="L353:L354" si="39">CONCATENATE(IF(ISNUMBER(SEARCH("Placeholder",H353))=TRUE,"&lt;---PM/Planner may hide PLACEHOLDER ROW",""))</f>
        <v/>
      </c>
      <c r="M353" s="1333"/>
      <c r="N353" s="1333"/>
      <c r="O353" s="1333"/>
      <c r="P353" s="1333"/>
      <c r="Q353" s="1333"/>
      <c r="R353" s="1453"/>
      <c r="S353" s="1364"/>
      <c r="T353" s="1404"/>
      <c r="U353" s="1333"/>
      <c r="V353" s="1333"/>
      <c r="W353" s="1333"/>
      <c r="X353" s="1333"/>
      <c r="Y353" s="1333"/>
      <c r="Z353" s="1333"/>
      <c r="AA353" s="1333"/>
      <c r="AB353" s="1333"/>
      <c r="AC353" s="1333"/>
      <c r="AD353" s="1333"/>
      <c r="AE353" s="1333"/>
      <c r="AF353" s="1333"/>
      <c r="AG353" s="1333"/>
      <c r="AH353" s="1333"/>
      <c r="AI353" s="1333"/>
      <c r="AJ353" s="1333"/>
    </row>
    <row r="354" spans="1:49" s="17" customFormat="1" x14ac:dyDescent="0.25">
      <c r="A354" s="1517" t="str">
        <f>IF(COUNTIF('04 - 95% CD'!D354:G354,"Y")&gt;0,"Y",IF(COUNTIF('04 - 95% CD'!D354:G354,"N"),"N",""))</f>
        <v>Y</v>
      </c>
      <c r="B354" s="141"/>
      <c r="C354" s="944"/>
      <c r="D354" s="411"/>
      <c r="E354" s="321"/>
      <c r="F354" s="559" t="str">
        <f>IF('C-Design&amp;Const'!$S354="","",'C-Design&amp;Const'!$S354)</f>
        <v>Y</v>
      </c>
      <c r="G354" s="491"/>
      <c r="H354" s="469" t="str">
        <f>CONCATENATE(IF(F354="N","PLACEHOLDER ROW - ",""),'C-Design&amp;Const'!Z354,IF(F354="N","",J354))</f>
        <v>Access Control Demolition(s) (Complete)</v>
      </c>
      <c r="I354" s="151"/>
      <c r="J354" s="609" t="str">
        <f>IF('C-Design&amp;Const'!AJ354="","",'C-Design&amp;Const'!AJ354)</f>
        <v>(Complete)</v>
      </c>
      <c r="K354" s="285" t="str">
        <f t="shared" si="38"/>
        <v>match</v>
      </c>
      <c r="L354" s="1410" t="str">
        <f t="shared" si="39"/>
        <v/>
      </c>
      <c r="M354" s="1333"/>
      <c r="N354" s="1333"/>
      <c r="O354" s="1333"/>
      <c r="P354" s="1333"/>
      <c r="Q354" s="1333"/>
      <c r="R354" s="1453"/>
      <c r="S354" s="1364"/>
      <c r="T354" s="1404"/>
      <c r="U354" s="1333"/>
      <c r="V354" s="1333"/>
      <c r="W354" s="1333"/>
      <c r="X354" s="1333"/>
      <c r="Y354" s="1333"/>
      <c r="Z354" s="1333"/>
      <c r="AA354" s="1333"/>
      <c r="AB354" s="1333"/>
      <c r="AC354" s="1333"/>
      <c r="AD354" s="1333"/>
      <c r="AE354" s="1333"/>
      <c r="AF354" s="1333"/>
      <c r="AG354" s="1333"/>
      <c r="AH354" s="1333"/>
      <c r="AI354" s="1333"/>
      <c r="AJ354" s="1333"/>
    </row>
    <row r="355" spans="1:49" x14ac:dyDescent="0.25">
      <c r="A355" s="1520" t="str">
        <f>IF(COUNTIF('04 - 95% CD'!D355:G355,"Y")&gt;0,"Y",IF(COUNTIF('04 - 95% CD'!D355:G355,"N"),"N",""))</f>
        <v>Y</v>
      </c>
      <c r="B355" s="125"/>
      <c r="C355" s="944"/>
      <c r="D355" s="411"/>
      <c r="E355" s="321"/>
      <c r="F355" s="559" t="str">
        <f>IF('C-Design&amp;Const'!$S355="","",'C-Design&amp;Const'!$S355)</f>
        <v>Y</v>
      </c>
      <c r="G355" s="485"/>
      <c r="H355" s="469" t="str">
        <f>CONCATENATE(IF(F355="N","PLACEHOLDER ROW - ",""),'C-Design&amp;Const'!Z355,IF(F355="N","",J355))</f>
        <v>Access Control Floor Plans (Complete)</v>
      </c>
      <c r="I355" s="137"/>
      <c r="J355" s="609" t="str">
        <f>IF('C-Design&amp;Const'!AJ355="","",'C-Design&amp;Const'!AJ355)</f>
        <v>(Complete)</v>
      </c>
      <c r="K355" s="285" t="str">
        <f t="shared" si="36"/>
        <v>match</v>
      </c>
      <c r="L355" s="1410" t="str">
        <f t="shared" si="37"/>
        <v/>
      </c>
      <c r="M355" s="1333"/>
      <c r="N355" s="1333"/>
      <c r="O355" s="1333"/>
      <c r="P355" s="1333"/>
      <c r="Q355" s="1333"/>
      <c r="R355" s="1453"/>
      <c r="S355" s="1364"/>
      <c r="T355" s="1404"/>
      <c r="U355" s="1333"/>
      <c r="V355" s="1333"/>
      <c r="W355" s="1333"/>
      <c r="X355" s="1333"/>
      <c r="Y355" s="1333"/>
      <c r="Z355" s="1333"/>
      <c r="AA355" s="1333"/>
      <c r="AB355" s="1333"/>
      <c r="AC355" s="1333"/>
      <c r="AD355" s="1333"/>
      <c r="AE355" s="1333"/>
      <c r="AF355" s="1333"/>
      <c r="AG355" s="1333"/>
      <c r="AH355" s="1333"/>
      <c r="AI355" s="1333"/>
      <c r="AJ355" s="1333"/>
    </row>
    <row r="356" spans="1:49" x14ac:dyDescent="0.25">
      <c r="A356" s="1520" t="str">
        <f>IF(COUNTIF('04 - 95% CD'!D356:G356,"Y")&gt;0,"Y",IF(COUNTIF('04 - 95% CD'!D356:G356,"N"),"N",""))</f>
        <v>Y</v>
      </c>
      <c r="B356" s="125"/>
      <c r="C356" s="944"/>
      <c r="D356" s="411"/>
      <c r="E356" s="321"/>
      <c r="F356" s="559" t="str">
        <f>IF('C-Design&amp;Const'!$S356="","",'C-Design&amp;Const'!$S356)</f>
        <v>Y</v>
      </c>
      <c r="G356" s="485"/>
      <c r="H356" s="469" t="str">
        <f>CONCATENATE(IF(F356="N","PLACEHOLDER ROW - ",""),'C-Design&amp;Const'!Z356,IF(F356="N","",J356))</f>
        <v>Access Control Logic Diagrams, Points Lists and Device Schedule (Complete)</v>
      </c>
      <c r="I356" s="137"/>
      <c r="J356" s="609" t="str">
        <f>IF('C-Design&amp;Const'!AJ356="","",'C-Design&amp;Const'!AJ356)</f>
        <v>(Complete)</v>
      </c>
      <c r="K356" s="285" t="str">
        <f t="shared" si="36"/>
        <v>match</v>
      </c>
      <c r="L356" s="1410" t="str">
        <f t="shared" si="37"/>
        <v/>
      </c>
      <c r="M356" s="1333"/>
      <c r="N356" s="1333"/>
      <c r="O356" s="1333"/>
      <c r="P356" s="1333"/>
      <c r="Q356" s="1333"/>
      <c r="R356" s="1453"/>
      <c r="S356" s="1364"/>
      <c r="T356" s="1404"/>
      <c r="U356" s="1333"/>
      <c r="V356" s="1333"/>
      <c r="W356" s="1333"/>
      <c r="X356" s="1333"/>
      <c r="Y356" s="1333"/>
      <c r="Z356" s="1333"/>
      <c r="AA356" s="1333"/>
      <c r="AB356" s="1333"/>
      <c r="AC356" s="1333"/>
      <c r="AD356" s="1333"/>
      <c r="AE356" s="1333"/>
      <c r="AF356" s="1333"/>
      <c r="AG356" s="1333"/>
      <c r="AH356" s="1333"/>
      <c r="AI356" s="1333"/>
      <c r="AJ356" s="1333"/>
    </row>
    <row r="357" spans="1:49" x14ac:dyDescent="0.25">
      <c r="A357" s="1520" t="str">
        <f>IF(COUNTIF('04 - 95% CD'!D357:G357,"Y")&gt;0,"Y",IF(COUNTIF('04 - 95% CD'!D357:G357,"N"),"N",""))</f>
        <v>Y</v>
      </c>
      <c r="B357" s="125"/>
      <c r="C357" s="944"/>
      <c r="D357" s="411"/>
      <c r="E357" s="321"/>
      <c r="F357" s="559" t="str">
        <f>IF('C-Design&amp;Const'!$S357="","",'C-Design&amp;Const'!$S357)</f>
        <v>Y</v>
      </c>
      <c r="G357" s="485"/>
      <c r="H357" s="469" t="str">
        <f>CONCATENATE(IF(F357="N","PLACEHOLDER ROW - ",""),'C-Design&amp;Const'!Z357,IF(F357="N","",J357))</f>
        <v>Access Control Details (Complete)</v>
      </c>
      <c r="I357" s="137"/>
      <c r="J357" s="609" t="str">
        <f>IF('C-Design&amp;Const'!AJ357="","",'C-Design&amp;Const'!AJ357)</f>
        <v>(Complete)</v>
      </c>
      <c r="K357" s="285" t="str">
        <f t="shared" si="36"/>
        <v>match</v>
      </c>
      <c r="L357" s="1410" t="str">
        <f t="shared" si="37"/>
        <v/>
      </c>
      <c r="M357" s="1333"/>
      <c r="N357" s="1333"/>
      <c r="O357" s="1333"/>
      <c r="P357" s="1333"/>
      <c r="Q357" s="1333"/>
      <c r="R357" s="1453"/>
      <c r="S357" s="1364"/>
      <c r="T357" s="1404"/>
      <c r="U357" s="1333"/>
      <c r="V357" s="1333"/>
      <c r="W357" s="1333"/>
      <c r="X357" s="1333"/>
      <c r="Y357" s="1333"/>
      <c r="Z357" s="1333"/>
      <c r="AA357" s="1333"/>
      <c r="AB357" s="1333"/>
      <c r="AC357" s="1333"/>
      <c r="AD357" s="1333"/>
      <c r="AE357" s="1333"/>
      <c r="AF357" s="1333"/>
      <c r="AG357" s="1333"/>
      <c r="AH357" s="1333"/>
      <c r="AI357" s="1333"/>
      <c r="AJ357" s="1333"/>
    </row>
    <row r="358" spans="1:49" x14ac:dyDescent="0.25">
      <c r="A358" s="1407" t="str">
        <f>IF(COUNTIF('04 - 95% CD'!D358:G358,"Y")&gt;0,"Y",IF(COUNTIF('04 - 95% CD'!D358:G358,"N"),"N",""))</f>
        <v>Y</v>
      </c>
      <c r="B358" s="125"/>
      <c r="C358" s="944"/>
      <c r="D358" s="411"/>
      <c r="E358" s="559" t="str">
        <f>IF('C-Design&amp;Const'!$S358="","",'C-Design&amp;Const'!$S358)</f>
        <v>Y</v>
      </c>
      <c r="F358" s="321"/>
      <c r="G358" s="485"/>
      <c r="H358" s="244" t="str">
        <f>CONCATENATE(IF(F358="N","PLACEHOLDER ROW - ",""),'C-Design&amp;Const'!Z358,IF(F358="N","",J358))</f>
        <v>Telecom Drawings (Including Bid Alts.)</v>
      </c>
      <c r="I358" s="148"/>
      <c r="J358" s="609" t="str">
        <f>IF('C-Design&amp;Const'!AJ358="","",'C-Design&amp;Const'!AJ358)</f>
        <v xml:space="preserve"> (Including Bid Alts.)</v>
      </c>
      <c r="K358" s="285" t="str">
        <f t="shared" si="34"/>
        <v>match</v>
      </c>
      <c r="L358" s="1410" t="str">
        <f t="shared" si="35"/>
        <v/>
      </c>
      <c r="M358" s="1333"/>
      <c r="N358" s="1333"/>
      <c r="O358" s="1333"/>
      <c r="P358" s="1333"/>
      <c r="Q358" s="1333"/>
      <c r="R358" s="1284"/>
      <c r="S358" s="1513"/>
      <c r="T358" s="1404"/>
      <c r="U358" s="1333"/>
      <c r="V358" s="1333"/>
      <c r="W358" s="1333"/>
      <c r="X358" s="1333"/>
      <c r="Y358" s="1333"/>
      <c r="Z358" s="1333"/>
      <c r="AA358" s="1333"/>
      <c r="AB358" s="1333"/>
      <c r="AC358" s="1333"/>
      <c r="AD358" s="1333"/>
      <c r="AE358" s="1333"/>
      <c r="AF358" s="1333"/>
      <c r="AG358" s="1333"/>
      <c r="AH358" s="1333"/>
      <c r="AI358" s="1333"/>
      <c r="AJ358" s="1333"/>
    </row>
    <row r="359" spans="1:49" s="17" customFormat="1" x14ac:dyDescent="0.25">
      <c r="A359" s="1517" t="str">
        <f>IF(COUNTIF('04 - 95% CD'!D359:G359,"Y")&gt;0,"Y",IF(COUNTIF('04 - 95% CD'!D359:G359,"N"),"N",""))</f>
        <v>N</v>
      </c>
      <c r="B359" s="141"/>
      <c r="C359" s="944"/>
      <c r="D359" s="411"/>
      <c r="E359" s="321"/>
      <c r="F359" s="559" t="str">
        <f>IF('C-Design&amp;Const'!$S359="","",'C-Design&amp;Const'!$S359)</f>
        <v>N</v>
      </c>
      <c r="G359" s="491"/>
      <c r="H359" s="243" t="str">
        <f>CONCATENATE(IF(F359="N","PLACEHOLDER ROW - ",""),'C-Design&amp;Const'!Z359,IF(F359="N","",J359))</f>
        <v xml:space="preserve">PLACEHOLDER ROW - CUSTOM - Telecom  </v>
      </c>
      <c r="I359" s="151"/>
      <c r="J359" s="609" t="str">
        <f>IF('C-Design&amp;Const'!AJ359="","",'C-Design&amp;Const'!AJ359)</f>
        <v>(Complete)</v>
      </c>
      <c r="K359" s="285" t="str">
        <f t="shared" si="34"/>
        <v>match</v>
      </c>
      <c r="L359" s="1410" t="str">
        <f t="shared" si="35"/>
        <v>&lt;---PM/Planner may hide PLACEHOLDER ROW</v>
      </c>
      <c r="M359" s="1333"/>
      <c r="N359" s="1333"/>
      <c r="O359" s="1333"/>
      <c r="P359" s="1333"/>
      <c r="Q359" s="1333"/>
      <c r="R359" s="1453"/>
      <c r="S359" s="1364"/>
      <c r="T359" s="1404"/>
      <c r="U359" s="1333"/>
      <c r="V359" s="1333"/>
      <c r="W359" s="1333"/>
      <c r="X359" s="1333"/>
      <c r="Y359" s="1333"/>
      <c r="Z359" s="1333"/>
      <c r="AA359" s="1333"/>
      <c r="AB359" s="1333"/>
      <c r="AC359" s="1333"/>
      <c r="AD359" s="1333"/>
      <c r="AE359" s="1333"/>
      <c r="AF359" s="1333"/>
      <c r="AG359" s="1333"/>
      <c r="AH359" s="1333"/>
      <c r="AI359" s="1333"/>
      <c r="AJ359" s="1333"/>
    </row>
    <row r="360" spans="1:49" s="17" customFormat="1" x14ac:dyDescent="0.25">
      <c r="A360" s="1517" t="str">
        <f>IF(COUNTIF('04 - 95% CD'!D360:G360,"Y")&gt;0,"Y",IF(COUNTIF('04 - 95% CD'!D360:G360,"N"),"N",""))</f>
        <v>N</v>
      </c>
      <c r="B360" s="141"/>
      <c r="C360" s="944"/>
      <c r="D360" s="411"/>
      <c r="E360" s="321"/>
      <c r="F360" s="559" t="str">
        <f>IF('C-Design&amp;Const'!$S360="","",'C-Design&amp;Const'!$S360)</f>
        <v>N</v>
      </c>
      <c r="G360" s="491"/>
      <c r="H360" s="243" t="str">
        <f>CONCATENATE(IF(F360="N","PLACEHOLDER ROW - ",""),'C-Design&amp;Const'!Z360,IF(F360="N","",J360))</f>
        <v xml:space="preserve">PLACEHOLDER ROW - CUSTOM - Telecom  </v>
      </c>
      <c r="I360" s="151"/>
      <c r="J360" s="609" t="str">
        <f>IF('C-Design&amp;Const'!AJ360="","",'C-Design&amp;Const'!AJ360)</f>
        <v>(Complete)</v>
      </c>
      <c r="K360" s="285" t="str">
        <f t="shared" si="34"/>
        <v>match</v>
      </c>
      <c r="L360" s="1410" t="str">
        <f t="shared" si="35"/>
        <v>&lt;---PM/Planner may hide PLACEHOLDER ROW</v>
      </c>
      <c r="M360" s="1333"/>
      <c r="N360" s="1333"/>
      <c r="O360" s="1333"/>
      <c r="P360" s="1333"/>
      <c r="Q360" s="1333"/>
      <c r="R360" s="1453"/>
      <c r="S360" s="1364"/>
      <c r="T360" s="1404"/>
      <c r="U360" s="1333"/>
      <c r="V360" s="1333"/>
      <c r="W360" s="1333"/>
      <c r="X360" s="1333"/>
      <c r="Y360" s="1333"/>
      <c r="Z360" s="1333"/>
      <c r="AA360" s="1333"/>
      <c r="AB360" s="1333"/>
      <c r="AC360" s="1333"/>
      <c r="AD360" s="1333"/>
      <c r="AE360" s="1333"/>
      <c r="AF360" s="1333"/>
      <c r="AG360" s="1333"/>
      <c r="AH360" s="1333"/>
      <c r="AI360" s="1333"/>
      <c r="AJ360" s="1333"/>
    </row>
    <row r="361" spans="1:49" s="17" customFormat="1" x14ac:dyDescent="0.25">
      <c r="A361" s="1517" t="str">
        <f>IF(COUNTIF('04 - 95% CD'!D361:G361,"Y")&gt;0,"Y",IF(COUNTIF('04 - 95% CD'!D361:G361,"N"),"N",""))</f>
        <v>Y</v>
      </c>
      <c r="B361" s="141"/>
      <c r="C361" s="944"/>
      <c r="D361" s="411"/>
      <c r="E361" s="321"/>
      <c r="F361" s="559" t="str">
        <f>IF('C-Design&amp;Const'!$S361="","",'C-Design&amp;Const'!$S361)</f>
        <v>Y</v>
      </c>
      <c r="G361" s="491"/>
      <c r="H361" s="469" t="str">
        <f>CONCATENATE(IF(F361="N","PLACEHOLDER ROW - ",""),'C-Design&amp;Const'!Z361,IF(F361="N","",J361))</f>
        <v>Telecom Symbols, Abbreviations, and General Notes (Complete)</v>
      </c>
      <c r="I361" s="151"/>
      <c r="J361" s="609" t="str">
        <f>IF('C-Design&amp;Const'!AJ361="","",'C-Design&amp;Const'!AJ361)</f>
        <v>(Complete)</v>
      </c>
      <c r="K361" s="285" t="str">
        <f t="shared" si="34"/>
        <v>match</v>
      </c>
      <c r="L361" s="1410" t="str">
        <f t="shared" si="35"/>
        <v/>
      </c>
      <c r="M361" s="1333"/>
      <c r="N361" s="1333"/>
      <c r="O361" s="1333"/>
      <c r="P361" s="1333"/>
      <c r="Q361" s="1333"/>
      <c r="R361" s="1453"/>
      <c r="S361" s="1364"/>
      <c r="T361" s="1404"/>
      <c r="U361" s="1333"/>
      <c r="V361" s="1333"/>
      <c r="W361" s="1333"/>
      <c r="X361" s="1333"/>
      <c r="Y361" s="1333"/>
      <c r="Z361" s="1333"/>
      <c r="AA361" s="1333"/>
      <c r="AB361" s="1333"/>
      <c r="AC361" s="1333"/>
      <c r="AD361" s="1333"/>
      <c r="AE361" s="1333"/>
      <c r="AF361" s="1333"/>
      <c r="AG361" s="1333"/>
      <c r="AH361" s="1333"/>
      <c r="AI361" s="1333"/>
      <c r="AJ361" s="1333"/>
    </row>
    <row r="362" spans="1:49" s="17" customFormat="1" x14ac:dyDescent="0.25">
      <c r="A362" s="1517" t="str">
        <f>IF(COUNTIF('04 - 95% CD'!D362:G362,"Y")&gt;0,"Y",IF(COUNTIF('04 - 95% CD'!D362:G362,"N"),"N",""))</f>
        <v>Y</v>
      </c>
      <c r="B362" s="141"/>
      <c r="C362" s="944"/>
      <c r="D362" s="411"/>
      <c r="E362" s="321"/>
      <c r="F362" s="559" t="str">
        <f>IF('C-Design&amp;Const'!$S362="","",'C-Design&amp;Const'!$S362)</f>
        <v>Y</v>
      </c>
      <c r="G362" s="491"/>
      <c r="H362" s="469" t="str">
        <f>CONCATENATE(IF(F362="N","PLACEHOLDER ROW - ",""),'C-Design&amp;Const'!Z362,IF(F362="N","",J362))</f>
        <v>Telecom Demolition(s) (Complete)</v>
      </c>
      <c r="I362" s="151"/>
      <c r="J362" s="609" t="str">
        <f>IF('C-Design&amp;Const'!AJ362="","",'C-Design&amp;Const'!AJ362)</f>
        <v>(Complete)</v>
      </c>
      <c r="K362" s="285" t="str">
        <f t="shared" si="34"/>
        <v>match</v>
      </c>
      <c r="L362" s="1410" t="str">
        <f t="shared" si="35"/>
        <v/>
      </c>
      <c r="M362" s="1333"/>
      <c r="N362" s="1333"/>
      <c r="O362" s="1333"/>
      <c r="P362" s="1333"/>
      <c r="Q362" s="1333"/>
      <c r="R362" s="1453"/>
      <c r="S362" s="1364"/>
      <c r="T362" s="1404"/>
      <c r="U362" s="1333"/>
      <c r="V362" s="1333"/>
      <c r="W362" s="1333"/>
      <c r="X362" s="1333"/>
      <c r="Y362" s="1333"/>
      <c r="Z362" s="1333"/>
      <c r="AA362" s="1333"/>
      <c r="AB362" s="1333"/>
      <c r="AC362" s="1333"/>
      <c r="AD362" s="1333"/>
      <c r="AE362" s="1333"/>
      <c r="AF362" s="1333"/>
      <c r="AG362" s="1333"/>
      <c r="AH362" s="1333"/>
      <c r="AI362" s="1333"/>
      <c r="AJ362" s="1333"/>
    </row>
    <row r="363" spans="1:49" x14ac:dyDescent="0.25">
      <c r="A363" s="1520" t="str">
        <f>IF(COUNTIF('04 - 95% CD'!D363:G363,"Y")&gt;0,"Y",IF(COUNTIF('04 - 95% CD'!D363:G363,"N"),"N",""))</f>
        <v>Y</v>
      </c>
      <c r="B363" s="125"/>
      <c r="C363" s="944"/>
      <c r="D363" s="411"/>
      <c r="E363" s="321"/>
      <c r="F363" s="559" t="str">
        <f>IF('C-Design&amp;Const'!$S363="","",'C-Design&amp;Const'!$S363)</f>
        <v>Y</v>
      </c>
      <c r="G363" s="485"/>
      <c r="H363" s="243" t="str">
        <f>CONCATENATE(IF(F363="N","PLACEHOLDER ROW - ",""),'C-Design&amp;Const'!Z363,IF(F363="N","",J363))</f>
        <v>Telecom/Data Floor Plans w/ Devices   (Complete)</v>
      </c>
      <c r="I363" s="137"/>
      <c r="J363" s="609" t="str">
        <f>IF('C-Design&amp;Const'!AJ363="","",'C-Design&amp;Const'!AJ363)</f>
        <v>(Complete)</v>
      </c>
      <c r="K363" s="285" t="str">
        <f t="shared" si="34"/>
        <v>match</v>
      </c>
      <c r="L363" s="1410" t="str">
        <f t="shared" si="35"/>
        <v/>
      </c>
      <c r="M363" s="1333"/>
      <c r="N363" s="1333"/>
      <c r="O363" s="1333"/>
      <c r="P363" s="1333"/>
      <c r="Q363" s="1333"/>
      <c r="R363" s="1453"/>
      <c r="S363" s="1364"/>
      <c r="T363" s="1404"/>
      <c r="U363" s="1333"/>
      <c r="V363" s="1333"/>
      <c r="W363" s="1333"/>
      <c r="X363" s="1333"/>
      <c r="Y363" s="1333"/>
      <c r="Z363" s="1333"/>
      <c r="AA363" s="1333"/>
      <c r="AB363" s="1333"/>
      <c r="AC363" s="1333"/>
      <c r="AD363" s="1333"/>
      <c r="AE363" s="1333"/>
      <c r="AF363" s="1333"/>
      <c r="AG363" s="1333"/>
      <c r="AH363" s="1333"/>
      <c r="AI363" s="1333"/>
      <c r="AJ363" s="1333"/>
    </row>
    <row r="364" spans="1:49" x14ac:dyDescent="0.25">
      <c r="A364" s="1520" t="str">
        <f>IF(COUNTIF('04 - 95% CD'!D364:G364,"Y")&gt;0,"Y",IF(COUNTIF('04 - 95% CD'!D364:G364,"N"),"N",""))</f>
        <v>Y</v>
      </c>
      <c r="B364" s="125"/>
      <c r="C364" s="944"/>
      <c r="D364" s="411"/>
      <c r="E364" s="321"/>
      <c r="F364" s="559" t="str">
        <f>IF('C-Design&amp;Const'!$S364="","",'C-Design&amp;Const'!$S364)</f>
        <v>Y</v>
      </c>
      <c r="G364" s="485"/>
      <c r="H364" s="243" t="str">
        <f>CONCATENATE(IF(F364="N","PLACEHOLDER ROW - ",""),'C-Design&amp;Const'!Z364,IF(F364="N","",J364))</f>
        <v>Telecom/Data Raceway Distribution   (Complete)</v>
      </c>
      <c r="I364" s="137"/>
      <c r="J364" s="609" t="str">
        <f>IF('C-Design&amp;Const'!AJ364="","",'C-Design&amp;Const'!AJ364)</f>
        <v>(Complete)</v>
      </c>
      <c r="K364" s="285" t="str">
        <f t="shared" si="34"/>
        <v>match</v>
      </c>
      <c r="L364" s="1410" t="str">
        <f t="shared" si="35"/>
        <v/>
      </c>
      <c r="M364" s="1333"/>
      <c r="N364" s="1333"/>
      <c r="O364" s="1333"/>
      <c r="P364" s="1333"/>
      <c r="Q364" s="1333"/>
      <c r="R364" s="1453"/>
      <c r="S364" s="1364"/>
      <c r="T364" s="1404"/>
      <c r="U364" s="1333"/>
      <c r="V364" s="1333"/>
      <c r="W364" s="1333"/>
      <c r="X364" s="1333"/>
      <c r="Y364" s="1333"/>
      <c r="Z364" s="1333"/>
      <c r="AA364" s="1333"/>
      <c r="AB364" s="1333"/>
      <c r="AC364" s="1333"/>
      <c r="AD364" s="1333"/>
      <c r="AE364" s="1333"/>
      <c r="AF364" s="1333"/>
      <c r="AG364" s="1333"/>
      <c r="AH364" s="1333"/>
      <c r="AI364" s="1333"/>
      <c r="AJ364" s="1333"/>
    </row>
    <row r="365" spans="1:49" x14ac:dyDescent="0.25">
      <c r="A365" s="1520" t="str">
        <f>IF(COUNTIF('04 - 95% CD'!D365:G365,"Y")&gt;0,"Y",IF(COUNTIF('04 - 95% CD'!D365:G365,"N"),"N",""))</f>
        <v>Y</v>
      </c>
      <c r="B365" s="125"/>
      <c r="C365" s="944"/>
      <c r="D365" s="411"/>
      <c r="E365" s="321"/>
      <c r="F365" s="559" t="str">
        <f>IF('C-Design&amp;Const'!$S365="","",'C-Design&amp;Const'!$S365)</f>
        <v>Y</v>
      </c>
      <c r="G365" s="485"/>
      <c r="H365" s="243" t="str">
        <f>CONCATENATE(IF(F365="N","PLACEHOLDER ROW - ",""),'C-Design&amp;Const'!Z365,IF(F365="N","",J365))</f>
        <v>Telecom/Data Riser Diagram   (Complete)</v>
      </c>
      <c r="I365" s="137"/>
      <c r="J365" s="609" t="str">
        <f>IF('C-Design&amp;Const'!AJ365="","",'C-Design&amp;Const'!AJ365)</f>
        <v>(Complete)</v>
      </c>
      <c r="K365" s="285" t="str">
        <f t="shared" si="34"/>
        <v>match</v>
      </c>
      <c r="L365" s="1410" t="str">
        <f t="shared" si="35"/>
        <v/>
      </c>
      <c r="M365" s="1333"/>
      <c r="N365" s="1333"/>
      <c r="O365" s="1333"/>
      <c r="P365" s="1333"/>
      <c r="Q365" s="1333"/>
      <c r="R365" s="1284"/>
      <c r="S365" s="1513"/>
      <c r="T365" s="1404"/>
      <c r="U365" s="1333"/>
      <c r="V365" s="1333"/>
      <c r="W365" s="1333"/>
      <c r="X365" s="1333"/>
      <c r="Y365" s="1333"/>
      <c r="Z365" s="1333"/>
      <c r="AA365" s="1333"/>
      <c r="AB365" s="1333"/>
      <c r="AC365" s="1333"/>
      <c r="AD365" s="1333"/>
      <c r="AE365" s="1333"/>
      <c r="AF365" s="1333"/>
      <c r="AG365" s="1333"/>
      <c r="AH365" s="1333"/>
      <c r="AI365" s="1333"/>
      <c r="AJ365" s="1333"/>
    </row>
    <row r="366" spans="1:49" x14ac:dyDescent="0.25">
      <c r="A366" s="1520" t="str">
        <f>IF(COUNTIF('04 - 95% CD'!D366:G366,"Y")&gt;0,"Y",IF(COUNTIF('04 - 95% CD'!D366:G366,"N"),"N",""))</f>
        <v>Y</v>
      </c>
      <c r="B366" s="125"/>
      <c r="C366" s="944"/>
      <c r="D366" s="411"/>
      <c r="E366" s="321"/>
      <c r="F366" s="559" t="str">
        <f>IF('C-Design&amp;Const'!$S366="","",'C-Design&amp;Const'!$S366)</f>
        <v>Y</v>
      </c>
      <c r="G366" s="485"/>
      <c r="H366" s="243" t="str">
        <f>CONCATENATE(IF(F366="N","PLACEHOLDER ROW - ",""),'C-Design&amp;Const'!Z366,IF(F366="N","",J366))</f>
        <v>Telecom/Data Details and Sections (Complete)</v>
      </c>
      <c r="I366" s="137"/>
      <c r="J366" s="609" t="str">
        <f>IF('C-Design&amp;Const'!AJ366="","",'C-Design&amp;Const'!AJ366)</f>
        <v>(Complete)</v>
      </c>
      <c r="K366" s="285" t="str">
        <f t="shared" si="34"/>
        <v>match</v>
      </c>
      <c r="L366" s="1410" t="str">
        <f t="shared" si="35"/>
        <v/>
      </c>
      <c r="M366" s="1333"/>
      <c r="N366" s="1333"/>
      <c r="O366" s="1333"/>
      <c r="P366" s="1333"/>
      <c r="Q366" s="1333"/>
      <c r="R366" s="1453"/>
      <c r="S366" s="1364"/>
      <c r="T366" s="1404"/>
      <c r="U366" s="1333"/>
      <c r="V366" s="1333"/>
      <c r="W366" s="1333"/>
      <c r="X366" s="1333"/>
      <c r="Y366" s="1333"/>
      <c r="Z366" s="1333"/>
      <c r="AA366" s="1333"/>
      <c r="AB366" s="1333"/>
      <c r="AC366" s="1333"/>
      <c r="AD366" s="1333"/>
      <c r="AE366" s="1333"/>
      <c r="AF366" s="1333"/>
      <c r="AG366" s="1333"/>
      <c r="AH366" s="1333"/>
      <c r="AI366" s="1333"/>
      <c r="AJ366" s="1333"/>
    </row>
    <row r="367" spans="1:49" s="30" customFormat="1" ht="18.75" x14ac:dyDescent="0.2">
      <c r="A367" s="1520" t="str">
        <f>IF(COUNTIF('04 - 95% CD'!D367:G367,"Y")&gt;0,"Y",IF(COUNTIF('04 - 95% CD'!D367:G367,"N"),"N",""))</f>
        <v>Y</v>
      </c>
      <c r="B367" s="191"/>
      <c r="C367" s="944"/>
      <c r="D367" s="463"/>
      <c r="E367" s="359" t="str">
        <f>IF('C-Design&amp;Const'!$S367="","",'C-Design&amp;Const'!$S367)</f>
        <v>Y</v>
      </c>
      <c r="F367" s="235"/>
      <c r="G367" s="291"/>
      <c r="H367" s="242" t="str">
        <f>CONCATENATE(IF(F367="N","PLACEHOLDER ROW - ",""),'C-Design&amp;Const'!Z367,IF(F367="N","",J367))</f>
        <v>Audio Visual Drawings (Including Bid Alts.)</v>
      </c>
      <c r="I367" s="184"/>
      <c r="J367" s="609" t="str">
        <f>IF('C-Design&amp;Const'!AJ367="","",'C-Design&amp;Const'!AJ367)</f>
        <v xml:space="preserve"> (Including Bid Alts.)</v>
      </c>
      <c r="K367" s="285" t="str">
        <f t="shared" si="34"/>
        <v>match</v>
      </c>
      <c r="L367" s="1410" t="str">
        <f t="shared" si="35"/>
        <v/>
      </c>
      <c r="M367" s="1382"/>
      <c r="N367" s="1382"/>
      <c r="O367" s="1382"/>
      <c r="P367" s="1382"/>
      <c r="Q367" s="1382"/>
      <c r="R367" s="1382"/>
      <c r="S367" s="1382"/>
      <c r="T367" s="1382"/>
      <c r="U367" s="1382"/>
      <c r="V367" s="1382"/>
      <c r="W367" s="1382"/>
      <c r="X367" s="1382"/>
      <c r="Y367" s="1382"/>
      <c r="Z367" s="1382"/>
      <c r="AA367" s="1382"/>
      <c r="AB367" s="1382"/>
      <c r="AC367" s="1382"/>
      <c r="AD367" s="1382"/>
      <c r="AE367" s="1382"/>
      <c r="AF367" s="1382"/>
      <c r="AG367" s="1382"/>
      <c r="AH367" s="1382"/>
      <c r="AI367" s="1382"/>
      <c r="AJ367" s="1382"/>
      <c r="AK367" s="181"/>
      <c r="AL367" s="181"/>
      <c r="AM367" s="181"/>
      <c r="AN367" s="181"/>
      <c r="AO367" s="181"/>
      <c r="AP367" s="181"/>
      <c r="AQ367" s="181"/>
      <c r="AR367" s="181"/>
      <c r="AS367" s="181"/>
      <c r="AT367" s="181"/>
      <c r="AU367" s="181"/>
      <c r="AV367" s="181"/>
      <c r="AW367" s="181"/>
    </row>
    <row r="368" spans="1:49" s="17" customFormat="1" x14ac:dyDescent="0.25">
      <c r="A368" s="1517" t="str">
        <f>IF(COUNTIF('04 - 95% CD'!D368:G368,"Y")&gt;0,"Y",IF(COUNTIF('04 - 95% CD'!D368:G368,"N"),"N",""))</f>
        <v>Y</v>
      </c>
      <c r="B368" s="141"/>
      <c r="C368" s="944"/>
      <c r="D368" s="411"/>
      <c r="E368" s="321"/>
      <c r="F368" s="559" t="str">
        <f>IF('C-Design&amp;Const'!$S368="","",'C-Design&amp;Const'!$S368)</f>
        <v>Y</v>
      </c>
      <c r="G368" s="491"/>
      <c r="H368" s="469" t="str">
        <f>CONCATENATE(IF(F368="N","PLACEHOLDER ROW - ",""),'C-Design&amp;Const'!Z368,IF(F368="N","",J368))</f>
        <v>Audio Visual Symbols, Abbreviations, and General Notes (Complete)</v>
      </c>
      <c r="I368" s="151"/>
      <c r="J368" s="609" t="str">
        <f>IF('C-Design&amp;Const'!AJ368="","",'C-Design&amp;Const'!AJ368)</f>
        <v>(Complete)</v>
      </c>
      <c r="K368" s="285" t="str">
        <f t="shared" ref="K368:K369" si="40">IF((COUNTIF(D368:F368,"Y")=COUNTIF(A368,"Y")),"match","no 95% match")</f>
        <v>match</v>
      </c>
      <c r="L368" s="1410" t="str">
        <f t="shared" ref="L368:L369" si="41">CONCATENATE(IF(ISNUMBER(SEARCH("Placeholder",H368))=TRUE,"&lt;---PM/Planner may hide PLACEHOLDER ROW",""))</f>
        <v/>
      </c>
      <c r="M368" s="1333"/>
      <c r="N368" s="1333"/>
      <c r="O368" s="1333"/>
      <c r="P368" s="1333"/>
      <c r="Q368" s="1333"/>
      <c r="R368" s="1453"/>
      <c r="S368" s="1364"/>
      <c r="T368" s="1404"/>
      <c r="U368" s="1333"/>
      <c r="V368" s="1333"/>
      <c r="W368" s="1333"/>
      <c r="X368" s="1333"/>
      <c r="Y368" s="1333"/>
      <c r="Z368" s="1333"/>
      <c r="AA368" s="1333"/>
      <c r="AB368" s="1333"/>
      <c r="AC368" s="1333"/>
      <c r="AD368" s="1333"/>
      <c r="AE368" s="1333"/>
      <c r="AF368" s="1333"/>
      <c r="AG368" s="1333"/>
      <c r="AH368" s="1333"/>
      <c r="AI368" s="1333"/>
      <c r="AJ368" s="1333"/>
    </row>
    <row r="369" spans="1:36" s="17" customFormat="1" x14ac:dyDescent="0.25">
      <c r="A369" s="1517" t="str">
        <f>IF(COUNTIF('04 - 95% CD'!D369:G369,"Y")&gt;0,"Y",IF(COUNTIF('04 - 95% CD'!D369:G369,"N"),"N",""))</f>
        <v>Y</v>
      </c>
      <c r="B369" s="141"/>
      <c r="C369" s="944"/>
      <c r="D369" s="411"/>
      <c r="E369" s="321"/>
      <c r="F369" s="559" t="str">
        <f>IF('C-Design&amp;Const'!$S369="","",'C-Design&amp;Const'!$S369)</f>
        <v>Y</v>
      </c>
      <c r="G369" s="491"/>
      <c r="H369" s="469" t="str">
        <f>CONCATENATE(IF(F369="N","PLACEHOLDER ROW - ",""),'C-Design&amp;Const'!Z369,IF(F369="N","",J369))</f>
        <v>A/V Demolition(s) (Complete)</v>
      </c>
      <c r="I369" s="151"/>
      <c r="J369" s="609" t="str">
        <f>IF('C-Design&amp;Const'!AJ369="","",'C-Design&amp;Const'!AJ369)</f>
        <v>(Complete)</v>
      </c>
      <c r="K369" s="285" t="str">
        <f t="shared" si="40"/>
        <v>match</v>
      </c>
      <c r="L369" s="1410" t="str">
        <f t="shared" si="41"/>
        <v/>
      </c>
      <c r="M369" s="1333"/>
      <c r="N369" s="1333"/>
      <c r="O369" s="1333"/>
      <c r="P369" s="1333"/>
      <c r="Q369" s="1333"/>
      <c r="R369" s="1453"/>
      <c r="S369" s="1364"/>
      <c r="T369" s="1404"/>
      <c r="U369" s="1333"/>
      <c r="V369" s="1333"/>
      <c r="W369" s="1333"/>
      <c r="X369" s="1333"/>
      <c r="Y369" s="1333"/>
      <c r="Z369" s="1333"/>
      <c r="AA369" s="1333"/>
      <c r="AB369" s="1333"/>
      <c r="AC369" s="1333"/>
      <c r="AD369" s="1333"/>
      <c r="AE369" s="1333"/>
      <c r="AF369" s="1333"/>
      <c r="AG369" s="1333"/>
      <c r="AH369" s="1333"/>
      <c r="AI369" s="1333"/>
      <c r="AJ369" s="1333"/>
    </row>
    <row r="370" spans="1:36" ht="45" x14ac:dyDescent="0.25">
      <c r="A370" s="1520" t="str">
        <f>IF(COUNTIF('04 - 95% CD'!D370:G370,"Y")&gt;0,"Y",IF(COUNTIF('04 - 95% CD'!D370:G370,"N"),"N",""))</f>
        <v>Y</v>
      </c>
      <c r="B370" s="125"/>
      <c r="C370" s="944"/>
      <c r="D370" s="411"/>
      <c r="E370" s="321"/>
      <c r="F370" s="559" t="str">
        <f>IF('C-Design&amp;Const'!$S370="","",'C-Design&amp;Const'!$S370)</f>
        <v>Y</v>
      </c>
      <c r="G370" s="485"/>
      <c r="H370" s="469" t="str">
        <f>CONCATENATE(IF(F370="N","PLACEHOLDER ROW - ",""),'C-Design&amp;Const'!Z370,IF(F370="N","",J370))</f>
        <v>AV System Floor Plans.  Equipment identified, Equipment Clearance &amp; Throw Distances Dimensioned, Power, Conduit &amp; Backbox Layouts Shown.  Cables shown separated by type/signal level; all Cables Leaving Room Clearly Shown. (Complete)</v>
      </c>
      <c r="I370" s="137"/>
      <c r="J370" s="609" t="str">
        <f>IF('C-Design&amp;Const'!AJ370="","",'C-Design&amp;Const'!AJ370)</f>
        <v>(Complete)</v>
      </c>
      <c r="K370" s="285" t="str">
        <f t="shared" si="34"/>
        <v>match</v>
      </c>
      <c r="L370" s="1410" t="str">
        <f t="shared" si="35"/>
        <v/>
      </c>
      <c r="M370" s="1333"/>
      <c r="N370" s="1333"/>
      <c r="O370" s="1333"/>
      <c r="P370" s="1333"/>
      <c r="Q370" s="1333"/>
      <c r="R370" s="1453"/>
      <c r="S370" s="1364"/>
      <c r="T370" s="1404"/>
      <c r="U370" s="1333"/>
      <c r="V370" s="1333"/>
      <c r="W370" s="1333"/>
      <c r="X370" s="1333"/>
      <c r="Y370" s="1333"/>
      <c r="Z370" s="1333"/>
      <c r="AA370" s="1333"/>
      <c r="AB370" s="1333"/>
      <c r="AC370" s="1333"/>
      <c r="AD370" s="1333"/>
      <c r="AE370" s="1333"/>
      <c r="AF370" s="1333"/>
      <c r="AG370" s="1333"/>
      <c r="AH370" s="1333"/>
      <c r="AI370" s="1333"/>
      <c r="AJ370" s="1333"/>
    </row>
    <row r="371" spans="1:36" ht="75" x14ac:dyDescent="0.25">
      <c r="A371" s="1520" t="str">
        <f>IF(COUNTIF('04 - 95% CD'!D371:G371,"Y")&gt;0,"Y",IF(COUNTIF('04 - 95% CD'!D371:G371,"N"),"N",""))</f>
        <v>Y</v>
      </c>
      <c r="B371" s="125"/>
      <c r="C371" s="944"/>
      <c r="D371" s="411"/>
      <c r="E371" s="321"/>
      <c r="F371" s="559" t="str">
        <f>IF('C-Design&amp;Const'!$S371="","",'C-Design&amp;Const'!$S371)</f>
        <v>Y</v>
      </c>
      <c r="G371" s="485"/>
      <c r="H371" s="469" t="str">
        <f>CONCATENATE(IF(F371="N","PLACEHOLDER ROW - ",""),'C-Design&amp;Const'!Z371,IF(F371="N","",J371))</f>
        <v>AV System Details:  Equipment Installation Details, AV Rack Elevations for each Rack, Major Equipment Components Located in the Rack, Custom Plate Details, and Plates Associated with Equipment Plans and System Line Diagrams.  Equipment Mounting Details which Support More than 40 Pounds shall be stamped by a Licensed Structural Engineer. (Complete)</v>
      </c>
      <c r="I371" s="137"/>
      <c r="J371" s="609" t="str">
        <f>IF('C-Design&amp;Const'!AJ371="","",'C-Design&amp;Const'!AJ371)</f>
        <v>(Complete)</v>
      </c>
      <c r="K371" s="285" t="str">
        <f t="shared" si="34"/>
        <v>match</v>
      </c>
      <c r="L371" s="1410" t="str">
        <f t="shared" si="35"/>
        <v/>
      </c>
      <c r="M371" s="1333"/>
      <c r="N371" s="1333"/>
      <c r="O371" s="1333"/>
      <c r="P371" s="1333"/>
      <c r="Q371" s="1333"/>
      <c r="R371" s="1453"/>
      <c r="S371" s="1364"/>
      <c r="T371" s="1404"/>
      <c r="U371" s="1333"/>
      <c r="V371" s="1333"/>
      <c r="W371" s="1333"/>
      <c r="X371" s="1333"/>
      <c r="Y371" s="1333"/>
      <c r="Z371" s="1333"/>
      <c r="AA371" s="1333"/>
      <c r="AB371" s="1333"/>
      <c r="AC371" s="1333"/>
      <c r="AD371" s="1333"/>
      <c r="AE371" s="1333"/>
      <c r="AF371" s="1333"/>
      <c r="AG371" s="1333"/>
      <c r="AH371" s="1333"/>
      <c r="AI371" s="1333"/>
      <c r="AJ371" s="1333"/>
    </row>
    <row r="372" spans="1:36" x14ac:dyDescent="0.25">
      <c r="A372" s="1520" t="str">
        <f>IF(COUNTIF('04 - 95% CD'!D372:G372,"Y")&gt;0,"Y",IF(COUNTIF('04 - 95% CD'!D372:G372,"N"),"N",""))</f>
        <v>Y</v>
      </c>
      <c r="B372" s="125"/>
      <c r="C372" s="944"/>
      <c r="D372" s="411"/>
      <c r="E372" s="321"/>
      <c r="F372" s="559" t="str">
        <f>IF('C-Design&amp;Const'!$S372="","",'C-Design&amp;Const'!$S372)</f>
        <v>Y</v>
      </c>
      <c r="G372" s="485"/>
      <c r="H372" s="1015" t="str">
        <f>CONCATENATE(IF(F372="N","PLACEHOLDER ROW - ",""),'C-Design&amp;Const'!Z372,IF(F372="N","",J372))</f>
        <v>AV System Line Diagrams, showing: (Complete)</v>
      </c>
      <c r="I372" s="137"/>
      <c r="J372" s="609" t="str">
        <f>IF('C-Design&amp;Const'!AJ372="","",'C-Design&amp;Const'!AJ372)</f>
        <v>(Complete)</v>
      </c>
      <c r="K372" s="285" t="str">
        <f t="shared" si="34"/>
        <v>match</v>
      </c>
      <c r="L372" s="1410" t="str">
        <f t="shared" si="35"/>
        <v/>
      </c>
      <c r="M372" s="1333"/>
      <c r="N372" s="1333"/>
      <c r="O372" s="1333"/>
      <c r="P372" s="1333"/>
      <c r="Q372" s="1333"/>
      <c r="R372" s="1453"/>
      <c r="S372" s="1364"/>
      <c r="T372" s="1404"/>
      <c r="U372" s="1333"/>
      <c r="V372" s="1333"/>
      <c r="W372" s="1333"/>
      <c r="X372" s="1333"/>
      <c r="Y372" s="1333"/>
      <c r="Z372" s="1333"/>
      <c r="AA372" s="1333"/>
      <c r="AB372" s="1333"/>
      <c r="AC372" s="1333"/>
      <c r="AD372" s="1333"/>
      <c r="AE372" s="1333"/>
      <c r="AF372" s="1333"/>
      <c r="AG372" s="1333"/>
      <c r="AH372" s="1333"/>
      <c r="AI372" s="1333"/>
      <c r="AJ372" s="1333"/>
    </row>
    <row r="373" spans="1:36" x14ac:dyDescent="0.25">
      <c r="A373" s="1520" t="str">
        <f>IF(COUNTIF('04 - 95% CD'!D373:G373,"Y")&gt;0,"Y",IF(COUNTIF('04 - 95% CD'!D373:G373,"N"),"N",""))</f>
        <v>Y</v>
      </c>
      <c r="B373" s="125"/>
      <c r="C373" s="944"/>
      <c r="D373" s="411"/>
      <c r="E373" s="321"/>
      <c r="F373" s="473"/>
      <c r="G373" s="1003" t="str">
        <f>IF('C-Design&amp;Const'!$S373="","",'C-Design&amp;Const'!$S373)</f>
        <v>Y</v>
      </c>
      <c r="H373" s="1016" t="str">
        <f>CONCATENATE(IF(G373="N","PLACEHOLDER ROW - ",""),'C-Design&amp;Const'!Z373,IF(G373="N","",J373))</f>
        <v>Signal flow from input to output, left to right (Complete)</v>
      </c>
      <c r="I373" s="150"/>
      <c r="J373" s="609" t="str">
        <f>IF('C-Design&amp;Const'!AJ373="","",'C-Design&amp;Const'!AJ373)</f>
        <v>(Complete)</v>
      </c>
      <c r="K373" s="285" t="str">
        <f t="shared" si="34"/>
        <v>no 95% match</v>
      </c>
      <c r="L373" s="1410" t="str">
        <f t="shared" si="35"/>
        <v/>
      </c>
      <c r="M373" s="1333"/>
      <c r="N373" s="1333"/>
      <c r="O373" s="1333"/>
      <c r="P373" s="1333"/>
      <c r="Q373" s="1333"/>
      <c r="R373" s="1446"/>
      <c r="S373" s="1364"/>
      <c r="T373" s="1404"/>
      <c r="U373" s="1333"/>
      <c r="V373" s="1333"/>
      <c r="W373" s="1333"/>
      <c r="X373" s="1333"/>
      <c r="Y373" s="1333"/>
      <c r="Z373" s="1333"/>
      <c r="AA373" s="1333"/>
      <c r="AB373" s="1333"/>
      <c r="AC373" s="1333"/>
      <c r="AD373" s="1333"/>
      <c r="AE373" s="1333"/>
      <c r="AF373" s="1333"/>
      <c r="AG373" s="1333"/>
      <c r="AH373" s="1333"/>
      <c r="AI373" s="1333"/>
      <c r="AJ373" s="1333"/>
    </row>
    <row r="374" spans="1:36" ht="30" x14ac:dyDescent="0.25">
      <c r="A374" s="1520" t="str">
        <f>IF(COUNTIF('04 - 95% CD'!D374:G374,"Y")&gt;0,"Y",IF(COUNTIF('04 - 95% CD'!D374:G374,"N"),"N",""))</f>
        <v>Y</v>
      </c>
      <c r="B374" s="125"/>
      <c r="C374" s="944"/>
      <c r="D374" s="411"/>
      <c r="E374" s="321"/>
      <c r="F374" s="466"/>
      <c r="G374" s="1003" t="str">
        <f>IF('C-Design&amp;Const'!$S374="","",'C-Design&amp;Const'!$S374)</f>
        <v>Y</v>
      </c>
      <c r="H374" s="1016" t="str">
        <f>CONCATENATE(IF(G374="N","PLACEHOLDER ROW - ",""),'C-Design&amp;Const'!Z374,IF(G374="N","",J374))</f>
        <v>Major pieces of equipment identified by manufacturer, model number &amp; description (Complete)</v>
      </c>
      <c r="I374" s="150"/>
      <c r="J374" s="609" t="str">
        <f>IF('C-Design&amp;Const'!AJ374="","",'C-Design&amp;Const'!AJ374)</f>
        <v>(Complete)</v>
      </c>
      <c r="K374" s="285" t="str">
        <f t="shared" si="34"/>
        <v>no 95% match</v>
      </c>
      <c r="L374" s="1410" t="str">
        <f t="shared" si="35"/>
        <v/>
      </c>
      <c r="M374" s="1333"/>
      <c r="N374" s="1333"/>
      <c r="O374" s="1333"/>
      <c r="P374" s="1333"/>
      <c r="Q374" s="1333"/>
      <c r="R374" s="1444"/>
      <c r="S374" s="1448"/>
      <c r="T374" s="1404"/>
      <c r="U374" s="1333"/>
      <c r="V374" s="1333"/>
      <c r="W374" s="1333"/>
      <c r="X374" s="1333"/>
      <c r="Y374" s="1333"/>
      <c r="Z374" s="1333"/>
      <c r="AA374" s="1333"/>
      <c r="AB374" s="1333"/>
      <c r="AC374" s="1333"/>
      <c r="AD374" s="1333"/>
      <c r="AE374" s="1333"/>
      <c r="AF374" s="1333"/>
      <c r="AG374" s="1333"/>
      <c r="AH374" s="1333"/>
      <c r="AI374" s="1333"/>
      <c r="AJ374" s="1333"/>
    </row>
    <row r="375" spans="1:36" x14ac:dyDescent="0.25">
      <c r="A375" s="1520" t="str">
        <f>IF(COUNTIF('04 - 95% CD'!D375:G375,"Y")&gt;0,"Y",IF(COUNTIF('04 - 95% CD'!D375:G375,"N"),"N",""))</f>
        <v>Y</v>
      </c>
      <c r="B375" s="125"/>
      <c r="C375" s="944"/>
      <c r="D375" s="411"/>
      <c r="E375" s="321"/>
      <c r="F375" s="466"/>
      <c r="G375" s="1003" t="str">
        <f>IF('C-Design&amp;Const'!$S375="","",'C-Design&amp;Const'!$S375)</f>
        <v>Y</v>
      </c>
      <c r="H375" s="1016" t="str">
        <f>CONCATENATE(IF(G375="N","PLACEHOLDER ROW - ",""),'C-Design&amp;Const'!Z375,IF(G375="N","",J375))</f>
        <v>Equipment associated with plans and details (Complete)</v>
      </c>
      <c r="I375" s="150"/>
      <c r="J375" s="609" t="str">
        <f>IF('C-Design&amp;Const'!AJ375="","",'C-Design&amp;Const'!AJ375)</f>
        <v>(Complete)</v>
      </c>
      <c r="K375" s="285" t="str">
        <f t="shared" si="34"/>
        <v>no 95% match</v>
      </c>
      <c r="L375" s="1410" t="str">
        <f t="shared" si="35"/>
        <v/>
      </c>
      <c r="M375" s="1333"/>
      <c r="N375" s="1333"/>
      <c r="O375" s="1333"/>
      <c r="P375" s="1333"/>
      <c r="Q375" s="1333"/>
      <c r="R375" s="1487"/>
      <c r="S375" s="1364"/>
      <c r="T375" s="1404"/>
      <c r="U375" s="1333"/>
      <c r="V375" s="1333"/>
      <c r="W375" s="1333"/>
      <c r="X375" s="1333"/>
      <c r="Y375" s="1333"/>
      <c r="Z375" s="1333"/>
      <c r="AA375" s="1333"/>
      <c r="AB375" s="1333"/>
      <c r="AC375" s="1333"/>
      <c r="AD375" s="1333"/>
      <c r="AE375" s="1333"/>
      <c r="AF375" s="1333"/>
      <c r="AG375" s="1333"/>
      <c r="AH375" s="1333"/>
      <c r="AI375" s="1333"/>
      <c r="AJ375" s="1333"/>
    </row>
    <row r="376" spans="1:36" x14ac:dyDescent="0.25">
      <c r="A376" s="1520" t="str">
        <f>IF(COUNTIF('04 - 95% CD'!D376:G376,"Y")&gt;0,"Y",IF(COUNTIF('04 - 95% CD'!D376:G376,"N"),"N",""))</f>
        <v>Y</v>
      </c>
      <c r="B376" s="125"/>
      <c r="C376" s="944"/>
      <c r="D376" s="411"/>
      <c r="E376" s="321"/>
      <c r="F376" s="466"/>
      <c r="G376" s="1003" t="str">
        <f>IF('C-Design&amp;Const'!$S376="","",'C-Design&amp;Const'!$S376)</f>
        <v>Y</v>
      </c>
      <c r="H376" s="1016" t="str">
        <f>CONCATENATE(IF(G376="N","PLACEHOLDER ROW - ",""),'C-Design&amp;Const'!Z376,IF(G376="N","",J376))</f>
        <v>All field and rack cabling and signal type (Complete)</v>
      </c>
      <c r="I376" s="150"/>
      <c r="J376" s="609" t="str">
        <f>IF('C-Design&amp;Const'!AJ376="","",'C-Design&amp;Const'!AJ376)</f>
        <v>(Complete)</v>
      </c>
      <c r="K376" s="285" t="str">
        <f t="shared" si="34"/>
        <v>no 95% match</v>
      </c>
      <c r="L376" s="1410" t="str">
        <f t="shared" si="35"/>
        <v/>
      </c>
      <c r="M376" s="1333"/>
      <c r="N376" s="1333"/>
      <c r="O376" s="1333"/>
      <c r="P376" s="1333"/>
      <c r="Q376" s="1333"/>
      <c r="R376" s="1444"/>
      <c r="S376" s="1448"/>
      <c r="T376" s="1404"/>
      <c r="U376" s="1333"/>
      <c r="V376" s="1333"/>
      <c r="W376" s="1333"/>
      <c r="X376" s="1333"/>
      <c r="Y376" s="1333"/>
      <c r="Z376" s="1333"/>
      <c r="AA376" s="1333"/>
      <c r="AB376" s="1333"/>
      <c r="AC376" s="1333"/>
      <c r="AD376" s="1333"/>
      <c r="AE376" s="1333"/>
      <c r="AF376" s="1333"/>
      <c r="AG376" s="1333"/>
      <c r="AH376" s="1333"/>
      <c r="AI376" s="1333"/>
      <c r="AJ376" s="1333"/>
    </row>
    <row r="377" spans="1:36" x14ac:dyDescent="0.25">
      <c r="A377" s="1520" t="str">
        <f>IF(COUNTIF('04 - 95% CD'!D377:G377,"Y")&gt;0,"Y",IF(COUNTIF('04 - 95% CD'!D377:G377,"N"),"N",""))</f>
        <v>Y</v>
      </c>
      <c r="B377" s="125"/>
      <c r="C377" s="944"/>
      <c r="D377" s="411"/>
      <c r="E377" s="321"/>
      <c r="F377" s="466"/>
      <c r="G377" s="1003" t="str">
        <f>IF('C-Design&amp;Const'!$S377="","",'C-Design&amp;Const'!$S377)</f>
        <v>Y</v>
      </c>
      <c r="H377" s="1016" t="str">
        <f>CONCATENATE(IF(G377="N","PLACEHOLDER ROW - ",""),'C-Design&amp;Const'!Z377,IF(G377="N","",J377))</f>
        <v>Video signal resolutions (Complete)</v>
      </c>
      <c r="I377" s="150"/>
      <c r="J377" s="609" t="str">
        <f>IF('C-Design&amp;Const'!AJ377="","",'C-Design&amp;Const'!AJ377)</f>
        <v>(Complete)</v>
      </c>
      <c r="K377" s="285" t="str">
        <f t="shared" si="34"/>
        <v>no 95% match</v>
      </c>
      <c r="L377" s="1410" t="str">
        <f t="shared" si="35"/>
        <v/>
      </c>
      <c r="M377" s="1333"/>
      <c r="N377" s="1333"/>
      <c r="O377" s="1333"/>
      <c r="P377" s="1333"/>
      <c r="Q377" s="1333"/>
      <c r="R377" s="1284"/>
      <c r="S377" s="1488"/>
      <c r="T377" s="1404"/>
      <c r="U377" s="1333"/>
      <c r="V377" s="1333"/>
      <c r="W377" s="1333"/>
      <c r="X377" s="1333"/>
      <c r="Y377" s="1333"/>
      <c r="Z377" s="1333"/>
      <c r="AA377" s="1333"/>
      <c r="AB377" s="1333"/>
      <c r="AC377" s="1333"/>
      <c r="AD377" s="1333"/>
      <c r="AE377" s="1333"/>
      <c r="AF377" s="1333"/>
      <c r="AG377" s="1333"/>
      <c r="AH377" s="1333"/>
      <c r="AI377" s="1333"/>
      <c r="AJ377" s="1333"/>
    </row>
    <row r="378" spans="1:36" x14ac:dyDescent="0.25">
      <c r="A378" s="1520" t="str">
        <f>IF(COUNTIF('04 - 95% CD'!D378:G378,"Y")&gt;0,"Y",IF(COUNTIF('04 - 95% CD'!D378:G378,"N"),"N",""))</f>
        <v>Y</v>
      </c>
      <c r="B378" s="125"/>
      <c r="C378" s="944"/>
      <c r="D378" s="411"/>
      <c r="E378" s="321"/>
      <c r="F378" s="466"/>
      <c r="G378" s="1003" t="str">
        <f>IF('C-Design&amp;Const'!$S378="","",'C-Design&amp;Const'!$S378)</f>
        <v>Y</v>
      </c>
      <c r="H378" s="1016" t="str">
        <f>CONCATENATE(IF(G378="N","PLACEHOLDER ROW - ",""),'C-Design&amp;Const'!Z378,IF(G378="N","",J378))</f>
        <v>Manufacturer &amp; model number of all premade cables  (Complete)</v>
      </c>
      <c r="I378" s="150"/>
      <c r="J378" s="609" t="str">
        <f>IF('C-Design&amp;Const'!AJ378="","",'C-Design&amp;Const'!AJ378)</f>
        <v>(Complete)</v>
      </c>
      <c r="K378" s="285" t="str">
        <f t="shared" si="34"/>
        <v>no 95% match</v>
      </c>
      <c r="L378" s="1410" t="str">
        <f t="shared" si="35"/>
        <v/>
      </c>
      <c r="M378" s="1333"/>
      <c r="N378" s="1333"/>
      <c r="O378" s="1333"/>
      <c r="P378" s="1333"/>
      <c r="Q378" s="1333"/>
      <c r="R378" s="1453"/>
      <c r="S378" s="1364"/>
      <c r="T378" s="1404"/>
      <c r="U378" s="1333"/>
      <c r="V378" s="1333"/>
      <c r="W378" s="1333"/>
      <c r="X378" s="1333"/>
      <c r="Y378" s="1333"/>
      <c r="Z378" s="1333"/>
      <c r="AA378" s="1333"/>
      <c r="AB378" s="1333"/>
      <c r="AC378" s="1333"/>
      <c r="AD378" s="1333"/>
      <c r="AE378" s="1333"/>
      <c r="AF378" s="1333"/>
      <c r="AG378" s="1333"/>
      <c r="AH378" s="1333"/>
      <c r="AI378" s="1333"/>
      <c r="AJ378" s="1333"/>
    </row>
    <row r="379" spans="1:36" x14ac:dyDescent="0.25">
      <c r="A379" s="1520" t="str">
        <f>IF(COUNTIF('04 - 95% CD'!D379:G379,"Y")&gt;0,"Y",IF(COUNTIF('04 - 95% CD'!D379:G379,"N"),"N",""))</f>
        <v>Y</v>
      </c>
      <c r="B379" s="125"/>
      <c r="C379" s="944"/>
      <c r="D379" s="411"/>
      <c r="E379" s="321"/>
      <c r="F379" s="472"/>
      <c r="G379" s="1003" t="str">
        <f>IF('C-Design&amp;Const'!$S379="","",'C-Design&amp;Const'!$S379)</f>
        <v>Y</v>
      </c>
      <c r="H379" s="1016" t="str">
        <f>CONCATENATE(IF(G379="N","PLACEHOLDER ROW - ",""),'C-Design&amp;Const'!Z379,IF(G379="N","",J379))</f>
        <v>Typical pin out details (Complete)</v>
      </c>
      <c r="I379" s="150"/>
      <c r="J379" s="609" t="str">
        <f>IF('C-Design&amp;Const'!AJ379="","",'C-Design&amp;Const'!AJ379)</f>
        <v>(Complete)</v>
      </c>
      <c r="K379" s="285" t="str">
        <f t="shared" si="34"/>
        <v>no 95% match</v>
      </c>
      <c r="L379" s="1410" t="str">
        <f t="shared" si="35"/>
        <v/>
      </c>
      <c r="M379" s="1333"/>
      <c r="N379" s="1333"/>
      <c r="O379" s="1333"/>
      <c r="P379" s="1333"/>
      <c r="Q379" s="1333"/>
      <c r="R379" s="1453"/>
      <c r="S379" s="1364"/>
      <c r="T379" s="1404"/>
      <c r="U379" s="1333"/>
      <c r="V379" s="1333"/>
      <c r="W379" s="1333"/>
      <c r="X379" s="1333"/>
      <c r="Y379" s="1333"/>
      <c r="Z379" s="1333"/>
      <c r="AA379" s="1333"/>
      <c r="AB379" s="1333"/>
      <c r="AC379" s="1333"/>
      <c r="AD379" s="1333"/>
      <c r="AE379" s="1333"/>
      <c r="AF379" s="1333"/>
      <c r="AG379" s="1333"/>
      <c r="AH379" s="1333"/>
      <c r="AI379" s="1333"/>
      <c r="AJ379" s="1333"/>
    </row>
    <row r="380" spans="1:36" x14ac:dyDescent="0.25">
      <c r="A380" s="1520" t="str">
        <f>IF(COUNTIF('04 - 95% CD'!D380:G380,"Y")&gt;0,"Y",IF(COUNTIF('04 - 95% CD'!D380:G380,"N"),"N",""))</f>
        <v>Y</v>
      </c>
      <c r="B380" s="125"/>
      <c r="C380" s="944"/>
      <c r="D380" s="411"/>
      <c r="E380" s="321"/>
      <c r="F380" s="559" t="str">
        <f>IF('C-Design&amp;Const'!$S380="","",'C-Design&amp;Const'!$S380)</f>
        <v>Y</v>
      </c>
      <c r="G380" s="485"/>
      <c r="H380" s="469" t="str">
        <f>CONCATENATE(IF(F380="N","PLACEHOLDER ROW - ",""),'C-Design&amp;Const'!Z380,IF(F380="N","",J380))</f>
        <v>Video Security System – Approved Camera Locations (Complete)</v>
      </c>
      <c r="I380" s="150"/>
      <c r="J380" s="609" t="str">
        <f>IF('C-Design&amp;Const'!AJ380="","",'C-Design&amp;Const'!AJ380)</f>
        <v>(Complete)</v>
      </c>
      <c r="K380" s="285" t="str">
        <f t="shared" si="34"/>
        <v>match</v>
      </c>
      <c r="L380" s="1410" t="str">
        <f t="shared" si="35"/>
        <v/>
      </c>
      <c r="M380" s="1333"/>
      <c r="N380" s="1333"/>
      <c r="O380" s="1333"/>
      <c r="P380" s="1333"/>
      <c r="Q380" s="1333"/>
      <c r="R380" s="1453"/>
      <c r="S380" s="1364"/>
      <c r="T380" s="1404"/>
      <c r="U380" s="1333"/>
      <c r="V380" s="1333"/>
      <c r="W380" s="1333"/>
      <c r="X380" s="1333"/>
      <c r="Y380" s="1333"/>
      <c r="Z380" s="1333"/>
      <c r="AA380" s="1333"/>
      <c r="AB380" s="1333"/>
      <c r="AC380" s="1333"/>
      <c r="AD380" s="1333"/>
      <c r="AE380" s="1333"/>
      <c r="AF380" s="1333"/>
      <c r="AG380" s="1333"/>
      <c r="AH380" s="1333"/>
      <c r="AI380" s="1333"/>
      <c r="AJ380" s="1333"/>
    </row>
    <row r="381" spans="1:36" s="17" customFormat="1" x14ac:dyDescent="0.25">
      <c r="A381" s="1520" t="str">
        <f>IF(COUNTIF('04 - 95% CD'!D381:G381,"Y")&gt;0,"Y",IF(COUNTIF('04 - 95% CD'!D381:G381,"N"),"N",""))</f>
        <v/>
      </c>
      <c r="B381" s="141"/>
      <c r="C381" s="944"/>
      <c r="D381" s="411"/>
      <c r="E381" s="411"/>
      <c r="F381" s="321"/>
      <c r="G381" s="294"/>
      <c r="H381" s="296"/>
      <c r="I381" s="130"/>
      <c r="J381" s="609" t="str">
        <f>IF('C-Design&amp;Const'!AJ381="","",'C-Design&amp;Const'!AJ381)</f>
        <v/>
      </c>
      <c r="K381" s="285" t="str">
        <f t="shared" si="34"/>
        <v>match</v>
      </c>
      <c r="L381" s="1410" t="str">
        <f t="shared" si="35"/>
        <v/>
      </c>
      <c r="M381" s="1333"/>
      <c r="N381" s="1333"/>
      <c r="O381" s="1333"/>
      <c r="P381" s="1333"/>
      <c r="Q381" s="1333"/>
      <c r="R381" s="1453"/>
      <c r="S381" s="1364"/>
      <c r="T381" s="1404"/>
      <c r="U381" s="1333"/>
      <c r="V381" s="1333"/>
      <c r="W381" s="1333"/>
      <c r="X381" s="1333"/>
      <c r="Y381" s="1333"/>
      <c r="Z381" s="1333"/>
      <c r="AA381" s="1333"/>
      <c r="AB381" s="1333"/>
      <c r="AC381" s="1333"/>
      <c r="AD381" s="1333"/>
      <c r="AE381" s="1333"/>
      <c r="AF381" s="1333"/>
      <c r="AG381" s="1333"/>
      <c r="AH381" s="1333"/>
      <c r="AI381" s="1333"/>
      <c r="AJ381" s="1333"/>
    </row>
    <row r="382" spans="1:36" s="181" customFormat="1" ht="18.75" x14ac:dyDescent="0.2">
      <c r="A382" s="1501" t="str">
        <f>IF(COUNTIF('04 - 95% CD'!D382:G382,"Y")&gt;0,"Y",IF(COUNTIF('04 - 95% CD'!D382:G382,"N"),"N",""))</f>
        <v>N</v>
      </c>
      <c r="B382" s="177"/>
      <c r="C382" s="948"/>
      <c r="D382" s="359" t="str">
        <f>IF('C-Design&amp;Const'!$S382="","",'C-Design&amp;Const'!$S382)</f>
        <v>N</v>
      </c>
      <c r="E382" s="234"/>
      <c r="F382" s="235"/>
      <c r="G382" s="291" t="str">
        <f>IF('C-Design&amp;Const'!Y382="","",'C-Design&amp;Const'!Y382)</f>
        <v>07b.</v>
      </c>
      <c r="H382" s="290" t="str">
        <f>CONCATENATE('C-Design&amp;Const'!Z382,IF(D382="N"," Not Used In This Construction Phase",J382))</f>
        <v>Building Information Model (BIM) Not Used In This Construction Phase</v>
      </c>
      <c r="I382" s="184"/>
      <c r="J382" s="609" t="str">
        <f>IF('C-Design&amp;Const'!AJ382="","",'C-Design&amp;Const'!AJ382)</f>
        <v/>
      </c>
      <c r="K382" s="285" t="str">
        <f t="shared" si="34"/>
        <v>match</v>
      </c>
      <c r="L382" s="1410" t="str">
        <f t="shared" si="35"/>
        <v/>
      </c>
      <c r="M382" s="1382"/>
      <c r="N382" s="1382"/>
      <c r="O382" s="1382"/>
      <c r="P382" s="1382"/>
      <c r="Q382" s="1382"/>
      <c r="R382" s="1447"/>
      <c r="S382" s="1448"/>
      <c r="T382" s="1404"/>
      <c r="U382" s="1382"/>
      <c r="V382" s="1382"/>
      <c r="W382" s="1382"/>
      <c r="X382" s="1382"/>
      <c r="Y382" s="1382"/>
      <c r="Z382" s="1382"/>
      <c r="AA382" s="1382"/>
      <c r="AB382" s="1382"/>
      <c r="AC382" s="1382"/>
      <c r="AD382" s="1382"/>
      <c r="AE382" s="1382"/>
      <c r="AF382" s="1382"/>
      <c r="AG382" s="1382"/>
      <c r="AH382" s="1382"/>
      <c r="AI382" s="1382"/>
      <c r="AJ382" s="1382"/>
    </row>
    <row r="383" spans="1:36" hidden="1" x14ac:dyDescent="0.25">
      <c r="A383" s="1407" t="str">
        <f>IF(COUNTIF('04 - 95% CD'!D383:G383,"Y")&gt;0,"Y",IF(COUNTIF('04 - 95% CD'!D383:G383,"N"),"N",""))</f>
        <v/>
      </c>
      <c r="B383" s="125"/>
      <c r="C383" s="944"/>
      <c r="D383" s="321"/>
      <c r="E383" s="321"/>
      <c r="F383" s="321"/>
      <c r="G383" s="294"/>
      <c r="H383" s="296"/>
      <c r="I383" s="130"/>
      <c r="J383" s="609" t="str">
        <f>IF('C-Design&amp;Const'!AJ383="","",'C-Design&amp;Const'!AJ383)</f>
        <v/>
      </c>
      <c r="K383" s="285" t="str">
        <f t="shared" si="34"/>
        <v>match</v>
      </c>
      <c r="L383" s="1410" t="str">
        <f t="shared" si="35"/>
        <v/>
      </c>
      <c r="M383" s="1333"/>
      <c r="N383" s="1333"/>
      <c r="O383" s="1333"/>
      <c r="P383" s="1333"/>
      <c r="Q383" s="1333"/>
      <c r="R383" s="1453"/>
      <c r="S383" s="1364"/>
      <c r="T383" s="1284"/>
      <c r="U383" s="1333"/>
      <c r="V383" s="1333"/>
      <c r="W383" s="1333"/>
      <c r="X383" s="1333"/>
      <c r="Y383" s="1333"/>
      <c r="Z383" s="1333"/>
      <c r="AA383" s="1333"/>
      <c r="AB383" s="1333"/>
      <c r="AC383" s="1333"/>
      <c r="AD383" s="1333"/>
      <c r="AE383" s="1333"/>
      <c r="AF383" s="1333"/>
      <c r="AG383" s="1333"/>
      <c r="AH383" s="1333"/>
      <c r="AI383" s="1333"/>
      <c r="AJ383" s="1333"/>
    </row>
    <row r="384" spans="1:36" x14ac:dyDescent="0.25">
      <c r="A384" s="1407" t="str">
        <f>IF(COUNTIF('04 - 95% CD'!D384:G384,"Y")&gt;0,"Y",IF(COUNTIF('04 - 95% CD'!D384:G384,"N"),"N",""))</f>
        <v/>
      </c>
      <c r="B384" s="125"/>
      <c r="C384" s="944"/>
      <c r="D384" s="321"/>
      <c r="E384" s="321"/>
      <c r="F384" s="321"/>
      <c r="G384" s="294"/>
      <c r="H384" s="296"/>
      <c r="I384" s="130"/>
      <c r="J384" s="609" t="str">
        <f>IF('C-Design&amp;Const'!AJ384="","",'C-Design&amp;Const'!AJ384)</f>
        <v/>
      </c>
      <c r="K384" s="285" t="str">
        <f t="shared" si="34"/>
        <v>match</v>
      </c>
      <c r="L384" s="1410" t="str">
        <f t="shared" si="35"/>
        <v/>
      </c>
      <c r="M384" s="1333"/>
      <c r="N384" s="1333"/>
      <c r="O384" s="1333"/>
      <c r="P384" s="1333"/>
      <c r="Q384" s="1333"/>
      <c r="R384" s="1453"/>
      <c r="S384" s="1364"/>
      <c r="T384" s="1284"/>
      <c r="U384" s="1333"/>
      <c r="V384" s="1333"/>
      <c r="W384" s="1333"/>
      <c r="X384" s="1333"/>
      <c r="Y384" s="1333"/>
      <c r="Z384" s="1333"/>
      <c r="AA384" s="1333"/>
      <c r="AB384" s="1333"/>
      <c r="AC384" s="1333"/>
      <c r="AD384" s="1333"/>
      <c r="AE384" s="1333"/>
      <c r="AF384" s="1333"/>
      <c r="AG384" s="1333"/>
      <c r="AH384" s="1333"/>
      <c r="AI384" s="1333"/>
      <c r="AJ384" s="1333"/>
    </row>
    <row r="385" spans="1:50" s="181" customFormat="1" ht="18.75" x14ac:dyDescent="0.2">
      <c r="A385" s="1501" t="str">
        <f>IF(COUNTIF('04 - 95% CD'!D385:G385,"Y")&gt;0,"Y",IF(COUNTIF('04 - 95% CD'!D385:G385,"N"),"N",""))</f>
        <v>N</v>
      </c>
      <c r="B385" s="177"/>
      <c r="C385" s="944"/>
      <c r="D385" s="559" t="str">
        <f>IF('C-Design&amp;Const'!$S385="","",'C-Design&amp;Const'!$S385)</f>
        <v>N</v>
      </c>
      <c r="E385" s="234"/>
      <c r="F385" s="235"/>
      <c r="G385" s="291" t="str">
        <f>IF('C-Design&amp;Const'!Y385="","",'C-Design&amp;Const'!Y385)</f>
        <v>08a.</v>
      </c>
      <c r="H385" s="290" t="str">
        <f>CONCATENATE('C-Design&amp;Const'!Z385,IF(D385="N"," Not Used In This Construction Phase",J385))</f>
        <v>Design Presentation Not Used In This Construction Phase</v>
      </c>
      <c r="I385" s="184"/>
      <c r="J385" s="609" t="str">
        <f>IF('C-Design&amp;Const'!AJ385="","",'C-Design&amp;Const'!AJ385)</f>
        <v/>
      </c>
      <c r="K385" s="285" t="str">
        <f t="shared" si="34"/>
        <v>match</v>
      </c>
      <c r="L385" s="1410" t="str">
        <f t="shared" si="35"/>
        <v/>
      </c>
      <c r="M385" s="1382"/>
      <c r="N385" s="1382"/>
      <c r="O385" s="1382"/>
      <c r="P385" s="1382"/>
      <c r="Q385" s="1382"/>
      <c r="R385" s="1447"/>
      <c r="S385" s="1448"/>
      <c r="T385" s="1274"/>
      <c r="U385" s="1382"/>
      <c r="V385" s="1382"/>
      <c r="W385" s="1382"/>
      <c r="X385" s="1382"/>
      <c r="Y385" s="1382"/>
      <c r="Z385" s="1382"/>
      <c r="AA385" s="1382"/>
      <c r="AB385" s="1382"/>
      <c r="AC385" s="1382"/>
      <c r="AD385" s="1382"/>
      <c r="AE385" s="1382"/>
      <c r="AF385" s="1382"/>
      <c r="AG385" s="1382"/>
      <c r="AH385" s="1382"/>
      <c r="AI385" s="1382"/>
      <c r="AJ385" s="1382"/>
      <c r="AX385" s="30"/>
    </row>
    <row r="386" spans="1:50" s="30" customFormat="1" hidden="1" x14ac:dyDescent="0.25">
      <c r="A386" s="1407" t="str">
        <f>IF(COUNTIF('04 - 95% CD'!D386:G386,"Y")&gt;0,"Y",IF(COUNTIF('04 - 95% CD'!D386:G386,"N"),"N",""))</f>
        <v>N</v>
      </c>
      <c r="B386" s="191"/>
      <c r="C386" s="944"/>
      <c r="D386" s="321"/>
      <c r="E386" s="559" t="str">
        <f>IF('C-Design&amp;Const'!$S386="","",'C-Design&amp;Const'!$S386)</f>
        <v>N</v>
      </c>
      <c r="F386" s="560"/>
      <c r="G386" s="558"/>
      <c r="H386" s="410" t="str">
        <f>'04 - 95% CD'!H386</f>
        <v>PLACEHOLDER ROW - OPTIONAL CLIENT CUSTOM ITEM</v>
      </c>
      <c r="I386" s="186"/>
      <c r="J386" s="609" t="str">
        <f>IF('C-Design&amp;Const'!AJ386="","",'C-Design&amp;Const'!AJ386)</f>
        <v/>
      </c>
      <c r="K386" s="285" t="str">
        <f t="shared" si="34"/>
        <v>match</v>
      </c>
      <c r="L386" s="1410" t="str">
        <f t="shared" si="35"/>
        <v>&lt;---PM/Planner may hide PLACEHOLDER ROW</v>
      </c>
      <c r="M386" s="1382"/>
      <c r="N386" s="1382"/>
      <c r="O386" s="1382"/>
      <c r="P386" s="1382"/>
      <c r="Q386" s="1382"/>
      <c r="R386" s="1490"/>
      <c r="S386" s="1274"/>
      <c r="T386" s="1274"/>
      <c r="U386" s="1382"/>
      <c r="V386" s="1382"/>
      <c r="W386" s="1382"/>
      <c r="X386" s="1382"/>
      <c r="Y386" s="1382"/>
      <c r="Z386" s="1382"/>
      <c r="AA386" s="1382"/>
      <c r="AB386" s="1382"/>
      <c r="AC386" s="1382"/>
      <c r="AD386" s="1382"/>
      <c r="AE386" s="1382"/>
      <c r="AF386" s="1382"/>
      <c r="AG386" s="1382"/>
      <c r="AH386" s="1382"/>
      <c r="AI386" s="1382"/>
      <c r="AJ386" s="1382"/>
      <c r="AK386" s="181"/>
      <c r="AL386" s="181"/>
      <c r="AM386" s="181"/>
      <c r="AN386" s="181"/>
      <c r="AO386" s="181"/>
      <c r="AP386" s="181"/>
      <c r="AQ386" s="181"/>
      <c r="AR386" s="181"/>
      <c r="AS386" s="181"/>
      <c r="AT386" s="181"/>
      <c r="AU386" s="181"/>
      <c r="AV386" s="181"/>
      <c r="AW386" s="181"/>
    </row>
    <row r="387" spans="1:50" s="30" customFormat="1" hidden="1" x14ac:dyDescent="0.25">
      <c r="A387" s="1407" t="str">
        <f>IF(COUNTIF('04 - 95% CD'!D387:G387,"Y")&gt;0,"Y",IF(COUNTIF('04 - 95% CD'!D387:G387,"N"),"N",""))</f>
        <v>N</v>
      </c>
      <c r="B387" s="191"/>
      <c r="C387" s="944"/>
      <c r="D387" s="321"/>
      <c r="E387" s="559" t="str">
        <f>IF('C-Design&amp;Const'!$S387="","",'C-Design&amp;Const'!$S387)</f>
        <v>N</v>
      </c>
      <c r="F387" s="560"/>
      <c r="G387" s="558"/>
      <c r="H387" s="410" t="str">
        <f>'04 - 95% CD'!H387</f>
        <v>PLACEHOLDER ROW - OPTIONAL CLIENT CUSTOM ITEM</v>
      </c>
      <c r="I387" s="186"/>
      <c r="J387" s="609" t="str">
        <f>IF('C-Design&amp;Const'!AJ387="","",'C-Design&amp;Const'!AJ387)</f>
        <v/>
      </c>
      <c r="K387" s="285" t="str">
        <f t="shared" si="34"/>
        <v>match</v>
      </c>
      <c r="L387" s="1410" t="str">
        <f t="shared" si="35"/>
        <v>&lt;---PM/Planner may hide PLACEHOLDER ROW</v>
      </c>
      <c r="M387" s="1382"/>
      <c r="N387" s="1382"/>
      <c r="O387" s="1382"/>
      <c r="P387" s="1382"/>
      <c r="Q387" s="1382"/>
      <c r="R387" s="1490"/>
      <c r="S387" s="1274"/>
      <c r="T387" s="1274"/>
      <c r="U387" s="1382"/>
      <c r="V387" s="1382"/>
      <c r="W387" s="1382"/>
      <c r="X387" s="1382"/>
      <c r="Y387" s="1382"/>
      <c r="Z387" s="1382"/>
      <c r="AA387" s="1382"/>
      <c r="AB387" s="1382"/>
      <c r="AC387" s="1382"/>
      <c r="AD387" s="1382"/>
      <c r="AE387" s="1382"/>
      <c r="AF387" s="1382"/>
      <c r="AG387" s="1382"/>
      <c r="AH387" s="1382"/>
      <c r="AI387" s="1382"/>
      <c r="AJ387" s="1382"/>
      <c r="AK387" s="181"/>
      <c r="AL387" s="181"/>
      <c r="AM387" s="181"/>
      <c r="AN387" s="181"/>
      <c r="AO387" s="181"/>
      <c r="AP387" s="181"/>
      <c r="AQ387" s="181"/>
      <c r="AR387" s="181"/>
      <c r="AS387" s="181"/>
      <c r="AT387" s="181"/>
      <c r="AU387" s="181"/>
      <c r="AV387" s="181"/>
      <c r="AW387" s="181"/>
    </row>
    <row r="388" spans="1:50" s="30" customFormat="1" hidden="1" x14ac:dyDescent="0.25">
      <c r="A388" s="1407" t="str">
        <f>IF(COUNTIF('04 - 95% CD'!D388:G388,"Y")&gt;0,"Y",IF(COUNTIF('04 - 95% CD'!D388:G388,"N"),"N",""))</f>
        <v>N</v>
      </c>
      <c r="B388" s="191"/>
      <c r="C388" s="944"/>
      <c r="D388" s="321"/>
      <c r="E388" s="559" t="str">
        <f>IF('C-Design&amp;Const'!$S388="","",'C-Design&amp;Const'!$S388)</f>
        <v>N</v>
      </c>
      <c r="F388" s="560"/>
      <c r="G388" s="558"/>
      <c r="H388" s="410" t="str">
        <f>'04 - 95% CD'!H388</f>
        <v>PLACEHOLDER ROW - OPTIONAL CLIENT CUSTOM ITEM</v>
      </c>
      <c r="I388" s="186"/>
      <c r="J388" s="609" t="str">
        <f>IF('C-Design&amp;Const'!AJ388="","",'C-Design&amp;Const'!AJ388)</f>
        <v/>
      </c>
      <c r="K388" s="285" t="str">
        <f t="shared" si="34"/>
        <v>match</v>
      </c>
      <c r="L388" s="1410" t="str">
        <f t="shared" si="35"/>
        <v>&lt;---PM/Planner may hide PLACEHOLDER ROW</v>
      </c>
      <c r="M388" s="1382"/>
      <c r="N388" s="1382"/>
      <c r="O388" s="1382"/>
      <c r="P388" s="1382"/>
      <c r="Q388" s="1382"/>
      <c r="R388" s="1490"/>
      <c r="S388" s="1274"/>
      <c r="T388" s="1274"/>
      <c r="U388" s="1382"/>
      <c r="V388" s="1382"/>
      <c r="W388" s="1382"/>
      <c r="X388" s="1382"/>
      <c r="Y388" s="1382"/>
      <c r="Z388" s="1382"/>
      <c r="AA388" s="1382"/>
      <c r="AB388" s="1382"/>
      <c r="AC388" s="1382"/>
      <c r="AD388" s="1382"/>
      <c r="AE388" s="1382"/>
      <c r="AF388" s="1382"/>
      <c r="AG388" s="1382"/>
      <c r="AH388" s="1382"/>
      <c r="AI388" s="1382"/>
      <c r="AJ388" s="1382"/>
      <c r="AK388" s="181"/>
      <c r="AL388" s="181"/>
      <c r="AM388" s="181"/>
      <c r="AN388" s="181"/>
      <c r="AO388" s="181"/>
      <c r="AP388" s="181"/>
      <c r="AQ388" s="181"/>
      <c r="AR388" s="181"/>
      <c r="AS388" s="181"/>
      <c r="AT388" s="181"/>
      <c r="AU388" s="181"/>
      <c r="AV388" s="181"/>
      <c r="AW388" s="181"/>
    </row>
    <row r="389" spans="1:50" s="30" customFormat="1" hidden="1" x14ac:dyDescent="0.25">
      <c r="A389" s="1407" t="str">
        <f>IF(COUNTIF('04 - 95% CD'!D389:G389,"Y")&gt;0,"Y",IF(COUNTIF('04 - 95% CD'!D389:G389,"N"),"N",""))</f>
        <v>N</v>
      </c>
      <c r="B389" s="191"/>
      <c r="C389" s="944"/>
      <c r="D389" s="321"/>
      <c r="E389" s="559" t="str">
        <f>IF('C-Design&amp;Const'!$S389="","",'C-Design&amp;Const'!$S389)</f>
        <v>N</v>
      </c>
      <c r="F389" s="560"/>
      <c r="G389" s="558"/>
      <c r="H389" s="410" t="str">
        <f>'04 - 95% CD'!H389</f>
        <v>PLACEHOLDER ROW - OPTIONAL CLIENT CUSTOM ITEM</v>
      </c>
      <c r="I389" s="186"/>
      <c r="J389" s="609" t="str">
        <f>IF('C-Design&amp;Const'!AJ389="","",'C-Design&amp;Const'!AJ389)</f>
        <v/>
      </c>
      <c r="K389" s="285" t="str">
        <f t="shared" si="34"/>
        <v>match</v>
      </c>
      <c r="L389" s="1410" t="str">
        <f t="shared" si="35"/>
        <v>&lt;---PM/Planner may hide PLACEHOLDER ROW</v>
      </c>
      <c r="M389" s="1382"/>
      <c r="N389" s="1382"/>
      <c r="O389" s="1382"/>
      <c r="P389" s="1382"/>
      <c r="Q389" s="1382"/>
      <c r="R389" s="1490"/>
      <c r="S389" s="1274"/>
      <c r="T389" s="1274"/>
      <c r="U389" s="1382"/>
      <c r="V389" s="1382"/>
      <c r="W389" s="1382"/>
      <c r="X389" s="1382"/>
      <c r="Y389" s="1382"/>
      <c r="Z389" s="1382"/>
      <c r="AA389" s="1382"/>
      <c r="AB389" s="1382"/>
      <c r="AC389" s="1382"/>
      <c r="AD389" s="1382"/>
      <c r="AE389" s="1382"/>
      <c r="AF389" s="1382"/>
      <c r="AG389" s="1382"/>
      <c r="AH389" s="1382"/>
      <c r="AI389" s="1382"/>
      <c r="AJ389" s="1382"/>
      <c r="AK389" s="181"/>
      <c r="AL389" s="181"/>
      <c r="AM389" s="181"/>
      <c r="AN389" s="181"/>
      <c r="AO389" s="181"/>
      <c r="AP389" s="181"/>
      <c r="AQ389" s="181"/>
      <c r="AR389" s="181"/>
      <c r="AS389" s="181"/>
      <c r="AT389" s="181"/>
      <c r="AU389" s="181"/>
      <c r="AV389" s="181"/>
      <c r="AW389" s="181"/>
    </row>
    <row r="390" spans="1:50" s="30" customFormat="1" hidden="1" x14ac:dyDescent="0.25">
      <c r="A390" s="1407" t="str">
        <f>IF(COUNTIF('04 - 95% CD'!D390:G390,"Y")&gt;0,"Y",IF(COUNTIF('04 - 95% CD'!D390:G390,"N"),"N",""))</f>
        <v>N</v>
      </c>
      <c r="B390" s="191"/>
      <c r="C390" s="944"/>
      <c r="D390" s="321"/>
      <c r="E390" s="559" t="str">
        <f>IF('C-Design&amp;Const'!$S390="","",'C-Design&amp;Const'!$S390)</f>
        <v>N</v>
      </c>
      <c r="F390" s="560"/>
      <c r="G390" s="558"/>
      <c r="H390" s="410" t="str">
        <f>'04 - 95% CD'!H390</f>
        <v>PLACEHOLDER ROW - OPTIONAL CLIENT CUSTOM ITEM</v>
      </c>
      <c r="I390" s="186"/>
      <c r="J390" s="609" t="str">
        <f>IF('C-Design&amp;Const'!AJ390="","",'C-Design&amp;Const'!AJ390)</f>
        <v/>
      </c>
      <c r="K390" s="285" t="str">
        <f t="shared" si="34"/>
        <v>match</v>
      </c>
      <c r="L390" s="1410" t="str">
        <f t="shared" si="35"/>
        <v>&lt;---PM/Planner may hide PLACEHOLDER ROW</v>
      </c>
      <c r="M390" s="1382"/>
      <c r="N390" s="1382"/>
      <c r="O390" s="1382"/>
      <c r="P390" s="1382"/>
      <c r="Q390" s="1382"/>
      <c r="R390" s="1490"/>
      <c r="S390" s="1274"/>
      <c r="T390" s="1274"/>
      <c r="U390" s="1382"/>
      <c r="V390" s="1382"/>
      <c r="W390" s="1382"/>
      <c r="X390" s="1382"/>
      <c r="Y390" s="1382"/>
      <c r="Z390" s="1382"/>
      <c r="AA390" s="1382"/>
      <c r="AB390" s="1382"/>
      <c r="AC390" s="1382"/>
      <c r="AD390" s="1382"/>
      <c r="AE390" s="1382"/>
      <c r="AF390" s="1382"/>
      <c r="AG390" s="1382"/>
      <c r="AH390" s="1382"/>
      <c r="AI390" s="1382"/>
      <c r="AJ390" s="1382"/>
      <c r="AK390" s="181"/>
      <c r="AL390" s="181"/>
      <c r="AM390" s="181"/>
      <c r="AN390" s="181"/>
      <c r="AO390" s="181"/>
      <c r="AP390" s="181"/>
      <c r="AQ390" s="181"/>
      <c r="AR390" s="181"/>
      <c r="AS390" s="181"/>
      <c r="AT390" s="181"/>
      <c r="AU390" s="181"/>
      <c r="AV390" s="181"/>
      <c r="AW390" s="181"/>
    </row>
    <row r="391" spans="1:50" s="30" customFormat="1" hidden="1" x14ac:dyDescent="0.25">
      <c r="A391" s="1407" t="str">
        <f>IF(COUNTIF('04 - 95% CD'!D391:G391,"Y")&gt;0,"Y",IF(COUNTIF('04 - 95% CD'!D391:G391,"N"),"N",""))</f>
        <v>N</v>
      </c>
      <c r="B391" s="191"/>
      <c r="C391" s="944"/>
      <c r="D391" s="321"/>
      <c r="E391" s="559" t="str">
        <f>IF('C-Design&amp;Const'!$S391="","",'C-Design&amp;Const'!$S391)</f>
        <v>N</v>
      </c>
      <c r="F391" s="560"/>
      <c r="G391" s="558"/>
      <c r="H391" s="410" t="str">
        <f>'04 - 95% CD'!H391</f>
        <v>PLACEHOLDER ROW - OPTIONAL CLIENT CUSTOM ITEM</v>
      </c>
      <c r="I391" s="186"/>
      <c r="J391" s="609" t="str">
        <f>IF('C-Design&amp;Const'!AJ391="","",'C-Design&amp;Const'!AJ391)</f>
        <v/>
      </c>
      <c r="K391" s="285" t="str">
        <f t="shared" si="34"/>
        <v>match</v>
      </c>
      <c r="L391" s="1410" t="str">
        <f t="shared" si="35"/>
        <v>&lt;---PM/Planner may hide PLACEHOLDER ROW</v>
      </c>
      <c r="M391" s="1382"/>
      <c r="N391" s="1382"/>
      <c r="O391" s="1382"/>
      <c r="P391" s="1382"/>
      <c r="Q391" s="1382"/>
      <c r="R391" s="1490"/>
      <c r="S391" s="1274"/>
      <c r="T391" s="1274"/>
      <c r="U391" s="1382"/>
      <c r="V391" s="1382"/>
      <c r="W391" s="1382"/>
      <c r="X391" s="1382"/>
      <c r="Y391" s="1382"/>
      <c r="Z391" s="1382"/>
      <c r="AA391" s="1382"/>
      <c r="AB391" s="1382"/>
      <c r="AC391" s="1382"/>
      <c r="AD391" s="1382"/>
      <c r="AE391" s="1382"/>
      <c r="AF391" s="1382"/>
      <c r="AG391" s="1382"/>
      <c r="AH391" s="1382"/>
      <c r="AI391" s="1382"/>
      <c r="AJ391" s="1382"/>
      <c r="AK391" s="181"/>
      <c r="AL391" s="181"/>
      <c r="AM391" s="181"/>
      <c r="AN391" s="181"/>
      <c r="AO391" s="181"/>
      <c r="AP391" s="181"/>
      <c r="AQ391" s="181"/>
      <c r="AR391" s="181"/>
      <c r="AS391" s="181"/>
      <c r="AT391" s="181"/>
      <c r="AU391" s="181"/>
      <c r="AV391" s="181"/>
      <c r="AW391" s="181"/>
    </row>
    <row r="392" spans="1:50" s="30" customFormat="1" hidden="1" x14ac:dyDescent="0.25">
      <c r="A392" s="1407" t="str">
        <f>IF(COUNTIF('04 - 95% CD'!D392:G392,"Y")&gt;0,"Y",IF(COUNTIF('04 - 95% CD'!D392:G392,"N"),"N",""))</f>
        <v>N</v>
      </c>
      <c r="B392" s="191"/>
      <c r="C392" s="944"/>
      <c r="D392" s="321"/>
      <c r="E392" s="559" t="str">
        <f>IF('C-Design&amp;Const'!$S395="","",'C-Design&amp;Const'!$S395)</f>
        <v>N</v>
      </c>
      <c r="F392" s="560"/>
      <c r="G392" s="558"/>
      <c r="H392" s="410" t="str">
        <f>'04 - 95% CD'!H392</f>
        <v>PLACEHOLDER ROW - OPTIONAL CLIENT CUSTOM ITEM</v>
      </c>
      <c r="I392" s="186"/>
      <c r="J392" s="609" t="str">
        <f>IF('C-Design&amp;Const'!AJ392="","",'C-Design&amp;Const'!AJ392)</f>
        <v/>
      </c>
      <c r="K392" s="285" t="str">
        <f t="shared" si="34"/>
        <v>match</v>
      </c>
      <c r="L392" s="1410" t="str">
        <f t="shared" si="35"/>
        <v>&lt;---PM/Planner may hide PLACEHOLDER ROW</v>
      </c>
      <c r="M392" s="1382"/>
      <c r="N392" s="1382"/>
      <c r="O392" s="1382"/>
      <c r="P392" s="1382"/>
      <c r="Q392" s="1382"/>
      <c r="R392" s="1490"/>
      <c r="S392" s="1274"/>
      <c r="T392" s="1274"/>
      <c r="U392" s="1382"/>
      <c r="V392" s="1382"/>
      <c r="W392" s="1382"/>
      <c r="X392" s="1382"/>
      <c r="Y392" s="1382"/>
      <c r="Z392" s="1382"/>
      <c r="AA392" s="1382"/>
      <c r="AB392" s="1382"/>
      <c r="AC392" s="1382"/>
      <c r="AD392" s="1382"/>
      <c r="AE392" s="1382"/>
      <c r="AF392" s="1382"/>
      <c r="AG392" s="1382"/>
      <c r="AH392" s="1382"/>
      <c r="AI392" s="1382"/>
      <c r="AJ392" s="1382"/>
      <c r="AK392" s="181"/>
      <c r="AL392" s="181"/>
      <c r="AM392" s="181"/>
      <c r="AN392" s="181"/>
      <c r="AO392" s="181"/>
      <c r="AP392" s="181"/>
      <c r="AQ392" s="181"/>
      <c r="AR392" s="181"/>
      <c r="AS392" s="181"/>
      <c r="AT392" s="181"/>
      <c r="AU392" s="181"/>
      <c r="AV392" s="181"/>
      <c r="AW392" s="181"/>
    </row>
    <row r="393" spans="1:50" s="30" customFormat="1" hidden="1" x14ac:dyDescent="0.25">
      <c r="A393" s="1407" t="str">
        <f>IF(COUNTIF('04 - 95% CD'!D393:G393,"Y")&gt;0,"Y",IF(COUNTIF('04 - 95% CD'!D393:G393,"N"),"N",""))</f>
        <v>N</v>
      </c>
      <c r="B393" s="191"/>
      <c r="C393" s="944"/>
      <c r="D393" s="321"/>
      <c r="E393" s="559" t="str">
        <f>IF('C-Design&amp;Const'!$S392="","",'C-Design&amp;Const'!$S392)</f>
        <v>N</v>
      </c>
      <c r="F393" s="560"/>
      <c r="G393" s="558"/>
      <c r="H393" s="410" t="str">
        <f>'04 - 95% CD'!H393</f>
        <v>PLACEHOLDER ROW - OPTIONAL CLIENT CUSTOM ITEM</v>
      </c>
      <c r="I393" s="186"/>
      <c r="J393" s="609" t="str">
        <f>IF('C-Design&amp;Const'!AJ393="","",'C-Design&amp;Const'!AJ393)</f>
        <v/>
      </c>
      <c r="K393" s="285" t="str">
        <f t="shared" si="34"/>
        <v>match</v>
      </c>
      <c r="L393" s="1410" t="str">
        <f t="shared" si="35"/>
        <v>&lt;---PM/Planner may hide PLACEHOLDER ROW</v>
      </c>
      <c r="M393" s="1382"/>
      <c r="N393" s="1382"/>
      <c r="O393" s="1382"/>
      <c r="P393" s="1382"/>
      <c r="Q393" s="1382"/>
      <c r="R393" s="1490"/>
      <c r="S393" s="1274"/>
      <c r="T393" s="1274"/>
      <c r="U393" s="1382"/>
      <c r="V393" s="1382"/>
      <c r="W393" s="1382"/>
      <c r="X393" s="1382"/>
      <c r="Y393" s="1382"/>
      <c r="Z393" s="1382"/>
      <c r="AA393" s="1382"/>
      <c r="AB393" s="1382"/>
      <c r="AC393" s="1382"/>
      <c r="AD393" s="1382"/>
      <c r="AE393" s="1382"/>
      <c r="AF393" s="1382"/>
      <c r="AG393" s="1382"/>
      <c r="AH393" s="1382"/>
      <c r="AI393" s="1382"/>
      <c r="AJ393" s="1382"/>
      <c r="AK393" s="181"/>
      <c r="AL393" s="181"/>
      <c r="AM393" s="181"/>
      <c r="AN393" s="181"/>
      <c r="AO393" s="181"/>
      <c r="AP393" s="181"/>
      <c r="AQ393" s="181"/>
      <c r="AR393" s="181"/>
      <c r="AS393" s="181"/>
      <c r="AT393" s="181"/>
      <c r="AU393" s="181"/>
      <c r="AV393" s="181"/>
      <c r="AW393" s="181"/>
    </row>
    <row r="394" spans="1:50" s="30" customFormat="1" hidden="1" x14ac:dyDescent="0.25">
      <c r="A394" s="1407" t="str">
        <f>IF(COUNTIF('04 - 95% CD'!D394:G394,"Y")&gt;0,"Y",IF(COUNTIF('04 - 95% CD'!D394:G394,"N"),"N",""))</f>
        <v>N</v>
      </c>
      <c r="B394" s="191"/>
      <c r="C394" s="944"/>
      <c r="D394" s="321"/>
      <c r="E394" s="559" t="str">
        <f>IF('C-Design&amp;Const'!$S393="","",'C-Design&amp;Const'!$S393)</f>
        <v>N</v>
      </c>
      <c r="F394" s="560"/>
      <c r="G394" s="558"/>
      <c r="H394" s="410" t="str">
        <f>'04 - 95% CD'!H394</f>
        <v>PLACEHOLDER ROW - OPTIONAL CLIENT CUSTOM ITEM</v>
      </c>
      <c r="I394" s="186"/>
      <c r="J394" s="609" t="str">
        <f>IF('C-Design&amp;Const'!AJ394="","",'C-Design&amp;Const'!AJ394)</f>
        <v/>
      </c>
      <c r="K394" s="285" t="str">
        <f t="shared" si="34"/>
        <v>match</v>
      </c>
      <c r="L394" s="1410" t="str">
        <f t="shared" si="35"/>
        <v>&lt;---PM/Planner may hide PLACEHOLDER ROW</v>
      </c>
      <c r="M394" s="1382"/>
      <c r="N394" s="1382"/>
      <c r="O394" s="1382"/>
      <c r="P394" s="1382"/>
      <c r="Q394" s="1382"/>
      <c r="R394" s="1490"/>
      <c r="S394" s="1274"/>
      <c r="T394" s="1274"/>
      <c r="U394" s="1382"/>
      <c r="V394" s="1382"/>
      <c r="W394" s="1382"/>
      <c r="X394" s="1382"/>
      <c r="Y394" s="1382"/>
      <c r="Z394" s="1382"/>
      <c r="AA394" s="1382"/>
      <c r="AB394" s="1382"/>
      <c r="AC394" s="1382"/>
      <c r="AD394" s="1382"/>
      <c r="AE394" s="1382"/>
      <c r="AF394" s="1382"/>
      <c r="AG394" s="1382"/>
      <c r="AH394" s="1382"/>
      <c r="AI394" s="1382"/>
      <c r="AJ394" s="1382"/>
      <c r="AK394" s="181"/>
      <c r="AL394" s="181"/>
      <c r="AM394" s="181"/>
      <c r="AN394" s="181"/>
      <c r="AO394" s="181"/>
      <c r="AP394" s="181"/>
      <c r="AQ394" s="181"/>
      <c r="AR394" s="181"/>
      <c r="AS394" s="181"/>
      <c r="AT394" s="181"/>
      <c r="AU394" s="181"/>
      <c r="AV394" s="181"/>
      <c r="AW394" s="181"/>
    </row>
    <row r="395" spans="1:50" s="30" customFormat="1" hidden="1" x14ac:dyDescent="0.25">
      <c r="A395" s="1407" t="str">
        <f>IF(COUNTIF('04 - 95% CD'!D395:G395,"Y")&gt;0,"Y",IF(COUNTIF('04 - 95% CD'!D395:G395,"N"),"N",""))</f>
        <v>N</v>
      </c>
      <c r="B395" s="191"/>
      <c r="C395" s="944"/>
      <c r="D395" s="321"/>
      <c r="E395" s="559" t="str">
        <f>IF('C-Design&amp;Const'!$S394="","",'C-Design&amp;Const'!$S394)</f>
        <v>N</v>
      </c>
      <c r="F395" s="560"/>
      <c r="G395" s="558"/>
      <c r="H395" s="410" t="str">
        <f>'04 - 95% CD'!H395</f>
        <v>PLACEHOLDER ROW - OPTIONAL CLIENT CUSTOM ITEM</v>
      </c>
      <c r="I395" s="186"/>
      <c r="J395" s="609" t="str">
        <f>IF('C-Design&amp;Const'!AJ395="","",'C-Design&amp;Const'!AJ395)</f>
        <v/>
      </c>
      <c r="K395" s="285" t="str">
        <f t="shared" si="34"/>
        <v>match</v>
      </c>
      <c r="L395" s="1410" t="str">
        <f t="shared" si="35"/>
        <v>&lt;---PM/Planner may hide PLACEHOLDER ROW</v>
      </c>
      <c r="M395" s="1382"/>
      <c r="N395" s="1382"/>
      <c r="O395" s="1382"/>
      <c r="P395" s="1382"/>
      <c r="Q395" s="1382"/>
      <c r="R395" s="1490"/>
      <c r="S395" s="1274"/>
      <c r="T395" s="1274"/>
      <c r="U395" s="1382"/>
      <c r="V395" s="1382"/>
      <c r="W395" s="1382"/>
      <c r="X395" s="1382"/>
      <c r="Y395" s="1382"/>
      <c r="Z395" s="1382"/>
      <c r="AA395" s="1382"/>
      <c r="AB395" s="1382"/>
      <c r="AC395" s="1382"/>
      <c r="AD395" s="1382"/>
      <c r="AE395" s="1382"/>
      <c r="AF395" s="1382"/>
      <c r="AG395" s="1382"/>
      <c r="AH395" s="1382"/>
      <c r="AI395" s="1382"/>
      <c r="AJ395" s="1382"/>
      <c r="AK395" s="181"/>
      <c r="AL395" s="181"/>
      <c r="AM395" s="181"/>
      <c r="AN395" s="181"/>
      <c r="AO395" s="181"/>
      <c r="AP395" s="181"/>
      <c r="AQ395" s="181"/>
      <c r="AR395" s="181"/>
      <c r="AS395" s="181"/>
      <c r="AT395" s="181"/>
      <c r="AU395" s="181"/>
      <c r="AV395" s="181"/>
      <c r="AW395" s="181"/>
    </row>
    <row r="396" spans="1:50" s="30" customFormat="1" hidden="1" x14ac:dyDescent="0.25">
      <c r="A396" s="1407" t="str">
        <f>IF(COUNTIF('04 - 95% CD'!D396:G396,"Y")&gt;0,"Y",IF(COUNTIF('04 - 95% CD'!D396:G396,"N"),"N",""))</f>
        <v>N</v>
      </c>
      <c r="B396" s="191"/>
      <c r="C396" s="944"/>
      <c r="D396" s="321"/>
      <c r="E396" s="559" t="str">
        <f>IF('C-Design&amp;Const'!$S396="","",'C-Design&amp;Const'!$S396)</f>
        <v>N</v>
      </c>
      <c r="F396" s="560"/>
      <c r="G396" s="558"/>
      <c r="H396" s="410" t="str">
        <f>'04 - 95% CD'!H396</f>
        <v>PLACEHOLDER ROW - OPTIONAL CLIENT CUSTOM ITEM</v>
      </c>
      <c r="I396" s="186"/>
      <c r="J396" s="609" t="str">
        <f>IF('C-Design&amp;Const'!AJ396="","",'C-Design&amp;Const'!AJ396)</f>
        <v/>
      </c>
      <c r="K396" s="285" t="str">
        <f t="shared" si="34"/>
        <v>match</v>
      </c>
      <c r="L396" s="1410" t="str">
        <f t="shared" si="35"/>
        <v>&lt;---PM/Planner may hide PLACEHOLDER ROW</v>
      </c>
      <c r="M396" s="1382"/>
      <c r="N396" s="1382"/>
      <c r="O396" s="1382"/>
      <c r="P396" s="1382"/>
      <c r="Q396" s="1382"/>
      <c r="R396" s="1490"/>
      <c r="S396" s="1274"/>
      <c r="T396" s="1274"/>
      <c r="U396" s="1382"/>
      <c r="V396" s="1382"/>
      <c r="W396" s="1382"/>
      <c r="X396" s="1382"/>
      <c r="Y396" s="1382"/>
      <c r="Z396" s="1382"/>
      <c r="AA396" s="1382"/>
      <c r="AB396" s="1382"/>
      <c r="AC396" s="1382"/>
      <c r="AD396" s="1382"/>
      <c r="AE396" s="1382"/>
      <c r="AF396" s="1382"/>
      <c r="AG396" s="1382"/>
      <c r="AH396" s="1382"/>
      <c r="AI396" s="1382"/>
      <c r="AJ396" s="1382"/>
      <c r="AK396" s="181"/>
      <c r="AL396" s="181"/>
      <c r="AM396" s="181"/>
      <c r="AN396" s="181"/>
      <c r="AO396" s="181"/>
      <c r="AP396" s="181"/>
      <c r="AQ396" s="181"/>
      <c r="AR396" s="181"/>
      <c r="AS396" s="181"/>
      <c r="AT396" s="181"/>
      <c r="AU396" s="181"/>
      <c r="AV396" s="181"/>
      <c r="AW396" s="181"/>
    </row>
    <row r="397" spans="1:50" s="30" customFormat="1" hidden="1" x14ac:dyDescent="0.25">
      <c r="A397" s="1407" t="str">
        <f>IF(COUNTIF('04 - 95% CD'!D397:G397,"Y")&gt;0,"Y",IF(COUNTIF('04 - 95% CD'!D397:G397,"N"),"N",""))</f>
        <v>N</v>
      </c>
      <c r="B397" s="191"/>
      <c r="C397" s="944"/>
      <c r="D397" s="321"/>
      <c r="E397" s="559" t="str">
        <f>IF('C-Design&amp;Const'!$S397="","",'C-Design&amp;Const'!$S397)</f>
        <v>N</v>
      </c>
      <c r="F397" s="560"/>
      <c r="G397" s="558"/>
      <c r="H397" s="410" t="str">
        <f>'04 - 95% CD'!H397</f>
        <v>PLACEHOLDER ROW - OPTIONAL CLIENT CUSTOM ITEM</v>
      </c>
      <c r="I397" s="186"/>
      <c r="J397" s="609" t="str">
        <f>IF('C-Design&amp;Const'!AJ397="","",'C-Design&amp;Const'!AJ397)</f>
        <v/>
      </c>
      <c r="K397" s="285" t="str">
        <f t="shared" si="34"/>
        <v>match</v>
      </c>
      <c r="L397" s="1410" t="str">
        <f t="shared" si="35"/>
        <v>&lt;---PM/Planner may hide PLACEHOLDER ROW</v>
      </c>
      <c r="M397" s="1382"/>
      <c r="N397" s="1382"/>
      <c r="O397" s="1382"/>
      <c r="P397" s="1382"/>
      <c r="Q397" s="1382"/>
      <c r="R397" s="1490"/>
      <c r="S397" s="1274"/>
      <c r="T397" s="1274"/>
      <c r="U397" s="1382"/>
      <c r="V397" s="1382"/>
      <c r="W397" s="1382"/>
      <c r="X397" s="1382"/>
      <c r="Y397" s="1382"/>
      <c r="Z397" s="1382"/>
      <c r="AA397" s="1382"/>
      <c r="AB397" s="1382"/>
      <c r="AC397" s="1382"/>
      <c r="AD397" s="1382"/>
      <c r="AE397" s="1382"/>
      <c r="AF397" s="1382"/>
      <c r="AG397" s="1382"/>
      <c r="AH397" s="1382"/>
      <c r="AI397" s="1382"/>
      <c r="AJ397" s="1382"/>
      <c r="AK397" s="181"/>
      <c r="AL397" s="181"/>
      <c r="AM397" s="181"/>
      <c r="AN397" s="181"/>
      <c r="AO397" s="181"/>
      <c r="AP397" s="181"/>
      <c r="AQ397" s="181"/>
      <c r="AR397" s="181"/>
      <c r="AS397" s="181"/>
      <c r="AT397" s="181"/>
      <c r="AU397" s="181"/>
      <c r="AV397" s="181"/>
      <c r="AW397" s="181"/>
    </row>
    <row r="398" spans="1:50" s="30" customFormat="1" hidden="1" x14ac:dyDescent="0.25">
      <c r="A398" s="1407" t="str">
        <f>IF(COUNTIF('04 - 95% CD'!D398:G398,"Y")&gt;0,"Y",IF(COUNTIF('04 - 95% CD'!D398:G398,"N"),"N",""))</f>
        <v>N</v>
      </c>
      <c r="B398" s="191"/>
      <c r="C398" s="944"/>
      <c r="D398" s="321"/>
      <c r="E398" s="559" t="str">
        <f>IF('C-Design&amp;Const'!$S398="","",'C-Design&amp;Const'!$S398)</f>
        <v>N</v>
      </c>
      <c r="F398" s="560"/>
      <c r="G398" s="558"/>
      <c r="H398" s="410" t="str">
        <f>'04 - 95% CD'!H398</f>
        <v>PLACEHOLDER ROW - OPTIONAL CLIENT CUSTOM ITEM</v>
      </c>
      <c r="I398" s="186"/>
      <c r="J398" s="609" t="str">
        <f>IF('C-Design&amp;Const'!AJ398="","",'C-Design&amp;Const'!AJ398)</f>
        <v/>
      </c>
      <c r="K398" s="285" t="str">
        <f t="shared" si="34"/>
        <v>match</v>
      </c>
      <c r="L398" s="1410" t="str">
        <f t="shared" si="35"/>
        <v>&lt;---PM/Planner may hide PLACEHOLDER ROW</v>
      </c>
      <c r="M398" s="1382"/>
      <c r="N398" s="1382"/>
      <c r="O398" s="1382"/>
      <c r="P398" s="1382"/>
      <c r="Q398" s="1382"/>
      <c r="R398" s="1490"/>
      <c r="S398" s="1274"/>
      <c r="T398" s="1274"/>
      <c r="U398" s="1382"/>
      <c r="V398" s="1382"/>
      <c r="W398" s="1382"/>
      <c r="X398" s="1382"/>
      <c r="Y398" s="1382"/>
      <c r="Z398" s="1382"/>
      <c r="AA398" s="1382"/>
      <c r="AB398" s="1382"/>
      <c r="AC398" s="1382"/>
      <c r="AD398" s="1382"/>
      <c r="AE398" s="1382"/>
      <c r="AF398" s="1382"/>
      <c r="AG398" s="1382"/>
      <c r="AH398" s="1382"/>
      <c r="AI398" s="1382"/>
      <c r="AJ398" s="1382"/>
      <c r="AK398" s="181"/>
      <c r="AL398" s="181"/>
      <c r="AM398" s="181"/>
      <c r="AN398" s="181"/>
      <c r="AO398" s="181"/>
      <c r="AP398" s="181"/>
      <c r="AQ398" s="181"/>
      <c r="AR398" s="181"/>
      <c r="AS398" s="181"/>
      <c r="AT398" s="181"/>
      <c r="AU398" s="181"/>
      <c r="AV398" s="181"/>
      <c r="AW398" s="181"/>
    </row>
    <row r="399" spans="1:50" s="30" customFormat="1" hidden="1" x14ac:dyDescent="0.25">
      <c r="A399" s="1407" t="str">
        <f>IF(COUNTIF('04 - 95% CD'!D399:G399,"Y")&gt;0,"Y",IF(COUNTIF('04 - 95% CD'!D399:G399,"N"),"N",""))</f>
        <v>N</v>
      </c>
      <c r="B399" s="191"/>
      <c r="C399" s="944"/>
      <c r="D399" s="321"/>
      <c r="E399" s="559" t="str">
        <f>IF('C-Design&amp;Const'!$S399="","",'C-Design&amp;Const'!$S399)</f>
        <v>N</v>
      </c>
      <c r="F399" s="560"/>
      <c r="G399" s="558"/>
      <c r="H399" s="410" t="str">
        <f>'04 - 95% CD'!H399</f>
        <v>PLACEHOLDER ROW - OPTIONAL CLIENT CUSTOM ITEM</v>
      </c>
      <c r="I399" s="186"/>
      <c r="J399" s="609" t="str">
        <f>IF('C-Design&amp;Const'!AJ399="","",'C-Design&amp;Const'!AJ399)</f>
        <v/>
      </c>
      <c r="K399" s="285" t="str">
        <f t="shared" si="34"/>
        <v>match</v>
      </c>
      <c r="L399" s="1410" t="str">
        <f t="shared" si="35"/>
        <v>&lt;---PM/Planner may hide PLACEHOLDER ROW</v>
      </c>
      <c r="M399" s="1382"/>
      <c r="N399" s="1382"/>
      <c r="O399" s="1382"/>
      <c r="P399" s="1382"/>
      <c r="Q399" s="1382"/>
      <c r="R399" s="1490"/>
      <c r="S399" s="1274"/>
      <c r="T399" s="1274"/>
      <c r="U399" s="1382"/>
      <c r="V399" s="1382"/>
      <c r="W399" s="1382"/>
      <c r="X399" s="1382"/>
      <c r="Y399" s="1382"/>
      <c r="Z399" s="1382"/>
      <c r="AA399" s="1382"/>
      <c r="AB399" s="1382"/>
      <c r="AC399" s="1382"/>
      <c r="AD399" s="1382"/>
      <c r="AE399" s="1382"/>
      <c r="AF399" s="1382"/>
      <c r="AG399" s="1382"/>
      <c r="AH399" s="1382"/>
      <c r="AI399" s="1382"/>
      <c r="AJ399" s="1382"/>
      <c r="AK399" s="181"/>
      <c r="AL399" s="181"/>
      <c r="AM399" s="181"/>
      <c r="AN399" s="181"/>
      <c r="AO399" s="181"/>
      <c r="AP399" s="181"/>
      <c r="AQ399" s="181"/>
      <c r="AR399" s="181"/>
      <c r="AS399" s="181"/>
      <c r="AT399" s="181"/>
      <c r="AU399" s="181"/>
      <c r="AV399" s="181"/>
      <c r="AW399" s="181"/>
    </row>
    <row r="400" spans="1:50" s="30" customFormat="1" hidden="1" x14ac:dyDescent="0.25">
      <c r="A400" s="1407" t="str">
        <f>IF(COUNTIF('04 - 95% CD'!D400:G400,"Y")&gt;0,"Y",IF(COUNTIF('04 - 95% CD'!D400:G400,"N"),"N",""))</f>
        <v>N</v>
      </c>
      <c r="B400" s="191"/>
      <c r="C400" s="944"/>
      <c r="D400" s="321"/>
      <c r="E400" s="559" t="str">
        <f>IF('C-Design&amp;Const'!$S400="","",'C-Design&amp;Const'!$S400)</f>
        <v>N</v>
      </c>
      <c r="F400" s="560"/>
      <c r="G400" s="558"/>
      <c r="H400" s="410" t="str">
        <f>'04 - 95% CD'!H400</f>
        <v>PLACEHOLDER ROW - OPTIONAL CLIENT CUSTOM ITEM</v>
      </c>
      <c r="I400" s="186"/>
      <c r="J400" s="609" t="str">
        <f>IF('C-Design&amp;Const'!AJ400="","",'C-Design&amp;Const'!AJ400)</f>
        <v/>
      </c>
      <c r="K400" s="285" t="str">
        <f t="shared" si="34"/>
        <v>match</v>
      </c>
      <c r="L400" s="1410" t="str">
        <f t="shared" si="35"/>
        <v>&lt;---PM/Planner may hide PLACEHOLDER ROW</v>
      </c>
      <c r="M400" s="1382"/>
      <c r="N400" s="1382"/>
      <c r="O400" s="1382"/>
      <c r="P400" s="1382"/>
      <c r="Q400" s="1382"/>
      <c r="R400" s="1490"/>
      <c r="S400" s="1274"/>
      <c r="T400" s="1274"/>
      <c r="U400" s="1382"/>
      <c r="V400" s="1382"/>
      <c r="W400" s="1382"/>
      <c r="X400" s="1382"/>
      <c r="Y400" s="1382"/>
      <c r="Z400" s="1382"/>
      <c r="AA400" s="1382"/>
      <c r="AB400" s="1382"/>
      <c r="AC400" s="1382"/>
      <c r="AD400" s="1382"/>
      <c r="AE400" s="1382"/>
      <c r="AF400" s="1382"/>
      <c r="AG400" s="1382"/>
      <c r="AH400" s="1382"/>
      <c r="AI400" s="1382"/>
      <c r="AJ400" s="1382"/>
      <c r="AK400" s="181"/>
      <c r="AL400" s="181"/>
      <c r="AM400" s="181"/>
      <c r="AN400" s="181"/>
      <c r="AO400" s="181"/>
      <c r="AP400" s="181"/>
      <c r="AQ400" s="181"/>
      <c r="AR400" s="181"/>
      <c r="AS400" s="181"/>
      <c r="AT400" s="181"/>
      <c r="AU400" s="181"/>
      <c r="AV400" s="181"/>
      <c r="AW400" s="181"/>
    </row>
    <row r="401" spans="1:49" s="30" customFormat="1" hidden="1" x14ac:dyDescent="0.25">
      <c r="A401" s="1407" t="str">
        <f>IF(COUNTIF('04 - 95% CD'!D401:G401,"Y")&gt;0,"Y",IF(COUNTIF('04 - 95% CD'!D401:G401,"N"),"N",""))</f>
        <v>N</v>
      </c>
      <c r="B401" s="191"/>
      <c r="C401" s="944"/>
      <c r="D401" s="321"/>
      <c r="E401" s="559" t="str">
        <f>IF('C-Design&amp;Const'!$S401="","",'C-Design&amp;Const'!$S401)</f>
        <v>N</v>
      </c>
      <c r="F401" s="560"/>
      <c r="G401" s="558"/>
      <c r="H401" s="410" t="str">
        <f>'04 - 95% CD'!H401</f>
        <v>PLACEHOLDER ROW - OPTIONAL CLIENT CUSTOM ITEM</v>
      </c>
      <c r="I401" s="186"/>
      <c r="J401" s="609" t="str">
        <f>IF('C-Design&amp;Const'!AJ401="","",'C-Design&amp;Const'!AJ401)</f>
        <v/>
      </c>
      <c r="K401" s="285" t="str">
        <f t="shared" ref="K401:K454" si="42">IF((COUNTIF(D401:F401,"Y")=COUNTIF(A401,"Y")),"match","no 95% match")</f>
        <v>match</v>
      </c>
      <c r="L401" s="1410" t="str">
        <f t="shared" ref="L401:L464" si="43">CONCATENATE(IF(ISNUMBER(SEARCH("Placeholder",H401))=TRUE,"&lt;---PM/Planner may hide PLACEHOLDER ROW",""))</f>
        <v>&lt;---PM/Planner may hide PLACEHOLDER ROW</v>
      </c>
      <c r="M401" s="1382"/>
      <c r="N401" s="1382"/>
      <c r="O401" s="1382"/>
      <c r="P401" s="1382"/>
      <c r="Q401" s="1382"/>
      <c r="R401" s="1490"/>
      <c r="S401" s="1274"/>
      <c r="T401" s="1274"/>
      <c r="U401" s="1382"/>
      <c r="V401" s="1382"/>
      <c r="W401" s="1382"/>
      <c r="X401" s="1382"/>
      <c r="Y401" s="1382"/>
      <c r="Z401" s="1382"/>
      <c r="AA401" s="1382"/>
      <c r="AB401" s="1382"/>
      <c r="AC401" s="1382"/>
      <c r="AD401" s="1382"/>
      <c r="AE401" s="1382"/>
      <c r="AF401" s="1382"/>
      <c r="AG401" s="1382"/>
      <c r="AH401" s="1382"/>
      <c r="AI401" s="1382"/>
      <c r="AJ401" s="1382"/>
      <c r="AK401" s="181"/>
      <c r="AL401" s="181"/>
      <c r="AM401" s="181"/>
      <c r="AN401" s="181"/>
      <c r="AO401" s="181"/>
      <c r="AP401" s="181"/>
      <c r="AQ401" s="181"/>
      <c r="AR401" s="181"/>
      <c r="AS401" s="181"/>
      <c r="AT401" s="181"/>
      <c r="AU401" s="181"/>
      <c r="AV401" s="181"/>
      <c r="AW401" s="181"/>
    </row>
    <row r="402" spans="1:49" s="30" customFormat="1" hidden="1" x14ac:dyDescent="0.25">
      <c r="A402" s="1407" t="str">
        <f>IF(COUNTIF('04 - 95% CD'!D402:G402,"Y")&gt;0,"Y",IF(COUNTIF('04 - 95% CD'!D402:G402,"N"),"N",""))</f>
        <v/>
      </c>
      <c r="B402" s="191"/>
      <c r="C402" s="944"/>
      <c r="D402" s="321"/>
      <c r="E402" s="559" t="str">
        <f>IF('C-Design&amp;Const'!$S402="","",'C-Design&amp;Const'!$S402)</f>
        <v/>
      </c>
      <c r="F402" s="560"/>
      <c r="G402" s="558"/>
      <c r="H402" s="410" t="str">
        <f>'04 - 95% CD'!H402</f>
        <v>PLACEHOLDER ROW - OPTIONAL CLIENT CUSTOM ITEM</v>
      </c>
      <c r="I402" s="186"/>
      <c r="J402" s="609" t="str">
        <f>IF('C-Design&amp;Const'!AJ402="","",'C-Design&amp;Const'!AJ402)</f>
        <v/>
      </c>
      <c r="K402" s="285" t="str">
        <f t="shared" si="42"/>
        <v>match</v>
      </c>
      <c r="L402" s="1410" t="str">
        <f t="shared" si="43"/>
        <v>&lt;---PM/Planner may hide PLACEHOLDER ROW</v>
      </c>
      <c r="M402" s="1382"/>
      <c r="N402" s="1382"/>
      <c r="O402" s="1382"/>
      <c r="P402" s="1382"/>
      <c r="Q402" s="1382"/>
      <c r="R402" s="1490"/>
      <c r="S402" s="1274"/>
      <c r="T402" s="1274"/>
      <c r="U402" s="1382"/>
      <c r="V402" s="1382"/>
      <c r="W402" s="1382"/>
      <c r="X402" s="1382"/>
      <c r="Y402" s="1382"/>
      <c r="Z402" s="1382"/>
      <c r="AA402" s="1382"/>
      <c r="AB402" s="1382"/>
      <c r="AC402" s="1382"/>
      <c r="AD402" s="1382"/>
      <c r="AE402" s="1382"/>
      <c r="AF402" s="1382"/>
      <c r="AG402" s="1382"/>
      <c r="AH402" s="1382"/>
      <c r="AI402" s="1382"/>
      <c r="AJ402" s="1382"/>
      <c r="AK402" s="181"/>
      <c r="AL402" s="181"/>
      <c r="AM402" s="181"/>
      <c r="AN402" s="181"/>
      <c r="AO402" s="181"/>
      <c r="AP402" s="181"/>
      <c r="AQ402" s="181"/>
      <c r="AR402" s="181"/>
      <c r="AS402" s="181"/>
      <c r="AT402" s="181"/>
      <c r="AU402" s="181"/>
      <c r="AV402" s="181"/>
      <c r="AW402" s="181"/>
    </row>
    <row r="403" spans="1:49" s="30" customFormat="1" hidden="1" x14ac:dyDescent="0.25">
      <c r="A403" s="1407" t="str">
        <f>IF(COUNTIF('04 - 95% CD'!D403:G403,"Y")&gt;0,"Y",IF(COUNTIF('04 - 95% CD'!D403:G403,"N"),"N",""))</f>
        <v>N</v>
      </c>
      <c r="B403" s="191"/>
      <c r="C403" s="944"/>
      <c r="D403" s="321"/>
      <c r="E403" s="559" t="str">
        <f>IF('C-Design&amp;Const'!$S403="","",'C-Design&amp;Const'!$S403)</f>
        <v>N</v>
      </c>
      <c r="F403" s="560"/>
      <c r="G403" s="558"/>
      <c r="H403" s="410" t="str">
        <f>'04 - 95% CD'!H403</f>
        <v>PLACEHOLDER ROW - OPTIONAL CLIENT CUSTOM ITEM</v>
      </c>
      <c r="I403" s="186"/>
      <c r="J403" s="609" t="str">
        <f>IF('C-Design&amp;Const'!AJ403="","",'C-Design&amp;Const'!AJ403)</f>
        <v/>
      </c>
      <c r="K403" s="285" t="str">
        <f t="shared" si="42"/>
        <v>match</v>
      </c>
      <c r="L403" s="1410" t="str">
        <f t="shared" si="43"/>
        <v>&lt;---PM/Planner may hide PLACEHOLDER ROW</v>
      </c>
      <c r="M403" s="1382"/>
      <c r="N403" s="1382"/>
      <c r="O403" s="1382"/>
      <c r="P403" s="1382"/>
      <c r="Q403" s="1382"/>
      <c r="R403" s="1490"/>
      <c r="S403" s="1274"/>
      <c r="T403" s="1274"/>
      <c r="U403" s="1382"/>
      <c r="V403" s="1382"/>
      <c r="W403" s="1382"/>
      <c r="X403" s="1382"/>
      <c r="Y403" s="1382"/>
      <c r="Z403" s="1382"/>
      <c r="AA403" s="1382"/>
      <c r="AB403" s="1382"/>
      <c r="AC403" s="1382"/>
      <c r="AD403" s="1382"/>
      <c r="AE403" s="1382"/>
      <c r="AF403" s="1382"/>
      <c r="AG403" s="1382"/>
      <c r="AH403" s="1382"/>
      <c r="AI403" s="1382"/>
      <c r="AJ403" s="1382"/>
      <c r="AK403" s="181"/>
      <c r="AL403" s="181"/>
      <c r="AM403" s="181"/>
      <c r="AN403" s="181"/>
      <c r="AO403" s="181"/>
      <c r="AP403" s="181"/>
      <c r="AQ403" s="181"/>
      <c r="AR403" s="181"/>
      <c r="AS403" s="181"/>
      <c r="AT403" s="181"/>
      <c r="AU403" s="181"/>
      <c r="AV403" s="181"/>
      <c r="AW403" s="181"/>
    </row>
    <row r="404" spans="1:49" s="30" customFormat="1" hidden="1" x14ac:dyDescent="0.25">
      <c r="A404" s="1407" t="str">
        <f>IF(COUNTIF('04 - 95% CD'!D404:G404,"Y")&gt;0,"Y",IF(COUNTIF('04 - 95% CD'!D404:G404,"N"),"N",""))</f>
        <v>N</v>
      </c>
      <c r="B404" s="191"/>
      <c r="C404" s="944"/>
      <c r="D404" s="321"/>
      <c r="E404" s="559" t="str">
        <f>IF('C-Design&amp;Const'!$S404="","",'C-Design&amp;Const'!$S404)</f>
        <v>N</v>
      </c>
      <c r="F404" s="560"/>
      <c r="G404" s="558"/>
      <c r="H404" s="410" t="str">
        <f>'04 - 95% CD'!H404</f>
        <v>PLACEHOLDER ROW - OPTIONAL CLIENT CUSTOM ITEM</v>
      </c>
      <c r="I404" s="186"/>
      <c r="J404" s="609" t="str">
        <f>IF('C-Design&amp;Const'!AJ404="","",'C-Design&amp;Const'!AJ404)</f>
        <v/>
      </c>
      <c r="K404" s="285" t="str">
        <f t="shared" si="42"/>
        <v>match</v>
      </c>
      <c r="L404" s="1410" t="str">
        <f t="shared" si="43"/>
        <v>&lt;---PM/Planner may hide PLACEHOLDER ROW</v>
      </c>
      <c r="M404" s="1382"/>
      <c r="N404" s="1382"/>
      <c r="O404" s="1382"/>
      <c r="P404" s="1382"/>
      <c r="Q404" s="1382"/>
      <c r="R404" s="1490"/>
      <c r="S404" s="1274"/>
      <c r="T404" s="1274"/>
      <c r="U404" s="1382"/>
      <c r="V404" s="1382"/>
      <c r="W404" s="1382"/>
      <c r="X404" s="1382"/>
      <c r="Y404" s="1382"/>
      <c r="Z404" s="1382"/>
      <c r="AA404" s="1382"/>
      <c r="AB404" s="1382"/>
      <c r="AC404" s="1382"/>
      <c r="AD404" s="1382"/>
      <c r="AE404" s="1382"/>
      <c r="AF404" s="1382"/>
      <c r="AG404" s="1382"/>
      <c r="AH404" s="1382"/>
      <c r="AI404" s="1382"/>
      <c r="AJ404" s="1382"/>
      <c r="AK404" s="181"/>
      <c r="AL404" s="181"/>
      <c r="AM404" s="181"/>
      <c r="AN404" s="181"/>
      <c r="AO404" s="181"/>
      <c r="AP404" s="181"/>
      <c r="AQ404" s="181"/>
      <c r="AR404" s="181"/>
      <c r="AS404" s="181"/>
      <c r="AT404" s="181"/>
      <c r="AU404" s="181"/>
      <c r="AV404" s="181"/>
      <c r="AW404" s="181"/>
    </row>
    <row r="405" spans="1:49" s="30" customFormat="1" hidden="1" x14ac:dyDescent="0.25">
      <c r="A405" s="1407" t="str">
        <f>IF(COUNTIF('04 - 95% CD'!D405:G405,"Y")&gt;0,"Y",IF(COUNTIF('04 - 95% CD'!D405:G405,"N"),"N",""))</f>
        <v>N</v>
      </c>
      <c r="B405" s="191"/>
      <c r="C405" s="944"/>
      <c r="D405" s="321"/>
      <c r="E405" s="559" t="str">
        <f>IF('C-Design&amp;Const'!$S405="","",'C-Design&amp;Const'!$S405)</f>
        <v>N</v>
      </c>
      <c r="F405" s="560"/>
      <c r="G405" s="558"/>
      <c r="H405" s="410" t="str">
        <f>'04 - 95% CD'!H405</f>
        <v>PLACEHOLDER ROW - OPTIONAL CLIENT CUSTOM ITEM</v>
      </c>
      <c r="I405" s="186"/>
      <c r="J405" s="609" t="str">
        <f>IF('C-Design&amp;Const'!AJ405="","",'C-Design&amp;Const'!AJ405)</f>
        <v/>
      </c>
      <c r="K405" s="285" t="str">
        <f t="shared" si="42"/>
        <v>match</v>
      </c>
      <c r="L405" s="1410" t="str">
        <f t="shared" si="43"/>
        <v>&lt;---PM/Planner may hide PLACEHOLDER ROW</v>
      </c>
      <c r="M405" s="1382"/>
      <c r="N405" s="1382"/>
      <c r="O405" s="1382"/>
      <c r="P405" s="1382"/>
      <c r="Q405" s="1382"/>
      <c r="R405" s="1490"/>
      <c r="S405" s="1274"/>
      <c r="T405" s="1274"/>
      <c r="U405" s="1382"/>
      <c r="V405" s="1382"/>
      <c r="W405" s="1382"/>
      <c r="X405" s="1382"/>
      <c r="Y405" s="1382"/>
      <c r="Z405" s="1382"/>
      <c r="AA405" s="1382"/>
      <c r="AB405" s="1382"/>
      <c r="AC405" s="1382"/>
      <c r="AD405" s="1382"/>
      <c r="AE405" s="1382"/>
      <c r="AF405" s="1382"/>
      <c r="AG405" s="1382"/>
      <c r="AH405" s="1382"/>
      <c r="AI405" s="1382"/>
      <c r="AJ405" s="1382"/>
      <c r="AK405" s="181"/>
      <c r="AL405" s="181"/>
      <c r="AM405" s="181"/>
      <c r="AN405" s="181"/>
      <c r="AO405" s="181"/>
      <c r="AP405" s="181"/>
      <c r="AQ405" s="181"/>
      <c r="AR405" s="181"/>
      <c r="AS405" s="181"/>
      <c r="AT405" s="181"/>
      <c r="AU405" s="181"/>
      <c r="AV405" s="181"/>
      <c r="AW405" s="181"/>
    </row>
    <row r="406" spans="1:49" s="30" customFormat="1" hidden="1" x14ac:dyDescent="0.25">
      <c r="A406" s="1407" t="str">
        <f>IF(COUNTIF('04 - 95% CD'!D406:G406,"Y")&gt;0,"Y",IF(COUNTIF('04 - 95% CD'!D406:G406,"N"),"N",""))</f>
        <v>N</v>
      </c>
      <c r="B406" s="191"/>
      <c r="C406" s="944"/>
      <c r="D406" s="321"/>
      <c r="E406" s="559" t="str">
        <f>IF('C-Design&amp;Const'!$S406="","",'C-Design&amp;Const'!$S406)</f>
        <v>N</v>
      </c>
      <c r="F406" s="560"/>
      <c r="G406" s="558"/>
      <c r="H406" s="410" t="str">
        <f>'04 - 95% CD'!H406</f>
        <v>PLACEHOLDER ROW - OPTIONAL CLIENT CUSTOM ITEM</v>
      </c>
      <c r="I406" s="186"/>
      <c r="J406" s="609" t="str">
        <f>IF('C-Design&amp;Const'!AJ406="","",'C-Design&amp;Const'!AJ406)</f>
        <v/>
      </c>
      <c r="K406" s="285" t="str">
        <f t="shared" si="42"/>
        <v>match</v>
      </c>
      <c r="L406" s="1410" t="str">
        <f t="shared" si="43"/>
        <v>&lt;---PM/Planner may hide PLACEHOLDER ROW</v>
      </c>
      <c r="M406" s="1382"/>
      <c r="N406" s="1382"/>
      <c r="O406" s="1382"/>
      <c r="P406" s="1382"/>
      <c r="Q406" s="1382"/>
      <c r="R406" s="1490"/>
      <c r="S406" s="1274"/>
      <c r="T406" s="1274"/>
      <c r="U406" s="1382"/>
      <c r="V406" s="1382"/>
      <c r="W406" s="1382"/>
      <c r="X406" s="1382"/>
      <c r="Y406" s="1382"/>
      <c r="Z406" s="1382"/>
      <c r="AA406" s="1382"/>
      <c r="AB406" s="1382"/>
      <c r="AC406" s="1382"/>
      <c r="AD406" s="1382"/>
      <c r="AE406" s="1382"/>
      <c r="AF406" s="1382"/>
      <c r="AG406" s="1382"/>
      <c r="AH406" s="1382"/>
      <c r="AI406" s="1382"/>
      <c r="AJ406" s="1382"/>
      <c r="AK406" s="181"/>
      <c r="AL406" s="181"/>
      <c r="AM406" s="181"/>
      <c r="AN406" s="181"/>
      <c r="AO406" s="181"/>
      <c r="AP406" s="181"/>
      <c r="AQ406" s="181"/>
      <c r="AR406" s="181"/>
      <c r="AS406" s="181"/>
      <c r="AT406" s="181"/>
      <c r="AU406" s="181"/>
      <c r="AV406" s="181"/>
      <c r="AW406" s="181"/>
    </row>
    <row r="407" spans="1:49" s="30" customFormat="1" hidden="1" x14ac:dyDescent="0.25">
      <c r="A407" s="1407" t="str">
        <f>IF(COUNTIF('04 - 95% CD'!D407:G407,"Y")&gt;0,"Y",IF(COUNTIF('04 - 95% CD'!D407:G407,"N"),"N",""))</f>
        <v>N</v>
      </c>
      <c r="B407" s="191"/>
      <c r="C407" s="944"/>
      <c r="D407" s="321"/>
      <c r="E407" s="559" t="str">
        <f>IF('C-Design&amp;Const'!$S407="","",'C-Design&amp;Const'!$S407)</f>
        <v>N</v>
      </c>
      <c r="F407" s="560"/>
      <c r="G407" s="558"/>
      <c r="H407" s="410" t="str">
        <f>'04 - 95% CD'!H407</f>
        <v>PLACEHOLDER ROW - OPTIONAL CLIENT CUSTOM ITEM</v>
      </c>
      <c r="I407" s="186"/>
      <c r="J407" s="609" t="str">
        <f>IF('C-Design&amp;Const'!AJ407="","",'C-Design&amp;Const'!AJ407)</f>
        <v/>
      </c>
      <c r="K407" s="285" t="str">
        <f t="shared" si="42"/>
        <v>match</v>
      </c>
      <c r="L407" s="1410" t="str">
        <f t="shared" si="43"/>
        <v>&lt;---PM/Planner may hide PLACEHOLDER ROW</v>
      </c>
      <c r="M407" s="1382"/>
      <c r="N407" s="1382"/>
      <c r="O407" s="1382"/>
      <c r="P407" s="1382"/>
      <c r="Q407" s="1382"/>
      <c r="R407" s="1490"/>
      <c r="S407" s="1274"/>
      <c r="T407" s="1274"/>
      <c r="U407" s="1382"/>
      <c r="V407" s="1382"/>
      <c r="W407" s="1382"/>
      <c r="X407" s="1382"/>
      <c r="Y407" s="1382"/>
      <c r="Z407" s="1382"/>
      <c r="AA407" s="1382"/>
      <c r="AB407" s="1382"/>
      <c r="AC407" s="1382"/>
      <c r="AD407" s="1382"/>
      <c r="AE407" s="1382"/>
      <c r="AF407" s="1382"/>
      <c r="AG407" s="1382"/>
      <c r="AH407" s="1382"/>
      <c r="AI407" s="1382"/>
      <c r="AJ407" s="1382"/>
      <c r="AK407" s="181"/>
      <c r="AL407" s="181"/>
      <c r="AM407" s="181"/>
      <c r="AN407" s="181"/>
      <c r="AO407" s="181"/>
      <c r="AP407" s="181"/>
      <c r="AQ407" s="181"/>
      <c r="AR407" s="181"/>
      <c r="AS407" s="181"/>
      <c r="AT407" s="181"/>
      <c r="AU407" s="181"/>
      <c r="AV407" s="181"/>
      <c r="AW407" s="181"/>
    </row>
    <row r="408" spans="1:49" s="30" customFormat="1" hidden="1" x14ac:dyDescent="0.25">
      <c r="A408" s="1407" t="str">
        <f>IF(COUNTIF('04 - 95% CD'!D408:G408,"Y")&gt;0,"Y",IF(COUNTIF('04 - 95% CD'!D408:G408,"N"),"N",""))</f>
        <v>N</v>
      </c>
      <c r="B408" s="191"/>
      <c r="C408" s="944"/>
      <c r="D408" s="321"/>
      <c r="E408" s="559" t="str">
        <f>IF('C-Design&amp;Const'!$S408="","",'C-Design&amp;Const'!$S408)</f>
        <v>N</v>
      </c>
      <c r="F408" s="560"/>
      <c r="G408" s="558"/>
      <c r="H408" s="410" t="str">
        <f>'04 - 95% CD'!H408</f>
        <v>PLACEHOLDER ROW - OPTIONAL CLIENT CUSTOM ITEM</v>
      </c>
      <c r="I408" s="186"/>
      <c r="J408" s="609" t="str">
        <f>IF('C-Design&amp;Const'!AJ408="","",'C-Design&amp;Const'!AJ408)</f>
        <v/>
      </c>
      <c r="K408" s="285" t="str">
        <f t="shared" si="42"/>
        <v>match</v>
      </c>
      <c r="L408" s="1410" t="str">
        <f t="shared" si="43"/>
        <v>&lt;---PM/Planner may hide PLACEHOLDER ROW</v>
      </c>
      <c r="M408" s="1382"/>
      <c r="N408" s="1382"/>
      <c r="O408" s="1382"/>
      <c r="P408" s="1382"/>
      <c r="Q408" s="1382"/>
      <c r="R408" s="1490"/>
      <c r="S408" s="1274"/>
      <c r="T408" s="1274"/>
      <c r="U408" s="1382"/>
      <c r="V408" s="1382"/>
      <c r="W408" s="1382"/>
      <c r="X408" s="1382"/>
      <c r="Y408" s="1382"/>
      <c r="Z408" s="1382"/>
      <c r="AA408" s="1382"/>
      <c r="AB408" s="1382"/>
      <c r="AC408" s="1382"/>
      <c r="AD408" s="1382"/>
      <c r="AE408" s="1382"/>
      <c r="AF408" s="1382"/>
      <c r="AG408" s="1382"/>
      <c r="AH408" s="1382"/>
      <c r="AI408" s="1382"/>
      <c r="AJ408" s="1382"/>
      <c r="AK408" s="181"/>
      <c r="AL408" s="181"/>
      <c r="AM408" s="181"/>
      <c r="AN408" s="181"/>
      <c r="AO408" s="181"/>
      <c r="AP408" s="181"/>
      <c r="AQ408" s="181"/>
      <c r="AR408" s="181"/>
      <c r="AS408" s="181"/>
      <c r="AT408" s="181"/>
      <c r="AU408" s="181"/>
      <c r="AV408" s="181"/>
      <c r="AW408" s="181"/>
    </row>
    <row r="409" spans="1:49" s="30" customFormat="1" hidden="1" x14ac:dyDescent="0.25">
      <c r="A409" s="1407" t="str">
        <f>IF(COUNTIF('04 - 95% CD'!D409:G409,"Y")&gt;0,"Y",IF(COUNTIF('04 - 95% CD'!D409:G409,"N"),"N",""))</f>
        <v>N</v>
      </c>
      <c r="B409" s="191"/>
      <c r="C409" s="944"/>
      <c r="D409" s="321"/>
      <c r="E409" s="559" t="str">
        <f>IF('C-Design&amp;Const'!$S409="","",'C-Design&amp;Const'!$S409)</f>
        <v>N</v>
      </c>
      <c r="F409" s="560"/>
      <c r="G409" s="558"/>
      <c r="H409" s="410" t="str">
        <f>'04 - 95% CD'!H409</f>
        <v>PLACEHOLDER ROW - OPTIONAL CLIENT CUSTOM ITEM</v>
      </c>
      <c r="I409" s="186"/>
      <c r="J409" s="609" t="str">
        <f>IF('C-Design&amp;Const'!AJ409="","",'C-Design&amp;Const'!AJ409)</f>
        <v/>
      </c>
      <c r="K409" s="285" t="str">
        <f t="shared" si="42"/>
        <v>match</v>
      </c>
      <c r="L409" s="1410" t="str">
        <f t="shared" si="43"/>
        <v>&lt;---PM/Planner may hide PLACEHOLDER ROW</v>
      </c>
      <c r="M409" s="1382"/>
      <c r="N409" s="1382"/>
      <c r="O409" s="1382"/>
      <c r="P409" s="1382"/>
      <c r="Q409" s="1382"/>
      <c r="R409" s="1490"/>
      <c r="S409" s="1274"/>
      <c r="T409" s="1274"/>
      <c r="U409" s="1382"/>
      <c r="V409" s="1382"/>
      <c r="W409" s="1382"/>
      <c r="X409" s="1382"/>
      <c r="Y409" s="1382"/>
      <c r="Z409" s="1382"/>
      <c r="AA409" s="1382"/>
      <c r="AB409" s="1382"/>
      <c r="AC409" s="1382"/>
      <c r="AD409" s="1382"/>
      <c r="AE409" s="1382"/>
      <c r="AF409" s="1382"/>
      <c r="AG409" s="1382"/>
      <c r="AH409" s="1382"/>
      <c r="AI409" s="1382"/>
      <c r="AJ409" s="1382"/>
      <c r="AK409" s="181"/>
      <c r="AL409" s="181"/>
      <c r="AM409" s="181"/>
      <c r="AN409" s="181"/>
      <c r="AO409" s="181"/>
      <c r="AP409" s="181"/>
      <c r="AQ409" s="181"/>
      <c r="AR409" s="181"/>
      <c r="AS409" s="181"/>
      <c r="AT409" s="181"/>
      <c r="AU409" s="181"/>
      <c r="AV409" s="181"/>
      <c r="AW409" s="181"/>
    </row>
    <row r="410" spans="1:49" s="30" customFormat="1" hidden="1" x14ac:dyDescent="0.25">
      <c r="A410" s="1407" t="str">
        <f>IF(COUNTIF('04 - 95% CD'!D410:G410,"Y")&gt;0,"Y",IF(COUNTIF('04 - 95% CD'!D410:G410,"N"),"N",""))</f>
        <v>N</v>
      </c>
      <c r="B410" s="191"/>
      <c r="C410" s="944"/>
      <c r="D410" s="321"/>
      <c r="E410" s="559" t="str">
        <f>IF('C-Design&amp;Const'!$S413="","",'C-Design&amp;Const'!$S413)</f>
        <v>N</v>
      </c>
      <c r="F410" s="560"/>
      <c r="G410" s="558"/>
      <c r="H410" s="410" t="str">
        <f>'04 - 95% CD'!H410</f>
        <v>PLACEHOLDER ROW - OPTIONAL CLIENT CUSTOM ITEM</v>
      </c>
      <c r="I410" s="186"/>
      <c r="J410" s="609" t="str">
        <f>IF('C-Design&amp;Const'!AJ410="","",'C-Design&amp;Const'!AJ410)</f>
        <v/>
      </c>
      <c r="K410" s="285" t="str">
        <f t="shared" si="42"/>
        <v>match</v>
      </c>
      <c r="L410" s="1410" t="str">
        <f t="shared" si="43"/>
        <v>&lt;---PM/Planner may hide PLACEHOLDER ROW</v>
      </c>
      <c r="M410" s="1382"/>
      <c r="N410" s="1382"/>
      <c r="O410" s="1382"/>
      <c r="P410" s="1382"/>
      <c r="Q410" s="1382"/>
      <c r="R410" s="1490"/>
      <c r="S410" s="1274"/>
      <c r="T410" s="1274"/>
      <c r="U410" s="1382"/>
      <c r="V410" s="1382"/>
      <c r="W410" s="1382"/>
      <c r="X410" s="1382"/>
      <c r="Y410" s="1382"/>
      <c r="Z410" s="1382"/>
      <c r="AA410" s="1382"/>
      <c r="AB410" s="1382"/>
      <c r="AC410" s="1382"/>
      <c r="AD410" s="1382"/>
      <c r="AE410" s="1382"/>
      <c r="AF410" s="1382"/>
      <c r="AG410" s="1382"/>
      <c r="AH410" s="1382"/>
      <c r="AI410" s="1382"/>
      <c r="AJ410" s="1382"/>
      <c r="AK410" s="181"/>
      <c r="AL410" s="181"/>
      <c r="AM410" s="181"/>
      <c r="AN410" s="181"/>
      <c r="AO410" s="181"/>
      <c r="AP410" s="181"/>
      <c r="AQ410" s="181"/>
      <c r="AR410" s="181"/>
      <c r="AS410" s="181"/>
      <c r="AT410" s="181"/>
      <c r="AU410" s="181"/>
      <c r="AV410" s="181"/>
      <c r="AW410" s="181"/>
    </row>
    <row r="411" spans="1:49" s="30" customFormat="1" hidden="1" x14ac:dyDescent="0.25">
      <c r="A411" s="1407" t="str">
        <f>IF(COUNTIF('04 - 95% CD'!D411:G411,"Y")&gt;0,"Y",IF(COUNTIF('04 - 95% CD'!D411:G411,"N"),"N",""))</f>
        <v>N</v>
      </c>
      <c r="B411" s="191"/>
      <c r="C411" s="944"/>
      <c r="D411" s="321"/>
      <c r="E411" s="559" t="str">
        <f>IF('C-Design&amp;Const'!$S410="","",'C-Design&amp;Const'!$S410)</f>
        <v>N</v>
      </c>
      <c r="F411" s="560"/>
      <c r="G411" s="558"/>
      <c r="H411" s="410" t="str">
        <f>'04 - 95% CD'!H411</f>
        <v>PLACEHOLDER ROW - OPTIONAL CLIENT CUSTOM ITEM</v>
      </c>
      <c r="I411" s="186"/>
      <c r="J411" s="609" t="str">
        <f>IF('C-Design&amp;Const'!AJ411="","",'C-Design&amp;Const'!AJ411)</f>
        <v/>
      </c>
      <c r="K411" s="285" t="str">
        <f t="shared" si="42"/>
        <v>match</v>
      </c>
      <c r="L411" s="1410" t="str">
        <f t="shared" si="43"/>
        <v>&lt;---PM/Planner may hide PLACEHOLDER ROW</v>
      </c>
      <c r="M411" s="1382"/>
      <c r="N411" s="1382"/>
      <c r="O411" s="1382"/>
      <c r="P411" s="1382"/>
      <c r="Q411" s="1382"/>
      <c r="R411" s="1490"/>
      <c r="S411" s="1274"/>
      <c r="T411" s="1274"/>
      <c r="U411" s="1382"/>
      <c r="V411" s="1382"/>
      <c r="W411" s="1382"/>
      <c r="X411" s="1382"/>
      <c r="Y411" s="1382"/>
      <c r="Z411" s="1382"/>
      <c r="AA411" s="1382"/>
      <c r="AB411" s="1382"/>
      <c r="AC411" s="1382"/>
      <c r="AD411" s="1382"/>
      <c r="AE411" s="1382"/>
      <c r="AF411" s="1382"/>
      <c r="AG411" s="1382"/>
      <c r="AH411" s="1382"/>
      <c r="AI411" s="1382"/>
      <c r="AJ411" s="1382"/>
      <c r="AK411" s="181"/>
      <c r="AL411" s="181"/>
      <c r="AM411" s="181"/>
      <c r="AN411" s="181"/>
      <c r="AO411" s="181"/>
      <c r="AP411" s="181"/>
      <c r="AQ411" s="181"/>
      <c r="AR411" s="181"/>
      <c r="AS411" s="181"/>
      <c r="AT411" s="181"/>
      <c r="AU411" s="181"/>
      <c r="AV411" s="181"/>
      <c r="AW411" s="181"/>
    </row>
    <row r="412" spans="1:49" s="30" customFormat="1" hidden="1" x14ac:dyDescent="0.25">
      <c r="A412" s="1407" t="str">
        <f>IF(COUNTIF('04 - 95% CD'!D412:G412,"Y")&gt;0,"Y",IF(COUNTIF('04 - 95% CD'!D412:G412,"N"),"N",""))</f>
        <v>N</v>
      </c>
      <c r="B412" s="191"/>
      <c r="C412" s="944"/>
      <c r="D412" s="321"/>
      <c r="E412" s="559" t="str">
        <f>IF('C-Design&amp;Const'!$S411="","",'C-Design&amp;Const'!$S411)</f>
        <v>N</v>
      </c>
      <c r="F412" s="560"/>
      <c r="G412" s="558"/>
      <c r="H412" s="410" t="str">
        <f>'04 - 95% CD'!H412</f>
        <v>PLACEHOLDER ROW - OPTIONAL CLIENT CUSTOM ITEM</v>
      </c>
      <c r="I412" s="186"/>
      <c r="J412" s="609" t="str">
        <f>IF('C-Design&amp;Const'!AJ412="","",'C-Design&amp;Const'!AJ412)</f>
        <v/>
      </c>
      <c r="K412" s="285" t="str">
        <f t="shared" si="42"/>
        <v>match</v>
      </c>
      <c r="L412" s="1410" t="str">
        <f t="shared" si="43"/>
        <v>&lt;---PM/Planner may hide PLACEHOLDER ROW</v>
      </c>
      <c r="M412" s="1382"/>
      <c r="N412" s="1382"/>
      <c r="O412" s="1382"/>
      <c r="P412" s="1382"/>
      <c r="Q412" s="1382"/>
      <c r="R412" s="1490"/>
      <c r="S412" s="1274"/>
      <c r="T412" s="1274"/>
      <c r="U412" s="1382"/>
      <c r="V412" s="1382"/>
      <c r="W412" s="1382"/>
      <c r="X412" s="1382"/>
      <c r="Y412" s="1382"/>
      <c r="Z412" s="1382"/>
      <c r="AA412" s="1382"/>
      <c r="AB412" s="1382"/>
      <c r="AC412" s="1382"/>
      <c r="AD412" s="1382"/>
      <c r="AE412" s="1382"/>
      <c r="AF412" s="1382"/>
      <c r="AG412" s="1382"/>
      <c r="AH412" s="1382"/>
      <c r="AI412" s="1382"/>
      <c r="AJ412" s="1382"/>
      <c r="AK412" s="181"/>
      <c r="AL412" s="181"/>
      <c r="AM412" s="181"/>
      <c r="AN412" s="181"/>
      <c r="AO412" s="181"/>
      <c r="AP412" s="181"/>
      <c r="AQ412" s="181"/>
      <c r="AR412" s="181"/>
      <c r="AS412" s="181"/>
      <c r="AT412" s="181"/>
      <c r="AU412" s="181"/>
      <c r="AV412" s="181"/>
      <c r="AW412" s="181"/>
    </row>
    <row r="413" spans="1:49" s="30" customFormat="1" hidden="1" x14ac:dyDescent="0.25">
      <c r="A413" s="1407" t="str">
        <f>IF(COUNTIF('04 - 95% CD'!D413:G413,"Y")&gt;0,"Y",IF(COUNTIF('04 - 95% CD'!D413:G413,"N"),"N",""))</f>
        <v>N</v>
      </c>
      <c r="B413" s="191"/>
      <c r="C413" s="944"/>
      <c r="D413" s="321"/>
      <c r="E413" s="559" t="str">
        <f>IF('C-Design&amp;Const'!$S412="","",'C-Design&amp;Const'!$S412)</f>
        <v>N</v>
      </c>
      <c r="F413" s="560"/>
      <c r="G413" s="558"/>
      <c r="H413" s="410" t="str">
        <f>'04 - 95% CD'!H413</f>
        <v>PLACEHOLDER ROW - OPTIONAL CLIENT CUSTOM ITEM</v>
      </c>
      <c r="I413" s="186"/>
      <c r="J413" s="609" t="str">
        <f>IF('C-Design&amp;Const'!AJ413="","",'C-Design&amp;Const'!AJ413)</f>
        <v/>
      </c>
      <c r="K413" s="285" t="str">
        <f t="shared" si="42"/>
        <v>match</v>
      </c>
      <c r="L413" s="1410" t="str">
        <f t="shared" si="43"/>
        <v>&lt;---PM/Planner may hide PLACEHOLDER ROW</v>
      </c>
      <c r="M413" s="1382"/>
      <c r="N413" s="1382"/>
      <c r="O413" s="1382"/>
      <c r="P413" s="1382"/>
      <c r="Q413" s="1382"/>
      <c r="R413" s="1490"/>
      <c r="S413" s="1274"/>
      <c r="T413" s="1274"/>
      <c r="U413" s="1382"/>
      <c r="V413" s="1382"/>
      <c r="W413" s="1382"/>
      <c r="X413" s="1382"/>
      <c r="Y413" s="1382"/>
      <c r="Z413" s="1382"/>
      <c r="AA413" s="1382"/>
      <c r="AB413" s="1382"/>
      <c r="AC413" s="1382"/>
      <c r="AD413" s="1382"/>
      <c r="AE413" s="1382"/>
      <c r="AF413" s="1382"/>
      <c r="AG413" s="1382"/>
      <c r="AH413" s="1382"/>
      <c r="AI413" s="1382"/>
      <c r="AJ413" s="1382"/>
      <c r="AK413" s="181"/>
      <c r="AL413" s="181"/>
      <c r="AM413" s="181"/>
      <c r="AN413" s="181"/>
      <c r="AO413" s="181"/>
      <c r="AP413" s="181"/>
      <c r="AQ413" s="181"/>
      <c r="AR413" s="181"/>
      <c r="AS413" s="181"/>
      <c r="AT413" s="181"/>
      <c r="AU413" s="181"/>
      <c r="AV413" s="181"/>
      <c r="AW413" s="181"/>
    </row>
    <row r="414" spans="1:49" s="30" customFormat="1" hidden="1" x14ac:dyDescent="0.25">
      <c r="A414" s="1407" t="str">
        <f>IF(COUNTIF('04 - 95% CD'!D414:G414,"Y")&gt;0,"Y",IF(COUNTIF('04 - 95% CD'!D414:G414,"N"),"N",""))</f>
        <v>N</v>
      </c>
      <c r="B414" s="191"/>
      <c r="C414" s="944"/>
      <c r="D414" s="321"/>
      <c r="E414" s="559" t="str">
        <f>IF('C-Design&amp;Const'!$S414="","",'C-Design&amp;Const'!$S414)</f>
        <v>N</v>
      </c>
      <c r="F414" s="560"/>
      <c r="G414" s="558"/>
      <c r="H414" s="410" t="str">
        <f>'04 - 95% CD'!H414</f>
        <v>PLACEHOLDER ROW - OPTIONAL CLIENT CUSTOM ITEM</v>
      </c>
      <c r="I414" s="186"/>
      <c r="J414" s="609" t="str">
        <f>IF('C-Design&amp;Const'!AJ414="","",'C-Design&amp;Const'!AJ414)</f>
        <v/>
      </c>
      <c r="K414" s="285" t="str">
        <f t="shared" si="42"/>
        <v>match</v>
      </c>
      <c r="L414" s="1410" t="str">
        <f t="shared" si="43"/>
        <v>&lt;---PM/Planner may hide PLACEHOLDER ROW</v>
      </c>
      <c r="M414" s="1382"/>
      <c r="N414" s="1382"/>
      <c r="O414" s="1382"/>
      <c r="P414" s="1382"/>
      <c r="Q414" s="1382"/>
      <c r="R414" s="1490"/>
      <c r="S414" s="1274"/>
      <c r="T414" s="1274"/>
      <c r="U414" s="1382"/>
      <c r="V414" s="1382"/>
      <c r="W414" s="1382"/>
      <c r="X414" s="1382"/>
      <c r="Y414" s="1382"/>
      <c r="Z414" s="1382"/>
      <c r="AA414" s="1382"/>
      <c r="AB414" s="1382"/>
      <c r="AC414" s="1382"/>
      <c r="AD414" s="1382"/>
      <c r="AE414" s="1382"/>
      <c r="AF414" s="1382"/>
      <c r="AG414" s="1382"/>
      <c r="AH414" s="1382"/>
      <c r="AI414" s="1382"/>
      <c r="AJ414" s="1382"/>
      <c r="AK414" s="181"/>
      <c r="AL414" s="181"/>
      <c r="AM414" s="181"/>
      <c r="AN414" s="181"/>
      <c r="AO414" s="181"/>
      <c r="AP414" s="181"/>
      <c r="AQ414" s="181"/>
      <c r="AR414" s="181"/>
      <c r="AS414" s="181"/>
      <c r="AT414" s="181"/>
      <c r="AU414" s="181"/>
      <c r="AV414" s="181"/>
      <c r="AW414" s="181"/>
    </row>
    <row r="415" spans="1:49" s="30" customFormat="1" hidden="1" x14ac:dyDescent="0.25">
      <c r="A415" s="1407" t="str">
        <f>IF(COUNTIF('04 - 95% CD'!D415:G415,"Y")&gt;0,"Y",IF(COUNTIF('04 - 95% CD'!D415:G415,"N"),"N",""))</f>
        <v>N</v>
      </c>
      <c r="B415" s="191"/>
      <c r="C415" s="944"/>
      <c r="D415" s="321"/>
      <c r="E415" s="559" t="str">
        <f>IF('C-Design&amp;Const'!$S415="","",'C-Design&amp;Const'!$S415)</f>
        <v>N</v>
      </c>
      <c r="F415" s="560"/>
      <c r="G415" s="558"/>
      <c r="H415" s="410" t="str">
        <f>'04 - 95% CD'!H415</f>
        <v>PLACEHOLDER ROW - OPTIONAL CLIENT CUSTOM ITEM</v>
      </c>
      <c r="I415" s="186"/>
      <c r="J415" s="609" t="str">
        <f>IF('C-Design&amp;Const'!AJ415="","",'C-Design&amp;Const'!AJ415)</f>
        <v/>
      </c>
      <c r="K415" s="285" t="str">
        <f t="shared" si="42"/>
        <v>match</v>
      </c>
      <c r="L415" s="1410" t="str">
        <f t="shared" si="43"/>
        <v>&lt;---PM/Planner may hide PLACEHOLDER ROW</v>
      </c>
      <c r="M415" s="1382"/>
      <c r="N415" s="1382"/>
      <c r="O415" s="1382"/>
      <c r="P415" s="1382"/>
      <c r="Q415" s="1382"/>
      <c r="R415" s="1490"/>
      <c r="S415" s="1274"/>
      <c r="T415" s="1274"/>
      <c r="U415" s="1382"/>
      <c r="V415" s="1382"/>
      <c r="W415" s="1382"/>
      <c r="X415" s="1382"/>
      <c r="Y415" s="1382"/>
      <c r="Z415" s="1382"/>
      <c r="AA415" s="1382"/>
      <c r="AB415" s="1382"/>
      <c r="AC415" s="1382"/>
      <c r="AD415" s="1382"/>
      <c r="AE415" s="1382"/>
      <c r="AF415" s="1382"/>
      <c r="AG415" s="1382"/>
      <c r="AH415" s="1382"/>
      <c r="AI415" s="1382"/>
      <c r="AJ415" s="1382"/>
      <c r="AK415" s="181"/>
      <c r="AL415" s="181"/>
      <c r="AM415" s="181"/>
      <c r="AN415" s="181"/>
      <c r="AO415" s="181"/>
      <c r="AP415" s="181"/>
      <c r="AQ415" s="181"/>
      <c r="AR415" s="181"/>
      <c r="AS415" s="181"/>
      <c r="AT415" s="181"/>
      <c r="AU415" s="181"/>
      <c r="AV415" s="181"/>
      <c r="AW415" s="181"/>
    </row>
    <row r="416" spans="1:49" s="30" customFormat="1" hidden="1" x14ac:dyDescent="0.25">
      <c r="A416" s="1407" t="str">
        <f>IF(COUNTIF('04 - 95% CD'!D416:G416,"Y")&gt;0,"Y",IF(COUNTIF('04 - 95% CD'!D416:G416,"N"),"N",""))</f>
        <v>N</v>
      </c>
      <c r="B416" s="191"/>
      <c r="C416" s="944"/>
      <c r="D416" s="321"/>
      <c r="E416" s="559" t="str">
        <f>IF('C-Design&amp;Const'!$S416="","",'C-Design&amp;Const'!$S416)</f>
        <v>N</v>
      </c>
      <c r="F416" s="560"/>
      <c r="G416" s="558"/>
      <c r="H416" s="410" t="str">
        <f>'04 - 95% CD'!H416</f>
        <v>PLACEHOLDER ROW - OPTIONAL CLIENT CUSTOM ITEM</v>
      </c>
      <c r="I416" s="186"/>
      <c r="J416" s="609" t="str">
        <f>IF('C-Design&amp;Const'!AJ416="","",'C-Design&amp;Const'!AJ416)</f>
        <v/>
      </c>
      <c r="K416" s="285" t="str">
        <f t="shared" si="42"/>
        <v>match</v>
      </c>
      <c r="L416" s="1410" t="str">
        <f t="shared" si="43"/>
        <v>&lt;---PM/Planner may hide PLACEHOLDER ROW</v>
      </c>
      <c r="M416" s="1382"/>
      <c r="N416" s="1382"/>
      <c r="O416" s="1382"/>
      <c r="P416" s="1382"/>
      <c r="Q416" s="1382"/>
      <c r="R416" s="1490"/>
      <c r="S416" s="1274"/>
      <c r="T416" s="1274"/>
      <c r="U416" s="1382"/>
      <c r="V416" s="1382"/>
      <c r="W416" s="1382"/>
      <c r="X416" s="1382"/>
      <c r="Y416" s="1382"/>
      <c r="Z416" s="1382"/>
      <c r="AA416" s="1382"/>
      <c r="AB416" s="1382"/>
      <c r="AC416" s="1382"/>
      <c r="AD416" s="1382"/>
      <c r="AE416" s="1382"/>
      <c r="AF416" s="1382"/>
      <c r="AG416" s="1382"/>
      <c r="AH416" s="1382"/>
      <c r="AI416" s="1382"/>
      <c r="AJ416" s="1382"/>
      <c r="AK416" s="181"/>
      <c r="AL416" s="181"/>
      <c r="AM416" s="181"/>
      <c r="AN416" s="181"/>
      <c r="AO416" s="181"/>
      <c r="AP416" s="181"/>
      <c r="AQ416" s="181"/>
      <c r="AR416" s="181"/>
      <c r="AS416" s="181"/>
      <c r="AT416" s="181"/>
      <c r="AU416" s="181"/>
      <c r="AV416" s="181"/>
      <c r="AW416" s="181"/>
    </row>
    <row r="417" spans="1:49" s="30" customFormat="1" hidden="1" x14ac:dyDescent="0.25">
      <c r="A417" s="1407" t="str">
        <f>IF(COUNTIF('04 - 95% CD'!D417:G417,"Y")&gt;0,"Y",IF(COUNTIF('04 - 95% CD'!D417:G417,"N"),"N",""))</f>
        <v>N</v>
      </c>
      <c r="B417" s="191"/>
      <c r="C417" s="944"/>
      <c r="D417" s="321"/>
      <c r="E417" s="559" t="str">
        <f>IF('C-Design&amp;Const'!$S417="","",'C-Design&amp;Const'!$S417)</f>
        <v>N</v>
      </c>
      <c r="F417" s="560"/>
      <c r="G417" s="558"/>
      <c r="H417" s="410" t="str">
        <f>'04 - 95% CD'!H417</f>
        <v>PLACEHOLDER ROW - OPTIONAL CLIENT CUSTOM ITEM</v>
      </c>
      <c r="I417" s="186"/>
      <c r="J417" s="609" t="str">
        <f>IF('C-Design&amp;Const'!AJ417="","",'C-Design&amp;Const'!AJ417)</f>
        <v/>
      </c>
      <c r="K417" s="285" t="str">
        <f t="shared" si="42"/>
        <v>match</v>
      </c>
      <c r="L417" s="1410" t="str">
        <f t="shared" si="43"/>
        <v>&lt;---PM/Planner may hide PLACEHOLDER ROW</v>
      </c>
      <c r="M417" s="1382"/>
      <c r="N417" s="1382"/>
      <c r="O417" s="1382"/>
      <c r="P417" s="1382"/>
      <c r="Q417" s="1382"/>
      <c r="R417" s="1490"/>
      <c r="S417" s="1274"/>
      <c r="T417" s="1274"/>
      <c r="U417" s="1382"/>
      <c r="V417" s="1382"/>
      <c r="W417" s="1382"/>
      <c r="X417" s="1382"/>
      <c r="Y417" s="1382"/>
      <c r="Z417" s="1382"/>
      <c r="AA417" s="1382"/>
      <c r="AB417" s="1382"/>
      <c r="AC417" s="1382"/>
      <c r="AD417" s="1382"/>
      <c r="AE417" s="1382"/>
      <c r="AF417" s="1382"/>
      <c r="AG417" s="1382"/>
      <c r="AH417" s="1382"/>
      <c r="AI417" s="1382"/>
      <c r="AJ417" s="1382"/>
      <c r="AK417" s="181"/>
      <c r="AL417" s="181"/>
      <c r="AM417" s="181"/>
      <c r="AN417" s="181"/>
      <c r="AO417" s="181"/>
      <c r="AP417" s="181"/>
      <c r="AQ417" s="181"/>
      <c r="AR417" s="181"/>
      <c r="AS417" s="181"/>
      <c r="AT417" s="181"/>
      <c r="AU417" s="181"/>
      <c r="AV417" s="181"/>
      <c r="AW417" s="181"/>
    </row>
    <row r="418" spans="1:49" s="30" customFormat="1" hidden="1" x14ac:dyDescent="0.25">
      <c r="A418" s="1407" t="str">
        <f>IF(COUNTIF('04 - 95% CD'!D418:G418,"Y")&gt;0,"Y",IF(COUNTIF('04 - 95% CD'!D418:G418,"N"),"N",""))</f>
        <v>N</v>
      </c>
      <c r="B418" s="191"/>
      <c r="C418" s="944"/>
      <c r="D418" s="321"/>
      <c r="E418" s="559" t="str">
        <f>IF('C-Design&amp;Const'!$S418="","",'C-Design&amp;Const'!$S418)</f>
        <v>N</v>
      </c>
      <c r="F418" s="560"/>
      <c r="G418" s="558"/>
      <c r="H418" s="410" t="str">
        <f>'04 - 95% CD'!H418</f>
        <v>PLACEHOLDER ROW - OPTIONAL CLIENT CUSTOM ITEM</v>
      </c>
      <c r="I418" s="186"/>
      <c r="J418" s="609" t="str">
        <f>IF('C-Design&amp;Const'!AJ418="","",'C-Design&amp;Const'!AJ418)</f>
        <v/>
      </c>
      <c r="K418" s="285" t="str">
        <f t="shared" si="42"/>
        <v>match</v>
      </c>
      <c r="L418" s="1410" t="str">
        <f t="shared" si="43"/>
        <v>&lt;---PM/Planner may hide PLACEHOLDER ROW</v>
      </c>
      <c r="M418" s="1382"/>
      <c r="N418" s="1382"/>
      <c r="O418" s="1382"/>
      <c r="P418" s="1382"/>
      <c r="Q418" s="1382"/>
      <c r="R418" s="1490"/>
      <c r="S418" s="1274"/>
      <c r="T418" s="1274"/>
      <c r="U418" s="1382"/>
      <c r="V418" s="1382"/>
      <c r="W418" s="1382"/>
      <c r="X418" s="1382"/>
      <c r="Y418" s="1382"/>
      <c r="Z418" s="1382"/>
      <c r="AA418" s="1382"/>
      <c r="AB418" s="1382"/>
      <c r="AC418" s="1382"/>
      <c r="AD418" s="1382"/>
      <c r="AE418" s="1382"/>
      <c r="AF418" s="1382"/>
      <c r="AG418" s="1382"/>
      <c r="AH418" s="1382"/>
      <c r="AI418" s="1382"/>
      <c r="AJ418" s="1382"/>
      <c r="AK418" s="181"/>
      <c r="AL418" s="181"/>
      <c r="AM418" s="181"/>
      <c r="AN418" s="181"/>
      <c r="AO418" s="181"/>
      <c r="AP418" s="181"/>
      <c r="AQ418" s="181"/>
      <c r="AR418" s="181"/>
      <c r="AS418" s="181"/>
      <c r="AT418" s="181"/>
      <c r="AU418" s="181"/>
      <c r="AV418" s="181"/>
      <c r="AW418" s="181"/>
    </row>
    <row r="419" spans="1:49" s="30" customFormat="1" hidden="1" x14ac:dyDescent="0.25">
      <c r="A419" s="1407" t="str">
        <f>IF(COUNTIF('04 - 95% CD'!D419:G419,"Y")&gt;0,"Y",IF(COUNTIF('04 - 95% CD'!D419:G419,"N"),"N",""))</f>
        <v>N</v>
      </c>
      <c r="B419" s="191"/>
      <c r="C419" s="944"/>
      <c r="D419" s="321"/>
      <c r="E419" s="559" t="str">
        <f>IF('C-Design&amp;Const'!$S419="","",'C-Design&amp;Const'!$S419)</f>
        <v>N</v>
      </c>
      <c r="F419" s="560"/>
      <c r="G419" s="558"/>
      <c r="H419" s="410" t="str">
        <f>'04 - 95% CD'!H419</f>
        <v>PLACEHOLDER ROW - OPTIONAL CLIENT CUSTOM ITEM</v>
      </c>
      <c r="I419" s="186"/>
      <c r="J419" s="609" t="str">
        <f>IF('C-Design&amp;Const'!AJ419="","",'C-Design&amp;Const'!AJ419)</f>
        <v/>
      </c>
      <c r="K419" s="285" t="str">
        <f t="shared" si="42"/>
        <v>match</v>
      </c>
      <c r="L419" s="1410" t="str">
        <f t="shared" si="43"/>
        <v>&lt;---PM/Planner may hide PLACEHOLDER ROW</v>
      </c>
      <c r="M419" s="1382"/>
      <c r="N419" s="1382"/>
      <c r="O419" s="1382"/>
      <c r="P419" s="1382"/>
      <c r="Q419" s="1382"/>
      <c r="R419" s="1490"/>
      <c r="S419" s="1274"/>
      <c r="T419" s="1274"/>
      <c r="U419" s="1382"/>
      <c r="V419" s="1382"/>
      <c r="W419" s="1382"/>
      <c r="X419" s="1382"/>
      <c r="Y419" s="1382"/>
      <c r="Z419" s="1382"/>
      <c r="AA419" s="1382"/>
      <c r="AB419" s="1382"/>
      <c r="AC419" s="1382"/>
      <c r="AD419" s="1382"/>
      <c r="AE419" s="1382"/>
      <c r="AF419" s="1382"/>
      <c r="AG419" s="1382"/>
      <c r="AH419" s="1382"/>
      <c r="AI419" s="1382"/>
      <c r="AJ419" s="1382"/>
      <c r="AK419" s="181"/>
      <c r="AL419" s="181"/>
      <c r="AM419" s="181"/>
      <c r="AN419" s="181"/>
      <c r="AO419" s="181"/>
      <c r="AP419" s="181"/>
      <c r="AQ419" s="181"/>
      <c r="AR419" s="181"/>
      <c r="AS419" s="181"/>
      <c r="AT419" s="181"/>
      <c r="AU419" s="181"/>
      <c r="AV419" s="181"/>
      <c r="AW419" s="181"/>
    </row>
    <row r="420" spans="1:49" s="30" customFormat="1" hidden="1" x14ac:dyDescent="0.25">
      <c r="A420" s="1407" t="str">
        <f>IF(COUNTIF('04 - 95% CD'!D420:G420,"Y")&gt;0,"Y",IF(COUNTIF('04 - 95% CD'!D420:G420,"N"),"N",""))</f>
        <v>N</v>
      </c>
      <c r="B420" s="191"/>
      <c r="C420" s="944"/>
      <c r="D420" s="321"/>
      <c r="E420" s="559" t="str">
        <f>IF('C-Design&amp;Const'!$S420="","",'C-Design&amp;Const'!$S420)</f>
        <v>N</v>
      </c>
      <c r="F420" s="560"/>
      <c r="G420" s="558"/>
      <c r="H420" s="410" t="str">
        <f>'04 - 95% CD'!H420</f>
        <v>PLACEHOLDER ROW - OPTIONAL CLIENT CUSTOM ITEM</v>
      </c>
      <c r="I420" s="186"/>
      <c r="J420" s="609" t="str">
        <f>IF('C-Design&amp;Const'!AJ420="","",'C-Design&amp;Const'!AJ420)</f>
        <v/>
      </c>
      <c r="K420" s="285" t="str">
        <f t="shared" si="42"/>
        <v>match</v>
      </c>
      <c r="L420" s="1410" t="str">
        <f t="shared" si="43"/>
        <v>&lt;---PM/Planner may hide PLACEHOLDER ROW</v>
      </c>
      <c r="M420" s="1382"/>
      <c r="N420" s="1382"/>
      <c r="O420" s="1382"/>
      <c r="P420" s="1382"/>
      <c r="Q420" s="1382"/>
      <c r="R420" s="1490"/>
      <c r="S420" s="1274"/>
      <c r="T420" s="1274"/>
      <c r="U420" s="1382"/>
      <c r="V420" s="1382"/>
      <c r="W420" s="1382"/>
      <c r="X420" s="1382"/>
      <c r="Y420" s="1382"/>
      <c r="Z420" s="1382"/>
      <c r="AA420" s="1382"/>
      <c r="AB420" s="1382"/>
      <c r="AC420" s="1382"/>
      <c r="AD420" s="1382"/>
      <c r="AE420" s="1382"/>
      <c r="AF420" s="1382"/>
      <c r="AG420" s="1382"/>
      <c r="AH420" s="1382"/>
      <c r="AI420" s="1382"/>
      <c r="AJ420" s="1382"/>
      <c r="AK420" s="181"/>
      <c r="AL420" s="181"/>
      <c r="AM420" s="181"/>
      <c r="AN420" s="181"/>
      <c r="AO420" s="181"/>
      <c r="AP420" s="181"/>
      <c r="AQ420" s="181"/>
      <c r="AR420" s="181"/>
      <c r="AS420" s="181"/>
      <c r="AT420" s="181"/>
      <c r="AU420" s="181"/>
      <c r="AV420" s="181"/>
      <c r="AW420" s="181"/>
    </row>
    <row r="421" spans="1:49" s="30" customFormat="1" hidden="1" x14ac:dyDescent="0.25">
      <c r="A421" s="1407" t="str">
        <f>IF(COUNTIF('04 - 95% CD'!D421:G421,"Y")&gt;0,"Y",IF(COUNTIF('04 - 95% CD'!D421:G421,"N"),"N",""))</f>
        <v/>
      </c>
      <c r="B421" s="191"/>
      <c r="C421" s="944"/>
      <c r="D421" s="321"/>
      <c r="E421" s="559" t="str">
        <f>IF('C-Design&amp;Const'!$S421="","",'C-Design&amp;Const'!$S421)</f>
        <v/>
      </c>
      <c r="F421" s="560"/>
      <c r="G421" s="558"/>
      <c r="H421" s="410" t="str">
        <f>'04 - 95% CD'!H421</f>
        <v>PLACEHOLDER ROW - OPTIONAL CLIENT CUSTOM ITEM</v>
      </c>
      <c r="I421" s="186"/>
      <c r="J421" s="609" t="str">
        <f>IF('C-Design&amp;Const'!AJ421="","",'C-Design&amp;Const'!AJ421)</f>
        <v/>
      </c>
      <c r="K421" s="285" t="str">
        <f t="shared" si="42"/>
        <v>match</v>
      </c>
      <c r="L421" s="1410" t="str">
        <f t="shared" si="43"/>
        <v>&lt;---PM/Planner may hide PLACEHOLDER ROW</v>
      </c>
      <c r="M421" s="1382"/>
      <c r="N421" s="1382"/>
      <c r="O421" s="1382"/>
      <c r="P421" s="1382"/>
      <c r="Q421" s="1382"/>
      <c r="R421" s="1490"/>
      <c r="S421" s="1274"/>
      <c r="T421" s="1274"/>
      <c r="U421" s="1382"/>
      <c r="V421" s="1382"/>
      <c r="W421" s="1382"/>
      <c r="X421" s="1382"/>
      <c r="Y421" s="1382"/>
      <c r="Z421" s="1382"/>
      <c r="AA421" s="1382"/>
      <c r="AB421" s="1382"/>
      <c r="AC421" s="1382"/>
      <c r="AD421" s="1382"/>
      <c r="AE421" s="1382"/>
      <c r="AF421" s="1382"/>
      <c r="AG421" s="1382"/>
      <c r="AH421" s="1382"/>
      <c r="AI421" s="1382"/>
      <c r="AJ421" s="1382"/>
      <c r="AK421" s="181"/>
      <c r="AL421" s="181"/>
      <c r="AM421" s="181"/>
      <c r="AN421" s="181"/>
      <c r="AO421" s="181"/>
      <c r="AP421" s="181"/>
      <c r="AQ421" s="181"/>
      <c r="AR421" s="181"/>
      <c r="AS421" s="181"/>
      <c r="AT421" s="181"/>
      <c r="AU421" s="181"/>
      <c r="AV421" s="181"/>
      <c r="AW421" s="181"/>
    </row>
    <row r="422" spans="1:49" s="30" customFormat="1" hidden="1" x14ac:dyDescent="0.25">
      <c r="A422" s="1407" t="str">
        <f>IF(COUNTIF('04 - 95% CD'!D422:G422,"Y")&gt;0,"Y",IF(COUNTIF('04 - 95% CD'!D422:G422,"N"),"N",""))</f>
        <v>N</v>
      </c>
      <c r="B422" s="191"/>
      <c r="C422" s="944"/>
      <c r="D422" s="321"/>
      <c r="E422" s="559" t="str">
        <f>IF('C-Design&amp;Const'!$S422="","",'C-Design&amp;Const'!$S422)</f>
        <v>N</v>
      </c>
      <c r="F422" s="560"/>
      <c r="G422" s="558"/>
      <c r="H422" s="410" t="str">
        <f>'04 - 95% CD'!H422</f>
        <v>PLACEHOLDER ROW - OPTIONAL CLIENT CUSTOM ITEM</v>
      </c>
      <c r="I422" s="186"/>
      <c r="J422" s="609" t="str">
        <f>IF('C-Design&amp;Const'!AJ422="","",'C-Design&amp;Const'!AJ422)</f>
        <v/>
      </c>
      <c r="K422" s="285" t="str">
        <f t="shared" si="42"/>
        <v>match</v>
      </c>
      <c r="L422" s="1410" t="str">
        <f t="shared" si="43"/>
        <v>&lt;---PM/Planner may hide PLACEHOLDER ROW</v>
      </c>
      <c r="M422" s="1382"/>
      <c r="N422" s="1382"/>
      <c r="O422" s="1382"/>
      <c r="P422" s="1382"/>
      <c r="Q422" s="1382"/>
      <c r="R422" s="1490"/>
      <c r="S422" s="1274"/>
      <c r="T422" s="1274"/>
      <c r="U422" s="1382"/>
      <c r="V422" s="1382"/>
      <c r="W422" s="1382"/>
      <c r="X422" s="1382"/>
      <c r="Y422" s="1382"/>
      <c r="Z422" s="1382"/>
      <c r="AA422" s="1382"/>
      <c r="AB422" s="1382"/>
      <c r="AC422" s="1382"/>
      <c r="AD422" s="1382"/>
      <c r="AE422" s="1382"/>
      <c r="AF422" s="1382"/>
      <c r="AG422" s="1382"/>
      <c r="AH422" s="1382"/>
      <c r="AI422" s="1382"/>
      <c r="AJ422" s="1382"/>
      <c r="AK422" s="181"/>
      <c r="AL422" s="181"/>
      <c r="AM422" s="181"/>
      <c r="AN422" s="181"/>
      <c r="AO422" s="181"/>
      <c r="AP422" s="181"/>
      <c r="AQ422" s="181"/>
      <c r="AR422" s="181"/>
      <c r="AS422" s="181"/>
      <c r="AT422" s="181"/>
      <c r="AU422" s="181"/>
      <c r="AV422" s="181"/>
      <c r="AW422" s="181"/>
    </row>
    <row r="423" spans="1:49" s="30" customFormat="1" hidden="1" x14ac:dyDescent="0.25">
      <c r="A423" s="1407" t="str">
        <f>IF(COUNTIF('04 - 95% CD'!D423:G423,"Y")&gt;0,"Y",IF(COUNTIF('04 - 95% CD'!D423:G423,"N"),"N",""))</f>
        <v/>
      </c>
      <c r="B423" s="191"/>
      <c r="C423" s="944"/>
      <c r="D423" s="321"/>
      <c r="E423" s="559" t="str">
        <f>IF('C-Design&amp;Const'!$S423="","",'C-Design&amp;Const'!$S423)</f>
        <v/>
      </c>
      <c r="F423" s="560"/>
      <c r="G423" s="558"/>
      <c r="H423" s="410" t="str">
        <f>'04 - 95% CD'!H423</f>
        <v>PLACEHOLDER ROW - OPTIONAL CLIENT CUSTOM ITEM</v>
      </c>
      <c r="I423" s="186"/>
      <c r="J423" s="609" t="str">
        <f>IF('C-Design&amp;Const'!AJ423="","",'C-Design&amp;Const'!AJ423)</f>
        <v/>
      </c>
      <c r="K423" s="285" t="str">
        <f t="shared" si="42"/>
        <v>match</v>
      </c>
      <c r="L423" s="1410" t="str">
        <f t="shared" si="43"/>
        <v>&lt;---PM/Planner may hide PLACEHOLDER ROW</v>
      </c>
      <c r="M423" s="1382"/>
      <c r="N423" s="1382"/>
      <c r="O423" s="1382"/>
      <c r="P423" s="1382"/>
      <c r="Q423" s="1382"/>
      <c r="R423" s="1490"/>
      <c r="S423" s="1274"/>
      <c r="T423" s="1274"/>
      <c r="U423" s="1382"/>
      <c r="V423" s="1382"/>
      <c r="W423" s="1382"/>
      <c r="X423" s="1382"/>
      <c r="Y423" s="1382"/>
      <c r="Z423" s="1382"/>
      <c r="AA423" s="1382"/>
      <c r="AB423" s="1382"/>
      <c r="AC423" s="1382"/>
      <c r="AD423" s="1382"/>
      <c r="AE423" s="1382"/>
      <c r="AF423" s="1382"/>
      <c r="AG423" s="1382"/>
      <c r="AH423" s="1382"/>
      <c r="AI423" s="1382"/>
      <c r="AJ423" s="1382"/>
      <c r="AK423" s="181"/>
      <c r="AL423" s="181"/>
      <c r="AM423" s="181"/>
      <c r="AN423" s="181"/>
      <c r="AO423" s="181"/>
      <c r="AP423" s="181"/>
      <c r="AQ423" s="181"/>
      <c r="AR423" s="181"/>
      <c r="AS423" s="181"/>
      <c r="AT423" s="181"/>
      <c r="AU423" s="181"/>
      <c r="AV423" s="181"/>
      <c r="AW423" s="181"/>
    </row>
    <row r="424" spans="1:49" s="30" customFormat="1" hidden="1" x14ac:dyDescent="0.25">
      <c r="A424" s="1407" t="str">
        <f>IF(COUNTIF('04 - 95% CD'!D424:G424,"Y")&gt;0,"Y",IF(COUNTIF('04 - 95% CD'!D424:G424,"N"),"N",""))</f>
        <v/>
      </c>
      <c r="B424" s="191"/>
      <c r="C424" s="944"/>
      <c r="D424" s="321"/>
      <c r="E424" s="559" t="str">
        <f>IF('C-Design&amp;Const'!$S424="","",'C-Design&amp;Const'!$S424)</f>
        <v/>
      </c>
      <c r="F424" s="560"/>
      <c r="G424" s="558"/>
      <c r="H424" s="410" t="str">
        <f>'04 - 95% CD'!H424</f>
        <v>PLACEHOLDER ROW - OPTIONAL CLIENT CUSTOM ITEM</v>
      </c>
      <c r="I424" s="186"/>
      <c r="J424" s="609" t="str">
        <f>IF('C-Design&amp;Const'!AJ424="","",'C-Design&amp;Const'!AJ424)</f>
        <v/>
      </c>
      <c r="K424" s="285" t="str">
        <f t="shared" si="42"/>
        <v>match</v>
      </c>
      <c r="L424" s="1410" t="str">
        <f t="shared" si="43"/>
        <v>&lt;---PM/Planner may hide PLACEHOLDER ROW</v>
      </c>
      <c r="M424" s="1382"/>
      <c r="N424" s="1382"/>
      <c r="O424" s="1382"/>
      <c r="P424" s="1382"/>
      <c r="Q424" s="1382"/>
      <c r="R424" s="1490"/>
      <c r="S424" s="1274"/>
      <c r="T424" s="1274"/>
      <c r="U424" s="1382"/>
      <c r="V424" s="1382"/>
      <c r="W424" s="1382"/>
      <c r="X424" s="1382"/>
      <c r="Y424" s="1382"/>
      <c r="Z424" s="1382"/>
      <c r="AA424" s="1382"/>
      <c r="AB424" s="1382"/>
      <c r="AC424" s="1382"/>
      <c r="AD424" s="1382"/>
      <c r="AE424" s="1382"/>
      <c r="AF424" s="1382"/>
      <c r="AG424" s="1382"/>
      <c r="AH424" s="1382"/>
      <c r="AI424" s="1382"/>
      <c r="AJ424" s="1382"/>
      <c r="AK424" s="181"/>
      <c r="AL424" s="181"/>
      <c r="AM424" s="181"/>
      <c r="AN424" s="181"/>
      <c r="AO424" s="181"/>
      <c r="AP424" s="181"/>
      <c r="AQ424" s="181"/>
      <c r="AR424" s="181"/>
      <c r="AS424" s="181"/>
      <c r="AT424" s="181"/>
      <c r="AU424" s="181"/>
      <c r="AV424" s="181"/>
      <c r="AW424" s="181"/>
    </row>
    <row r="425" spans="1:49" s="30" customFormat="1" hidden="1" x14ac:dyDescent="0.25">
      <c r="A425" s="1407" t="str">
        <f>IF(COUNTIF('04 - 95% CD'!D425:G425,"Y")&gt;0,"Y",IF(COUNTIF('04 - 95% CD'!D425:G425,"N"),"N",""))</f>
        <v>N</v>
      </c>
      <c r="B425" s="191"/>
      <c r="C425" s="944"/>
      <c r="D425" s="321"/>
      <c r="E425" s="559" t="str">
        <f>IF('C-Design&amp;Const'!$S425="","",'C-Design&amp;Const'!$S425)</f>
        <v>N</v>
      </c>
      <c r="F425" s="560"/>
      <c r="G425" s="558"/>
      <c r="H425" s="410" t="str">
        <f>'04 - 95% CD'!H425</f>
        <v>PLACEHOLDER ROW - OPTIONAL CLIENT CUSTOM ITEM</v>
      </c>
      <c r="I425" s="186"/>
      <c r="J425" s="609" t="str">
        <f>IF('C-Design&amp;Const'!AJ425="","",'C-Design&amp;Const'!AJ425)</f>
        <v/>
      </c>
      <c r="K425" s="285" t="str">
        <f t="shared" si="42"/>
        <v>match</v>
      </c>
      <c r="L425" s="1410" t="str">
        <f t="shared" si="43"/>
        <v>&lt;---PM/Planner may hide PLACEHOLDER ROW</v>
      </c>
      <c r="M425" s="1382"/>
      <c r="N425" s="1382"/>
      <c r="O425" s="1382"/>
      <c r="P425" s="1382"/>
      <c r="Q425" s="1382"/>
      <c r="R425" s="1490"/>
      <c r="S425" s="1274"/>
      <c r="T425" s="1274"/>
      <c r="U425" s="1382"/>
      <c r="V425" s="1382"/>
      <c r="W425" s="1382"/>
      <c r="X425" s="1382"/>
      <c r="Y425" s="1382"/>
      <c r="Z425" s="1382"/>
      <c r="AA425" s="1382"/>
      <c r="AB425" s="1382"/>
      <c r="AC425" s="1382"/>
      <c r="AD425" s="1382"/>
      <c r="AE425" s="1382"/>
      <c r="AF425" s="1382"/>
      <c r="AG425" s="1382"/>
      <c r="AH425" s="1382"/>
      <c r="AI425" s="1382"/>
      <c r="AJ425" s="1382"/>
      <c r="AK425" s="181"/>
      <c r="AL425" s="181"/>
      <c r="AM425" s="181"/>
      <c r="AN425" s="181"/>
      <c r="AO425" s="181"/>
      <c r="AP425" s="181"/>
      <c r="AQ425" s="181"/>
      <c r="AR425" s="181"/>
      <c r="AS425" s="181"/>
      <c r="AT425" s="181"/>
      <c r="AU425" s="181"/>
      <c r="AV425" s="181"/>
      <c r="AW425" s="181"/>
    </row>
    <row r="426" spans="1:49" s="30" customFormat="1" hidden="1" x14ac:dyDescent="0.25">
      <c r="A426" s="1407" t="str">
        <f>IF(COUNTIF('04 - 95% CD'!D426:G426,"Y")&gt;0,"Y",IF(COUNTIF('04 - 95% CD'!D426:G426,"N"),"N",""))</f>
        <v>N</v>
      </c>
      <c r="B426" s="191"/>
      <c r="C426" s="944"/>
      <c r="D426" s="321"/>
      <c r="E426" s="559" t="str">
        <f>IF('C-Design&amp;Const'!$S426="","",'C-Design&amp;Const'!$S426)</f>
        <v>N</v>
      </c>
      <c r="F426" s="560"/>
      <c r="G426" s="558"/>
      <c r="H426" s="410" t="str">
        <f>'04 - 95% CD'!H426</f>
        <v>PLACEHOLDER ROW - OPTIONAL CLIENT CUSTOM ITEM</v>
      </c>
      <c r="I426" s="186"/>
      <c r="J426" s="609" t="str">
        <f>IF('C-Design&amp;Const'!AJ426="","",'C-Design&amp;Const'!AJ426)</f>
        <v/>
      </c>
      <c r="K426" s="285" t="str">
        <f t="shared" si="42"/>
        <v>match</v>
      </c>
      <c r="L426" s="1410" t="str">
        <f t="shared" si="43"/>
        <v>&lt;---PM/Planner may hide PLACEHOLDER ROW</v>
      </c>
      <c r="M426" s="1382"/>
      <c r="N426" s="1382"/>
      <c r="O426" s="1382"/>
      <c r="P426" s="1382"/>
      <c r="Q426" s="1382"/>
      <c r="R426" s="1490"/>
      <c r="S426" s="1274"/>
      <c r="T426" s="1274"/>
      <c r="U426" s="1382"/>
      <c r="V426" s="1382"/>
      <c r="W426" s="1382"/>
      <c r="X426" s="1382"/>
      <c r="Y426" s="1382"/>
      <c r="Z426" s="1382"/>
      <c r="AA426" s="1382"/>
      <c r="AB426" s="1382"/>
      <c r="AC426" s="1382"/>
      <c r="AD426" s="1382"/>
      <c r="AE426" s="1382"/>
      <c r="AF426" s="1382"/>
      <c r="AG426" s="1382"/>
      <c r="AH426" s="1382"/>
      <c r="AI426" s="1382"/>
      <c r="AJ426" s="1382"/>
      <c r="AK426" s="181"/>
      <c r="AL426" s="181"/>
      <c r="AM426" s="181"/>
      <c r="AN426" s="181"/>
      <c r="AO426" s="181"/>
      <c r="AP426" s="181"/>
      <c r="AQ426" s="181"/>
      <c r="AR426" s="181"/>
      <c r="AS426" s="181"/>
      <c r="AT426" s="181"/>
      <c r="AU426" s="181"/>
      <c r="AV426" s="181"/>
      <c r="AW426" s="181"/>
    </row>
    <row r="427" spans="1:49" s="30" customFormat="1" hidden="1" x14ac:dyDescent="0.25">
      <c r="A427" s="1407" t="str">
        <f>IF(COUNTIF('04 - 95% CD'!D427:G427,"Y")&gt;0,"Y",IF(COUNTIF('04 - 95% CD'!D427:G427,"N"),"N",""))</f>
        <v>N</v>
      </c>
      <c r="B427" s="191"/>
      <c r="C427" s="944"/>
      <c r="D427" s="321"/>
      <c r="E427" s="559" t="str">
        <f>IF('C-Design&amp;Const'!$S427="","",'C-Design&amp;Const'!$S427)</f>
        <v>N</v>
      </c>
      <c r="F427" s="560"/>
      <c r="G427" s="558"/>
      <c r="H427" s="410" t="str">
        <f>'04 - 95% CD'!H427</f>
        <v>PLACEHOLDER ROW - OPTIONAL CLIENT CUSTOM ITEM</v>
      </c>
      <c r="I427" s="186"/>
      <c r="J427" s="609" t="str">
        <f>IF('C-Design&amp;Const'!AJ427="","",'C-Design&amp;Const'!AJ427)</f>
        <v/>
      </c>
      <c r="K427" s="285" t="str">
        <f t="shared" si="42"/>
        <v>match</v>
      </c>
      <c r="L427" s="1410" t="str">
        <f t="shared" si="43"/>
        <v>&lt;---PM/Planner may hide PLACEHOLDER ROW</v>
      </c>
      <c r="M427" s="1382"/>
      <c r="N427" s="1382"/>
      <c r="O427" s="1382"/>
      <c r="P427" s="1382"/>
      <c r="Q427" s="1382"/>
      <c r="R427" s="1490"/>
      <c r="S427" s="1274"/>
      <c r="T427" s="1274"/>
      <c r="U427" s="1382"/>
      <c r="V427" s="1382"/>
      <c r="W427" s="1382"/>
      <c r="X427" s="1382"/>
      <c r="Y427" s="1382"/>
      <c r="Z427" s="1382"/>
      <c r="AA427" s="1382"/>
      <c r="AB427" s="1382"/>
      <c r="AC427" s="1382"/>
      <c r="AD427" s="1382"/>
      <c r="AE427" s="1382"/>
      <c r="AF427" s="1382"/>
      <c r="AG427" s="1382"/>
      <c r="AH427" s="1382"/>
      <c r="AI427" s="1382"/>
      <c r="AJ427" s="1382"/>
      <c r="AK427" s="181"/>
      <c r="AL427" s="181"/>
      <c r="AM427" s="181"/>
      <c r="AN427" s="181"/>
      <c r="AO427" s="181"/>
      <c r="AP427" s="181"/>
      <c r="AQ427" s="181"/>
      <c r="AR427" s="181"/>
      <c r="AS427" s="181"/>
      <c r="AT427" s="181"/>
      <c r="AU427" s="181"/>
      <c r="AV427" s="181"/>
      <c r="AW427" s="181"/>
    </row>
    <row r="428" spans="1:49" s="30" customFormat="1" hidden="1" x14ac:dyDescent="0.25">
      <c r="A428" s="1407" t="str">
        <f>IF(COUNTIF('04 - 95% CD'!D428:G428,"Y")&gt;0,"Y",IF(COUNTIF('04 - 95% CD'!D428:G428,"N"),"N",""))</f>
        <v>N</v>
      </c>
      <c r="B428" s="191"/>
      <c r="C428" s="944"/>
      <c r="D428" s="321"/>
      <c r="E428" s="559" t="str">
        <f>IF('C-Design&amp;Const'!$S428="","",'C-Design&amp;Const'!$S428)</f>
        <v>N</v>
      </c>
      <c r="F428" s="560"/>
      <c r="G428" s="558"/>
      <c r="H428" s="410" t="str">
        <f>'04 - 95% CD'!H428</f>
        <v>PLACEHOLDER ROW - OPTIONAL CLIENT CUSTOM ITEM</v>
      </c>
      <c r="I428" s="186"/>
      <c r="J428" s="609" t="str">
        <f>IF('C-Design&amp;Const'!AJ428="","",'C-Design&amp;Const'!AJ428)</f>
        <v/>
      </c>
      <c r="K428" s="285" t="str">
        <f t="shared" si="42"/>
        <v>match</v>
      </c>
      <c r="L428" s="1410" t="str">
        <f t="shared" si="43"/>
        <v>&lt;---PM/Planner may hide PLACEHOLDER ROW</v>
      </c>
      <c r="M428" s="1382"/>
      <c r="N428" s="1382"/>
      <c r="O428" s="1382"/>
      <c r="P428" s="1382"/>
      <c r="Q428" s="1382"/>
      <c r="R428" s="1490"/>
      <c r="S428" s="1274"/>
      <c r="T428" s="1274"/>
      <c r="U428" s="1382"/>
      <c r="V428" s="1382"/>
      <c r="W428" s="1382"/>
      <c r="X428" s="1382"/>
      <c r="Y428" s="1382"/>
      <c r="Z428" s="1382"/>
      <c r="AA428" s="1382"/>
      <c r="AB428" s="1382"/>
      <c r="AC428" s="1382"/>
      <c r="AD428" s="1382"/>
      <c r="AE428" s="1382"/>
      <c r="AF428" s="1382"/>
      <c r="AG428" s="1382"/>
      <c r="AH428" s="1382"/>
      <c r="AI428" s="1382"/>
      <c r="AJ428" s="1382"/>
      <c r="AK428" s="181"/>
      <c r="AL428" s="181"/>
      <c r="AM428" s="181"/>
      <c r="AN428" s="181"/>
      <c r="AO428" s="181"/>
      <c r="AP428" s="181"/>
      <c r="AQ428" s="181"/>
      <c r="AR428" s="181"/>
      <c r="AS428" s="181"/>
      <c r="AT428" s="181"/>
      <c r="AU428" s="181"/>
      <c r="AV428" s="181"/>
      <c r="AW428" s="181"/>
    </row>
    <row r="429" spans="1:49" s="30" customFormat="1" hidden="1" x14ac:dyDescent="0.25">
      <c r="A429" s="1407" t="str">
        <f>IF(COUNTIF('04 - 95% CD'!D429:G429,"Y")&gt;0,"Y",IF(COUNTIF('04 - 95% CD'!D429:G429,"N"),"N",""))</f>
        <v>N</v>
      </c>
      <c r="B429" s="191"/>
      <c r="C429" s="944"/>
      <c r="D429" s="321"/>
      <c r="E429" s="559" t="str">
        <f>IF('C-Design&amp;Const'!$S429="","",'C-Design&amp;Const'!$S429)</f>
        <v>N</v>
      </c>
      <c r="F429" s="560"/>
      <c r="G429" s="558"/>
      <c r="H429" s="410" t="str">
        <f>'04 - 95% CD'!H429</f>
        <v>PLACEHOLDER ROW - OPTIONAL CLIENT CUSTOM ITEM</v>
      </c>
      <c r="I429" s="186"/>
      <c r="J429" s="609" t="str">
        <f>IF('C-Design&amp;Const'!AJ429="","",'C-Design&amp;Const'!AJ429)</f>
        <v/>
      </c>
      <c r="K429" s="285" t="str">
        <f t="shared" si="42"/>
        <v>match</v>
      </c>
      <c r="L429" s="1410" t="str">
        <f t="shared" si="43"/>
        <v>&lt;---PM/Planner may hide PLACEHOLDER ROW</v>
      </c>
      <c r="M429" s="1382"/>
      <c r="N429" s="1382"/>
      <c r="O429" s="1382"/>
      <c r="P429" s="1382"/>
      <c r="Q429" s="1382"/>
      <c r="R429" s="1490"/>
      <c r="S429" s="1274"/>
      <c r="T429" s="1274"/>
      <c r="U429" s="1382"/>
      <c r="V429" s="1382"/>
      <c r="W429" s="1382"/>
      <c r="X429" s="1382"/>
      <c r="Y429" s="1382"/>
      <c r="Z429" s="1382"/>
      <c r="AA429" s="1382"/>
      <c r="AB429" s="1382"/>
      <c r="AC429" s="1382"/>
      <c r="AD429" s="1382"/>
      <c r="AE429" s="1382"/>
      <c r="AF429" s="1382"/>
      <c r="AG429" s="1382"/>
      <c r="AH429" s="1382"/>
      <c r="AI429" s="1382"/>
      <c r="AJ429" s="1382"/>
      <c r="AK429" s="181"/>
      <c r="AL429" s="181"/>
      <c r="AM429" s="181"/>
      <c r="AN429" s="181"/>
      <c r="AO429" s="181"/>
      <c r="AP429" s="181"/>
      <c r="AQ429" s="181"/>
      <c r="AR429" s="181"/>
      <c r="AS429" s="181"/>
      <c r="AT429" s="181"/>
      <c r="AU429" s="181"/>
      <c r="AV429" s="181"/>
      <c r="AW429" s="181"/>
    </row>
    <row r="430" spans="1:49" s="30" customFormat="1" hidden="1" x14ac:dyDescent="0.25">
      <c r="A430" s="1407" t="str">
        <f>IF(COUNTIF('04 - 95% CD'!D430:G430,"Y")&gt;0,"Y",IF(COUNTIF('04 - 95% CD'!D430:G430,"N"),"N",""))</f>
        <v>N</v>
      </c>
      <c r="B430" s="191"/>
      <c r="C430" s="944"/>
      <c r="D430" s="321"/>
      <c r="E430" s="559" t="str">
        <f>IF('C-Design&amp;Const'!$S430="","",'C-Design&amp;Const'!$S430)</f>
        <v>N</v>
      </c>
      <c r="F430" s="560"/>
      <c r="G430" s="558"/>
      <c r="H430" s="410" t="str">
        <f>'04 - 95% CD'!H430</f>
        <v>PLACEHOLDER ROW - OPTIONAL CLIENT CUSTOM ITEM</v>
      </c>
      <c r="I430" s="186"/>
      <c r="J430" s="609" t="str">
        <f>IF('C-Design&amp;Const'!AJ430="","",'C-Design&amp;Const'!AJ430)</f>
        <v/>
      </c>
      <c r="K430" s="285" t="str">
        <f t="shared" si="42"/>
        <v>match</v>
      </c>
      <c r="L430" s="1410" t="str">
        <f t="shared" si="43"/>
        <v>&lt;---PM/Planner may hide PLACEHOLDER ROW</v>
      </c>
      <c r="M430" s="1382"/>
      <c r="N430" s="1382"/>
      <c r="O430" s="1382"/>
      <c r="P430" s="1382"/>
      <c r="Q430" s="1382"/>
      <c r="R430" s="1490"/>
      <c r="S430" s="1274"/>
      <c r="T430" s="1274"/>
      <c r="U430" s="1382"/>
      <c r="V430" s="1382"/>
      <c r="W430" s="1382"/>
      <c r="X430" s="1382"/>
      <c r="Y430" s="1382"/>
      <c r="Z430" s="1382"/>
      <c r="AA430" s="1382"/>
      <c r="AB430" s="1382"/>
      <c r="AC430" s="1382"/>
      <c r="AD430" s="1382"/>
      <c r="AE430" s="1382"/>
      <c r="AF430" s="1382"/>
      <c r="AG430" s="1382"/>
      <c r="AH430" s="1382"/>
      <c r="AI430" s="1382"/>
      <c r="AJ430" s="1382"/>
      <c r="AK430" s="181"/>
      <c r="AL430" s="181"/>
      <c r="AM430" s="181"/>
      <c r="AN430" s="181"/>
      <c r="AO430" s="181"/>
      <c r="AP430" s="181"/>
      <c r="AQ430" s="181"/>
      <c r="AR430" s="181"/>
      <c r="AS430" s="181"/>
      <c r="AT430" s="181"/>
      <c r="AU430" s="181"/>
      <c r="AV430" s="181"/>
      <c r="AW430" s="181"/>
    </row>
    <row r="431" spans="1:49" s="30" customFormat="1" hidden="1" x14ac:dyDescent="0.25">
      <c r="A431" s="1407" t="str">
        <f>IF(COUNTIF('04 - 95% CD'!D431:G431,"Y")&gt;0,"Y",IF(COUNTIF('04 - 95% CD'!D431:G431,"N"),"N",""))</f>
        <v>N</v>
      </c>
      <c r="B431" s="191"/>
      <c r="C431" s="944"/>
      <c r="D431" s="321"/>
      <c r="E431" s="559" t="str">
        <f>IF('C-Design&amp;Const'!$S434="","",'C-Design&amp;Const'!$S434)</f>
        <v>N</v>
      </c>
      <c r="F431" s="560"/>
      <c r="G431" s="558"/>
      <c r="H431" s="410" t="str">
        <f>'04 - 95% CD'!H431</f>
        <v>PLACEHOLDER ROW - OPTIONAL CLIENT CUSTOM ITEM</v>
      </c>
      <c r="I431" s="186"/>
      <c r="J431" s="609" t="str">
        <f>IF('C-Design&amp;Const'!AJ431="","",'C-Design&amp;Const'!AJ431)</f>
        <v/>
      </c>
      <c r="K431" s="285" t="str">
        <f t="shared" si="42"/>
        <v>match</v>
      </c>
      <c r="L431" s="1410" t="str">
        <f t="shared" si="43"/>
        <v>&lt;---PM/Planner may hide PLACEHOLDER ROW</v>
      </c>
      <c r="M431" s="1382"/>
      <c r="N431" s="1382"/>
      <c r="O431" s="1382"/>
      <c r="P431" s="1382"/>
      <c r="Q431" s="1382"/>
      <c r="R431" s="1490"/>
      <c r="S431" s="1274"/>
      <c r="T431" s="1274"/>
      <c r="U431" s="1382"/>
      <c r="V431" s="1382"/>
      <c r="W431" s="1382"/>
      <c r="X431" s="1382"/>
      <c r="Y431" s="1382"/>
      <c r="Z431" s="1382"/>
      <c r="AA431" s="1382"/>
      <c r="AB431" s="1382"/>
      <c r="AC431" s="1382"/>
      <c r="AD431" s="1382"/>
      <c r="AE431" s="1382"/>
      <c r="AF431" s="1382"/>
      <c r="AG431" s="1382"/>
      <c r="AH431" s="1382"/>
      <c r="AI431" s="1382"/>
      <c r="AJ431" s="1382"/>
      <c r="AK431" s="181"/>
      <c r="AL431" s="181"/>
      <c r="AM431" s="181"/>
      <c r="AN431" s="181"/>
      <c r="AO431" s="181"/>
      <c r="AP431" s="181"/>
      <c r="AQ431" s="181"/>
      <c r="AR431" s="181"/>
      <c r="AS431" s="181"/>
      <c r="AT431" s="181"/>
      <c r="AU431" s="181"/>
      <c r="AV431" s="181"/>
      <c r="AW431" s="181"/>
    </row>
    <row r="432" spans="1:49" s="30" customFormat="1" hidden="1" x14ac:dyDescent="0.25">
      <c r="A432" s="1407" t="str">
        <f>IF(COUNTIF('04 - 95% CD'!D432:G432,"Y")&gt;0,"Y",IF(COUNTIF('04 - 95% CD'!D432:G432,"N"),"N",""))</f>
        <v>N</v>
      </c>
      <c r="B432" s="191"/>
      <c r="C432" s="944"/>
      <c r="D432" s="321"/>
      <c r="E432" s="559" t="str">
        <f>IF('C-Design&amp;Const'!$S431="","",'C-Design&amp;Const'!$S431)</f>
        <v>N</v>
      </c>
      <c r="F432" s="560"/>
      <c r="G432" s="558"/>
      <c r="H432" s="410" t="str">
        <f>'04 - 95% CD'!H432</f>
        <v>PLACEHOLDER ROW - OPTIONAL CLIENT CUSTOM ITEM</v>
      </c>
      <c r="I432" s="186"/>
      <c r="J432" s="609" t="str">
        <f>IF('C-Design&amp;Const'!AJ432="","",'C-Design&amp;Const'!AJ432)</f>
        <v/>
      </c>
      <c r="K432" s="285" t="str">
        <f t="shared" si="42"/>
        <v>match</v>
      </c>
      <c r="L432" s="1410" t="str">
        <f t="shared" si="43"/>
        <v>&lt;---PM/Planner may hide PLACEHOLDER ROW</v>
      </c>
      <c r="M432" s="1382"/>
      <c r="N432" s="1382"/>
      <c r="O432" s="1382"/>
      <c r="P432" s="1382"/>
      <c r="Q432" s="1382"/>
      <c r="R432" s="1490"/>
      <c r="S432" s="1274"/>
      <c r="T432" s="1274"/>
      <c r="U432" s="1382"/>
      <c r="V432" s="1382"/>
      <c r="W432" s="1382"/>
      <c r="X432" s="1382"/>
      <c r="Y432" s="1382"/>
      <c r="Z432" s="1382"/>
      <c r="AA432" s="1382"/>
      <c r="AB432" s="1382"/>
      <c r="AC432" s="1382"/>
      <c r="AD432" s="1382"/>
      <c r="AE432" s="1382"/>
      <c r="AF432" s="1382"/>
      <c r="AG432" s="1382"/>
      <c r="AH432" s="1382"/>
      <c r="AI432" s="1382"/>
      <c r="AJ432" s="1382"/>
      <c r="AK432" s="181"/>
      <c r="AL432" s="181"/>
      <c r="AM432" s="181"/>
      <c r="AN432" s="181"/>
      <c r="AO432" s="181"/>
      <c r="AP432" s="181"/>
      <c r="AQ432" s="181"/>
      <c r="AR432" s="181"/>
      <c r="AS432" s="181"/>
      <c r="AT432" s="181"/>
      <c r="AU432" s="181"/>
      <c r="AV432" s="181"/>
      <c r="AW432" s="181"/>
    </row>
    <row r="433" spans="1:50" s="30" customFormat="1" hidden="1" x14ac:dyDescent="0.25">
      <c r="A433" s="1407" t="str">
        <f>IF(COUNTIF('04 - 95% CD'!D433:G433,"Y")&gt;0,"Y",IF(COUNTIF('04 - 95% CD'!D433:G433,"N"),"N",""))</f>
        <v>N</v>
      </c>
      <c r="B433" s="191"/>
      <c r="C433" s="944"/>
      <c r="D433" s="321"/>
      <c r="E433" s="559" t="str">
        <f>IF('C-Design&amp;Const'!$S432="","",'C-Design&amp;Const'!$S432)</f>
        <v>N</v>
      </c>
      <c r="F433" s="560"/>
      <c r="G433" s="558"/>
      <c r="H433" s="410" t="str">
        <f>'04 - 95% CD'!H433</f>
        <v>PLACEHOLDER ROW - OPTIONAL CLIENT CUSTOM ITEM</v>
      </c>
      <c r="I433" s="186"/>
      <c r="J433" s="609" t="str">
        <f>IF('C-Design&amp;Const'!AJ433="","",'C-Design&amp;Const'!AJ433)</f>
        <v/>
      </c>
      <c r="K433" s="285" t="str">
        <f t="shared" si="42"/>
        <v>match</v>
      </c>
      <c r="L433" s="1410" t="str">
        <f t="shared" si="43"/>
        <v>&lt;---PM/Planner may hide PLACEHOLDER ROW</v>
      </c>
      <c r="M433" s="1382"/>
      <c r="N433" s="1382"/>
      <c r="O433" s="1382"/>
      <c r="P433" s="1382"/>
      <c r="Q433" s="1382"/>
      <c r="R433" s="1490"/>
      <c r="S433" s="1274"/>
      <c r="T433" s="1274"/>
      <c r="U433" s="1382"/>
      <c r="V433" s="1382"/>
      <c r="W433" s="1382"/>
      <c r="X433" s="1382"/>
      <c r="Y433" s="1382"/>
      <c r="Z433" s="1382"/>
      <c r="AA433" s="1382"/>
      <c r="AB433" s="1382"/>
      <c r="AC433" s="1382"/>
      <c r="AD433" s="1382"/>
      <c r="AE433" s="1382"/>
      <c r="AF433" s="1382"/>
      <c r="AG433" s="1382"/>
      <c r="AH433" s="1382"/>
      <c r="AI433" s="1382"/>
      <c r="AJ433" s="1382"/>
      <c r="AK433" s="181"/>
      <c r="AL433" s="181"/>
      <c r="AM433" s="181"/>
      <c r="AN433" s="181"/>
      <c r="AO433" s="181"/>
      <c r="AP433" s="181"/>
      <c r="AQ433" s="181"/>
      <c r="AR433" s="181"/>
      <c r="AS433" s="181"/>
      <c r="AT433" s="181"/>
      <c r="AU433" s="181"/>
      <c r="AV433" s="181"/>
      <c r="AW433" s="181"/>
    </row>
    <row r="434" spans="1:50" s="30" customFormat="1" hidden="1" x14ac:dyDescent="0.25">
      <c r="A434" s="1407" t="str">
        <f>IF(COUNTIF('04 - 95% CD'!D434:G434,"Y")&gt;0,"Y",IF(COUNTIF('04 - 95% CD'!D434:G434,"N"),"N",""))</f>
        <v>N</v>
      </c>
      <c r="B434" s="191"/>
      <c r="C434" s="944"/>
      <c r="D434" s="321"/>
      <c r="E434" s="559" t="str">
        <f>IF('C-Design&amp;Const'!$S433="","",'C-Design&amp;Const'!$S433)</f>
        <v>N</v>
      </c>
      <c r="F434" s="560"/>
      <c r="G434" s="558"/>
      <c r="H434" s="410" t="str">
        <f>'04 - 95% CD'!H434</f>
        <v>PLACEHOLDER ROW - OPTIONAL CLIENT CUSTOM ITEM</v>
      </c>
      <c r="I434" s="186"/>
      <c r="J434" s="609" t="str">
        <f>IF('C-Design&amp;Const'!AJ434="","",'C-Design&amp;Const'!AJ434)</f>
        <v/>
      </c>
      <c r="K434" s="285" t="str">
        <f t="shared" si="42"/>
        <v>match</v>
      </c>
      <c r="L434" s="1410" t="str">
        <f t="shared" si="43"/>
        <v>&lt;---PM/Planner may hide PLACEHOLDER ROW</v>
      </c>
      <c r="M434" s="1382"/>
      <c r="N434" s="1382"/>
      <c r="O434" s="1382"/>
      <c r="P434" s="1382"/>
      <c r="Q434" s="1382"/>
      <c r="R434" s="1490"/>
      <c r="S434" s="1274"/>
      <c r="T434" s="1274"/>
      <c r="U434" s="1382"/>
      <c r="V434" s="1382"/>
      <c r="W434" s="1382"/>
      <c r="X434" s="1382"/>
      <c r="Y434" s="1382"/>
      <c r="Z434" s="1382"/>
      <c r="AA434" s="1382"/>
      <c r="AB434" s="1382"/>
      <c r="AC434" s="1382"/>
      <c r="AD434" s="1382"/>
      <c r="AE434" s="1382"/>
      <c r="AF434" s="1382"/>
      <c r="AG434" s="1382"/>
      <c r="AH434" s="1382"/>
      <c r="AI434" s="1382"/>
      <c r="AJ434" s="1382"/>
      <c r="AK434" s="181"/>
      <c r="AL434" s="181"/>
      <c r="AM434" s="181"/>
      <c r="AN434" s="181"/>
      <c r="AO434" s="181"/>
      <c r="AP434" s="181"/>
      <c r="AQ434" s="181"/>
      <c r="AR434" s="181"/>
      <c r="AS434" s="181"/>
      <c r="AT434" s="181"/>
      <c r="AU434" s="181"/>
      <c r="AV434" s="181"/>
      <c r="AW434" s="181"/>
    </row>
    <row r="435" spans="1:50" s="30" customFormat="1" hidden="1" x14ac:dyDescent="0.25">
      <c r="A435" s="1407" t="str">
        <f>IF(COUNTIF('04 - 95% CD'!D435:G435,"Y")&gt;0,"Y",IF(COUNTIF('04 - 95% CD'!D435:G435,"N"),"N",""))</f>
        <v>N</v>
      </c>
      <c r="B435" s="191"/>
      <c r="C435" s="944"/>
      <c r="D435" s="321"/>
      <c r="E435" s="559" t="str">
        <f>IF('C-Design&amp;Const'!$S435="","",'C-Design&amp;Const'!$S435)</f>
        <v>N</v>
      </c>
      <c r="F435" s="560"/>
      <c r="G435" s="558"/>
      <c r="H435" s="410" t="str">
        <f>'04 - 95% CD'!H435</f>
        <v>PLACEHOLDER ROW - OPTIONAL CLIENT CUSTOM ITEM</v>
      </c>
      <c r="I435" s="186"/>
      <c r="J435" s="609" t="str">
        <f>IF('C-Design&amp;Const'!AJ435="","",'C-Design&amp;Const'!AJ435)</f>
        <v/>
      </c>
      <c r="K435" s="285" t="str">
        <f t="shared" si="42"/>
        <v>match</v>
      </c>
      <c r="L435" s="1410" t="str">
        <f t="shared" si="43"/>
        <v>&lt;---PM/Planner may hide PLACEHOLDER ROW</v>
      </c>
      <c r="M435" s="1382"/>
      <c r="N435" s="1382"/>
      <c r="O435" s="1382"/>
      <c r="P435" s="1382"/>
      <c r="Q435" s="1382"/>
      <c r="R435" s="1490"/>
      <c r="S435" s="1274"/>
      <c r="T435" s="1274"/>
      <c r="U435" s="1382"/>
      <c r="V435" s="1382"/>
      <c r="W435" s="1382"/>
      <c r="X435" s="1382"/>
      <c r="Y435" s="1382"/>
      <c r="Z435" s="1382"/>
      <c r="AA435" s="1382"/>
      <c r="AB435" s="1382"/>
      <c r="AC435" s="1382"/>
      <c r="AD435" s="1382"/>
      <c r="AE435" s="1382"/>
      <c r="AF435" s="1382"/>
      <c r="AG435" s="1382"/>
      <c r="AH435" s="1382"/>
      <c r="AI435" s="1382"/>
      <c r="AJ435" s="1382"/>
      <c r="AK435" s="181"/>
      <c r="AL435" s="181"/>
      <c r="AM435" s="181"/>
      <c r="AN435" s="181"/>
      <c r="AO435" s="181"/>
      <c r="AP435" s="181"/>
      <c r="AQ435" s="181"/>
      <c r="AR435" s="181"/>
      <c r="AS435" s="181"/>
      <c r="AT435" s="181"/>
      <c r="AU435" s="181"/>
      <c r="AV435" s="181"/>
      <c r="AW435" s="181"/>
    </row>
    <row r="436" spans="1:50" s="30" customFormat="1" hidden="1" x14ac:dyDescent="0.25">
      <c r="A436" s="1407" t="str">
        <f>IF(COUNTIF('04 - 95% CD'!D436:G436,"Y")&gt;0,"Y",IF(COUNTIF('04 - 95% CD'!D436:G436,"N"),"N",""))</f>
        <v>N</v>
      </c>
      <c r="B436" s="191"/>
      <c r="C436" s="944"/>
      <c r="D436" s="321"/>
      <c r="E436" s="559" t="str">
        <f>IF('C-Design&amp;Const'!$S436="","",'C-Design&amp;Const'!$S436)</f>
        <v>N</v>
      </c>
      <c r="F436" s="560"/>
      <c r="G436" s="558"/>
      <c r="H436" s="410" t="str">
        <f>'04 - 95% CD'!H436</f>
        <v>PLACEHOLDER ROW - OPTIONAL CLIENT CUSTOM ITEM</v>
      </c>
      <c r="I436" s="186"/>
      <c r="J436" s="609" t="str">
        <f>IF('C-Design&amp;Const'!AJ436="","",'C-Design&amp;Const'!AJ436)</f>
        <v/>
      </c>
      <c r="K436" s="285" t="str">
        <f t="shared" si="42"/>
        <v>match</v>
      </c>
      <c r="L436" s="1410" t="str">
        <f t="shared" si="43"/>
        <v>&lt;---PM/Planner may hide PLACEHOLDER ROW</v>
      </c>
      <c r="M436" s="1382"/>
      <c r="N436" s="1382"/>
      <c r="O436" s="1382"/>
      <c r="P436" s="1382"/>
      <c r="Q436" s="1382"/>
      <c r="R436" s="1490"/>
      <c r="S436" s="1274"/>
      <c r="T436" s="1274"/>
      <c r="U436" s="1382"/>
      <c r="V436" s="1382"/>
      <c r="W436" s="1382"/>
      <c r="X436" s="1382"/>
      <c r="Y436" s="1382"/>
      <c r="Z436" s="1382"/>
      <c r="AA436" s="1382"/>
      <c r="AB436" s="1382"/>
      <c r="AC436" s="1382"/>
      <c r="AD436" s="1382"/>
      <c r="AE436" s="1382"/>
      <c r="AF436" s="1382"/>
      <c r="AG436" s="1382"/>
      <c r="AH436" s="1382"/>
      <c r="AI436" s="1382"/>
      <c r="AJ436" s="1382"/>
      <c r="AK436" s="181"/>
      <c r="AL436" s="181"/>
      <c r="AM436" s="181"/>
      <c r="AN436" s="181"/>
      <c r="AO436" s="181"/>
      <c r="AP436" s="181"/>
      <c r="AQ436" s="181"/>
      <c r="AR436" s="181"/>
      <c r="AS436" s="181"/>
      <c r="AT436" s="181"/>
      <c r="AU436" s="181"/>
      <c r="AV436" s="181"/>
      <c r="AW436" s="181"/>
    </row>
    <row r="437" spans="1:50" s="30" customFormat="1" hidden="1" x14ac:dyDescent="0.25">
      <c r="A437" s="1407" t="str">
        <f>IF(COUNTIF('04 - 95% CD'!D437:G437,"Y")&gt;0,"Y",IF(COUNTIF('04 - 95% CD'!D437:G437,"N"),"N",""))</f>
        <v>N</v>
      </c>
      <c r="B437" s="191"/>
      <c r="C437" s="944"/>
      <c r="D437" s="321"/>
      <c r="E437" s="559" t="str">
        <f>IF('C-Design&amp;Const'!$S437="","",'C-Design&amp;Const'!$S437)</f>
        <v>N</v>
      </c>
      <c r="F437" s="560"/>
      <c r="G437" s="558"/>
      <c r="H437" s="410" t="str">
        <f>'04 - 95% CD'!H437</f>
        <v>PLACEHOLDER ROW - OPTIONAL CLIENT CUSTOM ITEM</v>
      </c>
      <c r="I437" s="186"/>
      <c r="J437" s="609" t="str">
        <f>IF('C-Design&amp;Const'!AJ437="","",'C-Design&amp;Const'!AJ437)</f>
        <v/>
      </c>
      <c r="K437" s="285" t="str">
        <f t="shared" si="42"/>
        <v>match</v>
      </c>
      <c r="L437" s="1410" t="str">
        <f t="shared" si="43"/>
        <v>&lt;---PM/Planner may hide PLACEHOLDER ROW</v>
      </c>
      <c r="M437" s="1382"/>
      <c r="N437" s="1382"/>
      <c r="O437" s="1382"/>
      <c r="P437" s="1382"/>
      <c r="Q437" s="1382"/>
      <c r="R437" s="1490"/>
      <c r="S437" s="1274"/>
      <c r="T437" s="1274"/>
      <c r="U437" s="1382"/>
      <c r="V437" s="1382"/>
      <c r="W437" s="1382"/>
      <c r="X437" s="1382"/>
      <c r="Y437" s="1382"/>
      <c r="Z437" s="1382"/>
      <c r="AA437" s="1382"/>
      <c r="AB437" s="1382"/>
      <c r="AC437" s="1382"/>
      <c r="AD437" s="1382"/>
      <c r="AE437" s="1382"/>
      <c r="AF437" s="1382"/>
      <c r="AG437" s="1382"/>
      <c r="AH437" s="1382"/>
      <c r="AI437" s="1382"/>
      <c r="AJ437" s="1382"/>
      <c r="AK437" s="181"/>
      <c r="AL437" s="181"/>
      <c r="AM437" s="181"/>
      <c r="AN437" s="181"/>
      <c r="AO437" s="181"/>
      <c r="AP437" s="181"/>
      <c r="AQ437" s="181"/>
      <c r="AR437" s="181"/>
      <c r="AS437" s="181"/>
      <c r="AT437" s="181"/>
      <c r="AU437" s="181"/>
      <c r="AV437" s="181"/>
      <c r="AW437" s="181"/>
    </row>
    <row r="438" spans="1:50" s="30" customFormat="1" hidden="1" x14ac:dyDescent="0.25">
      <c r="A438" s="1407" t="str">
        <f>IF(COUNTIF('04 - 95% CD'!D438:G438,"Y")&gt;0,"Y",IF(COUNTIF('04 - 95% CD'!D438:G438,"N"),"N",""))</f>
        <v>N</v>
      </c>
      <c r="B438" s="191"/>
      <c r="C438" s="944"/>
      <c r="D438" s="321"/>
      <c r="E438" s="559" t="str">
        <f>IF('C-Design&amp;Const'!$S438="","",'C-Design&amp;Const'!$S438)</f>
        <v>N</v>
      </c>
      <c r="F438" s="560"/>
      <c r="G438" s="558"/>
      <c r="H438" s="410" t="str">
        <f>'04 - 95% CD'!H438</f>
        <v>PLACEHOLDER ROW - OPTIONAL CLIENT CUSTOM ITEM</v>
      </c>
      <c r="I438" s="186"/>
      <c r="J438" s="609" t="str">
        <f>IF('C-Design&amp;Const'!AJ438="","",'C-Design&amp;Const'!AJ438)</f>
        <v/>
      </c>
      <c r="K438" s="285" t="str">
        <f t="shared" si="42"/>
        <v>match</v>
      </c>
      <c r="L438" s="1410" t="str">
        <f t="shared" si="43"/>
        <v>&lt;---PM/Planner may hide PLACEHOLDER ROW</v>
      </c>
      <c r="M438" s="1382"/>
      <c r="N438" s="1382"/>
      <c r="O438" s="1382"/>
      <c r="P438" s="1382"/>
      <c r="Q438" s="1382"/>
      <c r="R438" s="1490"/>
      <c r="S438" s="1274"/>
      <c r="T438" s="1274"/>
      <c r="U438" s="1382"/>
      <c r="V438" s="1382"/>
      <c r="W438" s="1382"/>
      <c r="X438" s="1382"/>
      <c r="Y438" s="1382"/>
      <c r="Z438" s="1382"/>
      <c r="AA438" s="1382"/>
      <c r="AB438" s="1382"/>
      <c r="AC438" s="1382"/>
      <c r="AD438" s="1382"/>
      <c r="AE438" s="1382"/>
      <c r="AF438" s="1382"/>
      <c r="AG438" s="1382"/>
      <c r="AH438" s="1382"/>
      <c r="AI438" s="1382"/>
      <c r="AJ438" s="1382"/>
      <c r="AK438" s="181"/>
      <c r="AL438" s="181"/>
      <c r="AM438" s="181"/>
      <c r="AN438" s="181"/>
      <c r="AO438" s="181"/>
      <c r="AP438" s="181"/>
      <c r="AQ438" s="181"/>
      <c r="AR438" s="181"/>
      <c r="AS438" s="181"/>
      <c r="AT438" s="181"/>
      <c r="AU438" s="181"/>
      <c r="AV438" s="181"/>
      <c r="AW438" s="181"/>
    </row>
    <row r="439" spans="1:50" s="30" customFormat="1" hidden="1" x14ac:dyDescent="0.25">
      <c r="A439" s="1407" t="str">
        <f>IF(COUNTIF('04 - 95% CD'!D439:G439,"Y")&gt;0,"Y",IF(COUNTIF('04 - 95% CD'!D439:G439,"N"),"N",""))</f>
        <v>N</v>
      </c>
      <c r="B439" s="191"/>
      <c r="C439" s="944"/>
      <c r="D439" s="321"/>
      <c r="E439" s="559" t="str">
        <f>IF('C-Design&amp;Const'!$S439="","",'C-Design&amp;Const'!$S439)</f>
        <v>N</v>
      </c>
      <c r="F439" s="560"/>
      <c r="G439" s="558"/>
      <c r="H439" s="410" t="str">
        <f>'04 - 95% CD'!H439</f>
        <v>PLACEHOLDER ROW - OPTIONAL CLIENT CUSTOM ITEM</v>
      </c>
      <c r="I439" s="186"/>
      <c r="J439" s="609" t="str">
        <f>IF('C-Design&amp;Const'!AJ439="","",'C-Design&amp;Const'!AJ439)</f>
        <v/>
      </c>
      <c r="K439" s="285" t="str">
        <f t="shared" si="42"/>
        <v>match</v>
      </c>
      <c r="L439" s="1410" t="str">
        <f t="shared" si="43"/>
        <v>&lt;---PM/Planner may hide PLACEHOLDER ROW</v>
      </c>
      <c r="M439" s="1382"/>
      <c r="N439" s="1382"/>
      <c r="O439" s="1382"/>
      <c r="P439" s="1382"/>
      <c r="Q439" s="1382"/>
      <c r="R439" s="1490"/>
      <c r="S439" s="1274"/>
      <c r="T439" s="1274"/>
      <c r="U439" s="1382"/>
      <c r="V439" s="1382"/>
      <c r="W439" s="1382"/>
      <c r="X439" s="1382"/>
      <c r="Y439" s="1382"/>
      <c r="Z439" s="1382"/>
      <c r="AA439" s="1382"/>
      <c r="AB439" s="1382"/>
      <c r="AC439" s="1382"/>
      <c r="AD439" s="1382"/>
      <c r="AE439" s="1382"/>
      <c r="AF439" s="1382"/>
      <c r="AG439" s="1382"/>
      <c r="AH439" s="1382"/>
      <c r="AI439" s="1382"/>
      <c r="AJ439" s="1382"/>
      <c r="AK439" s="181"/>
      <c r="AL439" s="181"/>
      <c r="AM439" s="181"/>
      <c r="AN439" s="181"/>
      <c r="AO439" s="181"/>
      <c r="AP439" s="181"/>
      <c r="AQ439" s="181"/>
      <c r="AR439" s="181"/>
      <c r="AS439" s="181"/>
      <c r="AT439" s="181"/>
      <c r="AU439" s="181"/>
      <c r="AV439" s="181"/>
      <c r="AW439" s="181"/>
    </row>
    <row r="440" spans="1:50" s="30" customFormat="1" hidden="1" x14ac:dyDescent="0.25">
      <c r="A440" s="1407" t="str">
        <f>IF(COUNTIF('04 - 95% CD'!D440:G440,"Y")&gt;0,"Y",IF(COUNTIF('04 - 95% CD'!D440:G440,"N"),"N",""))</f>
        <v>N</v>
      </c>
      <c r="B440" s="191"/>
      <c r="C440" s="944"/>
      <c r="D440" s="321"/>
      <c r="E440" s="559" t="str">
        <f>IF('C-Design&amp;Const'!$S440="","",'C-Design&amp;Const'!$S440)</f>
        <v>N</v>
      </c>
      <c r="F440" s="560"/>
      <c r="G440" s="558"/>
      <c r="H440" s="410" t="str">
        <f>'04 - 95% CD'!H440</f>
        <v>PLACEHOLDER ROW - OPTIONAL CLIENT CUSTOM ITEM</v>
      </c>
      <c r="I440" s="186"/>
      <c r="J440" s="609" t="str">
        <f>IF('C-Design&amp;Const'!AJ440="","",'C-Design&amp;Const'!AJ440)</f>
        <v/>
      </c>
      <c r="K440" s="285" t="str">
        <f t="shared" si="42"/>
        <v>match</v>
      </c>
      <c r="L440" s="1410" t="str">
        <f t="shared" si="43"/>
        <v>&lt;---PM/Planner may hide PLACEHOLDER ROW</v>
      </c>
      <c r="M440" s="1382"/>
      <c r="N440" s="1382"/>
      <c r="O440" s="1382"/>
      <c r="P440" s="1382"/>
      <c r="Q440" s="1382"/>
      <c r="R440" s="1490"/>
      <c r="S440" s="1274"/>
      <c r="T440" s="1274"/>
      <c r="U440" s="1382"/>
      <c r="V440" s="1382"/>
      <c r="W440" s="1382"/>
      <c r="X440" s="1382"/>
      <c r="Y440" s="1382"/>
      <c r="Z440" s="1382"/>
      <c r="AA440" s="1382"/>
      <c r="AB440" s="1382"/>
      <c r="AC440" s="1382"/>
      <c r="AD440" s="1382"/>
      <c r="AE440" s="1382"/>
      <c r="AF440" s="1382"/>
      <c r="AG440" s="1382"/>
      <c r="AH440" s="1382"/>
      <c r="AI440" s="1382"/>
      <c r="AJ440" s="1382"/>
      <c r="AK440" s="181"/>
      <c r="AL440" s="181"/>
      <c r="AM440" s="181"/>
      <c r="AN440" s="181"/>
      <c r="AO440" s="181"/>
      <c r="AP440" s="181"/>
      <c r="AQ440" s="181"/>
      <c r="AR440" s="181"/>
      <c r="AS440" s="181"/>
      <c r="AT440" s="181"/>
      <c r="AU440" s="181"/>
      <c r="AV440" s="181"/>
      <c r="AW440" s="181"/>
    </row>
    <row r="441" spans="1:50" s="30" customFormat="1" hidden="1" x14ac:dyDescent="0.2">
      <c r="A441" s="1407" t="str">
        <f>IF(COUNTIF('04 - 95% CD'!D441:G441,"Y")&gt;0,"Y",IF(COUNTIF('04 - 95% CD'!D441:G441,"N"),"N",""))</f>
        <v/>
      </c>
      <c r="B441" s="191"/>
      <c r="C441" s="944"/>
      <c r="D441" s="411"/>
      <c r="E441" s="411"/>
      <c r="F441" s="411"/>
      <c r="G441" s="511"/>
      <c r="H441" s="411"/>
      <c r="I441" s="186"/>
      <c r="J441" s="609" t="str">
        <f>IF('C-Design&amp;Const'!AJ441="","",'C-Design&amp;Const'!AJ441)</f>
        <v/>
      </c>
      <c r="K441" s="285" t="str">
        <f t="shared" si="42"/>
        <v>match</v>
      </c>
      <c r="L441" s="1410" t="str">
        <f t="shared" si="43"/>
        <v/>
      </c>
      <c r="M441" s="1382"/>
      <c r="N441" s="1382"/>
      <c r="O441" s="1382"/>
      <c r="P441" s="1382"/>
      <c r="Q441" s="1382"/>
      <c r="R441" s="1490"/>
      <c r="S441" s="1274"/>
      <c r="T441" s="1274"/>
      <c r="U441" s="1382"/>
      <c r="V441" s="1382"/>
      <c r="W441" s="1382"/>
      <c r="X441" s="1382"/>
      <c r="Y441" s="1382"/>
      <c r="Z441" s="1382"/>
      <c r="AA441" s="1382"/>
      <c r="AB441" s="1382"/>
      <c r="AC441" s="1382"/>
      <c r="AD441" s="1382"/>
      <c r="AE441" s="1382"/>
      <c r="AF441" s="1382"/>
      <c r="AG441" s="1382"/>
      <c r="AH441" s="1382"/>
      <c r="AI441" s="1382"/>
      <c r="AJ441" s="1382"/>
      <c r="AK441" s="181"/>
      <c r="AL441" s="181"/>
      <c r="AM441" s="181"/>
      <c r="AN441" s="181"/>
      <c r="AO441" s="181"/>
      <c r="AP441" s="181"/>
      <c r="AQ441" s="181"/>
      <c r="AR441" s="181"/>
      <c r="AS441" s="181"/>
      <c r="AT441" s="181"/>
      <c r="AU441" s="181"/>
      <c r="AV441" s="181"/>
      <c r="AW441" s="181"/>
    </row>
    <row r="442" spans="1:50" s="30" customFormat="1" x14ac:dyDescent="0.2">
      <c r="A442" s="1407" t="str">
        <f>IF(COUNTIF('04 - 95% CD'!D442:G442,"Y")&gt;0,"Y",IF(COUNTIF('04 - 95% CD'!D442:G442,"N"),"N",""))</f>
        <v/>
      </c>
      <c r="B442" s="191"/>
      <c r="C442" s="944"/>
      <c r="D442" s="411"/>
      <c r="E442" s="411"/>
      <c r="F442" s="411"/>
      <c r="G442" s="511"/>
      <c r="H442" s="411"/>
      <c r="I442" s="186"/>
      <c r="J442" s="609" t="str">
        <f>IF('C-Design&amp;Const'!AJ442="","",'C-Design&amp;Const'!AJ442)</f>
        <v/>
      </c>
      <c r="K442" s="285" t="str">
        <f t="shared" si="42"/>
        <v>match</v>
      </c>
      <c r="L442" s="1410" t="str">
        <f t="shared" si="43"/>
        <v/>
      </c>
      <c r="M442" s="1382"/>
      <c r="N442" s="1382"/>
      <c r="O442" s="1382"/>
      <c r="P442" s="1382"/>
      <c r="Q442" s="1382"/>
      <c r="R442" s="1490"/>
      <c r="S442" s="1274"/>
      <c r="T442" s="1274"/>
      <c r="U442" s="1382"/>
      <c r="V442" s="1382"/>
      <c r="W442" s="1382"/>
      <c r="X442" s="1382"/>
      <c r="Y442" s="1382"/>
      <c r="Z442" s="1382"/>
      <c r="AA442" s="1382"/>
      <c r="AB442" s="1382"/>
      <c r="AC442" s="1382"/>
      <c r="AD442" s="1382"/>
      <c r="AE442" s="1382"/>
      <c r="AF442" s="1382"/>
      <c r="AG442" s="1382"/>
      <c r="AH442" s="1382"/>
      <c r="AI442" s="1382"/>
      <c r="AJ442" s="1382"/>
      <c r="AK442" s="181"/>
      <c r="AL442" s="181"/>
      <c r="AM442" s="181"/>
      <c r="AN442" s="181"/>
      <c r="AO442" s="181"/>
      <c r="AP442" s="181"/>
      <c r="AQ442" s="181"/>
      <c r="AR442" s="181"/>
      <c r="AS442" s="181"/>
      <c r="AT442" s="181"/>
      <c r="AU442" s="181"/>
      <c r="AV442" s="181"/>
      <c r="AW442" s="181"/>
    </row>
    <row r="443" spans="1:50" s="181" customFormat="1" ht="36.75" customHeight="1" x14ac:dyDescent="0.2">
      <c r="A443" s="1501" t="str">
        <f>IF(COUNTIF('04 - 95% CD'!D443:G443,"Y")&gt;0,"Y",IF(COUNTIF('04 - 95% CD'!D443:G443,"N"),"N",""))</f>
        <v>N</v>
      </c>
      <c r="B443" s="177"/>
      <c r="C443" s="944"/>
      <c r="D443" s="559" t="str">
        <f>IF('C-Design&amp;Const'!$S443="","",'C-Design&amp;Const'!$S443)</f>
        <v>N</v>
      </c>
      <c r="E443" s="234"/>
      <c r="F443" s="235"/>
      <c r="G443" s="291" t="str">
        <f>IF('C-Design&amp;Const'!Y443="","",'C-Design&amp;Const'!Y443)</f>
        <v>09.</v>
      </c>
      <c r="H443" s="290" t="str">
        <f>CONCATENATE('C-Design&amp;Const'!Z443,IF(D443="N"," Not Used In This Construction Phase",J443))</f>
        <v>Illinois State Historic Preservation Office (ISHPO) Not Used In This Construction Phase</v>
      </c>
      <c r="I443" s="184"/>
      <c r="J443" s="609" t="str">
        <f>IF('C-Design&amp;Const'!AJ443="","",'C-Design&amp;Const'!AJ443)</f>
        <v/>
      </c>
      <c r="K443" s="285" t="str">
        <f t="shared" si="42"/>
        <v>match</v>
      </c>
      <c r="L443" s="1410" t="str">
        <f t="shared" si="43"/>
        <v/>
      </c>
      <c r="M443" s="1382"/>
      <c r="N443" s="1382"/>
      <c r="O443" s="1382"/>
      <c r="P443" s="1382"/>
      <c r="Q443" s="1382"/>
      <c r="R443" s="1447"/>
      <c r="S443" s="1448"/>
      <c r="T443" s="1274"/>
      <c r="U443" s="1382"/>
      <c r="V443" s="1382"/>
      <c r="W443" s="1382"/>
      <c r="X443" s="1382"/>
      <c r="Y443" s="1382"/>
      <c r="Z443" s="1382"/>
      <c r="AA443" s="1382"/>
      <c r="AB443" s="1382"/>
      <c r="AC443" s="1382"/>
      <c r="AD443" s="1382"/>
      <c r="AE443" s="1382"/>
      <c r="AF443" s="1382"/>
      <c r="AG443" s="1382"/>
      <c r="AH443" s="1382"/>
      <c r="AI443" s="1382"/>
      <c r="AJ443" s="1382"/>
      <c r="AX443" s="30"/>
    </row>
    <row r="444" spans="1:50" s="181" customFormat="1" ht="15" hidden="1" customHeight="1" x14ac:dyDescent="0.25">
      <c r="A444" s="1407" t="str">
        <f>IF(COUNTIF('04 - 95% CD'!D444:G444,"Y")&gt;0,"Y",IF(COUNTIF('04 - 95% CD'!D444:G444,"N"),"N",""))</f>
        <v>N</v>
      </c>
      <c r="B444" s="177"/>
      <c r="C444" s="944"/>
      <c r="D444" s="321"/>
      <c r="E444" s="559" t="str">
        <f>IF('C-Design&amp;Const'!$S444="","",'C-Design&amp;Const'!$S444)</f>
        <v>N</v>
      </c>
      <c r="F444" s="560"/>
      <c r="G444" s="558"/>
      <c r="H444" s="410" t="str">
        <f>'04 - 95% CD'!H444</f>
        <v>Meeting notes from walk through with ISHPO</v>
      </c>
      <c r="I444" s="186"/>
      <c r="J444" s="609" t="str">
        <f>IF('C-Design&amp;Const'!AJ444="","",'C-Design&amp;Const'!AJ444)</f>
        <v/>
      </c>
      <c r="K444" s="285" t="str">
        <f t="shared" si="42"/>
        <v>match</v>
      </c>
      <c r="L444" s="1410" t="str">
        <f t="shared" si="43"/>
        <v/>
      </c>
      <c r="M444" s="1382"/>
      <c r="N444" s="1382"/>
      <c r="O444" s="1382"/>
      <c r="P444" s="1382"/>
      <c r="Q444" s="1382"/>
      <c r="R444" s="1447"/>
      <c r="S444" s="1448"/>
      <c r="T444" s="1274"/>
      <c r="U444" s="1382"/>
      <c r="V444" s="1382"/>
      <c r="W444" s="1382"/>
      <c r="X444" s="1382"/>
      <c r="Y444" s="1382"/>
      <c r="Z444" s="1382"/>
      <c r="AA444" s="1382"/>
      <c r="AB444" s="1382"/>
      <c r="AC444" s="1382"/>
      <c r="AD444" s="1382"/>
      <c r="AE444" s="1382"/>
      <c r="AF444" s="1382"/>
      <c r="AG444" s="1382"/>
      <c r="AH444" s="1382"/>
      <c r="AI444" s="1382"/>
      <c r="AJ444" s="1382"/>
      <c r="AX444" s="30"/>
    </row>
    <row r="445" spans="1:50" s="181" customFormat="1" ht="15" hidden="1" customHeight="1" x14ac:dyDescent="0.25">
      <c r="A445" s="1407" t="str">
        <f>IF(COUNTIF('04 - 95% CD'!D445:G445,"Y")&gt;0,"Y",IF(COUNTIF('04 - 95% CD'!D445:G445,"N"),"N",""))</f>
        <v>N</v>
      </c>
      <c r="B445" s="177"/>
      <c r="C445" s="944"/>
      <c r="D445" s="321"/>
      <c r="E445" s="559" t="str">
        <f>IF('C-Design&amp;Const'!$S445="","",'C-Design&amp;Const'!$S445)</f>
        <v>N</v>
      </c>
      <c r="F445" s="560"/>
      <c r="G445" s="558"/>
      <c r="H445" s="410" t="str">
        <f>'04 - 95% CD'!H445</f>
        <v>Narrative on building and historical significance</v>
      </c>
      <c r="I445" s="186"/>
      <c r="J445" s="609" t="str">
        <f>IF('C-Design&amp;Const'!AJ445="","",'C-Design&amp;Const'!AJ445)</f>
        <v/>
      </c>
      <c r="K445" s="285" t="str">
        <f t="shared" si="42"/>
        <v>match</v>
      </c>
      <c r="L445" s="1410" t="str">
        <f t="shared" si="43"/>
        <v/>
      </c>
      <c r="M445" s="1382"/>
      <c r="N445" s="1382"/>
      <c r="O445" s="1382"/>
      <c r="P445" s="1382"/>
      <c r="Q445" s="1382"/>
      <c r="R445" s="1447"/>
      <c r="S445" s="1448"/>
      <c r="T445" s="1274"/>
      <c r="U445" s="1382"/>
      <c r="V445" s="1382"/>
      <c r="W445" s="1382"/>
      <c r="X445" s="1382"/>
      <c r="Y445" s="1382"/>
      <c r="Z445" s="1382"/>
      <c r="AA445" s="1382"/>
      <c r="AB445" s="1382"/>
      <c r="AC445" s="1382"/>
      <c r="AD445" s="1382"/>
      <c r="AE445" s="1382"/>
      <c r="AF445" s="1382"/>
      <c r="AG445" s="1382"/>
      <c r="AH445" s="1382"/>
      <c r="AI445" s="1382"/>
      <c r="AJ445" s="1382"/>
      <c r="AX445" s="30"/>
    </row>
    <row r="446" spans="1:50" s="181" customFormat="1" ht="15" hidden="1" customHeight="1" x14ac:dyDescent="0.25">
      <c r="A446" s="1407" t="str">
        <f>IF(COUNTIF('04 - 95% CD'!D446:G446,"Y")&gt;0,"Y",IF(COUNTIF('04 - 95% CD'!D446:G446,"N"),"N",""))</f>
        <v>N</v>
      </c>
      <c r="B446" s="177"/>
      <c r="C446" s="944"/>
      <c r="D446" s="321"/>
      <c r="E446" s="559" t="str">
        <f>IF('C-Design&amp;Const'!$S446="","",'C-Design&amp;Const'!$S446)</f>
        <v>N</v>
      </c>
      <c r="F446" s="560"/>
      <c r="G446" s="558"/>
      <c r="H446" s="410" t="str">
        <f>'04 - 95% CD'!H446</f>
        <v>Exterior Photographic Documentation</v>
      </c>
      <c r="I446" s="186"/>
      <c r="J446" s="609" t="str">
        <f>IF('C-Design&amp;Const'!AJ446="","",'C-Design&amp;Const'!AJ446)</f>
        <v/>
      </c>
      <c r="K446" s="285" t="str">
        <f t="shared" si="42"/>
        <v>match</v>
      </c>
      <c r="L446" s="1410" t="str">
        <f t="shared" si="43"/>
        <v/>
      </c>
      <c r="M446" s="1382"/>
      <c r="N446" s="1382"/>
      <c r="O446" s="1382"/>
      <c r="P446" s="1382"/>
      <c r="Q446" s="1382"/>
      <c r="R446" s="1447"/>
      <c r="S446" s="1448"/>
      <c r="T446" s="1274"/>
      <c r="U446" s="1382"/>
      <c r="V446" s="1382"/>
      <c r="W446" s="1382"/>
      <c r="X446" s="1382"/>
      <c r="Y446" s="1382"/>
      <c r="Z446" s="1382"/>
      <c r="AA446" s="1382"/>
      <c r="AB446" s="1382"/>
      <c r="AC446" s="1382"/>
      <c r="AD446" s="1382"/>
      <c r="AE446" s="1382"/>
      <c r="AF446" s="1382"/>
      <c r="AG446" s="1382"/>
      <c r="AH446" s="1382"/>
      <c r="AI446" s="1382"/>
      <c r="AJ446" s="1382"/>
      <c r="AX446" s="30"/>
    </row>
    <row r="447" spans="1:50" s="181" customFormat="1" ht="15" hidden="1" customHeight="1" x14ac:dyDescent="0.25">
      <c r="A447" s="1407" t="str">
        <f>IF(COUNTIF('04 - 95% CD'!D447:G447,"Y")&gt;0,"Y",IF(COUNTIF('04 - 95% CD'!D447:G447,"N"),"N",""))</f>
        <v>N</v>
      </c>
      <c r="B447" s="177"/>
      <c r="C447" s="944"/>
      <c r="D447" s="321"/>
      <c r="E447" s="559" t="str">
        <f>IF('C-Design&amp;Const'!$S447="","",'C-Design&amp;Const'!$S447)</f>
        <v>N</v>
      </c>
      <c r="F447" s="560"/>
      <c r="G447" s="558"/>
      <c r="H447" s="410" t="str">
        <f>'04 - 95% CD'!H447</f>
        <v>Exterior preservation drawings</v>
      </c>
      <c r="I447" s="186"/>
      <c r="J447" s="609" t="str">
        <f>IF('C-Design&amp;Const'!AJ447="","",'C-Design&amp;Const'!AJ447)</f>
        <v/>
      </c>
      <c r="K447" s="285" t="str">
        <f t="shared" si="42"/>
        <v>match</v>
      </c>
      <c r="L447" s="1410" t="str">
        <f t="shared" si="43"/>
        <v/>
      </c>
      <c r="M447" s="1382"/>
      <c r="N447" s="1382"/>
      <c r="O447" s="1382"/>
      <c r="P447" s="1382"/>
      <c r="Q447" s="1382"/>
      <c r="R447" s="1447"/>
      <c r="S447" s="1448"/>
      <c r="T447" s="1274"/>
      <c r="U447" s="1382"/>
      <c r="V447" s="1382"/>
      <c r="W447" s="1382"/>
      <c r="X447" s="1382"/>
      <c r="Y447" s="1382"/>
      <c r="Z447" s="1382"/>
      <c r="AA447" s="1382"/>
      <c r="AB447" s="1382"/>
      <c r="AC447" s="1382"/>
      <c r="AD447" s="1382"/>
      <c r="AE447" s="1382"/>
      <c r="AF447" s="1382"/>
      <c r="AG447" s="1382"/>
      <c r="AH447" s="1382"/>
      <c r="AI447" s="1382"/>
      <c r="AJ447" s="1382"/>
      <c r="AX447" s="30"/>
    </row>
    <row r="448" spans="1:50" s="181" customFormat="1" ht="15" hidden="1" customHeight="1" x14ac:dyDescent="0.25">
      <c r="A448" s="1407" t="str">
        <f>IF(COUNTIF('04 - 95% CD'!D448:G448,"Y")&gt;0,"Y",IF(COUNTIF('04 - 95% CD'!D448:G448,"N"),"N",""))</f>
        <v>N</v>
      </c>
      <c r="B448" s="177"/>
      <c r="C448" s="944"/>
      <c r="D448" s="321"/>
      <c r="E448" s="559" t="str">
        <f>IF('C-Design&amp;Const'!$S448="","",'C-Design&amp;Const'!$S448)</f>
        <v>N</v>
      </c>
      <c r="F448" s="560"/>
      <c r="G448" s="558"/>
      <c r="H448" s="410" t="str">
        <f>'04 - 95% CD'!H448</f>
        <v>Interior Photographic Documentation</v>
      </c>
      <c r="I448" s="186"/>
      <c r="J448" s="609" t="str">
        <f>IF('C-Design&amp;Const'!AJ448="","",'C-Design&amp;Const'!AJ448)</f>
        <v/>
      </c>
      <c r="K448" s="285" t="str">
        <f t="shared" si="42"/>
        <v>match</v>
      </c>
      <c r="L448" s="1410" t="str">
        <f t="shared" si="43"/>
        <v/>
      </c>
      <c r="M448" s="1382"/>
      <c r="N448" s="1382"/>
      <c r="O448" s="1382"/>
      <c r="P448" s="1382"/>
      <c r="Q448" s="1382"/>
      <c r="R448" s="1447"/>
      <c r="S448" s="1448"/>
      <c r="T448" s="1274"/>
      <c r="U448" s="1382"/>
      <c r="V448" s="1382"/>
      <c r="W448" s="1382"/>
      <c r="X448" s="1382"/>
      <c r="Y448" s="1382"/>
      <c r="Z448" s="1382"/>
      <c r="AA448" s="1382"/>
      <c r="AB448" s="1382"/>
      <c r="AC448" s="1382"/>
      <c r="AD448" s="1382"/>
      <c r="AE448" s="1382"/>
      <c r="AF448" s="1382"/>
      <c r="AG448" s="1382"/>
      <c r="AH448" s="1382"/>
      <c r="AI448" s="1382"/>
      <c r="AJ448" s="1382"/>
      <c r="AX448" s="30"/>
    </row>
    <row r="449" spans="1:50" s="181" customFormat="1" ht="15" hidden="1" customHeight="1" x14ac:dyDescent="0.25">
      <c r="A449" s="1407" t="str">
        <f>IF(COUNTIF('04 - 95% CD'!D449:G449,"Y")&gt;0,"Y",IF(COUNTIF('04 - 95% CD'!D449:G449,"N"),"N",""))</f>
        <v>N</v>
      </c>
      <c r="B449" s="177"/>
      <c r="C449" s="944"/>
      <c r="D449" s="321"/>
      <c r="E449" s="559" t="str">
        <f>IF('C-Design&amp;Const'!$S449="","",'C-Design&amp;Const'!$S449)</f>
        <v>N</v>
      </c>
      <c r="F449" s="560"/>
      <c r="G449" s="558"/>
      <c r="H449" s="410" t="str">
        <f>'04 - 95% CD'!H449</f>
        <v>Interior preservation drawings</v>
      </c>
      <c r="I449" s="186"/>
      <c r="J449" s="609" t="str">
        <f>IF('C-Design&amp;Const'!AJ449="","",'C-Design&amp;Const'!AJ449)</f>
        <v/>
      </c>
      <c r="K449" s="285" t="str">
        <f t="shared" si="42"/>
        <v>match</v>
      </c>
      <c r="L449" s="1410" t="str">
        <f t="shared" si="43"/>
        <v/>
      </c>
      <c r="M449" s="1382"/>
      <c r="N449" s="1382"/>
      <c r="O449" s="1382"/>
      <c r="P449" s="1382"/>
      <c r="Q449" s="1382"/>
      <c r="R449" s="1447"/>
      <c r="S449" s="1448"/>
      <c r="T449" s="1274"/>
      <c r="U449" s="1382"/>
      <c r="V449" s="1382"/>
      <c r="W449" s="1382"/>
      <c r="X449" s="1382"/>
      <c r="Y449" s="1382"/>
      <c r="Z449" s="1382"/>
      <c r="AA449" s="1382"/>
      <c r="AB449" s="1382"/>
      <c r="AC449" s="1382"/>
      <c r="AD449" s="1382"/>
      <c r="AE449" s="1382"/>
      <c r="AF449" s="1382"/>
      <c r="AG449" s="1382"/>
      <c r="AH449" s="1382"/>
      <c r="AI449" s="1382"/>
      <c r="AJ449" s="1382"/>
      <c r="AX449" s="30"/>
    </row>
    <row r="450" spans="1:50" s="181" customFormat="1" ht="15" hidden="1" customHeight="1" x14ac:dyDescent="0.25">
      <c r="A450" s="1407" t="str">
        <f>IF(COUNTIF('04 - 95% CD'!D450:G450,"Y")&gt;0,"Y",IF(COUNTIF('04 - 95% CD'!D450:G450,"N"),"N",""))</f>
        <v>N</v>
      </c>
      <c r="B450" s="177"/>
      <c r="C450" s="944"/>
      <c r="D450" s="321"/>
      <c r="E450" s="559" t="str">
        <f>IF('C-Design&amp;Const'!$S450="","",'C-Design&amp;Const'!$S450)</f>
        <v>N</v>
      </c>
      <c r="F450" s="560"/>
      <c r="G450" s="558"/>
      <c r="H450" s="410" t="str">
        <f>'04 - 95% CD'!H450</f>
        <v>Historic Illinois Building Survey</v>
      </c>
      <c r="I450" s="186"/>
      <c r="J450" s="609" t="str">
        <f>IF('C-Design&amp;Const'!AJ450="","",'C-Design&amp;Const'!AJ450)</f>
        <v/>
      </c>
      <c r="K450" s="285" t="str">
        <f t="shared" si="42"/>
        <v>match</v>
      </c>
      <c r="L450" s="1410" t="str">
        <f t="shared" si="43"/>
        <v/>
      </c>
      <c r="M450" s="1382"/>
      <c r="N450" s="1382"/>
      <c r="O450" s="1382"/>
      <c r="P450" s="1382"/>
      <c r="Q450" s="1382"/>
      <c r="R450" s="1447"/>
      <c r="S450" s="1448"/>
      <c r="T450" s="1274"/>
      <c r="U450" s="1382"/>
      <c r="V450" s="1382"/>
      <c r="W450" s="1382"/>
      <c r="X450" s="1382"/>
      <c r="Y450" s="1382"/>
      <c r="Z450" s="1382"/>
      <c r="AA450" s="1382"/>
      <c r="AB450" s="1382"/>
      <c r="AC450" s="1382"/>
      <c r="AD450" s="1382"/>
      <c r="AE450" s="1382"/>
      <c r="AF450" s="1382"/>
      <c r="AG450" s="1382"/>
      <c r="AH450" s="1382"/>
      <c r="AI450" s="1382"/>
      <c r="AJ450" s="1382"/>
      <c r="AX450" s="30"/>
    </row>
    <row r="451" spans="1:50" s="181" customFormat="1" ht="15" hidden="1" customHeight="1" x14ac:dyDescent="0.25">
      <c r="A451" s="1407" t="str">
        <f>IF(COUNTIF('04 - 95% CD'!D451:G451,"Y")&gt;0,"Y",IF(COUNTIF('04 - 95% CD'!D451:G451,"N"),"N",""))</f>
        <v>N</v>
      </c>
      <c r="B451" s="177"/>
      <c r="C451" s="944"/>
      <c r="D451" s="321"/>
      <c r="E451" s="559" t="str">
        <f>IF('C-Design&amp;Const'!$S451="","",'C-Design&amp;Const'!$S451)</f>
        <v>N</v>
      </c>
      <c r="F451" s="560"/>
      <c r="G451" s="558"/>
      <c r="H451" s="410" t="str">
        <f>'04 - 95% CD'!H451</f>
        <v>Historic Illinois Engineering Record</v>
      </c>
      <c r="I451" s="186"/>
      <c r="J451" s="609" t="str">
        <f>IF('C-Design&amp;Const'!AJ451="","",'C-Design&amp;Const'!AJ451)</f>
        <v/>
      </c>
      <c r="K451" s="285" t="str">
        <f t="shared" si="42"/>
        <v>match</v>
      </c>
      <c r="L451" s="1410" t="str">
        <f t="shared" si="43"/>
        <v/>
      </c>
      <c r="M451" s="1382"/>
      <c r="N451" s="1382"/>
      <c r="O451" s="1382"/>
      <c r="P451" s="1382"/>
      <c r="Q451" s="1382"/>
      <c r="R451" s="1447"/>
      <c r="S451" s="1448"/>
      <c r="T451" s="1274"/>
      <c r="U451" s="1382"/>
      <c r="V451" s="1382"/>
      <c r="W451" s="1382"/>
      <c r="X451" s="1382"/>
      <c r="Y451" s="1382"/>
      <c r="Z451" s="1382"/>
      <c r="AA451" s="1382"/>
      <c r="AB451" s="1382"/>
      <c r="AC451" s="1382"/>
      <c r="AD451" s="1382"/>
      <c r="AE451" s="1382"/>
      <c r="AF451" s="1382"/>
      <c r="AG451" s="1382"/>
      <c r="AH451" s="1382"/>
      <c r="AI451" s="1382"/>
      <c r="AJ451" s="1382"/>
      <c r="AX451" s="30"/>
    </row>
    <row r="452" spans="1:50" s="181" customFormat="1" ht="15" hidden="1" customHeight="1" x14ac:dyDescent="0.25">
      <c r="A452" s="1407" t="str">
        <f>IF(COUNTIF('04 - 95% CD'!D452:G452,"Y")&gt;0,"Y",IF(COUNTIF('04 - 95% CD'!D452:G452,"N"),"N",""))</f>
        <v>N</v>
      </c>
      <c r="B452" s="177"/>
      <c r="C452" s="944"/>
      <c r="D452" s="321"/>
      <c r="E452" s="559" t="str">
        <f>IF('C-Design&amp;Const'!$S452="","",'C-Design&amp;Const'!$S452)</f>
        <v>N</v>
      </c>
      <c r="F452" s="560"/>
      <c r="G452" s="558"/>
      <c r="H452" s="410" t="str">
        <f>'04 - 95% CD'!H452</f>
        <v>ISHPO item to be determined per project</v>
      </c>
      <c r="I452" s="186"/>
      <c r="J452" s="609" t="str">
        <f>IF('C-Design&amp;Const'!AJ452="","",'C-Design&amp;Const'!AJ452)</f>
        <v/>
      </c>
      <c r="K452" s="285" t="str">
        <f t="shared" si="42"/>
        <v>match</v>
      </c>
      <c r="L452" s="1410" t="str">
        <f t="shared" si="43"/>
        <v/>
      </c>
      <c r="M452" s="1382"/>
      <c r="N452" s="1382"/>
      <c r="O452" s="1382"/>
      <c r="P452" s="1382"/>
      <c r="Q452" s="1382"/>
      <c r="R452" s="1447"/>
      <c r="S452" s="1448"/>
      <c r="T452" s="1274"/>
      <c r="U452" s="1382"/>
      <c r="V452" s="1382"/>
      <c r="W452" s="1382"/>
      <c r="X452" s="1382"/>
      <c r="Y452" s="1382"/>
      <c r="Z452" s="1382"/>
      <c r="AA452" s="1382"/>
      <c r="AB452" s="1382"/>
      <c r="AC452" s="1382"/>
      <c r="AD452" s="1382"/>
      <c r="AE452" s="1382"/>
      <c r="AF452" s="1382"/>
      <c r="AG452" s="1382"/>
      <c r="AH452" s="1382"/>
      <c r="AI452" s="1382"/>
      <c r="AJ452" s="1382"/>
      <c r="AX452" s="30"/>
    </row>
    <row r="453" spans="1:50" s="181" customFormat="1" ht="15" hidden="1" customHeight="1" x14ac:dyDescent="0.25">
      <c r="A453" s="1407" t="str">
        <f>IF(COUNTIF('04 - 95% CD'!D453:G453,"Y")&gt;0,"Y",IF(COUNTIF('04 - 95% CD'!D453:G453,"N"),"N",""))</f>
        <v>N</v>
      </c>
      <c r="B453" s="177"/>
      <c r="C453" s="944"/>
      <c r="D453" s="321"/>
      <c r="E453" s="559" t="str">
        <f>IF('C-Design&amp;Const'!$S453="","",'C-Design&amp;Const'!$S453)</f>
        <v>N</v>
      </c>
      <c r="F453" s="560"/>
      <c r="G453" s="558"/>
      <c r="H453" s="410" t="str">
        <f>'04 - 95% CD'!H453</f>
        <v>ISHPO item to be determined per project</v>
      </c>
      <c r="I453" s="186"/>
      <c r="J453" s="609" t="str">
        <f>IF('C-Design&amp;Const'!AJ453="","",'C-Design&amp;Const'!AJ453)</f>
        <v/>
      </c>
      <c r="K453" s="285" t="str">
        <f t="shared" si="42"/>
        <v>match</v>
      </c>
      <c r="L453" s="1410" t="str">
        <f t="shared" si="43"/>
        <v/>
      </c>
      <c r="M453" s="1382"/>
      <c r="N453" s="1382"/>
      <c r="O453" s="1382"/>
      <c r="P453" s="1382"/>
      <c r="Q453" s="1382"/>
      <c r="R453" s="1447"/>
      <c r="S453" s="1448"/>
      <c r="T453" s="1274"/>
      <c r="U453" s="1382"/>
      <c r="V453" s="1382"/>
      <c r="W453" s="1382"/>
      <c r="X453" s="1382"/>
      <c r="Y453" s="1382"/>
      <c r="Z453" s="1382"/>
      <c r="AA453" s="1382"/>
      <c r="AB453" s="1382"/>
      <c r="AC453" s="1382"/>
      <c r="AD453" s="1382"/>
      <c r="AE453" s="1382"/>
      <c r="AF453" s="1382"/>
      <c r="AG453" s="1382"/>
      <c r="AH453" s="1382"/>
      <c r="AI453" s="1382"/>
      <c r="AJ453" s="1382"/>
      <c r="AX453" s="30"/>
    </row>
    <row r="454" spans="1:50" s="181" customFormat="1" ht="15" hidden="1" customHeight="1" x14ac:dyDescent="0.25">
      <c r="A454" s="1407" t="str">
        <f>IF(COUNTIF('04 - 95% CD'!D454:G454,"Y")&gt;0,"Y",IF(COUNTIF('04 - 95% CD'!D454:G454,"N"),"N",""))</f>
        <v>N</v>
      </c>
      <c r="B454" s="177"/>
      <c r="C454" s="944"/>
      <c r="D454" s="321"/>
      <c r="E454" s="559" t="str">
        <f>IF('C-Design&amp;Const'!$S454="","",'C-Design&amp;Const'!$S454)</f>
        <v>N</v>
      </c>
      <c r="F454" s="560"/>
      <c r="G454" s="558"/>
      <c r="H454" s="410" t="str">
        <f>'04 - 95% CD'!H454</f>
        <v>ISHPO item to be determined per project</v>
      </c>
      <c r="I454" s="186"/>
      <c r="J454" s="609" t="str">
        <f>IF('C-Design&amp;Const'!AJ454="","",'C-Design&amp;Const'!AJ454)</f>
        <v/>
      </c>
      <c r="K454" s="285" t="str">
        <f t="shared" si="42"/>
        <v>match</v>
      </c>
      <c r="L454" s="1410" t="str">
        <f t="shared" si="43"/>
        <v/>
      </c>
      <c r="M454" s="1382"/>
      <c r="N454" s="1382"/>
      <c r="O454" s="1382"/>
      <c r="P454" s="1382"/>
      <c r="Q454" s="1382"/>
      <c r="R454" s="1447"/>
      <c r="S454" s="1448"/>
      <c r="T454" s="1274"/>
      <c r="U454" s="1382"/>
      <c r="V454" s="1382"/>
      <c r="W454" s="1382"/>
      <c r="X454" s="1382"/>
      <c r="Y454" s="1382"/>
      <c r="Z454" s="1382"/>
      <c r="AA454" s="1382"/>
      <c r="AB454" s="1382"/>
      <c r="AC454" s="1382"/>
      <c r="AD454" s="1382"/>
      <c r="AE454" s="1382"/>
      <c r="AF454" s="1382"/>
      <c r="AG454" s="1382"/>
      <c r="AH454" s="1382"/>
      <c r="AI454" s="1382"/>
      <c r="AJ454" s="1382"/>
      <c r="AX454" s="30"/>
    </row>
    <row r="455" spans="1:50" s="181" customFormat="1" ht="16.5" customHeight="1" x14ac:dyDescent="0.25">
      <c r="A455" s="1407" t="s">
        <v>208</v>
      </c>
      <c r="B455" s="177"/>
      <c r="C455" s="944"/>
      <c r="D455" s="499"/>
      <c r="E455" s="520"/>
      <c r="F455" s="538"/>
      <c r="G455" s="527"/>
      <c r="H455" s="528"/>
      <c r="I455" s="186"/>
      <c r="J455" s="609" t="str">
        <f>IF('C-Design&amp;Const'!AJ455="","",'C-Design&amp;Const'!AJ455)</f>
        <v/>
      </c>
      <c r="K455" s="285" t="s">
        <v>359</v>
      </c>
      <c r="L455" s="1410" t="str">
        <f t="shared" si="43"/>
        <v/>
      </c>
      <c r="M455" s="1382"/>
      <c r="N455" s="1382"/>
      <c r="O455" s="1382"/>
      <c r="P455" s="1382"/>
      <c r="Q455" s="1382"/>
      <c r="R455" s="1447"/>
      <c r="S455" s="1448"/>
      <c r="T455" s="1274"/>
      <c r="U455" s="1382"/>
      <c r="V455" s="1382"/>
      <c r="W455" s="1382"/>
      <c r="X455" s="1382"/>
      <c r="Y455" s="1382"/>
      <c r="Z455" s="1382"/>
      <c r="AA455" s="1382"/>
      <c r="AB455" s="1382"/>
      <c r="AC455" s="1382"/>
      <c r="AD455" s="1382"/>
      <c r="AE455" s="1382"/>
      <c r="AF455" s="1382"/>
      <c r="AG455" s="1382"/>
      <c r="AH455" s="1382"/>
      <c r="AI455" s="1382"/>
      <c r="AJ455" s="1382"/>
      <c r="AX455" s="30"/>
    </row>
    <row r="456" spans="1:50" s="181" customFormat="1" ht="15" hidden="1" customHeight="1" x14ac:dyDescent="0.25">
      <c r="A456" s="1407" t="str">
        <f>IF(COUNTIF('04 - 95% CD'!D455:G455,"Y")&gt;0,"Y",IF(COUNTIF('04 - 95% CD'!D455:G455,"N"),"N",""))</f>
        <v/>
      </c>
      <c r="B456" s="177"/>
      <c r="C456" s="944"/>
      <c r="D456" s="499"/>
      <c r="E456" s="539"/>
      <c r="F456" s="539"/>
      <c r="G456" s="292"/>
      <c r="H456" s="293"/>
      <c r="I456" s="184"/>
      <c r="J456" s="181" t="str">
        <f>IF('C-Design&amp;Const'!AJ456="","",'C-Design&amp;Const'!AJ456)</f>
        <v/>
      </c>
      <c r="K456" s="285" t="str">
        <f t="shared" ref="K456" si="44">IF((COUNTIF(D456:F456,"Y")=COUNTIF(A456,"Y")),"match","no 95% match")</f>
        <v>match</v>
      </c>
      <c r="L456" s="1410" t="str">
        <f t="shared" si="43"/>
        <v/>
      </c>
      <c r="M456" s="1382"/>
      <c r="N456" s="1382"/>
      <c r="O456" s="1382"/>
      <c r="P456" s="1382"/>
      <c r="Q456" s="1382"/>
      <c r="R456" s="1447"/>
      <c r="S456" s="1448"/>
      <c r="T456" s="1274"/>
      <c r="U456" s="1382"/>
      <c r="V456" s="1382"/>
      <c r="W456" s="1382"/>
      <c r="X456" s="1382"/>
      <c r="Y456" s="1382"/>
      <c r="Z456" s="1382"/>
      <c r="AA456" s="1382"/>
      <c r="AB456" s="1382"/>
      <c r="AC456" s="1382"/>
      <c r="AD456" s="1382"/>
      <c r="AE456" s="1382"/>
      <c r="AF456" s="1382"/>
      <c r="AG456" s="1382"/>
      <c r="AH456" s="1382"/>
      <c r="AI456" s="1382"/>
      <c r="AJ456" s="1382"/>
      <c r="AX456" s="30"/>
    </row>
    <row r="457" spans="1:50" ht="21" hidden="1" x14ac:dyDescent="0.25">
      <c r="A457" s="190" t="str">
        <f>IF(COUNTIF('04 - 95% CD'!D456:G456,"Y")&gt;0,"Y",IF(COUNTIF('04 - 95% CD'!D456:G456,"N"),"N",""))</f>
        <v/>
      </c>
      <c r="B457" s="125"/>
      <c r="C457" s="944"/>
      <c r="D457" s="1668" t="s">
        <v>228</v>
      </c>
      <c r="E457" s="321"/>
      <c r="F457" s="321"/>
      <c r="G457" s="294"/>
      <c r="H457" s="1668"/>
      <c r="I457" s="267"/>
      <c r="J457" s="17" t="str">
        <f>IF('C-Design&amp;Const'!AJ457="","",'C-Design&amp;Const'!AJ457)</f>
        <v/>
      </c>
      <c r="K457" s="2321" t="s">
        <v>262</v>
      </c>
      <c r="L457" s="1410" t="str">
        <f t="shared" si="43"/>
        <v/>
      </c>
      <c r="M457" s="1333"/>
      <c r="N457" s="1333"/>
      <c r="O457" s="1333"/>
      <c r="P457" s="1333"/>
      <c r="Q457" s="1333"/>
      <c r="R457" s="1453"/>
      <c r="S457" s="1364"/>
      <c r="T457" s="1284"/>
      <c r="U457" s="1333"/>
      <c r="V457" s="1333"/>
      <c r="W457" s="1333"/>
      <c r="X457" s="1333"/>
      <c r="Y457" s="1333"/>
      <c r="Z457" s="1333"/>
      <c r="AA457" s="1333"/>
      <c r="AB457" s="1333"/>
      <c r="AC457" s="1333"/>
      <c r="AD457" s="1333"/>
      <c r="AE457" s="1333"/>
      <c r="AF457" s="1333"/>
      <c r="AG457" s="1333"/>
      <c r="AH457" s="1333"/>
      <c r="AI457" s="1333"/>
      <c r="AJ457" s="1333"/>
    </row>
    <row r="458" spans="1:50" ht="15.75" hidden="1" x14ac:dyDescent="0.25">
      <c r="A458" s="190" t="str">
        <f>IF(COUNTIF('04 - 95% CD'!D457:G457,"Y")&gt;0,"Y",IF(COUNTIF('04 - 95% CD'!D457:G457,"N"),"N",""))</f>
        <v/>
      </c>
      <c r="B458" s="125"/>
      <c r="C458" s="944"/>
      <c r="D458" s="295"/>
      <c r="E458" s="321"/>
      <c r="F458" s="321"/>
      <c r="G458" s="294"/>
      <c r="H458" s="295"/>
      <c r="I458" s="266"/>
      <c r="J458" s="17" t="str">
        <f>IF('C-Design&amp;Const'!AJ458="","",'C-Design&amp;Const'!AJ458)</f>
        <v/>
      </c>
      <c r="K458" s="2322"/>
      <c r="L458" s="1410" t="str">
        <f t="shared" si="43"/>
        <v/>
      </c>
      <c r="M458" s="1333"/>
      <c r="N458" s="1333"/>
      <c r="O458" s="1333"/>
      <c r="P458" s="1333"/>
      <c r="Q458" s="1333"/>
      <c r="R458" s="1453"/>
      <c r="S458" s="1364"/>
      <c r="T458" s="1284"/>
      <c r="U458" s="1333"/>
      <c r="V458" s="1333"/>
      <c r="W458" s="1333"/>
      <c r="X458" s="1333"/>
      <c r="Y458" s="1333"/>
      <c r="Z458" s="1333"/>
      <c r="AA458" s="1333"/>
      <c r="AB458" s="1333"/>
      <c r="AC458" s="1333"/>
      <c r="AD458" s="1333"/>
      <c r="AE458" s="1333"/>
      <c r="AF458" s="1333"/>
      <c r="AG458" s="1333"/>
      <c r="AH458" s="1333"/>
      <c r="AI458" s="1333"/>
      <c r="AJ458" s="1333"/>
    </row>
    <row r="459" spans="1:50" ht="18.75" hidden="1" x14ac:dyDescent="0.25">
      <c r="A459" s="190" t="str">
        <f>IF(COUNTIF('04 - 95% CD'!D458:G458,"Y")&gt;0,"Y",IF(COUNTIF('04 - 95% CD'!D458:G458,"N"),"N",""))</f>
        <v/>
      </c>
      <c r="B459" s="125"/>
      <c r="C459" s="944"/>
      <c r="D459" s="559" t="str">
        <f>IF('C-Design&amp;Const'!$S459="","",'C-Design&amp;Const'!$S459)</f>
        <v>N</v>
      </c>
      <c r="E459" s="234"/>
      <c r="F459" s="235"/>
      <c r="G459" s="291" t="s">
        <v>149</v>
      </c>
      <c r="H459" s="290" t="str">
        <f>CONCATENATE('C-Design&amp;Const'!Z459,IF(D459="N"," Not Used In This Construction Phase",""))</f>
        <v>Log of Plan Holders Not Used In This Construction Phase</v>
      </c>
      <c r="I459" s="262"/>
      <c r="J459" s="17" t="str">
        <f>IF('C-Design&amp;Const'!AJ459="","",'C-Design&amp;Const'!AJ459)</f>
        <v/>
      </c>
      <c r="K459" s="2322"/>
      <c r="L459" s="1410" t="str">
        <f t="shared" si="43"/>
        <v/>
      </c>
      <c r="M459" s="1333"/>
      <c r="N459" s="1333"/>
      <c r="O459" s="1333"/>
      <c r="P459" s="1333"/>
      <c r="Q459" s="1333"/>
      <c r="R459" s="1453"/>
      <c r="S459" s="1364"/>
      <c r="T459" s="1284"/>
      <c r="U459" s="1333"/>
      <c r="V459" s="1333"/>
      <c r="W459" s="1333"/>
      <c r="X459" s="1333"/>
      <c r="Y459" s="1333"/>
      <c r="Z459" s="1333"/>
      <c r="AA459" s="1333"/>
      <c r="AB459" s="1333"/>
      <c r="AC459" s="1333"/>
      <c r="AD459" s="1333"/>
      <c r="AE459" s="1333"/>
      <c r="AF459" s="1333"/>
      <c r="AG459" s="1333"/>
      <c r="AH459" s="1333"/>
      <c r="AI459" s="1333"/>
      <c r="AJ459" s="1333"/>
    </row>
    <row r="460" spans="1:50" s="181" customFormat="1" ht="14.25" hidden="1" customHeight="1" x14ac:dyDescent="0.25">
      <c r="A460" s="176" t="str">
        <f>IF(COUNTIF('04 - 95% CD'!D459:G459,"Y")&gt;0,"Y",IF(COUNTIF('04 - 95% CD'!D459:G459,"N"),"N",""))</f>
        <v/>
      </c>
      <c r="B460" s="177"/>
      <c r="C460" s="944"/>
      <c r="D460" s="499"/>
      <c r="E460" s="539"/>
      <c r="F460" s="539"/>
      <c r="G460" s="292"/>
      <c r="H460" s="293"/>
      <c r="I460" s="184"/>
      <c r="J460" s="181" t="str">
        <f>IF('C-Design&amp;Const'!AJ460="","",'C-Design&amp;Const'!AJ460)</f>
        <v/>
      </c>
      <c r="K460" s="2322"/>
      <c r="L460" s="1410" t="str">
        <f t="shared" si="43"/>
        <v/>
      </c>
      <c r="M460" s="1382"/>
      <c r="N460" s="1382"/>
      <c r="O460" s="1382"/>
      <c r="P460" s="1382"/>
      <c r="Q460" s="1382"/>
      <c r="R460" s="1447"/>
      <c r="S460" s="1448"/>
      <c r="T460" s="1274"/>
      <c r="U460" s="1382"/>
      <c r="V460" s="1382"/>
      <c r="W460" s="1382"/>
      <c r="X460" s="1382"/>
      <c r="Y460" s="1382"/>
      <c r="Z460" s="1382"/>
      <c r="AA460" s="1382"/>
      <c r="AB460" s="1382"/>
      <c r="AC460" s="1382"/>
      <c r="AD460" s="1382"/>
      <c r="AE460" s="1382"/>
      <c r="AF460" s="1382"/>
      <c r="AG460" s="1382"/>
      <c r="AH460" s="1382"/>
      <c r="AI460" s="1382"/>
      <c r="AJ460" s="1382"/>
      <c r="AX460" s="30"/>
    </row>
    <row r="461" spans="1:50" ht="14.25" hidden="1" customHeight="1" x14ac:dyDescent="0.25">
      <c r="A461" s="190" t="str">
        <f>IF(COUNTIF('04 - 95% CD'!D460:G460,"Y")&gt;0,"Y",IF(COUNTIF('04 - 95% CD'!D460:G460,"N"),"N",""))</f>
        <v/>
      </c>
      <c r="B461" s="125"/>
      <c r="C461" s="944"/>
      <c r="D461" s="559" t="str">
        <f>IF('C-Design&amp;Const'!$S461="","",'C-Design&amp;Const'!$S461)</f>
        <v>N</v>
      </c>
      <c r="E461" s="234"/>
      <c r="F461" s="235"/>
      <c r="G461" s="291" t="s">
        <v>150</v>
      </c>
      <c r="H461" s="290" t="str">
        <f>CONCATENATE('C-Design&amp;Const'!Z461,IF(D461="N"," Not Used In This Construction Phase",""))</f>
        <v>Addenda to Project Manual and Drawings Not Used In This Construction Phase</v>
      </c>
      <c r="I461" s="262"/>
      <c r="J461" s="17" t="str">
        <f>IF('C-Design&amp;Const'!AJ461="","",'C-Design&amp;Const'!AJ461)</f>
        <v/>
      </c>
      <c r="K461" s="2322"/>
      <c r="L461" s="1410" t="str">
        <f t="shared" si="43"/>
        <v/>
      </c>
      <c r="M461" s="1333"/>
      <c r="N461" s="1333"/>
      <c r="O461" s="1333"/>
      <c r="P461" s="1333"/>
      <c r="Q461" s="1333"/>
      <c r="R461" s="1453"/>
      <c r="S461" s="1364"/>
      <c r="T461" s="1284"/>
      <c r="U461" s="1333"/>
      <c r="V461" s="1333"/>
      <c r="W461" s="1333"/>
      <c r="X461" s="1333"/>
      <c r="Y461" s="1333"/>
      <c r="Z461" s="1333"/>
      <c r="AA461" s="1333"/>
      <c r="AB461" s="1333"/>
      <c r="AC461" s="1333"/>
      <c r="AD461" s="1333"/>
      <c r="AE461" s="1333"/>
      <c r="AF461" s="1333"/>
      <c r="AG461" s="1333"/>
      <c r="AH461" s="1333"/>
      <c r="AI461" s="1333"/>
      <c r="AJ461" s="1333"/>
    </row>
    <row r="462" spans="1:50" s="181" customFormat="1" ht="14.25" hidden="1" customHeight="1" x14ac:dyDescent="0.25">
      <c r="A462" s="176" t="str">
        <f>IF(COUNTIF('04 - 95% CD'!D461:G461,"Y")&gt;0,"Y",IF(COUNTIF('04 - 95% CD'!D461:G461,"N"),"N",""))</f>
        <v/>
      </c>
      <c r="B462" s="177"/>
      <c r="C462" s="944"/>
      <c r="D462" s="499"/>
      <c r="E462" s="539"/>
      <c r="F462" s="539"/>
      <c r="G462" s="292"/>
      <c r="H462" s="293"/>
      <c r="I462" s="184"/>
      <c r="J462" s="181" t="str">
        <f>IF('C-Design&amp;Const'!AJ462="","",'C-Design&amp;Const'!AJ462)</f>
        <v/>
      </c>
      <c r="K462" s="2322"/>
      <c r="L462" s="1410" t="str">
        <f t="shared" si="43"/>
        <v/>
      </c>
      <c r="M462" s="1382"/>
      <c r="N462" s="1382"/>
      <c r="O462" s="1382"/>
      <c r="P462" s="1382"/>
      <c r="Q462" s="1382"/>
      <c r="R462" s="1447"/>
      <c r="S462" s="1448"/>
      <c r="T462" s="1274"/>
      <c r="U462" s="1382"/>
      <c r="V462" s="1382"/>
      <c r="W462" s="1382"/>
      <c r="X462" s="1382"/>
      <c r="Y462" s="1382"/>
      <c r="Z462" s="1382"/>
      <c r="AA462" s="1382"/>
      <c r="AB462" s="1382"/>
      <c r="AC462" s="1382"/>
      <c r="AD462" s="1382"/>
      <c r="AE462" s="1382"/>
      <c r="AF462" s="1382"/>
      <c r="AG462" s="1382"/>
      <c r="AH462" s="1382"/>
      <c r="AI462" s="1382"/>
      <c r="AJ462" s="1382"/>
      <c r="AX462" s="30"/>
    </row>
    <row r="463" spans="1:50" ht="18.75" hidden="1" x14ac:dyDescent="0.25">
      <c r="A463" s="190" t="str">
        <f>IF(COUNTIF('04 - 95% CD'!D462:G462,"Y")&gt;0,"Y",IF(COUNTIF('04 - 95% CD'!D462:G462,"N"),"N",""))</f>
        <v/>
      </c>
      <c r="B463" s="125"/>
      <c r="C463" s="944"/>
      <c r="D463" s="559" t="str">
        <f>IF('C-Design&amp;Const'!$S463="","",'C-Design&amp;Const'!$S463)</f>
        <v>N</v>
      </c>
      <c r="E463" s="234"/>
      <c r="F463" s="235"/>
      <c r="G463" s="291" t="s">
        <v>151</v>
      </c>
      <c r="H463" s="290" t="str">
        <f>CONCATENATE('C-Design&amp;Const'!Z463,IF(D463="N"," Not Used In This Construction Phase",""))</f>
        <v>PreBid Meeting Not Used In This Construction Phase</v>
      </c>
      <c r="I463" s="262"/>
      <c r="J463" s="17" t="str">
        <f>IF('C-Design&amp;Const'!AJ463="","",'C-Design&amp;Const'!AJ463)</f>
        <v/>
      </c>
      <c r="K463" s="2322"/>
      <c r="L463" s="1410" t="str">
        <f t="shared" si="43"/>
        <v/>
      </c>
      <c r="M463" s="1333"/>
      <c r="N463" s="1333"/>
      <c r="O463" s="1333"/>
      <c r="P463" s="1333"/>
      <c r="Q463" s="1333"/>
      <c r="R463" s="1453"/>
      <c r="S463" s="1364"/>
      <c r="T463" s="1284"/>
      <c r="U463" s="1333"/>
      <c r="V463" s="1333"/>
      <c r="W463" s="1333"/>
      <c r="X463" s="1333"/>
      <c r="Y463" s="1333"/>
      <c r="Z463" s="1333"/>
      <c r="AA463" s="1333"/>
      <c r="AB463" s="1333"/>
      <c r="AC463" s="1333"/>
      <c r="AD463" s="1333"/>
      <c r="AE463" s="1333"/>
      <c r="AF463" s="1333"/>
      <c r="AG463" s="1333"/>
      <c r="AH463" s="1333"/>
      <c r="AI463" s="1333"/>
      <c r="AJ463" s="1333"/>
    </row>
    <row r="464" spans="1:50" s="181" customFormat="1" ht="14.25" hidden="1" customHeight="1" x14ac:dyDescent="0.25">
      <c r="A464" s="176" t="str">
        <f>IF(COUNTIF('04 - 95% CD'!D463:G463,"Y")&gt;0,"Y",IF(COUNTIF('04 - 95% CD'!D463:G463,"N"),"N",""))</f>
        <v/>
      </c>
      <c r="B464" s="177"/>
      <c r="C464" s="944"/>
      <c r="D464" s="321"/>
      <c r="E464" s="559" t="str">
        <f>IF('C-Design&amp;Const'!$S464="","",'C-Design&amp;Const'!$S464)</f>
        <v>N</v>
      </c>
      <c r="F464" s="560"/>
      <c r="G464" s="558"/>
      <c r="H464" s="238" t="str">
        <f>CONCATENATE(IF(ISNUMBER(SEARCH("Placeholder",'C-Design&amp;Const'!Z464))=TRUE,"",IF(E464="N","PLACEHOLDER ROW - ","")),'C-Design&amp;Const'!Z464,IF(E464="N","",J464))</f>
        <v>PLACEHOLDER ROW - Agenda</v>
      </c>
      <c r="I464" s="186"/>
      <c r="J464" s="181" t="str">
        <f>IF('C-Design&amp;Const'!AJ464="","",'C-Design&amp;Const'!AJ464)</f>
        <v/>
      </c>
      <c r="K464" s="2322"/>
      <c r="L464" s="1410" t="str">
        <f t="shared" si="43"/>
        <v>&lt;---PM/Planner may hide PLACEHOLDER ROW</v>
      </c>
      <c r="M464" s="1382"/>
      <c r="N464" s="1382"/>
      <c r="O464" s="1382"/>
      <c r="P464" s="1382"/>
      <c r="Q464" s="1382"/>
      <c r="R464" s="1447"/>
      <c r="S464" s="1448"/>
      <c r="T464" s="1274"/>
      <c r="U464" s="1382"/>
      <c r="V464" s="1382"/>
      <c r="W464" s="1382"/>
      <c r="X464" s="1382"/>
      <c r="Y464" s="1382"/>
      <c r="Z464" s="1382"/>
      <c r="AA464" s="1382"/>
      <c r="AB464" s="1382"/>
      <c r="AC464" s="1382"/>
      <c r="AD464" s="1382"/>
      <c r="AE464" s="1382"/>
      <c r="AF464" s="1382"/>
      <c r="AG464" s="1382"/>
      <c r="AH464" s="1382"/>
      <c r="AI464" s="1382"/>
      <c r="AJ464" s="1382"/>
      <c r="AX464" s="30"/>
    </row>
    <row r="465" spans="1:50" s="181" customFormat="1" ht="14.25" hidden="1" customHeight="1" x14ac:dyDescent="0.25">
      <c r="A465" s="176" t="str">
        <f>IF(COUNTIF('04 - 95% CD'!D464:G464,"Y")&gt;0,"Y",IF(COUNTIF('04 - 95% CD'!D464:G464,"N"),"N",""))</f>
        <v/>
      </c>
      <c r="B465" s="177"/>
      <c r="C465" s="944"/>
      <c r="D465" s="321"/>
      <c r="E465" s="559" t="str">
        <f>IF('C-Design&amp;Const'!$S465="","",'C-Design&amp;Const'!$S465)</f>
        <v>N</v>
      </c>
      <c r="F465" s="560"/>
      <c r="G465" s="558"/>
      <c r="H465" s="238" t="str">
        <f>CONCATENATE(IF(ISNUMBER(SEARCH("Placeholder",'C-Design&amp;Const'!Z465))=TRUE,"",IF(E465="N","PLACEHOLDER ROW - ","")),'C-Design&amp;Const'!Z465,IF(E465="N","",J465))</f>
        <v>PLACEHOLDER ROW - Sign In</v>
      </c>
      <c r="I465" s="186"/>
      <c r="J465" s="181" t="str">
        <f>IF('C-Design&amp;Const'!AJ465="","",'C-Design&amp;Const'!AJ465)</f>
        <v/>
      </c>
      <c r="K465" s="2322"/>
      <c r="L465" s="1410" t="str">
        <f t="shared" ref="L465:L531" si="45">CONCATENATE(IF(ISNUMBER(SEARCH("Placeholder",H465))=TRUE,"&lt;---PM/Planner may hide PLACEHOLDER ROW",""))</f>
        <v>&lt;---PM/Planner may hide PLACEHOLDER ROW</v>
      </c>
      <c r="M465" s="1382"/>
      <c r="N465" s="1382"/>
      <c r="O465" s="1382"/>
      <c r="P465" s="1382"/>
      <c r="Q465" s="1382"/>
      <c r="R465" s="1447"/>
      <c r="S465" s="1448"/>
      <c r="T465" s="1274"/>
      <c r="U465" s="1382"/>
      <c r="V465" s="1382"/>
      <c r="W465" s="1382"/>
      <c r="X465" s="1382"/>
      <c r="Y465" s="1382"/>
      <c r="Z465" s="1382"/>
      <c r="AA465" s="1382"/>
      <c r="AB465" s="1382"/>
      <c r="AC465" s="1382"/>
      <c r="AD465" s="1382"/>
      <c r="AE465" s="1382"/>
      <c r="AF465" s="1382"/>
      <c r="AG465" s="1382"/>
      <c r="AH465" s="1382"/>
      <c r="AI465" s="1382"/>
      <c r="AJ465" s="1382"/>
      <c r="AX465" s="30"/>
    </row>
    <row r="466" spans="1:50" s="181" customFormat="1" ht="14.25" hidden="1" customHeight="1" x14ac:dyDescent="0.25">
      <c r="A466" s="176" t="str">
        <f>IF(COUNTIF('04 - 95% CD'!D465:G465,"Y")&gt;0,"Y",IF(COUNTIF('04 - 95% CD'!D465:G465,"N"),"N",""))</f>
        <v/>
      </c>
      <c r="B466" s="177"/>
      <c r="C466" s="944"/>
      <c r="D466" s="321"/>
      <c r="E466" s="559" t="str">
        <f>IF('C-Design&amp;Const'!$S466="","",'C-Design&amp;Const'!$S466)</f>
        <v>N</v>
      </c>
      <c r="F466" s="560"/>
      <c r="G466" s="558"/>
      <c r="H466" s="238" t="str">
        <f>CONCATENATE(IF(ISNUMBER(SEARCH("Placeholder",'C-Design&amp;Const'!Z466))=TRUE,"",IF(E466="N","PLACEHOLDER ROW - ","")),'C-Design&amp;Const'!Z466,IF(E466="N","",J466))</f>
        <v>PLACEHOLDER ROW - Meeting Minutes</v>
      </c>
      <c r="I466" s="186"/>
      <c r="J466" s="181" t="str">
        <f>IF('C-Design&amp;Const'!AJ466="","",'C-Design&amp;Const'!AJ466)</f>
        <v/>
      </c>
      <c r="K466" s="2322"/>
      <c r="L466" s="1410" t="str">
        <f t="shared" si="45"/>
        <v>&lt;---PM/Planner may hide PLACEHOLDER ROW</v>
      </c>
      <c r="M466" s="1382"/>
      <c r="N466" s="1382"/>
      <c r="O466" s="1382"/>
      <c r="P466" s="1382"/>
      <c r="Q466" s="1382"/>
      <c r="R466" s="1447"/>
      <c r="S466" s="1448"/>
      <c r="T466" s="1274"/>
      <c r="U466" s="1382"/>
      <c r="V466" s="1382"/>
      <c r="W466" s="1382"/>
      <c r="X466" s="1382"/>
      <c r="Y466" s="1382"/>
      <c r="Z466" s="1382"/>
      <c r="AA466" s="1382"/>
      <c r="AB466" s="1382"/>
      <c r="AC466" s="1382"/>
      <c r="AD466" s="1382"/>
      <c r="AE466" s="1382"/>
      <c r="AF466" s="1382"/>
      <c r="AG466" s="1382"/>
      <c r="AH466" s="1382"/>
      <c r="AI466" s="1382"/>
      <c r="AJ466" s="1382"/>
      <c r="AX466" s="30"/>
    </row>
    <row r="467" spans="1:50" s="181" customFormat="1" ht="14.25" hidden="1" customHeight="1" x14ac:dyDescent="0.25">
      <c r="A467" s="176" t="str">
        <f>IF(COUNTIF('04 - 95% CD'!D466:G466,"Y")&gt;0,"Y",IF(COUNTIF('04 - 95% CD'!D466:G466,"N"),"N",""))</f>
        <v/>
      </c>
      <c r="B467" s="177"/>
      <c r="C467" s="944"/>
      <c r="D467" s="499"/>
      <c r="E467" s="539"/>
      <c r="F467" s="539"/>
      <c r="G467" s="292"/>
      <c r="H467" s="293"/>
      <c r="I467" s="184"/>
      <c r="J467" s="181" t="str">
        <f>IF('C-Design&amp;Const'!AJ467="","",'C-Design&amp;Const'!AJ467)</f>
        <v/>
      </c>
      <c r="K467" s="2322"/>
      <c r="L467" s="1410" t="str">
        <f t="shared" si="45"/>
        <v/>
      </c>
      <c r="M467" s="1382"/>
      <c r="N467" s="1382"/>
      <c r="O467" s="1382"/>
      <c r="P467" s="1382"/>
      <c r="Q467" s="1382"/>
      <c r="R467" s="1447"/>
      <c r="S467" s="1448"/>
      <c r="T467" s="1274"/>
      <c r="U467" s="1382"/>
      <c r="V467" s="1382"/>
      <c r="W467" s="1382"/>
      <c r="X467" s="1382"/>
      <c r="Y467" s="1382"/>
      <c r="Z467" s="1382"/>
      <c r="AA467" s="1382"/>
      <c r="AB467" s="1382"/>
      <c r="AC467" s="1382"/>
      <c r="AD467" s="1382"/>
      <c r="AE467" s="1382"/>
      <c r="AF467" s="1382"/>
      <c r="AG467" s="1382"/>
      <c r="AH467" s="1382"/>
      <c r="AI467" s="1382"/>
      <c r="AJ467" s="1382"/>
      <c r="AX467" s="30"/>
    </row>
    <row r="468" spans="1:50" ht="14.25" hidden="1" customHeight="1" x14ac:dyDescent="0.25">
      <c r="A468" s="190" t="str">
        <f>IF(COUNTIF('04 - 95% CD'!D467:G467,"Y")&gt;0,"Y",IF(COUNTIF('04 - 95% CD'!D467:G467,"N"),"N",""))</f>
        <v/>
      </c>
      <c r="B468" s="125"/>
      <c r="C468" s="944"/>
      <c r="D468" s="559" t="str">
        <f>IF('C-Design&amp;Const'!$S468="","",'C-Design&amp;Const'!$S468)</f>
        <v>N</v>
      </c>
      <c r="E468" s="234"/>
      <c r="F468" s="235"/>
      <c r="G468" s="291" t="s">
        <v>205</v>
      </c>
      <c r="H468" s="290" t="str">
        <f>CONCATENATE('C-Design&amp;Const'!Z468,IF(D468="N"," Not Used In This Construction Phase",""))</f>
        <v>Written Analysis of Award of Construction Contract Not Used In This Construction Phase</v>
      </c>
      <c r="I468" s="262"/>
      <c r="J468" s="17" t="str">
        <f>IF('C-Design&amp;Const'!AJ468="","",'C-Design&amp;Const'!AJ468)</f>
        <v/>
      </c>
      <c r="K468" s="2322"/>
      <c r="L468" s="1410" t="str">
        <f t="shared" si="45"/>
        <v/>
      </c>
      <c r="M468" s="1333"/>
      <c r="N468" s="1333"/>
      <c r="O468" s="1333"/>
      <c r="P468" s="1333"/>
      <c r="Q468" s="1333"/>
      <c r="R468" s="1453"/>
      <c r="S468" s="1364"/>
      <c r="T468" s="1284"/>
      <c r="U468" s="1333"/>
      <c r="V468" s="1333"/>
      <c r="W468" s="1333"/>
      <c r="X468" s="1333"/>
      <c r="Y468" s="1333"/>
      <c r="Z468" s="1333"/>
      <c r="AA468" s="1333"/>
      <c r="AB468" s="1333"/>
      <c r="AC468" s="1333"/>
      <c r="AD468" s="1333"/>
      <c r="AE468" s="1333"/>
      <c r="AF468" s="1333"/>
      <c r="AG468" s="1333"/>
      <c r="AH468" s="1333"/>
      <c r="AI468" s="1333"/>
      <c r="AJ468" s="1333"/>
    </row>
    <row r="469" spans="1:50" ht="18.75" hidden="1" x14ac:dyDescent="0.25">
      <c r="A469" s="190" t="str">
        <f>IF(COUNTIF('04 - 95% CD'!D468:G468,"Y")&gt;0,"Y",IF(COUNTIF('04 - 95% CD'!D468:G468,"N"),"N",""))</f>
        <v/>
      </c>
      <c r="B469" s="125"/>
      <c r="C469" s="944"/>
      <c r="D469" s="499"/>
      <c r="E469" s="539"/>
      <c r="F469" s="539"/>
      <c r="G469" s="292"/>
      <c r="H469" s="293"/>
      <c r="I469" s="263"/>
      <c r="J469" s="17" t="str">
        <f>IF('C-Design&amp;Const'!AJ469="","",'C-Design&amp;Const'!AJ469)</f>
        <v/>
      </c>
      <c r="K469" s="2323"/>
      <c r="L469" s="1410" t="str">
        <f t="shared" si="45"/>
        <v/>
      </c>
      <c r="M469" s="1333"/>
      <c r="N469" s="1333"/>
      <c r="O469" s="1333"/>
      <c r="P469" s="1333"/>
      <c r="Q469" s="1333"/>
      <c r="R469" s="1453"/>
      <c r="S469" s="1364"/>
      <c r="T469" s="1284"/>
      <c r="U469" s="1333"/>
      <c r="V469" s="1333"/>
      <c r="W469" s="1333"/>
      <c r="X469" s="1333"/>
      <c r="Y469" s="1333"/>
      <c r="Z469" s="1333"/>
      <c r="AA469" s="1333"/>
      <c r="AB469" s="1333"/>
      <c r="AC469" s="1333"/>
      <c r="AD469" s="1333"/>
      <c r="AE469" s="1333"/>
      <c r="AF469" s="1333"/>
      <c r="AG469" s="1333"/>
      <c r="AH469" s="1333"/>
      <c r="AI469" s="1333"/>
      <c r="AJ469" s="1333"/>
    </row>
    <row r="470" spans="1:50" ht="21" x14ac:dyDescent="0.25">
      <c r="A470" s="2326" t="s">
        <v>779</v>
      </c>
      <c r="B470" s="125"/>
      <c r="C470" s="955"/>
      <c r="D470" s="312" t="s">
        <v>313</v>
      </c>
      <c r="E470" s="807"/>
      <c r="F470" s="807"/>
      <c r="G470" s="1034"/>
      <c r="H470" s="531"/>
      <c r="I470" s="267"/>
      <c r="J470" s="17" t="str">
        <f>IF('C-Design&amp;Const'!AJ470="","",'C-Design&amp;Const'!AJ470)</f>
        <v/>
      </c>
      <c r="L470" s="1410" t="str">
        <f t="shared" si="45"/>
        <v/>
      </c>
      <c r="M470" s="1333"/>
      <c r="N470" s="1333"/>
      <c r="O470" s="1333"/>
      <c r="P470" s="1333"/>
      <c r="Q470" s="1333"/>
      <c r="R470" s="1453"/>
      <c r="S470" s="1364"/>
      <c r="T470" s="1284"/>
      <c r="U470" s="1333"/>
      <c r="V470" s="1333"/>
      <c r="W470" s="1333"/>
      <c r="X470" s="1333"/>
      <c r="Y470" s="1333"/>
      <c r="Z470" s="1333"/>
      <c r="AA470" s="1333"/>
      <c r="AB470" s="1333"/>
      <c r="AC470" s="1333"/>
      <c r="AD470" s="1333"/>
      <c r="AE470" s="1333"/>
      <c r="AF470" s="1333"/>
      <c r="AG470" s="1333"/>
      <c r="AH470" s="1333"/>
      <c r="AI470" s="1333"/>
      <c r="AJ470" s="1333"/>
    </row>
    <row r="471" spans="1:50" ht="15.75" x14ac:dyDescent="0.25">
      <c r="A471" s="2327"/>
      <c r="B471" s="125"/>
      <c r="C471" s="944"/>
      <c r="D471" s="295"/>
      <c r="E471" s="321"/>
      <c r="F471" s="321"/>
      <c r="G471" s="294"/>
      <c r="H471" s="295"/>
      <c r="I471" s="266"/>
      <c r="J471" s="17" t="str">
        <f>IF('C-Design&amp;Const'!AJ471="","",'C-Design&amp;Const'!AJ471)</f>
        <v/>
      </c>
      <c r="L471" s="1410" t="str">
        <f t="shared" si="45"/>
        <v/>
      </c>
      <c r="M471" s="1333"/>
      <c r="N471" s="1333"/>
      <c r="O471" s="1333"/>
      <c r="P471" s="1333"/>
      <c r="Q471" s="1333"/>
      <c r="R471" s="1453"/>
      <c r="S471" s="1364"/>
      <c r="T471" s="1284"/>
      <c r="U471" s="1333"/>
      <c r="V471" s="1333"/>
      <c r="W471" s="1333"/>
      <c r="X471" s="1333"/>
      <c r="Y471" s="1333"/>
      <c r="Z471" s="1333"/>
      <c r="AA471" s="1333"/>
      <c r="AB471" s="1333"/>
      <c r="AC471" s="1333"/>
      <c r="AD471" s="1333"/>
      <c r="AE471" s="1333"/>
      <c r="AF471" s="1333"/>
      <c r="AG471" s="1333"/>
      <c r="AH471" s="1333"/>
      <c r="AI471" s="1333"/>
      <c r="AJ471" s="1333"/>
    </row>
    <row r="472" spans="1:50" ht="20.25" customHeight="1" x14ac:dyDescent="0.25">
      <c r="A472" s="2327"/>
      <c r="B472" s="125"/>
      <c r="C472" s="944"/>
      <c r="D472" s="559" t="str">
        <f>IF('C-Design&amp;Const'!$S472="","",'C-Design&amp;Const'!$S472)</f>
        <v>Y</v>
      </c>
      <c r="E472" s="234"/>
      <c r="F472" s="235"/>
      <c r="G472" s="291" t="str">
        <f>IF('C-Design&amp;Const'!Y472="","",'C-Design&amp;Const'!Y472)</f>
        <v>20.</v>
      </c>
      <c r="H472" s="290" t="str">
        <f>CONCATENATE('C-Design&amp;Const'!Z472,IF(D472="N"," Not Used In This Construction Phase",J472))</f>
        <v>Results of PSC Construction Reviews</v>
      </c>
      <c r="I472" s="262"/>
      <c r="J472" s="17" t="str">
        <f>IF('C-Design&amp;Const'!AJ472="","",'C-Design&amp;Const'!AJ472)</f>
        <v/>
      </c>
      <c r="L472" s="1410" t="str">
        <f t="shared" si="45"/>
        <v/>
      </c>
      <c r="M472" s="1333"/>
      <c r="N472" s="1333"/>
      <c r="O472" s="1333"/>
      <c r="P472" s="1333"/>
      <c r="Q472" s="1333"/>
      <c r="R472" s="1453"/>
      <c r="S472" s="1364"/>
      <c r="T472" s="1284"/>
      <c r="U472" s="1333"/>
      <c r="V472" s="1333"/>
      <c r="W472" s="1333"/>
      <c r="X472" s="1333"/>
      <c r="Y472" s="1333"/>
      <c r="Z472" s="1333"/>
      <c r="AA472" s="1333"/>
      <c r="AB472" s="1333"/>
      <c r="AC472" s="1333"/>
      <c r="AD472" s="1333"/>
      <c r="AE472" s="1333"/>
      <c r="AF472" s="1333"/>
      <c r="AG472" s="1333"/>
      <c r="AH472" s="1333"/>
      <c r="AI472" s="1333"/>
      <c r="AJ472" s="1333"/>
    </row>
    <row r="473" spans="1:50" s="181" customFormat="1" ht="15" customHeight="1" x14ac:dyDescent="0.25">
      <c r="A473" s="2327"/>
      <c r="B473" s="177"/>
      <c r="C473" s="944"/>
      <c r="D473" s="321"/>
      <c r="E473" s="559" t="str">
        <f>IF('C-Design&amp;Const'!$S473="","",'C-Design&amp;Const'!$S473)</f>
        <v>Y</v>
      </c>
      <c r="F473" s="560"/>
      <c r="G473" s="558"/>
      <c r="H473" s="238" t="str">
        <f>CONCATENATE(IF(ISNUMBER(SEARCH("Placeholder",'C-Design&amp;Const'!Z473))=TRUE,"",IF(E473="N","PLACEHOLDER ROW - ","")),'C-Design&amp;Const'!Z473,IF(E473="N","",J473))</f>
        <v>Contractor Baseline Schedule</v>
      </c>
      <c r="I473" s="186"/>
      <c r="J473" s="181" t="str">
        <f>IF('C-Design&amp;Const'!AJ473="","",'C-Design&amp;Const'!AJ473)</f>
        <v/>
      </c>
      <c r="L473" s="1410" t="str">
        <f t="shared" si="45"/>
        <v/>
      </c>
      <c r="M473" s="1382"/>
      <c r="N473" s="1382"/>
      <c r="O473" s="1382"/>
      <c r="P473" s="1382"/>
      <c r="Q473" s="1382"/>
      <c r="R473" s="1447"/>
      <c r="S473" s="1448"/>
      <c r="T473" s="1274"/>
      <c r="U473" s="1382"/>
      <c r="V473" s="1382"/>
      <c r="W473" s="1382"/>
      <c r="X473" s="1382"/>
      <c r="Y473" s="1382"/>
      <c r="Z473" s="1382"/>
      <c r="AA473" s="1382"/>
      <c r="AB473" s="1382"/>
      <c r="AC473" s="1382"/>
      <c r="AD473" s="1382"/>
      <c r="AE473" s="1382"/>
      <c r="AF473" s="1382"/>
      <c r="AG473" s="1382"/>
      <c r="AH473" s="1382"/>
      <c r="AI473" s="1382"/>
      <c r="AJ473" s="1382"/>
      <c r="AX473" s="30"/>
    </row>
    <row r="474" spans="1:50" s="181" customFormat="1" ht="15" customHeight="1" x14ac:dyDescent="0.25">
      <c r="A474" s="2327"/>
      <c r="B474" s="177"/>
      <c r="C474" s="944"/>
      <c r="D474" s="321"/>
      <c r="E474" s="559" t="str">
        <f>IF('C-Design&amp;Const'!$S474="","",'C-Design&amp;Const'!$S474)</f>
        <v>Y</v>
      </c>
      <c r="F474" s="560"/>
      <c r="G474" s="558"/>
      <c r="H474" s="238" t="str">
        <f>CONCATENATE(IF(ISNUMBER(SEARCH("Placeholder",'C-Design&amp;Const'!Z474))=TRUE,"",IF(E474="N","PLACEHOLDER ROW - ","")),'C-Design&amp;Const'!Z474,IF(E474="N","",J474))</f>
        <v>Log of Contractor Submittals</v>
      </c>
      <c r="I474" s="186"/>
      <c r="J474" s="181" t="str">
        <f>IF('C-Design&amp;Const'!AJ474="","",'C-Design&amp;Const'!AJ474)</f>
        <v/>
      </c>
      <c r="L474" s="1410" t="str">
        <f t="shared" si="45"/>
        <v/>
      </c>
      <c r="M474" s="1382"/>
      <c r="N474" s="1382"/>
      <c r="O474" s="1382"/>
      <c r="P474" s="1382"/>
      <c r="Q474" s="1382"/>
      <c r="R474" s="1447"/>
      <c r="S474" s="1448"/>
      <c r="T474" s="1274"/>
      <c r="U474" s="1382"/>
      <c r="V474" s="1382"/>
      <c r="W474" s="1382"/>
      <c r="X474" s="1382"/>
      <c r="Y474" s="1382"/>
      <c r="Z474" s="1382"/>
      <c r="AA474" s="1382"/>
      <c r="AB474" s="1382"/>
      <c r="AC474" s="1382"/>
      <c r="AD474" s="1382"/>
      <c r="AE474" s="1382"/>
      <c r="AF474" s="1382"/>
      <c r="AG474" s="1382"/>
      <c r="AH474" s="1382"/>
      <c r="AI474" s="1382"/>
      <c r="AJ474" s="1382"/>
      <c r="AX474" s="30"/>
    </row>
    <row r="475" spans="1:50" s="181" customFormat="1" ht="15" customHeight="1" x14ac:dyDescent="0.25">
      <c r="A475" s="2327"/>
      <c r="B475" s="177"/>
      <c r="C475" s="944"/>
      <c r="D475" s="321"/>
      <c r="E475" s="559" t="str">
        <f>IF('C-Design&amp;Const'!$S475="","",'C-Design&amp;Const'!$S475)</f>
        <v>Y</v>
      </c>
      <c r="F475" s="560"/>
      <c r="G475" s="558"/>
      <c r="H475" s="238" t="str">
        <f>CONCATENATE(IF(ISNUMBER(SEARCH("Placeholder",'C-Design&amp;Const'!Z475))=TRUE,"",IF(E475="N","PLACEHOLDER ROW - ","")),'C-Design&amp;Const'!Z475,IF(E475="N","",J475))</f>
        <v>Schedule of Values</v>
      </c>
      <c r="I475" s="186"/>
      <c r="J475" s="181" t="str">
        <f>IF('C-Design&amp;Const'!AJ475="","",'C-Design&amp;Const'!AJ475)</f>
        <v/>
      </c>
      <c r="L475" s="1410" t="str">
        <f t="shared" si="45"/>
        <v/>
      </c>
      <c r="M475" s="1382"/>
      <c r="N475" s="1382"/>
      <c r="O475" s="1382"/>
      <c r="P475" s="1382"/>
      <c r="Q475" s="1382"/>
      <c r="R475" s="1447"/>
      <c r="S475" s="1448"/>
      <c r="T475" s="1274"/>
      <c r="U475" s="1382"/>
      <c r="V475" s="1382"/>
      <c r="W475" s="1382"/>
      <c r="X475" s="1382"/>
      <c r="Y475" s="1382"/>
      <c r="Z475" s="1382"/>
      <c r="AA475" s="1382"/>
      <c r="AB475" s="1382"/>
      <c r="AC475" s="1382"/>
      <c r="AD475" s="1382"/>
      <c r="AE475" s="1382"/>
      <c r="AF475" s="1382"/>
      <c r="AG475" s="1382"/>
      <c r="AH475" s="1382"/>
      <c r="AI475" s="1382"/>
      <c r="AJ475" s="1382"/>
      <c r="AX475" s="30"/>
    </row>
    <row r="476" spans="1:50" s="181" customFormat="1" ht="15" customHeight="1" x14ac:dyDescent="0.25">
      <c r="A476" s="2327"/>
      <c r="B476" s="177"/>
      <c r="C476" s="944"/>
      <c r="D476" s="321"/>
      <c r="E476" s="559" t="str">
        <f>IF('C-Design&amp;Const'!$S476="","",'C-Design&amp;Const'!$S476)</f>
        <v>Y</v>
      </c>
      <c r="F476" s="560"/>
      <c r="G476" s="558"/>
      <c r="H476" s="238" t="str">
        <f>CONCATENATE(IF(ISNUMBER(SEARCH("Placeholder",'C-Design&amp;Const'!Z476))=TRUE,"",IF(E476="N","PLACEHOLDER ROW - ","")),'C-Design&amp;Const'!Z476,IF(E476="N","",J476))</f>
        <v>Shop Drawings, Product Data, &amp; Quality Assurance Submittals (with all comments &amp; recommendation)</v>
      </c>
      <c r="I476" s="186"/>
      <c r="J476" s="181" t="str">
        <f>IF('C-Design&amp;Const'!AJ476="","",'C-Design&amp;Const'!AJ476)</f>
        <v/>
      </c>
      <c r="L476" s="1410" t="str">
        <f t="shared" si="45"/>
        <v/>
      </c>
      <c r="M476" s="1382"/>
      <c r="N476" s="1382"/>
      <c r="O476" s="1382"/>
      <c r="P476" s="1382"/>
      <c r="Q476" s="1382"/>
      <c r="R476" s="1447"/>
      <c r="S476" s="1448"/>
      <c r="T476" s="1274"/>
      <c r="U476" s="1382"/>
      <c r="V476" s="1382"/>
      <c r="W476" s="1382"/>
      <c r="X476" s="1382"/>
      <c r="Y476" s="1382"/>
      <c r="Z476" s="1382"/>
      <c r="AA476" s="1382"/>
      <c r="AB476" s="1382"/>
      <c r="AC476" s="1382"/>
      <c r="AD476" s="1382"/>
      <c r="AE476" s="1382"/>
      <c r="AF476" s="1382"/>
      <c r="AG476" s="1382"/>
      <c r="AH476" s="1382"/>
      <c r="AI476" s="1382"/>
      <c r="AJ476" s="1382"/>
      <c r="AX476" s="30"/>
    </row>
    <row r="477" spans="1:50" s="181" customFormat="1" ht="15" customHeight="1" x14ac:dyDescent="0.25">
      <c r="A477" s="2327"/>
      <c r="B477" s="177"/>
      <c r="C477" s="944"/>
      <c r="D477" s="321"/>
      <c r="E477" s="559" t="str">
        <f>IF('C-Design&amp;Const'!$S477="","",'C-Design&amp;Const'!$S477)</f>
        <v>Y</v>
      </c>
      <c r="F477" s="560"/>
      <c r="G477" s="558"/>
      <c r="H477" s="410" t="str">
        <f>CONCATENATE(IF(ISNUMBER(SEARCH("Placeholder",'C-Design&amp;Const'!Z477))=TRUE,"",IF(E477="N","PLACEHOLDER ROW - ","")),'C-Design&amp;Const'!Z477,IF(E477="N","",J477))</f>
        <v>Breaker Fuse Coordination Analysis based on equipment selected</v>
      </c>
      <c r="I477" s="186"/>
      <c r="J477" s="181" t="str">
        <f>IF('C-Design&amp;Const'!AJ477="","",'C-Design&amp;Const'!AJ477)</f>
        <v/>
      </c>
      <c r="L477" s="1410" t="str">
        <f t="shared" si="45"/>
        <v/>
      </c>
      <c r="M477" s="1382"/>
      <c r="N477" s="1382"/>
      <c r="O477" s="1382"/>
      <c r="P477" s="1382"/>
      <c r="Q477" s="1382"/>
      <c r="R477" s="1447"/>
      <c r="S477" s="1448"/>
      <c r="T477" s="1274"/>
      <c r="U477" s="1382"/>
      <c r="V477" s="1382"/>
      <c r="W477" s="1382"/>
      <c r="X477" s="1382"/>
      <c r="Y477" s="1382"/>
      <c r="Z477" s="1382"/>
      <c r="AA477" s="1382"/>
      <c r="AB477" s="1382"/>
      <c r="AC477" s="1382"/>
      <c r="AD477" s="1382"/>
      <c r="AE477" s="1382"/>
      <c r="AF477" s="1382"/>
      <c r="AG477" s="1382"/>
      <c r="AH477" s="1382"/>
      <c r="AI477" s="1382"/>
      <c r="AJ477" s="1382"/>
      <c r="AX477" s="30"/>
    </row>
    <row r="478" spans="1:50" s="181" customFormat="1" ht="15" customHeight="1" x14ac:dyDescent="0.25">
      <c r="A478" s="2327"/>
      <c r="B478" s="177"/>
      <c r="C478" s="944"/>
      <c r="D478" s="321"/>
      <c r="E478" s="559" t="str">
        <f>IF('C-Design&amp;Const'!$S478="","",'C-Design&amp;Const'!$S478)</f>
        <v>Y</v>
      </c>
      <c r="F478" s="560"/>
      <c r="G478" s="558"/>
      <c r="H478" s="410" t="str">
        <f>CONCATENATE(IF(ISNUMBER(SEARCH("Placeholder",'C-Design&amp;Const'!Z478))=TRUE,"",IF(E478="N","PLACEHOLDER ROW - ","")),'C-Design&amp;Const'!Z478,IF(E478="N","",J478))</f>
        <v>Updates to Checklist for spec sections w/ submittals recv'd vs reqd (shop drawings, calcs, etc…).  (NOTE:  previously received under separate cover with Item 06 - Project Manual.)</v>
      </c>
      <c r="I478" s="186"/>
      <c r="J478" s="181" t="str">
        <f>IF('C-Design&amp;Const'!AJ478="","",'C-Design&amp;Const'!AJ478)</f>
        <v/>
      </c>
      <c r="L478" s="1410" t="str">
        <f t="shared" si="45"/>
        <v/>
      </c>
      <c r="M478" s="1382"/>
      <c r="N478" s="1382"/>
      <c r="O478" s="1382"/>
      <c r="P478" s="1382"/>
      <c r="Q478" s="1382"/>
      <c r="R478" s="1447"/>
      <c r="S478" s="1448"/>
      <c r="T478" s="1274"/>
      <c r="U478" s="1382"/>
      <c r="V478" s="1382"/>
      <c r="W478" s="1382"/>
      <c r="X478" s="1382"/>
      <c r="Y478" s="1382"/>
      <c r="Z478" s="1382"/>
      <c r="AA478" s="1382"/>
      <c r="AB478" s="1382"/>
      <c r="AC478" s="1382"/>
      <c r="AD478" s="1382"/>
      <c r="AE478" s="1382"/>
      <c r="AF478" s="1382"/>
      <c r="AG478" s="1382"/>
      <c r="AH478" s="1382"/>
      <c r="AI478" s="1382"/>
      <c r="AJ478" s="1382"/>
      <c r="AX478" s="30"/>
    </row>
    <row r="479" spans="1:50" ht="18.75" x14ac:dyDescent="0.25">
      <c r="A479" s="2327"/>
      <c r="B479" s="125"/>
      <c r="C479" s="944"/>
      <c r="D479" s="499"/>
      <c r="E479" s="539"/>
      <c r="F479" s="539"/>
      <c r="G479" s="292"/>
      <c r="H479" s="293"/>
      <c r="I479" s="263"/>
      <c r="J479" s="17" t="str">
        <f>IF('C-Design&amp;Const'!AJ479="","",'C-Design&amp;Const'!AJ479)</f>
        <v/>
      </c>
      <c r="L479" s="1410" t="str">
        <f t="shared" si="45"/>
        <v/>
      </c>
      <c r="M479" s="1333"/>
      <c r="N479" s="1333"/>
      <c r="O479" s="1333"/>
      <c r="P479" s="1333"/>
      <c r="Q479" s="1333"/>
      <c r="R479" s="1453"/>
      <c r="S479" s="1364"/>
      <c r="T479" s="1284"/>
      <c r="U479" s="1333"/>
      <c r="V479" s="1333"/>
      <c r="W479" s="1333"/>
      <c r="X479" s="1333"/>
      <c r="Y479" s="1333"/>
      <c r="Z479" s="1333"/>
      <c r="AA479" s="1333"/>
      <c r="AB479" s="1333"/>
      <c r="AC479" s="1333"/>
      <c r="AD479" s="1333"/>
      <c r="AE479" s="1333"/>
      <c r="AF479" s="1333"/>
      <c r="AG479" s="1333"/>
      <c r="AH479" s="1333"/>
      <c r="AI479" s="1333"/>
      <c r="AJ479" s="1333"/>
    </row>
    <row r="480" spans="1:50" ht="18.75" x14ac:dyDescent="0.25">
      <c r="A480" s="2327"/>
      <c r="B480" s="125"/>
      <c r="C480" s="944"/>
      <c r="D480" s="559" t="str">
        <f>IF('C-Design&amp;Const'!$S480="","",'C-Design&amp;Const'!$S480)</f>
        <v>N</v>
      </c>
      <c r="E480" s="234"/>
      <c r="F480" s="235"/>
      <c r="G480" s="291" t="str">
        <f>IF('C-Design&amp;Const'!Y480="","",'C-Design&amp;Const'!Y480)</f>
        <v>21.</v>
      </c>
      <c r="H480" s="290" t="str">
        <f>CONCATENATE('C-Design&amp;Const'!Z480,IF(D480="N"," Not Used In This Construction Phase",J480))</f>
        <v>Pay / Progress Meetings Not Used In This Construction Phase</v>
      </c>
      <c r="I480" s="262"/>
      <c r="J480" s="17" t="str">
        <f>IF('C-Design&amp;Const'!AJ480="","",'C-Design&amp;Const'!AJ480)</f>
        <v/>
      </c>
      <c r="L480" s="1410" t="str">
        <f t="shared" si="45"/>
        <v/>
      </c>
      <c r="M480" s="1333"/>
      <c r="N480" s="1333"/>
      <c r="O480" s="1333"/>
      <c r="P480" s="1333"/>
      <c r="Q480" s="1333"/>
      <c r="R480" s="1453"/>
      <c r="S480" s="1364"/>
      <c r="T480" s="1284"/>
      <c r="U480" s="1333"/>
      <c r="V480" s="1333"/>
      <c r="W480" s="1333"/>
      <c r="X480" s="1333"/>
      <c r="Y480" s="1333"/>
      <c r="Z480" s="1333"/>
      <c r="AA480" s="1333"/>
      <c r="AB480" s="1333"/>
      <c r="AC480" s="1333"/>
      <c r="AD480" s="1333"/>
      <c r="AE480" s="1333"/>
      <c r="AF480" s="1333"/>
      <c r="AG480" s="1333"/>
      <c r="AH480" s="1333"/>
      <c r="AI480" s="1333"/>
      <c r="AJ480" s="1333"/>
    </row>
    <row r="481" spans="1:50" s="181" customFormat="1" ht="15" customHeight="1" x14ac:dyDescent="0.25">
      <c r="A481" s="2327"/>
      <c r="B481" s="177"/>
      <c r="C481" s="944"/>
      <c r="D481" s="321"/>
      <c r="E481" s="559" t="str">
        <f>IF('C-Design&amp;Const'!$S481="","",'C-Design&amp;Const'!$S481)</f>
        <v>N</v>
      </c>
      <c r="F481" s="560"/>
      <c r="G481" s="558"/>
      <c r="H481" s="238" t="str">
        <f>CONCATENATE(IF(ISNUMBER(SEARCH("Placeholder",'C-Design&amp;Const'!Z481))=TRUE,"",IF(E481="N","PLACEHOLDER ROW - ","")),'C-Design&amp;Const'!Z481,IF(E481="N","",J481))</f>
        <v>PLACEHOLDER ROW - Agenda</v>
      </c>
      <c r="I481" s="186"/>
      <c r="J481" s="181" t="str">
        <f>IF('C-Design&amp;Const'!AJ481="","",'C-Design&amp;Const'!AJ481)</f>
        <v/>
      </c>
      <c r="L481" s="1410" t="str">
        <f t="shared" si="45"/>
        <v>&lt;---PM/Planner may hide PLACEHOLDER ROW</v>
      </c>
      <c r="M481" s="1382"/>
      <c r="N481" s="1382"/>
      <c r="O481" s="1382"/>
      <c r="P481" s="1382"/>
      <c r="Q481" s="1382"/>
      <c r="R481" s="1447"/>
      <c r="S481" s="1448"/>
      <c r="T481" s="1274"/>
      <c r="U481" s="1382"/>
      <c r="V481" s="1382"/>
      <c r="W481" s="1382"/>
      <c r="X481" s="1382"/>
      <c r="Y481" s="1382"/>
      <c r="Z481" s="1382"/>
      <c r="AA481" s="1382"/>
      <c r="AB481" s="1382"/>
      <c r="AC481" s="1382"/>
      <c r="AD481" s="1382"/>
      <c r="AE481" s="1382"/>
      <c r="AF481" s="1382"/>
      <c r="AG481" s="1382"/>
      <c r="AH481" s="1382"/>
      <c r="AI481" s="1382"/>
      <c r="AJ481" s="1382"/>
      <c r="AX481" s="30"/>
    </row>
    <row r="482" spans="1:50" s="181" customFormat="1" ht="15" customHeight="1" x14ac:dyDescent="0.25">
      <c r="A482" s="2327"/>
      <c r="B482" s="177"/>
      <c r="C482" s="944"/>
      <c r="D482" s="321"/>
      <c r="E482" s="559" t="str">
        <f>IF('C-Design&amp;Const'!$S482="","",'C-Design&amp;Const'!$S482)</f>
        <v>N</v>
      </c>
      <c r="F482" s="560"/>
      <c r="G482" s="558"/>
      <c r="H482" s="238" t="str">
        <f>CONCATENATE(IF(ISNUMBER(SEARCH("Placeholder",'C-Design&amp;Const'!Z482))=TRUE,"",IF(E482="N","PLACEHOLDER ROW - ","")),'C-Design&amp;Const'!Z482,IF(E482="N","",J482))</f>
        <v>PLACEHOLDER ROW - Sign In</v>
      </c>
      <c r="I482" s="186"/>
      <c r="J482" s="181" t="str">
        <f>IF('C-Design&amp;Const'!AJ482="","",'C-Design&amp;Const'!AJ482)</f>
        <v/>
      </c>
      <c r="L482" s="1410" t="str">
        <f t="shared" si="45"/>
        <v>&lt;---PM/Planner may hide PLACEHOLDER ROW</v>
      </c>
      <c r="M482" s="1382"/>
      <c r="N482" s="1382"/>
      <c r="O482" s="1382"/>
      <c r="P482" s="1382"/>
      <c r="Q482" s="1382"/>
      <c r="R482" s="1447"/>
      <c r="S482" s="1448"/>
      <c r="T482" s="1274"/>
      <c r="U482" s="1382"/>
      <c r="V482" s="1382"/>
      <c r="W482" s="1382"/>
      <c r="X482" s="1382"/>
      <c r="Y482" s="1382"/>
      <c r="Z482" s="1382"/>
      <c r="AA482" s="1382"/>
      <c r="AB482" s="1382"/>
      <c r="AC482" s="1382"/>
      <c r="AD482" s="1382"/>
      <c r="AE482" s="1382"/>
      <c r="AF482" s="1382"/>
      <c r="AG482" s="1382"/>
      <c r="AH482" s="1382"/>
      <c r="AI482" s="1382"/>
      <c r="AJ482" s="1382"/>
      <c r="AX482" s="30"/>
    </row>
    <row r="483" spans="1:50" s="181" customFormat="1" ht="15" customHeight="1" x14ac:dyDescent="0.25">
      <c r="A483" s="2327"/>
      <c r="B483" s="177"/>
      <c r="C483" s="944"/>
      <c r="D483" s="321"/>
      <c r="E483" s="559" t="str">
        <f>IF('C-Design&amp;Const'!$S483="","",'C-Design&amp;Const'!$S483)</f>
        <v>N</v>
      </c>
      <c r="F483" s="560"/>
      <c r="G483" s="558"/>
      <c r="H483" s="238" t="str">
        <f>CONCATENATE(IF(ISNUMBER(SEARCH("Placeholder",'C-Design&amp;Const'!Z483))=TRUE,"",IF(E483="N","PLACEHOLDER ROW - ","")),'C-Design&amp;Const'!Z483,IF(E483="N","",J483))</f>
        <v>PLACEHOLDER ROW - Meeting Minutes (including field decisions)</v>
      </c>
      <c r="I483" s="186"/>
      <c r="J483" s="181" t="str">
        <f>IF('C-Design&amp;Const'!AJ483="","",'C-Design&amp;Const'!AJ483)</f>
        <v/>
      </c>
      <c r="L483" s="1410" t="str">
        <f t="shared" si="45"/>
        <v>&lt;---PM/Planner may hide PLACEHOLDER ROW</v>
      </c>
      <c r="M483" s="1382"/>
      <c r="N483" s="1382"/>
      <c r="O483" s="1382"/>
      <c r="P483" s="1382"/>
      <c r="Q483" s="1382"/>
      <c r="R483" s="1447"/>
      <c r="S483" s="1448"/>
      <c r="T483" s="1274"/>
      <c r="U483" s="1382"/>
      <c r="V483" s="1382"/>
      <c r="W483" s="1382"/>
      <c r="X483" s="1382"/>
      <c r="Y483" s="1382"/>
      <c r="Z483" s="1382"/>
      <c r="AA483" s="1382"/>
      <c r="AB483" s="1382"/>
      <c r="AC483" s="1382"/>
      <c r="AD483" s="1382"/>
      <c r="AE483" s="1382"/>
      <c r="AF483" s="1382"/>
      <c r="AG483" s="1382"/>
      <c r="AH483" s="1382"/>
      <c r="AI483" s="1382"/>
      <c r="AJ483" s="1382"/>
      <c r="AX483" s="30"/>
    </row>
    <row r="484" spans="1:50" ht="18.75" x14ac:dyDescent="0.25">
      <c r="A484" s="2327"/>
      <c r="B484" s="125"/>
      <c r="C484" s="944"/>
      <c r="D484" s="499"/>
      <c r="E484" s="539"/>
      <c r="F484" s="539"/>
      <c r="G484" s="292"/>
      <c r="H484" s="293"/>
      <c r="I484" s="263"/>
      <c r="J484" s="17" t="str">
        <f>IF('C-Design&amp;Const'!AJ484="","",'C-Design&amp;Const'!AJ484)</f>
        <v/>
      </c>
      <c r="L484" s="1410" t="str">
        <f t="shared" si="45"/>
        <v/>
      </c>
      <c r="M484" s="1333"/>
      <c r="N484" s="1333"/>
      <c r="O484" s="1333"/>
      <c r="P484" s="1333"/>
      <c r="Q484" s="1333"/>
      <c r="R484" s="1453"/>
      <c r="S484" s="1364"/>
      <c r="T484" s="1284"/>
      <c r="U484" s="1333"/>
      <c r="V484" s="1333"/>
      <c r="W484" s="1333"/>
      <c r="X484" s="1333"/>
      <c r="Y484" s="1333"/>
      <c r="Z484" s="1333"/>
      <c r="AA484" s="1333"/>
      <c r="AB484" s="1333"/>
      <c r="AC484" s="1333"/>
      <c r="AD484" s="1333"/>
      <c r="AE484" s="1333"/>
      <c r="AF484" s="1333"/>
      <c r="AG484" s="1333"/>
      <c r="AH484" s="1333"/>
      <c r="AI484" s="1333"/>
      <c r="AJ484" s="1333"/>
    </row>
    <row r="485" spans="1:50" ht="18.75" x14ac:dyDescent="0.25">
      <c r="A485" s="2327"/>
      <c r="B485" s="125"/>
      <c r="C485" s="944"/>
      <c r="D485" s="559" t="str">
        <f>IF('C-Design&amp;Const'!$S485="","",'C-Design&amp;Const'!$S485)</f>
        <v>Y</v>
      </c>
      <c r="E485" s="234"/>
      <c r="F485" s="235"/>
      <c r="G485" s="291" t="str">
        <f>IF('C-Design&amp;Const'!Y485="","",'C-Design&amp;Const'!Y485)</f>
        <v>22.</v>
      </c>
      <c r="H485" s="290" t="str">
        <f>CONCATENATE('C-Design&amp;Const'!Z485,IF(D485="N"," Not Used In This Construction Phase",J485))</f>
        <v>Written Description of Delays</v>
      </c>
      <c r="I485" s="262"/>
      <c r="J485" s="17" t="str">
        <f>IF('C-Design&amp;Const'!AJ485="","",'C-Design&amp;Const'!AJ485)</f>
        <v/>
      </c>
      <c r="L485" s="1410" t="str">
        <f t="shared" si="45"/>
        <v/>
      </c>
      <c r="M485" s="1333"/>
      <c r="N485" s="1333"/>
      <c r="O485" s="1333"/>
      <c r="P485" s="1333"/>
      <c r="Q485" s="1333"/>
      <c r="R485" s="1453"/>
      <c r="S485" s="1364"/>
      <c r="T485" s="1284"/>
      <c r="U485" s="1333"/>
      <c r="V485" s="1333"/>
      <c r="W485" s="1333"/>
      <c r="X485" s="1333"/>
      <c r="Y485" s="1333"/>
      <c r="Z485" s="1333"/>
      <c r="AA485" s="1333"/>
      <c r="AB485" s="1333"/>
      <c r="AC485" s="1333"/>
      <c r="AD485" s="1333"/>
      <c r="AE485" s="1333"/>
      <c r="AF485" s="1333"/>
      <c r="AG485" s="1333"/>
      <c r="AH485" s="1333"/>
      <c r="AI485" s="1333"/>
      <c r="AJ485" s="1333"/>
    </row>
    <row r="486" spans="1:50" ht="18.75" x14ac:dyDescent="0.25">
      <c r="A486" s="2327"/>
      <c r="B486" s="125"/>
      <c r="C486" s="944"/>
      <c r="D486" s="499"/>
      <c r="E486" s="539"/>
      <c r="F486" s="539"/>
      <c r="G486" s="292"/>
      <c r="H486" s="293"/>
      <c r="I486" s="263"/>
      <c r="J486" s="17" t="str">
        <f>IF('C-Design&amp;Const'!AJ486="","",'C-Design&amp;Const'!AJ486)</f>
        <v/>
      </c>
      <c r="L486" s="1410" t="str">
        <f t="shared" si="45"/>
        <v/>
      </c>
      <c r="M486" s="1333"/>
      <c r="N486" s="1333"/>
      <c r="O486" s="1333"/>
      <c r="P486" s="1333"/>
      <c r="Q486" s="1333"/>
      <c r="R486" s="1453"/>
      <c r="S486" s="1364"/>
      <c r="T486" s="1284"/>
      <c r="U486" s="1333"/>
      <c r="V486" s="1333"/>
      <c r="W486" s="1333"/>
      <c r="X486" s="1333"/>
      <c r="Y486" s="1333"/>
      <c r="Z486" s="1333"/>
      <c r="AA486" s="1333"/>
      <c r="AB486" s="1333"/>
      <c r="AC486" s="1333"/>
      <c r="AD486" s="1333"/>
      <c r="AE486" s="1333"/>
      <c r="AF486" s="1333"/>
      <c r="AG486" s="1333"/>
      <c r="AH486" s="1333"/>
      <c r="AI486" s="1333"/>
      <c r="AJ486" s="1333"/>
    </row>
    <row r="487" spans="1:50" ht="18.75" x14ac:dyDescent="0.25">
      <c r="A487" s="2327"/>
      <c r="B487" s="125"/>
      <c r="C487" s="944"/>
      <c r="D487" s="559" t="str">
        <f>IF('C-Design&amp;Const'!$S487="","",'C-Design&amp;Const'!$S487)</f>
        <v>Y</v>
      </c>
      <c r="E487" s="234"/>
      <c r="F487" s="235"/>
      <c r="G487" s="291" t="str">
        <f>IF('C-Design&amp;Const'!Y487="","",'C-Design&amp;Const'!Y487)</f>
        <v>23.</v>
      </c>
      <c r="H487" s="290" t="str">
        <f>CONCATENATE('C-Design&amp;Const'!Z487,IF(D487="N"," Not Used In This Construction Phase",J487))</f>
        <v>Construction Information / Changes</v>
      </c>
      <c r="I487" s="262"/>
      <c r="J487" s="17" t="str">
        <f>IF('C-Design&amp;Const'!AJ487="","",'C-Design&amp;Const'!AJ487)</f>
        <v/>
      </c>
      <c r="L487" s="1410" t="str">
        <f t="shared" si="45"/>
        <v/>
      </c>
      <c r="M487" s="1333"/>
      <c r="N487" s="1333"/>
      <c r="O487" s="1333"/>
      <c r="P487" s="1333"/>
      <c r="Q487" s="1333"/>
      <c r="R487" s="1453"/>
      <c r="S487" s="1364"/>
      <c r="T487" s="1284"/>
      <c r="U487" s="1333"/>
      <c r="V487" s="1333"/>
      <c r="W487" s="1333"/>
      <c r="X487" s="1333"/>
      <c r="Y487" s="1333"/>
      <c r="Z487" s="1333"/>
      <c r="AA487" s="1333"/>
      <c r="AB487" s="1333"/>
      <c r="AC487" s="1333"/>
      <c r="AD487" s="1333"/>
      <c r="AE487" s="1333"/>
      <c r="AF487" s="1333"/>
      <c r="AG487" s="1333"/>
      <c r="AH487" s="1333"/>
      <c r="AI487" s="1333"/>
      <c r="AJ487" s="1333"/>
    </row>
    <row r="488" spans="1:50" s="181" customFormat="1" ht="15" customHeight="1" x14ac:dyDescent="0.25">
      <c r="A488" s="2327"/>
      <c r="B488" s="177"/>
      <c r="C488" s="944"/>
      <c r="D488" s="321"/>
      <c r="E488" s="559" t="str">
        <f>IF('C-Design&amp;Const'!$S488="","",'C-Design&amp;Const'!$S488)</f>
        <v>Y</v>
      </c>
      <c r="F488" s="560"/>
      <c r="G488" s="558"/>
      <c r="H488" s="238" t="str">
        <f>CONCATENATE(IF(ISNUMBER(SEARCH("Placeholder",'C-Design&amp;Const'!Z488))=TRUE,"",IF(E488="N","PLACEHOLDER ROW - ","")),'C-Design&amp;Const'!Z488,IF(E488="N","",J488))</f>
        <v>RFI's responses, ASI's, RFP's, Change Orders and Field Directives</v>
      </c>
      <c r="I488" s="186"/>
      <c r="J488" s="181" t="str">
        <f>IF('C-Design&amp;Const'!AJ488="","",'C-Design&amp;Const'!AJ488)</f>
        <v/>
      </c>
      <c r="L488" s="1410" t="str">
        <f t="shared" si="45"/>
        <v/>
      </c>
      <c r="M488" s="1382"/>
      <c r="N488" s="1382"/>
      <c r="O488" s="1382"/>
      <c r="P488" s="1382"/>
      <c r="Q488" s="1382"/>
      <c r="R488" s="1447"/>
      <c r="S488" s="1448"/>
      <c r="T488" s="1274"/>
      <c r="U488" s="1382"/>
      <c r="V488" s="1382"/>
      <c r="W488" s="1382"/>
      <c r="X488" s="1382"/>
      <c r="Y488" s="1382"/>
      <c r="Z488" s="1382"/>
      <c r="AA488" s="1382"/>
      <c r="AB488" s="1382"/>
      <c r="AC488" s="1382"/>
      <c r="AD488" s="1382"/>
      <c r="AE488" s="1382"/>
      <c r="AF488" s="1382"/>
      <c r="AG488" s="1382"/>
      <c r="AH488" s="1382"/>
      <c r="AI488" s="1382"/>
      <c r="AJ488" s="1382"/>
      <c r="AX488" s="30"/>
    </row>
    <row r="489" spans="1:50" s="181" customFormat="1" ht="15" customHeight="1" x14ac:dyDescent="0.25">
      <c r="A489" s="2327"/>
      <c r="B489" s="177"/>
      <c r="C489" s="944"/>
      <c r="D489" s="321"/>
      <c r="E489" s="559" t="str">
        <f>IF('C-Design&amp;Const'!$S489="","",'C-Design&amp;Const'!$S489)</f>
        <v>Y</v>
      </c>
      <c r="F489" s="560"/>
      <c r="G489" s="558"/>
      <c r="H489" s="238" t="str">
        <f>CONCATENATE(IF(ISNUMBER(SEARCH("Placeholder",'C-Design&amp;Const'!Z489))=TRUE,"",IF(E489="N","PLACEHOLDER ROW - ","")),'C-Design&amp;Const'!Z489,IF(E489="N","",J489))</f>
        <v>Logs of RFI's &amp; responses, ASI's, RFP's, Change Orders and Field Directives</v>
      </c>
      <c r="I489" s="186"/>
      <c r="J489" s="181" t="str">
        <f>IF('C-Design&amp;Const'!AJ489="","",'C-Design&amp;Const'!AJ489)</f>
        <v/>
      </c>
      <c r="L489" s="1410" t="str">
        <f t="shared" si="45"/>
        <v/>
      </c>
      <c r="M489" s="1382"/>
      <c r="N489" s="1382"/>
      <c r="O489" s="1382"/>
      <c r="P489" s="1382"/>
      <c r="Q489" s="1382"/>
      <c r="R489" s="1447"/>
      <c r="S489" s="1448"/>
      <c r="T489" s="1274"/>
      <c r="U489" s="1382"/>
      <c r="V489" s="1382"/>
      <c r="W489" s="1382"/>
      <c r="X489" s="1382"/>
      <c r="Y489" s="1382"/>
      <c r="Z489" s="1382"/>
      <c r="AA489" s="1382"/>
      <c r="AB489" s="1382"/>
      <c r="AC489" s="1382"/>
      <c r="AD489" s="1382"/>
      <c r="AE489" s="1382"/>
      <c r="AF489" s="1382"/>
      <c r="AG489" s="1382"/>
      <c r="AH489" s="1382"/>
      <c r="AI489" s="1382"/>
      <c r="AJ489" s="1382"/>
      <c r="AX489" s="30"/>
    </row>
    <row r="490" spans="1:50" s="181" customFormat="1" ht="15" customHeight="1" x14ac:dyDescent="0.25">
      <c r="A490" s="2327"/>
      <c r="B490" s="177"/>
      <c r="C490" s="944"/>
      <c r="D490" s="321"/>
      <c r="E490" s="559" t="str">
        <f>IF('C-Design&amp;Const'!$S490="","",'C-Design&amp;Const'!$S490)</f>
        <v>Y</v>
      </c>
      <c r="F490" s="560"/>
      <c r="G490" s="558"/>
      <c r="H490" s="238" t="str">
        <f>CONCATENATE(IF(ISNUMBER(SEARCH("Placeholder",'C-Design&amp;Const'!Z490))=TRUE,"",IF(E490="N","PLACEHOLDER ROW - ","")),'C-Design&amp;Const'!Z490,IF(E490="N","",J490))</f>
        <v>Justifications or Explanations for Errors/ Omissions, Deficiencies or Conflicts</v>
      </c>
      <c r="I490" s="186"/>
      <c r="J490" s="181" t="str">
        <f>IF('C-Design&amp;Const'!AJ490="","",'C-Design&amp;Const'!AJ490)</f>
        <v/>
      </c>
      <c r="L490" s="1410" t="str">
        <f t="shared" si="45"/>
        <v/>
      </c>
      <c r="M490" s="1382"/>
      <c r="N490" s="1382"/>
      <c r="O490" s="1382"/>
      <c r="P490" s="1382"/>
      <c r="Q490" s="1382"/>
      <c r="R490" s="1447"/>
      <c r="S490" s="1448"/>
      <c r="T490" s="1274"/>
      <c r="U490" s="1382"/>
      <c r="V490" s="1382"/>
      <c r="W490" s="1382"/>
      <c r="X490" s="1382"/>
      <c r="Y490" s="1382"/>
      <c r="Z490" s="1382"/>
      <c r="AA490" s="1382"/>
      <c r="AB490" s="1382"/>
      <c r="AC490" s="1382"/>
      <c r="AD490" s="1382"/>
      <c r="AE490" s="1382"/>
      <c r="AF490" s="1382"/>
      <c r="AG490" s="1382"/>
      <c r="AH490" s="1382"/>
      <c r="AI490" s="1382"/>
      <c r="AJ490" s="1382"/>
      <c r="AX490" s="30"/>
    </row>
    <row r="491" spans="1:50" s="181" customFormat="1" ht="15" customHeight="1" x14ac:dyDescent="0.25">
      <c r="A491" s="2327"/>
      <c r="B491" s="177"/>
      <c r="C491" s="944"/>
      <c r="D491" s="321"/>
      <c r="E491" s="559" t="str">
        <f>IF('C-Design&amp;Const'!$S491="","",'C-Design&amp;Const'!$S491)</f>
        <v>Y</v>
      </c>
      <c r="F491" s="560"/>
      <c r="G491" s="558"/>
      <c r="H491" s="238" t="str">
        <f>CONCATENATE(IF(ISNUMBER(SEARCH("Placeholder",'C-Design&amp;Const'!Z491))=TRUE,"",IF(E491="N","PLACEHOLDER ROW - ","")),'C-Design&amp;Const'!Z491,IF(E491="N","",J491))</f>
        <v>Corrections to Errors / Omissions, Deficiencies, or Conflicts</v>
      </c>
      <c r="I491" s="186"/>
      <c r="J491" s="181" t="str">
        <f>IF('C-Design&amp;Const'!AJ491="","",'C-Design&amp;Const'!AJ491)</f>
        <v/>
      </c>
      <c r="L491" s="1410" t="str">
        <f t="shared" si="45"/>
        <v/>
      </c>
      <c r="M491" s="1382"/>
      <c r="N491" s="1382"/>
      <c r="O491" s="1382"/>
      <c r="P491" s="1382"/>
      <c r="Q491" s="1382"/>
      <c r="R491" s="1447"/>
      <c r="S491" s="1448"/>
      <c r="T491" s="1274"/>
      <c r="U491" s="1382"/>
      <c r="V491" s="1382"/>
      <c r="W491" s="1382"/>
      <c r="X491" s="1382"/>
      <c r="Y491" s="1382"/>
      <c r="Z491" s="1382"/>
      <c r="AA491" s="1382"/>
      <c r="AB491" s="1382"/>
      <c r="AC491" s="1382"/>
      <c r="AD491" s="1382"/>
      <c r="AE491" s="1382"/>
      <c r="AF491" s="1382"/>
      <c r="AG491" s="1382"/>
      <c r="AH491" s="1382"/>
      <c r="AI491" s="1382"/>
      <c r="AJ491" s="1382"/>
      <c r="AX491" s="30"/>
    </row>
    <row r="492" spans="1:50" s="181" customFormat="1" ht="15" customHeight="1" x14ac:dyDescent="0.25">
      <c r="A492" s="2327"/>
      <c r="B492" s="177"/>
      <c r="C492" s="944"/>
      <c r="D492" s="321"/>
      <c r="E492" s="559" t="str">
        <f>IF('C-Design&amp;Const'!$S492="","",'C-Design&amp;Const'!$S492)</f>
        <v>N</v>
      </c>
      <c r="F492" s="560"/>
      <c r="G492" s="558"/>
      <c r="H492" s="410" t="str">
        <f>CONCATENATE(IF(ISNUMBER(SEARCH("Placeholder",'C-Design&amp;Const'!Z492))=TRUE,"",IF(E492="N","PLACEHOLDER ROW - ","")),'C-Design&amp;Const'!Z492,IF(E492="N","",J492))</f>
        <v>PLACEHOLDER ROW - OPTIONAL CLIENT CUSTOM ITEM</v>
      </c>
      <c r="I492" s="186"/>
      <c r="J492" s="181" t="str">
        <f>IF('C-Design&amp;Const'!AJ492="","",'C-Design&amp;Const'!AJ492)</f>
        <v/>
      </c>
      <c r="L492" s="1410" t="str">
        <f t="shared" si="45"/>
        <v>&lt;---PM/Planner may hide PLACEHOLDER ROW</v>
      </c>
      <c r="M492" s="1382"/>
      <c r="N492" s="1382"/>
      <c r="O492" s="1382"/>
      <c r="P492" s="1382"/>
      <c r="Q492" s="1382"/>
      <c r="R492" s="1447"/>
      <c r="S492" s="1448"/>
      <c r="T492" s="1274"/>
      <c r="U492" s="1382"/>
      <c r="V492" s="1382"/>
      <c r="W492" s="1382"/>
      <c r="X492" s="1382"/>
      <c r="Y492" s="1382"/>
      <c r="Z492" s="1382"/>
      <c r="AA492" s="1382"/>
      <c r="AB492" s="1382"/>
      <c r="AC492" s="1382"/>
      <c r="AD492" s="1382"/>
      <c r="AE492" s="1382"/>
      <c r="AF492" s="1382"/>
      <c r="AG492" s="1382"/>
      <c r="AH492" s="1382"/>
      <c r="AI492" s="1382"/>
      <c r="AJ492" s="1382"/>
      <c r="AX492" s="30"/>
    </row>
    <row r="493" spans="1:50" s="181" customFormat="1" ht="15" customHeight="1" x14ac:dyDescent="0.25">
      <c r="A493" s="2327"/>
      <c r="B493" s="177"/>
      <c r="C493" s="944"/>
      <c r="D493" s="321"/>
      <c r="E493" s="559" t="str">
        <f>IF('C-Design&amp;Const'!$S493="","",'C-Design&amp;Const'!$S493)</f>
        <v>N</v>
      </c>
      <c r="F493" s="560"/>
      <c r="G493" s="558"/>
      <c r="H493" s="410" t="str">
        <f>CONCATENATE(IF(ISNUMBER(SEARCH("Placeholder",'C-Design&amp;Const'!Z493))=TRUE,"",IF(E493="N","PLACEHOLDER ROW - ","")),'C-Design&amp;Const'!Z493,IF(E493="N","",J493))</f>
        <v>PLACEHOLDER ROW - OPTIONAL CLIENT CUSTOM ITEM</v>
      </c>
      <c r="I493" s="186"/>
      <c r="J493" s="181" t="str">
        <f>IF('C-Design&amp;Const'!AJ493="","",'C-Design&amp;Const'!AJ493)</f>
        <v/>
      </c>
      <c r="L493" s="1410" t="str">
        <f t="shared" si="45"/>
        <v>&lt;---PM/Planner may hide PLACEHOLDER ROW</v>
      </c>
      <c r="M493" s="1382"/>
      <c r="N493" s="1382"/>
      <c r="O493" s="1382"/>
      <c r="P493" s="1382"/>
      <c r="Q493" s="1382"/>
      <c r="R493" s="1447"/>
      <c r="S493" s="1448"/>
      <c r="T493" s="1274"/>
      <c r="U493" s="1382"/>
      <c r="V493" s="1382"/>
      <c r="W493" s="1382"/>
      <c r="X493" s="1382"/>
      <c r="Y493" s="1382"/>
      <c r="Z493" s="1382"/>
      <c r="AA493" s="1382"/>
      <c r="AB493" s="1382"/>
      <c r="AC493" s="1382"/>
      <c r="AD493" s="1382"/>
      <c r="AE493" s="1382"/>
      <c r="AF493" s="1382"/>
      <c r="AG493" s="1382"/>
      <c r="AH493" s="1382"/>
      <c r="AI493" s="1382"/>
      <c r="AJ493" s="1382"/>
      <c r="AX493" s="30"/>
    </row>
    <row r="494" spans="1:50" ht="18.75" x14ac:dyDescent="0.25">
      <c r="A494" s="2327"/>
      <c r="B494" s="125"/>
      <c r="C494" s="944"/>
      <c r="D494" s="499"/>
      <c r="E494" s="539"/>
      <c r="F494" s="539"/>
      <c r="G494" s="292"/>
      <c r="H494" s="293"/>
      <c r="I494" s="263"/>
      <c r="J494" s="17" t="str">
        <f>IF('C-Design&amp;Const'!AJ494="","",'C-Design&amp;Const'!AJ494)</f>
        <v/>
      </c>
      <c r="L494" s="1410" t="str">
        <f t="shared" si="45"/>
        <v/>
      </c>
      <c r="M494" s="1333"/>
      <c r="N494" s="1333"/>
      <c r="O494" s="1333"/>
      <c r="P494" s="1333"/>
      <c r="Q494" s="1333"/>
      <c r="R494" s="1453"/>
      <c r="S494" s="1364"/>
      <c r="T494" s="1284"/>
      <c r="U494" s="1333"/>
      <c r="V494" s="1333"/>
      <c r="W494" s="1333"/>
      <c r="X494" s="1333"/>
      <c r="Y494" s="1333"/>
      <c r="Z494" s="1333"/>
      <c r="AA494" s="1333"/>
      <c r="AB494" s="1333"/>
      <c r="AC494" s="1333"/>
      <c r="AD494" s="1333"/>
      <c r="AE494" s="1333"/>
      <c r="AF494" s="1333"/>
      <c r="AG494" s="1333"/>
      <c r="AH494" s="1333"/>
      <c r="AI494" s="1333"/>
      <c r="AJ494" s="1333"/>
    </row>
    <row r="495" spans="1:50" ht="18.75" x14ac:dyDescent="0.25">
      <c r="A495" s="2327"/>
      <c r="B495" s="125"/>
      <c r="C495" s="944"/>
      <c r="D495" s="559" t="str">
        <f>IF('C-Design&amp;Const'!$S495="","",'C-Design&amp;Const'!$S495)</f>
        <v>Y</v>
      </c>
      <c r="E495" s="234"/>
      <c r="F495" s="235"/>
      <c r="G495" s="291" t="str">
        <f>IF('C-Design&amp;Const'!Y495="","",'C-Design&amp;Const'!Y495)</f>
        <v>24.</v>
      </c>
      <c r="H495" s="290" t="str">
        <f>CONCATENATE('C-Design&amp;Const'!Z495,IF(D495="N"," Not Used In This Construction Phase",J495))</f>
        <v>On-site Inspection / Observation Reports</v>
      </c>
      <c r="I495" s="262"/>
      <c r="J495" s="17" t="str">
        <f>IF('C-Design&amp;Const'!AJ495="","",'C-Design&amp;Const'!AJ495)</f>
        <v/>
      </c>
      <c r="L495" s="1410" t="str">
        <f t="shared" si="45"/>
        <v/>
      </c>
      <c r="M495" s="1333"/>
      <c r="N495" s="1333"/>
      <c r="O495" s="1333"/>
      <c r="P495" s="1333"/>
      <c r="Q495" s="1333"/>
      <c r="R495" s="1453"/>
      <c r="S495" s="1364"/>
      <c r="T495" s="1284"/>
      <c r="U495" s="1333"/>
      <c r="V495" s="1333"/>
      <c r="W495" s="1333"/>
      <c r="X495" s="1333"/>
      <c r="Y495" s="1333"/>
      <c r="Z495" s="1333"/>
      <c r="AA495" s="1333"/>
      <c r="AB495" s="1333"/>
      <c r="AC495" s="1333"/>
      <c r="AD495" s="1333"/>
      <c r="AE495" s="1333"/>
      <c r="AF495" s="1333"/>
      <c r="AG495" s="1333"/>
      <c r="AH495" s="1333"/>
      <c r="AI495" s="1333"/>
      <c r="AJ495" s="1333"/>
    </row>
    <row r="496" spans="1:50" s="181" customFormat="1" ht="15" customHeight="1" x14ac:dyDescent="0.25">
      <c r="A496" s="2327"/>
      <c r="B496" s="177"/>
      <c r="C496" s="944"/>
      <c r="D496" s="321"/>
      <c r="E496" s="559" t="str">
        <f>IF('C-Design&amp;Const'!$S496="","",'C-Design&amp;Const'!$S496)</f>
        <v>Y</v>
      </c>
      <c r="F496" s="560"/>
      <c r="G496" s="558"/>
      <c r="H496" s="238" t="str">
        <f>CONCATENATE(IF(ISNUMBER(SEARCH("Placeholder",'C-Design&amp;Const'!Z496))=TRUE,"",IF(E496="N","PLACEHOLDER ROW - ","")),'C-Design&amp;Const'!Z496,IF(E496="N","",J496))</f>
        <v>Progress Photos</v>
      </c>
      <c r="I496" s="186"/>
      <c r="J496" s="181" t="str">
        <f>IF('C-Design&amp;Const'!AJ496="","",'C-Design&amp;Const'!AJ496)</f>
        <v/>
      </c>
      <c r="L496" s="1410" t="str">
        <f t="shared" si="45"/>
        <v/>
      </c>
      <c r="M496" s="1382"/>
      <c r="N496" s="1382"/>
      <c r="O496" s="1382"/>
      <c r="P496" s="1382"/>
      <c r="Q496" s="1382"/>
      <c r="R496" s="1447"/>
      <c r="S496" s="1448"/>
      <c r="T496" s="1274"/>
      <c r="U496" s="1382"/>
      <c r="V496" s="1382"/>
      <c r="W496" s="1382"/>
      <c r="X496" s="1382"/>
      <c r="Y496" s="1382"/>
      <c r="Z496" s="1382"/>
      <c r="AA496" s="1382"/>
      <c r="AB496" s="1382"/>
      <c r="AC496" s="1382"/>
      <c r="AD496" s="1382"/>
      <c r="AE496" s="1382"/>
      <c r="AF496" s="1382"/>
      <c r="AG496" s="1382"/>
      <c r="AH496" s="1382"/>
      <c r="AI496" s="1382"/>
      <c r="AJ496" s="1382"/>
      <c r="AX496" s="30"/>
    </row>
    <row r="497" spans="1:50" s="181" customFormat="1" ht="15" customHeight="1" x14ac:dyDescent="0.25">
      <c r="A497" s="2327"/>
      <c r="B497" s="177"/>
      <c r="C497" s="944"/>
      <c r="D497" s="321"/>
      <c r="E497" s="559" t="str">
        <f>IF('C-Design&amp;Const'!$S497="","",'C-Design&amp;Const'!$S497)</f>
        <v>Y</v>
      </c>
      <c r="F497" s="560"/>
      <c r="G497" s="558"/>
      <c r="H497" s="238" t="str">
        <f>CONCATENATE(IF(ISNUMBER(SEARCH("Placeholder",'C-Design&amp;Const'!Z497))=TRUE,"",IF(E497="N","PLACEHOLDER ROW - ","")),'C-Design&amp;Const'!Z497,IF(E497="N","",J497))</f>
        <v>Observations / Inspections results</v>
      </c>
      <c r="I497" s="186"/>
      <c r="J497" s="181" t="str">
        <f>IF('C-Design&amp;Const'!AJ497="","",'C-Design&amp;Const'!AJ497)</f>
        <v/>
      </c>
      <c r="L497" s="1410" t="str">
        <f t="shared" si="45"/>
        <v/>
      </c>
      <c r="M497" s="1382"/>
      <c r="N497" s="1382"/>
      <c r="O497" s="1382"/>
      <c r="P497" s="1382"/>
      <c r="Q497" s="1382"/>
      <c r="R497" s="1447"/>
      <c r="S497" s="1448"/>
      <c r="T497" s="1274"/>
      <c r="U497" s="1382"/>
      <c r="V497" s="1382"/>
      <c r="W497" s="1382"/>
      <c r="X497" s="1382"/>
      <c r="Y497" s="1382"/>
      <c r="Z497" s="1382"/>
      <c r="AA497" s="1382"/>
      <c r="AB497" s="1382"/>
      <c r="AC497" s="1382"/>
      <c r="AD497" s="1382"/>
      <c r="AE497" s="1382"/>
      <c r="AF497" s="1382"/>
      <c r="AG497" s="1382"/>
      <c r="AH497" s="1382"/>
      <c r="AI497" s="1382"/>
      <c r="AJ497" s="1382"/>
      <c r="AX497" s="30"/>
    </row>
    <row r="498" spans="1:50" s="181" customFormat="1" ht="15" customHeight="1" x14ac:dyDescent="0.25">
      <c r="A498" s="2327"/>
      <c r="B498" s="177"/>
      <c r="C498" s="944"/>
      <c r="D498" s="321"/>
      <c r="E498" s="559" t="str">
        <f>IF('C-Design&amp;Const'!$S498="","",'C-Design&amp;Const'!$S498)</f>
        <v>Y</v>
      </c>
      <c r="F498" s="560"/>
      <c r="G498" s="558"/>
      <c r="H498" s="238" t="str">
        <f>CONCATENATE(IF(ISNUMBER(SEARCH("Placeholder",'C-Design&amp;Const'!Z498))=TRUE,"",IF(E498="N","PLACEHOLDER ROW - ","")),'C-Design&amp;Const'!Z498,IF(E498="N","",J498))</f>
        <v>Summary of Tests observed</v>
      </c>
      <c r="I498" s="186"/>
      <c r="J498" s="181" t="str">
        <f>IF('C-Design&amp;Const'!AJ498="","",'C-Design&amp;Const'!AJ498)</f>
        <v/>
      </c>
      <c r="L498" s="1410" t="str">
        <f t="shared" si="45"/>
        <v/>
      </c>
      <c r="M498" s="1382"/>
      <c r="N498" s="1382"/>
      <c r="O498" s="1382"/>
      <c r="P498" s="1382"/>
      <c r="Q498" s="1382"/>
      <c r="R498" s="1447"/>
      <c r="S498" s="1448"/>
      <c r="T498" s="1274"/>
      <c r="U498" s="1382"/>
      <c r="V498" s="1382"/>
      <c r="W498" s="1382"/>
      <c r="X498" s="1382"/>
      <c r="Y498" s="1382"/>
      <c r="Z498" s="1382"/>
      <c r="AA498" s="1382"/>
      <c r="AB498" s="1382"/>
      <c r="AC498" s="1382"/>
      <c r="AD498" s="1382"/>
      <c r="AE498" s="1382"/>
      <c r="AF498" s="1382"/>
      <c r="AG498" s="1382"/>
      <c r="AH498" s="1382"/>
      <c r="AI498" s="1382"/>
      <c r="AJ498" s="1382"/>
      <c r="AX498" s="30"/>
    </row>
    <row r="499" spans="1:50" s="181" customFormat="1" ht="15" customHeight="1" x14ac:dyDescent="0.25">
      <c r="A499" s="2327"/>
      <c r="B499" s="177"/>
      <c r="C499" s="944"/>
      <c r="D499" s="321"/>
      <c r="E499" s="559" t="str">
        <f>IF('C-Design&amp;Const'!$S499="","",'C-Design&amp;Const'!$S499)</f>
        <v>N</v>
      </c>
      <c r="F499" s="560"/>
      <c r="G499" s="558"/>
      <c r="H499" s="410" t="str">
        <f>CONCATENATE(IF(ISNUMBER(SEARCH("Placeholder",'C-Design&amp;Const'!Z499))=TRUE,"",IF(E499="N","PLACEHOLDER ROW - ","")),'C-Design&amp;Const'!Z499,IF(E499="N","",J499))</f>
        <v>PLACEHOLDER ROW - OPTIONAL CLIENT CUSTOM ITEM</v>
      </c>
      <c r="I499" s="186"/>
      <c r="J499" s="181" t="str">
        <f>IF('C-Design&amp;Const'!AJ499="","",'C-Design&amp;Const'!AJ499)</f>
        <v/>
      </c>
      <c r="L499" s="1410" t="str">
        <f t="shared" si="45"/>
        <v>&lt;---PM/Planner may hide PLACEHOLDER ROW</v>
      </c>
      <c r="M499" s="1382"/>
      <c r="N499" s="1382"/>
      <c r="O499" s="1382"/>
      <c r="P499" s="1382"/>
      <c r="Q499" s="1382"/>
      <c r="R499" s="1447"/>
      <c r="S499" s="1448"/>
      <c r="T499" s="1274"/>
      <c r="U499" s="1382"/>
      <c r="V499" s="1382"/>
      <c r="W499" s="1382"/>
      <c r="X499" s="1382"/>
      <c r="Y499" s="1382"/>
      <c r="Z499" s="1382"/>
      <c r="AA499" s="1382"/>
      <c r="AB499" s="1382"/>
      <c r="AC499" s="1382"/>
      <c r="AD499" s="1382"/>
      <c r="AE499" s="1382"/>
      <c r="AF499" s="1382"/>
      <c r="AG499" s="1382"/>
      <c r="AH499" s="1382"/>
      <c r="AI499" s="1382"/>
      <c r="AJ499" s="1382"/>
      <c r="AX499" s="30"/>
    </row>
    <row r="500" spans="1:50" s="181" customFormat="1" ht="15" customHeight="1" x14ac:dyDescent="0.25">
      <c r="A500" s="2327"/>
      <c r="B500" s="177"/>
      <c r="C500" s="944"/>
      <c r="D500" s="321"/>
      <c r="E500" s="559" t="str">
        <f>IF('C-Design&amp;Const'!$S500="","",'C-Design&amp;Const'!$S500)</f>
        <v>N</v>
      </c>
      <c r="F500" s="560"/>
      <c r="G500" s="558"/>
      <c r="H500" s="410" t="str">
        <f>CONCATENATE(IF(ISNUMBER(SEARCH("Placeholder",'C-Design&amp;Const'!Z500))=TRUE,"",IF(E500="N","PLACEHOLDER ROW - ","")),'C-Design&amp;Const'!Z500,IF(E500="N","",J500))</f>
        <v>PLACEHOLDER ROW - OPTIONAL CLIENT CUSTOM ITEM</v>
      </c>
      <c r="I500" s="186"/>
      <c r="J500" s="181" t="str">
        <f>IF('C-Design&amp;Const'!AJ500="","",'C-Design&amp;Const'!AJ500)</f>
        <v/>
      </c>
      <c r="L500" s="1410" t="str">
        <f t="shared" si="45"/>
        <v>&lt;---PM/Planner may hide PLACEHOLDER ROW</v>
      </c>
      <c r="M500" s="1382"/>
      <c r="N500" s="1382"/>
      <c r="O500" s="1382"/>
      <c r="P500" s="1382"/>
      <c r="Q500" s="1382"/>
      <c r="R500" s="1447"/>
      <c r="S500" s="1448"/>
      <c r="T500" s="1274"/>
      <c r="U500" s="1382"/>
      <c r="V500" s="1382"/>
      <c r="W500" s="1382"/>
      <c r="X500" s="1382"/>
      <c r="Y500" s="1382"/>
      <c r="Z500" s="1382"/>
      <c r="AA500" s="1382"/>
      <c r="AB500" s="1382"/>
      <c r="AC500" s="1382"/>
      <c r="AD500" s="1382"/>
      <c r="AE500" s="1382"/>
      <c r="AF500" s="1382"/>
      <c r="AG500" s="1382"/>
      <c r="AH500" s="1382"/>
      <c r="AI500" s="1382"/>
      <c r="AJ500" s="1382"/>
      <c r="AX500" s="30"/>
    </row>
    <row r="501" spans="1:50" ht="18.75" x14ac:dyDescent="0.25">
      <c r="A501" s="2327"/>
      <c r="B501" s="125"/>
      <c r="C501" s="944"/>
      <c r="D501" s="499"/>
      <c r="E501" s="539"/>
      <c r="F501" s="539"/>
      <c r="G501" s="292"/>
      <c r="H501" s="293"/>
      <c r="I501" s="263"/>
      <c r="J501" s="17" t="str">
        <f>IF('C-Design&amp;Const'!AJ501="","",'C-Design&amp;Const'!AJ501)</f>
        <v/>
      </c>
      <c r="L501" s="1410" t="str">
        <f t="shared" si="45"/>
        <v/>
      </c>
      <c r="M501" s="1333"/>
      <c r="N501" s="1333"/>
      <c r="O501" s="1333"/>
      <c r="P501" s="1333"/>
      <c r="Q501" s="1333"/>
      <c r="R501" s="1453"/>
      <c r="S501" s="1364"/>
      <c r="T501" s="1284"/>
      <c r="U501" s="1333"/>
      <c r="V501" s="1333"/>
      <c r="W501" s="1333"/>
      <c r="X501" s="1333"/>
      <c r="Y501" s="1333"/>
      <c r="Z501" s="1333"/>
      <c r="AA501" s="1333"/>
      <c r="AB501" s="1333"/>
      <c r="AC501" s="1333"/>
      <c r="AD501" s="1333"/>
      <c r="AE501" s="1333"/>
      <c r="AF501" s="1333"/>
      <c r="AG501" s="1333"/>
      <c r="AH501" s="1333"/>
      <c r="AI501" s="1333"/>
      <c r="AJ501" s="1333"/>
    </row>
    <row r="502" spans="1:50" ht="18.75" x14ac:dyDescent="0.25">
      <c r="A502" s="2327"/>
      <c r="B502" s="125"/>
      <c r="C502" s="944"/>
      <c r="D502" s="559" t="str">
        <f>IF('C-Design&amp;Const'!$S502="","",'C-Design&amp;Const'!$S502)</f>
        <v>Y</v>
      </c>
      <c r="E502" s="234"/>
      <c r="F502" s="235"/>
      <c r="G502" s="291" t="str">
        <f>IF('C-Design&amp;Const'!Y502="","",'C-Design&amp;Const'!Y502)</f>
        <v>25.</v>
      </c>
      <c r="H502" s="290" t="str">
        <f>CONCATENATE('C-Design&amp;Const'!Z502,IF(D502="N"," Not Used In This Construction Phase",J502))</f>
        <v>Results of Construction Inspection / Survey / Testing</v>
      </c>
      <c r="I502" s="262"/>
      <c r="J502" s="17" t="str">
        <f>IF('C-Design&amp;Const'!AJ502="","",'C-Design&amp;Const'!AJ502)</f>
        <v/>
      </c>
      <c r="L502" s="1410" t="str">
        <f t="shared" si="45"/>
        <v/>
      </c>
      <c r="M502" s="1333"/>
      <c r="N502" s="1333"/>
      <c r="O502" s="1333"/>
      <c r="P502" s="1333"/>
      <c r="Q502" s="1333"/>
      <c r="R502" s="1453"/>
      <c r="S502" s="1364"/>
      <c r="T502" s="1284"/>
      <c r="U502" s="1333"/>
      <c r="V502" s="1333"/>
      <c r="W502" s="1333"/>
      <c r="X502" s="1333"/>
      <c r="Y502" s="1333"/>
      <c r="Z502" s="1333"/>
      <c r="AA502" s="1333"/>
      <c r="AB502" s="1333"/>
      <c r="AC502" s="1333"/>
      <c r="AD502" s="1333"/>
      <c r="AE502" s="1333"/>
      <c r="AF502" s="1333"/>
      <c r="AG502" s="1333"/>
      <c r="AH502" s="1333"/>
      <c r="AI502" s="1333"/>
      <c r="AJ502" s="1333"/>
    </row>
    <row r="503" spans="1:50" ht="62.25" customHeight="1" x14ac:dyDescent="0.25">
      <c r="A503" s="2327"/>
      <c r="B503" s="125"/>
      <c r="C503" s="944"/>
      <c r="D503" s="321"/>
      <c r="E503" s="321"/>
      <c r="F503" s="321"/>
      <c r="G503" s="532" t="s">
        <v>234</v>
      </c>
      <c r="H503" s="1669" t="s">
        <v>703</v>
      </c>
      <c r="I503" s="130"/>
      <c r="J503" s="17" t="str">
        <f>IF('C-Design&amp;Const'!AJ503="","",'C-Design&amp;Const'!AJ503)</f>
        <v/>
      </c>
      <c r="L503" s="1410" t="str">
        <f t="shared" si="45"/>
        <v/>
      </c>
      <c r="M503" s="1333"/>
      <c r="N503" s="1333"/>
      <c r="O503" s="1333"/>
      <c r="P503" s="1333"/>
      <c r="Q503" s="1333"/>
      <c r="R503" s="1453"/>
      <c r="S503" s="1364"/>
      <c r="T503" s="1284"/>
      <c r="U503" s="1333"/>
      <c r="V503" s="1333"/>
      <c r="W503" s="1333"/>
      <c r="X503" s="1333"/>
      <c r="Y503" s="1333"/>
      <c r="Z503" s="1333"/>
      <c r="AA503" s="1333"/>
      <c r="AB503" s="1333"/>
      <c r="AC503" s="1333"/>
      <c r="AD503" s="1333"/>
      <c r="AE503" s="1333"/>
      <c r="AF503" s="1333"/>
      <c r="AG503" s="1333"/>
      <c r="AH503" s="1333"/>
      <c r="AI503" s="1333"/>
      <c r="AJ503" s="1333"/>
    </row>
    <row r="504" spans="1:50" s="181" customFormat="1" ht="15" customHeight="1" x14ac:dyDescent="0.25">
      <c r="A504" s="2327"/>
      <c r="B504" s="177"/>
      <c r="C504" s="944"/>
      <c r="D504" s="321"/>
      <c r="E504" s="559" t="str">
        <f>IF('C-Design&amp;Const'!$S504="","",'C-Design&amp;Const'!$S504)</f>
        <v>Y</v>
      </c>
      <c r="F504" s="560"/>
      <c r="G504" s="558"/>
      <c r="H504" s="238" t="str">
        <f>CONCATENATE(IF(ISNUMBER(SEARCH("Placeholder",'C-Design&amp;Const'!Z504))=TRUE,"",IF(E504="N","PLACEHOLDER ROW - ","")),'C-Design&amp;Const'!Z504,IF(E504="N","",J504))</f>
        <v>Asbestos Testing and Abatement Report</v>
      </c>
      <c r="I504" s="186"/>
      <c r="J504" s="181" t="str">
        <f>IF('C-Design&amp;Const'!AJ504="","",'C-Design&amp;Const'!AJ504)</f>
        <v/>
      </c>
      <c r="L504" s="1410" t="str">
        <f t="shared" si="45"/>
        <v/>
      </c>
      <c r="M504" s="1382"/>
      <c r="N504" s="1382"/>
      <c r="O504" s="1382"/>
      <c r="P504" s="1382"/>
      <c r="Q504" s="1382"/>
      <c r="R504" s="1447"/>
      <c r="S504" s="1448"/>
      <c r="T504" s="1274"/>
      <c r="U504" s="1382"/>
      <c r="V504" s="1382"/>
      <c r="W504" s="1382"/>
      <c r="X504" s="1382"/>
      <c r="Y504" s="1382"/>
      <c r="Z504" s="1382"/>
      <c r="AA504" s="1382"/>
      <c r="AB504" s="1382"/>
      <c r="AC504" s="1382"/>
      <c r="AD504" s="1382"/>
      <c r="AE504" s="1382"/>
      <c r="AF504" s="1382"/>
      <c r="AG504" s="1382"/>
      <c r="AH504" s="1382"/>
      <c r="AI504" s="1382"/>
      <c r="AJ504" s="1382"/>
      <c r="AX504" s="30"/>
    </row>
    <row r="505" spans="1:50" s="181" customFormat="1" ht="15" customHeight="1" x14ac:dyDescent="0.25">
      <c r="A505" s="2327"/>
      <c r="B505" s="177"/>
      <c r="C505" s="944"/>
      <c r="D505" s="321"/>
      <c r="E505" s="559" t="str">
        <f>IF('C-Design&amp;Const'!$S505="","",'C-Design&amp;Const'!$S505)</f>
        <v>Y</v>
      </c>
      <c r="F505" s="560"/>
      <c r="G505" s="558"/>
      <c r="H505" s="238" t="str">
        <f>CONCATENATE(IF(ISNUMBER(SEARCH("Placeholder",'C-Design&amp;Const'!Z505))=TRUE,"",IF(E505="N","PLACEHOLDER ROW - ","")),'C-Design&amp;Const'!Z505,IF(E505="N","",J505))</f>
        <v>Lead-based paint field survey and material analysis</v>
      </c>
      <c r="I505" s="186"/>
      <c r="J505" s="181" t="str">
        <f>IF('C-Design&amp;Const'!AJ505="","",'C-Design&amp;Const'!AJ505)</f>
        <v/>
      </c>
      <c r="L505" s="1410" t="str">
        <f t="shared" si="45"/>
        <v/>
      </c>
      <c r="M505" s="1382"/>
      <c r="N505" s="1382"/>
      <c r="O505" s="1382"/>
      <c r="P505" s="1382"/>
      <c r="Q505" s="1382"/>
      <c r="R505" s="1447"/>
      <c r="S505" s="1448"/>
      <c r="T505" s="1274"/>
      <c r="U505" s="1382"/>
      <c r="V505" s="1382"/>
      <c r="W505" s="1382"/>
      <c r="X505" s="1382"/>
      <c r="Y505" s="1382"/>
      <c r="Z505" s="1382"/>
      <c r="AA505" s="1382"/>
      <c r="AB505" s="1382"/>
      <c r="AC505" s="1382"/>
      <c r="AD505" s="1382"/>
      <c r="AE505" s="1382"/>
      <c r="AF505" s="1382"/>
      <c r="AG505" s="1382"/>
      <c r="AH505" s="1382"/>
      <c r="AI505" s="1382"/>
      <c r="AJ505" s="1382"/>
      <c r="AX505" s="30"/>
    </row>
    <row r="506" spans="1:50" s="181" customFormat="1" ht="15" customHeight="1" x14ac:dyDescent="0.25">
      <c r="A506" s="2327"/>
      <c r="B506" s="177"/>
      <c r="C506" s="944"/>
      <c r="D506" s="321"/>
      <c r="E506" s="559" t="str">
        <f>IF('C-Design&amp;Const'!$S506="","",'C-Design&amp;Const'!$S506)</f>
        <v>Y</v>
      </c>
      <c r="F506" s="560"/>
      <c r="G506" s="558"/>
      <c r="H506" s="238" t="str">
        <f>CONCATENATE(IF(ISNUMBER(SEARCH("Placeholder",'C-Design&amp;Const'!Z506))=TRUE,"",IF(E506="N","PLACEHOLDER ROW - ","")),'C-Design&amp;Const'!Z506,IF(E506="N","",J506))</f>
        <v>Review and submit flow tests</v>
      </c>
      <c r="I506" s="186"/>
      <c r="J506" s="181" t="str">
        <f>IF('C-Design&amp;Const'!AJ506="","",'C-Design&amp;Const'!AJ506)</f>
        <v/>
      </c>
      <c r="L506" s="1410" t="str">
        <f t="shared" si="45"/>
        <v/>
      </c>
      <c r="M506" s="1382"/>
      <c r="N506" s="1382"/>
      <c r="O506" s="1382"/>
      <c r="P506" s="1382"/>
      <c r="Q506" s="1382"/>
      <c r="R506" s="1447"/>
      <c r="S506" s="1448"/>
      <c r="T506" s="1274"/>
      <c r="U506" s="1382"/>
      <c r="V506" s="1382"/>
      <c r="W506" s="1382"/>
      <c r="X506" s="1382"/>
      <c r="Y506" s="1382"/>
      <c r="Z506" s="1382"/>
      <c r="AA506" s="1382"/>
      <c r="AB506" s="1382"/>
      <c r="AC506" s="1382"/>
      <c r="AD506" s="1382"/>
      <c r="AE506" s="1382"/>
      <c r="AF506" s="1382"/>
      <c r="AG506" s="1382"/>
      <c r="AH506" s="1382"/>
      <c r="AI506" s="1382"/>
      <c r="AJ506" s="1382"/>
      <c r="AX506" s="30"/>
    </row>
    <row r="507" spans="1:50" s="181" customFormat="1" ht="15" customHeight="1" x14ac:dyDescent="0.25">
      <c r="A507" s="2327"/>
      <c r="B507" s="177"/>
      <c r="C507" s="944"/>
      <c r="D507" s="321"/>
      <c r="E507" s="559" t="str">
        <f>IF('C-Design&amp;Const'!$S507="","",'C-Design&amp;Const'!$S507)</f>
        <v>Y</v>
      </c>
      <c r="F507" s="560"/>
      <c r="G507" s="558"/>
      <c r="H507" s="238" t="str">
        <f>CONCATENATE(IF(ISNUMBER(SEARCH("Placeholder",'C-Design&amp;Const'!Z507))=TRUE,"",IF(E507="N","PLACEHOLDER ROW - ","")),'C-Design&amp;Const'!Z507,IF(E507="N","",J507))</f>
        <v>Review and submit surveying results from contractor</v>
      </c>
      <c r="I507" s="186"/>
      <c r="J507" s="181" t="str">
        <f>IF('C-Design&amp;Const'!AJ507="","",'C-Design&amp;Const'!AJ507)</f>
        <v/>
      </c>
      <c r="L507" s="1410" t="str">
        <f t="shared" si="45"/>
        <v/>
      </c>
      <c r="M507" s="1382"/>
      <c r="N507" s="1382"/>
      <c r="O507" s="1382"/>
      <c r="P507" s="1382"/>
      <c r="Q507" s="1382"/>
      <c r="R507" s="1447"/>
      <c r="S507" s="1448"/>
      <c r="T507" s="1274"/>
      <c r="U507" s="1382"/>
      <c r="V507" s="1382"/>
      <c r="W507" s="1382"/>
      <c r="X507" s="1382"/>
      <c r="Y507" s="1382"/>
      <c r="Z507" s="1382"/>
      <c r="AA507" s="1382"/>
      <c r="AB507" s="1382"/>
      <c r="AC507" s="1382"/>
      <c r="AD507" s="1382"/>
      <c r="AE507" s="1382"/>
      <c r="AF507" s="1382"/>
      <c r="AG507" s="1382"/>
      <c r="AH507" s="1382"/>
      <c r="AI507" s="1382"/>
      <c r="AJ507" s="1382"/>
      <c r="AX507" s="30"/>
    </row>
    <row r="508" spans="1:50" s="181" customFormat="1" ht="27" customHeight="1" x14ac:dyDescent="0.25">
      <c r="A508" s="2327"/>
      <c r="B508" s="177"/>
      <c r="C508" s="944"/>
      <c r="D508" s="321"/>
      <c r="E508" s="559" t="str">
        <f>IF('C-Design&amp;Const'!$S508="","",'C-Design&amp;Const'!$S508)</f>
        <v>Y</v>
      </c>
      <c r="F508" s="560"/>
      <c r="G508" s="558"/>
      <c r="H508" s="238" t="str">
        <f>CONCATENATE(IF(ISNUMBER(SEARCH("Placeholder",'C-Design&amp;Const'!Z508))=TRUE,"",IF(E508="N","PLACEHOLDER ROW - ","")),'C-Design&amp;Const'!Z508,IF(E508="N","",J508))</f>
        <v>Review &amp; Submit results of soil compaction tests at roadways, sidewalks, and driveways. - May be updated from STNDS</v>
      </c>
      <c r="I508" s="186"/>
      <c r="J508" s="181" t="str">
        <f>IF('C-Design&amp;Const'!AJ508="","",'C-Design&amp;Const'!AJ508)</f>
        <v/>
      </c>
      <c r="L508" s="1410" t="str">
        <f t="shared" si="45"/>
        <v/>
      </c>
      <c r="M508" s="1382"/>
      <c r="N508" s="1382"/>
      <c r="O508" s="1382"/>
      <c r="P508" s="1382"/>
      <c r="Q508" s="1382"/>
      <c r="R508" s="1447"/>
      <c r="S508" s="1448"/>
      <c r="T508" s="1274"/>
      <c r="U508" s="1382"/>
      <c r="V508" s="1382"/>
      <c r="W508" s="1382"/>
      <c r="X508" s="1382"/>
      <c r="Y508" s="1382"/>
      <c r="Z508" s="1382"/>
      <c r="AA508" s="1382"/>
      <c r="AB508" s="1382"/>
      <c r="AC508" s="1382"/>
      <c r="AD508" s="1382"/>
      <c r="AE508" s="1382"/>
      <c r="AF508" s="1382"/>
      <c r="AG508" s="1382"/>
      <c r="AH508" s="1382"/>
      <c r="AI508" s="1382"/>
      <c r="AJ508" s="1382"/>
      <c r="AX508" s="30"/>
    </row>
    <row r="509" spans="1:50" s="181" customFormat="1" ht="15" customHeight="1" x14ac:dyDescent="0.25">
      <c r="A509" s="2327"/>
      <c r="B509" s="177"/>
      <c r="C509" s="944"/>
      <c r="D509" s="321"/>
      <c r="E509" s="559" t="str">
        <f>IF('C-Design&amp;Const'!$S509="","",'C-Design&amp;Const'!$S509)</f>
        <v>Y</v>
      </c>
      <c r="F509" s="560"/>
      <c r="G509" s="558"/>
      <c r="H509" s="238" t="str">
        <f>CONCATENATE(IF(ISNUMBER(SEARCH("Placeholder",'C-Design&amp;Const'!Z509))=TRUE,"",IF(E509="N","PLACEHOLDER ROW - ","")),'C-Design&amp;Const'!Z509,IF(E509="N","",J509))</f>
        <v>Review and submit results of soil compaction tests at backfill against structures. - May be updated from STNDS</v>
      </c>
      <c r="I509" s="186"/>
      <c r="J509" s="181" t="str">
        <f>IF('C-Design&amp;Const'!AJ509="","",'C-Design&amp;Const'!AJ509)</f>
        <v/>
      </c>
      <c r="L509" s="1410" t="str">
        <f t="shared" si="45"/>
        <v/>
      </c>
      <c r="M509" s="1382"/>
      <c r="N509" s="1382"/>
      <c r="O509" s="1382"/>
      <c r="P509" s="1382"/>
      <c r="Q509" s="1382"/>
      <c r="R509" s="1447"/>
      <c r="S509" s="1448"/>
      <c r="T509" s="1274"/>
      <c r="U509" s="1382"/>
      <c r="V509" s="1382"/>
      <c r="W509" s="1382"/>
      <c r="X509" s="1382"/>
      <c r="Y509" s="1382"/>
      <c r="Z509" s="1382"/>
      <c r="AA509" s="1382"/>
      <c r="AB509" s="1382"/>
      <c r="AC509" s="1382"/>
      <c r="AD509" s="1382"/>
      <c r="AE509" s="1382"/>
      <c r="AF509" s="1382"/>
      <c r="AG509" s="1382"/>
      <c r="AH509" s="1382"/>
      <c r="AI509" s="1382"/>
      <c r="AJ509" s="1382"/>
      <c r="AX509" s="30"/>
    </row>
    <row r="510" spans="1:50" s="181" customFormat="1" ht="15" customHeight="1" x14ac:dyDescent="0.25">
      <c r="A510" s="2327"/>
      <c r="B510" s="177"/>
      <c r="C510" s="944"/>
      <c r="D510" s="321"/>
      <c r="E510" s="559" t="str">
        <f>IF('C-Design&amp;Const'!$S510="","",'C-Design&amp;Const'!$S510)</f>
        <v>Y</v>
      </c>
      <c r="F510" s="560"/>
      <c r="G510" s="558"/>
      <c r="H510" s="238" t="str">
        <f>CONCATENATE(IF(ISNUMBER(SEARCH("Placeholder",'C-Design&amp;Const'!Z510))=TRUE,"",IF(E510="N","PLACEHOLDER ROW - ","")),'C-Design&amp;Const'!Z510,IF(E510="N","",J510))</f>
        <v>Review and submit results of nuclear density tests for bituminous pavements. - May be updated from STNDS</v>
      </c>
      <c r="I510" s="186"/>
      <c r="J510" s="181" t="str">
        <f>IF('C-Design&amp;Const'!AJ510="","",'C-Design&amp;Const'!AJ510)</f>
        <v/>
      </c>
      <c r="L510" s="1410" t="str">
        <f t="shared" si="45"/>
        <v/>
      </c>
      <c r="M510" s="1382"/>
      <c r="N510" s="1382"/>
      <c r="O510" s="1382"/>
      <c r="P510" s="1382"/>
      <c r="Q510" s="1382"/>
      <c r="R510" s="1447"/>
      <c r="S510" s="1448"/>
      <c r="T510" s="1274"/>
      <c r="U510" s="1382"/>
      <c r="V510" s="1382"/>
      <c r="W510" s="1382"/>
      <c r="X510" s="1382"/>
      <c r="Y510" s="1382"/>
      <c r="Z510" s="1382"/>
      <c r="AA510" s="1382"/>
      <c r="AB510" s="1382"/>
      <c r="AC510" s="1382"/>
      <c r="AD510" s="1382"/>
      <c r="AE510" s="1382"/>
      <c r="AF510" s="1382"/>
      <c r="AG510" s="1382"/>
      <c r="AH510" s="1382"/>
      <c r="AI510" s="1382"/>
      <c r="AJ510" s="1382"/>
      <c r="AX510" s="30"/>
    </row>
    <row r="511" spans="1:50" s="181" customFormat="1" ht="15" customHeight="1" x14ac:dyDescent="0.25">
      <c r="A511" s="2327"/>
      <c r="B511" s="177"/>
      <c r="C511" s="944"/>
      <c r="D511" s="321"/>
      <c r="E511" s="559" t="str">
        <f>IF('C-Design&amp;Const'!$S511="","",'C-Design&amp;Const'!$S511)</f>
        <v>Y</v>
      </c>
      <c r="F511" s="560"/>
      <c r="G511" s="558"/>
      <c r="H511" s="238" t="str">
        <f>CONCATENATE(IF(ISNUMBER(SEARCH("Placeholder",'C-Design&amp;Const'!Z511))=TRUE,"",IF(E511="N","PLACEHOLDER ROW - ","")),'C-Design&amp;Const'!Z511,IF(E511="N","",J511))</f>
        <v>Review and submit results pile driving records. - May be updated from STNDS</v>
      </c>
      <c r="I511" s="186"/>
      <c r="J511" s="181" t="str">
        <f>IF('C-Design&amp;Const'!AJ511="","",'C-Design&amp;Const'!AJ511)</f>
        <v/>
      </c>
      <c r="L511" s="1410" t="str">
        <f t="shared" si="45"/>
        <v/>
      </c>
      <c r="M511" s="1382"/>
      <c r="N511" s="1382"/>
      <c r="O511" s="1382"/>
      <c r="P511" s="1382"/>
      <c r="Q511" s="1382"/>
      <c r="R511" s="1447"/>
      <c r="S511" s="1448"/>
      <c r="T511" s="1274"/>
      <c r="U511" s="1382"/>
      <c r="V511" s="1382"/>
      <c r="W511" s="1382"/>
      <c r="X511" s="1382"/>
      <c r="Y511" s="1382"/>
      <c r="Z511" s="1382"/>
      <c r="AA511" s="1382"/>
      <c r="AB511" s="1382"/>
      <c r="AC511" s="1382"/>
      <c r="AD511" s="1382"/>
      <c r="AE511" s="1382"/>
      <c r="AF511" s="1382"/>
      <c r="AG511" s="1382"/>
      <c r="AH511" s="1382"/>
      <c r="AI511" s="1382"/>
      <c r="AJ511" s="1382"/>
      <c r="AX511" s="30"/>
    </row>
    <row r="512" spans="1:50" s="181" customFormat="1" ht="15" customHeight="1" x14ac:dyDescent="0.25">
      <c r="A512" s="2327"/>
      <c r="B512" s="177"/>
      <c r="C512" s="944"/>
      <c r="D512" s="321"/>
      <c r="E512" s="559" t="str">
        <f>IF('C-Design&amp;Const'!$S512="","",'C-Design&amp;Const'!$S512)</f>
        <v>Y</v>
      </c>
      <c r="F512" s="560"/>
      <c r="G512" s="558"/>
      <c r="H512" s="238" t="str">
        <f>CONCATENATE(IF(ISNUMBER(SEARCH("Placeholder",'C-Design&amp;Const'!Z512))=TRUE,"",IF(E512="N","PLACEHOLDER ROW - ","")),'C-Design&amp;Const'!Z512,IF(E512="N","",J512))</f>
        <v>Results of all concrete cylinder tests. - May be updated from STNDS</v>
      </c>
      <c r="I512" s="186"/>
      <c r="J512" s="181" t="str">
        <f>IF('C-Design&amp;Const'!AJ512="","",'C-Design&amp;Const'!AJ512)</f>
        <v/>
      </c>
      <c r="L512" s="1410" t="str">
        <f t="shared" si="45"/>
        <v/>
      </c>
      <c r="M512" s="1382"/>
      <c r="N512" s="1382"/>
      <c r="O512" s="1382"/>
      <c r="P512" s="1382"/>
      <c r="Q512" s="1382"/>
      <c r="R512" s="1447"/>
      <c r="S512" s="1448"/>
      <c r="T512" s="1274"/>
      <c r="U512" s="1382"/>
      <c r="V512" s="1382"/>
      <c r="W512" s="1382"/>
      <c r="X512" s="1382"/>
      <c r="Y512" s="1382"/>
      <c r="Z512" s="1382"/>
      <c r="AA512" s="1382"/>
      <c r="AB512" s="1382"/>
      <c r="AC512" s="1382"/>
      <c r="AD512" s="1382"/>
      <c r="AE512" s="1382"/>
      <c r="AF512" s="1382"/>
      <c r="AG512" s="1382"/>
      <c r="AH512" s="1382"/>
      <c r="AI512" s="1382"/>
      <c r="AJ512" s="1382"/>
      <c r="AX512" s="30"/>
    </row>
    <row r="513" spans="1:50" s="30" customFormat="1" ht="15.75" customHeight="1" x14ac:dyDescent="0.25">
      <c r="A513" s="2327"/>
      <c r="B513" s="191"/>
      <c r="C513" s="944"/>
      <c r="D513" s="463"/>
      <c r="E513" s="359" t="str">
        <f>IF('C-Design&amp;Const'!$S513="","",'C-Design&amp;Const'!$S513)</f>
        <v>Y</v>
      </c>
      <c r="F513" s="291"/>
      <c r="G513" s="291"/>
      <c r="H513" s="808" t="str">
        <f>CONCATENATE(IF(ISNUMBER(SEARCH("Placeholder",'C-Design&amp;Const'!Z513))=TRUE,"",IF(E513="N","PLACEHOLDER ROW - ","")),'C-Design&amp;Const'!Z513,IF(E513="N","",J513))</f>
        <v>Results of Harmonic Analysis Reports for VFD's. - May be updated from STNDS</v>
      </c>
      <c r="I513" s="184"/>
      <c r="J513" s="181" t="str">
        <f>IF('C-Design&amp;Const'!AJ513="","",'C-Design&amp;Const'!AJ513)</f>
        <v/>
      </c>
      <c r="L513" s="1410" t="str">
        <f t="shared" si="45"/>
        <v/>
      </c>
      <c r="M513" s="1382"/>
      <c r="N513" s="1382"/>
      <c r="O513" s="1382"/>
      <c r="P513" s="1382"/>
      <c r="Q513" s="1382"/>
      <c r="R513" s="1382"/>
      <c r="S513" s="1382"/>
      <c r="T513" s="1382"/>
      <c r="U513" s="1382"/>
      <c r="V513" s="1382"/>
      <c r="W513" s="1382"/>
      <c r="X513" s="1382"/>
      <c r="Y513" s="1382"/>
      <c r="Z513" s="1382"/>
      <c r="AA513" s="1382"/>
      <c r="AB513" s="1382"/>
      <c r="AC513" s="1382"/>
      <c r="AD513" s="1382"/>
      <c r="AE513" s="1382"/>
      <c r="AF513" s="1382"/>
      <c r="AG513" s="1382"/>
      <c r="AH513" s="1382"/>
      <c r="AI513" s="1382"/>
      <c r="AJ513" s="1382"/>
      <c r="AK513" s="181"/>
      <c r="AL513" s="181"/>
      <c r="AM513" s="181"/>
      <c r="AN513" s="181"/>
      <c r="AO513" s="181"/>
      <c r="AP513" s="181"/>
      <c r="AQ513" s="181"/>
      <c r="AR513" s="181"/>
      <c r="AS513" s="181"/>
      <c r="AT513" s="181"/>
      <c r="AU513" s="181"/>
      <c r="AV513" s="181"/>
      <c r="AW513" s="181"/>
    </row>
    <row r="514" spans="1:50" s="181" customFormat="1" ht="15" customHeight="1" x14ac:dyDescent="0.25">
      <c r="A514" s="2327"/>
      <c r="B514" s="177"/>
      <c r="C514" s="944"/>
      <c r="D514" s="321"/>
      <c r="E514" s="559" t="str">
        <f>IF('C-Design&amp;Const'!$S514="","",'C-Design&amp;Const'!$S514)</f>
        <v>Y</v>
      </c>
      <c r="F514" s="560"/>
      <c r="G514" s="558"/>
      <c r="H514" s="238" t="str">
        <f>CONCATENATE(IF(ISNUMBER(SEARCH("Placeholder",'C-Design&amp;Const'!Z514))=TRUE,"",IF(E514="N","PLACEHOLDER ROW - ","")),'C-Design&amp;Const'!Z514,IF(E514="N","",J514))</f>
        <v>Results of Equipment Tests - May be updated from STNDS</v>
      </c>
      <c r="I514" s="186"/>
      <c r="J514" s="181" t="str">
        <f>IF('C-Design&amp;Const'!AJ514="","",'C-Design&amp;Const'!AJ514)</f>
        <v/>
      </c>
      <c r="L514" s="1410" t="str">
        <f t="shared" si="45"/>
        <v/>
      </c>
      <c r="M514" s="1382"/>
      <c r="N514" s="1382"/>
      <c r="O514" s="1382"/>
      <c r="P514" s="1382"/>
      <c r="Q514" s="1382"/>
      <c r="R514" s="1447"/>
      <c r="S514" s="1448"/>
      <c r="T514" s="1274"/>
      <c r="U514" s="1382"/>
      <c r="V514" s="1382"/>
      <c r="W514" s="1382"/>
      <c r="X514" s="1382"/>
      <c r="Y514" s="1382"/>
      <c r="Z514" s="1382"/>
      <c r="AA514" s="1382"/>
      <c r="AB514" s="1382"/>
      <c r="AC514" s="1382"/>
      <c r="AD514" s="1382"/>
      <c r="AE514" s="1382"/>
      <c r="AF514" s="1382"/>
      <c r="AG514" s="1382"/>
      <c r="AH514" s="1382"/>
      <c r="AI514" s="1382"/>
      <c r="AJ514" s="1382"/>
      <c r="AX514" s="30"/>
    </row>
    <row r="515" spans="1:50" s="551" customFormat="1" ht="15" customHeight="1" x14ac:dyDescent="0.25">
      <c r="A515" s="2327"/>
      <c r="B515" s="549"/>
      <c r="C515" s="944"/>
      <c r="D515" s="321"/>
      <c r="E515" s="559" t="str">
        <f>IF('C-Design&amp;Const'!$S515="","",'C-Design&amp;Const'!$S515)</f>
        <v>Y</v>
      </c>
      <c r="F515" s="560"/>
      <c r="G515" s="558"/>
      <c r="H515" s="238" t="str">
        <f>CONCATENATE(IF(ISNUMBER(SEARCH("Placeholder",'C-Design&amp;Const'!Z515))=TRUE,"",IF(E515="N","PLACEHOLDER ROW - ","")),'C-Design&amp;Const'!Z515,IF(E515="N","",J515))</f>
        <v>Results of Material Testing - May be updated from  STNDS</v>
      </c>
      <c r="I515" s="186"/>
      <c r="J515" s="551" t="str">
        <f>IF('C-Design&amp;Const'!AJ515="","",'C-Design&amp;Const'!AJ515)</f>
        <v/>
      </c>
      <c r="L515" s="1410" t="str">
        <f t="shared" ref="L515:L517" si="46">CONCATENATE(IF(ISNUMBER(SEARCH("Placeholder",H515))=TRUE,"&lt;---PM/Planner may hide PLACEHOLDER ROW",""))</f>
        <v/>
      </c>
      <c r="M515" s="1382"/>
      <c r="N515" s="1382"/>
      <c r="O515" s="1382"/>
      <c r="P515" s="1382"/>
      <c r="Q515" s="1382"/>
      <c r="R515" s="1447"/>
      <c r="S515" s="1448"/>
      <c r="T515" s="1274"/>
      <c r="U515" s="1382"/>
      <c r="V515" s="1382"/>
      <c r="W515" s="1382"/>
      <c r="X515" s="1382"/>
      <c r="Y515" s="1382"/>
      <c r="Z515" s="1382"/>
      <c r="AA515" s="1382"/>
      <c r="AB515" s="1382"/>
      <c r="AC515" s="1382"/>
      <c r="AD515" s="1382"/>
      <c r="AE515" s="1382"/>
      <c r="AF515" s="1382"/>
      <c r="AG515" s="1382"/>
      <c r="AH515" s="1382"/>
      <c r="AI515" s="1382"/>
      <c r="AJ515" s="1382"/>
      <c r="AX515" s="545"/>
    </row>
    <row r="516" spans="1:50" s="551" customFormat="1" ht="15" customHeight="1" x14ac:dyDescent="0.25">
      <c r="A516" s="2327"/>
      <c r="B516" s="549"/>
      <c r="C516" s="944"/>
      <c r="D516" s="321"/>
      <c r="E516" s="559" t="str">
        <f>IF('C-Design&amp;Const'!$S516="","",'C-Design&amp;Const'!$S516)</f>
        <v>N</v>
      </c>
      <c r="F516" s="560"/>
      <c r="G516" s="558"/>
      <c r="H516" s="238" t="str">
        <f>CONCATENATE(IF(ISNUMBER(SEARCH("Placeholder",'C-Design&amp;Const'!Z516))=TRUE,"",IF(E516="N","PLACEHOLDER ROW - ","")),'C-Design&amp;Const'!Z516,IF(E516="N","",J516))</f>
        <v>PLACEHOLDER ROW - OPTIONAL CLIENT CUSTOM ITEM</v>
      </c>
      <c r="I516" s="186"/>
      <c r="J516" s="551" t="str">
        <f>IF('C-Design&amp;Const'!AJ516="","",'C-Design&amp;Const'!AJ516)</f>
        <v/>
      </c>
      <c r="L516" s="1410" t="str">
        <f t="shared" si="46"/>
        <v>&lt;---PM/Planner may hide PLACEHOLDER ROW</v>
      </c>
      <c r="M516" s="1382"/>
      <c r="N516" s="1382"/>
      <c r="O516" s="1382"/>
      <c r="P516" s="1382"/>
      <c r="Q516" s="1382"/>
      <c r="R516" s="1447"/>
      <c r="S516" s="1448"/>
      <c r="T516" s="1274"/>
      <c r="U516" s="1382"/>
      <c r="V516" s="1382"/>
      <c r="W516" s="1382"/>
      <c r="X516" s="1382"/>
      <c r="Y516" s="1382"/>
      <c r="Z516" s="1382"/>
      <c r="AA516" s="1382"/>
      <c r="AB516" s="1382"/>
      <c r="AC516" s="1382"/>
      <c r="AD516" s="1382"/>
      <c r="AE516" s="1382"/>
      <c r="AF516" s="1382"/>
      <c r="AG516" s="1382"/>
      <c r="AH516" s="1382"/>
      <c r="AI516" s="1382"/>
      <c r="AJ516" s="1382"/>
      <c r="AX516" s="545"/>
    </row>
    <row r="517" spans="1:50" s="551" customFormat="1" ht="15" customHeight="1" x14ac:dyDescent="0.25">
      <c r="A517" s="2327"/>
      <c r="B517" s="549"/>
      <c r="C517" s="944"/>
      <c r="D517" s="321"/>
      <c r="E517" s="559" t="str">
        <f>IF('C-Design&amp;Const'!$S517="","",'C-Design&amp;Const'!$S517)</f>
        <v>N</v>
      </c>
      <c r="F517" s="560"/>
      <c r="G517" s="558"/>
      <c r="H517" s="238" t="str">
        <f>CONCATENATE(IF(ISNUMBER(SEARCH("Placeholder",'C-Design&amp;Const'!Z517))=TRUE,"",IF(E517="N","PLACEHOLDER ROW - ","")),'C-Design&amp;Const'!Z517,IF(E517="N","",J517))</f>
        <v>PLACEHOLDER ROW - OPTIONAL CLIENT CUSTOM ITEM</v>
      </c>
      <c r="I517" s="186"/>
      <c r="J517" s="551" t="str">
        <f>IF('C-Design&amp;Const'!AJ517="","",'C-Design&amp;Const'!AJ517)</f>
        <v/>
      </c>
      <c r="L517" s="1410" t="str">
        <f t="shared" si="46"/>
        <v>&lt;---PM/Planner may hide PLACEHOLDER ROW</v>
      </c>
      <c r="M517" s="1382"/>
      <c r="N517" s="1382"/>
      <c r="O517" s="1382"/>
      <c r="P517" s="1382"/>
      <c r="Q517" s="1382"/>
      <c r="R517" s="1447"/>
      <c r="S517" s="1448"/>
      <c r="T517" s="1274"/>
      <c r="U517" s="1382"/>
      <c r="V517" s="1382"/>
      <c r="W517" s="1382"/>
      <c r="X517" s="1382"/>
      <c r="Y517" s="1382"/>
      <c r="Z517" s="1382"/>
      <c r="AA517" s="1382"/>
      <c r="AB517" s="1382"/>
      <c r="AC517" s="1382"/>
      <c r="AD517" s="1382"/>
      <c r="AE517" s="1382"/>
      <c r="AF517" s="1382"/>
      <c r="AG517" s="1382"/>
      <c r="AH517" s="1382"/>
      <c r="AI517" s="1382"/>
      <c r="AJ517" s="1382"/>
      <c r="AX517" s="545"/>
    </row>
    <row r="518" spans="1:50" ht="18.75" x14ac:dyDescent="0.25">
      <c r="A518" s="2327"/>
      <c r="B518" s="125"/>
      <c r="C518" s="944"/>
      <c r="D518" s="499"/>
      <c r="E518" s="539"/>
      <c r="F518" s="539"/>
      <c r="G518" s="292"/>
      <c r="H518" s="293"/>
      <c r="I518" s="263"/>
      <c r="J518" s="17" t="str">
        <f>IF('C-Design&amp;Const'!AJ518="","",'C-Design&amp;Const'!AJ518)</f>
        <v/>
      </c>
      <c r="L518" s="1410" t="str">
        <f t="shared" si="45"/>
        <v/>
      </c>
      <c r="M518" s="1333"/>
      <c r="N518" s="1333"/>
      <c r="O518" s="1333"/>
      <c r="P518" s="1333"/>
      <c r="Q518" s="1333"/>
      <c r="R518" s="1453"/>
      <c r="S518" s="1364"/>
      <c r="T518" s="1284"/>
      <c r="U518" s="1333"/>
      <c r="V518" s="1333"/>
      <c r="W518" s="1333"/>
      <c r="X518" s="1333"/>
      <c r="Y518" s="1333"/>
      <c r="Z518" s="1333"/>
      <c r="AA518" s="1333"/>
      <c r="AB518" s="1333"/>
      <c r="AC518" s="1333"/>
      <c r="AD518" s="1333"/>
      <c r="AE518" s="1333"/>
      <c r="AF518" s="1333"/>
      <c r="AG518" s="1333"/>
      <c r="AH518" s="1333"/>
      <c r="AI518" s="1333"/>
      <c r="AJ518" s="1333"/>
    </row>
    <row r="519" spans="1:50" ht="18.75" x14ac:dyDescent="0.25">
      <c r="A519" s="2327"/>
      <c r="B519" s="125"/>
      <c r="C519" s="944"/>
      <c r="D519" s="559" t="str">
        <f>IF('C-Design&amp;Const'!$S519="","",'C-Design&amp;Const'!$S519)</f>
        <v>Y</v>
      </c>
      <c r="E519" s="492"/>
      <c r="F519" s="210"/>
      <c r="G519" s="291" t="str">
        <f>IF('C-Design&amp;Const'!Y519="","",'C-Design&amp;Const'!Y519)</f>
        <v>28.</v>
      </c>
      <c r="H519" s="290" t="str">
        <f>CONCATENATE('C-Design&amp;Const'!Z519,IF(D519="N"," Not Used In This Construction Phase",J519))</f>
        <v>List of Systems / Items to Commission</v>
      </c>
      <c r="I519" s="262"/>
      <c r="J519" s="17" t="str">
        <f>IF('C-Design&amp;Const'!AJ521="","",'C-Design&amp;Const'!AJ521)</f>
        <v/>
      </c>
      <c r="L519" s="1410" t="str">
        <f t="shared" si="45"/>
        <v/>
      </c>
      <c r="M519" s="1333"/>
      <c r="N519" s="1333"/>
      <c r="O519" s="1333"/>
      <c r="P519" s="1333"/>
      <c r="Q519" s="1333"/>
      <c r="R519" s="1453"/>
      <c r="S519" s="1364"/>
      <c r="T519" s="1284"/>
      <c r="U519" s="1333"/>
      <c r="V519" s="1333"/>
      <c r="W519" s="1333"/>
      <c r="X519" s="1333"/>
      <c r="Y519" s="1333"/>
      <c r="Z519" s="1333"/>
      <c r="AA519" s="1333"/>
      <c r="AB519" s="1333"/>
      <c r="AC519" s="1333"/>
      <c r="AD519" s="1333"/>
      <c r="AE519" s="1333"/>
      <c r="AF519" s="1333"/>
      <c r="AG519" s="1333"/>
      <c r="AH519" s="1333"/>
      <c r="AI519" s="1333"/>
      <c r="AJ519" s="1333"/>
    </row>
    <row r="520" spans="1:50" ht="18.75" x14ac:dyDescent="0.25">
      <c r="A520" s="2328"/>
      <c r="B520" s="125"/>
      <c r="C520" s="943"/>
      <c r="D520" s="533"/>
      <c r="E520" s="297"/>
      <c r="F520" s="297"/>
      <c r="G520" s="294"/>
      <c r="H520" s="533"/>
      <c r="I520" s="264"/>
      <c r="J520" s="17" t="str">
        <f>IF('C-Design&amp;Const'!AJ522="","",'C-Design&amp;Const'!AJ522)</f>
        <v/>
      </c>
      <c r="L520" s="1410" t="str">
        <f t="shared" si="45"/>
        <v/>
      </c>
      <c r="M520" s="1333"/>
      <c r="N520" s="1333"/>
      <c r="O520" s="1333"/>
      <c r="P520" s="1333"/>
      <c r="Q520" s="1333"/>
      <c r="R520" s="1453"/>
      <c r="S520" s="1364"/>
      <c r="T520" s="1284"/>
      <c r="U520" s="1333"/>
      <c r="V520" s="1333"/>
      <c r="W520" s="1333"/>
      <c r="X520" s="1333"/>
      <c r="Y520" s="1333"/>
      <c r="Z520" s="1333"/>
      <c r="AA520" s="1333"/>
      <c r="AB520" s="1333"/>
      <c r="AC520" s="1333"/>
      <c r="AD520" s="1333"/>
      <c r="AE520" s="1333"/>
      <c r="AF520" s="1333"/>
      <c r="AG520" s="1333"/>
      <c r="AH520" s="1333"/>
      <c r="AI520" s="1333"/>
      <c r="AJ520" s="1333"/>
    </row>
    <row r="521" spans="1:50" ht="18.75" x14ac:dyDescent="0.25">
      <c r="A521" s="1819"/>
      <c r="B521" s="125"/>
      <c r="C521" s="945"/>
      <c r="D521" s="29" t="str">
        <f>IF('C-Design&amp;Const'!$S521="","",'C-Design&amp;Const'!$S521)</f>
        <v>Y</v>
      </c>
      <c r="E521" s="31"/>
      <c r="F521" s="178"/>
      <c r="G521" s="291" t="str">
        <f>IF('C-Design&amp;Const'!Y521="","",'C-Design&amp;Const'!Y521)</f>
        <v>26.</v>
      </c>
      <c r="H521" s="290" t="str">
        <f>CONCATENATE('C-Design&amp;Const'!Z521,IF(D521="N"," Not Used In This Construction Phase",J521))</f>
        <v>Certificate of Substantial Completion</v>
      </c>
      <c r="I521" s="557"/>
      <c r="J521" s="17" t="str">
        <f>IF('C-Design&amp;Const'!AJ523="","",'C-Design&amp;Const'!AJ523)</f>
        <v/>
      </c>
      <c r="L521" s="1410" t="str">
        <f t="shared" si="45"/>
        <v/>
      </c>
      <c r="M521" s="1333"/>
      <c r="N521" s="1333"/>
      <c r="O521" s="1333"/>
      <c r="P521" s="1333"/>
      <c r="Q521" s="1333"/>
      <c r="R521" s="1453"/>
      <c r="S521" s="1364"/>
      <c r="T521" s="1284"/>
      <c r="U521" s="1333"/>
      <c r="V521" s="1333"/>
      <c r="W521" s="1333"/>
      <c r="X521" s="1333"/>
      <c r="Y521" s="1333"/>
      <c r="Z521" s="1333"/>
      <c r="AA521" s="1333"/>
      <c r="AB521" s="1333"/>
      <c r="AC521" s="1333"/>
      <c r="AD521" s="1333"/>
      <c r="AE521" s="1333"/>
      <c r="AF521" s="1333"/>
      <c r="AG521" s="1333"/>
      <c r="AH521" s="1333"/>
      <c r="AI521" s="1333"/>
      <c r="AJ521" s="1333"/>
    </row>
    <row r="522" spans="1:50" ht="18.75" x14ac:dyDescent="0.25">
      <c r="A522" s="1819"/>
      <c r="B522" s="125"/>
      <c r="C522" s="945"/>
      <c r="D522" s="223"/>
      <c r="E522" s="323"/>
      <c r="F522" s="323"/>
      <c r="G522" s="292"/>
      <c r="H522" s="293"/>
      <c r="I522" s="557"/>
      <c r="J522" s="17" t="str">
        <f>IF('C-Design&amp;Const'!AJ520="","",'C-Design&amp;Const'!AJ520)</f>
        <v/>
      </c>
      <c r="L522" s="1410" t="str">
        <f t="shared" si="45"/>
        <v/>
      </c>
      <c r="M522" s="1333"/>
      <c r="N522" s="1333"/>
      <c r="O522" s="1333"/>
      <c r="P522" s="1333"/>
      <c r="Q522" s="1333"/>
      <c r="R522" s="1453"/>
      <c r="S522" s="1364"/>
      <c r="T522" s="1284"/>
      <c r="U522" s="1333"/>
      <c r="V522" s="1333"/>
      <c r="W522" s="1333"/>
      <c r="X522" s="1333"/>
      <c r="Y522" s="1333"/>
      <c r="Z522" s="1333"/>
      <c r="AA522" s="1333"/>
      <c r="AB522" s="1333"/>
      <c r="AC522" s="1333"/>
      <c r="AD522" s="1333"/>
      <c r="AE522" s="1333"/>
      <c r="AF522" s="1333"/>
      <c r="AG522" s="1333"/>
      <c r="AH522" s="1333"/>
      <c r="AI522" s="1333"/>
      <c r="AJ522" s="1333"/>
    </row>
    <row r="523" spans="1:50" ht="18.75" x14ac:dyDescent="0.25">
      <c r="A523" s="1819"/>
      <c r="B523" s="125"/>
      <c r="C523" s="945"/>
      <c r="D523" s="29" t="str">
        <f>IF('C-Design&amp;Const'!$S523="","",'C-Design&amp;Const'!$S523)</f>
        <v>Y</v>
      </c>
      <c r="E523" s="247"/>
      <c r="F523" s="556"/>
      <c r="G523" s="291" t="str">
        <f>IF('C-Design&amp;Const'!Y523="","",'C-Design&amp;Const'!Y523)</f>
        <v>27.</v>
      </c>
      <c r="H523" s="290" t="str">
        <f>CONCATENATE('C-Design&amp;Const'!Z523,IF(D523="N"," Not Used In This Construction Phase",J523))</f>
        <v>Punch List</v>
      </c>
      <c r="I523" s="557"/>
      <c r="J523" s="17" t="str">
        <f>IF('C-Design&amp;Const'!AJ519="","",'C-Design&amp;Const'!AJ519)</f>
        <v/>
      </c>
      <c r="L523" s="1410" t="str">
        <f t="shared" si="45"/>
        <v/>
      </c>
      <c r="M523" s="1333"/>
      <c r="N523" s="1333"/>
      <c r="O523" s="1333"/>
      <c r="P523" s="1333"/>
      <c r="Q523" s="1333"/>
      <c r="R523" s="1453"/>
      <c r="S523" s="1364"/>
      <c r="T523" s="1284"/>
      <c r="U523" s="1333"/>
      <c r="V523" s="1333"/>
      <c r="W523" s="1333"/>
      <c r="X523" s="1333"/>
      <c r="Y523" s="1333"/>
      <c r="Z523" s="1333"/>
      <c r="AA523" s="1333"/>
      <c r="AB523" s="1333"/>
      <c r="AC523" s="1333"/>
      <c r="AD523" s="1333"/>
      <c r="AE523" s="1333"/>
      <c r="AF523" s="1333"/>
      <c r="AG523" s="1333"/>
      <c r="AH523" s="1333"/>
      <c r="AI523" s="1333"/>
      <c r="AJ523" s="1333"/>
    </row>
    <row r="524" spans="1:50" ht="18.75" x14ac:dyDescent="0.25">
      <c r="A524" s="1819"/>
      <c r="B524" s="125"/>
      <c r="C524" s="945"/>
      <c r="D524" s="223"/>
      <c r="E524" s="323"/>
      <c r="F524" s="323"/>
      <c r="G524" s="259"/>
      <c r="H524" s="260"/>
      <c r="I524" s="557"/>
      <c r="J524" s="17" t="str">
        <f>IF('C-Design&amp;Const'!AJ524="","",'C-Design&amp;Const'!AJ524)</f>
        <v/>
      </c>
      <c r="L524" s="1410" t="str">
        <f>CONCATENATE(IF(ISNUMBER(SEARCH("Placeholder",H524))=TRUE,"&lt;---PM/Planner may hide PLACEHOLDER ROW",""))</f>
        <v/>
      </c>
      <c r="M524" s="1333"/>
      <c r="N524" s="1333"/>
      <c r="O524" s="1333"/>
      <c r="P524" s="1333"/>
      <c r="Q524" s="1333"/>
      <c r="R524" s="1453"/>
      <c r="S524" s="1364"/>
      <c r="T524" s="1284"/>
      <c r="U524" s="1333"/>
      <c r="V524" s="1333"/>
      <c r="W524" s="1333"/>
      <c r="X524" s="1333"/>
      <c r="Y524" s="1333"/>
      <c r="Z524" s="1333"/>
      <c r="AA524" s="1333"/>
      <c r="AB524" s="1333"/>
      <c r="AC524" s="1333"/>
      <c r="AD524" s="1333"/>
      <c r="AE524" s="1333"/>
      <c r="AF524" s="1333"/>
      <c r="AG524" s="1333"/>
      <c r="AH524" s="1333"/>
      <c r="AI524" s="1333"/>
      <c r="AJ524" s="1333"/>
    </row>
    <row r="525" spans="1:50" ht="21" hidden="1" customHeight="1" x14ac:dyDescent="0.25">
      <c r="B525" s="125"/>
      <c r="C525" s="953"/>
      <c r="D525" s="310" t="s">
        <v>226</v>
      </c>
      <c r="E525" s="311"/>
      <c r="F525" s="311"/>
      <c r="G525" s="847"/>
      <c r="H525" s="848"/>
      <c r="I525" s="557"/>
      <c r="J525" s="17" t="str">
        <f>IF('C-Design&amp;Const'!AJ525="","",'C-Design&amp;Const'!AJ525)</f>
        <v/>
      </c>
      <c r="L525" s="1410" t="str">
        <f>CONCATENATE(IF(ISNUMBER(SEARCH("Placeholder",H525))=TRUE,"&lt;---PM/Planner may hide PLACEHOLDER ROW",""))</f>
        <v/>
      </c>
      <c r="M525" s="1333"/>
      <c r="N525" s="1333"/>
      <c r="O525" s="1333"/>
      <c r="P525" s="1333"/>
      <c r="Q525" s="1333"/>
      <c r="R525" s="1453"/>
      <c r="S525" s="1364"/>
      <c r="T525" s="1284"/>
      <c r="U525" s="1333"/>
      <c r="V525" s="1333"/>
      <c r="W525" s="1333"/>
      <c r="X525" s="1333"/>
      <c r="Y525" s="1333"/>
      <c r="Z525" s="1333"/>
      <c r="AA525" s="1333"/>
      <c r="AB525" s="1333"/>
      <c r="AC525" s="1333"/>
      <c r="AD525" s="1333"/>
      <c r="AE525" s="1333"/>
      <c r="AF525" s="1333"/>
      <c r="AG525" s="1333"/>
      <c r="AH525" s="1333"/>
      <c r="AI525" s="1333"/>
      <c r="AJ525" s="1333"/>
    </row>
    <row r="526" spans="1:50" ht="15.75" hidden="1" x14ac:dyDescent="0.25">
      <c r="A526" s="1819"/>
      <c r="B526" s="125"/>
      <c r="C526" s="921"/>
      <c r="D526" s="258"/>
      <c r="E526" s="21"/>
      <c r="F526" s="21"/>
      <c r="G526" s="565"/>
      <c r="H526" s="576"/>
      <c r="I526" s="557"/>
      <c r="J526" s="17" t="str">
        <f>IF('C-Design&amp;Const'!AJ526="","",'C-Design&amp;Const'!AJ526)</f>
        <v/>
      </c>
      <c r="L526" s="1410" t="str">
        <f>CONCATENATE(IF(ISNUMBER(SEARCH("Placeholder",H526))=TRUE,"&lt;---PM/Planner may hide PLACEHOLDER ROW",""))</f>
        <v/>
      </c>
      <c r="M526" s="1333"/>
      <c r="N526" s="1333"/>
      <c r="O526" s="1333"/>
      <c r="P526" s="1333"/>
      <c r="Q526" s="1333"/>
      <c r="R526" s="1453"/>
      <c r="S526" s="1364"/>
      <c r="T526" s="1284"/>
      <c r="U526" s="1333"/>
      <c r="V526" s="1333"/>
      <c r="W526" s="1333"/>
      <c r="X526" s="1333"/>
      <c r="Y526" s="1333"/>
      <c r="Z526" s="1333"/>
      <c r="AA526" s="1333"/>
      <c r="AB526" s="1333"/>
      <c r="AC526" s="1333"/>
      <c r="AD526" s="1333"/>
      <c r="AE526" s="1333"/>
      <c r="AF526" s="1333"/>
      <c r="AG526" s="1333"/>
      <c r="AH526" s="1333"/>
      <c r="AI526" s="1333"/>
      <c r="AJ526" s="1333"/>
    </row>
    <row r="527" spans="1:50" ht="35.25" hidden="1" customHeight="1" x14ac:dyDescent="0.25">
      <c r="A527" s="2321" t="s">
        <v>264</v>
      </c>
      <c r="B527" s="125"/>
      <c r="C527" s="945"/>
      <c r="D527" s="29" t="str">
        <f>IF('C-Design&amp;Const'!$S527="","",'C-Design&amp;Const'!$S527)</f>
        <v>N</v>
      </c>
      <c r="E527" s="247"/>
      <c r="F527" s="556"/>
      <c r="G527" s="550" t="str">
        <f>IF('C-Design&amp;Const'!Y527="","",'C-Design&amp;Const'!Y527)</f>
        <v>30.</v>
      </c>
      <c r="H527" s="555" t="str">
        <f>CONCATENATE('C-Design&amp;Const'!Z527,IF(D527="N"," Not Used In This Construction Phase",J527))</f>
        <v>O &amp; M's &amp; Systems Manuals (check for full component list in the facility standards) Not Used In This Construction Phase</v>
      </c>
      <c r="I527" s="557"/>
      <c r="J527" s="17" t="str">
        <f>IF('C-Design&amp;Const'!AJ527="","",'C-Design&amp;Const'!AJ527)</f>
        <v/>
      </c>
      <c r="L527" s="1410" t="str">
        <f t="shared" si="45"/>
        <v/>
      </c>
      <c r="M527" s="1333"/>
      <c r="N527" s="1333"/>
      <c r="O527" s="1333"/>
      <c r="P527" s="1333"/>
      <c r="Q527" s="1333"/>
      <c r="R527" s="1453"/>
      <c r="S527" s="1364"/>
      <c r="T527" s="1284"/>
      <c r="U527" s="1333"/>
      <c r="V527" s="1333"/>
      <c r="W527" s="1333"/>
      <c r="X527" s="1333"/>
      <c r="Y527" s="1333"/>
      <c r="Z527" s="1333"/>
      <c r="AA527" s="1333"/>
      <c r="AB527" s="1333"/>
      <c r="AC527" s="1333"/>
      <c r="AD527" s="1333"/>
      <c r="AE527" s="1333"/>
      <c r="AF527" s="1333"/>
      <c r="AG527" s="1333"/>
      <c r="AH527" s="1333"/>
      <c r="AI527" s="1333"/>
      <c r="AJ527" s="1333"/>
    </row>
    <row r="528" spans="1:50" ht="25.5" hidden="1" x14ac:dyDescent="0.25">
      <c r="A528" s="2322"/>
      <c r="B528" s="125"/>
      <c r="C528" s="945"/>
      <c r="D528" s="547"/>
      <c r="E528" s="547"/>
      <c r="F528" s="547"/>
      <c r="G528" s="565"/>
      <c r="H528" s="577" t="s">
        <v>232</v>
      </c>
      <c r="I528" s="557"/>
      <c r="J528" s="17" t="str">
        <f>IF('C-Design&amp;Const'!AJ528="","",'C-Design&amp;Const'!AJ528)</f>
        <v/>
      </c>
      <c r="L528" s="1410" t="str">
        <f t="shared" si="45"/>
        <v/>
      </c>
      <c r="M528" s="1333"/>
      <c r="N528" s="1333"/>
      <c r="O528" s="1333"/>
      <c r="P528" s="1333"/>
      <c r="Q528" s="1333"/>
      <c r="R528" s="1453"/>
      <c r="S528" s="1364"/>
      <c r="T528" s="1284"/>
      <c r="U528" s="1333"/>
      <c r="V528" s="1333"/>
      <c r="W528" s="1333"/>
      <c r="X528" s="1333"/>
      <c r="Y528" s="1333"/>
      <c r="Z528" s="1333"/>
      <c r="AA528" s="1333"/>
      <c r="AB528" s="1333"/>
      <c r="AC528" s="1333"/>
      <c r="AD528" s="1333"/>
      <c r="AE528" s="1333"/>
      <c r="AF528" s="1333"/>
      <c r="AG528" s="1333"/>
      <c r="AH528" s="1333"/>
      <c r="AI528" s="1333"/>
      <c r="AJ528" s="1333"/>
    </row>
    <row r="529" spans="1:50" s="181" customFormat="1" ht="15" hidden="1" customHeight="1" x14ac:dyDescent="0.25">
      <c r="A529" s="2322"/>
      <c r="B529" s="177"/>
      <c r="C529" s="945"/>
      <c r="D529" s="547"/>
      <c r="E529" s="29" t="str">
        <f>IF('C-Design&amp;Const'!$S529="","",'C-Design&amp;Const'!$S529)</f>
        <v>N</v>
      </c>
      <c r="F529" s="322"/>
      <c r="G529" s="567"/>
      <c r="H529" s="546" t="str">
        <f>CONCATENATE(IF(ISNUMBER(SEARCH("Placeholder",'C-Design&amp;Const'!Z529))=TRUE,"",IF(E529="N","PLACEHOLDER ROW - ","")),'C-Design&amp;Const'!Z529,IF(E529="N","",J529))</f>
        <v>PLACEHOLDER ROW - Manufacturer’s Product Data (Tech Specifications/ Cut Sheets)</v>
      </c>
      <c r="I529" s="557"/>
      <c r="J529" s="181" t="str">
        <f>IF('C-Design&amp;Const'!AJ529="","",'C-Design&amp;Const'!AJ529)</f>
        <v/>
      </c>
      <c r="L529" s="1410" t="str">
        <f t="shared" si="45"/>
        <v>&lt;---PM/Planner may hide PLACEHOLDER ROW</v>
      </c>
      <c r="M529" s="1382"/>
      <c r="N529" s="1382"/>
      <c r="O529" s="1382"/>
      <c r="P529" s="1382"/>
      <c r="Q529" s="1382"/>
      <c r="R529" s="1447"/>
      <c r="S529" s="1448"/>
      <c r="T529" s="1274"/>
      <c r="U529" s="1382"/>
      <c r="V529" s="1382"/>
      <c r="W529" s="1382"/>
      <c r="X529" s="1382"/>
      <c r="Y529" s="1382"/>
      <c r="Z529" s="1382"/>
      <c r="AA529" s="1382"/>
      <c r="AB529" s="1382"/>
      <c r="AC529" s="1382"/>
      <c r="AD529" s="1382"/>
      <c r="AE529" s="1382"/>
      <c r="AF529" s="1382"/>
      <c r="AG529" s="1382"/>
      <c r="AH529" s="1382"/>
      <c r="AI529" s="1382"/>
      <c r="AJ529" s="1382"/>
      <c r="AX529" s="30"/>
    </row>
    <row r="530" spans="1:50" s="181" customFormat="1" ht="15" hidden="1" customHeight="1" x14ac:dyDescent="0.25">
      <c r="A530" s="2322"/>
      <c r="B530" s="177"/>
      <c r="C530" s="945"/>
      <c r="D530" s="547"/>
      <c r="E530" s="29" t="str">
        <f>IF('C-Design&amp;Const'!$S530="","",'C-Design&amp;Const'!$S530)</f>
        <v>N</v>
      </c>
      <c r="F530" s="322"/>
      <c r="G530" s="567"/>
      <c r="H530" s="546" t="str">
        <f>CONCATENATE(IF(ISNUMBER(SEARCH("Placeholder",'C-Design&amp;Const'!Z530))=TRUE,"",IF(E530="N","PLACEHOLDER ROW - ","")),'C-Design&amp;Const'!Z530,IF(E530="N","",J530))</f>
        <v>PLACEHOLDER ROW - Manufacturer’s Operational Instructions</v>
      </c>
      <c r="I530" s="557"/>
      <c r="J530" s="181" t="str">
        <f>IF('C-Design&amp;Const'!AJ530="","",'C-Design&amp;Const'!AJ530)</f>
        <v/>
      </c>
      <c r="L530" s="1410" t="str">
        <f t="shared" si="45"/>
        <v>&lt;---PM/Planner may hide PLACEHOLDER ROW</v>
      </c>
      <c r="M530" s="1382"/>
      <c r="N530" s="1382"/>
      <c r="O530" s="1382"/>
      <c r="P530" s="1382"/>
      <c r="Q530" s="1382"/>
      <c r="R530" s="1447"/>
      <c r="S530" s="1448"/>
      <c r="T530" s="1274"/>
      <c r="U530" s="1382"/>
      <c r="V530" s="1382"/>
      <c r="W530" s="1382"/>
      <c r="X530" s="1382"/>
      <c r="Y530" s="1382"/>
      <c r="Z530" s="1382"/>
      <c r="AA530" s="1382"/>
      <c r="AB530" s="1382"/>
      <c r="AC530" s="1382"/>
      <c r="AD530" s="1382"/>
      <c r="AE530" s="1382"/>
      <c r="AF530" s="1382"/>
      <c r="AG530" s="1382"/>
      <c r="AH530" s="1382"/>
      <c r="AI530" s="1382"/>
      <c r="AJ530" s="1382"/>
      <c r="AX530" s="30"/>
    </row>
    <row r="531" spans="1:50" s="181" customFormat="1" ht="15" hidden="1" customHeight="1" x14ac:dyDescent="0.25">
      <c r="A531" s="2322"/>
      <c r="B531" s="177"/>
      <c r="C531" s="945"/>
      <c r="D531" s="547"/>
      <c r="E531" s="29" t="str">
        <f>IF('C-Design&amp;Const'!$S531="","",'C-Design&amp;Const'!$S531)</f>
        <v>N</v>
      </c>
      <c r="F531" s="322"/>
      <c r="G531" s="567"/>
      <c r="H531" s="546" t="str">
        <f>CONCATENATE(IF(ISNUMBER(SEARCH("Placeholder",'C-Design&amp;Const'!Z531))=TRUE,"",IF(E531="N","PLACEHOLDER ROW - ","")),'C-Design&amp;Const'!Z531,IF(E531="N","",J531))</f>
        <v>PLACEHOLDER ROW - Supplemental Product Submittals &amp; Shop Drawings / Approved</v>
      </c>
      <c r="I531" s="557"/>
      <c r="J531" s="181" t="str">
        <f>IF('C-Design&amp;Const'!AJ531="","",'C-Design&amp;Const'!AJ531)</f>
        <v/>
      </c>
      <c r="L531" s="1410" t="str">
        <f t="shared" si="45"/>
        <v>&lt;---PM/Planner may hide PLACEHOLDER ROW</v>
      </c>
      <c r="M531" s="1382"/>
      <c r="N531" s="1382"/>
      <c r="O531" s="1382"/>
      <c r="P531" s="1382"/>
      <c r="Q531" s="1382"/>
      <c r="R531" s="1447"/>
      <c r="S531" s="1448"/>
      <c r="T531" s="1274"/>
      <c r="U531" s="1382"/>
      <c r="V531" s="1382"/>
      <c r="W531" s="1382"/>
      <c r="X531" s="1382"/>
      <c r="Y531" s="1382"/>
      <c r="Z531" s="1382"/>
      <c r="AA531" s="1382"/>
      <c r="AB531" s="1382"/>
      <c r="AC531" s="1382"/>
      <c r="AD531" s="1382"/>
      <c r="AE531" s="1382"/>
      <c r="AF531" s="1382"/>
      <c r="AG531" s="1382"/>
      <c r="AH531" s="1382"/>
      <c r="AI531" s="1382"/>
      <c r="AJ531" s="1382"/>
      <c r="AX531" s="30"/>
    </row>
    <row r="532" spans="1:50" s="181" customFormat="1" ht="15" hidden="1" customHeight="1" x14ac:dyDescent="0.25">
      <c r="A532" s="2322"/>
      <c r="B532" s="177"/>
      <c r="C532" s="945"/>
      <c r="D532" s="547"/>
      <c r="E532" s="29" t="str">
        <f>IF('C-Design&amp;Const'!$S532="","",'C-Design&amp;Const'!$S532)</f>
        <v>N</v>
      </c>
      <c r="F532" s="322"/>
      <c r="G532" s="567"/>
      <c r="H532" s="546" t="str">
        <f>CONCATENATE(IF(ISNUMBER(SEARCH("Placeholder",'C-Design&amp;Const'!Z532))=TRUE,"",IF(E532="N","PLACEHOLDER ROW - ","")),'C-Design&amp;Const'!Z532,IF(E532="N","",J532))</f>
        <v>PLACEHOLDER ROW - Manufacturer’s Preventive Maintenance Instructions</v>
      </c>
      <c r="I532" s="557"/>
      <c r="J532" s="181" t="str">
        <f>IF('C-Design&amp;Const'!AJ532="","",'C-Design&amp;Const'!AJ532)</f>
        <v/>
      </c>
      <c r="L532" s="1410" t="str">
        <f t="shared" ref="L532:L565" si="47">CONCATENATE(IF(ISNUMBER(SEARCH("Placeholder",H532))=TRUE,"&lt;---PM/Planner may hide PLACEHOLDER ROW",""))</f>
        <v>&lt;---PM/Planner may hide PLACEHOLDER ROW</v>
      </c>
      <c r="M532" s="1382"/>
      <c r="N532" s="1382"/>
      <c r="O532" s="1382"/>
      <c r="P532" s="1382"/>
      <c r="Q532" s="1382"/>
      <c r="R532" s="1447"/>
      <c r="S532" s="1448"/>
      <c r="T532" s="1274"/>
      <c r="U532" s="1382"/>
      <c r="V532" s="1382"/>
      <c r="W532" s="1382"/>
      <c r="X532" s="1382"/>
      <c r="Y532" s="1382"/>
      <c r="Z532" s="1382"/>
      <c r="AA532" s="1382"/>
      <c r="AB532" s="1382"/>
      <c r="AC532" s="1382"/>
      <c r="AD532" s="1382"/>
      <c r="AE532" s="1382"/>
      <c r="AF532" s="1382"/>
      <c r="AG532" s="1382"/>
      <c r="AH532" s="1382"/>
      <c r="AI532" s="1382"/>
      <c r="AJ532" s="1382"/>
      <c r="AX532" s="30"/>
    </row>
    <row r="533" spans="1:50" s="181" customFormat="1" ht="15" hidden="1" customHeight="1" x14ac:dyDescent="0.25">
      <c r="A533" s="2322"/>
      <c r="B533" s="177"/>
      <c r="C533" s="945"/>
      <c r="D533" s="547"/>
      <c r="E533" s="29" t="str">
        <f>IF('C-Design&amp;Const'!$S533="","",'C-Design&amp;Const'!$S533)</f>
        <v>N</v>
      </c>
      <c r="F533" s="322"/>
      <c r="G533" s="567"/>
      <c r="H533" s="546" t="str">
        <f>CONCATENATE(IF(ISNUMBER(SEARCH("Placeholder",'C-Design&amp;Const'!Z533))=TRUE,"",IF(E533="N","PLACEHOLDER ROW - ","")),'C-Design&amp;Const'!Z533,IF(E533="N","",J533))</f>
        <v xml:space="preserve">PLACEHOLDER ROW - Warranties and Bonds  </v>
      </c>
      <c r="I533" s="557"/>
      <c r="J533" s="181" t="str">
        <f>IF('C-Design&amp;Const'!AJ533="","",'C-Design&amp;Const'!AJ533)</f>
        <v/>
      </c>
      <c r="L533" s="1410" t="str">
        <f t="shared" si="47"/>
        <v>&lt;---PM/Planner may hide PLACEHOLDER ROW</v>
      </c>
      <c r="M533" s="1382"/>
      <c r="N533" s="1382"/>
      <c r="O533" s="1382"/>
      <c r="P533" s="1382"/>
      <c r="Q533" s="1382"/>
      <c r="R533" s="1447"/>
      <c r="S533" s="1448"/>
      <c r="T533" s="1274"/>
      <c r="U533" s="1382"/>
      <c r="V533" s="1382"/>
      <c r="W533" s="1382"/>
      <c r="X533" s="1382"/>
      <c r="Y533" s="1382"/>
      <c r="Z533" s="1382"/>
      <c r="AA533" s="1382"/>
      <c r="AB533" s="1382"/>
      <c r="AC533" s="1382"/>
      <c r="AD533" s="1382"/>
      <c r="AE533" s="1382"/>
      <c r="AF533" s="1382"/>
      <c r="AG533" s="1382"/>
      <c r="AH533" s="1382"/>
      <c r="AI533" s="1382"/>
      <c r="AJ533" s="1382"/>
      <c r="AX533" s="30"/>
    </row>
    <row r="534" spans="1:50" s="181" customFormat="1" ht="15" hidden="1" customHeight="1" x14ac:dyDescent="0.25">
      <c r="A534" s="2322"/>
      <c r="B534" s="177"/>
      <c r="C534" s="945"/>
      <c r="D534" s="547"/>
      <c r="E534" s="29" t="str">
        <f>IF('C-Design&amp;Const'!$S534="","",'C-Design&amp;Const'!$S534)</f>
        <v>N</v>
      </c>
      <c r="F534" s="322"/>
      <c r="G534" s="567"/>
      <c r="H534" s="546" t="str">
        <f>CONCATENATE(IF(ISNUMBER(SEARCH("Placeholder",'C-Design&amp;Const'!Z534))=TRUE,"",IF(E534="N","PLACEHOLDER ROW - ","")),'C-Design&amp;Const'!Z534,IF(E534="N","",J534))</f>
        <v>PLACEHOLDER ROW - Functional Performance Tests</v>
      </c>
      <c r="I534" s="557"/>
      <c r="J534" s="181" t="str">
        <f>IF('C-Design&amp;Const'!AJ534="","",'C-Design&amp;Const'!AJ534)</f>
        <v/>
      </c>
      <c r="L534" s="1410" t="str">
        <f t="shared" si="47"/>
        <v>&lt;---PM/Planner may hide PLACEHOLDER ROW</v>
      </c>
      <c r="M534" s="1382"/>
      <c r="N534" s="1382"/>
      <c r="O534" s="1382"/>
      <c r="P534" s="1382"/>
      <c r="Q534" s="1382"/>
      <c r="R534" s="1447"/>
      <c r="S534" s="1448"/>
      <c r="T534" s="1274"/>
      <c r="U534" s="1382"/>
      <c r="V534" s="1382"/>
      <c r="W534" s="1382"/>
      <c r="X534" s="1382"/>
      <c r="Y534" s="1382"/>
      <c r="Z534" s="1382"/>
      <c r="AA534" s="1382"/>
      <c r="AB534" s="1382"/>
      <c r="AC534" s="1382"/>
      <c r="AD534" s="1382"/>
      <c r="AE534" s="1382"/>
      <c r="AF534" s="1382"/>
      <c r="AG534" s="1382"/>
      <c r="AH534" s="1382"/>
      <c r="AI534" s="1382"/>
      <c r="AJ534" s="1382"/>
      <c r="AX534" s="30"/>
    </row>
    <row r="535" spans="1:50" s="181" customFormat="1" ht="15" hidden="1" customHeight="1" x14ac:dyDescent="0.25">
      <c r="A535" s="2322"/>
      <c r="B535" s="177"/>
      <c r="C535" s="945"/>
      <c r="D535" s="547"/>
      <c r="E535" s="29" t="str">
        <f>IF('C-Design&amp;Const'!$S535="","",'C-Design&amp;Const'!$S535)</f>
        <v>N</v>
      </c>
      <c r="F535" s="322"/>
      <c r="G535" s="567"/>
      <c r="H535" s="546" t="str">
        <f>CONCATENATE(IF(ISNUMBER(SEARCH("Placeholder",'C-Design&amp;Const'!Z535))=TRUE,"",IF(E535="N","PLACEHOLDER ROW - ","")),'C-Design&amp;Const'!Z535,IF(E535="N","",J535))</f>
        <v>PLACEHOLDER ROW - Safety Precautions</v>
      </c>
      <c r="I535" s="557"/>
      <c r="J535" s="181" t="str">
        <f>IF('C-Design&amp;Const'!AJ535="","",'C-Design&amp;Const'!AJ535)</f>
        <v/>
      </c>
      <c r="L535" s="1410" t="str">
        <f t="shared" si="47"/>
        <v>&lt;---PM/Planner may hide PLACEHOLDER ROW</v>
      </c>
      <c r="M535" s="1382"/>
      <c r="N535" s="1382"/>
      <c r="O535" s="1382"/>
      <c r="P535" s="1382"/>
      <c r="Q535" s="1382"/>
      <c r="R535" s="1447"/>
      <c r="S535" s="1448"/>
      <c r="T535" s="1274"/>
      <c r="U535" s="1382"/>
      <c r="V535" s="1382"/>
      <c r="W535" s="1382"/>
      <c r="X535" s="1382"/>
      <c r="Y535" s="1382"/>
      <c r="Z535" s="1382"/>
      <c r="AA535" s="1382"/>
      <c r="AB535" s="1382"/>
      <c r="AC535" s="1382"/>
      <c r="AD535" s="1382"/>
      <c r="AE535" s="1382"/>
      <c r="AF535" s="1382"/>
      <c r="AG535" s="1382"/>
      <c r="AH535" s="1382"/>
      <c r="AI535" s="1382"/>
      <c r="AJ535" s="1382"/>
      <c r="AX535" s="30"/>
    </row>
    <row r="536" spans="1:50" s="181" customFormat="1" ht="15" hidden="1" customHeight="1" x14ac:dyDescent="0.25">
      <c r="A536" s="2322"/>
      <c r="B536" s="177"/>
      <c r="C536" s="945"/>
      <c r="D536" s="547"/>
      <c r="E536" s="29" t="str">
        <f>IF('C-Design&amp;Const'!$S536="","",'C-Design&amp;Const'!$S536)</f>
        <v>N</v>
      </c>
      <c r="F536" s="322"/>
      <c r="G536" s="567"/>
      <c r="H536" s="546" t="str">
        <f>CONCATENATE(IF(ISNUMBER(SEARCH("Placeholder",'C-Design&amp;Const'!Z536))=TRUE,"",IF(E536="N","PLACEHOLDER ROW - ","")),'C-Design&amp;Const'!Z536,IF(E536="N","",J536))</f>
        <v>PLACEHOLDER ROW - Emergency Procedures</v>
      </c>
      <c r="I536" s="557"/>
      <c r="J536" s="181" t="str">
        <f>IF('C-Design&amp;Const'!AJ536="","",'C-Design&amp;Const'!AJ536)</f>
        <v/>
      </c>
      <c r="L536" s="1410" t="str">
        <f t="shared" si="47"/>
        <v>&lt;---PM/Planner may hide PLACEHOLDER ROW</v>
      </c>
      <c r="M536" s="1382"/>
      <c r="N536" s="1382"/>
      <c r="O536" s="1382"/>
      <c r="P536" s="1382"/>
      <c r="Q536" s="1382"/>
      <c r="R536" s="1447"/>
      <c r="S536" s="1448"/>
      <c r="T536" s="1274"/>
      <c r="U536" s="1382"/>
      <c r="V536" s="1382"/>
      <c r="W536" s="1382"/>
      <c r="X536" s="1382"/>
      <c r="Y536" s="1382"/>
      <c r="Z536" s="1382"/>
      <c r="AA536" s="1382"/>
      <c r="AB536" s="1382"/>
      <c r="AC536" s="1382"/>
      <c r="AD536" s="1382"/>
      <c r="AE536" s="1382"/>
      <c r="AF536" s="1382"/>
      <c r="AG536" s="1382"/>
      <c r="AH536" s="1382"/>
      <c r="AI536" s="1382"/>
      <c r="AJ536" s="1382"/>
      <c r="AX536" s="30"/>
    </row>
    <row r="537" spans="1:50" s="545" customFormat="1" ht="15" hidden="1" customHeight="1" x14ac:dyDescent="0.25">
      <c r="A537" s="2322"/>
      <c r="B537" s="554"/>
      <c r="C537" s="947"/>
      <c r="D537" s="986"/>
      <c r="E537" s="29" t="str">
        <f>IF('C-Design&amp;Const'!$S537="","",'C-Design&amp;Const'!$S537)</f>
        <v>N</v>
      </c>
      <c r="F537" s="324"/>
      <c r="G537" s="568"/>
      <c r="H537" s="564" t="str">
        <f>CONCATENATE(IF(ISNUMBER(SEARCH("Placeholder",'C-Design&amp;Const'!Z537))=TRUE,"",IF(E537="N","PLACEHOLDER ROW - ","")),'C-Design&amp;Const'!Z537,IF(E537="N","",J537))</f>
        <v>PLACEHOLDER ROW - BMS/BAS Network Architecture Diagrams</v>
      </c>
      <c r="I537" s="552"/>
      <c r="J537" s="551" t="str">
        <f>IF('C-Design&amp;Const'!AJ537="","",'C-Design&amp;Const'!AJ537)</f>
        <v/>
      </c>
      <c r="L537" s="1410" t="str">
        <f t="shared" si="47"/>
        <v>&lt;---PM/Planner may hide PLACEHOLDER ROW</v>
      </c>
      <c r="M537" s="1382"/>
      <c r="N537" s="1382"/>
      <c r="O537" s="1382"/>
      <c r="P537" s="1382"/>
      <c r="Q537" s="1382"/>
      <c r="R537" s="1382"/>
      <c r="S537" s="1382"/>
      <c r="T537" s="1382"/>
      <c r="U537" s="1382"/>
      <c r="V537" s="1382"/>
      <c r="W537" s="1382"/>
      <c r="X537" s="1382"/>
      <c r="Y537" s="1382"/>
      <c r="Z537" s="1382"/>
      <c r="AA537" s="1382"/>
      <c r="AB537" s="1382"/>
      <c r="AC537" s="1382"/>
      <c r="AD537" s="1382"/>
      <c r="AE537" s="1382"/>
      <c r="AF537" s="1382"/>
      <c r="AG537" s="1382"/>
      <c r="AH537" s="1382"/>
      <c r="AI537" s="1382"/>
      <c r="AJ537" s="1382"/>
      <c r="AK537" s="551"/>
      <c r="AL537" s="551"/>
      <c r="AM537" s="551"/>
      <c r="AN537" s="551"/>
      <c r="AO537" s="551"/>
      <c r="AP537" s="551"/>
      <c r="AQ537" s="551"/>
      <c r="AR537" s="551"/>
      <c r="AS537" s="551"/>
      <c r="AT537" s="551"/>
      <c r="AU537" s="551"/>
      <c r="AV537" s="551"/>
      <c r="AW537" s="551"/>
    </row>
    <row r="538" spans="1:50" s="545" customFormat="1" ht="15" hidden="1" customHeight="1" x14ac:dyDescent="0.25">
      <c r="A538" s="2322"/>
      <c r="B538" s="554"/>
      <c r="C538" s="947"/>
      <c r="D538" s="986"/>
      <c r="E538" s="29" t="str">
        <f>IF('C-Design&amp;Const'!$S538="","",'C-Design&amp;Const'!$S538)</f>
        <v>N</v>
      </c>
      <c r="F538" s="324"/>
      <c r="G538" s="568"/>
      <c r="H538" s="564" t="str">
        <f>CONCATENATE(IF(ISNUMBER(SEARCH("Placeholder",'C-Design&amp;Const'!Z538))=TRUE,"",IF(E538="N","PLACEHOLDER ROW - ","")),'C-Design&amp;Const'!Z538,IF(E538="N","",J538))</f>
        <v>PLACEHOLDER ROW - BMS/BAS Input / Output Point List</v>
      </c>
      <c r="I538" s="552"/>
      <c r="J538" s="551" t="str">
        <f>IF('C-Design&amp;Const'!AJ538="","",'C-Design&amp;Const'!AJ538)</f>
        <v/>
      </c>
      <c r="L538" s="1410" t="str">
        <f t="shared" si="47"/>
        <v>&lt;---PM/Planner may hide PLACEHOLDER ROW</v>
      </c>
      <c r="M538" s="1382"/>
      <c r="N538" s="1382"/>
      <c r="O538" s="1382"/>
      <c r="P538" s="1382"/>
      <c r="Q538" s="1382"/>
      <c r="R538" s="1382"/>
      <c r="S538" s="1382"/>
      <c r="T538" s="1382"/>
      <c r="U538" s="1382"/>
      <c r="V538" s="1382"/>
      <c r="W538" s="1382"/>
      <c r="X538" s="1382"/>
      <c r="Y538" s="1382"/>
      <c r="Z538" s="1382"/>
      <c r="AA538" s="1382"/>
      <c r="AB538" s="1382"/>
      <c r="AC538" s="1382"/>
      <c r="AD538" s="1382"/>
      <c r="AE538" s="1382"/>
      <c r="AF538" s="1382"/>
      <c r="AG538" s="1382"/>
      <c r="AH538" s="1382"/>
      <c r="AI538" s="1382"/>
      <c r="AJ538" s="1382"/>
      <c r="AK538" s="551"/>
      <c r="AL538" s="551"/>
      <c r="AM538" s="551"/>
      <c r="AN538" s="551"/>
      <c r="AO538" s="551"/>
      <c r="AP538" s="551"/>
      <c r="AQ538" s="551"/>
      <c r="AR538" s="551"/>
      <c r="AS538" s="551"/>
      <c r="AT538" s="551"/>
      <c r="AU538" s="551"/>
      <c r="AV538" s="551"/>
      <c r="AW538" s="551"/>
    </row>
    <row r="539" spans="1:50" s="545" customFormat="1" ht="15" hidden="1" customHeight="1" x14ac:dyDescent="0.25">
      <c r="A539" s="2322"/>
      <c r="B539" s="554"/>
      <c r="C539" s="947"/>
      <c r="D539" s="986"/>
      <c r="E539" s="29" t="str">
        <f>IF('C-Design&amp;Const'!$S539="","",'C-Design&amp;Const'!$S539)</f>
        <v>N</v>
      </c>
      <c r="F539" s="324"/>
      <c r="G539" s="568"/>
      <c r="H539" s="564" t="str">
        <f>CONCATENATE(IF(ISNUMBER(SEARCH("Placeholder",'C-Design&amp;Const'!Z539))=TRUE,"",IF(E539="N","PLACEHOLDER ROW - ","")),'C-Design&amp;Const'!Z539,IF(E539="N","",J539))</f>
        <v>PLACEHOLDER ROW - BMS/BAS Integration and Mapping Details</v>
      </c>
      <c r="I539" s="552"/>
      <c r="J539" s="551" t="str">
        <f>IF('C-Design&amp;Const'!AJ539="","",'C-Design&amp;Const'!AJ539)</f>
        <v/>
      </c>
      <c r="L539" s="1410" t="str">
        <f t="shared" si="47"/>
        <v>&lt;---PM/Planner may hide PLACEHOLDER ROW</v>
      </c>
      <c r="M539" s="1382"/>
      <c r="N539" s="1382"/>
      <c r="O539" s="1382"/>
      <c r="P539" s="1382"/>
      <c r="Q539" s="1382"/>
      <c r="R539" s="1382"/>
      <c r="S539" s="1382"/>
      <c r="T539" s="1382"/>
      <c r="U539" s="1382"/>
      <c r="V539" s="1382"/>
      <c r="W539" s="1382"/>
      <c r="X539" s="1382"/>
      <c r="Y539" s="1382"/>
      <c r="Z539" s="1382"/>
      <c r="AA539" s="1382"/>
      <c r="AB539" s="1382"/>
      <c r="AC539" s="1382"/>
      <c r="AD539" s="1382"/>
      <c r="AE539" s="1382"/>
      <c r="AF539" s="1382"/>
      <c r="AG539" s="1382"/>
      <c r="AH539" s="1382"/>
      <c r="AI539" s="1382"/>
      <c r="AJ539" s="1382"/>
      <c r="AK539" s="551"/>
      <c r="AL539" s="551"/>
      <c r="AM539" s="551"/>
      <c r="AN539" s="551"/>
      <c r="AO539" s="551"/>
      <c r="AP539" s="551"/>
      <c r="AQ539" s="551"/>
      <c r="AR539" s="551"/>
      <c r="AS539" s="551"/>
      <c r="AT539" s="551"/>
      <c r="AU539" s="551"/>
      <c r="AV539" s="551"/>
      <c r="AW539" s="551"/>
    </row>
    <row r="540" spans="1:50" s="545" customFormat="1" ht="15" hidden="1" customHeight="1" x14ac:dyDescent="0.25">
      <c r="A540" s="2322"/>
      <c r="B540" s="554"/>
      <c r="C540" s="947"/>
      <c r="D540" s="986"/>
      <c r="E540" s="29" t="str">
        <f>IF('C-Design&amp;Const'!$S540="","",'C-Design&amp;Const'!$S540)</f>
        <v>N</v>
      </c>
      <c r="F540" s="324"/>
      <c r="G540" s="568"/>
      <c r="H540" s="564" t="str">
        <f>CONCATENATE(IF(ISNUMBER(SEARCH("Placeholder",'C-Design&amp;Const'!Z540))=TRUE,"",IF(E540="N","PLACEHOLDER ROW - ","")),'C-Design&amp;Const'!Z540,IF(E540="N","",J540))</f>
        <v>PLACEHOLDER ROW - BAS Licensing, Programming, and Engineering Tools</v>
      </c>
      <c r="I540" s="552"/>
      <c r="J540" s="551" t="str">
        <f>IF('C-Design&amp;Const'!AJ540="","",'C-Design&amp;Const'!AJ540)</f>
        <v/>
      </c>
      <c r="L540" s="1410" t="str">
        <f t="shared" si="47"/>
        <v>&lt;---PM/Planner may hide PLACEHOLDER ROW</v>
      </c>
      <c r="M540" s="1382"/>
      <c r="N540" s="1382"/>
      <c r="O540" s="1382"/>
      <c r="P540" s="1382"/>
      <c r="Q540" s="1382"/>
      <c r="R540" s="1382"/>
      <c r="S540" s="1382"/>
      <c r="T540" s="1382"/>
      <c r="U540" s="1382"/>
      <c r="V540" s="1382"/>
      <c r="W540" s="1382"/>
      <c r="X540" s="1382"/>
      <c r="Y540" s="1382"/>
      <c r="Z540" s="1382"/>
      <c r="AA540" s="1382"/>
      <c r="AB540" s="1382"/>
      <c r="AC540" s="1382"/>
      <c r="AD540" s="1382"/>
      <c r="AE540" s="1382"/>
      <c r="AF540" s="1382"/>
      <c r="AG540" s="1382"/>
      <c r="AH540" s="1382"/>
      <c r="AI540" s="1382"/>
      <c r="AJ540" s="1382"/>
      <c r="AK540" s="551"/>
      <c r="AL540" s="551"/>
      <c r="AM540" s="551"/>
      <c r="AN540" s="551"/>
      <c r="AO540" s="551"/>
      <c r="AP540" s="551"/>
      <c r="AQ540" s="551"/>
      <c r="AR540" s="551"/>
      <c r="AS540" s="551"/>
      <c r="AT540" s="551"/>
      <c r="AU540" s="551"/>
      <c r="AV540" s="551"/>
      <c r="AW540" s="551"/>
    </row>
    <row r="541" spans="1:50" s="545" customFormat="1" ht="15" hidden="1" customHeight="1" x14ac:dyDescent="0.25">
      <c r="A541" s="2322"/>
      <c r="B541" s="554"/>
      <c r="C541" s="947"/>
      <c r="D541" s="986"/>
      <c r="E541" s="29" t="str">
        <f>IF('C-Design&amp;Const'!$S541="","",'C-Design&amp;Const'!$S541)</f>
        <v>N</v>
      </c>
      <c r="F541" s="324"/>
      <c r="G541" s="568"/>
      <c r="H541" s="564" t="str">
        <f>CONCATENATE(IF(ISNUMBER(SEARCH("Placeholder",'C-Design&amp;Const'!Z541))=TRUE,"",IF(E541="N","PLACEHOLDER ROW - ","")),'C-Design&amp;Const'!Z541,IF(E541="N","",J541))</f>
        <v>PLACEHOLDER ROW - Images and/or screen shots of final graphical user interfaces for each installed</v>
      </c>
      <c r="I541" s="552"/>
      <c r="J541" s="551" t="str">
        <f>IF('C-Design&amp;Const'!AJ541="","",'C-Design&amp;Const'!AJ541)</f>
        <v/>
      </c>
      <c r="L541" s="1410" t="str">
        <f t="shared" si="47"/>
        <v>&lt;---PM/Planner may hide PLACEHOLDER ROW</v>
      </c>
      <c r="M541" s="1382"/>
      <c r="N541" s="1382"/>
      <c r="O541" s="1382"/>
      <c r="P541" s="1382"/>
      <c r="Q541" s="1382"/>
      <c r="R541" s="1382"/>
      <c r="S541" s="1382"/>
      <c r="T541" s="1382"/>
      <c r="U541" s="1382"/>
      <c r="V541" s="1382"/>
      <c r="W541" s="1382"/>
      <c r="X541" s="1382"/>
      <c r="Y541" s="1382"/>
      <c r="Z541" s="1382"/>
      <c r="AA541" s="1382"/>
      <c r="AB541" s="1382"/>
      <c r="AC541" s="1382"/>
      <c r="AD541" s="1382"/>
      <c r="AE541" s="1382"/>
      <c r="AF541" s="1382"/>
      <c r="AG541" s="1382"/>
      <c r="AH541" s="1382"/>
      <c r="AI541" s="1382"/>
      <c r="AJ541" s="1382"/>
      <c r="AK541" s="551"/>
      <c r="AL541" s="551"/>
      <c r="AM541" s="551"/>
      <c r="AN541" s="551"/>
      <c r="AO541" s="551"/>
      <c r="AP541" s="551"/>
      <c r="AQ541" s="551"/>
      <c r="AR541" s="551"/>
      <c r="AS541" s="551"/>
      <c r="AT541" s="551"/>
      <c r="AU541" s="551"/>
      <c r="AV541" s="551"/>
      <c r="AW541" s="551"/>
    </row>
    <row r="542" spans="1:50" s="551" customFormat="1" ht="15" hidden="1" customHeight="1" x14ac:dyDescent="0.25">
      <c r="A542" s="2322"/>
      <c r="B542" s="549"/>
      <c r="C542" s="944"/>
      <c r="D542" s="321"/>
      <c r="E542" s="559" t="str">
        <f>IF('C-Design&amp;Const'!$S542="","",'C-Design&amp;Const'!$S542)</f>
        <v>N</v>
      </c>
      <c r="F542" s="560"/>
      <c r="G542" s="558"/>
      <c r="H542" s="546" t="str">
        <f>CONCATENATE(IF(ISNUMBER(SEARCH("Placeholder",'C-Design&amp;Const'!Z542))=TRUE,"",IF(E542="N","PLACEHOLDER ROW - ","")),'C-Design&amp;Const'!Z542,IF(E542="N","",J542))</f>
        <v>PLACEHOLDER ROW - OPTIONAL CLIENT CUSTOM ITEM</v>
      </c>
      <c r="I542" s="186"/>
      <c r="J542" s="551" t="str">
        <f>IF('C-Design&amp;Const'!AJ542="","",'C-Design&amp;Const'!AJ542)</f>
        <v/>
      </c>
      <c r="L542" s="1410" t="str">
        <f t="shared" si="47"/>
        <v>&lt;---PM/Planner may hide PLACEHOLDER ROW</v>
      </c>
      <c r="M542" s="1382"/>
      <c r="N542" s="1382"/>
      <c r="O542" s="1382"/>
      <c r="P542" s="1382"/>
      <c r="Q542" s="1382"/>
      <c r="R542" s="1447"/>
      <c r="S542" s="1448"/>
      <c r="T542" s="1274"/>
      <c r="U542" s="1382"/>
      <c r="V542" s="1382"/>
      <c r="W542" s="1382"/>
      <c r="X542" s="1382"/>
      <c r="Y542" s="1382"/>
      <c r="Z542" s="1382"/>
      <c r="AA542" s="1382"/>
      <c r="AB542" s="1382"/>
      <c r="AC542" s="1382"/>
      <c r="AD542" s="1382"/>
      <c r="AE542" s="1382"/>
      <c r="AF542" s="1382"/>
      <c r="AG542" s="1382"/>
      <c r="AH542" s="1382"/>
      <c r="AI542" s="1382"/>
      <c r="AJ542" s="1382"/>
      <c r="AX542" s="545"/>
    </row>
    <row r="543" spans="1:50" s="551" customFormat="1" ht="15" hidden="1" customHeight="1" x14ac:dyDescent="0.25">
      <c r="A543" s="2322"/>
      <c r="B543" s="549"/>
      <c r="C543" s="944"/>
      <c r="D543" s="321"/>
      <c r="E543" s="559" t="str">
        <f>IF('C-Design&amp;Const'!$S543="","",'C-Design&amp;Const'!$S543)</f>
        <v>N</v>
      </c>
      <c r="F543" s="560"/>
      <c r="G543" s="558"/>
      <c r="H543" s="546" t="str">
        <f>CONCATENATE(IF(ISNUMBER(SEARCH("Placeholder",'C-Design&amp;Const'!Z543))=TRUE,"",IF(E543="N","PLACEHOLDER ROW - ","")),'C-Design&amp;Const'!Z543,IF(E543="N","",J543))</f>
        <v>PLACEHOLDER ROW - OPTIONAL CLIENT CUSTOM ITEM</v>
      </c>
      <c r="I543" s="186"/>
      <c r="J543" s="551" t="str">
        <f>IF('C-Design&amp;Const'!AJ543="","",'C-Design&amp;Const'!AJ543)</f>
        <v/>
      </c>
      <c r="L543" s="1410" t="str">
        <f t="shared" si="47"/>
        <v>&lt;---PM/Planner may hide PLACEHOLDER ROW</v>
      </c>
      <c r="M543" s="1382"/>
      <c r="N543" s="1382"/>
      <c r="O543" s="1382"/>
      <c r="P543" s="1382"/>
      <c r="Q543" s="1382"/>
      <c r="R543" s="1447"/>
      <c r="S543" s="1448"/>
      <c r="T543" s="1274"/>
      <c r="U543" s="1382"/>
      <c r="V543" s="1382"/>
      <c r="W543" s="1382"/>
      <c r="X543" s="1382"/>
      <c r="Y543" s="1382"/>
      <c r="Z543" s="1382"/>
      <c r="AA543" s="1382"/>
      <c r="AB543" s="1382"/>
      <c r="AC543" s="1382"/>
      <c r="AD543" s="1382"/>
      <c r="AE543" s="1382"/>
      <c r="AF543" s="1382"/>
      <c r="AG543" s="1382"/>
      <c r="AH543" s="1382"/>
      <c r="AI543" s="1382"/>
      <c r="AJ543" s="1382"/>
      <c r="AX543" s="545"/>
    </row>
    <row r="544" spans="1:50" s="551" customFormat="1" ht="15" hidden="1" customHeight="1" x14ac:dyDescent="0.25">
      <c r="A544" s="2322"/>
      <c r="B544" s="549"/>
      <c r="C544" s="944"/>
      <c r="D544" s="321"/>
      <c r="E544" s="559" t="str">
        <f>IF('C-Design&amp;Const'!$S544="","",'C-Design&amp;Const'!$S544)</f>
        <v>N</v>
      </c>
      <c r="F544" s="560"/>
      <c r="G544" s="558"/>
      <c r="H544" s="546" t="str">
        <f>CONCATENATE(IF(ISNUMBER(SEARCH("Placeholder",'C-Design&amp;Const'!Z544))=TRUE,"",IF(E544="N","PLACEHOLDER ROW - ","")),'C-Design&amp;Const'!Z544,IF(E544="N","",J544))</f>
        <v>PLACEHOLDER ROW - OPTIONAL CLIENT CUSTOM ITEM</v>
      </c>
      <c r="I544" s="186"/>
      <c r="J544" s="551" t="str">
        <f>IF('C-Design&amp;Const'!AJ544="","",'C-Design&amp;Const'!AJ544)</f>
        <v/>
      </c>
      <c r="L544" s="1410" t="str">
        <f t="shared" si="47"/>
        <v>&lt;---PM/Planner may hide PLACEHOLDER ROW</v>
      </c>
      <c r="M544" s="1382"/>
      <c r="N544" s="1382"/>
      <c r="O544" s="1382"/>
      <c r="P544" s="1382"/>
      <c r="Q544" s="1382"/>
      <c r="R544" s="1447"/>
      <c r="S544" s="1448"/>
      <c r="T544" s="1274"/>
      <c r="U544" s="1382"/>
      <c r="V544" s="1382"/>
      <c r="W544" s="1382"/>
      <c r="X544" s="1382"/>
      <c r="Y544" s="1382"/>
      <c r="Z544" s="1382"/>
      <c r="AA544" s="1382"/>
      <c r="AB544" s="1382"/>
      <c r="AC544" s="1382"/>
      <c r="AD544" s="1382"/>
      <c r="AE544" s="1382"/>
      <c r="AF544" s="1382"/>
      <c r="AG544" s="1382"/>
      <c r="AH544" s="1382"/>
      <c r="AI544" s="1382"/>
      <c r="AJ544" s="1382"/>
      <c r="AX544" s="545"/>
    </row>
    <row r="545" spans="1:50" ht="18.75" hidden="1" customHeight="1" x14ac:dyDescent="0.25">
      <c r="A545" s="2322"/>
      <c r="B545" s="125"/>
      <c r="C545" s="945"/>
      <c r="D545" s="265"/>
      <c r="E545" s="547"/>
      <c r="F545" s="547"/>
      <c r="G545" s="565"/>
      <c r="H545" s="575"/>
      <c r="I545" s="557"/>
      <c r="J545" s="17" t="str">
        <f>IF('C-Design&amp;Const'!AJ545="","",'C-Design&amp;Const'!AJ545)</f>
        <v/>
      </c>
      <c r="L545" s="1410" t="str">
        <f t="shared" si="47"/>
        <v/>
      </c>
      <c r="M545" s="1333"/>
      <c r="N545" s="1333"/>
      <c r="O545" s="1333"/>
      <c r="P545" s="1333"/>
      <c r="Q545" s="1333"/>
      <c r="R545" s="1453"/>
      <c r="S545" s="1364"/>
      <c r="T545" s="1284"/>
      <c r="U545" s="1333"/>
      <c r="V545" s="1333"/>
      <c r="W545" s="1333"/>
      <c r="X545" s="1333"/>
      <c r="Y545" s="1333"/>
      <c r="Z545" s="1333"/>
      <c r="AA545" s="1333"/>
      <c r="AB545" s="1333"/>
      <c r="AC545" s="1333"/>
      <c r="AD545" s="1333"/>
      <c r="AE545" s="1333"/>
      <c r="AF545" s="1333"/>
      <c r="AG545" s="1333"/>
      <c r="AH545" s="1333"/>
      <c r="AI545" s="1333"/>
      <c r="AJ545" s="1333"/>
    </row>
    <row r="546" spans="1:50" ht="18.75" hidden="1" x14ac:dyDescent="0.25">
      <c r="A546" s="2322"/>
      <c r="B546" s="125"/>
      <c r="C546" s="945"/>
      <c r="D546" s="29" t="str">
        <f>IF('C-Design&amp;Const'!$S546="","",'C-Design&amp;Const'!$S546)</f>
        <v>N</v>
      </c>
      <c r="E546" s="247"/>
      <c r="F546" s="556"/>
      <c r="G546" s="550" t="str">
        <f>IF('C-Design&amp;Const'!Y546="","",'C-Design&amp;Const'!Y546)</f>
        <v>31.</v>
      </c>
      <c r="H546" s="555" t="str">
        <f>CONCATENATE('C-Design&amp;Const'!Z546,IF(D546="N"," Not Used In This Construction Phase",J546))</f>
        <v>LEED Certification / Documentation Not Used In This Construction Phase</v>
      </c>
      <c r="I546" s="557"/>
      <c r="J546" s="17" t="str">
        <f>IF('C-Design&amp;Const'!AJ546="","",'C-Design&amp;Const'!AJ546)</f>
        <v/>
      </c>
      <c r="L546" s="1410" t="str">
        <f t="shared" si="47"/>
        <v/>
      </c>
      <c r="M546" s="1333"/>
      <c r="N546" s="1333"/>
      <c r="O546" s="1333"/>
      <c r="P546" s="1333"/>
      <c r="Q546" s="1333"/>
      <c r="R546" s="1453"/>
      <c r="S546" s="1364"/>
      <c r="T546" s="1284"/>
      <c r="U546" s="1333"/>
      <c r="V546" s="1333"/>
      <c r="W546" s="1333"/>
      <c r="X546" s="1333"/>
      <c r="Y546" s="1333"/>
      <c r="Z546" s="1333"/>
      <c r="AA546" s="1333"/>
      <c r="AB546" s="1333"/>
      <c r="AC546" s="1333"/>
      <c r="AD546" s="1333"/>
      <c r="AE546" s="1333"/>
      <c r="AF546" s="1333"/>
      <c r="AG546" s="1333"/>
      <c r="AH546" s="1333"/>
      <c r="AI546" s="1333"/>
      <c r="AJ546" s="1333"/>
    </row>
    <row r="547" spans="1:50" s="181" customFormat="1" ht="15" hidden="1" customHeight="1" x14ac:dyDescent="0.25">
      <c r="A547" s="2322"/>
      <c r="B547" s="177"/>
      <c r="C547" s="945"/>
      <c r="D547" s="547"/>
      <c r="E547" s="29" t="str">
        <f>IF('C-Design&amp;Const'!$S547="","",'C-Design&amp;Const'!$S547)</f>
        <v>N</v>
      </c>
      <c r="F547" s="322"/>
      <c r="G547" s="567" t="str">
        <f>IF('C-Design&amp;Const'!Y547="","",'C-Design&amp;Const'!Y547)</f>
        <v/>
      </c>
      <c r="H547" s="562" t="str">
        <f>CONCATENATE('C-Design&amp;Const'!Z547,IF(D547="N"," Not Used In This Construction Phase",J547))</f>
        <v>Supplemental - US Green Buildings Council Building Certification</v>
      </c>
      <c r="I547" s="557"/>
      <c r="J547" s="181" t="str">
        <f>IF('C-Design&amp;Const'!AJ547="","",'C-Design&amp;Const'!AJ547)</f>
        <v/>
      </c>
      <c r="L547" s="1410" t="str">
        <f t="shared" si="47"/>
        <v/>
      </c>
      <c r="M547" s="1382"/>
      <c r="N547" s="1382"/>
      <c r="O547" s="1382"/>
      <c r="P547" s="1382"/>
      <c r="Q547" s="1382"/>
      <c r="R547" s="1447"/>
      <c r="S547" s="1448"/>
      <c r="T547" s="1274"/>
      <c r="U547" s="1382"/>
      <c r="V547" s="1382"/>
      <c r="W547" s="1382"/>
      <c r="X547" s="1382"/>
      <c r="Y547" s="1382"/>
      <c r="Z547" s="1382"/>
      <c r="AA547" s="1382"/>
      <c r="AB547" s="1382"/>
      <c r="AC547" s="1382"/>
      <c r="AD547" s="1382"/>
      <c r="AE547" s="1382"/>
      <c r="AF547" s="1382"/>
      <c r="AG547" s="1382"/>
      <c r="AH547" s="1382"/>
      <c r="AI547" s="1382"/>
      <c r="AJ547" s="1382"/>
      <c r="AX547" s="30"/>
    </row>
    <row r="548" spans="1:50" s="551" customFormat="1" ht="15" hidden="1" customHeight="1" x14ac:dyDescent="0.25">
      <c r="A548" s="2322"/>
      <c r="B548" s="549"/>
      <c r="C548" s="944"/>
      <c r="D548" s="321"/>
      <c r="E548" s="559" t="str">
        <f>IF('C-Design&amp;Const'!$S548="","",'C-Design&amp;Const'!$S548)</f>
        <v>N</v>
      </c>
      <c r="F548" s="560"/>
      <c r="G548" s="558"/>
      <c r="H548" s="546" t="str">
        <f>CONCATENATE(IF(ISNUMBER(SEARCH("Placeholder",'C-Design&amp;Const'!Z548))=TRUE,"",IF(E548="N","PLACEHOLDER ROW - ","")),'C-Design&amp;Const'!Z548,IF(E548="N","",J548))</f>
        <v>PLACEHOLDER ROW - OPTIONAL CLIENT CUSTOM ITEM</v>
      </c>
      <c r="I548" s="186"/>
      <c r="J548" s="551" t="str">
        <f>IF('C-Design&amp;Const'!AJ548="","",'C-Design&amp;Const'!AJ548)</f>
        <v/>
      </c>
      <c r="L548" s="1410" t="str">
        <f t="shared" ref="L548:L549" si="48">CONCATENATE(IF(ISNUMBER(SEARCH("Placeholder",H548))=TRUE,"&lt;---PM/Planner may hide PLACEHOLDER ROW",""))</f>
        <v>&lt;---PM/Planner may hide PLACEHOLDER ROW</v>
      </c>
      <c r="M548" s="1382"/>
      <c r="N548" s="1382"/>
      <c r="O548" s="1382"/>
      <c r="P548" s="1382"/>
      <c r="Q548" s="1382"/>
      <c r="R548" s="1447"/>
      <c r="S548" s="1448"/>
      <c r="T548" s="1274"/>
      <c r="U548" s="1382"/>
      <c r="V548" s="1382"/>
      <c r="W548" s="1382"/>
      <c r="X548" s="1382"/>
      <c r="Y548" s="1382"/>
      <c r="Z548" s="1382"/>
      <c r="AA548" s="1382"/>
      <c r="AB548" s="1382"/>
      <c r="AC548" s="1382"/>
      <c r="AD548" s="1382"/>
      <c r="AE548" s="1382"/>
      <c r="AF548" s="1382"/>
      <c r="AG548" s="1382"/>
      <c r="AH548" s="1382"/>
      <c r="AI548" s="1382"/>
      <c r="AJ548" s="1382"/>
      <c r="AX548" s="545"/>
    </row>
    <row r="549" spans="1:50" s="551" customFormat="1" ht="15" hidden="1" customHeight="1" x14ac:dyDescent="0.25">
      <c r="A549" s="2322"/>
      <c r="B549" s="549"/>
      <c r="C549" s="944"/>
      <c r="D549" s="321"/>
      <c r="E549" s="559" t="str">
        <f>IF('C-Design&amp;Const'!$S549="","",'C-Design&amp;Const'!$S549)</f>
        <v>N</v>
      </c>
      <c r="F549" s="560"/>
      <c r="G549" s="558"/>
      <c r="H549" s="546" t="str">
        <f>CONCATENATE(IF(ISNUMBER(SEARCH("Placeholder",'C-Design&amp;Const'!Z549))=TRUE,"",IF(E549="N","PLACEHOLDER ROW - ","")),'C-Design&amp;Const'!Z549,IF(E549="N","",J549))</f>
        <v>PLACEHOLDER ROW - OPTIONAL CLIENT CUSTOM ITEM</v>
      </c>
      <c r="I549" s="186"/>
      <c r="J549" s="551" t="str">
        <f>IF('C-Design&amp;Const'!AJ549="","",'C-Design&amp;Const'!AJ549)</f>
        <v/>
      </c>
      <c r="L549" s="1410" t="str">
        <f t="shared" si="48"/>
        <v>&lt;---PM/Planner may hide PLACEHOLDER ROW</v>
      </c>
      <c r="M549" s="1382"/>
      <c r="N549" s="1382"/>
      <c r="O549" s="1382"/>
      <c r="P549" s="1382"/>
      <c r="Q549" s="1382"/>
      <c r="R549" s="1447"/>
      <c r="S549" s="1448"/>
      <c r="T549" s="1274"/>
      <c r="U549" s="1382"/>
      <c r="V549" s="1382"/>
      <c r="W549" s="1382"/>
      <c r="X549" s="1382"/>
      <c r="Y549" s="1382"/>
      <c r="Z549" s="1382"/>
      <c r="AA549" s="1382"/>
      <c r="AB549" s="1382"/>
      <c r="AC549" s="1382"/>
      <c r="AD549" s="1382"/>
      <c r="AE549" s="1382"/>
      <c r="AF549" s="1382"/>
      <c r="AG549" s="1382"/>
      <c r="AH549" s="1382"/>
      <c r="AI549" s="1382"/>
      <c r="AJ549" s="1382"/>
      <c r="AX549" s="545"/>
    </row>
    <row r="550" spans="1:50" ht="18.75" hidden="1" customHeight="1" x14ac:dyDescent="0.25">
      <c r="A550" s="2322"/>
      <c r="B550" s="125"/>
      <c r="C550" s="921"/>
      <c r="D550" s="258"/>
      <c r="E550" s="21"/>
      <c r="F550" s="21"/>
      <c r="G550" s="565"/>
      <c r="H550" s="576"/>
      <c r="I550" s="557"/>
      <c r="J550" s="17" t="str">
        <f>IF('C-Design&amp;Const'!AJ550="","",'C-Design&amp;Const'!AJ550)</f>
        <v/>
      </c>
      <c r="L550" s="1410" t="str">
        <f t="shared" si="47"/>
        <v/>
      </c>
      <c r="M550" s="1333"/>
      <c r="N550" s="1333"/>
      <c r="O550" s="1333"/>
      <c r="P550" s="1333"/>
      <c r="Q550" s="1333"/>
      <c r="R550" s="1453"/>
      <c r="S550" s="1364"/>
      <c r="T550" s="1284"/>
      <c r="U550" s="1333"/>
      <c r="V550" s="1333"/>
      <c r="W550" s="1333"/>
      <c r="X550" s="1333"/>
      <c r="Y550" s="1333"/>
      <c r="Z550" s="1333"/>
      <c r="AA550" s="1333"/>
      <c r="AB550" s="1333"/>
      <c r="AC550" s="1333"/>
      <c r="AD550" s="1333"/>
      <c r="AE550" s="1333"/>
      <c r="AF550" s="1333"/>
      <c r="AG550" s="1333"/>
      <c r="AH550" s="1333"/>
      <c r="AI550" s="1333"/>
      <c r="AJ550" s="1333"/>
    </row>
    <row r="551" spans="1:50" ht="37.5" hidden="1" x14ac:dyDescent="0.25">
      <c r="A551" s="2322"/>
      <c r="B551" s="125"/>
      <c r="C551" s="945"/>
      <c r="D551" s="29" t="str">
        <f>IF('C-Design&amp;Const'!$S551="","",'C-Design&amp;Const'!$S551)</f>
        <v>N</v>
      </c>
      <c r="E551" s="31"/>
      <c r="F551" s="178"/>
      <c r="G551" s="550" t="str">
        <f>IF('C-Design&amp;Const'!Y551="","",'C-Design&amp;Const'!Y551)</f>
        <v>32.</v>
      </c>
      <c r="H551" s="555" t="str">
        <f>CONCATENATE('C-Design&amp;Const'!Z551,IF(D551="N"," Not Used In This Construction Phase",J551))</f>
        <v>Final Approved Contractor Submittals with Log Not Used In This Construction Phase</v>
      </c>
      <c r="I551" s="557"/>
      <c r="J551" s="17" t="str">
        <f>IF('C-Design&amp;Const'!AJ551="","",'C-Design&amp;Const'!AJ551)</f>
        <v/>
      </c>
      <c r="L551" s="1410" t="str">
        <f t="shared" si="47"/>
        <v/>
      </c>
      <c r="M551" s="1333"/>
      <c r="N551" s="1333"/>
      <c r="O551" s="1333"/>
      <c r="P551" s="1333"/>
      <c r="Q551" s="1333"/>
      <c r="R551" s="1453"/>
      <c r="S551" s="1364"/>
      <c r="T551" s="1284"/>
      <c r="U551" s="1333"/>
      <c r="V551" s="1333"/>
      <c r="W551" s="1333"/>
      <c r="X551" s="1333"/>
      <c r="Y551" s="1333"/>
      <c r="Z551" s="1333"/>
      <c r="AA551" s="1333"/>
      <c r="AB551" s="1333"/>
      <c r="AC551" s="1333"/>
      <c r="AD551" s="1333"/>
      <c r="AE551" s="1333"/>
      <c r="AF551" s="1333"/>
      <c r="AG551" s="1333"/>
      <c r="AH551" s="1333"/>
      <c r="AI551" s="1333"/>
      <c r="AJ551" s="1333"/>
    </row>
    <row r="552" spans="1:50" ht="18.75" hidden="1" customHeight="1" x14ac:dyDescent="0.25">
      <c r="A552" s="2322"/>
      <c r="B552" s="125"/>
      <c r="C552" s="921"/>
      <c r="D552" s="265"/>
      <c r="E552" s="21"/>
      <c r="F552" s="21"/>
      <c r="G552" s="565"/>
      <c r="H552" s="575"/>
      <c r="I552" s="557"/>
      <c r="J552" s="17" t="str">
        <f>IF('C-Design&amp;Const'!AJ552="","",'C-Design&amp;Const'!AJ552)</f>
        <v/>
      </c>
      <c r="L552" s="1410" t="str">
        <f t="shared" si="47"/>
        <v/>
      </c>
      <c r="M552" s="1333"/>
      <c r="N552" s="1333"/>
      <c r="O552" s="1333"/>
      <c r="P552" s="1333"/>
      <c r="Q552" s="1333"/>
      <c r="R552" s="1453"/>
      <c r="S552" s="1364"/>
      <c r="T552" s="1284"/>
      <c r="U552" s="1333"/>
      <c r="V552" s="1333"/>
      <c r="W552" s="1333"/>
      <c r="X552" s="1333"/>
      <c r="Y552" s="1333"/>
      <c r="Z552" s="1333"/>
      <c r="AA552" s="1333"/>
      <c r="AB552" s="1333"/>
      <c r="AC552" s="1333"/>
      <c r="AD552" s="1333"/>
      <c r="AE552" s="1333"/>
      <c r="AF552" s="1333"/>
      <c r="AG552" s="1333"/>
      <c r="AH552" s="1333"/>
      <c r="AI552" s="1333"/>
      <c r="AJ552" s="1333"/>
    </row>
    <row r="553" spans="1:50" ht="37.5" hidden="1" x14ac:dyDescent="0.25">
      <c r="A553" s="2322"/>
      <c r="B553" s="125"/>
      <c r="C553" s="945"/>
      <c r="D553" s="29" t="str">
        <f>IF('C-Design&amp;Const'!$S553="","",'C-Design&amp;Const'!$S553)</f>
        <v>N</v>
      </c>
      <c r="E553" s="31"/>
      <c r="F553" s="178"/>
      <c r="G553" s="550" t="str">
        <f>IF('C-Design&amp;Const'!Y553="","",'C-Design&amp;Const'!Y553)</f>
        <v>33.</v>
      </c>
      <c r="H553" s="555" t="str">
        <f>CONCATENATE('C-Design&amp;Const'!Z553,IF(D553="N"," Not Used In This Construction Phase",J553))</f>
        <v>Contractor As-Built Drawings and As-Built Project Manual Not Used In This Construction Phase</v>
      </c>
      <c r="I553" s="557"/>
      <c r="J553" s="17" t="str">
        <f>IF('C-Design&amp;Const'!AJ553="","",'C-Design&amp;Const'!AJ553)</f>
        <v/>
      </c>
      <c r="L553" s="1410" t="str">
        <f t="shared" si="47"/>
        <v/>
      </c>
      <c r="M553" s="1333"/>
      <c r="N553" s="1333"/>
      <c r="O553" s="1333"/>
      <c r="P553" s="1333"/>
      <c r="Q553" s="1333"/>
      <c r="R553" s="1453"/>
      <c r="S553" s="1364"/>
      <c r="T553" s="1284"/>
      <c r="U553" s="1333"/>
      <c r="V553" s="1333"/>
      <c r="W553" s="1333"/>
      <c r="X553" s="1333"/>
      <c r="Y553" s="1333"/>
      <c r="Z553" s="1333"/>
      <c r="AA553" s="1333"/>
      <c r="AB553" s="1333"/>
      <c r="AC553" s="1333"/>
      <c r="AD553" s="1333"/>
      <c r="AE553" s="1333"/>
      <c r="AF553" s="1333"/>
      <c r="AG553" s="1333"/>
      <c r="AH553" s="1333"/>
      <c r="AI553" s="1333"/>
      <c r="AJ553" s="1333"/>
    </row>
    <row r="554" spans="1:50" ht="18.75" hidden="1" customHeight="1" x14ac:dyDescent="0.25">
      <c r="A554" s="2323"/>
      <c r="B554" s="125"/>
      <c r="C554" s="921"/>
      <c r="D554" s="265"/>
      <c r="E554" s="21"/>
      <c r="F554" s="21"/>
      <c r="G554" s="565"/>
      <c r="H554" s="575"/>
      <c r="I554" s="557"/>
      <c r="J554" s="17" t="str">
        <f>IF('C-Design&amp;Const'!AJ554="","",'C-Design&amp;Const'!AJ554)</f>
        <v/>
      </c>
      <c r="L554" s="1410" t="str">
        <f t="shared" si="47"/>
        <v/>
      </c>
      <c r="M554" s="1333"/>
      <c r="N554" s="1333"/>
      <c r="O554" s="1333"/>
      <c r="P554" s="1333"/>
      <c r="Q554" s="1333"/>
      <c r="R554" s="1453"/>
      <c r="S554" s="1364"/>
      <c r="T554" s="1284"/>
      <c r="U554" s="1333"/>
      <c r="V554" s="1333"/>
      <c r="W554" s="1333"/>
      <c r="X554" s="1333"/>
      <c r="Y554" s="1333"/>
      <c r="Z554" s="1333"/>
      <c r="AA554" s="1333"/>
      <c r="AB554" s="1333"/>
      <c r="AC554" s="1333"/>
      <c r="AD554" s="1333"/>
      <c r="AE554" s="1333"/>
      <c r="AF554" s="1333"/>
      <c r="AG554" s="1333"/>
      <c r="AH554" s="1333"/>
      <c r="AI554" s="1333"/>
      <c r="AJ554" s="1333"/>
    </row>
    <row r="555" spans="1:50" ht="21" hidden="1" x14ac:dyDescent="0.25">
      <c r="A555" s="2321" t="s">
        <v>266</v>
      </c>
      <c r="B555" s="125"/>
      <c r="C555" s="954"/>
      <c r="D555" s="308" t="s">
        <v>147</v>
      </c>
      <c r="E555" s="309"/>
      <c r="F555" s="309"/>
      <c r="G555" s="849"/>
      <c r="H555" s="850"/>
      <c r="I555" s="557"/>
      <c r="J555" s="17" t="str">
        <f>IF('C-Design&amp;Const'!AJ555="","",'C-Design&amp;Const'!AJ555)</f>
        <v/>
      </c>
      <c r="L555" s="1410" t="str">
        <f t="shared" si="47"/>
        <v/>
      </c>
      <c r="M555" s="1333"/>
      <c r="N555" s="1333"/>
      <c r="O555" s="1333"/>
      <c r="P555" s="1333"/>
      <c r="Q555" s="1333"/>
      <c r="R555" s="1453"/>
      <c r="S555" s="1364"/>
      <c r="T555" s="1284"/>
      <c r="U555" s="1333"/>
      <c r="V555" s="1333"/>
      <c r="W555" s="1333"/>
      <c r="X555" s="1333"/>
      <c r="Y555" s="1333"/>
      <c r="Z555" s="1333"/>
      <c r="AA555" s="1333"/>
      <c r="AB555" s="1333"/>
      <c r="AC555" s="1333"/>
      <c r="AD555" s="1333"/>
      <c r="AE555" s="1333"/>
      <c r="AF555" s="1333"/>
      <c r="AG555" s="1333"/>
      <c r="AH555" s="1333"/>
      <c r="AI555" s="1333"/>
      <c r="AJ555" s="1333"/>
    </row>
    <row r="556" spans="1:50" ht="15.75" hidden="1" x14ac:dyDescent="0.25">
      <c r="A556" s="2322"/>
      <c r="B556" s="125"/>
      <c r="C556" s="921"/>
      <c r="D556" s="258"/>
      <c r="E556" s="21"/>
      <c r="F556" s="21"/>
      <c r="G556" s="565"/>
      <c r="H556" s="576"/>
      <c r="I556" s="557"/>
      <c r="J556" s="17" t="str">
        <f>IF('C-Design&amp;Const'!AJ556="","",'C-Design&amp;Const'!AJ556)</f>
        <v/>
      </c>
      <c r="L556" s="1410" t="str">
        <f t="shared" si="47"/>
        <v/>
      </c>
      <c r="M556" s="1333"/>
      <c r="N556" s="1333"/>
      <c r="O556" s="1333"/>
      <c r="P556" s="1333"/>
      <c r="Q556" s="1333"/>
      <c r="R556" s="1453"/>
      <c r="S556" s="1364"/>
      <c r="T556" s="1284"/>
      <c r="U556" s="1333"/>
      <c r="V556" s="1333"/>
      <c r="W556" s="1333"/>
      <c r="X556" s="1333"/>
      <c r="Y556" s="1333"/>
      <c r="Z556" s="1333"/>
      <c r="AA556" s="1333"/>
      <c r="AB556" s="1333"/>
      <c r="AC556" s="1333"/>
      <c r="AD556" s="1333"/>
      <c r="AE556" s="1333"/>
      <c r="AF556" s="1333"/>
      <c r="AG556" s="1333"/>
      <c r="AH556" s="1333"/>
      <c r="AI556" s="1333"/>
      <c r="AJ556" s="1333"/>
    </row>
    <row r="557" spans="1:50" ht="18.75" hidden="1" x14ac:dyDescent="0.25">
      <c r="A557" s="2322"/>
      <c r="B557" s="125"/>
      <c r="C557" s="945"/>
      <c r="D557" s="29" t="str">
        <f>IF('C-Design&amp;Const'!$S557="","",'C-Design&amp;Const'!$S557)</f>
        <v>N</v>
      </c>
      <c r="E557" s="31"/>
      <c r="F557" s="570"/>
      <c r="G557" s="550" t="str">
        <f>IF('C-Design&amp;Const'!Y557="","",'C-Design&amp;Const'!Y557)</f>
        <v>40.</v>
      </c>
      <c r="H557" s="555" t="str">
        <f>CONCATENATE('C-Design&amp;Const'!Z557,IF(D557="N"," Not Used In This Construction Phase",J557))</f>
        <v>Post Construction Activities Log Not Used In This Construction Phase</v>
      </c>
      <c r="I557" s="557"/>
      <c r="J557" s="17" t="str">
        <f>IF('C-Design&amp;Const'!AJ557="","",'C-Design&amp;Const'!AJ557)</f>
        <v/>
      </c>
      <c r="L557" s="1410" t="str">
        <f t="shared" si="47"/>
        <v/>
      </c>
      <c r="M557" s="1333"/>
      <c r="N557" s="1333"/>
      <c r="O557" s="1333"/>
      <c r="P557" s="1333"/>
      <c r="Q557" s="1333"/>
      <c r="R557" s="1453"/>
      <c r="S557" s="1364"/>
      <c r="T557" s="1284"/>
      <c r="U557" s="1333"/>
      <c r="V557" s="1333"/>
      <c r="W557" s="1333"/>
      <c r="X557" s="1333"/>
      <c r="Y557" s="1333"/>
      <c r="Z557" s="1333"/>
      <c r="AA557" s="1333"/>
      <c r="AB557" s="1333"/>
      <c r="AC557" s="1333"/>
      <c r="AD557" s="1333"/>
      <c r="AE557" s="1333"/>
      <c r="AF557" s="1333"/>
      <c r="AG557" s="1333"/>
      <c r="AH557" s="1333"/>
      <c r="AI557" s="1333"/>
      <c r="AJ557" s="1333"/>
    </row>
    <row r="558" spans="1:50" ht="15.75" hidden="1" x14ac:dyDescent="0.25">
      <c r="A558" s="2322"/>
      <c r="B558" s="125"/>
      <c r="C558" s="921"/>
      <c r="D558" s="258"/>
      <c r="E558" s="21"/>
      <c r="F558" s="571"/>
      <c r="G558" s="1821"/>
      <c r="H558" s="576"/>
      <c r="I558" s="557"/>
      <c r="J558" s="17" t="str">
        <f>IF('C-Design&amp;Const'!AJ558="","",'C-Design&amp;Const'!AJ558)</f>
        <v/>
      </c>
      <c r="L558" s="1410" t="str">
        <f t="shared" si="47"/>
        <v/>
      </c>
      <c r="M558" s="1333"/>
      <c r="N558" s="1333"/>
      <c r="O558" s="1333"/>
      <c r="P558" s="1333"/>
      <c r="Q558" s="1333"/>
      <c r="R558" s="1453"/>
      <c r="S558" s="1364"/>
      <c r="T558" s="1284"/>
      <c r="U558" s="1333"/>
      <c r="V558" s="1333"/>
      <c r="W558" s="1333"/>
      <c r="X558" s="1333"/>
      <c r="Y558" s="1333"/>
      <c r="Z558" s="1333"/>
      <c r="AA558" s="1333"/>
      <c r="AB558" s="1333"/>
      <c r="AC558" s="1333"/>
      <c r="AD558" s="1333"/>
      <c r="AE558" s="1333"/>
      <c r="AF558" s="1333"/>
      <c r="AG558" s="1333"/>
      <c r="AH558" s="1333"/>
      <c r="AI558" s="1333"/>
      <c r="AJ558" s="1333"/>
    </row>
    <row r="559" spans="1:50" ht="34.5" hidden="1" customHeight="1" x14ac:dyDescent="0.25">
      <c r="A559" s="2322"/>
      <c r="B559" s="125"/>
      <c r="C559" s="945"/>
      <c r="D559" s="29" t="str">
        <f>IF('C-Design&amp;Const'!$S559="","",'C-Design&amp;Const'!$S559)</f>
        <v>N</v>
      </c>
      <c r="E559" s="31"/>
      <c r="F559" s="570"/>
      <c r="G559" s="550" t="str">
        <f>IF('C-Design&amp;Const'!Y559="","",'C-Design&amp;Const'!Y559)</f>
        <v>41.</v>
      </c>
      <c r="H559" s="555" t="str">
        <f>CONCATENATE('C-Design&amp;Const'!Z559,IF(D559="N"," Not Used In This Construction Phase",J559))</f>
        <v>Log of Equipment with Settings Different than Manufacturer's Recommendations Not Used In This Construction Phase</v>
      </c>
      <c r="I559" s="557"/>
      <c r="J559" s="17" t="str">
        <f>IF('C-Design&amp;Const'!AJ559="","",'C-Design&amp;Const'!AJ559)</f>
        <v/>
      </c>
      <c r="L559" s="1410" t="str">
        <f t="shared" si="47"/>
        <v/>
      </c>
      <c r="M559" s="1333"/>
      <c r="N559" s="1333"/>
      <c r="O559" s="1333"/>
      <c r="P559" s="1333"/>
      <c r="Q559" s="1333"/>
      <c r="R559" s="1453"/>
      <c r="S559" s="1364"/>
      <c r="T559" s="1284"/>
      <c r="U559" s="1333"/>
      <c r="V559" s="1333"/>
      <c r="W559" s="1333"/>
      <c r="X559" s="1333"/>
      <c r="Y559" s="1333"/>
      <c r="Z559" s="1333"/>
      <c r="AA559" s="1333"/>
      <c r="AB559" s="1333"/>
      <c r="AC559" s="1333"/>
      <c r="AD559" s="1333"/>
      <c r="AE559" s="1333"/>
      <c r="AF559" s="1333"/>
      <c r="AG559" s="1333"/>
      <c r="AH559" s="1333"/>
      <c r="AI559" s="1333"/>
      <c r="AJ559" s="1333"/>
    </row>
    <row r="560" spans="1:50" ht="15.75" hidden="1" x14ac:dyDescent="0.25">
      <c r="A560" s="2322"/>
      <c r="B560" s="125"/>
      <c r="C560" s="921"/>
      <c r="D560" s="258"/>
      <c r="E560" s="21"/>
      <c r="F560" s="571"/>
      <c r="G560" s="1821"/>
      <c r="H560" s="576"/>
      <c r="I560" s="557"/>
      <c r="J560" s="17" t="str">
        <f>IF('C-Design&amp;Const'!AJ560="","",'C-Design&amp;Const'!AJ560)</f>
        <v/>
      </c>
      <c r="L560" s="1410" t="str">
        <f t="shared" si="47"/>
        <v/>
      </c>
      <c r="M560" s="1333"/>
      <c r="N560" s="1333"/>
      <c r="O560" s="1333"/>
      <c r="P560" s="1333"/>
      <c r="Q560" s="1333"/>
      <c r="R560" s="1453"/>
      <c r="S560" s="1364"/>
      <c r="T560" s="1284"/>
      <c r="U560" s="1333"/>
      <c r="V560" s="1333"/>
      <c r="W560" s="1333"/>
      <c r="X560" s="1333"/>
      <c r="Y560" s="1333"/>
      <c r="Z560" s="1333"/>
      <c r="AA560" s="1333"/>
      <c r="AB560" s="1333"/>
      <c r="AC560" s="1333"/>
      <c r="AD560" s="1333"/>
      <c r="AE560" s="1333"/>
      <c r="AF560" s="1333"/>
      <c r="AG560" s="1333"/>
      <c r="AH560" s="1333"/>
      <c r="AI560" s="1333"/>
      <c r="AJ560" s="1333"/>
    </row>
    <row r="561" spans="1:51" ht="18.75" hidden="1" x14ac:dyDescent="0.25">
      <c r="A561" s="2322"/>
      <c r="B561" s="125"/>
      <c r="C561" s="945"/>
      <c r="D561" s="29" t="str">
        <f>IF('C-Design&amp;Const'!$S561="","",'C-Design&amp;Const'!$S561)</f>
        <v>N</v>
      </c>
      <c r="E561" s="31"/>
      <c r="F561" s="570"/>
      <c r="G561" s="550" t="str">
        <f>IF('C-Design&amp;Const'!Y561="","",'C-Design&amp;Const'!Y561)</f>
        <v>42.</v>
      </c>
      <c r="H561" s="555" t="str">
        <f>CONCATENATE('C-Design&amp;Const'!Z561,IF(D561="N"," Not Used In This Construction Phase",J561))</f>
        <v>Post Construction Report Not Used In This Construction Phase</v>
      </c>
      <c r="I561" s="557"/>
      <c r="J561" s="17" t="str">
        <f>IF('C-Design&amp;Const'!AJ561="","",'C-Design&amp;Const'!AJ561)</f>
        <v/>
      </c>
      <c r="L561" s="1410" t="str">
        <f t="shared" si="47"/>
        <v/>
      </c>
      <c r="M561" s="1333"/>
      <c r="N561" s="1333"/>
      <c r="O561" s="1333"/>
      <c r="P561" s="1333"/>
      <c r="Q561" s="1333"/>
      <c r="R561" s="1453"/>
      <c r="S561" s="1364"/>
      <c r="T561" s="1284"/>
      <c r="U561" s="1333"/>
      <c r="V561" s="1333"/>
      <c r="W561" s="1333"/>
      <c r="X561" s="1333"/>
      <c r="Y561" s="1333"/>
      <c r="Z561" s="1333"/>
      <c r="AA561" s="1333"/>
      <c r="AB561" s="1333"/>
      <c r="AC561" s="1333"/>
      <c r="AD561" s="1333"/>
      <c r="AE561" s="1333"/>
      <c r="AF561" s="1333"/>
      <c r="AG561" s="1333"/>
      <c r="AH561" s="1333"/>
      <c r="AI561" s="1333"/>
      <c r="AJ561" s="1333"/>
    </row>
    <row r="562" spans="1:51" ht="15.75" hidden="1" x14ac:dyDescent="0.25">
      <c r="A562" s="2322"/>
      <c r="B562" s="125"/>
      <c r="C562" s="921"/>
      <c r="D562" s="258"/>
      <c r="E562" s="21"/>
      <c r="F562" s="571"/>
      <c r="G562" s="1821"/>
      <c r="H562" s="576"/>
      <c r="I562" s="557"/>
      <c r="J562" s="17" t="str">
        <f>IF('C-Design&amp;Const'!AJ562="","",'C-Design&amp;Const'!AJ562)</f>
        <v/>
      </c>
      <c r="L562" s="1410" t="str">
        <f t="shared" si="47"/>
        <v/>
      </c>
      <c r="M562" s="1333"/>
      <c r="N562" s="1333"/>
      <c r="O562" s="1333"/>
      <c r="P562" s="1333"/>
      <c r="Q562" s="1333"/>
      <c r="R562" s="1453"/>
      <c r="S562" s="1364"/>
      <c r="T562" s="1284"/>
      <c r="U562" s="1333"/>
      <c r="V562" s="1333"/>
      <c r="W562" s="1333"/>
      <c r="X562" s="1333"/>
      <c r="Y562" s="1333"/>
      <c r="Z562" s="1333"/>
      <c r="AA562" s="1333"/>
      <c r="AB562" s="1333"/>
      <c r="AC562" s="1333"/>
      <c r="AD562" s="1333"/>
      <c r="AE562" s="1333"/>
      <c r="AF562" s="1333"/>
      <c r="AG562" s="1333"/>
      <c r="AH562" s="1333"/>
      <c r="AI562" s="1333"/>
      <c r="AJ562" s="1333"/>
    </row>
    <row r="563" spans="1:51" ht="18.75" hidden="1" x14ac:dyDescent="0.25">
      <c r="A563" s="2322"/>
      <c r="B563" s="125"/>
      <c r="C563" s="945"/>
      <c r="D563" s="29" t="str">
        <f>IF('C-Design&amp;Const'!$S563="","",'C-Design&amp;Const'!$S563)</f>
        <v>N</v>
      </c>
      <c r="E563" s="31"/>
      <c r="F563" s="570"/>
      <c r="G563" s="550" t="str">
        <f>IF('C-Design&amp;Const'!Y563="","",'C-Design&amp;Const'!Y563)</f>
        <v>43.</v>
      </c>
      <c r="H563" s="555" t="str">
        <f>CONCATENATE('C-Design&amp;Const'!Z563,IF(D563="N"," Not Used In This Construction Phase",J563))</f>
        <v>Final Completion Certification Not Used In This Construction Phase</v>
      </c>
      <c r="I563" s="557"/>
      <c r="J563" s="17" t="str">
        <f>IF('C-Design&amp;Const'!AJ563="","",'C-Design&amp;Const'!AJ563)</f>
        <v/>
      </c>
      <c r="L563" s="1410" t="str">
        <f t="shared" si="47"/>
        <v/>
      </c>
      <c r="M563" s="1333"/>
      <c r="N563" s="1333"/>
      <c r="O563" s="1333"/>
      <c r="P563" s="1333"/>
      <c r="Q563" s="1333"/>
      <c r="R563" s="1453"/>
      <c r="S563" s="1364"/>
      <c r="T563" s="1284"/>
      <c r="U563" s="1333"/>
      <c r="V563" s="1333"/>
      <c r="W563" s="1333"/>
      <c r="X563" s="1333"/>
      <c r="Y563" s="1333"/>
      <c r="Z563" s="1333"/>
      <c r="AA563" s="1333"/>
      <c r="AB563" s="1333"/>
      <c r="AC563" s="1333"/>
      <c r="AD563" s="1333"/>
      <c r="AE563" s="1333"/>
      <c r="AF563" s="1333"/>
      <c r="AG563" s="1333"/>
      <c r="AH563" s="1333"/>
      <c r="AI563" s="1333"/>
      <c r="AJ563" s="1333"/>
    </row>
    <row r="564" spans="1:51" s="30" customFormat="1" hidden="1" x14ac:dyDescent="0.25">
      <c r="A564" s="2323"/>
      <c r="B564" s="191"/>
      <c r="C564" s="921"/>
      <c r="D564" s="306"/>
      <c r="E564" s="306"/>
      <c r="F564" s="306"/>
      <c r="G564" s="852"/>
      <c r="H564" s="852"/>
      <c r="I564" s="557"/>
      <c r="J564" s="181" t="str">
        <f>IF('C-Design&amp;Const'!AJ564="","",'C-Design&amp;Const'!AJ564)</f>
        <v/>
      </c>
      <c r="L564" s="1410" t="str">
        <f t="shared" si="47"/>
        <v/>
      </c>
      <c r="M564" s="1382"/>
      <c r="N564" s="1382"/>
      <c r="O564" s="1382"/>
      <c r="P564" s="1382"/>
      <c r="Q564" s="1382"/>
      <c r="R564" s="1382"/>
      <c r="S564" s="1382"/>
      <c r="T564" s="1382"/>
      <c r="U564" s="1382"/>
      <c r="V564" s="1382"/>
      <c r="W564" s="1382"/>
      <c r="X564" s="1382"/>
      <c r="Y564" s="1382"/>
      <c r="Z564" s="1382"/>
      <c r="AA564" s="1382"/>
      <c r="AB564" s="1382"/>
      <c r="AC564" s="1382"/>
      <c r="AD564" s="1382"/>
      <c r="AE564" s="1382"/>
      <c r="AF564" s="1382"/>
      <c r="AG564" s="1382"/>
      <c r="AH564" s="1382"/>
      <c r="AI564" s="1382"/>
      <c r="AJ564" s="1382"/>
      <c r="AK564" s="181"/>
      <c r="AL564" s="181"/>
      <c r="AM564" s="181"/>
      <c r="AN564" s="181"/>
      <c r="AO564" s="181"/>
      <c r="AP564" s="181"/>
      <c r="AQ564" s="181"/>
      <c r="AR564" s="181"/>
      <c r="AS564" s="181"/>
      <c r="AT564" s="181"/>
      <c r="AU564" s="181"/>
      <c r="AV564" s="181"/>
      <c r="AW564" s="181"/>
    </row>
    <row r="565" spans="1:51" s="30" customFormat="1" x14ac:dyDescent="0.25">
      <c r="A565" s="1407"/>
      <c r="B565" s="1273"/>
      <c r="C565" s="1547"/>
      <c r="D565" s="1364"/>
      <c r="E565" s="1364"/>
      <c r="F565" s="1364"/>
      <c r="G565" s="1548"/>
      <c r="H565" s="1549"/>
      <c r="I565" s="1467"/>
      <c r="J565" s="1382" t="str">
        <f>IF('C-Design&amp;Const'!AJ565="","",'C-Design&amp;Const'!AJ565)</f>
        <v/>
      </c>
      <c r="K565" s="1470"/>
      <c r="L565" s="1410" t="str">
        <f t="shared" si="47"/>
        <v/>
      </c>
      <c r="M565" s="1382"/>
      <c r="N565" s="1382"/>
      <c r="O565" s="1382"/>
      <c r="P565" s="1382"/>
      <c r="Q565" s="1382"/>
      <c r="R565" s="1382"/>
      <c r="S565" s="1382"/>
      <c r="T565" s="1382"/>
      <c r="U565" s="1382"/>
      <c r="V565" s="1382"/>
      <c r="W565" s="1382"/>
      <c r="X565" s="1382"/>
      <c r="Y565" s="1382"/>
      <c r="Z565" s="1382"/>
      <c r="AA565" s="1382"/>
      <c r="AB565" s="1382"/>
      <c r="AC565" s="1382"/>
      <c r="AD565" s="1382"/>
      <c r="AE565" s="1382"/>
      <c r="AF565" s="1382"/>
      <c r="AG565" s="1382"/>
      <c r="AH565" s="1382"/>
      <c r="AI565" s="1382"/>
      <c r="AJ565" s="1382"/>
      <c r="AK565" s="181"/>
      <c r="AL565" s="181"/>
      <c r="AM565" s="181"/>
      <c r="AN565" s="181"/>
      <c r="AO565" s="181"/>
      <c r="AP565" s="181"/>
      <c r="AQ565" s="181"/>
      <c r="AR565" s="181"/>
      <c r="AS565" s="181"/>
      <c r="AT565" s="181"/>
      <c r="AU565" s="181"/>
      <c r="AV565" s="181"/>
      <c r="AW565" s="181"/>
    </row>
    <row r="566" spans="1:51" s="30" customFormat="1" ht="15" customHeight="1" x14ac:dyDescent="0.25">
      <c r="A566" s="1407"/>
      <c r="B566" s="1273"/>
      <c r="C566" s="1547"/>
      <c r="D566" s="1364"/>
      <c r="E566" s="1364"/>
      <c r="F566" s="1364"/>
      <c r="G566" s="1548"/>
      <c r="H566" s="1549"/>
      <c r="I566" s="1469"/>
      <c r="J566" s="1382"/>
      <c r="K566" s="1470"/>
      <c r="L566" s="1471"/>
      <c r="M566" s="1382"/>
      <c r="N566" s="1382"/>
      <c r="O566" s="1382"/>
      <c r="P566" s="1382"/>
      <c r="Q566" s="1382"/>
      <c r="R566" s="1382"/>
      <c r="S566" s="1382"/>
      <c r="T566" s="1382"/>
      <c r="U566" s="1382"/>
      <c r="V566" s="1382"/>
      <c r="W566" s="1382"/>
      <c r="X566" s="1382"/>
      <c r="Y566" s="1382"/>
      <c r="Z566" s="1382"/>
      <c r="AA566" s="1382"/>
      <c r="AB566" s="1382"/>
      <c r="AC566" s="1382"/>
      <c r="AD566" s="1382"/>
      <c r="AE566" s="1382"/>
      <c r="AF566" s="1382"/>
      <c r="AG566" s="1382"/>
      <c r="AH566" s="1382"/>
      <c r="AI566" s="1382"/>
      <c r="AJ566" s="1382"/>
      <c r="AK566" s="181"/>
      <c r="AL566" s="181"/>
      <c r="AM566" s="181"/>
      <c r="AN566" s="181"/>
      <c r="AO566" s="181"/>
      <c r="AP566" s="181"/>
      <c r="AQ566" s="181"/>
      <c r="AR566" s="181"/>
      <c r="AS566" s="181"/>
      <c r="AT566" s="181"/>
      <c r="AU566" s="181"/>
      <c r="AV566" s="181"/>
      <c r="AW566" s="181"/>
    </row>
    <row r="567" spans="1:51" s="30" customFormat="1" ht="15" customHeight="1" x14ac:dyDescent="0.25">
      <c r="A567" s="1407"/>
      <c r="B567" s="1273"/>
      <c r="C567" s="1284"/>
      <c r="D567" s="1364"/>
      <c r="E567" s="1364"/>
      <c r="F567" s="1364"/>
      <c r="G567" s="1499"/>
      <c r="H567" s="1333"/>
      <c r="I567" s="1469"/>
      <c r="J567" s="1382"/>
      <c r="K567" s="1470"/>
      <c r="L567" s="1472"/>
      <c r="M567" s="1382"/>
      <c r="N567" s="1382"/>
      <c r="O567" s="1382"/>
      <c r="P567" s="1382"/>
      <c r="Q567" s="1382"/>
      <c r="R567" s="1382"/>
      <c r="S567" s="1382"/>
      <c r="T567" s="1382"/>
      <c r="U567" s="1382"/>
      <c r="V567" s="1382"/>
      <c r="W567" s="1382"/>
      <c r="X567" s="1382"/>
      <c r="Y567" s="1382"/>
      <c r="Z567" s="1382"/>
      <c r="AA567" s="1382"/>
      <c r="AB567" s="1382"/>
      <c r="AC567" s="1382"/>
      <c r="AD567" s="1382"/>
      <c r="AE567" s="1382"/>
      <c r="AF567" s="1382"/>
      <c r="AG567" s="1382"/>
      <c r="AH567" s="1382"/>
      <c r="AI567" s="1382"/>
      <c r="AJ567" s="1382"/>
      <c r="AK567" s="181"/>
      <c r="AL567" s="181"/>
      <c r="AM567" s="181"/>
      <c r="AN567" s="181"/>
      <c r="AO567" s="181"/>
      <c r="AP567" s="181"/>
      <c r="AQ567" s="181"/>
      <c r="AR567" s="181"/>
      <c r="AS567" s="181"/>
      <c r="AT567" s="181"/>
      <c r="AU567" s="181"/>
      <c r="AV567" s="181"/>
      <c r="AW567" s="181"/>
    </row>
    <row r="568" spans="1:51" ht="10.5" customHeight="1" x14ac:dyDescent="0.3">
      <c r="A568" s="1407"/>
      <c r="B568" s="1405"/>
      <c r="C568" s="1497"/>
      <c r="D568" s="1474"/>
      <c r="E568" s="1474"/>
      <c r="F568" s="1474"/>
      <c r="G568" s="1498"/>
      <c r="H568" s="1369"/>
      <c r="I568" s="1406"/>
      <c r="J568" s="1333"/>
      <c r="K568" s="1550"/>
      <c r="L568" s="1382"/>
      <c r="M568" s="1333"/>
      <c r="N568" s="1333"/>
      <c r="O568" s="1333"/>
      <c r="P568" s="1333"/>
      <c r="Q568" s="1333"/>
      <c r="R568" s="1453"/>
      <c r="S568" s="1364"/>
      <c r="T568" s="1284"/>
      <c r="U568" s="1333"/>
      <c r="V568" s="1333"/>
      <c r="W568" s="1333"/>
      <c r="X568" s="1333"/>
      <c r="Y568" s="1333"/>
      <c r="Z568" s="1333"/>
      <c r="AA568" s="1333"/>
      <c r="AB568" s="1333"/>
      <c r="AC568" s="1333"/>
      <c r="AD568" s="1333"/>
      <c r="AE568" s="1333"/>
      <c r="AF568" s="1333"/>
      <c r="AG568" s="1333"/>
      <c r="AH568" s="1333"/>
      <c r="AI568" s="1333"/>
      <c r="AJ568" s="1333"/>
    </row>
    <row r="569" spans="1:51" ht="18.75" x14ac:dyDescent="0.3">
      <c r="A569" s="1414"/>
      <c r="B569" s="1285"/>
      <c r="C569" s="1284"/>
      <c r="D569" s="1364"/>
      <c r="E569" s="1364"/>
      <c r="F569" s="1364"/>
      <c r="G569" s="1499"/>
      <c r="H569" s="1333"/>
      <c r="I569" s="1467"/>
      <c r="J569" s="1374"/>
      <c r="K569" s="1556"/>
      <c r="L569" s="1411"/>
      <c r="M569" s="1374"/>
      <c r="N569" s="1374"/>
      <c r="O569" s="1333"/>
      <c r="P569" s="1333"/>
      <c r="Q569" s="1333"/>
      <c r="R569" s="1453"/>
      <c r="S569" s="1364"/>
      <c r="T569" s="1284"/>
      <c r="U569" s="1333"/>
      <c r="V569" s="1333"/>
      <c r="W569" s="1333"/>
      <c r="X569" s="1333"/>
      <c r="Y569" s="1333"/>
      <c r="Z569" s="1333"/>
      <c r="AA569" s="1333"/>
      <c r="AB569" s="1333"/>
      <c r="AC569" s="1333"/>
      <c r="AD569" s="1333"/>
      <c r="AE569" s="1333"/>
      <c r="AF569" s="1333"/>
      <c r="AG569" s="1333"/>
      <c r="AH569" s="1333"/>
      <c r="AI569" s="1333"/>
      <c r="AJ569" s="1333"/>
    </row>
    <row r="570" spans="1:51" ht="18.75" x14ac:dyDescent="0.3">
      <c r="A570" s="1508"/>
      <c r="B570" s="1285"/>
      <c r="C570" s="1284"/>
      <c r="D570" s="1364"/>
      <c r="E570" s="1364"/>
      <c r="F570" s="1364"/>
      <c r="G570" s="1499"/>
      <c r="H570" s="1333"/>
      <c r="I570" s="1467"/>
      <c r="J570" s="1351"/>
      <c r="K570" s="1557"/>
      <c r="L570" s="1495"/>
      <c r="M570" s="1351"/>
      <c r="N570" s="1351"/>
      <c r="O570" s="1333"/>
      <c r="P570" s="1351"/>
      <c r="Q570" s="1351"/>
      <c r="R570" s="1530"/>
      <c r="S570" s="1344"/>
      <c r="T570" s="1285"/>
      <c r="U570" s="1351"/>
      <c r="V570" s="1351"/>
      <c r="W570" s="1351"/>
      <c r="X570" s="1351"/>
      <c r="Y570" s="1333"/>
      <c r="Z570" s="1333"/>
      <c r="AA570" s="1333"/>
      <c r="AB570" s="1333"/>
      <c r="AC570" s="1333"/>
      <c r="AD570" s="1333"/>
      <c r="AE570" s="1333"/>
      <c r="AF570" s="1333"/>
      <c r="AG570" s="1333"/>
      <c r="AH570" s="1333"/>
      <c r="AI570" s="1333"/>
      <c r="AJ570" s="1333"/>
    </row>
    <row r="571" spans="1:51" ht="18.75" x14ac:dyDescent="0.3">
      <c r="A571" s="1508"/>
      <c r="B571" s="1285"/>
      <c r="C571" s="1287" t="str">
        <f ca="1">CONCATENATE("UIUC Template Change Log hidden below for TAB [",MID(CELL("filename",C15),FIND("]",CELL("filename",C15))+1,255),"] :")</f>
        <v>UIUC Template Change Log hidden below for TAB [06-CONST] :</v>
      </c>
      <c r="D571" s="1364"/>
      <c r="E571" s="1364"/>
      <c r="F571" s="1364"/>
      <c r="G571" s="1499"/>
      <c r="H571" s="1333"/>
      <c r="I571" s="1467"/>
      <c r="J571" s="1351"/>
      <c r="K571" s="1557"/>
      <c r="L571" s="1495"/>
      <c r="M571" s="1351"/>
      <c r="N571" s="1351"/>
      <c r="O571" s="1333"/>
      <c r="P571" s="1351"/>
      <c r="Q571" s="1351"/>
      <c r="R571" s="1530"/>
      <c r="S571" s="1344"/>
      <c r="T571" s="1285"/>
      <c r="U571" s="1351"/>
      <c r="V571" s="1351"/>
      <c r="W571" s="1351"/>
      <c r="X571" s="1351"/>
      <c r="Y571" s="1333"/>
      <c r="Z571" s="1333"/>
      <c r="AA571" s="1333"/>
      <c r="AB571" s="1333"/>
      <c r="AC571" s="1333"/>
      <c r="AD571" s="1333"/>
      <c r="AE571" s="1333"/>
      <c r="AF571" s="1333"/>
      <c r="AG571" s="1333"/>
      <c r="AH571" s="1333"/>
      <c r="AI571" s="1333"/>
      <c r="AJ571" s="1333"/>
    </row>
    <row r="572" spans="1:51" ht="21" x14ac:dyDescent="0.3">
      <c r="A572" s="1407"/>
      <c r="B572" s="1284"/>
      <c r="C572" s="1291"/>
      <c r="D572" s="1284"/>
      <c r="E572" s="1291"/>
      <c r="F572" s="1284"/>
      <c r="G572" s="1499"/>
      <c r="H572" s="1333"/>
      <c r="I572" s="1333"/>
      <c r="J572" s="1333"/>
      <c r="K572" s="1550"/>
      <c r="L572" s="1382"/>
      <c r="M572" s="1333"/>
      <c r="N572" s="1333"/>
      <c r="O572" s="1333"/>
      <c r="P572" s="1531"/>
      <c r="Q572" s="1531"/>
      <c r="R572" s="1531"/>
      <c r="S572" s="1531"/>
      <c r="T572" s="1415"/>
      <c r="U572" s="1285"/>
      <c r="V572" s="1285"/>
      <c r="W572" s="1351"/>
      <c r="X572" s="1351"/>
      <c r="Y572" s="1333"/>
      <c r="Z572" s="1333"/>
      <c r="AA572" s="1333"/>
      <c r="AB572" s="1333"/>
      <c r="AC572" s="1333"/>
      <c r="AD572" s="1333"/>
      <c r="AE572" s="1333"/>
      <c r="AF572" s="1333"/>
      <c r="AG572" s="1333"/>
      <c r="AH572" s="1333"/>
      <c r="AI572" s="1333"/>
      <c r="AJ572" s="1333"/>
      <c r="AX572" s="17"/>
      <c r="AY572" s="17"/>
    </row>
    <row r="573" spans="1:51" s="17" customFormat="1" ht="15" hidden="1" customHeight="1" x14ac:dyDescent="0.3">
      <c r="A573" s="1407"/>
      <c r="B573" s="1284"/>
      <c r="C573" s="2062">
        <v>42486</v>
      </c>
      <c r="D573" s="2062"/>
      <c r="E573" s="2062"/>
      <c r="F573" s="1297"/>
      <c r="G573" s="1297" t="s">
        <v>639</v>
      </c>
      <c r="H573" s="1333"/>
      <c r="I573" s="1333"/>
      <c r="J573" s="1333"/>
      <c r="K573" s="1550"/>
      <c r="L573" s="1382"/>
      <c r="M573" s="1333"/>
      <c r="N573" s="1333"/>
      <c r="O573" s="1333"/>
      <c r="P573" s="1333"/>
      <c r="Q573" s="1333"/>
      <c r="R573" s="1453"/>
      <c r="S573" s="1364"/>
      <c r="T573" s="1404"/>
      <c r="U573" s="1333"/>
      <c r="V573" s="1333"/>
      <c r="W573" s="1333"/>
      <c r="X573" s="1333"/>
      <c r="Y573" s="1333"/>
      <c r="Z573" s="1333"/>
      <c r="AA573" s="1333"/>
      <c r="AB573" s="1333"/>
      <c r="AC573" s="1333"/>
      <c r="AD573" s="1333"/>
      <c r="AE573" s="1333"/>
      <c r="AF573" s="1333"/>
      <c r="AG573" s="1333"/>
      <c r="AH573" s="1333"/>
      <c r="AI573" s="1333"/>
      <c r="AJ573" s="1333"/>
    </row>
    <row r="574" spans="1:51" ht="15" hidden="1" customHeight="1" x14ac:dyDescent="0.3">
      <c r="A574" s="1407"/>
      <c r="B574" s="1284"/>
      <c r="C574" s="2062"/>
      <c r="D574" s="2062"/>
      <c r="E574" s="2062"/>
      <c r="F574" s="1297"/>
      <c r="G574" s="1297" t="s">
        <v>675</v>
      </c>
      <c r="H574" s="1333"/>
      <c r="I574" s="1333"/>
      <c r="J574" s="1333"/>
      <c r="K574" s="1550"/>
      <c r="L574" s="1382"/>
      <c r="M574" s="1333"/>
      <c r="N574" s="1333"/>
      <c r="O574" s="1333"/>
      <c r="P574" s="1532"/>
      <c r="Q574" s="1532"/>
      <c r="R574" s="1532"/>
      <c r="S574" s="1532"/>
      <c r="T574" s="1415"/>
      <c r="U574" s="1285"/>
      <c r="V574" s="1285"/>
      <c r="W574" s="1351"/>
      <c r="X574" s="1351"/>
      <c r="Y574" s="1333"/>
      <c r="Z574" s="1333"/>
      <c r="AA574" s="1333"/>
      <c r="AB574" s="1333"/>
      <c r="AC574" s="1333"/>
      <c r="AD574" s="1333"/>
      <c r="AE574" s="1333"/>
      <c r="AF574" s="1333"/>
      <c r="AG574" s="1333"/>
      <c r="AH574" s="1333"/>
      <c r="AI574" s="1333"/>
      <c r="AJ574" s="1333"/>
      <c r="AX574" s="17"/>
      <c r="AY574" s="17"/>
    </row>
    <row r="575" spans="1:51" ht="15" hidden="1" customHeight="1" x14ac:dyDescent="0.3">
      <c r="A575" s="1407"/>
      <c r="B575" s="1284"/>
      <c r="C575" s="1291"/>
      <c r="D575" s="1284"/>
      <c r="E575" s="1500"/>
      <c r="F575" s="1284"/>
      <c r="G575" s="1499"/>
      <c r="H575" s="1333"/>
      <c r="I575" s="1333"/>
      <c r="J575" s="1333"/>
      <c r="K575" s="1550"/>
      <c r="L575" s="1382"/>
      <c r="M575" s="1333"/>
      <c r="N575" s="1333"/>
      <c r="O575" s="1333"/>
      <c r="P575" s="1533"/>
      <c r="Q575" s="1533"/>
      <c r="R575" s="1533"/>
      <c r="S575" s="1534"/>
      <c r="T575" s="1535"/>
      <c r="U575" s="1285"/>
      <c r="V575" s="1285"/>
      <c r="W575" s="1351"/>
      <c r="X575" s="1351"/>
      <c r="Y575" s="1333"/>
      <c r="Z575" s="1333"/>
      <c r="AA575" s="1333"/>
      <c r="AB575" s="1333"/>
      <c r="AC575" s="1333"/>
      <c r="AD575" s="1333"/>
      <c r="AE575" s="1333"/>
      <c r="AF575" s="1333"/>
      <c r="AG575" s="1333"/>
      <c r="AH575" s="1333"/>
      <c r="AI575" s="1333"/>
      <c r="AJ575" s="1333"/>
      <c r="AX575" s="17"/>
      <c r="AY575" s="17"/>
    </row>
    <row r="576" spans="1:51" ht="15" hidden="1" customHeight="1" x14ac:dyDescent="0.3">
      <c r="A576" s="1407"/>
      <c r="B576" s="1284"/>
      <c r="C576" s="2062">
        <v>42490</v>
      </c>
      <c r="D576" s="2062"/>
      <c r="E576" s="2062"/>
      <c r="F576" s="1297"/>
      <c r="G576" s="1297" t="s">
        <v>684</v>
      </c>
      <c r="H576" s="1333"/>
      <c r="I576" s="1333"/>
      <c r="J576" s="1333"/>
      <c r="K576" s="1550"/>
      <c r="L576" s="1382"/>
      <c r="M576" s="1333"/>
      <c r="N576" s="1333"/>
      <c r="O576" s="1333"/>
      <c r="P576" s="1533"/>
      <c r="Q576" s="1533"/>
      <c r="R576" s="1533"/>
      <c r="S576" s="1536"/>
      <c r="T576" s="1535"/>
      <c r="U576" s="1285"/>
      <c r="V576" s="1285"/>
      <c r="W576" s="1351"/>
      <c r="X576" s="1351"/>
      <c r="Y576" s="1333"/>
      <c r="Z576" s="1333"/>
      <c r="AA576" s="1333"/>
      <c r="AB576" s="1333"/>
      <c r="AC576" s="1333"/>
      <c r="AD576" s="1333"/>
      <c r="AE576" s="1333"/>
      <c r="AF576" s="1333"/>
      <c r="AG576" s="1333"/>
      <c r="AH576" s="1333"/>
      <c r="AI576" s="1333"/>
      <c r="AJ576" s="1333"/>
      <c r="AX576" s="17"/>
      <c r="AY576" s="17"/>
    </row>
    <row r="577" spans="1:51" ht="15" hidden="1" customHeight="1" x14ac:dyDescent="0.3">
      <c r="A577" s="1407"/>
      <c r="B577" s="1284"/>
      <c r="C577" s="1291"/>
      <c r="D577" s="1284"/>
      <c r="E577" s="1303"/>
      <c r="F577" s="1364"/>
      <c r="G577" s="1291" t="s">
        <v>688</v>
      </c>
      <c r="H577" s="1333"/>
      <c r="I577" s="1333"/>
      <c r="J577" s="1333"/>
      <c r="K577" s="1550"/>
      <c r="L577" s="1382"/>
      <c r="M577" s="1333"/>
      <c r="N577" s="1333"/>
      <c r="O577" s="1333"/>
      <c r="P577" s="1533"/>
      <c r="Q577" s="1533"/>
      <c r="R577" s="1533"/>
      <c r="S577" s="1534"/>
      <c r="T577" s="1535"/>
      <c r="U577" s="1537"/>
      <c r="V577" s="1285"/>
      <c r="W577" s="1351"/>
      <c r="X577" s="1351"/>
      <c r="Y577" s="1333"/>
      <c r="Z577" s="1333"/>
      <c r="AA577" s="1333"/>
      <c r="AB577" s="1333"/>
      <c r="AC577" s="1333"/>
      <c r="AD577" s="1333"/>
      <c r="AE577" s="1333"/>
      <c r="AF577" s="1333"/>
      <c r="AG577" s="1333"/>
      <c r="AH577" s="1333"/>
      <c r="AI577" s="1333"/>
      <c r="AJ577" s="1333"/>
      <c r="AX577" s="17"/>
      <c r="AY577" s="17"/>
    </row>
    <row r="578" spans="1:51" ht="15" hidden="1" customHeight="1" x14ac:dyDescent="0.3">
      <c r="A578" s="1407"/>
      <c r="B578" s="1284"/>
      <c r="C578" s="1291"/>
      <c r="D578" s="1284"/>
      <c r="E578" s="1303"/>
      <c r="F578" s="1364"/>
      <c r="G578" s="1291" t="s">
        <v>689</v>
      </c>
      <c r="H578" s="1333"/>
      <c r="I578" s="1333"/>
      <c r="J578" s="1333"/>
      <c r="K578" s="1550"/>
      <c r="L578" s="1382"/>
      <c r="M578" s="1333"/>
      <c r="N578" s="1333"/>
      <c r="O578" s="1333"/>
      <c r="P578" s="1533"/>
      <c r="Q578" s="1533"/>
      <c r="R578" s="1533"/>
      <c r="S578" s="1538"/>
      <c r="T578" s="1535"/>
      <c r="U578" s="1285"/>
      <c r="V578" s="1285"/>
      <c r="W578" s="1351"/>
      <c r="X578" s="1351"/>
      <c r="Y578" s="1333"/>
      <c r="Z578" s="1333"/>
      <c r="AA578" s="1333"/>
      <c r="AB578" s="1333"/>
      <c r="AC578" s="1333"/>
      <c r="AD578" s="1333"/>
      <c r="AE578" s="1333"/>
      <c r="AF578" s="1333"/>
      <c r="AG578" s="1333"/>
      <c r="AH578" s="1333"/>
      <c r="AI578" s="1333"/>
      <c r="AJ578" s="1333"/>
      <c r="AX578" s="17"/>
      <c r="AY578" s="17"/>
    </row>
    <row r="579" spans="1:51" ht="15" hidden="1" customHeight="1" x14ac:dyDescent="0.3">
      <c r="A579" s="1407"/>
      <c r="B579" s="1284"/>
      <c r="C579" s="1284"/>
      <c r="D579" s="1364"/>
      <c r="E579" s="1364"/>
      <c r="F579" s="1364"/>
      <c r="G579" s="1499"/>
      <c r="H579" s="1333"/>
      <c r="I579" s="1333"/>
      <c r="J579" s="1333"/>
      <c r="K579" s="1550"/>
      <c r="L579" s="1382"/>
      <c r="M579" s="1333"/>
      <c r="N579" s="1333"/>
      <c r="O579" s="1333"/>
      <c r="P579" s="1533"/>
      <c r="Q579" s="1533"/>
      <c r="R579" s="1533"/>
      <c r="S579" s="1536"/>
      <c r="T579" s="1535"/>
      <c r="U579" s="1285"/>
      <c r="V579" s="1285"/>
      <c r="W579" s="1351"/>
      <c r="X579" s="1351"/>
      <c r="Y579" s="1333"/>
      <c r="Z579" s="1333"/>
      <c r="AA579" s="1333"/>
      <c r="AB579" s="1333"/>
      <c r="AC579" s="1333"/>
      <c r="AD579" s="1333"/>
      <c r="AE579" s="1333"/>
      <c r="AF579" s="1333"/>
      <c r="AG579" s="1333"/>
      <c r="AH579" s="1333"/>
      <c r="AI579" s="1333"/>
      <c r="AJ579" s="1333"/>
      <c r="AX579" s="17"/>
      <c r="AY579" s="17"/>
    </row>
    <row r="580" spans="1:51" ht="15" hidden="1" customHeight="1" x14ac:dyDescent="0.3">
      <c r="A580" s="1407"/>
      <c r="B580" s="1284"/>
      <c r="C580" s="2062">
        <v>42492</v>
      </c>
      <c r="D580" s="2062"/>
      <c r="E580" s="2062"/>
      <c r="F580" s="1297"/>
      <c r="G580" s="1297" t="s">
        <v>695</v>
      </c>
      <c r="H580" s="1333"/>
      <c r="I580" s="1333"/>
      <c r="J580" s="1333"/>
      <c r="K580" s="1550"/>
      <c r="L580" s="1382"/>
      <c r="M580" s="1333"/>
      <c r="N580" s="1333"/>
      <c r="O580" s="1333"/>
      <c r="P580" s="1532"/>
      <c r="Q580" s="1532"/>
      <c r="R580" s="1532"/>
      <c r="S580" s="1532"/>
      <c r="T580" s="1415"/>
      <c r="U580" s="1539"/>
      <c r="V580" s="1285"/>
      <c r="W580" s="1351"/>
      <c r="X580" s="1351"/>
      <c r="Y580" s="1333"/>
      <c r="Z580" s="1333"/>
      <c r="AA580" s="1333"/>
      <c r="AB580" s="1333"/>
      <c r="AC580" s="1333"/>
      <c r="AD580" s="1333"/>
      <c r="AE580" s="1333"/>
      <c r="AF580" s="1333"/>
      <c r="AG580" s="1333"/>
      <c r="AH580" s="1333"/>
      <c r="AI580" s="1333"/>
      <c r="AJ580" s="1333"/>
      <c r="AX580" s="17"/>
      <c r="AY580" s="17"/>
    </row>
    <row r="581" spans="1:51" ht="15" hidden="1" customHeight="1" x14ac:dyDescent="0.3">
      <c r="A581" s="1407"/>
      <c r="B581" s="1284"/>
      <c r="C581" s="1291"/>
      <c r="D581" s="1284"/>
      <c r="E581" s="1291"/>
      <c r="F581" s="1284"/>
      <c r="G581" s="1499"/>
      <c r="H581" s="1333"/>
      <c r="I581" s="1333"/>
      <c r="J581" s="1333"/>
      <c r="K581" s="1550"/>
      <c r="L581" s="1382"/>
      <c r="M581" s="1333"/>
      <c r="N581" s="1333"/>
      <c r="O581" s="1333"/>
      <c r="P581" s="1533"/>
      <c r="Q581" s="1533"/>
      <c r="R581" s="1533"/>
      <c r="S581" s="1534"/>
      <c r="T581" s="1535"/>
      <c r="U581" s="1285"/>
      <c r="V581" s="1285"/>
      <c r="W581" s="1351"/>
      <c r="X581" s="1351"/>
      <c r="Y581" s="1333"/>
      <c r="Z581" s="1333"/>
      <c r="AA581" s="1333"/>
      <c r="AB581" s="1333"/>
      <c r="AC581" s="1333"/>
      <c r="AD581" s="1333"/>
      <c r="AE581" s="1333"/>
      <c r="AF581" s="1333"/>
      <c r="AG581" s="1333"/>
      <c r="AH581" s="1333"/>
      <c r="AI581" s="1333"/>
      <c r="AJ581" s="1333"/>
      <c r="AX581" s="17"/>
      <c r="AY581" s="17"/>
    </row>
    <row r="582" spans="1:51" ht="15" hidden="1" customHeight="1" x14ac:dyDescent="0.3">
      <c r="A582" s="1407"/>
      <c r="B582" s="1284"/>
      <c r="C582" s="2062">
        <v>42496</v>
      </c>
      <c r="D582" s="2062"/>
      <c r="E582" s="2062"/>
      <c r="F582" s="1297"/>
      <c r="G582" s="1297" t="s">
        <v>717</v>
      </c>
      <c r="H582" s="1284"/>
      <c r="I582" s="1333"/>
      <c r="J582" s="1333"/>
      <c r="K582" s="1550"/>
      <c r="L582" s="1382"/>
      <c r="M582" s="1333"/>
      <c r="N582" s="1333"/>
      <c r="O582" s="1333"/>
      <c r="P582" s="1540"/>
      <c r="Q582" s="1540"/>
      <c r="R582" s="1540"/>
      <c r="S582" s="1534"/>
      <c r="T582" s="1535"/>
      <c r="U582" s="1285"/>
      <c r="V582" s="1285"/>
      <c r="W582" s="1351"/>
      <c r="X582" s="1351"/>
      <c r="Y582" s="1333"/>
      <c r="Z582" s="1333"/>
      <c r="AA582" s="1333"/>
      <c r="AB582" s="1333"/>
      <c r="AC582" s="1333"/>
      <c r="AD582" s="1333"/>
      <c r="AE582" s="1333"/>
      <c r="AF582" s="1333"/>
      <c r="AG582" s="1333"/>
      <c r="AH582" s="1333"/>
      <c r="AI582" s="1333"/>
      <c r="AJ582" s="1333"/>
      <c r="AX582" s="17"/>
      <c r="AY582" s="17"/>
    </row>
    <row r="583" spans="1:51" ht="15" hidden="1" customHeight="1" x14ac:dyDescent="0.3">
      <c r="A583" s="1407"/>
      <c r="B583" s="1284"/>
      <c r="C583" s="1291"/>
      <c r="D583" s="1284"/>
      <c r="E583" s="1291"/>
      <c r="F583" s="1284"/>
      <c r="G583" s="1291"/>
      <c r="H583" s="1284"/>
      <c r="I583" s="1333"/>
      <c r="J583" s="1333"/>
      <c r="K583" s="1550"/>
      <c r="L583" s="1382"/>
      <c r="M583" s="1333"/>
      <c r="N583" s="1333"/>
      <c r="O583" s="1333"/>
      <c r="P583" s="1533"/>
      <c r="Q583" s="1533"/>
      <c r="R583" s="1533"/>
      <c r="S583" s="1534"/>
      <c r="T583" s="1535"/>
      <c r="U583" s="1285"/>
      <c r="V583" s="1285"/>
      <c r="W583" s="1351"/>
      <c r="X583" s="1351"/>
      <c r="Y583" s="1333"/>
      <c r="Z583" s="1333"/>
      <c r="AA583" s="1333"/>
      <c r="AB583" s="1333"/>
      <c r="AC583" s="1333"/>
      <c r="AD583" s="1333"/>
      <c r="AE583" s="1333"/>
      <c r="AF583" s="1333"/>
      <c r="AG583" s="1333"/>
      <c r="AH583" s="1333"/>
      <c r="AI583" s="1333"/>
      <c r="AJ583" s="1333"/>
      <c r="AX583" s="17"/>
      <c r="AY583" s="17"/>
    </row>
    <row r="584" spans="1:51" ht="15" hidden="1" customHeight="1" x14ac:dyDescent="0.3">
      <c r="A584" s="1407"/>
      <c r="B584" s="1284"/>
      <c r="C584" s="2062">
        <v>42635</v>
      </c>
      <c r="D584" s="2062"/>
      <c r="E584" s="2062"/>
      <c r="F584" s="1297"/>
      <c r="G584" s="1297" t="s">
        <v>838</v>
      </c>
      <c r="H584" s="1284"/>
      <c r="I584" s="1333"/>
      <c r="J584" s="1333"/>
      <c r="K584" s="1550"/>
      <c r="L584" s="1382"/>
      <c r="M584" s="1333"/>
      <c r="N584" s="1333"/>
      <c r="O584" s="1333"/>
      <c r="P584" s="1540"/>
      <c r="Q584" s="1540"/>
      <c r="R584" s="1540"/>
      <c r="S584" s="1541"/>
      <c r="T584" s="1535"/>
      <c r="U584" s="1285"/>
      <c r="V584" s="1285"/>
      <c r="W584" s="1351"/>
      <c r="X584" s="1351"/>
      <c r="Y584" s="1333"/>
      <c r="Z584" s="1333"/>
      <c r="AA584" s="1333"/>
      <c r="AB584" s="1333"/>
      <c r="AC584" s="1333"/>
      <c r="AD584" s="1333"/>
      <c r="AE584" s="1333"/>
      <c r="AF584" s="1333"/>
      <c r="AG584" s="1333"/>
      <c r="AH584" s="1333"/>
      <c r="AI584" s="1333"/>
      <c r="AJ584" s="1333"/>
      <c r="AX584" s="17"/>
      <c r="AY584" s="17"/>
    </row>
    <row r="585" spans="1:51" ht="15" hidden="1" customHeight="1" x14ac:dyDescent="0.3">
      <c r="A585" s="1407"/>
      <c r="B585" s="1284"/>
      <c r="C585" s="2062"/>
      <c r="D585" s="2062"/>
      <c r="E585" s="2062"/>
      <c r="F585" s="1297"/>
      <c r="G585" s="1297" t="s">
        <v>837</v>
      </c>
      <c r="H585" s="1284"/>
      <c r="I585" s="1333"/>
      <c r="J585" s="1333"/>
      <c r="K585" s="1550"/>
      <c r="L585" s="1382"/>
      <c r="M585" s="1333"/>
      <c r="N585" s="1333"/>
      <c r="O585" s="1333"/>
      <c r="P585" s="1533"/>
      <c r="Q585" s="1533"/>
      <c r="R585" s="1533"/>
      <c r="S585" s="1534"/>
      <c r="T585" s="1535"/>
      <c r="U585" s="1285"/>
      <c r="V585" s="1285"/>
      <c r="W585" s="1351"/>
      <c r="X585" s="1351"/>
      <c r="Y585" s="1333"/>
      <c r="Z585" s="1333"/>
      <c r="AA585" s="1333"/>
      <c r="AB585" s="1333"/>
      <c r="AC585" s="1333"/>
      <c r="AD585" s="1333"/>
      <c r="AE585" s="1333"/>
      <c r="AF585" s="1333"/>
      <c r="AG585" s="1333"/>
      <c r="AH585" s="1333"/>
      <c r="AI585" s="1333"/>
      <c r="AJ585" s="1333"/>
      <c r="AX585" s="17"/>
      <c r="AY585" s="17"/>
    </row>
    <row r="586" spans="1:51" ht="15" hidden="1" customHeight="1" x14ac:dyDescent="0.3">
      <c r="A586" s="1407"/>
      <c r="B586" s="1284"/>
      <c r="C586" s="1291"/>
      <c r="D586" s="1284"/>
      <c r="E586" s="1291"/>
      <c r="F586" s="1284"/>
      <c r="G586" s="1291"/>
      <c r="H586" s="1284"/>
      <c r="I586" s="1333"/>
      <c r="J586" s="1333"/>
      <c r="K586" s="1550"/>
      <c r="L586" s="1382"/>
      <c r="M586" s="1333"/>
      <c r="N586" s="1333"/>
      <c r="O586" s="1333"/>
      <c r="P586" s="1533"/>
      <c r="Q586" s="1533"/>
      <c r="R586" s="1533"/>
      <c r="S586" s="1534"/>
      <c r="T586" s="1535"/>
      <c r="U586" s="1539"/>
      <c r="V586" s="1285"/>
      <c r="W586" s="1351"/>
      <c r="X586" s="1351"/>
      <c r="Y586" s="1333"/>
      <c r="Z586" s="1333"/>
      <c r="AA586" s="1333"/>
      <c r="AB586" s="1333"/>
      <c r="AC586" s="1333"/>
      <c r="AD586" s="1333"/>
      <c r="AE586" s="1333"/>
      <c r="AF586" s="1333"/>
      <c r="AG586" s="1333"/>
      <c r="AH586" s="1333"/>
      <c r="AI586" s="1333"/>
      <c r="AJ586" s="1333"/>
      <c r="AX586" s="17"/>
      <c r="AY586" s="17"/>
    </row>
    <row r="587" spans="1:51" ht="15" hidden="1" customHeight="1" x14ac:dyDescent="0.3">
      <c r="A587" s="1407"/>
      <c r="B587" s="1284"/>
      <c r="C587" s="2062">
        <v>42653</v>
      </c>
      <c r="D587" s="2062"/>
      <c r="E587" s="2062"/>
      <c r="F587" s="1297"/>
      <c r="G587" s="1297" t="s">
        <v>867</v>
      </c>
      <c r="H587" s="1284"/>
      <c r="I587" s="1333"/>
      <c r="J587" s="1333"/>
      <c r="K587" s="1550"/>
      <c r="L587" s="1382"/>
      <c r="M587" s="1333"/>
      <c r="N587" s="1333"/>
      <c r="O587" s="1333"/>
      <c r="P587" s="1533"/>
      <c r="Q587" s="1533"/>
      <c r="R587" s="1533"/>
      <c r="S587" s="1534"/>
      <c r="T587" s="1535"/>
      <c r="U587" s="1285"/>
      <c r="V587" s="1285"/>
      <c r="W587" s="1351"/>
      <c r="X587" s="1351"/>
      <c r="Y587" s="1333"/>
      <c r="Z587" s="1333"/>
      <c r="AA587" s="1333"/>
      <c r="AB587" s="1333"/>
      <c r="AC587" s="1333"/>
      <c r="AD587" s="1333"/>
      <c r="AE587" s="1333"/>
      <c r="AF587" s="1333"/>
      <c r="AG587" s="1333"/>
      <c r="AH587" s="1333"/>
      <c r="AI587" s="1333"/>
      <c r="AJ587" s="1333"/>
      <c r="AX587" s="17"/>
      <c r="AY587" s="17"/>
    </row>
    <row r="588" spans="1:51" ht="15" hidden="1" customHeight="1" x14ac:dyDescent="0.3">
      <c r="A588" s="1407"/>
      <c r="B588" s="1284"/>
      <c r="C588" s="1291"/>
      <c r="D588" s="1284"/>
      <c r="E588" s="1291"/>
      <c r="F588" s="1284"/>
      <c r="G588" s="1291"/>
      <c r="H588" s="1284"/>
      <c r="I588" s="1333"/>
      <c r="J588" s="1333"/>
      <c r="K588" s="1550"/>
      <c r="L588" s="1382"/>
      <c r="M588" s="1333"/>
      <c r="N588" s="1333"/>
      <c r="O588" s="1333"/>
      <c r="P588" s="1540"/>
      <c r="Q588" s="1540"/>
      <c r="R588" s="1540"/>
      <c r="S588" s="1534"/>
      <c r="T588" s="1535"/>
      <c r="U588" s="1285"/>
      <c r="V588" s="1285"/>
      <c r="W588" s="1351"/>
      <c r="X588" s="1351"/>
      <c r="Y588" s="1333"/>
      <c r="Z588" s="1333"/>
      <c r="AA588" s="1333"/>
      <c r="AB588" s="1333"/>
      <c r="AC588" s="1333"/>
      <c r="AD588" s="1333"/>
      <c r="AE588" s="1333"/>
      <c r="AF588" s="1333"/>
      <c r="AG588" s="1333"/>
      <c r="AH588" s="1333"/>
      <c r="AI588" s="1333"/>
      <c r="AJ588" s="1333"/>
      <c r="AX588" s="17"/>
      <c r="AY588" s="17"/>
    </row>
    <row r="589" spans="1:51" ht="15" hidden="1" customHeight="1" x14ac:dyDescent="0.3">
      <c r="A589" s="1407"/>
      <c r="B589" s="1284"/>
      <c r="C589" s="2062">
        <v>42696</v>
      </c>
      <c r="D589" s="2062"/>
      <c r="E589" s="2062"/>
      <c r="F589" s="1297"/>
      <c r="G589" s="1418" t="s">
        <v>890</v>
      </c>
      <c r="H589" s="1284"/>
      <c r="I589" s="1333"/>
      <c r="J589" s="1333"/>
      <c r="K589" s="1550"/>
      <c r="L589" s="1382"/>
      <c r="M589" s="1333"/>
      <c r="N589" s="1333"/>
      <c r="O589" s="1333"/>
      <c r="P589" s="1533"/>
      <c r="Q589" s="1533"/>
      <c r="R589" s="1533"/>
      <c r="S589" s="1534"/>
      <c r="T589" s="1535"/>
      <c r="U589" s="1285"/>
      <c r="V589" s="1285"/>
      <c r="W589" s="1351"/>
      <c r="X589" s="1351"/>
      <c r="Y589" s="1333"/>
      <c r="Z589" s="1333"/>
      <c r="AA589" s="1333"/>
      <c r="AB589" s="1333"/>
      <c r="AC589" s="1333"/>
      <c r="AD589" s="1333"/>
      <c r="AE589" s="1333"/>
      <c r="AF589" s="1333"/>
      <c r="AG589" s="1333"/>
      <c r="AH589" s="1333"/>
      <c r="AI589" s="1333"/>
      <c r="AJ589" s="1333"/>
      <c r="AX589" s="17"/>
      <c r="AY589" s="17"/>
    </row>
    <row r="590" spans="1:51" ht="15" hidden="1" customHeight="1" x14ac:dyDescent="0.3">
      <c r="A590" s="1407"/>
      <c r="B590" s="1284"/>
      <c r="C590" s="1291"/>
      <c r="D590" s="1284"/>
      <c r="E590" s="1291"/>
      <c r="F590" s="1284"/>
      <c r="G590" s="1291"/>
      <c r="H590" s="1284"/>
      <c r="I590" s="1333"/>
      <c r="J590" s="1333"/>
      <c r="K590" s="1550"/>
      <c r="L590" s="1382"/>
      <c r="M590" s="1333"/>
      <c r="N590" s="1333"/>
      <c r="O590" s="1333"/>
      <c r="P590" s="1533"/>
      <c r="Q590" s="1533"/>
      <c r="R590" s="1533"/>
      <c r="S590" s="1534"/>
      <c r="T590" s="1535"/>
      <c r="U590" s="1285"/>
      <c r="V590" s="1285"/>
      <c r="W590" s="1351"/>
      <c r="X590" s="1351"/>
      <c r="Y590" s="1333"/>
      <c r="Z590" s="1333"/>
      <c r="AA590" s="1333"/>
      <c r="AB590" s="1333"/>
      <c r="AC590" s="1333"/>
      <c r="AD590" s="1333"/>
      <c r="AE590" s="1333"/>
      <c r="AF590" s="1333"/>
      <c r="AG590" s="1333"/>
      <c r="AH590" s="1333"/>
      <c r="AI590" s="1333"/>
      <c r="AJ590" s="1333"/>
      <c r="AX590" s="17"/>
      <c r="AY590" s="17"/>
    </row>
    <row r="591" spans="1:51" ht="15" hidden="1" customHeight="1" x14ac:dyDescent="0.3">
      <c r="A591" s="1407"/>
      <c r="B591" s="1284"/>
      <c r="C591" s="2062">
        <v>42702</v>
      </c>
      <c r="D591" s="2062"/>
      <c r="E591" s="2062"/>
      <c r="F591" s="1297"/>
      <c r="G591" s="1418" t="s">
        <v>896</v>
      </c>
      <c r="H591" s="1284"/>
      <c r="I591" s="1333"/>
      <c r="J591" s="1333"/>
      <c r="K591" s="1550"/>
      <c r="L591" s="1382"/>
      <c r="M591" s="1333"/>
      <c r="N591" s="1333"/>
      <c r="O591" s="1333"/>
      <c r="P591" s="1533"/>
      <c r="Q591" s="1533"/>
      <c r="R591" s="1533"/>
      <c r="S591" s="1534"/>
      <c r="T591" s="1535"/>
      <c r="U591" s="1285"/>
      <c r="V591" s="1285"/>
      <c r="W591" s="1351"/>
      <c r="X591" s="1351"/>
      <c r="Y591" s="1333"/>
      <c r="Z591" s="1333"/>
      <c r="AA591" s="1333"/>
      <c r="AB591" s="1333"/>
      <c r="AC591" s="1333"/>
      <c r="AD591" s="1333"/>
      <c r="AE591" s="1333"/>
      <c r="AF591" s="1333"/>
      <c r="AG591" s="1333"/>
      <c r="AH591" s="1333"/>
      <c r="AI591" s="1333"/>
      <c r="AJ591" s="1333"/>
      <c r="AX591" s="17"/>
      <c r="AY591" s="17"/>
    </row>
    <row r="592" spans="1:51" ht="15" hidden="1" customHeight="1" x14ac:dyDescent="0.3">
      <c r="A592" s="1407"/>
      <c r="B592" s="1284"/>
      <c r="C592" s="2062"/>
      <c r="D592" s="2062"/>
      <c r="E592" s="2062"/>
      <c r="F592" s="1297"/>
      <c r="G592" s="1418" t="s">
        <v>899</v>
      </c>
      <c r="H592" s="1284"/>
      <c r="I592" s="1333"/>
      <c r="J592" s="1333"/>
      <c r="K592" s="1550"/>
      <c r="L592" s="1382"/>
      <c r="M592" s="1333"/>
      <c r="N592" s="1333"/>
      <c r="O592" s="1333"/>
      <c r="P592" s="1533"/>
      <c r="Q592" s="1533"/>
      <c r="R592" s="1533"/>
      <c r="S592" s="1542"/>
      <c r="T592" s="1535"/>
      <c r="U592" s="1285"/>
      <c r="V592" s="1285"/>
      <c r="W592" s="1351"/>
      <c r="X592" s="1351"/>
      <c r="Y592" s="1333"/>
      <c r="Z592" s="1333"/>
      <c r="AA592" s="1333"/>
      <c r="AB592" s="1333"/>
      <c r="AC592" s="1333"/>
      <c r="AD592" s="1333"/>
      <c r="AE592" s="1333"/>
      <c r="AF592" s="1333"/>
      <c r="AG592" s="1333"/>
      <c r="AH592" s="1333"/>
      <c r="AI592" s="1333"/>
      <c r="AJ592" s="1333"/>
      <c r="AX592" s="17"/>
      <c r="AY592" s="17"/>
    </row>
    <row r="593" spans="1:51" ht="15" hidden="1" customHeight="1" x14ac:dyDescent="0.3">
      <c r="A593" s="1407"/>
      <c r="B593" s="1284"/>
      <c r="C593" s="1291"/>
      <c r="D593" s="1284"/>
      <c r="E593" s="1291"/>
      <c r="F593" s="1284"/>
      <c r="G593" s="1291"/>
      <c r="H593" s="1284"/>
      <c r="I593" s="1333"/>
      <c r="J593" s="1333"/>
      <c r="K593" s="1550"/>
      <c r="L593" s="1382"/>
      <c r="M593" s="1333"/>
      <c r="N593" s="1333"/>
      <c r="O593" s="1333"/>
      <c r="P593" s="1533"/>
      <c r="Q593" s="1533"/>
      <c r="R593" s="1533"/>
      <c r="S593" s="1542"/>
      <c r="T593" s="1535"/>
      <c r="U593" s="1539"/>
      <c r="V593" s="1285"/>
      <c r="W593" s="1351"/>
      <c r="X593" s="1351"/>
      <c r="Y593" s="1333"/>
      <c r="Z593" s="1333"/>
      <c r="AA593" s="1333"/>
      <c r="AB593" s="1333"/>
      <c r="AC593" s="1333"/>
      <c r="AD593" s="1333"/>
      <c r="AE593" s="1333"/>
      <c r="AF593" s="1333"/>
      <c r="AG593" s="1333"/>
      <c r="AH593" s="1333"/>
      <c r="AI593" s="1333"/>
      <c r="AJ593" s="1333"/>
      <c r="AX593" s="17"/>
      <c r="AY593" s="17"/>
    </row>
    <row r="594" spans="1:51" ht="15" hidden="1" customHeight="1" x14ac:dyDescent="0.3">
      <c r="A594" s="1407"/>
      <c r="B594" s="1284"/>
      <c r="C594" s="2062">
        <v>42947</v>
      </c>
      <c r="D594" s="2062"/>
      <c r="E594" s="2062"/>
      <c r="F594" s="1297"/>
      <c r="G594" s="1132" t="s">
        <v>962</v>
      </c>
      <c r="H594" s="1284"/>
      <c r="I594" s="1333"/>
      <c r="J594" s="1333"/>
      <c r="K594" s="1550"/>
      <c r="L594" s="1382"/>
      <c r="M594" s="1333"/>
      <c r="N594" s="1333"/>
      <c r="O594" s="1333"/>
      <c r="P594" s="1540"/>
      <c r="Q594" s="1540"/>
      <c r="R594" s="1540"/>
      <c r="S594" s="1542"/>
      <c r="T594" s="1535"/>
      <c r="U594" s="1285"/>
      <c r="V594" s="1285"/>
      <c r="W594" s="1351"/>
      <c r="X594" s="1351"/>
      <c r="Y594" s="1333"/>
      <c r="Z594" s="1333"/>
      <c r="AA594" s="1333"/>
      <c r="AB594" s="1333"/>
      <c r="AC594" s="1333"/>
      <c r="AD594" s="1333"/>
      <c r="AE594" s="1333"/>
      <c r="AF594" s="1333"/>
      <c r="AG594" s="1333"/>
      <c r="AH594" s="1333"/>
      <c r="AI594" s="1333"/>
      <c r="AJ594" s="1333"/>
      <c r="AX594" s="17"/>
      <c r="AY594" s="17"/>
    </row>
    <row r="595" spans="1:51" ht="15" hidden="1" customHeight="1" x14ac:dyDescent="0.3">
      <c r="A595" s="1407"/>
      <c r="B595" s="1284"/>
      <c r="C595" s="1291"/>
      <c r="D595" s="1284"/>
      <c r="E595" s="1291"/>
      <c r="F595" s="1284"/>
      <c r="G595" s="1297" t="s">
        <v>1018</v>
      </c>
      <c r="H595" s="1284"/>
      <c r="I595" s="1333"/>
      <c r="J595" s="1333"/>
      <c r="K595" s="1550"/>
      <c r="L595" s="1382"/>
      <c r="M595" s="1333"/>
      <c r="N595" s="1333"/>
      <c r="O595" s="1333"/>
      <c r="P595" s="1533"/>
      <c r="Q595" s="1533"/>
      <c r="R595" s="1533"/>
      <c r="S595" s="1542"/>
      <c r="T595" s="1535"/>
      <c r="U595" s="1285"/>
      <c r="V595" s="1285"/>
      <c r="W595" s="1351"/>
      <c r="X595" s="1351"/>
      <c r="Y595" s="1333"/>
      <c r="Z595" s="1333"/>
      <c r="AA595" s="1333"/>
      <c r="AB595" s="1333"/>
      <c r="AC595" s="1333"/>
      <c r="AD595" s="1333"/>
      <c r="AE595" s="1333"/>
      <c r="AF595" s="1333"/>
      <c r="AG595" s="1333"/>
      <c r="AH595" s="1333"/>
      <c r="AI595" s="1333"/>
      <c r="AJ595" s="1333"/>
      <c r="AX595" s="17"/>
      <c r="AY595" s="17"/>
    </row>
    <row r="596" spans="1:51" ht="15" hidden="1" customHeight="1" x14ac:dyDescent="0.3">
      <c r="A596" s="1407"/>
      <c r="B596" s="1284"/>
      <c r="C596" s="1291"/>
      <c r="D596" s="1284"/>
      <c r="E596" s="1291"/>
      <c r="F596" s="1284"/>
      <c r="G596" s="1418" t="s">
        <v>1015</v>
      </c>
      <c r="H596" s="1284"/>
      <c r="I596" s="1333"/>
      <c r="J596" s="1333"/>
      <c r="K596" s="1550"/>
      <c r="L596" s="1382"/>
      <c r="M596" s="1333"/>
      <c r="N596" s="1333"/>
      <c r="O596" s="1333"/>
      <c r="P596" s="1533"/>
      <c r="Q596" s="1533"/>
      <c r="R596" s="1533"/>
      <c r="S596" s="1542"/>
      <c r="T596" s="1535"/>
      <c r="U596" s="1285"/>
      <c r="V596" s="1285"/>
      <c r="W596" s="1351"/>
      <c r="X596" s="1351"/>
      <c r="Y596" s="1333"/>
      <c r="Z596" s="1333"/>
      <c r="AA596" s="1333"/>
      <c r="AB596" s="1333"/>
      <c r="AC596" s="1333"/>
      <c r="AD596" s="1333"/>
      <c r="AE596" s="1333"/>
      <c r="AF596" s="1333"/>
      <c r="AG596" s="1333"/>
      <c r="AH596" s="1333"/>
      <c r="AI596" s="1333"/>
      <c r="AJ596" s="1333"/>
      <c r="AX596" s="17"/>
      <c r="AY596" s="17"/>
    </row>
    <row r="597" spans="1:51" ht="15" hidden="1" customHeight="1" x14ac:dyDescent="0.3">
      <c r="A597" s="1407"/>
      <c r="B597" s="1284"/>
      <c r="C597" s="1291"/>
      <c r="D597" s="1284"/>
      <c r="E597" s="1291"/>
      <c r="F597" s="1284"/>
      <c r="G597" s="1418" t="s">
        <v>1012</v>
      </c>
      <c r="H597" s="1284"/>
      <c r="I597" s="1333"/>
      <c r="J597" s="1333"/>
      <c r="K597" s="1550"/>
      <c r="L597" s="1382"/>
      <c r="M597" s="1333"/>
      <c r="N597" s="1333"/>
      <c r="O597" s="1333"/>
      <c r="P597" s="1533"/>
      <c r="Q597" s="1533"/>
      <c r="R597" s="1533"/>
      <c r="S597" s="1534"/>
      <c r="T597" s="1535"/>
      <c r="U597" s="1285"/>
      <c r="V597" s="1285"/>
      <c r="W597" s="1351"/>
      <c r="X597" s="1351"/>
      <c r="Y597" s="1333"/>
      <c r="Z597" s="1333"/>
      <c r="AA597" s="1333"/>
      <c r="AB597" s="1333"/>
      <c r="AC597" s="1333"/>
      <c r="AD597" s="1333"/>
      <c r="AE597" s="1333"/>
      <c r="AF597" s="1333"/>
      <c r="AG597" s="1333"/>
      <c r="AH597" s="1333"/>
      <c r="AI597" s="1333"/>
      <c r="AJ597" s="1333"/>
      <c r="AX597" s="17"/>
      <c r="AY597" s="17"/>
    </row>
    <row r="598" spans="1:51" ht="15" hidden="1" customHeight="1" x14ac:dyDescent="0.3">
      <c r="A598" s="1407"/>
      <c r="B598" s="1284"/>
      <c r="C598" s="1291"/>
      <c r="D598" s="1284"/>
      <c r="E598" s="1291"/>
      <c r="F598" s="1284"/>
      <c r="G598" s="1660" t="s">
        <v>1013</v>
      </c>
      <c r="H598" s="1284"/>
      <c r="I598" s="1333"/>
      <c r="J598" s="1333"/>
      <c r="K598" s="1550"/>
      <c r="L598" s="1382"/>
      <c r="M598" s="1333"/>
      <c r="N598" s="1333"/>
      <c r="O598" s="1333"/>
      <c r="P598" s="1540"/>
      <c r="Q598" s="1540"/>
      <c r="R598" s="1540"/>
      <c r="S598" s="1541"/>
      <c r="T598" s="1535"/>
      <c r="U598" s="1285"/>
      <c r="V598" s="1285"/>
      <c r="W598" s="1351"/>
      <c r="X598" s="1351"/>
      <c r="Y598" s="1333"/>
      <c r="Z598" s="1333"/>
      <c r="AA598" s="1333"/>
      <c r="AB598" s="1333"/>
      <c r="AC598" s="1333"/>
      <c r="AD598" s="1333"/>
      <c r="AE598" s="1333"/>
      <c r="AF598" s="1333"/>
      <c r="AG598" s="1333"/>
      <c r="AH598" s="1333"/>
      <c r="AI598" s="1333"/>
      <c r="AJ598" s="1333"/>
      <c r="AX598" s="17"/>
      <c r="AY598" s="17"/>
    </row>
    <row r="599" spans="1:51" ht="15" hidden="1" customHeight="1" x14ac:dyDescent="0.3">
      <c r="A599" s="1407"/>
      <c r="B599" s="1284"/>
      <c r="C599" s="1291"/>
      <c r="D599" s="1284"/>
      <c r="E599" s="1291"/>
      <c r="F599" s="1284"/>
      <c r="G599" s="1660" t="s">
        <v>1014</v>
      </c>
      <c r="H599" s="1284"/>
      <c r="I599" s="1333"/>
      <c r="J599" s="1333"/>
      <c r="K599" s="1550"/>
      <c r="L599" s="1382"/>
      <c r="M599" s="1333"/>
      <c r="N599" s="1333"/>
      <c r="O599" s="1333"/>
      <c r="P599" s="1532"/>
      <c r="Q599" s="1532"/>
      <c r="R599" s="1532"/>
      <c r="S599" s="1532"/>
      <c r="T599" s="1415"/>
      <c r="U599" s="1285"/>
      <c r="V599" s="1285"/>
      <c r="W599" s="1351"/>
      <c r="X599" s="1351"/>
      <c r="Y599" s="1333"/>
      <c r="Z599" s="1333"/>
      <c r="AA599" s="1333"/>
      <c r="AB599" s="1333"/>
      <c r="AC599" s="1333"/>
      <c r="AD599" s="1333"/>
      <c r="AE599" s="1333"/>
      <c r="AF599" s="1333"/>
      <c r="AG599" s="1333"/>
      <c r="AH599" s="1333"/>
      <c r="AI599" s="1333"/>
      <c r="AJ599" s="1333"/>
      <c r="AX599" s="17"/>
      <c r="AY599" s="17"/>
    </row>
    <row r="600" spans="1:51" ht="15" hidden="1" customHeight="1" x14ac:dyDescent="0.3">
      <c r="A600" s="1407"/>
      <c r="B600" s="1284"/>
      <c r="C600" s="1291"/>
      <c r="D600" s="1284"/>
      <c r="E600" s="1291"/>
      <c r="F600" s="1284"/>
      <c r="G600" s="1291"/>
      <c r="H600" s="1284"/>
      <c r="I600" s="1333"/>
      <c r="J600" s="1333"/>
      <c r="K600" s="1550"/>
      <c r="L600" s="1382"/>
      <c r="M600" s="1333"/>
      <c r="N600" s="1333"/>
      <c r="O600" s="1333"/>
      <c r="P600" s="1540"/>
      <c r="Q600" s="1540"/>
      <c r="R600" s="1540"/>
      <c r="S600" s="1534"/>
      <c r="T600" s="1535"/>
      <c r="U600" s="1539"/>
      <c r="V600" s="1285"/>
      <c r="W600" s="1351"/>
      <c r="X600" s="1351"/>
      <c r="Y600" s="1333"/>
      <c r="Z600" s="1333"/>
      <c r="AA600" s="1333"/>
      <c r="AB600" s="1333"/>
      <c r="AC600" s="1333"/>
      <c r="AD600" s="1333"/>
      <c r="AE600" s="1333"/>
      <c r="AF600" s="1333"/>
      <c r="AG600" s="1333"/>
      <c r="AH600" s="1333"/>
      <c r="AI600" s="1333"/>
      <c r="AJ600" s="1333"/>
      <c r="AX600" s="17"/>
      <c r="AY600" s="17"/>
    </row>
    <row r="601" spans="1:51" ht="15" hidden="1" customHeight="1" x14ac:dyDescent="0.3">
      <c r="A601" s="1407"/>
      <c r="B601" s="1284"/>
      <c r="C601" s="2062">
        <v>42958</v>
      </c>
      <c r="D601" s="2062"/>
      <c r="E601" s="2062"/>
      <c r="F601" s="1284"/>
      <c r="G601" s="1132" t="s">
        <v>1050</v>
      </c>
      <c r="H601" s="1284"/>
      <c r="I601" s="1333"/>
      <c r="J601" s="1333"/>
      <c r="K601" s="1550"/>
      <c r="L601" s="1382"/>
      <c r="M601" s="1333"/>
      <c r="N601" s="1333"/>
      <c r="O601" s="1333"/>
      <c r="P601" s="1540"/>
      <c r="Q601" s="1540"/>
      <c r="R601" s="1540"/>
      <c r="S601" s="1541"/>
      <c r="T601" s="1535"/>
      <c r="U601" s="1285"/>
      <c r="V601" s="1285"/>
      <c r="W601" s="1351"/>
      <c r="X601" s="1351"/>
      <c r="Y601" s="1333"/>
      <c r="Z601" s="1333"/>
      <c r="AA601" s="1333"/>
      <c r="AB601" s="1333"/>
      <c r="AC601" s="1333"/>
      <c r="AD601" s="1333"/>
      <c r="AE601" s="1333"/>
      <c r="AF601" s="1333"/>
      <c r="AG601" s="1333"/>
      <c r="AH601" s="1333"/>
      <c r="AI601" s="1333"/>
      <c r="AJ601" s="1333"/>
      <c r="AX601" s="17"/>
      <c r="AY601" s="17"/>
    </row>
    <row r="602" spans="1:51" ht="15" hidden="1" customHeight="1" x14ac:dyDescent="0.3">
      <c r="A602" s="1407"/>
      <c r="B602" s="1284"/>
      <c r="C602" s="1291"/>
      <c r="D602" s="1284"/>
      <c r="E602" s="1291"/>
      <c r="F602" s="1284"/>
      <c r="G602" s="1291"/>
      <c r="H602" s="1284"/>
      <c r="I602" s="1333"/>
      <c r="J602" s="1333"/>
      <c r="K602" s="1550"/>
      <c r="L602" s="1382"/>
      <c r="M602" s="1333"/>
      <c r="N602" s="1333"/>
      <c r="O602" s="1333"/>
      <c r="P602" s="1540"/>
      <c r="Q602" s="1540"/>
      <c r="R602" s="1540"/>
      <c r="S602" s="1541"/>
      <c r="T602" s="1535"/>
      <c r="U602" s="1285"/>
      <c r="V602" s="1285"/>
      <c r="W602" s="1351"/>
      <c r="X602" s="1351"/>
      <c r="Y602" s="1333"/>
      <c r="Z602" s="1333"/>
      <c r="AA602" s="1333"/>
      <c r="AB602" s="1333"/>
      <c r="AC602" s="1333"/>
      <c r="AD602" s="1333"/>
      <c r="AE602" s="1333"/>
      <c r="AF602" s="1333"/>
      <c r="AG602" s="1333"/>
      <c r="AH602" s="1333"/>
      <c r="AI602" s="1333"/>
      <c r="AJ602" s="1333"/>
      <c r="AX602" s="17"/>
      <c r="AY602" s="17"/>
    </row>
    <row r="603" spans="1:51" ht="15" hidden="1" customHeight="1" x14ac:dyDescent="0.3">
      <c r="A603" s="1407"/>
      <c r="B603" s="1284"/>
      <c r="C603" s="2320">
        <v>42968</v>
      </c>
      <c r="D603" s="2320"/>
      <c r="E603" s="2320"/>
      <c r="F603" s="1284"/>
      <c r="G603" s="1291" t="s">
        <v>1070</v>
      </c>
      <c r="H603" s="1284"/>
      <c r="I603" s="1333"/>
      <c r="J603" s="1333"/>
      <c r="K603" s="1550"/>
      <c r="L603" s="1382"/>
      <c r="M603" s="1333"/>
      <c r="N603" s="1333"/>
      <c r="O603" s="1333"/>
      <c r="P603" s="1533"/>
      <c r="Q603" s="1533"/>
      <c r="R603" s="1533"/>
      <c r="S603" s="1534"/>
      <c r="T603" s="1535"/>
      <c r="U603" s="1285"/>
      <c r="V603" s="1285"/>
      <c r="W603" s="1351"/>
      <c r="X603" s="1351"/>
      <c r="Y603" s="1333"/>
      <c r="Z603" s="1333"/>
      <c r="AA603" s="1333"/>
      <c r="AB603" s="1333"/>
      <c r="AC603" s="1333"/>
      <c r="AD603" s="1333"/>
      <c r="AE603" s="1333"/>
      <c r="AF603" s="1333"/>
      <c r="AG603" s="1333"/>
      <c r="AH603" s="1333"/>
      <c r="AI603" s="1333"/>
      <c r="AJ603" s="1333"/>
      <c r="AX603" s="17"/>
      <c r="AY603" s="17"/>
    </row>
    <row r="604" spans="1:51" ht="15" hidden="1" customHeight="1" x14ac:dyDescent="0.3">
      <c r="A604" s="1407"/>
      <c r="B604" s="1284"/>
      <c r="C604" s="1291"/>
      <c r="D604" s="1284"/>
      <c r="E604" s="1291"/>
      <c r="F604" s="1284"/>
      <c r="G604" s="1291"/>
      <c r="H604" s="1284"/>
      <c r="I604" s="1333"/>
      <c r="J604" s="1333"/>
      <c r="K604" s="1550"/>
      <c r="L604" s="1382"/>
      <c r="M604" s="1333"/>
      <c r="N604" s="1333"/>
      <c r="O604" s="1333"/>
      <c r="P604" s="1533"/>
      <c r="Q604" s="1533"/>
      <c r="R604" s="1533"/>
      <c r="S604" s="1541"/>
      <c r="T604" s="1535"/>
      <c r="U604" s="1285"/>
      <c r="V604" s="1285"/>
      <c r="W604" s="1351"/>
      <c r="X604" s="1351"/>
      <c r="Y604" s="1333"/>
      <c r="Z604" s="1333"/>
      <c r="AA604" s="1333"/>
      <c r="AB604" s="1333"/>
      <c r="AC604" s="1333"/>
      <c r="AD604" s="1333"/>
      <c r="AE604" s="1333"/>
      <c r="AF604" s="1333"/>
      <c r="AG604" s="1333"/>
      <c r="AH604" s="1333"/>
      <c r="AI604" s="1333"/>
      <c r="AJ604" s="1333"/>
      <c r="AX604" s="17"/>
      <c r="AY604" s="17"/>
    </row>
    <row r="605" spans="1:51" ht="18.75" hidden="1" x14ac:dyDescent="0.3">
      <c r="A605" s="1407"/>
      <c r="B605" s="1284"/>
      <c r="C605" s="2062">
        <v>42993</v>
      </c>
      <c r="D605" s="2062"/>
      <c r="E605" s="2062"/>
      <c r="F605" s="1297"/>
      <c r="G605" s="1297" t="s">
        <v>1084</v>
      </c>
      <c r="H605" s="1333"/>
      <c r="I605" s="1333"/>
      <c r="J605" s="1333"/>
      <c r="K605" s="1550"/>
      <c r="L605" s="1382"/>
      <c r="M605" s="1333"/>
      <c r="N605" s="1333"/>
      <c r="O605" s="1333"/>
      <c r="P605" s="1533"/>
      <c r="Q605" s="1533"/>
      <c r="R605" s="1533"/>
      <c r="S605" s="1534"/>
      <c r="T605" s="1543"/>
      <c r="U605" s="1285"/>
      <c r="V605" s="1285"/>
      <c r="W605" s="1351"/>
      <c r="X605" s="1351"/>
      <c r="Y605" s="1333"/>
      <c r="Z605" s="1333"/>
      <c r="AA605" s="1333"/>
      <c r="AB605" s="1333"/>
      <c r="AC605" s="1333"/>
      <c r="AD605" s="1333"/>
      <c r="AE605" s="1333"/>
      <c r="AF605" s="1333"/>
      <c r="AG605" s="1333"/>
      <c r="AH605" s="1333"/>
      <c r="AI605" s="1333"/>
      <c r="AJ605" s="1333"/>
      <c r="AX605" s="17"/>
      <c r="AY605" s="17"/>
    </row>
    <row r="606" spans="1:51" s="542" customFormat="1" ht="13.5" hidden="1" customHeight="1" x14ac:dyDescent="0.3">
      <c r="A606" s="1407"/>
      <c r="B606" s="1284"/>
      <c r="C606" s="2062"/>
      <c r="D606" s="2062"/>
      <c r="E606" s="2062"/>
      <c r="F606" s="1297"/>
      <c r="G606" s="1297"/>
      <c r="H606" s="1333"/>
      <c r="I606" s="1333"/>
      <c r="J606" s="1333"/>
      <c r="K606" s="1550"/>
      <c r="L606" s="1382"/>
      <c r="M606" s="1333"/>
      <c r="N606" s="1333"/>
      <c r="O606" s="1333"/>
      <c r="P606" s="1533"/>
      <c r="Q606" s="1533"/>
      <c r="R606" s="1533"/>
      <c r="S606" s="1534"/>
      <c r="T606" s="1543"/>
      <c r="U606" s="1285"/>
      <c r="V606" s="1285"/>
      <c r="W606" s="1351"/>
      <c r="X606" s="1351"/>
      <c r="Y606" s="1333"/>
      <c r="Z606" s="1333"/>
      <c r="AA606" s="1333"/>
      <c r="AB606" s="1333"/>
      <c r="AC606" s="1333"/>
      <c r="AD606" s="1333"/>
      <c r="AE606" s="1333"/>
      <c r="AF606" s="1333"/>
      <c r="AG606" s="1333"/>
      <c r="AH606" s="1333"/>
      <c r="AI606" s="1333"/>
      <c r="AJ606" s="1333"/>
      <c r="AK606" s="17"/>
      <c r="AL606" s="17"/>
      <c r="AM606" s="17"/>
      <c r="AN606" s="17"/>
      <c r="AO606" s="17"/>
      <c r="AP606" s="17"/>
      <c r="AQ606" s="17"/>
      <c r="AR606" s="17"/>
      <c r="AS606" s="17"/>
      <c r="AT606" s="17"/>
      <c r="AU606" s="17"/>
      <c r="AV606" s="17"/>
      <c r="AW606" s="17"/>
      <c r="AX606" s="17"/>
      <c r="AY606" s="17"/>
    </row>
    <row r="607" spans="1:51" s="542" customFormat="1" ht="13.5" hidden="1" customHeight="1" x14ac:dyDescent="0.3">
      <c r="A607" s="1407"/>
      <c r="B607" s="1284"/>
      <c r="C607" s="2062">
        <v>43084</v>
      </c>
      <c r="D607" s="2062"/>
      <c r="E607" s="2062"/>
      <c r="F607" s="1297"/>
      <c r="G607" s="1297" t="s">
        <v>1127</v>
      </c>
      <c r="H607" s="1333"/>
      <c r="I607" s="1333"/>
      <c r="J607" s="1333"/>
      <c r="K607" s="1550"/>
      <c r="L607" s="1382"/>
      <c r="M607" s="1333"/>
      <c r="N607" s="1333"/>
      <c r="O607" s="1333"/>
      <c r="P607" s="1533"/>
      <c r="Q607" s="1533"/>
      <c r="R607" s="1533"/>
      <c r="S607" s="1534"/>
      <c r="T607" s="1543"/>
      <c r="U607" s="1285"/>
      <c r="V607" s="1285"/>
      <c r="W607" s="1351"/>
      <c r="X607" s="1351"/>
      <c r="Y607" s="1333"/>
      <c r="Z607" s="1333"/>
      <c r="AA607" s="1333"/>
      <c r="AB607" s="1333"/>
      <c r="AC607" s="1333"/>
      <c r="AD607" s="1333"/>
      <c r="AE607" s="1333"/>
      <c r="AF607" s="1333"/>
      <c r="AG607" s="1333"/>
      <c r="AH607" s="1333"/>
      <c r="AI607" s="1333"/>
      <c r="AJ607" s="1333"/>
      <c r="AK607" s="17"/>
      <c r="AL607" s="17"/>
      <c r="AM607" s="17"/>
      <c r="AN607" s="17"/>
      <c r="AO607" s="17"/>
      <c r="AP607" s="17"/>
      <c r="AQ607" s="17"/>
      <c r="AR607" s="17"/>
      <c r="AS607" s="17"/>
      <c r="AT607" s="17"/>
      <c r="AU607" s="17"/>
      <c r="AV607" s="17"/>
      <c r="AW607" s="17"/>
      <c r="AX607" s="17"/>
      <c r="AY607" s="17"/>
    </row>
    <row r="608" spans="1:51" s="542" customFormat="1" ht="13.5" hidden="1" customHeight="1" x14ac:dyDescent="0.3">
      <c r="A608" s="1407"/>
      <c r="B608" s="1284"/>
      <c r="C608" s="2062"/>
      <c r="D608" s="2062"/>
      <c r="E608" s="2062"/>
      <c r="F608" s="1297"/>
      <c r="G608" s="1297"/>
      <c r="H608" s="1333"/>
      <c r="I608" s="1333"/>
      <c r="J608" s="1333"/>
      <c r="K608" s="1550"/>
      <c r="L608" s="1382"/>
      <c r="M608" s="1333"/>
      <c r="N608" s="1333"/>
      <c r="O608" s="1333"/>
      <c r="P608" s="1533"/>
      <c r="Q608" s="1533"/>
      <c r="R608" s="1533"/>
      <c r="S608" s="1534"/>
      <c r="T608" s="1543"/>
      <c r="U608" s="1285"/>
      <c r="V608" s="1285"/>
      <c r="W608" s="1351"/>
      <c r="X608" s="1351"/>
      <c r="Y608" s="1333"/>
      <c r="Z608" s="1333"/>
      <c r="AA608" s="1333"/>
      <c r="AB608" s="1333"/>
      <c r="AC608" s="1333"/>
      <c r="AD608" s="1333"/>
      <c r="AE608" s="1333"/>
      <c r="AF608" s="1333"/>
      <c r="AG608" s="1333"/>
      <c r="AH608" s="1333"/>
      <c r="AI608" s="1333"/>
      <c r="AJ608" s="1333"/>
      <c r="AK608" s="17"/>
      <c r="AL608" s="17"/>
      <c r="AM608" s="17"/>
      <c r="AN608" s="17"/>
      <c r="AO608" s="17"/>
      <c r="AP608" s="17"/>
      <c r="AQ608" s="17"/>
      <c r="AR608" s="17"/>
      <c r="AS608" s="17"/>
      <c r="AT608" s="17"/>
      <c r="AU608" s="17"/>
      <c r="AV608" s="17"/>
      <c r="AW608" s="17"/>
      <c r="AX608" s="17"/>
      <c r="AY608" s="17"/>
    </row>
    <row r="609" spans="1:51" s="542" customFormat="1" ht="13.5" customHeight="1" x14ac:dyDescent="0.3">
      <c r="A609" s="1407"/>
      <c r="B609" s="1284"/>
      <c r="C609" s="2062"/>
      <c r="D609" s="2062"/>
      <c r="E609" s="2062"/>
      <c r="F609" s="1297"/>
      <c r="G609" s="1297"/>
      <c r="H609" s="1333"/>
      <c r="I609" s="1333"/>
      <c r="J609" s="1333"/>
      <c r="K609" s="1550"/>
      <c r="L609" s="1382"/>
      <c r="M609" s="1333"/>
      <c r="N609" s="1333"/>
      <c r="O609" s="1333"/>
      <c r="P609" s="1533"/>
      <c r="Q609" s="1533"/>
      <c r="R609" s="1533"/>
      <c r="S609" s="1534"/>
      <c r="T609" s="1543"/>
      <c r="U609" s="1285"/>
      <c r="V609" s="1285"/>
      <c r="W609" s="1351"/>
      <c r="X609" s="1351"/>
      <c r="Y609" s="1333"/>
      <c r="Z609" s="1333"/>
      <c r="AA609" s="1333"/>
      <c r="AB609" s="1333"/>
      <c r="AC609" s="1333"/>
      <c r="AD609" s="1333"/>
      <c r="AE609" s="1333"/>
      <c r="AF609" s="1333"/>
      <c r="AG609" s="1333"/>
      <c r="AH609" s="1333"/>
      <c r="AI609" s="1333"/>
      <c r="AJ609" s="1333"/>
      <c r="AK609" s="17"/>
      <c r="AL609" s="17"/>
      <c r="AM609" s="17"/>
      <c r="AN609" s="17"/>
      <c r="AO609" s="17"/>
      <c r="AP609" s="17"/>
      <c r="AQ609" s="17"/>
      <c r="AR609" s="17"/>
      <c r="AS609" s="17"/>
      <c r="AT609" s="17"/>
      <c r="AU609" s="17"/>
      <c r="AV609" s="17"/>
      <c r="AW609" s="17"/>
      <c r="AX609" s="17"/>
      <c r="AY609" s="17"/>
    </row>
    <row r="610" spans="1:51" s="542" customFormat="1" ht="13.5" customHeight="1" x14ac:dyDescent="0.3">
      <c r="A610" s="1407"/>
      <c r="B610" s="1284"/>
      <c r="C610" s="2062"/>
      <c r="D610" s="2062"/>
      <c r="E610" s="2062"/>
      <c r="F610" s="1297"/>
      <c r="G610" s="1297"/>
      <c r="H610" s="1333"/>
      <c r="I610" s="1333"/>
      <c r="J610" s="1333"/>
      <c r="K610" s="1550"/>
      <c r="L610" s="1382"/>
      <c r="M610" s="1333"/>
      <c r="N610" s="1333"/>
      <c r="O610" s="1333"/>
      <c r="P610" s="1533"/>
      <c r="Q610" s="1533"/>
      <c r="R610" s="1533"/>
      <c r="S610" s="1534"/>
      <c r="T610" s="1543"/>
      <c r="U610" s="1285"/>
      <c r="V610" s="1285"/>
      <c r="W610" s="1351"/>
      <c r="X610" s="1351"/>
      <c r="Y610" s="1333"/>
      <c r="Z610" s="1333"/>
      <c r="AA610" s="1333"/>
      <c r="AB610" s="1333"/>
      <c r="AC610" s="1333"/>
      <c r="AD610" s="1333"/>
      <c r="AE610" s="1333"/>
      <c r="AF610" s="1333"/>
      <c r="AG610" s="1333"/>
      <c r="AH610" s="1333"/>
      <c r="AI610" s="1333"/>
      <c r="AJ610" s="1333"/>
      <c r="AK610" s="17"/>
      <c r="AL610" s="17"/>
      <c r="AM610" s="17"/>
      <c r="AN610" s="17"/>
      <c r="AO610" s="17"/>
      <c r="AP610" s="17"/>
      <c r="AQ610" s="17"/>
      <c r="AR610" s="17"/>
      <c r="AS610" s="17"/>
      <c r="AT610" s="17"/>
      <c r="AU610" s="17"/>
      <c r="AV610" s="17"/>
      <c r="AW610" s="17"/>
      <c r="AX610" s="17"/>
      <c r="AY610" s="17"/>
    </row>
    <row r="611" spans="1:51" s="542" customFormat="1" ht="13.5" customHeight="1" x14ac:dyDescent="0.3">
      <c r="A611" s="1407"/>
      <c r="B611" s="1284"/>
      <c r="C611" s="2062"/>
      <c r="D611" s="2062"/>
      <c r="E611" s="2062"/>
      <c r="F611" s="1297"/>
      <c r="G611" s="1297"/>
      <c r="H611" s="1333"/>
      <c r="I611" s="1333"/>
      <c r="J611" s="1333"/>
      <c r="K611" s="1550"/>
      <c r="L611" s="1382"/>
      <c r="M611" s="1333"/>
      <c r="N611" s="1333"/>
      <c r="O611" s="1333"/>
      <c r="P611" s="1533"/>
      <c r="Q611" s="1533"/>
      <c r="R611" s="1533"/>
      <c r="S611" s="1534"/>
      <c r="T611" s="1543"/>
      <c r="U611" s="1285"/>
      <c r="V611" s="1285"/>
      <c r="W611" s="1351"/>
      <c r="X611" s="1351"/>
      <c r="Y611" s="1333"/>
      <c r="Z611" s="1333"/>
      <c r="AA611" s="1333"/>
      <c r="AB611" s="1333"/>
      <c r="AC611" s="1333"/>
      <c r="AD611" s="1333"/>
      <c r="AE611" s="1333"/>
      <c r="AF611" s="1333"/>
      <c r="AG611" s="1333"/>
      <c r="AH611" s="1333"/>
      <c r="AI611" s="1333"/>
      <c r="AJ611" s="1333"/>
      <c r="AK611" s="17"/>
      <c r="AL611" s="17"/>
      <c r="AM611" s="17"/>
      <c r="AN611" s="17"/>
      <c r="AO611" s="17"/>
      <c r="AP611" s="17"/>
      <c r="AQ611" s="17"/>
      <c r="AR611" s="17"/>
      <c r="AS611" s="17"/>
      <c r="AT611" s="17"/>
      <c r="AU611" s="17"/>
      <c r="AV611" s="17"/>
      <c r="AW611" s="17"/>
      <c r="AX611" s="17"/>
      <c r="AY611" s="17"/>
    </row>
    <row r="612" spans="1:51" s="542" customFormat="1" ht="13.5" customHeight="1" x14ac:dyDescent="0.3">
      <c r="A612" s="1407"/>
      <c r="B612" s="1284"/>
      <c r="C612" s="2062"/>
      <c r="D612" s="2062"/>
      <c r="E612" s="2062"/>
      <c r="F612" s="1297"/>
      <c r="G612" s="1297"/>
      <c r="H612" s="1333"/>
      <c r="I612" s="1333"/>
      <c r="J612" s="1333"/>
      <c r="K612" s="1550"/>
      <c r="L612" s="1382"/>
      <c r="M612" s="1333"/>
      <c r="N612" s="1333"/>
      <c r="O612" s="1333"/>
      <c r="P612" s="1533"/>
      <c r="Q612" s="1533"/>
      <c r="R612" s="1533"/>
      <c r="S612" s="1534"/>
      <c r="T612" s="1543"/>
      <c r="U612" s="1285"/>
      <c r="V612" s="1285"/>
      <c r="W612" s="1351"/>
      <c r="X612" s="1351"/>
      <c r="Y612" s="1333"/>
      <c r="Z612" s="1333"/>
      <c r="AA612" s="1333"/>
      <c r="AB612" s="1333"/>
      <c r="AC612" s="1333"/>
      <c r="AD612" s="1333"/>
      <c r="AE612" s="1333"/>
      <c r="AF612" s="1333"/>
      <c r="AG612" s="1333"/>
      <c r="AH612" s="1333"/>
      <c r="AI612" s="1333"/>
      <c r="AJ612" s="1333"/>
      <c r="AK612" s="17"/>
      <c r="AL612" s="17"/>
      <c r="AM612" s="17"/>
      <c r="AN612" s="17"/>
      <c r="AO612" s="17"/>
      <c r="AP612" s="17"/>
      <c r="AQ612" s="17"/>
      <c r="AR612" s="17"/>
      <c r="AS612" s="17"/>
      <c r="AT612" s="17"/>
      <c r="AU612" s="17"/>
      <c r="AV612" s="17"/>
      <c r="AW612" s="17"/>
      <c r="AX612" s="17"/>
      <c r="AY612" s="17"/>
    </row>
    <row r="613" spans="1:51" s="542" customFormat="1" ht="13.5" customHeight="1" x14ac:dyDescent="0.3">
      <c r="A613" s="1407"/>
      <c r="B613" s="1284"/>
      <c r="C613" s="2062"/>
      <c r="D613" s="2062"/>
      <c r="E613" s="2062"/>
      <c r="F613" s="1297"/>
      <c r="G613" s="1297"/>
      <c r="H613" s="1333"/>
      <c r="I613" s="1333"/>
      <c r="J613" s="1333"/>
      <c r="K613" s="1550"/>
      <c r="L613" s="1382"/>
      <c r="M613" s="1333"/>
      <c r="N613" s="1333"/>
      <c r="O613" s="1333"/>
      <c r="P613" s="1533"/>
      <c r="Q613" s="1533"/>
      <c r="R613" s="1533"/>
      <c r="S613" s="1534"/>
      <c r="T613" s="1543"/>
      <c r="U613" s="1285"/>
      <c r="V613" s="1285"/>
      <c r="W613" s="1351"/>
      <c r="X613" s="1351"/>
      <c r="Y613" s="1333"/>
      <c r="Z613" s="1333"/>
      <c r="AA613" s="1333"/>
      <c r="AB613" s="1333"/>
      <c r="AC613" s="1333"/>
      <c r="AD613" s="1333"/>
      <c r="AE613" s="1333"/>
      <c r="AF613" s="1333"/>
      <c r="AG613" s="1333"/>
      <c r="AH613" s="1333"/>
      <c r="AI613" s="1333"/>
      <c r="AJ613" s="1333"/>
      <c r="AK613" s="17"/>
      <c r="AL613" s="17"/>
      <c r="AM613" s="17"/>
      <c r="AN613" s="17"/>
      <c r="AO613" s="17"/>
      <c r="AP613" s="17"/>
      <c r="AQ613" s="17"/>
      <c r="AR613" s="17"/>
      <c r="AS613" s="17"/>
      <c r="AT613" s="17"/>
      <c r="AU613" s="17"/>
      <c r="AV613" s="17"/>
      <c r="AW613" s="17"/>
      <c r="AX613" s="17"/>
      <c r="AY613" s="17"/>
    </row>
    <row r="614" spans="1:51" s="542" customFormat="1" ht="13.5" customHeight="1" x14ac:dyDescent="0.3">
      <c r="A614" s="1407"/>
      <c r="B614" s="1284"/>
      <c r="C614" s="2062"/>
      <c r="D614" s="2062"/>
      <c r="E614" s="2062"/>
      <c r="F614" s="1297"/>
      <c r="G614" s="1297"/>
      <c r="H614" s="1333"/>
      <c r="I614" s="1333"/>
      <c r="J614" s="1333"/>
      <c r="K614" s="1550"/>
      <c r="L614" s="1382"/>
      <c r="M614" s="1333"/>
      <c r="N614" s="1333"/>
      <c r="O614" s="1333"/>
      <c r="P614" s="1533"/>
      <c r="Q614" s="1533"/>
      <c r="R614" s="1533"/>
      <c r="S614" s="1534"/>
      <c r="T614" s="1543"/>
      <c r="U614" s="1285"/>
      <c r="V614" s="1285"/>
      <c r="W614" s="1351"/>
      <c r="X614" s="1351"/>
      <c r="Y614" s="1333"/>
      <c r="Z614" s="1333"/>
      <c r="AA614" s="1333"/>
      <c r="AB614" s="1333"/>
      <c r="AC614" s="1333"/>
      <c r="AD614" s="1333"/>
      <c r="AE614" s="1333"/>
      <c r="AF614" s="1333"/>
      <c r="AG614" s="1333"/>
      <c r="AH614" s="1333"/>
      <c r="AI614" s="1333"/>
      <c r="AJ614" s="1333"/>
      <c r="AK614" s="17"/>
      <c r="AL614" s="17"/>
      <c r="AM614" s="17"/>
      <c r="AN614" s="17"/>
      <c r="AO614" s="17"/>
      <c r="AP614" s="17"/>
      <c r="AQ614" s="17"/>
      <c r="AR614" s="17"/>
      <c r="AS614" s="17"/>
      <c r="AT614" s="17"/>
      <c r="AU614" s="17"/>
      <c r="AV614" s="17"/>
      <c r="AW614" s="17"/>
      <c r="AX614" s="17"/>
      <c r="AY614" s="17"/>
    </row>
    <row r="615" spans="1:51" s="542" customFormat="1" ht="13.5" customHeight="1" x14ac:dyDescent="0.3">
      <c r="A615" s="1407"/>
      <c r="B615" s="1284"/>
      <c r="C615" s="2062"/>
      <c r="D615" s="2062"/>
      <c r="E615" s="2062"/>
      <c r="F615" s="1297"/>
      <c r="G615" s="1297"/>
      <c r="H615" s="1333"/>
      <c r="I615" s="1333"/>
      <c r="J615" s="1333"/>
      <c r="K615" s="1550"/>
      <c r="L615" s="1382"/>
      <c r="M615" s="1333"/>
      <c r="N615" s="1333"/>
      <c r="O615" s="1333"/>
      <c r="P615" s="1533"/>
      <c r="Q615" s="1533"/>
      <c r="R615" s="1533"/>
      <c r="S615" s="1534"/>
      <c r="T615" s="1543"/>
      <c r="U615" s="1285"/>
      <c r="V615" s="1285"/>
      <c r="W615" s="1351"/>
      <c r="X615" s="1351"/>
      <c r="Y615" s="1333"/>
      <c r="Z615" s="1333"/>
      <c r="AA615" s="1333"/>
      <c r="AB615" s="1333"/>
      <c r="AC615" s="1333"/>
      <c r="AD615" s="1333"/>
      <c r="AE615" s="1333"/>
      <c r="AF615" s="1333"/>
      <c r="AG615" s="1333"/>
      <c r="AH615" s="1333"/>
      <c r="AI615" s="1333"/>
      <c r="AJ615" s="1333"/>
      <c r="AK615" s="17"/>
      <c r="AL615" s="17"/>
      <c r="AM615" s="17"/>
      <c r="AN615" s="17"/>
      <c r="AO615" s="17"/>
      <c r="AP615" s="17"/>
      <c r="AQ615" s="17"/>
      <c r="AR615" s="17"/>
      <c r="AS615" s="17"/>
      <c r="AT615" s="17"/>
      <c r="AU615" s="17"/>
      <c r="AV615" s="17"/>
      <c r="AW615" s="17"/>
      <c r="AX615" s="17"/>
      <c r="AY615" s="17"/>
    </row>
    <row r="616" spans="1:51" s="542" customFormat="1" ht="13.5" customHeight="1" x14ac:dyDescent="0.3">
      <c r="A616" s="1407"/>
      <c r="B616" s="1284"/>
      <c r="C616" s="2062"/>
      <c r="D616" s="2062"/>
      <c r="E616" s="2062"/>
      <c r="F616" s="1297"/>
      <c r="G616" s="1297"/>
      <c r="H616" s="1333"/>
      <c r="I616" s="1333"/>
      <c r="J616" s="1333"/>
      <c r="K616" s="1550"/>
      <c r="L616" s="1382"/>
      <c r="M616" s="1333"/>
      <c r="N616" s="1333"/>
      <c r="O616" s="1333"/>
      <c r="P616" s="1533"/>
      <c r="Q616" s="1533"/>
      <c r="R616" s="1533"/>
      <c r="S616" s="1534"/>
      <c r="T616" s="1543"/>
      <c r="U616" s="1285"/>
      <c r="V616" s="1285"/>
      <c r="W616" s="1351"/>
      <c r="X616" s="1351"/>
      <c r="Y616" s="1333"/>
      <c r="Z616" s="1333"/>
      <c r="AA616" s="1333"/>
      <c r="AB616" s="1333"/>
      <c r="AC616" s="1333"/>
      <c r="AD616" s="1333"/>
      <c r="AE616" s="1333"/>
      <c r="AF616" s="1333"/>
      <c r="AG616" s="1333"/>
      <c r="AH616" s="1333"/>
      <c r="AI616" s="1333"/>
      <c r="AJ616" s="1333"/>
      <c r="AK616" s="17"/>
      <c r="AL616" s="17"/>
      <c r="AM616" s="17"/>
      <c r="AN616" s="17"/>
      <c r="AO616" s="17"/>
      <c r="AP616" s="17"/>
      <c r="AQ616" s="17"/>
      <c r="AR616" s="17"/>
      <c r="AS616" s="17"/>
      <c r="AT616" s="17"/>
      <c r="AU616" s="17"/>
      <c r="AV616" s="17"/>
      <c r="AW616" s="17"/>
      <c r="AX616" s="17"/>
      <c r="AY616" s="17"/>
    </row>
    <row r="617" spans="1:51" s="542" customFormat="1" ht="13.5" customHeight="1" x14ac:dyDescent="0.3">
      <c r="A617" s="1407"/>
      <c r="B617" s="1284"/>
      <c r="C617" s="2062"/>
      <c r="D617" s="2062"/>
      <c r="E617" s="2062"/>
      <c r="F617" s="1297"/>
      <c r="G617" s="1297"/>
      <c r="H617" s="1333"/>
      <c r="I617" s="1333"/>
      <c r="J617" s="1333"/>
      <c r="K617" s="1550"/>
      <c r="L617" s="1382"/>
      <c r="M617" s="1333"/>
      <c r="N617" s="1333"/>
      <c r="O617" s="1333"/>
      <c r="P617" s="1533"/>
      <c r="Q617" s="1533"/>
      <c r="R617" s="1533"/>
      <c r="S617" s="1534"/>
      <c r="T617" s="1543"/>
      <c r="U617" s="1285"/>
      <c r="V617" s="1285"/>
      <c r="W617" s="1351"/>
      <c r="X617" s="1351"/>
      <c r="Y617" s="1333"/>
      <c r="Z617" s="1333"/>
      <c r="AA617" s="1333"/>
      <c r="AB617" s="1333"/>
      <c r="AC617" s="1333"/>
      <c r="AD617" s="1333"/>
      <c r="AE617" s="1333"/>
      <c r="AF617" s="1333"/>
      <c r="AG617" s="1333"/>
      <c r="AH617" s="1333"/>
      <c r="AI617" s="1333"/>
      <c r="AJ617" s="1333"/>
      <c r="AK617" s="17"/>
      <c r="AL617" s="17"/>
      <c r="AM617" s="17"/>
      <c r="AN617" s="17"/>
      <c r="AO617" s="17"/>
      <c r="AP617" s="17"/>
      <c r="AQ617" s="17"/>
      <c r="AR617" s="17"/>
      <c r="AS617" s="17"/>
      <c r="AT617" s="17"/>
      <c r="AU617" s="17"/>
      <c r="AV617" s="17"/>
      <c r="AW617" s="17"/>
      <c r="AX617" s="17"/>
      <c r="AY617" s="17"/>
    </row>
    <row r="618" spans="1:51" s="542" customFormat="1" ht="13.5" customHeight="1" x14ac:dyDescent="0.3">
      <c r="A618" s="1407"/>
      <c r="B618" s="1284"/>
      <c r="C618" s="2062"/>
      <c r="D618" s="2062"/>
      <c r="E618" s="2062"/>
      <c r="F618" s="1297"/>
      <c r="G618" s="1297"/>
      <c r="H618" s="1333"/>
      <c r="I618" s="1333"/>
      <c r="J618" s="1333"/>
      <c r="K618" s="1550"/>
      <c r="L618" s="1382"/>
      <c r="M618" s="1333"/>
      <c r="N618" s="1333"/>
      <c r="O618" s="1333"/>
      <c r="P618" s="1533"/>
      <c r="Q618" s="1533"/>
      <c r="R618" s="1533"/>
      <c r="S618" s="1534"/>
      <c r="T618" s="1543"/>
      <c r="U618" s="1285"/>
      <c r="V618" s="1285"/>
      <c r="W618" s="1351"/>
      <c r="X618" s="1351"/>
      <c r="Y618" s="1333"/>
      <c r="Z618" s="1333"/>
      <c r="AA618" s="1333"/>
      <c r="AB618" s="1333"/>
      <c r="AC618" s="1333"/>
      <c r="AD618" s="1333"/>
      <c r="AE618" s="1333"/>
      <c r="AF618" s="1333"/>
      <c r="AG618" s="1333"/>
      <c r="AH618" s="1333"/>
      <c r="AI618" s="1333"/>
      <c r="AJ618" s="1333"/>
      <c r="AK618" s="17"/>
      <c r="AL618" s="17"/>
      <c r="AM618" s="17"/>
      <c r="AN618" s="17"/>
      <c r="AO618" s="17"/>
      <c r="AP618" s="17"/>
      <c r="AQ618" s="17"/>
      <c r="AR618" s="17"/>
      <c r="AS618" s="17"/>
      <c r="AT618" s="17"/>
      <c r="AU618" s="17"/>
      <c r="AV618" s="17"/>
      <c r="AW618" s="17"/>
      <c r="AX618" s="17"/>
      <c r="AY618" s="17"/>
    </row>
    <row r="619" spans="1:51" s="542" customFormat="1" ht="13.5" customHeight="1" x14ac:dyDescent="0.3">
      <c r="A619" s="1407"/>
      <c r="B619" s="1284"/>
      <c r="C619" s="2062"/>
      <c r="D619" s="2062"/>
      <c r="E619" s="2062"/>
      <c r="F619" s="1297"/>
      <c r="G619" s="1297"/>
      <c r="H619" s="1333"/>
      <c r="I619" s="1333"/>
      <c r="J619" s="1333"/>
      <c r="K619" s="1550"/>
      <c r="L619" s="1382"/>
      <c r="M619" s="1333"/>
      <c r="N619" s="1333"/>
      <c r="O619" s="1333"/>
      <c r="P619" s="1533"/>
      <c r="Q619" s="1533"/>
      <c r="R619" s="1533"/>
      <c r="S619" s="1534"/>
      <c r="T619" s="1543"/>
      <c r="U619" s="1285"/>
      <c r="V619" s="1285"/>
      <c r="W619" s="1351"/>
      <c r="X619" s="1351"/>
      <c r="Y619" s="1333"/>
      <c r="Z619" s="1333"/>
      <c r="AA619" s="1333"/>
      <c r="AB619" s="1333"/>
      <c r="AC619" s="1333"/>
      <c r="AD619" s="1333"/>
      <c r="AE619" s="1333"/>
      <c r="AF619" s="1333"/>
      <c r="AG619" s="1333"/>
      <c r="AH619" s="1333"/>
      <c r="AI619" s="1333"/>
      <c r="AJ619" s="1333"/>
      <c r="AK619" s="17"/>
      <c r="AL619" s="17"/>
      <c r="AM619" s="17"/>
      <c r="AN619" s="17"/>
      <c r="AO619" s="17"/>
      <c r="AP619" s="17"/>
      <c r="AQ619" s="17"/>
      <c r="AR619" s="17"/>
      <c r="AS619" s="17"/>
      <c r="AT619" s="17"/>
      <c r="AU619" s="17"/>
      <c r="AV619" s="17"/>
      <c r="AW619" s="17"/>
      <c r="AX619" s="17"/>
      <c r="AY619" s="17"/>
    </row>
    <row r="620" spans="1:51" s="542" customFormat="1" ht="13.5" customHeight="1" x14ac:dyDescent="0.3">
      <c r="A620" s="1407"/>
      <c r="B620" s="1284"/>
      <c r="C620" s="2062"/>
      <c r="D620" s="2062"/>
      <c r="E620" s="2062"/>
      <c r="F620" s="1297"/>
      <c r="G620" s="1297"/>
      <c r="H620" s="1333"/>
      <c r="I620" s="1333"/>
      <c r="J620" s="1333"/>
      <c r="K620" s="1550"/>
      <c r="L620" s="1382"/>
      <c r="M620" s="1333"/>
      <c r="N620" s="1333"/>
      <c r="O620" s="1333"/>
      <c r="P620" s="1533"/>
      <c r="Q620" s="1533"/>
      <c r="R620" s="1533"/>
      <c r="S620" s="1534"/>
      <c r="T620" s="1543"/>
      <c r="U620" s="1285"/>
      <c r="V620" s="1285"/>
      <c r="W620" s="1351"/>
      <c r="X620" s="1351"/>
      <c r="Y620" s="1333"/>
      <c r="Z620" s="1333"/>
      <c r="AA620" s="1333"/>
      <c r="AB620" s="1333"/>
      <c r="AC620" s="1333"/>
      <c r="AD620" s="1333"/>
      <c r="AE620" s="1333"/>
      <c r="AF620" s="1333"/>
      <c r="AG620" s="1333"/>
      <c r="AH620" s="1333"/>
      <c r="AI620" s="1333"/>
      <c r="AJ620" s="1333"/>
      <c r="AK620" s="17"/>
      <c r="AL620" s="17"/>
      <c r="AM620" s="17"/>
      <c r="AN620" s="17"/>
      <c r="AO620" s="17"/>
      <c r="AP620" s="17"/>
      <c r="AQ620" s="17"/>
      <c r="AR620" s="17"/>
      <c r="AS620" s="17"/>
      <c r="AT620" s="17"/>
      <c r="AU620" s="17"/>
      <c r="AV620" s="17"/>
      <c r="AW620" s="17"/>
      <c r="AX620" s="17"/>
      <c r="AY620" s="17"/>
    </row>
    <row r="621" spans="1:51" s="542" customFormat="1" ht="13.5" customHeight="1" x14ac:dyDescent="0.3">
      <c r="A621" s="1407"/>
      <c r="B621" s="1284"/>
      <c r="C621" s="2062"/>
      <c r="D621" s="2062"/>
      <c r="E621" s="2062"/>
      <c r="F621" s="1297"/>
      <c r="G621" s="1297"/>
      <c r="H621" s="1333"/>
      <c r="I621" s="1333"/>
      <c r="J621" s="1333"/>
      <c r="K621" s="1550"/>
      <c r="L621" s="1382"/>
      <c r="M621" s="1333"/>
      <c r="N621" s="1333"/>
      <c r="O621" s="1333"/>
      <c r="P621" s="1533"/>
      <c r="Q621" s="1533"/>
      <c r="R621" s="1533"/>
      <c r="S621" s="1534"/>
      <c r="T621" s="1543"/>
      <c r="U621" s="1285"/>
      <c r="V621" s="1285"/>
      <c r="W621" s="1351"/>
      <c r="X621" s="1351"/>
      <c r="Y621" s="1333"/>
      <c r="Z621" s="1333"/>
      <c r="AA621" s="1333"/>
      <c r="AB621" s="1333"/>
      <c r="AC621" s="1333"/>
      <c r="AD621" s="1333"/>
      <c r="AE621" s="1333"/>
      <c r="AF621" s="1333"/>
      <c r="AG621" s="1333"/>
      <c r="AH621" s="1333"/>
      <c r="AI621" s="1333"/>
      <c r="AJ621" s="1333"/>
      <c r="AK621" s="17"/>
      <c r="AL621" s="17"/>
      <c r="AM621" s="17"/>
      <c r="AN621" s="17"/>
      <c r="AO621" s="17"/>
      <c r="AP621" s="17"/>
      <c r="AQ621" s="17"/>
      <c r="AR621" s="17"/>
      <c r="AS621" s="17"/>
      <c r="AT621" s="17"/>
      <c r="AU621" s="17"/>
      <c r="AV621" s="17"/>
      <c r="AW621" s="17"/>
      <c r="AX621" s="17"/>
      <c r="AY621" s="17"/>
    </row>
    <row r="622" spans="1:51" s="542" customFormat="1" ht="13.5" customHeight="1" x14ac:dyDescent="0.3">
      <c r="A622" s="1407"/>
      <c r="B622" s="1284"/>
      <c r="C622" s="2062"/>
      <c r="D622" s="2062"/>
      <c r="E622" s="2062"/>
      <c r="F622" s="1297"/>
      <c r="G622" s="1297"/>
      <c r="H622" s="1333"/>
      <c r="I622" s="1333"/>
      <c r="J622" s="1333"/>
      <c r="K622" s="1550"/>
      <c r="L622" s="1382"/>
      <c r="M622" s="1333"/>
      <c r="N622" s="1333"/>
      <c r="O622" s="1333"/>
      <c r="P622" s="1533"/>
      <c r="Q622" s="1533"/>
      <c r="R622" s="1533"/>
      <c r="S622" s="1534"/>
      <c r="T622" s="1543"/>
      <c r="U622" s="1285"/>
      <c r="V622" s="1285"/>
      <c r="W622" s="1351"/>
      <c r="X622" s="1351"/>
      <c r="Y622" s="1333"/>
      <c r="Z622" s="1333"/>
      <c r="AA622" s="1333"/>
      <c r="AB622" s="1333"/>
      <c r="AC622" s="1333"/>
      <c r="AD622" s="1333"/>
      <c r="AE622" s="1333"/>
      <c r="AF622" s="1333"/>
      <c r="AG622" s="1333"/>
      <c r="AH622" s="1333"/>
      <c r="AI622" s="1333"/>
      <c r="AJ622" s="1333"/>
      <c r="AK622" s="17"/>
      <c r="AL622" s="17"/>
      <c r="AM622" s="17"/>
      <c r="AN622" s="17"/>
      <c r="AO622" s="17"/>
      <c r="AP622" s="17"/>
      <c r="AQ622" s="17"/>
      <c r="AR622" s="17"/>
      <c r="AS622" s="17"/>
      <c r="AT622" s="17"/>
      <c r="AU622" s="17"/>
      <c r="AV622" s="17"/>
      <c r="AW622" s="17"/>
      <c r="AX622" s="17"/>
      <c r="AY622" s="17"/>
    </row>
    <row r="623" spans="1:51" s="542" customFormat="1" ht="13.5" customHeight="1" x14ac:dyDescent="0.3">
      <c r="A623" s="1407"/>
      <c r="B623" s="1284"/>
      <c r="C623" s="2062"/>
      <c r="D623" s="2062"/>
      <c r="E623" s="2062"/>
      <c r="F623" s="1297"/>
      <c r="G623" s="1297"/>
      <c r="H623" s="1333"/>
      <c r="I623" s="1333"/>
      <c r="J623" s="1333"/>
      <c r="K623" s="1550"/>
      <c r="L623" s="1382"/>
      <c r="M623" s="1333"/>
      <c r="N623" s="1333"/>
      <c r="O623" s="1333"/>
      <c r="P623" s="1533"/>
      <c r="Q623" s="1533"/>
      <c r="R623" s="1533"/>
      <c r="S623" s="1534"/>
      <c r="T623" s="1543"/>
      <c r="U623" s="1285"/>
      <c r="V623" s="1285"/>
      <c r="W623" s="1351"/>
      <c r="X623" s="1351"/>
      <c r="Y623" s="1333"/>
      <c r="Z623" s="1333"/>
      <c r="AA623" s="1333"/>
      <c r="AB623" s="1333"/>
      <c r="AC623" s="1333"/>
      <c r="AD623" s="1333"/>
      <c r="AE623" s="1333"/>
      <c r="AF623" s="1333"/>
      <c r="AG623" s="1333"/>
      <c r="AH623" s="1333"/>
      <c r="AI623" s="1333"/>
      <c r="AJ623" s="1333"/>
      <c r="AK623" s="17"/>
      <c r="AL623" s="17"/>
      <c r="AM623" s="17"/>
      <c r="AN623" s="17"/>
      <c r="AO623" s="17"/>
      <c r="AP623" s="17"/>
      <c r="AQ623" s="17"/>
      <c r="AR623" s="17"/>
      <c r="AS623" s="17"/>
      <c r="AT623" s="17"/>
      <c r="AU623" s="17"/>
      <c r="AV623" s="17"/>
      <c r="AW623" s="17"/>
      <c r="AX623" s="17"/>
      <c r="AY623" s="17"/>
    </row>
    <row r="624" spans="1:51" s="542" customFormat="1" ht="13.5" customHeight="1" x14ac:dyDescent="0.3">
      <c r="A624" s="1407"/>
      <c r="B624" s="1284"/>
      <c r="C624" s="2062"/>
      <c r="D624" s="2062"/>
      <c r="E624" s="2062"/>
      <c r="F624" s="1297"/>
      <c r="G624" s="1297"/>
      <c r="H624" s="1333"/>
      <c r="I624" s="1333"/>
      <c r="J624" s="1333"/>
      <c r="K624" s="1550"/>
      <c r="L624" s="1382"/>
      <c r="M624" s="1333"/>
      <c r="N624" s="1333"/>
      <c r="O624" s="1333"/>
      <c r="P624" s="1533"/>
      <c r="Q624" s="1533"/>
      <c r="R624" s="1533"/>
      <c r="S624" s="1534"/>
      <c r="T624" s="1543"/>
      <c r="U624" s="1285"/>
      <c r="V624" s="1285"/>
      <c r="W624" s="1351"/>
      <c r="X624" s="1351"/>
      <c r="Y624" s="1333"/>
      <c r="Z624" s="1333"/>
      <c r="AA624" s="1333"/>
      <c r="AB624" s="1333"/>
      <c r="AC624" s="1333"/>
      <c r="AD624" s="1333"/>
      <c r="AE624" s="1333"/>
      <c r="AF624" s="1333"/>
      <c r="AG624" s="1333"/>
      <c r="AH624" s="1333"/>
      <c r="AI624" s="1333"/>
      <c r="AJ624" s="1333"/>
      <c r="AK624" s="17"/>
      <c r="AL624" s="17"/>
      <c r="AM624" s="17"/>
      <c r="AN624" s="17"/>
      <c r="AO624" s="17"/>
      <c r="AP624" s="17"/>
      <c r="AQ624" s="17"/>
      <c r="AR624" s="17"/>
      <c r="AS624" s="17"/>
      <c r="AT624" s="17"/>
      <c r="AU624" s="17"/>
      <c r="AV624" s="17"/>
      <c r="AW624" s="17"/>
      <c r="AX624" s="17"/>
      <c r="AY624" s="17"/>
    </row>
    <row r="625" spans="1:51" s="542" customFormat="1" ht="13.5" customHeight="1" x14ac:dyDescent="0.3">
      <c r="A625" s="1407"/>
      <c r="B625" s="1284"/>
      <c r="C625" s="2062"/>
      <c r="D625" s="2062"/>
      <c r="E625" s="2062"/>
      <c r="F625" s="1297"/>
      <c r="G625" s="1297"/>
      <c r="H625" s="1333"/>
      <c r="I625" s="1333"/>
      <c r="J625" s="1333"/>
      <c r="K625" s="1550"/>
      <c r="L625" s="1382"/>
      <c r="M625" s="1333"/>
      <c r="N625" s="1333"/>
      <c r="O625" s="1333"/>
      <c r="P625" s="1533"/>
      <c r="Q625" s="1533"/>
      <c r="R625" s="1533"/>
      <c r="S625" s="1534"/>
      <c r="T625" s="1543"/>
      <c r="U625" s="1285"/>
      <c r="V625" s="1285"/>
      <c r="W625" s="1351"/>
      <c r="X625" s="1351"/>
      <c r="Y625" s="1333"/>
      <c r="Z625" s="1333"/>
      <c r="AA625" s="1333"/>
      <c r="AB625" s="1333"/>
      <c r="AC625" s="1333"/>
      <c r="AD625" s="1333"/>
      <c r="AE625" s="1333"/>
      <c r="AF625" s="1333"/>
      <c r="AG625" s="1333"/>
      <c r="AH625" s="1333"/>
      <c r="AI625" s="1333"/>
      <c r="AJ625" s="1333"/>
      <c r="AK625" s="17"/>
      <c r="AL625" s="17"/>
      <c r="AM625" s="17"/>
      <c r="AN625" s="17"/>
      <c r="AO625" s="17"/>
      <c r="AP625" s="17"/>
      <c r="AQ625" s="17"/>
      <c r="AR625" s="17"/>
      <c r="AS625" s="17"/>
      <c r="AT625" s="17"/>
      <c r="AU625" s="17"/>
      <c r="AV625" s="17"/>
      <c r="AW625" s="17"/>
      <c r="AX625" s="17"/>
      <c r="AY625" s="17"/>
    </row>
    <row r="626" spans="1:51" s="542" customFormat="1" ht="13.5" customHeight="1" x14ac:dyDescent="0.3">
      <c r="A626" s="1407"/>
      <c r="B626" s="1284"/>
      <c r="C626" s="2062"/>
      <c r="D626" s="2062"/>
      <c r="E626" s="2062"/>
      <c r="F626" s="1297"/>
      <c r="G626" s="1297"/>
      <c r="H626" s="1333"/>
      <c r="I626" s="1333"/>
      <c r="J626" s="1333"/>
      <c r="K626" s="1550"/>
      <c r="L626" s="1382"/>
      <c r="M626" s="1333"/>
      <c r="N626" s="1333"/>
      <c r="O626" s="1333"/>
      <c r="P626" s="1533"/>
      <c r="Q626" s="1533"/>
      <c r="R626" s="1533"/>
      <c r="S626" s="1534"/>
      <c r="T626" s="1543"/>
      <c r="U626" s="1285"/>
      <c r="V626" s="1285"/>
      <c r="W626" s="1351"/>
      <c r="X626" s="1351"/>
      <c r="Y626" s="1333"/>
      <c r="Z626" s="1333"/>
      <c r="AA626" s="1333"/>
      <c r="AB626" s="1333"/>
      <c r="AC626" s="1333"/>
      <c r="AD626" s="1333"/>
      <c r="AE626" s="1333"/>
      <c r="AF626" s="1333"/>
      <c r="AG626" s="1333"/>
      <c r="AH626" s="1333"/>
      <c r="AI626" s="1333"/>
      <c r="AJ626" s="1333"/>
      <c r="AK626" s="17"/>
      <c r="AL626" s="17"/>
      <c r="AM626" s="17"/>
      <c r="AN626" s="17"/>
      <c r="AO626" s="17"/>
      <c r="AP626" s="17"/>
      <c r="AQ626" s="17"/>
      <c r="AR626" s="17"/>
      <c r="AS626" s="17"/>
      <c r="AT626" s="17"/>
      <c r="AU626" s="17"/>
      <c r="AV626" s="17"/>
      <c r="AW626" s="17"/>
      <c r="AX626" s="17"/>
      <c r="AY626" s="17"/>
    </row>
    <row r="627" spans="1:51" s="542" customFormat="1" ht="13.5" customHeight="1" x14ac:dyDescent="0.3">
      <c r="A627" s="1407"/>
      <c r="B627" s="1284"/>
      <c r="C627" s="2062"/>
      <c r="D627" s="2062"/>
      <c r="E627" s="2062"/>
      <c r="F627" s="1297"/>
      <c r="G627" s="1297"/>
      <c r="H627" s="1333"/>
      <c r="I627" s="1333"/>
      <c r="J627" s="1333"/>
      <c r="K627" s="1550"/>
      <c r="L627" s="1382"/>
      <c r="M627" s="1333"/>
      <c r="N627" s="1333"/>
      <c r="O627" s="1333"/>
      <c r="P627" s="1533"/>
      <c r="Q627" s="1533"/>
      <c r="R627" s="1533"/>
      <c r="S627" s="1534"/>
      <c r="T627" s="1543"/>
      <c r="U627" s="1285"/>
      <c r="V627" s="1285"/>
      <c r="W627" s="1351"/>
      <c r="X627" s="1351"/>
      <c r="Y627" s="1333"/>
      <c r="Z627" s="1333"/>
      <c r="AA627" s="1333"/>
      <c r="AB627" s="1333"/>
      <c r="AC627" s="1333"/>
      <c r="AD627" s="1333"/>
      <c r="AE627" s="1333"/>
      <c r="AF627" s="1333"/>
      <c r="AG627" s="1333"/>
      <c r="AH627" s="1333"/>
      <c r="AI627" s="1333"/>
      <c r="AJ627" s="1333"/>
      <c r="AK627" s="17"/>
      <c r="AL627" s="17"/>
      <c r="AM627" s="17"/>
      <c r="AN627" s="17"/>
      <c r="AO627" s="17"/>
      <c r="AP627" s="17"/>
      <c r="AQ627" s="17"/>
      <c r="AR627" s="17"/>
      <c r="AS627" s="17"/>
      <c r="AT627" s="17"/>
      <c r="AU627" s="17"/>
      <c r="AV627" s="17"/>
      <c r="AW627" s="17"/>
      <c r="AX627" s="17"/>
      <c r="AY627" s="17"/>
    </row>
    <row r="628" spans="1:51" s="542" customFormat="1" ht="13.5" customHeight="1" x14ac:dyDescent="0.3">
      <c r="A628" s="1407"/>
      <c r="B628" s="1284"/>
      <c r="C628" s="2062"/>
      <c r="D628" s="2062"/>
      <c r="E628" s="2062"/>
      <c r="F628" s="1297"/>
      <c r="G628" s="1297"/>
      <c r="H628" s="1333"/>
      <c r="I628" s="1333"/>
      <c r="J628" s="1333"/>
      <c r="K628" s="1550"/>
      <c r="L628" s="1382"/>
      <c r="M628" s="1333"/>
      <c r="N628" s="1333"/>
      <c r="O628" s="1333"/>
      <c r="P628" s="1533"/>
      <c r="Q628" s="1533"/>
      <c r="R628" s="1533"/>
      <c r="S628" s="1534"/>
      <c r="T628" s="1543"/>
      <c r="U628" s="1285"/>
      <c r="V628" s="1285"/>
      <c r="W628" s="1351"/>
      <c r="X628" s="1351"/>
      <c r="Y628" s="1333"/>
      <c r="Z628" s="1333"/>
      <c r="AA628" s="1333"/>
      <c r="AB628" s="1333"/>
      <c r="AC628" s="1333"/>
      <c r="AD628" s="1333"/>
      <c r="AE628" s="1333"/>
      <c r="AF628" s="1333"/>
      <c r="AG628" s="1333"/>
      <c r="AH628" s="1333"/>
      <c r="AI628" s="1333"/>
      <c r="AJ628" s="1333"/>
      <c r="AK628" s="17"/>
      <c r="AL628" s="17"/>
      <c r="AM628" s="17"/>
      <c r="AN628" s="17"/>
      <c r="AO628" s="17"/>
      <c r="AP628" s="17"/>
      <c r="AQ628" s="17"/>
      <c r="AR628" s="17"/>
      <c r="AS628" s="17"/>
      <c r="AT628" s="17"/>
      <c r="AU628" s="17"/>
      <c r="AV628" s="17"/>
      <c r="AW628" s="17"/>
      <c r="AX628" s="17"/>
      <c r="AY628" s="17"/>
    </row>
    <row r="629" spans="1:51" s="542" customFormat="1" ht="13.5" customHeight="1" x14ac:dyDescent="0.3">
      <c r="A629" s="1407"/>
      <c r="B629" s="1284"/>
      <c r="C629" s="2062"/>
      <c r="D629" s="2062"/>
      <c r="E629" s="2062"/>
      <c r="F629" s="1297"/>
      <c r="G629" s="1297"/>
      <c r="H629" s="1333"/>
      <c r="I629" s="1333"/>
      <c r="J629" s="1333"/>
      <c r="K629" s="1550"/>
      <c r="L629" s="1382"/>
      <c r="M629" s="1333"/>
      <c r="N629" s="1333"/>
      <c r="O629" s="1333"/>
      <c r="P629" s="1533"/>
      <c r="Q629" s="1533"/>
      <c r="R629" s="1533"/>
      <c r="S629" s="1534"/>
      <c r="T629" s="1543"/>
      <c r="U629" s="1285"/>
      <c r="V629" s="1285"/>
      <c r="W629" s="1351"/>
      <c r="X629" s="1351"/>
      <c r="Y629" s="1333"/>
      <c r="Z629" s="1333"/>
      <c r="AA629" s="1333"/>
      <c r="AB629" s="1333"/>
      <c r="AC629" s="1333"/>
      <c r="AD629" s="1333"/>
      <c r="AE629" s="1333"/>
      <c r="AF629" s="1333"/>
      <c r="AG629" s="1333"/>
      <c r="AH629" s="1333"/>
      <c r="AI629" s="1333"/>
      <c r="AJ629" s="1333"/>
      <c r="AK629" s="17"/>
      <c r="AL629" s="17"/>
      <c r="AM629" s="17"/>
      <c r="AN629" s="17"/>
      <c r="AO629" s="17"/>
      <c r="AP629" s="17"/>
      <c r="AQ629" s="17"/>
      <c r="AR629" s="17"/>
      <c r="AS629" s="17"/>
      <c r="AT629" s="17"/>
      <c r="AU629" s="17"/>
      <c r="AV629" s="17"/>
      <c r="AW629" s="17"/>
      <c r="AX629" s="17"/>
      <c r="AY629" s="17"/>
    </row>
    <row r="630" spans="1:51" s="542" customFormat="1" ht="13.5" customHeight="1" x14ac:dyDescent="0.3">
      <c r="A630" s="1407"/>
      <c r="B630" s="1284"/>
      <c r="C630" s="2062"/>
      <c r="D630" s="2062"/>
      <c r="E630" s="2062"/>
      <c r="F630" s="1297"/>
      <c r="G630" s="1297"/>
      <c r="H630" s="1333"/>
      <c r="I630" s="1333"/>
      <c r="J630" s="1333"/>
      <c r="K630" s="1550"/>
      <c r="L630" s="1382"/>
      <c r="M630" s="1333"/>
      <c r="N630" s="1333"/>
      <c r="O630" s="1333"/>
      <c r="P630" s="1533"/>
      <c r="Q630" s="1533"/>
      <c r="R630" s="1533"/>
      <c r="S630" s="1534"/>
      <c r="T630" s="1543"/>
      <c r="U630" s="1285"/>
      <c r="V630" s="1285"/>
      <c r="W630" s="1351"/>
      <c r="X630" s="1351"/>
      <c r="Y630" s="1333"/>
      <c r="Z630" s="1333"/>
      <c r="AA630" s="1333"/>
      <c r="AB630" s="1333"/>
      <c r="AC630" s="1333"/>
      <c r="AD630" s="1333"/>
      <c r="AE630" s="1333"/>
      <c r="AF630" s="1333"/>
      <c r="AG630" s="1333"/>
      <c r="AH630" s="1333"/>
      <c r="AI630" s="1333"/>
      <c r="AJ630" s="1333"/>
      <c r="AK630" s="17"/>
      <c r="AL630" s="17"/>
      <c r="AM630" s="17"/>
      <c r="AN630" s="17"/>
      <c r="AO630" s="17"/>
      <c r="AP630" s="17"/>
      <c r="AQ630" s="17"/>
      <c r="AR630" s="17"/>
      <c r="AS630" s="17"/>
      <c r="AT630" s="17"/>
      <c r="AU630" s="17"/>
      <c r="AV630" s="17"/>
      <c r="AW630" s="17"/>
      <c r="AX630" s="17"/>
      <c r="AY630" s="17"/>
    </row>
    <row r="631" spans="1:51" s="542" customFormat="1" ht="13.5" customHeight="1" x14ac:dyDescent="0.3">
      <c r="A631" s="1407"/>
      <c r="B631" s="1284"/>
      <c r="C631" s="2062"/>
      <c r="D631" s="2062"/>
      <c r="E631" s="2062"/>
      <c r="F631" s="1297"/>
      <c r="G631" s="1297"/>
      <c r="H631" s="1333"/>
      <c r="I631" s="1333"/>
      <c r="J631" s="1333"/>
      <c r="K631" s="1550"/>
      <c r="L631" s="1382"/>
      <c r="M631" s="1333"/>
      <c r="N631" s="1333"/>
      <c r="O631" s="1333"/>
      <c r="P631" s="1533"/>
      <c r="Q631" s="1533"/>
      <c r="R631" s="1533"/>
      <c r="S631" s="1534"/>
      <c r="T631" s="1543"/>
      <c r="U631" s="1285"/>
      <c r="V631" s="1285"/>
      <c r="W631" s="1351"/>
      <c r="X631" s="1351"/>
      <c r="Y631" s="1333"/>
      <c r="Z631" s="1333"/>
      <c r="AA631" s="1333"/>
      <c r="AB631" s="1333"/>
      <c r="AC631" s="1333"/>
      <c r="AD631" s="1333"/>
      <c r="AE631" s="1333"/>
      <c r="AF631" s="1333"/>
      <c r="AG631" s="1333"/>
      <c r="AH631" s="1333"/>
      <c r="AI631" s="1333"/>
      <c r="AJ631" s="1333"/>
      <c r="AK631" s="17"/>
      <c r="AL631" s="17"/>
      <c r="AM631" s="17"/>
      <c r="AN631" s="17"/>
      <c r="AO631" s="17"/>
      <c r="AP631" s="17"/>
      <c r="AQ631" s="17"/>
      <c r="AR631" s="17"/>
      <c r="AS631" s="17"/>
      <c r="AT631" s="17"/>
      <c r="AU631" s="17"/>
      <c r="AV631" s="17"/>
      <c r="AW631" s="17"/>
      <c r="AX631" s="17"/>
      <c r="AY631" s="17"/>
    </row>
    <row r="632" spans="1:51" s="542" customFormat="1" ht="13.5" customHeight="1" x14ac:dyDescent="0.3">
      <c r="A632" s="1407"/>
      <c r="B632" s="1284"/>
      <c r="C632" s="2062"/>
      <c r="D632" s="2062"/>
      <c r="E632" s="2062"/>
      <c r="F632" s="1297"/>
      <c r="G632" s="1297"/>
      <c r="H632" s="1333"/>
      <c r="I632" s="1333"/>
      <c r="J632" s="1333"/>
      <c r="K632" s="1550"/>
      <c r="L632" s="1382"/>
      <c r="M632" s="1333"/>
      <c r="N632" s="1333"/>
      <c r="O632" s="1333"/>
      <c r="P632" s="1533"/>
      <c r="Q632" s="1533"/>
      <c r="R632" s="1533"/>
      <c r="S632" s="1534"/>
      <c r="T632" s="1543"/>
      <c r="U632" s="1285"/>
      <c r="V632" s="1285"/>
      <c r="W632" s="1351"/>
      <c r="X632" s="1351"/>
      <c r="Y632" s="1333"/>
      <c r="Z632" s="1333"/>
      <c r="AA632" s="1333"/>
      <c r="AB632" s="1333"/>
      <c r="AC632" s="1333"/>
      <c r="AD632" s="1333"/>
      <c r="AE632" s="1333"/>
      <c r="AF632" s="1333"/>
      <c r="AG632" s="1333"/>
      <c r="AH632" s="1333"/>
      <c r="AI632" s="1333"/>
      <c r="AJ632" s="1333"/>
      <c r="AK632" s="17"/>
      <c r="AL632" s="17"/>
      <c r="AM632" s="17"/>
      <c r="AN632" s="17"/>
      <c r="AO632" s="17"/>
      <c r="AP632" s="17"/>
      <c r="AQ632" s="17"/>
      <c r="AR632" s="17"/>
      <c r="AS632" s="17"/>
      <c r="AT632" s="17"/>
      <c r="AU632" s="17"/>
      <c r="AV632" s="17"/>
      <c r="AW632" s="17"/>
      <c r="AX632" s="17"/>
      <c r="AY632" s="17"/>
    </row>
    <row r="633" spans="1:51" s="542" customFormat="1" ht="13.5" customHeight="1" x14ac:dyDescent="0.3">
      <c r="A633" s="1407"/>
      <c r="B633" s="1284"/>
      <c r="C633" s="2062"/>
      <c r="D633" s="2062"/>
      <c r="E633" s="2062"/>
      <c r="F633" s="1297"/>
      <c r="G633" s="1297"/>
      <c r="H633" s="1333"/>
      <c r="I633" s="1333"/>
      <c r="J633" s="1333"/>
      <c r="K633" s="1550"/>
      <c r="L633" s="1382"/>
      <c r="M633" s="1333"/>
      <c r="N633" s="1333"/>
      <c r="O633" s="1333"/>
      <c r="P633" s="1533"/>
      <c r="Q633" s="1533"/>
      <c r="R633" s="1533"/>
      <c r="S633" s="1534"/>
      <c r="T633" s="1543"/>
      <c r="U633" s="1285"/>
      <c r="V633" s="1285"/>
      <c r="W633" s="1351"/>
      <c r="X633" s="1351"/>
      <c r="Y633" s="1333"/>
      <c r="Z633" s="1333"/>
      <c r="AA633" s="1333"/>
      <c r="AB633" s="1333"/>
      <c r="AC633" s="1333"/>
      <c r="AD633" s="1333"/>
      <c r="AE633" s="1333"/>
      <c r="AF633" s="1333"/>
      <c r="AG633" s="1333"/>
      <c r="AH633" s="1333"/>
      <c r="AI633" s="1333"/>
      <c r="AJ633" s="1333"/>
      <c r="AK633" s="17"/>
      <c r="AL633" s="17"/>
      <c r="AM633" s="17"/>
      <c r="AN633" s="17"/>
      <c r="AO633" s="17"/>
      <c r="AP633" s="17"/>
      <c r="AQ633" s="17"/>
      <c r="AR633" s="17"/>
      <c r="AS633" s="17"/>
      <c r="AT633" s="17"/>
      <c r="AU633" s="17"/>
      <c r="AV633" s="17"/>
      <c r="AW633" s="17"/>
      <c r="AX633" s="17"/>
      <c r="AY633" s="17"/>
    </row>
    <row r="634" spans="1:51" s="542" customFormat="1" ht="13.5" customHeight="1" x14ac:dyDescent="0.3">
      <c r="A634" s="1407"/>
      <c r="B634" s="1284"/>
      <c r="C634" s="2062"/>
      <c r="D634" s="2062"/>
      <c r="E634" s="2062"/>
      <c r="F634" s="1297"/>
      <c r="G634" s="1297"/>
      <c r="H634" s="1333"/>
      <c r="I634" s="1333"/>
      <c r="J634" s="1333"/>
      <c r="K634" s="1550"/>
      <c r="L634" s="1382"/>
      <c r="M634" s="1333"/>
      <c r="N634" s="1333"/>
      <c r="O634" s="1333"/>
      <c r="P634" s="1533"/>
      <c r="Q634" s="1533"/>
      <c r="R634" s="1533"/>
      <c r="S634" s="1534"/>
      <c r="T634" s="1543"/>
      <c r="U634" s="1285"/>
      <c r="V634" s="1285"/>
      <c r="W634" s="1351"/>
      <c r="X634" s="1351"/>
      <c r="Y634" s="1333"/>
      <c r="Z634" s="1333"/>
      <c r="AA634" s="1333"/>
      <c r="AB634" s="1333"/>
      <c r="AC634" s="1333"/>
      <c r="AD634" s="1333"/>
      <c r="AE634" s="1333"/>
      <c r="AF634" s="1333"/>
      <c r="AG634" s="1333"/>
      <c r="AH634" s="1333"/>
      <c r="AI634" s="1333"/>
      <c r="AJ634" s="1333"/>
      <c r="AK634" s="17"/>
      <c r="AL634" s="17"/>
      <c r="AM634" s="17"/>
      <c r="AN634" s="17"/>
      <c r="AO634" s="17"/>
      <c r="AP634" s="17"/>
      <c r="AQ634" s="17"/>
      <c r="AR634" s="17"/>
      <c r="AS634" s="17"/>
      <c r="AT634" s="17"/>
      <c r="AU634" s="17"/>
      <c r="AV634" s="17"/>
      <c r="AW634" s="17"/>
      <c r="AX634" s="17"/>
      <c r="AY634" s="17"/>
    </row>
    <row r="635" spans="1:51" ht="18.75" x14ac:dyDescent="0.3">
      <c r="A635" s="1407"/>
      <c r="B635" s="1284"/>
      <c r="C635" s="1284"/>
      <c r="D635" s="1364"/>
      <c r="E635" s="1364"/>
      <c r="F635" s="1364"/>
      <c r="G635" s="1365"/>
      <c r="H635" s="1333"/>
      <c r="I635" s="1333"/>
      <c r="J635" s="1333"/>
      <c r="K635" s="1550"/>
      <c r="L635" s="1382"/>
      <c r="M635" s="1333"/>
      <c r="N635" s="1333"/>
      <c r="O635" s="1333"/>
      <c r="P635" s="1351"/>
      <c r="Q635" s="1351"/>
      <c r="R635" s="1530"/>
      <c r="S635" s="1344"/>
      <c r="T635" s="1285"/>
      <c r="U635" s="1351"/>
      <c r="V635" s="1351"/>
      <c r="W635" s="1351"/>
      <c r="X635" s="1351"/>
      <c r="Y635" s="1333"/>
      <c r="Z635" s="1333"/>
      <c r="AA635" s="1333"/>
      <c r="AB635" s="1333"/>
      <c r="AC635" s="1333"/>
      <c r="AD635" s="1333"/>
      <c r="AE635" s="1333"/>
      <c r="AF635" s="1333"/>
      <c r="AG635" s="1333"/>
      <c r="AH635" s="1333"/>
      <c r="AI635" s="1333"/>
      <c r="AJ635" s="1333"/>
    </row>
    <row r="636" spans="1:51" ht="18.75" x14ac:dyDescent="0.3">
      <c r="A636" s="1407"/>
      <c r="B636" s="1284"/>
      <c r="C636" s="1284"/>
      <c r="D636" s="1364"/>
      <c r="E636" s="1364"/>
      <c r="F636" s="1364"/>
      <c r="G636" s="1365"/>
      <c r="H636" s="1333"/>
      <c r="I636" s="1333"/>
      <c r="J636" s="1333"/>
      <c r="K636" s="1550"/>
      <c r="L636" s="1382"/>
      <c r="M636" s="1333"/>
      <c r="N636" s="1333"/>
      <c r="O636" s="1333"/>
      <c r="P636" s="1351"/>
      <c r="Q636" s="1351"/>
      <c r="R636" s="1530"/>
      <c r="S636" s="1344"/>
      <c r="T636" s="1285"/>
      <c r="U636" s="1351"/>
      <c r="V636" s="1351"/>
      <c r="W636" s="1351"/>
      <c r="X636" s="1351"/>
      <c r="Y636" s="1333"/>
      <c r="Z636" s="1333"/>
      <c r="AA636" s="1333"/>
      <c r="AB636" s="1333"/>
      <c r="AC636" s="1333"/>
      <c r="AD636" s="1333"/>
      <c r="AE636" s="1333"/>
      <c r="AF636" s="1333"/>
      <c r="AG636" s="1333"/>
      <c r="AH636" s="1333"/>
      <c r="AI636" s="1333"/>
      <c r="AJ636" s="1333"/>
    </row>
    <row r="637" spans="1:51" ht="18.75" x14ac:dyDescent="0.3">
      <c r="A637" s="1407"/>
      <c r="B637" s="1284"/>
      <c r="C637" s="1284"/>
      <c r="D637" s="1364"/>
      <c r="E637" s="1364"/>
      <c r="F637" s="1364"/>
      <c r="G637" s="1365"/>
      <c r="H637" s="1333"/>
      <c r="I637" s="1333"/>
      <c r="J637" s="1333"/>
      <c r="K637" s="1550"/>
      <c r="L637" s="1382"/>
      <c r="M637" s="1333"/>
      <c r="N637" s="1333"/>
      <c r="O637" s="1333"/>
      <c r="P637" s="1351"/>
      <c r="Q637" s="1351"/>
      <c r="R637" s="1351"/>
      <c r="S637" s="1546"/>
      <c r="T637" s="1285"/>
      <c r="U637" s="1351"/>
      <c r="V637" s="1351"/>
      <c r="W637" s="1351"/>
      <c r="X637" s="1351"/>
      <c r="Y637" s="1333"/>
      <c r="Z637" s="1333"/>
      <c r="AA637" s="1333"/>
      <c r="AB637" s="1333"/>
      <c r="AC637" s="1333"/>
      <c r="AD637" s="1333"/>
      <c r="AE637" s="1333"/>
      <c r="AF637" s="1333"/>
      <c r="AG637" s="1333"/>
      <c r="AH637" s="1333"/>
      <c r="AI637" s="1333"/>
      <c r="AJ637" s="1333"/>
    </row>
    <row r="638" spans="1:51" ht="18.75" x14ac:dyDescent="0.3">
      <c r="A638" s="1407"/>
      <c r="B638" s="1284"/>
      <c r="C638" s="1284"/>
      <c r="D638" s="1364"/>
      <c r="E638" s="1364"/>
      <c r="F638" s="1364"/>
      <c r="G638" s="1365"/>
      <c r="H638" s="1333"/>
      <c r="I638" s="1333"/>
      <c r="J638" s="1333"/>
      <c r="K638" s="1550"/>
      <c r="L638" s="1382"/>
      <c r="M638" s="1333"/>
      <c r="N638" s="1333"/>
      <c r="O638" s="1333"/>
      <c r="P638" s="1351"/>
      <c r="Q638" s="1351"/>
      <c r="R638" s="1351"/>
      <c r="S638" s="1546"/>
      <c r="T638" s="1285"/>
      <c r="U638" s="1351"/>
      <c r="V638" s="1351"/>
      <c r="W638" s="1351"/>
      <c r="X638" s="1351"/>
      <c r="Y638" s="1333"/>
      <c r="Z638" s="1333"/>
      <c r="AA638" s="1333"/>
      <c r="AB638" s="1333"/>
      <c r="AC638" s="1333"/>
      <c r="AD638" s="1333"/>
      <c r="AE638" s="1333"/>
      <c r="AF638" s="1333"/>
      <c r="AG638" s="1333"/>
      <c r="AH638" s="1333"/>
      <c r="AI638" s="1333"/>
      <c r="AJ638" s="1333"/>
    </row>
    <row r="639" spans="1:51" ht="18.75" x14ac:dyDescent="0.3">
      <c r="A639" s="1407"/>
      <c r="B639" s="1284"/>
      <c r="C639" s="1284"/>
      <c r="D639" s="1364"/>
      <c r="E639" s="1364"/>
      <c r="F639" s="1364"/>
      <c r="G639" s="1365"/>
      <c r="H639" s="1333"/>
      <c r="I639" s="1333"/>
      <c r="J639" s="1333"/>
      <c r="K639" s="1550"/>
      <c r="L639" s="1382"/>
      <c r="M639" s="1333"/>
      <c r="N639" s="1333"/>
      <c r="O639" s="1333"/>
      <c r="P639" s="1351"/>
      <c r="Q639" s="1351"/>
      <c r="R639" s="1351"/>
      <c r="S639" s="1546"/>
      <c r="T639" s="1285"/>
      <c r="U639" s="1351"/>
      <c r="V639" s="1351"/>
      <c r="W639" s="1351"/>
      <c r="X639" s="1351"/>
      <c r="Y639" s="1333"/>
      <c r="Z639" s="1333"/>
      <c r="AA639" s="1333"/>
      <c r="AB639" s="1333"/>
      <c r="AC639" s="1333"/>
      <c r="AD639" s="1333"/>
      <c r="AE639" s="1333"/>
      <c r="AF639" s="1333"/>
      <c r="AG639" s="1333"/>
      <c r="AH639" s="1333"/>
      <c r="AI639" s="1333"/>
      <c r="AJ639" s="1333"/>
    </row>
    <row r="640" spans="1:51" ht="18.75" x14ac:dyDescent="0.3">
      <c r="A640" s="1407"/>
      <c r="B640" s="1284"/>
      <c r="C640" s="1284"/>
      <c r="D640" s="1364"/>
      <c r="E640" s="1364"/>
      <c r="F640" s="1364"/>
      <c r="G640" s="1365"/>
      <c r="H640" s="1333"/>
      <c r="I640" s="1333"/>
      <c r="J640" s="1333"/>
      <c r="K640" s="1550"/>
      <c r="L640" s="1382"/>
      <c r="M640" s="1333"/>
      <c r="N640" s="1333"/>
      <c r="O640" s="1333"/>
      <c r="P640" s="1351"/>
      <c r="Q640" s="1351"/>
      <c r="R640" s="1351"/>
      <c r="S640" s="1546"/>
      <c r="T640" s="1285"/>
      <c r="U640" s="1351"/>
      <c r="V640" s="1351"/>
      <c r="W640" s="1351"/>
      <c r="X640" s="1351"/>
      <c r="Y640" s="1333"/>
      <c r="Z640" s="1333"/>
      <c r="AA640" s="1333"/>
      <c r="AB640" s="1333"/>
      <c r="AC640" s="1333"/>
      <c r="AD640" s="1333"/>
      <c r="AE640" s="1333"/>
      <c r="AF640" s="1333"/>
      <c r="AG640" s="1333"/>
      <c r="AH640" s="1333"/>
      <c r="AI640" s="1333"/>
      <c r="AJ640" s="1333"/>
    </row>
    <row r="641" spans="1:36" ht="18.75" x14ac:dyDescent="0.3">
      <c r="A641" s="1407"/>
      <c r="B641" s="1284"/>
      <c r="C641" s="1284"/>
      <c r="D641" s="1364"/>
      <c r="E641" s="1364"/>
      <c r="F641" s="1364"/>
      <c r="G641" s="1365"/>
      <c r="H641" s="1333"/>
      <c r="I641" s="1333"/>
      <c r="J641" s="1333"/>
      <c r="K641" s="1550"/>
      <c r="L641" s="1382"/>
      <c r="M641" s="1333"/>
      <c r="N641" s="1333"/>
      <c r="O641" s="1333"/>
      <c r="P641" s="1351"/>
      <c r="Q641" s="1351"/>
      <c r="R641" s="1351"/>
      <c r="S641" s="1546"/>
      <c r="T641" s="1285"/>
      <c r="U641" s="1351"/>
      <c r="V641" s="1351"/>
      <c r="W641" s="1351"/>
      <c r="X641" s="1351"/>
      <c r="Y641" s="1333"/>
      <c r="Z641" s="1333"/>
      <c r="AA641" s="1333"/>
      <c r="AB641" s="1333"/>
      <c r="AC641" s="1333"/>
      <c r="AD641" s="1333"/>
      <c r="AE641" s="1333"/>
      <c r="AF641" s="1333"/>
      <c r="AG641" s="1333"/>
      <c r="AH641" s="1333"/>
      <c r="AI641" s="1333"/>
      <c r="AJ641" s="1333"/>
    </row>
    <row r="642" spans="1:36" ht="18.75" x14ac:dyDescent="0.3">
      <c r="A642" s="1407"/>
      <c r="B642" s="1284"/>
      <c r="C642" s="1284"/>
      <c r="D642" s="1364"/>
      <c r="E642" s="1364"/>
      <c r="F642" s="1364"/>
      <c r="G642" s="1365"/>
      <c r="H642" s="1333"/>
      <c r="I642" s="1333"/>
      <c r="J642" s="1333"/>
      <c r="K642" s="1550"/>
      <c r="L642" s="1382"/>
      <c r="M642" s="1333"/>
      <c r="N642" s="1333"/>
      <c r="O642" s="1333"/>
      <c r="P642" s="1351"/>
      <c r="Q642" s="1351"/>
      <c r="R642" s="1351"/>
      <c r="S642" s="1546"/>
      <c r="T642" s="1285"/>
      <c r="U642" s="1351"/>
      <c r="V642" s="1351"/>
      <c r="W642" s="1351"/>
      <c r="X642" s="1351"/>
      <c r="Y642" s="1333"/>
      <c r="Z642" s="1333"/>
      <c r="AA642" s="1333"/>
      <c r="AB642" s="1333"/>
      <c r="AC642" s="1333"/>
      <c r="AD642" s="1333"/>
      <c r="AE642" s="1333"/>
      <c r="AF642" s="1333"/>
      <c r="AG642" s="1333"/>
      <c r="AH642" s="1333"/>
      <c r="AI642" s="1333"/>
      <c r="AJ642" s="1333"/>
    </row>
    <row r="643" spans="1:36" ht="18.75" x14ac:dyDescent="0.3">
      <c r="A643" s="1407"/>
      <c r="B643" s="1284"/>
      <c r="C643" s="1284"/>
      <c r="D643" s="1364"/>
      <c r="E643" s="1364"/>
      <c r="F643" s="1364"/>
      <c r="G643" s="1365"/>
      <c r="H643" s="1333"/>
      <c r="I643" s="1333"/>
      <c r="J643" s="1333"/>
      <c r="K643" s="1550"/>
      <c r="L643" s="1382"/>
      <c r="M643" s="1333"/>
      <c r="N643" s="1333"/>
      <c r="O643" s="1333"/>
      <c r="P643" s="1351"/>
      <c r="Q643" s="1351"/>
      <c r="R643" s="1351"/>
      <c r="S643" s="1546"/>
      <c r="T643" s="1285"/>
      <c r="U643" s="1351"/>
      <c r="V643" s="1351"/>
      <c r="W643" s="1351"/>
      <c r="X643" s="1351"/>
      <c r="Y643" s="1333"/>
      <c r="Z643" s="1333"/>
      <c r="AA643" s="1333"/>
      <c r="AB643" s="1333"/>
      <c r="AC643" s="1333"/>
      <c r="AD643" s="1333"/>
      <c r="AE643" s="1333"/>
      <c r="AF643" s="1333"/>
      <c r="AG643" s="1333"/>
      <c r="AH643" s="1333"/>
      <c r="AI643" s="1333"/>
      <c r="AJ643" s="1333"/>
    </row>
    <row r="644" spans="1:36" ht="18.75" x14ac:dyDescent="0.3">
      <c r="A644" s="1407"/>
      <c r="B644" s="1284"/>
      <c r="C644" s="1284"/>
      <c r="D644" s="1364"/>
      <c r="E644" s="1364"/>
      <c r="F644" s="1364"/>
      <c r="G644" s="1365"/>
      <c r="H644" s="1333"/>
      <c r="I644" s="1333"/>
      <c r="J644" s="1333"/>
      <c r="K644" s="1550"/>
      <c r="L644" s="1382"/>
      <c r="M644" s="1333"/>
      <c r="N644" s="1333"/>
      <c r="O644" s="1333"/>
      <c r="P644" s="1351"/>
      <c r="Q644" s="1351"/>
      <c r="R644" s="1351"/>
      <c r="S644" s="1546"/>
      <c r="T644" s="1285"/>
      <c r="U644" s="1351"/>
      <c r="V644" s="1351"/>
      <c r="W644" s="1351"/>
      <c r="X644" s="1351"/>
      <c r="Y644" s="1333"/>
      <c r="Z644" s="1333"/>
      <c r="AA644" s="1333"/>
      <c r="AB644" s="1333"/>
      <c r="AC644" s="1333"/>
      <c r="AD644" s="1333"/>
      <c r="AE644" s="1333"/>
      <c r="AF644" s="1333"/>
      <c r="AG644" s="1333"/>
      <c r="AH644" s="1333"/>
      <c r="AI644" s="1333"/>
      <c r="AJ644" s="1333"/>
    </row>
    <row r="645" spans="1:36" ht="18.75" x14ac:dyDescent="0.3">
      <c r="A645" s="1407"/>
      <c r="B645" s="1284"/>
      <c r="C645" s="1284"/>
      <c r="D645" s="1364"/>
      <c r="E645" s="1364"/>
      <c r="F645" s="1364"/>
      <c r="G645" s="1365"/>
      <c r="H645" s="1333"/>
      <c r="I645" s="1333"/>
      <c r="J645" s="1333"/>
      <c r="K645" s="1550"/>
      <c r="L645" s="1382"/>
      <c r="M645" s="1333"/>
      <c r="N645" s="1333"/>
      <c r="O645" s="1333"/>
      <c r="P645" s="1351"/>
      <c r="Q645" s="1351"/>
      <c r="R645" s="1351"/>
      <c r="S645" s="1546"/>
      <c r="T645" s="1285"/>
      <c r="U645" s="1351"/>
      <c r="V645" s="1351"/>
      <c r="W645" s="1351"/>
      <c r="X645" s="1351"/>
      <c r="Y645" s="1333"/>
      <c r="Z645" s="1333"/>
      <c r="AA645" s="1333"/>
      <c r="AB645" s="1333"/>
      <c r="AC645" s="1333"/>
      <c r="AD645" s="1333"/>
      <c r="AE645" s="1333"/>
      <c r="AF645" s="1333"/>
      <c r="AG645" s="1333"/>
      <c r="AH645" s="1333"/>
      <c r="AI645" s="1333"/>
      <c r="AJ645" s="1333"/>
    </row>
    <row r="646" spans="1:36" ht="18.75" x14ac:dyDescent="0.3">
      <c r="A646" s="1407"/>
      <c r="B646" s="1284"/>
      <c r="C646" s="1284"/>
      <c r="D646" s="1364"/>
      <c r="E646" s="1364"/>
      <c r="F646" s="1364"/>
      <c r="G646" s="1365"/>
      <c r="H646" s="1333"/>
      <c r="I646" s="1333"/>
      <c r="J646" s="1333"/>
      <c r="K646" s="1550"/>
      <c r="L646" s="1382"/>
      <c r="M646" s="1333"/>
      <c r="N646" s="1333"/>
      <c r="O646" s="1333"/>
      <c r="P646" s="1351"/>
      <c r="Q646" s="1351"/>
      <c r="R646" s="1351"/>
      <c r="S646" s="1546"/>
      <c r="T646" s="1285"/>
      <c r="U646" s="1351"/>
      <c r="V646" s="1351"/>
      <c r="W646" s="1351"/>
      <c r="X646" s="1351"/>
      <c r="Y646" s="1333"/>
      <c r="Z646" s="1333"/>
      <c r="AA646" s="1333"/>
      <c r="AB646" s="1333"/>
      <c r="AC646" s="1333"/>
      <c r="AD646" s="1333"/>
      <c r="AE646" s="1333"/>
      <c r="AF646" s="1333"/>
      <c r="AG646" s="1333"/>
      <c r="AH646" s="1333"/>
      <c r="AI646" s="1333"/>
      <c r="AJ646" s="1333"/>
    </row>
    <row r="647" spans="1:36" ht="18.75" x14ac:dyDescent="0.3">
      <c r="A647" s="1407"/>
      <c r="B647" s="1284"/>
      <c r="C647" s="1284"/>
      <c r="D647" s="1364"/>
      <c r="E647" s="1364"/>
      <c r="F647" s="1364"/>
      <c r="G647" s="1365"/>
      <c r="H647" s="1333"/>
      <c r="I647" s="1333"/>
      <c r="J647" s="1333"/>
      <c r="K647" s="1550"/>
      <c r="L647" s="1382"/>
      <c r="M647" s="1333"/>
      <c r="N647" s="1333"/>
      <c r="O647" s="1333"/>
      <c r="P647" s="1351"/>
      <c r="Q647" s="1351"/>
      <c r="R647" s="1351"/>
      <c r="S647" s="1546"/>
      <c r="T647" s="1285"/>
      <c r="U647" s="1351"/>
      <c r="V647" s="1351"/>
      <c r="W647" s="1351"/>
      <c r="X647" s="1351"/>
      <c r="Y647" s="1333"/>
      <c r="Z647" s="1333"/>
      <c r="AA647" s="1333"/>
      <c r="AB647" s="1333"/>
      <c r="AC647" s="1333"/>
      <c r="AD647" s="1333"/>
      <c r="AE647" s="1333"/>
      <c r="AF647" s="1333"/>
      <c r="AG647" s="1333"/>
      <c r="AH647" s="1333"/>
      <c r="AI647" s="1333"/>
      <c r="AJ647" s="1333"/>
    </row>
    <row r="648" spans="1:36" ht="18.75" x14ac:dyDescent="0.3">
      <c r="A648" s="1407"/>
      <c r="B648" s="1284"/>
      <c r="C648" s="1284"/>
      <c r="D648" s="1364"/>
      <c r="E648" s="1364"/>
      <c r="F648" s="1364"/>
      <c r="G648" s="1365"/>
      <c r="H648" s="1333"/>
      <c r="I648" s="1333"/>
      <c r="J648" s="1333"/>
      <c r="K648" s="1550"/>
      <c r="L648" s="1382"/>
      <c r="M648" s="1333"/>
      <c r="N648" s="1333"/>
      <c r="O648" s="1333"/>
      <c r="P648" s="1351"/>
      <c r="Q648" s="1351"/>
      <c r="R648" s="1351"/>
      <c r="S648" s="1546"/>
      <c r="T648" s="1285"/>
      <c r="U648" s="1351"/>
      <c r="V648" s="1351"/>
      <c r="W648" s="1351"/>
      <c r="X648" s="1351"/>
      <c r="Y648" s="1333"/>
      <c r="Z648" s="1333"/>
      <c r="AA648" s="1333"/>
      <c r="AB648" s="1333"/>
      <c r="AC648" s="1333"/>
      <c r="AD648" s="1333"/>
      <c r="AE648" s="1333"/>
      <c r="AF648" s="1333"/>
      <c r="AG648" s="1333"/>
      <c r="AH648" s="1333"/>
      <c r="AI648" s="1333"/>
      <c r="AJ648" s="1333"/>
    </row>
    <row r="649" spans="1:36" ht="18.75" x14ac:dyDescent="0.3">
      <c r="A649" s="1407"/>
      <c r="B649" s="1284"/>
      <c r="C649" s="1284"/>
      <c r="D649" s="1364"/>
      <c r="E649" s="1364"/>
      <c r="F649" s="1364"/>
      <c r="G649" s="1365"/>
      <c r="H649" s="1333"/>
      <c r="I649" s="1333"/>
      <c r="J649" s="1333"/>
      <c r="K649" s="1550"/>
      <c r="L649" s="1382"/>
      <c r="M649" s="1333"/>
      <c r="N649" s="1333"/>
      <c r="O649" s="1333"/>
      <c r="P649" s="1351"/>
      <c r="Q649" s="1351"/>
      <c r="R649" s="1351"/>
      <c r="S649" s="1546"/>
      <c r="T649" s="1285"/>
      <c r="U649" s="1351"/>
      <c r="V649" s="1351"/>
      <c r="W649" s="1351"/>
      <c r="X649" s="1351"/>
      <c r="Y649" s="1333"/>
      <c r="Z649" s="1333"/>
      <c r="AA649" s="1333"/>
      <c r="AB649" s="1333"/>
      <c r="AC649" s="1333"/>
      <c r="AD649" s="1333"/>
      <c r="AE649" s="1333"/>
      <c r="AF649" s="1333"/>
      <c r="AG649" s="1333"/>
      <c r="AH649" s="1333"/>
      <c r="AI649" s="1333"/>
      <c r="AJ649" s="1333"/>
    </row>
    <row r="650" spans="1:36" ht="18.75" x14ac:dyDescent="0.3">
      <c r="A650" s="1407"/>
      <c r="B650" s="1284"/>
      <c r="C650" s="1284"/>
      <c r="D650" s="1364"/>
      <c r="E650" s="1364"/>
      <c r="F650" s="1364"/>
      <c r="G650" s="1365"/>
      <c r="H650" s="1333"/>
      <c r="I650" s="1333"/>
      <c r="J650" s="1333"/>
      <c r="K650" s="1550"/>
      <c r="L650" s="1382"/>
      <c r="M650" s="1333"/>
      <c r="N650" s="1333"/>
      <c r="O650" s="1333"/>
      <c r="P650" s="1351"/>
      <c r="Q650" s="1351"/>
      <c r="R650" s="1351"/>
      <c r="S650" s="1546"/>
      <c r="T650" s="1285"/>
      <c r="U650" s="1351"/>
      <c r="V650" s="1351"/>
      <c r="W650" s="1351"/>
      <c r="X650" s="1351"/>
      <c r="Y650" s="1333"/>
      <c r="Z650" s="1333"/>
      <c r="AA650" s="1333"/>
      <c r="AB650" s="1333"/>
      <c r="AC650" s="1333"/>
      <c r="AD650" s="1333"/>
      <c r="AE650" s="1333"/>
      <c r="AF650" s="1333"/>
      <c r="AG650" s="1333"/>
      <c r="AH650" s="1333"/>
      <c r="AI650" s="1333"/>
      <c r="AJ650" s="1333"/>
    </row>
    <row r="651" spans="1:36" ht="18.75" x14ac:dyDescent="0.3">
      <c r="A651" s="1407"/>
      <c r="B651" s="1284"/>
      <c r="C651" s="1284"/>
      <c r="D651" s="1364"/>
      <c r="E651" s="1364"/>
      <c r="F651" s="1364"/>
      <c r="G651" s="1365"/>
      <c r="H651" s="1333"/>
      <c r="I651" s="1333"/>
      <c r="J651" s="1333"/>
      <c r="K651" s="1550"/>
      <c r="L651" s="1382"/>
      <c r="M651" s="1333"/>
      <c r="N651" s="1333"/>
      <c r="O651" s="1333"/>
      <c r="P651" s="1351"/>
      <c r="Q651" s="1351"/>
      <c r="R651" s="1351"/>
      <c r="S651" s="1546"/>
      <c r="T651" s="1285"/>
      <c r="U651" s="1351"/>
      <c r="V651" s="1351"/>
      <c r="W651" s="1351"/>
      <c r="X651" s="1351"/>
      <c r="Y651" s="1333"/>
      <c r="Z651" s="1333"/>
      <c r="AA651" s="1333"/>
      <c r="AB651" s="1333"/>
      <c r="AC651" s="1333"/>
      <c r="AD651" s="1333"/>
      <c r="AE651" s="1333"/>
      <c r="AF651" s="1333"/>
      <c r="AG651" s="1333"/>
      <c r="AH651" s="1333"/>
      <c r="AI651" s="1333"/>
      <c r="AJ651" s="1333"/>
    </row>
    <row r="652" spans="1:36" ht="18.75" x14ac:dyDescent="0.3">
      <c r="A652" s="1407"/>
      <c r="B652" s="1284"/>
      <c r="C652" s="1284"/>
      <c r="D652" s="1364"/>
      <c r="E652" s="1364"/>
      <c r="F652" s="1364"/>
      <c r="G652" s="1365"/>
      <c r="H652" s="1333"/>
      <c r="I652" s="1333"/>
      <c r="J652" s="1333"/>
      <c r="K652" s="1550"/>
      <c r="L652" s="1382"/>
      <c r="M652" s="1333"/>
      <c r="N652" s="1333"/>
      <c r="O652" s="1333"/>
      <c r="P652" s="1351"/>
      <c r="Q652" s="1351"/>
      <c r="R652" s="1351"/>
      <c r="S652" s="1546"/>
      <c r="T652" s="1285"/>
      <c r="U652" s="1351"/>
      <c r="V652" s="1351"/>
      <c r="W652" s="1351"/>
      <c r="X652" s="1351"/>
      <c r="Y652" s="1333"/>
      <c r="Z652" s="1333"/>
      <c r="AA652" s="1333"/>
      <c r="AB652" s="1333"/>
      <c r="AC652" s="1333"/>
      <c r="AD652" s="1333"/>
      <c r="AE652" s="1333"/>
      <c r="AF652" s="1333"/>
      <c r="AG652" s="1333"/>
      <c r="AH652" s="1333"/>
      <c r="AI652" s="1333"/>
      <c r="AJ652" s="1333"/>
    </row>
    <row r="653" spans="1:36" ht="18.75" x14ac:dyDescent="0.3">
      <c r="A653" s="1407"/>
      <c r="B653" s="1284"/>
      <c r="C653" s="1284"/>
      <c r="D653" s="1364"/>
      <c r="E653" s="1364"/>
      <c r="F653" s="1364"/>
      <c r="G653" s="1365"/>
      <c r="H653" s="1333"/>
      <c r="I653" s="1333"/>
      <c r="J653" s="1333"/>
      <c r="K653" s="1550"/>
      <c r="L653" s="1382"/>
      <c r="M653" s="1333"/>
      <c r="N653" s="1333"/>
      <c r="O653" s="1333"/>
      <c r="P653" s="1351"/>
      <c r="Q653" s="1351"/>
      <c r="R653" s="1351"/>
      <c r="S653" s="1546"/>
      <c r="T653" s="1285"/>
      <c r="U653" s="1351"/>
      <c r="V653" s="1351"/>
      <c r="W653" s="1351"/>
      <c r="X653" s="1351"/>
      <c r="Y653" s="1333"/>
      <c r="Z653" s="1333"/>
      <c r="AA653" s="1333"/>
      <c r="AB653" s="1333"/>
      <c r="AC653" s="1333"/>
      <c r="AD653" s="1333"/>
      <c r="AE653" s="1333"/>
      <c r="AF653" s="1333"/>
      <c r="AG653" s="1333"/>
      <c r="AH653" s="1333"/>
      <c r="AI653" s="1333"/>
      <c r="AJ653" s="1333"/>
    </row>
    <row r="654" spans="1:36" ht="18.75" x14ac:dyDescent="0.3">
      <c r="A654" s="1407"/>
      <c r="B654" s="1284"/>
      <c r="C654" s="1284"/>
      <c r="D654" s="1364"/>
      <c r="E654" s="1364"/>
      <c r="F654" s="1364"/>
      <c r="G654" s="1365"/>
      <c r="H654" s="1333"/>
      <c r="I654" s="1333"/>
      <c r="J654" s="1333"/>
      <c r="K654" s="1550"/>
      <c r="L654" s="1382"/>
      <c r="M654" s="1333"/>
      <c r="N654" s="1333"/>
      <c r="O654" s="1333"/>
      <c r="P654" s="1351"/>
      <c r="Q654" s="1351"/>
      <c r="R654" s="1351"/>
      <c r="S654" s="1546"/>
      <c r="T654" s="1285"/>
      <c r="U654" s="1351"/>
      <c r="V654" s="1351"/>
      <c r="W654" s="1351"/>
      <c r="X654" s="1351"/>
      <c r="Y654" s="1333"/>
      <c r="Z654" s="1333"/>
      <c r="AA654" s="1333"/>
      <c r="AB654" s="1333"/>
      <c r="AC654" s="1333"/>
      <c r="AD654" s="1333"/>
      <c r="AE654" s="1333"/>
      <c r="AF654" s="1333"/>
      <c r="AG654" s="1333"/>
      <c r="AH654" s="1333"/>
      <c r="AI654" s="1333"/>
      <c r="AJ654" s="1333"/>
    </row>
    <row r="655" spans="1:36" ht="18.75" x14ac:dyDescent="0.3">
      <c r="A655" s="1407"/>
      <c r="B655" s="1284"/>
      <c r="C655" s="1284"/>
      <c r="D655" s="1364"/>
      <c r="E655" s="1364"/>
      <c r="F655" s="1364"/>
      <c r="G655" s="1365"/>
      <c r="H655" s="1333"/>
      <c r="I655" s="1333"/>
      <c r="J655" s="1333"/>
      <c r="K655" s="1550"/>
      <c r="L655" s="1382"/>
      <c r="M655" s="1333"/>
      <c r="N655" s="1333"/>
      <c r="O655" s="1333"/>
      <c r="P655" s="1351"/>
      <c r="Q655" s="1351"/>
      <c r="R655" s="1351"/>
      <c r="S655" s="1546"/>
      <c r="T655" s="1285"/>
      <c r="U655" s="1351"/>
      <c r="V655" s="1351"/>
      <c r="W655" s="1351"/>
      <c r="X655" s="1351"/>
      <c r="Y655" s="1333"/>
      <c r="Z655" s="1333"/>
      <c r="AA655" s="1333"/>
      <c r="AB655" s="1333"/>
      <c r="AC655" s="1333"/>
      <c r="AD655" s="1333"/>
      <c r="AE655" s="1333"/>
      <c r="AF655" s="1333"/>
      <c r="AG655" s="1333"/>
      <c r="AH655" s="1333"/>
      <c r="AI655" s="1333"/>
      <c r="AJ655" s="1333"/>
    </row>
    <row r="656" spans="1:36" ht="18.75" x14ac:dyDescent="0.3">
      <c r="A656" s="1407"/>
      <c r="B656" s="1284"/>
      <c r="C656" s="1284"/>
      <c r="D656" s="1364"/>
      <c r="E656" s="1364"/>
      <c r="F656" s="1364"/>
      <c r="G656" s="1365"/>
      <c r="H656" s="1333"/>
      <c r="I656" s="1333"/>
      <c r="J656" s="1333"/>
      <c r="K656" s="1550"/>
      <c r="L656" s="1382"/>
      <c r="M656" s="1333"/>
      <c r="N656" s="1333"/>
      <c r="O656" s="1333"/>
      <c r="P656" s="1351"/>
      <c r="Q656" s="1351"/>
      <c r="R656" s="1351"/>
      <c r="S656" s="1546"/>
      <c r="T656" s="1285"/>
      <c r="U656" s="1351"/>
      <c r="V656" s="1351"/>
      <c r="W656" s="1351"/>
      <c r="X656" s="1351"/>
      <c r="Y656" s="1333"/>
      <c r="Z656" s="1333"/>
      <c r="AA656" s="1333"/>
      <c r="AB656" s="1333"/>
      <c r="AC656" s="1333"/>
      <c r="AD656" s="1333"/>
      <c r="AE656" s="1333"/>
      <c r="AF656" s="1333"/>
      <c r="AG656" s="1333"/>
      <c r="AH656" s="1333"/>
      <c r="AI656" s="1333"/>
      <c r="AJ656" s="1333"/>
    </row>
    <row r="657" spans="1:36" ht="18.75" x14ac:dyDescent="0.3">
      <c r="A657" s="1407"/>
      <c r="B657" s="1284"/>
      <c r="C657" s="1284"/>
      <c r="D657" s="1364"/>
      <c r="E657" s="1364"/>
      <c r="F657" s="1364"/>
      <c r="G657" s="1365"/>
      <c r="H657" s="1333"/>
      <c r="I657" s="1333"/>
      <c r="J657" s="1333"/>
      <c r="K657" s="1550"/>
      <c r="L657" s="1382"/>
      <c r="M657" s="1333"/>
      <c r="N657" s="1333"/>
      <c r="O657" s="1333"/>
      <c r="P657" s="1351"/>
      <c r="Q657" s="1351"/>
      <c r="R657" s="1351"/>
      <c r="S657" s="1546"/>
      <c r="T657" s="1285"/>
      <c r="U657" s="1351"/>
      <c r="V657" s="1351"/>
      <c r="W657" s="1351"/>
      <c r="X657" s="1351"/>
      <c r="Y657" s="1333"/>
      <c r="Z657" s="1333"/>
      <c r="AA657" s="1333"/>
      <c r="AB657" s="1333"/>
      <c r="AC657" s="1333"/>
      <c r="AD657" s="1333"/>
      <c r="AE657" s="1333"/>
      <c r="AF657" s="1333"/>
      <c r="AG657" s="1333"/>
      <c r="AH657" s="1333"/>
      <c r="AI657" s="1333"/>
      <c r="AJ657" s="1333"/>
    </row>
    <row r="658" spans="1:36" ht="18.75" x14ac:dyDescent="0.3">
      <c r="A658" s="1407"/>
      <c r="B658" s="1284"/>
      <c r="C658" s="1284"/>
      <c r="D658" s="1364"/>
      <c r="E658" s="1364"/>
      <c r="F658" s="1364"/>
      <c r="G658" s="1365"/>
      <c r="H658" s="1333"/>
      <c r="I658" s="1333"/>
      <c r="J658" s="1333"/>
      <c r="K658" s="1550"/>
      <c r="L658" s="1382"/>
      <c r="M658" s="1333"/>
      <c r="N658" s="1333"/>
      <c r="O658" s="1333"/>
      <c r="P658" s="1351"/>
      <c r="Q658" s="1351"/>
      <c r="R658" s="1351"/>
      <c r="S658" s="1546"/>
      <c r="T658" s="1285"/>
      <c r="U658" s="1351"/>
      <c r="V658" s="1351"/>
      <c r="W658" s="1351"/>
      <c r="X658" s="1351"/>
      <c r="Y658" s="1333"/>
      <c r="Z658" s="1333"/>
      <c r="AA658" s="1333"/>
      <c r="AB658" s="1333"/>
      <c r="AC658" s="1333"/>
      <c r="AD658" s="1333"/>
      <c r="AE658" s="1333"/>
      <c r="AF658" s="1333"/>
      <c r="AG658" s="1333"/>
      <c r="AH658" s="1333"/>
      <c r="AI658" s="1333"/>
      <c r="AJ658" s="1333"/>
    </row>
    <row r="659" spans="1:36" ht="18.75" x14ac:dyDescent="0.3">
      <c r="A659" s="1407"/>
      <c r="B659" s="1284"/>
      <c r="C659" s="1284"/>
      <c r="D659" s="1364"/>
      <c r="E659" s="1364"/>
      <c r="F659" s="1364"/>
      <c r="G659" s="1365"/>
      <c r="H659" s="1333"/>
      <c r="I659" s="1333"/>
      <c r="J659" s="1333"/>
      <c r="K659" s="1550"/>
      <c r="L659" s="1382"/>
      <c r="M659" s="1333"/>
      <c r="N659" s="1333"/>
      <c r="O659" s="1333"/>
      <c r="P659" s="1351"/>
      <c r="Q659" s="1351"/>
      <c r="R659" s="1351"/>
      <c r="S659" s="1546"/>
      <c r="T659" s="1285"/>
      <c r="U659" s="1351"/>
      <c r="V659" s="1351"/>
      <c r="W659" s="1351"/>
      <c r="X659" s="1351"/>
      <c r="Y659" s="1333"/>
      <c r="Z659" s="1333"/>
      <c r="AA659" s="1333"/>
      <c r="AB659" s="1333"/>
      <c r="AC659" s="1333"/>
      <c r="AD659" s="1333"/>
      <c r="AE659" s="1333"/>
      <c r="AF659" s="1333"/>
      <c r="AG659" s="1333"/>
      <c r="AH659" s="1333"/>
      <c r="AI659" s="1333"/>
      <c r="AJ659" s="1333"/>
    </row>
    <row r="660" spans="1:36" ht="18.75" x14ac:dyDescent="0.3">
      <c r="A660" s="1407"/>
      <c r="B660" s="1284"/>
      <c r="C660" s="1284"/>
      <c r="D660" s="1364"/>
      <c r="E660" s="1364"/>
      <c r="F660" s="1364"/>
      <c r="G660" s="1365"/>
      <c r="H660" s="1333"/>
      <c r="I660" s="1333"/>
      <c r="J660" s="1333"/>
      <c r="K660" s="1550"/>
      <c r="L660" s="1382"/>
      <c r="M660" s="1333"/>
      <c r="N660" s="1333"/>
      <c r="O660" s="1333"/>
      <c r="P660" s="1351"/>
      <c r="Q660" s="1351"/>
      <c r="R660" s="1351"/>
      <c r="S660" s="1546"/>
      <c r="T660" s="1285"/>
      <c r="U660" s="1351"/>
      <c r="V660" s="1351"/>
      <c r="W660" s="1351"/>
      <c r="X660" s="1351"/>
      <c r="Y660" s="1333"/>
      <c r="Z660" s="1333"/>
      <c r="AA660" s="1333"/>
      <c r="AB660" s="1333"/>
      <c r="AC660" s="1333"/>
      <c r="AD660" s="1333"/>
      <c r="AE660" s="1333"/>
      <c r="AF660" s="1333"/>
      <c r="AG660" s="1333"/>
      <c r="AH660" s="1333"/>
      <c r="AI660" s="1333"/>
      <c r="AJ660" s="1333"/>
    </row>
    <row r="661" spans="1:36" ht="18.75" x14ac:dyDescent="0.3">
      <c r="A661" s="1407"/>
      <c r="B661" s="1284"/>
      <c r="C661" s="1284"/>
      <c r="D661" s="1364"/>
      <c r="E661" s="1364"/>
      <c r="F661" s="1364"/>
      <c r="G661" s="1365"/>
      <c r="H661" s="1333"/>
      <c r="I661" s="1333"/>
      <c r="J661" s="1333"/>
      <c r="K661" s="1550"/>
      <c r="L661" s="1382"/>
      <c r="M661" s="1333"/>
      <c r="N661" s="1333"/>
      <c r="O661" s="1333"/>
      <c r="P661" s="1351"/>
      <c r="Q661" s="1351"/>
      <c r="R661" s="1351"/>
      <c r="S661" s="1546"/>
      <c r="T661" s="1285"/>
      <c r="U661" s="1351"/>
      <c r="V661" s="1351"/>
      <c r="W661" s="1351"/>
      <c r="X661" s="1351"/>
      <c r="Y661" s="1333"/>
      <c r="Z661" s="1333"/>
      <c r="AA661" s="1333"/>
      <c r="AB661" s="1333"/>
      <c r="AC661" s="1333"/>
      <c r="AD661" s="1333"/>
      <c r="AE661" s="1333"/>
      <c r="AF661" s="1333"/>
      <c r="AG661" s="1333"/>
      <c r="AH661" s="1333"/>
      <c r="AI661" s="1333"/>
      <c r="AJ661" s="1333"/>
    </row>
    <row r="662" spans="1:36" ht="18.75" x14ac:dyDescent="0.3">
      <c r="A662" s="1407"/>
      <c r="B662" s="1284"/>
      <c r="C662" s="1284"/>
      <c r="D662" s="1364"/>
      <c r="E662" s="1364"/>
      <c r="F662" s="1364"/>
      <c r="G662" s="1365"/>
      <c r="H662" s="1333"/>
      <c r="I662" s="1333"/>
      <c r="J662" s="1333"/>
      <c r="K662" s="1550"/>
      <c r="L662" s="1382"/>
      <c r="M662" s="1333"/>
      <c r="N662" s="1333"/>
      <c r="O662" s="1333"/>
      <c r="P662" s="1351"/>
      <c r="Q662" s="1351"/>
      <c r="R662" s="1351"/>
      <c r="S662" s="1546"/>
      <c r="T662" s="1285"/>
      <c r="U662" s="1351"/>
      <c r="V662" s="1351"/>
      <c r="W662" s="1351"/>
      <c r="X662" s="1351"/>
      <c r="Y662" s="1333"/>
      <c r="Z662" s="1333"/>
      <c r="AA662" s="1333"/>
      <c r="AB662" s="1333"/>
      <c r="AC662" s="1333"/>
      <c r="AD662" s="1333"/>
      <c r="AE662" s="1333"/>
      <c r="AF662" s="1333"/>
      <c r="AG662" s="1333"/>
      <c r="AH662" s="1333"/>
      <c r="AI662" s="1333"/>
      <c r="AJ662" s="1333"/>
    </row>
    <row r="663" spans="1:36" ht="18.75" x14ac:dyDescent="0.3">
      <c r="A663" s="1407"/>
      <c r="B663" s="1284"/>
      <c r="C663" s="1284"/>
      <c r="D663" s="1364"/>
      <c r="E663" s="1364"/>
      <c r="F663" s="1364"/>
      <c r="G663" s="1365"/>
      <c r="H663" s="1333"/>
      <c r="I663" s="1333"/>
      <c r="J663" s="1333"/>
      <c r="K663" s="1550"/>
      <c r="L663" s="1382"/>
      <c r="M663" s="1333"/>
      <c r="N663" s="1333"/>
      <c r="O663" s="1333"/>
      <c r="P663" s="1351"/>
      <c r="Q663" s="1351"/>
      <c r="R663" s="1351"/>
      <c r="S663" s="1546"/>
      <c r="T663" s="1285"/>
      <c r="U663" s="1351"/>
      <c r="V663" s="1351"/>
      <c r="W663" s="1351"/>
      <c r="X663" s="1351"/>
      <c r="Y663" s="1333"/>
      <c r="Z663" s="1333"/>
      <c r="AA663" s="1333"/>
      <c r="AB663" s="1333"/>
      <c r="AC663" s="1333"/>
      <c r="AD663" s="1333"/>
      <c r="AE663" s="1333"/>
      <c r="AF663" s="1333"/>
      <c r="AG663" s="1333"/>
      <c r="AH663" s="1333"/>
      <c r="AI663" s="1333"/>
      <c r="AJ663" s="1333"/>
    </row>
    <row r="664" spans="1:36" ht="18.75" x14ac:dyDescent="0.3">
      <c r="A664" s="1407"/>
      <c r="B664" s="1284"/>
      <c r="C664" s="1284"/>
      <c r="D664" s="1364"/>
      <c r="E664" s="1364"/>
      <c r="F664" s="1364"/>
      <c r="G664" s="1365"/>
      <c r="H664" s="1333"/>
      <c r="I664" s="1333"/>
      <c r="J664" s="1333"/>
      <c r="K664" s="1550"/>
      <c r="L664" s="1382"/>
      <c r="M664" s="1333"/>
      <c r="N664" s="1333"/>
      <c r="O664" s="1333"/>
      <c r="P664" s="1351"/>
      <c r="Q664" s="1351"/>
      <c r="R664" s="1351"/>
      <c r="S664" s="1546"/>
      <c r="T664" s="1285"/>
      <c r="U664" s="1351"/>
      <c r="V664" s="1351"/>
      <c r="W664" s="1351"/>
      <c r="X664" s="1351"/>
      <c r="Y664" s="1333"/>
      <c r="Z664" s="1333"/>
      <c r="AA664" s="1333"/>
      <c r="AB664" s="1333"/>
      <c r="AC664" s="1333"/>
      <c r="AD664" s="1333"/>
      <c r="AE664" s="1333"/>
      <c r="AF664" s="1333"/>
      <c r="AG664" s="1333"/>
      <c r="AH664" s="1333"/>
      <c r="AI664" s="1333"/>
      <c r="AJ664" s="1333"/>
    </row>
    <row r="665" spans="1:36" ht="18.75" x14ac:dyDescent="0.3">
      <c r="A665" s="1407"/>
      <c r="B665" s="1284"/>
      <c r="C665" s="1284"/>
      <c r="D665" s="1364"/>
      <c r="E665" s="1364"/>
      <c r="F665" s="1364"/>
      <c r="G665" s="1365"/>
      <c r="H665" s="1333"/>
      <c r="I665" s="1333"/>
      <c r="J665" s="1333"/>
      <c r="K665" s="1550"/>
      <c r="L665" s="1382"/>
      <c r="M665" s="1333"/>
      <c r="N665" s="1333"/>
      <c r="O665" s="1333"/>
      <c r="P665" s="1351"/>
      <c r="Q665" s="1351"/>
      <c r="R665" s="1351"/>
      <c r="S665" s="1546"/>
      <c r="T665" s="1285"/>
      <c r="U665" s="1351"/>
      <c r="V665" s="1351"/>
      <c r="W665" s="1351"/>
      <c r="X665" s="1351"/>
      <c r="Y665" s="1333"/>
      <c r="Z665" s="1333"/>
      <c r="AA665" s="1333"/>
      <c r="AB665" s="1333"/>
      <c r="AC665" s="1333"/>
      <c r="AD665" s="1333"/>
      <c r="AE665" s="1333"/>
      <c r="AF665" s="1333"/>
      <c r="AG665" s="1333"/>
      <c r="AH665" s="1333"/>
      <c r="AI665" s="1333"/>
      <c r="AJ665" s="1333"/>
    </row>
    <row r="666" spans="1:36" ht="18.75" x14ac:dyDescent="0.3">
      <c r="A666" s="1407"/>
      <c r="B666" s="1284"/>
      <c r="C666" s="1284"/>
      <c r="D666" s="1364"/>
      <c r="E666" s="1364"/>
      <c r="F666" s="1364"/>
      <c r="G666" s="1365"/>
      <c r="H666" s="1333"/>
      <c r="I666" s="1333"/>
      <c r="J666" s="1333"/>
      <c r="K666" s="1550"/>
      <c r="L666" s="1382"/>
      <c r="M666" s="1333"/>
      <c r="N666" s="1333"/>
      <c r="O666" s="1333"/>
      <c r="P666" s="1351"/>
      <c r="Q666" s="1351"/>
      <c r="R666" s="1351"/>
      <c r="S666" s="1546"/>
      <c r="T666" s="1285"/>
      <c r="U666" s="1351"/>
      <c r="V666" s="1351"/>
      <c r="W666" s="1351"/>
      <c r="X666" s="1351"/>
      <c r="Y666" s="1333"/>
      <c r="Z666" s="1333"/>
      <c r="AA666" s="1333"/>
      <c r="AB666" s="1333"/>
      <c r="AC666" s="1333"/>
      <c r="AD666" s="1333"/>
      <c r="AE666" s="1333"/>
      <c r="AF666" s="1333"/>
      <c r="AG666" s="1333"/>
      <c r="AH666" s="1333"/>
      <c r="AI666" s="1333"/>
      <c r="AJ666" s="1333"/>
    </row>
    <row r="667" spans="1:36" ht="18.75" x14ac:dyDescent="0.3">
      <c r="A667" s="1407"/>
      <c r="B667" s="1284"/>
      <c r="C667" s="1284"/>
      <c r="D667" s="1364"/>
      <c r="E667" s="1364"/>
      <c r="F667" s="1364"/>
      <c r="G667" s="1365"/>
      <c r="H667" s="1333"/>
      <c r="I667" s="1333"/>
      <c r="J667" s="1333"/>
      <c r="K667" s="1550"/>
      <c r="L667" s="1382"/>
      <c r="M667" s="1333"/>
      <c r="N667" s="1333"/>
      <c r="O667" s="1333"/>
      <c r="P667" s="1351"/>
      <c r="Q667" s="1351"/>
      <c r="R667" s="1351"/>
      <c r="S667" s="1546"/>
      <c r="T667" s="1285"/>
      <c r="U667" s="1351"/>
      <c r="V667" s="1351"/>
      <c r="W667" s="1351"/>
      <c r="X667" s="1351"/>
      <c r="Y667" s="1333"/>
      <c r="Z667" s="1333"/>
      <c r="AA667" s="1333"/>
      <c r="AB667" s="1333"/>
      <c r="AC667" s="1333"/>
      <c r="AD667" s="1333"/>
      <c r="AE667" s="1333"/>
      <c r="AF667" s="1333"/>
      <c r="AG667" s="1333"/>
      <c r="AH667" s="1333"/>
      <c r="AI667" s="1333"/>
      <c r="AJ667" s="1333"/>
    </row>
    <row r="668" spans="1:36" ht="18.75" x14ac:dyDescent="0.3">
      <c r="A668" s="1407"/>
      <c r="B668" s="1284"/>
      <c r="C668" s="1284"/>
      <c r="D668" s="1364"/>
      <c r="E668" s="1364"/>
      <c r="F668" s="1364"/>
      <c r="G668" s="1365"/>
      <c r="H668" s="1333"/>
      <c r="I668" s="1333"/>
      <c r="J668" s="1333"/>
      <c r="K668" s="1550"/>
      <c r="L668" s="1382"/>
      <c r="M668" s="1333"/>
      <c r="N668" s="1333"/>
      <c r="O668" s="1333"/>
      <c r="P668" s="1351"/>
      <c r="Q668" s="1351"/>
      <c r="R668" s="1351"/>
      <c r="S668" s="1546"/>
      <c r="T668" s="1285"/>
      <c r="U668" s="1351"/>
      <c r="V668" s="1351"/>
      <c r="W668" s="1351"/>
      <c r="X668" s="1351"/>
      <c r="Y668" s="1333"/>
      <c r="Z668" s="1333"/>
      <c r="AA668" s="1333"/>
      <c r="AB668" s="1333"/>
      <c r="AC668" s="1333"/>
      <c r="AD668" s="1333"/>
      <c r="AE668" s="1333"/>
      <c r="AF668" s="1333"/>
      <c r="AG668" s="1333"/>
      <c r="AH668" s="1333"/>
      <c r="AI668" s="1333"/>
      <c r="AJ668" s="1333"/>
    </row>
    <row r="669" spans="1:36" ht="18.75" x14ac:dyDescent="0.3">
      <c r="A669" s="1407"/>
      <c r="B669" s="1284"/>
      <c r="C669" s="1284"/>
      <c r="D669" s="1364"/>
      <c r="E669" s="1364"/>
      <c r="F669" s="1364"/>
      <c r="G669" s="1365"/>
      <c r="H669" s="1333"/>
      <c r="I669" s="1333"/>
      <c r="J669" s="1333"/>
      <c r="K669" s="1550"/>
      <c r="L669" s="1382"/>
      <c r="M669" s="1333"/>
      <c r="N669" s="1333"/>
      <c r="O669" s="1333"/>
      <c r="P669" s="1351"/>
      <c r="Q669" s="1351"/>
      <c r="R669" s="1351"/>
      <c r="S669" s="1546"/>
      <c r="T669" s="1285"/>
      <c r="U669" s="1351"/>
      <c r="V669" s="1351"/>
      <c r="W669" s="1351"/>
      <c r="X669" s="1351"/>
      <c r="Y669" s="1333"/>
      <c r="Z669" s="1333"/>
      <c r="AA669" s="1333"/>
      <c r="AB669" s="1333"/>
      <c r="AC669" s="1333"/>
      <c r="AD669" s="1333"/>
      <c r="AE669" s="1333"/>
      <c r="AF669" s="1333"/>
      <c r="AG669" s="1333"/>
      <c r="AH669" s="1333"/>
      <c r="AI669" s="1333"/>
      <c r="AJ669" s="1333"/>
    </row>
    <row r="670" spans="1:36" ht="18.75" x14ac:dyDescent="0.3">
      <c r="A670" s="1407"/>
      <c r="B670" s="1284"/>
      <c r="C670" s="1284"/>
      <c r="D670" s="1364"/>
      <c r="E670" s="1364"/>
      <c r="F670" s="1364"/>
      <c r="G670" s="1365"/>
      <c r="H670" s="1333"/>
      <c r="I670" s="1333"/>
      <c r="J670" s="1333"/>
      <c r="K670" s="1550"/>
      <c r="L670" s="1382"/>
      <c r="M670" s="1333"/>
      <c r="N670" s="1333"/>
      <c r="O670" s="1333"/>
      <c r="P670" s="1351"/>
      <c r="Q670" s="1351"/>
      <c r="R670" s="1351"/>
      <c r="S670" s="1546"/>
      <c r="T670" s="1285"/>
      <c r="U670" s="1351"/>
      <c r="V670" s="1351"/>
      <c r="W670" s="1351"/>
      <c r="X670" s="1351"/>
      <c r="Y670" s="1333"/>
      <c r="Z670" s="1333"/>
      <c r="AA670" s="1333"/>
      <c r="AB670" s="1333"/>
      <c r="AC670" s="1333"/>
      <c r="AD670" s="1333"/>
      <c r="AE670" s="1333"/>
      <c r="AF670" s="1333"/>
      <c r="AG670" s="1333"/>
      <c r="AH670" s="1333"/>
      <c r="AI670" s="1333"/>
      <c r="AJ670" s="1333"/>
    </row>
    <row r="671" spans="1:36" ht="18.75" x14ac:dyDescent="0.3">
      <c r="A671" s="1407"/>
      <c r="B671" s="1284"/>
      <c r="C671" s="1284"/>
      <c r="D671" s="1364"/>
      <c r="E671" s="1364"/>
      <c r="F671" s="1364"/>
      <c r="G671" s="1365"/>
      <c r="H671" s="1333"/>
      <c r="I671" s="1333"/>
      <c r="J671" s="1333"/>
      <c r="K671" s="1550"/>
      <c r="L671" s="1382"/>
      <c r="M671" s="1333"/>
      <c r="N671" s="1333"/>
      <c r="O671" s="1333"/>
      <c r="P671" s="1351"/>
      <c r="Q671" s="1351"/>
      <c r="R671" s="1351"/>
      <c r="S671" s="1546"/>
      <c r="T671" s="1285"/>
      <c r="U671" s="1351"/>
      <c r="V671" s="1351"/>
      <c r="W671" s="1351"/>
      <c r="X671" s="1351"/>
      <c r="Y671" s="1333"/>
      <c r="Z671" s="1333"/>
      <c r="AA671" s="1333"/>
      <c r="AB671" s="1333"/>
      <c r="AC671" s="1333"/>
      <c r="AD671" s="1333"/>
      <c r="AE671" s="1333"/>
      <c r="AF671" s="1333"/>
      <c r="AG671" s="1333"/>
      <c r="AH671" s="1333"/>
      <c r="AI671" s="1333"/>
      <c r="AJ671" s="1333"/>
    </row>
    <row r="672" spans="1:36" ht="18.75" x14ac:dyDescent="0.3">
      <c r="A672" s="1407"/>
      <c r="B672" s="1284"/>
      <c r="C672" s="1284"/>
      <c r="D672" s="1364"/>
      <c r="E672" s="1364"/>
      <c r="F672" s="1364"/>
      <c r="G672" s="1365"/>
      <c r="H672" s="1333"/>
      <c r="I672" s="1333"/>
      <c r="J672" s="1333"/>
      <c r="K672" s="1550"/>
      <c r="L672" s="1382"/>
      <c r="M672" s="1333"/>
      <c r="N672" s="1333"/>
      <c r="O672" s="1333"/>
      <c r="P672" s="1351"/>
      <c r="Q672" s="1351"/>
      <c r="R672" s="1351"/>
      <c r="S672" s="1546"/>
      <c r="T672" s="1285"/>
      <c r="U672" s="1351"/>
      <c r="V672" s="1351"/>
      <c r="W672" s="1351"/>
      <c r="X672" s="1351"/>
      <c r="Y672" s="1333"/>
      <c r="Z672" s="1333"/>
      <c r="AA672" s="1333"/>
      <c r="AB672" s="1333"/>
      <c r="AC672" s="1333"/>
      <c r="AD672" s="1333"/>
      <c r="AE672" s="1333"/>
      <c r="AF672" s="1333"/>
      <c r="AG672" s="1333"/>
      <c r="AH672" s="1333"/>
      <c r="AI672" s="1333"/>
      <c r="AJ672" s="1333"/>
    </row>
    <row r="673" spans="1:36" ht="18.75" x14ac:dyDescent="0.3">
      <c r="A673" s="1407"/>
      <c r="B673" s="1284"/>
      <c r="C673" s="1284"/>
      <c r="D673" s="1364"/>
      <c r="E673" s="1364"/>
      <c r="F673" s="1364"/>
      <c r="G673" s="1365"/>
      <c r="H673" s="1333"/>
      <c r="I673" s="1333"/>
      <c r="J673" s="1333"/>
      <c r="K673" s="1550"/>
      <c r="L673" s="1382"/>
      <c r="M673" s="1333"/>
      <c r="N673" s="1333"/>
      <c r="O673" s="1333"/>
      <c r="P673" s="1351"/>
      <c r="Q673" s="1351"/>
      <c r="R673" s="1351"/>
      <c r="S673" s="1546"/>
      <c r="T673" s="1285"/>
      <c r="U673" s="1351"/>
      <c r="V673" s="1351"/>
      <c r="W673" s="1351"/>
      <c r="X673" s="1351"/>
      <c r="Y673" s="1333"/>
      <c r="Z673" s="1333"/>
      <c r="AA673" s="1333"/>
      <c r="AB673" s="1333"/>
      <c r="AC673" s="1333"/>
      <c r="AD673" s="1333"/>
      <c r="AE673" s="1333"/>
      <c r="AF673" s="1333"/>
      <c r="AG673" s="1333"/>
      <c r="AH673" s="1333"/>
      <c r="AI673" s="1333"/>
      <c r="AJ673" s="1333"/>
    </row>
    <row r="674" spans="1:36" ht="18.75" x14ac:dyDescent="0.3">
      <c r="A674" s="1407"/>
      <c r="B674" s="1284"/>
      <c r="C674" s="1284"/>
      <c r="D674" s="1364"/>
      <c r="E674" s="1364"/>
      <c r="F674" s="1364"/>
      <c r="G674" s="1365"/>
      <c r="H674" s="1333"/>
      <c r="I674" s="1333"/>
      <c r="J674" s="1333"/>
      <c r="K674" s="1550"/>
      <c r="L674" s="1382"/>
      <c r="M674" s="1333"/>
      <c r="N674" s="1333"/>
      <c r="O674" s="1333"/>
      <c r="P674" s="1351"/>
      <c r="Q674" s="1351"/>
      <c r="R674" s="1351"/>
      <c r="S674" s="1546"/>
      <c r="T674" s="1285"/>
      <c r="U674" s="1351"/>
      <c r="V674" s="1351"/>
      <c r="W674" s="1351"/>
      <c r="X674" s="1351"/>
      <c r="Y674" s="1333"/>
      <c r="Z674" s="1333"/>
      <c r="AA674" s="1333"/>
      <c r="AB674" s="1333"/>
      <c r="AC674" s="1333"/>
      <c r="AD674" s="1333"/>
      <c r="AE674" s="1333"/>
      <c r="AF674" s="1333"/>
      <c r="AG674" s="1333"/>
      <c r="AH674" s="1333"/>
      <c r="AI674" s="1333"/>
      <c r="AJ674" s="1333"/>
    </row>
    <row r="675" spans="1:36" ht="18.75" x14ac:dyDescent="0.3">
      <c r="A675" s="1407"/>
      <c r="B675" s="1284"/>
      <c r="C675" s="1284"/>
      <c r="D675" s="1364"/>
      <c r="E675" s="1364"/>
      <c r="F675" s="1364"/>
      <c r="G675" s="1365"/>
      <c r="H675" s="1333"/>
      <c r="I675" s="1333"/>
      <c r="J675" s="1333"/>
      <c r="K675" s="1550"/>
      <c r="L675" s="1382"/>
      <c r="M675" s="1333"/>
      <c r="N675" s="1333"/>
      <c r="O675" s="1333"/>
      <c r="P675" s="1351"/>
      <c r="Q675" s="1351"/>
      <c r="R675" s="1351"/>
      <c r="S675" s="1546"/>
      <c r="T675" s="1285"/>
      <c r="U675" s="1351"/>
      <c r="V675" s="1351"/>
      <c r="W675" s="1351"/>
      <c r="X675" s="1351"/>
      <c r="Y675" s="1333"/>
      <c r="Z675" s="1333"/>
      <c r="AA675" s="1333"/>
      <c r="AB675" s="1333"/>
      <c r="AC675" s="1333"/>
      <c r="AD675" s="1333"/>
      <c r="AE675" s="1333"/>
      <c r="AF675" s="1333"/>
      <c r="AG675" s="1333"/>
      <c r="AH675" s="1333"/>
      <c r="AI675" s="1333"/>
      <c r="AJ675" s="1333"/>
    </row>
    <row r="676" spans="1:36" ht="18.75" x14ac:dyDescent="0.3">
      <c r="A676" s="1407"/>
      <c r="B676" s="1284"/>
      <c r="C676" s="1284"/>
      <c r="D676" s="1364"/>
      <c r="E676" s="1364"/>
      <c r="F676" s="1364"/>
      <c r="G676" s="1365"/>
      <c r="H676" s="1333"/>
      <c r="I676" s="1333"/>
      <c r="J676" s="1333"/>
      <c r="K676" s="1550"/>
      <c r="L676" s="1382"/>
      <c r="M676" s="1333"/>
      <c r="N676" s="1333"/>
      <c r="O676" s="1333"/>
      <c r="P676" s="1351"/>
      <c r="Q676" s="1351"/>
      <c r="R676" s="1351"/>
      <c r="S676" s="1546"/>
      <c r="T676" s="1285"/>
      <c r="U676" s="1351"/>
      <c r="V676" s="1351"/>
      <c r="W676" s="1351"/>
      <c r="X676" s="1351"/>
      <c r="Y676" s="1333"/>
      <c r="Z676" s="1333"/>
      <c r="AA676" s="1333"/>
      <c r="AB676" s="1333"/>
      <c r="AC676" s="1333"/>
      <c r="AD676" s="1333"/>
      <c r="AE676" s="1333"/>
      <c r="AF676" s="1333"/>
      <c r="AG676" s="1333"/>
      <c r="AH676" s="1333"/>
      <c r="AI676" s="1333"/>
      <c r="AJ676" s="1333"/>
    </row>
    <row r="677" spans="1:36" ht="18.75" x14ac:dyDescent="0.3">
      <c r="A677" s="1407"/>
      <c r="B677" s="1284"/>
      <c r="C677" s="1284"/>
      <c r="D677" s="1364"/>
      <c r="E677" s="1364"/>
      <c r="F677" s="1364"/>
      <c r="G677" s="1365"/>
      <c r="H677" s="1333"/>
      <c r="I677" s="1333"/>
      <c r="J677" s="1333"/>
      <c r="K677" s="1550"/>
      <c r="L677" s="1382"/>
      <c r="M677" s="1333"/>
      <c r="N677" s="1333"/>
      <c r="O677" s="1333"/>
      <c r="P677" s="1351"/>
      <c r="Q677" s="1351"/>
      <c r="R677" s="1351"/>
      <c r="S677" s="1546"/>
      <c r="T677" s="1285"/>
      <c r="U677" s="1351"/>
      <c r="V677" s="1351"/>
      <c r="W677" s="1351"/>
      <c r="X677" s="1351"/>
      <c r="Y677" s="1333"/>
      <c r="Z677" s="1333"/>
      <c r="AA677" s="1333"/>
      <c r="AB677" s="1333"/>
      <c r="AC677" s="1333"/>
      <c r="AD677" s="1333"/>
      <c r="AE677" s="1333"/>
      <c r="AF677" s="1333"/>
      <c r="AG677" s="1333"/>
      <c r="AH677" s="1333"/>
      <c r="AI677" s="1333"/>
      <c r="AJ677" s="1333"/>
    </row>
    <row r="678" spans="1:36" ht="18.75" x14ac:dyDescent="0.3">
      <c r="A678" s="1407"/>
      <c r="B678" s="1284"/>
      <c r="C678" s="1284"/>
      <c r="D678" s="1364"/>
      <c r="E678" s="1364"/>
      <c r="F678" s="1364"/>
      <c r="G678" s="1365"/>
      <c r="H678" s="1333"/>
      <c r="I678" s="1333"/>
      <c r="J678" s="1333"/>
      <c r="K678" s="1550"/>
      <c r="L678" s="1382"/>
      <c r="M678" s="1333"/>
      <c r="N678" s="1333"/>
      <c r="O678" s="1333"/>
      <c r="P678" s="1351"/>
      <c r="Q678" s="1351"/>
      <c r="R678" s="1351"/>
      <c r="S678" s="1546"/>
      <c r="T678" s="1285"/>
      <c r="U678" s="1351"/>
      <c r="V678" s="1351"/>
      <c r="W678" s="1351"/>
      <c r="X678" s="1351"/>
      <c r="Y678" s="1333"/>
      <c r="Z678" s="1333"/>
      <c r="AA678" s="1333"/>
      <c r="AB678" s="1333"/>
      <c r="AC678" s="1333"/>
      <c r="AD678" s="1333"/>
      <c r="AE678" s="1333"/>
      <c r="AF678" s="1333"/>
      <c r="AG678" s="1333"/>
      <c r="AH678" s="1333"/>
      <c r="AI678" s="1333"/>
      <c r="AJ678" s="1333"/>
    </row>
    <row r="679" spans="1:36" ht="18.75" x14ac:dyDescent="0.3">
      <c r="A679" s="1407"/>
      <c r="B679" s="1284"/>
      <c r="C679" s="1284"/>
      <c r="D679" s="1364"/>
      <c r="E679" s="1364"/>
      <c r="F679" s="1364"/>
      <c r="G679" s="1365"/>
      <c r="H679" s="1333"/>
      <c r="I679" s="1333"/>
      <c r="J679" s="1333"/>
      <c r="K679" s="1550"/>
      <c r="L679" s="1382"/>
      <c r="M679" s="1333"/>
      <c r="N679" s="1333"/>
      <c r="O679" s="1333"/>
      <c r="P679" s="1351"/>
      <c r="Q679" s="1351"/>
      <c r="R679" s="1351"/>
      <c r="S679" s="1546"/>
      <c r="T679" s="1285"/>
      <c r="U679" s="1351"/>
      <c r="V679" s="1351"/>
      <c r="W679" s="1351"/>
      <c r="X679" s="1351"/>
      <c r="Y679" s="1333"/>
      <c r="Z679" s="1333"/>
      <c r="AA679" s="1333"/>
      <c r="AB679" s="1333"/>
      <c r="AC679" s="1333"/>
      <c r="AD679" s="1333"/>
      <c r="AE679" s="1333"/>
      <c r="AF679" s="1333"/>
      <c r="AG679" s="1333"/>
      <c r="AH679" s="1333"/>
      <c r="AI679" s="1333"/>
      <c r="AJ679" s="1333"/>
    </row>
    <row r="680" spans="1:36" ht="18.75" x14ac:dyDescent="0.3">
      <c r="A680" s="1407"/>
      <c r="B680" s="1284"/>
      <c r="C680" s="1284"/>
      <c r="D680" s="1364"/>
      <c r="E680" s="1364"/>
      <c r="F680" s="1364"/>
      <c r="G680" s="1365"/>
      <c r="H680" s="1333"/>
      <c r="I680" s="1333"/>
      <c r="J680" s="1333"/>
      <c r="K680" s="1550"/>
      <c r="L680" s="1382"/>
      <c r="M680" s="1333"/>
      <c r="N680" s="1333"/>
      <c r="O680" s="1333"/>
      <c r="P680" s="1351"/>
      <c r="Q680" s="1351"/>
      <c r="R680" s="1351"/>
      <c r="S680" s="1546"/>
      <c r="T680" s="1285"/>
      <c r="U680" s="1351"/>
      <c r="V680" s="1351"/>
      <c r="W680" s="1351"/>
      <c r="X680" s="1351"/>
      <c r="Y680" s="1333"/>
      <c r="Z680" s="1333"/>
      <c r="AA680" s="1333"/>
      <c r="AB680" s="1333"/>
      <c r="AC680" s="1333"/>
      <c r="AD680" s="1333"/>
      <c r="AE680" s="1333"/>
      <c r="AF680" s="1333"/>
      <c r="AG680" s="1333"/>
      <c r="AH680" s="1333"/>
      <c r="AI680" s="1333"/>
      <c r="AJ680" s="1333"/>
    </row>
    <row r="681" spans="1:36" ht="18.75" x14ac:dyDescent="0.3">
      <c r="A681" s="1407"/>
      <c r="B681" s="1284"/>
      <c r="C681" s="1284"/>
      <c r="D681" s="1364"/>
      <c r="E681" s="1364"/>
      <c r="F681" s="1364"/>
      <c r="G681" s="1365"/>
      <c r="H681" s="1333"/>
      <c r="I681" s="1333"/>
      <c r="J681" s="1333"/>
      <c r="K681" s="1550"/>
      <c r="L681" s="1382"/>
      <c r="M681" s="1333"/>
      <c r="N681" s="1333"/>
      <c r="O681" s="1333"/>
      <c r="P681" s="1351"/>
      <c r="Q681" s="1351"/>
      <c r="R681" s="1351"/>
      <c r="S681" s="1546"/>
      <c r="T681" s="1285"/>
      <c r="U681" s="1351"/>
      <c r="V681" s="1351"/>
      <c r="W681" s="1351"/>
      <c r="X681" s="1351"/>
      <c r="Y681" s="1333"/>
      <c r="Z681" s="1333"/>
      <c r="AA681" s="1333"/>
      <c r="AB681" s="1333"/>
      <c r="AC681" s="1333"/>
      <c r="AD681" s="1333"/>
      <c r="AE681" s="1333"/>
      <c r="AF681" s="1333"/>
      <c r="AG681" s="1333"/>
      <c r="AH681" s="1333"/>
      <c r="AI681" s="1333"/>
      <c r="AJ681" s="1333"/>
    </row>
    <row r="682" spans="1:36" ht="18.75" x14ac:dyDescent="0.3">
      <c r="A682" s="1407"/>
      <c r="B682" s="1284"/>
      <c r="C682" s="1284"/>
      <c r="D682" s="1364"/>
      <c r="E682" s="1364"/>
      <c r="F682" s="1364"/>
      <c r="G682" s="1365"/>
      <c r="H682" s="1333"/>
      <c r="I682" s="1333"/>
      <c r="J682" s="1333"/>
      <c r="K682" s="1550"/>
      <c r="L682" s="1382"/>
      <c r="M682" s="1333"/>
      <c r="N682" s="1333"/>
      <c r="O682" s="1333"/>
      <c r="P682" s="1351"/>
      <c r="Q682" s="1351"/>
      <c r="R682" s="1351"/>
      <c r="S682" s="1546"/>
      <c r="T682" s="1285"/>
      <c r="U682" s="1351"/>
      <c r="V682" s="1351"/>
      <c r="W682" s="1351"/>
      <c r="X682" s="1351"/>
      <c r="Y682" s="1333"/>
      <c r="Z682" s="1333"/>
      <c r="AA682" s="1333"/>
      <c r="AB682" s="1333"/>
      <c r="AC682" s="1333"/>
      <c r="AD682" s="1333"/>
      <c r="AE682" s="1333"/>
      <c r="AF682" s="1333"/>
      <c r="AG682" s="1333"/>
      <c r="AH682" s="1333"/>
      <c r="AI682" s="1333"/>
      <c r="AJ682" s="1333"/>
    </row>
    <row r="683" spans="1:36" ht="18.75" x14ac:dyDescent="0.3">
      <c r="A683" s="1407"/>
      <c r="B683" s="1284"/>
      <c r="C683" s="1284"/>
      <c r="D683" s="1364"/>
      <c r="E683" s="1364"/>
      <c r="F683" s="1364"/>
      <c r="G683" s="1365"/>
      <c r="H683" s="1333"/>
      <c r="I683" s="1333"/>
      <c r="J683" s="1333"/>
      <c r="K683" s="1550"/>
      <c r="L683" s="1382"/>
      <c r="M683" s="1333"/>
      <c r="N683" s="1333"/>
      <c r="O683" s="1333"/>
      <c r="P683" s="1351"/>
      <c r="Q683" s="1351"/>
      <c r="R683" s="1351"/>
      <c r="S683" s="1546"/>
      <c r="T683" s="1285"/>
      <c r="U683" s="1351"/>
      <c r="V683" s="1351"/>
      <c r="W683" s="1351"/>
      <c r="X683" s="1351"/>
      <c r="Y683" s="1333"/>
      <c r="Z683" s="1333"/>
      <c r="AA683" s="1333"/>
      <c r="AB683" s="1333"/>
      <c r="AC683" s="1333"/>
      <c r="AD683" s="1333"/>
      <c r="AE683" s="1333"/>
      <c r="AF683" s="1333"/>
      <c r="AG683" s="1333"/>
      <c r="AH683" s="1333"/>
      <c r="AI683" s="1333"/>
      <c r="AJ683" s="1333"/>
    </row>
    <row r="684" spans="1:36" ht="18.75" x14ac:dyDescent="0.3">
      <c r="A684" s="1407"/>
      <c r="B684" s="1284"/>
      <c r="C684" s="1284"/>
      <c r="D684" s="1364"/>
      <c r="E684" s="1364"/>
      <c r="F684" s="1364"/>
      <c r="G684" s="1365"/>
      <c r="H684" s="1333"/>
      <c r="I684" s="1333"/>
      <c r="J684" s="1333"/>
      <c r="K684" s="1550"/>
      <c r="L684" s="1382"/>
      <c r="M684" s="1333"/>
      <c r="N684" s="1333"/>
      <c r="O684" s="1333"/>
      <c r="P684" s="1333"/>
      <c r="Q684" s="1333"/>
      <c r="R684" s="1333"/>
      <c r="S684" s="1449"/>
      <c r="T684" s="1284"/>
      <c r="U684" s="1333"/>
      <c r="V684" s="1333"/>
      <c r="W684" s="1333"/>
      <c r="X684" s="1333"/>
      <c r="Y684" s="1333"/>
      <c r="Z684" s="1333"/>
      <c r="AA684" s="1333"/>
      <c r="AB684" s="1333"/>
      <c r="AC684" s="1333"/>
      <c r="AD684" s="1333"/>
      <c r="AE684" s="1333"/>
      <c r="AF684" s="1333"/>
      <c r="AG684" s="1333"/>
      <c r="AH684" s="1333"/>
      <c r="AI684" s="1333"/>
      <c r="AJ684" s="1333"/>
    </row>
    <row r="685" spans="1:36" ht="18.75" x14ac:dyDescent="0.3">
      <c r="A685" s="1407"/>
      <c r="B685" s="1284"/>
      <c r="C685" s="1284"/>
      <c r="D685" s="1364"/>
      <c r="E685" s="1364"/>
      <c r="F685" s="1364"/>
      <c r="G685" s="1365"/>
      <c r="H685" s="1333"/>
      <c r="I685" s="1333"/>
      <c r="J685" s="1333"/>
      <c r="K685" s="1550"/>
      <c r="L685" s="1382"/>
      <c r="M685" s="1333"/>
      <c r="N685" s="1333"/>
      <c r="O685" s="1333"/>
      <c r="P685" s="1333"/>
      <c r="Q685" s="1333"/>
      <c r="R685" s="1333"/>
      <c r="S685" s="1449"/>
      <c r="T685" s="1284"/>
      <c r="U685" s="1333"/>
      <c r="V685" s="1333"/>
      <c r="W685" s="1333"/>
      <c r="X685" s="1333"/>
      <c r="Y685" s="1333"/>
      <c r="Z685" s="1333"/>
      <c r="AA685" s="1333"/>
      <c r="AB685" s="1333"/>
      <c r="AC685" s="1333"/>
      <c r="AD685" s="1333"/>
      <c r="AE685" s="1333"/>
      <c r="AF685" s="1333"/>
      <c r="AG685" s="1333"/>
      <c r="AH685" s="1333"/>
      <c r="AI685" s="1333"/>
      <c r="AJ685" s="1333"/>
    </row>
    <row r="686" spans="1:36" ht="18.75" x14ac:dyDescent="0.3">
      <c r="A686" s="1407"/>
      <c r="B686" s="1284"/>
      <c r="C686" s="1284"/>
      <c r="D686" s="1364"/>
      <c r="E686" s="1364"/>
      <c r="F686" s="1364"/>
      <c r="G686" s="1365"/>
      <c r="H686" s="1333"/>
      <c r="I686" s="1333"/>
      <c r="J686" s="1333"/>
      <c r="K686" s="1550"/>
      <c r="L686" s="1382"/>
      <c r="M686" s="1333"/>
      <c r="N686" s="1333"/>
      <c r="O686" s="1333"/>
      <c r="P686" s="1333"/>
      <c r="Q686" s="1333"/>
      <c r="R686" s="1333"/>
      <c r="S686" s="1449"/>
      <c r="T686" s="1284"/>
      <c r="U686" s="1333"/>
      <c r="V686" s="1333"/>
      <c r="W686" s="1333"/>
      <c r="X686" s="1333"/>
      <c r="Y686" s="1333"/>
      <c r="Z686" s="1333"/>
      <c r="AA686" s="1333"/>
      <c r="AB686" s="1333"/>
      <c r="AC686" s="1333"/>
      <c r="AD686" s="1333"/>
      <c r="AE686" s="1333"/>
      <c r="AF686" s="1333"/>
      <c r="AG686" s="1333"/>
      <c r="AH686" s="1333"/>
      <c r="AI686" s="1333"/>
      <c r="AJ686" s="1333"/>
    </row>
    <row r="687" spans="1:36" ht="18.75" x14ac:dyDescent="0.3">
      <c r="A687" s="1407"/>
      <c r="B687" s="1284"/>
      <c r="C687" s="1284"/>
      <c r="D687" s="1364"/>
      <c r="E687" s="1364"/>
      <c r="F687" s="1364"/>
      <c r="G687" s="1365"/>
      <c r="H687" s="1333"/>
      <c r="I687" s="1333"/>
      <c r="J687" s="1333"/>
      <c r="K687" s="1550"/>
      <c r="L687" s="1382"/>
      <c r="M687" s="1333"/>
      <c r="N687" s="1333"/>
      <c r="O687" s="1333"/>
      <c r="P687" s="1333"/>
      <c r="Q687" s="1333"/>
      <c r="R687" s="1333"/>
      <c r="S687" s="1449"/>
      <c r="T687" s="1284"/>
      <c r="U687" s="1333"/>
      <c r="V687" s="1333"/>
      <c r="W687" s="1333"/>
      <c r="X687" s="1333"/>
      <c r="Y687" s="1333"/>
      <c r="Z687" s="1333"/>
      <c r="AA687" s="1333"/>
      <c r="AB687" s="1333"/>
      <c r="AC687" s="1333"/>
      <c r="AD687" s="1333"/>
      <c r="AE687" s="1333"/>
      <c r="AF687" s="1333"/>
      <c r="AG687" s="1333"/>
      <c r="AH687" s="1333"/>
      <c r="AI687" s="1333"/>
      <c r="AJ687" s="1333"/>
    </row>
    <row r="688" spans="1:36" ht="18.75" x14ac:dyDescent="0.3">
      <c r="A688" s="1407"/>
      <c r="B688" s="1284"/>
      <c r="C688" s="1284"/>
      <c r="D688" s="1364"/>
      <c r="E688" s="1364"/>
      <c r="F688" s="1364"/>
      <c r="G688" s="1365"/>
      <c r="H688" s="1333"/>
      <c r="I688" s="1333"/>
      <c r="J688" s="1333"/>
      <c r="K688" s="1550"/>
      <c r="L688" s="1382"/>
      <c r="M688" s="1333"/>
      <c r="N688" s="1333"/>
      <c r="O688" s="1333"/>
      <c r="P688" s="1333"/>
      <c r="Q688" s="1333"/>
      <c r="R688" s="1333"/>
      <c r="S688" s="1449"/>
      <c r="T688" s="1284"/>
      <c r="U688" s="1333"/>
      <c r="V688" s="1333"/>
      <c r="W688" s="1333"/>
      <c r="X688" s="1333"/>
      <c r="Y688" s="1333"/>
      <c r="Z688" s="1333"/>
      <c r="AA688" s="1333"/>
      <c r="AB688" s="1333"/>
      <c r="AC688" s="1333"/>
      <c r="AD688" s="1333"/>
      <c r="AE688" s="1333"/>
      <c r="AF688" s="1333"/>
      <c r="AG688" s="1333"/>
      <c r="AH688" s="1333"/>
      <c r="AI688" s="1333"/>
      <c r="AJ688" s="1333"/>
    </row>
    <row r="689" spans="1:36" ht="18.75" x14ac:dyDescent="0.3">
      <c r="A689" s="1407"/>
      <c r="B689" s="1284"/>
      <c r="C689" s="1284"/>
      <c r="D689" s="1364"/>
      <c r="E689" s="1364"/>
      <c r="F689" s="1364"/>
      <c r="G689" s="1365"/>
      <c r="H689" s="1333"/>
      <c r="I689" s="1333"/>
      <c r="J689" s="1333"/>
      <c r="K689" s="1550"/>
      <c r="L689" s="1382"/>
      <c r="M689" s="1333"/>
      <c r="N689" s="1333"/>
      <c r="O689" s="1333"/>
      <c r="P689" s="1333"/>
      <c r="Q689" s="1333"/>
      <c r="R689" s="1333"/>
      <c r="S689" s="1449"/>
      <c r="T689" s="1284"/>
      <c r="U689" s="1333"/>
      <c r="V689" s="1333"/>
      <c r="W689" s="1333"/>
      <c r="X689" s="1333"/>
      <c r="Y689" s="1333"/>
      <c r="Z689" s="1333"/>
      <c r="AA689" s="1333"/>
      <c r="AB689" s="1333"/>
      <c r="AC689" s="1333"/>
      <c r="AD689" s="1333"/>
      <c r="AE689" s="1333"/>
      <c r="AF689" s="1333"/>
      <c r="AG689" s="1333"/>
      <c r="AH689" s="1333"/>
      <c r="AI689" s="1333"/>
      <c r="AJ689" s="1333"/>
    </row>
    <row r="690" spans="1:36" ht="18.75" x14ac:dyDescent="0.3">
      <c r="A690" s="1407"/>
      <c r="B690" s="1284"/>
      <c r="C690" s="1284"/>
      <c r="D690" s="1364"/>
      <c r="E690" s="1364"/>
      <c r="F690" s="1364"/>
      <c r="G690" s="1365"/>
      <c r="H690" s="1333"/>
      <c r="I690" s="1333"/>
      <c r="J690" s="1333"/>
      <c r="K690" s="1550"/>
      <c r="L690" s="1382"/>
      <c r="M690" s="1333"/>
      <c r="N690" s="1333"/>
      <c r="O690" s="1333"/>
      <c r="P690" s="1333"/>
      <c r="Q690" s="1333"/>
      <c r="R690" s="1333"/>
      <c r="S690" s="1449"/>
      <c r="T690" s="1284"/>
      <c r="U690" s="1333"/>
      <c r="V690" s="1333"/>
      <c r="W690" s="1333"/>
      <c r="X690" s="1333"/>
      <c r="Y690" s="1333"/>
      <c r="Z690" s="1333"/>
      <c r="AA690" s="1333"/>
      <c r="AB690" s="1333"/>
      <c r="AC690" s="1333"/>
      <c r="AD690" s="1333"/>
      <c r="AE690" s="1333"/>
      <c r="AF690" s="1333"/>
      <c r="AG690" s="1333"/>
      <c r="AH690" s="1333"/>
      <c r="AI690" s="1333"/>
      <c r="AJ690" s="1333"/>
    </row>
    <row r="691" spans="1:36" ht="18.75" x14ac:dyDescent="0.3">
      <c r="A691" s="1407"/>
      <c r="B691" s="1284"/>
      <c r="C691" s="1284"/>
      <c r="D691" s="1364"/>
      <c r="E691" s="1364"/>
      <c r="F691" s="1364"/>
      <c r="G691" s="1365"/>
      <c r="H691" s="1333"/>
      <c r="I691" s="1333"/>
      <c r="J691" s="1333"/>
      <c r="K691" s="1550"/>
      <c r="L691" s="1382"/>
      <c r="M691" s="1333"/>
      <c r="N691" s="1333"/>
      <c r="O691" s="1333"/>
      <c r="P691" s="1333"/>
      <c r="Q691" s="1333"/>
      <c r="R691" s="1333"/>
      <c r="S691" s="1449"/>
      <c r="T691" s="1284"/>
      <c r="U691" s="1333"/>
      <c r="V691" s="1333"/>
      <c r="W691" s="1333"/>
      <c r="X691" s="1333"/>
      <c r="Y691" s="1333"/>
      <c r="Z691" s="1333"/>
      <c r="AA691" s="1333"/>
      <c r="AB691" s="1333"/>
      <c r="AC691" s="1333"/>
      <c r="AD691" s="1333"/>
      <c r="AE691" s="1333"/>
      <c r="AF691" s="1333"/>
      <c r="AG691" s="1333"/>
      <c r="AH691" s="1333"/>
      <c r="AI691" s="1333"/>
      <c r="AJ691" s="1333"/>
    </row>
    <row r="692" spans="1:36" x14ac:dyDescent="0.25">
      <c r="A692" s="1407"/>
      <c r="B692" s="1284"/>
      <c r="C692" s="1284"/>
      <c r="D692" s="1364"/>
      <c r="E692" s="1364"/>
      <c r="F692" s="1364"/>
      <c r="G692" s="1365"/>
      <c r="H692" s="1333"/>
      <c r="I692" s="1333"/>
      <c r="J692" s="1333"/>
      <c r="K692" s="1333"/>
      <c r="L692" s="1382"/>
      <c r="M692" s="1333"/>
      <c r="N692" s="1333"/>
      <c r="O692" s="1333"/>
      <c r="P692" s="1333"/>
      <c r="Q692" s="1333"/>
      <c r="R692" s="1333"/>
      <c r="S692" s="1449"/>
      <c r="T692" s="1333"/>
      <c r="U692" s="1333"/>
      <c r="V692" s="1333"/>
      <c r="W692" s="1333"/>
      <c r="X692" s="1333"/>
      <c r="Y692" s="1333"/>
      <c r="Z692" s="1333"/>
      <c r="AA692" s="1333"/>
      <c r="AB692" s="1333"/>
      <c r="AC692" s="1333"/>
      <c r="AD692" s="1333"/>
      <c r="AE692" s="1333"/>
      <c r="AF692" s="1333"/>
      <c r="AG692" s="1333"/>
      <c r="AH692" s="1333"/>
      <c r="AI692" s="1333"/>
      <c r="AJ692" s="1333"/>
    </row>
    <row r="693" spans="1:36" x14ac:dyDescent="0.25">
      <c r="A693" s="1407"/>
      <c r="B693" s="1284"/>
      <c r="C693" s="1284"/>
      <c r="D693" s="1364"/>
      <c r="E693" s="1364"/>
      <c r="F693" s="1364"/>
      <c r="G693" s="1365"/>
      <c r="H693" s="1333"/>
      <c r="I693" s="1333"/>
      <c r="J693" s="1333"/>
      <c r="K693" s="1333"/>
      <c r="L693" s="1382"/>
      <c r="M693" s="1333"/>
      <c r="N693" s="1333"/>
      <c r="O693" s="1333"/>
      <c r="P693" s="1333"/>
      <c r="Q693" s="1333"/>
      <c r="R693" s="1333"/>
      <c r="S693" s="1449"/>
      <c r="T693" s="1333"/>
      <c r="U693" s="1333"/>
      <c r="V693" s="1333"/>
      <c r="W693" s="1333"/>
      <c r="X693" s="1333"/>
      <c r="Y693" s="1333"/>
      <c r="Z693" s="1333"/>
      <c r="AA693" s="1333"/>
      <c r="AB693" s="1333"/>
      <c r="AC693" s="1333"/>
      <c r="AD693" s="1333"/>
      <c r="AE693" s="1333"/>
      <c r="AF693" s="1333"/>
      <c r="AG693" s="1333"/>
      <c r="AH693" s="1333"/>
      <c r="AI693" s="1333"/>
      <c r="AJ693" s="1333"/>
    </row>
    <row r="694" spans="1:36" x14ac:dyDescent="0.25">
      <c r="A694" s="1407"/>
      <c r="B694" s="1284"/>
      <c r="C694" s="1284"/>
      <c r="D694" s="1364"/>
      <c r="E694" s="1364"/>
      <c r="F694" s="1364"/>
      <c r="G694" s="1365"/>
      <c r="H694" s="1333"/>
      <c r="I694" s="1333"/>
      <c r="J694" s="1333"/>
      <c r="K694" s="1333"/>
      <c r="L694" s="1382"/>
      <c r="M694" s="1333"/>
      <c r="N694" s="1333"/>
      <c r="O694" s="1333"/>
      <c r="P694" s="1333"/>
      <c r="Q694" s="1333"/>
      <c r="R694" s="1333"/>
      <c r="S694" s="1449"/>
      <c r="T694" s="1333"/>
      <c r="U694" s="1333"/>
      <c r="V694" s="1333"/>
      <c r="W694" s="1333"/>
      <c r="X694" s="1333"/>
      <c r="Y694" s="1333"/>
      <c r="Z694" s="1333"/>
      <c r="AA694" s="1333"/>
      <c r="AB694" s="1333"/>
      <c r="AC694" s="1333"/>
      <c r="AD694" s="1333"/>
      <c r="AE694" s="1333"/>
      <c r="AF694" s="1333"/>
      <c r="AG694" s="1333"/>
      <c r="AH694" s="1333"/>
      <c r="AI694" s="1333"/>
      <c r="AJ694" s="1333"/>
    </row>
    <row r="695" spans="1:36" x14ac:dyDescent="0.25">
      <c r="A695" s="1407"/>
      <c r="B695" s="1284"/>
      <c r="C695" s="1284"/>
      <c r="D695" s="1364"/>
      <c r="E695" s="1364"/>
      <c r="F695" s="1364"/>
      <c r="G695" s="1365"/>
      <c r="H695" s="1333"/>
      <c r="I695" s="1333"/>
      <c r="J695" s="1333"/>
      <c r="K695" s="1333"/>
      <c r="L695" s="1382"/>
      <c r="M695" s="1333"/>
      <c r="N695" s="1333"/>
      <c r="O695" s="1333"/>
      <c r="P695" s="1333"/>
      <c r="Q695" s="1333"/>
      <c r="R695" s="1333"/>
      <c r="S695" s="1449"/>
      <c r="T695" s="1333"/>
      <c r="U695" s="1333"/>
      <c r="V695" s="1333"/>
      <c r="W695" s="1333"/>
      <c r="X695" s="1333"/>
      <c r="Y695" s="1333"/>
      <c r="Z695" s="1333"/>
      <c r="AA695" s="1333"/>
      <c r="AB695" s="1333"/>
      <c r="AC695" s="1333"/>
      <c r="AD695" s="1333"/>
      <c r="AE695" s="1333"/>
      <c r="AF695" s="1333"/>
      <c r="AG695" s="1333"/>
      <c r="AH695" s="1333"/>
      <c r="AI695" s="1333"/>
      <c r="AJ695" s="1333"/>
    </row>
    <row r="696" spans="1:36" x14ac:dyDescent="0.25">
      <c r="A696" s="1407"/>
      <c r="B696" s="1284"/>
      <c r="C696" s="1284"/>
      <c r="D696" s="1364"/>
      <c r="E696" s="1364"/>
      <c r="F696" s="1364"/>
      <c r="G696" s="1365"/>
      <c r="H696" s="1333"/>
      <c r="I696" s="1333"/>
      <c r="J696" s="1333"/>
      <c r="K696" s="1333"/>
      <c r="L696" s="1382"/>
      <c r="M696" s="1333"/>
      <c r="N696" s="1333"/>
      <c r="O696" s="1333"/>
      <c r="P696" s="1333"/>
      <c r="Q696" s="1333"/>
      <c r="R696" s="1333"/>
      <c r="S696" s="1449"/>
      <c r="T696" s="1333"/>
      <c r="U696" s="1333"/>
      <c r="V696" s="1333"/>
      <c r="W696" s="1333"/>
      <c r="X696" s="1333"/>
      <c r="Y696" s="1333"/>
      <c r="Z696" s="1333"/>
      <c r="AA696" s="1333"/>
      <c r="AB696" s="1333"/>
      <c r="AC696" s="1333"/>
      <c r="AD696" s="1333"/>
      <c r="AE696" s="1333"/>
      <c r="AF696" s="1333"/>
      <c r="AG696" s="1333"/>
      <c r="AH696" s="1333"/>
      <c r="AI696" s="1333"/>
      <c r="AJ696" s="1333"/>
    </row>
    <row r="697" spans="1:36" x14ac:dyDescent="0.25">
      <c r="A697" s="1407"/>
      <c r="B697" s="1284"/>
      <c r="C697" s="1284"/>
      <c r="D697" s="1364"/>
      <c r="E697" s="1364"/>
      <c r="F697" s="1364"/>
      <c r="G697" s="1365"/>
      <c r="H697" s="1333"/>
      <c r="I697" s="1333"/>
      <c r="J697" s="1333"/>
      <c r="K697" s="1333"/>
      <c r="L697" s="1382"/>
      <c r="M697" s="1333"/>
      <c r="N697" s="1333"/>
      <c r="O697" s="1333"/>
      <c r="P697" s="1333"/>
      <c r="Q697" s="1333"/>
      <c r="R697" s="1333"/>
      <c r="S697" s="1449"/>
      <c r="T697" s="1333"/>
      <c r="U697" s="1333"/>
      <c r="V697" s="1333"/>
      <c r="W697" s="1333"/>
      <c r="X697" s="1333"/>
      <c r="Y697" s="1333"/>
      <c r="Z697" s="1333"/>
      <c r="AA697" s="1333"/>
      <c r="AB697" s="1333"/>
      <c r="AC697" s="1333"/>
      <c r="AD697" s="1333"/>
      <c r="AE697" s="1333"/>
      <c r="AF697" s="1333"/>
      <c r="AG697" s="1333"/>
      <c r="AH697" s="1333"/>
      <c r="AI697" s="1333"/>
      <c r="AJ697" s="1333"/>
    </row>
    <row r="698" spans="1:36" x14ac:dyDescent="0.25">
      <c r="A698" s="1407"/>
      <c r="B698" s="1284"/>
      <c r="C698" s="1284"/>
      <c r="D698" s="1364"/>
      <c r="E698" s="1364"/>
      <c r="F698" s="1364"/>
      <c r="G698" s="1365"/>
      <c r="H698" s="1333"/>
      <c r="I698" s="1333"/>
      <c r="J698" s="1333"/>
      <c r="K698" s="1333"/>
      <c r="L698" s="1382"/>
      <c r="M698" s="1333"/>
      <c r="N698" s="1333"/>
      <c r="O698" s="1333"/>
      <c r="P698" s="1333"/>
      <c r="Q698" s="1333"/>
      <c r="R698" s="1333"/>
      <c r="S698" s="1449"/>
      <c r="T698" s="1333"/>
      <c r="U698" s="1333"/>
      <c r="V698" s="1333"/>
      <c r="W698" s="1333"/>
      <c r="X698" s="1333"/>
      <c r="Y698" s="1333"/>
      <c r="Z698" s="1333"/>
      <c r="AA698" s="1333"/>
      <c r="AB698" s="1333"/>
      <c r="AC698" s="1333"/>
      <c r="AD698" s="1333"/>
      <c r="AE698" s="1333"/>
      <c r="AF698" s="1333"/>
      <c r="AG698" s="1333"/>
      <c r="AH698" s="1333"/>
      <c r="AI698" s="1333"/>
      <c r="AJ698" s="1333"/>
    </row>
    <row r="699" spans="1:36" x14ac:dyDescent="0.25">
      <c r="A699" s="1407"/>
      <c r="B699" s="1284"/>
      <c r="C699" s="1284"/>
      <c r="D699" s="1364"/>
      <c r="E699" s="1364"/>
      <c r="F699" s="1364"/>
      <c r="G699" s="1365"/>
      <c r="H699" s="1333"/>
      <c r="I699" s="1333"/>
      <c r="J699" s="1333"/>
      <c r="K699" s="1333"/>
      <c r="L699" s="1382"/>
      <c r="M699" s="1333"/>
      <c r="N699" s="1333"/>
      <c r="O699" s="1333"/>
      <c r="P699" s="1333"/>
      <c r="Q699" s="1333"/>
      <c r="R699" s="1333"/>
      <c r="S699" s="1449"/>
      <c r="T699" s="1333"/>
      <c r="U699" s="1333"/>
      <c r="V699" s="1333"/>
      <c r="W699" s="1333"/>
      <c r="X699" s="1333"/>
      <c r="Y699" s="1333"/>
      <c r="Z699" s="1333"/>
      <c r="AA699" s="1333"/>
      <c r="AB699" s="1333"/>
      <c r="AC699" s="1333"/>
      <c r="AD699" s="1333"/>
      <c r="AE699" s="1333"/>
      <c r="AF699" s="1333"/>
      <c r="AG699" s="1333"/>
      <c r="AH699" s="1333"/>
      <c r="AI699" s="1333"/>
      <c r="AJ699" s="1333"/>
    </row>
    <row r="700" spans="1:36" x14ac:dyDescent="0.25">
      <c r="A700" s="1407"/>
      <c r="B700" s="1284"/>
      <c r="C700" s="1284"/>
      <c r="D700" s="1364"/>
      <c r="E700" s="1364"/>
      <c r="F700" s="1364"/>
      <c r="G700" s="1365"/>
      <c r="H700" s="1333"/>
      <c r="I700" s="1333"/>
      <c r="J700" s="1333"/>
      <c r="K700" s="1333"/>
      <c r="L700" s="1382"/>
      <c r="M700" s="1333"/>
      <c r="N700" s="1333"/>
      <c r="O700" s="1333"/>
      <c r="P700" s="1333"/>
      <c r="Q700" s="1333"/>
      <c r="R700" s="1333"/>
      <c r="S700" s="1449"/>
      <c r="T700" s="1333"/>
      <c r="U700" s="1333"/>
      <c r="V700" s="1333"/>
      <c r="W700" s="1333"/>
      <c r="X700" s="1333"/>
      <c r="Y700" s="1333"/>
      <c r="Z700" s="1333"/>
      <c r="AA700" s="1333"/>
      <c r="AB700" s="1333"/>
      <c r="AC700" s="1333"/>
      <c r="AD700" s="1333"/>
      <c r="AE700" s="1333"/>
      <c r="AF700" s="1333"/>
      <c r="AG700" s="1333"/>
      <c r="AH700" s="1333"/>
      <c r="AI700" s="1333"/>
      <c r="AJ700" s="1333"/>
    </row>
    <row r="701" spans="1:36" x14ac:dyDescent="0.25">
      <c r="A701" s="1407"/>
      <c r="B701" s="1284"/>
      <c r="C701" s="1284"/>
      <c r="D701" s="1364"/>
      <c r="E701" s="1364"/>
      <c r="F701" s="1364"/>
      <c r="G701" s="1365"/>
      <c r="H701" s="1333"/>
      <c r="I701" s="1333"/>
      <c r="J701" s="1333"/>
      <c r="K701" s="1333"/>
      <c r="L701" s="1382"/>
      <c r="M701" s="1333"/>
      <c r="N701" s="1333"/>
      <c r="O701" s="1333"/>
      <c r="P701" s="1333"/>
      <c r="Q701" s="1333"/>
      <c r="R701" s="1333"/>
      <c r="S701" s="1449"/>
      <c r="T701" s="1333"/>
      <c r="U701" s="1333"/>
      <c r="V701" s="1333"/>
      <c r="W701" s="1333"/>
      <c r="X701" s="1333"/>
      <c r="Y701" s="1333"/>
      <c r="Z701" s="1333"/>
      <c r="AA701" s="1333"/>
      <c r="AB701" s="1333"/>
      <c r="AC701" s="1333"/>
      <c r="AD701" s="1333"/>
      <c r="AE701" s="1333"/>
      <c r="AF701" s="1333"/>
      <c r="AG701" s="1333"/>
      <c r="AH701" s="1333"/>
      <c r="AI701" s="1333"/>
      <c r="AJ701" s="1333"/>
    </row>
    <row r="702" spans="1:36" x14ac:dyDescent="0.25">
      <c r="A702" s="1407"/>
      <c r="B702" s="1284"/>
      <c r="C702" s="1284"/>
      <c r="D702" s="1364"/>
      <c r="E702" s="1364"/>
      <c r="F702" s="1364"/>
      <c r="G702" s="1365"/>
      <c r="H702" s="1333"/>
      <c r="I702" s="1333"/>
      <c r="J702" s="1333"/>
      <c r="K702" s="1333"/>
      <c r="L702" s="1382"/>
      <c r="M702" s="1333"/>
      <c r="N702" s="1333"/>
      <c r="O702" s="1333"/>
      <c r="P702" s="1333"/>
      <c r="Q702" s="1333"/>
      <c r="R702" s="1333"/>
      <c r="S702" s="1449"/>
      <c r="T702" s="1333"/>
      <c r="U702" s="1333"/>
      <c r="V702" s="1333"/>
      <c r="W702" s="1333"/>
      <c r="X702" s="1333"/>
      <c r="Y702" s="1333"/>
      <c r="Z702" s="1333"/>
      <c r="AA702" s="1333"/>
      <c r="AB702" s="1333"/>
      <c r="AC702" s="1333"/>
      <c r="AD702" s="1333"/>
      <c r="AE702" s="1333"/>
      <c r="AF702" s="1333"/>
      <c r="AG702" s="1333"/>
      <c r="AH702" s="1333"/>
      <c r="AI702" s="1333"/>
      <c r="AJ702" s="1333"/>
    </row>
    <row r="703" spans="1:36" x14ac:dyDescent="0.25">
      <c r="A703" s="1407"/>
      <c r="B703" s="1284"/>
      <c r="C703" s="1284"/>
      <c r="D703" s="1364"/>
      <c r="E703" s="1364"/>
      <c r="F703" s="1364"/>
      <c r="G703" s="1365"/>
      <c r="H703" s="1333"/>
      <c r="I703" s="1333"/>
      <c r="J703" s="1333"/>
      <c r="K703" s="1333"/>
      <c r="L703" s="1382"/>
      <c r="M703" s="1333"/>
      <c r="N703" s="1333"/>
      <c r="O703" s="1333"/>
      <c r="P703" s="1333"/>
      <c r="Q703" s="1333"/>
      <c r="R703" s="1333"/>
      <c r="S703" s="1449"/>
      <c r="T703" s="1333"/>
      <c r="U703" s="1333"/>
      <c r="V703" s="1333"/>
      <c r="W703" s="1333"/>
      <c r="X703" s="1333"/>
      <c r="Y703" s="1333"/>
      <c r="Z703" s="1333"/>
      <c r="AA703" s="1333"/>
      <c r="AB703" s="1333"/>
      <c r="AC703" s="1333"/>
      <c r="AD703" s="1333"/>
      <c r="AE703" s="1333"/>
      <c r="AF703" s="1333"/>
      <c r="AG703" s="1333"/>
      <c r="AH703" s="1333"/>
      <c r="AI703" s="1333"/>
      <c r="AJ703" s="1333"/>
    </row>
    <row r="704" spans="1:36" x14ac:dyDescent="0.25">
      <c r="A704" s="1407"/>
      <c r="B704" s="1284"/>
      <c r="C704" s="1284"/>
      <c r="D704" s="1364"/>
      <c r="E704" s="1364"/>
      <c r="F704" s="1364"/>
      <c r="G704" s="1365"/>
      <c r="H704" s="1333"/>
      <c r="I704" s="1333"/>
      <c r="J704" s="1333"/>
      <c r="K704" s="1333"/>
      <c r="L704" s="1382"/>
      <c r="M704" s="1333"/>
      <c r="N704" s="1333"/>
      <c r="O704" s="1333"/>
      <c r="P704" s="1333"/>
      <c r="Q704" s="1333"/>
      <c r="R704" s="1333"/>
      <c r="S704" s="1449"/>
      <c r="T704" s="1333"/>
      <c r="U704" s="1333"/>
      <c r="V704" s="1333"/>
      <c r="W704" s="1333"/>
      <c r="X704" s="1333"/>
      <c r="Y704" s="1333"/>
      <c r="Z704" s="1333"/>
      <c r="AA704" s="1333"/>
      <c r="AB704" s="1333"/>
      <c r="AC704" s="1333"/>
      <c r="AD704" s="1333"/>
      <c r="AE704" s="1333"/>
      <c r="AF704" s="1333"/>
      <c r="AG704" s="1333"/>
      <c r="AH704" s="1333"/>
      <c r="AI704" s="1333"/>
      <c r="AJ704" s="1333"/>
    </row>
    <row r="705" spans="1:36" x14ac:dyDescent="0.25">
      <c r="A705" s="1407"/>
      <c r="B705" s="1284"/>
      <c r="C705" s="1284"/>
      <c r="D705" s="1364"/>
      <c r="E705" s="1364"/>
      <c r="F705" s="1364"/>
      <c r="G705" s="1365"/>
      <c r="H705" s="1333"/>
      <c r="I705" s="1333"/>
      <c r="J705" s="1333"/>
      <c r="K705" s="1333"/>
      <c r="L705" s="1382"/>
      <c r="M705" s="1333"/>
      <c r="N705" s="1333"/>
      <c r="O705" s="1333"/>
      <c r="P705" s="1333"/>
      <c r="Q705" s="1333"/>
      <c r="R705" s="1333"/>
      <c r="S705" s="1449"/>
      <c r="T705" s="1333"/>
      <c r="U705" s="1333"/>
      <c r="V705" s="1333"/>
      <c r="W705" s="1333"/>
      <c r="X705" s="1333"/>
      <c r="Y705" s="1333"/>
      <c r="Z705" s="1333"/>
      <c r="AA705" s="1333"/>
      <c r="AB705" s="1333"/>
      <c r="AC705" s="1333"/>
      <c r="AD705" s="1333"/>
      <c r="AE705" s="1333"/>
      <c r="AF705" s="1333"/>
      <c r="AG705" s="1333"/>
      <c r="AH705" s="1333"/>
      <c r="AI705" s="1333"/>
      <c r="AJ705" s="1333"/>
    </row>
    <row r="706" spans="1:36" x14ac:dyDescent="0.25">
      <c r="A706" s="1407"/>
      <c r="B706" s="1284"/>
      <c r="C706" s="1284"/>
      <c r="D706" s="1364"/>
      <c r="E706" s="1364"/>
      <c r="F706" s="1364"/>
      <c r="G706" s="1365"/>
      <c r="H706" s="1333"/>
      <c r="I706" s="1333"/>
      <c r="J706" s="1333"/>
      <c r="K706" s="1333"/>
      <c r="L706" s="1382"/>
      <c r="M706" s="1333"/>
      <c r="N706" s="1333"/>
      <c r="O706" s="1333"/>
      <c r="P706" s="1333"/>
      <c r="Q706" s="1333"/>
      <c r="R706" s="1333"/>
      <c r="S706" s="1449"/>
      <c r="T706" s="1333"/>
      <c r="U706" s="1333"/>
      <c r="V706" s="1333"/>
      <c r="W706" s="1333"/>
      <c r="X706" s="1333"/>
      <c r="Y706" s="1333"/>
      <c r="Z706" s="1333"/>
      <c r="AA706" s="1333"/>
      <c r="AB706" s="1333"/>
      <c r="AC706" s="1333"/>
      <c r="AD706" s="1333"/>
      <c r="AE706" s="1333"/>
      <c r="AF706" s="1333"/>
      <c r="AG706" s="1333"/>
      <c r="AH706" s="1333"/>
      <c r="AI706" s="1333"/>
      <c r="AJ706" s="1333"/>
    </row>
    <row r="707" spans="1:36" x14ac:dyDescent="0.25">
      <c r="A707" s="1407"/>
      <c r="B707" s="1284"/>
      <c r="C707" s="1284"/>
      <c r="D707" s="1364"/>
      <c r="E707" s="1364"/>
      <c r="F707" s="1364"/>
      <c r="G707" s="1365"/>
      <c r="H707" s="1333"/>
      <c r="I707" s="1333"/>
      <c r="J707" s="1333"/>
      <c r="K707" s="1333"/>
      <c r="L707" s="1382"/>
      <c r="M707" s="1333"/>
      <c r="N707" s="1333"/>
      <c r="O707" s="1333"/>
      <c r="P707" s="1333"/>
      <c r="Q707" s="1333"/>
      <c r="R707" s="1333"/>
      <c r="S707" s="1449"/>
      <c r="T707" s="1333"/>
      <c r="U707" s="1333"/>
      <c r="V707" s="1333"/>
      <c r="W707" s="1333"/>
      <c r="X707" s="1333"/>
      <c r="Y707" s="1333"/>
      <c r="Z707" s="1333"/>
      <c r="AA707" s="1333"/>
      <c r="AB707" s="1333"/>
      <c r="AC707" s="1333"/>
      <c r="AD707" s="1333"/>
      <c r="AE707" s="1333"/>
      <c r="AF707" s="1333"/>
      <c r="AG707" s="1333"/>
      <c r="AH707" s="1333"/>
      <c r="AI707" s="1333"/>
      <c r="AJ707" s="1333"/>
    </row>
    <row r="708" spans="1:36" x14ac:dyDescent="0.25">
      <c r="A708" s="1407"/>
      <c r="B708" s="1284"/>
      <c r="C708" s="1284"/>
      <c r="D708" s="1364"/>
      <c r="E708" s="1364"/>
      <c r="F708" s="1364"/>
      <c r="G708" s="1365"/>
      <c r="H708" s="1333"/>
      <c r="I708" s="1333"/>
      <c r="J708" s="1333"/>
      <c r="K708" s="1333"/>
      <c r="L708" s="1382"/>
      <c r="M708" s="1333"/>
      <c r="N708" s="1333"/>
      <c r="O708" s="1333"/>
      <c r="P708" s="1333"/>
      <c r="Q708" s="1333"/>
      <c r="R708" s="1333"/>
      <c r="S708" s="1449"/>
      <c r="T708" s="1333"/>
      <c r="U708" s="1333"/>
      <c r="V708" s="1333"/>
      <c r="W708" s="1333"/>
      <c r="X708" s="1333"/>
      <c r="Y708" s="1333"/>
      <c r="Z708" s="1333"/>
      <c r="AA708" s="1333"/>
      <c r="AB708" s="1333"/>
      <c r="AC708" s="1333"/>
      <c r="AD708" s="1333"/>
      <c r="AE708" s="1333"/>
      <c r="AF708" s="1333"/>
      <c r="AG708" s="1333"/>
      <c r="AH708" s="1333"/>
      <c r="AI708" s="1333"/>
      <c r="AJ708" s="1333"/>
    </row>
    <row r="709" spans="1:36" x14ac:dyDescent="0.25">
      <c r="A709" s="1407"/>
      <c r="B709" s="1284"/>
      <c r="C709" s="1284"/>
      <c r="D709" s="1364"/>
      <c r="E709" s="1364"/>
      <c r="F709" s="1364"/>
      <c r="G709" s="1365"/>
      <c r="H709" s="1333"/>
      <c r="I709" s="1333"/>
      <c r="J709" s="1333"/>
      <c r="K709" s="1333"/>
      <c r="L709" s="1382"/>
      <c r="M709" s="1333"/>
      <c r="N709" s="1333"/>
      <c r="O709" s="1333"/>
      <c r="P709" s="1333"/>
      <c r="Q709" s="1333"/>
      <c r="R709" s="1333"/>
      <c r="S709" s="1449"/>
      <c r="T709" s="1333"/>
      <c r="U709" s="1333"/>
      <c r="V709" s="1333"/>
      <c r="W709" s="1333"/>
      <c r="X709" s="1333"/>
      <c r="Y709" s="1333"/>
      <c r="Z709" s="1333"/>
      <c r="AA709" s="1333"/>
      <c r="AB709" s="1333"/>
      <c r="AC709" s="1333"/>
      <c r="AD709" s="1333"/>
      <c r="AE709" s="1333"/>
      <c r="AF709" s="1333"/>
      <c r="AG709" s="1333"/>
      <c r="AH709" s="1333"/>
      <c r="AI709" s="1333"/>
      <c r="AJ709" s="1333"/>
    </row>
    <row r="710" spans="1:36" x14ac:dyDescent="0.25">
      <c r="A710" s="1407"/>
      <c r="B710" s="1284"/>
      <c r="C710" s="1284"/>
      <c r="D710" s="1364"/>
      <c r="E710" s="1364"/>
      <c r="F710" s="1364"/>
      <c r="G710" s="1365"/>
      <c r="H710" s="1333"/>
      <c r="I710" s="1333"/>
      <c r="J710" s="1333"/>
      <c r="K710" s="1333"/>
      <c r="L710" s="1382"/>
      <c r="M710" s="1333"/>
      <c r="N710" s="1333"/>
      <c r="O710" s="1333"/>
      <c r="P710" s="1333"/>
      <c r="Q710" s="1333"/>
      <c r="R710" s="1333"/>
      <c r="S710" s="1449"/>
      <c r="T710" s="1333"/>
      <c r="U710" s="1333"/>
      <c r="V710" s="1333"/>
      <c r="W710" s="1333"/>
      <c r="X710" s="1333"/>
      <c r="Y710" s="1333"/>
      <c r="Z710" s="1333"/>
      <c r="AA710" s="1333"/>
      <c r="AB710" s="1333"/>
      <c r="AC710" s="1333"/>
      <c r="AD710" s="1333"/>
      <c r="AE710" s="1333"/>
      <c r="AF710" s="1333"/>
      <c r="AG710" s="1333"/>
      <c r="AH710" s="1333"/>
      <c r="AI710" s="1333"/>
      <c r="AJ710" s="1333"/>
    </row>
    <row r="711" spans="1:36" x14ac:dyDescent="0.25">
      <c r="A711" s="1407"/>
      <c r="B711" s="1284"/>
      <c r="C711" s="1284"/>
      <c r="D711" s="1364"/>
      <c r="E711" s="1364"/>
      <c r="F711" s="1364"/>
      <c r="G711" s="1365"/>
      <c r="H711" s="1333"/>
      <c r="I711" s="1333"/>
      <c r="J711" s="1333"/>
      <c r="K711" s="1333"/>
      <c r="L711" s="1382"/>
      <c r="M711" s="1333"/>
      <c r="N711" s="1333"/>
      <c r="O711" s="1333"/>
      <c r="P711" s="1333"/>
      <c r="Q711" s="1333"/>
      <c r="R711" s="1333"/>
      <c r="S711" s="1449"/>
      <c r="T711" s="1333"/>
      <c r="U711" s="1333"/>
      <c r="V711" s="1333"/>
      <c r="W711" s="1333"/>
      <c r="X711" s="1333"/>
      <c r="Y711" s="1333"/>
      <c r="Z711" s="1333"/>
      <c r="AA711" s="1333"/>
      <c r="AB711" s="1333"/>
      <c r="AC711" s="1333"/>
      <c r="AD711" s="1333"/>
      <c r="AE711" s="1333"/>
      <c r="AF711" s="1333"/>
      <c r="AG711" s="1333"/>
      <c r="AH711" s="1333"/>
      <c r="AI711" s="1333"/>
      <c r="AJ711" s="1333"/>
    </row>
    <row r="712" spans="1:36" x14ac:dyDescent="0.25">
      <c r="A712" s="1407"/>
      <c r="B712" s="1284"/>
      <c r="C712" s="1284"/>
      <c r="D712" s="1364"/>
      <c r="E712" s="1364"/>
      <c r="F712" s="1364"/>
      <c r="G712" s="1365"/>
      <c r="H712" s="1333"/>
      <c r="I712" s="1333"/>
      <c r="J712" s="1333"/>
      <c r="K712" s="1333"/>
      <c r="L712" s="1382"/>
      <c r="M712" s="1333"/>
      <c r="N712" s="1333"/>
      <c r="O712" s="1333"/>
      <c r="P712" s="1333"/>
      <c r="Q712" s="1333"/>
      <c r="R712" s="1333"/>
      <c r="S712" s="1449"/>
      <c r="T712" s="1333"/>
      <c r="U712" s="1333"/>
      <c r="V712" s="1333"/>
      <c r="W712" s="1333"/>
      <c r="X712" s="1333"/>
      <c r="Y712" s="1333"/>
      <c r="Z712" s="1333"/>
      <c r="AA712" s="1333"/>
      <c r="AB712" s="1333"/>
      <c r="AC712" s="1333"/>
      <c r="AD712" s="1333"/>
      <c r="AE712" s="1333"/>
      <c r="AF712" s="1333"/>
      <c r="AG712" s="1333"/>
      <c r="AH712" s="1333"/>
      <c r="AI712" s="1333"/>
      <c r="AJ712" s="1333"/>
    </row>
    <row r="713" spans="1:36" x14ac:dyDescent="0.25">
      <c r="A713" s="1407"/>
      <c r="B713" s="1284"/>
      <c r="C713" s="1284"/>
      <c r="D713" s="1364"/>
      <c r="E713" s="1364"/>
      <c r="F713" s="1364"/>
      <c r="G713" s="1365"/>
      <c r="H713" s="1333"/>
      <c r="I713" s="1333"/>
      <c r="J713" s="1333"/>
      <c r="K713" s="1333"/>
      <c r="L713" s="1382"/>
      <c r="M713" s="1333"/>
      <c r="N713" s="1333"/>
      <c r="O713" s="1333"/>
      <c r="P713" s="1333"/>
      <c r="Q713" s="1333"/>
      <c r="R713" s="1333"/>
      <c r="S713" s="1449"/>
      <c r="T713" s="1333"/>
      <c r="U713" s="1333"/>
      <c r="V713" s="1333"/>
      <c r="W713" s="1333"/>
      <c r="X713" s="1333"/>
      <c r="Y713" s="1333"/>
      <c r="Z713" s="1333"/>
      <c r="AA713" s="1333"/>
      <c r="AB713" s="1333"/>
      <c r="AC713" s="1333"/>
      <c r="AD713" s="1333"/>
      <c r="AE713" s="1333"/>
      <c r="AF713" s="1333"/>
      <c r="AG713" s="1333"/>
      <c r="AH713" s="1333"/>
      <c r="AI713" s="1333"/>
      <c r="AJ713" s="1333"/>
    </row>
    <row r="714" spans="1:36" x14ac:dyDescent="0.25">
      <c r="A714" s="1407"/>
      <c r="B714" s="1284"/>
      <c r="C714" s="1284"/>
      <c r="D714" s="1364"/>
      <c r="E714" s="1364"/>
      <c r="F714" s="1364"/>
      <c r="G714" s="1365"/>
      <c r="H714" s="1333"/>
      <c r="I714" s="1333"/>
      <c r="J714" s="1333"/>
      <c r="K714" s="1333"/>
      <c r="L714" s="1382"/>
      <c r="M714" s="1333"/>
      <c r="N714" s="1333"/>
      <c r="O714" s="1333"/>
      <c r="P714" s="1333"/>
      <c r="Q714" s="1333"/>
      <c r="R714" s="1333"/>
      <c r="S714" s="1449"/>
      <c r="T714" s="1333"/>
      <c r="U714" s="1333"/>
      <c r="V714" s="1333"/>
      <c r="W714" s="1333"/>
      <c r="X714" s="1333"/>
      <c r="Y714" s="1333"/>
      <c r="Z714" s="1333"/>
      <c r="AA714" s="1333"/>
      <c r="AB714" s="1333"/>
      <c r="AC714" s="1333"/>
      <c r="AD714" s="1333"/>
      <c r="AE714" s="1333"/>
      <c r="AF714" s="1333"/>
      <c r="AG714" s="1333"/>
      <c r="AH714" s="1333"/>
      <c r="AI714" s="1333"/>
      <c r="AJ714" s="1333"/>
    </row>
    <row r="715" spans="1:36" x14ac:dyDescent="0.25">
      <c r="A715" s="1407"/>
      <c r="B715" s="1284"/>
      <c r="C715" s="1284"/>
      <c r="D715" s="1364"/>
      <c r="E715" s="1364"/>
      <c r="F715" s="1364"/>
      <c r="G715" s="1365"/>
      <c r="H715" s="1333"/>
      <c r="I715" s="1333"/>
      <c r="J715" s="1333"/>
      <c r="K715" s="1333"/>
      <c r="L715" s="1382"/>
      <c r="M715" s="1333"/>
      <c r="N715" s="1333"/>
      <c r="O715" s="1333"/>
      <c r="P715" s="1333"/>
      <c r="Q715" s="1333"/>
      <c r="R715" s="1333"/>
      <c r="S715" s="1449"/>
      <c r="T715" s="1333"/>
      <c r="U715" s="1333"/>
      <c r="V715" s="1333"/>
      <c r="W715" s="1333"/>
      <c r="X715" s="1333"/>
      <c r="Y715" s="1333"/>
      <c r="Z715" s="1333"/>
      <c r="AA715" s="1333"/>
      <c r="AB715" s="1333"/>
      <c r="AC715" s="1333"/>
      <c r="AD715" s="1333"/>
      <c r="AE715" s="1333"/>
      <c r="AF715" s="1333"/>
      <c r="AG715" s="1333"/>
      <c r="AH715" s="1333"/>
      <c r="AI715" s="1333"/>
      <c r="AJ715" s="1333"/>
    </row>
    <row r="716" spans="1:36" x14ac:dyDescent="0.25">
      <c r="A716" s="1407"/>
      <c r="B716" s="1284"/>
      <c r="C716" s="1284"/>
      <c r="D716" s="1364"/>
      <c r="E716" s="1364"/>
      <c r="F716" s="1364"/>
      <c r="G716" s="1365"/>
      <c r="H716" s="1333"/>
      <c r="I716" s="1333"/>
      <c r="J716" s="1333"/>
      <c r="K716" s="1333"/>
      <c r="L716" s="1382"/>
      <c r="M716" s="1333"/>
      <c r="N716" s="1333"/>
      <c r="O716" s="1333"/>
      <c r="P716" s="1333"/>
      <c r="Q716" s="1333"/>
      <c r="R716" s="1333"/>
      <c r="S716" s="1449"/>
      <c r="T716" s="1333"/>
      <c r="U716" s="1333"/>
      <c r="V716" s="1333"/>
      <c r="W716" s="1333"/>
      <c r="X716" s="1333"/>
      <c r="Y716" s="1333"/>
      <c r="Z716" s="1333"/>
      <c r="AA716" s="1333"/>
      <c r="AB716" s="1333"/>
      <c r="AC716" s="1333"/>
      <c r="AD716" s="1333"/>
      <c r="AE716" s="1333"/>
      <c r="AF716" s="1333"/>
      <c r="AG716" s="1333"/>
      <c r="AH716" s="1333"/>
      <c r="AI716" s="1333"/>
      <c r="AJ716" s="1333"/>
    </row>
    <row r="717" spans="1:36" x14ac:dyDescent="0.25">
      <c r="A717" s="1407"/>
      <c r="B717" s="1284"/>
      <c r="C717" s="1284"/>
      <c r="D717" s="1364"/>
      <c r="E717" s="1364"/>
      <c r="F717" s="1364"/>
      <c r="G717" s="1365"/>
      <c r="H717" s="1333"/>
      <c r="I717" s="1333"/>
      <c r="J717" s="1333"/>
      <c r="K717" s="1333"/>
      <c r="L717" s="1382"/>
      <c r="M717" s="1333"/>
      <c r="N717" s="1333"/>
      <c r="O717" s="1333"/>
      <c r="P717" s="1333"/>
      <c r="Q717" s="1333"/>
      <c r="R717" s="1333"/>
      <c r="S717" s="1449"/>
      <c r="T717" s="1333"/>
      <c r="U717" s="1333"/>
      <c r="V717" s="1333"/>
      <c r="W717" s="1333"/>
      <c r="X717" s="1333"/>
      <c r="Y717" s="1333"/>
      <c r="Z717" s="1333"/>
      <c r="AA717" s="1333"/>
      <c r="AB717" s="1333"/>
      <c r="AC717" s="1333"/>
      <c r="AD717" s="1333"/>
      <c r="AE717" s="1333"/>
      <c r="AF717" s="1333"/>
      <c r="AG717" s="1333"/>
      <c r="AH717" s="1333"/>
      <c r="AI717" s="1333"/>
      <c r="AJ717" s="1333"/>
    </row>
    <row r="718" spans="1:36" x14ac:dyDescent="0.25">
      <c r="A718" s="1407"/>
      <c r="B718" s="1284"/>
      <c r="C718" s="1284"/>
      <c r="D718" s="1364"/>
      <c r="E718" s="1364"/>
      <c r="F718" s="1364"/>
      <c r="G718" s="1365"/>
      <c r="H718" s="1333"/>
      <c r="I718" s="1333"/>
      <c r="J718" s="1333"/>
      <c r="K718" s="1333"/>
      <c r="L718" s="1382"/>
      <c r="M718" s="1333"/>
      <c r="N718" s="1333"/>
      <c r="O718" s="1333"/>
      <c r="P718" s="1333"/>
      <c r="Q718" s="1333"/>
      <c r="R718" s="1333"/>
      <c r="S718" s="1449"/>
      <c r="T718" s="1333"/>
      <c r="U718" s="1333"/>
      <c r="V718" s="1333"/>
      <c r="W718" s="1333"/>
      <c r="X718" s="1333"/>
      <c r="Y718" s="1333"/>
      <c r="Z718" s="1333"/>
      <c r="AA718" s="1333"/>
      <c r="AB718" s="1333"/>
      <c r="AC718" s="1333"/>
      <c r="AD718" s="1333"/>
      <c r="AE718" s="1333"/>
      <c r="AF718" s="1333"/>
      <c r="AG718" s="1333"/>
      <c r="AH718" s="1333"/>
      <c r="AI718" s="1333"/>
      <c r="AJ718" s="1333"/>
    </row>
    <row r="719" spans="1:36" x14ac:dyDescent="0.25">
      <c r="A719" s="1407"/>
      <c r="B719" s="1284"/>
      <c r="C719" s="1284"/>
      <c r="D719" s="1364"/>
      <c r="E719" s="1364"/>
      <c r="F719" s="1364"/>
      <c r="G719" s="1365"/>
      <c r="H719" s="1333"/>
      <c r="I719" s="1333"/>
      <c r="J719" s="1333"/>
      <c r="K719" s="1333"/>
      <c r="L719" s="1382"/>
      <c r="M719" s="1333"/>
      <c r="N719" s="1333"/>
      <c r="O719" s="1333"/>
      <c r="P719" s="1333"/>
      <c r="Q719" s="1333"/>
      <c r="R719" s="1333"/>
      <c r="S719" s="1449"/>
      <c r="T719" s="1333"/>
      <c r="U719" s="1333"/>
      <c r="V719" s="1333"/>
      <c r="W719" s="1333"/>
      <c r="X719" s="1333"/>
      <c r="Y719" s="1333"/>
      <c r="Z719" s="1333"/>
      <c r="AA719" s="1333"/>
      <c r="AB719" s="1333"/>
      <c r="AC719" s="1333"/>
      <c r="AD719" s="1333"/>
      <c r="AE719" s="1333"/>
      <c r="AF719" s="1333"/>
      <c r="AG719" s="1333"/>
      <c r="AH719" s="1333"/>
      <c r="AI719" s="1333"/>
      <c r="AJ719" s="1333"/>
    </row>
    <row r="720" spans="1:36" x14ac:dyDescent="0.25">
      <c r="A720" s="1407"/>
      <c r="B720" s="1284"/>
      <c r="C720" s="1284"/>
      <c r="D720" s="1364"/>
      <c r="E720" s="1364"/>
      <c r="F720" s="1364"/>
      <c r="G720" s="1365"/>
      <c r="H720" s="1333"/>
      <c r="I720" s="1333"/>
      <c r="J720" s="1333"/>
      <c r="K720" s="1333"/>
      <c r="L720" s="1382"/>
      <c r="M720" s="1333"/>
      <c r="N720" s="1333"/>
      <c r="O720" s="1333"/>
      <c r="P720" s="1333"/>
      <c r="Q720" s="1333"/>
      <c r="R720" s="1333"/>
      <c r="S720" s="1449"/>
      <c r="T720" s="1333"/>
      <c r="U720" s="1333"/>
      <c r="V720" s="1333"/>
      <c r="W720" s="1333"/>
      <c r="X720" s="1333"/>
      <c r="Y720" s="1333"/>
      <c r="Z720" s="1333"/>
      <c r="AA720" s="1333"/>
      <c r="AB720" s="1333"/>
      <c r="AC720" s="1333"/>
      <c r="AD720" s="1333"/>
      <c r="AE720" s="1333"/>
      <c r="AF720" s="1333"/>
      <c r="AG720" s="1333"/>
      <c r="AH720" s="1333"/>
      <c r="AI720" s="1333"/>
      <c r="AJ720" s="1333"/>
    </row>
    <row r="721" spans="1:36" x14ac:dyDescent="0.25">
      <c r="A721" s="1407"/>
      <c r="B721" s="1284"/>
      <c r="C721" s="1284"/>
      <c r="D721" s="1364"/>
      <c r="E721" s="1364"/>
      <c r="F721" s="1364"/>
      <c r="G721" s="1365"/>
      <c r="H721" s="1333"/>
      <c r="I721" s="1333"/>
      <c r="J721" s="1333"/>
      <c r="K721" s="1333"/>
      <c r="L721" s="1382"/>
      <c r="M721" s="1333"/>
      <c r="N721" s="1333"/>
      <c r="O721" s="1333"/>
      <c r="P721" s="1333"/>
      <c r="Q721" s="1333"/>
      <c r="R721" s="1333"/>
      <c r="S721" s="1449"/>
      <c r="T721" s="1333"/>
      <c r="U721" s="1333"/>
      <c r="V721" s="1333"/>
      <c r="W721" s="1333"/>
      <c r="X721" s="1333"/>
      <c r="Y721" s="1333"/>
      <c r="Z721" s="1333"/>
      <c r="AA721" s="1333"/>
      <c r="AB721" s="1333"/>
      <c r="AC721" s="1333"/>
      <c r="AD721" s="1333"/>
      <c r="AE721" s="1333"/>
      <c r="AF721" s="1333"/>
      <c r="AG721" s="1333"/>
      <c r="AH721" s="1333"/>
      <c r="AI721" s="1333"/>
      <c r="AJ721" s="1333"/>
    </row>
    <row r="722" spans="1:36" x14ac:dyDescent="0.25">
      <c r="A722" s="1407"/>
      <c r="B722" s="1284"/>
      <c r="C722" s="1284"/>
      <c r="D722" s="1364"/>
      <c r="E722" s="1364"/>
      <c r="F722" s="1364"/>
      <c r="G722" s="1365"/>
      <c r="H722" s="1333"/>
      <c r="I722" s="1333"/>
      <c r="J722" s="1333"/>
      <c r="K722" s="1333"/>
      <c r="L722" s="1382"/>
      <c r="M722" s="1333"/>
      <c r="N722" s="1333"/>
      <c r="O722" s="1333"/>
      <c r="P722" s="1333"/>
      <c r="Q722" s="1333"/>
      <c r="R722" s="1333"/>
      <c r="S722" s="1449"/>
      <c r="T722" s="1333"/>
      <c r="U722" s="1333"/>
      <c r="V722" s="1333"/>
      <c r="W722" s="1333"/>
      <c r="X722" s="1333"/>
      <c r="Y722" s="1333"/>
      <c r="Z722" s="1333"/>
      <c r="AA722" s="1333"/>
      <c r="AB722" s="1333"/>
      <c r="AC722" s="1333"/>
      <c r="AD722" s="1333"/>
      <c r="AE722" s="1333"/>
      <c r="AF722" s="1333"/>
      <c r="AG722" s="1333"/>
      <c r="AH722" s="1333"/>
      <c r="AI722" s="1333"/>
      <c r="AJ722" s="1333"/>
    </row>
    <row r="723" spans="1:36" x14ac:dyDescent="0.25">
      <c r="A723" s="1407"/>
      <c r="B723" s="1284"/>
      <c r="C723" s="1284"/>
      <c r="D723" s="1364"/>
      <c r="E723" s="1364"/>
      <c r="F723" s="1364"/>
      <c r="G723" s="1365"/>
      <c r="H723" s="1333"/>
      <c r="I723" s="1333"/>
      <c r="J723" s="1333"/>
      <c r="K723" s="1333"/>
      <c r="L723" s="1382"/>
      <c r="M723" s="1333"/>
      <c r="N723" s="1333"/>
      <c r="O723" s="1333"/>
      <c r="P723" s="1333"/>
      <c r="Q723" s="1333"/>
      <c r="R723" s="1333"/>
      <c r="S723" s="1449"/>
      <c r="T723" s="1333"/>
      <c r="U723" s="1333"/>
      <c r="V723" s="1333"/>
      <c r="W723" s="1333"/>
      <c r="X723" s="1333"/>
      <c r="Y723" s="1333"/>
      <c r="Z723" s="1333"/>
      <c r="AA723" s="1333"/>
      <c r="AB723" s="1333"/>
      <c r="AC723" s="1333"/>
      <c r="AD723" s="1333"/>
      <c r="AE723" s="1333"/>
      <c r="AF723" s="1333"/>
      <c r="AG723" s="1333"/>
      <c r="AH723" s="1333"/>
      <c r="AI723" s="1333"/>
      <c r="AJ723" s="1333"/>
    </row>
    <row r="724" spans="1:36" x14ac:dyDescent="0.25">
      <c r="A724" s="1407"/>
      <c r="B724" s="1284"/>
      <c r="C724" s="1284"/>
      <c r="D724" s="1364"/>
      <c r="E724" s="1364"/>
      <c r="F724" s="1364"/>
      <c r="G724" s="1365"/>
      <c r="H724" s="1333"/>
      <c r="I724" s="1333"/>
      <c r="J724" s="1333"/>
      <c r="K724" s="1333"/>
      <c r="L724" s="1382"/>
      <c r="M724" s="1333"/>
      <c r="N724" s="1333"/>
      <c r="O724" s="1333"/>
      <c r="P724" s="1333"/>
      <c r="Q724" s="1333"/>
      <c r="R724" s="1333"/>
      <c r="S724" s="1449"/>
      <c r="T724" s="1333"/>
      <c r="U724" s="1333"/>
      <c r="V724" s="1333"/>
      <c r="W724" s="1333"/>
      <c r="X724" s="1333"/>
      <c r="Y724" s="1333"/>
      <c r="Z724" s="1333"/>
      <c r="AA724" s="1333"/>
      <c r="AB724" s="1333"/>
      <c r="AC724" s="1333"/>
      <c r="AD724" s="1333"/>
      <c r="AE724" s="1333"/>
      <c r="AF724" s="1333"/>
      <c r="AG724" s="1333"/>
      <c r="AH724" s="1333"/>
      <c r="AI724" s="1333"/>
      <c r="AJ724" s="1333"/>
    </row>
    <row r="725" spans="1:36" x14ac:dyDescent="0.25">
      <c r="A725" s="1407"/>
      <c r="B725" s="1284"/>
      <c r="C725" s="1284"/>
      <c r="D725" s="1364"/>
      <c r="E725" s="1364"/>
      <c r="F725" s="1364"/>
      <c r="G725" s="1365"/>
      <c r="H725" s="1333"/>
      <c r="I725" s="1333"/>
      <c r="J725" s="1333"/>
      <c r="K725" s="1333"/>
      <c r="L725" s="1382"/>
      <c r="M725" s="1333"/>
      <c r="N725" s="1333"/>
      <c r="O725" s="1333"/>
      <c r="P725" s="1333"/>
      <c r="Q725" s="1333"/>
      <c r="R725" s="1333"/>
      <c r="S725" s="1449"/>
      <c r="T725" s="1333"/>
      <c r="U725" s="1333"/>
      <c r="V725" s="1333"/>
      <c r="W725" s="1333"/>
      <c r="X725" s="1333"/>
      <c r="Y725" s="1333"/>
      <c r="Z725" s="1333"/>
      <c r="AA725" s="1333"/>
      <c r="AB725" s="1333"/>
      <c r="AC725" s="1333"/>
      <c r="AD725" s="1333"/>
      <c r="AE725" s="1333"/>
      <c r="AF725" s="1333"/>
      <c r="AG725" s="1333"/>
      <c r="AH725" s="1333"/>
      <c r="AI725" s="1333"/>
      <c r="AJ725" s="1333"/>
    </row>
    <row r="726" spans="1:36" x14ac:dyDescent="0.25">
      <c r="A726" s="1407"/>
      <c r="B726" s="1284"/>
      <c r="C726" s="1284"/>
      <c r="D726" s="1364"/>
      <c r="E726" s="1364"/>
      <c r="F726" s="1364"/>
      <c r="G726" s="1365"/>
      <c r="H726" s="1333"/>
      <c r="I726" s="1333"/>
      <c r="J726" s="1333"/>
      <c r="K726" s="1333"/>
      <c r="L726" s="1382"/>
      <c r="M726" s="1333"/>
      <c r="N726" s="1333"/>
      <c r="O726" s="1333"/>
      <c r="P726" s="1333"/>
      <c r="Q726" s="1333"/>
      <c r="R726" s="1333"/>
      <c r="S726" s="1449"/>
      <c r="T726" s="1333"/>
      <c r="U726" s="1333"/>
      <c r="V726" s="1333"/>
      <c r="W726" s="1333"/>
      <c r="X726" s="1333"/>
      <c r="Y726" s="1333"/>
      <c r="Z726" s="1333"/>
      <c r="AA726" s="1333"/>
      <c r="AB726" s="1333"/>
      <c r="AC726" s="1333"/>
      <c r="AD726" s="1333"/>
      <c r="AE726" s="1333"/>
      <c r="AF726" s="1333"/>
      <c r="AG726" s="1333"/>
      <c r="AH726" s="1333"/>
      <c r="AI726" s="1333"/>
      <c r="AJ726" s="1333"/>
    </row>
    <row r="727" spans="1:36" x14ac:dyDescent="0.25">
      <c r="A727" s="1407"/>
      <c r="B727" s="1284"/>
      <c r="C727" s="1284"/>
      <c r="D727" s="1364"/>
      <c r="E727" s="1364"/>
      <c r="F727" s="1364"/>
      <c r="G727" s="1365"/>
      <c r="H727" s="1333"/>
      <c r="I727" s="1333"/>
      <c r="J727" s="1333"/>
      <c r="K727" s="1333"/>
      <c r="L727" s="1382"/>
      <c r="M727" s="1333"/>
      <c r="N727" s="1333"/>
      <c r="O727" s="1333"/>
      <c r="P727" s="1333"/>
      <c r="Q727" s="1333"/>
      <c r="R727" s="1333"/>
      <c r="S727" s="1449"/>
      <c r="T727" s="1333"/>
      <c r="U727" s="1333"/>
      <c r="V727" s="1333"/>
      <c r="W727" s="1333"/>
      <c r="X727" s="1333"/>
      <c r="Y727" s="1333"/>
      <c r="Z727" s="1333"/>
      <c r="AA727" s="1333"/>
      <c r="AB727" s="1333"/>
      <c r="AC727" s="1333"/>
      <c r="AD727" s="1333"/>
      <c r="AE727" s="1333"/>
      <c r="AF727" s="1333"/>
      <c r="AG727" s="1333"/>
      <c r="AH727" s="1333"/>
      <c r="AI727" s="1333"/>
      <c r="AJ727" s="1333"/>
    </row>
    <row r="728" spans="1:36" x14ac:dyDescent="0.25">
      <c r="A728" s="1407"/>
      <c r="B728" s="1284"/>
      <c r="C728" s="1284"/>
      <c r="D728" s="1364"/>
      <c r="E728" s="1364"/>
      <c r="F728" s="1364"/>
      <c r="G728" s="1365"/>
      <c r="H728" s="1333"/>
      <c r="I728" s="1333"/>
      <c r="J728" s="1333"/>
      <c r="K728" s="1333"/>
      <c r="L728" s="1382"/>
      <c r="M728" s="1333"/>
      <c r="N728" s="1333"/>
      <c r="O728" s="1333"/>
      <c r="P728" s="1333"/>
      <c r="Q728" s="1333"/>
      <c r="R728" s="1333"/>
      <c r="S728" s="1449"/>
      <c r="T728" s="1333"/>
      <c r="U728" s="1333"/>
      <c r="V728" s="1333"/>
      <c r="W728" s="1333"/>
      <c r="X728" s="1333"/>
      <c r="Y728" s="1333"/>
      <c r="Z728" s="1333"/>
      <c r="AA728" s="1333"/>
      <c r="AB728" s="1333"/>
      <c r="AC728" s="1333"/>
      <c r="AD728" s="1333"/>
      <c r="AE728" s="1333"/>
      <c r="AF728" s="1333"/>
      <c r="AG728" s="1333"/>
      <c r="AH728" s="1333"/>
      <c r="AI728" s="1333"/>
      <c r="AJ728" s="1333"/>
    </row>
    <row r="729" spans="1:36" x14ac:dyDescent="0.25">
      <c r="A729" s="1407"/>
      <c r="B729" s="1284"/>
      <c r="C729" s="1284"/>
      <c r="D729" s="1364"/>
      <c r="E729" s="1364"/>
      <c r="F729" s="1364"/>
      <c r="G729" s="1365"/>
      <c r="H729" s="1333"/>
      <c r="I729" s="1333"/>
      <c r="J729" s="1333"/>
      <c r="K729" s="1333"/>
      <c r="L729" s="1382"/>
      <c r="M729" s="1333"/>
      <c r="N729" s="1333"/>
      <c r="O729" s="1333"/>
      <c r="P729" s="1333"/>
      <c r="Q729" s="1333"/>
      <c r="R729" s="1333"/>
      <c r="S729" s="1449"/>
      <c r="T729" s="1333"/>
      <c r="U729" s="1333"/>
      <c r="V729" s="1333"/>
      <c r="W729" s="1333"/>
      <c r="X729" s="1333"/>
      <c r="Y729" s="1333"/>
      <c r="Z729" s="1333"/>
      <c r="AA729" s="1333"/>
      <c r="AB729" s="1333"/>
      <c r="AC729" s="1333"/>
      <c r="AD729" s="1333"/>
      <c r="AE729" s="1333"/>
      <c r="AF729" s="1333"/>
      <c r="AG729" s="1333"/>
      <c r="AH729" s="1333"/>
      <c r="AI729" s="1333"/>
      <c r="AJ729" s="1333"/>
    </row>
    <row r="730" spans="1:36" x14ac:dyDescent="0.25">
      <c r="A730" s="1407"/>
      <c r="B730" s="1284"/>
      <c r="C730" s="1284"/>
      <c r="D730" s="1364"/>
      <c r="E730" s="1364"/>
      <c r="F730" s="1364"/>
      <c r="G730" s="1365"/>
      <c r="H730" s="1333"/>
      <c r="I730" s="1333"/>
      <c r="J730" s="1333"/>
      <c r="K730" s="1333"/>
      <c r="L730" s="1382"/>
      <c r="M730" s="1333"/>
      <c r="N730" s="1333"/>
      <c r="O730" s="1333"/>
      <c r="P730" s="1333"/>
      <c r="Q730" s="1333"/>
      <c r="R730" s="1333"/>
      <c r="S730" s="1449"/>
      <c r="T730" s="1333"/>
      <c r="U730" s="1333"/>
      <c r="V730" s="1333"/>
      <c r="W730" s="1333"/>
      <c r="X730" s="1333"/>
      <c r="Y730" s="1333"/>
      <c r="Z730" s="1333"/>
      <c r="AA730" s="1333"/>
      <c r="AB730" s="1333"/>
      <c r="AC730" s="1333"/>
      <c r="AD730" s="1333"/>
      <c r="AE730" s="1333"/>
      <c r="AF730" s="1333"/>
      <c r="AG730" s="1333"/>
      <c r="AH730" s="1333"/>
      <c r="AI730" s="1333"/>
      <c r="AJ730" s="1333"/>
    </row>
    <row r="731" spans="1:36" x14ac:dyDescent="0.25">
      <c r="A731" s="1407"/>
      <c r="B731" s="1284"/>
      <c r="C731" s="1284"/>
      <c r="D731" s="1364"/>
      <c r="E731" s="1364"/>
      <c r="F731" s="1364"/>
      <c r="G731" s="1365"/>
      <c r="H731" s="1333"/>
      <c r="I731" s="1333"/>
      <c r="J731" s="1333"/>
      <c r="K731" s="1333"/>
      <c r="L731" s="1382"/>
      <c r="M731" s="1333"/>
      <c r="N731" s="1333"/>
      <c r="O731" s="1333"/>
      <c r="P731" s="1333"/>
      <c r="Q731" s="1333"/>
      <c r="R731" s="1333"/>
      <c r="S731" s="1449"/>
      <c r="T731" s="1333"/>
      <c r="U731" s="1333"/>
      <c r="V731" s="1333"/>
      <c r="W731" s="1333"/>
      <c r="X731" s="1333"/>
      <c r="Y731" s="1333"/>
      <c r="Z731" s="1333"/>
      <c r="AA731" s="1333"/>
      <c r="AB731" s="1333"/>
      <c r="AC731" s="1333"/>
      <c r="AD731" s="1333"/>
      <c r="AE731" s="1333"/>
      <c r="AF731" s="1333"/>
      <c r="AG731" s="1333"/>
      <c r="AH731" s="1333"/>
      <c r="AI731" s="1333"/>
      <c r="AJ731" s="1333"/>
    </row>
    <row r="732" spans="1:36" x14ac:dyDescent="0.25">
      <c r="A732" s="1407"/>
      <c r="B732" s="1284"/>
      <c r="C732" s="1284"/>
      <c r="D732" s="1364"/>
      <c r="E732" s="1364"/>
      <c r="F732" s="1364"/>
      <c r="G732" s="1365"/>
      <c r="H732" s="1333"/>
      <c r="I732" s="1333"/>
      <c r="J732" s="1333"/>
      <c r="K732" s="1333"/>
      <c r="L732" s="1382"/>
      <c r="M732" s="1333"/>
      <c r="N732" s="1333"/>
      <c r="O732" s="1333"/>
      <c r="P732" s="1333"/>
      <c r="Q732" s="1333"/>
      <c r="R732" s="1333"/>
      <c r="S732" s="1449"/>
      <c r="T732" s="1333"/>
      <c r="U732" s="1333"/>
      <c r="V732" s="1333"/>
      <c r="W732" s="1333"/>
      <c r="X732" s="1333"/>
      <c r="Y732" s="1333"/>
      <c r="Z732" s="1333"/>
      <c r="AA732" s="1333"/>
      <c r="AB732" s="1333"/>
      <c r="AC732" s="1333"/>
      <c r="AD732" s="1333"/>
      <c r="AE732" s="1333"/>
      <c r="AF732" s="1333"/>
      <c r="AG732" s="1333"/>
      <c r="AH732" s="1333"/>
      <c r="AI732" s="1333"/>
      <c r="AJ732" s="1333"/>
    </row>
    <row r="733" spans="1:36" x14ac:dyDescent="0.25">
      <c r="A733" s="1407"/>
      <c r="B733" s="1284"/>
      <c r="C733" s="1284"/>
      <c r="D733" s="1364"/>
      <c r="E733" s="1364"/>
      <c r="F733" s="1364"/>
      <c r="G733" s="1365"/>
      <c r="H733" s="1333"/>
      <c r="I733" s="1333"/>
      <c r="J733" s="1333"/>
      <c r="K733" s="1333"/>
      <c r="L733" s="1382"/>
      <c r="M733" s="1333"/>
      <c r="N733" s="1333"/>
      <c r="O733" s="1333"/>
      <c r="P733" s="1333"/>
      <c r="Q733" s="1333"/>
      <c r="R733" s="1333"/>
      <c r="S733" s="1449"/>
      <c r="T733" s="1333"/>
      <c r="U733" s="1333"/>
      <c r="V733" s="1333"/>
      <c r="W733" s="1333"/>
      <c r="X733" s="1333"/>
      <c r="Y733" s="1333"/>
      <c r="Z733" s="1333"/>
      <c r="AA733" s="1333"/>
      <c r="AB733" s="1333"/>
      <c r="AC733" s="1333"/>
      <c r="AD733" s="1333"/>
      <c r="AE733" s="1333"/>
      <c r="AF733" s="1333"/>
      <c r="AG733" s="1333"/>
      <c r="AH733" s="1333"/>
      <c r="AI733" s="1333"/>
      <c r="AJ733" s="1333"/>
    </row>
    <row r="734" spans="1:36" x14ac:dyDescent="0.25">
      <c r="A734" s="1407"/>
      <c r="B734" s="1284"/>
      <c r="C734" s="1284"/>
      <c r="D734" s="1364"/>
      <c r="E734" s="1364"/>
      <c r="F734" s="1364"/>
      <c r="G734" s="1365"/>
      <c r="H734" s="1333"/>
      <c r="I734" s="1333"/>
      <c r="J734" s="1333"/>
      <c r="K734" s="1333"/>
      <c r="L734" s="1382"/>
      <c r="M734" s="1333"/>
      <c r="N734" s="1333"/>
      <c r="O734" s="1333"/>
      <c r="P734" s="1333"/>
      <c r="Q734" s="1333"/>
      <c r="R734" s="1333"/>
      <c r="S734" s="1449"/>
      <c r="T734" s="1333"/>
      <c r="U734" s="1333"/>
      <c r="V734" s="1333"/>
      <c r="W734" s="1333"/>
      <c r="X734" s="1333"/>
      <c r="Y734" s="1333"/>
      <c r="Z734" s="1333"/>
      <c r="AA734" s="1333"/>
      <c r="AB734" s="1333"/>
      <c r="AC734" s="1333"/>
      <c r="AD734" s="1333"/>
      <c r="AE734" s="1333"/>
      <c r="AF734" s="1333"/>
      <c r="AG734" s="1333"/>
      <c r="AH734" s="1333"/>
      <c r="AI734" s="1333"/>
      <c r="AJ734" s="1333"/>
    </row>
    <row r="735" spans="1:36" x14ac:dyDescent="0.25">
      <c r="A735" s="1407"/>
      <c r="B735" s="1284"/>
      <c r="C735" s="1284"/>
      <c r="D735" s="1364"/>
      <c r="E735" s="1364"/>
      <c r="F735" s="1364"/>
      <c r="G735" s="1365"/>
      <c r="H735" s="1333"/>
      <c r="I735" s="1333"/>
      <c r="J735" s="1333"/>
      <c r="K735" s="1333"/>
      <c r="L735" s="1382"/>
      <c r="M735" s="1333"/>
      <c r="N735" s="1333"/>
      <c r="O735" s="1333"/>
      <c r="P735" s="1333"/>
      <c r="Q735" s="1333"/>
      <c r="R735" s="1333"/>
      <c r="S735" s="1449"/>
      <c r="T735" s="1333"/>
      <c r="U735" s="1333"/>
      <c r="V735" s="1333"/>
      <c r="W735" s="1333"/>
      <c r="X735" s="1333"/>
      <c r="Y735" s="1333"/>
      <c r="Z735" s="1333"/>
      <c r="AA735" s="1333"/>
      <c r="AB735" s="1333"/>
      <c r="AC735" s="1333"/>
      <c r="AD735" s="1333"/>
      <c r="AE735" s="1333"/>
      <c r="AF735" s="1333"/>
      <c r="AG735" s="1333"/>
      <c r="AH735" s="1333"/>
      <c r="AI735" s="1333"/>
      <c r="AJ735" s="1333"/>
    </row>
    <row r="736" spans="1:36" x14ac:dyDescent="0.25">
      <c r="A736" s="1407"/>
      <c r="B736" s="1284"/>
      <c r="C736" s="1284"/>
      <c r="D736" s="1364"/>
      <c r="E736" s="1364"/>
      <c r="F736" s="1364"/>
      <c r="G736" s="1365"/>
      <c r="H736" s="1333"/>
      <c r="I736" s="1333"/>
      <c r="J736" s="1333"/>
      <c r="K736" s="1333"/>
      <c r="L736" s="1382"/>
      <c r="M736" s="1333"/>
      <c r="N736" s="1333"/>
      <c r="O736" s="1333"/>
      <c r="P736" s="1333"/>
      <c r="Q736" s="1333"/>
      <c r="R736" s="1333"/>
      <c r="S736" s="1449"/>
      <c r="T736" s="1333"/>
      <c r="U736" s="1333"/>
      <c r="V736" s="1333"/>
      <c r="W736" s="1333"/>
      <c r="X736" s="1333"/>
      <c r="Y736" s="1333"/>
      <c r="Z736" s="1333"/>
      <c r="AA736" s="1333"/>
      <c r="AB736" s="1333"/>
      <c r="AC736" s="1333"/>
      <c r="AD736" s="1333"/>
      <c r="AE736" s="1333"/>
      <c r="AF736" s="1333"/>
      <c r="AG736" s="1333"/>
      <c r="AH736" s="1333"/>
      <c r="AI736" s="1333"/>
      <c r="AJ736" s="1333"/>
    </row>
    <row r="737" spans="1:36" x14ac:dyDescent="0.25">
      <c r="A737" s="1407"/>
      <c r="B737" s="1284"/>
      <c r="C737" s="1284"/>
      <c r="D737" s="1364"/>
      <c r="E737" s="1364"/>
      <c r="F737" s="1364"/>
      <c r="G737" s="1365"/>
      <c r="H737" s="1333"/>
      <c r="I737" s="1333"/>
      <c r="J737" s="1333"/>
      <c r="K737" s="1333"/>
      <c r="L737" s="1382"/>
      <c r="M737" s="1333"/>
      <c r="N737" s="1333"/>
      <c r="O737" s="1333"/>
      <c r="P737" s="1333"/>
      <c r="Q737" s="1333"/>
      <c r="R737" s="1333"/>
      <c r="S737" s="1449"/>
      <c r="T737" s="1333"/>
      <c r="U737" s="1333"/>
      <c r="V737" s="1333"/>
      <c r="W737" s="1333"/>
      <c r="X737" s="1333"/>
      <c r="Y737" s="1333"/>
      <c r="Z737" s="1333"/>
      <c r="AA737" s="1333"/>
      <c r="AB737" s="1333"/>
      <c r="AC737" s="1333"/>
      <c r="AD737" s="1333"/>
      <c r="AE737" s="1333"/>
      <c r="AF737" s="1333"/>
      <c r="AG737" s="1333"/>
      <c r="AH737" s="1333"/>
      <c r="AI737" s="1333"/>
      <c r="AJ737" s="1333"/>
    </row>
    <row r="738" spans="1:36" x14ac:dyDescent="0.25">
      <c r="A738" s="1407"/>
      <c r="B738" s="1284"/>
      <c r="C738" s="1284"/>
      <c r="D738" s="1364"/>
      <c r="E738" s="1364"/>
      <c r="F738" s="1364"/>
      <c r="G738" s="1365"/>
      <c r="H738" s="1333"/>
      <c r="I738" s="1333"/>
      <c r="J738" s="1333"/>
      <c r="K738" s="1333"/>
      <c r="L738" s="1382"/>
      <c r="M738" s="1333"/>
      <c r="N738" s="1333"/>
      <c r="O738" s="1333"/>
      <c r="P738" s="1333"/>
      <c r="Q738" s="1333"/>
      <c r="R738" s="1333"/>
      <c r="S738" s="1449"/>
      <c r="T738" s="1333"/>
      <c r="U738" s="1333"/>
      <c r="V738" s="1333"/>
      <c r="W738" s="1333"/>
      <c r="X738" s="1333"/>
      <c r="Y738" s="1333"/>
      <c r="Z738" s="1333"/>
      <c r="AA738" s="1333"/>
      <c r="AB738" s="1333"/>
      <c r="AC738" s="1333"/>
      <c r="AD738" s="1333"/>
      <c r="AE738" s="1333"/>
      <c r="AF738" s="1333"/>
      <c r="AG738" s="1333"/>
      <c r="AH738" s="1333"/>
      <c r="AI738" s="1333"/>
      <c r="AJ738" s="1333"/>
    </row>
    <row r="739" spans="1:36" x14ac:dyDescent="0.25">
      <c r="A739" s="1407"/>
      <c r="B739" s="1284"/>
      <c r="C739" s="1284"/>
      <c r="D739" s="1364"/>
      <c r="E739" s="1364"/>
      <c r="F739" s="1364"/>
      <c r="G739" s="1365"/>
      <c r="H739" s="1333"/>
      <c r="I739" s="1333"/>
      <c r="J739" s="1333"/>
      <c r="K739" s="1333"/>
      <c r="L739" s="1382"/>
      <c r="M739" s="1333"/>
      <c r="N739" s="1333"/>
      <c r="O739" s="1333"/>
      <c r="P739" s="1333"/>
      <c r="Q739" s="1333"/>
      <c r="R739" s="1333"/>
      <c r="S739" s="1449"/>
      <c r="T739" s="1333"/>
      <c r="U739" s="1333"/>
      <c r="V739" s="1333"/>
      <c r="W739" s="1333"/>
      <c r="X739" s="1333"/>
      <c r="Y739" s="1333"/>
      <c r="Z739" s="1333"/>
      <c r="AA739" s="1333"/>
      <c r="AB739" s="1333"/>
      <c r="AC739" s="1333"/>
      <c r="AD739" s="1333"/>
      <c r="AE739" s="1333"/>
      <c r="AF739" s="1333"/>
      <c r="AG739" s="1333"/>
      <c r="AH739" s="1333"/>
      <c r="AI739" s="1333"/>
      <c r="AJ739" s="1333"/>
    </row>
    <row r="740" spans="1:36" x14ac:dyDescent="0.25">
      <c r="A740" s="1407"/>
      <c r="B740" s="1284"/>
      <c r="C740" s="1284"/>
      <c r="D740" s="1364"/>
      <c r="E740" s="1364"/>
      <c r="F740" s="1364"/>
      <c r="G740" s="1365"/>
      <c r="H740" s="1333"/>
      <c r="I740" s="1333"/>
      <c r="J740" s="1333"/>
      <c r="K740" s="1333"/>
      <c r="L740" s="1382"/>
      <c r="M740" s="1333"/>
      <c r="N740" s="1333"/>
      <c r="O740" s="1333"/>
      <c r="P740" s="1333"/>
      <c r="Q740" s="1333"/>
      <c r="R740" s="1333"/>
      <c r="S740" s="1449"/>
      <c r="T740" s="1333"/>
      <c r="U740" s="1333"/>
      <c r="V740" s="1333"/>
      <c r="W740" s="1333"/>
      <c r="X740" s="1333"/>
      <c r="Y740" s="1333"/>
      <c r="Z740" s="1333"/>
      <c r="AA740" s="1333"/>
      <c r="AB740" s="1333"/>
      <c r="AC740" s="1333"/>
      <c r="AD740" s="1333"/>
      <c r="AE740" s="1333"/>
      <c r="AF740" s="1333"/>
      <c r="AG740" s="1333"/>
      <c r="AH740" s="1333"/>
      <c r="AI740" s="1333"/>
      <c r="AJ740" s="1333"/>
    </row>
    <row r="741" spans="1:36" x14ac:dyDescent="0.25">
      <c r="A741" s="1407"/>
      <c r="B741" s="1284"/>
      <c r="C741" s="1284"/>
      <c r="D741" s="1364"/>
      <c r="E741" s="1364"/>
      <c r="F741" s="1364"/>
      <c r="G741" s="1365"/>
      <c r="H741" s="1333"/>
      <c r="I741" s="1333"/>
      <c r="J741" s="1333"/>
      <c r="K741" s="1333"/>
      <c r="L741" s="1382"/>
      <c r="M741" s="1333"/>
      <c r="N741" s="1333"/>
      <c r="O741" s="1333"/>
      <c r="P741" s="1333"/>
      <c r="Q741" s="1333"/>
      <c r="R741" s="1333"/>
      <c r="S741" s="1449"/>
      <c r="T741" s="1333"/>
      <c r="U741" s="1333"/>
      <c r="V741" s="1333"/>
      <c r="W741" s="1333"/>
      <c r="X741" s="1333"/>
      <c r="Y741" s="1333"/>
      <c r="Z741" s="1333"/>
      <c r="AA741" s="1333"/>
      <c r="AB741" s="1333"/>
      <c r="AC741" s="1333"/>
      <c r="AD741" s="1333"/>
      <c r="AE741" s="1333"/>
      <c r="AF741" s="1333"/>
      <c r="AG741" s="1333"/>
      <c r="AH741" s="1333"/>
      <c r="AI741" s="1333"/>
      <c r="AJ741" s="1333"/>
    </row>
    <row r="742" spans="1:36" x14ac:dyDescent="0.25">
      <c r="A742" s="1407"/>
      <c r="B742" s="1284"/>
      <c r="C742" s="1284"/>
      <c r="D742" s="1364"/>
      <c r="E742" s="1364"/>
      <c r="F742" s="1364"/>
      <c r="G742" s="1365"/>
      <c r="H742" s="1333"/>
      <c r="I742" s="1333"/>
      <c r="J742" s="1333"/>
      <c r="K742" s="1333"/>
      <c r="L742" s="1382"/>
      <c r="M742" s="1333"/>
      <c r="N742" s="1333"/>
      <c r="O742" s="1333"/>
      <c r="P742" s="1333"/>
      <c r="Q742" s="1333"/>
      <c r="R742" s="1333"/>
      <c r="S742" s="1449"/>
      <c r="T742" s="1333"/>
      <c r="U742" s="1333"/>
      <c r="V742" s="1333"/>
      <c r="W742" s="1333"/>
      <c r="X742" s="1333"/>
      <c r="Y742" s="1333"/>
      <c r="Z742" s="1333"/>
      <c r="AA742" s="1333"/>
      <c r="AB742" s="1333"/>
      <c r="AC742" s="1333"/>
      <c r="AD742" s="1333"/>
      <c r="AE742" s="1333"/>
      <c r="AF742" s="1333"/>
      <c r="AG742" s="1333"/>
      <c r="AH742" s="1333"/>
      <c r="AI742" s="1333"/>
      <c r="AJ742" s="1333"/>
    </row>
    <row r="743" spans="1:36" x14ac:dyDescent="0.25">
      <c r="A743" s="1407"/>
      <c r="B743" s="1284"/>
      <c r="C743" s="1284"/>
      <c r="D743" s="1364"/>
      <c r="E743" s="1364"/>
      <c r="F743" s="1364"/>
      <c r="G743" s="1365"/>
      <c r="H743" s="1333"/>
      <c r="I743" s="1333"/>
      <c r="J743" s="1333"/>
      <c r="K743" s="1333"/>
      <c r="L743" s="1382"/>
      <c r="M743" s="1333"/>
      <c r="N743" s="1333"/>
      <c r="O743" s="1333"/>
      <c r="P743" s="1333"/>
      <c r="Q743" s="1333"/>
      <c r="R743" s="1333"/>
      <c r="S743" s="1449"/>
      <c r="T743" s="1333"/>
      <c r="U743" s="1333"/>
      <c r="V743" s="1333"/>
      <c r="W743" s="1333"/>
      <c r="X743" s="1333"/>
      <c r="Y743" s="1333"/>
      <c r="Z743" s="1333"/>
      <c r="AA743" s="1333"/>
      <c r="AB743" s="1333"/>
      <c r="AC743" s="1333"/>
      <c r="AD743" s="1333"/>
      <c r="AE743" s="1333"/>
      <c r="AF743" s="1333"/>
      <c r="AG743" s="1333"/>
      <c r="AH743" s="1333"/>
      <c r="AI743" s="1333"/>
      <c r="AJ743" s="1333"/>
    </row>
    <row r="744" spans="1:36" x14ac:dyDescent="0.25">
      <c r="A744" s="1407"/>
      <c r="B744" s="1284"/>
      <c r="C744" s="1284"/>
      <c r="D744" s="1364"/>
      <c r="E744" s="1364"/>
      <c r="F744" s="1364"/>
      <c r="G744" s="1365"/>
      <c r="H744" s="1333"/>
      <c r="I744" s="1333"/>
      <c r="J744" s="1333"/>
      <c r="K744" s="1333"/>
      <c r="L744" s="1382"/>
      <c r="M744" s="1333"/>
      <c r="N744" s="1333"/>
      <c r="O744" s="1333"/>
      <c r="P744" s="1333"/>
      <c r="Q744" s="1333"/>
      <c r="R744" s="1333"/>
      <c r="S744" s="1449"/>
      <c r="T744" s="1333"/>
      <c r="U744" s="1333"/>
      <c r="V744" s="1333"/>
      <c r="W744" s="1333"/>
      <c r="X744" s="1333"/>
      <c r="Y744" s="1333"/>
      <c r="Z744" s="1333"/>
      <c r="AA744" s="1333"/>
      <c r="AB744" s="1333"/>
      <c r="AC744" s="1333"/>
      <c r="AD744" s="1333"/>
      <c r="AE744" s="1333"/>
      <c r="AF744" s="1333"/>
      <c r="AG744" s="1333"/>
      <c r="AH744" s="1333"/>
      <c r="AI744" s="1333"/>
      <c r="AJ744" s="1333"/>
    </row>
    <row r="745" spans="1:36" x14ac:dyDescent="0.25">
      <c r="A745" s="1407"/>
      <c r="B745" s="1284"/>
      <c r="C745" s="1284"/>
      <c r="D745" s="1364"/>
      <c r="E745" s="1364"/>
      <c r="F745" s="1364"/>
      <c r="G745" s="1365"/>
      <c r="H745" s="1333"/>
      <c r="I745" s="1333"/>
      <c r="J745" s="1333"/>
      <c r="K745" s="1333"/>
      <c r="L745" s="1382"/>
      <c r="M745" s="1333"/>
      <c r="N745" s="1333"/>
      <c r="O745" s="1333"/>
      <c r="P745" s="1333"/>
      <c r="Q745" s="1333"/>
      <c r="R745" s="1333"/>
      <c r="S745" s="1449"/>
      <c r="T745" s="1333"/>
      <c r="U745" s="1333"/>
      <c r="V745" s="1333"/>
      <c r="W745" s="1333"/>
      <c r="X745" s="1333"/>
      <c r="Y745" s="1333"/>
      <c r="Z745" s="1333"/>
      <c r="AA745" s="1333"/>
      <c r="AB745" s="1333"/>
      <c r="AC745" s="1333"/>
      <c r="AD745" s="1333"/>
      <c r="AE745" s="1333"/>
      <c r="AF745" s="1333"/>
      <c r="AG745" s="1333"/>
      <c r="AH745" s="1333"/>
      <c r="AI745" s="1333"/>
      <c r="AJ745" s="1333"/>
    </row>
    <row r="746" spans="1:36" x14ac:dyDescent="0.25">
      <c r="A746" s="1407"/>
      <c r="B746" s="1284"/>
      <c r="C746" s="1284"/>
      <c r="D746" s="1364"/>
      <c r="E746" s="1364"/>
      <c r="F746" s="1364"/>
      <c r="G746" s="1365"/>
      <c r="H746" s="1333"/>
      <c r="I746" s="1333"/>
      <c r="J746" s="1333"/>
      <c r="K746" s="1333"/>
      <c r="L746" s="1382"/>
      <c r="M746" s="1333"/>
      <c r="N746" s="1333"/>
      <c r="O746" s="1333"/>
      <c r="P746" s="1333"/>
      <c r="Q746" s="1333"/>
      <c r="R746" s="1333"/>
      <c r="S746" s="1449"/>
      <c r="T746" s="1333"/>
      <c r="U746" s="1333"/>
      <c r="V746" s="1333"/>
      <c r="W746" s="1333"/>
      <c r="X746" s="1333"/>
      <c r="Y746" s="1333"/>
      <c r="Z746" s="1333"/>
      <c r="AA746" s="1333"/>
      <c r="AB746" s="1333"/>
      <c r="AC746" s="1333"/>
      <c r="AD746" s="1333"/>
      <c r="AE746" s="1333"/>
      <c r="AF746" s="1333"/>
      <c r="AG746" s="1333"/>
      <c r="AH746" s="1333"/>
      <c r="AI746" s="1333"/>
      <c r="AJ746" s="1333"/>
    </row>
    <row r="747" spans="1:36" x14ac:dyDescent="0.25">
      <c r="A747" s="1407"/>
      <c r="B747" s="1284"/>
      <c r="C747" s="1284"/>
      <c r="D747" s="1364"/>
      <c r="E747" s="1364"/>
      <c r="F747" s="1364"/>
      <c r="G747" s="1365"/>
      <c r="H747" s="1333"/>
      <c r="I747" s="1333"/>
      <c r="J747" s="1333"/>
      <c r="K747" s="1333"/>
      <c r="L747" s="1382"/>
      <c r="M747" s="1333"/>
      <c r="N747" s="1333"/>
      <c r="O747" s="1333"/>
      <c r="P747" s="1333"/>
      <c r="Q747" s="1333"/>
      <c r="R747" s="1333"/>
      <c r="S747" s="1449"/>
      <c r="T747" s="1333"/>
      <c r="U747" s="1333"/>
      <c r="V747" s="1333"/>
      <c r="W747" s="1333"/>
      <c r="X747" s="1333"/>
      <c r="Y747" s="1333"/>
      <c r="Z747" s="1333"/>
      <c r="AA747" s="1333"/>
      <c r="AB747" s="1333"/>
      <c r="AC747" s="1333"/>
      <c r="AD747" s="1333"/>
      <c r="AE747" s="1333"/>
      <c r="AF747" s="1333"/>
      <c r="AG747" s="1333"/>
      <c r="AH747" s="1333"/>
      <c r="AI747" s="1333"/>
      <c r="AJ747" s="1333"/>
    </row>
    <row r="748" spans="1:36" x14ac:dyDescent="0.25">
      <c r="A748" s="1407"/>
      <c r="B748" s="1284"/>
      <c r="C748" s="1284"/>
      <c r="D748" s="1364"/>
      <c r="E748" s="1364"/>
      <c r="F748" s="1364"/>
      <c r="G748" s="1365"/>
      <c r="H748" s="1333"/>
      <c r="I748" s="1333"/>
      <c r="J748" s="1333"/>
      <c r="K748" s="1333"/>
      <c r="L748" s="1382"/>
      <c r="M748" s="1333"/>
      <c r="N748" s="1333"/>
      <c r="O748" s="1333"/>
      <c r="P748" s="1333"/>
      <c r="Q748" s="1333"/>
      <c r="R748" s="1333"/>
      <c r="S748" s="1449"/>
      <c r="T748" s="1333"/>
      <c r="U748" s="1333"/>
      <c r="V748" s="1333"/>
      <c r="W748" s="1333"/>
      <c r="X748" s="1333"/>
      <c r="Y748" s="1333"/>
      <c r="Z748" s="1333"/>
      <c r="AA748" s="1333"/>
      <c r="AB748" s="1333"/>
      <c r="AC748" s="1333"/>
      <c r="AD748" s="1333"/>
      <c r="AE748" s="1333"/>
      <c r="AF748" s="1333"/>
      <c r="AG748" s="1333"/>
      <c r="AH748" s="1333"/>
      <c r="AI748" s="1333"/>
      <c r="AJ748" s="1333"/>
    </row>
    <row r="749" spans="1:36" x14ac:dyDescent="0.25">
      <c r="A749" s="1407"/>
      <c r="B749" s="1284"/>
      <c r="C749" s="1284"/>
      <c r="D749" s="1364"/>
      <c r="E749" s="1364"/>
      <c r="F749" s="1364"/>
      <c r="G749" s="1365"/>
      <c r="H749" s="1333"/>
      <c r="I749" s="1333"/>
      <c r="J749" s="1333"/>
      <c r="K749" s="1333"/>
      <c r="L749" s="1382"/>
      <c r="M749" s="1333"/>
      <c r="N749" s="1333"/>
      <c r="O749" s="1333"/>
      <c r="P749" s="1333"/>
      <c r="Q749" s="1333"/>
      <c r="R749" s="1333"/>
      <c r="S749" s="1449"/>
      <c r="T749" s="1333"/>
      <c r="U749" s="1333"/>
      <c r="V749" s="1333"/>
      <c r="W749" s="1333"/>
      <c r="X749" s="1333"/>
      <c r="Y749" s="1333"/>
      <c r="Z749" s="1333"/>
      <c r="AA749" s="1333"/>
      <c r="AB749" s="1333"/>
      <c r="AC749" s="1333"/>
      <c r="AD749" s="1333"/>
      <c r="AE749" s="1333"/>
      <c r="AF749" s="1333"/>
      <c r="AG749" s="1333"/>
      <c r="AH749" s="1333"/>
      <c r="AI749" s="1333"/>
      <c r="AJ749" s="1333"/>
    </row>
    <row r="750" spans="1:36" x14ac:dyDescent="0.25">
      <c r="A750" s="1407"/>
      <c r="B750" s="1284"/>
      <c r="C750" s="1284"/>
      <c r="D750" s="1364"/>
      <c r="E750" s="1364"/>
      <c r="F750" s="1364"/>
      <c r="G750" s="1365"/>
      <c r="H750" s="1333"/>
      <c r="I750" s="1333"/>
      <c r="J750" s="1333"/>
      <c r="K750" s="1333"/>
      <c r="L750" s="1382"/>
      <c r="M750" s="1333"/>
      <c r="N750" s="1333"/>
      <c r="O750" s="1333"/>
      <c r="P750" s="1333"/>
      <c r="Q750" s="1333"/>
      <c r="R750" s="1333"/>
      <c r="S750" s="1449"/>
      <c r="T750" s="1333"/>
      <c r="U750" s="1333"/>
      <c r="V750" s="1333"/>
      <c r="W750" s="1333"/>
      <c r="X750" s="1333"/>
      <c r="Y750" s="1333"/>
      <c r="Z750" s="1333"/>
      <c r="AA750" s="1333"/>
      <c r="AB750" s="1333"/>
      <c r="AC750" s="1333"/>
      <c r="AD750" s="1333"/>
      <c r="AE750" s="1333"/>
      <c r="AF750" s="1333"/>
      <c r="AG750" s="1333"/>
      <c r="AH750" s="1333"/>
      <c r="AI750" s="1333"/>
      <c r="AJ750" s="1333"/>
    </row>
    <row r="751" spans="1:36" x14ac:dyDescent="0.25">
      <c r="A751" s="1407"/>
      <c r="B751" s="1284"/>
      <c r="C751" s="1284"/>
      <c r="D751" s="1364"/>
      <c r="E751" s="1364"/>
      <c r="F751" s="1364"/>
      <c r="G751" s="1365"/>
      <c r="H751" s="1333"/>
      <c r="I751" s="1333"/>
      <c r="J751" s="1333"/>
      <c r="K751" s="1333"/>
      <c r="L751" s="1382"/>
      <c r="M751" s="1333"/>
      <c r="N751" s="1333"/>
      <c r="O751" s="1333"/>
      <c r="P751" s="1333"/>
      <c r="Q751" s="1333"/>
      <c r="R751" s="1333"/>
      <c r="S751" s="1449"/>
      <c r="T751" s="1333"/>
      <c r="U751" s="1333"/>
      <c r="V751" s="1333"/>
      <c r="W751" s="1333"/>
      <c r="X751" s="1333"/>
      <c r="Y751" s="1333"/>
      <c r="Z751" s="1333"/>
      <c r="AA751" s="1333"/>
      <c r="AB751" s="1333"/>
      <c r="AC751" s="1333"/>
      <c r="AD751" s="1333"/>
      <c r="AE751" s="1333"/>
      <c r="AF751" s="1333"/>
      <c r="AG751" s="1333"/>
      <c r="AH751" s="1333"/>
      <c r="AI751" s="1333"/>
      <c r="AJ751" s="1333"/>
    </row>
    <row r="752" spans="1:36" x14ac:dyDescent="0.25">
      <c r="A752" s="1407"/>
      <c r="B752" s="1284"/>
      <c r="C752" s="1284"/>
      <c r="D752" s="1364"/>
      <c r="E752" s="1364"/>
      <c r="F752" s="1364"/>
      <c r="G752" s="1365"/>
      <c r="H752" s="1333"/>
      <c r="I752" s="1333"/>
      <c r="J752" s="1333"/>
      <c r="K752" s="1333"/>
      <c r="L752" s="1382"/>
      <c r="M752" s="1333"/>
      <c r="N752" s="1333"/>
      <c r="O752" s="1333"/>
      <c r="P752" s="1333"/>
      <c r="Q752" s="1333"/>
      <c r="R752" s="1333"/>
      <c r="S752" s="1449"/>
      <c r="T752" s="1333"/>
      <c r="U752" s="1333"/>
      <c r="V752" s="1333"/>
      <c r="W752" s="1333"/>
      <c r="X752" s="1333"/>
      <c r="Y752" s="1333"/>
      <c r="Z752" s="1333"/>
      <c r="AA752" s="1333"/>
      <c r="AB752" s="1333"/>
      <c r="AC752" s="1333"/>
      <c r="AD752" s="1333"/>
      <c r="AE752" s="1333"/>
      <c r="AF752" s="1333"/>
      <c r="AG752" s="1333"/>
      <c r="AH752" s="1333"/>
      <c r="AI752" s="1333"/>
      <c r="AJ752" s="1333"/>
    </row>
    <row r="753" spans="1:36" x14ac:dyDescent="0.25">
      <c r="A753" s="1407"/>
      <c r="B753" s="1284"/>
      <c r="C753" s="1284"/>
      <c r="D753" s="1364"/>
      <c r="E753" s="1364"/>
      <c r="F753" s="1364"/>
      <c r="G753" s="1365"/>
      <c r="H753" s="1333"/>
      <c r="I753" s="1333"/>
      <c r="J753" s="1333"/>
      <c r="K753" s="1333"/>
      <c r="L753" s="1382"/>
      <c r="M753" s="1333"/>
      <c r="N753" s="1333"/>
      <c r="O753" s="1333"/>
      <c r="P753" s="1333"/>
      <c r="Q753" s="1333"/>
      <c r="R753" s="1333"/>
      <c r="S753" s="1449"/>
      <c r="T753" s="1333"/>
      <c r="U753" s="1333"/>
      <c r="V753" s="1333"/>
      <c r="W753" s="1333"/>
      <c r="X753" s="1333"/>
      <c r="Y753" s="1333"/>
      <c r="Z753" s="1333"/>
      <c r="AA753" s="1333"/>
      <c r="AB753" s="1333"/>
      <c r="AC753" s="1333"/>
      <c r="AD753" s="1333"/>
      <c r="AE753" s="1333"/>
      <c r="AF753" s="1333"/>
      <c r="AG753" s="1333"/>
      <c r="AH753" s="1333"/>
      <c r="AI753" s="1333"/>
      <c r="AJ753" s="1333"/>
    </row>
    <row r="754" spans="1:36" x14ac:dyDescent="0.25">
      <c r="A754" s="1407"/>
      <c r="B754" s="1284"/>
      <c r="C754" s="1284"/>
      <c r="D754" s="1364"/>
      <c r="E754" s="1364"/>
      <c r="F754" s="1364"/>
      <c r="G754" s="1365"/>
      <c r="H754" s="1333"/>
      <c r="I754" s="1333"/>
      <c r="J754" s="1333"/>
      <c r="K754" s="1333"/>
      <c r="L754" s="1382"/>
      <c r="M754" s="1333"/>
      <c r="N754" s="1333"/>
      <c r="O754" s="1333"/>
      <c r="P754" s="1333"/>
      <c r="Q754" s="1333"/>
      <c r="R754" s="1333"/>
      <c r="S754" s="1449"/>
      <c r="T754" s="1333"/>
      <c r="U754" s="1333"/>
      <c r="V754" s="1333"/>
      <c r="W754" s="1333"/>
      <c r="X754" s="1333"/>
      <c r="Y754" s="1333"/>
      <c r="Z754" s="1333"/>
      <c r="AA754" s="1333"/>
      <c r="AB754" s="1333"/>
      <c r="AC754" s="1333"/>
      <c r="AD754" s="1333"/>
      <c r="AE754" s="1333"/>
      <c r="AF754" s="1333"/>
      <c r="AG754" s="1333"/>
      <c r="AH754" s="1333"/>
      <c r="AI754" s="1333"/>
      <c r="AJ754" s="1333"/>
    </row>
    <row r="755" spans="1:36" x14ac:dyDescent="0.25">
      <c r="A755" s="1407"/>
      <c r="B755" s="1284"/>
      <c r="C755" s="1284"/>
      <c r="D755" s="1364"/>
      <c r="E755" s="1364"/>
      <c r="F755" s="1364"/>
      <c r="G755" s="1365"/>
      <c r="H755" s="1333"/>
      <c r="I755" s="1333"/>
      <c r="J755" s="1333"/>
      <c r="K755" s="1333"/>
      <c r="L755" s="1382"/>
      <c r="M755" s="1333"/>
      <c r="N755" s="1333"/>
      <c r="O755" s="1333"/>
      <c r="P755" s="1333"/>
      <c r="Q755" s="1333"/>
      <c r="R755" s="1333"/>
      <c r="S755" s="1449"/>
      <c r="T755" s="1333"/>
      <c r="U755" s="1333"/>
      <c r="V755" s="1333"/>
      <c r="W755" s="1333"/>
      <c r="X755" s="1333"/>
      <c r="Y755" s="1333"/>
      <c r="Z755" s="1333"/>
      <c r="AA755" s="1333"/>
      <c r="AB755" s="1333"/>
      <c r="AC755" s="1333"/>
      <c r="AD755" s="1333"/>
      <c r="AE755" s="1333"/>
      <c r="AF755" s="1333"/>
      <c r="AG755" s="1333"/>
      <c r="AH755" s="1333"/>
      <c r="AI755" s="1333"/>
      <c r="AJ755" s="1333"/>
    </row>
    <row r="756" spans="1:36" x14ac:dyDescent="0.25">
      <c r="A756" s="1407"/>
      <c r="B756" s="1284"/>
      <c r="C756" s="1284"/>
      <c r="D756" s="1364"/>
      <c r="E756" s="1364"/>
      <c r="F756" s="1364"/>
      <c r="G756" s="1365"/>
      <c r="H756" s="1333"/>
      <c r="I756" s="1333"/>
      <c r="J756" s="1333"/>
      <c r="K756" s="1333"/>
      <c r="L756" s="1382"/>
      <c r="M756" s="1333"/>
      <c r="N756" s="1333"/>
      <c r="O756" s="1333"/>
      <c r="P756" s="1333"/>
      <c r="Q756" s="1333"/>
      <c r="R756" s="1333"/>
      <c r="S756" s="1449"/>
      <c r="T756" s="1333"/>
      <c r="U756" s="1333"/>
      <c r="V756" s="1333"/>
      <c r="W756" s="1333"/>
      <c r="X756" s="1333"/>
      <c r="Y756" s="1333"/>
      <c r="Z756" s="1333"/>
      <c r="AA756" s="1333"/>
      <c r="AB756" s="1333"/>
      <c r="AC756" s="1333"/>
      <c r="AD756" s="1333"/>
      <c r="AE756" s="1333"/>
      <c r="AF756" s="1333"/>
      <c r="AG756" s="1333"/>
      <c r="AH756" s="1333"/>
      <c r="AI756" s="1333"/>
      <c r="AJ756" s="1333"/>
    </row>
    <row r="757" spans="1:36" x14ac:dyDescent="0.25">
      <c r="A757" s="1407"/>
      <c r="B757" s="1284"/>
      <c r="C757" s="1284"/>
      <c r="D757" s="1364"/>
      <c r="E757" s="1364"/>
      <c r="F757" s="1364"/>
      <c r="G757" s="1365"/>
      <c r="H757" s="1333"/>
      <c r="I757" s="1333"/>
      <c r="J757" s="1333"/>
      <c r="K757" s="1333"/>
      <c r="L757" s="1382"/>
      <c r="M757" s="1333"/>
      <c r="N757" s="1333"/>
      <c r="O757" s="1333"/>
      <c r="P757" s="1333"/>
      <c r="Q757" s="1333"/>
      <c r="R757" s="1333"/>
      <c r="S757" s="1449"/>
      <c r="T757" s="1333"/>
      <c r="U757" s="1333"/>
      <c r="V757" s="1333"/>
      <c r="W757" s="1333"/>
      <c r="X757" s="1333"/>
      <c r="Y757" s="1333"/>
      <c r="Z757" s="1333"/>
      <c r="AA757" s="1333"/>
      <c r="AB757" s="1333"/>
      <c r="AC757" s="1333"/>
      <c r="AD757" s="1333"/>
      <c r="AE757" s="1333"/>
      <c r="AF757" s="1333"/>
      <c r="AG757" s="1333"/>
      <c r="AH757" s="1333"/>
      <c r="AI757" s="1333"/>
      <c r="AJ757" s="1333"/>
    </row>
    <row r="758" spans="1:36" x14ac:dyDescent="0.25">
      <c r="A758" s="1407"/>
      <c r="B758" s="1284"/>
      <c r="C758" s="1284"/>
      <c r="D758" s="1364"/>
      <c r="E758" s="1364"/>
      <c r="F758" s="1364"/>
      <c r="G758" s="1365"/>
      <c r="H758" s="1333"/>
      <c r="I758" s="1333"/>
      <c r="J758" s="1333"/>
      <c r="K758" s="1333"/>
      <c r="L758" s="1382"/>
      <c r="M758" s="1333"/>
      <c r="N758" s="1333"/>
      <c r="O758" s="1333"/>
      <c r="P758" s="1333"/>
      <c r="Q758" s="1333"/>
      <c r="R758" s="1333"/>
      <c r="S758" s="1449"/>
      <c r="T758" s="1333"/>
      <c r="U758" s="1333"/>
      <c r="V758" s="1333"/>
      <c r="W758" s="1333"/>
      <c r="X758" s="1333"/>
      <c r="Y758" s="1333"/>
      <c r="Z758" s="1333"/>
      <c r="AA758" s="1333"/>
      <c r="AB758" s="1333"/>
      <c r="AC758" s="1333"/>
      <c r="AD758" s="1333"/>
      <c r="AE758" s="1333"/>
      <c r="AF758" s="1333"/>
      <c r="AG758" s="1333"/>
      <c r="AH758" s="1333"/>
      <c r="AI758" s="1333"/>
      <c r="AJ758" s="1333"/>
    </row>
    <row r="759" spans="1:36" x14ac:dyDescent="0.25">
      <c r="A759" s="1407"/>
      <c r="B759" s="1284"/>
      <c r="C759" s="1284"/>
      <c r="D759" s="1364"/>
      <c r="E759" s="1364"/>
      <c r="F759" s="1364"/>
      <c r="G759" s="1365"/>
      <c r="H759" s="1333"/>
      <c r="I759" s="1333"/>
      <c r="J759" s="1333"/>
      <c r="K759" s="1333"/>
      <c r="L759" s="1382"/>
      <c r="M759" s="1333"/>
      <c r="N759" s="1333"/>
      <c r="O759" s="1333"/>
      <c r="P759" s="1333"/>
      <c r="Q759" s="1333"/>
      <c r="R759" s="1333"/>
      <c r="S759" s="1449"/>
      <c r="T759" s="1333"/>
      <c r="U759" s="1333"/>
      <c r="V759" s="1333"/>
      <c r="W759" s="1333"/>
      <c r="X759" s="1333"/>
      <c r="Y759" s="1333"/>
      <c r="Z759" s="1333"/>
      <c r="AA759" s="1333"/>
      <c r="AB759" s="1333"/>
      <c r="AC759" s="1333"/>
      <c r="AD759" s="1333"/>
      <c r="AE759" s="1333"/>
      <c r="AF759" s="1333"/>
      <c r="AG759" s="1333"/>
      <c r="AH759" s="1333"/>
      <c r="AI759" s="1333"/>
      <c r="AJ759" s="1333"/>
    </row>
    <row r="760" spans="1:36" x14ac:dyDescent="0.25">
      <c r="A760" s="1407"/>
      <c r="B760" s="1284"/>
      <c r="C760" s="1284"/>
      <c r="D760" s="1364"/>
      <c r="E760" s="1364"/>
      <c r="F760" s="1364"/>
      <c r="G760" s="1365"/>
      <c r="H760" s="1333"/>
      <c r="I760" s="1333"/>
      <c r="J760" s="1333"/>
      <c r="K760" s="1333"/>
      <c r="L760" s="1382"/>
      <c r="M760" s="1333"/>
      <c r="N760" s="1333"/>
      <c r="O760" s="1333"/>
      <c r="P760" s="1333"/>
      <c r="Q760" s="1333"/>
      <c r="R760" s="1333"/>
      <c r="S760" s="1449"/>
      <c r="T760" s="1333"/>
      <c r="U760" s="1333"/>
      <c r="V760" s="1333"/>
      <c r="W760" s="1333"/>
      <c r="X760" s="1333"/>
      <c r="Y760" s="1333"/>
      <c r="Z760" s="1333"/>
      <c r="AA760" s="1333"/>
      <c r="AB760" s="1333"/>
      <c r="AC760" s="1333"/>
      <c r="AD760" s="1333"/>
      <c r="AE760" s="1333"/>
      <c r="AF760" s="1333"/>
      <c r="AG760" s="1333"/>
      <c r="AH760" s="1333"/>
      <c r="AI760" s="1333"/>
      <c r="AJ760" s="1333"/>
    </row>
    <row r="761" spans="1:36" x14ac:dyDescent="0.25">
      <c r="A761" s="1407"/>
      <c r="B761" s="1284"/>
      <c r="C761" s="1284"/>
      <c r="D761" s="1364"/>
      <c r="E761" s="1364"/>
      <c r="F761" s="1364"/>
      <c r="G761" s="1365"/>
      <c r="H761" s="1333"/>
      <c r="I761" s="1333"/>
      <c r="J761" s="1333"/>
      <c r="K761" s="1333"/>
      <c r="L761" s="1382"/>
      <c r="M761" s="1333"/>
      <c r="N761" s="1333"/>
      <c r="O761" s="1333"/>
      <c r="P761" s="1333"/>
      <c r="Q761" s="1333"/>
      <c r="R761" s="1333"/>
      <c r="S761" s="1449"/>
      <c r="T761" s="1333"/>
      <c r="U761" s="1333"/>
      <c r="V761" s="1333"/>
      <c r="W761" s="1333"/>
      <c r="X761" s="1333"/>
      <c r="Y761" s="1333"/>
      <c r="Z761" s="1333"/>
      <c r="AA761" s="1333"/>
      <c r="AB761" s="1333"/>
      <c r="AC761" s="1333"/>
      <c r="AD761" s="1333"/>
      <c r="AE761" s="1333"/>
      <c r="AF761" s="1333"/>
      <c r="AG761" s="1333"/>
      <c r="AH761" s="1333"/>
      <c r="AI761" s="1333"/>
      <c r="AJ761" s="1333"/>
    </row>
    <row r="762" spans="1:36" x14ac:dyDescent="0.25">
      <c r="A762" s="1407"/>
      <c r="B762" s="1284"/>
      <c r="C762" s="1284"/>
      <c r="D762" s="1364"/>
      <c r="E762" s="1364"/>
      <c r="F762" s="1364"/>
      <c r="G762" s="1365"/>
      <c r="H762" s="1333"/>
      <c r="I762" s="1333"/>
      <c r="J762" s="1333"/>
      <c r="K762" s="1333"/>
      <c r="L762" s="1382"/>
      <c r="M762" s="1333"/>
      <c r="N762" s="1333"/>
      <c r="O762" s="1333"/>
      <c r="P762" s="1333"/>
      <c r="Q762" s="1333"/>
      <c r="R762" s="1333"/>
      <c r="S762" s="1449"/>
      <c r="T762" s="1333"/>
      <c r="U762" s="1333"/>
      <c r="V762" s="1333"/>
      <c r="W762" s="1333"/>
      <c r="X762" s="1333"/>
      <c r="Y762" s="1333"/>
      <c r="Z762" s="1333"/>
      <c r="AA762" s="1333"/>
      <c r="AB762" s="1333"/>
      <c r="AC762" s="1333"/>
      <c r="AD762" s="1333"/>
      <c r="AE762" s="1333"/>
      <c r="AF762" s="1333"/>
      <c r="AG762" s="1333"/>
      <c r="AH762" s="1333"/>
      <c r="AI762" s="1333"/>
      <c r="AJ762" s="1333"/>
    </row>
    <row r="763" spans="1:36" x14ac:dyDescent="0.25">
      <c r="A763" s="1407"/>
      <c r="B763" s="1284"/>
      <c r="C763" s="1284"/>
      <c r="D763" s="1364"/>
      <c r="E763" s="1364"/>
      <c r="F763" s="1364"/>
      <c r="G763" s="1365"/>
      <c r="H763" s="1333"/>
      <c r="I763" s="1333"/>
      <c r="J763" s="1333"/>
      <c r="K763" s="1333"/>
      <c r="L763" s="1382"/>
      <c r="M763" s="1333"/>
      <c r="N763" s="1333"/>
      <c r="O763" s="1333"/>
      <c r="P763" s="1333"/>
      <c r="Q763" s="1333"/>
      <c r="R763" s="1333"/>
      <c r="S763" s="1449"/>
      <c r="T763" s="1333"/>
      <c r="U763" s="1333"/>
      <c r="V763" s="1333"/>
      <c r="W763" s="1333"/>
      <c r="X763" s="1333"/>
      <c r="Y763" s="1333"/>
      <c r="Z763" s="1333"/>
      <c r="AA763" s="1333"/>
      <c r="AB763" s="1333"/>
      <c r="AC763" s="1333"/>
      <c r="AD763" s="1333"/>
      <c r="AE763" s="1333"/>
      <c r="AF763" s="1333"/>
      <c r="AG763" s="1333"/>
      <c r="AH763" s="1333"/>
      <c r="AI763" s="1333"/>
      <c r="AJ763" s="1333"/>
    </row>
    <row r="764" spans="1:36" x14ac:dyDescent="0.25">
      <c r="A764" s="1407"/>
      <c r="B764" s="1284"/>
      <c r="C764" s="1284"/>
      <c r="D764" s="1364"/>
      <c r="E764" s="1364"/>
      <c r="F764" s="1364"/>
      <c r="G764" s="1365"/>
      <c r="H764" s="1333"/>
      <c r="I764" s="1333"/>
      <c r="J764" s="1333"/>
      <c r="K764" s="1333"/>
      <c r="L764" s="1382"/>
      <c r="M764" s="1333"/>
      <c r="N764" s="1333"/>
      <c r="O764" s="1333"/>
      <c r="P764" s="1333"/>
      <c r="Q764" s="1333"/>
      <c r="R764" s="1333"/>
      <c r="S764" s="1449"/>
      <c r="T764" s="1333"/>
      <c r="U764" s="1333"/>
      <c r="V764" s="1333"/>
      <c r="W764" s="1333"/>
      <c r="X764" s="1333"/>
      <c r="Y764" s="1333"/>
      <c r="Z764" s="1333"/>
      <c r="AA764" s="1333"/>
      <c r="AB764" s="1333"/>
      <c r="AC764" s="1333"/>
      <c r="AD764" s="1333"/>
      <c r="AE764" s="1333"/>
      <c r="AF764" s="1333"/>
      <c r="AG764" s="1333"/>
      <c r="AH764" s="1333"/>
      <c r="AI764" s="1333"/>
      <c r="AJ764" s="1333"/>
    </row>
    <row r="765" spans="1:36" x14ac:dyDescent="0.25">
      <c r="A765" s="1407"/>
      <c r="B765" s="1284"/>
      <c r="C765" s="1284"/>
      <c r="D765" s="1364"/>
      <c r="E765" s="1364"/>
      <c r="F765" s="1364"/>
      <c r="G765" s="1365"/>
      <c r="H765" s="1333"/>
      <c r="I765" s="1333"/>
      <c r="J765" s="1333"/>
      <c r="K765" s="1333"/>
      <c r="L765" s="1382"/>
      <c r="M765" s="1333"/>
      <c r="N765" s="1333"/>
      <c r="O765" s="1333"/>
      <c r="P765" s="1333"/>
      <c r="Q765" s="1333"/>
      <c r="R765" s="1333"/>
      <c r="S765" s="1449"/>
      <c r="T765" s="1333"/>
      <c r="U765" s="1333"/>
      <c r="V765" s="1333"/>
      <c r="W765" s="1333"/>
      <c r="X765" s="1333"/>
      <c r="Y765" s="1333"/>
      <c r="Z765" s="1333"/>
      <c r="AA765" s="1333"/>
      <c r="AB765" s="1333"/>
      <c r="AC765" s="1333"/>
      <c r="AD765" s="1333"/>
      <c r="AE765" s="1333"/>
      <c r="AF765" s="1333"/>
      <c r="AG765" s="1333"/>
      <c r="AH765" s="1333"/>
      <c r="AI765" s="1333"/>
      <c r="AJ765" s="1333"/>
    </row>
    <row r="766" spans="1:36" x14ac:dyDescent="0.25">
      <c r="A766" s="1407"/>
      <c r="B766" s="1284"/>
      <c r="C766" s="1284"/>
      <c r="D766" s="1364"/>
      <c r="E766" s="1364"/>
      <c r="F766" s="1364"/>
      <c r="G766" s="1365"/>
      <c r="H766" s="1333"/>
      <c r="I766" s="1333"/>
      <c r="J766" s="1333"/>
      <c r="K766" s="1333"/>
      <c r="L766" s="1382"/>
      <c r="M766" s="1333"/>
      <c r="N766" s="1333"/>
      <c r="O766" s="1333"/>
      <c r="P766" s="1333"/>
      <c r="Q766" s="1333"/>
      <c r="R766" s="1333"/>
      <c r="S766" s="1449"/>
      <c r="T766" s="1333"/>
      <c r="U766" s="1333"/>
      <c r="V766" s="1333"/>
      <c r="W766" s="1333"/>
      <c r="X766" s="1333"/>
      <c r="Y766" s="1333"/>
      <c r="Z766" s="1333"/>
      <c r="AA766" s="1333"/>
      <c r="AB766" s="1333"/>
      <c r="AC766" s="1333"/>
      <c r="AD766" s="1333"/>
      <c r="AE766" s="1333"/>
      <c r="AF766" s="1333"/>
      <c r="AG766" s="1333"/>
      <c r="AH766" s="1333"/>
      <c r="AI766" s="1333"/>
      <c r="AJ766" s="1333"/>
    </row>
    <row r="767" spans="1:36" x14ac:dyDescent="0.25">
      <c r="A767" s="1407"/>
      <c r="B767" s="1284"/>
      <c r="C767" s="1284"/>
      <c r="D767" s="1364"/>
      <c r="E767" s="1364"/>
      <c r="F767" s="1364"/>
      <c r="G767" s="1365"/>
      <c r="H767" s="1333"/>
      <c r="I767" s="1333"/>
      <c r="J767" s="1333"/>
      <c r="K767" s="1333"/>
      <c r="L767" s="1382"/>
      <c r="M767" s="1333"/>
      <c r="N767" s="1333"/>
      <c r="O767" s="1333"/>
      <c r="P767" s="1333"/>
      <c r="Q767" s="1333"/>
      <c r="R767" s="1333"/>
      <c r="S767" s="1449"/>
      <c r="T767" s="1333"/>
      <c r="U767" s="1333"/>
      <c r="V767" s="1333"/>
      <c r="W767" s="1333"/>
      <c r="X767" s="1333"/>
      <c r="Y767" s="1333"/>
      <c r="Z767" s="1333"/>
      <c r="AA767" s="1333"/>
      <c r="AB767" s="1333"/>
      <c r="AC767" s="1333"/>
      <c r="AD767" s="1333"/>
      <c r="AE767" s="1333"/>
      <c r="AF767" s="1333"/>
      <c r="AG767" s="1333"/>
      <c r="AH767" s="1333"/>
      <c r="AI767" s="1333"/>
      <c r="AJ767" s="1333"/>
    </row>
    <row r="768" spans="1:36" x14ac:dyDescent="0.25">
      <c r="A768" s="1407"/>
      <c r="B768" s="1284"/>
      <c r="C768" s="1284"/>
      <c r="D768" s="1364"/>
      <c r="E768" s="1364"/>
      <c r="F768" s="1364"/>
      <c r="G768" s="1365"/>
      <c r="H768" s="1333"/>
      <c r="I768" s="1333"/>
      <c r="J768" s="1333"/>
      <c r="K768" s="1333"/>
      <c r="L768" s="1382"/>
      <c r="M768" s="1333"/>
      <c r="N768" s="1333"/>
      <c r="O768" s="1333"/>
      <c r="P768" s="1333"/>
      <c r="Q768" s="1333"/>
      <c r="R768" s="1333"/>
      <c r="S768" s="1449"/>
      <c r="T768" s="1333"/>
      <c r="U768" s="1333"/>
      <c r="V768" s="1333"/>
      <c r="W768" s="1333"/>
      <c r="X768" s="1333"/>
      <c r="Y768" s="1333"/>
      <c r="Z768" s="1333"/>
      <c r="AA768" s="1333"/>
      <c r="AB768" s="1333"/>
      <c r="AC768" s="1333"/>
      <c r="AD768" s="1333"/>
      <c r="AE768" s="1333"/>
      <c r="AF768" s="1333"/>
      <c r="AG768" s="1333"/>
      <c r="AH768" s="1333"/>
      <c r="AI768" s="1333"/>
      <c r="AJ768" s="1333"/>
    </row>
    <row r="769" spans="1:36" x14ac:dyDescent="0.25">
      <c r="A769" s="1407"/>
      <c r="B769" s="1284"/>
      <c r="C769" s="1284"/>
      <c r="D769" s="1364"/>
      <c r="E769" s="1364"/>
      <c r="F769" s="1364"/>
      <c r="G769" s="1365"/>
      <c r="H769" s="1333"/>
      <c r="I769" s="1333"/>
      <c r="J769" s="1333"/>
      <c r="K769" s="1333"/>
      <c r="L769" s="1382"/>
      <c r="M769" s="1333"/>
      <c r="N769" s="1333"/>
      <c r="O769" s="1333"/>
      <c r="P769" s="1333"/>
      <c r="Q769" s="1333"/>
      <c r="R769" s="1333"/>
      <c r="S769" s="1449"/>
      <c r="T769" s="1333"/>
      <c r="U769" s="1333"/>
      <c r="V769" s="1333"/>
      <c r="W769" s="1333"/>
      <c r="X769" s="1333"/>
      <c r="Y769" s="1333"/>
      <c r="Z769" s="1333"/>
      <c r="AA769" s="1333"/>
      <c r="AB769" s="1333"/>
      <c r="AC769" s="1333"/>
      <c r="AD769" s="1333"/>
      <c r="AE769" s="1333"/>
      <c r="AF769" s="1333"/>
      <c r="AG769" s="1333"/>
      <c r="AH769" s="1333"/>
      <c r="AI769" s="1333"/>
      <c r="AJ769" s="1333"/>
    </row>
    <row r="770" spans="1:36" x14ac:dyDescent="0.25">
      <c r="A770" s="1407"/>
      <c r="B770" s="1284"/>
      <c r="C770" s="1284"/>
      <c r="D770" s="1364"/>
      <c r="E770" s="1364"/>
      <c r="F770" s="1364"/>
      <c r="G770" s="1365"/>
      <c r="H770" s="1333"/>
      <c r="I770" s="1333"/>
      <c r="J770" s="1333"/>
      <c r="K770" s="1333"/>
      <c r="L770" s="1382"/>
      <c r="M770" s="1333"/>
      <c r="N770" s="1333"/>
      <c r="O770" s="1333"/>
      <c r="P770" s="1333"/>
      <c r="Q770" s="1333"/>
      <c r="R770" s="1333"/>
      <c r="S770" s="1449"/>
      <c r="T770" s="1333"/>
      <c r="U770" s="1333"/>
      <c r="V770" s="1333"/>
      <c r="W770" s="1333"/>
      <c r="X770" s="1333"/>
      <c r="Y770" s="1333"/>
      <c r="Z770" s="1333"/>
      <c r="AA770" s="1333"/>
      <c r="AB770" s="1333"/>
      <c r="AC770" s="1333"/>
      <c r="AD770" s="1333"/>
      <c r="AE770" s="1333"/>
      <c r="AF770" s="1333"/>
      <c r="AG770" s="1333"/>
      <c r="AH770" s="1333"/>
      <c r="AI770" s="1333"/>
      <c r="AJ770" s="1333"/>
    </row>
    <row r="771" spans="1:36" x14ac:dyDescent="0.25">
      <c r="A771" s="1407"/>
      <c r="B771" s="1284"/>
      <c r="C771" s="1284"/>
      <c r="D771" s="1364"/>
      <c r="E771" s="1364"/>
      <c r="F771" s="1364"/>
      <c r="G771" s="1365"/>
      <c r="H771" s="1333"/>
      <c r="I771" s="1333"/>
      <c r="J771" s="1333"/>
      <c r="K771" s="1333"/>
      <c r="L771" s="1382"/>
      <c r="M771" s="1333"/>
      <c r="N771" s="1333"/>
      <c r="O771" s="1333"/>
      <c r="P771" s="1333"/>
      <c r="Q771" s="1333"/>
      <c r="R771" s="1333"/>
      <c r="S771" s="1449"/>
      <c r="T771" s="1333"/>
      <c r="U771" s="1333"/>
      <c r="V771" s="1333"/>
      <c r="W771" s="1333"/>
      <c r="X771" s="1333"/>
      <c r="Y771" s="1333"/>
      <c r="Z771" s="1333"/>
      <c r="AA771" s="1333"/>
      <c r="AB771" s="1333"/>
      <c r="AC771" s="1333"/>
      <c r="AD771" s="1333"/>
      <c r="AE771" s="1333"/>
      <c r="AF771" s="1333"/>
      <c r="AG771" s="1333"/>
      <c r="AH771" s="1333"/>
      <c r="AI771" s="1333"/>
      <c r="AJ771" s="1333"/>
    </row>
    <row r="772" spans="1:36" x14ac:dyDescent="0.25">
      <c r="A772" s="1407"/>
      <c r="B772" s="1284"/>
      <c r="C772" s="1284"/>
      <c r="D772" s="1364"/>
      <c r="E772" s="1364"/>
      <c r="F772" s="1364"/>
      <c r="G772" s="1365"/>
      <c r="H772" s="1333"/>
      <c r="I772" s="1333"/>
      <c r="J772" s="1333"/>
      <c r="K772" s="1333"/>
      <c r="L772" s="1382"/>
      <c r="M772" s="1333"/>
      <c r="N772" s="1333"/>
      <c r="O772" s="1333"/>
      <c r="P772" s="1333"/>
      <c r="Q772" s="1333"/>
      <c r="R772" s="1333"/>
      <c r="S772" s="1449"/>
      <c r="T772" s="1333"/>
      <c r="U772" s="1333"/>
      <c r="V772" s="1333"/>
      <c r="W772" s="1333"/>
      <c r="X772" s="1333"/>
      <c r="Y772" s="1333"/>
      <c r="Z772" s="1333"/>
      <c r="AA772" s="1333"/>
      <c r="AB772" s="1333"/>
      <c r="AC772" s="1333"/>
      <c r="AD772" s="1333"/>
      <c r="AE772" s="1333"/>
      <c r="AF772" s="1333"/>
      <c r="AG772" s="1333"/>
      <c r="AH772" s="1333"/>
      <c r="AI772" s="1333"/>
      <c r="AJ772" s="1333"/>
    </row>
    <row r="773" spans="1:36" x14ac:dyDescent="0.25">
      <c r="A773" s="1407"/>
      <c r="B773" s="1284"/>
      <c r="C773" s="1284"/>
      <c r="D773" s="1364"/>
      <c r="E773" s="1364"/>
      <c r="F773" s="1364"/>
      <c r="G773" s="1365"/>
      <c r="H773" s="1333"/>
      <c r="I773" s="1333"/>
      <c r="J773" s="1333"/>
      <c r="K773" s="1333"/>
      <c r="L773" s="1382"/>
      <c r="M773" s="1333"/>
      <c r="N773" s="1333"/>
      <c r="O773" s="1333"/>
      <c r="P773" s="1333"/>
      <c r="Q773" s="1333"/>
      <c r="R773" s="1333"/>
      <c r="S773" s="1449"/>
      <c r="T773" s="1333"/>
      <c r="U773" s="1333"/>
      <c r="V773" s="1333"/>
      <c r="W773" s="1333"/>
      <c r="X773" s="1333"/>
      <c r="Y773" s="1333"/>
      <c r="Z773" s="1333"/>
      <c r="AA773" s="1333"/>
      <c r="AB773" s="1333"/>
      <c r="AC773" s="1333"/>
      <c r="AD773" s="1333"/>
      <c r="AE773" s="1333"/>
      <c r="AF773" s="1333"/>
      <c r="AG773" s="1333"/>
      <c r="AH773" s="1333"/>
      <c r="AI773" s="1333"/>
      <c r="AJ773" s="1333"/>
    </row>
    <row r="774" spans="1:36" x14ac:dyDescent="0.25">
      <c r="A774" s="1407"/>
      <c r="B774" s="1284"/>
      <c r="C774" s="1284"/>
      <c r="D774" s="1364"/>
      <c r="E774" s="1364"/>
      <c r="F774" s="1364"/>
      <c r="G774" s="1365"/>
      <c r="H774" s="1333"/>
      <c r="I774" s="1333"/>
      <c r="J774" s="1333"/>
      <c r="K774" s="1333"/>
      <c r="L774" s="1382"/>
      <c r="M774" s="1333"/>
      <c r="N774" s="1333"/>
      <c r="O774" s="1333"/>
      <c r="P774" s="1333"/>
      <c r="Q774" s="1333"/>
      <c r="R774" s="1333"/>
      <c r="S774" s="1449"/>
      <c r="T774" s="1333"/>
      <c r="U774" s="1333"/>
      <c r="V774" s="1333"/>
      <c r="W774" s="1333"/>
      <c r="X774" s="1333"/>
      <c r="Y774" s="1333"/>
      <c r="Z774" s="1333"/>
      <c r="AA774" s="1333"/>
      <c r="AB774" s="1333"/>
      <c r="AC774" s="1333"/>
      <c r="AD774" s="1333"/>
      <c r="AE774" s="1333"/>
      <c r="AF774" s="1333"/>
      <c r="AG774" s="1333"/>
      <c r="AH774" s="1333"/>
      <c r="AI774" s="1333"/>
      <c r="AJ774" s="1333"/>
    </row>
    <row r="775" spans="1:36" x14ac:dyDescent="0.25">
      <c r="A775" s="1407"/>
      <c r="B775" s="1284"/>
      <c r="C775" s="1284"/>
      <c r="D775" s="1364"/>
      <c r="E775" s="1364"/>
      <c r="F775" s="1364"/>
      <c r="G775" s="1365"/>
      <c r="H775" s="1333"/>
      <c r="I775" s="1333"/>
      <c r="J775" s="1333"/>
      <c r="K775" s="1333"/>
      <c r="L775" s="1382"/>
      <c r="M775" s="1333"/>
      <c r="N775" s="1333"/>
      <c r="O775" s="1333"/>
      <c r="P775" s="1333"/>
      <c r="Q775" s="1333"/>
      <c r="R775" s="1333"/>
      <c r="S775" s="1449"/>
      <c r="T775" s="1333"/>
      <c r="U775" s="1333"/>
      <c r="V775" s="1333"/>
      <c r="W775" s="1333"/>
      <c r="X775" s="1333"/>
      <c r="Y775" s="1333"/>
      <c r="Z775" s="1333"/>
      <c r="AA775" s="1333"/>
      <c r="AB775" s="1333"/>
      <c r="AC775" s="1333"/>
      <c r="AD775" s="1333"/>
      <c r="AE775" s="1333"/>
      <c r="AF775" s="1333"/>
      <c r="AG775" s="1333"/>
      <c r="AH775" s="1333"/>
      <c r="AI775" s="1333"/>
      <c r="AJ775" s="1333"/>
    </row>
    <row r="776" spans="1:36" x14ac:dyDescent="0.25">
      <c r="A776" s="1407"/>
      <c r="B776" s="1284"/>
      <c r="C776" s="1284"/>
      <c r="D776" s="1364"/>
      <c r="E776" s="1364"/>
      <c r="F776" s="1364"/>
      <c r="G776" s="1365"/>
      <c r="H776" s="1333"/>
      <c r="I776" s="1333"/>
      <c r="J776" s="1333"/>
      <c r="K776" s="1333"/>
      <c r="L776" s="1382"/>
      <c r="M776" s="1333"/>
      <c r="N776" s="1333"/>
      <c r="O776" s="1333"/>
      <c r="P776" s="1333"/>
      <c r="Q776" s="1333"/>
      <c r="R776" s="1333"/>
      <c r="S776" s="1449"/>
      <c r="T776" s="1333"/>
      <c r="U776" s="1333"/>
      <c r="V776" s="1333"/>
      <c r="W776" s="1333"/>
      <c r="X776" s="1333"/>
      <c r="Y776" s="1333"/>
      <c r="Z776" s="1333"/>
      <c r="AA776" s="1333"/>
      <c r="AB776" s="1333"/>
      <c r="AC776" s="1333"/>
      <c r="AD776" s="1333"/>
      <c r="AE776" s="1333"/>
      <c r="AF776" s="1333"/>
      <c r="AG776" s="1333"/>
      <c r="AH776" s="1333"/>
      <c r="AI776" s="1333"/>
      <c r="AJ776" s="1333"/>
    </row>
    <row r="777" spans="1:36" x14ac:dyDescent="0.25">
      <c r="A777" s="1407"/>
      <c r="B777" s="1284"/>
      <c r="C777" s="1284"/>
      <c r="D777" s="1364"/>
      <c r="E777" s="1364"/>
      <c r="F777" s="1364"/>
      <c r="G777" s="1365"/>
      <c r="H777" s="1333"/>
      <c r="I777" s="1333"/>
      <c r="J777" s="1333"/>
      <c r="K777" s="1333"/>
      <c r="L777" s="1382"/>
      <c r="M777" s="1333"/>
      <c r="N777" s="1333"/>
      <c r="O777" s="1333"/>
      <c r="P777" s="1333"/>
      <c r="Q777" s="1333"/>
      <c r="R777" s="1333"/>
      <c r="S777" s="1449"/>
      <c r="T777" s="1333"/>
      <c r="U777" s="1333"/>
      <c r="V777" s="1333"/>
      <c r="W777" s="1333"/>
      <c r="X777" s="1333"/>
      <c r="Y777" s="1333"/>
      <c r="Z777" s="1333"/>
      <c r="AA777" s="1333"/>
      <c r="AB777" s="1333"/>
      <c r="AC777" s="1333"/>
      <c r="AD777" s="1333"/>
      <c r="AE777" s="1333"/>
      <c r="AF777" s="1333"/>
      <c r="AG777" s="1333"/>
      <c r="AH777" s="1333"/>
      <c r="AI777" s="1333"/>
      <c r="AJ777" s="1333"/>
    </row>
    <row r="778" spans="1:36" x14ac:dyDescent="0.25">
      <c r="A778" s="1407"/>
      <c r="B778" s="1284"/>
      <c r="C778" s="1284"/>
      <c r="D778" s="1364"/>
      <c r="E778" s="1364"/>
      <c r="F778" s="1364"/>
      <c r="G778" s="1365"/>
      <c r="H778" s="1333"/>
      <c r="I778" s="1333"/>
      <c r="J778" s="1333"/>
      <c r="K778" s="1333"/>
      <c r="L778" s="1382"/>
      <c r="M778" s="1333"/>
      <c r="N778" s="1333"/>
      <c r="O778" s="1333"/>
      <c r="P778" s="1333"/>
      <c r="Q778" s="1333"/>
      <c r="R778" s="1333"/>
      <c r="S778" s="1449"/>
      <c r="T778" s="1333"/>
      <c r="U778" s="1333"/>
      <c r="V778" s="1333"/>
      <c r="W778" s="1333"/>
      <c r="X778" s="1333"/>
      <c r="Y778" s="1333"/>
      <c r="Z778" s="1333"/>
      <c r="AA778" s="1333"/>
      <c r="AB778" s="1333"/>
      <c r="AC778" s="1333"/>
      <c r="AD778" s="1333"/>
      <c r="AE778" s="1333"/>
      <c r="AF778" s="1333"/>
      <c r="AG778" s="1333"/>
      <c r="AH778" s="1333"/>
      <c r="AI778" s="1333"/>
      <c r="AJ778" s="1333"/>
    </row>
  </sheetData>
  <sheetProtection formatColumns="0" formatRows="0" selectLockedCells="1"/>
  <mergeCells count="61">
    <mergeCell ref="K15:K23"/>
    <mergeCell ref="D23:F23"/>
    <mergeCell ref="A15:A23"/>
    <mergeCell ref="C15:H15"/>
    <mergeCell ref="C16:H16"/>
    <mergeCell ref="C18:H18"/>
    <mergeCell ref="C19:H19"/>
    <mergeCell ref="C21:D21"/>
    <mergeCell ref="F21:G21"/>
    <mergeCell ref="C22:D22"/>
    <mergeCell ref="F22:G22"/>
    <mergeCell ref="C580:E580"/>
    <mergeCell ref="C576:E576"/>
    <mergeCell ref="K457:K469"/>
    <mergeCell ref="A470:A520"/>
    <mergeCell ref="A555:A564"/>
    <mergeCell ref="C605:E605"/>
    <mergeCell ref="C603:E603"/>
    <mergeCell ref="A527:A554"/>
    <mergeCell ref="F3:H3"/>
    <mergeCell ref="C594:E594"/>
    <mergeCell ref="G23:H23"/>
    <mergeCell ref="C601:E601"/>
    <mergeCell ref="C591:E591"/>
    <mergeCell ref="C592:E592"/>
    <mergeCell ref="C573:E573"/>
    <mergeCell ref="C574:E574"/>
    <mergeCell ref="C589:E589"/>
    <mergeCell ref="C587:E587"/>
    <mergeCell ref="C584:E584"/>
    <mergeCell ref="C585:E585"/>
    <mergeCell ref="C582:E582"/>
    <mergeCell ref="C606:E606"/>
    <mergeCell ref="C607:E607"/>
    <mergeCell ref="C608:E608"/>
    <mergeCell ref="C609:E609"/>
    <mergeCell ref="C610:E610"/>
    <mergeCell ref="C611:E611"/>
    <mergeCell ref="C612:E612"/>
    <mergeCell ref="C613:E613"/>
    <mergeCell ref="C614:E614"/>
    <mergeCell ref="C615:E615"/>
    <mergeCell ref="C616:E616"/>
    <mergeCell ref="C617:E617"/>
    <mergeCell ref="C618:E618"/>
    <mergeCell ref="C619:E619"/>
    <mergeCell ref="C620:E620"/>
    <mergeCell ref="C621:E621"/>
    <mergeCell ref="C622:E622"/>
    <mergeCell ref="C623:E623"/>
    <mergeCell ref="C624:E624"/>
    <mergeCell ref="C625:E625"/>
    <mergeCell ref="C631:E631"/>
    <mergeCell ref="C632:E632"/>
    <mergeCell ref="C633:E633"/>
    <mergeCell ref="C634:E634"/>
    <mergeCell ref="C626:E626"/>
    <mergeCell ref="C627:E627"/>
    <mergeCell ref="C628:E628"/>
    <mergeCell ref="C629:E629"/>
    <mergeCell ref="C630:E630"/>
  </mergeCells>
  <conditionalFormatting sqref="E37:I37">
    <cfRule type="expression" dxfId="549" priority="549">
      <formula>$D$37="N"</formula>
    </cfRule>
  </conditionalFormatting>
  <conditionalFormatting sqref="E32:I32">
    <cfRule type="expression" dxfId="548" priority="352">
      <formula>$D$32="N"</formula>
    </cfRule>
  </conditionalFormatting>
  <conditionalFormatting sqref="D4">
    <cfRule type="cellIs" dxfId="547" priority="1306" operator="equal">
      <formula>"?"</formula>
    </cfRule>
    <cfRule type="cellIs" dxfId="546" priority="1307" operator="equal">
      <formula>"Y"</formula>
    </cfRule>
  </conditionalFormatting>
  <conditionalFormatting sqref="E5">
    <cfRule type="cellIs" dxfId="545" priority="1304" operator="equal">
      <formula>"?"</formula>
    </cfRule>
    <cfRule type="cellIs" dxfId="544" priority="1305" operator="equal">
      <formula>"Y"</formula>
    </cfRule>
  </conditionalFormatting>
  <conditionalFormatting sqref="F6">
    <cfRule type="cellIs" dxfId="543" priority="1302" operator="equal">
      <formula>"?"</formula>
    </cfRule>
    <cfRule type="cellIs" dxfId="542" priority="1303" operator="equal">
      <formula>"Y"</formula>
    </cfRule>
  </conditionalFormatting>
  <conditionalFormatting sqref="F231:H254">
    <cfRule type="expression" dxfId="541" priority="1203">
      <formula>$E$231="N"</formula>
    </cfRule>
  </conditionalFormatting>
  <conditionalFormatting sqref="F270:H278">
    <cfRule type="expression" dxfId="540" priority="1205">
      <formula>$E$270="N"</formula>
    </cfRule>
  </conditionalFormatting>
  <conditionalFormatting sqref="F289:H298">
    <cfRule type="expression" dxfId="539" priority="1207">
      <formula>$E$289="N"</formula>
    </cfRule>
  </conditionalFormatting>
  <conditionalFormatting sqref="F299:H308">
    <cfRule type="expression" dxfId="538" priority="1208">
      <formula>$E$299="N"</formula>
    </cfRule>
  </conditionalFormatting>
  <conditionalFormatting sqref="F316:H331">
    <cfRule type="expression" dxfId="537" priority="1210">
      <formula>$E$316="N"</formula>
    </cfRule>
  </conditionalFormatting>
  <conditionalFormatting sqref="F340:H349">
    <cfRule type="expression" dxfId="536" priority="1253">
      <formula>$E$340="N"</formula>
    </cfRule>
  </conditionalFormatting>
  <conditionalFormatting sqref="F279:H288">
    <cfRule type="expression" dxfId="535" priority="1206">
      <formula>$E$279="N"</formula>
    </cfRule>
  </conditionalFormatting>
  <conditionalFormatting sqref="E206:H381">
    <cfRule type="expression" dxfId="534" priority="1199">
      <formula>$D$206="N"</formula>
    </cfRule>
  </conditionalFormatting>
  <conditionalFormatting sqref="E168:I168">
    <cfRule type="expression" dxfId="533" priority="1193">
      <formula>$D$168="N"</formula>
    </cfRule>
  </conditionalFormatting>
  <conditionalFormatting sqref="I4 K4">
    <cfRule type="expression" dxfId="532" priority="1288">
      <formula>$C4="N"</formula>
    </cfRule>
  </conditionalFormatting>
  <conditionalFormatting sqref="H5 K5:K6">
    <cfRule type="expression" dxfId="531" priority="1287">
      <formula>$C$180="N"</formula>
    </cfRule>
  </conditionalFormatting>
  <conditionalFormatting sqref="H6">
    <cfRule type="expression" dxfId="530" priority="1285">
      <formula>$C$180="N"</formula>
    </cfRule>
  </conditionalFormatting>
  <conditionalFormatting sqref="F332:H339">
    <cfRule type="expression" dxfId="529" priority="1249">
      <formula>$E$332="N"</formula>
    </cfRule>
  </conditionalFormatting>
  <conditionalFormatting sqref="F350:H357">
    <cfRule type="expression" dxfId="528" priority="1254">
      <formula>$E$350="N"</formula>
    </cfRule>
  </conditionalFormatting>
  <conditionalFormatting sqref="F255:H269">
    <cfRule type="expression" dxfId="527" priority="1204">
      <formula>$E$255="N"</formula>
    </cfRule>
  </conditionalFormatting>
  <conditionalFormatting sqref="E180:H205">
    <cfRule type="expression" dxfId="526" priority="1197">
      <formula>$D$180="N"</formula>
    </cfRule>
  </conditionalFormatting>
  <conditionalFormatting sqref="E27:I27">
    <cfRule type="expression" dxfId="525" priority="349">
      <formula>$D$27="N"</formula>
    </cfRule>
  </conditionalFormatting>
  <conditionalFormatting sqref="E126:H126">
    <cfRule type="expression" dxfId="524" priority="1190">
      <formula>$D$126="N"</formula>
    </cfRule>
  </conditionalFormatting>
  <conditionalFormatting sqref="E39:H39">
    <cfRule type="expression" dxfId="523" priority="550">
      <formula>$D$39="N"</formula>
    </cfRule>
  </conditionalFormatting>
  <conditionalFormatting sqref="I269">
    <cfRule type="expression" dxfId="522" priority="1273">
      <formula>$E$255="N"</formula>
    </cfRule>
  </conditionalFormatting>
  <conditionalFormatting sqref="I269">
    <cfRule type="expression" dxfId="521" priority="1272">
      <formula>$D$206="N"</formula>
    </cfRule>
  </conditionalFormatting>
  <conditionalFormatting sqref="E25:I25">
    <cfRule type="expression" dxfId="520" priority="351">
      <formula>$D$25="N"</formula>
    </cfRule>
  </conditionalFormatting>
  <conditionalFormatting sqref="E180:H180">
    <cfRule type="expression" dxfId="519" priority="1196">
      <formula>$D$180="N"</formula>
    </cfRule>
  </conditionalFormatting>
  <conditionalFormatting sqref="E206:H206">
    <cfRule type="expression" dxfId="518" priority="1198">
      <formula>$D$206="N"</formula>
    </cfRule>
  </conditionalFormatting>
  <conditionalFormatting sqref="F358:H366">
    <cfRule type="expression" dxfId="517" priority="1250">
      <formula>$E$358="N"</formula>
    </cfRule>
  </conditionalFormatting>
  <conditionalFormatting sqref="G25:H564">
    <cfRule type="expression" dxfId="516" priority="346">
      <formula>$F25="N"</formula>
    </cfRule>
  </conditionalFormatting>
  <conditionalFormatting sqref="F25:H564">
    <cfRule type="expression" dxfId="515" priority="343">
      <formula>$E25="N"</formula>
    </cfRule>
  </conditionalFormatting>
  <conditionalFormatting sqref="E385:H456">
    <cfRule type="expression" dxfId="514" priority="1262">
      <formula>$D$385="N"</formula>
    </cfRule>
  </conditionalFormatting>
  <conditionalFormatting sqref="E385:H385">
    <cfRule type="expression" dxfId="513" priority="1261">
      <formula>$D$385="N"</formula>
    </cfRule>
  </conditionalFormatting>
  <conditionalFormatting sqref="E443:H443">
    <cfRule type="expression" dxfId="512" priority="1264">
      <formula>$D$443="N"</formula>
    </cfRule>
  </conditionalFormatting>
  <conditionalFormatting sqref="E39:H125">
    <cfRule type="expression" dxfId="511" priority="1188">
      <formula>$D$39="N"</formula>
    </cfRule>
  </conditionalFormatting>
  <conditionalFormatting sqref="E126:H167">
    <cfRule type="expression" dxfId="510" priority="1191">
      <formula>$D$126="N"</formula>
    </cfRule>
  </conditionalFormatting>
  <conditionalFormatting sqref="E382:H382">
    <cfRule type="expression" dxfId="509" priority="1256">
      <formula>$D$382="N"</formula>
    </cfRule>
  </conditionalFormatting>
  <conditionalFormatting sqref="E25:H564">
    <cfRule type="expression" dxfId="508" priority="209">
      <formula>$D25="N"</formula>
    </cfRule>
  </conditionalFormatting>
  <conditionalFormatting sqref="E350:H350">
    <cfRule type="expression" dxfId="507" priority="1255">
      <formula>$D$350="N"</formula>
    </cfRule>
  </conditionalFormatting>
  <conditionalFormatting sqref="E444:H456">
    <cfRule type="expression" dxfId="506" priority="1263">
      <formula>$D$443="N"</formula>
    </cfRule>
  </conditionalFormatting>
  <conditionalFormatting sqref="E461:H461">
    <cfRule type="expression" dxfId="505" priority="1266">
      <formula>$D$461="N"</formula>
    </cfRule>
  </conditionalFormatting>
  <conditionalFormatting sqref="E463:H463">
    <cfRule type="expression" dxfId="504" priority="1267">
      <formula>$D$463="N"</formula>
    </cfRule>
  </conditionalFormatting>
  <conditionalFormatting sqref="E463:H467">
    <cfRule type="expression" dxfId="503" priority="1268">
      <formula>$D$463="N"</formula>
    </cfRule>
  </conditionalFormatting>
  <conditionalFormatting sqref="E468:H468">
    <cfRule type="expression" dxfId="502" priority="1269">
      <formula>$D$468="N"</formula>
    </cfRule>
  </conditionalFormatting>
  <conditionalFormatting sqref="E495:H495">
    <cfRule type="expression" dxfId="501" priority="1280">
      <formula>$D$495="N"</formula>
    </cfRule>
  </conditionalFormatting>
  <conditionalFormatting sqref="E480:H480">
    <cfRule type="expression" dxfId="500" priority="1274">
      <formula>$D$480="N"</formula>
    </cfRule>
  </conditionalFormatting>
  <conditionalFormatting sqref="E480:H483">
    <cfRule type="expression" dxfId="499" priority="1271">
      <formula>$D$480="N"</formula>
    </cfRule>
  </conditionalFormatting>
  <conditionalFormatting sqref="E485:H485">
    <cfRule type="expression" dxfId="498" priority="1275">
      <formula>$D$485="N"</formula>
    </cfRule>
  </conditionalFormatting>
  <conditionalFormatting sqref="E502:H502">
    <cfRule type="expression" dxfId="497" priority="1282">
      <formula>$D$502="N"</formula>
    </cfRule>
  </conditionalFormatting>
  <conditionalFormatting sqref="E502:H517">
    <cfRule type="expression" dxfId="496" priority="1283">
      <formula>$D$502="N"</formula>
    </cfRule>
  </conditionalFormatting>
  <conditionalFormatting sqref="E519:H519">
    <cfRule type="expression" dxfId="495" priority="1286">
      <formula>$D$519="N"</formula>
    </cfRule>
  </conditionalFormatting>
  <conditionalFormatting sqref="E521:H521">
    <cfRule type="expression" dxfId="494" priority="1289">
      <formula>$D$521="N"</formula>
    </cfRule>
  </conditionalFormatting>
  <conditionalFormatting sqref="E527:H527">
    <cfRule type="expression" dxfId="493" priority="1292">
      <formula>$D$527="N"</formula>
    </cfRule>
  </conditionalFormatting>
  <conditionalFormatting sqref="E527:H545">
    <cfRule type="expression" dxfId="492" priority="1293">
      <formula>$D$527="N"</formula>
    </cfRule>
  </conditionalFormatting>
  <conditionalFormatting sqref="E546:H546">
    <cfRule type="expression" dxfId="491" priority="1295">
      <formula>$D$546="N"</formula>
    </cfRule>
  </conditionalFormatting>
  <conditionalFormatting sqref="E546:H550">
    <cfRule type="expression" dxfId="490" priority="1296">
      <formula>$D$546="N"</formula>
    </cfRule>
  </conditionalFormatting>
  <conditionalFormatting sqref="E557:H557">
    <cfRule type="expression" dxfId="489" priority="1299">
      <formula>$D$557="N"</formula>
    </cfRule>
  </conditionalFormatting>
  <conditionalFormatting sqref="E559:H559">
    <cfRule type="expression" dxfId="488" priority="1300">
      <formula>$D$559="N"</formula>
    </cfRule>
  </conditionalFormatting>
  <conditionalFormatting sqref="K569:K571">
    <cfRule type="cellIs" dxfId="487" priority="773" operator="equal">
      <formula>"BID DOES NOT APPLY"</formula>
    </cfRule>
    <cfRule type="cellIs" dxfId="486" priority="774" operator="equal">
      <formula>"NO CONSTRUCTION - BID DOES NOT APPLY"</formula>
    </cfRule>
  </conditionalFormatting>
  <conditionalFormatting sqref="I5">
    <cfRule type="expression" dxfId="485" priority="772">
      <formula>$C$180="N"</formula>
    </cfRule>
  </conditionalFormatting>
  <conditionalFormatting sqref="I6">
    <cfRule type="expression" dxfId="484" priority="771">
      <formula>$C$180="N"</formula>
    </cfRule>
  </conditionalFormatting>
  <conditionalFormatting sqref="E174:H174">
    <cfRule type="expression" dxfId="483" priority="1194">
      <formula>$D$174="N"</formula>
    </cfRule>
  </conditionalFormatting>
  <conditionalFormatting sqref="E174:H179">
    <cfRule type="expression" dxfId="482" priority="1195">
      <formula>$D$174="N"</formula>
    </cfRule>
  </conditionalFormatting>
  <conditionalFormatting sqref="E523:H523">
    <cfRule type="expression" dxfId="481" priority="1290">
      <formula>$D$523="N"</formula>
    </cfRule>
  </conditionalFormatting>
  <conditionalFormatting sqref="E551:H551">
    <cfRule type="expression" dxfId="480" priority="1297">
      <formula>$D$551="N"</formula>
    </cfRule>
  </conditionalFormatting>
  <conditionalFormatting sqref="K260:K270 K273 K282 K292 K302 K319 K345:K350 K218 K316 K337:K340 K363:K367 K355:K358 K25:K27 K237:K255 K227 K223:K224 K61:K65 K67:K82 K84:K90 K92:K95 K97:K100 K102:K109 K111:K114 K116:K117 K119:K120 K122:K133 K275:K279 K284:K289 K294:K299 K304:K308 K321:K332 K370:K456 K135:K168 K229:K231 K173:K210 K36:K59 K31:K32">
    <cfRule type="cellIs" dxfId="479" priority="459" operator="equal">
      <formula>"no 95% match"</formula>
    </cfRule>
  </conditionalFormatting>
  <conditionalFormatting sqref="A25:A59 A61:A65 A67:A82 A84:A90 A92:A95 A97:A100 A102:A109 A111:A114 A116:A117 A119:A120 A222:A227 A235 A237:A257 A260:A273 A275:A282 A284:A292 A294:A302 A304:A312 A314:A319 A321:A334 A337:A342 A345:A352 A355:A360 A363:A367 A370:A469 A229:A233 A122:A220">
    <cfRule type="expression" dxfId="478" priority="442">
      <formula>$K25="no 95% match"</formula>
    </cfRule>
  </conditionalFormatting>
  <conditionalFormatting sqref="F372:H380">
    <cfRule type="expression" dxfId="477" priority="1252">
      <formula>$F$372="n"</formula>
    </cfRule>
  </conditionalFormatting>
  <conditionalFormatting sqref="F367:H380">
    <cfRule type="expression" dxfId="476" priority="1251">
      <formula>$E$367="N"</formula>
    </cfRule>
  </conditionalFormatting>
  <conditionalFormatting sqref="D459:H459">
    <cfRule type="expression" dxfId="475" priority="1265">
      <formula>$D$459="N"</formula>
    </cfRule>
  </conditionalFormatting>
  <conditionalFormatting sqref="E472:H478">
    <cfRule type="expression" dxfId="474" priority="1270">
      <formula>$D$472="N"</formula>
    </cfRule>
  </conditionalFormatting>
  <conditionalFormatting sqref="E487:H494">
    <cfRule type="expression" dxfId="473" priority="1279">
      <formula>$D$487="N"</formula>
    </cfRule>
  </conditionalFormatting>
  <conditionalFormatting sqref="E495:H501">
    <cfRule type="expression" dxfId="472" priority="1281">
      <formula>$D$495="N"</formula>
    </cfRule>
  </conditionalFormatting>
  <conditionalFormatting sqref="E561:H561">
    <cfRule type="expression" dxfId="471" priority="1301">
      <formula>$D$561="n"</formula>
    </cfRule>
  </conditionalFormatting>
  <conditionalFormatting sqref="E563:H563">
    <cfRule type="expression" dxfId="470" priority="1308">
      <formula>$D$563="N"</formula>
    </cfRule>
  </conditionalFormatting>
  <conditionalFormatting sqref="C16">
    <cfRule type="cellIs" dxfId="469" priority="309" operator="equal">
      <formula>"NO CONSTRUCTION - CONST. DOES NOT APPLY"</formula>
    </cfRule>
    <cfRule type="cellIs" dxfId="468" priority="342" operator="equal">
      <formula>"CONSTRUCTION DOES NOT APPLY"</formula>
    </cfRule>
  </conditionalFormatting>
  <conditionalFormatting sqref="F56:H125">
    <cfRule type="expression" dxfId="467" priority="1189">
      <formula>$E$56="N"</formula>
    </cfRule>
  </conditionalFormatting>
  <conditionalFormatting sqref="E553:H553">
    <cfRule type="expression" dxfId="466" priority="1298">
      <formula>$D$553="N"</formula>
    </cfRule>
  </conditionalFormatting>
  <conditionalFormatting sqref="K222">
    <cfRule type="cellIs" dxfId="465" priority="291" operator="equal">
      <formula>"no 95% match"</formula>
    </cfRule>
  </conditionalFormatting>
  <conditionalFormatting sqref="K225:K226">
    <cfRule type="cellIs" dxfId="464" priority="288" operator="equal">
      <formula>"no 95% match"</formula>
    </cfRule>
  </conditionalFormatting>
  <conditionalFormatting sqref="K219:K220">
    <cfRule type="cellIs" dxfId="463" priority="285" operator="equal">
      <formula>"no 95% match"</formula>
    </cfRule>
  </conditionalFormatting>
  <conditionalFormatting sqref="K232:K233">
    <cfRule type="cellIs" dxfId="462" priority="282" operator="equal">
      <formula>"no 95% match"</formula>
    </cfRule>
  </conditionalFormatting>
  <conditionalFormatting sqref="K256:K257">
    <cfRule type="cellIs" dxfId="461" priority="279" operator="equal">
      <formula>"no 95% match"</formula>
    </cfRule>
  </conditionalFormatting>
  <conditionalFormatting sqref="K271:K272">
    <cfRule type="cellIs" dxfId="460" priority="276" operator="equal">
      <formula>"no 95% match"</formula>
    </cfRule>
  </conditionalFormatting>
  <conditionalFormatting sqref="K280:K281">
    <cfRule type="cellIs" dxfId="459" priority="273" operator="equal">
      <formula>"no 95% match"</formula>
    </cfRule>
  </conditionalFormatting>
  <conditionalFormatting sqref="K290:K291">
    <cfRule type="cellIs" dxfId="458" priority="270" operator="equal">
      <formula>"no 95% match"</formula>
    </cfRule>
  </conditionalFormatting>
  <conditionalFormatting sqref="K300:K301">
    <cfRule type="cellIs" dxfId="457" priority="267" operator="equal">
      <formula>"no 95% match"</formula>
    </cfRule>
  </conditionalFormatting>
  <conditionalFormatting sqref="K317:K318">
    <cfRule type="cellIs" dxfId="456" priority="264" operator="equal">
      <formula>"no 95% match"</formula>
    </cfRule>
  </conditionalFormatting>
  <conditionalFormatting sqref="K333:K334">
    <cfRule type="cellIs" dxfId="455" priority="261" operator="equal">
      <formula>"no 95% match"</formula>
    </cfRule>
  </conditionalFormatting>
  <conditionalFormatting sqref="K359:K360">
    <cfRule type="cellIs" dxfId="454" priority="258" operator="equal">
      <formula>"no 95% match"</formula>
    </cfRule>
  </conditionalFormatting>
  <conditionalFormatting sqref="K341:K342">
    <cfRule type="cellIs" dxfId="453" priority="255" operator="equal">
      <formula>"no 95% match"</formula>
    </cfRule>
  </conditionalFormatting>
  <conditionalFormatting sqref="K351:K352">
    <cfRule type="cellIs" dxfId="452" priority="252" operator="equal">
      <formula>"no 95% match"</formula>
    </cfRule>
  </conditionalFormatting>
  <conditionalFormatting sqref="K235">
    <cfRule type="cellIs" dxfId="451" priority="249" operator="equal">
      <formula>"no 95% match"</formula>
    </cfRule>
  </conditionalFormatting>
  <conditionalFormatting sqref="E168:H172">
    <cfRule type="expression" dxfId="450" priority="1192">
      <formula>$D$168="N"</formula>
    </cfRule>
  </conditionalFormatting>
  <conditionalFormatting sqref="C15:H16 C18:H18">
    <cfRule type="containsText" dxfId="449" priority="211" operator="containsText" text="Insert">
      <formula>NOT(ISERROR(SEARCH("Insert",C15)))</formula>
    </cfRule>
    <cfRule type="containsText" dxfId="448" priority="245" operator="containsText" text="Choose">
      <formula>NOT(ISERROR(SEARCH("Choose",C15)))</formula>
    </cfRule>
    <cfRule type="containsText" dxfId="447" priority="246" operator="containsText" text="##">
      <formula>NOT(ISERROR(SEARCH("##",C15)))</formula>
    </cfRule>
  </conditionalFormatting>
  <conditionalFormatting sqref="F211:H217">
    <cfRule type="expression" dxfId="446" priority="1200">
      <formula>$E$211="N"</formula>
    </cfRule>
  </conditionalFormatting>
  <conditionalFormatting sqref="K134">
    <cfRule type="cellIs" dxfId="445" priority="173" operator="equal">
      <formula>"no 95% match"</formula>
    </cfRule>
  </conditionalFormatting>
  <conditionalFormatting sqref="K312 K309 K314:K315">
    <cfRule type="cellIs" dxfId="444" priority="158" operator="equal">
      <formula>"no 95% match"</formula>
    </cfRule>
  </conditionalFormatting>
  <conditionalFormatting sqref="K310:K311">
    <cfRule type="cellIs" dxfId="443" priority="146" operator="equal">
      <formula>"no 95% match"</formula>
    </cfRule>
  </conditionalFormatting>
  <conditionalFormatting sqref="F309:H315">
    <cfRule type="expression" dxfId="442" priority="1209">
      <formula>$E$309="N"</formula>
    </cfRule>
  </conditionalFormatting>
  <conditionalFormatting sqref="L15:L21">
    <cfRule type="containsText" dxfId="441" priority="105" operator="containsText" text="Enter/Update">
      <formula>NOT(ISERROR(SEARCH("Enter/Update",L15)))</formula>
    </cfRule>
    <cfRule type="containsText" dxfId="440" priority="106" operator="containsText" text="&lt;----Fill in information">
      <formula>NOT(ISERROR(SEARCH("&lt;----Fill in information",L15)))</formula>
    </cfRule>
  </conditionalFormatting>
  <conditionalFormatting sqref="A66">
    <cfRule type="expression" dxfId="439" priority="101">
      <formula>$K66="no 95% match"</formula>
    </cfRule>
  </conditionalFormatting>
  <conditionalFormatting sqref="A83">
    <cfRule type="expression" dxfId="438" priority="87">
      <formula>$K83="no 95% match"</formula>
    </cfRule>
  </conditionalFormatting>
  <conditionalFormatting sqref="A91">
    <cfRule type="expression" dxfId="437" priority="86">
      <formula>$K91="no 95% match"</formula>
    </cfRule>
  </conditionalFormatting>
  <conditionalFormatting sqref="A96">
    <cfRule type="expression" dxfId="436" priority="85">
      <formula>$K96="no 95% match"</formula>
    </cfRule>
  </conditionalFormatting>
  <conditionalFormatting sqref="A101">
    <cfRule type="expression" dxfId="435" priority="84">
      <formula>$K101="no 95% match"</formula>
    </cfRule>
  </conditionalFormatting>
  <conditionalFormatting sqref="A110">
    <cfRule type="expression" dxfId="434" priority="83">
      <formula>$K110="no 95% match"</formula>
    </cfRule>
  </conditionalFormatting>
  <conditionalFormatting sqref="A115">
    <cfRule type="expression" dxfId="433" priority="82">
      <formula>$K115="no 95% match"</formula>
    </cfRule>
  </conditionalFormatting>
  <conditionalFormatting sqref="A118">
    <cfRule type="expression" dxfId="432" priority="81">
      <formula>$K118="no 95% match"</formula>
    </cfRule>
  </conditionalFormatting>
  <conditionalFormatting sqref="A121">
    <cfRule type="expression" dxfId="431" priority="80">
      <formula>$K121="no 95% match"</formula>
    </cfRule>
  </conditionalFormatting>
  <conditionalFormatting sqref="A221">
    <cfRule type="expression" dxfId="430" priority="78">
      <formula>$K221="no 95% match"</formula>
    </cfRule>
  </conditionalFormatting>
  <conditionalFormatting sqref="A234">
    <cfRule type="expression" dxfId="429" priority="47">
      <formula>$K234="no 95% match"</formula>
    </cfRule>
  </conditionalFormatting>
  <conditionalFormatting sqref="A236">
    <cfRule type="expression" dxfId="428" priority="46">
      <formula>$K236="no 95% match"</formula>
    </cfRule>
  </conditionalFormatting>
  <conditionalFormatting sqref="A258:A259">
    <cfRule type="expression" dxfId="427" priority="45">
      <formula>$K258="no 95% match"</formula>
    </cfRule>
  </conditionalFormatting>
  <conditionalFormatting sqref="A274">
    <cfRule type="expression" dxfId="426" priority="44">
      <formula>$K274="no 95% match"</formula>
    </cfRule>
  </conditionalFormatting>
  <conditionalFormatting sqref="A283">
    <cfRule type="expression" dxfId="425" priority="43">
      <formula>$K283="no 95% match"</formula>
    </cfRule>
  </conditionalFormatting>
  <conditionalFormatting sqref="A293">
    <cfRule type="expression" dxfId="424" priority="42">
      <formula>$K293="no 95% match"</formula>
    </cfRule>
  </conditionalFormatting>
  <conditionalFormatting sqref="A303">
    <cfRule type="expression" dxfId="423" priority="41">
      <formula>$K303="no 95% match"</formula>
    </cfRule>
  </conditionalFormatting>
  <conditionalFormatting sqref="A313">
    <cfRule type="expression" dxfId="422" priority="40">
      <formula>$K313="no 95% match"</formula>
    </cfRule>
  </conditionalFormatting>
  <conditionalFormatting sqref="A320">
    <cfRule type="expression" dxfId="421" priority="39">
      <formula>$K320="no 95% match"</formula>
    </cfRule>
  </conditionalFormatting>
  <conditionalFormatting sqref="A335:A336">
    <cfRule type="expression" dxfId="420" priority="38">
      <formula>$K335="no 95% match"</formula>
    </cfRule>
  </conditionalFormatting>
  <conditionalFormatting sqref="A343:A344">
    <cfRule type="expression" dxfId="419" priority="37">
      <formula>$K343="no 95% match"</formula>
    </cfRule>
  </conditionalFormatting>
  <conditionalFormatting sqref="A353:A354">
    <cfRule type="expression" dxfId="418" priority="36">
      <formula>$K353="no 95% match"</formula>
    </cfRule>
  </conditionalFormatting>
  <conditionalFormatting sqref="A361:A362">
    <cfRule type="expression" dxfId="417" priority="35">
      <formula>$K361="no 95% match"</formula>
    </cfRule>
  </conditionalFormatting>
  <conditionalFormatting sqref="A368:A369">
    <cfRule type="expression" dxfId="416" priority="34">
      <formula>$K368="no 95% match"</formula>
    </cfRule>
  </conditionalFormatting>
  <conditionalFormatting sqref="K33:K35">
    <cfRule type="cellIs" dxfId="415" priority="32" operator="equal">
      <formula>"no 95% match"</formula>
    </cfRule>
  </conditionalFormatting>
  <conditionalFormatting sqref="K28:K30">
    <cfRule type="cellIs" dxfId="414" priority="17" operator="equal">
      <formula>"no 95% match"</formula>
    </cfRule>
  </conditionalFormatting>
  <conditionalFormatting sqref="C18:H564">
    <cfRule type="expression" dxfId="413" priority="1">
      <formula>$C$16="CONSTRUCTION DOES NOT APPLY"</formula>
    </cfRule>
    <cfRule type="expression" dxfId="412" priority="2">
      <formula>$C$16="NO CONSTRUCTION - CONST. DOES NOT APPLY"</formula>
    </cfRule>
  </conditionalFormatting>
  <conditionalFormatting sqref="H25:H564">
    <cfRule type="containsText" dxfId="411" priority="107" operator="containsText" text="PLACEHOLDER">
      <formula>NOT(ISERROR(SEARCH("PLACEHOLDER",H25)))</formula>
    </cfRule>
    <cfRule type="expression" dxfId="410" priority="347">
      <formula>$G$25="N"</formula>
    </cfRule>
  </conditionalFormatting>
  <conditionalFormatting sqref="D25:G564">
    <cfRule type="cellIs" dxfId="409" priority="141" operator="equal">
      <formula>"Y"</formula>
    </cfRule>
    <cfRule type="cellIs" dxfId="408" priority="178" operator="equal">
      <formula>"?"</formula>
    </cfRule>
  </conditionalFormatting>
  <conditionalFormatting sqref="C25:C564">
    <cfRule type="expression" dxfId="407" priority="210">
      <formula>$D25="Y"</formula>
    </cfRule>
    <cfRule type="expression" dxfId="406" priority="224">
      <formula>$E25="Y"</formula>
    </cfRule>
    <cfRule type="expression" dxfId="405" priority="308">
      <formula>$F25="Y"</formula>
    </cfRule>
    <cfRule type="expression" dxfId="404" priority="345">
      <formula>$G25="Y"</formula>
    </cfRule>
  </conditionalFormatting>
  <conditionalFormatting sqref="D28:H30">
    <cfRule type="expression" dxfId="403" priority="350">
      <formula>$D$27="N"</formula>
    </cfRule>
  </conditionalFormatting>
  <conditionalFormatting sqref="D33:H35">
    <cfRule type="expression" dxfId="402" priority="547">
      <formula>$D$32="N"</formula>
    </cfRule>
  </conditionalFormatting>
  <dataValidations count="3">
    <dataValidation type="list" allowBlank="1" showInputMessage="1" showErrorMessage="1" sqref="C23">
      <formula1>$C$8:$C$11</formula1>
    </dataValidation>
    <dataValidation type="list" allowBlank="1" showInputMessage="1" showErrorMessage="1" sqref="F6 E5 D4">
      <formula1>$D$8:$D$11</formula1>
    </dataValidation>
    <dataValidation allowBlank="1" showInputMessage="1" showErrorMessage="1" promptTitle="NO INPUTS IN THESE CELLS" prompt="Changes are only made in TAB C." sqref="C21:D21 F21:H21 D25:H565"/>
  </dataValidations>
  <hyperlinks>
    <hyperlink ref="H503" r:id="rId1" display="http://www.fs.illinois.edu/docs/default-source/facility-standards/technical-sections/division-01---administrative/01-33-23---shop-drawings-product-data-and-samples.docx?sfvrsn=2"/>
    <hyperlink ref="H528" r:id="rId2"/>
  </hyperlinks>
  <printOptions horizontalCentered="1"/>
  <pageMargins left="0.45" right="0.45" top="0.5" bottom="0.65" header="0.3" footer="0.3"/>
  <pageSetup scale="85" fitToHeight="9" orientation="portrait" r:id="rId3"/>
  <headerFooter>
    <oddFooter>&amp;L&amp;"-,Bold"&amp;10TAB &amp;A&amp;C&amp;8&amp;P of &amp;N&amp;R&amp;G</oddFooter>
  </headerFooter>
  <rowBreaks count="5" manualBreakCount="5">
    <brk id="205" min="2" max="7" man="1"/>
    <brk id="254" min="2" max="7" man="1"/>
    <brk id="357" min="2" max="7" man="1"/>
    <brk id="469" min="2" max="7" man="1"/>
    <brk id="501" min="2" max="7" man="1"/>
  </rowBreaks>
  <legacyDrawing r:id="rId4"/>
  <legacyDrawingHF r:id="rId5"/>
  <extLst>
    <ext xmlns:x14="http://schemas.microsoft.com/office/spreadsheetml/2009/9/main" uri="{78C0D931-6437-407d-A8EE-F0AAD7539E65}">
      <x14:conditionalFormattings>
        <x14:conditionalFormatting xmlns:xm="http://schemas.microsoft.com/office/excel/2006/main">
          <x14:cfRule type="expression" priority="454" id="{81B43BB4-37E7-4482-AA65-68C888839237}">
            <xm:f>'00 - Concept.'!$F553="N"</xm:f>
            <x14:dxf>
              <font>
                <strike/>
              </font>
            </x14:dxf>
          </x14:cfRule>
          <xm:sqref>I567</xm:sqref>
        </x14:conditionalFormatting>
        <x14:conditionalFormatting xmlns:xm="http://schemas.microsoft.com/office/excel/2006/main">
          <x14:cfRule type="expression" priority="412" id="{1D5B3531-54DB-4AC9-9841-E2A969E42E1B}">
            <xm:f>'00 - Concept.'!$F352="N"</xm:f>
            <x14:dxf>
              <font>
                <strike/>
              </font>
            </x14:dxf>
          </x14:cfRule>
          <xm:sqref>I513 I347</xm:sqref>
        </x14:conditionalFormatting>
        <x14:conditionalFormatting xmlns:xm="http://schemas.microsoft.com/office/excel/2006/main">
          <x14:cfRule type="expression" priority="6420" id="{F965764A-035A-4218-A5AF-09C3803A66F4}">
            <xm:f>'00 - Concept.'!#REF!="N"</xm:f>
            <x14:dxf>
              <font>
                <strike/>
              </font>
            </x14:dxf>
          </x14:cfRule>
          <xm:sqref>I127:I128</xm:sqref>
        </x14:conditionalFormatting>
        <x14:conditionalFormatting xmlns:xm="http://schemas.microsoft.com/office/excel/2006/main">
          <x14:cfRule type="expression" priority="6583" id="{F965764A-035A-4218-A5AF-09C3803A66F4}">
            <xm:f>'00 - Concept.'!$E31="N"</xm:f>
            <x14:dxf>
              <font>
                <strike/>
              </font>
            </x14:dxf>
          </x14:cfRule>
          <xm:sqref>I40:I41</xm:sqref>
        </x14:conditionalFormatting>
        <x14:conditionalFormatting xmlns:xm="http://schemas.microsoft.com/office/excel/2006/main">
          <x14:cfRule type="expression" priority="14095" id="{F965764A-035A-4218-A5AF-09C3803A66F4}">
            <xm:f>'00 - Concept.'!$E123="N"</xm:f>
            <x14:dxf>
              <font>
                <strike/>
              </font>
            </x14:dxf>
          </x14:cfRule>
          <xm:sqref>I367 I114</xm:sqref>
        </x14:conditionalFormatting>
        <x14:conditionalFormatting xmlns:xm="http://schemas.microsoft.com/office/excel/2006/main">
          <x14:cfRule type="expression" priority="15039" id="{F965764A-035A-4218-A5AF-09C3803A66F4}">
            <xm:f>'00 - Concept.'!#REF!="N"</xm:f>
            <x14:dxf>
              <font>
                <strike/>
              </font>
            </x14:dxf>
          </x14:cfRule>
          <xm:sqref>I165:I166</xm:sqref>
        </x14:conditionalFormatting>
        <x14:conditionalFormatting xmlns:xm="http://schemas.microsoft.com/office/excel/2006/main">
          <x14:cfRule type="expression" priority="333" id="{2BF839D8-0B2F-4B41-A03B-B4E2AA628FE4}">
            <xm:f>'00 - Concept.'!#REF!="N"</xm:f>
            <x14:dxf>
              <font>
                <strike/>
              </font>
            </x14:dxf>
          </x14:cfRule>
          <xm:sqref>I178</xm:sqref>
        </x14:conditionalFormatting>
        <x14:conditionalFormatting xmlns:xm="http://schemas.microsoft.com/office/excel/2006/main">
          <x14:cfRule type="expression" priority="20107" id="{BCB04981-D8CA-4B8B-9D63-04BA967E2C2E}">
            <xm:f>'00 - Concept.'!$D4="N"</xm:f>
            <x14:dxf>
              <font>
                <strike/>
              </font>
            </x14:dxf>
          </x14:cfRule>
          <xm:sqref>G4</xm:sqref>
        </x14:conditionalFormatting>
        <x14:conditionalFormatting xmlns:xm="http://schemas.microsoft.com/office/excel/2006/main">
          <x14:cfRule type="expression" priority="20119" id="{F965764A-035A-4218-A5AF-09C3803A66F4}">
            <xm:f>'00 - Concept.'!$E136="N"</xm:f>
            <x14:dxf>
              <font>
                <strike/>
              </font>
            </x14:dxf>
          </x14:cfRule>
          <xm:sqref>I132:I134</xm:sqref>
        </x14:conditionalFormatting>
        <x14:conditionalFormatting xmlns:xm="http://schemas.microsoft.com/office/excel/2006/main">
          <x14:cfRule type="expression" priority="20404" id="{1D5B3531-54DB-4AC9-9841-E2A969E42E1B}">
            <xm:f>'00 - Concept.'!$F364="N"</xm:f>
            <x14:dxf>
              <font>
                <strike/>
              </font>
            </x14:dxf>
          </x14:cfRule>
          <xm:sqref>I331</xm:sqref>
        </x14:conditionalFormatting>
        <x14:conditionalFormatting xmlns:xm="http://schemas.microsoft.com/office/excel/2006/main">
          <x14:cfRule type="expression" priority="20413" id="{81B43BB4-37E7-4482-AA65-68C888839237}">
            <xm:f>'00 - Concept.'!$F257="N"</xm:f>
            <x14:dxf>
              <font>
                <strike/>
              </font>
            </x14:dxf>
          </x14:cfRule>
          <xm:sqref>I229</xm:sqref>
        </x14:conditionalFormatting>
        <x14:conditionalFormatting xmlns:xm="http://schemas.microsoft.com/office/excel/2006/main">
          <x14:cfRule type="expression" priority="20715" id="{81B43BB4-37E7-4482-AA65-68C888839237}">
            <xm:f>'00 - Concept.'!$F268="N"</xm:f>
            <x14:dxf>
              <font>
                <strike/>
              </font>
            </x14:dxf>
          </x14:cfRule>
          <xm:sqref>I243:I245</xm:sqref>
        </x14:conditionalFormatting>
        <x14:conditionalFormatting xmlns:xm="http://schemas.microsoft.com/office/excel/2006/main">
          <x14:cfRule type="expression" priority="25508" id="{F965764A-035A-4218-A5AF-09C3803A66F4}">
            <xm:f>'00 - Concept.'!$E125="N"</xm:f>
            <x14:dxf>
              <font>
                <strike/>
              </font>
            </x14:dxf>
          </x14:cfRule>
          <xm:sqref>I129:I131</xm:sqref>
        </x14:conditionalFormatting>
        <x14:conditionalFormatting xmlns:xm="http://schemas.microsoft.com/office/excel/2006/main">
          <x14:cfRule type="expression" priority="25512" id="{F965764A-035A-4218-A5AF-09C3803A66F4}">
            <xm:f>'00 - Concept.'!$E124="N"</xm:f>
            <x14:dxf>
              <font>
                <strike/>
              </font>
            </x14:dxf>
          </x14:cfRule>
          <xm:sqref>I163:I164 I122:I124</xm:sqref>
        </x14:conditionalFormatting>
        <x14:conditionalFormatting xmlns:xm="http://schemas.microsoft.com/office/excel/2006/main">
          <x14:cfRule type="expression" priority="44135" id="{81B43BB4-37E7-4482-AA65-68C888839237}">
            <xm:f>'00 - Concept.'!$F196="N"</xm:f>
            <x14:dxf>
              <font>
                <strike/>
              </font>
            </x14:dxf>
          </x14:cfRule>
          <xm:sqref>I198:I199 I193</xm:sqref>
        </x14:conditionalFormatting>
        <x14:conditionalFormatting xmlns:xm="http://schemas.microsoft.com/office/excel/2006/main">
          <x14:cfRule type="expression" priority="46521" id="{1D5B3531-54DB-4AC9-9841-E2A969E42E1B}">
            <xm:f>'00 - Concept.'!$F250="N"</xm:f>
            <x14:dxf>
              <font>
                <strike/>
              </font>
            </x14:dxf>
          </x14:cfRule>
          <xm:sqref>I208:I210</xm:sqref>
        </x14:conditionalFormatting>
        <x14:conditionalFormatting xmlns:xm="http://schemas.microsoft.com/office/excel/2006/main">
          <x14:cfRule type="expression" priority="46664" id="{1D5B3531-54DB-4AC9-9841-E2A969E42E1B}">
            <xm:f>'00 - Concept.'!$F198="N"</xm:f>
            <x14:dxf>
              <font>
                <strike/>
              </font>
            </x14:dxf>
          </x14:cfRule>
          <xm:sqref>I182</xm:sqref>
        </x14:conditionalFormatting>
        <x14:conditionalFormatting xmlns:xm="http://schemas.microsoft.com/office/excel/2006/main">
          <x14:cfRule type="expression" priority="46807" id="{81B43BB4-37E7-4482-AA65-68C888839237}">
            <xm:f>'00 - Concept.'!$F195="N"</xm:f>
            <x14:dxf>
              <font>
                <strike/>
              </font>
            </x14:dxf>
          </x14:cfRule>
          <xm:sqref>I197</xm:sqref>
        </x14:conditionalFormatting>
        <x14:conditionalFormatting xmlns:xm="http://schemas.microsoft.com/office/excel/2006/main">
          <x14:cfRule type="expression" priority="46950" id="{1D5B3531-54DB-4AC9-9841-E2A969E42E1B}">
            <xm:f>'00 - Concept.'!$F355="N"</xm:f>
            <x14:dxf>
              <font>
                <strike/>
              </font>
            </x14:dxf>
          </x14:cfRule>
          <xm:sqref>I348</xm:sqref>
        </x14:conditionalFormatting>
        <x14:conditionalFormatting xmlns:xm="http://schemas.microsoft.com/office/excel/2006/main">
          <x14:cfRule type="expression" priority="52960" id="{F965764A-035A-4218-A5AF-09C3803A66F4}">
            <xm:f>'00 - Concept.'!$E116="N"</xm:f>
            <x14:dxf>
              <font>
                <strike/>
              </font>
            </x14:dxf>
          </x14:cfRule>
          <xm:sqref>I135 I113</xm:sqref>
        </x14:conditionalFormatting>
        <x14:conditionalFormatting xmlns:xm="http://schemas.microsoft.com/office/excel/2006/main">
          <x14:cfRule type="expression" priority="53929" id="{81B43BB4-37E7-4482-AA65-68C888839237}">
            <xm:f>'00 - Concept.'!$F190="N"</xm:f>
            <x14:dxf>
              <font>
                <strike/>
              </font>
            </x14:dxf>
          </x14:cfRule>
          <xm:sqref>I195</xm:sqref>
        </x14:conditionalFormatting>
        <x14:conditionalFormatting xmlns:xm="http://schemas.microsoft.com/office/excel/2006/main">
          <x14:cfRule type="expression" priority="55347" id="{F965764A-035A-4218-A5AF-09C3803A66F4}">
            <xm:f>'00 - Concept.'!$E36="N"</xm:f>
            <x14:dxf>
              <font>
                <strike/>
              </font>
            </x14:dxf>
          </x14:cfRule>
          <xm:sqref>I42:I44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pageSetUpPr fitToPage="1"/>
  </sheetPr>
  <dimension ref="A1:AY787"/>
  <sheetViews>
    <sheetView showGridLines="0" view="pageBreakPreview" topLeftCell="B1" zoomScaleNormal="100" zoomScaleSheetLayoutView="100" workbookViewId="0">
      <pane ySplit="23" topLeftCell="A25" activePane="bottomLeft" state="frozen"/>
      <selection pane="bottomLeft" activeCell="H36" sqref="D27:H36"/>
    </sheetView>
  </sheetViews>
  <sheetFormatPr defaultRowHeight="15" x14ac:dyDescent="0.25"/>
  <cols>
    <col min="1" max="1" width="5.7109375" style="91" hidden="1" customWidth="1"/>
    <col min="2" max="2" width="0.85546875" customWidth="1"/>
    <col min="3" max="3" width="9.28515625" customWidth="1"/>
    <col min="4" max="6" width="3.28515625" style="16" customWidth="1"/>
    <col min="7" max="7" width="8" style="19" customWidth="1"/>
    <col min="8" max="8" width="86" style="17" customWidth="1"/>
    <col min="9" max="9" width="0.85546875" style="17" customWidth="1"/>
    <col min="10" max="10" width="12.140625" style="17" hidden="1" customWidth="1"/>
    <col min="11" max="11" width="10.7109375" style="17" hidden="1" customWidth="1"/>
    <col min="12" max="12" width="9.140625" style="17"/>
    <col min="13" max="17" width="9.140625" style="17" customWidth="1"/>
    <col min="18" max="18" width="9.140625" style="17"/>
    <col min="19" max="19" width="9.140625" style="255"/>
    <col min="20" max="49" width="9.140625" style="17"/>
  </cols>
  <sheetData>
    <row r="1" spans="1:49" s="542" customFormat="1" hidden="1" x14ac:dyDescent="0.25">
      <c r="A1" s="91"/>
      <c r="D1" s="543"/>
      <c r="E1" s="543"/>
      <c r="F1" s="543"/>
      <c r="G1" s="19"/>
      <c r="H1" s="17"/>
      <c r="I1" s="17"/>
      <c r="J1" s="17"/>
      <c r="K1" s="17"/>
      <c r="L1" s="17"/>
      <c r="M1" s="17"/>
      <c r="N1" s="17"/>
      <c r="O1" s="17"/>
      <c r="P1" s="17"/>
      <c r="Q1" s="17"/>
      <c r="R1" s="17"/>
      <c r="S1" s="255"/>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row>
    <row r="2" spans="1:49" s="542" customFormat="1" hidden="1" x14ac:dyDescent="0.25">
      <c r="A2" s="91"/>
      <c r="D2" s="543"/>
      <c r="E2" s="543"/>
      <c r="F2" s="543"/>
      <c r="G2" s="19"/>
      <c r="H2" s="17"/>
      <c r="I2" s="17"/>
      <c r="J2" s="17"/>
      <c r="K2" s="17"/>
      <c r="L2" s="17"/>
      <c r="M2" s="17"/>
      <c r="N2" s="17"/>
      <c r="O2" s="17"/>
      <c r="P2" s="17"/>
      <c r="Q2" s="17"/>
      <c r="R2" s="17"/>
      <c r="S2" s="255"/>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row>
    <row r="3" spans="1:49" ht="30" customHeight="1" x14ac:dyDescent="0.25">
      <c r="A3" s="1331"/>
      <c r="B3" s="542"/>
      <c r="C3" s="1577" t="s">
        <v>46</v>
      </c>
      <c r="D3" s="1577"/>
      <c r="E3" s="1577"/>
      <c r="F3" s="2160" t="str">
        <f ca="1">CONCATENATE("READ DIRECTIONS FILE FIRST.  PSC should print &amp; use at CLOSE OUT submittals. PM/ Planner only should hide non-applicable rows.  Choices for applicability are in the tab [",MID(CELL("filename",Date_edited_TAB_C),FIND("]",CELL("filename",Date_edited_TAB_C))+1,255),"]")</f>
        <v>READ DIRECTIONS FILE FIRST.  PSC should print &amp; use at CLOSE OUT submittals. PM/ Planner only should hide non-applicable rows.  Choices for applicability are in the tab [C-Design&amp;Const]</v>
      </c>
      <c r="G3" s="2160"/>
      <c r="H3" s="2160"/>
      <c r="I3" s="1421"/>
      <c r="J3" s="1186"/>
      <c r="K3" s="1441"/>
      <c r="L3" s="1186"/>
      <c r="M3" s="1186"/>
      <c r="N3" s="1186"/>
      <c r="O3" s="1186"/>
      <c r="P3" s="1186"/>
      <c r="Q3" s="1186"/>
      <c r="R3" s="1186"/>
      <c r="S3" s="1449"/>
      <c r="T3" s="1333"/>
      <c r="U3" s="1333"/>
      <c r="V3" s="1333"/>
      <c r="W3" s="1333"/>
      <c r="X3" s="1333"/>
      <c r="Y3" s="1333"/>
      <c r="Z3" s="1333"/>
      <c r="AA3" s="1333"/>
      <c r="AB3" s="1333"/>
      <c r="AC3" s="1333"/>
      <c r="AD3" s="1333"/>
      <c r="AE3" s="1333"/>
      <c r="AF3" s="1333"/>
      <c r="AG3" s="1333"/>
      <c r="AH3" s="1333"/>
      <c r="AI3" s="1333"/>
      <c r="AJ3" s="1333"/>
      <c r="AW3"/>
    </row>
    <row r="4" spans="1:49" ht="19.5" hidden="1" thickTop="1" x14ac:dyDescent="0.25">
      <c r="A4" s="1331"/>
      <c r="C4" s="34"/>
      <c r="D4" s="35" t="s">
        <v>37</v>
      </c>
      <c r="E4" s="36"/>
      <c r="F4" s="28"/>
      <c r="G4" s="1801" t="s">
        <v>39</v>
      </c>
      <c r="H4" s="1803" t="s">
        <v>219</v>
      </c>
      <c r="I4" s="63"/>
      <c r="J4" s="53"/>
      <c r="K4" s="63"/>
      <c r="L4" s="1341" t="s">
        <v>142</v>
      </c>
      <c r="M4" s="1341"/>
      <c r="N4" s="1333"/>
      <c r="O4" s="1333"/>
      <c r="P4" s="1333"/>
      <c r="Q4" s="1333"/>
      <c r="R4" s="1333"/>
      <c r="S4" s="1449"/>
      <c r="T4" s="1333"/>
      <c r="U4" s="1333"/>
      <c r="V4" s="1333"/>
      <c r="W4" s="1333"/>
      <c r="X4" s="1333"/>
      <c r="Y4" s="1333"/>
      <c r="Z4" s="1333"/>
      <c r="AA4" s="1333"/>
      <c r="AB4" s="1333"/>
      <c r="AC4" s="1333"/>
      <c r="AD4" s="1333"/>
      <c r="AE4" s="1333"/>
      <c r="AF4" s="1333"/>
      <c r="AG4" s="1333"/>
      <c r="AH4" s="1333"/>
      <c r="AI4" s="1333"/>
      <c r="AJ4" s="1333"/>
      <c r="AW4"/>
    </row>
    <row r="5" spans="1:49" hidden="1" x14ac:dyDescent="0.25">
      <c r="A5" s="1342"/>
      <c r="C5" s="39"/>
      <c r="D5" s="21"/>
      <c r="E5" s="29" t="s">
        <v>37</v>
      </c>
      <c r="F5" s="22"/>
      <c r="G5" s="33"/>
      <c r="H5" s="40" t="s">
        <v>50</v>
      </c>
      <c r="I5" s="299"/>
      <c r="J5" s="153"/>
      <c r="K5" s="302"/>
      <c r="L5" s="1521" t="s">
        <v>49</v>
      </c>
      <c r="M5" s="1521"/>
      <c r="N5" s="1351"/>
      <c r="O5" s="1333"/>
      <c r="P5" s="1333"/>
      <c r="Q5" s="1333"/>
      <c r="R5" s="1333"/>
      <c r="S5" s="1449"/>
      <c r="T5" s="1333"/>
      <c r="U5" s="1333"/>
      <c r="V5" s="1333"/>
      <c r="W5" s="1333"/>
      <c r="X5" s="1333"/>
      <c r="Y5" s="1333"/>
      <c r="Z5" s="1333"/>
      <c r="AA5" s="1333"/>
      <c r="AB5" s="1333"/>
      <c r="AC5" s="1333"/>
      <c r="AD5" s="1333"/>
      <c r="AE5" s="1333"/>
      <c r="AF5" s="1333"/>
      <c r="AG5" s="1333"/>
      <c r="AH5" s="1333"/>
      <c r="AI5" s="1333"/>
      <c r="AJ5" s="1333"/>
      <c r="AW5"/>
    </row>
    <row r="6" spans="1:49" ht="15.75" hidden="1" thickBot="1" x14ac:dyDescent="0.3">
      <c r="A6" s="1342"/>
      <c r="C6" s="41"/>
      <c r="D6" s="42"/>
      <c r="E6" s="42"/>
      <c r="F6" s="43" t="s">
        <v>37</v>
      </c>
      <c r="G6" s="44"/>
      <c r="H6" s="45" t="s">
        <v>51</v>
      </c>
      <c r="I6" s="300"/>
      <c r="J6" s="62"/>
      <c r="K6" s="303"/>
      <c r="L6" s="1351"/>
      <c r="M6" s="1351"/>
      <c r="N6" s="1351"/>
      <c r="O6" s="1333"/>
      <c r="P6" s="1333"/>
      <c r="Q6" s="1333"/>
      <c r="R6" s="1333"/>
      <c r="S6" s="1449"/>
      <c r="T6" s="1333"/>
      <c r="U6" s="1333"/>
      <c r="V6" s="1333"/>
      <c r="W6" s="1333"/>
      <c r="X6" s="1333"/>
      <c r="Y6" s="1333"/>
      <c r="Z6" s="1333"/>
      <c r="AA6" s="1333"/>
      <c r="AB6" s="1333"/>
      <c r="AC6" s="1333"/>
      <c r="AD6" s="1333"/>
      <c r="AE6" s="1333"/>
      <c r="AF6" s="1333"/>
      <c r="AG6" s="1333"/>
      <c r="AH6" s="1333"/>
      <c r="AI6" s="1333"/>
      <c r="AJ6" s="1333"/>
      <c r="AW6"/>
    </row>
    <row r="7" spans="1:49" hidden="1" x14ac:dyDescent="0.25">
      <c r="A7" s="1342"/>
      <c r="C7" s="47" t="s">
        <v>71</v>
      </c>
      <c r="D7" s="47" t="s">
        <v>45</v>
      </c>
      <c r="E7" s="47"/>
      <c r="F7" s="47"/>
      <c r="G7" s="48"/>
      <c r="H7" s="96" t="s">
        <v>107</v>
      </c>
      <c r="I7" s="301"/>
      <c r="J7" s="62"/>
      <c r="K7" s="304"/>
      <c r="L7" s="1351"/>
      <c r="M7" s="1351"/>
      <c r="N7" s="1351"/>
      <c r="O7" s="1333"/>
      <c r="P7" s="1333"/>
      <c r="Q7" s="1333"/>
      <c r="R7" s="1333"/>
      <c r="S7" s="1449"/>
      <c r="T7" s="1333"/>
      <c r="U7" s="1333"/>
      <c r="V7" s="1333"/>
      <c r="W7" s="1333"/>
      <c r="X7" s="1333"/>
      <c r="Y7" s="1333"/>
      <c r="Z7" s="1333"/>
      <c r="AA7" s="1333"/>
      <c r="AB7" s="1333"/>
      <c r="AC7" s="1333"/>
      <c r="AD7" s="1333"/>
      <c r="AE7" s="1333"/>
      <c r="AF7" s="1333"/>
      <c r="AG7" s="1333"/>
      <c r="AH7" s="1333"/>
      <c r="AI7" s="1333"/>
      <c r="AJ7" s="1333"/>
    </row>
    <row r="8" spans="1:49" hidden="1" x14ac:dyDescent="0.25">
      <c r="A8" s="1342"/>
      <c r="C8" s="20" t="s">
        <v>100</v>
      </c>
      <c r="D8" s="20" t="s">
        <v>37</v>
      </c>
      <c r="E8" s="46" t="s">
        <v>47</v>
      </c>
      <c r="H8" s="97" t="s">
        <v>268</v>
      </c>
      <c r="I8" s="264"/>
      <c r="J8" s="62"/>
      <c r="K8" s="141"/>
      <c r="L8" s="1351"/>
      <c r="M8" s="1351"/>
      <c r="N8" s="1351"/>
      <c r="O8" s="1333"/>
      <c r="P8" s="1333"/>
      <c r="Q8" s="1333"/>
      <c r="R8" s="1333"/>
      <c r="S8" s="1449"/>
      <c r="T8" s="1333"/>
      <c r="U8" s="1333"/>
      <c r="V8" s="1333"/>
      <c r="W8" s="1333"/>
      <c r="X8" s="1333"/>
      <c r="Y8" s="1333"/>
      <c r="Z8" s="1333"/>
      <c r="AA8" s="1333"/>
      <c r="AB8" s="1333"/>
      <c r="AC8" s="1333"/>
      <c r="AD8" s="1333"/>
      <c r="AE8" s="1333"/>
      <c r="AF8" s="1333"/>
      <c r="AG8" s="1333"/>
      <c r="AH8" s="1333"/>
      <c r="AI8" s="1333"/>
      <c r="AJ8" s="1333"/>
    </row>
    <row r="9" spans="1:49" hidden="1" x14ac:dyDescent="0.25">
      <c r="A9" s="1342"/>
      <c r="C9" s="20" t="s">
        <v>72</v>
      </c>
      <c r="D9" s="20" t="s">
        <v>38</v>
      </c>
      <c r="E9" s="46" t="s">
        <v>47</v>
      </c>
      <c r="H9" s="97" t="s">
        <v>53</v>
      </c>
      <c r="I9" s="264"/>
      <c r="J9" s="62"/>
      <c r="K9" s="141"/>
      <c r="L9" s="1351"/>
      <c r="M9" s="1351"/>
      <c r="N9" s="1351"/>
      <c r="O9" s="1333"/>
      <c r="P9" s="1333"/>
      <c r="Q9" s="1333"/>
      <c r="R9" s="1333"/>
      <c r="S9" s="1449"/>
      <c r="T9" s="1333"/>
      <c r="U9" s="1333"/>
      <c r="V9" s="1333"/>
      <c r="W9" s="1333"/>
      <c r="X9" s="1333"/>
      <c r="Y9" s="1333"/>
      <c r="Z9" s="1333"/>
      <c r="AA9" s="1333"/>
      <c r="AB9" s="1333"/>
      <c r="AC9" s="1333"/>
      <c r="AD9" s="1333"/>
      <c r="AE9" s="1333"/>
      <c r="AF9" s="1333"/>
      <c r="AG9" s="1333"/>
      <c r="AH9" s="1333"/>
      <c r="AI9" s="1333"/>
      <c r="AJ9" s="1333"/>
    </row>
    <row r="10" spans="1:49" hidden="1" x14ac:dyDescent="0.25">
      <c r="A10" s="1342"/>
      <c r="C10" s="20"/>
      <c r="D10" s="20" t="s">
        <v>21</v>
      </c>
      <c r="E10" s="46" t="s">
        <v>47</v>
      </c>
      <c r="H10" s="98" t="s">
        <v>109</v>
      </c>
      <c r="I10" s="264"/>
      <c r="J10" s="62"/>
      <c r="K10" s="141"/>
      <c r="L10" s="1351"/>
      <c r="M10" s="1351"/>
      <c r="N10" s="1351"/>
      <c r="O10" s="1333"/>
      <c r="P10" s="1333"/>
      <c r="Q10" s="1333"/>
      <c r="R10" s="1333"/>
      <c r="S10" s="1449"/>
      <c r="T10" s="1333"/>
      <c r="U10" s="1333"/>
      <c r="V10" s="1333"/>
      <c r="W10" s="1333"/>
      <c r="X10" s="1333"/>
      <c r="Y10" s="1333"/>
      <c r="Z10" s="1333"/>
      <c r="AA10" s="1333"/>
      <c r="AB10" s="1333"/>
      <c r="AC10" s="1333"/>
      <c r="AD10" s="1333"/>
      <c r="AE10" s="1333"/>
      <c r="AF10" s="1333"/>
      <c r="AG10" s="1333"/>
      <c r="AH10" s="1333"/>
      <c r="AI10" s="1333"/>
      <c r="AJ10" s="1333"/>
    </row>
    <row r="11" spans="1:49" hidden="1" x14ac:dyDescent="0.25">
      <c r="A11" s="1342"/>
      <c r="C11" s="20"/>
      <c r="D11" s="20"/>
      <c r="I11" s="264"/>
      <c r="J11" s="62"/>
      <c r="K11" s="141"/>
      <c r="L11" s="1351"/>
      <c r="M11" s="1351"/>
      <c r="N11" s="1351"/>
      <c r="O11" s="1333"/>
      <c r="P11" s="1333"/>
      <c r="Q11" s="1333"/>
      <c r="R11" s="1333"/>
      <c r="S11" s="1449"/>
      <c r="T11" s="1333"/>
      <c r="U11" s="1333"/>
      <c r="V11" s="1333"/>
      <c r="W11" s="1333"/>
      <c r="X11" s="1333"/>
      <c r="Y11" s="1333"/>
      <c r="Z11" s="1333"/>
      <c r="AA11" s="1333"/>
      <c r="AB11" s="1333"/>
      <c r="AC11" s="1333"/>
      <c r="AD11" s="1333"/>
      <c r="AE11" s="1333"/>
      <c r="AF11" s="1333"/>
      <c r="AG11" s="1333"/>
      <c r="AH11" s="1333"/>
      <c r="AI11" s="1333"/>
      <c r="AJ11" s="1333"/>
    </row>
    <row r="12" spans="1:49" hidden="1" x14ac:dyDescent="0.25">
      <c r="A12" s="1342"/>
      <c r="I12" s="264"/>
      <c r="J12" s="62"/>
      <c r="K12" s="141"/>
      <c r="L12" s="1351"/>
      <c r="M12" s="1351"/>
      <c r="N12" s="1351"/>
      <c r="O12" s="1333"/>
      <c r="P12" s="1333"/>
      <c r="Q12" s="1333"/>
      <c r="R12" s="1333"/>
      <c r="S12" s="1449"/>
      <c r="T12" s="1333"/>
      <c r="U12" s="1333"/>
      <c r="V12" s="1333"/>
      <c r="W12" s="1333"/>
      <c r="X12" s="1333"/>
      <c r="Y12" s="1333"/>
      <c r="Z12" s="1333"/>
      <c r="AA12" s="1333"/>
      <c r="AB12" s="1333"/>
      <c r="AC12" s="1333"/>
      <c r="AD12" s="1333"/>
      <c r="AE12" s="1333"/>
      <c r="AF12" s="1333"/>
      <c r="AG12" s="1333"/>
      <c r="AH12" s="1333"/>
      <c r="AI12" s="1333"/>
      <c r="AJ12" s="1333"/>
    </row>
    <row r="13" spans="1:49" ht="6" customHeight="1" x14ac:dyDescent="0.25">
      <c r="A13" s="1367"/>
      <c r="I13" s="264"/>
      <c r="J13" s="140"/>
      <c r="K13" s="143"/>
      <c r="L13" s="1369"/>
      <c r="M13" s="1369"/>
      <c r="N13" s="1369"/>
      <c r="O13" s="1333"/>
      <c r="P13" s="1333"/>
      <c r="Q13" s="1333"/>
      <c r="R13" s="1333"/>
      <c r="S13" s="1449"/>
      <c r="T13" s="1333"/>
      <c r="U13" s="1333"/>
      <c r="V13" s="1333"/>
      <c r="W13" s="1333"/>
      <c r="X13" s="1333"/>
      <c r="Y13" s="1333"/>
      <c r="Z13" s="1333"/>
      <c r="AA13" s="1333"/>
      <c r="AB13" s="1333"/>
      <c r="AC13" s="1333"/>
      <c r="AD13" s="1333"/>
      <c r="AE13" s="1333"/>
      <c r="AF13" s="1333"/>
      <c r="AG13" s="1333"/>
      <c r="AH13" s="1333"/>
      <c r="AI13" s="1333"/>
      <c r="AJ13" s="1333"/>
    </row>
    <row r="14" spans="1:49" ht="6" customHeight="1" x14ac:dyDescent="0.25">
      <c r="A14" s="1331"/>
      <c r="B14" s="119"/>
      <c r="C14" s="120"/>
      <c r="D14" s="121"/>
      <c r="E14" s="121"/>
      <c r="F14" s="121"/>
      <c r="G14" s="122"/>
      <c r="H14" s="123"/>
      <c r="I14" s="124"/>
      <c r="K14" s="62"/>
      <c r="L14" s="1333"/>
      <c r="M14" s="1333"/>
      <c r="N14" s="1333"/>
      <c r="O14" s="1333"/>
      <c r="P14" s="1333"/>
      <c r="Q14" s="1333"/>
      <c r="R14" s="1333"/>
      <c r="S14" s="1449"/>
      <c r="T14" s="1333"/>
      <c r="U14" s="1333"/>
      <c r="V14" s="1333"/>
      <c r="W14" s="1333"/>
      <c r="X14" s="1333"/>
      <c r="Y14" s="1333"/>
      <c r="Z14" s="1333"/>
      <c r="AA14" s="1333"/>
      <c r="AB14" s="1333"/>
      <c r="AC14" s="1333"/>
      <c r="AD14" s="1333"/>
      <c r="AE14" s="1333"/>
      <c r="AF14" s="1333"/>
      <c r="AG14" s="1333"/>
      <c r="AH14" s="1333"/>
      <c r="AI14" s="1333"/>
      <c r="AJ14" s="1333"/>
    </row>
    <row r="15" spans="1:49" ht="18.75" x14ac:dyDescent="0.3">
      <c r="A15" s="2291" t="s">
        <v>179</v>
      </c>
      <c r="B15" s="125"/>
      <c r="C15" s="2336" t="str">
        <f>CONCATENATE(Project_No," - ",Project_Name)</f>
        <v>U12345 - Davenport Hall Addition &amp; Remodel - Example</v>
      </c>
      <c r="D15" s="2336"/>
      <c r="E15" s="2336"/>
      <c r="F15" s="2336"/>
      <c r="G15" s="2336"/>
      <c r="H15" s="2336"/>
      <c r="I15" s="126"/>
      <c r="K15" s="2308" t="str">
        <f>IF(CD95_apply="Yes","Check match w/ 95%CD list","-")</f>
        <v>Check match w/ 95%CD list</v>
      </c>
      <c r="L15" s="1378" t="str">
        <f ca="1">CONCATENATE(IF(ISNUMBER(SEARCH("INSERT",C15))=TRUE,"&lt;----Fill in information in tab [","&lt;----ECHOED from Tab ["),MID(CELL("filename",'A-Info, Phases, Recip.'!D4),FIND("]",CELL("filename",'A-Info, Phases, Recip.'!D4))+1,255),"]")</f>
        <v>&lt;----ECHOED from Tab [A-Info, Phases, Recip.]</v>
      </c>
      <c r="M15" s="1333"/>
      <c r="N15" s="1333"/>
      <c r="O15" s="1333"/>
      <c r="P15" s="1333"/>
      <c r="Q15" s="1333"/>
      <c r="R15" s="1333"/>
      <c r="S15" s="1449"/>
      <c r="T15" s="1333"/>
      <c r="U15" s="1333"/>
      <c r="V15" s="1333"/>
      <c r="W15" s="1333"/>
      <c r="X15" s="1333"/>
      <c r="Y15" s="1333"/>
      <c r="Z15" s="1333"/>
      <c r="AA15" s="1333"/>
      <c r="AB15" s="1333"/>
      <c r="AC15" s="1333"/>
      <c r="AD15" s="1333"/>
      <c r="AE15" s="1333"/>
      <c r="AF15" s="1333"/>
      <c r="AG15" s="1333"/>
      <c r="AH15" s="1333"/>
      <c r="AI15" s="1333"/>
      <c r="AJ15" s="1333"/>
    </row>
    <row r="16" spans="1:49" ht="18.75" x14ac:dyDescent="0.3">
      <c r="A16" s="2291"/>
      <c r="B16" s="125"/>
      <c r="C16" s="2054" t="str">
        <f>IF(OR(Construction="Construction does not apply",Feasibility_Concept="Conceptualization Only",Feasibility_Concept="Feasibility Study"),"NO CONSTRUCTION - CLOSEOUT DOES NOT APPLY",IF(Close_Out_apply="NO","CLOSE OUT DOES NOT APPLY",CONCATENATE(VLOOKUP(Close_Out_placeholder,'A-Info, Phases, Recip.'!E$126:F$146,2,FALSE)," - PSC Minimum List of Deliverables")))</f>
        <v>Closeout - PSC Minimum List of Deliverables</v>
      </c>
      <c r="D16" s="2054"/>
      <c r="E16" s="2054"/>
      <c r="F16" s="2054"/>
      <c r="G16" s="2054"/>
      <c r="H16" s="2054"/>
      <c r="I16" s="126"/>
      <c r="K16" s="2308"/>
      <c r="L16" s="1442" t="str">
        <f ca="1">CONCATENATE("&lt;----Phase Applicability chosen in Tab [",MID(CELL("filename",'A-Info, Phases, Recip.'!D4),FIND("]",CELL("filename",'A-Info, Phases, Recip.'!D4))+1,255),"]")</f>
        <v>&lt;----Phase Applicability chosen in Tab [A-Info, Phases, Recip.]</v>
      </c>
      <c r="M16" s="1333"/>
      <c r="N16" s="1333"/>
      <c r="O16" s="1333"/>
      <c r="P16" s="1333"/>
      <c r="Q16" s="1333"/>
      <c r="R16" s="1333"/>
      <c r="S16" s="1449"/>
      <c r="T16" s="1333"/>
      <c r="U16" s="1333"/>
      <c r="V16" s="1333"/>
      <c r="W16" s="1333"/>
      <c r="X16" s="1333"/>
      <c r="Y16" s="1333"/>
      <c r="Z16" s="1333"/>
      <c r="AA16" s="1333"/>
      <c r="AB16" s="1333"/>
      <c r="AC16" s="1333"/>
      <c r="AD16" s="1333"/>
      <c r="AE16" s="1333"/>
      <c r="AF16" s="1333"/>
      <c r="AG16" s="1333"/>
      <c r="AH16" s="1333"/>
      <c r="AI16" s="1333"/>
      <c r="AJ16" s="1333"/>
    </row>
    <row r="17" spans="1:49" s="542" customFormat="1" ht="7.5" customHeight="1" x14ac:dyDescent="0.3">
      <c r="A17" s="2291"/>
      <c r="B17" s="125"/>
      <c r="C17" s="1047"/>
      <c r="D17" s="1047"/>
      <c r="E17" s="1047"/>
      <c r="F17" s="1047"/>
      <c r="G17" s="1047"/>
      <c r="H17" s="1047"/>
      <c r="I17" s="126"/>
      <c r="J17" s="17"/>
      <c r="K17" s="2308"/>
      <c r="L17" s="1442"/>
      <c r="M17" s="1333"/>
      <c r="N17" s="1333"/>
      <c r="O17" s="1333"/>
      <c r="P17" s="1333"/>
      <c r="Q17" s="1333"/>
      <c r="R17" s="1333"/>
      <c r="S17" s="1449"/>
      <c r="T17" s="1333"/>
      <c r="U17" s="1333"/>
      <c r="V17" s="1333"/>
      <c r="W17" s="1333"/>
      <c r="X17" s="1333"/>
      <c r="Y17" s="1333"/>
      <c r="Z17" s="1333"/>
      <c r="AA17" s="1333"/>
      <c r="AB17" s="1333"/>
      <c r="AC17" s="1333"/>
      <c r="AD17" s="1333"/>
      <c r="AE17" s="1333"/>
      <c r="AF17" s="1333"/>
      <c r="AG17" s="1333"/>
      <c r="AH17" s="1333"/>
      <c r="AI17" s="1333"/>
      <c r="AJ17" s="1333"/>
      <c r="AK17" s="17"/>
      <c r="AL17" s="17"/>
      <c r="AM17" s="17"/>
      <c r="AN17" s="17"/>
      <c r="AO17" s="17"/>
      <c r="AP17" s="17"/>
      <c r="AQ17" s="17"/>
      <c r="AR17" s="17"/>
      <c r="AS17" s="17"/>
      <c r="AT17" s="17"/>
      <c r="AU17" s="17"/>
      <c r="AV17" s="17"/>
      <c r="AW17" s="17"/>
    </row>
    <row r="18" spans="1:49" ht="12.75" customHeight="1" x14ac:dyDescent="0.25">
      <c r="A18" s="2291"/>
      <c r="B18" s="125"/>
      <c r="C18" s="2055" t="str">
        <f>CONCATENATE("Const. Delivery = ",Const_Delivery_Method," ; Const. Type = ",Const_Type,"; LEED Goal = ",IF(LEED_Goal="none","N/A",LEED_Goal),"; Bldg, lot, or Utility: ",Bldg_No_or_Utility)</f>
        <v>Const. Delivery = BID ; Const. Type = Remodeling/Addition; LEED Goal = Silver - Certified; Bldg, lot, or Utility: 0001</v>
      </c>
      <c r="D18" s="2056"/>
      <c r="E18" s="2056"/>
      <c r="F18" s="2056"/>
      <c r="G18" s="2056"/>
      <c r="H18" s="2056"/>
      <c r="I18" s="127"/>
      <c r="K18" s="2308"/>
      <c r="L18" s="1378" t="str">
        <f ca="1">CONCATENATE(IF(OR(ISNUMBER(SEARCH("Select",C18))=TRUE,ISNUMBER(SEARCH("Choose",D18))=TRUE,ISNUMBER(SEARCH("####",C18))=TRUE),"&lt;----Fill in information in tab [","&lt;----ECHOED from Tab ["),MID(CELL("filename",'A-Info, Phases, Recip.'!D6),FIND("]",CELL("filename",'A-Info, Phases, Recip.'!D6))+1,255),"]")</f>
        <v>&lt;----ECHOED from Tab [A-Info, Phases, Recip.]</v>
      </c>
      <c r="M18" s="1333"/>
      <c r="N18" s="1333"/>
      <c r="O18" s="1333"/>
      <c r="P18" s="1333"/>
      <c r="Q18" s="1333"/>
      <c r="R18" s="1333"/>
      <c r="S18" s="1449"/>
      <c r="T18" s="1333"/>
      <c r="U18" s="1333"/>
      <c r="V18" s="1333"/>
      <c r="W18" s="1333"/>
      <c r="X18" s="1333"/>
      <c r="Y18" s="1333"/>
      <c r="Z18" s="1333"/>
      <c r="AA18" s="1333"/>
      <c r="AB18" s="1333"/>
      <c r="AC18" s="1333"/>
      <c r="AD18" s="1333"/>
      <c r="AE18" s="1333"/>
      <c r="AF18" s="1333"/>
      <c r="AG18" s="1333"/>
      <c r="AH18" s="1333"/>
      <c r="AI18" s="1333"/>
      <c r="AJ18" s="1333"/>
    </row>
    <row r="19" spans="1:49" ht="11.1" customHeight="1" x14ac:dyDescent="0.25">
      <c r="A19" s="2291"/>
      <c r="B19" s="125"/>
      <c r="C19" s="2057" t="str">
        <f>CONCATENATE("Master Template last updated on: ",TEXT(Form_Update,"MM/DD/YYYY"),".  Struck out text is not required.")</f>
        <v>Master Template last updated on: 08/31/2020.  Struck out text is not required.</v>
      </c>
      <c r="D19" s="2057"/>
      <c r="E19" s="2057"/>
      <c r="F19" s="2057"/>
      <c r="G19" s="2057"/>
      <c r="H19" s="2057"/>
      <c r="I19" s="128"/>
      <c r="K19" s="2308"/>
      <c r="L19" s="1333"/>
      <c r="M19" s="1333"/>
      <c r="N19" s="1333"/>
      <c r="O19" s="1333"/>
      <c r="P19" s="1333"/>
      <c r="Q19" s="1333"/>
      <c r="R19" s="1333"/>
      <c r="S19" s="1449"/>
      <c r="T19" s="1333"/>
      <c r="U19" s="1333"/>
      <c r="V19" s="1333"/>
      <c r="W19" s="1333"/>
      <c r="X19" s="1333"/>
      <c r="Y19" s="1333"/>
      <c r="Z19" s="1333"/>
      <c r="AA19" s="1333"/>
      <c r="AB19" s="1333"/>
      <c r="AC19" s="1333"/>
      <c r="AD19" s="1333"/>
      <c r="AE19" s="1333"/>
      <c r="AF19" s="1333"/>
      <c r="AG19" s="1333"/>
      <c r="AH19" s="1333"/>
      <c r="AI19" s="1333"/>
      <c r="AJ19" s="1333"/>
      <c r="AV19"/>
      <c r="AW19"/>
    </row>
    <row r="20" spans="1:49" ht="9" customHeight="1" x14ac:dyDescent="0.25">
      <c r="A20" s="2291"/>
      <c r="B20" s="125"/>
      <c r="C20" s="18"/>
      <c r="D20" s="21"/>
      <c r="E20" s="21"/>
      <c r="F20" s="21"/>
      <c r="G20" s="129"/>
      <c r="H20" s="62"/>
      <c r="I20" s="130"/>
      <c r="K20" s="2308"/>
      <c r="L20" s="1333"/>
      <c r="M20" s="1333"/>
      <c r="N20" s="1333"/>
      <c r="O20" s="1333"/>
      <c r="P20" s="1333"/>
      <c r="Q20" s="1333"/>
      <c r="R20" s="1333"/>
      <c r="S20" s="1449"/>
      <c r="T20" s="1333"/>
      <c r="U20" s="1333"/>
      <c r="V20" s="1333"/>
      <c r="W20" s="1333"/>
      <c r="X20" s="1333"/>
      <c r="Y20" s="1333"/>
      <c r="Z20" s="1333"/>
      <c r="AA20" s="1333"/>
      <c r="AB20" s="1333"/>
      <c r="AC20" s="1333"/>
      <c r="AD20" s="1333"/>
      <c r="AE20" s="1333"/>
      <c r="AF20" s="1333"/>
      <c r="AG20" s="1333"/>
      <c r="AH20" s="1333"/>
      <c r="AI20" s="1333"/>
      <c r="AJ20" s="1333"/>
    </row>
    <row r="21" spans="1:49" ht="12.75" customHeight="1" x14ac:dyDescent="0.25">
      <c r="A21" s="2291"/>
      <c r="B21" s="125"/>
      <c r="C21" s="2276">
        <f>IF(Date_edited_TAB_C="","",Date_edited_TAB_C)</f>
        <v>44069</v>
      </c>
      <c r="D21" s="2276"/>
      <c r="E21" s="254"/>
      <c r="F21" s="2277" t="str">
        <f>IF(Edit_by_Entity_TAB_C="","",Edit_by_Entity_TAB_C)</f>
        <v>PM</v>
      </c>
      <c r="G21" s="2277"/>
      <c r="H21" s="99" t="str">
        <f>IF(Editor_Name_TAB_C="","",Editor_Name_TAB_C)</f>
        <v>Smith</v>
      </c>
      <c r="I21" s="128"/>
      <c r="K21" s="2308"/>
      <c r="L21" s="1443" t="str">
        <f ca="1">CONCATENATE("&lt;----Enter/Update ''EDIT DATE'' / ''ENTITY'' / ''EDITOR NAME'' in TAB [",MID(CELL("filename",Date_edited_TAB_C),FIND("]",CELL("filename",Date_edited_TAB_C))+1,255),"]")</f>
        <v>&lt;----Enter/Update ''EDIT DATE'' / ''ENTITY'' / ''EDITOR NAME'' in TAB [C-Design&amp;Const]</v>
      </c>
      <c r="M21" s="1333"/>
      <c r="N21" s="1333"/>
      <c r="O21" s="1333"/>
      <c r="P21" s="1333"/>
      <c r="Q21" s="1333"/>
      <c r="R21" s="1333"/>
      <c r="S21" s="1449"/>
      <c r="T21" s="1333"/>
      <c r="U21" s="1333"/>
      <c r="V21" s="1333"/>
      <c r="W21" s="1333"/>
      <c r="X21" s="1333"/>
      <c r="Y21" s="1333"/>
      <c r="Z21" s="1333"/>
      <c r="AA21" s="1333"/>
      <c r="AB21" s="1333"/>
      <c r="AC21" s="1333"/>
      <c r="AD21" s="1333"/>
      <c r="AE21" s="1333"/>
      <c r="AF21" s="1333"/>
      <c r="AG21" s="1333"/>
      <c r="AH21" s="1333"/>
      <c r="AI21" s="1333"/>
      <c r="AJ21" s="1333"/>
    </row>
    <row r="22" spans="1:49" ht="15" customHeight="1" x14ac:dyDescent="0.25">
      <c r="A22" s="2291"/>
      <c r="B22" s="125"/>
      <c r="C22" s="2060" t="s">
        <v>106</v>
      </c>
      <c r="D22" s="2060"/>
      <c r="E22" s="21"/>
      <c r="F22" s="2060" t="s">
        <v>267</v>
      </c>
      <c r="G22" s="2060"/>
      <c r="H22" s="256" t="s">
        <v>110</v>
      </c>
      <c r="I22" s="128"/>
      <c r="K22" s="2308"/>
      <c r="L22" s="1333"/>
      <c r="M22" s="1333"/>
      <c r="N22" s="1333"/>
      <c r="O22" s="1333"/>
      <c r="P22" s="1333"/>
      <c r="Q22" s="1333"/>
      <c r="R22" s="1333"/>
      <c r="S22" s="1449"/>
      <c r="T22" s="1333"/>
      <c r="U22" s="1333"/>
      <c r="V22" s="1333"/>
      <c r="W22" s="1333"/>
      <c r="X22" s="1333"/>
      <c r="Y22" s="1333"/>
      <c r="Z22" s="1333"/>
      <c r="AA22" s="1333"/>
      <c r="AB22" s="1333"/>
      <c r="AC22" s="1333"/>
      <c r="AD22" s="1333"/>
      <c r="AE22" s="1333"/>
      <c r="AF22" s="1333"/>
      <c r="AG22" s="1333"/>
      <c r="AH22" s="1333"/>
      <c r="AI22" s="1333"/>
      <c r="AJ22" s="1333"/>
    </row>
    <row r="23" spans="1:49" ht="27" customHeight="1" thickBot="1" x14ac:dyDescent="0.3">
      <c r="A23" s="2291"/>
      <c r="B23" s="125"/>
      <c r="C23" s="269" t="s">
        <v>100</v>
      </c>
      <c r="D23" s="2337" t="s">
        <v>36</v>
      </c>
      <c r="E23" s="2337"/>
      <c r="F23" s="2337"/>
      <c r="G23" s="2338" t="s">
        <v>40</v>
      </c>
      <c r="H23" s="2339"/>
      <c r="I23" s="131"/>
      <c r="J23" s="419" t="s">
        <v>389</v>
      </c>
      <c r="K23" s="2308"/>
      <c r="L23" s="1379" t="s">
        <v>48</v>
      </c>
      <c r="M23" s="1379"/>
      <c r="N23" s="1379"/>
      <c r="O23" s="1379"/>
      <c r="P23" s="1379"/>
      <c r="Q23" s="1333"/>
      <c r="R23" s="1333"/>
      <c r="S23" s="1449"/>
      <c r="T23" s="1333"/>
      <c r="U23" s="1333"/>
      <c r="V23" s="1333"/>
      <c r="W23" s="1333"/>
      <c r="X23" s="1333"/>
      <c r="Y23" s="1333"/>
      <c r="Z23" s="1333"/>
      <c r="AA23" s="1333"/>
      <c r="AB23" s="1333"/>
      <c r="AC23" s="1333"/>
      <c r="AD23" s="1333"/>
      <c r="AE23" s="1333"/>
      <c r="AF23" s="1333"/>
      <c r="AG23" s="1333"/>
      <c r="AH23" s="1333"/>
      <c r="AI23" s="1333"/>
      <c r="AJ23" s="1333"/>
    </row>
    <row r="24" spans="1:49" s="1" customFormat="1" ht="6.75" customHeight="1" thickTop="1" x14ac:dyDescent="0.3">
      <c r="A24" s="1331" t="str">
        <f>IF(COUNTIF('04 - 95% CD'!D24:G24,"Y")&gt;0,"Y","")</f>
        <v/>
      </c>
      <c r="B24" s="67"/>
      <c r="C24" s="25"/>
      <c r="D24" s="26"/>
      <c r="E24" s="26"/>
      <c r="F24" s="26"/>
      <c r="G24" s="27"/>
      <c r="H24" s="27"/>
      <c r="I24" s="132"/>
      <c r="J24" s="17"/>
      <c r="K24" s="224"/>
      <c r="L24" s="1333"/>
      <c r="M24" s="1333"/>
      <c r="N24" s="1333"/>
      <c r="O24" s="1333"/>
      <c r="P24" s="1333"/>
      <c r="Q24" s="1333"/>
      <c r="R24" s="1333"/>
      <c r="S24" s="1449"/>
      <c r="T24" s="1333"/>
      <c r="U24" s="1333"/>
      <c r="V24" s="1333"/>
      <c r="W24" s="1333"/>
      <c r="X24" s="1333"/>
      <c r="Y24" s="1333"/>
      <c r="Z24" s="1333"/>
      <c r="AA24" s="1333"/>
      <c r="AB24" s="1333"/>
      <c r="AC24" s="1333"/>
      <c r="AD24" s="1333"/>
      <c r="AE24" s="1333"/>
      <c r="AF24" s="1333"/>
      <c r="AG24" s="1333"/>
      <c r="AH24" s="1333"/>
      <c r="AI24" s="1333"/>
      <c r="AJ24" s="1333"/>
      <c r="AK24" s="13"/>
      <c r="AL24" s="13"/>
      <c r="AM24" s="13"/>
      <c r="AN24" s="13"/>
      <c r="AO24" s="13"/>
      <c r="AP24" s="13"/>
      <c r="AQ24" s="13"/>
      <c r="AR24" s="13"/>
      <c r="AS24" s="13"/>
      <c r="AT24" s="13"/>
      <c r="AU24" s="13"/>
      <c r="AV24" s="13"/>
      <c r="AW24" s="13"/>
    </row>
    <row r="25" spans="1:49" s="255" customFormat="1" ht="18.75" x14ac:dyDescent="0.3">
      <c r="A25" s="1551" t="str">
        <f>IF(COUNTIF('04 - 95% CD'!D25:G25,"Y")&gt;0,"Y",IF(COUNTIF('04 - 95% CD'!D25:G25,"N"),"N",""))</f>
        <v>Y</v>
      </c>
      <c r="B25" s="318"/>
      <c r="C25" s="949"/>
      <c r="D25" s="559" t="str">
        <f>IF('C-Design&amp;Const'!$U25="","",'C-Design&amp;Const'!$U25)</f>
        <v>Y</v>
      </c>
      <c r="E25" s="503"/>
      <c r="F25" s="444"/>
      <c r="G25" s="319" t="str">
        <f>IF('C-Design&amp;Const'!Y25="","",'C-Design&amp;Const'!Y25)</f>
        <v>00. *</v>
      </c>
      <c r="H25" s="453" t="str">
        <f>CONCATENATE('C-Design&amp;Const'!Z25,IF(D25="N"," Not Used In This Construction Phase",J25))</f>
        <v>Minimum List of Deliverables - Current</v>
      </c>
      <c r="I25" s="183"/>
      <c r="J25" s="578" t="str">
        <f>IF('C-Design&amp;Const'!AK25="","",'C-Design&amp;Const'!AK25)</f>
        <v xml:space="preserve"> - Current</v>
      </c>
      <c r="K25" s="285" t="str">
        <f t="shared" ref="K25:K99" si="0">IF((COUNTIF(D25:G25,"Y")=COUNTIF(A25,"Y")),"match","no 95% match")</f>
        <v>match</v>
      </c>
      <c r="L25" s="1410" t="str">
        <f t="shared" ref="L25:L99" si="1">CONCATENATE(IF(ISNUMBER(SEARCH("Placeholder",H25))=TRUE,"&lt;---PM/Planner may hide PLACEHOLDER ROW",""))</f>
        <v/>
      </c>
      <c r="M25" s="1449"/>
      <c r="N25" s="1449"/>
      <c r="O25" s="1449"/>
      <c r="P25" s="1449"/>
      <c r="Q25" s="1449"/>
      <c r="R25" s="1450"/>
      <c r="S25" s="1451"/>
      <c r="T25" s="1364"/>
      <c r="U25" s="1449"/>
      <c r="V25" s="1449"/>
      <c r="W25" s="1449"/>
      <c r="X25" s="1449"/>
      <c r="Y25" s="1449"/>
      <c r="Z25" s="1449"/>
      <c r="AA25" s="1449"/>
      <c r="AB25" s="1449"/>
      <c r="AC25" s="1449"/>
      <c r="AD25" s="1449"/>
      <c r="AE25" s="1449"/>
      <c r="AF25" s="1449"/>
      <c r="AG25" s="1449"/>
      <c r="AH25" s="1449"/>
      <c r="AI25" s="1449"/>
      <c r="AJ25" s="1449"/>
    </row>
    <row r="26" spans="1:49" s="255" customFormat="1" ht="17.25" customHeight="1" x14ac:dyDescent="0.25">
      <c r="A26" s="1552" t="str">
        <f>IF(COUNTIF('04 - 95% CD'!D26:G26,"Y")&gt;0,"Y",IF(COUNTIF('04 - 95% CD'!D26:G26,"N"),"N",""))</f>
        <v/>
      </c>
      <c r="B26" s="318"/>
      <c r="C26" s="949"/>
      <c r="D26" s="411"/>
      <c r="E26" s="321"/>
      <c r="F26" s="321"/>
      <c r="G26" s="320"/>
      <c r="H26" s="526"/>
      <c r="I26" s="188"/>
      <c r="J26" s="578" t="str">
        <f>IF('C-Design&amp;Const'!AK26="","",'C-Design&amp;Const'!AK26)</f>
        <v/>
      </c>
      <c r="K26" s="285" t="str">
        <f t="shared" si="0"/>
        <v>match</v>
      </c>
      <c r="L26" s="1410" t="str">
        <f t="shared" si="1"/>
        <v/>
      </c>
      <c r="M26" s="1449"/>
      <c r="N26" s="1449"/>
      <c r="O26" s="1449"/>
      <c r="P26" s="1449"/>
      <c r="Q26" s="1449"/>
      <c r="R26" s="1457"/>
      <c r="S26" s="1364"/>
      <c r="T26" s="1364"/>
      <c r="U26" s="1449"/>
      <c r="V26" s="1449"/>
      <c r="W26" s="1449"/>
      <c r="X26" s="1449"/>
      <c r="Y26" s="1449"/>
      <c r="Z26" s="1449"/>
      <c r="AA26" s="1449"/>
      <c r="AB26" s="1449"/>
      <c r="AC26" s="1449"/>
      <c r="AD26" s="1449"/>
      <c r="AE26" s="1449"/>
      <c r="AF26" s="1449"/>
      <c r="AG26" s="1449"/>
      <c r="AH26" s="1449"/>
      <c r="AI26" s="1449"/>
      <c r="AJ26" s="1449"/>
    </row>
    <row r="27" spans="1:49" s="255" customFormat="1" ht="18.75" x14ac:dyDescent="0.3">
      <c r="A27" s="1551" t="str">
        <f>IF(COUNTIF('04 - 95% CD'!D27:G27,"Y")&gt;0,"Y",IF(COUNTIF('04 - 95% CD'!D27:G27,"N"),"N",""))</f>
        <v>Y</v>
      </c>
      <c r="B27" s="318"/>
      <c r="C27" s="949"/>
      <c r="D27" s="559" t="str">
        <f>IF('C-Design&amp;Const'!$U27="","",'C-Design&amp;Const'!$U27)</f>
        <v>N</v>
      </c>
      <c r="E27" s="503"/>
      <c r="F27" s="444"/>
      <c r="G27" s="319" t="str">
        <f>IF('C-Design&amp;Const'!Y27="","",'C-Design&amp;Const'!Y27)</f>
        <v>01.</v>
      </c>
      <c r="H27" s="453" t="str">
        <f>CONCATENATE('C-Design&amp;Const'!Z27,IF(D27="N"," Not Used In This Construction Phase",J27))</f>
        <v>Construction Cost Estimate Not Used In This Construction Phase</v>
      </c>
      <c r="I27" s="183"/>
      <c r="J27" s="578" t="str">
        <f>IF('C-Design&amp;Const'!AK27="","",'C-Design&amp;Const'!AK27)</f>
        <v/>
      </c>
      <c r="K27" s="285" t="str">
        <f t="shared" si="0"/>
        <v>no 95% match</v>
      </c>
      <c r="L27" s="1410" t="str">
        <f t="shared" si="1"/>
        <v/>
      </c>
      <c r="M27" s="1449"/>
      <c r="N27" s="1449"/>
      <c r="O27" s="1449"/>
      <c r="P27" s="1449"/>
      <c r="Q27" s="1449"/>
      <c r="R27" s="1450"/>
      <c r="S27" s="1451"/>
      <c r="T27" s="1364"/>
      <c r="U27" s="1449"/>
      <c r="V27" s="1449"/>
      <c r="W27" s="1449"/>
      <c r="X27" s="1449"/>
      <c r="Y27" s="1449"/>
      <c r="Z27" s="1449"/>
      <c r="AA27" s="1449"/>
      <c r="AB27" s="1449"/>
      <c r="AC27" s="1449"/>
      <c r="AD27" s="1449"/>
      <c r="AE27" s="1449"/>
      <c r="AF27" s="1449"/>
      <c r="AG27" s="1449"/>
      <c r="AH27" s="1449"/>
      <c r="AI27" s="1449"/>
      <c r="AJ27" s="1449"/>
    </row>
    <row r="28" spans="1:49" s="255" customFormat="1" ht="14.25" customHeight="1" x14ac:dyDescent="0.25">
      <c r="A28" s="1551"/>
      <c r="B28" s="318"/>
      <c r="C28" s="944"/>
      <c r="D28" s="463"/>
      <c r="E28" s="359" t="str">
        <f>IF('C-Design&amp;Const'!$U28="","",'C-Design&amp;Const'!$U28)</f>
        <v>N</v>
      </c>
      <c r="F28" s="235"/>
      <c r="G28" s="291"/>
      <c r="H28" s="1035" t="str">
        <f>CONCATENATE(IF(ISNUMBER(SEARCH("Placeholder",'C-Design&amp;Const'!Z28))=TRUE,"",IF(E28="N","PLACEHOLDER ROW - ","")),'C-Design&amp;Const'!Z28,IF(E28="N","",J28))</f>
        <v>PLACEHOLDER ROW - Construction Cost Estimate</v>
      </c>
      <c r="I28" s="552"/>
      <c r="J28" s="578" t="str">
        <f>IF('C-Design&amp;Const'!AK28="","",'C-Design&amp;Const'!AK28)</f>
        <v xml:space="preserve"> (Final w/ all updates)</v>
      </c>
      <c r="K28" s="285" t="str">
        <f t="shared" ref="K28:K30" si="2">IF((COUNTIF(D28:G28,"Y")=COUNTIF(A28,"Y")),"match","no 95% match")</f>
        <v>match</v>
      </c>
      <c r="L28" s="1410"/>
      <c r="M28" s="1449"/>
      <c r="N28" s="1449"/>
      <c r="O28" s="1449"/>
      <c r="P28" s="1449"/>
      <c r="Q28" s="1449"/>
      <c r="R28" s="1450"/>
      <c r="S28" s="1451"/>
      <c r="T28" s="1364"/>
      <c r="U28" s="1449"/>
      <c r="V28" s="1449"/>
      <c r="W28" s="1449"/>
      <c r="X28" s="1449"/>
      <c r="Y28" s="1449"/>
      <c r="Z28" s="1449"/>
      <c r="AA28" s="1449"/>
      <c r="AB28" s="1449"/>
      <c r="AC28" s="1449"/>
      <c r="AD28" s="1449"/>
      <c r="AE28" s="1449"/>
      <c r="AF28" s="1449"/>
      <c r="AG28" s="1449"/>
      <c r="AH28" s="1449"/>
      <c r="AI28" s="1449"/>
      <c r="AJ28" s="1449"/>
    </row>
    <row r="29" spans="1:49" s="255" customFormat="1" ht="14.25" customHeight="1" x14ac:dyDescent="0.25">
      <c r="A29" s="1551"/>
      <c r="B29" s="318"/>
      <c r="C29" s="944"/>
      <c r="D29" s="463"/>
      <c r="E29" s="359" t="str">
        <f>IF('C-Design&amp;Const'!$U29="","",'C-Design&amp;Const'!$U29)</f>
        <v>N</v>
      </c>
      <c r="F29" s="235"/>
      <c r="G29" s="291"/>
      <c r="H29" s="1035" t="str">
        <f>CONCATENATE(IF(ISNUMBER(SEARCH("Placeholder",'C-Design&amp;Const'!Z29))=TRUE,"",IF(E29="N","PLACEHOLDER ROW - ","")),'C-Design&amp;Const'!Z29,IF(E29="N","",J29))</f>
        <v>PLACEHOLDER ROW - Reconciliation with Owner's 3rd party estimater</v>
      </c>
      <c r="I29" s="552"/>
      <c r="J29" s="578" t="str">
        <f>IF('C-Design&amp;Const'!AK29="","",'C-Design&amp;Const'!AK29)</f>
        <v xml:space="preserve"> (Final w/ all updates)</v>
      </c>
      <c r="K29" s="285" t="str">
        <f t="shared" si="2"/>
        <v>match</v>
      </c>
      <c r="L29" s="1410"/>
      <c r="M29" s="1449"/>
      <c r="N29" s="1449"/>
      <c r="O29" s="1449"/>
      <c r="P29" s="1449"/>
      <c r="Q29" s="1449"/>
      <c r="R29" s="1450"/>
      <c r="S29" s="1451"/>
      <c r="T29" s="1364"/>
      <c r="U29" s="1449"/>
      <c r="V29" s="1449"/>
      <c r="W29" s="1449"/>
      <c r="X29" s="1449"/>
      <c r="Y29" s="1449"/>
      <c r="Z29" s="1449"/>
      <c r="AA29" s="1449"/>
      <c r="AB29" s="1449"/>
      <c r="AC29" s="1449"/>
      <c r="AD29" s="1449"/>
      <c r="AE29" s="1449"/>
      <c r="AF29" s="1449"/>
      <c r="AG29" s="1449"/>
      <c r="AH29" s="1449"/>
      <c r="AI29" s="1449"/>
      <c r="AJ29" s="1449"/>
    </row>
    <row r="30" spans="1:49" s="255" customFormat="1" ht="14.25" customHeight="1" x14ac:dyDescent="0.25">
      <c r="A30" s="1551"/>
      <c r="B30" s="318"/>
      <c r="C30" s="944"/>
      <c r="D30" s="463"/>
      <c r="E30" s="359" t="str">
        <f>IF('C-Design&amp;Const'!$U30="","",'C-Design&amp;Const'!$U30)</f>
        <v>N</v>
      </c>
      <c r="F30" s="235"/>
      <c r="G30" s="291"/>
      <c r="H30" s="1035" t="str">
        <f>CONCATENATE(IF(ISNUMBER(SEARCH("Placeholder",'C-Design&amp;Const'!Z30))=TRUE,"",IF(E30="N","PLACEHOLDER ROW - ","")),'C-Design&amp;Const'!Z30,IF(E30="N","",J30))</f>
        <v>PLACEHOLDER ROW - CUSTOM ROW - OPTIONAL CLIENT ITEM</v>
      </c>
      <c r="I30" s="552"/>
      <c r="J30" s="578" t="str">
        <f>IF('C-Design&amp;Const'!AK30="","",'C-Design&amp;Const'!AK30)</f>
        <v xml:space="preserve"> (Final w/ all updates)</v>
      </c>
      <c r="K30" s="285" t="str">
        <f t="shared" si="2"/>
        <v>match</v>
      </c>
      <c r="L30" s="1410"/>
      <c r="M30" s="1449"/>
      <c r="N30" s="1449"/>
      <c r="O30" s="1449"/>
      <c r="P30" s="1449"/>
      <c r="Q30" s="1449"/>
      <c r="R30" s="1450"/>
      <c r="S30" s="1451"/>
      <c r="T30" s="1364"/>
      <c r="U30" s="1449"/>
      <c r="V30" s="1449"/>
      <c r="W30" s="1449"/>
      <c r="X30" s="1449"/>
      <c r="Y30" s="1449"/>
      <c r="Z30" s="1449"/>
      <c r="AA30" s="1449"/>
      <c r="AB30" s="1449"/>
      <c r="AC30" s="1449"/>
      <c r="AD30" s="1449"/>
      <c r="AE30" s="1449"/>
      <c r="AF30" s="1449"/>
      <c r="AG30" s="1449"/>
      <c r="AH30" s="1449"/>
      <c r="AI30" s="1449"/>
      <c r="AJ30" s="1449"/>
    </row>
    <row r="31" spans="1:49" s="255" customFormat="1" ht="17.25" customHeight="1" x14ac:dyDescent="0.25">
      <c r="A31" s="1552" t="str">
        <f>IF(COUNTIF('04 - 95% CD'!D31:G31,"Y")&gt;0,"Y",IF(COUNTIF('04 - 95% CD'!D31:G31,"N"),"N",""))</f>
        <v/>
      </c>
      <c r="B31" s="318"/>
      <c r="C31" s="949"/>
      <c r="D31" s="411"/>
      <c r="E31" s="321"/>
      <c r="F31" s="321"/>
      <c r="G31" s="320" t="str">
        <f>IF('C-Design&amp;Const'!Y31="","",'C-Design&amp;Const'!Y31)</f>
        <v/>
      </c>
      <c r="H31" s="526" t="str">
        <f>IF(D27="N","",IF('C-Design&amp;Const'!Z31="","",'C-Design&amp;Const'!Z31))</f>
        <v/>
      </c>
      <c r="I31" s="188"/>
      <c r="J31" s="578" t="str">
        <f>IF('C-Design&amp;Const'!AK31="","",'C-Design&amp;Const'!AK31)</f>
        <v/>
      </c>
      <c r="K31" s="285" t="str">
        <f t="shared" si="0"/>
        <v>match</v>
      </c>
      <c r="L31" s="1410" t="str">
        <f t="shared" si="1"/>
        <v/>
      </c>
      <c r="M31" s="1449"/>
      <c r="N31" s="1449"/>
      <c r="O31" s="1449"/>
      <c r="P31" s="1449"/>
      <c r="Q31" s="1449"/>
      <c r="R31" s="1457"/>
      <c r="S31" s="1364"/>
      <c r="T31" s="1364"/>
      <c r="U31" s="1449"/>
      <c r="V31" s="1449"/>
      <c r="W31" s="1449"/>
      <c r="X31" s="1449"/>
      <c r="Y31" s="1449"/>
      <c r="Z31" s="1449"/>
      <c r="AA31" s="1449"/>
      <c r="AB31" s="1449"/>
      <c r="AC31" s="1449"/>
      <c r="AD31" s="1449"/>
      <c r="AE31" s="1449"/>
      <c r="AF31" s="1449"/>
      <c r="AG31" s="1449"/>
      <c r="AH31" s="1449"/>
      <c r="AI31" s="1449"/>
      <c r="AJ31" s="1449"/>
    </row>
    <row r="32" spans="1:49" s="255" customFormat="1" ht="18.75" x14ac:dyDescent="0.3">
      <c r="A32" s="1551" t="str">
        <f>IF(COUNTIF('04 - 95% CD'!D32:G32,"Y")&gt;0,"Y",IF(COUNTIF('04 - 95% CD'!D32:G32,"N"),"N",""))</f>
        <v>Y</v>
      </c>
      <c r="B32" s="318"/>
      <c r="C32" s="949"/>
      <c r="D32" s="559" t="str">
        <f>IF('C-Design&amp;Const'!$U32="","",'C-Design&amp;Const'!$U32)</f>
        <v>N</v>
      </c>
      <c r="E32" s="503"/>
      <c r="F32" s="444"/>
      <c r="G32" s="319" t="str">
        <f>IF('C-Design&amp;Const'!Y32="","",'C-Design&amp;Const'!Y32)</f>
        <v>02. *</v>
      </c>
      <c r="H32" s="453" t="str">
        <f>CONCATENATE('C-Design&amp;Const'!Z32,IF(D32="N"," Not Used In This Construction Phase",J32))</f>
        <v>Project Schedule Not Used In This Construction Phase</v>
      </c>
      <c r="I32" s="183"/>
      <c r="J32" s="578" t="str">
        <f>IF('C-Design&amp;Const'!AK32="","",'C-Design&amp;Const'!AK32)</f>
        <v/>
      </c>
      <c r="K32" s="285" t="str">
        <f t="shared" si="0"/>
        <v>no 95% match</v>
      </c>
      <c r="L32" s="1410" t="str">
        <f t="shared" si="1"/>
        <v/>
      </c>
      <c r="M32" s="1449"/>
      <c r="N32" s="1449"/>
      <c r="O32" s="1449"/>
      <c r="P32" s="1449"/>
      <c r="Q32" s="1449"/>
      <c r="R32" s="1450"/>
      <c r="S32" s="1451"/>
      <c r="T32" s="1364"/>
      <c r="U32" s="1449"/>
      <c r="V32" s="1449"/>
      <c r="W32" s="1449"/>
      <c r="X32" s="1449"/>
      <c r="Y32" s="1449"/>
      <c r="Z32" s="1449"/>
      <c r="AA32" s="1449"/>
      <c r="AB32" s="1449"/>
      <c r="AC32" s="1449"/>
      <c r="AD32" s="1449"/>
      <c r="AE32" s="1449"/>
      <c r="AF32" s="1449"/>
      <c r="AG32" s="1449"/>
      <c r="AH32" s="1449"/>
      <c r="AI32" s="1449"/>
      <c r="AJ32" s="1449"/>
    </row>
    <row r="33" spans="1:50" s="255" customFormat="1" ht="15" customHeight="1" x14ac:dyDescent="0.25">
      <c r="A33" s="1551"/>
      <c r="B33" s="318"/>
      <c r="C33" s="944"/>
      <c r="D33" s="463"/>
      <c r="E33" s="359" t="str">
        <f>IF('C-Design&amp;Const'!$U33="","",'C-Design&amp;Const'!$U33)</f>
        <v>N</v>
      </c>
      <c r="F33" s="235"/>
      <c r="G33" s="291"/>
      <c r="H33" s="1035" t="str">
        <f>CONCATENATE(IF(ISNUMBER(SEARCH("Placeholder",'C-Design&amp;Const'!Z33))=TRUE,"",IF(E33="N","PLACEHOLDER ROW - ","")),'C-Design&amp;Const'!Z33,IF(E33="N","",J33))</f>
        <v>PLACEHOLDER ROW - Project Schedule</v>
      </c>
      <c r="I33" s="552"/>
      <c r="J33" s="578" t="str">
        <f>IF('C-Design&amp;Const'!AK33="","",'C-Design&amp;Const'!AK33)</f>
        <v xml:space="preserve"> (Final w/ all updates)</v>
      </c>
      <c r="K33" s="285" t="str">
        <f t="shared" ref="K33:K35" si="3">IF((COUNTIF(D33:G33,"Y")=COUNTIF(A33,"Y")),"match","no 95% match")</f>
        <v>match</v>
      </c>
      <c r="L33" s="1410"/>
      <c r="M33" s="1449"/>
      <c r="N33" s="1449"/>
      <c r="O33" s="1449"/>
      <c r="P33" s="1449"/>
      <c r="Q33" s="1449"/>
      <c r="R33" s="1450"/>
      <c r="S33" s="1451"/>
      <c r="T33" s="1364"/>
      <c r="U33" s="1449"/>
      <c r="V33" s="1449"/>
      <c r="W33" s="1449"/>
      <c r="X33" s="1449"/>
      <c r="Y33" s="1449"/>
      <c r="Z33" s="1449"/>
      <c r="AA33" s="1449"/>
      <c r="AB33" s="1449"/>
      <c r="AC33" s="1449"/>
      <c r="AD33" s="1449"/>
      <c r="AE33" s="1449"/>
      <c r="AF33" s="1449"/>
      <c r="AG33" s="1449"/>
      <c r="AH33" s="1449"/>
      <c r="AI33" s="1449"/>
      <c r="AJ33" s="1449"/>
    </row>
    <row r="34" spans="1:50" s="255" customFormat="1" ht="15" customHeight="1" x14ac:dyDescent="0.25">
      <c r="A34" s="1551"/>
      <c r="B34" s="318"/>
      <c r="C34" s="944"/>
      <c r="D34" s="463"/>
      <c r="E34" s="359" t="str">
        <f>IF('C-Design&amp;Const'!$U34="","",'C-Design&amp;Const'!$U34)</f>
        <v>N</v>
      </c>
      <c r="F34" s="235"/>
      <c r="G34" s="291"/>
      <c r="H34" s="1035" t="str">
        <f>CONCATENATE(IF(ISNUMBER(SEARCH("Placeholder",'C-Design&amp;Const'!Z34))=TRUE,"",IF(E34="N","PLACEHOLDER ROW - ","")),'C-Design&amp;Const'!Z34,IF(E34="N","",J34))</f>
        <v>PLACEHOLDER ROW - Summary of Coordination with Owner's 3rd party scheduler</v>
      </c>
      <c r="I34" s="552"/>
      <c r="J34" s="578" t="str">
        <f>IF('C-Design&amp;Const'!AK34="","",'C-Design&amp;Const'!AK34)</f>
        <v xml:space="preserve"> (Final w/ all updates)</v>
      </c>
      <c r="K34" s="285" t="str">
        <f t="shared" si="3"/>
        <v>match</v>
      </c>
      <c r="L34" s="1410"/>
      <c r="M34" s="1449"/>
      <c r="N34" s="1449"/>
      <c r="O34" s="1449"/>
      <c r="P34" s="1449"/>
      <c r="Q34" s="1449"/>
      <c r="R34" s="1450"/>
      <c r="S34" s="1451"/>
      <c r="T34" s="1364"/>
      <c r="U34" s="1449"/>
      <c r="V34" s="1449"/>
      <c r="W34" s="1449"/>
      <c r="X34" s="1449"/>
      <c r="Y34" s="1449"/>
      <c r="Z34" s="1449"/>
      <c r="AA34" s="1449"/>
      <c r="AB34" s="1449"/>
      <c r="AC34" s="1449"/>
      <c r="AD34" s="1449"/>
      <c r="AE34" s="1449"/>
      <c r="AF34" s="1449"/>
      <c r="AG34" s="1449"/>
      <c r="AH34" s="1449"/>
      <c r="AI34" s="1449"/>
      <c r="AJ34" s="1449"/>
    </row>
    <row r="35" spans="1:50" s="255" customFormat="1" ht="15" customHeight="1" x14ac:dyDescent="0.25">
      <c r="A35" s="1551"/>
      <c r="B35" s="318"/>
      <c r="C35" s="944"/>
      <c r="D35" s="463"/>
      <c r="E35" s="359" t="str">
        <f>IF('C-Design&amp;Const'!$U35="","",'C-Design&amp;Const'!$U35)</f>
        <v>N</v>
      </c>
      <c r="F35" s="235"/>
      <c r="G35" s="291"/>
      <c r="H35" s="1035" t="str">
        <f>CONCATENATE(IF(ISNUMBER(SEARCH("Placeholder",'C-Design&amp;Const'!Z35))=TRUE,"",IF(E35="N","PLACEHOLDER ROW - ","")),'C-Design&amp;Const'!Z35,IF(E35="N","",J35))</f>
        <v>PLACEHOLDER ROW - Reconciliation with Owner's 3rd party scheduler</v>
      </c>
      <c r="I35" s="552"/>
      <c r="J35" s="578" t="str">
        <f>IF('C-Design&amp;Const'!AK35="","",'C-Design&amp;Const'!AK35)</f>
        <v xml:space="preserve"> (Final w/ all updates)</v>
      </c>
      <c r="K35" s="285" t="str">
        <f t="shared" si="3"/>
        <v>match</v>
      </c>
      <c r="L35" s="1410"/>
      <c r="M35" s="1449"/>
      <c r="N35" s="1449"/>
      <c r="O35" s="1449"/>
      <c r="P35" s="1449"/>
      <c r="Q35" s="1449"/>
      <c r="R35" s="1450"/>
      <c r="S35" s="1451"/>
      <c r="T35" s="1364"/>
      <c r="U35" s="1449"/>
      <c r="V35" s="1449"/>
      <c r="W35" s="1449"/>
      <c r="X35" s="1449"/>
      <c r="Y35" s="1449"/>
      <c r="Z35" s="1449"/>
      <c r="AA35" s="1449"/>
      <c r="AB35" s="1449"/>
      <c r="AC35" s="1449"/>
      <c r="AD35" s="1449"/>
      <c r="AE35" s="1449"/>
      <c r="AF35" s="1449"/>
      <c r="AG35" s="1449"/>
      <c r="AH35" s="1449"/>
      <c r="AI35" s="1449"/>
      <c r="AJ35" s="1449"/>
    </row>
    <row r="36" spans="1:50" s="255" customFormat="1" x14ac:dyDescent="0.25">
      <c r="A36" s="1552" t="str">
        <f>IF(COUNTIF('04 - 95% CD'!D36:G36,"Y")&gt;0,"Y",IF(COUNTIF('04 - 95% CD'!D36:G36,"N"),"N",""))</f>
        <v/>
      </c>
      <c r="B36" s="318"/>
      <c r="C36" s="949"/>
      <c r="D36" s="411"/>
      <c r="E36" s="321"/>
      <c r="F36" s="321"/>
      <c r="G36" s="320"/>
      <c r="H36" s="321"/>
      <c r="I36" s="188"/>
      <c r="J36" s="578" t="str">
        <f>IF('C-Design&amp;Const'!AK36="","",'C-Design&amp;Const'!AK36)</f>
        <v/>
      </c>
      <c r="K36" s="285" t="str">
        <f t="shared" si="0"/>
        <v>match</v>
      </c>
      <c r="L36" s="1410" t="str">
        <f t="shared" si="1"/>
        <v/>
      </c>
      <c r="M36" s="1449"/>
      <c r="N36" s="1449"/>
      <c r="O36" s="1449"/>
      <c r="P36" s="1449"/>
      <c r="Q36" s="1449"/>
      <c r="R36" s="1457"/>
      <c r="S36" s="1364"/>
      <c r="T36" s="1364"/>
      <c r="U36" s="1449"/>
      <c r="V36" s="1449"/>
      <c r="W36" s="1449"/>
      <c r="X36" s="1449"/>
      <c r="Y36" s="1449"/>
      <c r="Z36" s="1449"/>
      <c r="AA36" s="1449"/>
      <c r="AB36" s="1449"/>
      <c r="AC36" s="1449"/>
      <c r="AD36" s="1449"/>
      <c r="AE36" s="1449"/>
      <c r="AF36" s="1449"/>
      <c r="AG36" s="1449"/>
      <c r="AH36" s="1449"/>
      <c r="AI36" s="1449"/>
      <c r="AJ36" s="1449"/>
    </row>
    <row r="37" spans="1:50" s="255" customFormat="1" ht="20.25" customHeight="1" x14ac:dyDescent="0.3">
      <c r="A37" s="1551" t="str">
        <f>IF(COUNTIF('04 - 95% CD'!D37:G37,"Y")&gt;0,"Y",IF(COUNTIF('04 - 95% CD'!D37:G37,"N"),"N",""))</f>
        <v>Y</v>
      </c>
      <c r="B37" s="318"/>
      <c r="C37" s="950"/>
      <c r="D37" s="559" t="str">
        <f>IF('C-Design&amp;Const'!$U37="","",'C-Design&amp;Const'!$U37)</f>
        <v>N</v>
      </c>
      <c r="E37" s="503"/>
      <c r="F37" s="444"/>
      <c r="G37" s="319" t="str">
        <f>IF('C-Design&amp;Const'!Y37="","",'C-Design&amp;Const'!Y37)</f>
        <v>03.</v>
      </c>
      <c r="H37" s="453" t="str">
        <f>CONCATENATE('C-Design&amp;Const'!Z37,IF(D37="N"," Not Used In This Construction Phase",J37))</f>
        <v>Written Response to Comments Not Used In This Construction Phase</v>
      </c>
      <c r="I37" s="183"/>
      <c r="J37" s="578" t="str">
        <f>IF('C-Design&amp;Const'!AK37="","",'C-Design&amp;Const'!AK37)</f>
        <v/>
      </c>
      <c r="K37" s="285" t="str">
        <f t="shared" si="0"/>
        <v>no 95% match</v>
      </c>
      <c r="L37" s="1410" t="str">
        <f t="shared" si="1"/>
        <v/>
      </c>
      <c r="M37" s="1449"/>
      <c r="N37" s="1449"/>
      <c r="O37" s="1449"/>
      <c r="P37" s="1449"/>
      <c r="Q37" s="1449"/>
      <c r="R37" s="1450"/>
      <c r="S37" s="1451"/>
      <c r="T37" s="1364"/>
      <c r="U37" s="1449"/>
      <c r="V37" s="1449"/>
      <c r="W37" s="1449"/>
      <c r="X37" s="1449"/>
      <c r="Y37" s="1449"/>
      <c r="Z37" s="1449"/>
      <c r="AA37" s="1449"/>
      <c r="AB37" s="1449"/>
      <c r="AC37" s="1449"/>
      <c r="AD37" s="1449"/>
      <c r="AE37" s="1449"/>
      <c r="AF37" s="1449"/>
      <c r="AG37" s="1449"/>
      <c r="AH37" s="1449"/>
      <c r="AI37" s="1449"/>
      <c r="AJ37" s="1449"/>
    </row>
    <row r="38" spans="1:50" s="17" customFormat="1" x14ac:dyDescent="0.25">
      <c r="A38" s="1516" t="str">
        <f>IF(COUNTIF('04 - 95% CD'!D38:G38,"Y")&gt;0,"Y",IF(COUNTIF('04 - 95% CD'!D38:G38,"N"),"N",""))</f>
        <v/>
      </c>
      <c r="B38" s="141"/>
      <c r="C38" s="944"/>
      <c r="D38" s="411"/>
      <c r="E38" s="411"/>
      <c r="F38" s="321"/>
      <c r="G38" s="294"/>
      <c r="H38" s="296"/>
      <c r="I38" s="130"/>
      <c r="J38" s="578" t="str">
        <f>IF('C-Design&amp;Const'!AK38="","",'C-Design&amp;Const'!AK38)</f>
        <v/>
      </c>
      <c r="K38" s="285" t="str">
        <f t="shared" si="0"/>
        <v>match</v>
      </c>
      <c r="L38" s="1410" t="str">
        <f t="shared" si="1"/>
        <v/>
      </c>
      <c r="M38" s="1333"/>
      <c r="N38" s="1333"/>
      <c r="O38" s="1333"/>
      <c r="P38" s="1333"/>
      <c r="Q38" s="1333"/>
      <c r="R38" s="1445"/>
      <c r="S38" s="1364"/>
      <c r="T38" s="1284"/>
      <c r="U38" s="1333"/>
      <c r="V38" s="1333"/>
      <c r="W38" s="1333"/>
      <c r="X38" s="1333"/>
      <c r="Y38" s="1333"/>
      <c r="Z38" s="1333"/>
      <c r="AA38" s="1333"/>
      <c r="AB38" s="1333"/>
      <c r="AC38" s="1333"/>
      <c r="AD38" s="1333"/>
      <c r="AE38" s="1333"/>
      <c r="AF38" s="1333"/>
      <c r="AG38" s="1333"/>
      <c r="AH38" s="1333"/>
      <c r="AI38" s="1333"/>
      <c r="AJ38" s="1333"/>
    </row>
    <row r="39" spans="1:50" s="181" customFormat="1" ht="24" customHeight="1" x14ac:dyDescent="0.25">
      <c r="A39" s="1501" t="str">
        <f>IF(COUNTIF('04 - 95% CD'!D39:G39,"Y")&gt;0,"Y",IF(COUNTIF('04 - 95% CD'!D39:G39,"N"),"N",""))</f>
        <v>Y</v>
      </c>
      <c r="B39" s="177"/>
      <c r="C39" s="944"/>
      <c r="D39" s="559" t="str">
        <f>IF('C-Design&amp;Const'!$U39="","",'C-Design&amp;Const'!$U39)</f>
        <v>Y</v>
      </c>
      <c r="E39" s="234"/>
      <c r="F39" s="235"/>
      <c r="G39" s="291" t="str">
        <f>IF('C-Design&amp;Const'!Y39="","",'C-Design&amp;Const'!Y39)</f>
        <v>04a. *</v>
      </c>
      <c r="H39" s="290" t="str">
        <f>CONCATENATE('C-Design&amp;Const'!Z39,IF(D39="N"," Not Used In This Construction Phase",J39))</f>
        <v>Basis of Design (BOD) - Final including All Updates</v>
      </c>
      <c r="I39" s="180"/>
      <c r="J39" s="578" t="str">
        <f>IF('C-Design&amp;Const'!AK39="","",'C-Design&amp;Const'!AK39)</f>
        <v xml:space="preserve"> - Final including All Updates</v>
      </c>
      <c r="K39" s="285" t="str">
        <f t="shared" si="0"/>
        <v>match</v>
      </c>
      <c r="L39" s="1410" t="str">
        <f t="shared" si="1"/>
        <v/>
      </c>
      <c r="M39" s="1382"/>
      <c r="N39" s="1382"/>
      <c r="O39" s="1382"/>
      <c r="P39" s="1382"/>
      <c r="Q39" s="1382"/>
      <c r="R39" s="1447"/>
      <c r="S39" s="1448"/>
      <c r="T39" s="1382"/>
      <c r="U39" s="1382"/>
      <c r="V39" s="1382"/>
      <c r="W39" s="1382"/>
      <c r="X39" s="1382"/>
      <c r="Y39" s="1382"/>
      <c r="Z39" s="1382"/>
      <c r="AA39" s="1382"/>
      <c r="AB39" s="1382"/>
      <c r="AC39" s="1382"/>
      <c r="AD39" s="1382"/>
      <c r="AE39" s="1382"/>
      <c r="AF39" s="1382"/>
      <c r="AG39" s="1382"/>
      <c r="AH39" s="1382"/>
      <c r="AI39" s="1382"/>
      <c r="AJ39" s="1382"/>
      <c r="AX39" s="30"/>
    </row>
    <row r="40" spans="1:50" s="30" customFormat="1" ht="15" customHeight="1" x14ac:dyDescent="0.25">
      <c r="A40" s="1407" t="str">
        <f>IF(COUNTIF('04 - 95% CD'!D40:G40,"Y")&gt;0,"Y",IF(COUNTIF('04 - 95% CD'!D40:G40,"N"),"N",""))</f>
        <v>Y</v>
      </c>
      <c r="B40" s="191"/>
      <c r="C40" s="944"/>
      <c r="D40" s="463"/>
      <c r="E40" s="359" t="str">
        <f>IF('C-Design&amp;Const'!$U40="","",'C-Design&amp;Const'!$U40)</f>
        <v>Y</v>
      </c>
      <c r="F40" s="235"/>
      <c r="G40" s="291"/>
      <c r="H40" s="1035" t="str">
        <f>CONCATENATE(IF(ISNUMBER(SEARCH("Placeholder",'C-Design&amp;Const'!Z40))=TRUE,"",IF(E40="N","PLACEHOLDER ROW - ","")),'C-Design&amp;Const'!Z40,IF(E40="N","",J40))</f>
        <v>Project Description  (Final w/ all updates)</v>
      </c>
      <c r="I40" s="184"/>
      <c r="J40" s="578" t="str">
        <f>IF('C-Design&amp;Const'!AK40="","",'C-Design&amp;Const'!AK40)</f>
        <v xml:space="preserve"> (Final w/ all updates)</v>
      </c>
      <c r="K40" s="285" t="str">
        <f t="shared" si="0"/>
        <v>match</v>
      </c>
      <c r="L40" s="1410" t="str">
        <f t="shared" si="1"/>
        <v/>
      </c>
      <c r="M40" s="1382"/>
      <c r="N40" s="1382"/>
      <c r="O40" s="1382"/>
      <c r="P40" s="1382"/>
      <c r="Q40" s="1382"/>
      <c r="R40" s="1382"/>
      <c r="S40" s="1382"/>
      <c r="T40" s="1382"/>
      <c r="U40" s="1382"/>
      <c r="V40" s="1382"/>
      <c r="W40" s="1382"/>
      <c r="X40" s="1382"/>
      <c r="Y40" s="1382"/>
      <c r="Z40" s="1382"/>
      <c r="AA40" s="1382"/>
      <c r="AB40" s="1382"/>
      <c r="AC40" s="1382"/>
      <c r="AD40" s="1382"/>
      <c r="AE40" s="1382"/>
      <c r="AF40" s="1382"/>
      <c r="AG40" s="1382"/>
      <c r="AH40" s="1382"/>
      <c r="AI40" s="1382"/>
      <c r="AJ40" s="1382"/>
      <c r="AK40" s="181"/>
      <c r="AL40" s="181"/>
      <c r="AM40" s="181"/>
      <c r="AN40" s="181"/>
      <c r="AO40" s="181"/>
      <c r="AP40" s="181"/>
      <c r="AQ40" s="181"/>
      <c r="AR40" s="181"/>
      <c r="AS40" s="181"/>
      <c r="AT40" s="181"/>
      <c r="AU40" s="181"/>
      <c r="AV40" s="181"/>
      <c r="AW40" s="181"/>
    </row>
    <row r="41" spans="1:50" s="30" customFormat="1" ht="15" customHeight="1" x14ac:dyDescent="0.25">
      <c r="A41" s="1407" t="str">
        <f>IF(COUNTIF('04 - 95% CD'!D41:G41,"Y")&gt;0,"Y",IF(COUNTIF('04 - 95% CD'!D41:G41,"N"),"N",""))</f>
        <v>N</v>
      </c>
      <c r="B41" s="191"/>
      <c r="C41" s="944"/>
      <c r="D41" s="463"/>
      <c r="E41" s="359" t="str">
        <f>IF('C-Design&amp;Const'!$U41="","",'C-Design&amp;Const'!$U41)</f>
        <v>N</v>
      </c>
      <c r="F41" s="235"/>
      <c r="G41" s="291"/>
      <c r="H41" s="1036" t="str">
        <f>CONCATENATE(IF(ISNUMBER(SEARCH("Placeholder",'C-Design&amp;Const'!Z41))=TRUE,"",IF(E41="N","PLACEHOLDER ROW - ","")),'C-Design&amp;Const'!Z41,IF(E41="N","",J41))</f>
        <v xml:space="preserve">PLACEHOLDER ROW - Program Needs Assessment </v>
      </c>
      <c r="I41" s="184"/>
      <c r="J41" s="578" t="str">
        <f>IF('C-Design&amp;Const'!AK41="","",'C-Design&amp;Const'!AK41)</f>
        <v xml:space="preserve"> (Final w/ all updates)</v>
      </c>
      <c r="K41" s="285" t="str">
        <f t="shared" si="0"/>
        <v>match</v>
      </c>
      <c r="L41" s="1410" t="str">
        <f t="shared" si="1"/>
        <v>&lt;---PM/Planner may hide PLACEHOLDER ROW</v>
      </c>
      <c r="M41" s="1382"/>
      <c r="N41" s="1382"/>
      <c r="O41" s="1382"/>
      <c r="P41" s="1382"/>
      <c r="Q41" s="1382"/>
      <c r="R41" s="1382"/>
      <c r="S41" s="1382"/>
      <c r="T41" s="1382"/>
      <c r="U41" s="1382"/>
      <c r="V41" s="1382"/>
      <c r="W41" s="1382"/>
      <c r="X41" s="1382"/>
      <c r="Y41" s="1382"/>
      <c r="Z41" s="1382"/>
      <c r="AA41" s="1382"/>
      <c r="AB41" s="1382"/>
      <c r="AC41" s="1382"/>
      <c r="AD41" s="1382"/>
      <c r="AE41" s="1382"/>
      <c r="AF41" s="1382"/>
      <c r="AG41" s="1382"/>
      <c r="AH41" s="1382"/>
      <c r="AI41" s="1382"/>
      <c r="AJ41" s="1382"/>
      <c r="AK41" s="181"/>
      <c r="AL41" s="181"/>
      <c r="AM41" s="181"/>
      <c r="AN41" s="181"/>
      <c r="AO41" s="181"/>
      <c r="AP41" s="181"/>
      <c r="AQ41" s="181"/>
      <c r="AR41" s="181"/>
      <c r="AS41" s="181"/>
      <c r="AT41" s="181"/>
      <c r="AU41" s="181"/>
      <c r="AV41" s="181"/>
      <c r="AW41" s="181"/>
    </row>
    <row r="42" spans="1:50" s="30" customFormat="1" ht="15" customHeight="1" x14ac:dyDescent="0.25">
      <c r="A42" s="1407" t="str">
        <f>IF(COUNTIF('04 - 95% CD'!D42:G42,"Y")&gt;0,"Y",IF(COUNTIF('04 - 95% CD'!D42:G42,"N"),"N",""))</f>
        <v>N</v>
      </c>
      <c r="B42" s="191"/>
      <c r="C42" s="944"/>
      <c r="D42" s="463"/>
      <c r="E42" s="359" t="str">
        <f>IF('C-Design&amp;Const'!$U42="","",'C-Design&amp;Const'!$U42)</f>
        <v>N</v>
      </c>
      <c r="F42" s="235"/>
      <c r="G42" s="291"/>
      <c r="H42" s="1036" t="str">
        <f>CONCATENATE(IF(ISNUMBER(SEARCH("Placeholder",'C-Design&amp;Const'!Z42))=TRUE,"",IF(E42="N","PLACEHOLDER ROW - ","")),'C-Design&amp;Const'!Z42,IF(E42="N","",J42))</f>
        <v xml:space="preserve">PLACEHOLDER ROW - Program Summary / Analysis </v>
      </c>
      <c r="I42" s="184"/>
      <c r="J42" s="578" t="str">
        <f>IF('C-Design&amp;Const'!AK42="","",'C-Design&amp;Const'!AK42)</f>
        <v xml:space="preserve"> (Final w/ all updates)</v>
      </c>
      <c r="K42" s="285" t="str">
        <f t="shared" si="0"/>
        <v>match</v>
      </c>
      <c r="L42" s="1410" t="str">
        <f t="shared" si="1"/>
        <v>&lt;---PM/Planner may hide PLACEHOLDER ROW</v>
      </c>
      <c r="M42" s="1382"/>
      <c r="N42" s="1382"/>
      <c r="O42" s="1382"/>
      <c r="P42" s="1382"/>
      <c r="Q42" s="1382"/>
      <c r="R42" s="1382"/>
      <c r="S42" s="1382"/>
      <c r="T42" s="1382"/>
      <c r="U42" s="1382"/>
      <c r="V42" s="1382"/>
      <c r="W42" s="1382"/>
      <c r="X42" s="1382"/>
      <c r="Y42" s="1382"/>
      <c r="Z42" s="1382"/>
      <c r="AA42" s="1382"/>
      <c r="AB42" s="1382"/>
      <c r="AC42" s="1382"/>
      <c r="AD42" s="1382"/>
      <c r="AE42" s="1382"/>
      <c r="AF42" s="1382"/>
      <c r="AG42" s="1382"/>
      <c r="AH42" s="1382"/>
      <c r="AI42" s="1382"/>
      <c r="AJ42" s="1382"/>
      <c r="AK42" s="181"/>
      <c r="AL42" s="181"/>
      <c r="AM42" s="181"/>
      <c r="AN42" s="181"/>
      <c r="AO42" s="181"/>
      <c r="AP42" s="181"/>
      <c r="AQ42" s="181"/>
      <c r="AR42" s="181"/>
      <c r="AS42" s="181"/>
      <c r="AT42" s="181"/>
      <c r="AU42" s="181"/>
      <c r="AV42" s="181"/>
      <c r="AW42" s="181"/>
    </row>
    <row r="43" spans="1:50" s="30" customFormat="1" ht="15" hidden="1" customHeight="1" x14ac:dyDescent="0.25">
      <c r="A43" s="1407" t="str">
        <f>IF(COUNTIF('04 - 95% CD'!D43:G43,"Y")&gt;0,"Y",IF(COUNTIF('04 - 95% CD'!D43:G43,"N"),"N",""))</f>
        <v>N</v>
      </c>
      <c r="B43" s="191"/>
      <c r="C43" s="944"/>
      <c r="D43" s="463"/>
      <c r="E43" s="359" t="str">
        <f>IF('C-Design&amp;Const'!$U43="","",'C-Design&amp;Const'!$U43)</f>
        <v>N</v>
      </c>
      <c r="F43" s="235"/>
      <c r="G43" s="291"/>
      <c r="H43" s="1036" t="str">
        <f>CONCATENATE(IF(ISNUMBER(SEARCH("Placeholder",'C-Design&amp;Const'!Z43))=TRUE,"",IF(E43="N","PLACEHOLDER ROW - ","")),'C-Design&amp;Const'!Z43,IF(E43="N","",J43))</f>
        <v>PLACEHOLDER - Program Study</v>
      </c>
      <c r="I43" s="184"/>
      <c r="J43" s="578" t="str">
        <f>IF('C-Design&amp;Const'!AK43="","",'C-Design&amp;Const'!AK43)</f>
        <v xml:space="preserve"> (Final w/ all updates)</v>
      </c>
      <c r="K43" s="285" t="str">
        <f t="shared" si="0"/>
        <v>match</v>
      </c>
      <c r="L43" s="1410" t="str">
        <f t="shared" si="1"/>
        <v>&lt;---PM/Planner may hide PLACEHOLDER ROW</v>
      </c>
      <c r="M43" s="1382"/>
      <c r="N43" s="1382"/>
      <c r="O43" s="1382"/>
      <c r="P43" s="1382"/>
      <c r="Q43" s="1382"/>
      <c r="R43" s="1382"/>
      <c r="S43" s="1382"/>
      <c r="T43" s="1382"/>
      <c r="U43" s="1382"/>
      <c r="V43" s="1382"/>
      <c r="W43" s="1382"/>
      <c r="X43" s="1382"/>
      <c r="Y43" s="1382"/>
      <c r="Z43" s="1382"/>
      <c r="AA43" s="1382"/>
      <c r="AB43" s="1382"/>
      <c r="AC43" s="1382"/>
      <c r="AD43" s="1382"/>
      <c r="AE43" s="1382"/>
      <c r="AF43" s="1382"/>
      <c r="AG43" s="1382"/>
      <c r="AH43" s="1382"/>
      <c r="AI43" s="1382"/>
      <c r="AJ43" s="1382"/>
      <c r="AK43" s="181"/>
      <c r="AL43" s="181"/>
      <c r="AM43" s="181"/>
      <c r="AN43" s="181"/>
      <c r="AO43" s="181"/>
      <c r="AP43" s="181"/>
      <c r="AQ43" s="181"/>
      <c r="AR43" s="181"/>
      <c r="AS43" s="181"/>
      <c r="AT43" s="181"/>
      <c r="AU43" s="181"/>
      <c r="AV43" s="181"/>
      <c r="AW43" s="181"/>
    </row>
    <row r="44" spans="1:50" s="30" customFormat="1" ht="15" customHeight="1" x14ac:dyDescent="0.25">
      <c r="A44" s="1407" t="str">
        <f>IF(COUNTIF('04 - 95% CD'!D44:G44,"Y")&gt;0,"Y",IF(COUNTIF('04 - 95% CD'!D44:G44,"N"),"N",""))</f>
        <v>N</v>
      </c>
      <c r="B44" s="191"/>
      <c r="C44" s="944"/>
      <c r="D44" s="463"/>
      <c r="E44" s="359" t="str">
        <f>IF('C-Design&amp;Const'!$U44="","",'C-Design&amp;Const'!$U44)</f>
        <v>N</v>
      </c>
      <c r="F44" s="235"/>
      <c r="G44" s="291"/>
      <c r="H44" s="1035" t="str">
        <f>CONCATENATE(IF(ISNUMBER(SEARCH("Placeholder",'C-Design&amp;Const'!Z44))=TRUE,"",IF(E44="N","PLACEHOLDER ROW - ","")),'C-Design&amp;Const'!Z44,IF(E44="N","",J44))</f>
        <v xml:space="preserve">PLACEHOLDER ROW - Major Project Goals; Objectives; and Design Requirements </v>
      </c>
      <c r="I44" s="184"/>
      <c r="J44" s="578" t="str">
        <f>IF('C-Design&amp;Const'!AK44="","",'C-Design&amp;Const'!AK44)</f>
        <v xml:space="preserve"> (Final w/ all updates)</v>
      </c>
      <c r="K44" s="285" t="str">
        <f t="shared" si="0"/>
        <v>match</v>
      </c>
      <c r="L44" s="1410" t="str">
        <f t="shared" si="1"/>
        <v>&lt;---PM/Planner may hide PLACEHOLDER ROW</v>
      </c>
      <c r="M44" s="1382"/>
      <c r="N44" s="1382"/>
      <c r="O44" s="1382"/>
      <c r="P44" s="1382"/>
      <c r="Q44" s="1382"/>
      <c r="R44" s="1382"/>
      <c r="S44" s="1382"/>
      <c r="T44" s="1382"/>
      <c r="U44" s="1382"/>
      <c r="V44" s="1382"/>
      <c r="W44" s="1382"/>
      <c r="X44" s="1382"/>
      <c r="Y44" s="1382"/>
      <c r="Z44" s="1382"/>
      <c r="AA44" s="1382"/>
      <c r="AB44" s="1382"/>
      <c r="AC44" s="1382"/>
      <c r="AD44" s="1382"/>
      <c r="AE44" s="1382"/>
      <c r="AF44" s="1382"/>
      <c r="AG44" s="1382"/>
      <c r="AH44" s="1382"/>
      <c r="AI44" s="1382"/>
      <c r="AJ44" s="1382"/>
      <c r="AK44" s="181"/>
      <c r="AL44" s="181"/>
      <c r="AM44" s="181"/>
      <c r="AN44" s="181"/>
      <c r="AO44" s="181"/>
      <c r="AP44" s="181"/>
      <c r="AQ44" s="181"/>
      <c r="AR44" s="181"/>
      <c r="AS44" s="181"/>
      <c r="AT44" s="181"/>
      <c r="AU44" s="181"/>
      <c r="AV44" s="181"/>
      <c r="AW44" s="181"/>
    </row>
    <row r="45" spans="1:50" s="30" customFormat="1" x14ac:dyDescent="0.25">
      <c r="A45" s="1407" t="str">
        <f>IF(COUNTIF('04 - 95% CD'!D45:G45,"Y")&gt;0,"Y",IF(COUNTIF('04 - 95% CD'!D45:G45,"N"),"N",""))</f>
        <v>Y</v>
      </c>
      <c r="B45" s="191"/>
      <c r="C45" s="944"/>
      <c r="D45" s="321"/>
      <c r="E45" s="559" t="str">
        <f>IF('C-Design&amp;Const'!$U45="","",'C-Design&amp;Const'!$U45)</f>
        <v>Y</v>
      </c>
      <c r="F45" s="560"/>
      <c r="G45" s="558"/>
      <c r="H45" s="1035" t="str">
        <f>CONCATENATE(IF(ISNUMBER(SEARCH("Placeholder",'C-Design&amp;Const'!Z45))=TRUE,"",IF(E45="N","PLACEHOLDER ROW - ","")),'C-Design&amp;Const'!Z45,IF(E45="N","",J45))</f>
        <v>Special Considerations  (Final w/ all updates)</v>
      </c>
      <c r="I45" s="186"/>
      <c r="J45" s="578" t="str">
        <f>IF('C-Design&amp;Const'!AK45="","",'C-Design&amp;Const'!AK45)</f>
        <v xml:space="preserve"> (Final w/ all updates)</v>
      </c>
      <c r="K45" s="285" t="str">
        <f t="shared" si="0"/>
        <v>match</v>
      </c>
      <c r="L45" s="1410" t="str">
        <f t="shared" si="1"/>
        <v/>
      </c>
      <c r="M45" s="1382"/>
      <c r="N45" s="1382"/>
      <c r="O45" s="1382"/>
      <c r="P45" s="1382"/>
      <c r="Q45" s="1382"/>
      <c r="R45" s="1490"/>
      <c r="S45" s="1274"/>
      <c r="T45" s="1274"/>
      <c r="U45" s="1382"/>
      <c r="V45" s="1382"/>
      <c r="W45" s="1382"/>
      <c r="X45" s="1382"/>
      <c r="Y45" s="1382"/>
      <c r="Z45" s="1382"/>
      <c r="AA45" s="1382"/>
      <c r="AB45" s="1382"/>
      <c r="AC45" s="1382"/>
      <c r="AD45" s="1382"/>
      <c r="AE45" s="1382"/>
      <c r="AF45" s="1382"/>
      <c r="AG45" s="1382"/>
      <c r="AH45" s="1382"/>
      <c r="AI45" s="1382"/>
      <c r="AJ45" s="1382"/>
      <c r="AK45" s="181"/>
      <c r="AL45" s="181"/>
      <c r="AM45" s="181"/>
      <c r="AN45" s="181"/>
      <c r="AO45" s="181"/>
      <c r="AP45" s="181"/>
      <c r="AQ45" s="181"/>
      <c r="AR45" s="181"/>
      <c r="AS45" s="181"/>
      <c r="AT45" s="181"/>
      <c r="AU45" s="181"/>
      <c r="AV45" s="181"/>
      <c r="AW45" s="181"/>
    </row>
    <row r="46" spans="1:50" s="30" customFormat="1" x14ac:dyDescent="0.25">
      <c r="A46" s="1407" t="str">
        <f>IF(COUNTIF('04 - 95% CD'!D46:G46,"Y")&gt;0,"Y",IF(COUNTIF('04 - 95% CD'!D46:G46,"N"),"N",""))</f>
        <v>Y</v>
      </c>
      <c r="B46" s="191"/>
      <c r="C46" s="944"/>
      <c r="D46" s="321"/>
      <c r="E46" s="559" t="str">
        <f>IF('C-Design&amp;Const'!$U46="","",'C-Design&amp;Const'!$U46)</f>
        <v>Y</v>
      </c>
      <c r="F46" s="560"/>
      <c r="G46" s="558"/>
      <c r="H46" s="1035" t="str">
        <f>CONCATENATE(IF(ISNUMBER(SEARCH("Placeholder",'C-Design&amp;Const'!Z46))=TRUE,"",IF(E46="N","PLACEHOLDER ROW - ","")),'C-Design&amp;Const'!Z46,IF(E46="N","",J46))</f>
        <v>Code Analysis - As Applicable  (Final w/ all updates)</v>
      </c>
      <c r="I46" s="186"/>
      <c r="J46" s="578" t="str">
        <f>IF('C-Design&amp;Const'!AK46="","",'C-Design&amp;Const'!AK46)</f>
        <v xml:space="preserve"> (Final w/ all updates)</v>
      </c>
      <c r="K46" s="285" t="str">
        <f t="shared" si="0"/>
        <v>match</v>
      </c>
      <c r="L46" s="1410" t="str">
        <f t="shared" si="1"/>
        <v/>
      </c>
      <c r="M46" s="1382"/>
      <c r="N46" s="1382"/>
      <c r="O46" s="1382"/>
      <c r="P46" s="1382"/>
      <c r="Q46" s="1382"/>
      <c r="R46" s="1490"/>
      <c r="S46" s="1274"/>
      <c r="T46" s="1274"/>
      <c r="U46" s="1382"/>
      <c r="V46" s="1382"/>
      <c r="W46" s="1382"/>
      <c r="X46" s="1382"/>
      <c r="Y46" s="1382"/>
      <c r="Z46" s="1382"/>
      <c r="AA46" s="1382"/>
      <c r="AB46" s="1382"/>
      <c r="AC46" s="1382"/>
      <c r="AD46" s="1382"/>
      <c r="AE46" s="1382"/>
      <c r="AF46" s="1382"/>
      <c r="AG46" s="1382"/>
      <c r="AH46" s="1382"/>
      <c r="AI46" s="1382"/>
      <c r="AJ46" s="1382"/>
      <c r="AK46" s="181"/>
      <c r="AL46" s="181"/>
      <c r="AM46" s="181"/>
      <c r="AN46" s="181"/>
      <c r="AO46" s="181"/>
      <c r="AP46" s="181"/>
      <c r="AQ46" s="181"/>
      <c r="AR46" s="181"/>
      <c r="AS46" s="181"/>
      <c r="AT46" s="181"/>
      <c r="AU46" s="181"/>
      <c r="AV46" s="181"/>
      <c r="AW46" s="181"/>
    </row>
    <row r="47" spans="1:50" s="30" customFormat="1" x14ac:dyDescent="0.25">
      <c r="A47" s="1407" t="str">
        <f>IF(COUNTIF('04 - 95% CD'!D47:G47,"Y")&gt;0,"Y",IF(COUNTIF('04 - 95% CD'!D47:G47,"N"),"N",""))</f>
        <v>Y</v>
      </c>
      <c r="B47" s="191"/>
      <c r="C47" s="944"/>
      <c r="D47" s="321"/>
      <c r="E47" s="559" t="str">
        <f>IF('C-Design&amp;Const'!$U47="","",'C-Design&amp;Const'!$U47)</f>
        <v>Y</v>
      </c>
      <c r="F47" s="560"/>
      <c r="G47" s="558"/>
      <c r="H47" s="1035" t="str">
        <f>CONCATENATE(IF(ISNUMBER(SEARCH("Placeholder",'C-Design&amp;Const'!Z47))=TRUE,"",IF(E47="N","PLACEHOLDER ROW - ","")),'C-Design&amp;Const'!Z47,IF(E47="N","",J47))</f>
        <v>Permit Analysis  - As Applicable  (Final w/ all updates)</v>
      </c>
      <c r="I47" s="186"/>
      <c r="J47" s="578" t="str">
        <f>IF('C-Design&amp;Const'!AK47="","",'C-Design&amp;Const'!AK47)</f>
        <v xml:space="preserve"> (Final w/ all updates)</v>
      </c>
      <c r="K47" s="285" t="str">
        <f t="shared" si="0"/>
        <v>match</v>
      </c>
      <c r="L47" s="1410" t="str">
        <f t="shared" si="1"/>
        <v/>
      </c>
      <c r="M47" s="1382"/>
      <c r="N47" s="1382"/>
      <c r="O47" s="1382"/>
      <c r="P47" s="1382"/>
      <c r="Q47" s="1382"/>
      <c r="R47" s="1490"/>
      <c r="S47" s="1274"/>
      <c r="T47" s="1274"/>
      <c r="U47" s="1382"/>
      <c r="V47" s="1382"/>
      <c r="W47" s="1382"/>
      <c r="X47" s="1382"/>
      <c r="Y47" s="1382"/>
      <c r="Z47" s="1382"/>
      <c r="AA47" s="1382"/>
      <c r="AB47" s="1382"/>
      <c r="AC47" s="1382"/>
      <c r="AD47" s="1382"/>
      <c r="AE47" s="1382"/>
      <c r="AF47" s="1382"/>
      <c r="AG47" s="1382"/>
      <c r="AH47" s="1382"/>
      <c r="AI47" s="1382"/>
      <c r="AJ47" s="1382"/>
      <c r="AK47" s="181"/>
      <c r="AL47" s="181"/>
      <c r="AM47" s="181"/>
      <c r="AN47" s="181"/>
      <c r="AO47" s="181"/>
      <c r="AP47" s="181"/>
      <c r="AQ47" s="181"/>
      <c r="AR47" s="181"/>
      <c r="AS47" s="181"/>
      <c r="AT47" s="181"/>
      <c r="AU47" s="181"/>
      <c r="AV47" s="181"/>
      <c r="AW47" s="181"/>
    </row>
    <row r="48" spans="1:50" s="30" customFormat="1" x14ac:dyDescent="0.25">
      <c r="A48" s="1407" t="str">
        <f>IF(COUNTIF('04 - 95% CD'!D48:G48,"Y")&gt;0,"Y",IF(COUNTIF('04 - 95% CD'!D48:G48,"N"),"N",""))</f>
        <v>Y</v>
      </c>
      <c r="B48" s="191"/>
      <c r="C48" s="944"/>
      <c r="D48" s="321"/>
      <c r="E48" s="559" t="str">
        <f>IF('C-Design&amp;Const'!$U48="","",'C-Design&amp;Const'!$U48)</f>
        <v>Y</v>
      </c>
      <c r="F48" s="560"/>
      <c r="G48" s="558"/>
      <c r="H48" s="1035" t="str">
        <f>CONCATENATE(IF(ISNUMBER(SEARCH("Placeholder",'C-Design&amp;Const'!Z48))=TRUE,"",IF(E48="N","PLACEHOLDER ROW - ","")),'C-Design&amp;Const'!Z48,IF(E48="N","",J48))</f>
        <v>Variances - As Applicable  (Final w/ all updates)</v>
      </c>
      <c r="I48" s="186"/>
      <c r="J48" s="578" t="str">
        <f>IF('C-Design&amp;Const'!AK48="","",'C-Design&amp;Const'!AK48)</f>
        <v xml:space="preserve"> (Final w/ all updates)</v>
      </c>
      <c r="K48" s="285" t="str">
        <f t="shared" si="0"/>
        <v>match</v>
      </c>
      <c r="L48" s="1410" t="str">
        <f t="shared" si="1"/>
        <v/>
      </c>
      <c r="M48" s="1382"/>
      <c r="N48" s="1382"/>
      <c r="O48" s="1382"/>
      <c r="P48" s="1382"/>
      <c r="Q48" s="1382"/>
      <c r="R48" s="1490"/>
      <c r="S48" s="1274"/>
      <c r="T48" s="1274"/>
      <c r="U48" s="1382"/>
      <c r="V48" s="1382"/>
      <c r="W48" s="1382"/>
      <c r="X48" s="1382"/>
      <c r="Y48" s="1382"/>
      <c r="Z48" s="1382"/>
      <c r="AA48" s="1382"/>
      <c r="AB48" s="1382"/>
      <c r="AC48" s="1382"/>
      <c r="AD48" s="1382"/>
      <c r="AE48" s="1382"/>
      <c r="AF48" s="1382"/>
      <c r="AG48" s="1382"/>
      <c r="AH48" s="1382"/>
      <c r="AI48" s="1382"/>
      <c r="AJ48" s="1382"/>
      <c r="AK48" s="181"/>
      <c r="AL48" s="181"/>
      <c r="AM48" s="181"/>
      <c r="AN48" s="181"/>
      <c r="AO48" s="181"/>
      <c r="AP48" s="181"/>
      <c r="AQ48" s="181"/>
      <c r="AR48" s="181"/>
      <c r="AS48" s="181"/>
      <c r="AT48" s="181"/>
      <c r="AU48" s="181"/>
      <c r="AV48" s="181"/>
      <c r="AW48" s="181"/>
    </row>
    <row r="49" spans="1:49" s="30" customFormat="1" ht="28.5" x14ac:dyDescent="0.25">
      <c r="A49" s="1407" t="str">
        <f>IF(COUNTIF('04 - 95% CD'!D49:G49,"Y")&gt;0,"Y",IF(COUNTIF('04 - 95% CD'!D49:G49,"N"),"N",""))</f>
        <v>N</v>
      </c>
      <c r="B49" s="191"/>
      <c r="C49" s="944"/>
      <c r="D49" s="321"/>
      <c r="E49" s="559" t="str">
        <f>IF('C-Design&amp;Const'!$U49="","",'C-Design&amp;Const'!$U49)</f>
        <v>N</v>
      </c>
      <c r="F49" s="560"/>
      <c r="G49" s="558"/>
      <c r="H49" s="1036" t="str">
        <f>CONCATENATE(IF(ISNUMBER(SEARCH("Placeholder",'C-Design&amp;Const'!Z49))=TRUE,"",IF(E49="N","PLACEHOLDER ROW - ","")),'C-Design&amp;Const'!Z49,IF(E49="N","",J49))</f>
        <v xml:space="preserve">PLACEHOLDER ROW - Results of itemized Area Analysis Comparing the Net-to-Gross Square Feet  - Per Floor; Per Assembly Space; and Per Building as applicable </v>
      </c>
      <c r="I49" s="186"/>
      <c r="J49" s="578" t="str">
        <f>IF('C-Design&amp;Const'!AK49="","",'C-Design&amp;Const'!AK49)</f>
        <v xml:space="preserve"> (Final w/ all updates)</v>
      </c>
      <c r="K49" s="285" t="str">
        <f t="shared" si="0"/>
        <v>match</v>
      </c>
      <c r="L49" s="1410" t="str">
        <f t="shared" si="1"/>
        <v>&lt;---PM/Planner may hide PLACEHOLDER ROW</v>
      </c>
      <c r="M49" s="1382"/>
      <c r="N49" s="1382"/>
      <c r="O49" s="1382"/>
      <c r="P49" s="1382"/>
      <c r="Q49" s="1382"/>
      <c r="R49" s="1490"/>
      <c r="S49" s="1274"/>
      <c r="T49" s="1274"/>
      <c r="U49" s="1382"/>
      <c r="V49" s="1382"/>
      <c r="W49" s="1382"/>
      <c r="X49" s="1382"/>
      <c r="Y49" s="1382"/>
      <c r="Z49" s="1382"/>
      <c r="AA49" s="1382"/>
      <c r="AB49" s="1382"/>
      <c r="AC49" s="1382"/>
      <c r="AD49" s="1382"/>
      <c r="AE49" s="1382"/>
      <c r="AF49" s="1382"/>
      <c r="AG49" s="1382"/>
      <c r="AH49" s="1382"/>
      <c r="AI49" s="1382"/>
      <c r="AJ49" s="1382"/>
      <c r="AK49" s="181"/>
      <c r="AL49" s="181"/>
      <c r="AM49" s="181"/>
      <c r="AN49" s="181"/>
      <c r="AO49" s="181"/>
      <c r="AP49" s="181"/>
      <c r="AQ49" s="181"/>
      <c r="AR49" s="181"/>
      <c r="AS49" s="181"/>
      <c r="AT49" s="181"/>
      <c r="AU49" s="181"/>
      <c r="AV49" s="181"/>
      <c r="AW49" s="181"/>
    </row>
    <row r="50" spans="1:49" s="30" customFormat="1" x14ac:dyDescent="0.25">
      <c r="A50" s="1407" t="str">
        <f>IF(COUNTIF('04 - 95% CD'!D50:G50,"Y")&gt;0,"Y",IF(COUNTIF('04 - 95% CD'!D50:G50,"N"),"N",""))</f>
        <v>N</v>
      </c>
      <c r="B50" s="191"/>
      <c r="C50" s="944"/>
      <c r="D50" s="321"/>
      <c r="E50" s="559" t="str">
        <f>IF('C-Design&amp;Const'!$U50="","",'C-Design&amp;Const'!$U50)</f>
        <v>N</v>
      </c>
      <c r="F50" s="560"/>
      <c r="G50" s="558"/>
      <c r="H50" s="1036" t="str">
        <f>CONCATENATE(IF(ISNUMBER(SEARCH("Placeholder",'C-Design&amp;Const'!Z50))=TRUE,"",IF(E50="N","PLACEHOLDER ROW - ","")),'C-Design&amp;Const'!Z50,IF(E50="N","",J50))</f>
        <v xml:space="preserve">PLACEHOLDER ROW - Room Type Alternative Concepts </v>
      </c>
      <c r="I50" s="186"/>
      <c r="J50" s="578" t="str">
        <f>IF('C-Design&amp;Const'!AK50="","",'C-Design&amp;Const'!AK50)</f>
        <v xml:space="preserve"> (Final w/ all updates)</v>
      </c>
      <c r="K50" s="285" t="str">
        <f t="shared" si="0"/>
        <v>match</v>
      </c>
      <c r="L50" s="1410" t="str">
        <f t="shared" si="1"/>
        <v>&lt;---PM/Planner may hide PLACEHOLDER ROW</v>
      </c>
      <c r="M50" s="1382"/>
      <c r="N50" s="1382"/>
      <c r="O50" s="1382"/>
      <c r="P50" s="1382"/>
      <c r="Q50" s="1382"/>
      <c r="R50" s="1490"/>
      <c r="S50" s="1274"/>
      <c r="T50" s="1274"/>
      <c r="U50" s="1382"/>
      <c r="V50" s="1382"/>
      <c r="W50" s="1382"/>
      <c r="X50" s="1382"/>
      <c r="Y50" s="1382"/>
      <c r="Z50" s="1382"/>
      <c r="AA50" s="1382"/>
      <c r="AB50" s="1382"/>
      <c r="AC50" s="1382"/>
      <c r="AD50" s="1382"/>
      <c r="AE50" s="1382"/>
      <c r="AF50" s="1382"/>
      <c r="AG50" s="1382"/>
      <c r="AH50" s="1382"/>
      <c r="AI50" s="1382"/>
      <c r="AJ50" s="1382"/>
      <c r="AK50" s="181"/>
      <c r="AL50" s="181"/>
      <c r="AM50" s="181"/>
      <c r="AN50" s="181"/>
      <c r="AO50" s="181"/>
      <c r="AP50" s="181"/>
      <c r="AQ50" s="181"/>
      <c r="AR50" s="181"/>
      <c r="AS50" s="181"/>
      <c r="AT50" s="181"/>
      <c r="AU50" s="181"/>
      <c r="AV50" s="181"/>
      <c r="AW50" s="181"/>
    </row>
    <row r="51" spans="1:49" s="30" customFormat="1" x14ac:dyDescent="0.25">
      <c r="A51" s="1407" t="str">
        <f>IF(COUNTIF('04 - 95% CD'!D51:G51,"Y")&gt;0,"Y",IF(COUNTIF('04 - 95% CD'!D51:G51,"N"),"N",""))</f>
        <v>N</v>
      </c>
      <c r="B51" s="191"/>
      <c r="C51" s="944"/>
      <c r="D51" s="321"/>
      <c r="E51" s="559" t="str">
        <f>IF('C-Design&amp;Const'!$U51="","",'C-Design&amp;Const'!$U51)</f>
        <v>N</v>
      </c>
      <c r="F51" s="560"/>
      <c r="G51" s="558"/>
      <c r="H51" s="1036" t="str">
        <f>CONCATENATE(IF(ISNUMBER(SEARCH("Placeholder",'C-Design&amp;Const'!Z51))=TRUE,"",IF(E51="N","PLACEHOLDER ROW - ","")),'C-Design&amp;Const'!Z51,IF(E51="N","",J51))</f>
        <v xml:space="preserve">PLACEHOLDER ROW - Design Concept(s) </v>
      </c>
      <c r="I51" s="186"/>
      <c r="J51" s="578" t="str">
        <f>IF('C-Design&amp;Const'!AK51="","",'C-Design&amp;Const'!AK51)</f>
        <v xml:space="preserve"> (Final w/ all updates)</v>
      </c>
      <c r="K51" s="285" t="str">
        <f t="shared" si="0"/>
        <v>match</v>
      </c>
      <c r="L51" s="1410" t="str">
        <f t="shared" si="1"/>
        <v>&lt;---PM/Planner may hide PLACEHOLDER ROW</v>
      </c>
      <c r="M51" s="1382"/>
      <c r="N51" s="1382"/>
      <c r="O51" s="1382"/>
      <c r="P51" s="1382"/>
      <c r="Q51" s="1382"/>
      <c r="R51" s="1490"/>
      <c r="S51" s="1274"/>
      <c r="T51" s="1274"/>
      <c r="U51" s="1382"/>
      <c r="V51" s="1382"/>
      <c r="W51" s="1382"/>
      <c r="X51" s="1382"/>
      <c r="Y51" s="1382"/>
      <c r="Z51" s="1382"/>
      <c r="AA51" s="1382"/>
      <c r="AB51" s="1382"/>
      <c r="AC51" s="1382"/>
      <c r="AD51" s="1382"/>
      <c r="AE51" s="1382"/>
      <c r="AF51" s="1382"/>
      <c r="AG51" s="1382"/>
      <c r="AH51" s="1382"/>
      <c r="AI51" s="1382"/>
      <c r="AJ51" s="1382"/>
      <c r="AK51" s="181"/>
      <c r="AL51" s="181"/>
      <c r="AM51" s="181"/>
      <c r="AN51" s="181"/>
      <c r="AO51" s="181"/>
      <c r="AP51" s="181"/>
      <c r="AQ51" s="181"/>
      <c r="AR51" s="181"/>
      <c r="AS51" s="181"/>
      <c r="AT51" s="181"/>
      <c r="AU51" s="181"/>
      <c r="AV51" s="181"/>
      <c r="AW51" s="181"/>
    </row>
    <row r="52" spans="1:49" s="30" customFormat="1" x14ac:dyDescent="0.25">
      <c r="A52" s="1407" t="str">
        <f>IF(COUNTIF('04 - 95% CD'!D52:G52,"Y")&gt;0,"Y",IF(COUNTIF('04 - 95% CD'!D52:G52,"N"),"N",""))</f>
        <v>N</v>
      </c>
      <c r="B52" s="191"/>
      <c r="C52" s="944"/>
      <c r="D52" s="321"/>
      <c r="E52" s="559" t="str">
        <f>IF('C-Design&amp;Const'!$U52="","",'C-Design&amp;Const'!$U52)</f>
        <v>N</v>
      </c>
      <c r="F52" s="560"/>
      <c r="G52" s="558"/>
      <c r="H52" s="1036" t="str">
        <f>CONCATENATE(IF(ISNUMBER(SEARCH("Placeholder",'C-Design&amp;Const'!Z52))=TRUE,"",IF(E52="N","PLACEHOLDER ROW - ","")),'C-Design&amp;Const'!Z52,IF(E52="N","",J52))</f>
        <v xml:space="preserve">PLACEHOLDER ROW - Master Plan Impact and Options </v>
      </c>
      <c r="I52" s="186"/>
      <c r="J52" s="578" t="str">
        <f>IF('C-Design&amp;Const'!AK52="","",'C-Design&amp;Const'!AK52)</f>
        <v/>
      </c>
      <c r="K52" s="285" t="str">
        <f t="shared" si="0"/>
        <v>match</v>
      </c>
      <c r="L52" s="1410" t="str">
        <f t="shared" si="1"/>
        <v>&lt;---PM/Planner may hide PLACEHOLDER ROW</v>
      </c>
      <c r="M52" s="1382"/>
      <c r="N52" s="1382"/>
      <c r="O52" s="1382"/>
      <c r="P52" s="1382"/>
      <c r="Q52" s="1382"/>
      <c r="R52" s="1490"/>
      <c r="S52" s="1274"/>
      <c r="T52" s="1274"/>
      <c r="U52" s="1382"/>
      <c r="V52" s="1382"/>
      <c r="W52" s="1382"/>
      <c r="X52" s="1382"/>
      <c r="Y52" s="1382"/>
      <c r="Z52" s="1382"/>
      <c r="AA52" s="1382"/>
      <c r="AB52" s="1382"/>
      <c r="AC52" s="1382"/>
      <c r="AD52" s="1382"/>
      <c r="AE52" s="1382"/>
      <c r="AF52" s="1382"/>
      <c r="AG52" s="1382"/>
      <c r="AH52" s="1382"/>
      <c r="AI52" s="1382"/>
      <c r="AJ52" s="1382"/>
      <c r="AK52" s="181"/>
      <c r="AL52" s="181"/>
      <c r="AM52" s="181"/>
      <c r="AN52" s="181"/>
      <c r="AO52" s="181"/>
      <c r="AP52" s="181"/>
      <c r="AQ52" s="181"/>
      <c r="AR52" s="181"/>
      <c r="AS52" s="181"/>
      <c r="AT52" s="181"/>
      <c r="AU52" s="181"/>
      <c r="AV52" s="181"/>
      <c r="AW52" s="181"/>
    </row>
    <row r="53" spans="1:49" s="30" customFormat="1" x14ac:dyDescent="0.25">
      <c r="A53" s="1407" t="str">
        <f>IF(COUNTIF('04 - 95% CD'!D53:G53,"Y")&gt;0,"Y",IF(COUNTIF('04 - 95% CD'!D53:G53,"N"),"N",""))</f>
        <v>N</v>
      </c>
      <c r="B53" s="191"/>
      <c r="C53" s="944"/>
      <c r="D53" s="321"/>
      <c r="E53" s="559" t="str">
        <f>IF('C-Design&amp;Const'!$U53="","",'C-Design&amp;Const'!$U53)</f>
        <v>N</v>
      </c>
      <c r="F53" s="560"/>
      <c r="G53" s="558"/>
      <c r="H53" s="1036" t="str">
        <f>CONCATENATE(IF(ISNUMBER(SEARCH("Placeholder",'C-Design&amp;Const'!Z53))=TRUE,"",IF(E53="N","PLACEHOLDER ROW - ","")),'C-Design&amp;Const'!Z53,IF(E53="N","",J53))</f>
        <v>PLACEHOLDER ROW - Required adjacent property acquisitions</v>
      </c>
      <c r="I53" s="186"/>
      <c r="J53" s="578" t="str">
        <f>IF('C-Design&amp;Const'!AK53="","",'C-Design&amp;Const'!AK53)</f>
        <v xml:space="preserve"> (Final w/ all updates)</v>
      </c>
      <c r="K53" s="285" t="str">
        <f t="shared" si="0"/>
        <v>match</v>
      </c>
      <c r="L53" s="1410" t="str">
        <f t="shared" si="1"/>
        <v>&lt;---PM/Planner may hide PLACEHOLDER ROW</v>
      </c>
      <c r="M53" s="1382"/>
      <c r="N53" s="1382"/>
      <c r="O53" s="1382"/>
      <c r="P53" s="1382"/>
      <c r="Q53" s="1382"/>
      <c r="R53" s="1490"/>
      <c r="S53" s="1274"/>
      <c r="T53" s="1274"/>
      <c r="U53" s="1382"/>
      <c r="V53" s="1382"/>
      <c r="W53" s="1382"/>
      <c r="X53" s="1382"/>
      <c r="Y53" s="1382"/>
      <c r="Z53" s="1382"/>
      <c r="AA53" s="1382"/>
      <c r="AB53" s="1382"/>
      <c r="AC53" s="1382"/>
      <c r="AD53" s="1382"/>
      <c r="AE53" s="1382"/>
      <c r="AF53" s="1382"/>
      <c r="AG53" s="1382"/>
      <c r="AH53" s="1382"/>
      <c r="AI53" s="1382"/>
      <c r="AJ53" s="1382"/>
      <c r="AK53" s="181"/>
      <c r="AL53" s="181"/>
      <c r="AM53" s="181"/>
      <c r="AN53" s="181"/>
      <c r="AO53" s="181"/>
      <c r="AP53" s="181"/>
      <c r="AQ53" s="181"/>
      <c r="AR53" s="181"/>
      <c r="AS53" s="181"/>
      <c r="AT53" s="181"/>
      <c r="AU53" s="181"/>
      <c r="AV53" s="181"/>
      <c r="AW53" s="181"/>
    </row>
    <row r="54" spans="1:49" s="30" customFormat="1" x14ac:dyDescent="0.25">
      <c r="A54" s="1407" t="str">
        <f>IF(COUNTIF('04 - 95% CD'!D54:G54,"Y")&gt;0,"Y",IF(COUNTIF('04 - 95% CD'!D54:G54,"N"),"N",""))</f>
        <v>N</v>
      </c>
      <c r="B54" s="191"/>
      <c r="C54" s="944"/>
      <c r="D54" s="321"/>
      <c r="E54" s="559" t="str">
        <f>IF('C-Design&amp;Const'!$U54="","",'C-Design&amp;Const'!$U54)</f>
        <v>N</v>
      </c>
      <c r="F54" s="560"/>
      <c r="G54" s="558"/>
      <c r="H54" s="1036" t="str">
        <f>CONCATENATE(IF(ISNUMBER(SEARCH("Placeholder",'C-Design&amp;Const'!Z54))=TRUE,"",IF(E54="N","PLACEHOLDER ROW - ","")),'C-Design&amp;Const'!Z54,IF(E54="N","",J54))</f>
        <v>PLACEHOLDER ROW - CUSTOM ROW - OPTIONAL CLIENT ITEM</v>
      </c>
      <c r="I54" s="186"/>
      <c r="J54" s="578" t="str">
        <f>IF('C-Design&amp;Const'!AK54="","",'C-Design&amp;Const'!AK54)</f>
        <v xml:space="preserve"> (Final w/ all updates)</v>
      </c>
      <c r="K54" s="285" t="str">
        <f t="shared" si="0"/>
        <v>match</v>
      </c>
      <c r="L54" s="1410" t="str">
        <f t="shared" si="1"/>
        <v>&lt;---PM/Planner may hide PLACEHOLDER ROW</v>
      </c>
      <c r="M54" s="1382"/>
      <c r="N54" s="1382"/>
      <c r="O54" s="1382"/>
      <c r="P54" s="1382"/>
      <c r="Q54" s="1382"/>
      <c r="R54" s="1490"/>
      <c r="S54" s="1274"/>
      <c r="T54" s="1274"/>
      <c r="U54" s="1382"/>
      <c r="V54" s="1382"/>
      <c r="W54" s="1382"/>
      <c r="X54" s="1382"/>
      <c r="Y54" s="1382"/>
      <c r="Z54" s="1382"/>
      <c r="AA54" s="1382"/>
      <c r="AB54" s="1382"/>
      <c r="AC54" s="1382"/>
      <c r="AD54" s="1382"/>
      <c r="AE54" s="1382"/>
      <c r="AF54" s="1382"/>
      <c r="AG54" s="1382"/>
      <c r="AH54" s="1382"/>
      <c r="AI54" s="1382"/>
      <c r="AJ54" s="1382"/>
      <c r="AK54" s="181"/>
      <c r="AL54" s="181"/>
      <c r="AM54" s="181"/>
      <c r="AN54" s="181"/>
      <c r="AO54" s="181"/>
      <c r="AP54" s="181"/>
      <c r="AQ54" s="181"/>
      <c r="AR54" s="181"/>
      <c r="AS54" s="181"/>
      <c r="AT54" s="181"/>
      <c r="AU54" s="181"/>
      <c r="AV54" s="181"/>
      <c r="AW54" s="181"/>
    </row>
    <row r="55" spans="1:49" s="30" customFormat="1" x14ac:dyDescent="0.25">
      <c r="A55" s="1407" t="str">
        <f>IF(COUNTIF('04 - 95% CD'!D55:G55,"Y")&gt;0,"Y",IF(COUNTIF('04 - 95% CD'!D55:G55,"N"),"N",""))</f>
        <v>N</v>
      </c>
      <c r="B55" s="191"/>
      <c r="C55" s="944"/>
      <c r="D55" s="321"/>
      <c r="E55" s="559" t="str">
        <f>IF('C-Design&amp;Const'!$U55="","",'C-Design&amp;Const'!$U55)</f>
        <v>N</v>
      </c>
      <c r="F55" s="560"/>
      <c r="G55" s="558"/>
      <c r="H55" s="1036" t="str">
        <f>CONCATENATE(IF(ISNUMBER(SEARCH("Placeholder",'C-Design&amp;Const'!Z55))=TRUE,"",IF(E55="N","PLACEHOLDER ROW - ","")),'C-Design&amp;Const'!Z55,IF(E55="N","",J55))</f>
        <v>PLACEHOLDER ROW - CUSTOM ROW - OPTIONAL CLIENT ITEM</v>
      </c>
      <c r="I55" s="186"/>
      <c r="J55" s="578" t="str">
        <f>IF('C-Design&amp;Const'!AK55="","",'C-Design&amp;Const'!AK55)</f>
        <v xml:space="preserve"> (Final w/ all updates)</v>
      </c>
      <c r="K55" s="285" t="str">
        <f t="shared" si="0"/>
        <v>match</v>
      </c>
      <c r="L55" s="1410" t="str">
        <f t="shared" si="1"/>
        <v>&lt;---PM/Planner may hide PLACEHOLDER ROW</v>
      </c>
      <c r="M55" s="1382"/>
      <c r="N55" s="1382"/>
      <c r="O55" s="1382"/>
      <c r="P55" s="1382"/>
      <c r="Q55" s="1382"/>
      <c r="R55" s="1490"/>
      <c r="S55" s="1274"/>
      <c r="T55" s="1274"/>
      <c r="U55" s="1382"/>
      <c r="V55" s="1382"/>
      <c r="W55" s="1382"/>
      <c r="X55" s="1382"/>
      <c r="Y55" s="1382"/>
      <c r="Z55" s="1382"/>
      <c r="AA55" s="1382"/>
      <c r="AB55" s="1382"/>
      <c r="AC55" s="1382"/>
      <c r="AD55" s="1382"/>
      <c r="AE55" s="1382"/>
      <c r="AF55" s="1382"/>
      <c r="AG55" s="1382"/>
      <c r="AH55" s="1382"/>
      <c r="AI55" s="1382"/>
      <c r="AJ55" s="1382"/>
      <c r="AK55" s="181"/>
      <c r="AL55" s="181"/>
      <c r="AM55" s="181"/>
      <c r="AN55" s="181"/>
      <c r="AO55" s="181"/>
      <c r="AP55" s="181"/>
      <c r="AQ55" s="181"/>
      <c r="AR55" s="181"/>
      <c r="AS55" s="181"/>
      <c r="AT55" s="181"/>
      <c r="AU55" s="181"/>
      <c r="AV55" s="181"/>
      <c r="AW55" s="181"/>
    </row>
    <row r="56" spans="1:49" s="30" customFormat="1" ht="15.75" x14ac:dyDescent="0.25">
      <c r="A56" s="1407" t="str">
        <f>IF(COUNTIF('04 - 95% CD'!D56:G56,"Y")&gt;0,"Y",IF(COUNTIF('04 - 95% CD'!D56:G56,"N"),"N",""))</f>
        <v>Y</v>
      </c>
      <c r="B56" s="191"/>
      <c r="C56" s="944"/>
      <c r="D56" s="321"/>
      <c r="E56" s="559" t="str">
        <f>IF('C-Design&amp;Const'!$U56="","",'C-Design&amp;Const'!$U56)</f>
        <v>Y</v>
      </c>
      <c r="F56" s="560"/>
      <c r="G56" s="558"/>
      <c r="H56" s="1037" t="str">
        <f>CONCATENATE(IF(ISNUMBER(SEARCH("Placeholder",'C-Design&amp;Const'!Z56))=TRUE,"",IF(E56="N","PLACEHOLDER ROW - ","")),'C-Design&amp;Const'!Z56,IF(E56="N","",J56))</f>
        <v>Building &amp; Site Systems Narratives (Final w/ all updates)</v>
      </c>
      <c r="I56" s="186"/>
      <c r="J56" s="578" t="str">
        <f>IF('C-Design&amp;Const'!AK56="","",'C-Design&amp;Const'!AK56)</f>
        <v xml:space="preserve"> (Final w/ all updates)</v>
      </c>
      <c r="K56" s="285" t="str">
        <f t="shared" si="0"/>
        <v>match</v>
      </c>
      <c r="L56" s="1410" t="str">
        <f t="shared" si="1"/>
        <v/>
      </c>
      <c r="M56" s="1382"/>
      <c r="N56" s="1382"/>
      <c r="O56" s="1382"/>
      <c r="P56" s="1382"/>
      <c r="Q56" s="1382"/>
      <c r="R56" s="1490"/>
      <c r="S56" s="1274"/>
      <c r="T56" s="1274"/>
      <c r="U56" s="1382"/>
      <c r="V56" s="1382"/>
      <c r="W56" s="1382"/>
      <c r="X56" s="1382"/>
      <c r="Y56" s="1382"/>
      <c r="Z56" s="1382"/>
      <c r="AA56" s="1382"/>
      <c r="AB56" s="1382"/>
      <c r="AC56" s="1382"/>
      <c r="AD56" s="1382"/>
      <c r="AE56" s="1382"/>
      <c r="AF56" s="1382"/>
      <c r="AG56" s="1382"/>
      <c r="AH56" s="1382"/>
      <c r="AI56" s="1382"/>
      <c r="AJ56" s="1382"/>
      <c r="AK56" s="181"/>
      <c r="AL56" s="181"/>
      <c r="AM56" s="181"/>
      <c r="AN56" s="181"/>
      <c r="AO56" s="181"/>
      <c r="AP56" s="181"/>
      <c r="AQ56" s="181"/>
      <c r="AR56" s="181"/>
      <c r="AS56" s="181"/>
      <c r="AT56" s="181"/>
      <c r="AU56" s="181"/>
      <c r="AV56" s="181"/>
      <c r="AW56" s="181"/>
    </row>
    <row r="57" spans="1:49" s="30" customFormat="1" ht="28.5" x14ac:dyDescent="0.25">
      <c r="A57" s="1407" t="str">
        <f>IF(COUNTIF('04 - 95% CD'!D57:G57,"Y")&gt;0,"Y",IF(COUNTIF('04 - 95% CD'!D57:G57,"N"),"N",""))</f>
        <v/>
      </c>
      <c r="B57" s="191"/>
      <c r="C57" s="944"/>
      <c r="D57" s="321"/>
      <c r="E57" s="520"/>
      <c r="F57" s="537"/>
      <c r="G57" s="558"/>
      <c r="H57" s="1036" t="str">
        <f>CONCATENATE(IF(ISNUMBER(SEARCH("Placeholder",'C-Design&amp;Const'!Z57))=TRUE,"",IF(E57="N","PLACEHOLDER ROW - ","")),'C-Design&amp;Const'!Z57,IF(E57="N","",J57))</f>
        <v>Under separate bound cover, any detailed results, reports, surveys, tests, etc… for existing systems verification. (Final w/ all updates)</v>
      </c>
      <c r="I57" s="186"/>
      <c r="J57" s="578" t="str">
        <f>IF('C-Design&amp;Const'!AK57="","",'C-Design&amp;Const'!AK57)</f>
        <v xml:space="preserve"> (Final w/ all updates)</v>
      </c>
      <c r="K57" s="285" t="str">
        <f t="shared" si="0"/>
        <v>match</v>
      </c>
      <c r="L57" s="1410" t="str">
        <f t="shared" si="1"/>
        <v/>
      </c>
      <c r="M57" s="1382"/>
      <c r="N57" s="1382"/>
      <c r="O57" s="1382"/>
      <c r="P57" s="1382"/>
      <c r="Q57" s="1382"/>
      <c r="R57" s="1490"/>
      <c r="S57" s="1274"/>
      <c r="T57" s="1274"/>
      <c r="U57" s="1382"/>
      <c r="V57" s="1382"/>
      <c r="W57" s="1382"/>
      <c r="X57" s="1382"/>
      <c r="Y57" s="1382"/>
      <c r="Z57" s="1382"/>
      <c r="AA57" s="1382"/>
      <c r="AB57" s="1382"/>
      <c r="AC57" s="1382"/>
      <c r="AD57" s="1382"/>
      <c r="AE57" s="1382"/>
      <c r="AF57" s="1382"/>
      <c r="AG57" s="1382"/>
      <c r="AH57" s="1382"/>
      <c r="AI57" s="1382"/>
      <c r="AJ57" s="1382"/>
      <c r="AK57" s="181"/>
      <c r="AL57" s="181"/>
      <c r="AM57" s="181"/>
      <c r="AN57" s="181"/>
      <c r="AO57" s="181"/>
      <c r="AP57" s="181"/>
      <c r="AQ57" s="181"/>
      <c r="AR57" s="181"/>
      <c r="AS57" s="181"/>
      <c r="AT57" s="181"/>
      <c r="AU57" s="181"/>
      <c r="AV57" s="181"/>
      <c r="AW57" s="181"/>
    </row>
    <row r="58" spans="1:49" s="30" customFormat="1" ht="42.75" x14ac:dyDescent="0.25">
      <c r="A58" s="1407" t="str">
        <f>IF(COUNTIF('04 - 95% CD'!D58:G58,"Y")&gt;0,"Y",IF(COUNTIF('04 - 95% CD'!D58:G58,"N"),"N",""))</f>
        <v>Y</v>
      </c>
      <c r="B58" s="191"/>
      <c r="C58" s="944"/>
      <c r="D58" s="321"/>
      <c r="E58" s="466"/>
      <c r="F58" s="559" t="str">
        <f>IF('C-Design&amp;Const'!$U58="","",'C-Design&amp;Const'!$U58)</f>
        <v>Y</v>
      </c>
      <c r="G58" s="558"/>
      <c r="H58" s="1028" t="str">
        <f>CONCATENATE(IF(F58="N","PLACEHOLDER ROW - ",""),'C-Design&amp;Const'!Z58,IF(F58="N","",J58))</f>
        <v>Site / Civil / Landscape - Storm Water Management for changes in impervious area **(List assumptions for mitigation.  Verify existing system.  Any outlet into field tiles must be verified for size, location, and condition) (Final w/ all updates)</v>
      </c>
      <c r="I58" s="186"/>
      <c r="J58" s="578" t="str">
        <f>IF('C-Design&amp;Const'!AK58="","",'C-Design&amp;Const'!AK58)</f>
        <v xml:space="preserve"> (Final w/ all updates)</v>
      </c>
      <c r="K58" s="285" t="str">
        <f t="shared" si="0"/>
        <v>match</v>
      </c>
      <c r="L58" s="1410" t="str">
        <f t="shared" si="1"/>
        <v/>
      </c>
      <c r="M58" s="1382"/>
      <c r="N58" s="1382"/>
      <c r="O58" s="1382"/>
      <c r="P58" s="1382"/>
      <c r="Q58" s="1382"/>
      <c r="R58" s="1490"/>
      <c r="S58" s="1274"/>
      <c r="T58" s="1274"/>
      <c r="U58" s="1382"/>
      <c r="V58" s="1382"/>
      <c r="W58" s="1382"/>
      <c r="X58" s="1382"/>
      <c r="Y58" s="1382"/>
      <c r="Z58" s="1382"/>
      <c r="AA58" s="1382"/>
      <c r="AB58" s="1382"/>
      <c r="AC58" s="1382"/>
      <c r="AD58" s="1382"/>
      <c r="AE58" s="1382"/>
      <c r="AF58" s="1382"/>
      <c r="AG58" s="1382"/>
      <c r="AH58" s="1382"/>
      <c r="AI58" s="1382"/>
      <c r="AJ58" s="1382"/>
      <c r="AK58" s="181"/>
      <c r="AL58" s="181"/>
      <c r="AM58" s="181"/>
      <c r="AN58" s="181"/>
      <c r="AO58" s="181"/>
      <c r="AP58" s="181"/>
      <c r="AQ58" s="181"/>
      <c r="AR58" s="181"/>
      <c r="AS58" s="181"/>
      <c r="AT58" s="181"/>
      <c r="AU58" s="181"/>
      <c r="AV58" s="181"/>
      <c r="AW58" s="181"/>
    </row>
    <row r="59" spans="1:49" s="30" customFormat="1" ht="28.5" x14ac:dyDescent="0.25">
      <c r="A59" s="1407" t="str">
        <f>IF(COUNTIF('04 - 95% CD'!D59:G59,"Y")&gt;0,"Y",IF(COUNTIF('04 - 95% CD'!D59:G59,"N"),"N",""))</f>
        <v>Y</v>
      </c>
      <c r="B59" s="191"/>
      <c r="C59" s="944"/>
      <c r="D59" s="321"/>
      <c r="E59" s="466"/>
      <c r="F59" s="559" t="str">
        <f>IF('C-Design&amp;Const'!$U59="","",'C-Design&amp;Const'!$U59)</f>
        <v>Y</v>
      </c>
      <c r="G59" s="558"/>
      <c r="H59" s="1028" t="str">
        <f>CONCATENATE(IF(F59="N","PLACEHOLDER ROW - ",""),'C-Design&amp;Const'!Z59,IF(F59="N","",J59))</f>
        <v>Site / Civil / Landscape - Bike Parking, Vehicle Parking,  Driveways, Multimodal Transporation (Final w/ all updates)</v>
      </c>
      <c r="I59" s="186"/>
      <c r="J59" s="578" t="str">
        <f>IF('C-Design&amp;Const'!AK59="","",'C-Design&amp;Const'!AK59)</f>
        <v xml:space="preserve"> (Final w/ all updates)</v>
      </c>
      <c r="K59" s="285" t="str">
        <f t="shared" si="0"/>
        <v>match</v>
      </c>
      <c r="L59" s="1410" t="str">
        <f t="shared" si="1"/>
        <v/>
      </c>
      <c r="M59" s="1382"/>
      <c r="N59" s="1382"/>
      <c r="O59" s="1382"/>
      <c r="P59" s="1382"/>
      <c r="Q59" s="1382"/>
      <c r="R59" s="1490"/>
      <c r="S59" s="1274"/>
      <c r="T59" s="1274"/>
      <c r="U59" s="1382"/>
      <c r="V59" s="1382"/>
      <c r="W59" s="1382"/>
      <c r="X59" s="1382"/>
      <c r="Y59" s="1382"/>
      <c r="Z59" s="1382"/>
      <c r="AA59" s="1382"/>
      <c r="AB59" s="1382"/>
      <c r="AC59" s="1382"/>
      <c r="AD59" s="1382"/>
      <c r="AE59" s="1382"/>
      <c r="AF59" s="1382"/>
      <c r="AG59" s="1382"/>
      <c r="AH59" s="1382"/>
      <c r="AI59" s="1382"/>
      <c r="AJ59" s="1382"/>
      <c r="AK59" s="181"/>
      <c r="AL59" s="181"/>
      <c r="AM59" s="181"/>
      <c r="AN59" s="181"/>
      <c r="AO59" s="181"/>
      <c r="AP59" s="181"/>
      <c r="AQ59" s="181"/>
      <c r="AR59" s="181"/>
      <c r="AS59" s="181"/>
      <c r="AT59" s="181"/>
      <c r="AU59" s="181"/>
      <c r="AV59" s="181"/>
      <c r="AW59" s="181"/>
    </row>
    <row r="60" spans="1:49" s="10" customFormat="1" ht="28.5" x14ac:dyDescent="0.25">
      <c r="A60" s="1407" t="str">
        <f>IF(COUNTIF('04 - 95% CD'!D60:G60,"Y")&gt;0,"Y",IF(COUNTIF('04 - 95% CD'!D60:G60,"N"),"N",""))</f>
        <v>Y</v>
      </c>
      <c r="B60" s="9"/>
      <c r="C60" s="944"/>
      <c r="D60" s="321"/>
      <c r="E60" s="466"/>
      <c r="F60" s="559" t="str">
        <f>IF('C-Design&amp;Const'!$U60="","",'C-Design&amp;Const'!$U60)</f>
        <v>Y</v>
      </c>
      <c r="G60" s="558"/>
      <c r="H60" s="1028" t="str">
        <f>CONCATENATE(IF(F60="N","PLACEHOLDER ROW - ",""),'C-Design&amp;Const'!Z60,IF(F60="N","",J60))</f>
        <v>Site / Civil / Landscape - Waste &amp; Recycling Hauling, Service Access, &amp; Loading Zones (Final w/ all updates)</v>
      </c>
      <c r="I60" s="186"/>
      <c r="J60" s="1559" t="str">
        <f>IF('C-Design&amp;Const'!AK60="","",'C-Design&amp;Const'!AK60)</f>
        <v xml:space="preserve"> (Final w/ all updates)</v>
      </c>
      <c r="K60" s="285" t="str">
        <f t="shared" ref="K60" si="4">IF((COUNTIF(D60:G60,"Y")=COUNTIF(A60,"Y")),"match","no 95% match")</f>
        <v>match</v>
      </c>
      <c r="L60" s="1410" t="str">
        <f t="shared" ref="L60" si="5">CONCATENATE(IF(ISNUMBER(SEARCH("Placeholder",H60))=TRUE,"&lt;---PM/Planner may hide PLACEHOLDER ROW",""))</f>
        <v/>
      </c>
      <c r="M60" s="1382"/>
      <c r="N60" s="1382"/>
      <c r="O60" s="1382"/>
      <c r="P60" s="1382"/>
      <c r="Q60" s="1382"/>
      <c r="R60" s="1490"/>
      <c r="S60" s="1274"/>
      <c r="T60" s="1274"/>
      <c r="U60" s="1382"/>
      <c r="V60" s="1382"/>
      <c r="W60" s="1382"/>
      <c r="X60" s="1382"/>
      <c r="Y60" s="1382"/>
      <c r="Z60" s="1382"/>
      <c r="AA60" s="1382"/>
      <c r="AB60" s="1382"/>
      <c r="AC60" s="1382"/>
      <c r="AD60" s="1382"/>
      <c r="AE60" s="1382"/>
      <c r="AF60" s="1382"/>
      <c r="AG60" s="1382"/>
      <c r="AH60" s="1382"/>
      <c r="AI60" s="1382"/>
      <c r="AJ60" s="1382"/>
      <c r="AK60" s="203"/>
      <c r="AL60" s="203"/>
      <c r="AM60" s="203"/>
      <c r="AN60" s="203"/>
      <c r="AO60" s="203"/>
      <c r="AP60" s="203"/>
      <c r="AQ60" s="203"/>
      <c r="AR60" s="203"/>
      <c r="AS60" s="203"/>
      <c r="AT60" s="203"/>
      <c r="AU60" s="203"/>
      <c r="AV60" s="203"/>
      <c r="AW60" s="203"/>
    </row>
    <row r="61" spans="1:49" s="30" customFormat="1" x14ac:dyDescent="0.25">
      <c r="A61" s="1407" t="str">
        <f>IF(COUNTIF('04 - 95% CD'!D61:G61,"Y")&gt;0,"Y",IF(COUNTIF('04 - 95% CD'!D61:G61,"N"),"N",""))</f>
        <v>Y</v>
      </c>
      <c r="B61" s="191"/>
      <c r="C61" s="944"/>
      <c r="D61" s="321"/>
      <c r="E61" s="466"/>
      <c r="F61" s="559" t="str">
        <f>IF('C-Design&amp;Const'!$U61="","",'C-Design&amp;Const'!$U61)</f>
        <v>Y</v>
      </c>
      <c r="G61" s="558"/>
      <c r="H61" s="1028" t="str">
        <f>CONCATENATE(IF(F61="N","PLACEHOLDER ROW - ",""),'C-Design&amp;Const'!Z61,IF(F61="N","",J61))</f>
        <v>Site / Civil / Landscape - Sidewalks, Plazas, Landscape (Final w/ all updates)</v>
      </c>
      <c r="I61" s="186"/>
      <c r="J61" s="578" t="str">
        <f>IF('C-Design&amp;Const'!AK61="","",'C-Design&amp;Const'!AK61)</f>
        <v xml:space="preserve"> (Final w/ all updates)</v>
      </c>
      <c r="K61" s="285" t="str">
        <f t="shared" si="0"/>
        <v>match</v>
      </c>
      <c r="L61" s="1410" t="str">
        <f t="shared" si="1"/>
        <v/>
      </c>
      <c r="M61" s="1382"/>
      <c r="N61" s="1382"/>
      <c r="O61" s="1382"/>
      <c r="P61" s="1382"/>
      <c r="Q61" s="1382"/>
      <c r="R61" s="1490"/>
      <c r="S61" s="1274"/>
      <c r="T61" s="1274"/>
      <c r="U61" s="1382"/>
      <c r="V61" s="1382"/>
      <c r="W61" s="1382"/>
      <c r="X61" s="1382"/>
      <c r="Y61" s="1382"/>
      <c r="Z61" s="1382"/>
      <c r="AA61" s="1382"/>
      <c r="AB61" s="1382"/>
      <c r="AC61" s="1382"/>
      <c r="AD61" s="1382"/>
      <c r="AE61" s="1382"/>
      <c r="AF61" s="1382"/>
      <c r="AG61" s="1382"/>
      <c r="AH61" s="1382"/>
      <c r="AI61" s="1382"/>
      <c r="AJ61" s="1382"/>
      <c r="AK61" s="181"/>
      <c r="AL61" s="181"/>
      <c r="AM61" s="181"/>
      <c r="AN61" s="181"/>
      <c r="AO61" s="181"/>
      <c r="AP61" s="181"/>
      <c r="AQ61" s="181"/>
      <c r="AR61" s="181"/>
      <c r="AS61" s="181"/>
      <c r="AT61" s="181"/>
      <c r="AU61" s="181"/>
      <c r="AV61" s="181"/>
      <c r="AW61" s="181"/>
    </row>
    <row r="62" spans="1:49" s="30" customFormat="1" x14ac:dyDescent="0.25">
      <c r="A62" s="1407" t="str">
        <f>IF(COUNTIF('04 - 95% CD'!D62:G62,"Y")&gt;0,"Y",IF(COUNTIF('04 - 95% CD'!D62:G62,"N"),"N",""))</f>
        <v>Y</v>
      </c>
      <c r="B62" s="191"/>
      <c r="C62" s="944"/>
      <c r="D62" s="321"/>
      <c r="E62" s="466"/>
      <c r="F62" s="559" t="str">
        <f>IF('C-Design&amp;Const'!$U62="","",'C-Design&amp;Const'!$U62)</f>
        <v>Y</v>
      </c>
      <c r="G62" s="558"/>
      <c r="H62" s="1028" t="str">
        <f>CONCATENATE(IF(F62="N","PLACEHOLDER ROW - ",""),'C-Design&amp;Const'!Z62,IF(F62="N","",J62))</f>
        <v>Site / Civil / Landscape - Demolition &amp; Site Clearing (Final w/ all updates)</v>
      </c>
      <c r="I62" s="186"/>
      <c r="J62" s="578" t="str">
        <f>IF('C-Design&amp;Const'!AK62="","",'C-Design&amp;Const'!AK62)</f>
        <v xml:space="preserve"> (Final w/ all updates)</v>
      </c>
      <c r="K62" s="285" t="str">
        <f t="shared" si="0"/>
        <v>match</v>
      </c>
      <c r="L62" s="1410" t="str">
        <f t="shared" si="1"/>
        <v/>
      </c>
      <c r="M62" s="1382"/>
      <c r="N62" s="1382"/>
      <c r="O62" s="1382"/>
      <c r="P62" s="1382"/>
      <c r="Q62" s="1382"/>
      <c r="R62" s="1490"/>
      <c r="S62" s="1274"/>
      <c r="T62" s="1274"/>
      <c r="U62" s="1382"/>
      <c r="V62" s="1382"/>
      <c r="W62" s="1382"/>
      <c r="X62" s="1382"/>
      <c r="Y62" s="1382"/>
      <c r="Z62" s="1382"/>
      <c r="AA62" s="1382"/>
      <c r="AB62" s="1382"/>
      <c r="AC62" s="1382"/>
      <c r="AD62" s="1382"/>
      <c r="AE62" s="1382"/>
      <c r="AF62" s="1382"/>
      <c r="AG62" s="1382"/>
      <c r="AH62" s="1382"/>
      <c r="AI62" s="1382"/>
      <c r="AJ62" s="1382"/>
      <c r="AK62" s="181"/>
      <c r="AL62" s="181"/>
      <c r="AM62" s="181"/>
      <c r="AN62" s="181"/>
      <c r="AO62" s="181"/>
      <c r="AP62" s="181"/>
      <c r="AQ62" s="181"/>
      <c r="AR62" s="181"/>
      <c r="AS62" s="181"/>
      <c r="AT62" s="181"/>
      <c r="AU62" s="181"/>
      <c r="AV62" s="181"/>
      <c r="AW62" s="181"/>
    </row>
    <row r="63" spans="1:49" s="30" customFormat="1" x14ac:dyDescent="0.25">
      <c r="A63" s="1407" t="str">
        <f>IF(COUNTIF('04 - 95% CD'!D63:G63,"Y")&gt;0,"Y",IF(COUNTIF('04 - 95% CD'!D63:G63,"N"),"N",""))</f>
        <v>Y</v>
      </c>
      <c r="B63" s="191"/>
      <c r="C63" s="944"/>
      <c r="D63" s="321"/>
      <c r="E63" s="466"/>
      <c r="F63" s="559" t="str">
        <f>IF('C-Design&amp;Const'!$U63="","",'C-Design&amp;Const'!$U63)</f>
        <v>Y</v>
      </c>
      <c r="G63" s="558"/>
      <c r="H63" s="1028" t="str">
        <f>CONCATENATE(IF(F63="N","PLACEHOLDER ROW - ",""),'C-Design&amp;Const'!Z63,IF(F63="N","",J63))</f>
        <v>Site / Civil / Landscape - Utility Relocations (Final w/ all updates)</v>
      </c>
      <c r="I63" s="186"/>
      <c r="J63" s="578" t="str">
        <f>IF('C-Design&amp;Const'!AK63="","",'C-Design&amp;Const'!AK63)</f>
        <v xml:space="preserve"> (Final w/ all updates)</v>
      </c>
      <c r="K63" s="285" t="str">
        <f t="shared" si="0"/>
        <v>match</v>
      </c>
      <c r="L63" s="1410" t="str">
        <f t="shared" si="1"/>
        <v/>
      </c>
      <c r="M63" s="1382"/>
      <c r="N63" s="1382"/>
      <c r="O63" s="1382"/>
      <c r="P63" s="1382"/>
      <c r="Q63" s="1382"/>
      <c r="R63" s="1490"/>
      <c r="S63" s="1274"/>
      <c r="T63" s="1274"/>
      <c r="U63" s="1382"/>
      <c r="V63" s="1382"/>
      <c r="W63" s="1382"/>
      <c r="X63" s="1382"/>
      <c r="Y63" s="1382"/>
      <c r="Z63" s="1382"/>
      <c r="AA63" s="1382"/>
      <c r="AB63" s="1382"/>
      <c r="AC63" s="1382"/>
      <c r="AD63" s="1382"/>
      <c r="AE63" s="1382"/>
      <c r="AF63" s="1382"/>
      <c r="AG63" s="1382"/>
      <c r="AH63" s="1382"/>
      <c r="AI63" s="1382"/>
      <c r="AJ63" s="1382"/>
      <c r="AK63" s="181"/>
      <c r="AL63" s="181"/>
      <c r="AM63" s="181"/>
      <c r="AN63" s="181"/>
      <c r="AO63" s="181"/>
      <c r="AP63" s="181"/>
      <c r="AQ63" s="181"/>
      <c r="AR63" s="181"/>
      <c r="AS63" s="181"/>
      <c r="AT63" s="181"/>
      <c r="AU63" s="181"/>
      <c r="AV63" s="181"/>
      <c r="AW63" s="181"/>
    </row>
    <row r="64" spans="1:49" s="30" customFormat="1" x14ac:dyDescent="0.25">
      <c r="A64" s="1407" t="str">
        <f>IF(COUNTIF('04 - 95% CD'!D64:G64,"Y")&gt;0,"Y",IF(COUNTIF('04 - 95% CD'!D64:G64,"N"),"N",""))</f>
        <v>Y</v>
      </c>
      <c r="B64" s="191"/>
      <c r="C64" s="944"/>
      <c r="D64" s="321"/>
      <c r="E64" s="466"/>
      <c r="F64" s="559" t="str">
        <f>IF('C-Design&amp;Const'!$U64="","",'C-Design&amp;Const'!$U64)</f>
        <v>Y</v>
      </c>
      <c r="G64" s="558"/>
      <c r="H64" s="1028" t="str">
        <f>CONCATENATE(IF(F64="N","PLACEHOLDER ROW - ",""),'C-Design&amp;Const'!Z64,IF(F64="N","",J64))</f>
        <v>Site / Civil / Landscape - Utility Abandonments (Final w/ all updates)</v>
      </c>
      <c r="I64" s="186"/>
      <c r="J64" s="578" t="str">
        <f>IF('C-Design&amp;Const'!AK64="","",'C-Design&amp;Const'!AK64)</f>
        <v xml:space="preserve"> (Final w/ all updates)</v>
      </c>
      <c r="K64" s="285" t="str">
        <f t="shared" si="0"/>
        <v>match</v>
      </c>
      <c r="L64" s="1410" t="str">
        <f t="shared" si="1"/>
        <v/>
      </c>
      <c r="M64" s="1382"/>
      <c r="N64" s="1382"/>
      <c r="O64" s="1382"/>
      <c r="P64" s="1382"/>
      <c r="Q64" s="1382"/>
      <c r="R64" s="1490"/>
      <c r="S64" s="1274"/>
      <c r="T64" s="1274"/>
      <c r="U64" s="1382"/>
      <c r="V64" s="1382"/>
      <c r="W64" s="1382"/>
      <c r="X64" s="1382"/>
      <c r="Y64" s="1382"/>
      <c r="Z64" s="1382"/>
      <c r="AA64" s="1382"/>
      <c r="AB64" s="1382"/>
      <c r="AC64" s="1382"/>
      <c r="AD64" s="1382"/>
      <c r="AE64" s="1382"/>
      <c r="AF64" s="1382"/>
      <c r="AG64" s="1382"/>
      <c r="AH64" s="1382"/>
      <c r="AI64" s="1382"/>
      <c r="AJ64" s="1382"/>
      <c r="AK64" s="181"/>
      <c r="AL64" s="181"/>
      <c r="AM64" s="181"/>
      <c r="AN64" s="181"/>
      <c r="AO64" s="181"/>
      <c r="AP64" s="181"/>
      <c r="AQ64" s="181"/>
      <c r="AR64" s="181"/>
      <c r="AS64" s="181"/>
      <c r="AT64" s="181"/>
      <c r="AU64" s="181"/>
      <c r="AV64" s="181"/>
      <c r="AW64" s="181"/>
    </row>
    <row r="65" spans="1:49" s="30" customFormat="1" x14ac:dyDescent="0.25">
      <c r="A65" s="1407" t="str">
        <f>IF(COUNTIF('04 - 95% CD'!D65:G65,"Y")&gt;0,"Y",IF(COUNTIF('04 - 95% CD'!D65:G65,"N"),"N",""))</f>
        <v>N</v>
      </c>
      <c r="B65" s="191"/>
      <c r="C65" s="944"/>
      <c r="D65" s="321"/>
      <c r="E65" s="466"/>
      <c r="F65" s="559" t="str">
        <f>IF('C-Design&amp;Const'!$U65="","",'C-Design&amp;Const'!$U65)</f>
        <v>N</v>
      </c>
      <c r="G65" s="558"/>
      <c r="H65" s="1028" t="str">
        <f>CONCATENATE(IF(F65="N","PLACEHOLDER ROW - ",""),'C-Design&amp;Const'!Z65,IF(F65="N","",J65))</f>
        <v>PLACEHOLDER ROW - Site / Civil / Landscape - CUSTOM</v>
      </c>
      <c r="I65" s="186"/>
      <c r="J65" s="578" t="str">
        <f>IF('C-Design&amp;Const'!AK65="","",'C-Design&amp;Const'!AK65)</f>
        <v xml:space="preserve"> (Final w/ all updates)</v>
      </c>
      <c r="K65" s="285" t="str">
        <f t="shared" si="0"/>
        <v>match</v>
      </c>
      <c r="L65" s="1410" t="str">
        <f t="shared" si="1"/>
        <v>&lt;---PM/Planner may hide PLACEHOLDER ROW</v>
      </c>
      <c r="M65" s="1382"/>
      <c r="N65" s="1382"/>
      <c r="O65" s="1382"/>
      <c r="P65" s="1382"/>
      <c r="Q65" s="1382"/>
      <c r="R65" s="1490"/>
      <c r="S65" s="1274"/>
      <c r="T65" s="1274"/>
      <c r="U65" s="1382"/>
      <c r="V65" s="1382"/>
      <c r="W65" s="1382"/>
      <c r="X65" s="1382"/>
      <c r="Y65" s="1382"/>
      <c r="Z65" s="1382"/>
      <c r="AA65" s="1382"/>
      <c r="AB65" s="1382"/>
      <c r="AC65" s="1382"/>
      <c r="AD65" s="1382"/>
      <c r="AE65" s="1382"/>
      <c r="AF65" s="1382"/>
      <c r="AG65" s="1382"/>
      <c r="AH65" s="1382"/>
      <c r="AI65" s="1382"/>
      <c r="AJ65" s="1382"/>
      <c r="AK65" s="181"/>
      <c r="AL65" s="181"/>
      <c r="AM65" s="181"/>
      <c r="AN65" s="181"/>
      <c r="AO65" s="181"/>
      <c r="AP65" s="181"/>
      <c r="AQ65" s="181"/>
      <c r="AR65" s="181"/>
      <c r="AS65" s="181"/>
      <c r="AT65" s="181"/>
      <c r="AU65" s="181"/>
      <c r="AV65" s="181"/>
      <c r="AW65" s="181"/>
    </row>
    <row r="66" spans="1:49" s="545" customFormat="1" x14ac:dyDescent="0.25">
      <c r="A66" s="1407" t="str">
        <f>IF(COUNTIF('04 - 95% CD'!D66:G66,"Y")&gt;0,"Y",IF(COUNTIF('04 - 95% CD'!D66:G66,"N"),"N",""))</f>
        <v>Y</v>
      </c>
      <c r="B66" s="554"/>
      <c r="C66" s="944"/>
      <c r="D66" s="321"/>
      <c r="E66" s="466"/>
      <c r="F66" s="559" t="str">
        <f>IF('C-Design&amp;Const'!$U66="","",'C-Design&amp;Const'!$U66)</f>
        <v>Y</v>
      </c>
      <c r="G66" s="558"/>
      <c r="H66" s="1028" t="str">
        <f>CONCATENATE(IF(F66="N","PLACEHOLDER ROW - ",""),'C-Design&amp;Const'!Z66,IF(F66="N","",J66))</f>
        <v>Architectural - Demolition(s) (Final w/ all updates)</v>
      </c>
      <c r="I66" s="186"/>
      <c r="J66" s="578" t="str">
        <f>IF('C-Design&amp;Const'!AK66="","",'C-Design&amp;Const'!AK66)</f>
        <v xml:space="preserve"> (Final w/ all updates)</v>
      </c>
      <c r="K66" s="285" t="str">
        <f t="shared" ref="K66" si="6">IF((COUNTIF(D66:G66,"Y")=COUNTIF(A66,"Y")),"match","no 95% match")</f>
        <v>match</v>
      </c>
      <c r="L66" s="1410" t="str">
        <f t="shared" ref="L66" si="7">CONCATENATE(IF(ISNUMBER(SEARCH("Placeholder",H66))=TRUE,"&lt;---PM/Planner may hide PLACEHOLDER ROW",""))</f>
        <v/>
      </c>
      <c r="M66" s="1382"/>
      <c r="N66" s="1382"/>
      <c r="O66" s="1382"/>
      <c r="P66" s="1382"/>
      <c r="Q66" s="1382"/>
      <c r="R66" s="1490"/>
      <c r="S66" s="1274"/>
      <c r="T66" s="1274"/>
      <c r="U66" s="1382"/>
      <c r="V66" s="1382"/>
      <c r="W66" s="1382"/>
      <c r="X66" s="1382"/>
      <c r="Y66" s="1382"/>
      <c r="Z66" s="1382"/>
      <c r="AA66" s="1382"/>
      <c r="AB66" s="1382"/>
      <c r="AC66" s="1382"/>
      <c r="AD66" s="1382"/>
      <c r="AE66" s="1382"/>
      <c r="AF66" s="1382"/>
      <c r="AG66" s="1382"/>
      <c r="AH66" s="1382"/>
      <c r="AI66" s="1382"/>
      <c r="AJ66" s="1382"/>
      <c r="AK66" s="551"/>
      <c r="AL66" s="551"/>
      <c r="AM66" s="551"/>
      <c r="AN66" s="551"/>
      <c r="AO66" s="551"/>
      <c r="AP66" s="551"/>
      <c r="AQ66" s="551"/>
      <c r="AR66" s="551"/>
      <c r="AS66" s="551"/>
      <c r="AT66" s="551"/>
      <c r="AU66" s="551"/>
      <c r="AV66" s="551"/>
      <c r="AW66" s="551"/>
    </row>
    <row r="67" spans="1:49" s="30" customFormat="1" x14ac:dyDescent="0.25">
      <c r="A67" s="1407" t="str">
        <f>IF(COUNTIF('04 - 95% CD'!D67:G67,"Y")&gt;0,"Y",IF(COUNTIF('04 - 95% CD'!D67:G67,"N"),"N",""))</f>
        <v>Y</v>
      </c>
      <c r="B67" s="191"/>
      <c r="C67" s="944"/>
      <c r="D67" s="321"/>
      <c r="E67" s="466"/>
      <c r="F67" s="559" t="str">
        <f>IF('C-Design&amp;Const'!$U67="","",'C-Design&amp;Const'!$U67)</f>
        <v>Y</v>
      </c>
      <c r="G67" s="558"/>
      <c r="H67" s="1028" t="str">
        <f>CONCATENATE(IF(F67="N","PLACEHOLDER ROW - ",""),'C-Design&amp;Const'!Z67,IF(F67="N","",J67))</f>
        <v>Architectural - Space Use (Final w/ all updates)</v>
      </c>
      <c r="I67" s="186"/>
      <c r="J67" s="578" t="str">
        <f>IF('C-Design&amp;Const'!AK67="","",'C-Design&amp;Const'!AK67)</f>
        <v xml:space="preserve"> (Final w/ all updates)</v>
      </c>
      <c r="K67" s="285" t="str">
        <f t="shared" si="0"/>
        <v>match</v>
      </c>
      <c r="L67" s="1410" t="str">
        <f t="shared" si="1"/>
        <v/>
      </c>
      <c r="M67" s="1382"/>
      <c r="N67" s="1382"/>
      <c r="O67" s="1382"/>
      <c r="P67" s="1382"/>
      <c r="Q67" s="1382"/>
      <c r="R67" s="1490"/>
      <c r="S67" s="1274"/>
      <c r="T67" s="1274"/>
      <c r="U67" s="1382"/>
      <c r="V67" s="1382"/>
      <c r="W67" s="1382"/>
      <c r="X67" s="1382"/>
      <c r="Y67" s="1382"/>
      <c r="Z67" s="1382"/>
      <c r="AA67" s="1382"/>
      <c r="AB67" s="1382"/>
      <c r="AC67" s="1382"/>
      <c r="AD67" s="1382"/>
      <c r="AE67" s="1382"/>
      <c r="AF67" s="1382"/>
      <c r="AG67" s="1382"/>
      <c r="AH67" s="1382"/>
      <c r="AI67" s="1382"/>
      <c r="AJ67" s="1382"/>
      <c r="AK67" s="181"/>
      <c r="AL67" s="181"/>
      <c r="AM67" s="181"/>
      <c r="AN67" s="181"/>
      <c r="AO67" s="181"/>
      <c r="AP67" s="181"/>
      <c r="AQ67" s="181"/>
      <c r="AR67" s="181"/>
      <c r="AS67" s="181"/>
      <c r="AT67" s="181"/>
      <c r="AU67" s="181"/>
      <c r="AV67" s="181"/>
      <c r="AW67" s="181"/>
    </row>
    <row r="68" spans="1:49" s="30" customFormat="1" x14ac:dyDescent="0.25">
      <c r="A68" s="1407" t="str">
        <f>IF(COUNTIF('04 - 95% CD'!D68:G68,"Y")&gt;0,"Y",IF(COUNTIF('04 - 95% CD'!D68:G68,"N"),"N",""))</f>
        <v>Y</v>
      </c>
      <c r="B68" s="191"/>
      <c r="C68" s="944"/>
      <c r="D68" s="321"/>
      <c r="E68" s="466"/>
      <c r="F68" s="559" t="str">
        <f>IF('C-Design&amp;Const'!$U68="","",'C-Design&amp;Const'!$U68)</f>
        <v>Y</v>
      </c>
      <c r="G68" s="558"/>
      <c r="H68" s="1028" t="str">
        <f>CONCATENATE(IF(F68="N","PLACEHOLDER ROW - ",""),'C-Design&amp;Const'!Z68,IF(F68="N","",J68))</f>
        <v>Architectural - Historical Preservation (Final w/ all updates)</v>
      </c>
      <c r="I68" s="186"/>
      <c r="J68" s="578" t="str">
        <f>IF('C-Design&amp;Const'!AK68="","",'C-Design&amp;Const'!AK68)</f>
        <v xml:space="preserve"> (Final w/ all updates)</v>
      </c>
      <c r="K68" s="285" t="str">
        <f t="shared" si="0"/>
        <v>match</v>
      </c>
      <c r="L68" s="1410" t="str">
        <f t="shared" si="1"/>
        <v/>
      </c>
      <c r="M68" s="1382"/>
      <c r="N68" s="1382"/>
      <c r="O68" s="1382"/>
      <c r="P68" s="1382"/>
      <c r="Q68" s="1382"/>
      <c r="R68" s="1490"/>
      <c r="S68" s="1274"/>
      <c r="T68" s="1274"/>
      <c r="U68" s="1382"/>
      <c r="V68" s="1382"/>
      <c r="W68" s="1382"/>
      <c r="X68" s="1382"/>
      <c r="Y68" s="1382"/>
      <c r="Z68" s="1382"/>
      <c r="AA68" s="1382"/>
      <c r="AB68" s="1382"/>
      <c r="AC68" s="1382"/>
      <c r="AD68" s="1382"/>
      <c r="AE68" s="1382"/>
      <c r="AF68" s="1382"/>
      <c r="AG68" s="1382"/>
      <c r="AH68" s="1382"/>
      <c r="AI68" s="1382"/>
      <c r="AJ68" s="1382"/>
      <c r="AK68" s="181"/>
      <c r="AL68" s="181"/>
      <c r="AM68" s="181"/>
      <c r="AN68" s="181"/>
      <c r="AO68" s="181"/>
      <c r="AP68" s="181"/>
      <c r="AQ68" s="181"/>
      <c r="AR68" s="181"/>
      <c r="AS68" s="181"/>
      <c r="AT68" s="181"/>
      <c r="AU68" s="181"/>
      <c r="AV68" s="181"/>
      <c r="AW68" s="181"/>
    </row>
    <row r="69" spans="1:49" s="30" customFormat="1" ht="28.5" x14ac:dyDescent="0.25">
      <c r="A69" s="1407" t="str">
        <f>IF(COUNTIF('04 - 95% CD'!D69:G69,"Y")&gt;0,"Y",IF(COUNTIF('04 - 95% CD'!D69:G69,"N"),"N",""))</f>
        <v>Y</v>
      </c>
      <c r="B69" s="191"/>
      <c r="C69" s="944"/>
      <c r="D69" s="321"/>
      <c r="E69" s="466"/>
      <c r="F69" s="559" t="str">
        <f>IF('C-Design&amp;Const'!$U69="","",'C-Design&amp;Const'!$U69)</f>
        <v>Y</v>
      </c>
      <c r="G69" s="558"/>
      <c r="H69" s="1028" t="str">
        <f>CONCATENATE(IF(F69="N","PLACEHOLDER ROW - ",""),'C-Design&amp;Const'!Z69,IF(F69="N","",J69))</f>
        <v>Architectural - Building Envelope **(existing systems verification recommended on renovations) (Final w/ all updates)</v>
      </c>
      <c r="I69" s="186"/>
      <c r="J69" s="578" t="str">
        <f>IF('C-Design&amp;Const'!AK69="","",'C-Design&amp;Const'!AK69)</f>
        <v xml:space="preserve"> (Final w/ all updates)</v>
      </c>
      <c r="K69" s="285" t="str">
        <f t="shared" si="0"/>
        <v>match</v>
      </c>
      <c r="L69" s="1410" t="str">
        <f t="shared" si="1"/>
        <v/>
      </c>
      <c r="M69" s="1382"/>
      <c r="N69" s="1382"/>
      <c r="O69" s="1382"/>
      <c r="P69" s="1382"/>
      <c r="Q69" s="1382"/>
      <c r="R69" s="1490"/>
      <c r="S69" s="1274"/>
      <c r="T69" s="1274"/>
      <c r="U69" s="1382"/>
      <c r="V69" s="1382"/>
      <c r="W69" s="1382"/>
      <c r="X69" s="1382"/>
      <c r="Y69" s="1382"/>
      <c r="Z69" s="1382"/>
      <c r="AA69" s="1382"/>
      <c r="AB69" s="1382"/>
      <c r="AC69" s="1382"/>
      <c r="AD69" s="1382"/>
      <c r="AE69" s="1382"/>
      <c r="AF69" s="1382"/>
      <c r="AG69" s="1382"/>
      <c r="AH69" s="1382"/>
      <c r="AI69" s="1382"/>
      <c r="AJ69" s="1382"/>
      <c r="AK69" s="181"/>
      <c r="AL69" s="181"/>
      <c r="AM69" s="181"/>
      <c r="AN69" s="181"/>
      <c r="AO69" s="181"/>
      <c r="AP69" s="181"/>
      <c r="AQ69" s="181"/>
      <c r="AR69" s="181"/>
      <c r="AS69" s="181"/>
      <c r="AT69" s="181"/>
      <c r="AU69" s="181"/>
      <c r="AV69" s="181"/>
      <c r="AW69" s="181"/>
    </row>
    <row r="70" spans="1:49" s="30" customFormat="1" x14ac:dyDescent="0.25">
      <c r="A70" s="1407" t="str">
        <f>IF(COUNTIF('04 - 95% CD'!D70:G70,"Y")&gt;0,"Y",IF(COUNTIF('04 - 95% CD'!D70:G70,"N"),"N",""))</f>
        <v>Y</v>
      </c>
      <c r="B70" s="191"/>
      <c r="C70" s="944"/>
      <c r="D70" s="321"/>
      <c r="E70" s="466"/>
      <c r="F70" s="559" t="str">
        <f>IF('C-Design&amp;Const'!$U70="","",'C-Design&amp;Const'!$U70)</f>
        <v>Y</v>
      </c>
      <c r="G70" s="558"/>
      <c r="H70" s="1028" t="str">
        <f>CONCATENATE(IF(F70="N","PLACEHOLDER ROW - ",""),'C-Design&amp;Const'!Z70,IF(F70="N","",J70))</f>
        <v>Architectural - Interiors (Final w/ all updates)</v>
      </c>
      <c r="I70" s="186"/>
      <c r="J70" s="578" t="str">
        <f>IF('C-Design&amp;Const'!AK70="","",'C-Design&amp;Const'!AK70)</f>
        <v xml:space="preserve"> (Final w/ all updates)</v>
      </c>
      <c r="K70" s="285" t="str">
        <f t="shared" si="0"/>
        <v>match</v>
      </c>
      <c r="L70" s="1410" t="str">
        <f t="shared" si="1"/>
        <v/>
      </c>
      <c r="M70" s="1382"/>
      <c r="N70" s="1382"/>
      <c r="O70" s="1382"/>
      <c r="P70" s="1382"/>
      <c r="Q70" s="1382"/>
      <c r="R70" s="1490"/>
      <c r="S70" s="1274"/>
      <c r="T70" s="1274"/>
      <c r="U70" s="1382"/>
      <c r="V70" s="1382"/>
      <c r="W70" s="1382"/>
      <c r="X70" s="1382"/>
      <c r="Y70" s="1382"/>
      <c r="Z70" s="1382"/>
      <c r="AA70" s="1382"/>
      <c r="AB70" s="1382"/>
      <c r="AC70" s="1382"/>
      <c r="AD70" s="1382"/>
      <c r="AE70" s="1382"/>
      <c r="AF70" s="1382"/>
      <c r="AG70" s="1382"/>
      <c r="AH70" s="1382"/>
      <c r="AI70" s="1382"/>
      <c r="AJ70" s="1382"/>
      <c r="AK70" s="181"/>
      <c r="AL70" s="181"/>
      <c r="AM70" s="181"/>
      <c r="AN70" s="181"/>
      <c r="AO70" s="181"/>
      <c r="AP70" s="181"/>
      <c r="AQ70" s="181"/>
      <c r="AR70" s="181"/>
      <c r="AS70" s="181"/>
      <c r="AT70" s="181"/>
      <c r="AU70" s="181"/>
      <c r="AV70" s="181"/>
      <c r="AW70" s="181"/>
    </row>
    <row r="71" spans="1:49" s="30" customFormat="1" x14ac:dyDescent="0.25">
      <c r="A71" s="1407" t="str">
        <f>IF(COUNTIF('04 - 95% CD'!D71:G71,"Y")&gt;0,"Y",IF(COUNTIF('04 - 95% CD'!D71:G71,"N"),"N",""))</f>
        <v>Y</v>
      </c>
      <c r="B71" s="191"/>
      <c r="C71" s="944"/>
      <c r="D71" s="321"/>
      <c r="E71" s="466"/>
      <c r="F71" s="559" t="str">
        <f>IF('C-Design&amp;Const'!$U71="","",'C-Design&amp;Const'!$U71)</f>
        <v>Y</v>
      </c>
      <c r="G71" s="558"/>
      <c r="H71" s="1028" t="str">
        <f>CONCATENATE(IF(F71="N","PLACEHOLDER ROW - ",""),'C-Design&amp;Const'!Z71,IF(F71="N","",J71))</f>
        <v>Architectural - Interior and Exterior Signage  (Final w/ all updates)</v>
      </c>
      <c r="I71" s="186"/>
      <c r="J71" s="578" t="str">
        <f>IF('C-Design&amp;Const'!AK71="","",'C-Design&amp;Const'!AK71)</f>
        <v xml:space="preserve"> (Final w/ all updates)</v>
      </c>
      <c r="K71" s="285" t="str">
        <f t="shared" si="0"/>
        <v>match</v>
      </c>
      <c r="L71" s="1410" t="str">
        <f t="shared" si="1"/>
        <v/>
      </c>
      <c r="M71" s="1382"/>
      <c r="N71" s="1382"/>
      <c r="O71" s="1382"/>
      <c r="P71" s="1382"/>
      <c r="Q71" s="1382"/>
      <c r="R71" s="1490"/>
      <c r="S71" s="1274"/>
      <c r="T71" s="1274"/>
      <c r="U71" s="1382"/>
      <c r="V71" s="1382"/>
      <c r="W71" s="1382"/>
      <c r="X71" s="1382"/>
      <c r="Y71" s="1382"/>
      <c r="Z71" s="1382"/>
      <c r="AA71" s="1382"/>
      <c r="AB71" s="1382"/>
      <c r="AC71" s="1382"/>
      <c r="AD71" s="1382"/>
      <c r="AE71" s="1382"/>
      <c r="AF71" s="1382"/>
      <c r="AG71" s="1382"/>
      <c r="AH71" s="1382"/>
      <c r="AI71" s="1382"/>
      <c r="AJ71" s="1382"/>
      <c r="AK71" s="181"/>
      <c r="AL71" s="181"/>
      <c r="AM71" s="181"/>
      <c r="AN71" s="181"/>
      <c r="AO71" s="181"/>
      <c r="AP71" s="181"/>
      <c r="AQ71" s="181"/>
      <c r="AR71" s="181"/>
      <c r="AS71" s="181"/>
      <c r="AT71" s="181"/>
      <c r="AU71" s="181"/>
      <c r="AV71" s="181"/>
      <c r="AW71" s="181"/>
    </row>
    <row r="72" spans="1:49" s="30" customFormat="1" ht="28.5" x14ac:dyDescent="0.25">
      <c r="A72" s="1407" t="str">
        <f>IF(COUNTIF('04 - 95% CD'!D72:G72,"Y")&gt;0,"Y",IF(COUNTIF('04 - 95% CD'!D72:G72,"N"),"N",""))</f>
        <v>Y</v>
      </c>
      <c r="B72" s="191"/>
      <c r="C72" s="944"/>
      <c r="D72" s="321"/>
      <c r="E72" s="466"/>
      <c r="F72" s="559" t="str">
        <f>IF('C-Design&amp;Const'!$U72="","",'C-Design&amp;Const'!$U72)</f>
        <v>Y</v>
      </c>
      <c r="G72" s="558"/>
      <c r="H72" s="1028" t="str">
        <f>CONCATENATE(IF(F72="N","PLACEHOLDER ROW - ",""),'C-Design&amp;Const'!Z72,IF(F72="N","",J72))</f>
        <v>Architectural - Elevators  **(existing systems verification recommended on renovations) (Final w/ all updates)</v>
      </c>
      <c r="I72" s="186"/>
      <c r="J72" s="578" t="str">
        <f>IF('C-Design&amp;Const'!AK72="","",'C-Design&amp;Const'!AK72)</f>
        <v xml:space="preserve"> (Final w/ all updates)</v>
      </c>
      <c r="K72" s="285" t="str">
        <f t="shared" si="0"/>
        <v>match</v>
      </c>
      <c r="L72" s="1410" t="str">
        <f t="shared" si="1"/>
        <v/>
      </c>
      <c r="M72" s="1382"/>
      <c r="N72" s="1382"/>
      <c r="O72" s="1382"/>
      <c r="P72" s="1382"/>
      <c r="Q72" s="1382"/>
      <c r="R72" s="1490"/>
      <c r="S72" s="1274"/>
      <c r="T72" s="1274"/>
      <c r="U72" s="1382"/>
      <c r="V72" s="1382"/>
      <c r="W72" s="1382"/>
      <c r="X72" s="1382"/>
      <c r="Y72" s="1382"/>
      <c r="Z72" s="1382"/>
      <c r="AA72" s="1382"/>
      <c r="AB72" s="1382"/>
      <c r="AC72" s="1382"/>
      <c r="AD72" s="1382"/>
      <c r="AE72" s="1382"/>
      <c r="AF72" s="1382"/>
      <c r="AG72" s="1382"/>
      <c r="AH72" s="1382"/>
      <c r="AI72" s="1382"/>
      <c r="AJ72" s="1382"/>
      <c r="AK72" s="181"/>
      <c r="AL72" s="181"/>
      <c r="AM72" s="181"/>
      <c r="AN72" s="181"/>
      <c r="AO72" s="181"/>
      <c r="AP72" s="181"/>
      <c r="AQ72" s="181"/>
      <c r="AR72" s="181"/>
      <c r="AS72" s="181"/>
      <c r="AT72" s="181"/>
      <c r="AU72" s="181"/>
      <c r="AV72" s="181"/>
      <c r="AW72" s="181"/>
    </row>
    <row r="73" spans="1:49" s="30" customFormat="1" x14ac:dyDescent="0.25">
      <c r="A73" s="1407" t="str">
        <f>IF(COUNTIF('04 - 95% CD'!D73:G73,"Y")&gt;0,"Y",IF(COUNTIF('04 - 95% CD'!D73:G73,"N"),"N",""))</f>
        <v>N</v>
      </c>
      <c r="B73" s="191"/>
      <c r="C73" s="944"/>
      <c r="D73" s="321"/>
      <c r="E73" s="466"/>
      <c r="F73" s="559" t="str">
        <f>IF('C-Design&amp;Const'!$U73="","",'C-Design&amp;Const'!$U73)</f>
        <v>N</v>
      </c>
      <c r="G73" s="558"/>
      <c r="H73" s="1028" t="str">
        <f>CONCATENATE(IF(F73="N","PLACEHOLDER ROW - ",""),'C-Design&amp;Const'!Z73,IF(F73="N","",J73))</f>
        <v>PLACEHOLDER ROW - Architectural - CUSTOM</v>
      </c>
      <c r="I73" s="186"/>
      <c r="J73" s="578" t="str">
        <f>IF('C-Design&amp;Const'!AK73="","",'C-Design&amp;Const'!AK73)</f>
        <v xml:space="preserve"> (Final w/ all updates)</v>
      </c>
      <c r="K73" s="285" t="str">
        <f t="shared" si="0"/>
        <v>match</v>
      </c>
      <c r="L73" s="1410" t="str">
        <f t="shared" si="1"/>
        <v>&lt;---PM/Planner may hide PLACEHOLDER ROW</v>
      </c>
      <c r="M73" s="1382"/>
      <c r="N73" s="1382"/>
      <c r="O73" s="1382"/>
      <c r="P73" s="1382"/>
      <c r="Q73" s="1382"/>
      <c r="R73" s="1490"/>
      <c r="S73" s="1274"/>
      <c r="T73" s="1274"/>
      <c r="U73" s="1382"/>
      <c r="V73" s="1382"/>
      <c r="W73" s="1382"/>
      <c r="X73" s="1382"/>
      <c r="Y73" s="1382"/>
      <c r="Z73" s="1382"/>
      <c r="AA73" s="1382"/>
      <c r="AB73" s="1382"/>
      <c r="AC73" s="1382"/>
      <c r="AD73" s="1382"/>
      <c r="AE73" s="1382"/>
      <c r="AF73" s="1382"/>
      <c r="AG73" s="1382"/>
      <c r="AH73" s="1382"/>
      <c r="AI73" s="1382"/>
      <c r="AJ73" s="1382"/>
      <c r="AK73" s="181"/>
      <c r="AL73" s="181"/>
      <c r="AM73" s="181"/>
      <c r="AN73" s="181"/>
      <c r="AO73" s="181"/>
      <c r="AP73" s="181"/>
      <c r="AQ73" s="181"/>
      <c r="AR73" s="181"/>
      <c r="AS73" s="181"/>
      <c r="AT73" s="181"/>
      <c r="AU73" s="181"/>
      <c r="AV73" s="181"/>
      <c r="AW73" s="181"/>
    </row>
    <row r="74" spans="1:49" s="30" customFormat="1" x14ac:dyDescent="0.25">
      <c r="A74" s="1407" t="str">
        <f>IF(COUNTIF('04 - 95% CD'!D74:G74,"Y")&gt;0,"Y",IF(COUNTIF('04 - 95% CD'!D74:G74,"N"),"N",""))</f>
        <v>N</v>
      </c>
      <c r="B74" s="191"/>
      <c r="C74" s="944"/>
      <c r="D74" s="321"/>
      <c r="E74" s="466"/>
      <c r="F74" s="559" t="str">
        <f>IF('C-Design&amp;Const'!$U74="","",'C-Design&amp;Const'!$U74)</f>
        <v>N</v>
      </c>
      <c r="G74" s="558"/>
      <c r="H74" s="1028" t="str">
        <f>CONCATENATE(IF(F74="N","PLACEHOLDER ROW - ",""),'C-Design&amp;Const'!Z74,IF(F74="N","",J74))</f>
        <v>PLACEHOLDER ROW - Architectural - CUSTOM</v>
      </c>
      <c r="I74" s="186"/>
      <c r="J74" s="578" t="str">
        <f>IF('C-Design&amp;Const'!AK74="","",'C-Design&amp;Const'!AK74)</f>
        <v xml:space="preserve"> (Final w/ all updates)</v>
      </c>
      <c r="K74" s="285" t="str">
        <f t="shared" si="0"/>
        <v>match</v>
      </c>
      <c r="L74" s="1410" t="str">
        <f t="shared" si="1"/>
        <v>&lt;---PM/Planner may hide PLACEHOLDER ROW</v>
      </c>
      <c r="M74" s="1382"/>
      <c r="N74" s="1382"/>
      <c r="O74" s="1382"/>
      <c r="P74" s="1382"/>
      <c r="Q74" s="1382"/>
      <c r="R74" s="1490"/>
      <c r="S74" s="1274"/>
      <c r="T74" s="1274"/>
      <c r="U74" s="1382"/>
      <c r="V74" s="1382"/>
      <c r="W74" s="1382"/>
      <c r="X74" s="1382"/>
      <c r="Y74" s="1382"/>
      <c r="Z74" s="1382"/>
      <c r="AA74" s="1382"/>
      <c r="AB74" s="1382"/>
      <c r="AC74" s="1382"/>
      <c r="AD74" s="1382"/>
      <c r="AE74" s="1382"/>
      <c r="AF74" s="1382"/>
      <c r="AG74" s="1382"/>
      <c r="AH74" s="1382"/>
      <c r="AI74" s="1382"/>
      <c r="AJ74" s="1382"/>
      <c r="AK74" s="181"/>
      <c r="AL74" s="181"/>
      <c r="AM74" s="181"/>
      <c r="AN74" s="181"/>
      <c r="AO74" s="181"/>
      <c r="AP74" s="181"/>
      <c r="AQ74" s="181"/>
      <c r="AR74" s="181"/>
      <c r="AS74" s="181"/>
      <c r="AT74" s="181"/>
      <c r="AU74" s="181"/>
      <c r="AV74" s="181"/>
      <c r="AW74" s="181"/>
    </row>
    <row r="75" spans="1:49" s="30" customFormat="1" x14ac:dyDescent="0.25">
      <c r="A75" s="1407" t="str">
        <f>IF(COUNTIF('04 - 95% CD'!D75:G75,"Y")&gt;0,"Y",IF(COUNTIF('04 - 95% CD'!D75:G75,"N"),"N",""))</f>
        <v>Y</v>
      </c>
      <c r="B75" s="191"/>
      <c r="C75" s="944"/>
      <c r="D75" s="321"/>
      <c r="E75" s="466"/>
      <c r="F75" s="559" t="str">
        <f>IF('C-Design&amp;Const'!$U75="","",'C-Design&amp;Const'!$U75)</f>
        <v>Y</v>
      </c>
      <c r="G75" s="558"/>
      <c r="H75" s="1028" t="str">
        <f>CONCATENATE(IF(F75="N","PLACEHOLDER ROW - ",""),'C-Design&amp;Const'!Z75,IF(F75="N","",J75))</f>
        <v>Structural - Demolition(s) (Final w/ all updates)</v>
      </c>
      <c r="I75" s="186"/>
      <c r="J75" s="578" t="str">
        <f>IF('C-Design&amp;Const'!AK75="","",'C-Design&amp;Const'!AK75)</f>
        <v xml:space="preserve"> (Final w/ all updates)</v>
      </c>
      <c r="K75" s="285" t="str">
        <f t="shared" si="0"/>
        <v>match</v>
      </c>
      <c r="L75" s="1410" t="str">
        <f t="shared" si="1"/>
        <v/>
      </c>
      <c r="M75" s="1382"/>
      <c r="N75" s="1382"/>
      <c r="O75" s="1382"/>
      <c r="P75" s="1382"/>
      <c r="Q75" s="1382"/>
      <c r="R75" s="1490"/>
      <c r="S75" s="1274"/>
      <c r="T75" s="1274"/>
      <c r="U75" s="1382"/>
      <c r="V75" s="1382"/>
      <c r="W75" s="1382"/>
      <c r="X75" s="1382"/>
      <c r="Y75" s="1382"/>
      <c r="Z75" s="1382"/>
      <c r="AA75" s="1382"/>
      <c r="AB75" s="1382"/>
      <c r="AC75" s="1382"/>
      <c r="AD75" s="1382"/>
      <c r="AE75" s="1382"/>
      <c r="AF75" s="1382"/>
      <c r="AG75" s="1382"/>
      <c r="AH75" s="1382"/>
      <c r="AI75" s="1382"/>
      <c r="AJ75" s="1382"/>
      <c r="AK75" s="181"/>
      <c r="AL75" s="181"/>
      <c r="AM75" s="181"/>
      <c r="AN75" s="181"/>
      <c r="AO75" s="181"/>
      <c r="AP75" s="181"/>
      <c r="AQ75" s="181"/>
      <c r="AR75" s="181"/>
      <c r="AS75" s="181"/>
      <c r="AT75" s="181"/>
      <c r="AU75" s="181"/>
      <c r="AV75" s="181"/>
      <c r="AW75" s="181"/>
    </row>
    <row r="76" spans="1:49" s="30" customFormat="1" x14ac:dyDescent="0.25">
      <c r="A76" s="1407" t="str">
        <f>IF(COUNTIF('04 - 95% CD'!D76:G76,"Y")&gt;0,"Y",IF(COUNTIF('04 - 95% CD'!D76:G76,"N"),"N",""))</f>
        <v>Y</v>
      </c>
      <c r="B76" s="191"/>
      <c r="C76" s="944"/>
      <c r="D76" s="321"/>
      <c r="E76" s="466"/>
      <c r="F76" s="559" t="str">
        <f>IF('C-Design&amp;Const'!$U76="","",'C-Design&amp;Const'!$U76)</f>
        <v>Y</v>
      </c>
      <c r="G76" s="558"/>
      <c r="H76" s="1028" t="str">
        <f>CONCATENATE(IF(F76="N","PLACEHOLDER ROW - ",""),'C-Design&amp;Const'!Z76,IF(F76="N","",J76))</f>
        <v>Structural - Gravity Loads (Final w/ all updates)</v>
      </c>
      <c r="I76" s="186"/>
      <c r="J76" s="578" t="str">
        <f>IF('C-Design&amp;Const'!AK76="","",'C-Design&amp;Const'!AK76)</f>
        <v xml:space="preserve"> (Final w/ all updates)</v>
      </c>
      <c r="K76" s="285" t="str">
        <f t="shared" si="0"/>
        <v>match</v>
      </c>
      <c r="L76" s="1410" t="str">
        <f t="shared" si="1"/>
        <v/>
      </c>
      <c r="M76" s="1382"/>
      <c r="N76" s="1382"/>
      <c r="O76" s="1382"/>
      <c r="P76" s="1382"/>
      <c r="Q76" s="1382"/>
      <c r="R76" s="1490"/>
      <c r="S76" s="1274"/>
      <c r="T76" s="1274"/>
      <c r="U76" s="1382"/>
      <c r="V76" s="1382"/>
      <c r="W76" s="1382"/>
      <c r="X76" s="1382"/>
      <c r="Y76" s="1382"/>
      <c r="Z76" s="1382"/>
      <c r="AA76" s="1382"/>
      <c r="AB76" s="1382"/>
      <c r="AC76" s="1382"/>
      <c r="AD76" s="1382"/>
      <c r="AE76" s="1382"/>
      <c r="AF76" s="1382"/>
      <c r="AG76" s="1382"/>
      <c r="AH76" s="1382"/>
      <c r="AI76" s="1382"/>
      <c r="AJ76" s="1382"/>
      <c r="AK76" s="181"/>
      <c r="AL76" s="181"/>
      <c r="AM76" s="181"/>
      <c r="AN76" s="181"/>
      <c r="AO76" s="181"/>
      <c r="AP76" s="181"/>
      <c r="AQ76" s="181"/>
      <c r="AR76" s="181"/>
      <c r="AS76" s="181"/>
      <c r="AT76" s="181"/>
      <c r="AU76" s="181"/>
      <c r="AV76" s="181"/>
      <c r="AW76" s="181"/>
    </row>
    <row r="77" spans="1:49" s="30" customFormat="1" x14ac:dyDescent="0.25">
      <c r="A77" s="1407" t="str">
        <f>IF(COUNTIF('04 - 95% CD'!D77:G77,"Y")&gt;0,"Y",IF(COUNTIF('04 - 95% CD'!D77:G77,"N"),"N",""))</f>
        <v>Y</v>
      </c>
      <c r="B77" s="191"/>
      <c r="C77" s="944"/>
      <c r="D77" s="321"/>
      <c r="E77" s="466"/>
      <c r="F77" s="559" t="str">
        <f>IF('C-Design&amp;Const'!$U77="","",'C-Design&amp;Const'!$U77)</f>
        <v>Y</v>
      </c>
      <c r="G77" s="558"/>
      <c r="H77" s="1028" t="str">
        <f>CONCATENATE(IF(F77="N","PLACEHOLDER ROW - ",""),'C-Design&amp;Const'!Z77,IF(F77="N","",J77))</f>
        <v>Structural - Lateral loads and force resisting systems (Final w/ all updates)</v>
      </c>
      <c r="I77" s="186"/>
      <c r="J77" s="578" t="str">
        <f>IF('C-Design&amp;Const'!AK77="","",'C-Design&amp;Const'!AK77)</f>
        <v xml:space="preserve"> (Final w/ all updates)</v>
      </c>
      <c r="K77" s="285" t="str">
        <f t="shared" si="0"/>
        <v>match</v>
      </c>
      <c r="L77" s="1410" t="str">
        <f t="shared" si="1"/>
        <v/>
      </c>
      <c r="M77" s="1382"/>
      <c r="N77" s="1382"/>
      <c r="O77" s="1382"/>
      <c r="P77" s="1382"/>
      <c r="Q77" s="1382"/>
      <c r="R77" s="1490"/>
      <c r="S77" s="1274"/>
      <c r="T77" s="1274"/>
      <c r="U77" s="1382"/>
      <c r="V77" s="1382"/>
      <c r="W77" s="1382"/>
      <c r="X77" s="1382"/>
      <c r="Y77" s="1382"/>
      <c r="Z77" s="1382"/>
      <c r="AA77" s="1382"/>
      <c r="AB77" s="1382"/>
      <c r="AC77" s="1382"/>
      <c r="AD77" s="1382"/>
      <c r="AE77" s="1382"/>
      <c r="AF77" s="1382"/>
      <c r="AG77" s="1382"/>
      <c r="AH77" s="1382"/>
      <c r="AI77" s="1382"/>
      <c r="AJ77" s="1382"/>
      <c r="AK77" s="181"/>
      <c r="AL77" s="181"/>
      <c r="AM77" s="181"/>
      <c r="AN77" s="181"/>
      <c r="AO77" s="181"/>
      <c r="AP77" s="181"/>
      <c r="AQ77" s="181"/>
      <c r="AR77" s="181"/>
      <c r="AS77" s="181"/>
      <c r="AT77" s="181"/>
      <c r="AU77" s="181"/>
      <c r="AV77" s="181"/>
      <c r="AW77" s="181"/>
    </row>
    <row r="78" spans="1:49" s="30" customFormat="1" x14ac:dyDescent="0.25">
      <c r="A78" s="1407" t="str">
        <f>IF(COUNTIF('04 - 95% CD'!D78:G78,"Y")&gt;0,"Y",IF(COUNTIF('04 - 95% CD'!D78:G78,"N"),"N",""))</f>
        <v>Y</v>
      </c>
      <c r="B78" s="191"/>
      <c r="C78" s="944"/>
      <c r="D78" s="321"/>
      <c r="E78" s="466"/>
      <c r="F78" s="559" t="str">
        <f>IF('C-Design&amp;Const'!$U78="","",'C-Design&amp;Const'!$U78)</f>
        <v>Y</v>
      </c>
      <c r="G78" s="558"/>
      <c r="H78" s="1028" t="str">
        <f>CONCATENATE(IF(F78="N","PLACEHOLDER ROW - ",""),'C-Design&amp;Const'!Z78,IF(F78="N","",J78))</f>
        <v>Structural - Foundation Systems (Final w/ all updates)</v>
      </c>
      <c r="I78" s="186"/>
      <c r="J78" s="578" t="str">
        <f>IF('C-Design&amp;Const'!AK78="","",'C-Design&amp;Const'!AK78)</f>
        <v xml:space="preserve"> (Final w/ all updates)</v>
      </c>
      <c r="K78" s="285" t="str">
        <f t="shared" si="0"/>
        <v>match</v>
      </c>
      <c r="L78" s="1410" t="str">
        <f t="shared" si="1"/>
        <v/>
      </c>
      <c r="M78" s="1382"/>
      <c r="N78" s="1382"/>
      <c r="O78" s="1382"/>
      <c r="P78" s="1382"/>
      <c r="Q78" s="1382"/>
      <c r="R78" s="1490"/>
      <c r="S78" s="1274"/>
      <c r="T78" s="1274"/>
      <c r="U78" s="1382"/>
      <c r="V78" s="1382"/>
      <c r="W78" s="1382"/>
      <c r="X78" s="1382"/>
      <c r="Y78" s="1382"/>
      <c r="Z78" s="1382"/>
      <c r="AA78" s="1382"/>
      <c r="AB78" s="1382"/>
      <c r="AC78" s="1382"/>
      <c r="AD78" s="1382"/>
      <c r="AE78" s="1382"/>
      <c r="AF78" s="1382"/>
      <c r="AG78" s="1382"/>
      <c r="AH78" s="1382"/>
      <c r="AI78" s="1382"/>
      <c r="AJ78" s="1382"/>
      <c r="AK78" s="181"/>
      <c r="AL78" s="181"/>
      <c r="AM78" s="181"/>
      <c r="AN78" s="181"/>
      <c r="AO78" s="181"/>
      <c r="AP78" s="181"/>
      <c r="AQ78" s="181"/>
      <c r="AR78" s="181"/>
      <c r="AS78" s="181"/>
      <c r="AT78" s="181"/>
      <c r="AU78" s="181"/>
      <c r="AV78" s="181"/>
      <c r="AW78" s="181"/>
    </row>
    <row r="79" spans="1:49" s="30" customFormat="1" ht="15.75" customHeight="1" x14ac:dyDescent="0.25">
      <c r="A79" s="1407" t="str">
        <f>IF(COUNTIF('04 - 95% CD'!D79:G79,"Y")&gt;0,"Y",IF(COUNTIF('04 - 95% CD'!D79:G79,"N"),"N",""))</f>
        <v>Y</v>
      </c>
      <c r="B79" s="191"/>
      <c r="C79" s="944"/>
      <c r="D79" s="321"/>
      <c r="E79" s="466"/>
      <c r="F79" s="559" t="str">
        <f>IF('C-Design&amp;Const'!$U79="","",'C-Design&amp;Const'!$U79)</f>
        <v>Y</v>
      </c>
      <c r="G79" s="558"/>
      <c r="H79" s="1028" t="str">
        <f>CONCATENATE(IF(F79="N","PLACEHOLDER ROW - ",""),'C-Design&amp;Const'!Z79,IF(F79="N","",J79))</f>
        <v>Structural - Block, concrete, &amp; steel  **(existing systems verification recommended on renovations) (Final w/ all updates)</v>
      </c>
      <c r="I79" s="186"/>
      <c r="J79" s="578" t="str">
        <f>IF('C-Design&amp;Const'!AK79="","",'C-Design&amp;Const'!AK79)</f>
        <v xml:space="preserve"> (Final w/ all updates)</v>
      </c>
      <c r="K79" s="285" t="str">
        <f t="shared" si="0"/>
        <v>match</v>
      </c>
      <c r="L79" s="1410" t="str">
        <f t="shared" si="1"/>
        <v/>
      </c>
      <c r="M79" s="1382"/>
      <c r="N79" s="1382"/>
      <c r="O79" s="1382"/>
      <c r="P79" s="1382"/>
      <c r="Q79" s="1382"/>
      <c r="R79" s="1490"/>
      <c r="S79" s="1274"/>
      <c r="T79" s="1274"/>
      <c r="U79" s="1382"/>
      <c r="V79" s="1382"/>
      <c r="W79" s="1382"/>
      <c r="X79" s="1382"/>
      <c r="Y79" s="1382"/>
      <c r="Z79" s="1382"/>
      <c r="AA79" s="1382"/>
      <c r="AB79" s="1382"/>
      <c r="AC79" s="1382"/>
      <c r="AD79" s="1382"/>
      <c r="AE79" s="1382"/>
      <c r="AF79" s="1382"/>
      <c r="AG79" s="1382"/>
      <c r="AH79" s="1382"/>
      <c r="AI79" s="1382"/>
      <c r="AJ79" s="1382"/>
      <c r="AK79" s="181"/>
      <c r="AL79" s="181"/>
      <c r="AM79" s="181"/>
      <c r="AN79" s="181"/>
      <c r="AO79" s="181"/>
      <c r="AP79" s="181"/>
      <c r="AQ79" s="181"/>
      <c r="AR79" s="181"/>
      <c r="AS79" s="181"/>
      <c r="AT79" s="181"/>
      <c r="AU79" s="181"/>
      <c r="AV79" s="181"/>
      <c r="AW79" s="181"/>
    </row>
    <row r="80" spans="1:49" s="30" customFormat="1" x14ac:dyDescent="0.25">
      <c r="A80" s="1407" t="str">
        <f>IF(COUNTIF('04 - 95% CD'!D80:G80,"Y")&gt;0,"Y",IF(COUNTIF('04 - 95% CD'!D80:G80,"N"),"N",""))</f>
        <v>N</v>
      </c>
      <c r="B80" s="191"/>
      <c r="C80" s="944"/>
      <c r="D80" s="321"/>
      <c r="E80" s="466"/>
      <c r="F80" s="559" t="str">
        <f>IF('C-Design&amp;Const'!$U80="","",'C-Design&amp;Const'!$U80)</f>
        <v>N</v>
      </c>
      <c r="G80" s="558"/>
      <c r="H80" s="1028" t="str">
        <f>CONCATENATE(IF(F80="N","PLACEHOLDER ROW - ",""),'C-Design&amp;Const'!Z80,IF(F80="N","",J80))</f>
        <v>PLACEHOLDER ROW - Structural - CUSTOM</v>
      </c>
      <c r="I80" s="186"/>
      <c r="J80" s="578" t="str">
        <f>IF('C-Design&amp;Const'!AK80="","",'C-Design&amp;Const'!AK80)</f>
        <v xml:space="preserve"> (Final w/ all updates)</v>
      </c>
      <c r="K80" s="285" t="str">
        <f t="shared" si="0"/>
        <v>match</v>
      </c>
      <c r="L80" s="1410" t="str">
        <f t="shared" si="1"/>
        <v>&lt;---PM/Planner may hide PLACEHOLDER ROW</v>
      </c>
      <c r="M80" s="1382"/>
      <c r="N80" s="1382"/>
      <c r="O80" s="1382"/>
      <c r="P80" s="1382"/>
      <c r="Q80" s="1382"/>
      <c r="R80" s="1490"/>
      <c r="S80" s="1274"/>
      <c r="T80" s="1274"/>
      <c r="U80" s="1382"/>
      <c r="V80" s="1382"/>
      <c r="W80" s="1382"/>
      <c r="X80" s="1382"/>
      <c r="Y80" s="1382"/>
      <c r="Z80" s="1382"/>
      <c r="AA80" s="1382"/>
      <c r="AB80" s="1382"/>
      <c r="AC80" s="1382"/>
      <c r="AD80" s="1382"/>
      <c r="AE80" s="1382"/>
      <c r="AF80" s="1382"/>
      <c r="AG80" s="1382"/>
      <c r="AH80" s="1382"/>
      <c r="AI80" s="1382"/>
      <c r="AJ80" s="1382"/>
      <c r="AK80" s="181"/>
      <c r="AL80" s="181"/>
      <c r="AM80" s="181"/>
      <c r="AN80" s="181"/>
      <c r="AO80" s="181"/>
      <c r="AP80" s="181"/>
      <c r="AQ80" s="181"/>
      <c r="AR80" s="181"/>
      <c r="AS80" s="181"/>
      <c r="AT80" s="181"/>
      <c r="AU80" s="181"/>
      <c r="AV80" s="181"/>
      <c r="AW80" s="181"/>
    </row>
    <row r="81" spans="1:49" s="30" customFormat="1" x14ac:dyDescent="0.25">
      <c r="A81" s="1407" t="str">
        <f>IF(COUNTIF('04 - 95% CD'!D81:G81,"Y")&gt;0,"Y",IF(COUNTIF('04 - 95% CD'!D81:G81,"N"),"N",""))</f>
        <v>N</v>
      </c>
      <c r="B81" s="191"/>
      <c r="C81" s="944"/>
      <c r="D81" s="321"/>
      <c r="E81" s="466"/>
      <c r="F81" s="559" t="str">
        <f>IF('C-Design&amp;Const'!$U81="","",'C-Design&amp;Const'!$U81)</f>
        <v>N</v>
      </c>
      <c r="G81" s="558"/>
      <c r="H81" s="1028" t="str">
        <f>CONCATENATE(IF(F81="N","PLACEHOLDER ROW - ",""),'C-Design&amp;Const'!Z81,IF(F81="N","",J81))</f>
        <v>PLACEHOLDER ROW - Structural - CUSTOM</v>
      </c>
      <c r="I81" s="186"/>
      <c r="J81" s="578" t="str">
        <f>IF('C-Design&amp;Const'!AK81="","",'C-Design&amp;Const'!AK81)</f>
        <v xml:space="preserve"> (Final w/ all updates)</v>
      </c>
      <c r="K81" s="285" t="str">
        <f t="shared" si="0"/>
        <v>match</v>
      </c>
      <c r="L81" s="1410" t="str">
        <f t="shared" si="1"/>
        <v>&lt;---PM/Planner may hide PLACEHOLDER ROW</v>
      </c>
      <c r="M81" s="1382"/>
      <c r="N81" s="1382"/>
      <c r="O81" s="1382"/>
      <c r="P81" s="1382"/>
      <c r="Q81" s="1382"/>
      <c r="R81" s="1490"/>
      <c r="S81" s="1274"/>
      <c r="T81" s="1274"/>
      <c r="U81" s="1382"/>
      <c r="V81" s="1382"/>
      <c r="W81" s="1382"/>
      <c r="X81" s="1382"/>
      <c r="Y81" s="1382"/>
      <c r="Z81" s="1382"/>
      <c r="AA81" s="1382"/>
      <c r="AB81" s="1382"/>
      <c r="AC81" s="1382"/>
      <c r="AD81" s="1382"/>
      <c r="AE81" s="1382"/>
      <c r="AF81" s="1382"/>
      <c r="AG81" s="1382"/>
      <c r="AH81" s="1382"/>
      <c r="AI81" s="1382"/>
      <c r="AJ81" s="1382"/>
      <c r="AK81" s="181"/>
      <c r="AL81" s="181"/>
      <c r="AM81" s="181"/>
      <c r="AN81" s="181"/>
      <c r="AO81" s="181"/>
      <c r="AP81" s="181"/>
      <c r="AQ81" s="181"/>
      <c r="AR81" s="181"/>
      <c r="AS81" s="181"/>
      <c r="AT81" s="181"/>
      <c r="AU81" s="181"/>
      <c r="AV81" s="181"/>
      <c r="AW81" s="181"/>
    </row>
    <row r="82" spans="1:49" s="30" customFormat="1" x14ac:dyDescent="0.25">
      <c r="A82" s="1407" t="str">
        <f>IF(COUNTIF('04 - 95% CD'!D82:G82,"Y")&gt;0,"Y",IF(COUNTIF('04 - 95% CD'!D82:G82,"N"),"N",""))</f>
        <v>Y</v>
      </c>
      <c r="B82" s="191"/>
      <c r="C82" s="944"/>
      <c r="D82" s="321"/>
      <c r="E82" s="466"/>
      <c r="F82" s="559" t="str">
        <f>IF('C-Design&amp;Const'!$U82="","",'C-Design&amp;Const'!$U82)</f>
        <v>Y</v>
      </c>
      <c r="G82" s="558"/>
      <c r="H82" s="1028" t="str">
        <f>CONCATENATE(IF(F82="N","PLACEHOLDER ROW - ",""),'C-Design&amp;Const'!Z82,IF(F82="N","",J82))</f>
        <v>Plumbing  - General System(s) - **(verify existing system for renovations) (Final w/ all updates)</v>
      </c>
      <c r="I82" s="186"/>
      <c r="J82" s="578" t="str">
        <f>IF('C-Design&amp;Const'!AK82="","",'C-Design&amp;Const'!AK82)</f>
        <v xml:space="preserve"> (Final w/ all updates)</v>
      </c>
      <c r="K82" s="285" t="str">
        <f t="shared" si="0"/>
        <v>match</v>
      </c>
      <c r="L82" s="1410" t="str">
        <f t="shared" si="1"/>
        <v/>
      </c>
      <c r="M82" s="1382"/>
      <c r="N82" s="1382"/>
      <c r="O82" s="1382"/>
      <c r="P82" s="1382"/>
      <c r="Q82" s="1382"/>
      <c r="R82" s="1490"/>
      <c r="S82" s="1274"/>
      <c r="T82" s="1274"/>
      <c r="U82" s="1382"/>
      <c r="V82" s="1382"/>
      <c r="W82" s="1382"/>
      <c r="X82" s="1382"/>
      <c r="Y82" s="1382"/>
      <c r="Z82" s="1382"/>
      <c r="AA82" s="1382"/>
      <c r="AB82" s="1382"/>
      <c r="AC82" s="1382"/>
      <c r="AD82" s="1382"/>
      <c r="AE82" s="1382"/>
      <c r="AF82" s="1382"/>
      <c r="AG82" s="1382"/>
      <c r="AH82" s="1382"/>
      <c r="AI82" s="1382"/>
      <c r="AJ82" s="1382"/>
      <c r="AK82" s="181"/>
      <c r="AL82" s="181"/>
      <c r="AM82" s="181"/>
      <c r="AN82" s="181"/>
      <c r="AO82" s="181"/>
      <c r="AP82" s="181"/>
      <c r="AQ82" s="181"/>
      <c r="AR82" s="181"/>
      <c r="AS82" s="181"/>
      <c r="AT82" s="181"/>
      <c r="AU82" s="181"/>
      <c r="AV82" s="181"/>
      <c r="AW82" s="181"/>
    </row>
    <row r="83" spans="1:49" s="545" customFormat="1" x14ac:dyDescent="0.25">
      <c r="A83" s="1407" t="str">
        <f>IF(COUNTIF('04 - 95% CD'!D83:G83,"Y")&gt;0,"Y",IF(COUNTIF('04 - 95% CD'!D83:G83,"N"),"N",""))</f>
        <v>Y</v>
      </c>
      <c r="B83" s="554"/>
      <c r="C83" s="944"/>
      <c r="D83" s="321"/>
      <c r="E83" s="466"/>
      <c r="F83" s="559" t="str">
        <f>IF('C-Design&amp;Const'!$U83="","",'C-Design&amp;Const'!$U83)</f>
        <v>Y</v>
      </c>
      <c r="G83" s="558"/>
      <c r="H83" s="1028" t="str">
        <f>CONCATENATE(IF(F83="N","PLACEHOLDER ROW - ",""),'C-Design&amp;Const'!Z83,IF(F83="N","",J83))</f>
        <v>Plumbing - Demolition(s) (Final w/ all updates)</v>
      </c>
      <c r="I83" s="186"/>
      <c r="J83" s="578" t="str">
        <f>IF('C-Design&amp;Const'!AK83="","",'C-Design&amp;Const'!AK83)</f>
        <v xml:space="preserve"> (Final w/ all updates)</v>
      </c>
      <c r="K83" s="285" t="str">
        <f t="shared" si="0"/>
        <v>match</v>
      </c>
      <c r="L83" s="1410" t="str">
        <f t="shared" si="1"/>
        <v/>
      </c>
      <c r="M83" s="1382"/>
      <c r="N83" s="1382"/>
      <c r="O83" s="1382"/>
      <c r="P83" s="1382"/>
      <c r="Q83" s="1382"/>
      <c r="R83" s="1490"/>
      <c r="S83" s="1274"/>
      <c r="T83" s="1274"/>
      <c r="U83" s="1382"/>
      <c r="V83" s="1382"/>
      <c r="W83" s="1382"/>
      <c r="X83" s="1382"/>
      <c r="Y83" s="1382"/>
      <c r="Z83" s="1382"/>
      <c r="AA83" s="1382"/>
      <c r="AB83" s="1382"/>
      <c r="AC83" s="1382"/>
      <c r="AD83" s="1382"/>
      <c r="AE83" s="1382"/>
      <c r="AF83" s="1382"/>
      <c r="AG83" s="1382"/>
      <c r="AH83" s="1382"/>
      <c r="AI83" s="1382"/>
      <c r="AJ83" s="1382"/>
      <c r="AK83" s="551"/>
      <c r="AL83" s="551"/>
      <c r="AM83" s="551"/>
      <c r="AN83" s="551"/>
      <c r="AO83" s="551"/>
      <c r="AP83" s="551"/>
      <c r="AQ83" s="551"/>
      <c r="AR83" s="551"/>
      <c r="AS83" s="551"/>
      <c r="AT83" s="551"/>
      <c r="AU83" s="551"/>
      <c r="AV83" s="551"/>
      <c r="AW83" s="551"/>
    </row>
    <row r="84" spans="1:49" s="30" customFormat="1" ht="28.5" x14ac:dyDescent="0.25">
      <c r="A84" s="1407" t="str">
        <f>IF(COUNTIF('04 - 95% CD'!D84:G84,"Y")&gt;0,"Y",IF(COUNTIF('04 - 95% CD'!D84:G84,"N"),"N",""))</f>
        <v>Y</v>
      </c>
      <c r="B84" s="191"/>
      <c r="C84" s="944"/>
      <c r="D84" s="321"/>
      <c r="E84" s="466"/>
      <c r="F84" s="559" t="str">
        <f>IF('C-Design&amp;Const'!$U84="","",'C-Design&amp;Const'!$U84)</f>
        <v>Y</v>
      </c>
      <c r="G84" s="558"/>
      <c r="H84" s="1028" t="str">
        <f>CONCATENATE(IF(F84="N","PLACEHOLDER ROW - ",""),'C-Design&amp;Const'!Z84,IF(F84="N","",J84))</f>
        <v>Plumbing - Fixtures  **(Fixture Unit Analysis as verification of existing systems on renovations) (Final w/ all updates)</v>
      </c>
      <c r="I84" s="186"/>
      <c r="J84" s="578" t="str">
        <f>IF('C-Design&amp;Const'!AK84="","",'C-Design&amp;Const'!AK84)</f>
        <v xml:space="preserve"> (Final w/ all updates)</v>
      </c>
      <c r="K84" s="285" t="str">
        <f t="shared" si="0"/>
        <v>match</v>
      </c>
      <c r="L84" s="1410" t="str">
        <f t="shared" si="1"/>
        <v/>
      </c>
      <c r="M84" s="1382"/>
      <c r="N84" s="1382"/>
      <c r="O84" s="1382"/>
      <c r="P84" s="1382"/>
      <c r="Q84" s="1382"/>
      <c r="R84" s="1490"/>
      <c r="S84" s="1274"/>
      <c r="T84" s="1274"/>
      <c r="U84" s="1382"/>
      <c r="V84" s="1382"/>
      <c r="W84" s="1382"/>
      <c r="X84" s="1382"/>
      <c r="Y84" s="1382"/>
      <c r="Z84" s="1382"/>
      <c r="AA84" s="1382"/>
      <c r="AB84" s="1382"/>
      <c r="AC84" s="1382"/>
      <c r="AD84" s="1382"/>
      <c r="AE84" s="1382"/>
      <c r="AF84" s="1382"/>
      <c r="AG84" s="1382"/>
      <c r="AH84" s="1382"/>
      <c r="AI84" s="1382"/>
      <c r="AJ84" s="1382"/>
      <c r="AK84" s="181"/>
      <c r="AL84" s="181"/>
      <c r="AM84" s="181"/>
      <c r="AN84" s="181"/>
      <c r="AO84" s="181"/>
      <c r="AP84" s="181"/>
      <c r="AQ84" s="181"/>
      <c r="AR84" s="181"/>
      <c r="AS84" s="181"/>
      <c r="AT84" s="181"/>
      <c r="AU84" s="181"/>
      <c r="AV84" s="181"/>
      <c r="AW84" s="181"/>
    </row>
    <row r="85" spans="1:49" s="30" customFormat="1" x14ac:dyDescent="0.25">
      <c r="A85" s="1407" t="str">
        <f>IF(COUNTIF('04 - 95% CD'!D85:G85,"Y")&gt;0,"Y",IF(COUNTIF('04 - 95% CD'!D85:G85,"N"),"N",""))</f>
        <v>Y</v>
      </c>
      <c r="B85" s="191"/>
      <c r="C85" s="944"/>
      <c r="D85" s="321"/>
      <c r="E85" s="466"/>
      <c r="F85" s="559" t="str">
        <f>IF('C-Design&amp;Const'!$U85="","",'C-Design&amp;Const'!$U85)</f>
        <v>Y</v>
      </c>
      <c r="G85" s="558"/>
      <c r="H85" s="1028" t="str">
        <f>CONCATENATE(IF(F85="N","PLACEHOLDER ROW - ",""),'C-Design&amp;Const'!Z85,IF(F85="N","",J85))</f>
        <v>Plumbing - Air/Gas  **(verify existing system for renovations) (Final w/ all updates)</v>
      </c>
      <c r="I85" s="186"/>
      <c r="J85" s="578" t="str">
        <f>IF('C-Design&amp;Const'!AK85="","",'C-Design&amp;Const'!AK85)</f>
        <v xml:space="preserve"> (Final w/ all updates)</v>
      </c>
      <c r="K85" s="285" t="str">
        <f t="shared" si="0"/>
        <v>match</v>
      </c>
      <c r="L85" s="1410" t="str">
        <f t="shared" si="1"/>
        <v/>
      </c>
      <c r="M85" s="1382"/>
      <c r="N85" s="1382"/>
      <c r="O85" s="1382"/>
      <c r="P85" s="1382"/>
      <c r="Q85" s="1382"/>
      <c r="R85" s="1490"/>
      <c r="S85" s="1274"/>
      <c r="T85" s="1274"/>
      <c r="U85" s="1382"/>
      <c r="V85" s="1382"/>
      <c r="W85" s="1382"/>
      <c r="X85" s="1382"/>
      <c r="Y85" s="1382"/>
      <c r="Z85" s="1382"/>
      <c r="AA85" s="1382"/>
      <c r="AB85" s="1382"/>
      <c r="AC85" s="1382"/>
      <c r="AD85" s="1382"/>
      <c r="AE85" s="1382"/>
      <c r="AF85" s="1382"/>
      <c r="AG85" s="1382"/>
      <c r="AH85" s="1382"/>
      <c r="AI85" s="1382"/>
      <c r="AJ85" s="1382"/>
      <c r="AK85" s="181"/>
      <c r="AL85" s="181"/>
      <c r="AM85" s="181"/>
      <c r="AN85" s="181"/>
      <c r="AO85" s="181"/>
      <c r="AP85" s="181"/>
      <c r="AQ85" s="181"/>
      <c r="AR85" s="181"/>
      <c r="AS85" s="181"/>
      <c r="AT85" s="181"/>
      <c r="AU85" s="181"/>
      <c r="AV85" s="181"/>
      <c r="AW85" s="181"/>
    </row>
    <row r="86" spans="1:49" s="30" customFormat="1" x14ac:dyDescent="0.25">
      <c r="A86" s="1407" t="str">
        <f>IF(COUNTIF('04 - 95% CD'!D86:G86,"Y")&gt;0,"Y",IF(COUNTIF('04 - 95% CD'!D86:G86,"N"),"N",""))</f>
        <v>Y</v>
      </c>
      <c r="B86" s="191"/>
      <c r="C86" s="944"/>
      <c r="D86" s="321"/>
      <c r="E86" s="466"/>
      <c r="F86" s="559" t="str">
        <f>IF('C-Design&amp;Const'!$U86="","",'C-Design&amp;Const'!$U86)</f>
        <v>Y</v>
      </c>
      <c r="G86" s="558"/>
      <c r="H86" s="1028" t="str">
        <f>CONCATENATE(IF(F86="N","PLACEHOLDER ROW - ",""),'C-Design&amp;Const'!Z86,IF(F86="N","",J86))</f>
        <v>Plumbing - Water  **(verify existing system for renovations) (Final w/ all updates)</v>
      </c>
      <c r="I86" s="186"/>
      <c r="J86" s="578" t="str">
        <f>IF('C-Design&amp;Const'!AK86="","",'C-Design&amp;Const'!AK86)</f>
        <v xml:space="preserve"> (Final w/ all updates)</v>
      </c>
      <c r="K86" s="285" t="str">
        <f t="shared" si="0"/>
        <v>match</v>
      </c>
      <c r="L86" s="1410" t="str">
        <f t="shared" si="1"/>
        <v/>
      </c>
      <c r="M86" s="1382"/>
      <c r="N86" s="1382"/>
      <c r="O86" s="1382"/>
      <c r="P86" s="1382"/>
      <c r="Q86" s="1382"/>
      <c r="R86" s="1490"/>
      <c r="S86" s="1274"/>
      <c r="T86" s="1274"/>
      <c r="U86" s="1382"/>
      <c r="V86" s="1382"/>
      <c r="W86" s="1382"/>
      <c r="X86" s="1382"/>
      <c r="Y86" s="1382"/>
      <c r="Z86" s="1382"/>
      <c r="AA86" s="1382"/>
      <c r="AB86" s="1382"/>
      <c r="AC86" s="1382"/>
      <c r="AD86" s="1382"/>
      <c r="AE86" s="1382"/>
      <c r="AF86" s="1382"/>
      <c r="AG86" s="1382"/>
      <c r="AH86" s="1382"/>
      <c r="AI86" s="1382"/>
      <c r="AJ86" s="1382"/>
      <c r="AK86" s="181"/>
      <c r="AL86" s="181"/>
      <c r="AM86" s="181"/>
      <c r="AN86" s="181"/>
      <c r="AO86" s="181"/>
      <c r="AP86" s="181"/>
      <c r="AQ86" s="181"/>
      <c r="AR86" s="181"/>
      <c r="AS86" s="181"/>
      <c r="AT86" s="181"/>
      <c r="AU86" s="181"/>
      <c r="AV86" s="181"/>
      <c r="AW86" s="181"/>
    </row>
    <row r="87" spans="1:49" s="30" customFormat="1" x14ac:dyDescent="0.25">
      <c r="A87" s="1407" t="str">
        <f>IF(COUNTIF('04 - 95% CD'!D87:G87,"Y")&gt;0,"Y",IF(COUNTIF('04 - 95% CD'!D87:G87,"N"),"N",""))</f>
        <v>Y</v>
      </c>
      <c r="B87" s="191"/>
      <c r="C87" s="944"/>
      <c r="D87" s="321"/>
      <c r="E87" s="466"/>
      <c r="F87" s="559" t="str">
        <f>IF('C-Design&amp;Const'!$U87="","",'C-Design&amp;Const'!$U87)</f>
        <v>Y</v>
      </c>
      <c r="G87" s="558"/>
      <c r="H87" s="1028" t="str">
        <f>CONCATENATE(IF(F87="N","PLACEHOLDER ROW - ",""),'C-Design&amp;Const'!Z87,IF(F87="N","",J87))</f>
        <v>Plumbing - Sanitary **(verify existing system for renovations) (Final w/ all updates)</v>
      </c>
      <c r="I87" s="186"/>
      <c r="J87" s="578" t="str">
        <f>IF('C-Design&amp;Const'!AK87="","",'C-Design&amp;Const'!AK87)</f>
        <v xml:space="preserve"> (Final w/ all updates)</v>
      </c>
      <c r="K87" s="285" t="str">
        <f t="shared" si="0"/>
        <v>match</v>
      </c>
      <c r="L87" s="1410" t="str">
        <f t="shared" si="1"/>
        <v/>
      </c>
      <c r="M87" s="1382"/>
      <c r="N87" s="1382"/>
      <c r="O87" s="1382"/>
      <c r="P87" s="1382"/>
      <c r="Q87" s="1382"/>
      <c r="R87" s="1490"/>
      <c r="S87" s="1274"/>
      <c r="T87" s="1274"/>
      <c r="U87" s="1382"/>
      <c r="V87" s="1382"/>
      <c r="W87" s="1382"/>
      <c r="X87" s="1382"/>
      <c r="Y87" s="1382"/>
      <c r="Z87" s="1382"/>
      <c r="AA87" s="1382"/>
      <c r="AB87" s="1382"/>
      <c r="AC87" s="1382"/>
      <c r="AD87" s="1382"/>
      <c r="AE87" s="1382"/>
      <c r="AF87" s="1382"/>
      <c r="AG87" s="1382"/>
      <c r="AH87" s="1382"/>
      <c r="AI87" s="1382"/>
      <c r="AJ87" s="1382"/>
      <c r="AK87" s="181"/>
      <c r="AL87" s="181"/>
      <c r="AM87" s="181"/>
      <c r="AN87" s="181"/>
      <c r="AO87" s="181"/>
      <c r="AP87" s="181"/>
      <c r="AQ87" s="181"/>
      <c r="AR87" s="181"/>
      <c r="AS87" s="181"/>
      <c r="AT87" s="181"/>
      <c r="AU87" s="181"/>
      <c r="AV87" s="181"/>
      <c r="AW87" s="181"/>
    </row>
    <row r="88" spans="1:49" s="30" customFormat="1" x14ac:dyDescent="0.25">
      <c r="A88" s="1407" t="str">
        <f>IF(COUNTIF('04 - 95% CD'!D88:G88,"Y")&gt;0,"Y",IF(COUNTIF('04 - 95% CD'!D88:G88,"N"),"N",""))</f>
        <v>N</v>
      </c>
      <c r="B88" s="191"/>
      <c r="C88" s="944"/>
      <c r="D88" s="321"/>
      <c r="E88" s="466"/>
      <c r="F88" s="559" t="str">
        <f>IF('C-Design&amp;Const'!$U88="","",'C-Design&amp;Const'!$U88)</f>
        <v>N</v>
      </c>
      <c r="G88" s="558"/>
      <c r="H88" s="1028" t="str">
        <f>CONCATENATE(IF(F88="N","PLACEHOLDER ROW - ",""),'C-Design&amp;Const'!Z88,IF(F88="N","",J88))</f>
        <v>PLACEHOLDER ROW - Plumbing - Cut Sheets or Product Data Sheets on Plumbing Fixtures</v>
      </c>
      <c r="I88" s="186"/>
      <c r="J88" s="578" t="str">
        <f>IF('C-Design&amp;Const'!AK88="","",'C-Design&amp;Const'!AK88)</f>
        <v xml:space="preserve"> (Final w/ all updates)</v>
      </c>
      <c r="K88" s="285" t="str">
        <f t="shared" si="0"/>
        <v>match</v>
      </c>
      <c r="L88" s="1410" t="str">
        <f t="shared" si="1"/>
        <v>&lt;---PM/Planner may hide PLACEHOLDER ROW</v>
      </c>
      <c r="M88" s="1382"/>
      <c r="N88" s="1382"/>
      <c r="O88" s="1382"/>
      <c r="P88" s="1382"/>
      <c r="Q88" s="1382"/>
      <c r="R88" s="1490"/>
      <c r="S88" s="1274"/>
      <c r="T88" s="1274"/>
      <c r="U88" s="1382"/>
      <c r="V88" s="1382"/>
      <c r="W88" s="1382"/>
      <c r="X88" s="1382"/>
      <c r="Y88" s="1382"/>
      <c r="Z88" s="1382"/>
      <c r="AA88" s="1382"/>
      <c r="AB88" s="1382"/>
      <c r="AC88" s="1382"/>
      <c r="AD88" s="1382"/>
      <c r="AE88" s="1382"/>
      <c r="AF88" s="1382"/>
      <c r="AG88" s="1382"/>
      <c r="AH88" s="1382"/>
      <c r="AI88" s="1382"/>
      <c r="AJ88" s="1382"/>
      <c r="AK88" s="181"/>
      <c r="AL88" s="181"/>
      <c r="AM88" s="181"/>
      <c r="AN88" s="181"/>
      <c r="AO88" s="181"/>
      <c r="AP88" s="181"/>
      <c r="AQ88" s="181"/>
      <c r="AR88" s="181"/>
      <c r="AS88" s="181"/>
      <c r="AT88" s="181"/>
      <c r="AU88" s="181"/>
      <c r="AV88" s="181"/>
      <c r="AW88" s="181"/>
    </row>
    <row r="89" spans="1:49" s="30" customFormat="1" x14ac:dyDescent="0.25">
      <c r="A89" s="1407" t="str">
        <f>IF(COUNTIF('04 - 95% CD'!D89:G89,"Y")&gt;0,"Y",IF(COUNTIF('04 - 95% CD'!D89:G89,"N"),"N",""))</f>
        <v>Y</v>
      </c>
      <c r="B89" s="191"/>
      <c r="C89" s="944"/>
      <c r="D89" s="321"/>
      <c r="E89" s="466"/>
      <c r="F89" s="559" t="str">
        <f>IF('C-Design&amp;Const'!$U89="","",'C-Design&amp;Const'!$U89)</f>
        <v>Y</v>
      </c>
      <c r="G89" s="558"/>
      <c r="H89" s="1028" t="str">
        <f>CONCATENATE(IF(F89="N","PLACEHOLDER ROW - ",""),'C-Design&amp;Const'!Z89,IF(F89="N","",J89))</f>
        <v>Fire Suppression System(s) **(verify existing system for renovations) (Final w/ all updates)</v>
      </c>
      <c r="I89" s="186"/>
      <c r="J89" s="578" t="str">
        <f>IF('C-Design&amp;Const'!AK89="","",'C-Design&amp;Const'!AK89)</f>
        <v xml:space="preserve"> (Final w/ all updates)</v>
      </c>
      <c r="K89" s="285" t="str">
        <f t="shared" si="0"/>
        <v>match</v>
      </c>
      <c r="L89" s="1410" t="str">
        <f t="shared" si="1"/>
        <v/>
      </c>
      <c r="M89" s="1382"/>
      <c r="N89" s="1382"/>
      <c r="O89" s="1382"/>
      <c r="P89" s="1382"/>
      <c r="Q89" s="1382"/>
      <c r="R89" s="1490"/>
      <c r="S89" s="1274"/>
      <c r="T89" s="1274"/>
      <c r="U89" s="1382"/>
      <c r="V89" s="1382"/>
      <c r="W89" s="1382"/>
      <c r="X89" s="1382"/>
      <c r="Y89" s="1382"/>
      <c r="Z89" s="1382"/>
      <c r="AA89" s="1382"/>
      <c r="AB89" s="1382"/>
      <c r="AC89" s="1382"/>
      <c r="AD89" s="1382"/>
      <c r="AE89" s="1382"/>
      <c r="AF89" s="1382"/>
      <c r="AG89" s="1382"/>
      <c r="AH89" s="1382"/>
      <c r="AI89" s="1382"/>
      <c r="AJ89" s="1382"/>
      <c r="AK89" s="181"/>
      <c r="AL89" s="181"/>
      <c r="AM89" s="181"/>
      <c r="AN89" s="181"/>
      <c r="AO89" s="181"/>
      <c r="AP89" s="181"/>
      <c r="AQ89" s="181"/>
      <c r="AR89" s="181"/>
      <c r="AS89" s="181"/>
      <c r="AT89" s="181"/>
      <c r="AU89" s="181"/>
      <c r="AV89" s="181"/>
      <c r="AW89" s="181"/>
    </row>
    <row r="90" spans="1:49" s="30" customFormat="1" x14ac:dyDescent="0.25">
      <c r="A90" s="1407" t="str">
        <f>IF(COUNTIF('04 - 95% CD'!D90:G90,"Y")&gt;0,"Y",IF(COUNTIF('04 - 95% CD'!D90:G90,"N"),"N",""))</f>
        <v>Y</v>
      </c>
      <c r="B90" s="191"/>
      <c r="C90" s="944"/>
      <c r="D90" s="321"/>
      <c r="E90" s="466"/>
      <c r="F90" s="559" t="str">
        <f>IF('C-Design&amp;Const'!$U90="","",'C-Design&amp;Const'!$U90)</f>
        <v>Y</v>
      </c>
      <c r="G90" s="558"/>
      <c r="H90" s="1028" t="str">
        <f>CONCATENATE(IF(F90="N","PLACEHOLDER ROW - ",""),'C-Design&amp;Const'!Z90,IF(F90="N","",J90))</f>
        <v>Heating - General System(s) **(verify existing system for renovations) (Final w/ all updates)</v>
      </c>
      <c r="I90" s="186"/>
      <c r="J90" s="578" t="str">
        <f>IF('C-Design&amp;Const'!AK90="","",'C-Design&amp;Const'!AK90)</f>
        <v xml:space="preserve"> (Final w/ all updates)</v>
      </c>
      <c r="K90" s="285" t="str">
        <f t="shared" si="0"/>
        <v>match</v>
      </c>
      <c r="L90" s="1410" t="str">
        <f t="shared" si="1"/>
        <v/>
      </c>
      <c r="M90" s="1382"/>
      <c r="N90" s="1382"/>
      <c r="O90" s="1382"/>
      <c r="P90" s="1382"/>
      <c r="Q90" s="1382"/>
      <c r="R90" s="1490"/>
      <c r="S90" s="1274"/>
      <c r="T90" s="1274"/>
      <c r="U90" s="1382"/>
      <c r="V90" s="1382"/>
      <c r="W90" s="1382"/>
      <c r="X90" s="1382"/>
      <c r="Y90" s="1382"/>
      <c r="Z90" s="1382"/>
      <c r="AA90" s="1382"/>
      <c r="AB90" s="1382"/>
      <c r="AC90" s="1382"/>
      <c r="AD90" s="1382"/>
      <c r="AE90" s="1382"/>
      <c r="AF90" s="1382"/>
      <c r="AG90" s="1382"/>
      <c r="AH90" s="1382"/>
      <c r="AI90" s="1382"/>
      <c r="AJ90" s="1382"/>
      <c r="AK90" s="181"/>
      <c r="AL90" s="181"/>
      <c r="AM90" s="181"/>
      <c r="AN90" s="181"/>
      <c r="AO90" s="181"/>
      <c r="AP90" s="181"/>
      <c r="AQ90" s="181"/>
      <c r="AR90" s="181"/>
      <c r="AS90" s="181"/>
      <c r="AT90" s="181"/>
      <c r="AU90" s="181"/>
      <c r="AV90" s="181"/>
      <c r="AW90" s="181"/>
    </row>
    <row r="91" spans="1:49" s="545" customFormat="1" x14ac:dyDescent="0.25">
      <c r="A91" s="1407" t="str">
        <f>IF(COUNTIF('04 - 95% CD'!D91:G91,"Y")&gt;0,"Y",IF(COUNTIF('04 - 95% CD'!D91:G91,"N"),"N",""))</f>
        <v>Y</v>
      </c>
      <c r="B91" s="554"/>
      <c r="C91" s="944"/>
      <c r="D91" s="321"/>
      <c r="E91" s="466"/>
      <c r="F91" s="559" t="str">
        <f>IF('C-Design&amp;Const'!$U91="","",'C-Design&amp;Const'!$U91)</f>
        <v>Y</v>
      </c>
      <c r="G91" s="558"/>
      <c r="H91" s="1028" t="str">
        <f>CONCATENATE(IF(F91="N","PLACEHOLDER ROW - ",""),'C-Design&amp;Const'!Z91,IF(F91="N","",J91))</f>
        <v>Heating - Demolition(s) (Final w/ all updates)</v>
      </c>
      <c r="I91" s="186"/>
      <c r="J91" s="578" t="str">
        <f>IF('C-Design&amp;Const'!AK91="","",'C-Design&amp;Const'!AK91)</f>
        <v xml:space="preserve"> (Final w/ all updates)</v>
      </c>
      <c r="K91" s="285" t="str">
        <f t="shared" ref="K91" si="8">IF((COUNTIF(D91:G91,"Y")=COUNTIF(A91,"Y")),"match","no 95% match")</f>
        <v>match</v>
      </c>
      <c r="L91" s="1410" t="str">
        <f t="shared" ref="L91" si="9">CONCATENATE(IF(ISNUMBER(SEARCH("Placeholder",H91))=TRUE,"&lt;---PM/Planner may hide PLACEHOLDER ROW",""))</f>
        <v/>
      </c>
      <c r="M91" s="1382"/>
      <c r="N91" s="1382"/>
      <c r="O91" s="1382"/>
      <c r="P91" s="1382"/>
      <c r="Q91" s="1382"/>
      <c r="R91" s="1490"/>
      <c r="S91" s="1274"/>
      <c r="T91" s="1274"/>
      <c r="U91" s="1382"/>
      <c r="V91" s="1382"/>
      <c r="W91" s="1382"/>
      <c r="X91" s="1382"/>
      <c r="Y91" s="1382"/>
      <c r="Z91" s="1382"/>
      <c r="AA91" s="1382"/>
      <c r="AB91" s="1382"/>
      <c r="AC91" s="1382"/>
      <c r="AD91" s="1382"/>
      <c r="AE91" s="1382"/>
      <c r="AF91" s="1382"/>
      <c r="AG91" s="1382"/>
      <c r="AH91" s="1382"/>
      <c r="AI91" s="1382"/>
      <c r="AJ91" s="1382"/>
      <c r="AK91" s="551"/>
      <c r="AL91" s="551"/>
      <c r="AM91" s="551"/>
      <c r="AN91" s="551"/>
      <c r="AO91" s="551"/>
      <c r="AP91" s="551"/>
      <c r="AQ91" s="551"/>
      <c r="AR91" s="551"/>
      <c r="AS91" s="551"/>
      <c r="AT91" s="551"/>
      <c r="AU91" s="551"/>
      <c r="AV91" s="551"/>
      <c r="AW91" s="551"/>
    </row>
    <row r="92" spans="1:49" s="30" customFormat="1" x14ac:dyDescent="0.25">
      <c r="A92" s="1407" t="str">
        <f>IF(COUNTIF('04 - 95% CD'!D92:G92,"Y")&gt;0,"Y",IF(COUNTIF('04 - 95% CD'!D92:G92,"N"),"N",""))</f>
        <v>Y</v>
      </c>
      <c r="B92" s="191"/>
      <c r="C92" s="944"/>
      <c r="D92" s="321"/>
      <c r="E92" s="466"/>
      <c r="F92" s="559" t="str">
        <f>IF('C-Design&amp;Const'!$U92="","",'C-Design&amp;Const'!$U92)</f>
        <v>Y</v>
      </c>
      <c r="G92" s="558"/>
      <c r="H92" s="1028" t="str">
        <f>CONCATENATE(IF(F92="N","PLACEHOLDER ROW - ",""),'C-Design&amp;Const'!Z92,IF(F92="N","",J92))</f>
        <v>Heating - Gas (and verify existing system for renovations)* (Final w/ all updates)</v>
      </c>
      <c r="I92" s="186"/>
      <c r="J92" s="578" t="str">
        <f>IF('C-Design&amp;Const'!AK92="","",'C-Design&amp;Const'!AK92)</f>
        <v xml:space="preserve"> (Final w/ all updates)</v>
      </c>
      <c r="K92" s="285" t="str">
        <f t="shared" si="0"/>
        <v>match</v>
      </c>
      <c r="L92" s="1410" t="str">
        <f t="shared" si="1"/>
        <v/>
      </c>
      <c r="M92" s="1382"/>
      <c r="N92" s="1382"/>
      <c r="O92" s="1382"/>
      <c r="P92" s="1382"/>
      <c r="Q92" s="1382"/>
      <c r="R92" s="1490"/>
      <c r="S92" s="1274"/>
      <c r="T92" s="1274"/>
      <c r="U92" s="1382"/>
      <c r="V92" s="1382"/>
      <c r="W92" s="1382"/>
      <c r="X92" s="1382"/>
      <c r="Y92" s="1382"/>
      <c r="Z92" s="1382"/>
      <c r="AA92" s="1382"/>
      <c r="AB92" s="1382"/>
      <c r="AC92" s="1382"/>
      <c r="AD92" s="1382"/>
      <c r="AE92" s="1382"/>
      <c r="AF92" s="1382"/>
      <c r="AG92" s="1382"/>
      <c r="AH92" s="1382"/>
      <c r="AI92" s="1382"/>
      <c r="AJ92" s="1382"/>
      <c r="AK92" s="181"/>
      <c r="AL92" s="181"/>
      <c r="AM92" s="181"/>
      <c r="AN92" s="181"/>
      <c r="AO92" s="181"/>
      <c r="AP92" s="181"/>
      <c r="AQ92" s="181"/>
      <c r="AR92" s="181"/>
      <c r="AS92" s="181"/>
      <c r="AT92" s="181"/>
      <c r="AU92" s="181"/>
      <c r="AV92" s="181"/>
      <c r="AW92" s="181"/>
    </row>
    <row r="93" spans="1:49" s="30" customFormat="1" x14ac:dyDescent="0.25">
      <c r="A93" s="1407" t="str">
        <f>IF(COUNTIF('04 - 95% CD'!D93:G93,"Y")&gt;0,"Y",IF(COUNTIF('04 - 95% CD'!D93:G93,"N"),"N",""))</f>
        <v>Y</v>
      </c>
      <c r="B93" s="191"/>
      <c r="C93" s="944"/>
      <c r="D93" s="321"/>
      <c r="E93" s="466"/>
      <c r="F93" s="559" t="str">
        <f>IF('C-Design&amp;Const'!$U93="","",'C-Design&amp;Const'!$U93)</f>
        <v>Y</v>
      </c>
      <c r="G93" s="558"/>
      <c r="H93" s="1028" t="str">
        <f>CONCATENATE(IF(F93="N","PLACEHOLDER ROW - ",""),'C-Design&amp;Const'!Z93,IF(F93="N","",J93))</f>
        <v>Heating -  Steam  (and verify existing system for renovations)* (Final w/ all updates)</v>
      </c>
      <c r="I93" s="186"/>
      <c r="J93" s="578" t="str">
        <f>IF('C-Design&amp;Const'!AK93="","",'C-Design&amp;Const'!AK93)</f>
        <v xml:space="preserve"> (Final w/ all updates)</v>
      </c>
      <c r="K93" s="285" t="str">
        <f t="shared" si="0"/>
        <v>match</v>
      </c>
      <c r="L93" s="1410" t="str">
        <f t="shared" si="1"/>
        <v/>
      </c>
      <c r="M93" s="1382"/>
      <c r="N93" s="1382"/>
      <c r="O93" s="1382"/>
      <c r="P93" s="1382"/>
      <c r="Q93" s="1382"/>
      <c r="R93" s="1490"/>
      <c r="S93" s="1274"/>
      <c r="T93" s="1274"/>
      <c r="U93" s="1382"/>
      <c r="V93" s="1382"/>
      <c r="W93" s="1382"/>
      <c r="X93" s="1382"/>
      <c r="Y93" s="1382"/>
      <c r="Z93" s="1382"/>
      <c r="AA93" s="1382"/>
      <c r="AB93" s="1382"/>
      <c r="AC93" s="1382"/>
      <c r="AD93" s="1382"/>
      <c r="AE93" s="1382"/>
      <c r="AF93" s="1382"/>
      <c r="AG93" s="1382"/>
      <c r="AH93" s="1382"/>
      <c r="AI93" s="1382"/>
      <c r="AJ93" s="1382"/>
      <c r="AK93" s="181"/>
      <c r="AL93" s="181"/>
      <c r="AM93" s="181"/>
      <c r="AN93" s="181"/>
      <c r="AO93" s="181"/>
      <c r="AP93" s="181"/>
      <c r="AQ93" s="181"/>
      <c r="AR93" s="181"/>
      <c r="AS93" s="181"/>
      <c r="AT93" s="181"/>
      <c r="AU93" s="181"/>
      <c r="AV93" s="181"/>
      <c r="AW93" s="181"/>
    </row>
    <row r="94" spans="1:49" s="30" customFormat="1" x14ac:dyDescent="0.25">
      <c r="A94" s="1407" t="str">
        <f>IF(COUNTIF('04 - 95% CD'!D94:G94,"Y")&gt;0,"Y",IF(COUNTIF('04 - 95% CD'!D94:G94,"N"),"N",""))</f>
        <v>N</v>
      </c>
      <c r="B94" s="191"/>
      <c r="C94" s="944"/>
      <c r="D94" s="321"/>
      <c r="E94" s="466"/>
      <c r="F94" s="559" t="str">
        <f>IF('C-Design&amp;Const'!$U94="","",'C-Design&amp;Const'!$U94)</f>
        <v>N</v>
      </c>
      <c r="G94" s="558"/>
      <c r="H94" s="1028" t="str">
        <f>CONCATENATE(IF(F94="N","PLACEHOLDER ROW - ",""),'C-Design&amp;Const'!Z94,IF(F94="N","",J94))</f>
        <v>PLACEHOLDER ROW - Heating - CUSTOM</v>
      </c>
      <c r="I94" s="186"/>
      <c r="J94" s="578" t="str">
        <f>IF('C-Design&amp;Const'!AK94="","",'C-Design&amp;Const'!AK94)</f>
        <v xml:space="preserve"> (Final w/ all updates)</v>
      </c>
      <c r="K94" s="285" t="str">
        <f t="shared" si="0"/>
        <v>match</v>
      </c>
      <c r="L94" s="1410" t="str">
        <f t="shared" si="1"/>
        <v>&lt;---PM/Planner may hide PLACEHOLDER ROW</v>
      </c>
      <c r="M94" s="1382"/>
      <c r="N94" s="1382"/>
      <c r="O94" s="1382"/>
      <c r="P94" s="1382"/>
      <c r="Q94" s="1382"/>
      <c r="R94" s="1490"/>
      <c r="S94" s="1274"/>
      <c r="T94" s="1274"/>
      <c r="U94" s="1382"/>
      <c r="V94" s="1382"/>
      <c r="W94" s="1382"/>
      <c r="X94" s="1382"/>
      <c r="Y94" s="1382"/>
      <c r="Z94" s="1382"/>
      <c r="AA94" s="1382"/>
      <c r="AB94" s="1382"/>
      <c r="AC94" s="1382"/>
      <c r="AD94" s="1382"/>
      <c r="AE94" s="1382"/>
      <c r="AF94" s="1382"/>
      <c r="AG94" s="1382"/>
      <c r="AH94" s="1382"/>
      <c r="AI94" s="1382"/>
      <c r="AJ94" s="1382"/>
      <c r="AK94" s="181"/>
      <c r="AL94" s="181"/>
      <c r="AM94" s="181"/>
      <c r="AN94" s="181"/>
      <c r="AO94" s="181"/>
      <c r="AP94" s="181"/>
      <c r="AQ94" s="181"/>
      <c r="AR94" s="181"/>
      <c r="AS94" s="181"/>
      <c r="AT94" s="181"/>
      <c r="AU94" s="181"/>
      <c r="AV94" s="181"/>
      <c r="AW94" s="181"/>
    </row>
    <row r="95" spans="1:49" s="30" customFormat="1" x14ac:dyDescent="0.25">
      <c r="A95" s="1407" t="str">
        <f>IF(COUNTIF('04 - 95% CD'!D95:G95,"Y")&gt;0,"Y",IF(COUNTIF('04 - 95% CD'!D95:G95,"N"),"N",""))</f>
        <v>Y</v>
      </c>
      <c r="B95" s="191"/>
      <c r="C95" s="944"/>
      <c r="D95" s="321"/>
      <c r="E95" s="466"/>
      <c r="F95" s="559" t="str">
        <f>IF('C-Design&amp;Const'!$U95="","",'C-Design&amp;Const'!$U95)</f>
        <v>Y</v>
      </c>
      <c r="G95" s="558"/>
      <c r="H95" s="1028" t="str">
        <f>CONCATENATE(IF(F95="N","PLACEHOLDER ROW - ",""),'C-Design&amp;Const'!Z95,IF(F95="N","",J95))</f>
        <v>Ventilation - General System(s)  **(verify existing system for renovations) (Final w/ all updates)</v>
      </c>
      <c r="I95" s="186"/>
      <c r="J95" s="578" t="str">
        <f>IF('C-Design&amp;Const'!AK95="","",'C-Design&amp;Const'!AK95)</f>
        <v xml:space="preserve"> (Final w/ all updates)</v>
      </c>
      <c r="K95" s="285" t="str">
        <f t="shared" si="0"/>
        <v>match</v>
      </c>
      <c r="L95" s="1410" t="str">
        <f t="shared" si="1"/>
        <v/>
      </c>
      <c r="M95" s="1382"/>
      <c r="N95" s="1382"/>
      <c r="O95" s="1382"/>
      <c r="P95" s="1382"/>
      <c r="Q95" s="1382"/>
      <c r="R95" s="1490"/>
      <c r="S95" s="1274"/>
      <c r="T95" s="1274"/>
      <c r="U95" s="1382"/>
      <c r="V95" s="1382"/>
      <c r="W95" s="1382"/>
      <c r="X95" s="1382"/>
      <c r="Y95" s="1382"/>
      <c r="Z95" s="1382"/>
      <c r="AA95" s="1382"/>
      <c r="AB95" s="1382"/>
      <c r="AC95" s="1382"/>
      <c r="AD95" s="1382"/>
      <c r="AE95" s="1382"/>
      <c r="AF95" s="1382"/>
      <c r="AG95" s="1382"/>
      <c r="AH95" s="1382"/>
      <c r="AI95" s="1382"/>
      <c r="AJ95" s="1382"/>
      <c r="AK95" s="181"/>
      <c r="AL95" s="181"/>
      <c r="AM95" s="181"/>
      <c r="AN95" s="181"/>
      <c r="AO95" s="181"/>
      <c r="AP95" s="181"/>
      <c r="AQ95" s="181"/>
      <c r="AR95" s="181"/>
      <c r="AS95" s="181"/>
      <c r="AT95" s="181"/>
      <c r="AU95" s="181"/>
      <c r="AV95" s="181"/>
      <c r="AW95" s="181"/>
    </row>
    <row r="96" spans="1:49" s="545" customFormat="1" x14ac:dyDescent="0.25">
      <c r="A96" s="1407" t="str">
        <f>IF(COUNTIF('04 - 95% CD'!D96:G96,"Y")&gt;0,"Y",IF(COUNTIF('04 - 95% CD'!D96:G96,"N"),"N",""))</f>
        <v>Y</v>
      </c>
      <c r="B96" s="554"/>
      <c r="C96" s="944"/>
      <c r="D96" s="321"/>
      <c r="E96" s="466"/>
      <c r="F96" s="559" t="str">
        <f>IF('C-Design&amp;Const'!$U96="","",'C-Design&amp;Const'!$U96)</f>
        <v>Y</v>
      </c>
      <c r="G96" s="558"/>
      <c r="H96" s="1028" t="str">
        <f>CONCATENATE(IF(F96="N","PLACEHOLDER ROW - ",""),'C-Design&amp;Const'!Z96,IF(F96="N","",J96))</f>
        <v>Ventilation - Demolition(s) (Final w/ all updates)</v>
      </c>
      <c r="I96" s="186"/>
      <c r="J96" s="578" t="str">
        <f>IF('C-Design&amp;Const'!AK96="","",'C-Design&amp;Const'!AK96)</f>
        <v xml:space="preserve"> (Final w/ all updates)</v>
      </c>
      <c r="K96" s="285" t="str">
        <f t="shared" si="0"/>
        <v>match</v>
      </c>
      <c r="L96" s="1410" t="str">
        <f t="shared" si="1"/>
        <v/>
      </c>
      <c r="M96" s="1382"/>
      <c r="N96" s="1382"/>
      <c r="O96" s="1382"/>
      <c r="P96" s="1382"/>
      <c r="Q96" s="1382"/>
      <c r="R96" s="1490"/>
      <c r="S96" s="1274"/>
      <c r="T96" s="1274"/>
      <c r="U96" s="1382"/>
      <c r="V96" s="1382"/>
      <c r="W96" s="1382"/>
      <c r="X96" s="1382"/>
      <c r="Y96" s="1382"/>
      <c r="Z96" s="1382"/>
      <c r="AA96" s="1382"/>
      <c r="AB96" s="1382"/>
      <c r="AC96" s="1382"/>
      <c r="AD96" s="1382"/>
      <c r="AE96" s="1382"/>
      <c r="AF96" s="1382"/>
      <c r="AG96" s="1382"/>
      <c r="AH96" s="1382"/>
      <c r="AI96" s="1382"/>
      <c r="AJ96" s="1382"/>
      <c r="AK96" s="551"/>
      <c r="AL96" s="551"/>
      <c r="AM96" s="551"/>
      <c r="AN96" s="551"/>
      <c r="AO96" s="551"/>
      <c r="AP96" s="551"/>
      <c r="AQ96" s="551"/>
      <c r="AR96" s="551"/>
      <c r="AS96" s="551"/>
      <c r="AT96" s="551"/>
      <c r="AU96" s="551"/>
      <c r="AV96" s="551"/>
      <c r="AW96" s="551"/>
    </row>
    <row r="97" spans="1:49" s="30" customFormat="1" ht="16.5" customHeight="1" x14ac:dyDescent="0.25">
      <c r="A97" s="1407" t="str">
        <f>IF(COUNTIF('04 - 95% CD'!D97:G97,"Y")&gt;0,"Y",IF(COUNTIF('04 - 95% CD'!D97:G97,"N"),"N",""))</f>
        <v>Y</v>
      </c>
      <c r="B97" s="191"/>
      <c r="C97" s="944"/>
      <c r="D97" s="321"/>
      <c r="E97" s="466"/>
      <c r="F97" s="559" t="str">
        <f>IF('C-Design&amp;Const'!$U97="","",'C-Design&amp;Const'!$U97)</f>
        <v>Y</v>
      </c>
      <c r="G97" s="558"/>
      <c r="H97" s="1028" t="str">
        <f>CONCATENATE(IF(F97="N","PLACEHOLDER ROW - ",""),'C-Design&amp;Const'!Z97,IF(F97="N","",J97))</f>
        <v>Ventilation - Refrigeration Systems **(verify existing system for renovations) (Final w/ all updates)</v>
      </c>
      <c r="I97" s="186"/>
      <c r="J97" s="578" t="str">
        <f>IF('C-Design&amp;Const'!AK97="","",'C-Design&amp;Const'!AK97)</f>
        <v xml:space="preserve"> (Final w/ all updates)</v>
      </c>
      <c r="K97" s="285" t="str">
        <f t="shared" si="0"/>
        <v>match</v>
      </c>
      <c r="L97" s="1410" t="str">
        <f t="shared" si="1"/>
        <v/>
      </c>
      <c r="M97" s="1382"/>
      <c r="N97" s="1382"/>
      <c r="O97" s="1382"/>
      <c r="P97" s="1382"/>
      <c r="Q97" s="1382"/>
      <c r="R97" s="1490"/>
      <c r="S97" s="1274"/>
      <c r="T97" s="1274"/>
      <c r="U97" s="1382"/>
      <c r="V97" s="1382"/>
      <c r="W97" s="1382"/>
      <c r="X97" s="1382"/>
      <c r="Y97" s="1382"/>
      <c r="Z97" s="1382"/>
      <c r="AA97" s="1382"/>
      <c r="AB97" s="1382"/>
      <c r="AC97" s="1382"/>
      <c r="AD97" s="1382"/>
      <c r="AE97" s="1382"/>
      <c r="AF97" s="1382"/>
      <c r="AG97" s="1382"/>
      <c r="AH97" s="1382"/>
      <c r="AI97" s="1382"/>
      <c r="AJ97" s="1382"/>
      <c r="AK97" s="181"/>
      <c r="AL97" s="181"/>
      <c r="AM97" s="181"/>
      <c r="AN97" s="181"/>
      <c r="AO97" s="181"/>
      <c r="AP97" s="181"/>
      <c r="AQ97" s="181"/>
      <c r="AR97" s="181"/>
      <c r="AS97" s="181"/>
      <c r="AT97" s="181"/>
      <c r="AU97" s="181"/>
      <c r="AV97" s="181"/>
      <c r="AW97" s="181"/>
    </row>
    <row r="98" spans="1:49" s="30" customFormat="1" x14ac:dyDescent="0.25">
      <c r="A98" s="1407" t="str">
        <f>IF(COUNTIF('04 - 95% CD'!D98:G98,"Y")&gt;0,"Y",IF(COUNTIF('04 - 95% CD'!D98:G98,"N"),"N",""))</f>
        <v>Y</v>
      </c>
      <c r="B98" s="191"/>
      <c r="C98" s="944"/>
      <c r="D98" s="321"/>
      <c r="E98" s="466"/>
      <c r="F98" s="559" t="str">
        <f>IF('C-Design&amp;Const'!$U98="","",'C-Design&amp;Const'!$U98)</f>
        <v>Y</v>
      </c>
      <c r="G98" s="558"/>
      <c r="H98" s="1028" t="str">
        <f>CONCATENATE(IF(F98="N","PLACEHOLDER ROW - ",""),'C-Design&amp;Const'!Z98,IF(F98="N","",J98))</f>
        <v>Ventilation - Chilled Water  **(verify existing system for renovations) (Final w/ all updates)</v>
      </c>
      <c r="I98" s="186"/>
      <c r="J98" s="578" t="str">
        <f>IF('C-Design&amp;Const'!AK98="","",'C-Design&amp;Const'!AK98)</f>
        <v xml:space="preserve"> (Final w/ all updates)</v>
      </c>
      <c r="K98" s="285" t="str">
        <f t="shared" si="0"/>
        <v>match</v>
      </c>
      <c r="L98" s="1410" t="str">
        <f t="shared" si="1"/>
        <v/>
      </c>
      <c r="M98" s="1382"/>
      <c r="N98" s="1382"/>
      <c r="O98" s="1382"/>
      <c r="P98" s="1382"/>
      <c r="Q98" s="1382"/>
      <c r="R98" s="1490"/>
      <c r="S98" s="1274"/>
      <c r="T98" s="1274"/>
      <c r="U98" s="1382"/>
      <c r="V98" s="1382"/>
      <c r="W98" s="1382"/>
      <c r="X98" s="1382"/>
      <c r="Y98" s="1382"/>
      <c r="Z98" s="1382"/>
      <c r="AA98" s="1382"/>
      <c r="AB98" s="1382"/>
      <c r="AC98" s="1382"/>
      <c r="AD98" s="1382"/>
      <c r="AE98" s="1382"/>
      <c r="AF98" s="1382"/>
      <c r="AG98" s="1382"/>
      <c r="AH98" s="1382"/>
      <c r="AI98" s="1382"/>
      <c r="AJ98" s="1382"/>
      <c r="AK98" s="181"/>
      <c r="AL98" s="181"/>
      <c r="AM98" s="181"/>
      <c r="AN98" s="181"/>
      <c r="AO98" s="181"/>
      <c r="AP98" s="181"/>
      <c r="AQ98" s="181"/>
      <c r="AR98" s="181"/>
      <c r="AS98" s="181"/>
      <c r="AT98" s="181"/>
      <c r="AU98" s="181"/>
      <c r="AV98" s="181"/>
      <c r="AW98" s="181"/>
    </row>
    <row r="99" spans="1:49" s="30" customFormat="1" x14ac:dyDescent="0.25">
      <c r="A99" s="1407" t="str">
        <f>IF(COUNTIF('04 - 95% CD'!D99:G99,"Y")&gt;0,"Y",IF(COUNTIF('04 - 95% CD'!D99:G99,"N"),"N",""))</f>
        <v>N</v>
      </c>
      <c r="B99" s="191"/>
      <c r="C99" s="944"/>
      <c r="D99" s="321"/>
      <c r="E99" s="466"/>
      <c r="F99" s="559" t="str">
        <f>IF('C-Design&amp;Const'!$U99="","",'C-Design&amp;Const'!$U99)</f>
        <v>N</v>
      </c>
      <c r="G99" s="558"/>
      <c r="H99" s="1028" t="str">
        <f>CONCATENATE(IF(F99="N","PLACEHOLDER ROW - ",""),'C-Design&amp;Const'!Z99,IF(F99="N","",J99))</f>
        <v>PLACEHOLDER ROW - Ventilation - CUSTOM</v>
      </c>
      <c r="I99" s="186"/>
      <c r="J99" s="578" t="str">
        <f>IF('C-Design&amp;Const'!AK99="","",'C-Design&amp;Const'!AK99)</f>
        <v xml:space="preserve"> (Final w/ all updates)</v>
      </c>
      <c r="K99" s="285" t="str">
        <f t="shared" si="0"/>
        <v>match</v>
      </c>
      <c r="L99" s="1410" t="str">
        <f t="shared" si="1"/>
        <v>&lt;---PM/Planner may hide PLACEHOLDER ROW</v>
      </c>
      <c r="M99" s="1382"/>
      <c r="N99" s="1382"/>
      <c r="O99" s="1382"/>
      <c r="P99" s="1382"/>
      <c r="Q99" s="1382"/>
      <c r="R99" s="1490"/>
      <c r="S99" s="1274"/>
      <c r="T99" s="1274"/>
      <c r="U99" s="1382"/>
      <c r="V99" s="1382"/>
      <c r="W99" s="1382"/>
      <c r="X99" s="1382"/>
      <c r="Y99" s="1382"/>
      <c r="Z99" s="1382"/>
      <c r="AA99" s="1382"/>
      <c r="AB99" s="1382"/>
      <c r="AC99" s="1382"/>
      <c r="AD99" s="1382"/>
      <c r="AE99" s="1382"/>
      <c r="AF99" s="1382"/>
      <c r="AG99" s="1382"/>
      <c r="AH99" s="1382"/>
      <c r="AI99" s="1382"/>
      <c r="AJ99" s="1382"/>
      <c r="AK99" s="181"/>
      <c r="AL99" s="181"/>
      <c r="AM99" s="181"/>
      <c r="AN99" s="181"/>
      <c r="AO99" s="181"/>
      <c r="AP99" s="181"/>
      <c r="AQ99" s="181"/>
      <c r="AR99" s="181"/>
      <c r="AS99" s="181"/>
      <c r="AT99" s="181"/>
      <c r="AU99" s="181"/>
      <c r="AV99" s="181"/>
      <c r="AW99" s="181"/>
    </row>
    <row r="100" spans="1:49" s="30" customFormat="1" x14ac:dyDescent="0.25">
      <c r="A100" s="1407" t="str">
        <f>IF(COUNTIF('04 - 95% CD'!D100:G100,"Y")&gt;0,"Y",IF(COUNTIF('04 - 95% CD'!D100:G100,"N"),"N",""))</f>
        <v>Y</v>
      </c>
      <c r="B100" s="191"/>
      <c r="C100" s="944"/>
      <c r="D100" s="321"/>
      <c r="E100" s="466"/>
      <c r="F100" s="559" t="str">
        <f>IF('C-Design&amp;Const'!$U100="","",'C-Design&amp;Const'!$U100)</f>
        <v>Y</v>
      </c>
      <c r="G100" s="558"/>
      <c r="H100" s="1028" t="str">
        <f>CONCATENATE(IF(F100="N","PLACEHOLDER ROW - ",""),'C-Design&amp;Const'!Z100,IF(F100="N","",J100))</f>
        <v>Electrical - General System(s) - **(verify existing system for renovations) (Final w/ all updates)</v>
      </c>
      <c r="I100" s="186"/>
      <c r="J100" s="578" t="str">
        <f>IF('C-Design&amp;Const'!AK100="","",'C-Design&amp;Const'!AK100)</f>
        <v xml:space="preserve"> (Final w/ all updates)</v>
      </c>
      <c r="K100" s="285" t="str">
        <f t="shared" ref="K100:K173" si="10">IF((COUNTIF(D100:G100,"Y")=COUNTIF(A100,"Y")),"match","no 95% match")</f>
        <v>match</v>
      </c>
      <c r="L100" s="1410" t="str">
        <f t="shared" ref="L100:L173" si="11">CONCATENATE(IF(ISNUMBER(SEARCH("Placeholder",H100))=TRUE,"&lt;---PM/Planner may hide PLACEHOLDER ROW",""))</f>
        <v/>
      </c>
      <c r="M100" s="1382"/>
      <c r="N100" s="1382"/>
      <c r="O100" s="1382"/>
      <c r="P100" s="1382"/>
      <c r="Q100" s="1382"/>
      <c r="R100" s="1490"/>
      <c r="S100" s="1274"/>
      <c r="T100" s="1274"/>
      <c r="U100" s="1382"/>
      <c r="V100" s="1382"/>
      <c r="W100" s="1382"/>
      <c r="X100" s="1382"/>
      <c r="Y100" s="1382"/>
      <c r="Z100" s="1382"/>
      <c r="AA100" s="1382"/>
      <c r="AB100" s="1382"/>
      <c r="AC100" s="1382"/>
      <c r="AD100" s="1382"/>
      <c r="AE100" s="1382"/>
      <c r="AF100" s="1382"/>
      <c r="AG100" s="1382"/>
      <c r="AH100" s="1382"/>
      <c r="AI100" s="1382"/>
      <c r="AJ100" s="1382"/>
      <c r="AK100" s="181"/>
      <c r="AL100" s="181"/>
      <c r="AM100" s="181"/>
      <c r="AN100" s="181"/>
      <c r="AO100" s="181"/>
      <c r="AP100" s="181"/>
      <c r="AQ100" s="181"/>
      <c r="AR100" s="181"/>
      <c r="AS100" s="181"/>
      <c r="AT100" s="181"/>
      <c r="AU100" s="181"/>
      <c r="AV100" s="181"/>
      <c r="AW100" s="181"/>
    </row>
    <row r="101" spans="1:49" s="545" customFormat="1" x14ac:dyDescent="0.25">
      <c r="A101" s="1407" t="str">
        <f>IF(COUNTIF('04 - 95% CD'!D101:G101,"Y")&gt;0,"Y",IF(COUNTIF('04 - 95% CD'!D101:G101,"N"),"N",""))</f>
        <v>Y</v>
      </c>
      <c r="B101" s="554"/>
      <c r="C101" s="944"/>
      <c r="D101" s="321"/>
      <c r="E101" s="466"/>
      <c r="F101" s="559" t="str">
        <f>IF('C-Design&amp;Const'!$U101="","",'C-Design&amp;Const'!$U101)</f>
        <v>Y</v>
      </c>
      <c r="G101" s="558"/>
      <c r="H101" s="1028" t="str">
        <f>CONCATENATE(IF(F101="N","PLACEHOLDER ROW - ",""),'C-Design&amp;Const'!Z101,IF(F101="N","",J101))</f>
        <v>Electrical - Demolition(s) (Final w/ all updates)</v>
      </c>
      <c r="I101" s="186"/>
      <c r="J101" s="578" t="str">
        <f>IF('C-Design&amp;Const'!AK101="","",'C-Design&amp;Const'!AK101)</f>
        <v xml:space="preserve"> (Final w/ all updates)</v>
      </c>
      <c r="K101" s="285" t="str">
        <f t="shared" si="10"/>
        <v>match</v>
      </c>
      <c r="L101" s="1410" t="str">
        <f t="shared" si="11"/>
        <v/>
      </c>
      <c r="M101" s="1382"/>
      <c r="N101" s="1382"/>
      <c r="O101" s="1382"/>
      <c r="P101" s="1382"/>
      <c r="Q101" s="1382"/>
      <c r="R101" s="1490"/>
      <c r="S101" s="1274"/>
      <c r="T101" s="1274"/>
      <c r="U101" s="1382"/>
      <c r="V101" s="1382"/>
      <c r="W101" s="1382"/>
      <c r="X101" s="1382"/>
      <c r="Y101" s="1382"/>
      <c r="Z101" s="1382"/>
      <c r="AA101" s="1382"/>
      <c r="AB101" s="1382"/>
      <c r="AC101" s="1382"/>
      <c r="AD101" s="1382"/>
      <c r="AE101" s="1382"/>
      <c r="AF101" s="1382"/>
      <c r="AG101" s="1382"/>
      <c r="AH101" s="1382"/>
      <c r="AI101" s="1382"/>
      <c r="AJ101" s="1382"/>
      <c r="AK101" s="551"/>
      <c r="AL101" s="551"/>
      <c r="AM101" s="551"/>
      <c r="AN101" s="551"/>
      <c r="AO101" s="551"/>
      <c r="AP101" s="551"/>
      <c r="AQ101" s="551"/>
      <c r="AR101" s="551"/>
      <c r="AS101" s="551"/>
      <c r="AT101" s="551"/>
      <c r="AU101" s="551"/>
      <c r="AV101" s="551"/>
      <c r="AW101" s="551"/>
    </row>
    <row r="102" spans="1:49" s="30" customFormat="1" x14ac:dyDescent="0.25">
      <c r="A102" s="1407" t="str">
        <f>IF(COUNTIF('04 - 95% CD'!D102:G102,"Y")&gt;0,"Y",IF(COUNTIF('04 - 95% CD'!D102:G102,"N"),"N",""))</f>
        <v>Y</v>
      </c>
      <c r="B102" s="191"/>
      <c r="C102" s="944"/>
      <c r="D102" s="321"/>
      <c r="E102" s="466"/>
      <c r="F102" s="559" t="str">
        <f>IF('C-Design&amp;Const'!$U102="","",'C-Design&amp;Const'!$U102)</f>
        <v>Y</v>
      </c>
      <c r="G102" s="558"/>
      <c r="H102" s="1028" t="str">
        <f>CONCATENATE(IF(F102="N","PLACEHOLDER ROW - ",""),'C-Design&amp;Const'!Z102,IF(F102="N","",J102))</f>
        <v>Electrical - Lighting **(verify existing system for renovations) (Final w/ all updates)</v>
      </c>
      <c r="I102" s="186"/>
      <c r="J102" s="578" t="str">
        <f>IF('C-Design&amp;Const'!AK102="","",'C-Design&amp;Const'!AK102)</f>
        <v xml:space="preserve"> (Final w/ all updates)</v>
      </c>
      <c r="K102" s="285" t="str">
        <f t="shared" si="10"/>
        <v>match</v>
      </c>
      <c r="L102" s="1410" t="str">
        <f t="shared" si="11"/>
        <v/>
      </c>
      <c r="M102" s="1382"/>
      <c r="N102" s="1382"/>
      <c r="O102" s="1382"/>
      <c r="P102" s="1382"/>
      <c r="Q102" s="1382"/>
      <c r="R102" s="1490"/>
      <c r="S102" s="1274"/>
      <c r="T102" s="1274"/>
      <c r="U102" s="1382"/>
      <c r="V102" s="1382"/>
      <c r="W102" s="1382"/>
      <c r="X102" s="1382"/>
      <c r="Y102" s="1382"/>
      <c r="Z102" s="1382"/>
      <c r="AA102" s="1382"/>
      <c r="AB102" s="1382"/>
      <c r="AC102" s="1382"/>
      <c r="AD102" s="1382"/>
      <c r="AE102" s="1382"/>
      <c r="AF102" s="1382"/>
      <c r="AG102" s="1382"/>
      <c r="AH102" s="1382"/>
      <c r="AI102" s="1382"/>
      <c r="AJ102" s="1382"/>
      <c r="AK102" s="181"/>
      <c r="AL102" s="181"/>
      <c r="AM102" s="181"/>
      <c r="AN102" s="181"/>
      <c r="AO102" s="181"/>
      <c r="AP102" s="181"/>
      <c r="AQ102" s="181"/>
      <c r="AR102" s="181"/>
      <c r="AS102" s="181"/>
      <c r="AT102" s="181"/>
      <c r="AU102" s="181"/>
      <c r="AV102" s="181"/>
      <c r="AW102" s="181"/>
    </row>
    <row r="103" spans="1:49" s="30" customFormat="1" x14ac:dyDescent="0.25">
      <c r="A103" s="1407" t="str">
        <f>IF(COUNTIF('04 - 95% CD'!D103:G103,"Y")&gt;0,"Y",IF(COUNTIF('04 - 95% CD'!D103:G103,"N"),"N",""))</f>
        <v>Y</v>
      </c>
      <c r="B103" s="191"/>
      <c r="C103" s="944"/>
      <c r="D103" s="321"/>
      <c r="E103" s="466"/>
      <c r="F103" s="559" t="str">
        <f>IF('C-Design&amp;Const'!$U103="","",'C-Design&amp;Const'!$U103)</f>
        <v>Y</v>
      </c>
      <c r="G103" s="558"/>
      <c r="H103" s="1028" t="str">
        <f>CONCATENATE(IF(F103="N","PLACEHOLDER ROW - ",""),'C-Design&amp;Const'!Z103,IF(F103="N","",J103))</f>
        <v>Electrical - Elevators **(verify existing system for renovations) (Final w/ all updates)</v>
      </c>
      <c r="I103" s="186"/>
      <c r="J103" s="578" t="str">
        <f>IF('C-Design&amp;Const'!AK103="","",'C-Design&amp;Const'!AK103)</f>
        <v xml:space="preserve"> (Final w/ all updates)</v>
      </c>
      <c r="K103" s="285" t="str">
        <f t="shared" si="10"/>
        <v>match</v>
      </c>
      <c r="L103" s="1410" t="str">
        <f t="shared" si="11"/>
        <v/>
      </c>
      <c r="M103" s="1382"/>
      <c r="N103" s="1382"/>
      <c r="O103" s="1382"/>
      <c r="P103" s="1382"/>
      <c r="Q103" s="1382"/>
      <c r="R103" s="1490"/>
      <c r="S103" s="1274"/>
      <c r="T103" s="1274"/>
      <c r="U103" s="1382"/>
      <c r="V103" s="1382"/>
      <c r="W103" s="1382"/>
      <c r="X103" s="1382"/>
      <c r="Y103" s="1382"/>
      <c r="Z103" s="1382"/>
      <c r="AA103" s="1382"/>
      <c r="AB103" s="1382"/>
      <c r="AC103" s="1382"/>
      <c r="AD103" s="1382"/>
      <c r="AE103" s="1382"/>
      <c r="AF103" s="1382"/>
      <c r="AG103" s="1382"/>
      <c r="AH103" s="1382"/>
      <c r="AI103" s="1382"/>
      <c r="AJ103" s="1382"/>
      <c r="AK103" s="181"/>
      <c r="AL103" s="181"/>
      <c r="AM103" s="181"/>
      <c r="AN103" s="181"/>
      <c r="AO103" s="181"/>
      <c r="AP103" s="181"/>
      <c r="AQ103" s="181"/>
      <c r="AR103" s="181"/>
      <c r="AS103" s="181"/>
      <c r="AT103" s="181"/>
      <c r="AU103" s="181"/>
      <c r="AV103" s="181"/>
      <c r="AW103" s="181"/>
    </row>
    <row r="104" spans="1:49" s="30" customFormat="1" ht="28.5" x14ac:dyDescent="0.25">
      <c r="A104" s="1407" t="str">
        <f>IF(COUNTIF('04 - 95% CD'!D104:G104,"Y")&gt;0,"Y",IF(COUNTIF('04 - 95% CD'!D104:G104,"N"),"N",""))</f>
        <v>Y</v>
      </c>
      <c r="B104" s="191"/>
      <c r="C104" s="944"/>
      <c r="D104" s="321"/>
      <c r="E104" s="466"/>
      <c r="F104" s="559" t="str">
        <f>IF('C-Design&amp;Const'!$U104="","",'C-Design&amp;Const'!$U104)</f>
        <v>Y</v>
      </c>
      <c r="G104" s="558"/>
      <c r="H104" s="1028" t="str">
        <f>CONCATENATE(IF(F104="N","PLACEHOLDER ROW - ",""),'C-Design&amp;Const'!Z104,IF(F104="N","",J104))</f>
        <v>Electrical - Lightning Protection System(s) **(verify existing system for renovations) (Final w/ all updates)</v>
      </c>
      <c r="I104" s="186"/>
      <c r="J104" s="578" t="str">
        <f>IF('C-Design&amp;Const'!AK104="","",'C-Design&amp;Const'!AK104)</f>
        <v xml:space="preserve"> (Final w/ all updates)</v>
      </c>
      <c r="K104" s="285" t="str">
        <f t="shared" si="10"/>
        <v>match</v>
      </c>
      <c r="L104" s="1410" t="str">
        <f t="shared" si="11"/>
        <v/>
      </c>
      <c r="M104" s="1382"/>
      <c r="N104" s="1382"/>
      <c r="O104" s="1382"/>
      <c r="P104" s="1382"/>
      <c r="Q104" s="1382"/>
      <c r="R104" s="1490"/>
      <c r="S104" s="1274"/>
      <c r="T104" s="1274"/>
      <c r="U104" s="1382"/>
      <c r="V104" s="1382"/>
      <c r="W104" s="1382"/>
      <c r="X104" s="1382"/>
      <c r="Y104" s="1382"/>
      <c r="Z104" s="1382"/>
      <c r="AA104" s="1382"/>
      <c r="AB104" s="1382"/>
      <c r="AC104" s="1382"/>
      <c r="AD104" s="1382"/>
      <c r="AE104" s="1382"/>
      <c r="AF104" s="1382"/>
      <c r="AG104" s="1382"/>
      <c r="AH104" s="1382"/>
      <c r="AI104" s="1382"/>
      <c r="AJ104" s="1382"/>
      <c r="AK104" s="181"/>
      <c r="AL104" s="181"/>
      <c r="AM104" s="181"/>
      <c r="AN104" s="181"/>
      <c r="AO104" s="181"/>
      <c r="AP104" s="181"/>
      <c r="AQ104" s="181"/>
      <c r="AR104" s="181"/>
      <c r="AS104" s="181"/>
      <c r="AT104" s="181"/>
      <c r="AU104" s="181"/>
      <c r="AV104" s="181"/>
      <c r="AW104" s="181"/>
    </row>
    <row r="105" spans="1:49" s="30" customFormat="1" x14ac:dyDescent="0.25">
      <c r="A105" s="1407" t="str">
        <f>IF(COUNTIF('04 - 95% CD'!D105:G105,"Y")&gt;0,"Y",IF(COUNTIF('04 - 95% CD'!D105:G105,"N"),"N",""))</f>
        <v>Y</v>
      </c>
      <c r="B105" s="191"/>
      <c r="C105" s="944"/>
      <c r="D105" s="321"/>
      <c r="E105" s="466"/>
      <c r="F105" s="559" t="str">
        <f>IF('C-Design&amp;Const'!$U105="","",'C-Design&amp;Const'!$U105)</f>
        <v>Y</v>
      </c>
      <c r="G105" s="558"/>
      <c r="H105" s="1028" t="str">
        <f>CONCATENATE(IF(F105="N","PLACEHOLDER ROW - ",""),'C-Design&amp;Const'!Z105,IF(F105="N","",J105))</f>
        <v>Electrical - Fire Alarm System(s) **(verify existing system for renovations) (Final w/ all updates)</v>
      </c>
      <c r="I105" s="186"/>
      <c r="J105" s="578" t="str">
        <f>IF('C-Design&amp;Const'!AK105="","",'C-Design&amp;Const'!AK105)</f>
        <v xml:space="preserve"> (Final w/ all updates)</v>
      </c>
      <c r="K105" s="285" t="str">
        <f t="shared" si="10"/>
        <v>match</v>
      </c>
      <c r="L105" s="1410" t="str">
        <f t="shared" si="11"/>
        <v/>
      </c>
      <c r="M105" s="1382"/>
      <c r="N105" s="1382"/>
      <c r="O105" s="1382"/>
      <c r="P105" s="1382"/>
      <c r="Q105" s="1382"/>
      <c r="R105" s="1490"/>
      <c r="S105" s="1274"/>
      <c r="T105" s="1274"/>
      <c r="U105" s="1382"/>
      <c r="V105" s="1382"/>
      <c r="W105" s="1382"/>
      <c r="X105" s="1382"/>
      <c r="Y105" s="1382"/>
      <c r="Z105" s="1382"/>
      <c r="AA105" s="1382"/>
      <c r="AB105" s="1382"/>
      <c r="AC105" s="1382"/>
      <c r="AD105" s="1382"/>
      <c r="AE105" s="1382"/>
      <c r="AF105" s="1382"/>
      <c r="AG105" s="1382"/>
      <c r="AH105" s="1382"/>
      <c r="AI105" s="1382"/>
      <c r="AJ105" s="1382"/>
      <c r="AK105" s="181"/>
      <c r="AL105" s="181"/>
      <c r="AM105" s="181"/>
      <c r="AN105" s="181"/>
      <c r="AO105" s="181"/>
      <c r="AP105" s="181"/>
      <c r="AQ105" s="181"/>
      <c r="AR105" s="181"/>
      <c r="AS105" s="181"/>
      <c r="AT105" s="181"/>
      <c r="AU105" s="181"/>
      <c r="AV105" s="181"/>
      <c r="AW105" s="181"/>
    </row>
    <row r="106" spans="1:49" s="30" customFormat="1" ht="28.5" x14ac:dyDescent="0.25">
      <c r="A106" s="1407" t="str">
        <f>IF(COUNTIF('04 - 95% CD'!D106:G106,"Y")&gt;0,"Y",IF(COUNTIF('04 - 95% CD'!D106:G106,"N"),"N",""))</f>
        <v>Y</v>
      </c>
      <c r="B106" s="191"/>
      <c r="C106" s="944"/>
      <c r="D106" s="321"/>
      <c r="E106" s="466"/>
      <c r="F106" s="559" t="str">
        <f>IF('C-Design&amp;Const'!$U106="","",'C-Design&amp;Const'!$U106)</f>
        <v>Y</v>
      </c>
      <c r="G106" s="558"/>
      <c r="H106" s="1028" t="str">
        <f>CONCATENATE(IF(F106="N","PLACEHOLDER ROW - ",""),'C-Design&amp;Const'!Z106,IF(F106="N","",J106))</f>
        <v>Electrical - Emergency Generator systems to support **(verify existing systems for renovations) (Final w/ all updates)</v>
      </c>
      <c r="I106" s="186"/>
      <c r="J106" s="578" t="str">
        <f>IF('C-Design&amp;Const'!AK106="","",'C-Design&amp;Const'!AK106)</f>
        <v xml:space="preserve"> (Final w/ all updates)</v>
      </c>
      <c r="K106" s="285" t="str">
        <f t="shared" si="10"/>
        <v>match</v>
      </c>
      <c r="L106" s="1410" t="str">
        <f t="shared" si="11"/>
        <v/>
      </c>
      <c r="M106" s="1382"/>
      <c r="N106" s="1382"/>
      <c r="O106" s="1382"/>
      <c r="P106" s="1382"/>
      <c r="Q106" s="1382"/>
      <c r="R106" s="1490"/>
      <c r="S106" s="1274"/>
      <c r="T106" s="1274"/>
      <c r="U106" s="1382"/>
      <c r="V106" s="1382"/>
      <c r="W106" s="1382"/>
      <c r="X106" s="1382"/>
      <c r="Y106" s="1382"/>
      <c r="Z106" s="1382"/>
      <c r="AA106" s="1382"/>
      <c r="AB106" s="1382"/>
      <c r="AC106" s="1382"/>
      <c r="AD106" s="1382"/>
      <c r="AE106" s="1382"/>
      <c r="AF106" s="1382"/>
      <c r="AG106" s="1382"/>
      <c r="AH106" s="1382"/>
      <c r="AI106" s="1382"/>
      <c r="AJ106" s="1382"/>
      <c r="AK106" s="181"/>
      <c r="AL106" s="181"/>
      <c r="AM106" s="181"/>
      <c r="AN106" s="181"/>
      <c r="AO106" s="181"/>
      <c r="AP106" s="181"/>
      <c r="AQ106" s="181"/>
      <c r="AR106" s="181"/>
      <c r="AS106" s="181"/>
      <c r="AT106" s="181"/>
      <c r="AU106" s="181"/>
      <c r="AV106" s="181"/>
      <c r="AW106" s="181"/>
    </row>
    <row r="107" spans="1:49" s="30" customFormat="1" x14ac:dyDescent="0.25">
      <c r="A107" s="1407" t="str">
        <f>IF(COUNTIF('04 - 95% CD'!D107:G107,"Y")&gt;0,"Y",IF(COUNTIF('04 - 95% CD'!D107:G107,"N"),"N",""))</f>
        <v>N</v>
      </c>
      <c r="B107" s="191"/>
      <c r="C107" s="944"/>
      <c r="D107" s="321"/>
      <c r="E107" s="466"/>
      <c r="F107" s="559" t="str">
        <f>IF('C-Design&amp;Const'!$U107="","",'C-Design&amp;Const'!$U107)</f>
        <v>N</v>
      </c>
      <c r="G107" s="558"/>
      <c r="H107" s="1028" t="str">
        <f>CONCATENATE(IF(F107="N","PLACEHOLDER ROW - ",""),'C-Design&amp;Const'!Z107,IF(F107="N","",J107))</f>
        <v>PLACEHOLDER ROW - Electrical - Cut Sheets or Product Sheets on Lighting fixtures</v>
      </c>
      <c r="I107" s="186"/>
      <c r="J107" s="578" t="str">
        <f>IF('C-Design&amp;Const'!AK107="","",'C-Design&amp;Const'!AK107)</f>
        <v xml:space="preserve"> (Final w/ all updates)</v>
      </c>
      <c r="K107" s="285" t="str">
        <f t="shared" si="10"/>
        <v>match</v>
      </c>
      <c r="L107" s="1410" t="str">
        <f t="shared" si="11"/>
        <v>&lt;---PM/Planner may hide PLACEHOLDER ROW</v>
      </c>
      <c r="M107" s="1382"/>
      <c r="N107" s="1382"/>
      <c r="O107" s="1382"/>
      <c r="P107" s="1382"/>
      <c r="Q107" s="1382"/>
      <c r="R107" s="1490"/>
      <c r="S107" s="1274"/>
      <c r="T107" s="1274"/>
      <c r="U107" s="1382"/>
      <c r="V107" s="1382"/>
      <c r="W107" s="1382"/>
      <c r="X107" s="1382"/>
      <c r="Y107" s="1382"/>
      <c r="Z107" s="1382"/>
      <c r="AA107" s="1382"/>
      <c r="AB107" s="1382"/>
      <c r="AC107" s="1382"/>
      <c r="AD107" s="1382"/>
      <c r="AE107" s="1382"/>
      <c r="AF107" s="1382"/>
      <c r="AG107" s="1382"/>
      <c r="AH107" s="1382"/>
      <c r="AI107" s="1382"/>
      <c r="AJ107" s="1382"/>
      <c r="AK107" s="181"/>
      <c r="AL107" s="181"/>
      <c r="AM107" s="181"/>
      <c r="AN107" s="181"/>
      <c r="AO107" s="181"/>
      <c r="AP107" s="181"/>
      <c r="AQ107" s="181"/>
      <c r="AR107" s="181"/>
      <c r="AS107" s="181"/>
      <c r="AT107" s="181"/>
      <c r="AU107" s="181"/>
      <c r="AV107" s="181"/>
      <c r="AW107" s="181"/>
    </row>
    <row r="108" spans="1:49" s="30" customFormat="1" x14ac:dyDescent="0.25">
      <c r="A108" s="1407" t="str">
        <f>IF(COUNTIF('04 - 95% CD'!D108:G108,"Y")&gt;0,"Y",IF(COUNTIF('04 - 95% CD'!D108:G108,"N"),"N",""))</f>
        <v>N</v>
      </c>
      <c r="B108" s="191"/>
      <c r="C108" s="944"/>
      <c r="D108" s="321"/>
      <c r="E108" s="466"/>
      <c r="F108" s="559" t="str">
        <f>IF('C-Design&amp;Const'!$U108="","",'C-Design&amp;Const'!$U108)</f>
        <v>N</v>
      </c>
      <c r="G108" s="558"/>
      <c r="H108" s="1028" t="str">
        <f>CONCATENATE(IF(F108="N","PLACEHOLDER ROW - ",""),'C-Design&amp;Const'!Z108,IF(F108="N","",J108))</f>
        <v>PLACEHOLDER ROW - Electrical - CUSTOM</v>
      </c>
      <c r="I108" s="186"/>
      <c r="J108" s="578" t="str">
        <f>IF('C-Design&amp;Const'!AK108="","",'C-Design&amp;Const'!AK108)</f>
        <v xml:space="preserve"> (Final w/ all updates)</v>
      </c>
      <c r="K108" s="285" t="str">
        <f t="shared" si="10"/>
        <v>match</v>
      </c>
      <c r="L108" s="1410" t="str">
        <f t="shared" si="11"/>
        <v>&lt;---PM/Planner may hide PLACEHOLDER ROW</v>
      </c>
      <c r="M108" s="1382"/>
      <c r="N108" s="1382"/>
      <c r="O108" s="1382"/>
      <c r="P108" s="1382"/>
      <c r="Q108" s="1382"/>
      <c r="R108" s="1490"/>
      <c r="S108" s="1274"/>
      <c r="T108" s="1274"/>
      <c r="U108" s="1382"/>
      <c r="V108" s="1382"/>
      <c r="W108" s="1382"/>
      <c r="X108" s="1382"/>
      <c r="Y108" s="1382"/>
      <c r="Z108" s="1382"/>
      <c r="AA108" s="1382"/>
      <c r="AB108" s="1382"/>
      <c r="AC108" s="1382"/>
      <c r="AD108" s="1382"/>
      <c r="AE108" s="1382"/>
      <c r="AF108" s="1382"/>
      <c r="AG108" s="1382"/>
      <c r="AH108" s="1382"/>
      <c r="AI108" s="1382"/>
      <c r="AJ108" s="1382"/>
      <c r="AK108" s="181"/>
      <c r="AL108" s="181"/>
      <c r="AM108" s="181"/>
      <c r="AN108" s="181"/>
      <c r="AO108" s="181"/>
      <c r="AP108" s="181"/>
      <c r="AQ108" s="181"/>
      <c r="AR108" s="181"/>
      <c r="AS108" s="181"/>
      <c r="AT108" s="181"/>
      <c r="AU108" s="181"/>
      <c r="AV108" s="181"/>
      <c r="AW108" s="181"/>
    </row>
    <row r="109" spans="1:49" s="30" customFormat="1" ht="28.5" x14ac:dyDescent="0.25">
      <c r="A109" s="1407" t="str">
        <f>IF(COUNTIF('04 - 95% CD'!D109:G109,"Y")&gt;0,"Y",IF(COUNTIF('04 - 95% CD'!D109:G109,"N"),"N",""))</f>
        <v>Y</v>
      </c>
      <c r="B109" s="191"/>
      <c r="C109" s="944"/>
      <c r="D109" s="321"/>
      <c r="E109" s="466"/>
      <c r="F109" s="559" t="str">
        <f>IF('C-Design&amp;Const'!$U109="","",'C-Design&amp;Const'!$U109)</f>
        <v>Y</v>
      </c>
      <c r="G109" s="558"/>
      <c r="H109" s="1028" t="str">
        <f>CONCATENATE(IF(F109="N","PLACEHOLDER ROW - ",""),'C-Design&amp;Const'!Z109,IF(F109="N","",J109))</f>
        <v>Building Automation Systems- General - **(verify existing system for renovations) (Final w/ all updates)</v>
      </c>
      <c r="I109" s="186"/>
      <c r="J109" s="578" t="str">
        <f>IF('C-Design&amp;Const'!AK109="","",'C-Design&amp;Const'!AK109)</f>
        <v xml:space="preserve"> (Final w/ all updates)</v>
      </c>
      <c r="K109" s="285" t="str">
        <f t="shared" ref="K109:K116" si="12">IF((COUNTIF(D109:G109,"Y")=COUNTIF(A109,"Y")),"match","no 95% match")</f>
        <v>match</v>
      </c>
      <c r="L109" s="1410" t="str">
        <f t="shared" ref="L109:L116" si="13">CONCATENATE(IF(ISNUMBER(SEARCH("Placeholder",H109))=TRUE,"&lt;---PM/Planner may hide PLACEHOLDER ROW",""))</f>
        <v/>
      </c>
      <c r="M109" s="1382"/>
      <c r="N109" s="1382"/>
      <c r="O109" s="1382"/>
      <c r="P109" s="1382"/>
      <c r="Q109" s="1382"/>
      <c r="R109" s="1490"/>
      <c r="S109" s="1274"/>
      <c r="T109" s="1274"/>
      <c r="U109" s="1382"/>
      <c r="V109" s="1382"/>
      <c r="W109" s="1382"/>
      <c r="X109" s="1382"/>
      <c r="Y109" s="1382"/>
      <c r="Z109" s="1382"/>
      <c r="AA109" s="1382"/>
      <c r="AB109" s="1382"/>
      <c r="AC109" s="1382"/>
      <c r="AD109" s="1382"/>
      <c r="AE109" s="1382"/>
      <c r="AF109" s="1382"/>
      <c r="AG109" s="1382"/>
      <c r="AH109" s="1382"/>
      <c r="AI109" s="1382"/>
      <c r="AJ109" s="1382"/>
      <c r="AK109" s="181"/>
      <c r="AL109" s="181"/>
      <c r="AM109" s="181"/>
      <c r="AN109" s="181"/>
      <c r="AO109" s="181"/>
      <c r="AP109" s="181"/>
      <c r="AQ109" s="181"/>
      <c r="AR109" s="181"/>
      <c r="AS109" s="181"/>
      <c r="AT109" s="181"/>
      <c r="AU109" s="181"/>
      <c r="AV109" s="181"/>
      <c r="AW109" s="181"/>
    </row>
    <row r="110" spans="1:49" s="30" customFormat="1" x14ac:dyDescent="0.25">
      <c r="A110" s="1407" t="str">
        <f>IF(COUNTIF('04 - 95% CD'!D111:G111,"Y")&gt;0,"Y",IF(COUNTIF('04 - 95% CD'!D111:G111,"N"),"N",""))</f>
        <v>Y</v>
      </c>
      <c r="B110" s="191"/>
      <c r="C110" s="944"/>
      <c r="D110" s="321"/>
      <c r="E110" s="466"/>
      <c r="F110" s="559" t="str">
        <f>IF('C-Design&amp;Const'!$U111="","",'C-Design&amp;Const'!$U111)</f>
        <v>Y</v>
      </c>
      <c r="G110" s="558"/>
      <c r="H110" s="1028" t="str">
        <f>CONCATENATE(IF(F110="N","PLACEHOLDER ROW - ",""),'C-Design&amp;Const'!Z111,IF(F110="N","",J110))</f>
        <v>Building Automation Systems - Systems Network Architecture (Final w/ all updates)</v>
      </c>
      <c r="I110" s="186"/>
      <c r="J110" s="578" t="str">
        <f>IF('C-Design&amp;Const'!AK111="","",'C-Design&amp;Const'!AK111)</f>
        <v xml:space="preserve"> (Final w/ all updates)</v>
      </c>
      <c r="K110" s="285" t="str">
        <f t="shared" si="12"/>
        <v>match</v>
      </c>
      <c r="L110" s="1410" t="str">
        <f t="shared" si="13"/>
        <v/>
      </c>
      <c r="M110" s="1382"/>
      <c r="N110" s="1382"/>
      <c r="O110" s="1382"/>
      <c r="P110" s="1382"/>
      <c r="Q110" s="1382"/>
      <c r="R110" s="1490"/>
      <c r="S110" s="1274"/>
      <c r="T110" s="1274"/>
      <c r="U110" s="1382"/>
      <c r="V110" s="1382"/>
      <c r="W110" s="1382"/>
      <c r="X110" s="1382"/>
      <c r="Y110" s="1382"/>
      <c r="Z110" s="1382"/>
      <c r="AA110" s="1382"/>
      <c r="AB110" s="1382"/>
      <c r="AC110" s="1382"/>
      <c r="AD110" s="1382"/>
      <c r="AE110" s="1382"/>
      <c r="AF110" s="1382"/>
      <c r="AG110" s="1382"/>
      <c r="AH110" s="1382"/>
      <c r="AI110" s="1382"/>
      <c r="AJ110" s="1382"/>
      <c r="AK110" s="181"/>
      <c r="AL110" s="181"/>
      <c r="AM110" s="181"/>
      <c r="AN110" s="181"/>
      <c r="AO110" s="181"/>
      <c r="AP110" s="181"/>
      <c r="AQ110" s="181"/>
      <c r="AR110" s="181"/>
      <c r="AS110" s="181"/>
      <c r="AT110" s="181"/>
      <c r="AU110" s="181"/>
      <c r="AV110" s="181"/>
      <c r="AW110" s="181"/>
    </row>
    <row r="111" spans="1:49" s="545" customFormat="1" x14ac:dyDescent="0.25">
      <c r="A111" s="1407" t="str">
        <f>IF(COUNTIF('04 - 95% CD'!D111:G111,"Y")&gt;0,"Y",IF(COUNTIF('04 - 95% CD'!D111:G111,"N"),"N",""))</f>
        <v>Y</v>
      </c>
      <c r="B111" s="554"/>
      <c r="C111" s="944"/>
      <c r="D111" s="321"/>
      <c r="E111" s="466"/>
      <c r="F111" s="559" t="str">
        <f>IF('C-Design&amp;Const'!$U111="","",'C-Design&amp;Const'!$U111)</f>
        <v>Y</v>
      </c>
      <c r="G111" s="558"/>
      <c r="H111" s="1028" t="str">
        <f>CONCATENATE(IF(F111="N","PLACEHOLDER ROW - ",""),'C-Design&amp;Const'!Z111,IF(F111="N","",J111))</f>
        <v>Building Automation Systems - Systems Network Architecture (Final w/ all updates)</v>
      </c>
      <c r="I111" s="186"/>
      <c r="J111" s="578" t="str">
        <f>IF('C-Design&amp;Const'!AK111="","",'C-Design&amp;Const'!AK111)</f>
        <v xml:space="preserve"> (Final w/ all updates)</v>
      </c>
      <c r="K111" s="285" t="str">
        <f t="shared" si="12"/>
        <v>match</v>
      </c>
      <c r="L111" s="1410" t="str">
        <f t="shared" si="13"/>
        <v/>
      </c>
      <c r="M111" s="1382"/>
      <c r="N111" s="1382"/>
      <c r="O111" s="1382"/>
      <c r="P111" s="1382"/>
      <c r="Q111" s="1382"/>
      <c r="R111" s="1490"/>
      <c r="S111" s="1274"/>
      <c r="T111" s="1274"/>
      <c r="U111" s="1382"/>
      <c r="V111" s="1382"/>
      <c r="W111" s="1382"/>
      <c r="X111" s="1382"/>
      <c r="Y111" s="1382"/>
      <c r="Z111" s="1382"/>
      <c r="AA111" s="1382"/>
      <c r="AB111" s="1382"/>
      <c r="AC111" s="1382"/>
      <c r="AD111" s="1382"/>
      <c r="AE111" s="1382"/>
      <c r="AF111" s="1382"/>
      <c r="AG111" s="1382"/>
      <c r="AH111" s="1382"/>
      <c r="AI111" s="1382"/>
      <c r="AJ111" s="1382"/>
      <c r="AK111" s="551"/>
      <c r="AL111" s="551"/>
      <c r="AM111" s="551"/>
      <c r="AN111" s="551"/>
      <c r="AO111" s="551"/>
      <c r="AP111" s="551"/>
      <c r="AQ111" s="551"/>
      <c r="AR111" s="551"/>
      <c r="AS111" s="551"/>
      <c r="AT111" s="551"/>
      <c r="AU111" s="551"/>
      <c r="AV111" s="551"/>
      <c r="AW111" s="551"/>
    </row>
    <row r="112" spans="1:49" s="30" customFormat="1" x14ac:dyDescent="0.25">
      <c r="A112" s="1407" t="str">
        <f>IF(COUNTIF('04 - 95% CD'!D112:G112,"Y")&gt;0,"Y",IF(COUNTIF('04 - 95% CD'!D112:G112,"N"),"N",""))</f>
        <v>Y</v>
      </c>
      <c r="B112" s="191"/>
      <c r="C112" s="944"/>
      <c r="D112" s="321"/>
      <c r="E112" s="466"/>
      <c r="F112" s="559" t="str">
        <f>IF('C-Design&amp;Const'!$U112="","",'C-Design&amp;Const'!$U112)</f>
        <v>Y</v>
      </c>
      <c r="G112" s="558"/>
      <c r="H112" s="1028" t="str">
        <f>CONCATENATE(IF(F112="N","PLACEHOLDER ROW - ",""),'C-Design&amp;Const'!Z112,IF(F112="N","",J112))</f>
        <v>Building Automation Systems - HVAC Temperature Controls System(s) (Final w/ all updates)</v>
      </c>
      <c r="I112" s="186"/>
      <c r="J112" s="578" t="str">
        <f>IF('C-Design&amp;Const'!AK112="","",'C-Design&amp;Const'!AK112)</f>
        <v xml:space="preserve"> (Final w/ all updates)</v>
      </c>
      <c r="K112" s="285" t="str">
        <f t="shared" si="12"/>
        <v>match</v>
      </c>
      <c r="L112" s="1410" t="str">
        <f t="shared" si="13"/>
        <v/>
      </c>
      <c r="M112" s="1382"/>
      <c r="N112" s="1382"/>
      <c r="O112" s="1382"/>
      <c r="P112" s="1382"/>
      <c r="Q112" s="1382"/>
      <c r="R112" s="1490"/>
      <c r="S112" s="1274"/>
      <c r="T112" s="1274"/>
      <c r="U112" s="1382"/>
      <c r="V112" s="1382"/>
      <c r="W112" s="1382"/>
      <c r="X112" s="1382"/>
      <c r="Y112" s="1382"/>
      <c r="Z112" s="1382"/>
      <c r="AA112" s="1382"/>
      <c r="AB112" s="1382"/>
      <c r="AC112" s="1382"/>
      <c r="AD112" s="1382"/>
      <c r="AE112" s="1382"/>
      <c r="AF112" s="1382"/>
      <c r="AG112" s="1382"/>
      <c r="AH112" s="1382"/>
      <c r="AI112" s="1382"/>
      <c r="AJ112" s="1382"/>
      <c r="AK112" s="181"/>
      <c r="AL112" s="181"/>
      <c r="AM112" s="181"/>
      <c r="AN112" s="181"/>
      <c r="AO112" s="181"/>
      <c r="AP112" s="181"/>
      <c r="AQ112" s="181"/>
      <c r="AR112" s="181"/>
      <c r="AS112" s="181"/>
      <c r="AT112" s="181"/>
      <c r="AU112" s="181"/>
      <c r="AV112" s="181"/>
      <c r="AW112" s="181"/>
    </row>
    <row r="113" spans="1:50" s="30" customFormat="1" ht="15" customHeight="1" x14ac:dyDescent="0.25">
      <c r="A113" s="1407" t="str">
        <f>IF(COUNTIF('04 - 95% CD'!D113:G113,"Y")&gt;0,"Y",IF(COUNTIF('04 - 95% CD'!D113:G113,"N"),"N",""))</f>
        <v>N</v>
      </c>
      <c r="B113" s="191"/>
      <c r="C113" s="944"/>
      <c r="D113" s="463"/>
      <c r="E113" s="467"/>
      <c r="F113" s="559" t="str">
        <f>IF('C-Design&amp;Const'!$U113="","",'C-Design&amp;Const'!$U113)</f>
        <v>N</v>
      </c>
      <c r="G113" s="291"/>
      <c r="H113" s="1029" t="str">
        <f>CONCATENATE(IF(F113="N","PLACEHOLDER ROW - ",""),'C-Design&amp;Const'!Z113,IF(F113="N","",J113))</f>
        <v>PLACEHOLDER ROW - Building Automation Systems - CUSTOM</v>
      </c>
      <c r="I113" s="184"/>
      <c r="J113" s="578" t="str">
        <f>IF('C-Design&amp;Const'!AK113="","",'C-Design&amp;Const'!AK113)</f>
        <v xml:space="preserve"> (Final w/ all updates)</v>
      </c>
      <c r="K113" s="285" t="str">
        <f t="shared" si="12"/>
        <v>match</v>
      </c>
      <c r="L113" s="1410" t="str">
        <f t="shared" si="13"/>
        <v>&lt;---PM/Planner may hide PLACEHOLDER ROW</v>
      </c>
      <c r="M113" s="1382"/>
      <c r="N113" s="1382"/>
      <c r="O113" s="1382"/>
      <c r="P113" s="1382"/>
      <c r="Q113" s="1382"/>
      <c r="R113" s="1382"/>
      <c r="S113" s="1382"/>
      <c r="T113" s="1382"/>
      <c r="U113" s="1382"/>
      <c r="V113" s="1382"/>
      <c r="W113" s="1382"/>
      <c r="X113" s="1382"/>
      <c r="Y113" s="1382"/>
      <c r="Z113" s="1382"/>
      <c r="AA113" s="1382"/>
      <c r="AB113" s="1382"/>
      <c r="AC113" s="1382"/>
      <c r="AD113" s="1382"/>
      <c r="AE113" s="1382"/>
      <c r="AF113" s="1382"/>
      <c r="AG113" s="1382"/>
      <c r="AH113" s="1382"/>
      <c r="AI113" s="1382"/>
      <c r="AJ113" s="1382"/>
      <c r="AK113" s="181"/>
      <c r="AL113" s="181"/>
      <c r="AM113" s="181"/>
      <c r="AN113" s="181"/>
      <c r="AO113" s="181"/>
      <c r="AP113" s="181"/>
      <c r="AQ113" s="181"/>
      <c r="AR113" s="181"/>
      <c r="AS113" s="181"/>
      <c r="AT113" s="181"/>
      <c r="AU113" s="181"/>
      <c r="AV113" s="181"/>
      <c r="AW113" s="181"/>
    </row>
    <row r="114" spans="1:50" s="30" customFormat="1" ht="15" customHeight="1" x14ac:dyDescent="0.25">
      <c r="A114" s="1407" t="str">
        <f>IF(COUNTIF('04 - 95% CD'!D114:G114,"Y")&gt;0,"Y",IF(COUNTIF('04 - 95% CD'!D114:G114,"N"),"N",""))</f>
        <v>Y</v>
      </c>
      <c r="B114" s="191"/>
      <c r="C114" s="944"/>
      <c r="D114" s="463"/>
      <c r="E114" s="467"/>
      <c r="F114" s="559" t="str">
        <f>IF('C-Design&amp;Const'!$U114="","",'C-Design&amp;Const'!$U114)</f>
        <v>Y</v>
      </c>
      <c r="G114" s="291"/>
      <c r="H114" s="1029" t="str">
        <f>CONCATENATE(IF(F114="N","PLACEHOLDER ROW - ",""),'C-Design&amp;Const'!Z114,IF(F114="N","",J114))</f>
        <v>Access Controls - General Systems (Final w/ all updates)</v>
      </c>
      <c r="I114" s="184"/>
      <c r="J114" s="578" t="str">
        <f>IF('C-Design&amp;Const'!AK114="","",'C-Design&amp;Const'!AK114)</f>
        <v xml:space="preserve"> (Final w/ all updates)</v>
      </c>
      <c r="K114" s="285" t="str">
        <f t="shared" si="12"/>
        <v>match</v>
      </c>
      <c r="L114" s="1410" t="str">
        <f t="shared" si="13"/>
        <v/>
      </c>
      <c r="M114" s="1382"/>
      <c r="N114" s="1382"/>
      <c r="O114" s="1382"/>
      <c r="P114" s="1382"/>
      <c r="Q114" s="1382"/>
      <c r="R114" s="1382"/>
      <c r="S114" s="1382"/>
      <c r="T114" s="1382"/>
      <c r="U114" s="1382"/>
      <c r="V114" s="1382"/>
      <c r="W114" s="1382"/>
      <c r="X114" s="1382"/>
      <c r="Y114" s="1382"/>
      <c r="Z114" s="1382"/>
      <c r="AA114" s="1382"/>
      <c r="AB114" s="1382"/>
      <c r="AC114" s="1382"/>
      <c r="AD114" s="1382"/>
      <c r="AE114" s="1382"/>
      <c r="AF114" s="1382"/>
      <c r="AG114" s="1382"/>
      <c r="AH114" s="1382"/>
      <c r="AI114" s="1382"/>
      <c r="AJ114" s="1382"/>
      <c r="AK114" s="181"/>
      <c r="AL114" s="181"/>
      <c r="AM114" s="181"/>
      <c r="AN114" s="181"/>
      <c r="AO114" s="181"/>
      <c r="AP114" s="181"/>
      <c r="AQ114" s="181"/>
      <c r="AR114" s="181"/>
      <c r="AS114" s="181"/>
      <c r="AT114" s="181"/>
      <c r="AU114" s="181"/>
      <c r="AV114" s="181"/>
      <c r="AW114" s="181"/>
    </row>
    <row r="115" spans="1:50" s="545" customFormat="1" x14ac:dyDescent="0.25">
      <c r="A115" s="1407" t="str">
        <f>IF(COUNTIF('04 - 95% CD'!D115:G115,"Y")&gt;0,"Y",IF(COUNTIF('04 - 95% CD'!D115:G115,"N"),"N",""))</f>
        <v>Y</v>
      </c>
      <c r="B115" s="554"/>
      <c r="C115" s="944"/>
      <c r="D115" s="321"/>
      <c r="E115" s="466"/>
      <c r="F115" s="559" t="str">
        <f>IF('C-Design&amp;Const'!$U115="","",'C-Design&amp;Const'!$U115)</f>
        <v>Y</v>
      </c>
      <c r="G115" s="558"/>
      <c r="H115" s="1028" t="str">
        <f>CONCATENATE(IF(F115="N","PLACEHOLDER ROW - ",""),'C-Design&amp;Const'!Z115,IF(F115="N","",J115))</f>
        <v>Access Controls - Demolition(s) (Final w/ all updates)</v>
      </c>
      <c r="I115" s="186"/>
      <c r="J115" s="578" t="str">
        <f>IF('C-Design&amp;Const'!AK115="","",'C-Design&amp;Const'!AK115)</f>
        <v xml:space="preserve"> (Final w/ all updates)</v>
      </c>
      <c r="K115" s="285" t="str">
        <f t="shared" ref="K115" si="14">IF((COUNTIF(D115:G115,"Y")=COUNTIF(A115,"Y")),"match","no 95% match")</f>
        <v>match</v>
      </c>
      <c r="L115" s="1410" t="str">
        <f t="shared" ref="L115" si="15">CONCATENATE(IF(ISNUMBER(SEARCH("Placeholder",H115))=TRUE,"&lt;---PM/Planner may hide PLACEHOLDER ROW",""))</f>
        <v/>
      </c>
      <c r="M115" s="1382"/>
      <c r="N115" s="1382"/>
      <c r="O115" s="1382"/>
      <c r="P115" s="1382"/>
      <c r="Q115" s="1382"/>
      <c r="R115" s="1490"/>
      <c r="S115" s="1274"/>
      <c r="T115" s="1274"/>
      <c r="U115" s="1382"/>
      <c r="V115" s="1382"/>
      <c r="W115" s="1382"/>
      <c r="X115" s="1382"/>
      <c r="Y115" s="1382"/>
      <c r="Z115" s="1382"/>
      <c r="AA115" s="1382"/>
      <c r="AB115" s="1382"/>
      <c r="AC115" s="1382"/>
      <c r="AD115" s="1382"/>
      <c r="AE115" s="1382"/>
      <c r="AF115" s="1382"/>
      <c r="AG115" s="1382"/>
      <c r="AH115" s="1382"/>
      <c r="AI115" s="1382"/>
      <c r="AJ115" s="1382"/>
      <c r="AK115" s="551"/>
      <c r="AL115" s="551"/>
      <c r="AM115" s="551"/>
      <c r="AN115" s="551"/>
      <c r="AO115" s="551"/>
      <c r="AP115" s="551"/>
      <c r="AQ115" s="551"/>
      <c r="AR115" s="551"/>
      <c r="AS115" s="551"/>
      <c r="AT115" s="551"/>
      <c r="AU115" s="551"/>
      <c r="AV115" s="551"/>
      <c r="AW115" s="551"/>
    </row>
    <row r="116" spans="1:50" s="30" customFormat="1" ht="15" customHeight="1" x14ac:dyDescent="0.25">
      <c r="A116" s="1407" t="str">
        <f>IF(COUNTIF('04 - 95% CD'!D122:G122,"Y")&gt;0,"Y",IF(COUNTIF('04 - 95% CD'!D122:G122,"N"),"N",""))</f>
        <v>N</v>
      </c>
      <c r="B116" s="191"/>
      <c r="C116" s="944"/>
      <c r="D116" s="463"/>
      <c r="E116" s="467"/>
      <c r="F116" s="559" t="str">
        <f>IF('C-Design&amp;Const'!$U116="","",'C-Design&amp;Const'!$U116)</f>
        <v>N</v>
      </c>
      <c r="G116" s="291"/>
      <c r="H116" s="1029" t="str">
        <f>CONCATENATE(IF(F116="N","PLACEHOLDER ROW - ",""),'C-Design&amp;Const'!Z116,IF(F116="N","",J116))</f>
        <v>PLACEHOLDER ROW - Access Controls - CUSTOM</v>
      </c>
      <c r="I116" s="184"/>
      <c r="J116" s="578" t="str">
        <f>IF('C-Design&amp;Const'!AK116="","",'C-Design&amp;Const'!AK116)</f>
        <v xml:space="preserve"> (Final w/ all updates)</v>
      </c>
      <c r="K116" s="285" t="str">
        <f t="shared" si="12"/>
        <v>match</v>
      </c>
      <c r="L116" s="1410" t="str">
        <f t="shared" si="13"/>
        <v>&lt;---PM/Planner may hide PLACEHOLDER ROW</v>
      </c>
      <c r="M116" s="1382"/>
      <c r="N116" s="1382"/>
      <c r="O116" s="1382"/>
      <c r="P116" s="1382"/>
      <c r="Q116" s="1382"/>
      <c r="R116" s="1382"/>
      <c r="S116" s="1382"/>
      <c r="T116" s="1382"/>
      <c r="U116" s="1382"/>
      <c r="V116" s="1382"/>
      <c r="W116" s="1382"/>
      <c r="X116" s="1382"/>
      <c r="Y116" s="1382"/>
      <c r="Z116" s="1382"/>
      <c r="AA116" s="1382"/>
      <c r="AB116" s="1382"/>
      <c r="AC116" s="1382"/>
      <c r="AD116" s="1382"/>
      <c r="AE116" s="1382"/>
      <c r="AF116" s="1382"/>
      <c r="AG116" s="1382"/>
      <c r="AH116" s="1382"/>
      <c r="AI116" s="1382"/>
      <c r="AJ116" s="1382"/>
      <c r="AK116" s="181"/>
      <c r="AL116" s="181"/>
      <c r="AM116" s="181"/>
      <c r="AN116" s="181"/>
      <c r="AO116" s="181"/>
      <c r="AP116" s="181"/>
      <c r="AQ116" s="181"/>
      <c r="AR116" s="181"/>
      <c r="AS116" s="181"/>
      <c r="AT116" s="181"/>
      <c r="AU116" s="181"/>
      <c r="AV116" s="181"/>
      <c r="AW116" s="181"/>
    </row>
    <row r="117" spans="1:50" s="30" customFormat="1" x14ac:dyDescent="0.25">
      <c r="A117" s="1407" t="str">
        <f>IF(COUNTIF('04 - 95% CD'!D116:G116,"Y")&gt;0,"Y",IF(COUNTIF('04 - 95% CD'!D116:G116,"N"),"N",""))</f>
        <v>N</v>
      </c>
      <c r="B117" s="191"/>
      <c r="C117" s="944"/>
      <c r="D117" s="321"/>
      <c r="E117" s="466"/>
      <c r="F117" s="559" t="str">
        <f>IF('C-Design&amp;Const'!$U117="","",'C-Design&amp;Const'!$U117)</f>
        <v>Y</v>
      </c>
      <c r="G117" s="558"/>
      <c r="H117" s="1028" t="str">
        <f>CONCATENATE(IF(F117="N","PLACEHOLDER ROW - ",""),'C-Design&amp;Const'!Z117,IF(F117="N","",J117))</f>
        <v>Telecom - General Systems  (Final w/ all updates)</v>
      </c>
      <c r="I117" s="186"/>
      <c r="J117" s="578" t="str">
        <f>IF('C-Design&amp;Const'!AK117="","",'C-Design&amp;Const'!AK117)</f>
        <v xml:space="preserve"> (Final w/ all updates)</v>
      </c>
      <c r="K117" s="285" t="str">
        <f t="shared" si="10"/>
        <v>no 95% match</v>
      </c>
      <c r="L117" s="1410" t="str">
        <f t="shared" si="11"/>
        <v/>
      </c>
      <c r="M117" s="1382"/>
      <c r="N117" s="1382"/>
      <c r="O117" s="1382"/>
      <c r="P117" s="1382"/>
      <c r="Q117" s="1382"/>
      <c r="R117" s="1490"/>
      <c r="S117" s="1274"/>
      <c r="T117" s="1274"/>
      <c r="U117" s="1382"/>
      <c r="V117" s="1382"/>
      <c r="W117" s="1382"/>
      <c r="X117" s="1382"/>
      <c r="Y117" s="1382"/>
      <c r="Z117" s="1382"/>
      <c r="AA117" s="1382"/>
      <c r="AB117" s="1382"/>
      <c r="AC117" s="1382"/>
      <c r="AD117" s="1382"/>
      <c r="AE117" s="1382"/>
      <c r="AF117" s="1382"/>
      <c r="AG117" s="1382"/>
      <c r="AH117" s="1382"/>
      <c r="AI117" s="1382"/>
      <c r="AJ117" s="1382"/>
      <c r="AK117" s="181"/>
      <c r="AL117" s="181"/>
      <c r="AM117" s="181"/>
      <c r="AN117" s="181"/>
      <c r="AO117" s="181"/>
      <c r="AP117" s="181"/>
      <c r="AQ117" s="181"/>
      <c r="AR117" s="181"/>
      <c r="AS117" s="181"/>
      <c r="AT117" s="181"/>
      <c r="AU117" s="181"/>
      <c r="AV117" s="181"/>
      <c r="AW117" s="181"/>
    </row>
    <row r="118" spans="1:50" s="545" customFormat="1" x14ac:dyDescent="0.25">
      <c r="A118" s="1407" t="str">
        <f>IF(COUNTIF('04 - 95% CD'!D118:G118,"Y")&gt;0,"Y",IF(COUNTIF('04 - 95% CD'!D118:G118,"N"),"N",""))</f>
        <v>Y</v>
      </c>
      <c r="B118" s="554"/>
      <c r="C118" s="944"/>
      <c r="D118" s="321"/>
      <c r="E118" s="466"/>
      <c r="F118" s="559" t="str">
        <f>IF('C-Design&amp;Const'!$U118="","",'C-Design&amp;Const'!$U118)</f>
        <v>Y</v>
      </c>
      <c r="G118" s="558"/>
      <c r="H118" s="1028" t="str">
        <f>CONCATENATE(IF(F118="N","PLACEHOLDER ROW - ",""),'C-Design&amp;Const'!Z118,IF(F118="N","",J118))</f>
        <v>Telecom - Demolition(s) (Final w/ all updates)</v>
      </c>
      <c r="I118" s="186"/>
      <c r="J118" s="578" t="str">
        <f>IF('C-Design&amp;Const'!AK118="","",'C-Design&amp;Const'!AK118)</f>
        <v xml:space="preserve"> (Final w/ all updates)</v>
      </c>
      <c r="K118" s="285" t="str">
        <f t="shared" si="10"/>
        <v>match</v>
      </c>
      <c r="L118" s="1410" t="str">
        <f t="shared" si="11"/>
        <v/>
      </c>
      <c r="M118" s="1382"/>
      <c r="N118" s="1382"/>
      <c r="O118" s="1382"/>
      <c r="P118" s="1382"/>
      <c r="Q118" s="1382"/>
      <c r="R118" s="1490"/>
      <c r="S118" s="1274"/>
      <c r="T118" s="1274"/>
      <c r="U118" s="1382"/>
      <c r="V118" s="1382"/>
      <c r="W118" s="1382"/>
      <c r="X118" s="1382"/>
      <c r="Y118" s="1382"/>
      <c r="Z118" s="1382"/>
      <c r="AA118" s="1382"/>
      <c r="AB118" s="1382"/>
      <c r="AC118" s="1382"/>
      <c r="AD118" s="1382"/>
      <c r="AE118" s="1382"/>
      <c r="AF118" s="1382"/>
      <c r="AG118" s="1382"/>
      <c r="AH118" s="1382"/>
      <c r="AI118" s="1382"/>
      <c r="AJ118" s="1382"/>
      <c r="AK118" s="551"/>
      <c r="AL118" s="551"/>
      <c r="AM118" s="551"/>
      <c r="AN118" s="551"/>
      <c r="AO118" s="551"/>
      <c r="AP118" s="551"/>
      <c r="AQ118" s="551"/>
      <c r="AR118" s="551"/>
      <c r="AS118" s="551"/>
      <c r="AT118" s="551"/>
      <c r="AU118" s="551"/>
      <c r="AV118" s="551"/>
      <c r="AW118" s="551"/>
    </row>
    <row r="119" spans="1:50" s="30" customFormat="1" x14ac:dyDescent="0.25">
      <c r="A119" s="1407" t="str">
        <f>IF(COUNTIF('04 - 95% CD'!D117:G117,"Y")&gt;0,"Y",IF(COUNTIF('04 - 95% CD'!D117:G117,"N"),"N",""))</f>
        <v>Y</v>
      </c>
      <c r="B119" s="191"/>
      <c r="C119" s="944"/>
      <c r="D119" s="321"/>
      <c r="E119" s="466"/>
      <c r="F119" s="559" t="str">
        <f>IF('C-Design&amp;Const'!$U119="","",'C-Design&amp;Const'!$U119)</f>
        <v>N</v>
      </c>
      <c r="G119" s="558"/>
      <c r="H119" s="1028" t="str">
        <f>CONCATENATE(IF(F119="N","PLACEHOLDER ROW - ",""),'C-Design&amp;Const'!Z119,IF(F119="N","",J119))</f>
        <v>PLACEHOLDER ROW - Telecom - CUSTOM</v>
      </c>
      <c r="I119" s="186"/>
      <c r="J119" s="578" t="str">
        <f>IF('C-Design&amp;Const'!AK119="","",'C-Design&amp;Const'!AK119)</f>
        <v xml:space="preserve"> (Final w/ all updates)</v>
      </c>
      <c r="K119" s="285" t="str">
        <f t="shared" si="10"/>
        <v>no 95% match</v>
      </c>
      <c r="L119" s="1410" t="str">
        <f t="shared" si="11"/>
        <v>&lt;---PM/Planner may hide PLACEHOLDER ROW</v>
      </c>
      <c r="M119" s="1382"/>
      <c r="N119" s="1382"/>
      <c r="O119" s="1382"/>
      <c r="P119" s="1382"/>
      <c r="Q119" s="1382"/>
      <c r="R119" s="1490"/>
      <c r="S119" s="1274"/>
      <c r="T119" s="1274"/>
      <c r="U119" s="1382"/>
      <c r="V119" s="1382"/>
      <c r="W119" s="1382"/>
      <c r="X119" s="1382"/>
      <c r="Y119" s="1382"/>
      <c r="Z119" s="1382"/>
      <c r="AA119" s="1382"/>
      <c r="AB119" s="1382"/>
      <c r="AC119" s="1382"/>
      <c r="AD119" s="1382"/>
      <c r="AE119" s="1382"/>
      <c r="AF119" s="1382"/>
      <c r="AG119" s="1382"/>
      <c r="AH119" s="1382"/>
      <c r="AI119" s="1382"/>
      <c r="AJ119" s="1382"/>
      <c r="AK119" s="181"/>
      <c r="AL119" s="181"/>
      <c r="AM119" s="181"/>
      <c r="AN119" s="181"/>
      <c r="AO119" s="181"/>
      <c r="AP119" s="181"/>
      <c r="AQ119" s="181"/>
      <c r="AR119" s="181"/>
      <c r="AS119" s="181"/>
      <c r="AT119" s="181"/>
      <c r="AU119" s="181"/>
      <c r="AV119" s="181"/>
      <c r="AW119" s="181"/>
    </row>
    <row r="120" spans="1:50" s="30" customFormat="1" x14ac:dyDescent="0.25">
      <c r="A120" s="1407" t="str">
        <f>IF(COUNTIF('04 - 95% CD'!D119:G119,"Y")&gt;0,"Y",IF(COUNTIF('04 - 95% CD'!D119:G119,"N"),"N",""))</f>
        <v>N</v>
      </c>
      <c r="B120" s="191"/>
      <c r="C120" s="944"/>
      <c r="D120" s="321"/>
      <c r="E120" s="466"/>
      <c r="F120" s="559" t="str">
        <f>IF('C-Design&amp;Const'!$U120="","",'C-Design&amp;Const'!$U120)</f>
        <v>Y</v>
      </c>
      <c r="G120" s="558"/>
      <c r="H120" s="1028" t="str">
        <f>CONCATENATE(IF(F120="N","PLACEHOLDER ROW - ",""),'C-Design&amp;Const'!Z120,IF(F120="N","",J120))</f>
        <v>Audio Visual - General Systems (Final w/ all updates)</v>
      </c>
      <c r="I120" s="186"/>
      <c r="J120" s="578" t="str">
        <f>IF('C-Design&amp;Const'!AK120="","",'C-Design&amp;Const'!AK120)</f>
        <v xml:space="preserve"> (Final w/ all updates)</v>
      </c>
      <c r="K120" s="285" t="str">
        <f t="shared" si="10"/>
        <v>no 95% match</v>
      </c>
      <c r="L120" s="1410" t="str">
        <f t="shared" si="11"/>
        <v/>
      </c>
      <c r="M120" s="1382"/>
      <c r="N120" s="1382"/>
      <c r="O120" s="1382"/>
      <c r="P120" s="1382"/>
      <c r="Q120" s="1382"/>
      <c r="R120" s="1490"/>
      <c r="S120" s="1274"/>
      <c r="T120" s="1274"/>
      <c r="U120" s="1382"/>
      <c r="V120" s="1382"/>
      <c r="W120" s="1382"/>
      <c r="X120" s="1382"/>
      <c r="Y120" s="1382"/>
      <c r="Z120" s="1382"/>
      <c r="AA120" s="1382"/>
      <c r="AB120" s="1382"/>
      <c r="AC120" s="1382"/>
      <c r="AD120" s="1382"/>
      <c r="AE120" s="1382"/>
      <c r="AF120" s="1382"/>
      <c r="AG120" s="1382"/>
      <c r="AH120" s="1382"/>
      <c r="AI120" s="1382"/>
      <c r="AJ120" s="1382"/>
      <c r="AK120" s="181"/>
      <c r="AL120" s="181"/>
      <c r="AM120" s="181"/>
      <c r="AN120" s="181"/>
      <c r="AO120" s="181"/>
      <c r="AP120" s="181"/>
      <c r="AQ120" s="181"/>
      <c r="AR120" s="181"/>
      <c r="AS120" s="181"/>
      <c r="AT120" s="181"/>
      <c r="AU120" s="181"/>
      <c r="AV120" s="181"/>
      <c r="AW120" s="181"/>
    </row>
    <row r="121" spans="1:50" s="545" customFormat="1" x14ac:dyDescent="0.25">
      <c r="A121" s="1407" t="str">
        <f>IF(COUNTIF('04 - 95% CD'!D121:G121,"Y")&gt;0,"Y",IF(COUNTIF('04 - 95% CD'!D121:G121,"N"),"N",""))</f>
        <v>Y</v>
      </c>
      <c r="B121" s="554"/>
      <c r="C121" s="944"/>
      <c r="D121" s="321"/>
      <c r="E121" s="466"/>
      <c r="F121" s="559" t="str">
        <f>IF('C-Design&amp;Const'!$U121="","",'C-Design&amp;Const'!$U121)</f>
        <v>Y</v>
      </c>
      <c r="G121" s="558"/>
      <c r="H121" s="1028" t="str">
        <f>CONCATENATE(IF(F121="N","PLACEHOLDER ROW - ",""),'C-Design&amp;Const'!Z121,IF(F121="N","",J121))</f>
        <v>Audio Visual - Demolition(s) (Final w/ all updates)</v>
      </c>
      <c r="I121" s="186"/>
      <c r="J121" s="578" t="str">
        <f>IF('C-Design&amp;Const'!AK121="","",'C-Design&amp;Const'!AK121)</f>
        <v xml:space="preserve"> (Final w/ all updates)</v>
      </c>
      <c r="K121" s="285" t="str">
        <f t="shared" ref="K121" si="16">IF((COUNTIF(D121:G121,"Y")=COUNTIF(A121,"Y")),"match","no 95% match")</f>
        <v>match</v>
      </c>
      <c r="L121" s="1410" t="str">
        <f t="shared" ref="L121" si="17">CONCATENATE(IF(ISNUMBER(SEARCH("Placeholder",H121))=TRUE,"&lt;---PM/Planner may hide PLACEHOLDER ROW",""))</f>
        <v/>
      </c>
      <c r="M121" s="1382"/>
      <c r="N121" s="1382"/>
      <c r="O121" s="1382"/>
      <c r="P121" s="1382"/>
      <c r="Q121" s="1382"/>
      <c r="R121" s="1490"/>
      <c r="S121" s="1274"/>
      <c r="T121" s="1274"/>
      <c r="U121" s="1382"/>
      <c r="V121" s="1382"/>
      <c r="W121" s="1382"/>
      <c r="X121" s="1382"/>
      <c r="Y121" s="1382"/>
      <c r="Z121" s="1382"/>
      <c r="AA121" s="1382"/>
      <c r="AB121" s="1382"/>
      <c r="AC121" s="1382"/>
      <c r="AD121" s="1382"/>
      <c r="AE121" s="1382"/>
      <c r="AF121" s="1382"/>
      <c r="AG121" s="1382"/>
      <c r="AH121" s="1382"/>
      <c r="AI121" s="1382"/>
      <c r="AJ121" s="1382"/>
      <c r="AK121" s="551"/>
      <c r="AL121" s="551"/>
      <c r="AM121" s="551"/>
      <c r="AN121" s="551"/>
      <c r="AO121" s="551"/>
      <c r="AP121" s="551"/>
      <c r="AQ121" s="551"/>
      <c r="AR121" s="551"/>
      <c r="AS121" s="551"/>
      <c r="AT121" s="551"/>
      <c r="AU121" s="551"/>
      <c r="AV121" s="551"/>
      <c r="AW121" s="551"/>
    </row>
    <row r="122" spans="1:50" s="30" customFormat="1" x14ac:dyDescent="0.25">
      <c r="A122" s="1407" t="str">
        <f>IF(COUNTIF('04 - 95% CD'!D120:G120,"Y")&gt;0,"Y",IF(COUNTIF('04 - 95% CD'!D120:G120,"N"),"N",""))</f>
        <v>Y</v>
      </c>
      <c r="B122" s="191"/>
      <c r="C122" s="944"/>
      <c r="D122" s="321"/>
      <c r="E122" s="466"/>
      <c r="F122" s="559" t="str">
        <f>IF('C-Design&amp;Const'!$U122="","",'C-Design&amp;Const'!$U122)</f>
        <v>N</v>
      </c>
      <c r="G122" s="558"/>
      <c r="H122" s="1028" t="str">
        <f>CONCATENATE(IF(F122="N","PLACEHOLDER ROW - ",""),'C-Design&amp;Const'!Z122,IF(F122="N","",J122))</f>
        <v>PLACEHOLDER ROW - Audio Visual - CUSTOM</v>
      </c>
      <c r="I122" s="186"/>
      <c r="J122" s="578" t="str">
        <f>IF('C-Design&amp;Const'!AK122="","",'C-Design&amp;Const'!AK122)</f>
        <v xml:space="preserve"> (Final w/ all updates)</v>
      </c>
      <c r="K122" s="285" t="str">
        <f t="shared" si="10"/>
        <v>no 95% match</v>
      </c>
      <c r="L122" s="1410" t="str">
        <f t="shared" si="11"/>
        <v>&lt;---PM/Planner may hide PLACEHOLDER ROW</v>
      </c>
      <c r="M122" s="1382"/>
      <c r="N122" s="1382"/>
      <c r="O122" s="1382"/>
      <c r="P122" s="1382"/>
      <c r="Q122" s="1382"/>
      <c r="R122" s="1490"/>
      <c r="S122" s="1274"/>
      <c r="T122" s="1274"/>
      <c r="U122" s="1382"/>
      <c r="V122" s="1382"/>
      <c r="W122" s="1382"/>
      <c r="X122" s="1382"/>
      <c r="Y122" s="1382"/>
      <c r="Z122" s="1382"/>
      <c r="AA122" s="1382"/>
      <c r="AB122" s="1382"/>
      <c r="AC122" s="1382"/>
      <c r="AD122" s="1382"/>
      <c r="AE122" s="1382"/>
      <c r="AF122" s="1382"/>
      <c r="AG122" s="1382"/>
      <c r="AH122" s="1382"/>
      <c r="AI122" s="1382"/>
      <c r="AJ122" s="1382"/>
      <c r="AK122" s="181"/>
      <c r="AL122" s="181"/>
      <c r="AM122" s="181"/>
      <c r="AN122" s="181"/>
      <c r="AO122" s="181"/>
      <c r="AP122" s="181"/>
      <c r="AQ122" s="181"/>
      <c r="AR122" s="181"/>
      <c r="AS122" s="181"/>
      <c r="AT122" s="181"/>
      <c r="AU122" s="181"/>
      <c r="AV122" s="181"/>
      <c r="AW122" s="181"/>
    </row>
    <row r="123" spans="1:50" s="30" customFormat="1" ht="15" customHeight="1" x14ac:dyDescent="0.25">
      <c r="A123" s="1407" t="str">
        <f>IF(COUNTIF('04 - 95% CD'!D123:G123,"Y")&gt;0,"Y",IF(COUNTIF('04 - 95% CD'!D123:G123,"N"),"N",""))</f>
        <v>N</v>
      </c>
      <c r="B123" s="191"/>
      <c r="C123" s="944"/>
      <c r="D123" s="463"/>
      <c r="E123" s="467"/>
      <c r="F123" s="559" t="str">
        <f>IF('C-Design&amp;Const'!$U123="","",'C-Design&amp;Const'!$U123)</f>
        <v>N</v>
      </c>
      <c r="G123" s="291"/>
      <c r="H123" s="1029" t="str">
        <f>CONCATENATE(IF(F123="N","PLACEHOLDER ROW - ",""),'C-Design&amp;Const'!Z123,IF(F123="N","",J123))</f>
        <v>PLACEHOLDER ROW - CUSTOM ROW - OPTIONAL CLIENT ITEM</v>
      </c>
      <c r="I123" s="184"/>
      <c r="J123" s="578" t="str">
        <f>IF('C-Design&amp;Const'!AK123="","",'C-Design&amp;Const'!AK123)</f>
        <v xml:space="preserve"> (Final w/ all updates)</v>
      </c>
      <c r="K123" s="285" t="str">
        <f t="shared" si="10"/>
        <v>match</v>
      </c>
      <c r="L123" s="1410" t="str">
        <f t="shared" si="11"/>
        <v>&lt;---PM/Planner may hide PLACEHOLDER ROW</v>
      </c>
      <c r="M123" s="1382"/>
      <c r="N123" s="1382"/>
      <c r="O123" s="1382"/>
      <c r="P123" s="1382"/>
      <c r="Q123" s="1382"/>
      <c r="R123" s="1382"/>
      <c r="S123" s="1382"/>
      <c r="T123" s="1382"/>
      <c r="U123" s="1382"/>
      <c r="V123" s="1382"/>
      <c r="W123" s="1382"/>
      <c r="X123" s="1382"/>
      <c r="Y123" s="1382"/>
      <c r="Z123" s="1382"/>
      <c r="AA123" s="1382"/>
      <c r="AB123" s="1382"/>
      <c r="AC123" s="1382"/>
      <c r="AD123" s="1382"/>
      <c r="AE123" s="1382"/>
      <c r="AF123" s="1382"/>
      <c r="AG123" s="1382"/>
      <c r="AH123" s="1382"/>
      <c r="AI123" s="1382"/>
      <c r="AJ123" s="1382"/>
      <c r="AK123" s="181"/>
      <c r="AL123" s="181"/>
      <c r="AM123" s="181"/>
      <c r="AN123" s="181"/>
      <c r="AO123" s="181"/>
      <c r="AP123" s="181"/>
      <c r="AQ123" s="181"/>
      <c r="AR123" s="181"/>
      <c r="AS123" s="181"/>
      <c r="AT123" s="181"/>
      <c r="AU123" s="181"/>
      <c r="AV123" s="181"/>
      <c r="AW123" s="181"/>
    </row>
    <row r="124" spans="1:50" s="30" customFormat="1" ht="15" customHeight="1" x14ac:dyDescent="0.25">
      <c r="A124" s="1407" t="str">
        <f>IF(COUNTIF('04 - 95% CD'!D124:G124,"Y")&gt;0,"Y",IF(COUNTIF('04 - 95% CD'!D124:G124,"N"),"N",""))</f>
        <v>N</v>
      </c>
      <c r="B124" s="191"/>
      <c r="C124" s="944"/>
      <c r="D124" s="463"/>
      <c r="E124" s="467"/>
      <c r="F124" s="559" t="str">
        <f>IF('C-Design&amp;Const'!$U124="","",'C-Design&amp;Const'!$U124)</f>
        <v>N</v>
      </c>
      <c r="G124" s="291"/>
      <c r="H124" s="1029" t="str">
        <f>CONCATENATE(IF(F124="N","PLACEHOLDER ROW - ",""),'C-Design&amp;Const'!Z124,IF(F124="N","",J124))</f>
        <v>PLACEHOLDER ROW - CUSTOM ROW - OPTIONAL CLIENT ITEM</v>
      </c>
      <c r="I124" s="184"/>
      <c r="J124" s="578" t="str">
        <f>IF('C-Design&amp;Const'!AK124="","",'C-Design&amp;Const'!AK124)</f>
        <v xml:space="preserve"> (Final w/ all updates)</v>
      </c>
      <c r="K124" s="285" t="str">
        <f t="shared" si="10"/>
        <v>match</v>
      </c>
      <c r="L124" s="1410" t="str">
        <f t="shared" si="11"/>
        <v>&lt;---PM/Planner may hide PLACEHOLDER ROW</v>
      </c>
      <c r="M124" s="1382"/>
      <c r="N124" s="1382"/>
      <c r="O124" s="1382"/>
      <c r="P124" s="1382"/>
      <c r="Q124" s="1382"/>
      <c r="R124" s="1382"/>
      <c r="S124" s="1382"/>
      <c r="T124" s="1382"/>
      <c r="U124" s="1382"/>
      <c r="V124" s="1382"/>
      <c r="W124" s="1382"/>
      <c r="X124" s="1382"/>
      <c r="Y124" s="1382"/>
      <c r="Z124" s="1382"/>
      <c r="AA124" s="1382"/>
      <c r="AB124" s="1382"/>
      <c r="AC124" s="1382"/>
      <c r="AD124" s="1382"/>
      <c r="AE124" s="1382"/>
      <c r="AF124" s="1382"/>
      <c r="AG124" s="1382"/>
      <c r="AH124" s="1382"/>
      <c r="AI124" s="1382"/>
      <c r="AJ124" s="1382"/>
      <c r="AK124" s="181"/>
      <c r="AL124" s="181"/>
      <c r="AM124" s="181"/>
      <c r="AN124" s="181"/>
      <c r="AO124" s="181"/>
      <c r="AP124" s="181"/>
      <c r="AQ124" s="181"/>
      <c r="AR124" s="181"/>
      <c r="AS124" s="181"/>
      <c r="AT124" s="181"/>
      <c r="AU124" s="181"/>
      <c r="AV124" s="181"/>
      <c r="AW124" s="181"/>
    </row>
    <row r="125" spans="1:50" s="17" customFormat="1" x14ac:dyDescent="0.25">
      <c r="A125" s="1516" t="str">
        <f>IF(COUNTIF('04 - 95% CD'!D125:G125,"Y")&gt;0,"Y",IF(COUNTIF('04 - 95% CD'!D125:G125,"N"),"N",""))</f>
        <v/>
      </c>
      <c r="B125" s="141"/>
      <c r="C125" s="944"/>
      <c r="D125" s="411"/>
      <c r="E125" s="411"/>
      <c r="F125" s="321"/>
      <c r="G125" s="294"/>
      <c r="H125" s="296" t="str">
        <f>CONCATENATE(IF(F125="N","PLACEHOLDER ROW - ",""),'C-Design&amp;Const'!Z125,IF(F125="N","",J125))</f>
        <v/>
      </c>
      <c r="I125" s="130"/>
      <c r="J125" s="578" t="str">
        <f>IF('C-Design&amp;Const'!AK125="","",'C-Design&amp;Const'!AK125)</f>
        <v/>
      </c>
      <c r="K125" s="285" t="str">
        <f t="shared" si="10"/>
        <v>match</v>
      </c>
      <c r="L125" s="1410" t="str">
        <f t="shared" si="11"/>
        <v/>
      </c>
      <c r="M125" s="1333"/>
      <c r="N125" s="1333"/>
      <c r="O125" s="1333"/>
      <c r="P125" s="1333"/>
      <c r="Q125" s="1333"/>
      <c r="R125" s="1446"/>
      <c r="S125" s="1364"/>
      <c r="T125" s="1333"/>
      <c r="U125" s="1333"/>
      <c r="V125" s="1333"/>
      <c r="W125" s="1333"/>
      <c r="X125" s="1333"/>
      <c r="Y125" s="1333"/>
      <c r="Z125" s="1333"/>
      <c r="AA125" s="1333"/>
      <c r="AB125" s="1333"/>
      <c r="AC125" s="1333"/>
      <c r="AD125" s="1333"/>
      <c r="AE125" s="1333"/>
      <c r="AF125" s="1333"/>
      <c r="AG125" s="1333"/>
      <c r="AH125" s="1333"/>
      <c r="AI125" s="1333"/>
      <c r="AJ125" s="1333"/>
    </row>
    <row r="126" spans="1:50" s="181" customFormat="1" ht="18.75" x14ac:dyDescent="0.25">
      <c r="A126" s="1501" t="str">
        <f>IF(COUNTIF('04 - 95% CD'!D126:G126,"Y")&gt;0,"Y",IF(COUNTIF('04 - 95% CD'!D126:G126,"N"),"N",""))</f>
        <v>Y</v>
      </c>
      <c r="B126" s="177"/>
      <c r="C126" s="944"/>
      <c r="D126" s="559" t="str">
        <f>IF('C-Design&amp;Const'!$U126="","",'C-Design&amp;Const'!$U126)</f>
        <v>Y</v>
      </c>
      <c r="E126" s="234"/>
      <c r="F126" s="235"/>
      <c r="G126" s="291" t="s">
        <v>105</v>
      </c>
      <c r="H126" s="290" t="str">
        <f>CONCATENATE('C-Design&amp;Const'!Z126,IF(D126="N"," Not Used In This Construction Phase",J126))</f>
        <v>Project Applicable Information / Calculations - Final</v>
      </c>
      <c r="I126" s="180"/>
      <c r="J126" s="578" t="str">
        <f>IF('C-Design&amp;Const'!AK126="","",'C-Design&amp;Const'!AK126)</f>
        <v xml:space="preserve"> - Final</v>
      </c>
      <c r="K126" s="285" t="str">
        <f t="shared" si="10"/>
        <v>match</v>
      </c>
      <c r="L126" s="1410" t="str">
        <f t="shared" si="11"/>
        <v/>
      </c>
      <c r="M126" s="1333"/>
      <c r="N126" s="1382"/>
      <c r="O126" s="1382"/>
      <c r="P126" s="1382"/>
      <c r="Q126" s="1382"/>
      <c r="R126" s="1447"/>
      <c r="S126" s="1448"/>
      <c r="T126" s="1470"/>
      <c r="U126" s="1382"/>
      <c r="V126" s="1382"/>
      <c r="W126" s="1382"/>
      <c r="X126" s="1382"/>
      <c r="Y126" s="1382"/>
      <c r="Z126" s="1382"/>
      <c r="AA126" s="1382"/>
      <c r="AB126" s="1382"/>
      <c r="AC126" s="1382"/>
      <c r="AD126" s="1382"/>
      <c r="AE126" s="1382"/>
      <c r="AF126" s="1382"/>
      <c r="AG126" s="1382"/>
      <c r="AH126" s="1382"/>
      <c r="AI126" s="1382"/>
      <c r="AJ126" s="1382"/>
      <c r="AX126" s="30"/>
    </row>
    <row r="127" spans="1:50" s="30" customFormat="1" ht="15" customHeight="1" x14ac:dyDescent="0.25">
      <c r="A127" s="1407" t="str">
        <f>IF(COUNTIF('04 - 95% CD'!D127:G127,"Y")&gt;0,"Y",IF(COUNTIF('04 - 95% CD'!D127:G127,"N"),"N",""))</f>
        <v>Y</v>
      </c>
      <c r="B127" s="191"/>
      <c r="C127" s="944"/>
      <c r="D127" s="463"/>
      <c r="E127" s="359" t="str">
        <f>IF('C-Design&amp;Const'!$U127="","",'C-Design&amp;Const'!$U127)</f>
        <v>Y</v>
      </c>
      <c r="F127" s="235"/>
      <c r="G127" s="291"/>
      <c r="H127" s="340" t="str">
        <f>CONCATENATE(IF(E127="N","PLACEHOLDER ROW - ",""),IF(E127="N","",J127),'C-Design&amp;Const'!Z127,)</f>
        <v>(Final) Occupancy calculations between existing and proposed; breaking down the FTE</v>
      </c>
      <c r="I127" s="184"/>
      <c r="J127" s="578" t="str">
        <f>IF('C-Design&amp;Const'!AK127="","",'C-Design&amp;Const'!AK127)</f>
        <v xml:space="preserve">(Final) </v>
      </c>
      <c r="K127" s="285" t="str">
        <f t="shared" si="10"/>
        <v>match</v>
      </c>
      <c r="L127" s="1410" t="str">
        <f t="shared" si="11"/>
        <v/>
      </c>
      <c r="M127" s="1333"/>
      <c r="N127" s="1382"/>
      <c r="O127" s="1382"/>
      <c r="P127" s="1382"/>
      <c r="Q127" s="1382"/>
      <c r="R127" s="1382"/>
      <c r="S127" s="1382"/>
      <c r="T127" s="1382"/>
      <c r="U127" s="1382"/>
      <c r="V127" s="1382"/>
      <c r="W127" s="1382"/>
      <c r="X127" s="1382"/>
      <c r="Y127" s="1382"/>
      <c r="Z127" s="1382"/>
      <c r="AA127" s="1382"/>
      <c r="AB127" s="1382"/>
      <c r="AC127" s="1382"/>
      <c r="AD127" s="1382"/>
      <c r="AE127" s="1382"/>
      <c r="AF127" s="1382"/>
      <c r="AG127" s="1382"/>
      <c r="AH127" s="1382"/>
      <c r="AI127" s="1382"/>
      <c r="AJ127" s="1382"/>
      <c r="AK127" s="181"/>
      <c r="AL127" s="181"/>
      <c r="AM127" s="181"/>
      <c r="AN127" s="181"/>
      <c r="AO127" s="181"/>
      <c r="AP127" s="181"/>
      <c r="AQ127" s="181"/>
      <c r="AR127" s="181"/>
      <c r="AS127" s="181"/>
      <c r="AT127" s="181"/>
      <c r="AU127" s="181"/>
      <c r="AV127" s="181"/>
      <c r="AW127" s="181"/>
    </row>
    <row r="128" spans="1:50" s="30" customFormat="1" ht="15" customHeight="1" x14ac:dyDescent="0.25">
      <c r="A128" s="1407" t="str">
        <f>IF(COUNTIF('04 - 95% CD'!D128:G128,"Y")&gt;0,"Y",IF(COUNTIF('04 - 95% CD'!D128:G128,"N"),"N",""))</f>
        <v>N</v>
      </c>
      <c r="B128" s="191"/>
      <c r="C128" s="944"/>
      <c r="D128" s="463"/>
      <c r="E128" s="359" t="str">
        <f>IF('C-Design&amp;Const'!$U128="","",'C-Design&amp;Const'!$U128)</f>
        <v>N</v>
      </c>
      <c r="F128" s="235"/>
      <c r="G128" s="291"/>
      <c r="H128" s="358" t="str">
        <f>CONCATENATE(IF(E128="N","PLACEHOLDER ROW - ",""),IF(E128="N","",J128),'C-Design&amp;Const'!Z128,)</f>
        <v>PLACEHOLDER ROW - Soil Borings and Soils Report</v>
      </c>
      <c r="I128" s="184"/>
      <c r="J128" s="578" t="str">
        <f>IF('C-Design&amp;Const'!AK128="","",'C-Design&amp;Const'!AK128)</f>
        <v xml:space="preserve">(Final) </v>
      </c>
      <c r="K128" s="285" t="str">
        <f t="shared" si="10"/>
        <v>match</v>
      </c>
      <c r="L128" s="1410" t="str">
        <f t="shared" si="11"/>
        <v>&lt;---PM/Planner may hide PLACEHOLDER ROW</v>
      </c>
      <c r="M128" s="1333"/>
      <c r="N128" s="1382"/>
      <c r="O128" s="1382"/>
      <c r="P128" s="1382"/>
      <c r="Q128" s="1382"/>
      <c r="R128" s="1382"/>
      <c r="S128" s="1382"/>
      <c r="T128" s="1382"/>
      <c r="U128" s="1382"/>
      <c r="V128" s="1382"/>
      <c r="W128" s="1382"/>
      <c r="X128" s="1382"/>
      <c r="Y128" s="1382"/>
      <c r="Z128" s="1382"/>
      <c r="AA128" s="1382"/>
      <c r="AB128" s="1382"/>
      <c r="AC128" s="1382"/>
      <c r="AD128" s="1382"/>
      <c r="AE128" s="1382"/>
      <c r="AF128" s="1382"/>
      <c r="AG128" s="1382"/>
      <c r="AH128" s="1382"/>
      <c r="AI128" s="1382"/>
      <c r="AJ128" s="1382"/>
      <c r="AK128" s="181"/>
      <c r="AL128" s="181"/>
      <c r="AM128" s="181"/>
      <c r="AN128" s="181"/>
      <c r="AO128" s="181"/>
      <c r="AP128" s="181"/>
      <c r="AQ128" s="181"/>
      <c r="AR128" s="181"/>
      <c r="AS128" s="181"/>
      <c r="AT128" s="181"/>
      <c r="AU128" s="181"/>
      <c r="AV128" s="181"/>
      <c r="AW128" s="181"/>
    </row>
    <row r="129" spans="1:49" s="30" customFormat="1" ht="15" customHeight="1" x14ac:dyDescent="0.25">
      <c r="A129" s="1407" t="str">
        <f>IF(COUNTIF('04 - 95% CD'!D129:G129,"Y")&gt;0,"Y",IF(COUNTIF('04 - 95% CD'!D129:G129,"N"),"N",""))</f>
        <v>Y</v>
      </c>
      <c r="B129" s="191"/>
      <c r="C129" s="944"/>
      <c r="D129" s="463"/>
      <c r="E129" s="359" t="str">
        <f>IF('C-Design&amp;Const'!$U129="","",'C-Design&amp;Const'!$U129)</f>
        <v>Y</v>
      </c>
      <c r="F129" s="235"/>
      <c r="G129" s="291"/>
      <c r="H129" s="340" t="str">
        <f>CONCATENATE(IF(E129="N","PLACEHOLDER ROW - ",""),IF(E129="N","",J129),'C-Design&amp;Const'!Z129,)</f>
        <v>(Final) Stormwater Runoff Rate Calculation/Model Results and Water Detention</v>
      </c>
      <c r="I129" s="184"/>
      <c r="J129" s="578" t="str">
        <f>IF('C-Design&amp;Const'!AK129="","",'C-Design&amp;Const'!AK129)</f>
        <v xml:space="preserve">(Final) </v>
      </c>
      <c r="K129" s="285" t="str">
        <f t="shared" si="10"/>
        <v>match</v>
      </c>
      <c r="L129" s="1410" t="str">
        <f t="shared" si="11"/>
        <v/>
      </c>
      <c r="M129" s="1333"/>
      <c r="N129" s="1382"/>
      <c r="O129" s="1382"/>
      <c r="P129" s="1382"/>
      <c r="Q129" s="1382"/>
      <c r="R129" s="1382"/>
      <c r="S129" s="1382"/>
      <c r="T129" s="1382"/>
      <c r="U129" s="1382"/>
      <c r="V129" s="1382"/>
      <c r="W129" s="1382"/>
      <c r="X129" s="1382"/>
      <c r="Y129" s="1382"/>
      <c r="Z129" s="1382"/>
      <c r="AA129" s="1382"/>
      <c r="AB129" s="1382"/>
      <c r="AC129" s="1382"/>
      <c r="AD129" s="1382"/>
      <c r="AE129" s="1382"/>
      <c r="AF129" s="1382"/>
      <c r="AG129" s="1382"/>
      <c r="AH129" s="1382"/>
      <c r="AI129" s="1382"/>
      <c r="AJ129" s="1382"/>
      <c r="AK129" s="181"/>
      <c r="AL129" s="181"/>
      <c r="AM129" s="181"/>
      <c r="AN129" s="181"/>
      <c r="AO129" s="181"/>
      <c r="AP129" s="181"/>
      <c r="AQ129" s="181"/>
      <c r="AR129" s="181"/>
      <c r="AS129" s="181"/>
      <c r="AT129" s="181"/>
      <c r="AU129" s="181"/>
      <c r="AV129" s="181"/>
      <c r="AW129" s="181"/>
    </row>
    <row r="130" spans="1:49" s="30" customFormat="1" ht="15" customHeight="1" x14ac:dyDescent="0.25">
      <c r="A130" s="1407" t="str">
        <f>IF(COUNTIF('04 - 95% CD'!D130:G130,"Y")&gt;0,"Y",IF(COUNTIF('04 - 95% CD'!D130:G130,"N"),"N",""))</f>
        <v>Y</v>
      </c>
      <c r="B130" s="191"/>
      <c r="C130" s="944"/>
      <c r="D130" s="463"/>
      <c r="E130" s="359" t="str">
        <f>IF('C-Design&amp;Const'!$U130="","",'C-Design&amp;Const'!$U130)</f>
        <v>Y</v>
      </c>
      <c r="F130" s="235"/>
      <c r="G130" s="291"/>
      <c r="H130" s="340" t="str">
        <f>CONCATENATE(IF(E130="N","PLACEHOLDER ROW - ",""),IF(E130="N","",J130),'C-Design&amp;Const'!Z130,)</f>
        <v>(Final) Asbestos and Lead Survey and Recommendations</v>
      </c>
      <c r="I130" s="184"/>
      <c r="J130" s="578" t="str">
        <f>IF('C-Design&amp;Const'!AK130="","",'C-Design&amp;Const'!AK130)</f>
        <v xml:space="preserve">(Final) </v>
      </c>
      <c r="K130" s="285" t="str">
        <f t="shared" si="10"/>
        <v>match</v>
      </c>
      <c r="L130" s="1410" t="str">
        <f t="shared" si="11"/>
        <v/>
      </c>
      <c r="M130" s="1333"/>
      <c r="N130" s="1382"/>
      <c r="O130" s="1382"/>
      <c r="P130" s="1382"/>
      <c r="Q130" s="1382"/>
      <c r="R130" s="1382"/>
      <c r="S130" s="1382"/>
      <c r="T130" s="1382"/>
      <c r="U130" s="1382"/>
      <c r="V130" s="1382"/>
      <c r="W130" s="1382"/>
      <c r="X130" s="1382"/>
      <c r="Y130" s="1382"/>
      <c r="Z130" s="1382"/>
      <c r="AA130" s="1382"/>
      <c r="AB130" s="1382"/>
      <c r="AC130" s="1382"/>
      <c r="AD130" s="1382"/>
      <c r="AE130" s="1382"/>
      <c r="AF130" s="1382"/>
      <c r="AG130" s="1382"/>
      <c r="AH130" s="1382"/>
      <c r="AI130" s="1382"/>
      <c r="AJ130" s="1382"/>
      <c r="AK130" s="181"/>
      <c r="AL130" s="181"/>
      <c r="AM130" s="181"/>
      <c r="AN130" s="181"/>
      <c r="AO130" s="181"/>
      <c r="AP130" s="181"/>
      <c r="AQ130" s="181"/>
      <c r="AR130" s="181"/>
      <c r="AS130" s="181"/>
      <c r="AT130" s="181"/>
      <c r="AU130" s="181"/>
      <c r="AV130" s="181"/>
      <c r="AW130" s="181"/>
    </row>
    <row r="131" spans="1:49" s="30" customFormat="1" ht="16.5" customHeight="1" x14ac:dyDescent="0.25">
      <c r="A131" s="1407" t="str">
        <f>IF(COUNTIF('04 - 95% CD'!D131:G131,"Y")&gt;0,"Y",IF(COUNTIF('04 - 95% CD'!D131:G131,"N"),"N",""))</f>
        <v>N</v>
      </c>
      <c r="B131" s="191"/>
      <c r="C131" s="944"/>
      <c r="D131" s="463"/>
      <c r="E131" s="359" t="str">
        <f>IF('C-Design&amp;Const'!$U131="","",'C-Design&amp;Const'!$U131)</f>
        <v>N</v>
      </c>
      <c r="F131" s="235"/>
      <c r="G131" s="291"/>
      <c r="H131" s="358" t="str">
        <f>CONCATENATE(IF(E131="N","PLACEHOLDER ROW - ",""),IF(E131="N","",J131),'C-Design&amp;Const'!Z131,)</f>
        <v>PLACEHOLDER ROW - Results of Hazardous Materials Testing and Hazardous Materials Mediation Plan</v>
      </c>
      <c r="I131" s="184"/>
      <c r="J131" s="578" t="str">
        <f>IF('C-Design&amp;Const'!AK131="","",'C-Design&amp;Const'!AK131)</f>
        <v/>
      </c>
      <c r="K131" s="285" t="str">
        <f t="shared" si="10"/>
        <v>match</v>
      </c>
      <c r="L131" s="1410" t="str">
        <f t="shared" si="11"/>
        <v>&lt;---PM/Planner may hide PLACEHOLDER ROW</v>
      </c>
      <c r="M131" s="1333"/>
      <c r="N131" s="1382"/>
      <c r="O131" s="1382"/>
      <c r="P131" s="1382"/>
      <c r="Q131" s="1382"/>
      <c r="R131" s="1382"/>
      <c r="S131" s="1382"/>
      <c r="T131" s="1382"/>
      <c r="U131" s="1382"/>
      <c r="V131" s="1382"/>
      <c r="W131" s="1382"/>
      <c r="X131" s="1382"/>
      <c r="Y131" s="1382"/>
      <c r="Z131" s="1382"/>
      <c r="AA131" s="1382"/>
      <c r="AB131" s="1382"/>
      <c r="AC131" s="1382"/>
      <c r="AD131" s="1382"/>
      <c r="AE131" s="1382"/>
      <c r="AF131" s="1382"/>
      <c r="AG131" s="1382"/>
      <c r="AH131" s="1382"/>
      <c r="AI131" s="1382"/>
      <c r="AJ131" s="1382"/>
      <c r="AK131" s="181"/>
      <c r="AL131" s="181"/>
      <c r="AM131" s="181"/>
      <c r="AN131" s="181"/>
      <c r="AO131" s="181"/>
      <c r="AP131" s="181"/>
      <c r="AQ131" s="181"/>
      <c r="AR131" s="181"/>
      <c r="AS131" s="181"/>
      <c r="AT131" s="181"/>
      <c r="AU131" s="181"/>
      <c r="AV131" s="181"/>
      <c r="AW131" s="181"/>
    </row>
    <row r="132" spans="1:49" s="30" customFormat="1" ht="15" customHeight="1" x14ac:dyDescent="0.25">
      <c r="A132" s="1407" t="str">
        <f>IF(COUNTIF('04 - 95% CD'!D132:G132,"Y")&gt;0,"Y",IF(COUNTIF('04 - 95% CD'!D132:G132,"N"),"N",""))</f>
        <v>N</v>
      </c>
      <c r="B132" s="191"/>
      <c r="C132" s="944"/>
      <c r="D132" s="463"/>
      <c r="E132" s="359" t="str">
        <f>IF('C-Design&amp;Const'!$U132="","",'C-Design&amp;Const'!$U132)</f>
        <v>N</v>
      </c>
      <c r="F132" s="235"/>
      <c r="G132" s="291"/>
      <c r="H132" s="358" t="str">
        <f>CONCATENATE(IF(E132="N","PLACEHOLDER ROW - ",""),IF(E132="N","",J132),'C-Design&amp;Const'!Z132,)</f>
        <v>PLACEHOLDER ROW - EPA &amp; State Permits (including but not limited to SWPPP)</v>
      </c>
      <c r="I132" s="184"/>
      <c r="J132" s="578" t="str">
        <f>IF('C-Design&amp;Const'!AK132="","",'C-Design&amp;Const'!AK132)</f>
        <v/>
      </c>
      <c r="K132" s="285" t="str">
        <f t="shared" si="10"/>
        <v>match</v>
      </c>
      <c r="L132" s="1410" t="str">
        <f t="shared" si="11"/>
        <v>&lt;---PM/Planner may hide PLACEHOLDER ROW</v>
      </c>
      <c r="M132" s="1333"/>
      <c r="N132" s="1382"/>
      <c r="O132" s="1382"/>
      <c r="P132" s="1382"/>
      <c r="Q132" s="1382"/>
      <c r="R132" s="1382"/>
      <c r="S132" s="1382"/>
      <c r="T132" s="1382"/>
      <c r="U132" s="1382"/>
      <c r="V132" s="1382"/>
      <c r="W132" s="1382"/>
      <c r="X132" s="1382"/>
      <c r="Y132" s="1382"/>
      <c r="Z132" s="1382"/>
      <c r="AA132" s="1382"/>
      <c r="AB132" s="1382"/>
      <c r="AC132" s="1382"/>
      <c r="AD132" s="1382"/>
      <c r="AE132" s="1382"/>
      <c r="AF132" s="1382"/>
      <c r="AG132" s="1382"/>
      <c r="AH132" s="1382"/>
      <c r="AI132" s="1382"/>
      <c r="AJ132" s="1382"/>
      <c r="AK132" s="181"/>
      <c r="AL132" s="181"/>
      <c r="AM132" s="181"/>
      <c r="AN132" s="181"/>
      <c r="AO132" s="181"/>
      <c r="AP132" s="181"/>
      <c r="AQ132" s="181"/>
      <c r="AR132" s="181"/>
      <c r="AS132" s="181"/>
      <c r="AT132" s="181"/>
      <c r="AU132" s="181"/>
      <c r="AV132" s="181"/>
      <c r="AW132" s="181"/>
    </row>
    <row r="133" spans="1:49" s="30" customFormat="1" ht="15" customHeight="1" x14ac:dyDescent="0.25">
      <c r="A133" s="1407" t="str">
        <f>IF(COUNTIF('04 - 95% CD'!D133:G133,"Y")&gt;0,"Y",IF(COUNTIF('04 - 95% CD'!D133:G133,"N"),"N",""))</f>
        <v>Y</v>
      </c>
      <c r="B133" s="191"/>
      <c r="C133" s="944"/>
      <c r="D133" s="463"/>
      <c r="E133" s="359" t="str">
        <f>IF('C-Design&amp;Const'!$U133="","",'C-Design&amp;Const'!$U133)</f>
        <v>N</v>
      </c>
      <c r="F133" s="235"/>
      <c r="G133" s="291"/>
      <c r="H133" s="340" t="str">
        <f>CONCATENATE(IF(E133="N","PLACEHOLDER ROW - ",""),IF(E133="N","",J133),'C-Design&amp;Const'!Z133,)</f>
        <v xml:space="preserve">PLACEHOLDER ROW - Saftey &amp; Compliance / Environmental - Checklist   </v>
      </c>
      <c r="I133" s="184"/>
      <c r="J133" s="578" t="str">
        <f>IF('C-Design&amp;Const'!AK133="","",'C-Design&amp;Const'!AK133)</f>
        <v/>
      </c>
      <c r="K133" s="285" t="str">
        <f t="shared" si="10"/>
        <v>no 95% match</v>
      </c>
      <c r="L133" s="1410" t="str">
        <f t="shared" si="11"/>
        <v>&lt;---PM/Planner may hide PLACEHOLDER ROW</v>
      </c>
      <c r="M133" s="1333"/>
      <c r="N133" s="1382"/>
      <c r="O133" s="1382"/>
      <c r="P133" s="1382"/>
      <c r="Q133" s="1382"/>
      <c r="R133" s="1382"/>
      <c r="S133" s="1382"/>
      <c r="T133" s="1382"/>
      <c r="U133" s="1382"/>
      <c r="V133" s="1382"/>
      <c r="W133" s="1382"/>
      <c r="X133" s="1382"/>
      <c r="Y133" s="1382"/>
      <c r="Z133" s="1382"/>
      <c r="AA133" s="1382"/>
      <c r="AB133" s="1382"/>
      <c r="AC133" s="1382"/>
      <c r="AD133" s="1382"/>
      <c r="AE133" s="1382"/>
      <c r="AF133" s="1382"/>
      <c r="AG133" s="1382"/>
      <c r="AH133" s="1382"/>
      <c r="AI133" s="1382"/>
      <c r="AJ133" s="1382"/>
      <c r="AK133" s="181"/>
      <c r="AL133" s="181"/>
      <c r="AM133" s="181"/>
      <c r="AN133" s="181"/>
      <c r="AO133" s="181"/>
      <c r="AP133" s="181"/>
      <c r="AQ133" s="181"/>
      <c r="AR133" s="181"/>
      <c r="AS133" s="181"/>
      <c r="AT133" s="181"/>
      <c r="AU133" s="181"/>
      <c r="AV133" s="181"/>
      <c r="AW133" s="181"/>
    </row>
    <row r="134" spans="1:49" s="545" customFormat="1" ht="15" customHeight="1" x14ac:dyDescent="0.25">
      <c r="A134" s="1407" t="str">
        <f>IF(COUNTIF('04 - 95% CD'!D134:G134,"Y")&gt;0,"Y",IF(COUNTIF('04 - 95% CD'!D134:G134,"N"),"N",""))</f>
        <v>Y</v>
      </c>
      <c r="B134" s="554"/>
      <c r="C134" s="944"/>
      <c r="D134" s="463"/>
      <c r="E134" s="359" t="str">
        <f>IF('C-Design&amp;Const'!$U134="","",'C-Design&amp;Const'!$U134)</f>
        <v>Y</v>
      </c>
      <c r="F134" s="235"/>
      <c r="G134" s="291"/>
      <c r="H134" s="340" t="str">
        <f>CONCATENATE(IF(E134="N","PLACEHOLDER ROW - ",""),IF(E134="N","",J134),'C-Design&amp;Const'!Z134,)</f>
        <v>(Installed) Excel files of all equipment schedules for all disciplines.</v>
      </c>
      <c r="I134" s="552"/>
      <c r="J134" s="578" t="str">
        <f>IF('C-Design&amp;Const'!AK134="","",'C-Design&amp;Const'!AK134)</f>
        <v xml:space="preserve">(Installed) </v>
      </c>
      <c r="K134" s="285" t="str">
        <f t="shared" ref="K134" si="18">IF((COUNTIF(D134:G134,"Y")=COUNTIF(A134,"Y")),"match","no 95% match")</f>
        <v>match</v>
      </c>
      <c r="L134" s="1410" t="str">
        <f t="shared" ref="L134" si="19">CONCATENATE(IF(ISNUMBER(SEARCH("Placeholder",H134))=TRUE,"&lt;---PM/Planner may hide PLACEHOLDER ROW",""))</f>
        <v/>
      </c>
      <c r="M134" s="1333"/>
      <c r="N134" s="1382"/>
      <c r="O134" s="1382"/>
      <c r="P134" s="1382"/>
      <c r="Q134" s="1382"/>
      <c r="R134" s="1382"/>
      <c r="S134" s="1382"/>
      <c r="T134" s="1382"/>
      <c r="U134" s="1382"/>
      <c r="V134" s="1382"/>
      <c r="W134" s="1382"/>
      <c r="X134" s="1382"/>
      <c r="Y134" s="1382"/>
      <c r="Z134" s="1382"/>
      <c r="AA134" s="1382"/>
      <c r="AB134" s="1382"/>
      <c r="AC134" s="1382"/>
      <c r="AD134" s="1382"/>
      <c r="AE134" s="1382"/>
      <c r="AF134" s="1382"/>
      <c r="AG134" s="1382"/>
      <c r="AH134" s="1382"/>
      <c r="AI134" s="1382"/>
      <c r="AJ134" s="1382"/>
      <c r="AK134" s="551"/>
      <c r="AL134" s="551"/>
      <c r="AM134" s="551"/>
      <c r="AN134" s="551"/>
      <c r="AO134" s="551"/>
      <c r="AP134" s="551"/>
      <c r="AQ134" s="551"/>
      <c r="AR134" s="551"/>
      <c r="AS134" s="551"/>
      <c r="AT134" s="551"/>
      <c r="AU134" s="551"/>
      <c r="AV134" s="551"/>
      <c r="AW134" s="551"/>
    </row>
    <row r="135" spans="1:49" s="30" customFormat="1" ht="26.25" customHeight="1" x14ac:dyDescent="0.25">
      <c r="A135" s="1407" t="str">
        <f>IF(COUNTIF('04 - 95% CD'!D135:G135,"Y")&gt;0,"Y",IF(COUNTIF('04 - 95% CD'!D135:G135,"N"),"N",""))</f>
        <v>N</v>
      </c>
      <c r="B135" s="191"/>
      <c r="C135" s="944"/>
      <c r="D135" s="463"/>
      <c r="E135" s="359" t="str">
        <f>IF('C-Design&amp;Const'!$U135="","",'C-Design&amp;Const'!$U135)</f>
        <v>N</v>
      </c>
      <c r="F135" s="235"/>
      <c r="G135" s="291"/>
      <c r="H135" s="340" t="str">
        <f>CONCATENATE(IF(E135="N","PLACEHOLDER ROW - ",""),IF(E135="N","",J135),'C-Design&amp;Const'!Z135,)</f>
        <v>PLACEHOLDER ROW - Results of existing exterior envelope material tests or strengths (i.e. brick and mortar tests, pull tests of existing mechanical fasteners, etc…)</v>
      </c>
      <c r="I135" s="184"/>
      <c r="J135" s="578" t="str">
        <f>IF('C-Design&amp;Const'!AK135="","",'C-Design&amp;Const'!AK135)</f>
        <v/>
      </c>
      <c r="K135" s="285" t="str">
        <f t="shared" si="10"/>
        <v>match</v>
      </c>
      <c r="L135" s="1410" t="str">
        <f t="shared" si="11"/>
        <v>&lt;---PM/Planner may hide PLACEHOLDER ROW</v>
      </c>
      <c r="M135" s="1333"/>
      <c r="N135" s="1382"/>
      <c r="O135" s="1382"/>
      <c r="P135" s="1382"/>
      <c r="Q135" s="1382"/>
      <c r="R135" s="1382"/>
      <c r="S135" s="1382"/>
      <c r="T135" s="1382"/>
      <c r="U135" s="1382"/>
      <c r="V135" s="1382"/>
      <c r="W135" s="1382"/>
      <c r="X135" s="1382"/>
      <c r="Y135" s="1382"/>
      <c r="Z135" s="1382"/>
      <c r="AA135" s="1382"/>
      <c r="AB135" s="1382"/>
      <c r="AC135" s="1382"/>
      <c r="AD135" s="1382"/>
      <c r="AE135" s="1382"/>
      <c r="AF135" s="1382"/>
      <c r="AG135" s="1382"/>
      <c r="AH135" s="1382"/>
      <c r="AI135" s="1382"/>
      <c r="AJ135" s="1382"/>
      <c r="AK135" s="181"/>
      <c r="AL135" s="181"/>
      <c r="AM135" s="181"/>
      <c r="AN135" s="181"/>
      <c r="AO135" s="181"/>
      <c r="AP135" s="181"/>
      <c r="AQ135" s="181"/>
      <c r="AR135" s="181"/>
      <c r="AS135" s="181"/>
      <c r="AT135" s="181"/>
      <c r="AU135" s="181"/>
      <c r="AV135" s="181"/>
      <c r="AW135" s="181"/>
    </row>
    <row r="136" spans="1:49" s="30" customFormat="1" ht="28.5" x14ac:dyDescent="0.25">
      <c r="A136" s="1407" t="str">
        <f>IF(COUNTIF('04 - 95% CD'!D136:G136,"Y")&gt;0,"Y",IF(COUNTIF('04 - 95% CD'!D136:G136,"N"),"N",""))</f>
        <v>N</v>
      </c>
      <c r="B136" s="191"/>
      <c r="C136" s="944"/>
      <c r="D136" s="321"/>
      <c r="E136" s="559" t="str">
        <f>IF('C-Design&amp;Const'!$U136="","",'C-Design&amp;Const'!$U136)</f>
        <v>N</v>
      </c>
      <c r="F136" s="560"/>
      <c r="G136" s="558"/>
      <c r="H136" s="340" t="str">
        <f>CONCATENATE(IF(E136="N","PLACEHOLDER ROW - ",""),IF(E136="N","",J136),'C-Design&amp;Const'!Z136,)</f>
        <v>PLACEHOLDER ROW - Results of any existing structural materials tests or verification / scans of structure layout.</v>
      </c>
      <c r="I136" s="186"/>
      <c r="J136" s="578" t="str">
        <f>IF('C-Design&amp;Const'!AK136="","",'C-Design&amp;Const'!AK136)</f>
        <v/>
      </c>
      <c r="K136" s="285" t="str">
        <f t="shared" si="10"/>
        <v>match</v>
      </c>
      <c r="L136" s="1410" t="str">
        <f t="shared" si="11"/>
        <v>&lt;---PM/Planner may hide PLACEHOLDER ROW</v>
      </c>
      <c r="M136" s="1333"/>
      <c r="N136" s="1382"/>
      <c r="O136" s="1382"/>
      <c r="P136" s="1382"/>
      <c r="Q136" s="1382"/>
      <c r="R136" s="1490"/>
      <c r="S136" s="1274"/>
      <c r="T136" s="1274"/>
      <c r="U136" s="1382"/>
      <c r="V136" s="1382"/>
      <c r="W136" s="1382"/>
      <c r="X136" s="1382"/>
      <c r="Y136" s="1382"/>
      <c r="Z136" s="1382"/>
      <c r="AA136" s="1382"/>
      <c r="AB136" s="1382"/>
      <c r="AC136" s="1382"/>
      <c r="AD136" s="1382"/>
      <c r="AE136" s="1382"/>
      <c r="AF136" s="1382"/>
      <c r="AG136" s="1382"/>
      <c r="AH136" s="1382"/>
      <c r="AI136" s="1382"/>
      <c r="AJ136" s="1382"/>
      <c r="AK136" s="181"/>
      <c r="AL136" s="181"/>
      <c r="AM136" s="181"/>
      <c r="AN136" s="181"/>
      <c r="AO136" s="181"/>
      <c r="AP136" s="181"/>
      <c r="AQ136" s="181"/>
      <c r="AR136" s="181"/>
      <c r="AS136" s="181"/>
      <c r="AT136" s="181"/>
      <c r="AU136" s="181"/>
      <c r="AV136" s="181"/>
      <c r="AW136" s="181"/>
    </row>
    <row r="137" spans="1:49" s="30" customFormat="1" ht="28.5" x14ac:dyDescent="0.25">
      <c r="A137" s="1407" t="str">
        <f>IF(COUNTIF('04 - 95% CD'!D137:G137,"Y")&gt;0,"Y",IF(COUNTIF('04 - 95% CD'!D137:G137,"N"),"N",""))</f>
        <v>Y</v>
      </c>
      <c r="B137" s="191"/>
      <c r="C137" s="944"/>
      <c r="D137" s="321"/>
      <c r="E137" s="559" t="str">
        <f>IF('C-Design&amp;Const'!$U137="","",'C-Design&amp;Const'!$U137)</f>
        <v>Y</v>
      </c>
      <c r="F137" s="560"/>
      <c r="G137" s="558"/>
      <c r="H137" s="340" t="str">
        <f>CONCATENATE(IF(E137="N","PLACEHOLDER ROW - ",""),IF(E137="N","",J137),'C-Design&amp;Const'!Z137,)</f>
        <v>(Final) Summary of floor analysis for required strengthening (for new walls, materials, mechanical equipment change in use).</v>
      </c>
      <c r="I137" s="186"/>
      <c r="J137" s="578" t="str">
        <f>IF('C-Design&amp;Const'!AK137="","",'C-Design&amp;Const'!AK137)</f>
        <v xml:space="preserve">(Final) </v>
      </c>
      <c r="K137" s="285" t="str">
        <f t="shared" si="10"/>
        <v>match</v>
      </c>
      <c r="L137" s="1410" t="str">
        <f t="shared" si="11"/>
        <v/>
      </c>
      <c r="M137" s="1333"/>
      <c r="N137" s="1382"/>
      <c r="O137" s="1382"/>
      <c r="P137" s="1382"/>
      <c r="Q137" s="1382"/>
      <c r="R137" s="1490"/>
      <c r="S137" s="1274"/>
      <c r="T137" s="1274"/>
      <c r="U137" s="1382"/>
      <c r="V137" s="1382"/>
      <c r="W137" s="1382"/>
      <c r="X137" s="1382"/>
      <c r="Y137" s="1382"/>
      <c r="Z137" s="1382"/>
      <c r="AA137" s="1382"/>
      <c r="AB137" s="1382"/>
      <c r="AC137" s="1382"/>
      <c r="AD137" s="1382"/>
      <c r="AE137" s="1382"/>
      <c r="AF137" s="1382"/>
      <c r="AG137" s="1382"/>
      <c r="AH137" s="1382"/>
      <c r="AI137" s="1382"/>
      <c r="AJ137" s="1382"/>
      <c r="AK137" s="181"/>
      <c r="AL137" s="181"/>
      <c r="AM137" s="181"/>
      <c r="AN137" s="181"/>
      <c r="AO137" s="181"/>
      <c r="AP137" s="181"/>
      <c r="AQ137" s="181"/>
      <c r="AR137" s="181"/>
      <c r="AS137" s="181"/>
      <c r="AT137" s="181"/>
      <c r="AU137" s="181"/>
      <c r="AV137" s="181"/>
      <c r="AW137" s="181"/>
    </row>
    <row r="138" spans="1:49" s="30" customFormat="1" ht="28.5" x14ac:dyDescent="0.25">
      <c r="A138" s="1407" t="str">
        <f>IF(COUNTIF('04 - 95% CD'!D138:G138,"Y")&gt;0,"Y",IF(COUNTIF('04 - 95% CD'!D138:G138,"N"),"N",""))</f>
        <v>Y</v>
      </c>
      <c r="B138" s="191"/>
      <c r="C138" s="944"/>
      <c r="D138" s="321"/>
      <c r="E138" s="559" t="str">
        <f>IF('C-Design&amp;Const'!$U138="","",'C-Design&amp;Const'!$U138)</f>
        <v>Y</v>
      </c>
      <c r="F138" s="560"/>
      <c r="G138" s="558"/>
      <c r="H138" s="340" t="str">
        <f>CONCATENATE(IF(E138="N","PLACEHOLDER ROW - ",""),IF(E138="N","",J138),'C-Design&amp;Const'!Z138,)</f>
        <v>(Final) Summary of lateral force resisting systems (for new tributary load or compromising of existing system).</v>
      </c>
      <c r="I138" s="186"/>
      <c r="J138" s="578" t="str">
        <f>IF('C-Design&amp;Const'!AK138="","",'C-Design&amp;Const'!AK138)</f>
        <v xml:space="preserve">(Final) </v>
      </c>
      <c r="K138" s="285" t="str">
        <f t="shared" si="10"/>
        <v>match</v>
      </c>
      <c r="L138" s="1410" t="str">
        <f t="shared" si="11"/>
        <v/>
      </c>
      <c r="M138" s="1333"/>
      <c r="N138" s="1382"/>
      <c r="O138" s="1382"/>
      <c r="P138" s="1382"/>
      <c r="Q138" s="1382"/>
      <c r="R138" s="1490"/>
      <c r="S138" s="1274"/>
      <c r="T138" s="1274"/>
      <c r="U138" s="1382"/>
      <c r="V138" s="1382"/>
      <c r="W138" s="1382"/>
      <c r="X138" s="1382"/>
      <c r="Y138" s="1382"/>
      <c r="Z138" s="1382"/>
      <c r="AA138" s="1382"/>
      <c r="AB138" s="1382"/>
      <c r="AC138" s="1382"/>
      <c r="AD138" s="1382"/>
      <c r="AE138" s="1382"/>
      <c r="AF138" s="1382"/>
      <c r="AG138" s="1382"/>
      <c r="AH138" s="1382"/>
      <c r="AI138" s="1382"/>
      <c r="AJ138" s="1382"/>
      <c r="AK138" s="181"/>
      <c r="AL138" s="181"/>
      <c r="AM138" s="181"/>
      <c r="AN138" s="181"/>
      <c r="AO138" s="181"/>
      <c r="AP138" s="181"/>
      <c r="AQ138" s="181"/>
      <c r="AR138" s="181"/>
      <c r="AS138" s="181"/>
      <c r="AT138" s="181"/>
      <c r="AU138" s="181"/>
      <c r="AV138" s="181"/>
      <c r="AW138" s="181"/>
    </row>
    <row r="139" spans="1:49" s="30" customFormat="1" x14ac:dyDescent="0.25">
      <c r="A139" s="1407" t="str">
        <f>IF(COUNTIF('04 - 95% CD'!D139:G139,"Y")&gt;0,"Y",IF(COUNTIF('04 - 95% CD'!D139:G139,"N"),"N",""))</f>
        <v>Y</v>
      </c>
      <c r="B139" s="191"/>
      <c r="C139" s="944"/>
      <c r="D139" s="321"/>
      <c r="E139" s="559" t="str">
        <f>IF('C-Design&amp;Const'!$U139="","",'C-Design&amp;Const'!$U139)</f>
        <v>Y</v>
      </c>
      <c r="F139" s="560"/>
      <c r="G139" s="558"/>
      <c r="H139" s="340" t="str">
        <f>CONCATENATE(IF(E139="N","PLACEHOLDER ROW - ",""),IF(E139="N","",J139),'C-Design&amp;Const'!Z139,)</f>
        <v xml:space="preserve"> (Final w/ all updates)LEED Version (v4) Prerequisites Narrative</v>
      </c>
      <c r="I139" s="186"/>
      <c r="J139" s="578" t="str">
        <f>IF('C-Design&amp;Const'!AK139="","",'C-Design&amp;Const'!AK139)</f>
        <v xml:space="preserve"> (Final w/ all updates)</v>
      </c>
      <c r="K139" s="285" t="str">
        <f t="shared" si="10"/>
        <v>match</v>
      </c>
      <c r="L139" s="1410" t="str">
        <f t="shared" si="11"/>
        <v/>
      </c>
      <c r="M139" s="1333"/>
      <c r="N139" s="1382"/>
      <c r="O139" s="1382"/>
      <c r="P139" s="1382"/>
      <c r="Q139" s="1382"/>
      <c r="R139" s="1490"/>
      <c r="S139" s="1274"/>
      <c r="T139" s="1274"/>
      <c r="U139" s="1382"/>
      <c r="V139" s="1382"/>
      <c r="W139" s="1382"/>
      <c r="X139" s="1382"/>
      <c r="Y139" s="1382"/>
      <c r="Z139" s="1382"/>
      <c r="AA139" s="1382"/>
      <c r="AB139" s="1382"/>
      <c r="AC139" s="1382"/>
      <c r="AD139" s="1382"/>
      <c r="AE139" s="1382"/>
      <c r="AF139" s="1382"/>
      <c r="AG139" s="1382"/>
      <c r="AH139" s="1382"/>
      <c r="AI139" s="1382"/>
      <c r="AJ139" s="1382"/>
      <c r="AK139" s="181"/>
      <c r="AL139" s="181"/>
      <c r="AM139" s="181"/>
      <c r="AN139" s="181"/>
      <c r="AO139" s="181"/>
      <c r="AP139" s="181"/>
      <c r="AQ139" s="181"/>
      <c r="AR139" s="181"/>
      <c r="AS139" s="181"/>
      <c r="AT139" s="181"/>
      <c r="AU139" s="181"/>
      <c r="AV139" s="181"/>
      <c r="AW139" s="181"/>
    </row>
    <row r="140" spans="1:49" s="30" customFormat="1" ht="28.5" x14ac:dyDescent="0.25">
      <c r="A140" s="1407" t="str">
        <f>IF(COUNTIF('04 - 95% CD'!D140:G140,"Y")&gt;0,"Y",IF(COUNTIF('04 - 95% CD'!D140:G140,"N"),"N",""))</f>
        <v>Y</v>
      </c>
      <c r="B140" s="191"/>
      <c r="C140" s="944"/>
      <c r="D140" s="321"/>
      <c r="E140" s="559" t="str">
        <f>IF('C-Design&amp;Const'!$U140="","",'C-Design&amp;Const'!$U140)</f>
        <v>Y</v>
      </c>
      <c r="F140" s="560"/>
      <c r="G140" s="558"/>
      <c r="H140" s="340" t="str">
        <f>CONCATENATE(IF(E140="N","PLACEHOLDER ROW - ",""),IF(E140="N","",J140),'C-Design&amp;Const'!Z140,)</f>
        <v>LEED Minimum Silver or better Registration (&gt;10,000 sqft and/or Capital Projects &gt;= $5million; Major renovations or New Construction)</v>
      </c>
      <c r="I140" s="186"/>
      <c r="J140" s="578" t="str">
        <f>IF('C-Design&amp;Const'!AK140="","",'C-Design&amp;Const'!AK140)</f>
        <v/>
      </c>
      <c r="K140" s="285" t="str">
        <f t="shared" si="10"/>
        <v>match</v>
      </c>
      <c r="L140" s="1410" t="str">
        <f t="shared" si="11"/>
        <v/>
      </c>
      <c r="M140" s="1333"/>
      <c r="N140" s="1382"/>
      <c r="O140" s="1382"/>
      <c r="P140" s="1382"/>
      <c r="Q140" s="1382"/>
      <c r="R140" s="1490"/>
      <c r="S140" s="1274"/>
      <c r="T140" s="1274"/>
      <c r="U140" s="1382"/>
      <c r="V140" s="1382"/>
      <c r="W140" s="1382"/>
      <c r="X140" s="1382"/>
      <c r="Y140" s="1382"/>
      <c r="Z140" s="1382"/>
      <c r="AA140" s="1382"/>
      <c r="AB140" s="1382"/>
      <c r="AC140" s="1382"/>
      <c r="AD140" s="1382"/>
      <c r="AE140" s="1382"/>
      <c r="AF140" s="1382"/>
      <c r="AG140" s="1382"/>
      <c r="AH140" s="1382"/>
      <c r="AI140" s="1382"/>
      <c r="AJ140" s="1382"/>
      <c r="AK140" s="181"/>
      <c r="AL140" s="181"/>
      <c r="AM140" s="181"/>
      <c r="AN140" s="181"/>
      <c r="AO140" s="181"/>
      <c r="AP140" s="181"/>
      <c r="AQ140" s="181"/>
      <c r="AR140" s="181"/>
      <c r="AS140" s="181"/>
      <c r="AT140" s="181"/>
      <c r="AU140" s="181"/>
      <c r="AV140" s="181"/>
      <c r="AW140" s="181"/>
    </row>
    <row r="141" spans="1:49" s="30" customFormat="1" x14ac:dyDescent="0.25">
      <c r="A141" s="1407" t="str">
        <f>IF(COUNTIF('04 - 95% CD'!D141:G141,"Y")&gt;0,"Y",IF(COUNTIF('04 - 95% CD'!D141:G141,"N"),"N",""))</f>
        <v>Y</v>
      </c>
      <c r="B141" s="191"/>
      <c r="C141" s="944"/>
      <c r="D141" s="321"/>
      <c r="E141" s="559" t="str">
        <f>IF('C-Design&amp;Const'!$U141="","",'C-Design&amp;Const'!$U141)</f>
        <v>Y</v>
      </c>
      <c r="F141" s="560"/>
      <c r="G141" s="558"/>
      <c r="H141" s="340" t="str">
        <f>CONCATENATE(IF(E141="N","PLACEHOLDER ROW - ",""),IF(E141="N","",J141),'C-Design&amp;Const'!Z141,)</f>
        <v xml:space="preserve"> (Final w/ all updates)LEED Project Checklist - (previously referred to as LEED Scorecard) </v>
      </c>
      <c r="I141" s="186"/>
      <c r="J141" s="578" t="str">
        <f>IF('C-Design&amp;Const'!AK141="","",'C-Design&amp;Const'!AK141)</f>
        <v xml:space="preserve"> (Final w/ all updates)</v>
      </c>
      <c r="K141" s="285" t="str">
        <f t="shared" si="10"/>
        <v>match</v>
      </c>
      <c r="L141" s="1410" t="str">
        <f t="shared" si="11"/>
        <v/>
      </c>
      <c r="M141" s="1333"/>
      <c r="N141" s="1382"/>
      <c r="O141" s="1382"/>
      <c r="P141" s="1382"/>
      <c r="Q141" s="1382"/>
      <c r="R141" s="1490"/>
      <c r="S141" s="1274"/>
      <c r="T141" s="1274"/>
      <c r="U141" s="1382"/>
      <c r="V141" s="1382"/>
      <c r="W141" s="1382"/>
      <c r="X141" s="1382"/>
      <c r="Y141" s="1382"/>
      <c r="Z141" s="1382"/>
      <c r="AA141" s="1382"/>
      <c r="AB141" s="1382"/>
      <c r="AC141" s="1382"/>
      <c r="AD141" s="1382"/>
      <c r="AE141" s="1382"/>
      <c r="AF141" s="1382"/>
      <c r="AG141" s="1382"/>
      <c r="AH141" s="1382"/>
      <c r="AI141" s="1382"/>
      <c r="AJ141" s="1382"/>
      <c r="AK141" s="181"/>
      <c r="AL141" s="181"/>
      <c r="AM141" s="181"/>
      <c r="AN141" s="181"/>
      <c r="AO141" s="181"/>
      <c r="AP141" s="181"/>
      <c r="AQ141" s="181"/>
      <c r="AR141" s="181"/>
      <c r="AS141" s="181"/>
      <c r="AT141" s="181"/>
      <c r="AU141" s="181"/>
      <c r="AV141" s="181"/>
      <c r="AW141" s="181"/>
    </row>
    <row r="142" spans="1:49" s="30" customFormat="1" x14ac:dyDescent="0.25">
      <c r="A142" s="1407" t="str">
        <f>IF(COUNTIF('04 - 95% CD'!D142:G142,"Y")&gt;0,"Y",IF(COUNTIF('04 - 95% CD'!D142:G142,"N"),"N",""))</f>
        <v>Y</v>
      </c>
      <c r="B142" s="191"/>
      <c r="C142" s="944"/>
      <c r="D142" s="321"/>
      <c r="E142" s="559" t="str">
        <f>IF('C-Design&amp;Const'!$U142="","",'C-Design&amp;Const'!$U142)</f>
        <v>Y</v>
      </c>
      <c r="F142" s="560"/>
      <c r="G142" s="558"/>
      <c r="H142" s="340" t="str">
        <f>CONCATENATE(IF(E142="N","PLACEHOLDER ROW - ",""),IF(E142="N","",J142),'C-Design&amp;Const'!Z142,)</f>
        <v xml:space="preserve">Energy Model (per ASHRAE 90.1, version from 2013  ) </v>
      </c>
      <c r="I142" s="186"/>
      <c r="J142" s="578" t="str">
        <f>IF('C-Design&amp;Const'!AK142="","",'C-Design&amp;Const'!AK142)</f>
        <v/>
      </c>
      <c r="K142" s="285" t="str">
        <f t="shared" si="10"/>
        <v>match</v>
      </c>
      <c r="L142" s="1410" t="str">
        <f t="shared" si="11"/>
        <v/>
      </c>
      <c r="M142" s="1333"/>
      <c r="N142" s="1382"/>
      <c r="O142" s="1382"/>
      <c r="P142" s="1382"/>
      <c r="Q142" s="1382"/>
      <c r="R142" s="1490"/>
      <c r="S142" s="1274"/>
      <c r="T142" s="1274"/>
      <c r="U142" s="1382"/>
      <c r="V142" s="1382"/>
      <c r="W142" s="1382"/>
      <c r="X142" s="1382"/>
      <c r="Y142" s="1382"/>
      <c r="Z142" s="1382"/>
      <c r="AA142" s="1382"/>
      <c r="AB142" s="1382"/>
      <c r="AC142" s="1382"/>
      <c r="AD142" s="1382"/>
      <c r="AE142" s="1382"/>
      <c r="AF142" s="1382"/>
      <c r="AG142" s="1382"/>
      <c r="AH142" s="1382"/>
      <c r="AI142" s="1382"/>
      <c r="AJ142" s="1382"/>
      <c r="AK142" s="181"/>
      <c r="AL142" s="181"/>
      <c r="AM142" s="181"/>
      <c r="AN142" s="181"/>
      <c r="AO142" s="181"/>
      <c r="AP142" s="181"/>
      <c r="AQ142" s="181"/>
      <c r="AR142" s="181"/>
      <c r="AS142" s="181"/>
      <c r="AT142" s="181"/>
      <c r="AU142" s="181"/>
      <c r="AV142" s="181"/>
      <c r="AW142" s="181"/>
    </row>
    <row r="143" spans="1:49" s="30" customFormat="1" ht="28.5" x14ac:dyDescent="0.25">
      <c r="A143" s="1407" t="str">
        <f>IF(COUNTIF('04 - 95% CD'!D143:G143,"Y")&gt;0,"Y",IF(COUNTIF('04 - 95% CD'!D143:G143,"N"),"N",""))</f>
        <v>Y</v>
      </c>
      <c r="B143" s="191"/>
      <c r="C143" s="944"/>
      <c r="D143" s="321"/>
      <c r="E143" s="559" t="str">
        <f>IF('C-Design&amp;Const'!$U143="","",'C-Design&amp;Const'!$U143)</f>
        <v>Y</v>
      </c>
      <c r="F143" s="560"/>
      <c r="G143" s="558"/>
      <c r="H143" s="340" t="str">
        <f>CONCATENATE(IF(E143="N","PLACEHOLDER ROW - ",""),IF(E143="N","",J143),'C-Design&amp;Const'!Z143,)</f>
        <v xml:space="preserve"> (Final w/ all updates)Life Cycle Cost Analysis for selected systems (for projects exceeding 25,000 SF)</v>
      </c>
      <c r="I143" s="186"/>
      <c r="J143" s="578" t="str">
        <f>IF('C-Design&amp;Const'!AK143="","",'C-Design&amp;Const'!AK143)</f>
        <v xml:space="preserve"> (Final w/ all updates)</v>
      </c>
      <c r="K143" s="285" t="str">
        <f t="shared" si="10"/>
        <v>match</v>
      </c>
      <c r="L143" s="1410" t="str">
        <f t="shared" si="11"/>
        <v/>
      </c>
      <c r="M143" s="1333"/>
      <c r="N143" s="1382"/>
      <c r="O143" s="1382"/>
      <c r="P143" s="1382"/>
      <c r="Q143" s="1382"/>
      <c r="R143" s="1490"/>
      <c r="S143" s="1274"/>
      <c r="T143" s="1274"/>
      <c r="U143" s="1382"/>
      <c r="V143" s="1382"/>
      <c r="W143" s="1382"/>
      <c r="X143" s="1382"/>
      <c r="Y143" s="1382"/>
      <c r="Z143" s="1382"/>
      <c r="AA143" s="1382"/>
      <c r="AB143" s="1382"/>
      <c r="AC143" s="1382"/>
      <c r="AD143" s="1382"/>
      <c r="AE143" s="1382"/>
      <c r="AF143" s="1382"/>
      <c r="AG143" s="1382"/>
      <c r="AH143" s="1382"/>
      <c r="AI143" s="1382"/>
      <c r="AJ143" s="1382"/>
      <c r="AK143" s="181"/>
      <c r="AL143" s="181"/>
      <c r="AM143" s="181"/>
      <c r="AN143" s="181"/>
      <c r="AO143" s="181"/>
      <c r="AP143" s="181"/>
      <c r="AQ143" s="181"/>
      <c r="AR143" s="181"/>
      <c r="AS143" s="181"/>
      <c r="AT143" s="181"/>
      <c r="AU143" s="181"/>
      <c r="AV143" s="181"/>
      <c r="AW143" s="181"/>
    </row>
    <row r="144" spans="1:49" s="30" customFormat="1" x14ac:dyDescent="0.25">
      <c r="A144" s="1407" t="str">
        <f>IF(COUNTIF('04 - 95% CD'!D144:G144,"Y")&gt;0,"Y",IF(COUNTIF('04 - 95% CD'!D144:G144,"N"),"N",""))</f>
        <v>Y</v>
      </c>
      <c r="B144" s="191"/>
      <c r="C144" s="944"/>
      <c r="D144" s="321"/>
      <c r="E144" s="559" t="str">
        <f>IF('C-Design&amp;Const'!$U144="","",'C-Design&amp;Const'!$U144)</f>
        <v>Y</v>
      </c>
      <c r="F144" s="560"/>
      <c r="G144" s="558"/>
      <c r="H144" s="340" t="str">
        <f>CONCATENATE(IF(E144="N","PLACEHOLDER ROW - ",""),IF(E144="N","",J144),'C-Design&amp;Const'!Z144,)</f>
        <v xml:space="preserve"> (Final w/ all updates)Energy Budget </v>
      </c>
      <c r="I144" s="186"/>
      <c r="J144" s="578" t="str">
        <f>IF('C-Design&amp;Const'!AK144="","",'C-Design&amp;Const'!AK144)</f>
        <v xml:space="preserve"> (Final w/ all updates)</v>
      </c>
      <c r="K144" s="285" t="str">
        <f t="shared" si="10"/>
        <v>match</v>
      </c>
      <c r="L144" s="1410" t="str">
        <f t="shared" si="11"/>
        <v/>
      </c>
      <c r="M144" s="1333"/>
      <c r="N144" s="1382"/>
      <c r="O144" s="1382"/>
      <c r="P144" s="1382"/>
      <c r="Q144" s="1382"/>
      <c r="R144" s="1490"/>
      <c r="S144" s="1274"/>
      <c r="T144" s="1274"/>
      <c r="U144" s="1382"/>
      <c r="V144" s="1382"/>
      <c r="W144" s="1382"/>
      <c r="X144" s="1382"/>
      <c r="Y144" s="1382"/>
      <c r="Z144" s="1382"/>
      <c r="AA144" s="1382"/>
      <c r="AB144" s="1382"/>
      <c r="AC144" s="1382"/>
      <c r="AD144" s="1382"/>
      <c r="AE144" s="1382"/>
      <c r="AF144" s="1382"/>
      <c r="AG144" s="1382"/>
      <c r="AH144" s="1382"/>
      <c r="AI144" s="1382"/>
      <c r="AJ144" s="1382"/>
      <c r="AK144" s="181"/>
      <c r="AL144" s="181"/>
      <c r="AM144" s="181"/>
      <c r="AN144" s="181"/>
      <c r="AO144" s="181"/>
      <c r="AP144" s="181"/>
      <c r="AQ144" s="181"/>
      <c r="AR144" s="181"/>
      <c r="AS144" s="181"/>
      <c r="AT144" s="181"/>
      <c r="AU144" s="181"/>
      <c r="AV144" s="181"/>
      <c r="AW144" s="181"/>
    </row>
    <row r="145" spans="1:49" s="30" customFormat="1" x14ac:dyDescent="0.25">
      <c r="A145" s="1407" t="str">
        <f>IF(COUNTIF('04 - 95% CD'!D145:G145,"Y")&gt;0,"Y",IF(COUNTIF('04 - 95% CD'!D145:G145,"N"),"N",""))</f>
        <v>N</v>
      </c>
      <c r="B145" s="191"/>
      <c r="C145" s="944"/>
      <c r="D145" s="321"/>
      <c r="E145" s="559" t="str">
        <f>IF('C-Design&amp;Const'!$U146="","",'C-Design&amp;Const'!$U146)</f>
        <v>N</v>
      </c>
      <c r="F145" s="560"/>
      <c r="G145" s="558"/>
      <c r="H145" s="410" t="str">
        <f>'04 - 95% CD'!H145</f>
        <v xml:space="preserve">PLACEHOLDER ROW - Chilled Water Capacity Charge form </v>
      </c>
      <c r="I145" s="186"/>
      <c r="J145" s="578" t="str">
        <f>IF('C-Design&amp;Const'!AK146="","",'C-Design&amp;Const'!AK146)</f>
        <v/>
      </c>
      <c r="K145" s="285" t="str">
        <f>IF((COUNTIF(D145:G145,"Y")=COUNTIF(A145,"Y")),"match","no 95% match")</f>
        <v>match</v>
      </c>
      <c r="L145" s="1410" t="str">
        <f>CONCATENATE(IF(ISNUMBER(SEARCH("Placeholder",H145))=TRUE,"&lt;---PM/Planner may hide PLACEHOLDER ROW",""))</f>
        <v>&lt;---PM/Planner may hide PLACEHOLDER ROW</v>
      </c>
      <c r="M145" s="1333"/>
      <c r="N145" s="1382"/>
      <c r="O145" s="1382"/>
      <c r="P145" s="1382"/>
      <c r="Q145" s="1382"/>
      <c r="R145" s="1490"/>
      <c r="S145" s="1274"/>
      <c r="T145" s="1274"/>
      <c r="U145" s="1382"/>
      <c r="V145" s="1382"/>
      <c r="W145" s="1382"/>
      <c r="X145" s="1382"/>
      <c r="Y145" s="1382"/>
      <c r="Z145" s="1382"/>
      <c r="AA145" s="1382"/>
      <c r="AB145" s="1382"/>
      <c r="AC145" s="1382"/>
      <c r="AD145" s="1382"/>
      <c r="AE145" s="1382"/>
      <c r="AF145" s="1382"/>
      <c r="AG145" s="1382"/>
      <c r="AH145" s="1382"/>
      <c r="AI145" s="1382"/>
      <c r="AJ145" s="1382"/>
      <c r="AK145" s="181"/>
      <c r="AL145" s="181"/>
      <c r="AM145" s="181"/>
      <c r="AN145" s="181"/>
      <c r="AO145" s="181"/>
      <c r="AP145" s="181"/>
      <c r="AQ145" s="181"/>
      <c r="AR145" s="181"/>
      <c r="AS145" s="181"/>
      <c r="AT145" s="181"/>
      <c r="AU145" s="181"/>
      <c r="AV145" s="181"/>
      <c r="AW145" s="181"/>
    </row>
    <row r="146" spans="1:49" s="30" customFormat="1" x14ac:dyDescent="0.25">
      <c r="A146" s="1407" t="str">
        <f>IF(COUNTIF('04 - 95% CD'!D146:G146,"Y")&gt;0,"Y",IF(COUNTIF('04 - 95% CD'!D146:G146,"N"),"N",""))</f>
        <v>Y</v>
      </c>
      <c r="B146" s="191"/>
      <c r="C146" s="944"/>
      <c r="D146" s="321"/>
      <c r="E146" s="559" t="str">
        <f>IF('C-Design&amp;Const'!$U145="","",'C-Design&amp;Const'!$U145)</f>
        <v>Y</v>
      </c>
      <c r="F146" s="560"/>
      <c r="G146" s="558"/>
      <c r="H146" s="340" t="str">
        <f>CONCATENATE(IF(E146="N","PLACEHOLDER ROW - ",""),IF(E146="N","",J146),'C-Design&amp;Const'!Z145,)</f>
        <v xml:space="preserve"> (Final w/ all updates)Utilities Peak Load Estimates</v>
      </c>
      <c r="I146" s="186"/>
      <c r="J146" s="578" t="str">
        <f>IF('C-Design&amp;Const'!AK145="","",'C-Design&amp;Const'!AK145)</f>
        <v xml:space="preserve"> (Final w/ all updates)</v>
      </c>
      <c r="K146" s="285" t="str">
        <f t="shared" si="10"/>
        <v>match</v>
      </c>
      <c r="L146" s="1410" t="str">
        <f t="shared" si="11"/>
        <v/>
      </c>
      <c r="M146" s="1333"/>
      <c r="N146" s="1382"/>
      <c r="O146" s="1382"/>
      <c r="P146" s="1382"/>
      <c r="Q146" s="1382"/>
      <c r="R146" s="1490"/>
      <c r="S146" s="1274"/>
      <c r="T146" s="1274"/>
      <c r="U146" s="1382"/>
      <c r="V146" s="1382"/>
      <c r="W146" s="1382"/>
      <c r="X146" s="1382"/>
      <c r="Y146" s="1382"/>
      <c r="Z146" s="1382"/>
      <c r="AA146" s="1382"/>
      <c r="AB146" s="1382"/>
      <c r="AC146" s="1382"/>
      <c r="AD146" s="1382"/>
      <c r="AE146" s="1382"/>
      <c r="AF146" s="1382"/>
      <c r="AG146" s="1382"/>
      <c r="AH146" s="1382"/>
      <c r="AI146" s="1382"/>
      <c r="AJ146" s="1382"/>
      <c r="AK146" s="181"/>
      <c r="AL146" s="181"/>
      <c r="AM146" s="181"/>
      <c r="AN146" s="181"/>
      <c r="AO146" s="181"/>
      <c r="AP146" s="181"/>
      <c r="AQ146" s="181"/>
      <c r="AR146" s="181"/>
      <c r="AS146" s="181"/>
      <c r="AT146" s="181"/>
      <c r="AU146" s="181"/>
      <c r="AV146" s="181"/>
      <c r="AW146" s="181"/>
    </row>
    <row r="147" spans="1:49" s="30" customFormat="1" x14ac:dyDescent="0.25">
      <c r="A147" s="1407" t="str">
        <f>IF(COUNTIF('04 - 95% CD'!D147:G147,"Y")&gt;0,"Y",IF(COUNTIF('04 - 95% CD'!D147:G147,"N"),"N",""))</f>
        <v>Y</v>
      </c>
      <c r="B147" s="191"/>
      <c r="C147" s="944"/>
      <c r="D147" s="321"/>
      <c r="E147" s="559" t="str">
        <f>IF('C-Design&amp;Const'!$U147="","",'C-Design&amp;Const'!$U147)</f>
        <v>Y</v>
      </c>
      <c r="F147" s="560"/>
      <c r="G147" s="558"/>
      <c r="H147" s="340" t="str">
        <f>CONCATENATE(IF(E147="N","PLACEHOLDER ROW - ",""),IF(E147="N","",J147),'C-Design&amp;Const'!Z147,)</f>
        <v xml:space="preserve">Energy Standards – proof of compliance </v>
      </c>
      <c r="I147" s="186"/>
      <c r="J147" s="578" t="str">
        <f>IF('C-Design&amp;Const'!AK147="","",'C-Design&amp;Const'!AK147)</f>
        <v/>
      </c>
      <c r="K147" s="285" t="str">
        <f t="shared" si="10"/>
        <v>match</v>
      </c>
      <c r="L147" s="1410" t="str">
        <f t="shared" si="11"/>
        <v/>
      </c>
      <c r="M147" s="1333"/>
      <c r="N147" s="1382"/>
      <c r="O147" s="1382"/>
      <c r="P147" s="1382"/>
      <c r="Q147" s="1382"/>
      <c r="R147" s="1490"/>
      <c r="S147" s="1274"/>
      <c r="T147" s="1274"/>
      <c r="U147" s="1382"/>
      <c r="V147" s="1382"/>
      <c r="W147" s="1382"/>
      <c r="X147" s="1382"/>
      <c r="Y147" s="1382"/>
      <c r="Z147" s="1382"/>
      <c r="AA147" s="1382"/>
      <c r="AB147" s="1382"/>
      <c r="AC147" s="1382"/>
      <c r="AD147" s="1382"/>
      <c r="AE147" s="1382"/>
      <c r="AF147" s="1382"/>
      <c r="AG147" s="1382"/>
      <c r="AH147" s="1382"/>
      <c r="AI147" s="1382"/>
      <c r="AJ147" s="1382"/>
      <c r="AK147" s="181"/>
      <c r="AL147" s="181"/>
      <c r="AM147" s="181"/>
      <c r="AN147" s="181"/>
      <c r="AO147" s="181"/>
      <c r="AP147" s="181"/>
      <c r="AQ147" s="181"/>
      <c r="AR147" s="181"/>
      <c r="AS147" s="181"/>
      <c r="AT147" s="181"/>
      <c r="AU147" s="181"/>
      <c r="AV147" s="181"/>
      <c r="AW147" s="181"/>
    </row>
    <row r="148" spans="1:49" s="30" customFormat="1" x14ac:dyDescent="0.25">
      <c r="A148" s="1407" t="str">
        <f>IF(COUNTIF('04 - 95% CD'!D148:G148,"Y")&gt;0,"Y",IF(COUNTIF('04 - 95% CD'!D148:G148,"N"),"N",""))</f>
        <v>Y</v>
      </c>
      <c r="B148" s="191"/>
      <c r="C148" s="944"/>
      <c r="D148" s="321"/>
      <c r="E148" s="559" t="str">
        <f>IF('C-Design&amp;Const'!$U148="","",'C-Design&amp;Const'!$U148)</f>
        <v>Y</v>
      </c>
      <c r="F148" s="560"/>
      <c r="G148" s="558"/>
      <c r="H148" s="340" t="str">
        <f>CONCATENATE(IF(E148="N","PLACEHOLDER ROW - ",""),IF(E148="N","",J148),'C-Design&amp;Const'!Z148,)</f>
        <v xml:space="preserve">(Final) Hydraulic Analysis for water and waste - ** calculations available upon request </v>
      </c>
      <c r="I148" s="186"/>
      <c r="J148" s="578" t="str">
        <f>IF('C-Design&amp;Const'!AK148="","",'C-Design&amp;Const'!AK148)</f>
        <v xml:space="preserve">(Final) </v>
      </c>
      <c r="K148" s="285" t="str">
        <f t="shared" si="10"/>
        <v>match</v>
      </c>
      <c r="L148" s="1410" t="str">
        <f t="shared" si="11"/>
        <v/>
      </c>
      <c r="M148" s="1333"/>
      <c r="N148" s="1382"/>
      <c r="O148" s="1382"/>
      <c r="P148" s="1382"/>
      <c r="Q148" s="1382"/>
      <c r="R148" s="1490"/>
      <c r="S148" s="1274"/>
      <c r="T148" s="1274"/>
      <c r="U148" s="1382"/>
      <c r="V148" s="1382"/>
      <c r="W148" s="1382"/>
      <c r="X148" s="1382"/>
      <c r="Y148" s="1382"/>
      <c r="Z148" s="1382"/>
      <c r="AA148" s="1382"/>
      <c r="AB148" s="1382"/>
      <c r="AC148" s="1382"/>
      <c r="AD148" s="1382"/>
      <c r="AE148" s="1382"/>
      <c r="AF148" s="1382"/>
      <c r="AG148" s="1382"/>
      <c r="AH148" s="1382"/>
      <c r="AI148" s="1382"/>
      <c r="AJ148" s="1382"/>
      <c r="AK148" s="181"/>
      <c r="AL148" s="181"/>
      <c r="AM148" s="181"/>
      <c r="AN148" s="181"/>
      <c r="AO148" s="181"/>
      <c r="AP148" s="181"/>
      <c r="AQ148" s="181"/>
      <c r="AR148" s="181"/>
      <c r="AS148" s="181"/>
      <c r="AT148" s="181"/>
      <c r="AU148" s="181"/>
      <c r="AV148" s="181"/>
      <c r="AW148" s="181"/>
    </row>
    <row r="149" spans="1:49" s="30" customFormat="1" x14ac:dyDescent="0.25">
      <c r="A149" s="1407" t="str">
        <f>IF(COUNTIF('04 - 95% CD'!D149:G149,"Y")&gt;0,"Y",IF(COUNTIF('04 - 95% CD'!D149:G149,"N"),"N",""))</f>
        <v>Y</v>
      </c>
      <c r="B149" s="191"/>
      <c r="C149" s="944"/>
      <c r="D149" s="321"/>
      <c r="E149" s="559" t="str">
        <f>IF('C-Design&amp;Const'!$U149="","",'C-Design&amp;Const'!$U149)</f>
        <v>Y</v>
      </c>
      <c r="F149" s="560"/>
      <c r="G149" s="558"/>
      <c r="H149" s="340" t="str">
        <f>CONCATENATE(IF(E149="N","PLACEHOLDER ROW - ",""),IF(E149="N","",J149),'C-Design&amp;Const'!Z149,)</f>
        <v xml:space="preserve">(Final) Hydraulic Analysis for fire protection - ** calculations available upon request </v>
      </c>
      <c r="I149" s="186"/>
      <c r="J149" s="578" t="str">
        <f>IF('C-Design&amp;Const'!AK149="","",'C-Design&amp;Const'!AK149)</f>
        <v xml:space="preserve">(Final) </v>
      </c>
      <c r="K149" s="285" t="str">
        <f t="shared" si="10"/>
        <v>match</v>
      </c>
      <c r="L149" s="1410" t="str">
        <f t="shared" si="11"/>
        <v/>
      </c>
      <c r="M149" s="1333"/>
      <c r="N149" s="1382"/>
      <c r="O149" s="1382"/>
      <c r="P149" s="1382"/>
      <c r="Q149" s="1382"/>
      <c r="R149" s="1490"/>
      <c r="S149" s="1274"/>
      <c r="T149" s="1274"/>
      <c r="U149" s="1382"/>
      <c r="V149" s="1382"/>
      <c r="W149" s="1382"/>
      <c r="X149" s="1382"/>
      <c r="Y149" s="1382"/>
      <c r="Z149" s="1382"/>
      <c r="AA149" s="1382"/>
      <c r="AB149" s="1382"/>
      <c r="AC149" s="1382"/>
      <c r="AD149" s="1382"/>
      <c r="AE149" s="1382"/>
      <c r="AF149" s="1382"/>
      <c r="AG149" s="1382"/>
      <c r="AH149" s="1382"/>
      <c r="AI149" s="1382"/>
      <c r="AJ149" s="1382"/>
      <c r="AK149" s="181"/>
      <c r="AL149" s="181"/>
      <c r="AM149" s="181"/>
      <c r="AN149" s="181"/>
      <c r="AO149" s="181"/>
      <c r="AP149" s="181"/>
      <c r="AQ149" s="181"/>
      <c r="AR149" s="181"/>
      <c r="AS149" s="181"/>
      <c r="AT149" s="181"/>
      <c r="AU149" s="181"/>
      <c r="AV149" s="181"/>
      <c r="AW149" s="181"/>
    </row>
    <row r="150" spans="1:49" s="30" customFormat="1" x14ac:dyDescent="0.25">
      <c r="A150" s="1407" t="str">
        <f>IF(COUNTIF('04 - 95% CD'!D150:G150,"Y")&gt;0,"Y",IF(COUNTIF('04 - 95% CD'!D150:G150,"N"),"N",""))</f>
        <v>N</v>
      </c>
      <c r="B150" s="191"/>
      <c r="C150" s="944"/>
      <c r="D150" s="321"/>
      <c r="E150" s="559" t="str">
        <f>IF('C-Design&amp;Const'!$U150="","",'C-Design&amp;Const'!$U150)</f>
        <v>Y</v>
      </c>
      <c r="F150" s="560"/>
      <c r="G150" s="558"/>
      <c r="H150" s="340" t="str">
        <f>CONCATENATE(IF(E150="N","PLACEHOLDER ROW - ",""),IF(E150="N","",J150),'C-Design&amp;Const'!Z150,)</f>
        <v>(Final) Harmonic Analysis Report for VFDs (N/A till construction)</v>
      </c>
      <c r="I150" s="186"/>
      <c r="J150" s="578" t="str">
        <f>IF('C-Design&amp;Const'!AK150="","",'C-Design&amp;Const'!AK150)</f>
        <v xml:space="preserve">(Final) </v>
      </c>
      <c r="K150" s="285" t="str">
        <f t="shared" si="10"/>
        <v>no 95% match</v>
      </c>
      <c r="L150" s="1410" t="str">
        <f t="shared" si="11"/>
        <v/>
      </c>
      <c r="M150" s="1333"/>
      <c r="N150" s="1382"/>
      <c r="O150" s="1382"/>
      <c r="P150" s="1382"/>
      <c r="Q150" s="1382"/>
      <c r="R150" s="1490"/>
      <c r="S150" s="1274"/>
      <c r="T150" s="1274"/>
      <c r="U150" s="1382"/>
      <c r="V150" s="1382"/>
      <c r="W150" s="1382"/>
      <c r="X150" s="1382"/>
      <c r="Y150" s="1382"/>
      <c r="Z150" s="1382"/>
      <c r="AA150" s="1382"/>
      <c r="AB150" s="1382"/>
      <c r="AC150" s="1382"/>
      <c r="AD150" s="1382"/>
      <c r="AE150" s="1382"/>
      <c r="AF150" s="1382"/>
      <c r="AG150" s="1382"/>
      <c r="AH150" s="1382"/>
      <c r="AI150" s="1382"/>
      <c r="AJ150" s="1382"/>
      <c r="AK150" s="181"/>
      <c r="AL150" s="181"/>
      <c r="AM150" s="181"/>
      <c r="AN150" s="181"/>
      <c r="AO150" s="181"/>
      <c r="AP150" s="181"/>
      <c r="AQ150" s="181"/>
      <c r="AR150" s="181"/>
      <c r="AS150" s="181"/>
      <c r="AT150" s="181"/>
      <c r="AU150" s="181"/>
      <c r="AV150" s="181"/>
      <c r="AW150" s="181"/>
    </row>
    <row r="151" spans="1:49" s="30" customFormat="1" ht="28.5" x14ac:dyDescent="0.25">
      <c r="A151" s="1407" t="str">
        <f>IF(COUNTIF('04 - 95% CD'!D151:G151,"Y")&gt;0,"Y",IF(COUNTIF('04 - 95% CD'!D151:G151,"N"),"N",""))</f>
        <v>Y</v>
      </c>
      <c r="B151" s="191"/>
      <c r="C151" s="944"/>
      <c r="D151" s="321"/>
      <c r="E151" s="559" t="str">
        <f>IF('C-Design&amp;Const'!$U151="","",'C-Design&amp;Const'!$U151)</f>
        <v>Y</v>
      </c>
      <c r="F151" s="560"/>
      <c r="G151" s="558"/>
      <c r="H151" s="340" t="str">
        <f>CONCATENATE(IF(E151="N","PLACEHOLDER ROW - ",""),IF(E151="N","",J151),'C-Design&amp;Const'!Z151,)</f>
        <v xml:space="preserve">(Final) Results of Emergency Generator Load Calculation - ** calculations available upon request </v>
      </c>
      <c r="I151" s="186"/>
      <c r="J151" s="578" t="str">
        <f>IF('C-Design&amp;Const'!AK151="","",'C-Design&amp;Const'!AK151)</f>
        <v xml:space="preserve">(Final) </v>
      </c>
      <c r="K151" s="285" t="str">
        <f t="shared" si="10"/>
        <v>match</v>
      </c>
      <c r="L151" s="1410" t="str">
        <f t="shared" si="11"/>
        <v/>
      </c>
      <c r="M151" s="1333"/>
      <c r="N151" s="1382"/>
      <c r="O151" s="1382"/>
      <c r="P151" s="1382"/>
      <c r="Q151" s="1382"/>
      <c r="R151" s="1490"/>
      <c r="S151" s="1274"/>
      <c r="T151" s="1274"/>
      <c r="U151" s="1382"/>
      <c r="V151" s="1382"/>
      <c r="W151" s="1382"/>
      <c r="X151" s="1382"/>
      <c r="Y151" s="1382"/>
      <c r="Z151" s="1382"/>
      <c r="AA151" s="1382"/>
      <c r="AB151" s="1382"/>
      <c r="AC151" s="1382"/>
      <c r="AD151" s="1382"/>
      <c r="AE151" s="1382"/>
      <c r="AF151" s="1382"/>
      <c r="AG151" s="1382"/>
      <c r="AH151" s="1382"/>
      <c r="AI151" s="1382"/>
      <c r="AJ151" s="1382"/>
      <c r="AK151" s="181"/>
      <c r="AL151" s="181"/>
      <c r="AM151" s="181"/>
      <c r="AN151" s="181"/>
      <c r="AO151" s="181"/>
      <c r="AP151" s="181"/>
      <c r="AQ151" s="181"/>
      <c r="AR151" s="181"/>
      <c r="AS151" s="181"/>
      <c r="AT151" s="181"/>
      <c r="AU151" s="181"/>
      <c r="AV151" s="181"/>
      <c r="AW151" s="181"/>
    </row>
    <row r="152" spans="1:49" s="30" customFormat="1" x14ac:dyDescent="0.25">
      <c r="A152" s="1407" t="str">
        <f>IF(COUNTIF('04 - 95% CD'!D152:G152,"Y")&gt;0,"Y",IF(COUNTIF('04 - 95% CD'!D152:G152,"N"),"N",""))</f>
        <v>N</v>
      </c>
      <c r="B152" s="191"/>
      <c r="C152" s="944"/>
      <c r="D152" s="321"/>
      <c r="E152" s="559" t="str">
        <f>IF('C-Design&amp;Const'!$U152="","",'C-Design&amp;Const'!$U152)</f>
        <v>N</v>
      </c>
      <c r="F152" s="560"/>
      <c r="G152" s="558"/>
      <c r="H152" s="340" t="str">
        <f>CONCATENATE(IF(E152="N","PLACEHOLDER ROW - ",""),IF(E152="N","",J152),'C-Design&amp;Const'!Z152,)</f>
        <v>PLACEHOLDER ROW - CUSTOM ROW - OPTIONAL CLIENT ITEM</v>
      </c>
      <c r="I152" s="186"/>
      <c r="J152" s="578" t="str">
        <f>IF('C-Design&amp;Const'!AK152="","",'C-Design&amp;Const'!AK152)</f>
        <v xml:space="preserve">(Final) </v>
      </c>
      <c r="K152" s="285" t="str">
        <f t="shared" si="10"/>
        <v>match</v>
      </c>
      <c r="L152" s="1410" t="str">
        <f t="shared" si="11"/>
        <v>&lt;---PM/Planner may hide PLACEHOLDER ROW</v>
      </c>
      <c r="M152" s="1333"/>
      <c r="N152" s="1382"/>
      <c r="O152" s="1382"/>
      <c r="P152" s="1382"/>
      <c r="Q152" s="1382"/>
      <c r="R152" s="1490"/>
      <c r="S152" s="1274"/>
      <c r="T152" s="1274"/>
      <c r="U152" s="1382"/>
      <c r="V152" s="1382"/>
      <c r="W152" s="1382"/>
      <c r="X152" s="1382"/>
      <c r="Y152" s="1382"/>
      <c r="Z152" s="1382"/>
      <c r="AA152" s="1382"/>
      <c r="AB152" s="1382"/>
      <c r="AC152" s="1382"/>
      <c r="AD152" s="1382"/>
      <c r="AE152" s="1382"/>
      <c r="AF152" s="1382"/>
      <c r="AG152" s="1382"/>
      <c r="AH152" s="1382"/>
      <c r="AI152" s="1382"/>
      <c r="AJ152" s="1382"/>
      <c r="AK152" s="181"/>
      <c r="AL152" s="181"/>
      <c r="AM152" s="181"/>
      <c r="AN152" s="181"/>
      <c r="AO152" s="181"/>
      <c r="AP152" s="181"/>
      <c r="AQ152" s="181"/>
      <c r="AR152" s="181"/>
      <c r="AS152" s="181"/>
      <c r="AT152" s="181"/>
      <c r="AU152" s="181"/>
      <c r="AV152" s="181"/>
      <c r="AW152" s="181"/>
    </row>
    <row r="153" spans="1:49" s="30" customFormat="1" x14ac:dyDescent="0.25">
      <c r="A153" s="1407" t="str">
        <f>IF(COUNTIF('04 - 95% CD'!D153:G153,"Y")&gt;0,"Y",IF(COUNTIF('04 - 95% CD'!D153:G153,"N"),"N",""))</f>
        <v>Y</v>
      </c>
      <c r="B153" s="191"/>
      <c r="C153" s="944"/>
      <c r="D153" s="321"/>
      <c r="E153" s="559" t="str">
        <f>IF('C-Design&amp;Const'!$U153="","",'C-Design&amp;Const'!$U153)</f>
        <v>Y</v>
      </c>
      <c r="F153" s="560"/>
      <c r="G153" s="558"/>
      <c r="H153" s="340" t="str">
        <f>CONCATENATE(IF(E153="N","PLACEHOLDER ROW - ",""),IF(E153="N","",J153),'C-Design&amp;Const'!Z153,)</f>
        <v xml:space="preserve">(Final) Results of Transformer Load Calculation -** calculations available upon request </v>
      </c>
      <c r="I153" s="186"/>
      <c r="J153" s="578" t="str">
        <f>IF('C-Design&amp;Const'!AK153="","",'C-Design&amp;Const'!AK153)</f>
        <v xml:space="preserve">(Final) </v>
      </c>
      <c r="K153" s="285" t="str">
        <f t="shared" si="10"/>
        <v>match</v>
      </c>
      <c r="L153" s="1410" t="str">
        <f t="shared" si="11"/>
        <v/>
      </c>
      <c r="M153" s="1333"/>
      <c r="N153" s="1382"/>
      <c r="O153" s="1382"/>
      <c r="P153" s="1382"/>
      <c r="Q153" s="1382"/>
      <c r="R153" s="1490"/>
      <c r="S153" s="1274"/>
      <c r="T153" s="1274"/>
      <c r="U153" s="1382"/>
      <c r="V153" s="1382"/>
      <c r="W153" s="1382"/>
      <c r="X153" s="1382"/>
      <c r="Y153" s="1382"/>
      <c r="Z153" s="1382"/>
      <c r="AA153" s="1382"/>
      <c r="AB153" s="1382"/>
      <c r="AC153" s="1382"/>
      <c r="AD153" s="1382"/>
      <c r="AE153" s="1382"/>
      <c r="AF153" s="1382"/>
      <c r="AG153" s="1382"/>
      <c r="AH153" s="1382"/>
      <c r="AI153" s="1382"/>
      <c r="AJ153" s="1382"/>
      <c r="AK153" s="181"/>
      <c r="AL153" s="181"/>
      <c r="AM153" s="181"/>
      <c r="AN153" s="181"/>
      <c r="AO153" s="181"/>
      <c r="AP153" s="181"/>
      <c r="AQ153" s="181"/>
      <c r="AR153" s="181"/>
      <c r="AS153" s="181"/>
      <c r="AT153" s="181"/>
      <c r="AU153" s="181"/>
      <c r="AV153" s="181"/>
      <c r="AW153" s="181"/>
    </row>
    <row r="154" spans="1:49" s="30" customFormat="1" ht="26.25" customHeight="1" x14ac:dyDescent="0.25">
      <c r="A154" s="1407" t="str">
        <f>IF(COUNTIF('04 - 95% CD'!D154:G154,"Y")&gt;0,"Y",IF(COUNTIF('04 - 95% CD'!D154:G154,"N"),"N",""))</f>
        <v>Y</v>
      </c>
      <c r="B154" s="191"/>
      <c r="C154" s="944"/>
      <c r="D154" s="321"/>
      <c r="E154" s="559" t="str">
        <f>IF('C-Design&amp;Const'!$U154="","",'C-Design&amp;Const'!$U154)</f>
        <v>Y</v>
      </c>
      <c r="F154" s="560"/>
      <c r="G154" s="558"/>
      <c r="H154" s="340" t="str">
        <f>CONCATENATE(IF(E154="N","PLACEHOLDER ROW - ",""),IF(E154="N","",J154),'C-Design&amp;Const'!Z154,)</f>
        <v xml:space="preserve">(Final) Results of Short-Circuit (Fault) Analysis of Building Electrical System- ** calculations available upon request </v>
      </c>
      <c r="I154" s="186"/>
      <c r="J154" s="578" t="str">
        <f>IF('C-Design&amp;Const'!AK154="","",'C-Design&amp;Const'!AK154)</f>
        <v xml:space="preserve">(Final) </v>
      </c>
      <c r="K154" s="285" t="str">
        <f t="shared" si="10"/>
        <v>match</v>
      </c>
      <c r="L154" s="1410" t="str">
        <f t="shared" si="11"/>
        <v/>
      </c>
      <c r="M154" s="1333"/>
      <c r="N154" s="1382"/>
      <c r="O154" s="1382"/>
      <c r="P154" s="1382"/>
      <c r="Q154" s="1382"/>
      <c r="R154" s="1490"/>
      <c r="S154" s="1274"/>
      <c r="T154" s="1274"/>
      <c r="U154" s="1382"/>
      <c r="V154" s="1382"/>
      <c r="W154" s="1382"/>
      <c r="X154" s="1382"/>
      <c r="Y154" s="1382"/>
      <c r="Z154" s="1382"/>
      <c r="AA154" s="1382"/>
      <c r="AB154" s="1382"/>
      <c r="AC154" s="1382"/>
      <c r="AD154" s="1382"/>
      <c r="AE154" s="1382"/>
      <c r="AF154" s="1382"/>
      <c r="AG154" s="1382"/>
      <c r="AH154" s="1382"/>
      <c r="AI154" s="1382"/>
      <c r="AJ154" s="1382"/>
      <c r="AK154" s="181"/>
      <c r="AL154" s="181"/>
      <c r="AM154" s="181"/>
      <c r="AN154" s="181"/>
      <c r="AO154" s="181"/>
      <c r="AP154" s="181"/>
      <c r="AQ154" s="181"/>
      <c r="AR154" s="181"/>
      <c r="AS154" s="181"/>
      <c r="AT154" s="181"/>
      <c r="AU154" s="181"/>
      <c r="AV154" s="181"/>
      <c r="AW154" s="181"/>
    </row>
    <row r="155" spans="1:49" s="30" customFormat="1" ht="15" customHeight="1" x14ac:dyDescent="0.25">
      <c r="A155" s="1407" t="str">
        <f>IF(COUNTIF('04 - 95% CD'!D155:G155,"Y")&gt;0,"Y",IF(COUNTIF('04 - 95% CD'!D155:G155,"N"),"N",""))</f>
        <v>Y</v>
      </c>
      <c r="B155" s="191"/>
      <c r="C155" s="944"/>
      <c r="D155" s="321"/>
      <c r="E155" s="559" t="str">
        <f>IF('C-Design&amp;Const'!$U155="","",'C-Design&amp;Const'!$U155)</f>
        <v>Y</v>
      </c>
      <c r="F155" s="560"/>
      <c r="G155" s="558"/>
      <c r="H155" s="340" t="str">
        <f>CONCATENATE(IF(E155="N","PLACEHOLDER ROW - ",""),IF(E155="N","",J155),'C-Design&amp;Const'!Z155,)</f>
        <v xml:space="preserve">(Final) Extensions of Primary Electrical Distribution-** calculations available upon request </v>
      </c>
      <c r="I155" s="186"/>
      <c r="J155" s="578" t="str">
        <f>IF('C-Design&amp;Const'!AK155="","",'C-Design&amp;Const'!AK155)</f>
        <v xml:space="preserve">(Final) </v>
      </c>
      <c r="K155" s="285" t="str">
        <f t="shared" si="10"/>
        <v>match</v>
      </c>
      <c r="L155" s="1410" t="str">
        <f t="shared" si="11"/>
        <v/>
      </c>
      <c r="M155" s="1333"/>
      <c r="N155" s="1382"/>
      <c r="O155" s="1382"/>
      <c r="P155" s="1382"/>
      <c r="Q155" s="1382"/>
      <c r="R155" s="1490"/>
      <c r="S155" s="1274"/>
      <c r="T155" s="1274"/>
      <c r="U155" s="1382"/>
      <c r="V155" s="1382"/>
      <c r="W155" s="1382"/>
      <c r="X155" s="1382"/>
      <c r="Y155" s="1382"/>
      <c r="Z155" s="1382"/>
      <c r="AA155" s="1382"/>
      <c r="AB155" s="1382"/>
      <c r="AC155" s="1382"/>
      <c r="AD155" s="1382"/>
      <c r="AE155" s="1382"/>
      <c r="AF155" s="1382"/>
      <c r="AG155" s="1382"/>
      <c r="AH155" s="1382"/>
      <c r="AI155" s="1382"/>
      <c r="AJ155" s="1382"/>
      <c r="AK155" s="181"/>
      <c r="AL155" s="181"/>
      <c r="AM155" s="181"/>
      <c r="AN155" s="181"/>
      <c r="AO155" s="181"/>
      <c r="AP155" s="181"/>
      <c r="AQ155" s="181"/>
      <c r="AR155" s="181"/>
      <c r="AS155" s="181"/>
      <c r="AT155" s="181"/>
      <c r="AU155" s="181"/>
      <c r="AV155" s="181"/>
      <c r="AW155" s="181"/>
    </row>
    <row r="156" spans="1:49" s="30" customFormat="1" ht="42.75" customHeight="1" x14ac:dyDescent="0.25">
      <c r="A156" s="1407" t="str">
        <f>IF(COUNTIF('04 - 95% CD'!D156:G156,"Y")&gt;0,"Y",IF(COUNTIF('04 - 95% CD'!D156:G156,"N"),"N",""))</f>
        <v>Y</v>
      </c>
      <c r="B156" s="191"/>
      <c r="C156" s="944"/>
      <c r="D156" s="321"/>
      <c r="E156" s="559" t="str">
        <f>IF('C-Design&amp;Const'!$U156="","",'C-Design&amp;Const'!$U156)</f>
        <v>Y</v>
      </c>
      <c r="F156" s="560"/>
      <c r="G156" s="558"/>
      <c r="H156" s="340" t="str">
        <f>CONCATENATE(IF(E156="N","PLACEHOLDER ROW - ",""),IF(E156="N","",J156),'C-Design&amp;Const'!Z156,)</f>
        <v xml:space="preserve">(Final) Results of Proposed Lighting Power Density Calculation (output from COMcheck software or similar) showing Compliance with Energy Codes and Standards -** calculations available upon request </v>
      </c>
      <c r="I156" s="186"/>
      <c r="J156" s="578" t="str">
        <f>IF('C-Design&amp;Const'!AK156="","",'C-Design&amp;Const'!AK156)</f>
        <v xml:space="preserve">(Final) </v>
      </c>
      <c r="K156" s="285" t="str">
        <f t="shared" si="10"/>
        <v>match</v>
      </c>
      <c r="L156" s="1410" t="str">
        <f t="shared" si="11"/>
        <v/>
      </c>
      <c r="M156" s="1333"/>
      <c r="N156" s="1382"/>
      <c r="O156" s="1382"/>
      <c r="P156" s="1382"/>
      <c r="Q156" s="1382"/>
      <c r="R156" s="1490"/>
      <c r="S156" s="1274"/>
      <c r="T156" s="1274"/>
      <c r="U156" s="1382"/>
      <c r="V156" s="1382"/>
      <c r="W156" s="1382"/>
      <c r="X156" s="1382"/>
      <c r="Y156" s="1382"/>
      <c r="Z156" s="1382"/>
      <c r="AA156" s="1382"/>
      <c r="AB156" s="1382"/>
      <c r="AC156" s="1382"/>
      <c r="AD156" s="1382"/>
      <c r="AE156" s="1382"/>
      <c r="AF156" s="1382"/>
      <c r="AG156" s="1382"/>
      <c r="AH156" s="1382"/>
      <c r="AI156" s="1382"/>
      <c r="AJ156" s="1382"/>
      <c r="AK156" s="181"/>
      <c r="AL156" s="181"/>
      <c r="AM156" s="181"/>
      <c r="AN156" s="181"/>
      <c r="AO156" s="181"/>
      <c r="AP156" s="181"/>
      <c r="AQ156" s="181"/>
      <c r="AR156" s="181"/>
      <c r="AS156" s="181"/>
      <c r="AT156" s="181"/>
      <c r="AU156" s="181"/>
      <c r="AV156" s="181"/>
      <c r="AW156" s="181"/>
    </row>
    <row r="157" spans="1:49" s="30" customFormat="1" ht="28.5" x14ac:dyDescent="0.25">
      <c r="A157" s="1407" t="str">
        <f>IF(COUNTIF('04 - 95% CD'!D157:G157,"Y")&gt;0,"Y",IF(COUNTIF('04 - 95% CD'!D157:G157,"N"),"N",""))</f>
        <v>Y</v>
      </c>
      <c r="B157" s="191"/>
      <c r="C157" s="944"/>
      <c r="D157" s="321"/>
      <c r="E157" s="559" t="str">
        <f>IF('C-Design&amp;Const'!$U157="","",'C-Design&amp;Const'!$U157)</f>
        <v>Y</v>
      </c>
      <c r="F157" s="560"/>
      <c r="G157" s="558"/>
      <c r="H157" s="340" t="str">
        <f>CONCATENATE(IF(E157="N","PLACEHOLDER ROW - ",""),IF(E157="N","",J157),'C-Design&amp;Const'!Z157,)</f>
        <v>(Final) Results of Point-by-Point Exterior Lighting Calculations Showing Compliance with IESNA Recommendations</v>
      </c>
      <c r="I157" s="186"/>
      <c r="J157" s="578" t="str">
        <f>IF('C-Design&amp;Const'!AK157="","",'C-Design&amp;Const'!AK157)</f>
        <v xml:space="preserve">(Final) </v>
      </c>
      <c r="K157" s="285" t="str">
        <f t="shared" si="10"/>
        <v>match</v>
      </c>
      <c r="L157" s="1410" t="str">
        <f t="shared" si="11"/>
        <v/>
      </c>
      <c r="M157" s="1333"/>
      <c r="N157" s="1382"/>
      <c r="O157" s="1382"/>
      <c r="P157" s="1382"/>
      <c r="Q157" s="1382"/>
      <c r="R157" s="1490"/>
      <c r="S157" s="1274"/>
      <c r="T157" s="1274"/>
      <c r="U157" s="1382"/>
      <c r="V157" s="1382"/>
      <c r="W157" s="1382"/>
      <c r="X157" s="1382"/>
      <c r="Y157" s="1382"/>
      <c r="Z157" s="1382"/>
      <c r="AA157" s="1382"/>
      <c r="AB157" s="1382"/>
      <c r="AC157" s="1382"/>
      <c r="AD157" s="1382"/>
      <c r="AE157" s="1382"/>
      <c r="AF157" s="1382"/>
      <c r="AG157" s="1382"/>
      <c r="AH157" s="1382"/>
      <c r="AI157" s="1382"/>
      <c r="AJ157" s="1382"/>
      <c r="AK157" s="181"/>
      <c r="AL157" s="181"/>
      <c r="AM157" s="181"/>
      <c r="AN157" s="181"/>
      <c r="AO157" s="181"/>
      <c r="AP157" s="181"/>
      <c r="AQ157" s="181"/>
      <c r="AR157" s="181"/>
      <c r="AS157" s="181"/>
      <c r="AT157" s="181"/>
      <c r="AU157" s="181"/>
      <c r="AV157" s="181"/>
      <c r="AW157" s="181"/>
    </row>
    <row r="158" spans="1:49" s="30" customFormat="1" x14ac:dyDescent="0.25">
      <c r="A158" s="1407" t="str">
        <f>IF(COUNTIF('04 - 95% CD'!D158:G158,"Y")&gt;0,"Y",IF(COUNTIF('04 - 95% CD'!D158:G158,"N"),"N",""))</f>
        <v>Y</v>
      </c>
      <c r="B158" s="191"/>
      <c r="C158" s="944"/>
      <c r="D158" s="321"/>
      <c r="E158" s="559" t="str">
        <f>IF('C-Design&amp;Const'!$U158="","",'C-Design&amp;Const'!$U158)</f>
        <v>Y</v>
      </c>
      <c r="F158" s="560"/>
      <c r="G158" s="558"/>
      <c r="H158" s="340" t="str">
        <f>CONCATENATE(IF(E158="N","PLACEHOLDER ROW - ",""),IF(E158="N","",J158),'C-Design&amp;Const'!Z158,)</f>
        <v>(Final) Results of Point-by-Point Interior Lighting Calculations for Each Typical Space</v>
      </c>
      <c r="I158" s="186"/>
      <c r="J158" s="578" t="str">
        <f>IF('C-Design&amp;Const'!AK158="","",'C-Design&amp;Const'!AK158)</f>
        <v xml:space="preserve">(Final) </v>
      </c>
      <c r="K158" s="285" t="str">
        <f t="shared" si="10"/>
        <v>match</v>
      </c>
      <c r="L158" s="1410" t="str">
        <f t="shared" si="11"/>
        <v/>
      </c>
      <c r="M158" s="1333"/>
      <c r="N158" s="1382"/>
      <c r="O158" s="1382"/>
      <c r="P158" s="1382"/>
      <c r="Q158" s="1382"/>
      <c r="R158" s="1490"/>
      <c r="S158" s="1274"/>
      <c r="T158" s="1274"/>
      <c r="U158" s="1382"/>
      <c r="V158" s="1382"/>
      <c r="W158" s="1382"/>
      <c r="X158" s="1382"/>
      <c r="Y158" s="1382"/>
      <c r="Z158" s="1382"/>
      <c r="AA158" s="1382"/>
      <c r="AB158" s="1382"/>
      <c r="AC158" s="1382"/>
      <c r="AD158" s="1382"/>
      <c r="AE158" s="1382"/>
      <c r="AF158" s="1382"/>
      <c r="AG158" s="1382"/>
      <c r="AH158" s="1382"/>
      <c r="AI158" s="1382"/>
      <c r="AJ158" s="1382"/>
      <c r="AK158" s="181"/>
      <c r="AL158" s="181"/>
      <c r="AM158" s="181"/>
      <c r="AN158" s="181"/>
      <c r="AO158" s="181"/>
      <c r="AP158" s="181"/>
      <c r="AQ158" s="181"/>
      <c r="AR158" s="181"/>
      <c r="AS158" s="181"/>
      <c r="AT158" s="181"/>
      <c r="AU158" s="181"/>
      <c r="AV158" s="181"/>
      <c r="AW158" s="181"/>
    </row>
    <row r="159" spans="1:49" s="30" customFormat="1" x14ac:dyDescent="0.25">
      <c r="A159" s="1407" t="str">
        <f>IF(COUNTIF('04 - 95% CD'!D159:G159,"Y")&gt;0,"Y",IF(COUNTIF('04 - 95% CD'!D159:G159,"N"),"N",""))</f>
        <v>Y</v>
      </c>
      <c r="B159" s="191"/>
      <c r="C159" s="944"/>
      <c r="D159" s="321"/>
      <c r="E159" s="559" t="str">
        <f>IF('C-Design&amp;Const'!$U159="","",'C-Design&amp;Const'!$U159)</f>
        <v>Y</v>
      </c>
      <c r="F159" s="560"/>
      <c r="G159" s="558"/>
      <c r="H159" s="340" t="str">
        <f>CONCATENATE(IF(E159="N","PLACEHOLDER ROW - ",""),IF(E159="N","",J159),'C-Design&amp;Const'!Z159,)</f>
        <v xml:space="preserve">(Final) Extensions of Primary Building Automation Systems </v>
      </c>
      <c r="I159" s="186"/>
      <c r="J159" s="578" t="str">
        <f>IF('C-Design&amp;Const'!AK159="","",'C-Design&amp;Const'!AK159)</f>
        <v xml:space="preserve">(Final) </v>
      </c>
      <c r="K159" s="285" t="str">
        <f t="shared" si="10"/>
        <v>match</v>
      </c>
      <c r="L159" s="1410" t="str">
        <f t="shared" si="11"/>
        <v/>
      </c>
      <c r="M159" s="1333"/>
      <c r="N159" s="1382"/>
      <c r="O159" s="1382"/>
      <c r="P159" s="1382"/>
      <c r="Q159" s="1382"/>
      <c r="R159" s="1490"/>
      <c r="S159" s="1274"/>
      <c r="T159" s="1274"/>
      <c r="U159" s="1382"/>
      <c r="V159" s="1382"/>
      <c r="W159" s="1382"/>
      <c r="X159" s="1382"/>
      <c r="Y159" s="1382"/>
      <c r="Z159" s="1382"/>
      <c r="AA159" s="1382"/>
      <c r="AB159" s="1382"/>
      <c r="AC159" s="1382"/>
      <c r="AD159" s="1382"/>
      <c r="AE159" s="1382"/>
      <c r="AF159" s="1382"/>
      <c r="AG159" s="1382"/>
      <c r="AH159" s="1382"/>
      <c r="AI159" s="1382"/>
      <c r="AJ159" s="1382"/>
      <c r="AK159" s="181"/>
      <c r="AL159" s="181"/>
      <c r="AM159" s="181"/>
      <c r="AN159" s="181"/>
      <c r="AO159" s="181"/>
      <c r="AP159" s="181"/>
      <c r="AQ159" s="181"/>
      <c r="AR159" s="181"/>
      <c r="AS159" s="181"/>
      <c r="AT159" s="181"/>
      <c r="AU159" s="181"/>
      <c r="AV159" s="181"/>
      <c r="AW159" s="181"/>
    </row>
    <row r="160" spans="1:49" s="30" customFormat="1" x14ac:dyDescent="0.25">
      <c r="A160" s="1407" t="str">
        <f>IF(COUNTIF('04 - 95% CD'!D160:G160,"Y")&gt;0,"Y",IF(COUNTIF('04 - 95% CD'!D160:G160,"N"),"N",""))</f>
        <v>N</v>
      </c>
      <c r="B160" s="191"/>
      <c r="C160" s="944"/>
      <c r="D160" s="321"/>
      <c r="E160" s="559" t="str">
        <f>IF('C-Design&amp;Const'!$U160="","",'C-Design&amp;Const'!$U160)</f>
        <v>N</v>
      </c>
      <c r="F160" s="560"/>
      <c r="G160" s="558"/>
      <c r="H160" s="410" t="str">
        <f>'04 - 95% CD'!H160</f>
        <v>PLACEHOLDER ROW - IDNR Consultation (EcoCAT and results)</v>
      </c>
      <c r="I160" s="186"/>
      <c r="J160" s="578" t="str">
        <f>IF('C-Design&amp;Const'!AK160="","",'C-Design&amp;Const'!AK160)</f>
        <v/>
      </c>
      <c r="K160" s="285" t="str">
        <f t="shared" si="10"/>
        <v>match</v>
      </c>
      <c r="L160" s="1410" t="str">
        <f t="shared" si="11"/>
        <v>&lt;---PM/Planner may hide PLACEHOLDER ROW</v>
      </c>
      <c r="M160" s="1333"/>
      <c r="N160" s="1382"/>
      <c r="O160" s="1382"/>
      <c r="P160" s="1382"/>
      <c r="Q160" s="1382"/>
      <c r="R160" s="1490"/>
      <c r="S160" s="1274"/>
      <c r="T160" s="1274"/>
      <c r="U160" s="1382"/>
      <c r="V160" s="1382"/>
      <c r="W160" s="1382"/>
      <c r="X160" s="1382"/>
      <c r="Y160" s="1382"/>
      <c r="Z160" s="1382"/>
      <c r="AA160" s="1382"/>
      <c r="AB160" s="1382"/>
      <c r="AC160" s="1382"/>
      <c r="AD160" s="1382"/>
      <c r="AE160" s="1382"/>
      <c r="AF160" s="1382"/>
      <c r="AG160" s="1382"/>
      <c r="AH160" s="1382"/>
      <c r="AI160" s="1382"/>
      <c r="AJ160" s="1382"/>
      <c r="AK160" s="181"/>
      <c r="AL160" s="181"/>
      <c r="AM160" s="181"/>
      <c r="AN160" s="181"/>
      <c r="AO160" s="181"/>
      <c r="AP160" s="181"/>
      <c r="AQ160" s="181"/>
      <c r="AR160" s="181"/>
      <c r="AS160" s="181"/>
      <c r="AT160" s="181"/>
      <c r="AU160" s="181"/>
      <c r="AV160" s="181"/>
      <c r="AW160" s="181"/>
    </row>
    <row r="161" spans="1:50" s="30" customFormat="1" hidden="1" x14ac:dyDescent="0.25">
      <c r="A161" s="1407" t="str">
        <f>IF(COUNTIF('04 - 95% CD'!D161:G161,"Y")&gt;0,"Y",IF(COUNTIF('04 - 95% CD'!D161:G161,"N"),"N",""))</f>
        <v>N</v>
      </c>
      <c r="B161" s="191"/>
      <c r="C161" s="944"/>
      <c r="D161" s="321"/>
      <c r="E161" s="559" t="str">
        <f>IF('C-Design&amp;Const'!$U161="","",'C-Design&amp;Const'!$U161)</f>
        <v>N</v>
      </c>
      <c r="F161" s="560"/>
      <c r="G161" s="558"/>
      <c r="H161" s="410" t="str">
        <f>'04 - 95% CD'!H161</f>
        <v>PLACEHOLDER ROW - Results of Environmental Impact Assessments or Statements</v>
      </c>
      <c r="I161" s="186"/>
      <c r="J161" s="578" t="str">
        <f>IF('C-Design&amp;Const'!AK161="","",'C-Design&amp;Const'!AK161)</f>
        <v xml:space="preserve">(Updates to) </v>
      </c>
      <c r="K161" s="285" t="str">
        <f t="shared" si="10"/>
        <v>match</v>
      </c>
      <c r="L161" s="1410" t="str">
        <f t="shared" si="11"/>
        <v>&lt;---PM/Planner may hide PLACEHOLDER ROW</v>
      </c>
      <c r="M161" s="1333"/>
      <c r="N161" s="1382"/>
      <c r="O161" s="1382"/>
      <c r="P161" s="1382"/>
      <c r="Q161" s="1382"/>
      <c r="R161" s="1490"/>
      <c r="S161" s="1274"/>
      <c r="T161" s="1274"/>
      <c r="U161" s="1382"/>
      <c r="V161" s="1382"/>
      <c r="W161" s="1382"/>
      <c r="X161" s="1382"/>
      <c r="Y161" s="1382"/>
      <c r="Z161" s="1382"/>
      <c r="AA161" s="1382"/>
      <c r="AB161" s="1382"/>
      <c r="AC161" s="1382"/>
      <c r="AD161" s="1382"/>
      <c r="AE161" s="1382"/>
      <c r="AF161" s="1382"/>
      <c r="AG161" s="1382"/>
      <c r="AH161" s="1382"/>
      <c r="AI161" s="1382"/>
      <c r="AJ161" s="1382"/>
      <c r="AK161" s="181"/>
      <c r="AL161" s="181"/>
      <c r="AM161" s="181"/>
      <c r="AN161" s="181"/>
      <c r="AO161" s="181"/>
      <c r="AP161" s="181"/>
      <c r="AQ161" s="181"/>
      <c r="AR161" s="181"/>
      <c r="AS161" s="181"/>
      <c r="AT161" s="181"/>
      <c r="AU161" s="181"/>
      <c r="AV161" s="181"/>
      <c r="AW161" s="181"/>
    </row>
    <row r="162" spans="1:50" s="30" customFormat="1" hidden="1" x14ac:dyDescent="0.25">
      <c r="A162" s="1407" t="str">
        <f>IF(COUNTIF('04 - 95% CD'!D162:G162,"Y")&gt;0,"Y",IF(COUNTIF('04 - 95% CD'!D162:G162,"N"),"N",""))</f>
        <v>N</v>
      </c>
      <c r="B162" s="191"/>
      <c r="C162" s="944"/>
      <c r="D162" s="321"/>
      <c r="E162" s="559" t="str">
        <f>IF('C-Design&amp;Const'!$U162="","",'C-Design&amp;Const'!$U162)</f>
        <v>N</v>
      </c>
      <c r="F162" s="560"/>
      <c r="G162" s="558"/>
      <c r="H162" s="410" t="s">
        <v>514</v>
      </c>
      <c r="I162" s="186"/>
      <c r="J162" s="578" t="str">
        <f>IF('C-Design&amp;Const'!AK162="","",'C-Design&amp;Const'!AK162)</f>
        <v xml:space="preserve">(Updates to) </v>
      </c>
      <c r="K162" s="285" t="str">
        <f t="shared" si="10"/>
        <v>match</v>
      </c>
      <c r="L162" s="1410" t="str">
        <f t="shared" si="11"/>
        <v>&lt;---PM/Planner may hide PLACEHOLDER ROW</v>
      </c>
      <c r="M162" s="1333"/>
      <c r="N162" s="1382"/>
      <c r="O162" s="1382"/>
      <c r="P162" s="1382"/>
      <c r="Q162" s="1382"/>
      <c r="R162" s="1490"/>
      <c r="S162" s="1274"/>
      <c r="T162" s="1274"/>
      <c r="U162" s="1382"/>
      <c r="V162" s="1382"/>
      <c r="W162" s="1382"/>
      <c r="X162" s="1382"/>
      <c r="Y162" s="1382"/>
      <c r="Z162" s="1382"/>
      <c r="AA162" s="1382"/>
      <c r="AB162" s="1382"/>
      <c r="AC162" s="1382"/>
      <c r="AD162" s="1382"/>
      <c r="AE162" s="1382"/>
      <c r="AF162" s="1382"/>
      <c r="AG162" s="1382"/>
      <c r="AH162" s="1382"/>
      <c r="AI162" s="1382"/>
      <c r="AJ162" s="1382"/>
      <c r="AK162" s="181"/>
      <c r="AL162" s="181"/>
      <c r="AM162" s="181"/>
      <c r="AN162" s="181"/>
      <c r="AO162" s="181"/>
      <c r="AP162" s="181"/>
      <c r="AQ162" s="181"/>
      <c r="AR162" s="181"/>
      <c r="AS162" s="181"/>
      <c r="AT162" s="181"/>
      <c r="AU162" s="181"/>
      <c r="AV162" s="181"/>
      <c r="AW162" s="181"/>
    </row>
    <row r="163" spans="1:50" s="30" customFormat="1" ht="15" hidden="1" customHeight="1" x14ac:dyDescent="0.25">
      <c r="A163" s="1407" t="str">
        <f>IF(COUNTIF('04 - 95% CD'!D163:G163,"Y")&gt;0,"Y",IF(COUNTIF('04 - 95% CD'!D163:G163,"N"),"N",""))</f>
        <v>N</v>
      </c>
      <c r="B163" s="191"/>
      <c r="C163" s="944"/>
      <c r="D163" s="463"/>
      <c r="E163" s="359" t="str">
        <f>IF('C-Design&amp;Const'!$U163="","",'C-Design&amp;Const'!$U163)</f>
        <v>N</v>
      </c>
      <c r="F163" s="235"/>
      <c r="G163" s="291"/>
      <c r="H163" s="358" t="s">
        <v>514</v>
      </c>
      <c r="I163" s="184"/>
      <c r="J163" s="578" t="str">
        <f>IF('C-Design&amp;Const'!AK163="","",'C-Design&amp;Const'!AK163)</f>
        <v xml:space="preserve">(Updates to) </v>
      </c>
      <c r="K163" s="285" t="str">
        <f t="shared" si="10"/>
        <v>match</v>
      </c>
      <c r="L163" s="1410" t="str">
        <f t="shared" si="11"/>
        <v>&lt;---PM/Planner may hide PLACEHOLDER ROW</v>
      </c>
      <c r="M163" s="1333"/>
      <c r="N163" s="1382"/>
      <c r="O163" s="1382"/>
      <c r="P163" s="1382"/>
      <c r="Q163" s="1382"/>
      <c r="R163" s="1382"/>
      <c r="S163" s="1382"/>
      <c r="T163" s="1382"/>
      <c r="U163" s="1382"/>
      <c r="V163" s="1382"/>
      <c r="W163" s="1382"/>
      <c r="X163" s="1382"/>
      <c r="Y163" s="1382"/>
      <c r="Z163" s="1382"/>
      <c r="AA163" s="1382"/>
      <c r="AB163" s="1382"/>
      <c r="AC163" s="1382"/>
      <c r="AD163" s="1382"/>
      <c r="AE163" s="1382"/>
      <c r="AF163" s="1382"/>
      <c r="AG163" s="1382"/>
      <c r="AH163" s="1382"/>
      <c r="AI163" s="1382"/>
      <c r="AJ163" s="1382"/>
      <c r="AK163" s="181"/>
      <c r="AL163" s="181"/>
      <c r="AM163" s="181"/>
      <c r="AN163" s="181"/>
      <c r="AO163" s="181"/>
      <c r="AP163" s="181"/>
      <c r="AQ163" s="181"/>
      <c r="AR163" s="181"/>
      <c r="AS163" s="181"/>
      <c r="AT163" s="181"/>
      <c r="AU163" s="181"/>
      <c r="AV163" s="181"/>
      <c r="AW163" s="181"/>
    </row>
    <row r="164" spans="1:50" s="30" customFormat="1" ht="15" hidden="1" customHeight="1" x14ac:dyDescent="0.25">
      <c r="A164" s="1407" t="str">
        <f>IF(COUNTIF('04 - 95% CD'!D164:G164,"Y")&gt;0,"Y",IF(COUNTIF('04 - 95% CD'!D164:G164,"N"),"N",""))</f>
        <v>N</v>
      </c>
      <c r="B164" s="191"/>
      <c r="C164" s="944"/>
      <c r="D164" s="463"/>
      <c r="E164" s="359" t="str">
        <f>IF('C-Design&amp;Const'!$U164="","",'C-Design&amp;Const'!$U164)</f>
        <v>N</v>
      </c>
      <c r="F164" s="235"/>
      <c r="G164" s="291"/>
      <c r="H164" s="358" t="s">
        <v>514</v>
      </c>
      <c r="I164" s="184"/>
      <c r="J164" s="578" t="str">
        <f>IF('C-Design&amp;Const'!AK164="","",'C-Design&amp;Const'!AK164)</f>
        <v xml:space="preserve">(Updates to) </v>
      </c>
      <c r="K164" s="285" t="str">
        <f t="shared" si="10"/>
        <v>match</v>
      </c>
      <c r="L164" s="1410" t="str">
        <f t="shared" si="11"/>
        <v>&lt;---PM/Planner may hide PLACEHOLDER ROW</v>
      </c>
      <c r="M164" s="1333"/>
      <c r="N164" s="1382"/>
      <c r="O164" s="1382"/>
      <c r="P164" s="1382"/>
      <c r="Q164" s="1382"/>
      <c r="R164" s="1382"/>
      <c r="S164" s="1382"/>
      <c r="T164" s="1382"/>
      <c r="U164" s="1382"/>
      <c r="V164" s="1382"/>
      <c r="W164" s="1382"/>
      <c r="X164" s="1382"/>
      <c r="Y164" s="1382"/>
      <c r="Z164" s="1382"/>
      <c r="AA164" s="1382"/>
      <c r="AB164" s="1382"/>
      <c r="AC164" s="1382"/>
      <c r="AD164" s="1382"/>
      <c r="AE164" s="1382"/>
      <c r="AF164" s="1382"/>
      <c r="AG164" s="1382"/>
      <c r="AH164" s="1382"/>
      <c r="AI164" s="1382"/>
      <c r="AJ164" s="1382"/>
      <c r="AK164" s="181"/>
      <c r="AL164" s="181"/>
      <c r="AM164" s="181"/>
      <c r="AN164" s="181"/>
      <c r="AO164" s="181"/>
      <c r="AP164" s="181"/>
      <c r="AQ164" s="181"/>
      <c r="AR164" s="181"/>
      <c r="AS164" s="181"/>
      <c r="AT164" s="181"/>
      <c r="AU164" s="181"/>
      <c r="AV164" s="181"/>
      <c r="AW164" s="181"/>
    </row>
    <row r="165" spans="1:50" s="30" customFormat="1" ht="15" hidden="1" customHeight="1" x14ac:dyDescent="0.25">
      <c r="A165" s="1407" t="str">
        <f>IF(COUNTIF('04 - 95% CD'!D165:G165,"Y")&gt;0,"Y",IF(COUNTIF('04 - 95% CD'!D165:G165,"N"),"N",""))</f>
        <v>N</v>
      </c>
      <c r="B165" s="191"/>
      <c r="C165" s="944"/>
      <c r="D165" s="463"/>
      <c r="E165" s="359" t="str">
        <f>IF('C-Design&amp;Const'!$U165="","",'C-Design&amp;Const'!$U165)</f>
        <v>N</v>
      </c>
      <c r="F165" s="235"/>
      <c r="G165" s="291"/>
      <c r="H165" s="358" t="s">
        <v>514</v>
      </c>
      <c r="I165" s="184"/>
      <c r="J165" s="578" t="str">
        <f>IF('C-Design&amp;Const'!AK165="","",'C-Design&amp;Const'!AK165)</f>
        <v xml:space="preserve">(Updates to) </v>
      </c>
      <c r="K165" s="285" t="str">
        <f t="shared" si="10"/>
        <v>match</v>
      </c>
      <c r="L165" s="1410" t="str">
        <f t="shared" si="11"/>
        <v>&lt;---PM/Planner may hide PLACEHOLDER ROW</v>
      </c>
      <c r="M165" s="1333"/>
      <c r="N165" s="1382"/>
      <c r="O165" s="1382"/>
      <c r="P165" s="1382"/>
      <c r="Q165" s="1382"/>
      <c r="R165" s="1382"/>
      <c r="S165" s="1382"/>
      <c r="T165" s="1382"/>
      <c r="U165" s="1382"/>
      <c r="V165" s="1382"/>
      <c r="W165" s="1382"/>
      <c r="X165" s="1382"/>
      <c r="Y165" s="1382"/>
      <c r="Z165" s="1382"/>
      <c r="AA165" s="1382"/>
      <c r="AB165" s="1382"/>
      <c r="AC165" s="1382"/>
      <c r="AD165" s="1382"/>
      <c r="AE165" s="1382"/>
      <c r="AF165" s="1382"/>
      <c r="AG165" s="1382"/>
      <c r="AH165" s="1382"/>
      <c r="AI165" s="1382"/>
      <c r="AJ165" s="1382"/>
      <c r="AK165" s="181"/>
      <c r="AL165" s="181"/>
      <c r="AM165" s="181"/>
      <c r="AN165" s="181"/>
      <c r="AO165" s="181"/>
      <c r="AP165" s="181"/>
      <c r="AQ165" s="181"/>
      <c r="AR165" s="181"/>
      <c r="AS165" s="181"/>
      <c r="AT165" s="181"/>
      <c r="AU165" s="181"/>
      <c r="AV165" s="181"/>
      <c r="AW165" s="181"/>
    </row>
    <row r="166" spans="1:50" s="30" customFormat="1" ht="15" hidden="1" customHeight="1" x14ac:dyDescent="0.25">
      <c r="A166" s="1407" t="str">
        <f>IF(COUNTIF('04 - 95% CD'!D166:G166,"Y")&gt;0,"Y",IF(COUNTIF('04 - 95% CD'!D166:G166,"N"),"N",""))</f>
        <v>N</v>
      </c>
      <c r="B166" s="191"/>
      <c r="C166" s="944"/>
      <c r="D166" s="463"/>
      <c r="E166" s="359" t="str">
        <f>IF('C-Design&amp;Const'!$U166="","",'C-Design&amp;Const'!$U166)</f>
        <v>N</v>
      </c>
      <c r="F166" s="235"/>
      <c r="G166" s="291"/>
      <c r="H166" s="358" t="s">
        <v>514</v>
      </c>
      <c r="I166" s="184"/>
      <c r="J166" s="578" t="str">
        <f>IF('C-Design&amp;Const'!AK166="","",'C-Design&amp;Const'!AK166)</f>
        <v xml:space="preserve">(Updates to) </v>
      </c>
      <c r="K166" s="285" t="str">
        <f t="shared" si="10"/>
        <v>match</v>
      </c>
      <c r="L166" s="1410" t="str">
        <f t="shared" si="11"/>
        <v>&lt;---PM/Planner may hide PLACEHOLDER ROW</v>
      </c>
      <c r="M166" s="1333"/>
      <c r="N166" s="1382"/>
      <c r="O166" s="1382"/>
      <c r="P166" s="1382"/>
      <c r="Q166" s="1382"/>
      <c r="R166" s="1382"/>
      <c r="S166" s="1382"/>
      <c r="T166" s="1382"/>
      <c r="U166" s="1382"/>
      <c r="V166" s="1382"/>
      <c r="W166" s="1382"/>
      <c r="X166" s="1382"/>
      <c r="Y166" s="1382"/>
      <c r="Z166" s="1382"/>
      <c r="AA166" s="1382"/>
      <c r="AB166" s="1382"/>
      <c r="AC166" s="1382"/>
      <c r="AD166" s="1382"/>
      <c r="AE166" s="1382"/>
      <c r="AF166" s="1382"/>
      <c r="AG166" s="1382"/>
      <c r="AH166" s="1382"/>
      <c r="AI166" s="1382"/>
      <c r="AJ166" s="1382"/>
      <c r="AK166" s="181"/>
      <c r="AL166" s="181"/>
      <c r="AM166" s="181"/>
      <c r="AN166" s="181"/>
      <c r="AO166" s="181"/>
      <c r="AP166" s="181"/>
      <c r="AQ166" s="181"/>
      <c r="AR166" s="181"/>
      <c r="AS166" s="181"/>
      <c r="AT166" s="181"/>
      <c r="AU166" s="181"/>
      <c r="AV166" s="181"/>
      <c r="AW166" s="181"/>
    </row>
    <row r="167" spans="1:50" s="17" customFormat="1" x14ac:dyDescent="0.25">
      <c r="A167" s="1516" t="str">
        <f>IF(COUNTIF('04 - 95% CD'!D167:G167,"Y")&gt;0,"Y",IF(COUNTIF('04 - 95% CD'!D167:G167,"N"),"N",""))</f>
        <v/>
      </c>
      <c r="B167" s="141"/>
      <c r="C167" s="944"/>
      <c r="D167" s="411"/>
      <c r="E167" s="411"/>
      <c r="F167" s="321"/>
      <c r="G167" s="294"/>
      <c r="H167" s="296"/>
      <c r="I167" s="130"/>
      <c r="J167" s="578" t="str">
        <f>IF('C-Design&amp;Const'!AK167="","",'C-Design&amp;Const'!AK167)</f>
        <v/>
      </c>
      <c r="K167" s="285" t="str">
        <f t="shared" si="10"/>
        <v>match</v>
      </c>
      <c r="L167" s="1410" t="str">
        <f t="shared" si="11"/>
        <v/>
      </c>
      <c r="M167" s="1333"/>
      <c r="N167" s="1333"/>
      <c r="O167" s="1333"/>
      <c r="P167" s="1333"/>
      <c r="Q167" s="1333"/>
      <c r="R167" s="1446"/>
      <c r="S167" s="1364"/>
      <c r="T167" s="1333"/>
      <c r="U167" s="1333"/>
      <c r="V167" s="1333"/>
      <c r="W167" s="1333"/>
      <c r="X167" s="1333"/>
      <c r="Y167" s="1333"/>
      <c r="Z167" s="1333"/>
      <c r="AA167" s="1333"/>
      <c r="AB167" s="1333"/>
      <c r="AC167" s="1333"/>
      <c r="AD167" s="1333"/>
      <c r="AE167" s="1333"/>
      <c r="AF167" s="1333"/>
      <c r="AG167" s="1333"/>
      <c r="AH167" s="1333"/>
      <c r="AI167" s="1333"/>
      <c r="AJ167" s="1333"/>
    </row>
    <row r="168" spans="1:50" s="181" customFormat="1" ht="18.75" x14ac:dyDescent="0.25">
      <c r="A168" s="1501" t="str">
        <f>IF(COUNTIF('04 - 95% CD'!D168:G168,"Y")&gt;0,"Y",IF(COUNTIF('04 - 95% CD'!D168:G168,"N"),"N",""))</f>
        <v>Y</v>
      </c>
      <c r="B168" s="177"/>
      <c r="C168" s="948"/>
      <c r="D168" s="559" t="str">
        <f>IF('C-Design&amp;Const'!$U168="","",'C-Design&amp;Const'!$U168)</f>
        <v>Y</v>
      </c>
      <c r="E168" s="234"/>
      <c r="F168" s="235"/>
      <c r="G168" s="291" t="str">
        <f>IF('C-Design&amp;Const'!Y168="","",'C-Design&amp;Const'!Y168)</f>
        <v>05a.</v>
      </c>
      <c r="H168" s="290" t="str">
        <f>CONCATENATE('C-Design&amp;Const'!Z168,IF(D168="N"," Not Used In This Construction Phase",J168))</f>
        <v>Ext. &amp; Int. Finishes Binder(s)/Finishes Board(s) - Installed - RECORD SET</v>
      </c>
      <c r="I168" s="185"/>
      <c r="J168" s="578" t="str">
        <f>IF('C-Design&amp;Const'!AK168="","",'C-Design&amp;Const'!AK168)</f>
        <v>- Installed - RECORD SET</v>
      </c>
      <c r="K168" s="285" t="str">
        <f t="shared" si="10"/>
        <v>match</v>
      </c>
      <c r="L168" s="1410" t="str">
        <f t="shared" si="11"/>
        <v/>
      </c>
      <c r="M168" s="1382"/>
      <c r="N168" s="1382"/>
      <c r="O168" s="1382"/>
      <c r="P168" s="1382"/>
      <c r="Q168" s="1382"/>
      <c r="R168" s="1447"/>
      <c r="S168" s="1448"/>
      <c r="T168" s="1382"/>
      <c r="U168" s="1382"/>
      <c r="V168" s="1382"/>
      <c r="W168" s="1382"/>
      <c r="X168" s="1382"/>
      <c r="Y168" s="1382"/>
      <c r="Z168" s="1382"/>
      <c r="AA168" s="1382"/>
      <c r="AB168" s="1382"/>
      <c r="AC168" s="1382"/>
      <c r="AD168" s="1382"/>
      <c r="AE168" s="1382"/>
      <c r="AF168" s="1382"/>
      <c r="AG168" s="1382"/>
      <c r="AH168" s="1382"/>
      <c r="AI168" s="1382"/>
      <c r="AJ168" s="1382"/>
    </row>
    <row r="169" spans="1:50" s="17" customFormat="1" ht="28.5" x14ac:dyDescent="0.25">
      <c r="A169" s="1510" t="str">
        <f>IF(COUNTIF('04 - 95% CD'!D169:G169,"Y")&gt;0,"Y",IF(COUNTIF('04 - 95% CD'!D169:G169,"N"),"N",""))</f>
        <v>Y</v>
      </c>
      <c r="B169" s="141"/>
      <c r="C169" s="944"/>
      <c r="D169" s="321"/>
      <c r="E169" s="559" t="str">
        <f>IF('C-Design&amp;Const'!$U169="","",'C-Design&amp;Const'!$U169)</f>
        <v>Y</v>
      </c>
      <c r="F169" s="560"/>
      <c r="G169" s="558"/>
      <c r="H169" s="238" t="str">
        <f>CONCATENATE(IF(E169="N","PLACEHOLDER ROW - ",""),IF(E169="N","",J169),'C-Design&amp;Const'!Z169,)</f>
        <v xml:space="preserve">(Final Installed) Product Samples of Floor Coverings, Wall Covering, Window Treatment, Ceiling Tile, etc... </v>
      </c>
      <c r="I169" s="136"/>
      <c r="J169" s="578" t="str">
        <f>IF('C-Design&amp;Const'!AK169="","",'C-Design&amp;Const'!AK169)</f>
        <v xml:space="preserve">(Final Installed) </v>
      </c>
      <c r="K169" s="285" t="str">
        <f t="shared" si="10"/>
        <v>match</v>
      </c>
      <c r="L169" s="1410" t="str">
        <f t="shared" si="11"/>
        <v/>
      </c>
      <c r="M169" s="1333"/>
      <c r="N169" s="1333"/>
      <c r="O169" s="1333"/>
      <c r="P169" s="1333"/>
      <c r="Q169" s="1333"/>
      <c r="R169" s="1453"/>
      <c r="S169" s="1364"/>
      <c r="T169" s="1333"/>
      <c r="U169" s="1333"/>
      <c r="V169" s="1333"/>
      <c r="W169" s="1333"/>
      <c r="X169" s="1333"/>
      <c r="Y169" s="1333"/>
      <c r="Z169" s="1333"/>
      <c r="AA169" s="1333"/>
      <c r="AB169" s="1333"/>
      <c r="AC169" s="1333"/>
      <c r="AD169" s="1333"/>
      <c r="AE169" s="1333"/>
      <c r="AF169" s="1333"/>
      <c r="AG169" s="1333"/>
      <c r="AH169" s="1333"/>
      <c r="AI169" s="1333"/>
      <c r="AJ169" s="1333"/>
      <c r="AX169" s="542"/>
    </row>
    <row r="170" spans="1:50" s="17" customFormat="1" x14ac:dyDescent="0.25">
      <c r="A170" s="1510" t="str">
        <f>IF(COUNTIF('04 - 95% CD'!D170:G170,"Y")&gt;0,"Y",IF(COUNTIF('04 - 95% CD'!D170:G170,"N"),"N",""))</f>
        <v>Y</v>
      </c>
      <c r="B170" s="141"/>
      <c r="C170" s="944"/>
      <c r="D170" s="321"/>
      <c r="E170" s="559" t="str">
        <f>IF('C-Design&amp;Const'!$U170="","",'C-Design&amp;Const'!$U170)</f>
        <v>Y</v>
      </c>
      <c r="F170" s="478"/>
      <c r="G170" s="485"/>
      <c r="H170" s="238" t="str">
        <f>CONCATENATE(IF(E170="N","PLACEHOLDER ROW - ",""),IF(E170="N","",J170),'C-Design&amp;Const'!Z170,)</f>
        <v>(Final Installed) Paint selections and combinations</v>
      </c>
      <c r="I170" s="136"/>
      <c r="J170" s="578" t="str">
        <f>IF('C-Design&amp;Const'!AK170="","",'C-Design&amp;Const'!AK170)</f>
        <v xml:space="preserve">(Final Installed) </v>
      </c>
      <c r="K170" s="285" t="str">
        <f t="shared" si="10"/>
        <v>match</v>
      </c>
      <c r="L170" s="1410" t="str">
        <f t="shared" si="11"/>
        <v/>
      </c>
      <c r="M170" s="1333"/>
      <c r="N170" s="1333"/>
      <c r="O170" s="1333"/>
      <c r="P170" s="1333"/>
      <c r="Q170" s="1333"/>
      <c r="R170" s="1453"/>
      <c r="S170" s="1364"/>
      <c r="T170" s="1333"/>
      <c r="U170" s="1333"/>
      <c r="V170" s="1333"/>
      <c r="W170" s="1333"/>
      <c r="X170" s="1333"/>
      <c r="Y170" s="1333"/>
      <c r="Z170" s="1333"/>
      <c r="AA170" s="1333"/>
      <c r="AB170" s="1333"/>
      <c r="AC170" s="1333"/>
      <c r="AD170" s="1333"/>
      <c r="AE170" s="1333"/>
      <c r="AF170" s="1333"/>
      <c r="AG170" s="1333"/>
      <c r="AH170" s="1333"/>
      <c r="AI170" s="1333"/>
      <c r="AJ170" s="1333"/>
      <c r="AX170" s="542"/>
    </row>
    <row r="171" spans="1:50" s="17" customFormat="1" ht="18.75" x14ac:dyDescent="0.25">
      <c r="A171" s="1510" t="str">
        <f>IF(COUNTIF('04 - 95% CD'!D171:G171,"Y")&gt;0,"Y",IF(COUNTIF('04 - 95% CD'!D171:G171,"N"),"N",""))</f>
        <v>Y</v>
      </c>
      <c r="B171" s="141"/>
      <c r="C171" s="944"/>
      <c r="D171" s="296"/>
      <c r="E171" s="559" t="str">
        <f>IF('C-Design&amp;Const'!$U171="","",'C-Design&amp;Const'!$U171)</f>
        <v>N</v>
      </c>
      <c r="F171" s="444"/>
      <c r="G171" s="94"/>
      <c r="H171" s="340" t="str">
        <f>CONCATENATE(IF(E171="N","PLACEHOLDER ROW - ",""),IF(E171="N","",J171),'C-Design&amp;Const'!Z171,)</f>
        <v>PLACEHOLDER ROW - PSC contracted mock-ups to match existing brick</v>
      </c>
      <c r="I171" s="145"/>
      <c r="J171" s="578" t="str">
        <f>IF('C-Design&amp;Const'!AK171="","",'C-Design&amp;Const'!AK171)</f>
        <v xml:space="preserve">(Final Installed) </v>
      </c>
      <c r="K171" s="285" t="str">
        <f t="shared" si="10"/>
        <v>no 95% match</v>
      </c>
      <c r="L171" s="1410" t="str">
        <f t="shared" si="11"/>
        <v>&lt;---PM/Planner may hide PLACEHOLDER ROW</v>
      </c>
      <c r="M171" s="1333"/>
      <c r="N171" s="1333"/>
      <c r="O171" s="1333"/>
      <c r="P171" s="1333"/>
      <c r="Q171" s="1333"/>
      <c r="R171" s="1444"/>
      <c r="S171" s="1448"/>
      <c r="T171" s="1333"/>
      <c r="U171" s="1333"/>
      <c r="V171" s="1333"/>
      <c r="W171" s="1333"/>
      <c r="X171" s="1333"/>
      <c r="Y171" s="1333"/>
      <c r="Z171" s="1333"/>
      <c r="AA171" s="1333"/>
      <c r="AB171" s="1333"/>
      <c r="AC171" s="1333"/>
      <c r="AD171" s="1333"/>
      <c r="AE171" s="1333"/>
      <c r="AF171" s="1333"/>
      <c r="AG171" s="1333"/>
      <c r="AH171" s="1333"/>
      <c r="AI171" s="1333"/>
      <c r="AJ171" s="1333"/>
      <c r="AX171" s="542"/>
    </row>
    <row r="172" spans="1:50" s="545" customFormat="1" ht="15" customHeight="1" x14ac:dyDescent="0.25">
      <c r="A172" s="1407" t="str">
        <f>IF(COUNTIF('04 - 95% CD'!D172:G172,"Y")&gt;0,"Y",IF(COUNTIF('04 - 95% CD'!D172:G172,"N"),"N",""))</f>
        <v>N</v>
      </c>
      <c r="B172" s="554"/>
      <c r="C172" s="944"/>
      <c r="D172" s="463"/>
      <c r="E172" s="359" t="str">
        <f>IF('C-Design&amp;Const'!$U172="","",'C-Design&amp;Const'!$U172)</f>
        <v>N</v>
      </c>
      <c r="F172" s="235"/>
      <c r="G172" s="291"/>
      <c r="H172" s="340" t="str">
        <f>CONCATENATE(IF(E172="N","PLACEHOLDER ROW - ",""),IF(E172="N","",J172),'C-Design&amp;Const'!Z172,)</f>
        <v>PLACEHOLDER ROW - CUSTOM ROW - OPTIONAL CLIENT ITEM</v>
      </c>
      <c r="I172" s="552"/>
      <c r="J172" s="578" t="str">
        <f>IF('C-Design&amp;Const'!AK172="","",'C-Design&amp;Const'!AK172)</f>
        <v xml:space="preserve">(Final Installed) </v>
      </c>
      <c r="K172" s="285" t="str">
        <f t="shared" si="10"/>
        <v>match</v>
      </c>
      <c r="L172" s="1410" t="str">
        <f t="shared" si="11"/>
        <v>&lt;---PM/Planner may hide PLACEHOLDER ROW</v>
      </c>
      <c r="M172" s="1382"/>
      <c r="N172" s="1382"/>
      <c r="O172" s="1382"/>
      <c r="P172" s="1382"/>
      <c r="Q172" s="1382"/>
      <c r="R172" s="1382"/>
      <c r="S172" s="1382"/>
      <c r="T172" s="1382"/>
      <c r="U172" s="1382"/>
      <c r="V172" s="1382"/>
      <c r="W172" s="1382"/>
      <c r="X172" s="1382"/>
      <c r="Y172" s="1382"/>
      <c r="Z172" s="1382"/>
      <c r="AA172" s="1382"/>
      <c r="AB172" s="1382"/>
      <c r="AC172" s="1382"/>
      <c r="AD172" s="1382"/>
      <c r="AE172" s="1382"/>
      <c r="AF172" s="1382"/>
      <c r="AG172" s="1382"/>
      <c r="AH172" s="1382"/>
      <c r="AI172" s="1382"/>
      <c r="AJ172" s="1382"/>
      <c r="AK172" s="551"/>
      <c r="AL172" s="551"/>
      <c r="AM172" s="551"/>
      <c r="AN172" s="551"/>
      <c r="AO172" s="551"/>
      <c r="AP172" s="551"/>
      <c r="AQ172" s="551"/>
      <c r="AR172" s="551"/>
      <c r="AS172" s="551"/>
      <c r="AT172" s="551"/>
      <c r="AU172" s="551"/>
      <c r="AV172" s="551"/>
      <c r="AW172" s="551"/>
    </row>
    <row r="173" spans="1:50" s="17" customFormat="1" x14ac:dyDescent="0.25">
      <c r="A173" s="1516" t="str">
        <f>IF(COUNTIF('04 - 95% CD'!D173:G173,"Y")&gt;0,"Y",IF(COUNTIF('04 - 95% CD'!D173:G173,"N"),"N",""))</f>
        <v/>
      </c>
      <c r="B173" s="141"/>
      <c r="C173" s="944"/>
      <c r="D173" s="411"/>
      <c r="E173" s="411"/>
      <c r="F173" s="321"/>
      <c r="G173" s="294"/>
      <c r="H173" s="296" t="str">
        <f>CONCATENATE(IF(E173="N","PLACEHOLDER ROW - ",""),IF(E173="N","",J173),'C-Design&amp;Const'!Z173,)</f>
        <v/>
      </c>
      <c r="I173" s="130"/>
      <c r="J173" s="578" t="str">
        <f>IF('C-Design&amp;Const'!AK173="","",'C-Design&amp;Const'!AK173)</f>
        <v/>
      </c>
      <c r="K173" s="285" t="str">
        <f t="shared" si="10"/>
        <v>match</v>
      </c>
      <c r="L173" s="1410" t="str">
        <f t="shared" si="11"/>
        <v/>
      </c>
      <c r="M173" s="1333"/>
      <c r="N173" s="1333"/>
      <c r="O173" s="1333"/>
      <c r="P173" s="1333"/>
      <c r="Q173" s="1333"/>
      <c r="R173" s="1446"/>
      <c r="S173" s="1364"/>
      <c r="T173" s="1333"/>
      <c r="U173" s="1333"/>
      <c r="V173" s="1333"/>
      <c r="W173" s="1333"/>
      <c r="X173" s="1333"/>
      <c r="Y173" s="1333"/>
      <c r="Z173" s="1333"/>
      <c r="AA173" s="1333"/>
      <c r="AB173" s="1333"/>
      <c r="AC173" s="1333"/>
      <c r="AD173" s="1333"/>
      <c r="AE173" s="1333"/>
      <c r="AF173" s="1333"/>
      <c r="AG173" s="1333"/>
      <c r="AH173" s="1333"/>
      <c r="AI173" s="1333"/>
      <c r="AJ173" s="1333"/>
    </row>
    <row r="174" spans="1:50" s="181" customFormat="1" ht="18.75" x14ac:dyDescent="0.25">
      <c r="A174" s="1501" t="str">
        <f>IF(COUNTIF('04 - 95% CD'!D174:G174,"Y")&gt;0,"Y",IF(COUNTIF('04 - 95% CD'!D174:G174,"N"),"N",""))</f>
        <v>Y</v>
      </c>
      <c r="B174" s="177"/>
      <c r="C174" s="948"/>
      <c r="D174" s="559" t="str">
        <f>IF('C-Design&amp;Const'!$U174="","",'C-Design&amp;Const'!$U174)</f>
        <v>Y</v>
      </c>
      <c r="E174" s="234"/>
      <c r="F174" s="235"/>
      <c r="G174" s="291" t="str">
        <f>IF('C-Design&amp;Const'!Y174="","",'C-Design&amp;Const'!Y174)</f>
        <v>05b.</v>
      </c>
      <c r="H174" s="290" t="str">
        <f>CONCATENATE('C-Design&amp;Const'!Z174,IF(D174="N"," Not Used In This Construction Phase",J174))</f>
        <v>Furnitures, Fixtures, and Equipment Binder(s)- Installed - RECORD SET</v>
      </c>
      <c r="I174" s="185"/>
      <c r="J174" s="578" t="str">
        <f>IF('C-Design&amp;Const'!AK174="","",'C-Design&amp;Const'!AK174)</f>
        <v>- Installed - RECORD SET</v>
      </c>
      <c r="K174" s="285" t="str">
        <f t="shared" ref="K174:K248" si="20">IF((COUNTIF(D174:G174,"Y")=COUNTIF(A174,"Y")),"match","no 95% match")</f>
        <v>match</v>
      </c>
      <c r="L174" s="1410" t="str">
        <f t="shared" ref="L174:L248" si="21">CONCATENATE(IF(ISNUMBER(SEARCH("Placeholder",H174))=TRUE,"&lt;---PM/Planner may hide PLACEHOLDER ROW",""))</f>
        <v/>
      </c>
      <c r="M174" s="1382"/>
      <c r="N174" s="1382"/>
      <c r="O174" s="1382"/>
      <c r="P174" s="1382"/>
      <c r="Q174" s="1382"/>
      <c r="R174" s="1447"/>
      <c r="S174" s="1448"/>
      <c r="T174" s="1382"/>
      <c r="U174" s="1382"/>
      <c r="V174" s="1382"/>
      <c r="W174" s="1382"/>
      <c r="X174" s="1382"/>
      <c r="Y174" s="1382"/>
      <c r="Z174" s="1382"/>
      <c r="AA174" s="1382"/>
      <c r="AB174" s="1382"/>
      <c r="AC174" s="1382"/>
      <c r="AD174" s="1382"/>
      <c r="AE174" s="1382"/>
      <c r="AF174" s="1382"/>
      <c r="AG174" s="1382"/>
      <c r="AH174" s="1382"/>
      <c r="AI174" s="1382"/>
      <c r="AJ174" s="1382"/>
    </row>
    <row r="175" spans="1:50" s="17" customFormat="1" x14ac:dyDescent="0.25">
      <c r="A175" s="1510" t="str">
        <f>IF(COUNTIF('04 - 95% CD'!D175:G175,"Y")&gt;0,"Y",IF(COUNTIF('04 - 95% CD'!D175:G175,"N"),"N",""))</f>
        <v>Y</v>
      </c>
      <c r="B175" s="141"/>
      <c r="C175" s="944"/>
      <c r="D175" s="321"/>
      <c r="E175" s="559" t="str">
        <f>IF('C-Design&amp;Const'!$U175="","",'C-Design&amp;Const'!$U175)</f>
        <v>Y</v>
      </c>
      <c r="F175" s="560"/>
      <c r="G175" s="558"/>
      <c r="H175" s="238" t="str">
        <f>CONCATENATE(IF(E175="N","PLACEHOLDER ROW - ",""),IF(E175="N","",J175),'C-Design&amp;Const'!Z175,)</f>
        <v>(Final Installed) Cut Sheets</v>
      </c>
      <c r="I175" s="136"/>
      <c r="J175" s="578" t="str">
        <f>IF('C-Design&amp;Const'!AK175="","",'C-Design&amp;Const'!AK175)</f>
        <v xml:space="preserve">(Final Installed) </v>
      </c>
      <c r="K175" s="285" t="str">
        <f t="shared" si="20"/>
        <v>match</v>
      </c>
      <c r="L175" s="1410" t="str">
        <f t="shared" si="21"/>
        <v/>
      </c>
      <c r="M175" s="1333"/>
      <c r="N175" s="1333"/>
      <c r="O175" s="1333"/>
      <c r="P175" s="1333"/>
      <c r="Q175" s="1333"/>
      <c r="R175" s="1453"/>
      <c r="S175" s="1364"/>
      <c r="T175" s="1333"/>
      <c r="U175" s="1333"/>
      <c r="V175" s="1333"/>
      <c r="W175" s="1333"/>
      <c r="X175" s="1333"/>
      <c r="Y175" s="1333"/>
      <c r="Z175" s="1333"/>
      <c r="AA175" s="1333"/>
      <c r="AB175" s="1333"/>
      <c r="AC175" s="1333"/>
      <c r="AD175" s="1333"/>
      <c r="AE175" s="1333"/>
      <c r="AF175" s="1333"/>
      <c r="AG175" s="1333"/>
      <c r="AH175" s="1333"/>
      <c r="AI175" s="1333"/>
      <c r="AJ175" s="1333"/>
      <c r="AX175"/>
    </row>
    <row r="176" spans="1:50" s="17" customFormat="1" x14ac:dyDescent="0.25">
      <c r="A176" s="1510" t="str">
        <f>IF(COUNTIF('04 - 95% CD'!D176:G176,"Y")&gt;0,"Y",IF(COUNTIF('04 - 95% CD'!D176:G176,"N"),"N",""))</f>
        <v>Y</v>
      </c>
      <c r="B176" s="141"/>
      <c r="C176" s="944"/>
      <c r="D176" s="321"/>
      <c r="E176" s="559" t="str">
        <f>IF('C-Design&amp;Const'!$U176="","",'C-Design&amp;Const'!$U176)</f>
        <v>Y</v>
      </c>
      <c r="F176" s="478"/>
      <c r="G176" s="485"/>
      <c r="H176" s="238" t="str">
        <f>CONCATENATE(IF(E176="N","PLACEHOLDER ROW - ",""),IF(E176="N","",J176),'C-Design&amp;Const'!Z176,)</f>
        <v>(Final Installed) Product Samples</v>
      </c>
      <c r="I176" s="136"/>
      <c r="J176" s="578" t="str">
        <f>IF('C-Design&amp;Const'!AK176="","",'C-Design&amp;Const'!AK176)</f>
        <v xml:space="preserve">(Final Installed) </v>
      </c>
      <c r="K176" s="285" t="str">
        <f t="shared" si="20"/>
        <v>match</v>
      </c>
      <c r="L176" s="1410" t="str">
        <f t="shared" si="21"/>
        <v/>
      </c>
      <c r="M176" s="1333"/>
      <c r="N176" s="1333"/>
      <c r="O176" s="1333"/>
      <c r="P176" s="1333"/>
      <c r="Q176" s="1333"/>
      <c r="R176" s="1453"/>
      <c r="S176" s="1364"/>
      <c r="T176" s="1333"/>
      <c r="U176" s="1333"/>
      <c r="V176" s="1333"/>
      <c r="W176" s="1333"/>
      <c r="X176" s="1333"/>
      <c r="Y176" s="1333"/>
      <c r="Z176" s="1333"/>
      <c r="AA176" s="1333"/>
      <c r="AB176" s="1333"/>
      <c r="AC176" s="1333"/>
      <c r="AD176" s="1333"/>
      <c r="AE176" s="1333"/>
      <c r="AF176" s="1333"/>
      <c r="AG176" s="1333"/>
      <c r="AH176" s="1333"/>
      <c r="AI176" s="1333"/>
      <c r="AJ176" s="1333"/>
      <c r="AX176"/>
    </row>
    <row r="177" spans="1:50" s="17" customFormat="1" ht="18.75" hidden="1" x14ac:dyDescent="0.25">
      <c r="A177" s="1510" t="str">
        <f>IF(COUNTIF('04 - 95% CD'!D177:G177,"Y")&gt;0,"Y",IF(COUNTIF('04 - 95% CD'!D177:G177,"N"),"N",""))</f>
        <v>Y</v>
      </c>
      <c r="B177" s="141"/>
      <c r="C177" s="944"/>
      <c r="D177" s="296"/>
      <c r="E177" s="559" t="str">
        <f>IF('C-Design&amp;Const'!$U177="","",'C-Design&amp;Const'!$U177)</f>
        <v>N</v>
      </c>
      <c r="F177" s="444"/>
      <c r="G177" s="94"/>
      <c r="H177" s="340" t="str">
        <f>CONCATENATE(IF(E177="N","PLACEHOLDER ROW - ",""),IF(E177="N","",J177),'C-Design&amp;Const'!Z177,)</f>
        <v>PLACEHOLDER ROW - "Furniture Information Form" (electronic)</v>
      </c>
      <c r="I177" s="145"/>
      <c r="J177" s="578" t="str">
        <f>IF('C-Design&amp;Const'!AK177="","",'C-Design&amp;Const'!AK177)</f>
        <v/>
      </c>
      <c r="K177" s="285" t="str">
        <f t="shared" si="20"/>
        <v>no 95% match</v>
      </c>
      <c r="L177" s="1410" t="str">
        <f t="shared" si="21"/>
        <v>&lt;---PM/Planner may hide PLACEHOLDER ROW</v>
      </c>
      <c r="M177" s="1333"/>
      <c r="N177" s="1333"/>
      <c r="O177" s="1333"/>
      <c r="P177" s="1333"/>
      <c r="Q177" s="1333"/>
      <c r="R177" s="1444"/>
      <c r="S177" s="1448"/>
      <c r="T177" s="1333"/>
      <c r="U177" s="1333"/>
      <c r="V177" s="1333"/>
      <c r="W177" s="1333"/>
      <c r="X177" s="1333"/>
      <c r="Y177" s="1333"/>
      <c r="Z177" s="1333"/>
      <c r="AA177" s="1333"/>
      <c r="AB177" s="1333"/>
      <c r="AC177" s="1333"/>
      <c r="AD177" s="1333"/>
      <c r="AE177" s="1333"/>
      <c r="AF177" s="1333"/>
      <c r="AG177" s="1333"/>
      <c r="AH177" s="1333"/>
      <c r="AI177" s="1333"/>
      <c r="AJ177" s="1333"/>
      <c r="AX177"/>
    </row>
    <row r="178" spans="1:50" s="30" customFormat="1" ht="15" customHeight="1" x14ac:dyDescent="0.25">
      <c r="A178" s="1407" t="str">
        <f>IF(COUNTIF('04 - 95% CD'!D178:G178,"Y")&gt;0,"Y",IF(COUNTIF('04 - 95% CD'!D178:G178,"N"),"N",""))</f>
        <v>N</v>
      </c>
      <c r="B178" s="191"/>
      <c r="C178" s="944"/>
      <c r="D178" s="463"/>
      <c r="E178" s="359" t="str">
        <f>IF('C-Design&amp;Const'!$U178="","",'C-Design&amp;Const'!$U178)</f>
        <v>N</v>
      </c>
      <c r="F178" s="235"/>
      <c r="G178" s="291"/>
      <c r="H178" s="340" t="str">
        <f>CONCATENATE(IF(E178="N","PLACEHOLDER ROW - ",""),IF(E178="N","",J178),'C-Design&amp;Const'!Z178,)</f>
        <v>PLACEHOLDER ROW - CUSTOM ROW - OPTIONAL CLIENT ITEM</v>
      </c>
      <c r="I178" s="184"/>
      <c r="J178" s="578" t="str">
        <f>IF('C-Design&amp;Const'!AK178="","",'C-Design&amp;Const'!AK178)</f>
        <v xml:space="preserve">(Final Installed) </v>
      </c>
      <c r="K178" s="285" t="str">
        <f t="shared" si="20"/>
        <v>match</v>
      </c>
      <c r="L178" s="1410" t="str">
        <f t="shared" si="21"/>
        <v>&lt;---PM/Planner may hide PLACEHOLDER ROW</v>
      </c>
      <c r="M178" s="1382"/>
      <c r="N178" s="1382"/>
      <c r="O178" s="1382"/>
      <c r="P178" s="1382"/>
      <c r="Q178" s="1382"/>
      <c r="R178" s="1382"/>
      <c r="S178" s="1382"/>
      <c r="T178" s="1382"/>
      <c r="U178" s="1382"/>
      <c r="V178" s="1382"/>
      <c r="W178" s="1382"/>
      <c r="X178" s="1382"/>
      <c r="Y178" s="1382"/>
      <c r="Z178" s="1382"/>
      <c r="AA178" s="1382"/>
      <c r="AB178" s="1382"/>
      <c r="AC178" s="1382"/>
      <c r="AD178" s="1382"/>
      <c r="AE178" s="1382"/>
      <c r="AF178" s="1382"/>
      <c r="AG178" s="1382"/>
      <c r="AH178" s="1382"/>
      <c r="AI178" s="1382"/>
      <c r="AJ178" s="1382"/>
      <c r="AK178" s="181"/>
      <c r="AL178" s="181"/>
      <c r="AM178" s="181"/>
      <c r="AN178" s="181"/>
      <c r="AO178" s="181"/>
      <c r="AP178" s="181"/>
      <c r="AQ178" s="181"/>
      <c r="AR178" s="181"/>
      <c r="AS178" s="181"/>
      <c r="AT178" s="181"/>
      <c r="AU178" s="181"/>
      <c r="AV178" s="181"/>
      <c r="AW178" s="181"/>
    </row>
    <row r="179" spans="1:50" s="17" customFormat="1" x14ac:dyDescent="0.25">
      <c r="A179" s="1510" t="str">
        <f>IF(COUNTIF('04 - 95% CD'!D179:G179,"Y")&gt;0,"Y",IF(COUNTIF('04 - 95% CD'!D179:G179,"N"),"N",""))</f>
        <v/>
      </c>
      <c r="B179" s="141"/>
      <c r="C179" s="944"/>
      <c r="D179" s="411"/>
      <c r="E179" s="411"/>
      <c r="F179" s="321"/>
      <c r="G179" s="294"/>
      <c r="H179" s="296" t="str">
        <f>CONCATENATE(IF(E179="N","PLACEHOLDER ROW - ",""),IF(E179="N","",J179),'C-Design&amp;Const'!Z179,)</f>
        <v/>
      </c>
      <c r="I179" s="130"/>
      <c r="J179" s="578" t="str">
        <f>IF('C-Design&amp;Const'!AK179="","",'C-Design&amp;Const'!AK179)</f>
        <v/>
      </c>
      <c r="K179" s="285" t="str">
        <f t="shared" si="20"/>
        <v>match</v>
      </c>
      <c r="L179" s="1410" t="str">
        <f t="shared" si="21"/>
        <v/>
      </c>
      <c r="M179" s="1333"/>
      <c r="N179" s="1333"/>
      <c r="O179" s="1333"/>
      <c r="P179" s="1333"/>
      <c r="Q179" s="1333"/>
      <c r="R179" s="1445"/>
      <c r="S179" s="1364"/>
      <c r="T179" s="1333"/>
      <c r="U179" s="1333"/>
      <c r="V179" s="1333"/>
      <c r="W179" s="1333"/>
      <c r="X179" s="1333"/>
      <c r="Y179" s="1333"/>
      <c r="Z179" s="1333"/>
      <c r="AA179" s="1333"/>
      <c r="AB179" s="1333"/>
      <c r="AC179" s="1333"/>
      <c r="AD179" s="1333"/>
      <c r="AE179" s="1333"/>
      <c r="AF179" s="1333"/>
      <c r="AG179" s="1333"/>
      <c r="AH179" s="1333"/>
      <c r="AI179" s="1333"/>
      <c r="AJ179" s="1333"/>
    </row>
    <row r="180" spans="1:50" s="181" customFormat="1" ht="35.25" customHeight="1" x14ac:dyDescent="0.25">
      <c r="A180" s="1501" t="str">
        <f>IF(COUNTIF('04 - 95% CD'!D180:G180,"Y")&gt;0,"Y",IF(COUNTIF('04 - 95% CD'!D180:G180,"N"),"N",""))</f>
        <v>Y</v>
      </c>
      <c r="B180" s="177"/>
      <c r="C180" s="944"/>
      <c r="D180" s="559" t="str">
        <f>IF('C-Design&amp;Const'!$U180="","",'C-Design&amp;Const'!$U180)</f>
        <v>Y</v>
      </c>
      <c r="E180" s="234"/>
      <c r="F180" s="235"/>
      <c r="G180" s="291" t="str">
        <f>IF('C-Design&amp;Const'!Y180="","",'C-Design&amp;Const'!Y180)</f>
        <v>06.</v>
      </c>
      <c r="H180" s="290" t="str">
        <f>CONCATENATE('C-Design&amp;Const'!Z180,IF(D180="N"," Not Used In This Construction Phase",J180))</f>
        <v>Project Manual - RECORD SET (with Addenda, ASI, Field Directives, and As-Built Red Lines incorporated)</v>
      </c>
      <c r="I180" s="184"/>
      <c r="J180" s="578" t="str">
        <f>IF('C-Design&amp;Const'!AK180="","",'C-Design&amp;Const'!AK180)</f>
        <v>- RECORD SET (with Addenda, ASI, Field Directives, and As-Built Red Lines incorporated)</v>
      </c>
      <c r="K180" s="285" t="str">
        <f t="shared" si="20"/>
        <v>match</v>
      </c>
      <c r="L180" s="1410" t="str">
        <f t="shared" si="21"/>
        <v/>
      </c>
      <c r="M180" s="1382"/>
      <c r="N180" s="1382"/>
      <c r="O180" s="1382"/>
      <c r="P180" s="1333"/>
      <c r="Q180" s="1382"/>
      <c r="R180" s="1447"/>
      <c r="S180" s="1448"/>
      <c r="T180" s="1382"/>
      <c r="U180" s="1382"/>
      <c r="V180" s="1382"/>
      <c r="W180" s="1382"/>
      <c r="X180" s="1382"/>
      <c r="Y180" s="1382"/>
      <c r="Z180" s="1382"/>
      <c r="AA180" s="1382"/>
      <c r="AB180" s="1382"/>
      <c r="AC180" s="1382"/>
      <c r="AD180" s="1382"/>
      <c r="AE180" s="1382"/>
      <c r="AF180" s="1382"/>
      <c r="AG180" s="1382"/>
      <c r="AH180" s="1382"/>
      <c r="AI180" s="1382"/>
      <c r="AJ180" s="1382"/>
      <c r="AX180" s="30"/>
    </row>
    <row r="181" spans="1:50" s="17" customFormat="1" ht="28.5" customHeight="1" x14ac:dyDescent="0.25">
      <c r="A181" s="1510" t="str">
        <f>IF(COUNTIF('04 - 95% CD'!D181:G181,"Y")&gt;0,"Y",IF(COUNTIF('04 - 95% CD'!D181:G181,"N"),"N",""))</f>
        <v>Y</v>
      </c>
      <c r="B181" s="141"/>
      <c r="C181" s="944"/>
      <c r="D181" s="321"/>
      <c r="E181" s="559" t="str">
        <f>IF('C-Design&amp;Const'!$U181="","",'C-Design&amp;Const'!$U181)</f>
        <v>N</v>
      </c>
      <c r="F181" s="560"/>
      <c r="G181" s="558"/>
      <c r="H181" s="358" t="str">
        <f>CONCATENATE(IF(E181="N","PLACEHOLDER ROW - ",""),IF(E181="N","",J181),'C-Design&amp;Const'!Z181,)</f>
        <v>PLACEHOLDER ROW - Summary of Changes by Discipline (beyond corrections from comments) - UNDER SEPARATE COVER &amp; NOT BOUND WITH MANUAL.</v>
      </c>
      <c r="I181" s="136"/>
      <c r="J181" s="578" t="str">
        <f>IF('C-Design&amp;Const'!AK181="","",'C-Design&amp;Const'!AK181)</f>
        <v/>
      </c>
      <c r="K181" s="285" t="str">
        <f t="shared" si="20"/>
        <v>no 95% match</v>
      </c>
      <c r="L181" s="1410" t="str">
        <f t="shared" si="21"/>
        <v>&lt;---PM/Planner may hide PLACEHOLDER ROW</v>
      </c>
      <c r="M181" s="1333"/>
      <c r="N181" s="1333"/>
      <c r="O181" s="1333"/>
      <c r="P181" s="1333"/>
      <c r="Q181" s="1333"/>
      <c r="R181" s="1453"/>
      <c r="S181" s="1364"/>
      <c r="T181" s="1333"/>
      <c r="U181" s="1333"/>
      <c r="V181" s="1333"/>
      <c r="W181" s="1333"/>
      <c r="X181" s="1333"/>
      <c r="Y181" s="1333"/>
      <c r="Z181" s="1333"/>
      <c r="AA181" s="1333"/>
      <c r="AB181" s="1333"/>
      <c r="AC181" s="1333"/>
      <c r="AD181" s="1333"/>
      <c r="AE181" s="1333"/>
      <c r="AF181" s="1333"/>
      <c r="AG181" s="1333"/>
      <c r="AH181" s="1333"/>
      <c r="AI181" s="1333"/>
      <c r="AJ181" s="1333"/>
      <c r="AX181"/>
    </row>
    <row r="182" spans="1:50" s="30" customFormat="1" ht="27.75" customHeight="1" x14ac:dyDescent="0.25">
      <c r="A182" s="1518" t="str">
        <f>IF(COUNTIF('04 - 95% CD'!D182:G182,"Y")&gt;0,"Y",IF(COUNTIF('04 - 95% CD'!D182:G182,"N"),"N",""))</f>
        <v>Y</v>
      </c>
      <c r="B182" s="191"/>
      <c r="C182" s="944"/>
      <c r="D182" s="463"/>
      <c r="E182" s="559" t="str">
        <f>IF('C-Design&amp;Const'!$U182="","",'C-Design&amp;Const'!$U182)</f>
        <v>N</v>
      </c>
      <c r="F182" s="461"/>
      <c r="G182" s="291"/>
      <c r="H182" s="358" t="str">
        <f>CONCATENATE(IF(E182="N","PLACEHOLDER ROW - ",""),IF(E182="N","",J182),'C-Design&amp;Const'!Z182,)</f>
        <v>PLACEHOLDER ROW - Checklist for specification sections with submittals required (materials, shop drawings, calcs, etc…) - UNDER SEPARATE COVER &amp; NOT BOUND WITH MANUAL.</v>
      </c>
      <c r="I182" s="184"/>
      <c r="J182" s="578" t="str">
        <f>IF('C-Design&amp;Const'!AK182="","",'C-Design&amp;Const'!AK182)</f>
        <v xml:space="preserve">(Record) </v>
      </c>
      <c r="K182" s="285" t="str">
        <f>IF((COUNTIF(D182:G182,"Y")=COUNTIF(A182,"Y")),"match","no 95% match")</f>
        <v>no 95% match</v>
      </c>
      <c r="L182" s="1410" t="str">
        <f>CONCATENATE(IF(ISNUMBER(SEARCH("Placeholder",H182))=TRUE,"&lt;---PM/Planner may hide PLACEHOLDER ROW",""))</f>
        <v>&lt;---PM/Planner may hide PLACEHOLDER ROW</v>
      </c>
      <c r="M182" s="1382"/>
      <c r="N182" s="1560"/>
      <c r="O182" s="1382"/>
      <c r="P182" s="1382"/>
      <c r="Q182" s="1382"/>
      <c r="R182" s="1382"/>
      <c r="S182" s="1382"/>
      <c r="T182" s="1382"/>
      <c r="U182" s="1382"/>
      <c r="V182" s="1382"/>
      <c r="W182" s="1382"/>
      <c r="X182" s="1382"/>
      <c r="Y182" s="1382"/>
      <c r="Z182" s="1382"/>
      <c r="AA182" s="1382"/>
      <c r="AB182" s="1382"/>
      <c r="AC182" s="1382"/>
      <c r="AD182" s="1382"/>
      <c r="AE182" s="1382"/>
      <c r="AF182" s="1382"/>
      <c r="AG182" s="1382"/>
      <c r="AH182" s="1382"/>
      <c r="AI182" s="1382"/>
      <c r="AJ182" s="1382"/>
      <c r="AK182" s="181"/>
      <c r="AL182" s="181"/>
      <c r="AM182" s="181"/>
      <c r="AN182" s="181"/>
      <c r="AO182" s="181"/>
      <c r="AP182" s="181"/>
      <c r="AQ182" s="181"/>
      <c r="AR182" s="181"/>
      <c r="AS182" s="181"/>
      <c r="AT182" s="181"/>
      <c r="AU182" s="181"/>
      <c r="AV182" s="181"/>
      <c r="AW182" s="181"/>
    </row>
    <row r="183" spans="1:50" s="17" customFormat="1" x14ac:dyDescent="0.25">
      <c r="A183" s="1510" t="str">
        <f>IF(COUNTIF('04 - 95% CD'!D183:G183,"Y")&gt;0,"Y",IF(COUNTIF('04 - 95% CD'!D183:G183,"N"),"N",""))</f>
        <v>Y</v>
      </c>
      <c r="B183" s="141"/>
      <c r="C183" s="944"/>
      <c r="D183" s="321"/>
      <c r="E183" s="559" t="str">
        <f>IF('C-Design&amp;Const'!$U183="","",'C-Design&amp;Const'!$U183)</f>
        <v>Y</v>
      </c>
      <c r="F183" s="478"/>
      <c r="G183" s="558"/>
      <c r="H183" s="340" t="str">
        <f>CONCATENATE(IF(E183="N","PLACEHOLDER ROW - ",""),IF(E183="N","",J183),'C-Design&amp;Const'!Z183,)</f>
        <v xml:space="preserve">(Record) Front End Documents  [Div 00] </v>
      </c>
      <c r="I183" s="136"/>
      <c r="J183" s="578" t="str">
        <f>IF('C-Design&amp;Const'!AK183="","",'C-Design&amp;Const'!AK183)</f>
        <v xml:space="preserve">(Record) </v>
      </c>
      <c r="K183" s="285" t="str">
        <f t="shared" si="20"/>
        <v>match</v>
      </c>
      <c r="L183" s="1410" t="str">
        <f t="shared" si="21"/>
        <v/>
      </c>
      <c r="M183" s="1333"/>
      <c r="N183" s="1561"/>
      <c r="O183" s="1333"/>
      <c r="P183" s="1333"/>
      <c r="Q183" s="1333"/>
      <c r="R183" s="1452"/>
      <c r="S183" s="1364"/>
      <c r="T183" s="1333"/>
      <c r="U183" s="1333"/>
      <c r="V183" s="1333"/>
      <c r="W183" s="1333"/>
      <c r="X183" s="1333"/>
      <c r="Y183" s="1333"/>
      <c r="Z183" s="1333"/>
      <c r="AA183" s="1333"/>
      <c r="AB183" s="1333"/>
      <c r="AC183" s="1333"/>
      <c r="AD183" s="1333"/>
      <c r="AE183" s="1333"/>
      <c r="AF183" s="1333"/>
      <c r="AG183" s="1333"/>
      <c r="AH183" s="1333"/>
      <c r="AI183" s="1333"/>
      <c r="AJ183" s="1333"/>
      <c r="AX183"/>
    </row>
    <row r="184" spans="1:50" s="17" customFormat="1" x14ac:dyDescent="0.25">
      <c r="A184" s="1510" t="str">
        <f>IF(COUNTIF('04 - 95% CD'!D184:G184,"Y")&gt;0,"Y",IF(COUNTIF('04 - 95% CD'!D184:G184,"N"),"N",""))</f>
        <v>N</v>
      </c>
      <c r="B184" s="141"/>
      <c r="C184" s="944"/>
      <c r="D184" s="321"/>
      <c r="E184" s="559" t="str">
        <f>IF('C-Design&amp;Const'!$U184="","",'C-Design&amp;Const'!$U184)</f>
        <v>N</v>
      </c>
      <c r="F184" s="478"/>
      <c r="G184" s="485"/>
      <c r="H184" s="358" t="str">
        <f>CONCATENATE(IF(E184="N","PLACEHOLDER ROW - ",""),IF(E184="N","",J184),'C-Design&amp;Const'!Z184,)</f>
        <v>PLACEHOLDER ROW - Outline Specifications (CSI Format)</v>
      </c>
      <c r="I184" s="136"/>
      <c r="J184" s="578" t="str">
        <f>IF('C-Design&amp;Const'!AK184="","",'C-Design&amp;Const'!AK184)</f>
        <v xml:space="preserve">(Record) </v>
      </c>
      <c r="K184" s="285" t="str">
        <f t="shared" si="20"/>
        <v>match</v>
      </c>
      <c r="L184" s="1410" t="str">
        <f t="shared" si="21"/>
        <v>&lt;---PM/Planner may hide PLACEHOLDER ROW</v>
      </c>
      <c r="M184" s="1333"/>
      <c r="N184" s="1333"/>
      <c r="O184" s="1333"/>
      <c r="P184" s="1333"/>
      <c r="Q184" s="1333"/>
      <c r="R184" s="1453"/>
      <c r="S184" s="1364"/>
      <c r="T184" s="1333"/>
      <c r="U184" s="1333"/>
      <c r="V184" s="1333"/>
      <c r="W184" s="1333"/>
      <c r="X184" s="1333"/>
      <c r="Y184" s="1333"/>
      <c r="Z184" s="1333"/>
      <c r="AA184" s="1333"/>
      <c r="AB184" s="1333"/>
      <c r="AC184" s="1333"/>
      <c r="AD184" s="1333"/>
      <c r="AE184" s="1333"/>
      <c r="AF184" s="1333"/>
      <c r="AG184" s="1333"/>
      <c r="AH184" s="1333"/>
      <c r="AI184" s="1333"/>
      <c r="AJ184" s="1333"/>
      <c r="AX184"/>
    </row>
    <row r="185" spans="1:50" s="17" customFormat="1" x14ac:dyDescent="0.25">
      <c r="A185" s="1510" t="str">
        <f>IF(COUNTIF('04 - 95% CD'!D185:G185,"Y")&gt;0,"Y",IF(COUNTIF('04 - 95% CD'!D185:G185,"N"),"N",""))</f>
        <v>Y</v>
      </c>
      <c r="B185" s="141"/>
      <c r="C185" s="944"/>
      <c r="D185" s="321"/>
      <c r="E185" s="559" t="str">
        <f>IF('C-Design&amp;Const'!$U185="","",'C-Design&amp;Const'!$U185)</f>
        <v>Y</v>
      </c>
      <c r="F185" s="478"/>
      <c r="G185" s="485"/>
      <c r="H185" s="340" t="str">
        <f>CONCATENATE(IF(E185="N","PLACEHOLDER ROW - ",""),IF(E185="N","",J185),'C-Design&amp;Const'!Z185,)</f>
        <v>(Record) Technical Specifications  [Div 01 and after]</v>
      </c>
      <c r="I185" s="136"/>
      <c r="J185" s="578" t="str">
        <f>IF('C-Design&amp;Const'!AK185="","",'C-Design&amp;Const'!AK185)</f>
        <v xml:space="preserve">(Record) </v>
      </c>
      <c r="K185" s="285" t="str">
        <f t="shared" si="20"/>
        <v>match</v>
      </c>
      <c r="L185" s="1410" t="str">
        <f t="shared" si="21"/>
        <v/>
      </c>
      <c r="M185" s="1333"/>
      <c r="N185" s="1333"/>
      <c r="O185" s="1333"/>
      <c r="P185" s="1333"/>
      <c r="Q185" s="1333"/>
      <c r="R185" s="1453"/>
      <c r="S185" s="1364"/>
      <c r="T185" s="1333"/>
      <c r="U185" s="1333"/>
      <c r="V185" s="1333"/>
      <c r="W185" s="1333"/>
      <c r="X185" s="1333"/>
      <c r="Y185" s="1333"/>
      <c r="Z185" s="1333"/>
      <c r="AA185" s="1333"/>
      <c r="AB185" s="1333"/>
      <c r="AC185" s="1333"/>
      <c r="AD185" s="1333"/>
      <c r="AE185" s="1333"/>
      <c r="AF185" s="1333"/>
      <c r="AG185" s="1333"/>
      <c r="AH185" s="1333"/>
      <c r="AI185" s="1333"/>
      <c r="AJ185" s="1333"/>
      <c r="AX185"/>
    </row>
    <row r="186" spans="1:50" s="17" customFormat="1" ht="18.75" x14ac:dyDescent="0.25">
      <c r="A186" s="1510" t="str">
        <f>IF(COUNTIF('04 - 95% CD'!D186:G186,"Y")&gt;0,"Y",IF(COUNTIF('04 - 95% CD'!D186:G186,"N"),"N",""))</f>
        <v>Y</v>
      </c>
      <c r="B186" s="141"/>
      <c r="C186" s="944"/>
      <c r="D186" s="296"/>
      <c r="E186" s="559" t="str">
        <f>IF('C-Design&amp;Const'!$U186="","",'C-Design&amp;Const'!$U186)</f>
        <v>Y</v>
      </c>
      <c r="F186" s="444"/>
      <c r="G186" s="94"/>
      <c r="H186" s="340" t="str">
        <f>CONCATENATE(IF(E186="N","PLACEHOLDER ROW - ",""),IF(E186="N","",J186),'C-Design&amp;Const'!Z186,)</f>
        <v xml:space="preserve">(Record) FF&amp;E Outline Specification for at least 2 competitor packages </v>
      </c>
      <c r="I186" s="145"/>
      <c r="J186" s="578" t="str">
        <f>IF('C-Design&amp;Const'!AK186="","",'C-Design&amp;Const'!AK186)</f>
        <v xml:space="preserve">(Record) </v>
      </c>
      <c r="K186" s="285" t="str">
        <f t="shared" si="20"/>
        <v>match</v>
      </c>
      <c r="L186" s="1410" t="str">
        <f t="shared" si="21"/>
        <v/>
      </c>
      <c r="M186" s="1333"/>
      <c r="N186" s="1333"/>
      <c r="O186" s="1333"/>
      <c r="P186" s="1333"/>
      <c r="Q186" s="1333"/>
      <c r="R186" s="1444"/>
      <c r="S186" s="1448"/>
      <c r="T186" s="1333"/>
      <c r="U186" s="1333"/>
      <c r="V186" s="1333"/>
      <c r="W186" s="1333"/>
      <c r="X186" s="1333"/>
      <c r="Y186" s="1333"/>
      <c r="Z186" s="1333"/>
      <c r="AA186" s="1333"/>
      <c r="AB186" s="1333"/>
      <c r="AC186" s="1333"/>
      <c r="AD186" s="1333"/>
      <c r="AE186" s="1333"/>
      <c r="AF186" s="1333"/>
      <c r="AG186" s="1333"/>
      <c r="AH186" s="1333"/>
      <c r="AI186" s="1333"/>
      <c r="AJ186" s="1333"/>
      <c r="AX186"/>
    </row>
    <row r="187" spans="1:50" s="17" customFormat="1" ht="15" customHeight="1" x14ac:dyDescent="0.25">
      <c r="A187" s="1518" t="str">
        <f>IF(COUNTIF('04 - 95% CD'!D187:G187,"Y")&gt;0,"Y",IF(COUNTIF('04 - 95% CD'!D187:G187,"N"),"N",""))</f>
        <v>Y</v>
      </c>
      <c r="B187" s="141"/>
      <c r="C187" s="944"/>
      <c r="D187" s="321"/>
      <c r="E187" s="559" t="str">
        <f>IF('C-Design&amp;Const'!$U187="","",'C-Design&amp;Const'!$U187)</f>
        <v>Y</v>
      </c>
      <c r="F187" s="460"/>
      <c r="G187" s="485"/>
      <c r="H187" s="340" t="str">
        <f>CONCATENATE(IF(E187="N","PLACEHOLDER ROW - ",""),IF(E187="N","",J187),'C-Design&amp;Const'!Z187,)</f>
        <v>(Record) Furniture Information Form (FIF)</v>
      </c>
      <c r="I187" s="136"/>
      <c r="J187" s="578" t="str">
        <f>IF('C-Design&amp;Const'!AK187="","",'C-Design&amp;Const'!AK187)</f>
        <v xml:space="preserve">(Record) </v>
      </c>
      <c r="K187" s="285" t="str">
        <f>IF((COUNTIF(D187:G187,"Y")=COUNTIF(A187,"Y")),"match","no 95% match")</f>
        <v>match</v>
      </c>
      <c r="L187" s="1410" t="str">
        <f>CONCATENATE(IF(ISNUMBER(SEARCH("Placeholder",H187))=TRUE,"&lt;---PM/Planner may hide PLACEHOLDER ROW",""))</f>
        <v/>
      </c>
      <c r="M187" s="1333"/>
      <c r="N187" s="1561"/>
      <c r="O187" s="1333"/>
      <c r="P187" s="1333"/>
      <c r="Q187" s="1333"/>
      <c r="R187" s="1453"/>
      <c r="S187" s="1364"/>
      <c r="T187" s="1333"/>
      <c r="U187" s="1333"/>
      <c r="V187" s="1333"/>
      <c r="W187" s="1333"/>
      <c r="X187" s="1333"/>
      <c r="Y187" s="1333"/>
      <c r="Z187" s="1333"/>
      <c r="AA187" s="1333"/>
      <c r="AB187" s="1333"/>
      <c r="AC187" s="1333"/>
      <c r="AD187" s="1333"/>
      <c r="AE187" s="1333"/>
      <c r="AF187" s="1333"/>
      <c r="AG187" s="1333"/>
      <c r="AH187" s="1333"/>
      <c r="AI187" s="1333"/>
      <c r="AJ187" s="1333"/>
      <c r="AX187"/>
    </row>
    <row r="188" spans="1:50" s="17" customFormat="1" x14ac:dyDescent="0.25">
      <c r="A188" s="1518" t="str">
        <f>IF(COUNTIF('04 - 95% CD'!D188:G188,"Y")&gt;0,"Y",IF(COUNTIF('04 - 95% CD'!D188:G188,"N"),"N",""))</f>
        <v>Y</v>
      </c>
      <c r="B188" s="141"/>
      <c r="C188" s="944"/>
      <c r="D188" s="321"/>
      <c r="E188" s="559" t="str">
        <f>IF('C-Design&amp;Const'!$U188="","",'C-Design&amp;Const'!$U188)</f>
        <v>Y</v>
      </c>
      <c r="F188" s="460"/>
      <c r="G188" s="485"/>
      <c r="H188" s="340" t="str">
        <f>CONCATENATE(IF(E188="N","PLACEHOLDER ROW - ",""),IF(E188="N","",J188),'C-Design&amp;Const'!Z188,)</f>
        <v xml:space="preserve">(Record) Voice/Data Communications System Requirements </v>
      </c>
      <c r="I188" s="136"/>
      <c r="J188" s="578" t="str">
        <f>IF('C-Design&amp;Const'!AK188="","",'C-Design&amp;Const'!AK188)</f>
        <v xml:space="preserve">(Record) </v>
      </c>
      <c r="K188" s="285" t="str">
        <f t="shared" si="20"/>
        <v>match</v>
      </c>
      <c r="L188" s="1410" t="str">
        <f t="shared" si="21"/>
        <v/>
      </c>
      <c r="M188" s="1333"/>
      <c r="N188" s="1561"/>
      <c r="O188" s="1333"/>
      <c r="P188" s="1333"/>
      <c r="Q188" s="1333"/>
      <c r="R188" s="1453"/>
      <c r="S188" s="1364"/>
      <c r="T188" s="1333"/>
      <c r="U188" s="1333"/>
      <c r="V188" s="1333"/>
      <c r="W188" s="1333"/>
      <c r="X188" s="1333"/>
      <c r="Y188" s="1333"/>
      <c r="Z188" s="1333"/>
      <c r="AA188" s="1333"/>
      <c r="AB188" s="1333"/>
      <c r="AC188" s="1333"/>
      <c r="AD188" s="1333"/>
      <c r="AE188" s="1333"/>
      <c r="AF188" s="1333"/>
      <c r="AG188" s="1333"/>
      <c r="AH188" s="1333"/>
      <c r="AI188" s="1333"/>
      <c r="AJ188" s="1333"/>
      <c r="AX188"/>
    </row>
    <row r="189" spans="1:50" s="17" customFormat="1" ht="42.75" x14ac:dyDescent="0.25">
      <c r="A189" s="1518" t="str">
        <f>IF(COUNTIF('04 - 95% CD'!D189:G189,"Y")&gt;0,"Y",IF(COUNTIF('04 - 95% CD'!D189:G189,"N"),"N",""))</f>
        <v>Y</v>
      </c>
      <c r="B189" s="141"/>
      <c r="C189" s="944"/>
      <c r="D189" s="321"/>
      <c r="E189" s="559" t="str">
        <f>IF('C-Design&amp;Const'!$U189="","",'C-Design&amp;Const'!$U189)</f>
        <v>Y</v>
      </c>
      <c r="F189" s="460"/>
      <c r="G189" s="485"/>
      <c r="H189" s="340" t="str">
        <f>CONCATENATE(IF(E189="N","PLACEHOLDER ROW - ",""),IF(E189="N","",J189),'C-Design&amp;Const'!Z189,)</f>
        <v xml:space="preserve">(Record) AV Systems Requirements, including Millwork, Associated Cooling, Power, Grounding, Data / Telecomm, Acoustics &amp; Noise Control, and Lighting System. Cables Identified by Manufacturer/Model Number. </v>
      </c>
      <c r="I189" s="136"/>
      <c r="J189" s="578" t="str">
        <f>IF('C-Design&amp;Const'!AK189="","",'C-Design&amp;Const'!AK189)</f>
        <v xml:space="preserve">(Record) </v>
      </c>
      <c r="K189" s="285" t="str">
        <f t="shared" si="20"/>
        <v>match</v>
      </c>
      <c r="L189" s="1410" t="str">
        <f t="shared" si="21"/>
        <v/>
      </c>
      <c r="M189" s="1333"/>
      <c r="N189" s="1561"/>
      <c r="O189" s="1333"/>
      <c r="P189" s="1333"/>
      <c r="Q189" s="1333"/>
      <c r="R189" s="1453"/>
      <c r="S189" s="1364"/>
      <c r="T189" s="1333"/>
      <c r="U189" s="1333"/>
      <c r="V189" s="1333"/>
      <c r="W189" s="1333"/>
      <c r="X189" s="1333"/>
      <c r="Y189" s="1333"/>
      <c r="Z189" s="1333"/>
      <c r="AA189" s="1333"/>
      <c r="AB189" s="1333"/>
      <c r="AC189" s="1333"/>
      <c r="AD189" s="1333"/>
      <c r="AE189" s="1333"/>
      <c r="AF189" s="1333"/>
      <c r="AG189" s="1333"/>
      <c r="AH189" s="1333"/>
      <c r="AI189" s="1333"/>
      <c r="AJ189" s="1333"/>
      <c r="AX189"/>
    </row>
    <row r="190" spans="1:50" s="17" customFormat="1" ht="15" customHeight="1" x14ac:dyDescent="0.25">
      <c r="A190" s="1518" t="str">
        <f>IF(COUNTIF('04 - 95% CD'!D190:G190,"Y")&gt;0,"Y",IF(COUNTIF('04 - 95% CD'!D190:G190,"N"),"N",""))</f>
        <v>Y</v>
      </c>
      <c r="B190" s="141"/>
      <c r="C190" s="944"/>
      <c r="D190" s="321"/>
      <c r="E190" s="559" t="str">
        <f>IF('C-Design&amp;Const'!$U190="","",'C-Design&amp;Const'!$U190)</f>
        <v>Y</v>
      </c>
      <c r="F190" s="460"/>
      <c r="G190" s="485"/>
      <c r="H190" s="340" t="str">
        <f>CONCATENATE(IF(E190="N","PLACEHOLDER ROW - ",""),IF(E190="N","",J190),'C-Design&amp;Const'!Z190,)</f>
        <v>(Record) Audio / Visual Basis of Material (AV BOM)</v>
      </c>
      <c r="I190" s="136"/>
      <c r="J190" s="578" t="str">
        <f>IF('C-Design&amp;Const'!AK190="","",'C-Design&amp;Const'!AK190)</f>
        <v xml:space="preserve">(Record) </v>
      </c>
      <c r="K190" s="285" t="str">
        <f>IF((COUNTIF(D190:G190,"Y")=COUNTIF(A190,"Y")),"match","no 95% match")</f>
        <v>match</v>
      </c>
      <c r="L190" s="1410" t="str">
        <f>CONCATENATE(IF(ISNUMBER(SEARCH("Placeholder",H190))=TRUE,"&lt;---PM/Planner may hide PLACEHOLDER ROW",""))</f>
        <v/>
      </c>
      <c r="M190" s="1333"/>
      <c r="N190" s="1561"/>
      <c r="O190" s="1333"/>
      <c r="P190" s="1333"/>
      <c r="Q190" s="1333"/>
      <c r="R190" s="1453"/>
      <c r="S190" s="1364"/>
      <c r="T190" s="1333"/>
      <c r="U190" s="1333"/>
      <c r="V190" s="1333"/>
      <c r="W190" s="1333"/>
      <c r="X190" s="1333"/>
      <c r="Y190" s="1333"/>
      <c r="Z190" s="1333"/>
      <c r="AA190" s="1333"/>
      <c r="AB190" s="1333"/>
      <c r="AC190" s="1333"/>
      <c r="AD190" s="1333"/>
      <c r="AE190" s="1333"/>
      <c r="AF190" s="1333"/>
      <c r="AG190" s="1333"/>
      <c r="AH190" s="1333"/>
      <c r="AI190" s="1333"/>
      <c r="AJ190" s="1333"/>
      <c r="AX190"/>
    </row>
    <row r="191" spans="1:50" s="17" customFormat="1" x14ac:dyDescent="0.25">
      <c r="A191" s="1518" t="str">
        <f>IF(COUNTIF('04 - 95% CD'!D191:G191,"Y")&gt;0,"Y",IF(COUNTIF('04 - 95% CD'!D191:G191,"N"),"N",""))</f>
        <v>Y</v>
      </c>
      <c r="B191" s="141"/>
      <c r="C191" s="944"/>
      <c r="D191" s="321"/>
      <c r="E191" s="559" t="str">
        <f>IF('C-Design&amp;Const'!$U191="","",'C-Design&amp;Const'!$U191)</f>
        <v>Y</v>
      </c>
      <c r="F191" s="460"/>
      <c r="G191" s="485"/>
      <c r="H191" s="358" t="str">
        <f>CONCATENATE(IF(E191="N","PLACEHOLDER ROW - ",""),IF(E191="N","",J191),'C-Design&amp;Const'!Z191,)</f>
        <v>(Record) Soil Borings and Soils Report (With Applicable Section)</v>
      </c>
      <c r="I191" s="136"/>
      <c r="J191" s="578" t="str">
        <f>IF('C-Design&amp;Const'!AK191="","",'C-Design&amp;Const'!AK191)</f>
        <v xml:space="preserve">(Record) </v>
      </c>
      <c r="K191" s="285" t="str">
        <f t="shared" si="20"/>
        <v>match</v>
      </c>
      <c r="L191" s="1410" t="str">
        <f t="shared" si="21"/>
        <v/>
      </c>
      <c r="M191" s="1333"/>
      <c r="N191" s="1561"/>
      <c r="O191" s="1333"/>
      <c r="P191" s="1333"/>
      <c r="Q191" s="1333"/>
      <c r="R191" s="1410"/>
      <c r="S191" s="1364"/>
      <c r="T191" s="1333"/>
      <c r="U191" s="1333"/>
      <c r="V191" s="1333"/>
      <c r="W191" s="1333"/>
      <c r="X191" s="1333"/>
      <c r="Y191" s="1333"/>
      <c r="Z191" s="1333"/>
      <c r="AA191" s="1333"/>
      <c r="AB191" s="1333"/>
      <c r="AC191" s="1333"/>
      <c r="AD191" s="1333"/>
      <c r="AE191" s="1333"/>
      <c r="AF191" s="1333"/>
      <c r="AG191" s="1333"/>
      <c r="AH191" s="1333"/>
      <c r="AI191" s="1333"/>
      <c r="AJ191" s="1333"/>
      <c r="AX191"/>
    </row>
    <row r="192" spans="1:50" s="17" customFormat="1" ht="28.5" x14ac:dyDescent="0.25">
      <c r="A192" s="1518" t="str">
        <f>IF(COUNTIF('04 - 95% CD'!D192:G192,"Y")&gt;0,"Y",IF(COUNTIF('04 - 95% CD'!D192:G192,"N"),"N",""))</f>
        <v>Y</v>
      </c>
      <c r="B192" s="141"/>
      <c r="C192" s="944"/>
      <c r="D192" s="321"/>
      <c r="E192" s="559" t="str">
        <f>IF('C-Design&amp;Const'!$U192="","",'C-Design&amp;Const'!$U192)</f>
        <v>Y</v>
      </c>
      <c r="F192" s="460"/>
      <c r="G192" s="485"/>
      <c r="H192" s="410" t="str">
        <f>CONCATENATE(IF(E192="N","PLACEHOLDER ROW - ",""),IF(E192="N","",J192),'C-Design&amp;Const'!Z192,)</f>
        <v>(Record) Results of Hazardous Materials Testing and Hazardous Materials Mediation Plan (With Applicable Section)</v>
      </c>
      <c r="I192" s="136"/>
      <c r="J192" s="578" t="str">
        <f>IF('C-Design&amp;Const'!AK192="","",'C-Design&amp;Const'!AK192)</f>
        <v xml:space="preserve">(Record) </v>
      </c>
      <c r="K192" s="285" t="str">
        <f t="shared" si="20"/>
        <v>match</v>
      </c>
      <c r="L192" s="1410" t="str">
        <f t="shared" si="21"/>
        <v/>
      </c>
      <c r="M192" s="1333"/>
      <c r="N192" s="1561"/>
      <c r="O192" s="1333"/>
      <c r="P192" s="1333"/>
      <c r="Q192" s="1333"/>
      <c r="R192" s="1453"/>
      <c r="S192" s="1364"/>
      <c r="T192" s="1333"/>
      <c r="U192" s="1333"/>
      <c r="V192" s="1333"/>
      <c r="W192" s="1333"/>
      <c r="X192" s="1333"/>
      <c r="Y192" s="1333"/>
      <c r="Z192" s="1333"/>
      <c r="AA192" s="1333"/>
      <c r="AB192" s="1333"/>
      <c r="AC192" s="1333"/>
      <c r="AD192" s="1333"/>
      <c r="AE192" s="1333"/>
      <c r="AF192" s="1333"/>
      <c r="AG192" s="1333"/>
      <c r="AH192" s="1333"/>
      <c r="AI192" s="1333"/>
      <c r="AJ192" s="1333"/>
      <c r="AX192"/>
    </row>
    <row r="193" spans="1:50" s="30" customFormat="1" ht="22.5" customHeight="1" x14ac:dyDescent="0.25">
      <c r="A193" s="1518" t="str">
        <f>IF(COUNTIF('04 - 95% CD'!D193:G193,"Y")&gt;0,"Y",IF(COUNTIF('04 - 95% CD'!D193:G193,"N"),"N",""))</f>
        <v>Y</v>
      </c>
      <c r="B193" s="191"/>
      <c r="C193" s="944"/>
      <c r="D193" s="463"/>
      <c r="E193" s="559" t="str">
        <f>IF('C-Design&amp;Const'!$U193="","",'C-Design&amp;Const'!$U193)</f>
        <v>Y</v>
      </c>
      <c r="F193" s="461"/>
      <c r="G193" s="291"/>
      <c r="H193" s="358" t="str">
        <f>CONCATENATE(IF(E193="N","PLACEHOLDER ROW - ",""),IF(E193="N","",J193),'C-Design&amp;Const'!Z193,)</f>
        <v>(Record) EPA &amp; State Permits (With Applicable Section)</v>
      </c>
      <c r="I193" s="184"/>
      <c r="J193" s="578" t="str">
        <f>IF('C-Design&amp;Const'!AK193="","",'C-Design&amp;Const'!AK193)</f>
        <v xml:space="preserve">(Record) </v>
      </c>
      <c r="K193" s="285" t="str">
        <f t="shared" si="20"/>
        <v>match</v>
      </c>
      <c r="L193" s="1410" t="str">
        <f t="shared" si="21"/>
        <v/>
      </c>
      <c r="M193" s="1382"/>
      <c r="N193" s="1560"/>
      <c r="O193" s="1382"/>
      <c r="P193" s="1382"/>
      <c r="Q193" s="1382"/>
      <c r="R193" s="1382"/>
      <c r="S193" s="1382"/>
      <c r="T193" s="1382"/>
      <c r="U193" s="1382"/>
      <c r="V193" s="1382"/>
      <c r="W193" s="1382"/>
      <c r="X193" s="1382"/>
      <c r="Y193" s="1382"/>
      <c r="Z193" s="1382"/>
      <c r="AA193" s="1382"/>
      <c r="AB193" s="1382"/>
      <c r="AC193" s="1382"/>
      <c r="AD193" s="1382"/>
      <c r="AE193" s="1382"/>
      <c r="AF193" s="1382"/>
      <c r="AG193" s="1382"/>
      <c r="AH193" s="1382"/>
      <c r="AI193" s="1382"/>
      <c r="AJ193" s="1382"/>
      <c r="AK193" s="181"/>
      <c r="AL193" s="181"/>
      <c r="AM193" s="181"/>
      <c r="AN193" s="181"/>
      <c r="AO193" s="181"/>
      <c r="AP193" s="181"/>
      <c r="AQ193" s="181"/>
      <c r="AR193" s="181"/>
      <c r="AS193" s="181"/>
      <c r="AT193" s="181"/>
      <c r="AU193" s="181"/>
      <c r="AV193" s="181"/>
      <c r="AW193" s="181"/>
    </row>
    <row r="194" spans="1:50" s="17" customFormat="1" x14ac:dyDescent="0.25">
      <c r="A194" s="1518" t="str">
        <f>IF(COUNTIF('04 - 95% CD'!D194:G194,"Y")&gt;0,"Y",IF(COUNTIF('04 - 95% CD'!D194:G194,"N"),"N",""))</f>
        <v>Y</v>
      </c>
      <c r="B194" s="141"/>
      <c r="C194" s="944"/>
      <c r="D194" s="321"/>
      <c r="E194" s="559" t="str">
        <f>IF('C-Design&amp;Const'!$U194="","",'C-Design&amp;Const'!$U194)</f>
        <v>Y</v>
      </c>
      <c r="F194" s="460"/>
      <c r="G194" s="485"/>
      <c r="H194" s="358" t="str">
        <f>CONCATENATE(IF(E194="N","PLACEHOLDER ROW - ",""),IF(E194="N","",J194),'C-Design&amp;Const'!Z194,)</f>
        <v>(Record) Results of flow testing (With Applicable Section)</v>
      </c>
      <c r="I194" s="136"/>
      <c r="J194" s="578" t="str">
        <f>IF('C-Design&amp;Const'!AK194="","",'C-Design&amp;Const'!AK194)</f>
        <v xml:space="preserve">(Record) </v>
      </c>
      <c r="K194" s="285" t="str">
        <f t="shared" si="20"/>
        <v>match</v>
      </c>
      <c r="L194" s="1410" t="str">
        <f t="shared" si="21"/>
        <v/>
      </c>
      <c r="M194" s="1333"/>
      <c r="N194" s="1561"/>
      <c r="O194" s="1333"/>
      <c r="P194" s="1333"/>
      <c r="Q194" s="1333"/>
      <c r="R194" s="1453"/>
      <c r="S194" s="1364"/>
      <c r="T194" s="1333"/>
      <c r="U194" s="1333"/>
      <c r="V194" s="1333"/>
      <c r="W194" s="1333"/>
      <c r="X194" s="1333"/>
      <c r="Y194" s="1333"/>
      <c r="Z194" s="1333"/>
      <c r="AA194" s="1333"/>
      <c r="AB194" s="1333"/>
      <c r="AC194" s="1333"/>
      <c r="AD194" s="1333"/>
      <c r="AE194" s="1333"/>
      <c r="AF194" s="1333"/>
      <c r="AG194" s="1333"/>
      <c r="AH194" s="1333"/>
      <c r="AI194" s="1333"/>
      <c r="AJ194" s="1333"/>
      <c r="AX194"/>
    </row>
    <row r="195" spans="1:50" s="30" customFormat="1" ht="15.75" customHeight="1" x14ac:dyDescent="0.25">
      <c r="A195" s="1518" t="str">
        <f>IF(COUNTIF('04 - 95% CD'!D195:G195,"Y")&gt;0,"Y",IF(COUNTIF('04 - 95% CD'!D195:G195,"N"),"N",""))</f>
        <v>Y</v>
      </c>
      <c r="B195" s="191"/>
      <c r="C195" s="944"/>
      <c r="D195" s="463"/>
      <c r="E195" s="559" t="str">
        <f>IF('C-Design&amp;Const'!$U195="","",'C-Design&amp;Const'!$U195)</f>
        <v>Y</v>
      </c>
      <c r="F195" s="461"/>
      <c r="G195" s="291"/>
      <c r="H195" s="358" t="str">
        <f>CONCATENATE(IF(E195="N","PLACEHOLDER ROW - ",""),IF(E195="N","",J195),'C-Design&amp;Const'!Z195,)</f>
        <v>(Record) Results of existing exterior envelope material tests or strengths (With Applicable section)</v>
      </c>
      <c r="I195" s="184"/>
      <c r="J195" s="578" t="str">
        <f>IF('C-Design&amp;Const'!AK195="","",'C-Design&amp;Const'!AK195)</f>
        <v xml:space="preserve">(Record) </v>
      </c>
      <c r="K195" s="285" t="str">
        <f t="shared" si="20"/>
        <v>match</v>
      </c>
      <c r="L195" s="1410" t="str">
        <f t="shared" si="21"/>
        <v/>
      </c>
      <c r="M195" s="1382"/>
      <c r="N195" s="1560"/>
      <c r="O195" s="1382"/>
      <c r="P195" s="1382"/>
      <c r="Q195" s="1382"/>
      <c r="R195" s="1382"/>
      <c r="S195" s="1382"/>
      <c r="T195" s="1382"/>
      <c r="U195" s="1382"/>
      <c r="V195" s="1382"/>
      <c r="W195" s="1382"/>
      <c r="X195" s="1382"/>
      <c r="Y195" s="1382"/>
      <c r="Z195" s="1382"/>
      <c r="AA195" s="1382"/>
      <c r="AB195" s="1382"/>
      <c r="AC195" s="1382"/>
      <c r="AD195" s="1382"/>
      <c r="AE195" s="1382"/>
      <c r="AF195" s="1382"/>
      <c r="AG195" s="1382"/>
      <c r="AH195" s="1382"/>
      <c r="AI195" s="1382"/>
      <c r="AJ195" s="1382"/>
      <c r="AK195" s="181"/>
      <c r="AL195" s="181"/>
      <c r="AM195" s="181"/>
      <c r="AN195" s="181"/>
      <c r="AO195" s="181"/>
      <c r="AP195" s="181"/>
      <c r="AQ195" s="181"/>
      <c r="AR195" s="181"/>
      <c r="AS195" s="181"/>
      <c r="AT195" s="181"/>
      <c r="AU195" s="181"/>
      <c r="AV195" s="181"/>
      <c r="AW195" s="181"/>
    </row>
    <row r="196" spans="1:50" s="17" customFormat="1" ht="24.75" customHeight="1" x14ac:dyDescent="0.25">
      <c r="A196" s="1518" t="str">
        <f>IF(COUNTIF('04 - 95% CD'!D196:G196,"Y")&gt;0,"Y",IF(COUNTIF('04 - 95% CD'!D196:G196,"N"),"N",""))</f>
        <v>Y</v>
      </c>
      <c r="B196" s="141"/>
      <c r="C196" s="944"/>
      <c r="D196" s="321"/>
      <c r="E196" s="559" t="str">
        <f>IF('C-Design&amp;Const'!$U196="","",'C-Design&amp;Const'!$U196)</f>
        <v>Y</v>
      </c>
      <c r="F196" s="460"/>
      <c r="G196" s="485"/>
      <c r="H196" s="358" t="str">
        <f>CONCATENATE(IF(E196="N","PLACEHOLDER ROW - ",""),IF(E196="N","",J196),'C-Design&amp;Const'!Z196,)</f>
        <v>(Record) Results of any existing structural materials tests or verification / scans of structure layout. (With Applicable section)</v>
      </c>
      <c r="I196" s="136"/>
      <c r="J196" s="578" t="str">
        <f>IF('C-Design&amp;Const'!AK196="","",'C-Design&amp;Const'!AK196)</f>
        <v xml:space="preserve">(Record) </v>
      </c>
      <c r="K196" s="285" t="str">
        <f t="shared" si="20"/>
        <v>match</v>
      </c>
      <c r="L196" s="1410" t="str">
        <f t="shared" si="21"/>
        <v/>
      </c>
      <c r="M196" s="1333"/>
      <c r="N196" s="1561"/>
      <c r="O196" s="1333"/>
      <c r="P196" s="1333"/>
      <c r="Q196" s="1333"/>
      <c r="R196" s="1453"/>
      <c r="S196" s="1364"/>
      <c r="T196" s="1333"/>
      <c r="U196" s="1333"/>
      <c r="V196" s="1333"/>
      <c r="W196" s="1333"/>
      <c r="X196" s="1333"/>
      <c r="Y196" s="1333"/>
      <c r="Z196" s="1333"/>
      <c r="AA196" s="1333"/>
      <c r="AB196" s="1333"/>
      <c r="AC196" s="1333"/>
      <c r="AD196" s="1333"/>
      <c r="AE196" s="1333"/>
      <c r="AF196" s="1333"/>
      <c r="AG196" s="1333"/>
      <c r="AH196" s="1333"/>
      <c r="AI196" s="1333"/>
      <c r="AJ196" s="1333"/>
      <c r="AX196"/>
    </row>
    <row r="197" spans="1:50" s="30" customFormat="1" ht="15" customHeight="1" x14ac:dyDescent="0.25">
      <c r="A197" s="1518" t="str">
        <f>IF(COUNTIF('04 - 95% CD'!D197:G197,"Y")&gt;0,"Y",IF(COUNTIF('04 - 95% CD'!D197:G197,"N"),"N",""))</f>
        <v>N</v>
      </c>
      <c r="B197" s="191"/>
      <c r="C197" s="944"/>
      <c r="D197" s="463"/>
      <c r="E197" s="559" t="str">
        <f>IF('C-Design&amp;Const'!$U197="","",'C-Design&amp;Const'!$U197)</f>
        <v>N</v>
      </c>
      <c r="F197" s="461"/>
      <c r="G197" s="291"/>
      <c r="H197" s="358" t="str">
        <f>CONCATENATE(IF(E197="N","PLACEHOLDER ROW - ",""),IF(E197="N","",J197),'C-Design&amp;Const'!Z197,)</f>
        <v>PLACEHOLDER ROW - CUSTOM ROW - OPTIONAL CLIENT ITEM</v>
      </c>
      <c r="I197" s="184"/>
      <c r="J197" s="578" t="str">
        <f>IF('C-Design&amp;Const'!AK197="","",'C-Design&amp;Const'!AK197)</f>
        <v xml:space="preserve">(Record) </v>
      </c>
      <c r="K197" s="285" t="str">
        <f t="shared" si="20"/>
        <v>match</v>
      </c>
      <c r="L197" s="1410" t="str">
        <f t="shared" si="21"/>
        <v>&lt;---PM/Planner may hide PLACEHOLDER ROW</v>
      </c>
      <c r="M197" s="1333"/>
      <c r="N197" s="1382"/>
      <c r="O197" s="1382"/>
      <c r="P197" s="1382"/>
      <c r="Q197" s="1382"/>
      <c r="R197" s="1382"/>
      <c r="S197" s="1382"/>
      <c r="T197" s="1382"/>
      <c r="U197" s="1382"/>
      <c r="V197" s="1382"/>
      <c r="W197" s="1382"/>
      <c r="X197" s="1382"/>
      <c r="Y197" s="1382"/>
      <c r="Z197" s="1382"/>
      <c r="AA197" s="1382"/>
      <c r="AB197" s="1382"/>
      <c r="AC197" s="1382"/>
      <c r="AD197" s="1382"/>
      <c r="AE197" s="1382"/>
      <c r="AF197" s="1382"/>
      <c r="AG197" s="1382"/>
      <c r="AH197" s="1382"/>
      <c r="AI197" s="1382"/>
      <c r="AJ197" s="1382"/>
      <c r="AK197" s="181"/>
      <c r="AL197" s="181"/>
      <c r="AM197" s="181"/>
      <c r="AN197" s="181"/>
      <c r="AO197" s="181"/>
      <c r="AP197" s="181"/>
      <c r="AQ197" s="181"/>
      <c r="AR197" s="181"/>
      <c r="AS197" s="181"/>
      <c r="AT197" s="181"/>
      <c r="AU197" s="181"/>
      <c r="AV197" s="181"/>
      <c r="AW197" s="181"/>
    </row>
    <row r="198" spans="1:50" s="30" customFormat="1" ht="15" customHeight="1" x14ac:dyDescent="0.25">
      <c r="A198" s="1518" t="str">
        <f>IF(COUNTIF('04 - 95% CD'!D198:G198,"Y")&gt;0,"Y",IF(COUNTIF('04 - 95% CD'!D198:G198,"N"),"N",""))</f>
        <v>N</v>
      </c>
      <c r="B198" s="191"/>
      <c r="C198" s="944"/>
      <c r="D198" s="463"/>
      <c r="E198" s="559" t="str">
        <f>IF('C-Design&amp;Const'!$U198="","",'C-Design&amp;Const'!$U198)</f>
        <v>N</v>
      </c>
      <c r="F198" s="461"/>
      <c r="G198" s="291"/>
      <c r="H198" s="358" t="str">
        <f>CONCATENATE(IF(E198="N","PLACEHOLDER ROW - ",""),IF(E198="N","",J198),'C-Design&amp;Const'!Z198,)</f>
        <v>PLACEHOLDER ROW - CUSTOM ROW - OPTIONAL CLIENT ITEM</v>
      </c>
      <c r="I198" s="184"/>
      <c r="J198" s="578" t="str">
        <f>IF('C-Design&amp;Const'!AK198="","",'C-Design&amp;Const'!AK198)</f>
        <v xml:space="preserve">(Record) </v>
      </c>
      <c r="K198" s="285" t="str">
        <f t="shared" si="20"/>
        <v>match</v>
      </c>
      <c r="L198" s="1410" t="str">
        <f t="shared" si="21"/>
        <v>&lt;---PM/Planner may hide PLACEHOLDER ROW</v>
      </c>
      <c r="M198" s="1382"/>
      <c r="N198" s="1560"/>
      <c r="O198" s="1382"/>
      <c r="P198" s="1382"/>
      <c r="Q198" s="1382"/>
      <c r="R198" s="1382"/>
      <c r="S198" s="1382"/>
      <c r="T198" s="1382"/>
      <c r="U198" s="1382"/>
      <c r="V198" s="1382"/>
      <c r="W198" s="1382"/>
      <c r="X198" s="1382"/>
      <c r="Y198" s="1382"/>
      <c r="Z198" s="1382"/>
      <c r="AA198" s="1382"/>
      <c r="AB198" s="1382"/>
      <c r="AC198" s="1382"/>
      <c r="AD198" s="1382"/>
      <c r="AE198" s="1382"/>
      <c r="AF198" s="1382"/>
      <c r="AG198" s="1382"/>
      <c r="AH198" s="1382"/>
      <c r="AI198" s="1382"/>
      <c r="AJ198" s="1382"/>
      <c r="AK198" s="181"/>
      <c r="AL198" s="181"/>
      <c r="AM198" s="181"/>
      <c r="AN198" s="181"/>
      <c r="AO198" s="181"/>
      <c r="AP198" s="181"/>
      <c r="AQ198" s="181"/>
      <c r="AR198" s="181"/>
      <c r="AS198" s="181"/>
      <c r="AT198" s="181"/>
      <c r="AU198" s="181"/>
      <c r="AV198" s="181"/>
      <c r="AW198" s="181"/>
    </row>
    <row r="199" spans="1:50" s="30" customFormat="1" ht="15" hidden="1" customHeight="1" x14ac:dyDescent="0.25">
      <c r="A199" s="1518" t="str">
        <f>IF(COUNTIF('04 - 95% CD'!D199:G199,"Y")&gt;0,"Y",IF(COUNTIF('04 - 95% CD'!D199:G199,"N"),"N",""))</f>
        <v>N</v>
      </c>
      <c r="B199" s="191"/>
      <c r="C199" s="944"/>
      <c r="D199" s="463"/>
      <c r="E199" s="559" t="str">
        <f>IF('C-Design&amp;Const'!$U199="","",'C-Design&amp;Const'!$U199)</f>
        <v>N</v>
      </c>
      <c r="F199" s="461"/>
      <c r="G199" s="291"/>
      <c r="H199" s="358" t="str">
        <f>CONCATENATE(IF(E199="N","PLACEHOLDER ROW - ",""),IF(E199="N","",J199),'C-Design&amp;Const'!Z199,)</f>
        <v>PLACEHOLDER ROW - CUSTOM ROW - OPTIONAL CLIENT ITEM</v>
      </c>
      <c r="I199" s="184"/>
      <c r="J199" s="578" t="str">
        <f>IF('C-Design&amp;Const'!AK199="","",'C-Design&amp;Const'!AK199)</f>
        <v xml:space="preserve">(Record) </v>
      </c>
      <c r="K199" s="285" t="str">
        <f t="shared" si="20"/>
        <v>match</v>
      </c>
      <c r="L199" s="1410" t="str">
        <f t="shared" si="21"/>
        <v>&lt;---PM/Planner may hide PLACEHOLDER ROW</v>
      </c>
      <c r="M199" s="1382"/>
      <c r="N199" s="1560"/>
      <c r="O199" s="1382"/>
      <c r="P199" s="1382"/>
      <c r="Q199" s="1382"/>
      <c r="R199" s="1382"/>
      <c r="S199" s="1382"/>
      <c r="T199" s="1382"/>
      <c r="U199" s="1382"/>
      <c r="V199" s="1382"/>
      <c r="W199" s="1382"/>
      <c r="X199" s="1382"/>
      <c r="Y199" s="1382"/>
      <c r="Z199" s="1382"/>
      <c r="AA199" s="1382"/>
      <c r="AB199" s="1382"/>
      <c r="AC199" s="1382"/>
      <c r="AD199" s="1382"/>
      <c r="AE199" s="1382"/>
      <c r="AF199" s="1382"/>
      <c r="AG199" s="1382"/>
      <c r="AH199" s="1382"/>
      <c r="AI199" s="1382"/>
      <c r="AJ199" s="1382"/>
      <c r="AK199" s="181"/>
      <c r="AL199" s="181"/>
      <c r="AM199" s="181"/>
      <c r="AN199" s="181"/>
      <c r="AO199" s="181"/>
      <c r="AP199" s="181"/>
      <c r="AQ199" s="181"/>
      <c r="AR199" s="181"/>
      <c r="AS199" s="181"/>
      <c r="AT199" s="181"/>
      <c r="AU199" s="181"/>
      <c r="AV199" s="181"/>
      <c r="AW199" s="181"/>
    </row>
    <row r="200" spans="1:50" s="17" customFormat="1" ht="15" hidden="1" customHeight="1" x14ac:dyDescent="0.25">
      <c r="A200" s="1518" t="str">
        <f>IF(COUNTIF('04 - 95% CD'!D200:G200,"Y")&gt;0,"Y",IF(COUNTIF('04 - 95% CD'!D200:G200,"N"),"N",""))</f>
        <v>N</v>
      </c>
      <c r="B200" s="141"/>
      <c r="C200" s="944"/>
      <c r="D200" s="321"/>
      <c r="E200" s="559" t="str">
        <f>IF('C-Design&amp;Const'!$U200="","",'C-Design&amp;Const'!$U200)</f>
        <v>N</v>
      </c>
      <c r="F200" s="460"/>
      <c r="G200" s="485"/>
      <c r="H200" s="410" t="str">
        <f>CONCATENATE(IF(E200="N","PLACEHOLDER ROW - ",""),IF(E200="N","",J200),'C-Design&amp;Const'!Z200,)</f>
        <v>PLACEHOLDER ROW - CUSTOM ROW - OPTIONAL CLIENT ITEM</v>
      </c>
      <c r="I200" s="136"/>
      <c r="J200" s="578" t="str">
        <f>IF('C-Design&amp;Const'!AK200="","",'C-Design&amp;Const'!AK200)</f>
        <v xml:space="preserve">(Record) </v>
      </c>
      <c r="K200" s="285" t="str">
        <f t="shared" si="20"/>
        <v>match</v>
      </c>
      <c r="L200" s="1410" t="str">
        <f t="shared" si="21"/>
        <v>&lt;---PM/Planner may hide PLACEHOLDER ROW</v>
      </c>
      <c r="M200" s="1333"/>
      <c r="N200" s="1561"/>
      <c r="O200" s="1333"/>
      <c r="P200" s="1333"/>
      <c r="Q200" s="1333"/>
      <c r="R200" s="1453"/>
      <c r="S200" s="1364"/>
      <c r="T200" s="1333"/>
      <c r="U200" s="1333"/>
      <c r="V200" s="1333"/>
      <c r="W200" s="1333"/>
      <c r="X200" s="1333"/>
      <c r="Y200" s="1333"/>
      <c r="Z200" s="1333"/>
      <c r="AA200" s="1333"/>
      <c r="AB200" s="1333"/>
      <c r="AC200" s="1333"/>
      <c r="AD200" s="1333"/>
      <c r="AE200" s="1333"/>
      <c r="AF200" s="1333"/>
      <c r="AG200" s="1333"/>
      <c r="AH200" s="1333"/>
      <c r="AI200" s="1333"/>
      <c r="AJ200" s="1333"/>
      <c r="AX200"/>
    </row>
    <row r="201" spans="1:50" s="30" customFormat="1" ht="15" hidden="1" customHeight="1" x14ac:dyDescent="0.25">
      <c r="A201" s="1518" t="str">
        <f>IF(COUNTIF('04 - 95% CD'!D201:G201,"Y")&gt;0,"Y",IF(COUNTIF('04 - 95% CD'!D201:G201,"N"),"N",""))</f>
        <v>N</v>
      </c>
      <c r="B201" s="191"/>
      <c r="C201" s="944"/>
      <c r="D201" s="463"/>
      <c r="E201" s="559" t="str">
        <f>IF('C-Design&amp;Const'!$U201="","",'C-Design&amp;Const'!$U201)</f>
        <v>N</v>
      </c>
      <c r="F201" s="461"/>
      <c r="G201" s="291"/>
      <c r="H201" s="358" t="str">
        <f>CONCATENATE(IF(E201="N","PLACEHOLDER ROW - ",""),IF(E201="N","",J201),'C-Design&amp;Const'!Z201,)</f>
        <v>PLACEHOLDER ROW - CUSTOM ROW - OPTIONAL CLIENT ITEM</v>
      </c>
      <c r="I201" s="184"/>
      <c r="J201" s="578" t="str">
        <f>IF('C-Design&amp;Const'!AK201="","",'C-Design&amp;Const'!AK201)</f>
        <v xml:space="preserve">(Record) </v>
      </c>
      <c r="K201" s="285" t="str">
        <f t="shared" si="20"/>
        <v>match</v>
      </c>
      <c r="L201" s="1410" t="str">
        <f t="shared" si="21"/>
        <v>&lt;---PM/Planner may hide PLACEHOLDER ROW</v>
      </c>
      <c r="M201" s="1382"/>
      <c r="N201" s="1560"/>
      <c r="O201" s="1382"/>
      <c r="P201" s="1382"/>
      <c r="Q201" s="1382"/>
      <c r="R201" s="1382"/>
      <c r="S201" s="1382"/>
      <c r="T201" s="1382"/>
      <c r="U201" s="1382"/>
      <c r="V201" s="1382"/>
      <c r="W201" s="1382"/>
      <c r="X201" s="1382"/>
      <c r="Y201" s="1382"/>
      <c r="Z201" s="1382"/>
      <c r="AA201" s="1382"/>
      <c r="AB201" s="1382"/>
      <c r="AC201" s="1382"/>
      <c r="AD201" s="1382"/>
      <c r="AE201" s="1382"/>
      <c r="AF201" s="1382"/>
      <c r="AG201" s="1382"/>
      <c r="AH201" s="1382"/>
      <c r="AI201" s="1382"/>
      <c r="AJ201" s="1382"/>
      <c r="AK201" s="181"/>
      <c r="AL201" s="181"/>
      <c r="AM201" s="181"/>
      <c r="AN201" s="181"/>
      <c r="AO201" s="181"/>
      <c r="AP201" s="181"/>
      <c r="AQ201" s="181"/>
      <c r="AR201" s="181"/>
      <c r="AS201" s="181"/>
      <c r="AT201" s="181"/>
      <c r="AU201" s="181"/>
      <c r="AV201" s="181"/>
      <c r="AW201" s="181"/>
    </row>
    <row r="202" spans="1:50" s="17" customFormat="1" ht="15" hidden="1" customHeight="1" x14ac:dyDescent="0.25">
      <c r="A202" s="1518" t="str">
        <f>IF(COUNTIF('04 - 95% CD'!D202:G202,"Y")&gt;0,"Y",IF(COUNTIF('04 - 95% CD'!D202:G202,"N"),"N",""))</f>
        <v>N</v>
      </c>
      <c r="B202" s="141"/>
      <c r="C202" s="944"/>
      <c r="D202" s="321"/>
      <c r="E202" s="559" t="str">
        <f>IF('C-Design&amp;Const'!$U202="","",'C-Design&amp;Const'!$U202)</f>
        <v>N</v>
      </c>
      <c r="F202" s="460"/>
      <c r="G202" s="485"/>
      <c r="H202" s="410" t="str">
        <f>CONCATENATE(IF(E202="N","PLACEHOLDER ROW - ",""),IF(E202="N","",J202),'C-Design&amp;Const'!Z202,)</f>
        <v>PLACEHOLDER ROW - CUSTOM ROW - OPTIONAL CLIENT ITEM</v>
      </c>
      <c r="I202" s="136"/>
      <c r="J202" s="578" t="str">
        <f>IF('C-Design&amp;Const'!AK202="","",'C-Design&amp;Const'!AK202)</f>
        <v xml:space="preserve">(Record) </v>
      </c>
      <c r="K202" s="285" t="str">
        <f t="shared" si="20"/>
        <v>match</v>
      </c>
      <c r="L202" s="1410" t="str">
        <f t="shared" si="21"/>
        <v>&lt;---PM/Planner may hide PLACEHOLDER ROW</v>
      </c>
      <c r="M202" s="1333"/>
      <c r="N202" s="1561"/>
      <c r="O202" s="1333"/>
      <c r="P202" s="1333"/>
      <c r="Q202" s="1333"/>
      <c r="R202" s="1453"/>
      <c r="S202" s="1364"/>
      <c r="T202" s="1333"/>
      <c r="U202" s="1333"/>
      <c r="V202" s="1333"/>
      <c r="W202" s="1333"/>
      <c r="X202" s="1333"/>
      <c r="Y202" s="1333"/>
      <c r="Z202" s="1333"/>
      <c r="AA202" s="1333"/>
      <c r="AB202" s="1333"/>
      <c r="AC202" s="1333"/>
      <c r="AD202" s="1333"/>
      <c r="AE202" s="1333"/>
      <c r="AF202" s="1333"/>
      <c r="AG202" s="1333"/>
      <c r="AH202" s="1333"/>
      <c r="AI202" s="1333"/>
      <c r="AJ202" s="1333"/>
      <c r="AX202"/>
    </row>
    <row r="203" spans="1:50" s="17" customFormat="1" ht="15" hidden="1" customHeight="1" x14ac:dyDescent="0.25">
      <c r="A203" s="1518" t="str">
        <f>IF(COUNTIF('04 - 95% CD'!D203:G203,"Y")&gt;0,"Y",IF(COUNTIF('04 - 95% CD'!D203:G203,"N"),"N",""))</f>
        <v>N</v>
      </c>
      <c r="B203" s="141"/>
      <c r="C203" s="944"/>
      <c r="D203" s="321"/>
      <c r="E203" s="559" t="str">
        <f>IF('C-Design&amp;Const'!$U203="","",'C-Design&amp;Const'!$U203)</f>
        <v>N</v>
      </c>
      <c r="F203" s="460"/>
      <c r="G203" s="485"/>
      <c r="H203" s="410" t="str">
        <f>CONCATENATE(IF(E203="N","PLACEHOLDER ROW - ",""),IF(E203="N","",J203),'C-Design&amp;Const'!Z203,)</f>
        <v>PLACEHOLDER ROW - CUSTOM ROW - OPTIONAL CLIENT ITEM</v>
      </c>
      <c r="I203" s="136"/>
      <c r="J203" s="578" t="str">
        <f>IF('C-Design&amp;Const'!AK203="","",'C-Design&amp;Const'!AK203)</f>
        <v xml:space="preserve">(Record) </v>
      </c>
      <c r="K203" s="285" t="str">
        <f t="shared" si="20"/>
        <v>match</v>
      </c>
      <c r="L203" s="1410" t="str">
        <f t="shared" si="21"/>
        <v>&lt;---PM/Planner may hide PLACEHOLDER ROW</v>
      </c>
      <c r="M203" s="1333"/>
      <c r="N203" s="1561"/>
      <c r="O203" s="1333"/>
      <c r="P203" s="1333"/>
      <c r="Q203" s="1333"/>
      <c r="R203" s="1453"/>
      <c r="S203" s="1364"/>
      <c r="T203" s="1333"/>
      <c r="U203" s="1333"/>
      <c r="V203" s="1333"/>
      <c r="W203" s="1333"/>
      <c r="X203" s="1333"/>
      <c r="Y203" s="1333"/>
      <c r="Z203" s="1333"/>
      <c r="AA203" s="1333"/>
      <c r="AB203" s="1333"/>
      <c r="AC203" s="1333"/>
      <c r="AD203" s="1333"/>
      <c r="AE203" s="1333"/>
      <c r="AF203" s="1333"/>
      <c r="AG203" s="1333"/>
      <c r="AH203" s="1333"/>
      <c r="AI203" s="1333"/>
      <c r="AJ203" s="1333"/>
      <c r="AX203"/>
    </row>
    <row r="204" spans="1:50" s="17" customFormat="1" ht="15" hidden="1" customHeight="1" x14ac:dyDescent="0.25">
      <c r="A204" s="1518" t="str">
        <f>IF(COUNTIF('04 - 95% CD'!D204:G204,"Y")&gt;0,"Y",IF(COUNTIF('04 - 95% CD'!D204:G204,"N"),"N",""))</f>
        <v>N</v>
      </c>
      <c r="B204" s="141"/>
      <c r="C204" s="944"/>
      <c r="D204" s="321"/>
      <c r="E204" s="559" t="str">
        <f>IF('C-Design&amp;Const'!$U204="","",'C-Design&amp;Const'!$U204)</f>
        <v>N</v>
      </c>
      <c r="F204" s="460"/>
      <c r="G204" s="485"/>
      <c r="H204" s="410" t="str">
        <f>CONCATENATE(IF(E204="N","PLACEHOLDER ROW - ",""),IF(E204="N","",J204),'C-Design&amp;Const'!Z204,)</f>
        <v>PLACEHOLDER ROW - CUSTOM ROW - OPTIONAL CLIENT ITEM</v>
      </c>
      <c r="I204" s="136"/>
      <c r="J204" s="578" t="str">
        <f>IF('C-Design&amp;Const'!AK204="","",'C-Design&amp;Const'!AK204)</f>
        <v xml:space="preserve">(Record) </v>
      </c>
      <c r="K204" s="285" t="str">
        <f t="shared" si="20"/>
        <v>match</v>
      </c>
      <c r="L204" s="1410" t="str">
        <f t="shared" si="21"/>
        <v>&lt;---PM/Planner may hide PLACEHOLDER ROW</v>
      </c>
      <c r="M204" s="1333"/>
      <c r="N204" s="1561"/>
      <c r="O204" s="1333"/>
      <c r="P204" s="1333"/>
      <c r="Q204" s="1333"/>
      <c r="R204" s="1453"/>
      <c r="S204" s="1364"/>
      <c r="T204" s="1333"/>
      <c r="U204" s="1333"/>
      <c r="V204" s="1333"/>
      <c r="W204" s="1333"/>
      <c r="X204" s="1333"/>
      <c r="Y204" s="1333"/>
      <c r="Z204" s="1333"/>
      <c r="AA204" s="1333"/>
      <c r="AB204" s="1333"/>
      <c r="AC204" s="1333"/>
      <c r="AD204" s="1333"/>
      <c r="AE204" s="1333"/>
      <c r="AF204" s="1333"/>
      <c r="AG204" s="1333"/>
      <c r="AH204" s="1333"/>
      <c r="AI204" s="1333"/>
      <c r="AJ204" s="1333"/>
      <c r="AX204"/>
    </row>
    <row r="205" spans="1:50" s="17" customFormat="1" x14ac:dyDescent="0.25">
      <c r="A205" s="1510" t="str">
        <f>IF(COUNTIF('04 - 95% CD'!D205:G205,"Y")&gt;0,"Y",IF(COUNTIF('04 - 95% CD'!D205:G205,"N"),"N",""))</f>
        <v/>
      </c>
      <c r="B205" s="141"/>
      <c r="C205" s="944"/>
      <c r="D205" s="411"/>
      <c r="E205" s="411"/>
      <c r="F205" s="321"/>
      <c r="G205" s="294"/>
      <c r="H205" s="296" t="str">
        <f>CONCATENATE(IF(E205="N","PLACEHOLDER ROW - ",""),IF(E205="N","",J205),'C-Design&amp;Const'!Z205,)</f>
        <v/>
      </c>
      <c r="I205" s="130"/>
      <c r="J205" s="578" t="str">
        <f>IF('C-Design&amp;Const'!AK205="","",'C-Design&amp;Const'!AK205)</f>
        <v/>
      </c>
      <c r="K205" s="285" t="str">
        <f t="shared" si="20"/>
        <v>match</v>
      </c>
      <c r="L205" s="1410" t="str">
        <f t="shared" si="21"/>
        <v/>
      </c>
      <c r="M205" s="1333"/>
      <c r="N205" s="1333"/>
      <c r="O205" s="1333"/>
      <c r="P205" s="1333"/>
      <c r="Q205" s="1333"/>
      <c r="R205" s="1453"/>
      <c r="S205" s="1364"/>
      <c r="T205" s="1404"/>
      <c r="U205" s="1333"/>
      <c r="V205" s="1333"/>
      <c r="W205" s="1333"/>
      <c r="X205" s="1333"/>
      <c r="Y205" s="1333"/>
      <c r="Z205" s="1333"/>
      <c r="AA205" s="1333"/>
      <c r="AB205" s="1333"/>
      <c r="AC205" s="1333"/>
      <c r="AD205" s="1333"/>
      <c r="AE205" s="1333"/>
      <c r="AF205" s="1333"/>
      <c r="AG205" s="1333"/>
      <c r="AH205" s="1333"/>
      <c r="AI205" s="1333"/>
      <c r="AJ205" s="1333"/>
    </row>
    <row r="206" spans="1:50" s="181" customFormat="1" ht="41.25" customHeight="1" x14ac:dyDescent="0.25">
      <c r="A206" s="1501" t="str">
        <f>IF(COUNTIF('04 - 95% CD'!D206:G206,"Y")&gt;0,"Y",IF(COUNTIF('04 - 95% CD'!D206:G206,"N"),"N",""))</f>
        <v>Y</v>
      </c>
      <c r="B206" s="177"/>
      <c r="C206" s="948"/>
      <c r="D206" s="359" t="str">
        <f>IF('C-Design&amp;Const'!$U206="","",'C-Design&amp;Const'!$U206)</f>
        <v>Y</v>
      </c>
      <c r="E206" s="234"/>
      <c r="F206" s="235"/>
      <c r="G206" s="291" t="str">
        <f>IF('C-Design&amp;Const'!Y206="","",'C-Design&amp;Const'!Y206)</f>
        <v>07a.</v>
      </c>
      <c r="H206" s="290" t="str">
        <f>(CONCATENATE('C-Design&amp;Const'!Z206,IF(D206="N"," Not Used In This Design Phase",J206)))</f>
        <v>Drawing Set- RECORD SET (with Addenda, ASI, Field Directives, and As-Built Red Lines incorporated)</v>
      </c>
      <c r="I206" s="184"/>
      <c r="J206" s="578" t="str">
        <f>IF('C-Design&amp;Const'!AK206="","",'C-Design&amp;Const'!AK206)</f>
        <v>- RECORD SET (with Addenda, ASI, Field Directives, and As-Built Red Lines incorporated)</v>
      </c>
      <c r="K206" s="285" t="str">
        <f t="shared" si="20"/>
        <v>match</v>
      </c>
      <c r="L206" s="1410" t="str">
        <f t="shared" si="21"/>
        <v/>
      </c>
      <c r="M206" s="1382"/>
      <c r="N206" s="1382"/>
      <c r="O206" s="1382"/>
      <c r="P206" s="1382"/>
      <c r="Q206" s="1382"/>
      <c r="R206" s="1447"/>
      <c r="S206" s="1448"/>
      <c r="T206" s="1404"/>
      <c r="U206" s="1382"/>
      <c r="V206" s="1382"/>
      <c r="W206" s="1382"/>
      <c r="X206" s="1382"/>
      <c r="Y206" s="1382"/>
      <c r="Z206" s="1382"/>
      <c r="AA206" s="1382"/>
      <c r="AB206" s="1382"/>
      <c r="AC206" s="1382"/>
      <c r="AD206" s="1382"/>
      <c r="AE206" s="1382"/>
      <c r="AF206" s="1382"/>
      <c r="AG206" s="1382"/>
      <c r="AH206" s="1382"/>
      <c r="AI206" s="1382"/>
      <c r="AJ206" s="1382"/>
    </row>
    <row r="207" spans="1:50" s="17" customFormat="1" x14ac:dyDescent="0.25">
      <c r="A207" s="1517" t="str">
        <f>IF(COUNTIF('04 - 95% CD'!D207:G207,"Y")&gt;0,"Y",IF(COUNTIF('04 - 95% CD'!D207:G207,"N"),"N",""))</f>
        <v>Y</v>
      </c>
      <c r="B207" s="141"/>
      <c r="C207" s="944"/>
      <c r="D207" s="411"/>
      <c r="E207" s="321"/>
      <c r="F207" s="559" t="str">
        <f>IF('C-Design&amp;Const'!$U207="","",'C-Design&amp;Const'!$U207)</f>
        <v>Y</v>
      </c>
      <c r="G207" s="485"/>
      <c r="H207" s="469" t="str">
        <f>CONCATENATE(IF(F207="N","PLACEHOLDER ROW - ",""),'C-Design&amp;Const'!Z207,IF(F207="N","",J207))</f>
        <v>Title Sheet (Record)</v>
      </c>
      <c r="I207" s="137"/>
      <c r="J207" s="578" t="str">
        <f>IF('C-Design&amp;Const'!AK207="","",'C-Design&amp;Const'!AK207)</f>
        <v>(Record)</v>
      </c>
      <c r="K207" s="285" t="str">
        <f t="shared" si="20"/>
        <v>match</v>
      </c>
      <c r="L207" s="1410" t="str">
        <f t="shared" si="21"/>
        <v/>
      </c>
      <c r="M207" s="1333"/>
      <c r="N207" s="1333"/>
      <c r="O207" s="1333"/>
      <c r="P207" s="1333"/>
      <c r="Q207" s="1333"/>
      <c r="R207" s="1453"/>
      <c r="S207" s="1364"/>
      <c r="T207" s="1404"/>
      <c r="U207" s="1333"/>
      <c r="V207" s="1333"/>
      <c r="W207" s="1333"/>
      <c r="X207" s="1333"/>
      <c r="Y207" s="1333"/>
      <c r="Z207" s="1333"/>
      <c r="AA207" s="1333"/>
      <c r="AB207" s="1333"/>
      <c r="AC207" s="1333"/>
      <c r="AD207" s="1333"/>
      <c r="AE207" s="1333"/>
      <c r="AF207" s="1333"/>
      <c r="AG207" s="1333"/>
      <c r="AH207" s="1333"/>
      <c r="AI207" s="1333"/>
      <c r="AJ207" s="1333"/>
    </row>
    <row r="208" spans="1:50" s="30" customFormat="1" ht="15" customHeight="1" x14ac:dyDescent="0.25">
      <c r="A208" s="1407" t="str">
        <f>IF(COUNTIF('04 - 95% CD'!D208:G208,"Y")&gt;0,"Y",IF(COUNTIF('04 - 95% CD'!D208:G208,"N"),"N",""))</f>
        <v>Y</v>
      </c>
      <c r="B208" s="191"/>
      <c r="C208" s="944"/>
      <c r="D208" s="463"/>
      <c r="E208" s="463"/>
      <c r="F208" s="359" t="str">
        <f>IF('C-Design&amp;Const'!$U208="","",'C-Design&amp;Const'!$U208)</f>
        <v>Y</v>
      </c>
      <c r="G208" s="291"/>
      <c r="H208" s="469" t="str">
        <f>CONCATENATE(IF(F208="N","PLACEHOLDER ROW - ",""),'C-Design&amp;Const'!Z208,IF(F208="N","",J208))</f>
        <v>Code Compliance (Record)</v>
      </c>
      <c r="I208" s="184"/>
      <c r="J208" s="578" t="str">
        <f>IF('C-Design&amp;Const'!AK208="","",'C-Design&amp;Const'!AK208)</f>
        <v>(Record)</v>
      </c>
      <c r="K208" s="285" t="str">
        <f t="shared" si="20"/>
        <v>match</v>
      </c>
      <c r="L208" s="1410" t="str">
        <f t="shared" si="21"/>
        <v/>
      </c>
      <c r="M208" s="1382"/>
      <c r="N208" s="1382"/>
      <c r="O208" s="1382"/>
      <c r="P208" s="1382"/>
      <c r="Q208" s="1382"/>
      <c r="R208" s="1382"/>
      <c r="S208" s="1382"/>
      <c r="T208" s="1382"/>
      <c r="U208" s="1382"/>
      <c r="V208" s="1382"/>
      <c r="W208" s="1382"/>
      <c r="X208" s="1382"/>
      <c r="Y208" s="1382"/>
      <c r="Z208" s="1382"/>
      <c r="AA208" s="1382"/>
      <c r="AB208" s="1382"/>
      <c r="AC208" s="1382"/>
      <c r="AD208" s="1382"/>
      <c r="AE208" s="1382"/>
      <c r="AF208" s="1382"/>
      <c r="AG208" s="1382"/>
      <c r="AH208" s="1382"/>
      <c r="AI208" s="1382"/>
      <c r="AJ208" s="1382"/>
      <c r="AK208" s="181"/>
      <c r="AL208" s="181"/>
      <c r="AM208" s="181"/>
      <c r="AN208" s="181"/>
      <c r="AO208" s="181"/>
      <c r="AP208" s="181"/>
      <c r="AQ208" s="181"/>
      <c r="AR208" s="181"/>
      <c r="AS208" s="181"/>
      <c r="AT208" s="181"/>
      <c r="AU208" s="181"/>
      <c r="AV208" s="181"/>
      <c r="AW208" s="181"/>
    </row>
    <row r="209" spans="1:49" s="30" customFormat="1" ht="15" customHeight="1" x14ac:dyDescent="0.25">
      <c r="A209" s="1407" t="str">
        <f>IF(COUNTIF('04 - 95% CD'!D209:G209,"Y")&gt;0,"Y",IF(COUNTIF('04 - 95% CD'!D209:G209,"N"),"N",""))</f>
        <v>Y</v>
      </c>
      <c r="B209" s="191"/>
      <c r="C209" s="944"/>
      <c r="D209" s="463"/>
      <c r="E209" s="463"/>
      <c r="F209" s="359" t="str">
        <f>IF('C-Design&amp;Const'!$U209="","",'C-Design&amp;Const'!$U209)</f>
        <v>Y</v>
      </c>
      <c r="G209" s="291"/>
      <c r="H209" s="469" t="str">
        <f>CONCATENATE(IF(F209="N","PLACEHOLDER ROW - ",""),'C-Design&amp;Const'!Z209,IF(F209="N","",J209))</f>
        <v>Life Safety (Record)</v>
      </c>
      <c r="I209" s="184"/>
      <c r="J209" s="578" t="str">
        <f>IF('C-Design&amp;Const'!AK209="","",'C-Design&amp;Const'!AK209)</f>
        <v>(Record)</v>
      </c>
      <c r="K209" s="285" t="str">
        <f t="shared" si="20"/>
        <v>match</v>
      </c>
      <c r="L209" s="1410" t="str">
        <f t="shared" si="21"/>
        <v/>
      </c>
      <c r="M209" s="1382"/>
      <c r="N209" s="1382"/>
      <c r="O209" s="1382"/>
      <c r="P209" s="1382"/>
      <c r="Q209" s="1382"/>
      <c r="R209" s="1382"/>
      <c r="S209" s="1382"/>
      <c r="T209" s="1382"/>
      <c r="U209" s="1382"/>
      <c r="V209" s="1382"/>
      <c r="W209" s="1382"/>
      <c r="X209" s="1382"/>
      <c r="Y209" s="1382"/>
      <c r="Z209" s="1382"/>
      <c r="AA209" s="1382"/>
      <c r="AB209" s="1382"/>
      <c r="AC209" s="1382"/>
      <c r="AD209" s="1382"/>
      <c r="AE209" s="1382"/>
      <c r="AF209" s="1382"/>
      <c r="AG209" s="1382"/>
      <c r="AH209" s="1382"/>
      <c r="AI209" s="1382"/>
      <c r="AJ209" s="1382"/>
      <c r="AK209" s="181"/>
      <c r="AL209" s="181"/>
      <c r="AM209" s="181"/>
      <c r="AN209" s="181"/>
      <c r="AO209" s="181"/>
      <c r="AP209" s="181"/>
      <c r="AQ209" s="181"/>
      <c r="AR209" s="181"/>
      <c r="AS209" s="181"/>
      <c r="AT209" s="181"/>
      <c r="AU209" s="181"/>
      <c r="AV209" s="181"/>
      <c r="AW209" s="181"/>
    </row>
    <row r="210" spans="1:49" s="30" customFormat="1" ht="15" customHeight="1" x14ac:dyDescent="0.25">
      <c r="A210" s="1407" t="str">
        <f>IF(COUNTIF('04 - 95% CD'!D210:G210,"Y")&gt;0,"Y",IF(COUNTIF('04 - 95% CD'!D210:G210,"N"),"N",""))</f>
        <v>Y</v>
      </c>
      <c r="B210" s="191"/>
      <c r="C210" s="944"/>
      <c r="D210" s="463"/>
      <c r="E210" s="463"/>
      <c r="F210" s="359" t="str">
        <f>IF('C-Design&amp;Const'!$U210="","",'C-Design&amp;Const'!$U210)</f>
        <v>Y</v>
      </c>
      <c r="G210" s="291"/>
      <c r="H210" s="469" t="str">
        <f>CONCATENATE(IF(F210="N","PLACEHOLDER ROW - ",""),'C-Design&amp;Const'!Z210,IF(F210="N","",J210))</f>
        <v>General Project Info (Record)</v>
      </c>
      <c r="I210" s="184"/>
      <c r="J210" s="578" t="str">
        <f>IF('C-Design&amp;Const'!AK210="","",'C-Design&amp;Const'!AK210)</f>
        <v>(Record)</v>
      </c>
      <c r="K210" s="285" t="str">
        <f t="shared" si="20"/>
        <v>match</v>
      </c>
      <c r="L210" s="1410" t="str">
        <f t="shared" si="21"/>
        <v/>
      </c>
      <c r="M210" s="1382"/>
      <c r="N210" s="1382"/>
      <c r="O210" s="1382"/>
      <c r="P210" s="1382"/>
      <c r="Q210" s="1382"/>
      <c r="R210" s="1382"/>
      <c r="S210" s="1382"/>
      <c r="T210" s="1382"/>
      <c r="U210" s="1382"/>
      <c r="V210" s="1382"/>
      <c r="W210" s="1382"/>
      <c r="X210" s="1382"/>
      <c r="Y210" s="1382"/>
      <c r="Z210" s="1382"/>
      <c r="AA210" s="1382"/>
      <c r="AB210" s="1382"/>
      <c r="AC210" s="1382"/>
      <c r="AD210" s="1382"/>
      <c r="AE210" s="1382"/>
      <c r="AF210" s="1382"/>
      <c r="AG210" s="1382"/>
      <c r="AH210" s="1382"/>
      <c r="AI210" s="1382"/>
      <c r="AJ210" s="1382"/>
      <c r="AK210" s="181"/>
      <c r="AL210" s="181"/>
      <c r="AM210" s="181"/>
      <c r="AN210" s="181"/>
      <c r="AO210" s="181"/>
      <c r="AP210" s="181"/>
      <c r="AQ210" s="181"/>
      <c r="AR210" s="181"/>
      <c r="AS210" s="181"/>
      <c r="AT210" s="181"/>
      <c r="AU210" s="181"/>
      <c r="AV210" s="181"/>
      <c r="AW210" s="181"/>
    </row>
    <row r="211" spans="1:49" s="17" customFormat="1" x14ac:dyDescent="0.25">
      <c r="A211" s="1510" t="str">
        <f>IF(COUNTIF('04 - 95% CD'!D211:G211,"Y")&gt;0,"Y",IF(COUNTIF('04 - 95% CD'!D211:G211,"N"),"N",""))</f>
        <v>Y</v>
      </c>
      <c r="B211" s="141"/>
      <c r="C211" s="944"/>
      <c r="D211" s="411"/>
      <c r="E211" s="559" t="str">
        <f>IF('C-Design&amp;Const'!$U211="","",'C-Design&amp;Const'!$U211)</f>
        <v>Y</v>
      </c>
      <c r="F211" s="478"/>
      <c r="G211" s="485"/>
      <c r="H211" s="244" t="str">
        <f>CONCATENATE(IF(F211="N","PLACEHOLDER ROW - ",""),'C-Design&amp;Const'!Z211,IF(F211="N","",J211))</f>
        <v>Asbestos, Lead Based Paint, &amp; Hazardous Materials Drawings(Record)</v>
      </c>
      <c r="I211" s="146"/>
      <c r="J211" s="578" t="str">
        <f>IF('C-Design&amp;Const'!AK211="","",'C-Design&amp;Const'!AK211)</f>
        <v>(Record)</v>
      </c>
      <c r="K211" s="285" t="str">
        <f t="shared" ref="K211" si="22">IF((COUNTIF(D211:G211,"Y")=COUNTIF(A211,"Y")),"match","no 95% match")</f>
        <v>match</v>
      </c>
      <c r="L211" s="1410" t="str">
        <f t="shared" ref="L211" si="23">CONCATENATE(IF(ISNUMBER(SEARCH("Placeholder",H211))=TRUE,"&lt;---PM/Planner may hide PLACEHOLDER ROW",""))</f>
        <v/>
      </c>
      <c r="M211" s="1333"/>
      <c r="N211" s="1333"/>
      <c r="O211" s="1333"/>
      <c r="P211" s="1333"/>
      <c r="Q211" s="1333"/>
      <c r="R211" s="1284"/>
      <c r="S211" s="1488"/>
      <c r="T211" s="1404"/>
      <c r="U211" s="1333"/>
      <c r="V211" s="1333"/>
      <c r="W211" s="1333"/>
      <c r="X211" s="1333"/>
      <c r="Y211" s="1333"/>
      <c r="Z211" s="1333"/>
      <c r="AA211" s="1333"/>
      <c r="AB211" s="1333"/>
      <c r="AC211" s="1333"/>
      <c r="AD211" s="1333"/>
      <c r="AE211" s="1333"/>
      <c r="AF211" s="1333"/>
      <c r="AG211" s="1333"/>
      <c r="AH211" s="1333"/>
      <c r="AI211" s="1333"/>
      <c r="AJ211" s="1333"/>
    </row>
    <row r="212" spans="1:49" s="545" customFormat="1" ht="15.75" customHeight="1" x14ac:dyDescent="0.25">
      <c r="A212" s="1517" t="str">
        <f>IF(COUNTIF('04 - 95% CD'!D212:G212,"Y")&gt;0,"Y",IF(COUNTIF('04 - 95% CD'!D212:G212,"N"),"N",""))</f>
        <v>N</v>
      </c>
      <c r="B212" s="554"/>
      <c r="C212" s="944"/>
      <c r="D212" s="463"/>
      <c r="E212" s="463"/>
      <c r="F212" s="359" t="str">
        <f>IF('C-Design&amp;Const'!$U212="","",'C-Design&amp;Const'!$U212)</f>
        <v>N</v>
      </c>
      <c r="G212" s="291"/>
      <c r="H212" s="469" t="str">
        <f>CONCATENATE(IF(F212="N","PLACEHOLDER ROW - ",""),'C-Design&amp;Const'!Z212,IF(F212="N","",J212))</f>
        <v>PLACEHOLDER ROW - CUSTOM - Asbestos</v>
      </c>
      <c r="I212" s="552"/>
      <c r="J212" s="578" t="str">
        <f>IF('C-Design&amp;Const'!AK212="","",'C-Design&amp;Const'!AK212)</f>
        <v>(Record)</v>
      </c>
      <c r="K212" s="285" t="str">
        <f>IF((COUNTIF(D212:G212,"Y")=COUNTIF(A212,"Y")),"match","no 95% match")</f>
        <v>match</v>
      </c>
      <c r="L212" s="1410" t="str">
        <f>CONCATENATE(IF(ISNUMBER(SEARCH("Placeholder",H212))=TRUE,"&lt;---PM/Planner may hide PLACEHOLDER ROW",""))</f>
        <v>&lt;---PM/Planner may hide PLACEHOLDER ROW</v>
      </c>
      <c r="M212" s="1382"/>
      <c r="N212" s="1382"/>
      <c r="O212" s="1382"/>
      <c r="P212" s="1382"/>
      <c r="Q212" s="1382"/>
      <c r="R212" s="1382"/>
      <c r="S212" s="1382"/>
      <c r="T212" s="1382"/>
      <c r="U212" s="1382"/>
      <c r="V212" s="1382"/>
      <c r="W212" s="1382"/>
      <c r="X212" s="1382"/>
      <c r="Y212" s="1382"/>
      <c r="Z212" s="1382"/>
      <c r="AA212" s="1382"/>
      <c r="AB212" s="1382"/>
      <c r="AC212" s="1382"/>
      <c r="AD212" s="1382"/>
      <c r="AE212" s="1382"/>
      <c r="AF212" s="1382"/>
      <c r="AG212" s="1382"/>
      <c r="AH212" s="1382"/>
      <c r="AI212" s="1382"/>
      <c r="AJ212" s="1382"/>
      <c r="AK212" s="551"/>
      <c r="AL212" s="551"/>
      <c r="AM212" s="551"/>
      <c r="AN212" s="551"/>
      <c r="AO212" s="551"/>
      <c r="AP212" s="551"/>
      <c r="AQ212" s="551"/>
      <c r="AR212" s="551"/>
      <c r="AS212" s="551"/>
      <c r="AT212" s="551"/>
      <c r="AU212" s="551"/>
      <c r="AV212" s="551"/>
      <c r="AW212" s="551"/>
    </row>
    <row r="213" spans="1:49" s="545" customFormat="1" ht="15.75" customHeight="1" x14ac:dyDescent="0.25">
      <c r="A213" s="1517" t="str">
        <f>IF(COUNTIF('04 - 95% CD'!D213:G213,"Y")&gt;0,"Y",IF(COUNTIF('04 - 95% CD'!D213:G213,"N"),"N",""))</f>
        <v>Y</v>
      </c>
      <c r="B213" s="554"/>
      <c r="C213" s="944"/>
      <c r="D213" s="463"/>
      <c r="E213" s="463"/>
      <c r="F213" s="359" t="str">
        <f>IF('C-Design&amp;Const'!$U213="","",'C-Design&amp;Const'!$U213)</f>
        <v>Y</v>
      </c>
      <c r="G213" s="291"/>
      <c r="H213" s="469" t="str">
        <f>CONCATENATE(IF(F213="N","PLACEHOLDER ROW - ",""),'C-Design&amp;Const'!Z213,IF(F213="N","",J213))</f>
        <v>Asbestos Removal, Remediation, Containment (Record)</v>
      </c>
      <c r="I213" s="552"/>
      <c r="J213" s="578" t="str">
        <f>IF('C-Design&amp;Const'!AK213="","",'C-Design&amp;Const'!AK213)</f>
        <v>(Record)</v>
      </c>
      <c r="K213" s="285" t="str">
        <f>IF((COUNTIF(D213:G213,"Y")=COUNTIF(A213,"Y")),"match","no 95% match")</f>
        <v>match</v>
      </c>
      <c r="L213" s="1410" t="str">
        <f>CONCATENATE(IF(ISNUMBER(SEARCH("Placeholder",H213))=TRUE,"&lt;---PM/Planner may hide PLACEHOLDER ROW",""))</f>
        <v/>
      </c>
      <c r="M213" s="1382"/>
      <c r="N213" s="1382"/>
      <c r="O213" s="1382"/>
      <c r="P213" s="1382"/>
      <c r="Q213" s="1382"/>
      <c r="R213" s="1382"/>
      <c r="S213" s="1382"/>
      <c r="T213" s="1382"/>
      <c r="U213" s="1382"/>
      <c r="V213" s="1382"/>
      <c r="W213" s="1382"/>
      <c r="X213" s="1382"/>
      <c r="Y213" s="1382"/>
      <c r="Z213" s="1382"/>
      <c r="AA213" s="1382"/>
      <c r="AB213" s="1382"/>
      <c r="AC213" s="1382"/>
      <c r="AD213" s="1382"/>
      <c r="AE213" s="1382"/>
      <c r="AF213" s="1382"/>
      <c r="AG213" s="1382"/>
      <c r="AH213" s="1382"/>
      <c r="AI213" s="1382"/>
      <c r="AJ213" s="1382"/>
      <c r="AK213" s="551"/>
      <c r="AL213" s="551"/>
      <c r="AM213" s="551"/>
      <c r="AN213" s="551"/>
      <c r="AO213" s="551"/>
      <c r="AP213" s="551"/>
      <c r="AQ213" s="551"/>
      <c r="AR213" s="551"/>
      <c r="AS213" s="551"/>
      <c r="AT213" s="551"/>
      <c r="AU213" s="551"/>
      <c r="AV213" s="551"/>
      <c r="AW213" s="551"/>
    </row>
    <row r="214" spans="1:49" s="545" customFormat="1" ht="15.75" customHeight="1" x14ac:dyDescent="0.25">
      <c r="A214" s="1517" t="str">
        <f>IF(COUNTIF('04 - 95% CD'!D214:G214,"Y")&gt;0,"Y",IF(COUNTIF('04 - 95% CD'!D214:G214,"N"),"N",""))</f>
        <v>N</v>
      </c>
      <c r="B214" s="554"/>
      <c r="C214" s="944"/>
      <c r="D214" s="463"/>
      <c r="E214" s="463"/>
      <c r="F214" s="359" t="str">
        <f>IF('C-Design&amp;Const'!$U214="","",'C-Design&amp;Const'!$U214)</f>
        <v>N</v>
      </c>
      <c r="G214" s="291"/>
      <c r="H214" s="469" t="str">
        <f>CONCATENATE(IF(F214="N","PLACEHOLDER ROW - ",""),'C-Design&amp;Const'!Z214,IF(F214="N","",J214))</f>
        <v>PLACEHOLDER ROW - CUSTOM - Lead Based Paint</v>
      </c>
      <c r="I214" s="552"/>
      <c r="J214" s="578" t="str">
        <f>IF('C-Design&amp;Const'!AK214="","",'C-Design&amp;Const'!AK214)</f>
        <v>(Record)</v>
      </c>
      <c r="K214" s="285" t="str">
        <f t="shared" ref="K214:K217" si="24">IF((COUNTIF(D214:G214,"Y")=COUNTIF(A214,"Y")),"match","no 95% match")</f>
        <v>match</v>
      </c>
      <c r="L214" s="1410" t="str">
        <f t="shared" ref="L214:L217" si="25">CONCATENATE(IF(ISNUMBER(SEARCH("Placeholder",H214))=TRUE,"&lt;---PM/Planner may hide PLACEHOLDER ROW",""))</f>
        <v>&lt;---PM/Planner may hide PLACEHOLDER ROW</v>
      </c>
      <c r="M214" s="1382"/>
      <c r="N214" s="1382"/>
      <c r="O214" s="1382"/>
      <c r="P214" s="1382"/>
      <c r="Q214" s="1382"/>
      <c r="R214" s="1382"/>
      <c r="S214" s="1382"/>
      <c r="T214" s="1382"/>
      <c r="U214" s="1382"/>
      <c r="V214" s="1382"/>
      <c r="W214" s="1382"/>
      <c r="X214" s="1382"/>
      <c r="Y214" s="1382"/>
      <c r="Z214" s="1382"/>
      <c r="AA214" s="1382"/>
      <c r="AB214" s="1382"/>
      <c r="AC214" s="1382"/>
      <c r="AD214" s="1382"/>
      <c r="AE214" s="1382"/>
      <c r="AF214" s="1382"/>
      <c r="AG214" s="1382"/>
      <c r="AH214" s="1382"/>
      <c r="AI214" s="1382"/>
      <c r="AJ214" s="1382"/>
      <c r="AK214" s="551"/>
      <c r="AL214" s="551"/>
      <c r="AM214" s="551"/>
      <c r="AN214" s="551"/>
      <c r="AO214" s="551"/>
      <c r="AP214" s="551"/>
      <c r="AQ214" s="551"/>
      <c r="AR214" s="551"/>
      <c r="AS214" s="551"/>
      <c r="AT214" s="551"/>
      <c r="AU214" s="551"/>
      <c r="AV214" s="551"/>
      <c r="AW214" s="551"/>
    </row>
    <row r="215" spans="1:49" s="17" customFormat="1" x14ac:dyDescent="0.25">
      <c r="A215" s="1517" t="str">
        <f>IF(COUNTIF('04 - 95% CD'!D215:G215,"Y")&gt;0,"Y",IF(COUNTIF('04 - 95% CD'!D215:G215,"N"),"N",""))</f>
        <v>Y</v>
      </c>
      <c r="B215" s="141"/>
      <c r="C215" s="944"/>
      <c r="D215" s="411"/>
      <c r="E215" s="321"/>
      <c r="F215" s="559" t="str">
        <f>IF('C-Design&amp;Const'!$U215="","",'C-Design&amp;Const'!$U215)</f>
        <v>Y</v>
      </c>
      <c r="G215" s="485"/>
      <c r="H215" s="469" t="str">
        <f>CONCATENATE(IF(F215="N","PLACEHOLDER ROW - ",""),'C-Design&amp;Const'!Z215,IF(F215="N","",J215))</f>
        <v>Lead Based Paint Removal, Remediation, Containment (Record)</v>
      </c>
      <c r="I215" s="137"/>
      <c r="J215" s="578" t="str">
        <f>IF('C-Design&amp;Const'!AK215="","",'C-Design&amp;Const'!AK215)</f>
        <v>(Record)</v>
      </c>
      <c r="K215" s="285" t="str">
        <f t="shared" si="24"/>
        <v>match</v>
      </c>
      <c r="L215" s="1410" t="str">
        <f t="shared" si="25"/>
        <v/>
      </c>
      <c r="M215" s="1333"/>
      <c r="N215" s="1333"/>
      <c r="O215" s="1333"/>
      <c r="P215" s="1333"/>
      <c r="Q215" s="1333"/>
      <c r="R215" s="1453"/>
      <c r="S215" s="1364"/>
      <c r="T215" s="1404"/>
      <c r="U215" s="1333"/>
      <c r="V215" s="1333"/>
      <c r="W215" s="1333"/>
      <c r="X215" s="1333"/>
      <c r="Y215" s="1333"/>
      <c r="Z215" s="1333"/>
      <c r="AA215" s="1333"/>
      <c r="AB215" s="1333"/>
      <c r="AC215" s="1333"/>
      <c r="AD215" s="1333"/>
      <c r="AE215" s="1333"/>
      <c r="AF215" s="1333"/>
      <c r="AG215" s="1333"/>
      <c r="AH215" s="1333"/>
      <c r="AI215" s="1333"/>
      <c r="AJ215" s="1333"/>
    </row>
    <row r="216" spans="1:49" s="545" customFormat="1" ht="15.75" customHeight="1" x14ac:dyDescent="0.25">
      <c r="A216" s="1517" t="str">
        <f>IF(COUNTIF('04 - 95% CD'!D216:G216,"Y")&gt;0,"Y",IF(COUNTIF('04 - 95% CD'!D216:G216,"N"),"N",""))</f>
        <v>N</v>
      </c>
      <c r="B216" s="554"/>
      <c r="C216" s="944"/>
      <c r="D216" s="463"/>
      <c r="E216" s="463"/>
      <c r="F216" s="359" t="str">
        <f>IF('C-Design&amp;Const'!$U216="","",'C-Design&amp;Const'!$U216)</f>
        <v>N</v>
      </c>
      <c r="G216" s="291"/>
      <c r="H216" s="469" t="str">
        <f>CONCATENATE(IF(F216="N","PLACEHOLDER ROW - ",""),'C-Design&amp;Const'!Z216,IF(F216="N","",J216))</f>
        <v>PLACEHOLDER ROW - CUSTOM - Hazardous Materials</v>
      </c>
      <c r="I216" s="552"/>
      <c r="J216" s="578" t="str">
        <f>IF('C-Design&amp;Const'!AK216="","",'C-Design&amp;Const'!AK216)</f>
        <v>(Record)</v>
      </c>
      <c r="K216" s="285" t="str">
        <f t="shared" si="24"/>
        <v>match</v>
      </c>
      <c r="L216" s="1410" t="str">
        <f t="shared" si="25"/>
        <v>&lt;---PM/Planner may hide PLACEHOLDER ROW</v>
      </c>
      <c r="M216" s="1382"/>
      <c r="N216" s="1382"/>
      <c r="O216" s="1382"/>
      <c r="P216" s="1382"/>
      <c r="Q216" s="1382"/>
      <c r="R216" s="1382"/>
      <c r="S216" s="1382"/>
      <c r="T216" s="1382"/>
      <c r="U216" s="1382"/>
      <c r="V216" s="1382"/>
      <c r="W216" s="1382"/>
      <c r="X216" s="1382"/>
      <c r="Y216" s="1382"/>
      <c r="Z216" s="1382"/>
      <c r="AA216" s="1382"/>
      <c r="AB216" s="1382"/>
      <c r="AC216" s="1382"/>
      <c r="AD216" s="1382"/>
      <c r="AE216" s="1382"/>
      <c r="AF216" s="1382"/>
      <c r="AG216" s="1382"/>
      <c r="AH216" s="1382"/>
      <c r="AI216" s="1382"/>
      <c r="AJ216" s="1382"/>
      <c r="AK216" s="551"/>
      <c r="AL216" s="551"/>
      <c r="AM216" s="551"/>
      <c r="AN216" s="551"/>
      <c r="AO216" s="551"/>
      <c r="AP216" s="551"/>
      <c r="AQ216" s="551"/>
      <c r="AR216" s="551"/>
      <c r="AS216" s="551"/>
      <c r="AT216" s="551"/>
      <c r="AU216" s="551"/>
      <c r="AV216" s="551"/>
      <c r="AW216" s="551"/>
    </row>
    <row r="217" spans="1:49" s="545" customFormat="1" ht="15.75" customHeight="1" x14ac:dyDescent="0.25">
      <c r="A217" s="1517" t="str">
        <f>IF(COUNTIF('04 - 95% CD'!D217:G217,"Y")&gt;0,"Y",IF(COUNTIF('04 - 95% CD'!D217:G217,"N"),"N",""))</f>
        <v>Y</v>
      </c>
      <c r="B217" s="554"/>
      <c r="C217" s="944"/>
      <c r="D217" s="463"/>
      <c r="E217" s="463"/>
      <c r="F217" s="359" t="str">
        <f>IF('C-Design&amp;Const'!$U217="","",'C-Design&amp;Const'!$U217)</f>
        <v>Y</v>
      </c>
      <c r="G217" s="291"/>
      <c r="H217" s="469" t="str">
        <f>CONCATENATE(IF(F217="N","PLACEHOLDER ROW - ",""),'C-Design&amp;Const'!Z217,IF(F217="N","",J217))</f>
        <v>Other Hazardous Materials Removal, Remediation, Containment (Record)</v>
      </c>
      <c r="I217" s="552"/>
      <c r="J217" s="578" t="str">
        <f>IF('C-Design&amp;Const'!AK217="","",'C-Design&amp;Const'!AK217)</f>
        <v>(Record)</v>
      </c>
      <c r="K217" s="285" t="str">
        <f t="shared" si="24"/>
        <v>match</v>
      </c>
      <c r="L217" s="1410" t="str">
        <f t="shared" si="25"/>
        <v/>
      </c>
      <c r="M217" s="1382"/>
      <c r="N217" s="1382"/>
      <c r="O217" s="1382"/>
      <c r="P217" s="1382"/>
      <c r="Q217" s="1382"/>
      <c r="R217" s="1382"/>
      <c r="S217" s="1382"/>
      <c r="T217" s="1382"/>
      <c r="U217" s="1382"/>
      <c r="V217" s="1382"/>
      <c r="W217" s="1382"/>
      <c r="X217" s="1382"/>
      <c r="Y217" s="1382"/>
      <c r="Z217" s="1382"/>
      <c r="AA217" s="1382"/>
      <c r="AB217" s="1382"/>
      <c r="AC217" s="1382"/>
      <c r="AD217" s="1382"/>
      <c r="AE217" s="1382"/>
      <c r="AF217" s="1382"/>
      <c r="AG217" s="1382"/>
      <c r="AH217" s="1382"/>
      <c r="AI217" s="1382"/>
      <c r="AJ217" s="1382"/>
      <c r="AK217" s="551"/>
      <c r="AL217" s="551"/>
      <c r="AM217" s="551"/>
      <c r="AN217" s="551"/>
      <c r="AO217" s="551"/>
      <c r="AP217" s="551"/>
      <c r="AQ217" s="551"/>
      <c r="AR217" s="551"/>
      <c r="AS217" s="551"/>
      <c r="AT217" s="551"/>
      <c r="AU217" s="551"/>
      <c r="AV217" s="551"/>
      <c r="AW217" s="551"/>
    </row>
    <row r="218" spans="1:49" s="17" customFormat="1" x14ac:dyDescent="0.25">
      <c r="A218" s="1510" t="str">
        <f>IF(COUNTIF('04 - 95% CD'!D218:G218,"Y")&gt;0,"Y",IF(COUNTIF('04 - 95% CD'!D218:G218,"N"),"N",""))</f>
        <v>Y</v>
      </c>
      <c r="B218" s="141"/>
      <c r="C218" s="944"/>
      <c r="D218" s="411"/>
      <c r="E218" s="559" t="str">
        <f>IF('C-Design&amp;Const'!$U218="","",'C-Design&amp;Const'!$U218)</f>
        <v>Y</v>
      </c>
      <c r="F218" s="478"/>
      <c r="G218" s="485"/>
      <c r="H218" s="244" t="str">
        <f>CONCATENATE(IF(F218="N","PLACEHOLDER ROW - ",""),'C-Design&amp;Const'!Z218,IF(F218="N","",J218))</f>
        <v>Site, Civil, &amp; Landscape Drawings(Record)</v>
      </c>
      <c r="I218" s="146"/>
      <c r="J218" s="578" t="str">
        <f>IF('C-Design&amp;Const'!AK218="","",'C-Design&amp;Const'!AK218)</f>
        <v>(Record)</v>
      </c>
      <c r="K218" s="285" t="str">
        <f t="shared" si="20"/>
        <v>match</v>
      </c>
      <c r="L218" s="1410" t="str">
        <f t="shared" si="21"/>
        <v/>
      </c>
      <c r="M218" s="1333"/>
      <c r="N218" s="1333"/>
      <c r="O218" s="1333"/>
      <c r="P218" s="1333"/>
      <c r="Q218" s="1333"/>
      <c r="R218" s="1284"/>
      <c r="S218" s="1488"/>
      <c r="T218" s="1404"/>
      <c r="U218" s="1333"/>
      <c r="V218" s="1333"/>
      <c r="W218" s="1333"/>
      <c r="X218" s="1333"/>
      <c r="Y218" s="1333"/>
      <c r="Z218" s="1333"/>
      <c r="AA218" s="1333"/>
      <c r="AB218" s="1333"/>
      <c r="AC218" s="1333"/>
      <c r="AD218" s="1333"/>
      <c r="AE218" s="1333"/>
      <c r="AF218" s="1333"/>
      <c r="AG218" s="1333"/>
      <c r="AH218" s="1333"/>
      <c r="AI218" s="1333"/>
      <c r="AJ218" s="1333"/>
    </row>
    <row r="219" spans="1:49" s="30" customFormat="1" ht="15.75" customHeight="1" x14ac:dyDescent="0.25">
      <c r="A219" s="1517" t="str">
        <f>IF(COUNTIF('04 - 95% CD'!D219:G219,"Y")&gt;0,"Y",IF(COUNTIF('04 - 95% CD'!D219:G219,"N"),"N",""))</f>
        <v>N</v>
      </c>
      <c r="B219" s="191"/>
      <c r="C219" s="944"/>
      <c r="D219" s="463"/>
      <c r="E219" s="463"/>
      <c r="F219" s="359" t="str">
        <f>IF('C-Design&amp;Const'!$U219="","",'C-Design&amp;Const'!$U219)</f>
        <v>N</v>
      </c>
      <c r="G219" s="291"/>
      <c r="H219" s="469" t="str">
        <f>CONCATENATE(IF(F219="N","PLACEHOLDER ROW - ",""),'C-Design&amp;Const'!Z219,IF(F219="N","",J219))</f>
        <v>PLACEHOLDER ROW - CUSTOM - Site / Civil / Landscape</v>
      </c>
      <c r="I219" s="184"/>
      <c r="J219" s="578" t="str">
        <f>IF('C-Design&amp;Const'!AK219="","",'C-Design&amp;Const'!AK219)</f>
        <v>(Record)</v>
      </c>
      <c r="K219" s="285" t="str">
        <f>IF((COUNTIF(D219:G219,"Y")=COUNTIF(A219,"Y")),"match","no 95% match")</f>
        <v>match</v>
      </c>
      <c r="L219" s="1410" t="str">
        <f>CONCATENATE(IF(ISNUMBER(SEARCH("Placeholder",H219))=TRUE,"&lt;---PM/Planner may hide PLACEHOLDER ROW",""))</f>
        <v>&lt;---PM/Planner may hide PLACEHOLDER ROW</v>
      </c>
      <c r="M219" s="1382"/>
      <c r="N219" s="1382"/>
      <c r="O219" s="1382"/>
      <c r="P219" s="1382"/>
      <c r="Q219" s="1382"/>
      <c r="R219" s="1382"/>
      <c r="S219" s="1382"/>
      <c r="T219" s="1382"/>
      <c r="U219" s="1382"/>
      <c r="V219" s="1382"/>
      <c r="W219" s="1382"/>
      <c r="X219" s="1382"/>
      <c r="Y219" s="1382"/>
      <c r="Z219" s="1382"/>
      <c r="AA219" s="1382"/>
      <c r="AB219" s="1382"/>
      <c r="AC219" s="1382"/>
      <c r="AD219" s="1382"/>
      <c r="AE219" s="1382"/>
      <c r="AF219" s="1382"/>
      <c r="AG219" s="1382"/>
      <c r="AH219" s="1382"/>
      <c r="AI219" s="1382"/>
      <c r="AJ219" s="1382"/>
      <c r="AK219" s="181"/>
      <c r="AL219" s="181"/>
      <c r="AM219" s="181"/>
      <c r="AN219" s="181"/>
      <c r="AO219" s="181"/>
      <c r="AP219" s="181"/>
      <c r="AQ219" s="181"/>
      <c r="AR219" s="181"/>
      <c r="AS219" s="181"/>
      <c r="AT219" s="181"/>
      <c r="AU219" s="181"/>
      <c r="AV219" s="181"/>
      <c r="AW219" s="181"/>
    </row>
    <row r="220" spans="1:49" s="30" customFormat="1" ht="15.75" customHeight="1" x14ac:dyDescent="0.25">
      <c r="A220" s="1517" t="str">
        <f>IF(COUNTIF('04 - 95% CD'!D220:G220,"Y")&gt;0,"Y",IF(COUNTIF('04 - 95% CD'!D220:G220,"N"),"N",""))</f>
        <v>N</v>
      </c>
      <c r="B220" s="191"/>
      <c r="C220" s="944"/>
      <c r="D220" s="463"/>
      <c r="E220" s="463"/>
      <c r="F220" s="359" t="str">
        <f>IF('C-Design&amp;Const'!$U220="","",'C-Design&amp;Const'!$U220)</f>
        <v>N</v>
      </c>
      <c r="G220" s="291"/>
      <c r="H220" s="469" t="str">
        <f>CONCATENATE(IF(F220="N","PLACEHOLDER ROW - ",""),'C-Design&amp;Const'!Z220,IF(F220="N","",J220))</f>
        <v>PLACEHOLDER ROW - CUSTOM - Site / Civil / Landscape</v>
      </c>
      <c r="I220" s="184"/>
      <c r="J220" s="578" t="str">
        <f>IF('C-Design&amp;Const'!AK220="","",'C-Design&amp;Const'!AK220)</f>
        <v>(Record)</v>
      </c>
      <c r="K220" s="285" t="str">
        <f>IF((COUNTIF(D220:G220,"Y")=COUNTIF(A220,"Y")),"match","no 95% match")</f>
        <v>match</v>
      </c>
      <c r="L220" s="1410" t="str">
        <f>CONCATENATE(IF(ISNUMBER(SEARCH("Placeholder",H220))=TRUE,"&lt;---PM/Planner may hide PLACEHOLDER ROW",""))</f>
        <v>&lt;---PM/Planner may hide PLACEHOLDER ROW</v>
      </c>
      <c r="M220" s="1382"/>
      <c r="N220" s="1382"/>
      <c r="O220" s="1382"/>
      <c r="P220" s="1382"/>
      <c r="Q220" s="1382"/>
      <c r="R220" s="1382"/>
      <c r="S220" s="1382"/>
      <c r="T220" s="1382"/>
      <c r="U220" s="1382"/>
      <c r="V220" s="1382"/>
      <c r="W220" s="1382"/>
      <c r="X220" s="1382"/>
      <c r="Y220" s="1382"/>
      <c r="Z220" s="1382"/>
      <c r="AA220" s="1382"/>
      <c r="AB220" s="1382"/>
      <c r="AC220" s="1382"/>
      <c r="AD220" s="1382"/>
      <c r="AE220" s="1382"/>
      <c r="AF220" s="1382"/>
      <c r="AG220" s="1382"/>
      <c r="AH220" s="1382"/>
      <c r="AI220" s="1382"/>
      <c r="AJ220" s="1382"/>
      <c r="AK220" s="181"/>
      <c r="AL220" s="181"/>
      <c r="AM220" s="181"/>
      <c r="AN220" s="181"/>
      <c r="AO220" s="181"/>
      <c r="AP220" s="181"/>
      <c r="AQ220" s="181"/>
      <c r="AR220" s="181"/>
      <c r="AS220" s="181"/>
      <c r="AT220" s="181"/>
      <c r="AU220" s="181"/>
      <c r="AV220" s="181"/>
      <c r="AW220" s="181"/>
    </row>
    <row r="221" spans="1:49" s="545" customFormat="1" ht="15.75" customHeight="1" x14ac:dyDescent="0.25">
      <c r="A221" s="1517" t="str">
        <f>IF(COUNTIF('04 - 95% CD'!D221:G221,"Y")&gt;0,"Y",IF(COUNTIF('04 - 95% CD'!D221:G221,"N"),"N",""))</f>
        <v>Y</v>
      </c>
      <c r="B221" s="554"/>
      <c r="C221" s="944"/>
      <c r="D221" s="463"/>
      <c r="E221" s="463"/>
      <c r="F221" s="359" t="str">
        <f>IF('C-Design&amp;Const'!$U221="","",'C-Design&amp;Const'!$U221)</f>
        <v>Y</v>
      </c>
      <c r="G221" s="291"/>
      <c r="H221" s="469" t="str">
        <f>CONCATENATE(IF(F221="N","PLACEHOLDER ROW - ",""),'C-Design&amp;Const'!Z221,IF(F221="N","",J221))</f>
        <v>Civil, Site, Landscape Symbols, Abbreviations, and General Notes (Record)</v>
      </c>
      <c r="I221" s="552"/>
      <c r="J221" s="578" t="str">
        <f>IF('C-Design&amp;Const'!AK221="","",'C-Design&amp;Const'!AK221)</f>
        <v>(Record)</v>
      </c>
      <c r="K221" s="285" t="str">
        <f>IF((COUNTIF(D221:G221,"Y")=COUNTIF(A221,"Y")),"match","no 95% match")</f>
        <v>match</v>
      </c>
      <c r="L221" s="1410" t="str">
        <f>CONCATENATE(IF(ISNUMBER(SEARCH("Placeholder",H221))=TRUE,"&lt;---PM/Planner may hide PLACEHOLDER ROW",""))</f>
        <v/>
      </c>
      <c r="M221" s="1382"/>
      <c r="N221" s="1382"/>
      <c r="O221" s="1382"/>
      <c r="P221" s="1382"/>
      <c r="Q221" s="1382"/>
      <c r="R221" s="1382"/>
      <c r="S221" s="1382"/>
      <c r="T221" s="1382"/>
      <c r="U221" s="1382"/>
      <c r="V221" s="1382"/>
      <c r="W221" s="1382"/>
      <c r="X221" s="1382"/>
      <c r="Y221" s="1382"/>
      <c r="Z221" s="1382"/>
      <c r="AA221" s="1382"/>
      <c r="AB221" s="1382"/>
      <c r="AC221" s="1382"/>
      <c r="AD221" s="1382"/>
      <c r="AE221" s="1382"/>
      <c r="AF221" s="1382"/>
      <c r="AG221" s="1382"/>
      <c r="AH221" s="1382"/>
      <c r="AI221" s="1382"/>
      <c r="AJ221" s="1382"/>
      <c r="AK221" s="551"/>
      <c r="AL221" s="551"/>
      <c r="AM221" s="551"/>
      <c r="AN221" s="551"/>
      <c r="AO221" s="551"/>
      <c r="AP221" s="551"/>
      <c r="AQ221" s="551"/>
      <c r="AR221" s="551"/>
      <c r="AS221" s="551"/>
      <c r="AT221" s="551"/>
      <c r="AU221" s="551"/>
      <c r="AV221" s="551"/>
      <c r="AW221" s="551"/>
    </row>
    <row r="222" spans="1:49" s="30" customFormat="1" ht="15.75" customHeight="1" x14ac:dyDescent="0.25">
      <c r="A222" s="1517" t="str">
        <f>IF(COUNTIF('04 - 95% CD'!D222:G222,"Y")&gt;0,"Y",IF(COUNTIF('04 - 95% CD'!D222:G222,"N"),"N",""))</f>
        <v>Y</v>
      </c>
      <c r="B222" s="191"/>
      <c r="C222" s="944"/>
      <c r="D222" s="463"/>
      <c r="E222" s="463"/>
      <c r="F222" s="359" t="str">
        <f>IF('C-Design&amp;Const'!$U222="","",'C-Design&amp;Const'!$U222)</f>
        <v>Y</v>
      </c>
      <c r="G222" s="291"/>
      <c r="H222" s="469" t="str">
        <f>CONCATENATE(IF(F222="N","PLACEHOLDER ROW - ",""),'C-Design&amp;Const'!Z222,IF(F222="N","",J222))</f>
        <v>Site Clearing, Demolitions, &amp; Abandonments (Record)</v>
      </c>
      <c r="I222" s="184"/>
      <c r="J222" s="578" t="str">
        <f>IF('C-Design&amp;Const'!AK222="","",'C-Design&amp;Const'!AK222)</f>
        <v>(Record)</v>
      </c>
      <c r="K222" s="285" t="str">
        <f t="shared" si="20"/>
        <v>match</v>
      </c>
      <c r="L222" s="1410" t="str">
        <f t="shared" si="21"/>
        <v/>
      </c>
      <c r="M222" s="1382"/>
      <c r="N222" s="1382"/>
      <c r="O222" s="1382"/>
      <c r="P222" s="1382"/>
      <c r="Q222" s="1382"/>
      <c r="R222" s="1382"/>
      <c r="S222" s="1382"/>
      <c r="T222" s="1382"/>
      <c r="U222" s="1382"/>
      <c r="V222" s="1382"/>
      <c r="W222" s="1382"/>
      <c r="X222" s="1382"/>
      <c r="Y222" s="1382"/>
      <c r="Z222" s="1382"/>
      <c r="AA222" s="1382"/>
      <c r="AB222" s="1382"/>
      <c r="AC222" s="1382"/>
      <c r="AD222" s="1382"/>
      <c r="AE222" s="1382"/>
      <c r="AF222" s="1382"/>
      <c r="AG222" s="1382"/>
      <c r="AH222" s="1382"/>
      <c r="AI222" s="1382"/>
      <c r="AJ222" s="1382"/>
      <c r="AK222" s="181"/>
      <c r="AL222" s="181"/>
      <c r="AM222" s="181"/>
      <c r="AN222" s="181"/>
      <c r="AO222" s="181"/>
      <c r="AP222" s="181"/>
      <c r="AQ222" s="181"/>
      <c r="AR222" s="181"/>
      <c r="AS222" s="181"/>
      <c r="AT222" s="181"/>
      <c r="AU222" s="181"/>
      <c r="AV222" s="181"/>
      <c r="AW222" s="181"/>
    </row>
    <row r="223" spans="1:49" s="17" customFormat="1" x14ac:dyDescent="0.25">
      <c r="A223" s="1517" t="str">
        <f>IF(COUNTIF('04 - 95% CD'!D223:G223,"Y")&gt;0,"Y",IF(COUNTIF('04 - 95% CD'!D223:G223,"N"),"N",""))</f>
        <v>Y</v>
      </c>
      <c r="B223" s="141"/>
      <c r="C223" s="944"/>
      <c r="D223" s="411"/>
      <c r="E223" s="321"/>
      <c r="F223" s="559" t="str">
        <f>IF('C-Design&amp;Const'!$U223="","",'C-Design&amp;Const'!$U223)</f>
        <v>Y</v>
      </c>
      <c r="G223" s="485"/>
      <c r="H223" s="469" t="str">
        <f>CONCATENATE(IF(F223="N","PLACEHOLDER ROW - ",""),'C-Design&amp;Const'!Z223,IF(F223="N","",J223))</f>
        <v>Site Plan (show tree protection if not yet shown in laydown plan)(Record)</v>
      </c>
      <c r="I223" s="137"/>
      <c r="J223" s="578" t="str">
        <f>IF('C-Design&amp;Const'!AK223="","",'C-Design&amp;Const'!AK223)</f>
        <v>(Record)</v>
      </c>
      <c r="K223" s="285" t="str">
        <f t="shared" si="20"/>
        <v>match</v>
      </c>
      <c r="L223" s="1410" t="str">
        <f t="shared" si="21"/>
        <v/>
      </c>
      <c r="M223" s="1333"/>
      <c r="N223" s="1333"/>
      <c r="O223" s="1333"/>
      <c r="P223" s="1333"/>
      <c r="Q223" s="1333"/>
      <c r="R223" s="1453"/>
      <c r="S223" s="1364"/>
      <c r="T223" s="1404"/>
      <c r="U223" s="1333"/>
      <c r="V223" s="1333"/>
      <c r="W223" s="1333"/>
      <c r="X223" s="1333"/>
      <c r="Y223" s="1333"/>
      <c r="Z223" s="1333"/>
      <c r="AA223" s="1333"/>
      <c r="AB223" s="1333"/>
      <c r="AC223" s="1333"/>
      <c r="AD223" s="1333"/>
      <c r="AE223" s="1333"/>
      <c r="AF223" s="1333"/>
      <c r="AG223" s="1333"/>
      <c r="AH223" s="1333"/>
      <c r="AI223" s="1333"/>
      <c r="AJ223" s="1333"/>
    </row>
    <row r="224" spans="1:49" s="17" customFormat="1" x14ac:dyDescent="0.25">
      <c r="A224" s="1517" t="str">
        <f>IF(COUNTIF('04 - 95% CD'!D224:G224,"Y")&gt;0,"Y",IF(COUNTIF('04 - 95% CD'!D224:G224,"N"),"N",""))</f>
        <v>Y</v>
      </c>
      <c r="B224" s="141"/>
      <c r="C224" s="944"/>
      <c r="D224" s="411"/>
      <c r="E224" s="321"/>
      <c r="F224" s="559" t="str">
        <f>IF('C-Design&amp;Const'!$U224="","",'C-Design&amp;Const'!$U224)</f>
        <v>Y</v>
      </c>
      <c r="G224" s="485"/>
      <c r="H224" s="469" t="str">
        <f>CONCATENATE(IF(F224="N","PLACEHOLDER ROW - ",""),'C-Design&amp;Const'!Z224,IF(F224="N","",J224))</f>
        <v>Storm Water Detention Plan (Record)</v>
      </c>
      <c r="I224" s="149"/>
      <c r="J224" s="578" t="str">
        <f>IF('C-Design&amp;Const'!AK224="","",'C-Design&amp;Const'!AK224)</f>
        <v>(Record)</v>
      </c>
      <c r="K224" s="285" t="str">
        <f>IF((COUNTIF(D224:G224,"Y")=COUNTIF(A224,"Y")),"match","no 95% match")</f>
        <v>match</v>
      </c>
      <c r="L224" s="1410" t="str">
        <f>CONCATENATE(IF(ISNUMBER(SEARCH("Placeholder",H224))=TRUE,"&lt;---PM/Planner may hide PLACEHOLDER ROW",""))</f>
        <v/>
      </c>
      <c r="M224" s="1333"/>
      <c r="N224" s="1333"/>
      <c r="O224" s="1333"/>
      <c r="P224" s="1333"/>
      <c r="Q224" s="1333"/>
      <c r="R224" s="1453"/>
      <c r="S224" s="1364"/>
      <c r="T224" s="1404"/>
      <c r="U224" s="1333"/>
      <c r="V224" s="1333"/>
      <c r="W224" s="1333"/>
      <c r="X224" s="1333"/>
      <c r="Y224" s="1333"/>
      <c r="Z224" s="1333"/>
      <c r="AA224" s="1333"/>
      <c r="AB224" s="1333"/>
      <c r="AC224" s="1333"/>
      <c r="AD224" s="1333"/>
      <c r="AE224" s="1333"/>
      <c r="AF224" s="1333"/>
      <c r="AG224" s="1333"/>
      <c r="AH224" s="1333"/>
      <c r="AI224" s="1333"/>
      <c r="AJ224" s="1333"/>
    </row>
    <row r="225" spans="1:49" s="30" customFormat="1" ht="15.75" customHeight="1" x14ac:dyDescent="0.25">
      <c r="A225" s="1517" t="str">
        <f>IF(COUNTIF('04 - 95% CD'!D225:G225,"Y")&gt;0,"Y",IF(COUNTIF('04 - 95% CD'!D225:G225,"N"),"N",""))</f>
        <v>Y</v>
      </c>
      <c r="B225" s="191"/>
      <c r="C225" s="944"/>
      <c r="D225" s="463"/>
      <c r="E225" s="463"/>
      <c r="F225" s="359" t="str">
        <f>IF('C-Design&amp;Const'!$U225="","",'C-Design&amp;Const'!$U225)</f>
        <v>Y</v>
      </c>
      <c r="G225" s="291"/>
      <c r="H225" s="469" t="str">
        <f>CONCATENATE(IF(F225="N","PLACEHOLDER ROW - ",""),'C-Design&amp;Const'!Z225,IF(F225="N","",J225))</f>
        <v>Pavement, Sidewalks, and/or Utility Sections (Record)</v>
      </c>
      <c r="I225" s="184"/>
      <c r="J225" s="578" t="str">
        <f>IF('C-Design&amp;Const'!AK225="","",'C-Design&amp;Const'!AK225)</f>
        <v>(Record)</v>
      </c>
      <c r="K225" s="285" t="str">
        <f t="shared" si="20"/>
        <v>match</v>
      </c>
      <c r="L225" s="1410" t="str">
        <f t="shared" si="21"/>
        <v/>
      </c>
      <c r="M225" s="1382"/>
      <c r="N225" s="1382"/>
      <c r="O225" s="1382"/>
      <c r="P225" s="1382"/>
      <c r="Q225" s="1382"/>
      <c r="R225" s="1382"/>
      <c r="S225" s="1382"/>
      <c r="T225" s="1382"/>
      <c r="U225" s="1382"/>
      <c r="V225" s="1382"/>
      <c r="W225" s="1382"/>
      <c r="X225" s="1382"/>
      <c r="Y225" s="1382"/>
      <c r="Z225" s="1382"/>
      <c r="AA225" s="1382"/>
      <c r="AB225" s="1382"/>
      <c r="AC225" s="1382"/>
      <c r="AD225" s="1382"/>
      <c r="AE225" s="1382"/>
      <c r="AF225" s="1382"/>
      <c r="AG225" s="1382"/>
      <c r="AH225" s="1382"/>
      <c r="AI225" s="1382"/>
      <c r="AJ225" s="1382"/>
      <c r="AK225" s="181"/>
      <c r="AL225" s="181"/>
      <c r="AM225" s="181"/>
      <c r="AN225" s="181"/>
      <c r="AO225" s="181"/>
      <c r="AP225" s="181"/>
      <c r="AQ225" s="181"/>
      <c r="AR225" s="181"/>
      <c r="AS225" s="181"/>
      <c r="AT225" s="181"/>
      <c r="AU225" s="181"/>
      <c r="AV225" s="181"/>
      <c r="AW225" s="181"/>
    </row>
    <row r="226" spans="1:49" s="30" customFormat="1" ht="15.75" customHeight="1" x14ac:dyDescent="0.25">
      <c r="A226" s="1517" t="str">
        <f>IF(COUNTIF('04 - 95% CD'!D226:G226,"Y")&gt;0,"Y",IF(COUNTIF('04 - 95% CD'!D226:G226,"N"),"N",""))</f>
        <v>Y</v>
      </c>
      <c r="B226" s="191"/>
      <c r="C226" s="944"/>
      <c r="D226" s="463"/>
      <c r="E226" s="463"/>
      <c r="F226" s="359" t="str">
        <f>IF('C-Design&amp;Const'!$U226="","",'C-Design&amp;Const'!$U226)</f>
        <v>Y</v>
      </c>
      <c r="G226" s="291"/>
      <c r="H226" s="469" t="str">
        <f>CONCATENATE(IF(F226="N","PLACEHOLDER ROW - ",""),'C-Design&amp;Const'!Z226,IF(F226="N","",J226))</f>
        <v>Utility Relocations (Record)</v>
      </c>
      <c r="I226" s="184"/>
      <c r="J226" s="578" t="str">
        <f>IF('C-Design&amp;Const'!AK226="","",'C-Design&amp;Const'!AK226)</f>
        <v>(Record)</v>
      </c>
      <c r="K226" s="285" t="str">
        <f t="shared" si="20"/>
        <v>match</v>
      </c>
      <c r="L226" s="1410" t="str">
        <f t="shared" si="21"/>
        <v/>
      </c>
      <c r="M226" s="1382"/>
      <c r="N226" s="1382"/>
      <c r="O226" s="1382"/>
      <c r="P226" s="1382"/>
      <c r="Q226" s="1382"/>
      <c r="R226" s="1382"/>
      <c r="S226" s="1382"/>
      <c r="T226" s="1382"/>
      <c r="U226" s="1382"/>
      <c r="V226" s="1382"/>
      <c r="W226" s="1382"/>
      <c r="X226" s="1382"/>
      <c r="Y226" s="1382"/>
      <c r="Z226" s="1382"/>
      <c r="AA226" s="1382"/>
      <c r="AB226" s="1382"/>
      <c r="AC226" s="1382"/>
      <c r="AD226" s="1382"/>
      <c r="AE226" s="1382"/>
      <c r="AF226" s="1382"/>
      <c r="AG226" s="1382"/>
      <c r="AH226" s="1382"/>
      <c r="AI226" s="1382"/>
      <c r="AJ226" s="1382"/>
      <c r="AK226" s="181"/>
      <c r="AL226" s="181"/>
      <c r="AM226" s="181"/>
      <c r="AN226" s="181"/>
      <c r="AO226" s="181"/>
      <c r="AP226" s="181"/>
      <c r="AQ226" s="181"/>
      <c r="AR226" s="181"/>
      <c r="AS226" s="181"/>
      <c r="AT226" s="181"/>
      <c r="AU226" s="181"/>
      <c r="AV226" s="181"/>
      <c r="AW226" s="181"/>
    </row>
    <row r="227" spans="1:49" s="17" customFormat="1" x14ac:dyDescent="0.25">
      <c r="A227" s="1517" t="str">
        <f>IF(COUNTIF('04 - 95% CD'!D227:G227,"Y")&gt;0,"Y",IF(COUNTIF('04 - 95% CD'!D227:G227,"N"),"N",""))</f>
        <v>Y</v>
      </c>
      <c r="B227" s="141"/>
      <c r="C227" s="944"/>
      <c r="D227" s="411"/>
      <c r="E227" s="321"/>
      <c r="F227" s="559" t="str">
        <f>IF('C-Design&amp;Const'!$U227="","",'C-Design&amp;Const'!$U227)</f>
        <v>Y</v>
      </c>
      <c r="G227" s="485"/>
      <c r="H227" s="469" t="str">
        <f>CONCATENATE(IF(F227="N","PLACEHOLDER ROW - ",""),'C-Design&amp;Const'!Z227,IF(F227="N","",J227))</f>
        <v>Utility Site Plan and Details (Record)</v>
      </c>
      <c r="I227" s="137"/>
      <c r="J227" s="578" t="str">
        <f>IF('C-Design&amp;Const'!AK227="","",'C-Design&amp;Const'!AK227)</f>
        <v>(Record)</v>
      </c>
      <c r="K227" s="285" t="str">
        <f t="shared" si="20"/>
        <v>match</v>
      </c>
      <c r="L227" s="1410" t="str">
        <f t="shared" si="21"/>
        <v/>
      </c>
      <c r="M227" s="1333"/>
      <c r="N227" s="1333"/>
      <c r="O227" s="1333"/>
      <c r="P227" s="1333"/>
      <c r="Q227" s="1333"/>
      <c r="R227" s="1453"/>
      <c r="S227" s="1364"/>
      <c r="T227" s="1404"/>
      <c r="U227" s="1333"/>
      <c r="V227" s="1333"/>
      <c r="W227" s="1333"/>
      <c r="X227" s="1333"/>
      <c r="Y227" s="1333"/>
      <c r="Z227" s="1333"/>
      <c r="AA227" s="1333"/>
      <c r="AB227" s="1333"/>
      <c r="AC227" s="1333"/>
      <c r="AD227" s="1333"/>
      <c r="AE227" s="1333"/>
      <c r="AF227" s="1333"/>
      <c r="AG227" s="1333"/>
      <c r="AH227" s="1333"/>
      <c r="AI227" s="1333"/>
      <c r="AJ227" s="1333"/>
    </row>
    <row r="228" spans="1:49" s="17" customFormat="1" x14ac:dyDescent="0.25">
      <c r="A228" s="1517"/>
      <c r="B228" s="141"/>
      <c r="C228" s="944"/>
      <c r="D228" s="411"/>
      <c r="E228" s="321"/>
      <c r="F228" s="559" t="str">
        <f>IF('C-Design&amp;Const'!$U228="","",'C-Design&amp;Const'!$U228)</f>
        <v>Y</v>
      </c>
      <c r="G228" s="558"/>
      <c r="H228" s="469" t="str">
        <f>CONCATENATE(IF(F228="N","PLACEHOLDER ROW - ",""),'C-Design&amp;Const'!Z228,IF(F228="N","",J228))</f>
        <v>Traffic Control Plans - Vehicular &amp; Pedestrian (Record)</v>
      </c>
      <c r="I228" s="137"/>
      <c r="J228" s="578" t="str">
        <f>IF('C-Design&amp;Const'!AK228="","",'C-Design&amp;Const'!AK228)</f>
        <v>(Record)</v>
      </c>
      <c r="K228" s="285" t="str">
        <f t="shared" ref="K228" si="26">IF((COUNTIF(D228:G228,"Y")=COUNTIF(A228,"Y")),"match","no 95% match")</f>
        <v>no 95% match</v>
      </c>
      <c r="L228" s="1410" t="str">
        <f t="shared" ref="L228" si="27">CONCATENATE(IF(ISNUMBER(SEARCH("Placeholder",H228))=TRUE,"&lt;---PM/Planner may hide PLACEHOLDER ROW",""))</f>
        <v/>
      </c>
      <c r="M228" s="1333"/>
      <c r="N228" s="1333"/>
      <c r="O228" s="1333"/>
      <c r="P228" s="1333"/>
      <c r="Q228" s="1333"/>
      <c r="R228" s="1453"/>
      <c r="S228" s="1364"/>
      <c r="T228" s="1404"/>
      <c r="U228" s="1333"/>
      <c r="V228" s="1333"/>
      <c r="W228" s="1333"/>
      <c r="X228" s="1333"/>
      <c r="Y228" s="1333"/>
      <c r="Z228" s="1333"/>
      <c r="AA228" s="1333"/>
      <c r="AB228" s="1333"/>
      <c r="AC228" s="1333"/>
      <c r="AD228" s="1333"/>
      <c r="AE228" s="1333"/>
      <c r="AF228" s="1333"/>
      <c r="AG228" s="1333"/>
      <c r="AH228" s="1333"/>
      <c r="AI228" s="1333"/>
      <c r="AJ228" s="1333"/>
    </row>
    <row r="229" spans="1:49" s="30" customFormat="1" ht="15.75" customHeight="1" x14ac:dyDescent="0.25">
      <c r="A229" s="1517" t="str">
        <f>IF(COUNTIF('04 - 95% CD'!D229:G229,"Y")&gt;0,"Y",IF(COUNTIF('04 - 95% CD'!D229:G229,"N"),"N",""))</f>
        <v>Y</v>
      </c>
      <c r="B229" s="191"/>
      <c r="C229" s="944"/>
      <c r="D229" s="463"/>
      <c r="E229" s="463"/>
      <c r="F229" s="359" t="str">
        <f>IF('C-Design&amp;Const'!$U229="","",'C-Design&amp;Const'!$U229)</f>
        <v>Y</v>
      </c>
      <c r="G229" s="291"/>
      <c r="H229" s="469" t="str">
        <f>CONCATENATE(IF(F229="N","PLACEHOLDER ROW - ",""),'C-Design&amp;Const'!Z229,IF(F229="N","",J229))</f>
        <v>Construction Layout/Laydown Plan with tree protection(Record)</v>
      </c>
      <c r="I229" s="184"/>
      <c r="J229" s="578" t="str">
        <f>IF('C-Design&amp;Const'!AK229="","",'C-Design&amp;Const'!AK229)</f>
        <v>(Record)</v>
      </c>
      <c r="K229" s="285" t="str">
        <f t="shared" si="20"/>
        <v>match</v>
      </c>
      <c r="L229" s="1410" t="str">
        <f t="shared" si="21"/>
        <v/>
      </c>
      <c r="M229" s="1382"/>
      <c r="N229" s="1382"/>
      <c r="O229" s="1382"/>
      <c r="P229" s="1382"/>
      <c r="Q229" s="1382"/>
      <c r="R229" s="1382"/>
      <c r="S229" s="1382"/>
      <c r="T229" s="1382"/>
      <c r="U229" s="1382"/>
      <c r="V229" s="1382"/>
      <c r="W229" s="1382"/>
      <c r="X229" s="1382"/>
      <c r="Y229" s="1382"/>
      <c r="Z229" s="1382"/>
      <c r="AA229" s="1382"/>
      <c r="AB229" s="1382"/>
      <c r="AC229" s="1382"/>
      <c r="AD229" s="1382"/>
      <c r="AE229" s="1382"/>
      <c r="AF229" s="1382"/>
      <c r="AG229" s="1382"/>
      <c r="AH229" s="1382"/>
      <c r="AI229" s="1382"/>
      <c r="AJ229" s="1382"/>
      <c r="AK229" s="181"/>
      <c r="AL229" s="181"/>
      <c r="AM229" s="181"/>
      <c r="AN229" s="181"/>
      <c r="AO229" s="181"/>
      <c r="AP229" s="181"/>
      <c r="AQ229" s="181"/>
      <c r="AR229" s="181"/>
      <c r="AS229" s="181"/>
      <c r="AT229" s="181"/>
      <c r="AU229" s="181"/>
      <c r="AV229" s="181"/>
      <c r="AW229" s="181"/>
    </row>
    <row r="230" spans="1:49" s="17" customFormat="1" x14ac:dyDescent="0.25">
      <c r="A230" s="1517" t="str">
        <f>IF(COUNTIF('04 - 95% CD'!D230:G230,"Y")&gt;0,"Y",IF(COUNTIF('04 - 95% CD'!D230:G230,"N"),"N",""))</f>
        <v>Y</v>
      </c>
      <c r="B230" s="141"/>
      <c r="C230" s="944"/>
      <c r="D230" s="411"/>
      <c r="E230" s="321"/>
      <c r="F230" s="559" t="str">
        <f>IF('C-Design&amp;Const'!$U230="","",'C-Design&amp;Const'!$U230)</f>
        <v>Y</v>
      </c>
      <c r="G230" s="485"/>
      <c r="H230" s="469" t="str">
        <f>CONCATENATE(IF(F230="N","PLACEHOLDER ROW - ",""),'C-Design&amp;Const'!Z230,IF(F230="N","",J230))</f>
        <v>Landscape Plan (Record)</v>
      </c>
      <c r="I230" s="137"/>
      <c r="J230" s="578" t="str">
        <f>IF('C-Design&amp;Const'!AK230="","",'C-Design&amp;Const'!AK230)</f>
        <v>(Record)</v>
      </c>
      <c r="K230" s="285" t="str">
        <f t="shared" si="20"/>
        <v>match</v>
      </c>
      <c r="L230" s="1410" t="str">
        <f t="shared" si="21"/>
        <v/>
      </c>
      <c r="M230" s="1333"/>
      <c r="N230" s="1333"/>
      <c r="O230" s="1333"/>
      <c r="P230" s="1333"/>
      <c r="Q230" s="1333"/>
      <c r="R230" s="1453"/>
      <c r="S230" s="1364"/>
      <c r="T230" s="1404"/>
      <c r="U230" s="1333"/>
      <c r="V230" s="1333"/>
      <c r="W230" s="1333"/>
      <c r="X230" s="1333"/>
      <c r="Y230" s="1333"/>
      <c r="Z230" s="1333"/>
      <c r="AA230" s="1333"/>
      <c r="AB230" s="1333"/>
      <c r="AC230" s="1333"/>
      <c r="AD230" s="1333"/>
      <c r="AE230" s="1333"/>
      <c r="AF230" s="1333"/>
      <c r="AG230" s="1333"/>
      <c r="AH230" s="1333"/>
      <c r="AI230" s="1333"/>
      <c r="AJ230" s="1333"/>
    </row>
    <row r="231" spans="1:49" s="17" customFormat="1" x14ac:dyDescent="0.25">
      <c r="A231" s="1510" t="str">
        <f>IF(COUNTIF('04 - 95% CD'!D231:G231,"Y")&gt;0,"Y",IF(COUNTIF('04 - 95% CD'!D231:G231,"N"),"N",""))</f>
        <v>Y</v>
      </c>
      <c r="B231" s="141"/>
      <c r="C231" s="944"/>
      <c r="D231" s="411"/>
      <c r="E231" s="559" t="str">
        <f>IF('C-Design&amp;Const'!$U231="","",'C-Design&amp;Const'!$U231)</f>
        <v>Y</v>
      </c>
      <c r="F231" s="478"/>
      <c r="G231" s="485"/>
      <c r="H231" s="244" t="str">
        <f>CONCATENATE(IF(F231="N","PLACEHOLDER ROW - ",""),'C-Design&amp;Const'!Z231,IF(F231="N","",J231))</f>
        <v>Architectural Drawings(Record)</v>
      </c>
      <c r="I231" s="146"/>
      <c r="J231" s="578" t="str">
        <f>IF('C-Design&amp;Const'!AK231="","",'C-Design&amp;Const'!AK231)</f>
        <v>(Record)</v>
      </c>
      <c r="K231" s="285" t="str">
        <f t="shared" si="20"/>
        <v>match</v>
      </c>
      <c r="L231" s="1410" t="str">
        <f t="shared" si="21"/>
        <v/>
      </c>
      <c r="M231" s="1333"/>
      <c r="N231" s="1333"/>
      <c r="O231" s="1333"/>
      <c r="P231" s="1333"/>
      <c r="Q231" s="1333"/>
      <c r="R231" s="1284"/>
      <c r="S231" s="1513"/>
      <c r="T231" s="1404"/>
      <c r="U231" s="1333"/>
      <c r="V231" s="1333"/>
      <c r="W231" s="1333"/>
      <c r="X231" s="1333"/>
      <c r="Y231" s="1333"/>
      <c r="Z231" s="1333"/>
      <c r="AA231" s="1333"/>
      <c r="AB231" s="1333"/>
      <c r="AC231" s="1333"/>
      <c r="AD231" s="1333"/>
      <c r="AE231" s="1333"/>
      <c r="AF231" s="1333"/>
      <c r="AG231" s="1333"/>
      <c r="AH231" s="1333"/>
      <c r="AI231" s="1333"/>
      <c r="AJ231" s="1333"/>
    </row>
    <row r="232" spans="1:49" s="30" customFormat="1" ht="15.75" customHeight="1" x14ac:dyDescent="0.25">
      <c r="A232" s="1517" t="str">
        <f>IF(COUNTIF('04 - 95% CD'!D232:G232,"Y")&gt;0,"Y",IF(COUNTIF('04 - 95% CD'!D232:G232,"N"),"N",""))</f>
        <v/>
      </c>
      <c r="B232" s="191"/>
      <c r="C232" s="944"/>
      <c r="D232" s="463"/>
      <c r="E232" s="463"/>
      <c r="F232" s="359" t="str">
        <f>IF('C-Design&amp;Const'!$U232="","",'C-Design&amp;Const'!$U232)</f>
        <v>?</v>
      </c>
      <c r="G232" s="291"/>
      <c r="H232" s="469" t="str">
        <f>CONCATENATE(IF(F232="N","PLACEHOLDER ROW - ",""),'C-Design&amp;Const'!Z232,IF(F232="N","",J232))</f>
        <v>CUSTOM - Architectural  (Record)</v>
      </c>
      <c r="I232" s="184"/>
      <c r="J232" s="578" t="str">
        <f>IF('C-Design&amp;Const'!AK232="","",'C-Design&amp;Const'!AK232)</f>
        <v>(Record)</v>
      </c>
      <c r="K232" s="285" t="str">
        <f t="shared" si="20"/>
        <v>match</v>
      </c>
      <c r="L232" s="1410" t="str">
        <f t="shared" si="21"/>
        <v/>
      </c>
      <c r="M232" s="1382"/>
      <c r="N232" s="1382"/>
      <c r="O232" s="1382"/>
      <c r="P232" s="1382"/>
      <c r="Q232" s="1382"/>
      <c r="R232" s="1382"/>
      <c r="S232" s="1382"/>
      <c r="T232" s="1382"/>
      <c r="U232" s="1382"/>
      <c r="V232" s="1382"/>
      <c r="W232" s="1382"/>
      <c r="X232" s="1382"/>
      <c r="Y232" s="1382"/>
      <c r="Z232" s="1382"/>
      <c r="AA232" s="1382"/>
      <c r="AB232" s="1382"/>
      <c r="AC232" s="1382"/>
      <c r="AD232" s="1382"/>
      <c r="AE232" s="1382"/>
      <c r="AF232" s="1382"/>
      <c r="AG232" s="1382"/>
      <c r="AH232" s="1382"/>
      <c r="AI232" s="1382"/>
      <c r="AJ232" s="1382"/>
      <c r="AK232" s="181"/>
      <c r="AL232" s="181"/>
      <c r="AM232" s="181"/>
      <c r="AN232" s="181"/>
      <c r="AO232" s="181"/>
      <c r="AP232" s="181"/>
      <c r="AQ232" s="181"/>
      <c r="AR232" s="181"/>
      <c r="AS232" s="181"/>
      <c r="AT232" s="181"/>
      <c r="AU232" s="181"/>
      <c r="AV232" s="181"/>
      <c r="AW232" s="181"/>
    </row>
    <row r="233" spans="1:49" s="30" customFormat="1" ht="15.75" customHeight="1" x14ac:dyDescent="0.25">
      <c r="A233" s="1517" t="str">
        <f>IF(COUNTIF('04 - 95% CD'!D233:G233,"Y")&gt;0,"Y",IF(COUNTIF('04 - 95% CD'!D233:G233,"N"),"N",""))</f>
        <v/>
      </c>
      <c r="B233" s="191"/>
      <c r="C233" s="944"/>
      <c r="D233" s="463"/>
      <c r="E233" s="463"/>
      <c r="F233" s="359" t="str">
        <f>IF('C-Design&amp;Const'!$U233="","",'C-Design&amp;Const'!$U233)</f>
        <v>?</v>
      </c>
      <c r="G233" s="291"/>
      <c r="H233" s="469" t="str">
        <f>CONCATENATE(IF(F233="N","PLACEHOLDER ROW - ",""),'C-Design&amp;Const'!Z233,IF(F233="N","",J233))</f>
        <v>CUSTOM - Architectural  (Record)</v>
      </c>
      <c r="I233" s="184"/>
      <c r="J233" s="578" t="str">
        <f>IF('C-Design&amp;Const'!AK233="","",'C-Design&amp;Const'!AK233)</f>
        <v>(Record)</v>
      </c>
      <c r="K233" s="285" t="str">
        <f t="shared" si="20"/>
        <v>match</v>
      </c>
      <c r="L233" s="1410" t="str">
        <f t="shared" si="21"/>
        <v/>
      </c>
      <c r="M233" s="1382"/>
      <c r="N233" s="1382"/>
      <c r="O233" s="1382"/>
      <c r="P233" s="1382"/>
      <c r="Q233" s="1382"/>
      <c r="R233" s="1382"/>
      <c r="S233" s="1382"/>
      <c r="T233" s="1382"/>
      <c r="U233" s="1382"/>
      <c r="V233" s="1382"/>
      <c r="W233" s="1382"/>
      <c r="X233" s="1382"/>
      <c r="Y233" s="1382"/>
      <c r="Z233" s="1382"/>
      <c r="AA233" s="1382"/>
      <c r="AB233" s="1382"/>
      <c r="AC233" s="1382"/>
      <c r="AD233" s="1382"/>
      <c r="AE233" s="1382"/>
      <c r="AF233" s="1382"/>
      <c r="AG233" s="1382"/>
      <c r="AH233" s="1382"/>
      <c r="AI233" s="1382"/>
      <c r="AJ233" s="1382"/>
      <c r="AK233" s="181"/>
      <c r="AL233" s="181"/>
      <c r="AM233" s="181"/>
      <c r="AN233" s="181"/>
      <c r="AO233" s="181"/>
      <c r="AP233" s="181"/>
      <c r="AQ233" s="181"/>
      <c r="AR233" s="181"/>
      <c r="AS233" s="181"/>
      <c r="AT233" s="181"/>
      <c r="AU233" s="181"/>
      <c r="AV233" s="181"/>
      <c r="AW233" s="181"/>
    </row>
    <row r="234" spans="1:49" s="545" customFormat="1" ht="15.75" customHeight="1" x14ac:dyDescent="0.25">
      <c r="A234" s="1517" t="str">
        <f>IF(COUNTIF('04 - 95% CD'!D234:G234,"Y")&gt;0,"Y",IF(COUNTIF('04 - 95% CD'!D234:G234,"N"),"N",""))</f>
        <v>Y</v>
      </c>
      <c r="B234" s="554"/>
      <c r="C234" s="944"/>
      <c r="D234" s="463"/>
      <c r="E234" s="463"/>
      <c r="F234" s="359" t="str">
        <f>IF('C-Design&amp;Const'!$U234="","",'C-Design&amp;Const'!$U234)</f>
        <v>Y</v>
      </c>
      <c r="G234" s="291"/>
      <c r="H234" s="469" t="str">
        <f>CONCATENATE(IF(F234="N","PLACEHOLDER ROW - ",""),'C-Design&amp;Const'!Z234,IF(F234="N","",J234))</f>
        <v>Architectural Symbols, Abbreviations, and General Notes (Record)</v>
      </c>
      <c r="I234" s="552"/>
      <c r="J234" s="578" t="str">
        <f>IF('C-Design&amp;Const'!AK234="","",'C-Design&amp;Const'!AK234)</f>
        <v>(Record)</v>
      </c>
      <c r="K234" s="285" t="str">
        <f>IF((COUNTIF(D234:G234,"Y")=COUNTIF(A234,"Y")),"match","no 95% match")</f>
        <v>match</v>
      </c>
      <c r="L234" s="1410" t="str">
        <f>CONCATENATE(IF(ISNUMBER(SEARCH("Placeholder",H234))=TRUE,"&lt;---PM/Planner may hide PLACEHOLDER ROW",""))</f>
        <v/>
      </c>
      <c r="M234" s="1382"/>
      <c r="N234" s="1382"/>
      <c r="O234" s="1382"/>
      <c r="P234" s="1382"/>
      <c r="Q234" s="1382"/>
      <c r="R234" s="1382"/>
      <c r="S234" s="1382"/>
      <c r="T234" s="1382"/>
      <c r="U234" s="1382"/>
      <c r="V234" s="1382"/>
      <c r="W234" s="1382"/>
      <c r="X234" s="1382"/>
      <c r="Y234" s="1382"/>
      <c r="Z234" s="1382"/>
      <c r="AA234" s="1382"/>
      <c r="AB234" s="1382"/>
      <c r="AC234" s="1382"/>
      <c r="AD234" s="1382"/>
      <c r="AE234" s="1382"/>
      <c r="AF234" s="1382"/>
      <c r="AG234" s="1382"/>
      <c r="AH234" s="1382"/>
      <c r="AI234" s="1382"/>
      <c r="AJ234" s="1382"/>
      <c r="AK234" s="551"/>
      <c r="AL234" s="551"/>
      <c r="AM234" s="551"/>
      <c r="AN234" s="551"/>
      <c r="AO234" s="551"/>
      <c r="AP234" s="551"/>
      <c r="AQ234" s="551"/>
      <c r="AR234" s="551"/>
      <c r="AS234" s="551"/>
      <c r="AT234" s="551"/>
      <c r="AU234" s="551"/>
      <c r="AV234" s="551"/>
      <c r="AW234" s="551"/>
    </row>
    <row r="235" spans="1:49" s="30" customFormat="1" ht="15.75" customHeight="1" x14ac:dyDescent="0.25">
      <c r="A235" s="1517" t="str">
        <f>IF(COUNTIF('04 - 95% CD'!D235:G235,"Y")&gt;0,"Y",IF(COUNTIF('04 - 95% CD'!D235:G235,"N"),"N",""))</f>
        <v>N</v>
      </c>
      <c r="B235" s="191"/>
      <c r="C235" s="944"/>
      <c r="D235" s="463"/>
      <c r="E235" s="463"/>
      <c r="F235" s="359" t="str">
        <f>IF('C-Design&amp;Const'!$U235="","",'C-Design&amp;Const'!$U235)</f>
        <v>N</v>
      </c>
      <c r="G235" s="291"/>
      <c r="H235" s="469" t="str">
        <f>CONCATENATE(IF(F235="N","PLACEHOLDER ROW - ",""),'C-Design&amp;Const'!Z235,IF(F235="N","",J235))</f>
        <v xml:space="preserve">PLACEHOLDER ROW - Renderings </v>
      </c>
      <c r="I235" s="184"/>
      <c r="J235" s="578" t="str">
        <f>IF('C-Design&amp;Const'!AK235="","",'C-Design&amp;Const'!AK235)</f>
        <v>(Record)</v>
      </c>
      <c r="K235" s="285" t="str">
        <f t="shared" si="20"/>
        <v>match</v>
      </c>
      <c r="L235" s="1410" t="str">
        <f t="shared" si="21"/>
        <v>&lt;---PM/Planner may hide PLACEHOLDER ROW</v>
      </c>
      <c r="M235" s="1382"/>
      <c r="N235" s="1382"/>
      <c r="O235" s="1382"/>
      <c r="P235" s="1382"/>
      <c r="Q235" s="1382"/>
      <c r="R235" s="1382"/>
      <c r="S235" s="1382"/>
      <c r="T235" s="1382"/>
      <c r="U235" s="1382"/>
      <c r="V235" s="1382"/>
      <c r="W235" s="1382"/>
      <c r="X235" s="1382"/>
      <c r="Y235" s="1382"/>
      <c r="Z235" s="1382"/>
      <c r="AA235" s="1382"/>
      <c r="AB235" s="1382"/>
      <c r="AC235" s="1382"/>
      <c r="AD235" s="1382"/>
      <c r="AE235" s="1382"/>
      <c r="AF235" s="1382"/>
      <c r="AG235" s="1382"/>
      <c r="AH235" s="1382"/>
      <c r="AI235" s="1382"/>
      <c r="AJ235" s="1382"/>
      <c r="AK235" s="181"/>
      <c r="AL235" s="181"/>
      <c r="AM235" s="181"/>
      <c r="AN235" s="181"/>
      <c r="AO235" s="181"/>
      <c r="AP235" s="181"/>
      <c r="AQ235" s="181"/>
      <c r="AR235" s="181"/>
      <c r="AS235" s="181"/>
      <c r="AT235" s="181"/>
      <c r="AU235" s="181"/>
      <c r="AV235" s="181"/>
      <c r="AW235" s="181"/>
    </row>
    <row r="236" spans="1:49" s="545" customFormat="1" ht="15.75" customHeight="1" x14ac:dyDescent="0.25">
      <c r="A236" s="1517" t="str">
        <f>IF(COUNTIF('04 - 95% CD'!D236:G236,"Y")&gt;0,"Y",IF(COUNTIF('04 - 95% CD'!D236:G236,"N"),"N",""))</f>
        <v>Y</v>
      </c>
      <c r="B236" s="554"/>
      <c r="C236" s="944"/>
      <c r="D236" s="463"/>
      <c r="E236" s="463"/>
      <c r="F236" s="359" t="str">
        <f>IF('C-Design&amp;Const'!$U236="","",'C-Design&amp;Const'!$U236)</f>
        <v>Y</v>
      </c>
      <c r="G236" s="291"/>
      <c r="H236" s="469" t="str">
        <f>CONCATENATE(IF(F236="N","PLACEHOLDER ROW - ",""),'C-Design&amp;Const'!Z236,IF(F236="N","",J236))</f>
        <v>Demolition(s) (Record)</v>
      </c>
      <c r="I236" s="552"/>
      <c r="J236" s="578" t="str">
        <f>IF('C-Design&amp;Const'!AK236="","",'C-Design&amp;Const'!AK236)</f>
        <v>(Record)</v>
      </c>
      <c r="K236" s="285" t="str">
        <f>IF((COUNTIF(D236:G236,"Y")=COUNTIF(A236,"Y")),"match","no 95% match")</f>
        <v>match</v>
      </c>
      <c r="L236" s="1410" t="str">
        <f>CONCATENATE(IF(ISNUMBER(SEARCH("Placeholder",H236))=TRUE,"&lt;---PM/Planner may hide PLACEHOLDER ROW",""))</f>
        <v/>
      </c>
      <c r="M236" s="1382"/>
      <c r="N236" s="1382"/>
      <c r="O236" s="1382"/>
      <c r="P236" s="1382"/>
      <c r="Q236" s="1382"/>
      <c r="R236" s="1382"/>
      <c r="S236" s="1382"/>
      <c r="T236" s="1382"/>
      <c r="U236" s="1382"/>
      <c r="V236" s="1382"/>
      <c r="W236" s="1382"/>
      <c r="X236" s="1382"/>
      <c r="Y236" s="1382"/>
      <c r="Z236" s="1382"/>
      <c r="AA236" s="1382"/>
      <c r="AB236" s="1382"/>
      <c r="AC236" s="1382"/>
      <c r="AD236" s="1382"/>
      <c r="AE236" s="1382"/>
      <c r="AF236" s="1382"/>
      <c r="AG236" s="1382"/>
      <c r="AH236" s="1382"/>
      <c r="AI236" s="1382"/>
      <c r="AJ236" s="1382"/>
      <c r="AK236" s="551"/>
      <c r="AL236" s="551"/>
      <c r="AM236" s="551"/>
      <c r="AN236" s="551"/>
      <c r="AO236" s="551"/>
      <c r="AP236" s="551"/>
      <c r="AQ236" s="551"/>
      <c r="AR236" s="551"/>
      <c r="AS236" s="551"/>
      <c r="AT236" s="551"/>
      <c r="AU236" s="551"/>
      <c r="AV236" s="551"/>
      <c r="AW236" s="551"/>
    </row>
    <row r="237" spans="1:49" s="17" customFormat="1" x14ac:dyDescent="0.25">
      <c r="A237" s="1517" t="str">
        <f>IF(COUNTIF('04 - 95% CD'!D237:G237,"Y")&gt;0,"Y",IF(COUNTIF('04 - 95% CD'!D237:G237,"N"),"N",""))</f>
        <v>Y</v>
      </c>
      <c r="B237" s="141"/>
      <c r="C237" s="944"/>
      <c r="D237" s="411"/>
      <c r="E237" s="321"/>
      <c r="F237" s="559" t="str">
        <f>IF('C-Design&amp;Const'!$U237="","",'C-Design&amp;Const'!$U237)</f>
        <v>Y</v>
      </c>
      <c r="G237" s="485"/>
      <c r="H237" s="469" t="str">
        <f>CONCATENATE(IF(F237="N","PLACEHOLDER ROW - ",""),'C-Design&amp;Const'!Z237,IF(F237="N","",J237))</f>
        <v>Floor Plans - Large Scale (Record)</v>
      </c>
      <c r="I237" s="151"/>
      <c r="J237" s="578" t="str">
        <f>IF('C-Design&amp;Const'!AK237="","",'C-Design&amp;Const'!AK237)</f>
        <v>(Record)</v>
      </c>
      <c r="K237" s="285" t="str">
        <f>IF((COUNTIF(D237:G237,"Y")=COUNTIF(A237,"Y")),"match","no 95% match")</f>
        <v>match</v>
      </c>
      <c r="L237" s="1410" t="str">
        <f>CONCATENATE(IF(ISNUMBER(SEARCH("Placeholder",H237))=TRUE,"&lt;---PM/Planner may hide PLACEHOLDER ROW",""))</f>
        <v/>
      </c>
      <c r="M237" s="1333"/>
      <c r="N237" s="1333"/>
      <c r="O237" s="1333"/>
      <c r="P237" s="1333"/>
      <c r="Q237" s="1333"/>
      <c r="R237" s="1453"/>
      <c r="S237" s="1364"/>
      <c r="T237" s="1404"/>
      <c r="U237" s="1333"/>
      <c r="V237" s="1333"/>
      <c r="W237" s="1333"/>
      <c r="X237" s="1333"/>
      <c r="Y237" s="1333"/>
      <c r="Z237" s="1333"/>
      <c r="AA237" s="1333"/>
      <c r="AB237" s="1333"/>
      <c r="AC237" s="1333"/>
      <c r="AD237" s="1333"/>
      <c r="AE237" s="1333"/>
      <c r="AF237" s="1333"/>
      <c r="AG237" s="1333"/>
      <c r="AH237" s="1333"/>
      <c r="AI237" s="1333"/>
      <c r="AJ237" s="1333"/>
    </row>
    <row r="238" spans="1:49" s="17" customFormat="1" x14ac:dyDescent="0.25">
      <c r="A238" s="1517" t="str">
        <f>IF(COUNTIF('04 - 95% CD'!D238:G238,"Y")&gt;0,"Y",IF(COUNTIF('04 - 95% CD'!D238:G238,"N"),"N",""))</f>
        <v>Y</v>
      </c>
      <c r="B238" s="141"/>
      <c r="C238" s="944"/>
      <c r="D238" s="411"/>
      <c r="E238" s="321"/>
      <c r="F238" s="559" t="str">
        <f>IF('C-Design&amp;Const'!$U238="","",'C-Design&amp;Const'!$U238)</f>
        <v>Y</v>
      </c>
      <c r="G238" s="485"/>
      <c r="H238" s="469" t="str">
        <f>CONCATENATE(IF(F238="N","PLACEHOLDER ROW - ",""),'C-Design&amp;Const'!Z238,IF(F238="N","",J238))</f>
        <v>Floor Plans (Record)</v>
      </c>
      <c r="I238" s="151"/>
      <c r="J238" s="578" t="str">
        <f>IF('C-Design&amp;Const'!AK238="","",'C-Design&amp;Const'!AK238)</f>
        <v>(Record)</v>
      </c>
      <c r="K238" s="285" t="str">
        <f t="shared" si="20"/>
        <v>match</v>
      </c>
      <c r="L238" s="1410" t="str">
        <f t="shared" si="21"/>
        <v/>
      </c>
      <c r="M238" s="1333"/>
      <c r="N238" s="1333"/>
      <c r="O238" s="1333"/>
      <c r="P238" s="1333"/>
      <c r="Q238" s="1333"/>
      <c r="R238" s="1453"/>
      <c r="S238" s="1364"/>
      <c r="T238" s="1404"/>
      <c r="U238" s="1333"/>
      <c r="V238" s="1333"/>
      <c r="W238" s="1333"/>
      <c r="X238" s="1333"/>
      <c r="Y238" s="1333"/>
      <c r="Z238" s="1333"/>
      <c r="AA238" s="1333"/>
      <c r="AB238" s="1333"/>
      <c r="AC238" s="1333"/>
      <c r="AD238" s="1333"/>
      <c r="AE238" s="1333"/>
      <c r="AF238" s="1333"/>
      <c r="AG238" s="1333"/>
      <c r="AH238" s="1333"/>
      <c r="AI238" s="1333"/>
      <c r="AJ238" s="1333"/>
    </row>
    <row r="239" spans="1:49" s="17" customFormat="1" x14ac:dyDescent="0.25">
      <c r="A239" s="1517" t="str">
        <f>IF(COUNTIF('04 - 95% CD'!D239:G239,"Y")&gt;0,"Y",IF(COUNTIF('04 - 95% CD'!D239:G239,"N"),"N",""))</f>
        <v>Y</v>
      </c>
      <c r="B239" s="141"/>
      <c r="C239" s="944"/>
      <c r="D239" s="411"/>
      <c r="E239" s="321"/>
      <c r="F239" s="559" t="str">
        <f>IF('C-Design&amp;Const'!$U239="","",'C-Design&amp;Const'!$U239)</f>
        <v>Y</v>
      </c>
      <c r="G239" s="485"/>
      <c r="H239" s="469" t="str">
        <f>CONCATENATE(IF(F239="N","PLACEHOLDER ROW - ",""),'C-Design&amp;Const'!Z239,IF(F239="N","",J239))</f>
        <v>Roof Plan (Record)</v>
      </c>
      <c r="I239" s="151"/>
      <c r="J239" s="578" t="str">
        <f>IF('C-Design&amp;Const'!AK239="","",'C-Design&amp;Const'!AK239)</f>
        <v>(Record)</v>
      </c>
      <c r="K239" s="285" t="str">
        <f t="shared" si="20"/>
        <v>match</v>
      </c>
      <c r="L239" s="1410" t="str">
        <f t="shared" si="21"/>
        <v/>
      </c>
      <c r="M239" s="1333"/>
      <c r="N239" s="1333"/>
      <c r="O239" s="1333"/>
      <c r="P239" s="1333"/>
      <c r="Q239" s="1333"/>
      <c r="R239" s="1453"/>
      <c r="S239" s="1364"/>
      <c r="T239" s="1404"/>
      <c r="U239" s="1333"/>
      <c r="V239" s="1333"/>
      <c r="W239" s="1333"/>
      <c r="X239" s="1333"/>
      <c r="Y239" s="1333"/>
      <c r="Z239" s="1333"/>
      <c r="AA239" s="1333"/>
      <c r="AB239" s="1333"/>
      <c r="AC239" s="1333"/>
      <c r="AD239" s="1333"/>
      <c r="AE239" s="1333"/>
      <c r="AF239" s="1333"/>
      <c r="AG239" s="1333"/>
      <c r="AH239" s="1333"/>
      <c r="AI239" s="1333"/>
      <c r="AJ239" s="1333"/>
    </row>
    <row r="240" spans="1:49" s="17" customFormat="1" x14ac:dyDescent="0.25">
      <c r="A240" s="1517" t="str">
        <f>IF(COUNTIF('04 - 95% CD'!D240:G240,"Y")&gt;0,"Y",IF(COUNTIF('04 - 95% CD'!D240:G240,"N"),"N",""))</f>
        <v>Y</v>
      </c>
      <c r="B240" s="141"/>
      <c r="C240" s="944"/>
      <c r="D240" s="411"/>
      <c r="E240" s="321"/>
      <c r="F240" s="559" t="str">
        <f>IF('C-Design&amp;Const'!$U240="","",'C-Design&amp;Const'!$U240)</f>
        <v>Y</v>
      </c>
      <c r="G240" s="485"/>
      <c r="H240" s="469" t="str">
        <f>CONCATENATE(IF(F240="N","PLACEHOLDER ROW - ",""),'C-Design&amp;Const'!Z240,IF(F240="N","",J240))</f>
        <v>Building Elevations - Exterior (Record)</v>
      </c>
      <c r="I240" s="151"/>
      <c r="J240" s="578" t="str">
        <f>IF('C-Design&amp;Const'!AK240="","",'C-Design&amp;Const'!AK240)</f>
        <v>(Record)</v>
      </c>
      <c r="K240" s="285" t="str">
        <f t="shared" si="20"/>
        <v>match</v>
      </c>
      <c r="L240" s="1410" t="str">
        <f t="shared" si="21"/>
        <v/>
      </c>
      <c r="M240" s="1333"/>
      <c r="N240" s="1333"/>
      <c r="O240" s="1333"/>
      <c r="P240" s="1333"/>
      <c r="Q240" s="1333"/>
      <c r="R240" s="1453"/>
      <c r="S240" s="1364"/>
      <c r="T240" s="1404"/>
      <c r="U240" s="1333"/>
      <c r="V240" s="1333"/>
      <c r="W240" s="1333"/>
      <c r="X240" s="1333"/>
      <c r="Y240" s="1333"/>
      <c r="Z240" s="1333"/>
      <c r="AA240" s="1333"/>
      <c r="AB240" s="1333"/>
      <c r="AC240" s="1333"/>
      <c r="AD240" s="1333"/>
      <c r="AE240" s="1333"/>
      <c r="AF240" s="1333"/>
      <c r="AG240" s="1333"/>
      <c r="AH240" s="1333"/>
      <c r="AI240" s="1333"/>
      <c r="AJ240" s="1333"/>
    </row>
    <row r="241" spans="1:49" s="17" customFormat="1" x14ac:dyDescent="0.25">
      <c r="A241" s="1517" t="str">
        <f>IF(COUNTIF('04 - 95% CD'!D241:G241,"Y")&gt;0,"Y",IF(COUNTIF('04 - 95% CD'!D241:G241,"N"),"N",""))</f>
        <v>Y</v>
      </c>
      <c r="B241" s="141"/>
      <c r="C241" s="944"/>
      <c r="D241" s="411"/>
      <c r="E241" s="321"/>
      <c r="F241" s="559" t="str">
        <f>IF('C-Design&amp;Const'!$U241="","",'C-Design&amp;Const'!$U241)</f>
        <v>Y</v>
      </c>
      <c r="G241" s="485"/>
      <c r="H241" s="469" t="str">
        <f>CONCATENATE(IF(F241="N","PLACEHOLDER ROW - ",""),'C-Design&amp;Const'!Z241,IF(F241="N","",J241))</f>
        <v>Transverse and Longitudinal Sections (Record)</v>
      </c>
      <c r="I241" s="151"/>
      <c r="J241" s="578" t="str">
        <f>IF('C-Design&amp;Const'!AK241="","",'C-Design&amp;Const'!AK241)</f>
        <v>(Record)</v>
      </c>
      <c r="K241" s="285" t="str">
        <f t="shared" si="20"/>
        <v>match</v>
      </c>
      <c r="L241" s="1410" t="str">
        <f t="shared" si="21"/>
        <v/>
      </c>
      <c r="M241" s="1333"/>
      <c r="N241" s="1333"/>
      <c r="O241" s="1333"/>
      <c r="P241" s="1333"/>
      <c r="Q241" s="1333"/>
      <c r="R241" s="1453"/>
      <c r="S241" s="1364"/>
      <c r="T241" s="1404"/>
      <c r="U241" s="1333"/>
      <c r="V241" s="1333"/>
      <c r="W241" s="1333"/>
      <c r="X241" s="1333"/>
      <c r="Y241" s="1333"/>
      <c r="Z241" s="1333"/>
      <c r="AA241" s="1333"/>
      <c r="AB241" s="1333"/>
      <c r="AC241" s="1333"/>
      <c r="AD241" s="1333"/>
      <c r="AE241" s="1333"/>
      <c r="AF241" s="1333"/>
      <c r="AG241" s="1333"/>
      <c r="AH241" s="1333"/>
      <c r="AI241" s="1333"/>
      <c r="AJ241" s="1333"/>
    </row>
    <row r="242" spans="1:49" s="17" customFormat="1" x14ac:dyDescent="0.25">
      <c r="A242" s="1517" t="str">
        <f>IF(COUNTIF('04 - 95% CD'!D242:G242,"Y")&gt;0,"Y",IF(COUNTIF('04 - 95% CD'!D242:G242,"N"),"N",""))</f>
        <v>Y</v>
      </c>
      <c r="B242" s="141"/>
      <c r="C242" s="944"/>
      <c r="D242" s="411"/>
      <c r="E242" s="321"/>
      <c r="F242" s="559" t="str">
        <f>IF('C-Design&amp;Const'!$U242="","",'C-Design&amp;Const'!$U242)</f>
        <v>Y</v>
      </c>
      <c r="G242" s="485"/>
      <c r="H242" s="469" t="str">
        <f>CONCATENATE(IF(F242="N","PLACEHOLDER ROW - ",""),'C-Design&amp;Const'!Z242,IF(F242="N","",J242))</f>
        <v>Wall Sections - All Major Exterior (Record)</v>
      </c>
      <c r="I242" s="151"/>
      <c r="J242" s="578" t="str">
        <f>IF('C-Design&amp;Const'!AK242="","",'C-Design&amp;Const'!AK242)</f>
        <v>(Record)</v>
      </c>
      <c r="K242" s="285" t="str">
        <f t="shared" si="20"/>
        <v>match</v>
      </c>
      <c r="L242" s="1410" t="str">
        <f t="shared" si="21"/>
        <v/>
      </c>
      <c r="M242" s="1333"/>
      <c r="N242" s="1333"/>
      <c r="O242" s="1333"/>
      <c r="P242" s="1333"/>
      <c r="Q242" s="1333"/>
      <c r="R242" s="1453"/>
      <c r="S242" s="1364"/>
      <c r="T242" s="1404"/>
      <c r="U242" s="1333"/>
      <c r="V242" s="1333"/>
      <c r="W242" s="1333"/>
      <c r="X242" s="1333"/>
      <c r="Y242" s="1333"/>
      <c r="Z242" s="1333"/>
      <c r="AA242" s="1333"/>
      <c r="AB242" s="1333"/>
      <c r="AC242" s="1333"/>
      <c r="AD242" s="1333"/>
      <c r="AE242" s="1333"/>
      <c r="AF242" s="1333"/>
      <c r="AG242" s="1333"/>
      <c r="AH242" s="1333"/>
      <c r="AI242" s="1333"/>
      <c r="AJ242" s="1333"/>
    </row>
    <row r="243" spans="1:49" s="30" customFormat="1" ht="15.75" customHeight="1" x14ac:dyDescent="0.25">
      <c r="A243" s="1517" t="str">
        <f>IF(COUNTIF('04 - 95% CD'!D243:G243,"Y")&gt;0,"Y",IF(COUNTIF('04 - 95% CD'!D243:G243,"N"),"N",""))</f>
        <v>Y</v>
      </c>
      <c r="B243" s="191"/>
      <c r="C243" s="944"/>
      <c r="D243" s="463"/>
      <c r="E243" s="463"/>
      <c r="F243" s="359" t="str">
        <f>IF('C-Design&amp;Const'!$U243="","",'C-Design&amp;Const'!$U243)</f>
        <v>Y</v>
      </c>
      <c r="G243" s="291"/>
      <c r="H243" s="469" t="str">
        <f>CONCATENATE(IF(F243="N","PLACEHOLDER ROW - ",""),'C-Design&amp;Const'!Z243,IF(F243="N","",J243))</f>
        <v>Partial Sections and Details (Record)</v>
      </c>
      <c r="I243" s="184"/>
      <c r="J243" s="578" t="str">
        <f>IF('C-Design&amp;Const'!AK243="","",'C-Design&amp;Const'!AK243)</f>
        <v>(Record)</v>
      </c>
      <c r="K243" s="285" t="str">
        <f t="shared" si="20"/>
        <v>match</v>
      </c>
      <c r="L243" s="1410" t="str">
        <f t="shared" si="21"/>
        <v/>
      </c>
      <c r="M243" s="1382"/>
      <c r="N243" s="1382"/>
      <c r="O243" s="1382"/>
      <c r="P243" s="1382"/>
      <c r="Q243" s="1382"/>
      <c r="R243" s="1382"/>
      <c r="S243" s="1382"/>
      <c r="T243" s="1382"/>
      <c r="U243" s="1382"/>
      <c r="V243" s="1382"/>
      <c r="W243" s="1382"/>
      <c r="X243" s="1382"/>
      <c r="Y243" s="1382"/>
      <c r="Z243" s="1382"/>
      <c r="AA243" s="1382"/>
      <c r="AB243" s="1382"/>
      <c r="AC243" s="1382"/>
      <c r="AD243" s="1382"/>
      <c r="AE243" s="1382"/>
      <c r="AF243" s="1382"/>
      <c r="AG243" s="1382"/>
      <c r="AH243" s="1382"/>
      <c r="AI243" s="1382"/>
      <c r="AJ243" s="1382"/>
      <c r="AK243" s="181"/>
      <c r="AL243" s="181"/>
      <c r="AM243" s="181"/>
      <c r="AN243" s="181"/>
      <c r="AO243" s="181"/>
      <c r="AP243" s="181"/>
      <c r="AQ243" s="181"/>
      <c r="AR243" s="181"/>
      <c r="AS243" s="181"/>
      <c r="AT243" s="181"/>
      <c r="AU243" s="181"/>
      <c r="AV243" s="181"/>
      <c r="AW243" s="181"/>
    </row>
    <row r="244" spans="1:49" s="30" customFormat="1" ht="15.75" customHeight="1" x14ac:dyDescent="0.25">
      <c r="A244" s="1517" t="str">
        <f>IF(COUNTIF('04 - 95% CD'!D244:G244,"Y")&gt;0,"Y",IF(COUNTIF('04 - 95% CD'!D244:G244,"N"),"N",""))</f>
        <v>Y</v>
      </c>
      <c r="B244" s="191"/>
      <c r="C244" s="944"/>
      <c r="D244" s="463"/>
      <c r="E244" s="463"/>
      <c r="F244" s="359" t="str">
        <f>IF('C-Design&amp;Const'!$U244="","",'C-Design&amp;Const'!$U244)</f>
        <v>Y</v>
      </c>
      <c r="G244" s="291"/>
      <c r="H244" s="469" t="str">
        <f>CONCATENATE(IF(F244="N","PLACEHOLDER ROW - ",""),'C-Design&amp;Const'!Z244,IF(F244="N","",J244))</f>
        <v>Wall / Window Details (Record)</v>
      </c>
      <c r="I244" s="184"/>
      <c r="J244" s="578" t="str">
        <f>IF('C-Design&amp;Const'!AK244="","",'C-Design&amp;Const'!AK244)</f>
        <v>(Record)</v>
      </c>
      <c r="K244" s="285" t="str">
        <f t="shared" si="20"/>
        <v>match</v>
      </c>
      <c r="L244" s="1410" t="str">
        <f t="shared" si="21"/>
        <v/>
      </c>
      <c r="M244" s="1382"/>
      <c r="N244" s="1382"/>
      <c r="O244" s="1382"/>
      <c r="P244" s="1382"/>
      <c r="Q244" s="1382"/>
      <c r="R244" s="1382"/>
      <c r="S244" s="1382"/>
      <c r="T244" s="1382"/>
      <c r="U244" s="1382"/>
      <c r="V244" s="1382"/>
      <c r="W244" s="1382"/>
      <c r="X244" s="1382"/>
      <c r="Y244" s="1382"/>
      <c r="Z244" s="1382"/>
      <c r="AA244" s="1382"/>
      <c r="AB244" s="1382"/>
      <c r="AC244" s="1382"/>
      <c r="AD244" s="1382"/>
      <c r="AE244" s="1382"/>
      <c r="AF244" s="1382"/>
      <c r="AG244" s="1382"/>
      <c r="AH244" s="1382"/>
      <c r="AI244" s="1382"/>
      <c r="AJ244" s="1382"/>
      <c r="AK244" s="181"/>
      <c r="AL244" s="181"/>
      <c r="AM244" s="181"/>
      <c r="AN244" s="181"/>
      <c r="AO244" s="181"/>
      <c r="AP244" s="181"/>
      <c r="AQ244" s="181"/>
      <c r="AR244" s="181"/>
      <c r="AS244" s="181"/>
      <c r="AT244" s="181"/>
      <c r="AU244" s="181"/>
      <c r="AV244" s="181"/>
      <c r="AW244" s="181"/>
    </row>
    <row r="245" spans="1:49" s="30" customFormat="1" ht="15.75" customHeight="1" x14ac:dyDescent="0.25">
      <c r="A245" s="1517" t="str">
        <f>IF(COUNTIF('04 - 95% CD'!D245:G245,"Y")&gt;0,"Y",IF(COUNTIF('04 - 95% CD'!D245:G245,"N"),"N",""))</f>
        <v>Y</v>
      </c>
      <c r="B245" s="191"/>
      <c r="C245" s="944"/>
      <c r="D245" s="463"/>
      <c r="E245" s="463"/>
      <c r="F245" s="359" t="str">
        <f>IF('C-Design&amp;Const'!$U245="","",'C-Design&amp;Const'!$U245)</f>
        <v>Y</v>
      </c>
      <c r="G245" s="291"/>
      <c r="H245" s="469" t="str">
        <f>CONCATENATE(IF(F245="N","PLACEHOLDER ROW - ",""),'C-Design&amp;Const'!Z245,IF(F245="N","",J245))</f>
        <v>Sections through Elevators (Record)</v>
      </c>
      <c r="I245" s="184"/>
      <c r="J245" s="578" t="str">
        <f>IF('C-Design&amp;Const'!AK245="","",'C-Design&amp;Const'!AK245)</f>
        <v>(Record)</v>
      </c>
      <c r="K245" s="285" t="str">
        <f t="shared" si="20"/>
        <v>match</v>
      </c>
      <c r="L245" s="1410" t="str">
        <f t="shared" si="21"/>
        <v/>
      </c>
      <c r="M245" s="1382"/>
      <c r="N245" s="1382"/>
      <c r="O245" s="1382"/>
      <c r="P245" s="1382"/>
      <c r="Q245" s="1382"/>
      <c r="R245" s="1382"/>
      <c r="S245" s="1382"/>
      <c r="T245" s="1382"/>
      <c r="U245" s="1382"/>
      <c r="V245" s="1382"/>
      <c r="W245" s="1382"/>
      <c r="X245" s="1382"/>
      <c r="Y245" s="1382"/>
      <c r="Z245" s="1382"/>
      <c r="AA245" s="1382"/>
      <c r="AB245" s="1382"/>
      <c r="AC245" s="1382"/>
      <c r="AD245" s="1382"/>
      <c r="AE245" s="1382"/>
      <c r="AF245" s="1382"/>
      <c r="AG245" s="1382"/>
      <c r="AH245" s="1382"/>
      <c r="AI245" s="1382"/>
      <c r="AJ245" s="1382"/>
      <c r="AK245" s="181"/>
      <c r="AL245" s="181"/>
      <c r="AM245" s="181"/>
      <c r="AN245" s="181"/>
      <c r="AO245" s="181"/>
      <c r="AP245" s="181"/>
      <c r="AQ245" s="181"/>
      <c r="AR245" s="181"/>
      <c r="AS245" s="181"/>
      <c r="AT245" s="181"/>
      <c r="AU245" s="181"/>
      <c r="AV245" s="181"/>
      <c r="AW245" s="181"/>
    </row>
    <row r="246" spans="1:49" s="17" customFormat="1" x14ac:dyDescent="0.25">
      <c r="A246" s="1517" t="str">
        <f>IF(COUNTIF('04 - 95% CD'!D246:G246,"Y")&gt;0,"Y",IF(COUNTIF('04 - 95% CD'!D246:G246,"N"),"N",""))</f>
        <v>Y</v>
      </c>
      <c r="B246" s="141"/>
      <c r="C246" s="944"/>
      <c r="D246" s="411"/>
      <c r="E246" s="321"/>
      <c r="F246" s="559" t="str">
        <f>IF('C-Design&amp;Const'!$U246="","",'C-Design&amp;Const'!$U246)</f>
        <v>Y</v>
      </c>
      <c r="G246" s="485"/>
      <c r="H246" s="469" t="str">
        <f>CONCATENATE(IF(F246="N","PLACEHOLDER ROW - ",""),'C-Design&amp;Const'!Z246,IF(F246="N","",J246))</f>
        <v>Exterior Wall and Roof Details (Record)</v>
      </c>
      <c r="I246" s="151"/>
      <c r="J246" s="578" t="str">
        <f>IF('C-Design&amp;Const'!AK246="","",'C-Design&amp;Const'!AK246)</f>
        <v>(Record)</v>
      </c>
      <c r="K246" s="285" t="str">
        <f t="shared" si="20"/>
        <v>match</v>
      </c>
      <c r="L246" s="1410" t="str">
        <f t="shared" si="21"/>
        <v/>
      </c>
      <c r="M246" s="1333"/>
      <c r="N246" s="1333"/>
      <c r="O246" s="1333"/>
      <c r="P246" s="1333"/>
      <c r="Q246" s="1333"/>
      <c r="R246" s="1453"/>
      <c r="S246" s="1364"/>
      <c r="T246" s="1404"/>
      <c r="U246" s="1333"/>
      <c r="V246" s="1333"/>
      <c r="W246" s="1333"/>
      <c r="X246" s="1333"/>
      <c r="Y246" s="1333"/>
      <c r="Z246" s="1333"/>
      <c r="AA246" s="1333"/>
      <c r="AB246" s="1333"/>
      <c r="AC246" s="1333"/>
      <c r="AD246" s="1333"/>
      <c r="AE246" s="1333"/>
      <c r="AF246" s="1333"/>
      <c r="AG246" s="1333"/>
      <c r="AH246" s="1333"/>
      <c r="AI246" s="1333"/>
      <c r="AJ246" s="1333"/>
    </row>
    <row r="247" spans="1:49" s="17" customFormat="1" x14ac:dyDescent="0.25">
      <c r="A247" s="1517" t="str">
        <f>IF(COUNTIF('04 - 95% CD'!D247:G247,"Y")&gt;0,"Y",IF(COUNTIF('04 - 95% CD'!D247:G247,"N"),"N",""))</f>
        <v>Y</v>
      </c>
      <c r="B247" s="141"/>
      <c r="C247" s="944"/>
      <c r="D247" s="411"/>
      <c r="E247" s="321"/>
      <c r="F247" s="559" t="str">
        <f>IF('C-Design&amp;Const'!$U247="","",'C-Design&amp;Const'!$U247)</f>
        <v>Y</v>
      </c>
      <c r="G247" s="485"/>
      <c r="H247" s="469" t="str">
        <f>CONCATENATE(IF(F247="N","PLACEHOLDER ROW - ",""),'C-Design&amp;Const'!Z247,IF(F247="N","",J247))</f>
        <v>Reflected Ceiling Plan (Record)</v>
      </c>
      <c r="I247" s="151"/>
      <c r="J247" s="578" t="str">
        <f>IF('C-Design&amp;Const'!AK247="","",'C-Design&amp;Const'!AK247)</f>
        <v>(Record)</v>
      </c>
      <c r="K247" s="285" t="str">
        <f t="shared" si="20"/>
        <v>match</v>
      </c>
      <c r="L247" s="1410" t="str">
        <f t="shared" si="21"/>
        <v/>
      </c>
      <c r="M247" s="1333"/>
      <c r="N247" s="1333"/>
      <c r="O247" s="1333"/>
      <c r="P247" s="1333"/>
      <c r="Q247" s="1333"/>
      <c r="R247" s="1453"/>
      <c r="S247" s="1364"/>
      <c r="T247" s="1404"/>
      <c r="U247" s="1333"/>
      <c r="V247" s="1333"/>
      <c r="W247" s="1333"/>
      <c r="X247" s="1333"/>
      <c r="Y247" s="1333"/>
      <c r="Z247" s="1333"/>
      <c r="AA247" s="1333"/>
      <c r="AB247" s="1333"/>
      <c r="AC247" s="1333"/>
      <c r="AD247" s="1333"/>
      <c r="AE247" s="1333"/>
      <c r="AF247" s="1333"/>
      <c r="AG247" s="1333"/>
      <c r="AH247" s="1333"/>
      <c r="AI247" s="1333"/>
      <c r="AJ247" s="1333"/>
    </row>
    <row r="248" spans="1:49" s="17" customFormat="1" x14ac:dyDescent="0.25">
      <c r="A248" s="1517" t="str">
        <f>IF(COUNTIF('04 - 95% CD'!D248:G248,"Y")&gt;0,"Y",IF(COUNTIF('04 - 95% CD'!D248:G248,"N"),"N",""))</f>
        <v>Y</v>
      </c>
      <c r="B248" s="141"/>
      <c r="C248" s="944"/>
      <c r="D248" s="411"/>
      <c r="E248" s="321"/>
      <c r="F248" s="559" t="str">
        <f>IF('C-Design&amp;Const'!$U248="","",'C-Design&amp;Const'!$U248)</f>
        <v>Y</v>
      </c>
      <c r="G248" s="485"/>
      <c r="H248" s="469" t="str">
        <f>CONCATENATE(IF(F248="N","PLACEHOLDER ROW - ",""),'C-Design&amp;Const'!Z248,IF(F248="N","",J248))</f>
        <v>Interior Elevations and Details(Record)</v>
      </c>
      <c r="I248" s="151"/>
      <c r="J248" s="578" t="str">
        <f>IF('C-Design&amp;Const'!AK248="","",'C-Design&amp;Const'!AK248)</f>
        <v>(Record)</v>
      </c>
      <c r="K248" s="285" t="str">
        <f t="shared" si="20"/>
        <v>match</v>
      </c>
      <c r="L248" s="1410" t="str">
        <f t="shared" si="21"/>
        <v/>
      </c>
      <c r="M248" s="1333"/>
      <c r="N248" s="1333"/>
      <c r="O248" s="1333"/>
      <c r="P248" s="1333"/>
      <c r="Q248" s="1333"/>
      <c r="R248" s="1453"/>
      <c r="S248" s="1364"/>
      <c r="T248" s="1404"/>
      <c r="U248" s="1333"/>
      <c r="V248" s="1333"/>
      <c r="W248" s="1333"/>
      <c r="X248" s="1333"/>
      <c r="Y248" s="1333"/>
      <c r="Z248" s="1333"/>
      <c r="AA248" s="1333"/>
      <c r="AB248" s="1333"/>
      <c r="AC248" s="1333"/>
      <c r="AD248" s="1333"/>
      <c r="AE248" s="1333"/>
      <c r="AF248" s="1333"/>
      <c r="AG248" s="1333"/>
      <c r="AH248" s="1333"/>
      <c r="AI248" s="1333"/>
      <c r="AJ248" s="1333"/>
    </row>
    <row r="249" spans="1:49" x14ac:dyDescent="0.25">
      <c r="A249" s="1520" t="str">
        <f>IF(COUNTIF('04 - 95% CD'!D249:G249,"Y")&gt;0,"Y",IF(COUNTIF('04 - 95% CD'!D249:G249,"N"),"N",""))</f>
        <v>Y</v>
      </c>
      <c r="B249" s="125"/>
      <c r="C249" s="944"/>
      <c r="D249" s="411"/>
      <c r="E249" s="321"/>
      <c r="F249" s="559" t="str">
        <f>IF('C-Design&amp;Const'!$U249="","",'C-Design&amp;Const'!$U249)</f>
        <v>Y</v>
      </c>
      <c r="G249" s="485"/>
      <c r="H249" s="469" t="str">
        <f>CONCATENATE(IF(F249="N","PLACEHOLDER ROW - ",""),'C-Design&amp;Const'!Z249,IF(F249="N","",J249))</f>
        <v>Door/Hardware; Room Finish; Window; and Equipment Schedules (Record)</v>
      </c>
      <c r="I249" s="151"/>
      <c r="J249" s="578" t="str">
        <f>IF('C-Design&amp;Const'!AK249="","",'C-Design&amp;Const'!AK249)</f>
        <v>(Record)</v>
      </c>
      <c r="K249" s="285" t="str">
        <f t="shared" ref="K249:K326" si="28">IF((COUNTIF(D249:G249,"Y")=COUNTIF(A249,"Y")),"match","no 95% match")</f>
        <v>match</v>
      </c>
      <c r="L249" s="1410" t="str">
        <f t="shared" ref="L249:L326" si="29">CONCATENATE(IF(ISNUMBER(SEARCH("Placeholder",H249))=TRUE,"&lt;---PM/Planner may hide PLACEHOLDER ROW",""))</f>
        <v/>
      </c>
      <c r="M249" s="1333"/>
      <c r="N249" s="1333"/>
      <c r="O249" s="1333"/>
      <c r="P249" s="1333"/>
      <c r="Q249" s="1333"/>
      <c r="R249" s="1453"/>
      <c r="S249" s="1364"/>
      <c r="T249" s="1404"/>
      <c r="U249" s="1333"/>
      <c r="V249" s="1333"/>
      <c r="W249" s="1333"/>
      <c r="X249" s="1333"/>
      <c r="Y249" s="1333"/>
      <c r="Z249" s="1333"/>
      <c r="AA249" s="1333"/>
      <c r="AB249" s="1333"/>
      <c r="AC249" s="1333"/>
      <c r="AD249" s="1333"/>
      <c r="AE249" s="1333"/>
      <c r="AF249" s="1333"/>
      <c r="AG249" s="1333"/>
      <c r="AH249" s="1333"/>
      <c r="AI249" s="1333"/>
      <c r="AJ249" s="1333"/>
    </row>
    <row r="250" spans="1:49" x14ac:dyDescent="0.25">
      <c r="A250" s="1520" t="str">
        <f>IF(COUNTIF('04 - 95% CD'!D250:G250,"Y")&gt;0,"Y",IF(COUNTIF('04 - 95% CD'!D250:G250,"N"),"N",""))</f>
        <v>Y</v>
      </c>
      <c r="B250" s="125"/>
      <c r="C250" s="944"/>
      <c r="D250" s="411"/>
      <c r="E250" s="321"/>
      <c r="F250" s="559" t="str">
        <f>IF('C-Design&amp;Const'!$U250="","",'C-Design&amp;Const'!$U250)</f>
        <v>Y</v>
      </c>
      <c r="G250" s="485"/>
      <c r="H250" s="469" t="str">
        <f>CONCATENATE(IF(F250="N","PLACEHOLDER ROW - ",""),'C-Design&amp;Const'!Z250,IF(F250="N","",J250))</f>
        <v>Interior Partition Types; Door and Window Details (Record)</v>
      </c>
      <c r="I250" s="151"/>
      <c r="J250" s="578" t="str">
        <f>IF('C-Design&amp;Const'!AK250="","",'C-Design&amp;Const'!AK250)</f>
        <v>(Record)</v>
      </c>
      <c r="K250" s="285" t="str">
        <f t="shared" si="28"/>
        <v>match</v>
      </c>
      <c r="L250" s="1410" t="str">
        <f t="shared" si="29"/>
        <v/>
      </c>
      <c r="M250" s="1333"/>
      <c r="N250" s="1333"/>
      <c r="O250" s="1333"/>
      <c r="P250" s="1333"/>
      <c r="Q250" s="1333"/>
      <c r="R250" s="1453"/>
      <c r="S250" s="1364"/>
      <c r="T250" s="1404"/>
      <c r="U250" s="1333"/>
      <c r="V250" s="1333"/>
      <c r="W250" s="1333"/>
      <c r="X250" s="1333"/>
      <c r="Y250" s="1333"/>
      <c r="Z250" s="1333"/>
      <c r="AA250" s="1333"/>
      <c r="AB250" s="1333"/>
      <c r="AC250" s="1333"/>
      <c r="AD250" s="1333"/>
      <c r="AE250" s="1333"/>
      <c r="AF250" s="1333"/>
      <c r="AG250" s="1333"/>
      <c r="AH250" s="1333"/>
      <c r="AI250" s="1333"/>
      <c r="AJ250" s="1333"/>
    </row>
    <row r="251" spans="1:49" x14ac:dyDescent="0.25">
      <c r="A251" s="1520" t="str">
        <f>IF(COUNTIF('04 - 95% CD'!D251:G251,"Y")&gt;0,"Y",IF(COUNTIF('04 - 95% CD'!D251:G251,"N"),"N",""))</f>
        <v>Y</v>
      </c>
      <c r="B251" s="125"/>
      <c r="C251" s="944"/>
      <c r="D251" s="411"/>
      <c r="E251" s="321"/>
      <c r="F251" s="559" t="str">
        <f>IF('C-Design&amp;Const'!$U251="","",'C-Design&amp;Const'!$U251)</f>
        <v>Y</v>
      </c>
      <c r="G251" s="485"/>
      <c r="H251" s="469" t="str">
        <f>CONCATENATE(IF(F251="N","PLACEHOLDER ROW - ",""),'C-Design&amp;Const'!Z251,IF(F251="N","",J251))</f>
        <v>Interior Signage (Record)</v>
      </c>
      <c r="I251" s="151"/>
      <c r="J251" s="578" t="str">
        <f>IF('C-Design&amp;Const'!AK251="","",'C-Design&amp;Const'!AK251)</f>
        <v>(Record)</v>
      </c>
      <c r="K251" s="285" t="str">
        <f t="shared" si="28"/>
        <v>match</v>
      </c>
      <c r="L251" s="1410" t="str">
        <f t="shared" si="29"/>
        <v/>
      </c>
      <c r="M251" s="1333"/>
      <c r="N251" s="1333"/>
      <c r="O251" s="1333"/>
      <c r="P251" s="1333"/>
      <c r="Q251" s="1333"/>
      <c r="R251" s="1453"/>
      <c r="S251" s="1364"/>
      <c r="T251" s="1404"/>
      <c r="U251" s="1333"/>
      <c r="V251" s="1333"/>
      <c r="W251" s="1333"/>
      <c r="X251" s="1333"/>
      <c r="Y251" s="1333"/>
      <c r="Z251" s="1333"/>
      <c r="AA251" s="1333"/>
      <c r="AB251" s="1333"/>
      <c r="AC251" s="1333"/>
      <c r="AD251" s="1333"/>
      <c r="AE251" s="1333"/>
      <c r="AF251" s="1333"/>
      <c r="AG251" s="1333"/>
      <c r="AH251" s="1333"/>
      <c r="AI251" s="1333"/>
      <c r="AJ251" s="1333"/>
    </row>
    <row r="252" spans="1:49" x14ac:dyDescent="0.25">
      <c r="A252" s="1520" t="str">
        <f>IF(COUNTIF('04 - 95% CD'!D252:G252,"Y")&gt;0,"Y",IF(COUNTIF('04 - 95% CD'!D252:G252,"N"),"N",""))</f>
        <v>Y</v>
      </c>
      <c r="B252" s="125"/>
      <c r="C252" s="944"/>
      <c r="D252" s="411"/>
      <c r="E252" s="321"/>
      <c r="F252" s="559" t="str">
        <f>IF('C-Design&amp;Const'!$U252="","",'C-Design&amp;Const'!$U252)</f>
        <v>Y</v>
      </c>
      <c r="G252" s="485"/>
      <c r="H252" s="469" t="str">
        <f>CONCATENATE(IF(F252="N","PLACEHOLDER ROW - ",""),'C-Design&amp;Const'!Z252,IF(F252="N","",J252))</f>
        <v>Fixed Equipment; Casework; and Millwork (Record)</v>
      </c>
      <c r="I252" s="151"/>
      <c r="J252" s="578" t="str">
        <f>IF('C-Design&amp;Const'!AK252="","",'C-Design&amp;Const'!AK252)</f>
        <v>(Record)</v>
      </c>
      <c r="K252" s="285" t="str">
        <f t="shared" si="28"/>
        <v>match</v>
      </c>
      <c r="L252" s="1410" t="str">
        <f t="shared" si="29"/>
        <v/>
      </c>
      <c r="M252" s="1333"/>
      <c r="N252" s="1333"/>
      <c r="O252" s="1333"/>
      <c r="P252" s="1333"/>
      <c r="Q252" s="1333"/>
      <c r="R252" s="1453"/>
      <c r="S252" s="1364"/>
      <c r="T252" s="1404"/>
      <c r="U252" s="1333"/>
      <c r="V252" s="1333"/>
      <c r="W252" s="1333"/>
      <c r="X252" s="1333"/>
      <c r="Y252" s="1333"/>
      <c r="Z252" s="1333"/>
      <c r="AA252" s="1333"/>
      <c r="AB252" s="1333"/>
      <c r="AC252" s="1333"/>
      <c r="AD252" s="1333"/>
      <c r="AE252" s="1333"/>
      <c r="AF252" s="1333"/>
      <c r="AG252" s="1333"/>
      <c r="AH252" s="1333"/>
      <c r="AI252" s="1333"/>
      <c r="AJ252" s="1333"/>
    </row>
    <row r="253" spans="1:49" x14ac:dyDescent="0.25">
      <c r="A253" s="1520" t="str">
        <f>IF(COUNTIF('04 - 95% CD'!D253:G253,"Y")&gt;0,"Y",IF(COUNTIF('04 - 95% CD'!D253:G253,"N"),"N",""))</f>
        <v>Y</v>
      </c>
      <c r="B253" s="125"/>
      <c r="C253" s="944"/>
      <c r="D253" s="411"/>
      <c r="E253" s="321"/>
      <c r="F253" s="559" t="str">
        <f>IF('C-Design&amp;Const'!$U253="","",'C-Design&amp;Const'!$U253)</f>
        <v>Y</v>
      </c>
      <c r="G253" s="485"/>
      <c r="H253" s="469" t="str">
        <f>CONCATENATE(IF(F253="N","PLACEHOLDER ROW - ",""),'C-Design&amp;Const'!Z253,IF(F253="N","",J253))</f>
        <v>FF&amp;E Plans (Record)</v>
      </c>
      <c r="I253" s="151"/>
      <c r="J253" s="578" t="str">
        <f>IF('C-Design&amp;Const'!AK253="","",'C-Design&amp;Const'!AK253)</f>
        <v>(Record)</v>
      </c>
      <c r="K253" s="285" t="str">
        <f t="shared" si="28"/>
        <v>match</v>
      </c>
      <c r="L253" s="1410" t="str">
        <f t="shared" si="29"/>
        <v/>
      </c>
      <c r="M253" s="1333"/>
      <c r="N253" s="1333"/>
      <c r="O253" s="1333"/>
      <c r="P253" s="1333"/>
      <c r="Q253" s="1333"/>
      <c r="R253" s="1284"/>
      <c r="S253" s="1488"/>
      <c r="T253" s="1404"/>
      <c r="U253" s="1333"/>
      <c r="V253" s="1333"/>
      <c r="W253" s="1333"/>
      <c r="X253" s="1333"/>
      <c r="Y253" s="1333"/>
      <c r="Z253" s="1333"/>
      <c r="AA253" s="1333"/>
      <c r="AB253" s="1333"/>
      <c r="AC253" s="1333"/>
      <c r="AD253" s="1333"/>
      <c r="AE253" s="1333"/>
      <c r="AF253" s="1333"/>
      <c r="AG253" s="1333"/>
      <c r="AH253" s="1333"/>
      <c r="AI253" s="1333"/>
      <c r="AJ253" s="1333"/>
    </row>
    <row r="254" spans="1:49" x14ac:dyDescent="0.25">
      <c r="A254" s="1520" t="str">
        <f>IF(COUNTIF('04 - 95% CD'!D254:G254,"Y")&gt;0,"Y",IF(COUNTIF('04 - 95% CD'!D254:G254,"N"),"N",""))</f>
        <v>N</v>
      </c>
      <c r="B254" s="125"/>
      <c r="C254" s="944"/>
      <c r="D254" s="411"/>
      <c r="E254" s="321"/>
      <c r="F254" s="559" t="str">
        <f>IF('C-Design&amp;Const'!$U254="","",'C-Design&amp;Const'!$U254)</f>
        <v>N</v>
      </c>
      <c r="G254" s="485"/>
      <c r="H254" s="469" t="str">
        <f>CONCATENATE(IF(F254="N","PLACEHOLDER ROW - ",""),'C-Design&amp;Const'!Z254,IF(F254="N","",J254))</f>
        <v xml:space="preserve">PLACEHOLDER ROW - CUSTOM - Architectural  </v>
      </c>
      <c r="I254" s="149"/>
      <c r="J254" s="578" t="str">
        <f>IF('C-Design&amp;Const'!AK254="","",'C-Design&amp;Const'!AK254)</f>
        <v>(Record)</v>
      </c>
      <c r="K254" s="285" t="str">
        <f t="shared" si="28"/>
        <v>match</v>
      </c>
      <c r="L254" s="1410" t="str">
        <f t="shared" si="29"/>
        <v>&lt;---PM/Planner may hide PLACEHOLDER ROW</v>
      </c>
      <c r="M254" s="1333"/>
      <c r="N254" s="1333"/>
      <c r="O254" s="1333"/>
      <c r="P254" s="1333"/>
      <c r="Q254" s="1333"/>
      <c r="R254" s="1453"/>
      <c r="S254" s="1364"/>
      <c r="T254" s="1404"/>
      <c r="U254" s="1333"/>
      <c r="V254" s="1333"/>
      <c r="W254" s="1333"/>
      <c r="X254" s="1333"/>
      <c r="Y254" s="1333"/>
      <c r="Z254" s="1333"/>
      <c r="AA254" s="1333"/>
      <c r="AB254" s="1333"/>
      <c r="AC254" s="1333"/>
      <c r="AD254" s="1333"/>
      <c r="AE254" s="1333"/>
      <c r="AF254" s="1333"/>
      <c r="AG254" s="1333"/>
      <c r="AH254" s="1333"/>
      <c r="AI254" s="1333"/>
      <c r="AJ254" s="1333"/>
    </row>
    <row r="255" spans="1:49" x14ac:dyDescent="0.25">
      <c r="A255" s="1407" t="str">
        <f>IF(COUNTIF('04 - 95% CD'!D255:G255,"Y")&gt;0,"Y",IF(COUNTIF('04 - 95% CD'!D255:G255,"N"),"N",""))</f>
        <v>Y</v>
      </c>
      <c r="B255" s="125"/>
      <c r="C255" s="944"/>
      <c r="D255" s="411"/>
      <c r="E255" s="559" t="str">
        <f>IF('C-Design&amp;Const'!$U255="","",'C-Design&amp;Const'!$U255)</f>
        <v>Y</v>
      </c>
      <c r="F255" s="478"/>
      <c r="G255" s="485"/>
      <c r="H255" s="244" t="str">
        <f>CONCATENATE(IF(F255="N","PLACEHOLDER ROW - ",""),'C-Design&amp;Const'!Z255,IF(F255="N","",J255))</f>
        <v>Structural Drawings(Record)</v>
      </c>
      <c r="I255" s="146"/>
      <c r="J255" s="578" t="str">
        <f>IF('C-Design&amp;Const'!AK255="","",'C-Design&amp;Const'!AK255)</f>
        <v>(Record)</v>
      </c>
      <c r="K255" s="285" t="str">
        <f t="shared" si="28"/>
        <v>match</v>
      </c>
      <c r="L255" s="1410" t="str">
        <f t="shared" si="29"/>
        <v/>
      </c>
      <c r="M255" s="1333"/>
      <c r="N255" s="1333"/>
      <c r="O255" s="1333"/>
      <c r="P255" s="1333"/>
      <c r="Q255" s="1333"/>
      <c r="R255" s="1453"/>
      <c r="S255" s="1364"/>
      <c r="T255" s="1404"/>
      <c r="U255" s="1333"/>
      <c r="V255" s="1333"/>
      <c r="W255" s="1333"/>
      <c r="X255" s="1333"/>
      <c r="Y255" s="1333"/>
      <c r="Z255" s="1333"/>
      <c r="AA255" s="1333"/>
      <c r="AB255" s="1333"/>
      <c r="AC255" s="1333"/>
      <c r="AD255" s="1333"/>
      <c r="AE255" s="1333"/>
      <c r="AF255" s="1333"/>
      <c r="AG255" s="1333"/>
      <c r="AH255" s="1333"/>
      <c r="AI255" s="1333"/>
      <c r="AJ255" s="1333"/>
    </row>
    <row r="256" spans="1:49" s="30" customFormat="1" ht="15.75" customHeight="1" x14ac:dyDescent="0.25">
      <c r="A256" s="1517" t="str">
        <f>IF(COUNTIF('04 - 95% CD'!D256:G256,"Y")&gt;0,"Y",IF(COUNTIF('04 - 95% CD'!D256:G256,"N"),"N",""))</f>
        <v>N</v>
      </c>
      <c r="B256" s="191"/>
      <c r="C256" s="944"/>
      <c r="D256" s="463"/>
      <c r="E256" s="463"/>
      <c r="F256" s="359" t="str">
        <f>IF('C-Design&amp;Const'!$U256="","",'C-Design&amp;Const'!$U256)</f>
        <v>N</v>
      </c>
      <c r="G256" s="291"/>
      <c r="H256" s="469" t="str">
        <f>CONCATENATE(IF(F256="N","PLACEHOLDER ROW - ",""),'C-Design&amp;Const'!Z256,IF(F256="N","",J256))</f>
        <v xml:space="preserve">PLACEHOLDER ROW - CUSTOM - Structural  </v>
      </c>
      <c r="I256" s="184"/>
      <c r="J256" s="578" t="str">
        <f>IF('C-Design&amp;Const'!AK256="","",'C-Design&amp;Const'!AK256)</f>
        <v>(Record)</v>
      </c>
      <c r="K256" s="285" t="str">
        <f t="shared" si="28"/>
        <v>match</v>
      </c>
      <c r="L256" s="1410" t="str">
        <f t="shared" si="29"/>
        <v>&lt;---PM/Planner may hide PLACEHOLDER ROW</v>
      </c>
      <c r="M256" s="1382"/>
      <c r="N256" s="1382"/>
      <c r="O256" s="1382"/>
      <c r="P256" s="1382"/>
      <c r="Q256" s="1382"/>
      <c r="R256" s="1382"/>
      <c r="S256" s="1382"/>
      <c r="T256" s="1382"/>
      <c r="U256" s="1382"/>
      <c r="V256" s="1382"/>
      <c r="W256" s="1382"/>
      <c r="X256" s="1382"/>
      <c r="Y256" s="1382"/>
      <c r="Z256" s="1382"/>
      <c r="AA256" s="1382"/>
      <c r="AB256" s="1382"/>
      <c r="AC256" s="1382"/>
      <c r="AD256" s="1382"/>
      <c r="AE256" s="1382"/>
      <c r="AF256" s="1382"/>
      <c r="AG256" s="1382"/>
      <c r="AH256" s="1382"/>
      <c r="AI256" s="1382"/>
      <c r="AJ256" s="1382"/>
      <c r="AK256" s="181"/>
      <c r="AL256" s="181"/>
      <c r="AM256" s="181"/>
      <c r="AN256" s="181"/>
      <c r="AO256" s="181"/>
      <c r="AP256" s="181"/>
      <c r="AQ256" s="181"/>
      <c r="AR256" s="181"/>
      <c r="AS256" s="181"/>
      <c r="AT256" s="181"/>
      <c r="AU256" s="181"/>
      <c r="AV256" s="181"/>
      <c r="AW256" s="181"/>
    </row>
    <row r="257" spans="1:49" s="30" customFormat="1" ht="15.75" customHeight="1" x14ac:dyDescent="0.25">
      <c r="A257" s="1517" t="str">
        <f>IF(COUNTIF('04 - 95% CD'!D257:G257,"Y")&gt;0,"Y",IF(COUNTIF('04 - 95% CD'!D257:G257,"N"),"N",""))</f>
        <v>N</v>
      </c>
      <c r="B257" s="191"/>
      <c r="C257" s="944"/>
      <c r="D257" s="463"/>
      <c r="E257" s="463"/>
      <c r="F257" s="359" t="str">
        <f>IF('C-Design&amp;Const'!$U257="","",'C-Design&amp;Const'!$U257)</f>
        <v>N</v>
      </c>
      <c r="G257" s="291"/>
      <c r="H257" s="469" t="str">
        <f>CONCATENATE(IF(F257="N","PLACEHOLDER ROW - ",""),'C-Design&amp;Const'!Z257,IF(F257="N","",J257))</f>
        <v xml:space="preserve">PLACEHOLDER ROW - CUSTOM - Structural  </v>
      </c>
      <c r="I257" s="184"/>
      <c r="J257" s="578" t="str">
        <f>IF('C-Design&amp;Const'!AK257="","",'C-Design&amp;Const'!AK257)</f>
        <v>(Record)</v>
      </c>
      <c r="K257" s="285" t="str">
        <f t="shared" si="28"/>
        <v>match</v>
      </c>
      <c r="L257" s="1410" t="str">
        <f t="shared" si="29"/>
        <v>&lt;---PM/Planner may hide PLACEHOLDER ROW</v>
      </c>
      <c r="M257" s="1382"/>
      <c r="N257" s="1382"/>
      <c r="O257" s="1382"/>
      <c r="P257" s="1382"/>
      <c r="Q257" s="1382"/>
      <c r="R257" s="1382"/>
      <c r="S257" s="1382"/>
      <c r="T257" s="1382"/>
      <c r="U257" s="1382"/>
      <c r="V257" s="1382"/>
      <c r="W257" s="1382"/>
      <c r="X257" s="1382"/>
      <c r="Y257" s="1382"/>
      <c r="Z257" s="1382"/>
      <c r="AA257" s="1382"/>
      <c r="AB257" s="1382"/>
      <c r="AC257" s="1382"/>
      <c r="AD257" s="1382"/>
      <c r="AE257" s="1382"/>
      <c r="AF257" s="1382"/>
      <c r="AG257" s="1382"/>
      <c r="AH257" s="1382"/>
      <c r="AI257" s="1382"/>
      <c r="AJ257" s="1382"/>
      <c r="AK257" s="181"/>
      <c r="AL257" s="181"/>
      <c r="AM257" s="181"/>
      <c r="AN257" s="181"/>
      <c r="AO257" s="181"/>
      <c r="AP257" s="181"/>
      <c r="AQ257" s="181"/>
      <c r="AR257" s="181"/>
      <c r="AS257" s="181"/>
      <c r="AT257" s="181"/>
      <c r="AU257" s="181"/>
      <c r="AV257" s="181"/>
      <c r="AW257" s="181"/>
    </row>
    <row r="258" spans="1:49" s="545" customFormat="1" ht="15.75" customHeight="1" x14ac:dyDescent="0.25">
      <c r="A258" s="1517" t="str">
        <f>IF(COUNTIF('04 - 95% CD'!D258:G258,"Y")&gt;0,"Y",IF(COUNTIF('04 - 95% CD'!D258:G258,"N"),"N",""))</f>
        <v>Y</v>
      </c>
      <c r="B258" s="554"/>
      <c r="C258" s="944"/>
      <c r="D258" s="463"/>
      <c r="E258" s="463"/>
      <c r="F258" s="359" t="str">
        <f>IF('C-Design&amp;Const'!$U258="","",'C-Design&amp;Const'!$U258)</f>
        <v>Y</v>
      </c>
      <c r="G258" s="291"/>
      <c r="H258" s="469" t="str">
        <f>CONCATENATE(IF(F258="N","PLACEHOLDER ROW - ",""),'C-Design&amp;Const'!Z258,IF(F258="N","",J258))</f>
        <v>Structural Symbols, Abbreviations, and General Notes (Record)</v>
      </c>
      <c r="I258" s="552"/>
      <c r="J258" s="578" t="str">
        <f>IF('C-Design&amp;Const'!AK258="","",'C-Design&amp;Const'!AK258)</f>
        <v>(Record)</v>
      </c>
      <c r="K258" s="285" t="str">
        <f t="shared" si="28"/>
        <v>match</v>
      </c>
      <c r="L258" s="1410" t="str">
        <f t="shared" si="29"/>
        <v/>
      </c>
      <c r="M258" s="1382"/>
      <c r="N258" s="1382"/>
      <c r="O258" s="1382"/>
      <c r="P258" s="1382"/>
      <c r="Q258" s="1382"/>
      <c r="R258" s="1382"/>
      <c r="S258" s="1382"/>
      <c r="T258" s="1382"/>
      <c r="U258" s="1382"/>
      <c r="V258" s="1382"/>
      <c r="W258" s="1382"/>
      <c r="X258" s="1382"/>
      <c r="Y258" s="1382"/>
      <c r="Z258" s="1382"/>
      <c r="AA258" s="1382"/>
      <c r="AB258" s="1382"/>
      <c r="AC258" s="1382"/>
      <c r="AD258" s="1382"/>
      <c r="AE258" s="1382"/>
      <c r="AF258" s="1382"/>
      <c r="AG258" s="1382"/>
      <c r="AH258" s="1382"/>
      <c r="AI258" s="1382"/>
      <c r="AJ258" s="1382"/>
      <c r="AK258" s="551"/>
      <c r="AL258" s="551"/>
      <c r="AM258" s="551"/>
      <c r="AN258" s="551"/>
      <c r="AO258" s="551"/>
      <c r="AP258" s="551"/>
      <c r="AQ258" s="551"/>
      <c r="AR258" s="551"/>
      <c r="AS258" s="551"/>
      <c r="AT258" s="551"/>
      <c r="AU258" s="551"/>
      <c r="AV258" s="551"/>
      <c r="AW258" s="551"/>
    </row>
    <row r="259" spans="1:49" s="545" customFormat="1" ht="15.75" customHeight="1" x14ac:dyDescent="0.25">
      <c r="A259" s="1517" t="str">
        <f>IF(COUNTIF('04 - 95% CD'!D259:G259,"Y")&gt;0,"Y",IF(COUNTIF('04 - 95% CD'!D259:G259,"N"),"N",""))</f>
        <v>Y</v>
      </c>
      <c r="B259" s="554"/>
      <c r="C259" s="944"/>
      <c r="D259" s="463"/>
      <c r="E259" s="463"/>
      <c r="F259" s="359" t="str">
        <f>IF('C-Design&amp;Const'!$U259="","",'C-Design&amp;Const'!$U259)</f>
        <v>Y</v>
      </c>
      <c r="G259" s="291"/>
      <c r="H259" s="469" t="str">
        <f>CONCATENATE(IF(F259="N","PLACEHOLDER ROW - ",""),'C-Design&amp;Const'!Z259,IF(F259="N","",J259))</f>
        <v>Structural Demolition(s) (Record)</v>
      </c>
      <c r="I259" s="552"/>
      <c r="J259" s="578" t="str">
        <f>IF('C-Design&amp;Const'!AK259="","",'C-Design&amp;Const'!AK259)</f>
        <v>(Record)</v>
      </c>
      <c r="K259" s="285" t="str">
        <f t="shared" si="28"/>
        <v>match</v>
      </c>
      <c r="L259" s="1410" t="str">
        <f t="shared" si="29"/>
        <v/>
      </c>
      <c r="M259" s="1382"/>
      <c r="N259" s="1382"/>
      <c r="O259" s="1382"/>
      <c r="P259" s="1382"/>
      <c r="Q259" s="1382"/>
      <c r="R259" s="1382"/>
      <c r="S259" s="1382"/>
      <c r="T259" s="1382"/>
      <c r="U259" s="1382"/>
      <c r="V259" s="1382"/>
      <c r="W259" s="1382"/>
      <c r="X259" s="1382"/>
      <c r="Y259" s="1382"/>
      <c r="Z259" s="1382"/>
      <c r="AA259" s="1382"/>
      <c r="AB259" s="1382"/>
      <c r="AC259" s="1382"/>
      <c r="AD259" s="1382"/>
      <c r="AE259" s="1382"/>
      <c r="AF259" s="1382"/>
      <c r="AG259" s="1382"/>
      <c r="AH259" s="1382"/>
      <c r="AI259" s="1382"/>
      <c r="AJ259" s="1382"/>
      <c r="AK259" s="551"/>
      <c r="AL259" s="551"/>
      <c r="AM259" s="551"/>
      <c r="AN259" s="551"/>
      <c r="AO259" s="551"/>
      <c r="AP259" s="551"/>
      <c r="AQ259" s="551"/>
      <c r="AR259" s="551"/>
      <c r="AS259" s="551"/>
      <c r="AT259" s="551"/>
      <c r="AU259" s="551"/>
      <c r="AV259" s="551"/>
      <c r="AW259" s="551"/>
    </row>
    <row r="260" spans="1:49" x14ac:dyDescent="0.25">
      <c r="A260" s="1520" t="str">
        <f>IF(COUNTIF('04 - 95% CD'!D260:G260,"Y")&gt;0,"Y",IF(COUNTIF('04 - 95% CD'!D260:G260,"N"),"N",""))</f>
        <v>Y</v>
      </c>
      <c r="B260" s="125"/>
      <c r="C260" s="944"/>
      <c r="D260" s="411"/>
      <c r="E260" s="321"/>
      <c r="F260" s="559" t="str">
        <f>IF('C-Design&amp;Const'!$U260="","",'C-Design&amp;Const'!$U260)</f>
        <v>Y</v>
      </c>
      <c r="G260" s="485"/>
      <c r="H260" s="469" t="str">
        <f>CONCATENATE(IF(F260="N","PLACEHOLDER ROW - ",""),'C-Design&amp;Const'!Z260,IF(F260="N","",J260))</f>
        <v>Foundation Plan (Record)</v>
      </c>
      <c r="I260" s="137"/>
      <c r="J260" s="578" t="str">
        <f>IF('C-Design&amp;Const'!AK260="","",'C-Design&amp;Const'!AK260)</f>
        <v>(Record)</v>
      </c>
      <c r="K260" s="285" t="str">
        <f t="shared" si="28"/>
        <v>match</v>
      </c>
      <c r="L260" s="1410" t="str">
        <f t="shared" si="29"/>
        <v/>
      </c>
      <c r="M260" s="1333"/>
      <c r="N260" s="1333"/>
      <c r="O260" s="1333"/>
      <c r="P260" s="1333"/>
      <c r="Q260" s="1333"/>
      <c r="R260" s="1284"/>
      <c r="S260" s="1513"/>
      <c r="T260" s="1404"/>
      <c r="U260" s="1333"/>
      <c r="V260" s="1333"/>
      <c r="W260" s="1333"/>
      <c r="X260" s="1333"/>
      <c r="Y260" s="1333"/>
      <c r="Z260" s="1333"/>
      <c r="AA260" s="1333"/>
      <c r="AB260" s="1333"/>
      <c r="AC260" s="1333"/>
      <c r="AD260" s="1333"/>
      <c r="AE260" s="1333"/>
      <c r="AF260" s="1333"/>
      <c r="AG260" s="1333"/>
      <c r="AH260" s="1333"/>
      <c r="AI260" s="1333"/>
      <c r="AJ260" s="1333"/>
    </row>
    <row r="261" spans="1:49" s="1" customFormat="1" x14ac:dyDescent="0.25">
      <c r="A261" s="1520" t="str">
        <f>IF(COUNTIF('04 - 95% CD'!D261:G261,"Y")&gt;0,"Y",IF(COUNTIF('04 - 95% CD'!D261:G261,"N"),"N",""))</f>
        <v>Y</v>
      </c>
      <c r="B261" s="67"/>
      <c r="C261" s="944"/>
      <c r="D261" s="411"/>
      <c r="E261" s="321"/>
      <c r="F261" s="559" t="str">
        <f>IF('C-Design&amp;Const'!$U261="","",'C-Design&amp;Const'!$U261)</f>
        <v>Y</v>
      </c>
      <c r="G261" s="485"/>
      <c r="H261" s="469" t="str">
        <f>CONCATENATE(IF(F261="N","PLACEHOLDER ROW - ",""),'C-Design&amp;Const'!Z261,IF(F261="N","",J261))</f>
        <v>Foundation to wall connections (bolted/reinforcing bar dowels) (Record)</v>
      </c>
      <c r="I261" s="137"/>
      <c r="J261" s="578" t="str">
        <f>IF('C-Design&amp;Const'!AK261="","",'C-Design&amp;Const'!AK261)</f>
        <v>(Record)</v>
      </c>
      <c r="K261" s="285" t="str">
        <f t="shared" si="28"/>
        <v>match</v>
      </c>
      <c r="L261" s="1410" t="str">
        <f t="shared" si="29"/>
        <v/>
      </c>
      <c r="M261" s="1333"/>
      <c r="N261" s="1333"/>
      <c r="O261" s="1333"/>
      <c r="P261" s="1333"/>
      <c r="Q261" s="1333"/>
      <c r="R261" s="1284"/>
      <c r="S261" s="1513"/>
      <c r="T261" s="1404"/>
      <c r="U261" s="1333"/>
      <c r="V261" s="1333"/>
      <c r="W261" s="1333"/>
      <c r="X261" s="1333"/>
      <c r="Y261" s="1333"/>
      <c r="Z261" s="1333"/>
      <c r="AA261" s="1333"/>
      <c r="AB261" s="1333"/>
      <c r="AC261" s="1333"/>
      <c r="AD261" s="1333"/>
      <c r="AE261" s="1333"/>
      <c r="AF261" s="1333"/>
      <c r="AG261" s="1333"/>
      <c r="AH261" s="1333"/>
      <c r="AI261" s="1333"/>
      <c r="AJ261" s="1333"/>
      <c r="AK261" s="13"/>
      <c r="AL261" s="13"/>
      <c r="AM261" s="13"/>
      <c r="AN261" s="13"/>
      <c r="AO261" s="13"/>
      <c r="AP261" s="13"/>
      <c r="AQ261" s="13"/>
      <c r="AR261" s="13"/>
      <c r="AS261" s="13"/>
      <c r="AT261" s="13"/>
      <c r="AU261" s="13"/>
      <c r="AV261" s="13"/>
      <c r="AW261" s="13"/>
    </row>
    <row r="262" spans="1:49" s="1" customFormat="1" x14ac:dyDescent="0.25">
      <c r="A262" s="1520" t="str">
        <f>IF(COUNTIF('04 - 95% CD'!D262:G262,"Y")&gt;0,"Y",IF(COUNTIF('04 - 95% CD'!D262:G262,"N"),"N",""))</f>
        <v>Y</v>
      </c>
      <c r="B262" s="67"/>
      <c r="C262" s="944"/>
      <c r="D262" s="411"/>
      <c r="E262" s="321"/>
      <c r="F262" s="559" t="str">
        <f>IF('C-Design&amp;Const'!$U262="","",'C-Design&amp;Const'!$U262)</f>
        <v>Y</v>
      </c>
      <c r="G262" s="485"/>
      <c r="H262" s="469" t="str">
        <f>CONCATENATE(IF(F262="N","PLACEHOLDER ROW - ",""),'C-Design&amp;Const'!Z262,IF(F262="N","",J262))</f>
        <v>Column and Base Plate Schedule (Record)</v>
      </c>
      <c r="I262" s="137"/>
      <c r="J262" s="578" t="str">
        <f>IF('C-Design&amp;Const'!AK262="","",'C-Design&amp;Const'!AK262)</f>
        <v>(Record)</v>
      </c>
      <c r="K262" s="285" t="str">
        <f t="shared" si="28"/>
        <v>match</v>
      </c>
      <c r="L262" s="1410" t="str">
        <f t="shared" si="29"/>
        <v/>
      </c>
      <c r="M262" s="1333"/>
      <c r="N262" s="1333"/>
      <c r="O262" s="1333"/>
      <c r="P262" s="1333"/>
      <c r="Q262" s="1333"/>
      <c r="R262" s="1284"/>
      <c r="S262" s="1513"/>
      <c r="T262" s="1404"/>
      <c r="U262" s="1333"/>
      <c r="V262" s="1333"/>
      <c r="W262" s="1333"/>
      <c r="X262" s="1333"/>
      <c r="Y262" s="1333"/>
      <c r="Z262" s="1333"/>
      <c r="AA262" s="1333"/>
      <c r="AB262" s="1333"/>
      <c r="AC262" s="1333"/>
      <c r="AD262" s="1333"/>
      <c r="AE262" s="1333"/>
      <c r="AF262" s="1333"/>
      <c r="AG262" s="1333"/>
      <c r="AH262" s="1333"/>
      <c r="AI262" s="1333"/>
      <c r="AJ262" s="1333"/>
      <c r="AK262" s="13"/>
      <c r="AL262" s="13"/>
      <c r="AM262" s="13"/>
      <c r="AN262" s="13"/>
      <c r="AO262" s="13"/>
      <c r="AP262" s="13"/>
      <c r="AQ262" s="13"/>
      <c r="AR262" s="13"/>
      <c r="AS262" s="13"/>
      <c r="AT262" s="13"/>
      <c r="AU262" s="13"/>
      <c r="AV262" s="13"/>
      <c r="AW262" s="13"/>
    </row>
    <row r="263" spans="1:49" s="1" customFormat="1" x14ac:dyDescent="0.25">
      <c r="A263" s="1520" t="str">
        <f>IF(COUNTIF('04 - 95% CD'!D263:G263,"Y")&gt;0,"Y",IF(COUNTIF('04 - 95% CD'!D263:G263,"N"),"N",""))</f>
        <v>Y</v>
      </c>
      <c r="B263" s="67"/>
      <c r="C263" s="944"/>
      <c r="D263" s="411"/>
      <c r="E263" s="321"/>
      <c r="F263" s="559" t="str">
        <f>IF('C-Design&amp;Const'!$U263="","",'C-Design&amp;Const'!$U263)</f>
        <v>Y</v>
      </c>
      <c r="G263" s="485"/>
      <c r="H263" s="469" t="str">
        <f>CONCATENATE(IF(F263="N","PLACEHOLDER ROW - ",""),'C-Design&amp;Const'!Z263,IF(F263="N","",J263))</f>
        <v>Foundation Individual Details (Record)</v>
      </c>
      <c r="I263" s="137"/>
      <c r="J263" s="578" t="str">
        <f>IF('C-Design&amp;Const'!AK263="","",'C-Design&amp;Const'!AK263)</f>
        <v>(Record)</v>
      </c>
      <c r="K263" s="285" t="str">
        <f t="shared" si="28"/>
        <v>match</v>
      </c>
      <c r="L263" s="1410" t="str">
        <f t="shared" si="29"/>
        <v/>
      </c>
      <c r="M263" s="1333"/>
      <c r="N263" s="1333"/>
      <c r="O263" s="1333"/>
      <c r="P263" s="1333"/>
      <c r="Q263" s="1333"/>
      <c r="R263" s="1284"/>
      <c r="S263" s="1513"/>
      <c r="T263" s="1404"/>
      <c r="U263" s="1333"/>
      <c r="V263" s="1333"/>
      <c r="W263" s="1333"/>
      <c r="X263" s="1333"/>
      <c r="Y263" s="1333"/>
      <c r="Z263" s="1333"/>
      <c r="AA263" s="1333"/>
      <c r="AB263" s="1333"/>
      <c r="AC263" s="1333"/>
      <c r="AD263" s="1333"/>
      <c r="AE263" s="1333"/>
      <c r="AF263" s="1333"/>
      <c r="AG263" s="1333"/>
      <c r="AH263" s="1333"/>
      <c r="AI263" s="1333"/>
      <c r="AJ263" s="1333"/>
      <c r="AK263" s="13"/>
      <c r="AL263" s="13"/>
      <c r="AM263" s="13"/>
      <c r="AN263" s="13"/>
      <c r="AO263" s="13"/>
      <c r="AP263" s="13"/>
      <c r="AQ263" s="13"/>
      <c r="AR263" s="13"/>
      <c r="AS263" s="13"/>
      <c r="AT263" s="13"/>
      <c r="AU263" s="13"/>
      <c r="AV263" s="13"/>
      <c r="AW263" s="13"/>
    </row>
    <row r="264" spans="1:49" s="1" customFormat="1" x14ac:dyDescent="0.25">
      <c r="A264" s="1520" t="str">
        <f>IF(COUNTIF('04 - 95% CD'!D264:G264,"Y")&gt;0,"Y",IF(COUNTIF('04 - 95% CD'!D264:G264,"N"),"N",""))</f>
        <v>Y</v>
      </c>
      <c r="B264" s="67"/>
      <c r="C264" s="944"/>
      <c r="D264" s="411"/>
      <c r="E264" s="321"/>
      <c r="F264" s="559" t="str">
        <f>IF('C-Design&amp;Const'!$U264="","",'C-Design&amp;Const'!$U264)</f>
        <v>Y</v>
      </c>
      <c r="G264" s="485"/>
      <c r="H264" s="469" t="str">
        <f>CONCATENATE(IF(F264="N","PLACEHOLDER ROW - ",""),'C-Design&amp;Const'!Z264,IF(F264="N","",J264))</f>
        <v>Structural Masonry Wall Plan (Record)</v>
      </c>
      <c r="I264" s="137"/>
      <c r="J264" s="578" t="str">
        <f>IF('C-Design&amp;Const'!AK264="","",'C-Design&amp;Const'!AK264)</f>
        <v>(Record)</v>
      </c>
      <c r="K264" s="285" t="str">
        <f t="shared" si="28"/>
        <v>match</v>
      </c>
      <c r="L264" s="1410" t="str">
        <f t="shared" si="29"/>
        <v/>
      </c>
      <c r="M264" s="1333"/>
      <c r="N264" s="1333"/>
      <c r="O264" s="1333"/>
      <c r="P264" s="1333"/>
      <c r="Q264" s="1333"/>
      <c r="R264" s="1284"/>
      <c r="S264" s="1513"/>
      <c r="T264" s="1404"/>
      <c r="U264" s="1333"/>
      <c r="V264" s="1333"/>
      <c r="W264" s="1333"/>
      <c r="X264" s="1333"/>
      <c r="Y264" s="1333"/>
      <c r="Z264" s="1333"/>
      <c r="AA264" s="1333"/>
      <c r="AB264" s="1333"/>
      <c r="AC264" s="1333"/>
      <c r="AD264" s="1333"/>
      <c r="AE264" s="1333"/>
      <c r="AF264" s="1333"/>
      <c r="AG264" s="1333"/>
      <c r="AH264" s="1333"/>
      <c r="AI264" s="1333"/>
      <c r="AJ264" s="1333"/>
      <c r="AK264" s="13"/>
      <c r="AL264" s="13"/>
      <c r="AM264" s="13"/>
      <c r="AN264" s="13"/>
      <c r="AO264" s="13"/>
      <c r="AP264" s="13"/>
      <c r="AQ264" s="13"/>
      <c r="AR264" s="13"/>
      <c r="AS264" s="13"/>
      <c r="AT264" s="13"/>
      <c r="AU264" s="13"/>
      <c r="AV264" s="13"/>
      <c r="AW264" s="13"/>
    </row>
    <row r="265" spans="1:49" s="1" customFormat="1" x14ac:dyDescent="0.25">
      <c r="A265" s="1520" t="str">
        <f>IF(COUNTIF('04 - 95% CD'!D265:G265,"Y")&gt;0,"Y",IF(COUNTIF('04 - 95% CD'!D265:G265,"N"),"N",""))</f>
        <v>Y</v>
      </c>
      <c r="B265" s="67"/>
      <c r="C265" s="944"/>
      <c r="D265" s="411"/>
      <c r="E265" s="321"/>
      <c r="F265" s="559" t="str">
        <f>IF('C-Design&amp;Const'!$U265="","",'C-Design&amp;Const'!$U265)</f>
        <v>Y</v>
      </c>
      <c r="G265" s="485"/>
      <c r="H265" s="469" t="str">
        <f>CONCATENATE(IF(F265="N","PLACEHOLDER ROW - ",""),'C-Design&amp;Const'!Z265,IF(F265="N","",J265))</f>
        <v>Structural Masonry Details (Record)</v>
      </c>
      <c r="I265" s="137"/>
      <c r="J265" s="578" t="str">
        <f>IF('C-Design&amp;Const'!AK265="","",'C-Design&amp;Const'!AK265)</f>
        <v>(Record)</v>
      </c>
      <c r="K265" s="285" t="str">
        <f t="shared" si="28"/>
        <v>match</v>
      </c>
      <c r="L265" s="1410" t="str">
        <f t="shared" si="29"/>
        <v/>
      </c>
      <c r="M265" s="1333"/>
      <c r="N265" s="1333"/>
      <c r="O265" s="1333"/>
      <c r="P265" s="1333"/>
      <c r="Q265" s="1333"/>
      <c r="R265" s="1284"/>
      <c r="S265" s="1513"/>
      <c r="T265" s="1404"/>
      <c r="U265" s="1333"/>
      <c r="V265" s="1333"/>
      <c r="W265" s="1333"/>
      <c r="X265" s="1333"/>
      <c r="Y265" s="1333"/>
      <c r="Z265" s="1333"/>
      <c r="AA265" s="1333"/>
      <c r="AB265" s="1333"/>
      <c r="AC265" s="1333"/>
      <c r="AD265" s="1333"/>
      <c r="AE265" s="1333"/>
      <c r="AF265" s="1333"/>
      <c r="AG265" s="1333"/>
      <c r="AH265" s="1333"/>
      <c r="AI265" s="1333"/>
      <c r="AJ265" s="1333"/>
      <c r="AK265" s="13"/>
      <c r="AL265" s="13"/>
      <c r="AM265" s="13"/>
      <c r="AN265" s="13"/>
      <c r="AO265" s="13"/>
      <c r="AP265" s="13"/>
      <c r="AQ265" s="13"/>
      <c r="AR265" s="13"/>
      <c r="AS265" s="13"/>
      <c r="AT265" s="13"/>
      <c r="AU265" s="13"/>
      <c r="AV265" s="13"/>
      <c r="AW265" s="13"/>
    </row>
    <row r="266" spans="1:49" s="1" customFormat="1" x14ac:dyDescent="0.25">
      <c r="A266" s="1520" t="str">
        <f>IF(COUNTIF('04 - 95% CD'!D266:G266,"Y")&gt;0,"Y",IF(COUNTIF('04 - 95% CD'!D266:G266,"N"),"N",""))</f>
        <v>Y</v>
      </c>
      <c r="B266" s="67"/>
      <c r="C266" s="944"/>
      <c r="D266" s="411"/>
      <c r="E266" s="321"/>
      <c r="F266" s="559" t="str">
        <f>IF('C-Design&amp;Const'!$U266="","",'C-Design&amp;Const'!$U266)</f>
        <v>Y</v>
      </c>
      <c r="G266" s="485"/>
      <c r="H266" s="469" t="str">
        <f>CONCATENATE(IF(F266="N","PLACEHOLDER ROW - ",""),'C-Design&amp;Const'!Z266,IF(F266="N","",J266))</f>
        <v>Lintel Details (Record)</v>
      </c>
      <c r="I266" s="137"/>
      <c r="J266" s="578" t="str">
        <f>IF('C-Design&amp;Const'!AK266="","",'C-Design&amp;Const'!AK266)</f>
        <v>(Record)</v>
      </c>
      <c r="K266" s="285" t="str">
        <f t="shared" si="28"/>
        <v>match</v>
      </c>
      <c r="L266" s="1410" t="str">
        <f t="shared" si="29"/>
        <v/>
      </c>
      <c r="M266" s="1333"/>
      <c r="N266" s="1333"/>
      <c r="O266" s="1333"/>
      <c r="P266" s="1333"/>
      <c r="Q266" s="1333"/>
      <c r="R266" s="1284"/>
      <c r="S266" s="1513"/>
      <c r="T266" s="1404"/>
      <c r="U266" s="1333"/>
      <c r="V266" s="1333"/>
      <c r="W266" s="1333"/>
      <c r="X266" s="1333"/>
      <c r="Y266" s="1333"/>
      <c r="Z266" s="1333"/>
      <c r="AA266" s="1333"/>
      <c r="AB266" s="1333"/>
      <c r="AC266" s="1333"/>
      <c r="AD266" s="1333"/>
      <c r="AE266" s="1333"/>
      <c r="AF266" s="1333"/>
      <c r="AG266" s="1333"/>
      <c r="AH266" s="1333"/>
      <c r="AI266" s="1333"/>
      <c r="AJ266" s="1333"/>
      <c r="AK266" s="13"/>
      <c r="AL266" s="13"/>
      <c r="AM266" s="13"/>
      <c r="AN266" s="13"/>
      <c r="AO266" s="13"/>
      <c r="AP266" s="13"/>
      <c r="AQ266" s="13"/>
      <c r="AR266" s="13"/>
      <c r="AS266" s="13"/>
      <c r="AT266" s="13"/>
      <c r="AU266" s="13"/>
      <c r="AV266" s="13"/>
      <c r="AW266" s="13"/>
    </row>
    <row r="267" spans="1:49" s="1" customFormat="1" x14ac:dyDescent="0.25">
      <c r="A267" s="1520" t="str">
        <f>IF(COUNTIF('04 - 95% CD'!D267:G267,"Y")&gt;0,"Y",IF(COUNTIF('04 - 95% CD'!D267:G267,"N"),"N",""))</f>
        <v>Y</v>
      </c>
      <c r="B267" s="67"/>
      <c r="C267" s="944"/>
      <c r="D267" s="411"/>
      <c r="E267" s="321"/>
      <c r="F267" s="559" t="str">
        <f>IF('C-Design&amp;Const'!$U267="","",'C-Design&amp;Const'!$U267)</f>
        <v>Y</v>
      </c>
      <c r="G267" s="485"/>
      <c r="H267" s="469" t="str">
        <f>CONCATENATE(IF(F267="N","PLACEHOLDER ROW - ",""),'C-Design&amp;Const'!Z267,IF(F267="N","",J267))</f>
        <v>Lateral Force Resisting System Plan and Details (Record)</v>
      </c>
      <c r="I267" s="137"/>
      <c r="J267" s="578" t="str">
        <f>IF('C-Design&amp;Const'!AK267="","",'C-Design&amp;Const'!AK267)</f>
        <v>(Record)</v>
      </c>
      <c r="K267" s="285" t="str">
        <f t="shared" si="28"/>
        <v>match</v>
      </c>
      <c r="L267" s="1410" t="str">
        <f t="shared" si="29"/>
        <v/>
      </c>
      <c r="M267" s="1333"/>
      <c r="N267" s="1333"/>
      <c r="O267" s="1333"/>
      <c r="P267" s="1333"/>
      <c r="Q267" s="1333"/>
      <c r="R267" s="1284"/>
      <c r="S267" s="1513"/>
      <c r="T267" s="1404"/>
      <c r="U267" s="1333"/>
      <c r="V267" s="1333"/>
      <c r="W267" s="1333"/>
      <c r="X267" s="1333"/>
      <c r="Y267" s="1333"/>
      <c r="Z267" s="1333"/>
      <c r="AA267" s="1333"/>
      <c r="AB267" s="1333"/>
      <c r="AC267" s="1333"/>
      <c r="AD267" s="1333"/>
      <c r="AE267" s="1333"/>
      <c r="AF267" s="1333"/>
      <c r="AG267" s="1333"/>
      <c r="AH267" s="1333"/>
      <c r="AI267" s="1333"/>
      <c r="AJ267" s="1333"/>
      <c r="AK267" s="13"/>
      <c r="AL267" s="13"/>
      <c r="AM267" s="13"/>
      <c r="AN267" s="13"/>
      <c r="AO267" s="13"/>
      <c r="AP267" s="13"/>
      <c r="AQ267" s="13"/>
      <c r="AR267" s="13"/>
      <c r="AS267" s="13"/>
      <c r="AT267" s="13"/>
      <c r="AU267" s="13"/>
      <c r="AV267" s="13"/>
      <c r="AW267" s="13"/>
    </row>
    <row r="268" spans="1:49" x14ac:dyDescent="0.25">
      <c r="A268" s="1520" t="str">
        <f>IF(COUNTIF('04 - 95% CD'!D268:G268,"Y")&gt;0,"Y",IF(COUNTIF('04 - 95% CD'!D268:G268,"N"),"N",""))</f>
        <v>Y</v>
      </c>
      <c r="B268" s="125"/>
      <c r="C268" s="944"/>
      <c r="D268" s="411"/>
      <c r="E268" s="321"/>
      <c r="F268" s="559" t="str">
        <f>IF('C-Design&amp;Const'!$U268="","",'C-Design&amp;Const'!$U268)</f>
        <v>Y</v>
      </c>
      <c r="G268" s="485"/>
      <c r="H268" s="469" t="str">
        <f>CONCATENATE(IF(F268="N","PLACEHOLDER ROW - ",""),'C-Design&amp;Const'!Z268,IF(F268="N","",J268))</f>
        <v>Floor Framing Plans (Record)</v>
      </c>
      <c r="I268" s="137"/>
      <c r="J268" s="578" t="str">
        <f>IF('C-Design&amp;Const'!AK268="","",'C-Design&amp;Const'!AK268)</f>
        <v>(Record)</v>
      </c>
      <c r="K268" s="285" t="str">
        <f t="shared" si="28"/>
        <v>match</v>
      </c>
      <c r="L268" s="1410" t="str">
        <f t="shared" si="29"/>
        <v/>
      </c>
      <c r="M268" s="1333"/>
      <c r="N268" s="1333"/>
      <c r="O268" s="1333"/>
      <c r="P268" s="1333"/>
      <c r="Q268" s="1333"/>
      <c r="R268" s="1453"/>
      <c r="S268" s="1364"/>
      <c r="T268" s="1404"/>
      <c r="U268" s="1333"/>
      <c r="V268" s="1333"/>
      <c r="W268" s="1333"/>
      <c r="X268" s="1333"/>
      <c r="Y268" s="1333"/>
      <c r="Z268" s="1333"/>
      <c r="AA268" s="1333"/>
      <c r="AB268" s="1333"/>
      <c r="AC268" s="1333"/>
      <c r="AD268" s="1333"/>
      <c r="AE268" s="1333"/>
      <c r="AF268" s="1333"/>
      <c r="AG268" s="1333"/>
      <c r="AH268" s="1333"/>
      <c r="AI268" s="1333"/>
      <c r="AJ268" s="1333"/>
    </row>
    <row r="269" spans="1:49" x14ac:dyDescent="0.25">
      <c r="A269" s="1520" t="str">
        <f>IF(COUNTIF('04 - 95% CD'!D269:G269,"Y")&gt;0,"Y",IF(COUNTIF('04 - 95% CD'!D269:G269,"N"),"N",""))</f>
        <v>Y</v>
      </c>
      <c r="B269" s="125"/>
      <c r="C269" s="944"/>
      <c r="D269" s="411"/>
      <c r="E269" s="321"/>
      <c r="F269" s="559" t="str">
        <f>IF('C-Design&amp;Const'!$U269="","",'C-Design&amp;Const'!$U269)</f>
        <v>Y</v>
      </c>
      <c r="G269" s="485"/>
      <c r="H269" s="469" t="str">
        <f>CONCATENATE(IF(F269="N","PLACEHOLDER ROW - ",""),'C-Design&amp;Const'!Z269,IF(F269="N","",J269))</f>
        <v>Roof Framing Details (Record)</v>
      </c>
      <c r="I269" s="137"/>
      <c r="J269" s="578" t="str">
        <f>IF('C-Design&amp;Const'!AK269="","",'C-Design&amp;Const'!AK269)</f>
        <v>(Record)</v>
      </c>
      <c r="K269" s="285" t="str">
        <f t="shared" si="28"/>
        <v>match</v>
      </c>
      <c r="L269" s="1410" t="str">
        <f t="shared" si="29"/>
        <v/>
      </c>
      <c r="M269" s="1333"/>
      <c r="N269" s="1333"/>
      <c r="O269" s="1333"/>
      <c r="P269" s="1333"/>
      <c r="Q269" s="1333"/>
      <c r="R269" s="1453"/>
      <c r="S269" s="1364"/>
      <c r="T269" s="1404"/>
      <c r="U269" s="1333"/>
      <c r="V269" s="1333"/>
      <c r="W269" s="1333"/>
      <c r="X269" s="1333"/>
      <c r="Y269" s="1333"/>
      <c r="Z269" s="1333"/>
      <c r="AA269" s="1333"/>
      <c r="AB269" s="1333"/>
      <c r="AC269" s="1333"/>
      <c r="AD269" s="1333"/>
      <c r="AE269" s="1333"/>
      <c r="AF269" s="1333"/>
      <c r="AG269" s="1333"/>
      <c r="AH269" s="1333"/>
      <c r="AI269" s="1333"/>
      <c r="AJ269" s="1333"/>
    </row>
    <row r="270" spans="1:49" x14ac:dyDescent="0.25">
      <c r="A270" s="1407" t="str">
        <f>IF(COUNTIF('04 - 95% CD'!D270:G270,"Y")&gt;0,"Y",IF(COUNTIF('04 - 95% CD'!D270:G270,"N"),"N",""))</f>
        <v>Y</v>
      </c>
      <c r="B270" s="125"/>
      <c r="C270" s="944"/>
      <c r="D270" s="411"/>
      <c r="E270" s="559" t="str">
        <f>IF('C-Design&amp;Const'!$U270="","",'C-Design&amp;Const'!$U270)</f>
        <v>Y</v>
      </c>
      <c r="F270" s="478"/>
      <c r="G270" s="485"/>
      <c r="H270" s="244" t="str">
        <f>CONCATENATE(IF(F270="N","PLACEHOLDER ROW - ",""),'C-Design&amp;Const'!Z270,IF(F270="N","",J270))</f>
        <v>Plumbing Drawings(Record)</v>
      </c>
      <c r="I270" s="146"/>
      <c r="J270" s="578" t="str">
        <f>IF('C-Design&amp;Const'!AK270="","",'C-Design&amp;Const'!AK270)</f>
        <v>(Record)</v>
      </c>
      <c r="K270" s="285" t="str">
        <f t="shared" si="28"/>
        <v>match</v>
      </c>
      <c r="L270" s="1410" t="str">
        <f t="shared" si="29"/>
        <v/>
      </c>
      <c r="M270" s="1333"/>
      <c r="N270" s="1333"/>
      <c r="O270" s="1333"/>
      <c r="P270" s="1333"/>
      <c r="Q270" s="1333"/>
      <c r="R270" s="1453"/>
      <c r="S270" s="1364"/>
      <c r="T270" s="1404"/>
      <c r="U270" s="1333"/>
      <c r="V270" s="1333"/>
      <c r="W270" s="1333"/>
      <c r="X270" s="1333"/>
      <c r="Y270" s="1333"/>
      <c r="Z270" s="1333"/>
      <c r="AA270" s="1333"/>
      <c r="AB270" s="1333"/>
      <c r="AC270" s="1333"/>
      <c r="AD270" s="1333"/>
      <c r="AE270" s="1333"/>
      <c r="AF270" s="1333"/>
      <c r="AG270" s="1333"/>
      <c r="AH270" s="1333"/>
      <c r="AI270" s="1333"/>
      <c r="AJ270" s="1333"/>
    </row>
    <row r="271" spans="1:49" s="30" customFormat="1" ht="15.75" customHeight="1" x14ac:dyDescent="0.25">
      <c r="A271" s="1517" t="str">
        <f>IF(COUNTIF('04 - 95% CD'!D271:G271,"Y")&gt;0,"Y",IF(COUNTIF('04 - 95% CD'!D271:G271,"N"),"N",""))</f>
        <v>N</v>
      </c>
      <c r="B271" s="191"/>
      <c r="C271" s="944"/>
      <c r="D271" s="463"/>
      <c r="E271" s="463"/>
      <c r="F271" s="359" t="str">
        <f>IF('C-Design&amp;Const'!$U271="","",'C-Design&amp;Const'!$U271)</f>
        <v>N</v>
      </c>
      <c r="G271" s="291"/>
      <c r="H271" s="469" t="str">
        <f>CONCATENATE(IF(F271="N","PLACEHOLDER ROW - ",""),'C-Design&amp;Const'!Z271,IF(F271="N","",J271))</f>
        <v xml:space="preserve">PLACEHOLDER ROW - CUSTOM - Plumbing  </v>
      </c>
      <c r="I271" s="184"/>
      <c r="J271" s="578" t="str">
        <f>IF('C-Design&amp;Const'!AK271="","",'C-Design&amp;Const'!AK271)</f>
        <v>(Record)</v>
      </c>
      <c r="K271" s="285" t="str">
        <f t="shared" si="28"/>
        <v>match</v>
      </c>
      <c r="L271" s="1410" t="str">
        <f t="shared" si="29"/>
        <v>&lt;---PM/Planner may hide PLACEHOLDER ROW</v>
      </c>
      <c r="M271" s="1382"/>
      <c r="N271" s="1382"/>
      <c r="O271" s="1382"/>
      <c r="P271" s="1382"/>
      <c r="Q271" s="1382"/>
      <c r="R271" s="1382"/>
      <c r="S271" s="1382"/>
      <c r="T271" s="1382"/>
      <c r="U271" s="1382"/>
      <c r="V271" s="1382"/>
      <c r="W271" s="1382"/>
      <c r="X271" s="1382"/>
      <c r="Y271" s="1382"/>
      <c r="Z271" s="1382"/>
      <c r="AA271" s="1382"/>
      <c r="AB271" s="1382"/>
      <c r="AC271" s="1382"/>
      <c r="AD271" s="1382"/>
      <c r="AE271" s="1382"/>
      <c r="AF271" s="1382"/>
      <c r="AG271" s="1382"/>
      <c r="AH271" s="1382"/>
      <c r="AI271" s="1382"/>
      <c r="AJ271" s="1382"/>
      <c r="AK271" s="181"/>
      <c r="AL271" s="181"/>
      <c r="AM271" s="181"/>
      <c r="AN271" s="181"/>
      <c r="AO271" s="181"/>
      <c r="AP271" s="181"/>
      <c r="AQ271" s="181"/>
      <c r="AR271" s="181"/>
      <c r="AS271" s="181"/>
      <c r="AT271" s="181"/>
      <c r="AU271" s="181"/>
      <c r="AV271" s="181"/>
      <c r="AW271" s="181"/>
    </row>
    <row r="272" spans="1:49" s="30" customFormat="1" ht="15.75" customHeight="1" x14ac:dyDescent="0.25">
      <c r="A272" s="1517" t="str">
        <f>IF(COUNTIF('04 - 95% CD'!D272:G272,"Y")&gt;0,"Y",IF(COUNTIF('04 - 95% CD'!D272:G272,"N"),"N",""))</f>
        <v>N</v>
      </c>
      <c r="B272" s="191"/>
      <c r="C272" s="944"/>
      <c r="D272" s="463"/>
      <c r="E272" s="463"/>
      <c r="F272" s="359" t="str">
        <f>IF('C-Design&amp;Const'!$U272="","",'C-Design&amp;Const'!$U272)</f>
        <v>N</v>
      </c>
      <c r="G272" s="291"/>
      <c r="H272" s="469" t="str">
        <f>CONCATENATE(IF(F272="N","PLACEHOLDER ROW - ",""),'C-Design&amp;Const'!Z272,IF(F272="N","",J272))</f>
        <v xml:space="preserve">PLACEHOLDER ROW - CUSTOM - Plumbing  </v>
      </c>
      <c r="I272" s="184"/>
      <c r="J272" s="578" t="str">
        <f>IF('C-Design&amp;Const'!AK272="","",'C-Design&amp;Const'!AK272)</f>
        <v>(Record)</v>
      </c>
      <c r="K272" s="285" t="str">
        <f t="shared" si="28"/>
        <v>match</v>
      </c>
      <c r="L272" s="1410" t="str">
        <f t="shared" si="29"/>
        <v>&lt;---PM/Planner may hide PLACEHOLDER ROW</v>
      </c>
      <c r="M272" s="1382"/>
      <c r="N272" s="1382"/>
      <c r="O272" s="1382"/>
      <c r="P272" s="1382"/>
      <c r="Q272" s="1382"/>
      <c r="R272" s="1382"/>
      <c r="S272" s="1382"/>
      <c r="T272" s="1382"/>
      <c r="U272" s="1382"/>
      <c r="V272" s="1382"/>
      <c r="W272" s="1382"/>
      <c r="X272" s="1382"/>
      <c r="Y272" s="1382"/>
      <c r="Z272" s="1382"/>
      <c r="AA272" s="1382"/>
      <c r="AB272" s="1382"/>
      <c r="AC272" s="1382"/>
      <c r="AD272" s="1382"/>
      <c r="AE272" s="1382"/>
      <c r="AF272" s="1382"/>
      <c r="AG272" s="1382"/>
      <c r="AH272" s="1382"/>
      <c r="AI272" s="1382"/>
      <c r="AJ272" s="1382"/>
      <c r="AK272" s="181"/>
      <c r="AL272" s="181"/>
      <c r="AM272" s="181"/>
      <c r="AN272" s="181"/>
      <c r="AO272" s="181"/>
      <c r="AP272" s="181"/>
      <c r="AQ272" s="181"/>
      <c r="AR272" s="181"/>
      <c r="AS272" s="181"/>
      <c r="AT272" s="181"/>
      <c r="AU272" s="181"/>
      <c r="AV272" s="181"/>
      <c r="AW272" s="181"/>
    </row>
    <row r="273" spans="1:49" x14ac:dyDescent="0.25">
      <c r="A273" s="1520" t="str">
        <f>IF(COUNTIF('04 - 95% CD'!D273:G273,"Y")&gt;0,"Y",IF(COUNTIF('04 - 95% CD'!D273:G273,"N"),"N",""))</f>
        <v>Y</v>
      </c>
      <c r="B273" s="125"/>
      <c r="C273" s="944"/>
      <c r="D273" s="411"/>
      <c r="E273" s="321"/>
      <c r="F273" s="559" t="str">
        <f>IF('C-Design&amp;Const'!$U273="","",'C-Design&amp;Const'!$U273)</f>
        <v>Y</v>
      </c>
      <c r="G273" s="485"/>
      <c r="H273" s="469" t="str">
        <f>CONCATENATE(IF(F273="N","PLACEHOLDER ROW - ",""),'C-Design&amp;Const'!Z273,IF(F273="N","",J273))</f>
        <v>Plumbing Symbols, Abbreviations, and General Notes (Record)</v>
      </c>
      <c r="I273" s="137"/>
      <c r="J273" s="578" t="str">
        <f>IF('C-Design&amp;Const'!AK273="","",'C-Design&amp;Const'!AK273)</f>
        <v>(Record)</v>
      </c>
      <c r="K273" s="285" t="str">
        <f t="shared" si="28"/>
        <v>match</v>
      </c>
      <c r="L273" s="1410" t="str">
        <f t="shared" si="29"/>
        <v/>
      </c>
      <c r="M273" s="1333"/>
      <c r="N273" s="1333"/>
      <c r="O273" s="1333"/>
      <c r="P273" s="1333"/>
      <c r="Q273" s="1333"/>
      <c r="R273" s="1453"/>
      <c r="S273" s="1364"/>
      <c r="T273" s="1404"/>
      <c r="U273" s="1333"/>
      <c r="V273" s="1333"/>
      <c r="W273" s="1333"/>
      <c r="X273" s="1333"/>
      <c r="Y273" s="1333"/>
      <c r="Z273" s="1333"/>
      <c r="AA273" s="1333"/>
      <c r="AB273" s="1333"/>
      <c r="AC273" s="1333"/>
      <c r="AD273" s="1333"/>
      <c r="AE273" s="1333"/>
      <c r="AF273" s="1333"/>
      <c r="AG273" s="1333"/>
      <c r="AH273" s="1333"/>
      <c r="AI273" s="1333"/>
      <c r="AJ273" s="1333"/>
    </row>
    <row r="274" spans="1:49" s="545" customFormat="1" ht="15.75" customHeight="1" x14ac:dyDescent="0.25">
      <c r="A274" s="1517" t="str">
        <f>IF(COUNTIF('04 - 95% CD'!D274:G274,"Y")&gt;0,"Y",IF(COUNTIF('04 - 95% CD'!D274:G274,"N"),"N",""))</f>
        <v>Y</v>
      </c>
      <c r="B274" s="554"/>
      <c r="C274" s="944"/>
      <c r="D274" s="463"/>
      <c r="E274" s="463"/>
      <c r="F274" s="359" t="str">
        <f>IF('C-Design&amp;Const'!$U274="","",'C-Design&amp;Const'!$U274)</f>
        <v>Y</v>
      </c>
      <c r="G274" s="291"/>
      <c r="H274" s="469" t="str">
        <f>CONCATENATE(IF(F274="N","PLACEHOLDER ROW - ",""),'C-Design&amp;Const'!Z274,IF(F274="N","",J274))</f>
        <v>Plumbing Demolition(s) (Record)</v>
      </c>
      <c r="I274" s="552"/>
      <c r="J274" s="578" t="str">
        <f>IF('C-Design&amp;Const'!AK274="","",'C-Design&amp;Const'!AK274)</f>
        <v>(Record)</v>
      </c>
      <c r="K274" s="285" t="str">
        <f t="shared" ref="K274" si="30">IF((COUNTIF(D274:G274,"Y")=COUNTIF(A274,"Y")),"match","no 95% match")</f>
        <v>match</v>
      </c>
      <c r="L274" s="1410" t="str">
        <f t="shared" ref="L274" si="31">CONCATENATE(IF(ISNUMBER(SEARCH("Placeholder",H274))=TRUE,"&lt;---PM/Planner may hide PLACEHOLDER ROW",""))</f>
        <v/>
      </c>
      <c r="M274" s="1382"/>
      <c r="N274" s="1382"/>
      <c r="O274" s="1382"/>
      <c r="P274" s="1382"/>
      <c r="Q274" s="1382"/>
      <c r="R274" s="1382"/>
      <c r="S274" s="1382"/>
      <c r="T274" s="1382"/>
      <c r="U274" s="1382"/>
      <c r="V274" s="1382"/>
      <c r="W274" s="1382"/>
      <c r="X274" s="1382"/>
      <c r="Y274" s="1382"/>
      <c r="Z274" s="1382"/>
      <c r="AA274" s="1382"/>
      <c r="AB274" s="1382"/>
      <c r="AC274" s="1382"/>
      <c r="AD274" s="1382"/>
      <c r="AE274" s="1382"/>
      <c r="AF274" s="1382"/>
      <c r="AG274" s="1382"/>
      <c r="AH274" s="1382"/>
      <c r="AI274" s="1382"/>
      <c r="AJ274" s="1382"/>
      <c r="AK274" s="551"/>
      <c r="AL274" s="551"/>
      <c r="AM274" s="551"/>
      <c r="AN274" s="551"/>
      <c r="AO274" s="551"/>
      <c r="AP274" s="551"/>
      <c r="AQ274" s="551"/>
      <c r="AR274" s="551"/>
      <c r="AS274" s="551"/>
      <c r="AT274" s="551"/>
      <c r="AU274" s="551"/>
      <c r="AV274" s="551"/>
      <c r="AW274" s="551"/>
    </row>
    <row r="275" spans="1:49" x14ac:dyDescent="0.25">
      <c r="A275" s="1520" t="str">
        <f>IF(COUNTIF('04 - 95% CD'!D275:G275,"Y")&gt;0,"Y",IF(COUNTIF('04 - 95% CD'!D275:G275,"N"),"N",""))</f>
        <v>Y</v>
      </c>
      <c r="B275" s="125"/>
      <c r="C275" s="944"/>
      <c r="D275" s="411"/>
      <c r="E275" s="321"/>
      <c r="F275" s="559" t="str">
        <f>IF('C-Design&amp;Const'!$U275="","",'C-Design&amp;Const'!$U275)</f>
        <v>Y</v>
      </c>
      <c r="G275" s="485"/>
      <c r="H275" s="469" t="str">
        <f>CONCATENATE(IF(F275="N","PLACEHOLDER ROW - ",""),'C-Design&amp;Const'!Z275,IF(F275="N","",J275))</f>
        <v>Plumbing Floor Plans and Roof Plan (Record)</v>
      </c>
      <c r="I275" s="137"/>
      <c r="J275" s="578" t="str">
        <f>IF('C-Design&amp;Const'!AK275="","",'C-Design&amp;Const'!AK275)</f>
        <v>(Record)</v>
      </c>
      <c r="K275" s="285" t="str">
        <f t="shared" si="28"/>
        <v>match</v>
      </c>
      <c r="L275" s="1410" t="str">
        <f t="shared" si="29"/>
        <v/>
      </c>
      <c r="M275" s="1333"/>
      <c r="N275" s="1333"/>
      <c r="O275" s="1333"/>
      <c r="P275" s="1333"/>
      <c r="Q275" s="1333"/>
      <c r="R275" s="1453"/>
      <c r="S275" s="1364"/>
      <c r="T275" s="1404"/>
      <c r="U275" s="1333"/>
      <c r="V275" s="1333"/>
      <c r="W275" s="1333"/>
      <c r="X275" s="1333"/>
      <c r="Y275" s="1333"/>
      <c r="Z275" s="1333"/>
      <c r="AA275" s="1333"/>
      <c r="AB275" s="1333"/>
      <c r="AC275" s="1333"/>
      <c r="AD275" s="1333"/>
      <c r="AE275" s="1333"/>
      <c r="AF275" s="1333"/>
      <c r="AG275" s="1333"/>
      <c r="AH275" s="1333"/>
      <c r="AI275" s="1333"/>
      <c r="AJ275" s="1333"/>
    </row>
    <row r="276" spans="1:49" x14ac:dyDescent="0.25">
      <c r="A276" s="1520" t="str">
        <f>IF(COUNTIF('04 - 95% CD'!D276:G276,"Y")&gt;0,"Y",IF(COUNTIF('04 - 95% CD'!D276:G276,"N"),"N",""))</f>
        <v>Y</v>
      </c>
      <c r="B276" s="125"/>
      <c r="C276" s="944"/>
      <c r="D276" s="411"/>
      <c r="E276" s="321"/>
      <c r="F276" s="559" t="str">
        <f>IF('C-Design&amp;Const'!$U276="","",'C-Design&amp;Const'!$U276)</f>
        <v>Y</v>
      </c>
      <c r="G276" s="485"/>
      <c r="H276" s="469" t="str">
        <f>CONCATENATE(IF(F276="N","PLACEHOLDER ROW - ",""),'C-Design&amp;Const'!Z276,IF(F276="N","",J276))</f>
        <v>Plumbing Sanitary, Vent, Storm, Water Riser Diagram (Record)</v>
      </c>
      <c r="I276" s="137"/>
      <c r="J276" s="578" t="str">
        <f>IF('C-Design&amp;Const'!AK276="","",'C-Design&amp;Const'!AK276)</f>
        <v>(Record)</v>
      </c>
      <c r="K276" s="285" t="str">
        <f t="shared" si="28"/>
        <v>match</v>
      </c>
      <c r="L276" s="1410" t="str">
        <f t="shared" si="29"/>
        <v/>
      </c>
      <c r="M276" s="1333"/>
      <c r="N276" s="1333"/>
      <c r="O276" s="1333"/>
      <c r="P276" s="1333"/>
      <c r="Q276" s="1333"/>
      <c r="R276" s="1453"/>
      <c r="S276" s="1364"/>
      <c r="T276" s="1404"/>
      <c r="U276" s="1333"/>
      <c r="V276" s="1333"/>
      <c r="W276" s="1333"/>
      <c r="X276" s="1333"/>
      <c r="Y276" s="1333"/>
      <c r="Z276" s="1333"/>
      <c r="AA276" s="1333"/>
      <c r="AB276" s="1333"/>
      <c r="AC276" s="1333"/>
      <c r="AD276" s="1333"/>
      <c r="AE276" s="1333"/>
      <c r="AF276" s="1333"/>
      <c r="AG276" s="1333"/>
      <c r="AH276" s="1333"/>
      <c r="AI276" s="1333"/>
      <c r="AJ276" s="1333"/>
    </row>
    <row r="277" spans="1:49" x14ac:dyDescent="0.25">
      <c r="A277" s="1520" t="str">
        <f>IF(COUNTIF('04 - 95% CD'!D277:G277,"Y")&gt;0,"Y",IF(COUNTIF('04 - 95% CD'!D277:G277,"N"),"N",""))</f>
        <v>Y</v>
      </c>
      <c r="B277" s="125"/>
      <c r="C277" s="944"/>
      <c r="D277" s="411"/>
      <c r="E277" s="321"/>
      <c r="F277" s="559" t="str">
        <f>IF('C-Design&amp;Const'!$U277="","",'C-Design&amp;Const'!$U277)</f>
        <v>Y</v>
      </c>
      <c r="G277" s="485"/>
      <c r="H277" s="469" t="str">
        <f>CONCATENATE(IF(F277="N","PLACEHOLDER ROW - ",""),'C-Design&amp;Const'!Z277,IF(F277="N","",J277))</f>
        <v>Plumbing Details and Sections (Record)</v>
      </c>
      <c r="I277" s="137"/>
      <c r="J277" s="578" t="str">
        <f>IF('C-Design&amp;Const'!AK277="","",'C-Design&amp;Const'!AK277)</f>
        <v>(Record)</v>
      </c>
      <c r="K277" s="285" t="str">
        <f t="shared" si="28"/>
        <v>match</v>
      </c>
      <c r="L277" s="1410" t="str">
        <f t="shared" si="29"/>
        <v/>
      </c>
      <c r="M277" s="1333"/>
      <c r="N277" s="1333"/>
      <c r="O277" s="1333"/>
      <c r="P277" s="1333"/>
      <c r="Q277" s="1333"/>
      <c r="R277" s="1284"/>
      <c r="S277" s="1513"/>
      <c r="T277" s="1404"/>
      <c r="U277" s="1333"/>
      <c r="V277" s="1333"/>
      <c r="W277" s="1333"/>
      <c r="X277" s="1333"/>
      <c r="Y277" s="1333"/>
      <c r="Z277" s="1333"/>
      <c r="AA277" s="1333"/>
      <c r="AB277" s="1333"/>
      <c r="AC277" s="1333"/>
      <c r="AD277" s="1333"/>
      <c r="AE277" s="1333"/>
      <c r="AF277" s="1333"/>
      <c r="AG277" s="1333"/>
      <c r="AH277" s="1333"/>
      <c r="AI277" s="1333"/>
      <c r="AJ277" s="1333"/>
    </row>
    <row r="278" spans="1:49" x14ac:dyDescent="0.25">
      <c r="A278" s="1520" t="str">
        <f>IF(COUNTIF('04 - 95% CD'!D278:G278,"Y")&gt;0,"Y",IF(COUNTIF('04 - 95% CD'!D278:G278,"N"),"N",""))</f>
        <v>Y</v>
      </c>
      <c r="B278" s="125"/>
      <c r="C278" s="944"/>
      <c r="D278" s="411"/>
      <c r="E278" s="321"/>
      <c r="F278" s="559" t="str">
        <f>IF('C-Design&amp;Const'!$U278="","",'C-Design&amp;Const'!$U278)</f>
        <v>Y</v>
      </c>
      <c r="G278" s="485"/>
      <c r="H278" s="469" t="str">
        <f>CONCATENATE(IF(F278="N","PLACEHOLDER ROW - ",""),'C-Design&amp;Const'!Z278,IF(F278="N","",J278))</f>
        <v>Plumbing Fixture Schedule (Record)</v>
      </c>
      <c r="I278" s="137"/>
      <c r="J278" s="578" t="str">
        <f>IF('C-Design&amp;Const'!AK278="","",'C-Design&amp;Const'!AK278)</f>
        <v>(Record)</v>
      </c>
      <c r="K278" s="285" t="str">
        <f t="shared" si="28"/>
        <v>match</v>
      </c>
      <c r="L278" s="1410" t="str">
        <f t="shared" si="29"/>
        <v/>
      </c>
      <c r="M278" s="1333"/>
      <c r="N278" s="1333"/>
      <c r="O278" s="1333"/>
      <c r="P278" s="1333"/>
      <c r="Q278" s="1333"/>
      <c r="R278" s="1453"/>
      <c r="S278" s="1449"/>
      <c r="T278" s="1404"/>
      <c r="U278" s="1333"/>
      <c r="V278" s="1333"/>
      <c r="W278" s="1333"/>
      <c r="X278" s="1333"/>
      <c r="Y278" s="1333"/>
      <c r="Z278" s="1333"/>
      <c r="AA278" s="1333"/>
      <c r="AB278" s="1333"/>
      <c r="AC278" s="1333"/>
      <c r="AD278" s="1333"/>
      <c r="AE278" s="1333"/>
      <c r="AF278" s="1333"/>
      <c r="AG278" s="1333"/>
      <c r="AH278" s="1333"/>
      <c r="AI278" s="1333"/>
      <c r="AJ278" s="1333"/>
    </row>
    <row r="279" spans="1:49" ht="14.25" customHeight="1" x14ac:dyDescent="0.25">
      <c r="A279" s="1407" t="str">
        <f>IF(COUNTIF('04 - 95% CD'!D279:G279,"Y")&gt;0,"Y",IF(COUNTIF('04 - 95% CD'!D279:G279,"N"),"N",""))</f>
        <v>Y</v>
      </c>
      <c r="B279" s="125"/>
      <c r="C279" s="944"/>
      <c r="D279" s="411"/>
      <c r="E279" s="559" t="str">
        <f>IF('C-Design&amp;Const'!$U279="","",'C-Design&amp;Const'!$U279)</f>
        <v>Y</v>
      </c>
      <c r="F279" s="478"/>
      <c r="G279" s="485"/>
      <c r="H279" s="244" t="str">
        <f>CONCATENATE(IF(F279="N","PLACEHOLDER ROW - ",""),'C-Design&amp;Const'!Z279,IF(F279="N","",J279))</f>
        <v>Fire Protection / Fire Suppression Drawings(Record)</v>
      </c>
      <c r="I279" s="146"/>
      <c r="J279" s="578" t="str">
        <f>IF('C-Design&amp;Const'!AK279="","",'C-Design&amp;Const'!AK279)</f>
        <v>(Record)</v>
      </c>
      <c r="K279" s="285" t="str">
        <f t="shared" si="28"/>
        <v>match</v>
      </c>
      <c r="L279" s="1410" t="str">
        <f t="shared" si="29"/>
        <v/>
      </c>
      <c r="M279" s="1333"/>
      <c r="N279" s="1333"/>
      <c r="O279" s="1333"/>
      <c r="P279" s="1333"/>
      <c r="Q279" s="1333"/>
      <c r="R279" s="1453"/>
      <c r="S279" s="1449"/>
      <c r="T279" s="1404"/>
      <c r="U279" s="1333"/>
      <c r="V279" s="1333"/>
      <c r="W279" s="1333"/>
      <c r="X279" s="1333"/>
      <c r="Y279" s="1333"/>
      <c r="Z279" s="1333"/>
      <c r="AA279" s="1333"/>
      <c r="AB279" s="1333"/>
      <c r="AC279" s="1333"/>
      <c r="AD279" s="1333"/>
      <c r="AE279" s="1333"/>
      <c r="AF279" s="1333"/>
      <c r="AG279" s="1333"/>
      <c r="AH279" s="1333"/>
      <c r="AI279" s="1333"/>
      <c r="AJ279" s="1333"/>
    </row>
    <row r="280" spans="1:49" s="30" customFormat="1" ht="15.75" customHeight="1" x14ac:dyDescent="0.25">
      <c r="A280" s="1517" t="str">
        <f>IF(COUNTIF('04 - 95% CD'!D280:G280,"Y")&gt;0,"Y",IF(COUNTIF('04 - 95% CD'!D280:G280,"N"),"N",""))</f>
        <v>N</v>
      </c>
      <c r="B280" s="191"/>
      <c r="C280" s="944"/>
      <c r="D280" s="463"/>
      <c r="E280" s="463"/>
      <c r="F280" s="359" t="str">
        <f>IF('C-Design&amp;Const'!$U280="","",'C-Design&amp;Const'!$U280)</f>
        <v>N</v>
      </c>
      <c r="G280" s="291"/>
      <c r="H280" s="469" t="str">
        <f>CONCATENATE(IF(F280="N","PLACEHOLDER ROW - ",""),'C-Design&amp;Const'!Z280,IF(F280="N","",J280))</f>
        <v xml:space="preserve">PLACEHOLDER ROW - CUSTOM - Fire Suppression  </v>
      </c>
      <c r="I280" s="184"/>
      <c r="J280" s="578" t="str">
        <f>IF('C-Design&amp;Const'!AK280="","",'C-Design&amp;Const'!AK280)</f>
        <v>(Record)</v>
      </c>
      <c r="K280" s="285" t="str">
        <f t="shared" si="28"/>
        <v>match</v>
      </c>
      <c r="L280" s="1410" t="str">
        <f t="shared" si="29"/>
        <v>&lt;---PM/Planner may hide PLACEHOLDER ROW</v>
      </c>
      <c r="M280" s="1382"/>
      <c r="N280" s="1382"/>
      <c r="O280" s="1382"/>
      <c r="P280" s="1382"/>
      <c r="Q280" s="1382"/>
      <c r="R280" s="1382"/>
      <c r="S280" s="1382"/>
      <c r="T280" s="1382"/>
      <c r="U280" s="1382"/>
      <c r="V280" s="1382"/>
      <c r="W280" s="1382"/>
      <c r="X280" s="1382"/>
      <c r="Y280" s="1382"/>
      <c r="Z280" s="1382"/>
      <c r="AA280" s="1382"/>
      <c r="AB280" s="1382"/>
      <c r="AC280" s="1382"/>
      <c r="AD280" s="1382"/>
      <c r="AE280" s="1382"/>
      <c r="AF280" s="1382"/>
      <c r="AG280" s="1382"/>
      <c r="AH280" s="1382"/>
      <c r="AI280" s="1382"/>
      <c r="AJ280" s="1382"/>
      <c r="AK280" s="181"/>
      <c r="AL280" s="181"/>
      <c r="AM280" s="181"/>
      <c r="AN280" s="181"/>
      <c r="AO280" s="181"/>
      <c r="AP280" s="181"/>
      <c r="AQ280" s="181"/>
      <c r="AR280" s="181"/>
      <c r="AS280" s="181"/>
      <c r="AT280" s="181"/>
      <c r="AU280" s="181"/>
      <c r="AV280" s="181"/>
      <c r="AW280" s="181"/>
    </row>
    <row r="281" spans="1:49" s="30" customFormat="1" ht="15.75" customHeight="1" x14ac:dyDescent="0.25">
      <c r="A281" s="1517" t="str">
        <f>IF(COUNTIF('04 - 95% CD'!D281:G281,"Y")&gt;0,"Y",IF(COUNTIF('04 - 95% CD'!D281:G281,"N"),"N",""))</f>
        <v>N</v>
      </c>
      <c r="B281" s="191"/>
      <c r="C281" s="944"/>
      <c r="D281" s="463"/>
      <c r="E281" s="463"/>
      <c r="F281" s="359" t="str">
        <f>IF('C-Design&amp;Const'!$U281="","",'C-Design&amp;Const'!$U281)</f>
        <v>N</v>
      </c>
      <c r="G281" s="291"/>
      <c r="H281" s="469" t="str">
        <f>CONCATENATE(IF(F281="N","PLACEHOLDER ROW - ",""),'C-Design&amp;Const'!Z281,IF(F281="N","",J281))</f>
        <v xml:space="preserve">PLACEHOLDER ROW - CUSTOM - Fire Suppression  </v>
      </c>
      <c r="I281" s="184"/>
      <c r="J281" s="578" t="str">
        <f>IF('C-Design&amp;Const'!AK281="","",'C-Design&amp;Const'!AK281)</f>
        <v>(Record)</v>
      </c>
      <c r="K281" s="285" t="str">
        <f t="shared" si="28"/>
        <v>match</v>
      </c>
      <c r="L281" s="1410" t="str">
        <f t="shared" si="29"/>
        <v>&lt;---PM/Planner may hide PLACEHOLDER ROW</v>
      </c>
      <c r="M281" s="1382"/>
      <c r="N281" s="1382"/>
      <c r="O281" s="1382"/>
      <c r="P281" s="1382"/>
      <c r="Q281" s="1382"/>
      <c r="R281" s="1382"/>
      <c r="S281" s="1382"/>
      <c r="T281" s="1382"/>
      <c r="U281" s="1382"/>
      <c r="V281" s="1382"/>
      <c r="W281" s="1382"/>
      <c r="X281" s="1382"/>
      <c r="Y281" s="1382"/>
      <c r="Z281" s="1382"/>
      <c r="AA281" s="1382"/>
      <c r="AB281" s="1382"/>
      <c r="AC281" s="1382"/>
      <c r="AD281" s="1382"/>
      <c r="AE281" s="1382"/>
      <c r="AF281" s="1382"/>
      <c r="AG281" s="1382"/>
      <c r="AH281" s="1382"/>
      <c r="AI281" s="1382"/>
      <c r="AJ281" s="1382"/>
      <c r="AK281" s="181"/>
      <c r="AL281" s="181"/>
      <c r="AM281" s="181"/>
      <c r="AN281" s="181"/>
      <c r="AO281" s="181"/>
      <c r="AP281" s="181"/>
      <c r="AQ281" s="181"/>
      <c r="AR281" s="181"/>
      <c r="AS281" s="181"/>
      <c r="AT281" s="181"/>
      <c r="AU281" s="181"/>
      <c r="AV281" s="181"/>
      <c r="AW281" s="181"/>
    </row>
    <row r="282" spans="1:49" x14ac:dyDescent="0.25">
      <c r="A282" s="1520" t="str">
        <f>IF(COUNTIF('04 - 95% CD'!D282:G282,"Y")&gt;0,"Y",IF(COUNTIF('04 - 95% CD'!D282:G282,"N"),"N",""))</f>
        <v>Y</v>
      </c>
      <c r="B282" s="125"/>
      <c r="C282" s="944"/>
      <c r="D282" s="411"/>
      <c r="E282" s="321"/>
      <c r="F282" s="559" t="str">
        <f>IF('C-Design&amp;Const'!$U282="","",'C-Design&amp;Const'!$U282)</f>
        <v>Y</v>
      </c>
      <c r="G282" s="485"/>
      <c r="H282" s="469" t="str">
        <f>CONCATENATE(IF(F282="N","PLACEHOLDER ROW - ",""),'C-Design&amp;Const'!Z282,IF(F282="N","",J282))</f>
        <v>Sprinkler System Symbols, Abbreviations, and General Notes (Record)</v>
      </c>
      <c r="I282" s="137"/>
      <c r="J282" s="578" t="str">
        <f>IF('C-Design&amp;Const'!AK282="","",'C-Design&amp;Const'!AK282)</f>
        <v>(Record)</v>
      </c>
      <c r="K282" s="285" t="str">
        <f t="shared" si="28"/>
        <v>match</v>
      </c>
      <c r="L282" s="1410" t="str">
        <f t="shared" si="29"/>
        <v/>
      </c>
      <c r="M282" s="1333"/>
      <c r="N282" s="1333"/>
      <c r="O282" s="1333"/>
      <c r="P282" s="1333"/>
      <c r="Q282" s="1333"/>
      <c r="R282" s="1453"/>
      <c r="S282" s="1449"/>
      <c r="T282" s="1404"/>
      <c r="U282" s="1333"/>
      <c r="V282" s="1333"/>
      <c r="W282" s="1333"/>
      <c r="X282" s="1333"/>
      <c r="Y282" s="1333"/>
      <c r="Z282" s="1333"/>
      <c r="AA282" s="1333"/>
      <c r="AB282" s="1333"/>
      <c r="AC282" s="1333"/>
      <c r="AD282" s="1333"/>
      <c r="AE282" s="1333"/>
      <c r="AF282" s="1333"/>
      <c r="AG282" s="1333"/>
      <c r="AH282" s="1333"/>
      <c r="AI282" s="1333"/>
      <c r="AJ282" s="1333"/>
    </row>
    <row r="283" spans="1:49" s="545" customFormat="1" ht="15.75" customHeight="1" x14ac:dyDescent="0.25">
      <c r="A283" s="1517" t="str">
        <f>IF(COUNTIF('04 - 95% CD'!D283:G283,"Y")&gt;0,"Y",IF(COUNTIF('04 - 95% CD'!D283:G283,"N"),"N",""))</f>
        <v>Y</v>
      </c>
      <c r="B283" s="554"/>
      <c r="C283" s="944"/>
      <c r="D283" s="463"/>
      <c r="E283" s="463"/>
      <c r="F283" s="359" t="str">
        <f>IF('C-Design&amp;Const'!$U283="","",'C-Design&amp;Const'!$U283)</f>
        <v>Y</v>
      </c>
      <c r="G283" s="291"/>
      <c r="H283" s="469" t="str">
        <f>CONCATENATE(IF(F283="N","PLACEHOLDER ROW - ",""),'C-Design&amp;Const'!Z283,IF(F283="N","",J283))</f>
        <v>Sprinkler System Demolition(s) (Record)</v>
      </c>
      <c r="I283" s="552"/>
      <c r="J283" s="578" t="str">
        <f>IF('C-Design&amp;Const'!AK283="","",'C-Design&amp;Const'!AK283)</f>
        <v>(Record)</v>
      </c>
      <c r="K283" s="285" t="str">
        <f t="shared" si="28"/>
        <v>match</v>
      </c>
      <c r="L283" s="1410" t="str">
        <f t="shared" si="29"/>
        <v/>
      </c>
      <c r="M283" s="1382"/>
      <c r="N283" s="1382"/>
      <c r="O283" s="1382"/>
      <c r="P283" s="1382"/>
      <c r="Q283" s="1382"/>
      <c r="R283" s="1382"/>
      <c r="S283" s="1382"/>
      <c r="T283" s="1382"/>
      <c r="U283" s="1382"/>
      <c r="V283" s="1382"/>
      <c r="W283" s="1382"/>
      <c r="X283" s="1382"/>
      <c r="Y283" s="1382"/>
      <c r="Z283" s="1382"/>
      <c r="AA283" s="1382"/>
      <c r="AB283" s="1382"/>
      <c r="AC283" s="1382"/>
      <c r="AD283" s="1382"/>
      <c r="AE283" s="1382"/>
      <c r="AF283" s="1382"/>
      <c r="AG283" s="1382"/>
      <c r="AH283" s="1382"/>
      <c r="AI283" s="1382"/>
      <c r="AJ283" s="1382"/>
      <c r="AK283" s="551"/>
      <c r="AL283" s="551"/>
      <c r="AM283" s="551"/>
      <c r="AN283" s="551"/>
      <c r="AO283" s="551"/>
      <c r="AP283" s="551"/>
      <c r="AQ283" s="551"/>
      <c r="AR283" s="551"/>
      <c r="AS283" s="551"/>
      <c r="AT283" s="551"/>
      <c r="AU283" s="551"/>
      <c r="AV283" s="551"/>
      <c r="AW283" s="551"/>
    </row>
    <row r="284" spans="1:49" x14ac:dyDescent="0.25">
      <c r="A284" s="1520" t="str">
        <f>IF(COUNTIF('04 - 95% CD'!D284:G284,"Y")&gt;0,"Y",IF(COUNTIF('04 - 95% CD'!D284:G284,"N"),"N",""))</f>
        <v>Y</v>
      </c>
      <c r="B284" s="125"/>
      <c r="C284" s="944"/>
      <c r="D284" s="411"/>
      <c r="E284" s="321"/>
      <c r="F284" s="559" t="str">
        <f>IF('C-Design&amp;Const'!$U284="","",'C-Design&amp;Const'!$U284)</f>
        <v>Y</v>
      </c>
      <c r="G284" s="485"/>
      <c r="H284" s="469" t="str">
        <f>CONCATENATE(IF(F284="N","PLACEHOLDER ROW - ",""),'C-Design&amp;Const'!Z284,IF(F284="N","",J284))</f>
        <v>Sprinkler System Floor Plans (Record)</v>
      </c>
      <c r="I284" s="137"/>
      <c r="J284" s="578" t="str">
        <f>IF('C-Design&amp;Const'!AK284="","",'C-Design&amp;Const'!AK284)</f>
        <v>(Record)</v>
      </c>
      <c r="K284" s="285" t="str">
        <f t="shared" si="28"/>
        <v>match</v>
      </c>
      <c r="L284" s="1410" t="str">
        <f t="shared" si="29"/>
        <v/>
      </c>
      <c r="M284" s="1333"/>
      <c r="N284" s="1333"/>
      <c r="O284" s="1333"/>
      <c r="P284" s="1333"/>
      <c r="Q284" s="1333"/>
      <c r="R284" s="1453"/>
      <c r="S284" s="1449"/>
      <c r="T284" s="1404"/>
      <c r="U284" s="1333"/>
      <c r="V284" s="1333"/>
      <c r="W284" s="1333"/>
      <c r="X284" s="1333"/>
      <c r="Y284" s="1333"/>
      <c r="Z284" s="1333"/>
      <c r="AA284" s="1333"/>
      <c r="AB284" s="1333"/>
      <c r="AC284" s="1333"/>
      <c r="AD284" s="1333"/>
      <c r="AE284" s="1333"/>
      <c r="AF284" s="1333"/>
      <c r="AG284" s="1333"/>
      <c r="AH284" s="1333"/>
      <c r="AI284" s="1333"/>
      <c r="AJ284" s="1333"/>
    </row>
    <row r="285" spans="1:49" x14ac:dyDescent="0.25">
      <c r="A285" s="1520" t="str">
        <f>IF(COUNTIF('04 - 95% CD'!D285:G285,"Y")&gt;0,"Y",IF(COUNTIF('04 - 95% CD'!D285:G285,"N"),"N",""))</f>
        <v>Y</v>
      </c>
      <c r="B285" s="125"/>
      <c r="C285" s="944"/>
      <c r="D285" s="411"/>
      <c r="E285" s="321"/>
      <c r="F285" s="559" t="str">
        <f>IF('C-Design&amp;Const'!$U285="","",'C-Design&amp;Const'!$U285)</f>
        <v>Y</v>
      </c>
      <c r="G285" s="485"/>
      <c r="H285" s="469" t="str">
        <f>CONCATENATE(IF(F285="N","PLACEHOLDER ROW - ",""),'C-Design&amp;Const'!Z285,IF(F285="N","",J285))</f>
        <v>Sprinkler System Flow and Riser Diagrams (Record)</v>
      </c>
      <c r="I285" s="137"/>
      <c r="J285" s="578" t="str">
        <f>IF('C-Design&amp;Const'!AK285="","",'C-Design&amp;Const'!AK285)</f>
        <v>(Record)</v>
      </c>
      <c r="K285" s="285" t="str">
        <f t="shared" si="28"/>
        <v>match</v>
      </c>
      <c r="L285" s="1410" t="str">
        <f t="shared" si="29"/>
        <v/>
      </c>
      <c r="M285" s="1333"/>
      <c r="N285" s="1333"/>
      <c r="O285" s="1333"/>
      <c r="P285" s="1333"/>
      <c r="Q285" s="1333"/>
      <c r="R285" s="1284"/>
      <c r="S285" s="1513"/>
      <c r="T285" s="1404"/>
      <c r="U285" s="1333"/>
      <c r="V285" s="1333"/>
      <c r="W285" s="1333"/>
      <c r="X285" s="1333"/>
      <c r="Y285" s="1333"/>
      <c r="Z285" s="1333"/>
      <c r="AA285" s="1333"/>
      <c r="AB285" s="1333"/>
      <c r="AC285" s="1333"/>
      <c r="AD285" s="1333"/>
      <c r="AE285" s="1333"/>
      <c r="AF285" s="1333"/>
      <c r="AG285" s="1333"/>
      <c r="AH285" s="1333"/>
      <c r="AI285" s="1333"/>
      <c r="AJ285" s="1333"/>
    </row>
    <row r="286" spans="1:49" x14ac:dyDescent="0.25">
      <c r="A286" s="1520" t="str">
        <f>IF(COUNTIF('04 - 95% CD'!D286:G286,"Y")&gt;0,"Y",IF(COUNTIF('04 - 95% CD'!D286:G286,"N"),"N",""))</f>
        <v>Y</v>
      </c>
      <c r="B286" s="125"/>
      <c r="C286" s="944"/>
      <c r="D286" s="411"/>
      <c r="E286" s="321"/>
      <c r="F286" s="559" t="str">
        <f>IF('C-Design&amp;Const'!$U286="","",'C-Design&amp;Const'!$U286)</f>
        <v>Y</v>
      </c>
      <c r="G286" s="485"/>
      <c r="H286" s="469" t="str">
        <f>CONCATENATE(IF(F286="N","PLACEHOLDER ROW - ",""),'C-Design&amp;Const'!Z286,IF(F286="N","",J286))</f>
        <v>Sprinkler/Fire Pump Room Large Scale Plan (Record)</v>
      </c>
      <c r="I286" s="137"/>
      <c r="J286" s="578" t="str">
        <f>IF('C-Design&amp;Const'!AK286="","",'C-Design&amp;Const'!AK286)</f>
        <v>(Record)</v>
      </c>
      <c r="K286" s="285" t="str">
        <f t="shared" si="28"/>
        <v>match</v>
      </c>
      <c r="L286" s="1410" t="str">
        <f t="shared" si="29"/>
        <v/>
      </c>
      <c r="M286" s="1333"/>
      <c r="N286" s="1333"/>
      <c r="O286" s="1333"/>
      <c r="P286" s="1333"/>
      <c r="Q286" s="1333"/>
      <c r="R286" s="1453"/>
      <c r="S286" s="1364"/>
      <c r="T286" s="1404"/>
      <c r="U286" s="1333"/>
      <c r="V286" s="1333"/>
      <c r="W286" s="1333"/>
      <c r="X286" s="1333"/>
      <c r="Y286" s="1333"/>
      <c r="Z286" s="1333"/>
      <c r="AA286" s="1333"/>
      <c r="AB286" s="1333"/>
      <c r="AC286" s="1333"/>
      <c r="AD286" s="1333"/>
      <c r="AE286" s="1333"/>
      <c r="AF286" s="1333"/>
      <c r="AG286" s="1333"/>
      <c r="AH286" s="1333"/>
      <c r="AI286" s="1333"/>
      <c r="AJ286" s="1333"/>
    </row>
    <row r="287" spans="1:49" x14ac:dyDescent="0.25">
      <c r="A287" s="1520" t="str">
        <f>IF(COUNTIF('04 - 95% CD'!D287:G287,"Y")&gt;0,"Y",IF(COUNTIF('04 - 95% CD'!D287:G287,"N"),"N",""))</f>
        <v>Y</v>
      </c>
      <c r="B287" s="125"/>
      <c r="C287" s="944"/>
      <c r="D287" s="411"/>
      <c r="E287" s="321"/>
      <c r="F287" s="559" t="str">
        <f>IF('C-Design&amp;Const'!$U287="","",'C-Design&amp;Const'!$U287)</f>
        <v>Y</v>
      </c>
      <c r="G287" s="485"/>
      <c r="H287" s="469" t="str">
        <f>CONCATENATE(IF(F287="N","PLACEHOLDER ROW - ",""),'C-Design&amp;Const'!Z287,IF(F287="N","",J287))</f>
        <v>Sprinkler System Equipment Schedule (Record)</v>
      </c>
      <c r="I287" s="137"/>
      <c r="J287" s="578" t="str">
        <f>IF('C-Design&amp;Const'!AK287="","",'C-Design&amp;Const'!AK287)</f>
        <v>(Record)</v>
      </c>
      <c r="K287" s="285" t="str">
        <f t="shared" si="28"/>
        <v>match</v>
      </c>
      <c r="L287" s="1410" t="str">
        <f t="shared" si="29"/>
        <v/>
      </c>
      <c r="M287" s="1333"/>
      <c r="N287" s="1333"/>
      <c r="O287" s="1333"/>
      <c r="P287" s="1333"/>
      <c r="Q287" s="1333"/>
      <c r="R287" s="1453"/>
      <c r="S287" s="1364"/>
      <c r="T287" s="1404"/>
      <c r="U287" s="1333"/>
      <c r="V287" s="1333"/>
      <c r="W287" s="1333"/>
      <c r="X287" s="1333"/>
      <c r="Y287" s="1333"/>
      <c r="Z287" s="1333"/>
      <c r="AA287" s="1333"/>
      <c r="AB287" s="1333"/>
      <c r="AC287" s="1333"/>
      <c r="AD287" s="1333"/>
      <c r="AE287" s="1333"/>
      <c r="AF287" s="1333"/>
      <c r="AG287" s="1333"/>
      <c r="AH287" s="1333"/>
      <c r="AI287" s="1333"/>
      <c r="AJ287" s="1333"/>
    </row>
    <row r="288" spans="1:49" x14ac:dyDescent="0.25">
      <c r="A288" s="1520" t="str">
        <f>IF(COUNTIF('04 - 95% CD'!D288:G288,"Y")&gt;0,"Y",IF(COUNTIF('04 - 95% CD'!D288:G288,"N"),"N",""))</f>
        <v>Y</v>
      </c>
      <c r="B288" s="125"/>
      <c r="C288" s="944"/>
      <c r="D288" s="411"/>
      <c r="E288" s="321"/>
      <c r="F288" s="559" t="str">
        <f>IF('C-Design&amp;Const'!$U288="","",'C-Design&amp;Const'!$U288)</f>
        <v>Y</v>
      </c>
      <c r="G288" s="485"/>
      <c r="H288" s="469" t="str">
        <f>CONCATENATE(IF(F288="N","PLACEHOLDER ROW - ",""),'C-Design&amp;Const'!Z288,IF(F288="N","",J288))</f>
        <v>Sprinkler System Details and Sections (Record)</v>
      </c>
      <c r="I288" s="137"/>
      <c r="J288" s="578" t="str">
        <f>IF('C-Design&amp;Const'!AK288="","",'C-Design&amp;Const'!AK288)</f>
        <v>(Record)</v>
      </c>
      <c r="K288" s="285" t="str">
        <f t="shared" si="28"/>
        <v>match</v>
      </c>
      <c r="L288" s="1410" t="str">
        <f t="shared" si="29"/>
        <v/>
      </c>
      <c r="M288" s="1333"/>
      <c r="N288" s="1333"/>
      <c r="O288" s="1333"/>
      <c r="P288" s="1333"/>
      <c r="Q288" s="1333"/>
      <c r="R288" s="1453"/>
      <c r="S288" s="1364"/>
      <c r="T288" s="1404"/>
      <c r="U288" s="1333"/>
      <c r="V288" s="1333"/>
      <c r="W288" s="1333"/>
      <c r="X288" s="1333"/>
      <c r="Y288" s="1333"/>
      <c r="Z288" s="1333"/>
      <c r="AA288" s="1333"/>
      <c r="AB288" s="1333"/>
      <c r="AC288" s="1333"/>
      <c r="AD288" s="1333"/>
      <c r="AE288" s="1333"/>
      <c r="AF288" s="1333"/>
      <c r="AG288" s="1333"/>
      <c r="AH288" s="1333"/>
      <c r="AI288" s="1333"/>
      <c r="AJ288" s="1333"/>
    </row>
    <row r="289" spans="1:49" x14ac:dyDescent="0.25">
      <c r="A289" s="1407" t="str">
        <f>IF(COUNTIF('04 - 95% CD'!D289:G289,"Y")&gt;0,"Y",IF(COUNTIF('04 - 95% CD'!D289:G289,"N"),"N",""))</f>
        <v>Y</v>
      </c>
      <c r="B289" s="125"/>
      <c r="C289" s="944"/>
      <c r="D289" s="411"/>
      <c r="E289" s="559" t="str">
        <f>IF('C-Design&amp;Const'!$U289="","",'C-Design&amp;Const'!$U289)</f>
        <v>Y</v>
      </c>
      <c r="F289" s="478"/>
      <c r="G289" s="485"/>
      <c r="H289" s="244" t="str">
        <f>CONCATENATE(IF(F289="N","PLACEHOLDER ROW - ",""),'C-Design&amp;Const'!Z289,IF(F289="N","",J289))</f>
        <v>Heating Drawings(Record)</v>
      </c>
      <c r="I289" s="146"/>
      <c r="J289" s="578" t="str">
        <f>IF('C-Design&amp;Const'!AK289="","",'C-Design&amp;Const'!AK289)</f>
        <v>(Record)</v>
      </c>
      <c r="K289" s="285" t="str">
        <f t="shared" si="28"/>
        <v>match</v>
      </c>
      <c r="L289" s="1410" t="str">
        <f t="shared" si="29"/>
        <v/>
      </c>
      <c r="M289" s="1333"/>
      <c r="N289" s="1333"/>
      <c r="O289" s="1333"/>
      <c r="P289" s="1333"/>
      <c r="Q289" s="1333"/>
      <c r="R289" s="1453"/>
      <c r="S289" s="1364"/>
      <c r="T289" s="1404"/>
      <c r="U289" s="1333"/>
      <c r="V289" s="1333"/>
      <c r="W289" s="1333"/>
      <c r="X289" s="1333"/>
      <c r="Y289" s="1333"/>
      <c r="Z289" s="1333"/>
      <c r="AA289" s="1333"/>
      <c r="AB289" s="1333"/>
      <c r="AC289" s="1333"/>
      <c r="AD289" s="1333"/>
      <c r="AE289" s="1333"/>
      <c r="AF289" s="1333"/>
      <c r="AG289" s="1333"/>
      <c r="AH289" s="1333"/>
      <c r="AI289" s="1333"/>
      <c r="AJ289" s="1333"/>
    </row>
    <row r="290" spans="1:49" s="30" customFormat="1" ht="15.75" customHeight="1" x14ac:dyDescent="0.25">
      <c r="A290" s="1517" t="str">
        <f>IF(COUNTIF('04 - 95% CD'!D290:G290,"Y")&gt;0,"Y",IF(COUNTIF('04 - 95% CD'!D290:G290,"N"),"N",""))</f>
        <v>N</v>
      </c>
      <c r="B290" s="191"/>
      <c r="C290" s="944"/>
      <c r="D290" s="463"/>
      <c r="E290" s="463"/>
      <c r="F290" s="359" t="str">
        <f>IF('C-Design&amp;Const'!$U290="","",'C-Design&amp;Const'!$U290)</f>
        <v>N</v>
      </c>
      <c r="G290" s="291"/>
      <c r="H290" s="469" t="str">
        <f>CONCATENATE(IF(F290="N","PLACEHOLDER ROW - ",""),'C-Design&amp;Const'!Z290,IF(F290="N","",J290))</f>
        <v xml:space="preserve">PLACEHOLDER ROW - CUSTOM - Heating  </v>
      </c>
      <c r="I290" s="184"/>
      <c r="J290" s="578" t="str">
        <f>IF('C-Design&amp;Const'!AK290="","",'C-Design&amp;Const'!AK290)</f>
        <v>(Record)</v>
      </c>
      <c r="K290" s="285" t="str">
        <f t="shared" si="28"/>
        <v>match</v>
      </c>
      <c r="L290" s="1410" t="str">
        <f t="shared" si="29"/>
        <v>&lt;---PM/Planner may hide PLACEHOLDER ROW</v>
      </c>
      <c r="M290" s="1382"/>
      <c r="N290" s="1382"/>
      <c r="O290" s="1382"/>
      <c r="P290" s="1382"/>
      <c r="Q290" s="1382"/>
      <c r="R290" s="1382"/>
      <c r="S290" s="1382"/>
      <c r="T290" s="1382"/>
      <c r="U290" s="1382"/>
      <c r="V290" s="1382"/>
      <c r="W290" s="1382"/>
      <c r="X290" s="1382"/>
      <c r="Y290" s="1382"/>
      <c r="Z290" s="1382"/>
      <c r="AA290" s="1382"/>
      <c r="AB290" s="1382"/>
      <c r="AC290" s="1382"/>
      <c r="AD290" s="1382"/>
      <c r="AE290" s="1382"/>
      <c r="AF290" s="1382"/>
      <c r="AG290" s="1382"/>
      <c r="AH290" s="1382"/>
      <c r="AI290" s="1382"/>
      <c r="AJ290" s="1382"/>
      <c r="AK290" s="181"/>
      <c r="AL290" s="181"/>
      <c r="AM290" s="181"/>
      <c r="AN290" s="181"/>
      <c r="AO290" s="181"/>
      <c r="AP290" s="181"/>
      <c r="AQ290" s="181"/>
      <c r="AR290" s="181"/>
      <c r="AS290" s="181"/>
      <c r="AT290" s="181"/>
      <c r="AU290" s="181"/>
      <c r="AV290" s="181"/>
      <c r="AW290" s="181"/>
    </row>
    <row r="291" spans="1:49" s="30" customFormat="1" ht="15.75" customHeight="1" x14ac:dyDescent="0.25">
      <c r="A291" s="1517" t="str">
        <f>IF(COUNTIF('04 - 95% CD'!D291:G291,"Y")&gt;0,"Y",IF(COUNTIF('04 - 95% CD'!D291:G291,"N"),"N",""))</f>
        <v>N</v>
      </c>
      <c r="B291" s="191"/>
      <c r="C291" s="944"/>
      <c r="D291" s="463"/>
      <c r="E291" s="463"/>
      <c r="F291" s="359" t="str">
        <f>IF('C-Design&amp;Const'!$U291="","",'C-Design&amp;Const'!$U291)</f>
        <v>N</v>
      </c>
      <c r="G291" s="291"/>
      <c r="H291" s="469" t="str">
        <f>CONCATENATE(IF(F291="N","PLACEHOLDER ROW - ",""),'C-Design&amp;Const'!Z291,IF(F291="N","",J291))</f>
        <v xml:space="preserve">PLACEHOLDER ROW - CUSTOM - Heating  </v>
      </c>
      <c r="I291" s="184"/>
      <c r="J291" s="578" t="str">
        <f>IF('C-Design&amp;Const'!AK291="","",'C-Design&amp;Const'!AK291)</f>
        <v>(Record)</v>
      </c>
      <c r="K291" s="285" t="str">
        <f t="shared" si="28"/>
        <v>match</v>
      </c>
      <c r="L291" s="1410" t="str">
        <f t="shared" si="29"/>
        <v>&lt;---PM/Planner may hide PLACEHOLDER ROW</v>
      </c>
      <c r="M291" s="1382"/>
      <c r="N291" s="1382"/>
      <c r="O291" s="1382"/>
      <c r="P291" s="1382"/>
      <c r="Q291" s="1382"/>
      <c r="R291" s="1382"/>
      <c r="S291" s="1382"/>
      <c r="T291" s="1382"/>
      <c r="U291" s="1382"/>
      <c r="V291" s="1382"/>
      <c r="W291" s="1382"/>
      <c r="X291" s="1382"/>
      <c r="Y291" s="1382"/>
      <c r="Z291" s="1382"/>
      <c r="AA291" s="1382"/>
      <c r="AB291" s="1382"/>
      <c r="AC291" s="1382"/>
      <c r="AD291" s="1382"/>
      <c r="AE291" s="1382"/>
      <c r="AF291" s="1382"/>
      <c r="AG291" s="1382"/>
      <c r="AH291" s="1382"/>
      <c r="AI291" s="1382"/>
      <c r="AJ291" s="1382"/>
      <c r="AK291" s="181"/>
      <c r="AL291" s="181"/>
      <c r="AM291" s="181"/>
      <c r="AN291" s="181"/>
      <c r="AO291" s="181"/>
      <c r="AP291" s="181"/>
      <c r="AQ291" s="181"/>
      <c r="AR291" s="181"/>
      <c r="AS291" s="181"/>
      <c r="AT291" s="181"/>
      <c r="AU291" s="181"/>
      <c r="AV291" s="181"/>
      <c r="AW291" s="181"/>
    </row>
    <row r="292" spans="1:49" x14ac:dyDescent="0.25">
      <c r="A292" s="1520" t="str">
        <f>IF(COUNTIF('04 - 95% CD'!D292:G292,"Y")&gt;0,"Y",IF(COUNTIF('04 - 95% CD'!D292:G292,"N"),"N",""))</f>
        <v>Y</v>
      </c>
      <c r="B292" s="125"/>
      <c r="C292" s="944"/>
      <c r="D292" s="411"/>
      <c r="E292" s="321"/>
      <c r="F292" s="559" t="str">
        <f>IF('C-Design&amp;Const'!$U292="","",'C-Design&amp;Const'!$U292)</f>
        <v>Y</v>
      </c>
      <c r="G292" s="485"/>
      <c r="H292" s="469" t="str">
        <f>CONCATENATE(IF(F292="N","PLACEHOLDER ROW - ",""),'C-Design&amp;Const'!Z292,IF(F292="N","",J292))</f>
        <v>Heating and A/C Symbols, Abbreviations, and General Notes (Record)</v>
      </c>
      <c r="I292" s="137"/>
      <c r="J292" s="578" t="str">
        <f>IF('C-Design&amp;Const'!AK292="","",'C-Design&amp;Const'!AK292)</f>
        <v>(Record)</v>
      </c>
      <c r="K292" s="285" t="str">
        <f t="shared" si="28"/>
        <v>match</v>
      </c>
      <c r="L292" s="1410" t="str">
        <f t="shared" si="29"/>
        <v/>
      </c>
      <c r="M292" s="1333"/>
      <c r="N292" s="1333"/>
      <c r="O292" s="1333"/>
      <c r="P292" s="1333"/>
      <c r="Q292" s="1333"/>
      <c r="R292" s="1453"/>
      <c r="S292" s="1364"/>
      <c r="T292" s="1404"/>
      <c r="U292" s="1333"/>
      <c r="V292" s="1333"/>
      <c r="W292" s="1333"/>
      <c r="X292" s="1333"/>
      <c r="Y292" s="1333"/>
      <c r="Z292" s="1333"/>
      <c r="AA292" s="1333"/>
      <c r="AB292" s="1333"/>
      <c r="AC292" s="1333"/>
      <c r="AD292" s="1333"/>
      <c r="AE292" s="1333"/>
      <c r="AF292" s="1333"/>
      <c r="AG292" s="1333"/>
      <c r="AH292" s="1333"/>
      <c r="AI292" s="1333"/>
      <c r="AJ292" s="1333"/>
    </row>
    <row r="293" spans="1:49" s="545" customFormat="1" ht="15.75" customHeight="1" x14ac:dyDescent="0.25">
      <c r="A293" s="1517" t="str">
        <f>IF(COUNTIF('04 - 95% CD'!D293:G293,"Y")&gt;0,"Y",IF(COUNTIF('04 - 95% CD'!D293:G293,"N"),"N",""))</f>
        <v>Y</v>
      </c>
      <c r="B293" s="554"/>
      <c r="C293" s="944"/>
      <c r="D293" s="463"/>
      <c r="E293" s="463"/>
      <c r="F293" s="359" t="str">
        <f>IF('C-Design&amp;Const'!$U293="","",'C-Design&amp;Const'!$U293)</f>
        <v>Y</v>
      </c>
      <c r="G293" s="291"/>
      <c r="H293" s="469" t="str">
        <f>CONCATENATE(IF(F293="N","PLACEHOLDER ROW - ",""),'C-Design&amp;Const'!Z293,IF(F293="N","",J293))</f>
        <v>Heating and A/C Demolition(s) (Record)</v>
      </c>
      <c r="I293" s="552"/>
      <c r="J293" s="578" t="str">
        <f>IF('C-Design&amp;Const'!AK293="","",'C-Design&amp;Const'!AK293)</f>
        <v>(Record)</v>
      </c>
      <c r="K293" s="285" t="str">
        <f t="shared" ref="K293" si="32">IF((COUNTIF(D293:G293,"Y")=COUNTIF(A293,"Y")),"match","no 95% match")</f>
        <v>match</v>
      </c>
      <c r="L293" s="1410" t="str">
        <f t="shared" ref="L293" si="33">CONCATENATE(IF(ISNUMBER(SEARCH("Placeholder",H293))=TRUE,"&lt;---PM/Planner may hide PLACEHOLDER ROW",""))</f>
        <v/>
      </c>
      <c r="M293" s="1382"/>
      <c r="N293" s="1382"/>
      <c r="O293" s="1382"/>
      <c r="P293" s="1382"/>
      <c r="Q293" s="1382"/>
      <c r="R293" s="1382"/>
      <c r="S293" s="1382"/>
      <c r="T293" s="1382"/>
      <c r="U293" s="1382"/>
      <c r="V293" s="1382"/>
      <c r="W293" s="1382"/>
      <c r="X293" s="1382"/>
      <c r="Y293" s="1382"/>
      <c r="Z293" s="1382"/>
      <c r="AA293" s="1382"/>
      <c r="AB293" s="1382"/>
      <c r="AC293" s="1382"/>
      <c r="AD293" s="1382"/>
      <c r="AE293" s="1382"/>
      <c r="AF293" s="1382"/>
      <c r="AG293" s="1382"/>
      <c r="AH293" s="1382"/>
      <c r="AI293" s="1382"/>
      <c r="AJ293" s="1382"/>
      <c r="AK293" s="551"/>
      <c r="AL293" s="551"/>
      <c r="AM293" s="551"/>
      <c r="AN293" s="551"/>
      <c r="AO293" s="551"/>
      <c r="AP293" s="551"/>
      <c r="AQ293" s="551"/>
      <c r="AR293" s="551"/>
      <c r="AS293" s="551"/>
      <c r="AT293" s="551"/>
      <c r="AU293" s="551"/>
      <c r="AV293" s="551"/>
      <c r="AW293" s="551"/>
    </row>
    <row r="294" spans="1:49" x14ac:dyDescent="0.25">
      <c r="A294" s="1520" t="str">
        <f>IF(COUNTIF('04 - 95% CD'!D294:G294,"Y")&gt;0,"Y",IF(COUNTIF('04 - 95% CD'!D294:G294,"N"),"N",""))</f>
        <v>Y</v>
      </c>
      <c r="B294" s="125"/>
      <c r="C294" s="944"/>
      <c r="D294" s="411"/>
      <c r="E294" s="321"/>
      <c r="F294" s="559" t="str">
        <f>IF('C-Design&amp;Const'!$U294="","",'C-Design&amp;Const'!$U294)</f>
        <v>Y</v>
      </c>
      <c r="G294" s="485"/>
      <c r="H294" s="469" t="str">
        <f>CONCATENATE(IF(F294="N","PLACEHOLDER ROW - ",""),'C-Design&amp;Const'!Z294,IF(F294="N","",J294))</f>
        <v>Heating and A/C Floor Plans (Record)</v>
      </c>
      <c r="I294" s="137"/>
      <c r="J294" s="578" t="str">
        <f>IF('C-Design&amp;Const'!AK294="","",'C-Design&amp;Const'!AK294)</f>
        <v>(Record)</v>
      </c>
      <c r="K294" s="285" t="str">
        <f t="shared" si="28"/>
        <v>match</v>
      </c>
      <c r="L294" s="1410" t="str">
        <f t="shared" si="29"/>
        <v/>
      </c>
      <c r="M294" s="1333"/>
      <c r="N294" s="1333"/>
      <c r="O294" s="1333"/>
      <c r="P294" s="1333"/>
      <c r="Q294" s="1333"/>
      <c r="R294" s="1284"/>
      <c r="S294" s="1513"/>
      <c r="T294" s="1404"/>
      <c r="U294" s="1333"/>
      <c r="V294" s="1333"/>
      <c r="W294" s="1333"/>
      <c r="X294" s="1333"/>
      <c r="Y294" s="1333"/>
      <c r="Z294" s="1333"/>
      <c r="AA294" s="1333"/>
      <c r="AB294" s="1333"/>
      <c r="AC294" s="1333"/>
      <c r="AD294" s="1333"/>
      <c r="AE294" s="1333"/>
      <c r="AF294" s="1333"/>
      <c r="AG294" s="1333"/>
      <c r="AH294" s="1333"/>
      <c r="AI294" s="1333"/>
      <c r="AJ294" s="1333"/>
    </row>
    <row r="295" spans="1:49" x14ac:dyDescent="0.25">
      <c r="A295" s="1520" t="str">
        <f>IF(COUNTIF('04 - 95% CD'!D295:G295,"Y")&gt;0,"Y",IF(COUNTIF('04 - 95% CD'!D295:G295,"N"),"N",""))</f>
        <v>Y</v>
      </c>
      <c r="B295" s="125"/>
      <c r="C295" s="944"/>
      <c r="D295" s="411"/>
      <c r="E295" s="321"/>
      <c r="F295" s="559" t="str">
        <f>IF('C-Design&amp;Const'!$U295="","",'C-Design&amp;Const'!$U295)</f>
        <v>Y</v>
      </c>
      <c r="G295" s="485"/>
      <c r="H295" s="469" t="str">
        <f>CONCATENATE(IF(F295="N","PLACEHOLDER ROW - ",""),'C-Design&amp;Const'!Z295,IF(F295="N","",J295))</f>
        <v>Heating and Cooling Piping Isometrics/Flow Diagrams (Record)</v>
      </c>
      <c r="I295" s="137"/>
      <c r="J295" s="578" t="str">
        <f>IF('C-Design&amp;Const'!AK295="","",'C-Design&amp;Const'!AK295)</f>
        <v>(Record)</v>
      </c>
      <c r="K295" s="285" t="str">
        <f t="shared" si="28"/>
        <v>match</v>
      </c>
      <c r="L295" s="1410" t="str">
        <f t="shared" si="29"/>
        <v/>
      </c>
      <c r="M295" s="1333"/>
      <c r="N295" s="1333"/>
      <c r="O295" s="1333"/>
      <c r="P295" s="1333"/>
      <c r="Q295" s="1333"/>
      <c r="R295" s="1453"/>
      <c r="S295" s="1364"/>
      <c r="T295" s="1404"/>
      <c r="U295" s="1333"/>
      <c r="V295" s="1333"/>
      <c r="W295" s="1333"/>
      <c r="X295" s="1333"/>
      <c r="Y295" s="1333"/>
      <c r="Z295" s="1333"/>
      <c r="AA295" s="1333"/>
      <c r="AB295" s="1333"/>
      <c r="AC295" s="1333"/>
      <c r="AD295" s="1333"/>
      <c r="AE295" s="1333"/>
      <c r="AF295" s="1333"/>
      <c r="AG295" s="1333"/>
      <c r="AH295" s="1333"/>
      <c r="AI295" s="1333"/>
      <c r="AJ295" s="1333"/>
    </row>
    <row r="296" spans="1:49" x14ac:dyDescent="0.25">
      <c r="A296" s="1520" t="str">
        <f>IF(COUNTIF('04 - 95% CD'!D296:G296,"Y")&gt;0,"Y",IF(COUNTIF('04 - 95% CD'!D296:G296,"N"),"N",""))</f>
        <v>Y</v>
      </c>
      <c r="B296" s="125"/>
      <c r="C296" s="944"/>
      <c r="D296" s="411"/>
      <c r="E296" s="321"/>
      <c r="F296" s="559" t="str">
        <f>IF('C-Design&amp;Const'!$U296="","",'C-Design&amp;Const'!$U296)</f>
        <v>Y</v>
      </c>
      <c r="G296" s="485"/>
      <c r="H296" s="469" t="str">
        <f>CONCATENATE(IF(F296="N","PLACEHOLDER ROW - ",""),'C-Design&amp;Const'!Z296,IF(F296="N","",J296))</f>
        <v>Heating and A/C Large Scale Mechanical Room Plans (Record)</v>
      </c>
      <c r="I296" s="137"/>
      <c r="J296" s="578" t="str">
        <f>IF('C-Design&amp;Const'!AK296="","",'C-Design&amp;Const'!AK296)</f>
        <v>(Record)</v>
      </c>
      <c r="K296" s="285" t="str">
        <f t="shared" si="28"/>
        <v>match</v>
      </c>
      <c r="L296" s="1410" t="str">
        <f t="shared" si="29"/>
        <v/>
      </c>
      <c r="M296" s="1333"/>
      <c r="N296" s="1333"/>
      <c r="O296" s="1333"/>
      <c r="P296" s="1333"/>
      <c r="Q296" s="1333"/>
      <c r="R296" s="1453"/>
      <c r="S296" s="1364"/>
      <c r="T296" s="1404"/>
      <c r="U296" s="1333"/>
      <c r="V296" s="1333"/>
      <c r="W296" s="1333"/>
      <c r="X296" s="1333"/>
      <c r="Y296" s="1333"/>
      <c r="Z296" s="1333"/>
      <c r="AA296" s="1333"/>
      <c r="AB296" s="1333"/>
      <c r="AC296" s="1333"/>
      <c r="AD296" s="1333"/>
      <c r="AE296" s="1333"/>
      <c r="AF296" s="1333"/>
      <c r="AG296" s="1333"/>
      <c r="AH296" s="1333"/>
      <c r="AI296" s="1333"/>
      <c r="AJ296" s="1333"/>
    </row>
    <row r="297" spans="1:49" x14ac:dyDescent="0.25">
      <c r="A297" s="1520" t="str">
        <f>IF(COUNTIF('04 - 95% CD'!D297:G297,"Y")&gt;0,"Y",IF(COUNTIF('04 - 95% CD'!D297:G297,"N"),"N",""))</f>
        <v>Y</v>
      </c>
      <c r="B297" s="125"/>
      <c r="C297" s="944"/>
      <c r="D297" s="411"/>
      <c r="E297" s="321"/>
      <c r="F297" s="559" t="str">
        <f>IF('C-Design&amp;Const'!$U297="","",'C-Design&amp;Const'!$U297)</f>
        <v>Y</v>
      </c>
      <c r="G297" s="485"/>
      <c r="H297" s="469" t="str">
        <f>CONCATENATE(IF(F297="N","PLACEHOLDER ROW - ",""),'C-Design&amp;Const'!Z297,IF(F297="N","",J297))</f>
        <v>Heating and A/C Equipment Schedule (Record)</v>
      </c>
      <c r="I297" s="137"/>
      <c r="J297" s="578" t="str">
        <f>IF('C-Design&amp;Const'!AK297="","",'C-Design&amp;Const'!AK297)</f>
        <v>(Record)</v>
      </c>
      <c r="K297" s="285" t="str">
        <f t="shared" si="28"/>
        <v>match</v>
      </c>
      <c r="L297" s="1410" t="str">
        <f t="shared" si="29"/>
        <v/>
      </c>
      <c r="M297" s="1333"/>
      <c r="N297" s="1333"/>
      <c r="O297" s="1333"/>
      <c r="P297" s="1333"/>
      <c r="Q297" s="1333"/>
      <c r="R297" s="1453"/>
      <c r="S297" s="1364"/>
      <c r="T297" s="1404"/>
      <c r="U297" s="1333"/>
      <c r="V297" s="1333"/>
      <c r="W297" s="1333"/>
      <c r="X297" s="1333"/>
      <c r="Y297" s="1333"/>
      <c r="Z297" s="1333"/>
      <c r="AA297" s="1333"/>
      <c r="AB297" s="1333"/>
      <c r="AC297" s="1333"/>
      <c r="AD297" s="1333"/>
      <c r="AE297" s="1333"/>
      <c r="AF297" s="1333"/>
      <c r="AG297" s="1333"/>
      <c r="AH297" s="1333"/>
      <c r="AI297" s="1333"/>
      <c r="AJ297" s="1333"/>
    </row>
    <row r="298" spans="1:49" x14ac:dyDescent="0.25">
      <c r="A298" s="1520" t="str">
        <f>IF(COUNTIF('04 - 95% CD'!D298:G298,"Y")&gt;0,"Y",IF(COUNTIF('04 - 95% CD'!D298:G298,"N"),"N",""))</f>
        <v>Y</v>
      </c>
      <c r="B298" s="125"/>
      <c r="C298" s="944"/>
      <c r="D298" s="411"/>
      <c r="E298" s="321"/>
      <c r="F298" s="559" t="str">
        <f>IF('C-Design&amp;Const'!$U298="","",'C-Design&amp;Const'!$U298)</f>
        <v>Y</v>
      </c>
      <c r="G298" s="521"/>
      <c r="H298" s="1038" t="str">
        <f>CONCATENATE(IF(F298="N","PLACEHOLDER ROW - ",""),'C-Design&amp;Const'!Z298,IF(F298="N","",J298))</f>
        <v>Heating and A/C Details and Sections (Record)</v>
      </c>
      <c r="I298" s="137"/>
      <c r="J298" s="578" t="str">
        <f>IF('C-Design&amp;Const'!AK298="","",'C-Design&amp;Const'!AK298)</f>
        <v>(Record)</v>
      </c>
      <c r="K298" s="285" t="str">
        <f t="shared" si="28"/>
        <v>match</v>
      </c>
      <c r="L298" s="1410" t="str">
        <f t="shared" si="29"/>
        <v/>
      </c>
      <c r="M298" s="1333"/>
      <c r="N298" s="1333"/>
      <c r="O298" s="1333"/>
      <c r="P298" s="1333"/>
      <c r="Q298" s="1333"/>
      <c r="R298" s="1453"/>
      <c r="S298" s="1364"/>
      <c r="T298" s="1404"/>
      <c r="U298" s="1333"/>
      <c r="V298" s="1333"/>
      <c r="W298" s="1333"/>
      <c r="X298" s="1333"/>
      <c r="Y298" s="1333"/>
      <c r="Z298" s="1333"/>
      <c r="AA298" s="1333"/>
      <c r="AB298" s="1333"/>
      <c r="AC298" s="1333"/>
      <c r="AD298" s="1333"/>
      <c r="AE298" s="1333"/>
      <c r="AF298" s="1333"/>
      <c r="AG298" s="1333"/>
      <c r="AH298" s="1333"/>
      <c r="AI298" s="1333"/>
      <c r="AJ298" s="1333"/>
    </row>
    <row r="299" spans="1:49" x14ac:dyDescent="0.25">
      <c r="A299" s="1407" t="str">
        <f>IF(COUNTIF('04 - 95% CD'!D299:G299,"Y")&gt;0,"Y",IF(COUNTIF('04 - 95% CD'!D299:G299,"N"),"N",""))</f>
        <v>Y</v>
      </c>
      <c r="B299" s="125"/>
      <c r="C299" s="944"/>
      <c r="D299" s="411"/>
      <c r="E299" s="559" t="str">
        <f>IF('C-Design&amp;Const'!$U299="","",'C-Design&amp;Const'!$U299)</f>
        <v>Y</v>
      </c>
      <c r="F299" s="560"/>
      <c r="G299" s="558"/>
      <c r="H299" s="244" t="str">
        <f>CONCATENATE(IF(F299="N","PLACEHOLDER ROW - ",""),'C-Design&amp;Const'!Z299,IF(F299="N","",J299))</f>
        <v>Ventilation Drawings(Record)</v>
      </c>
      <c r="I299" s="146"/>
      <c r="J299" s="578" t="str">
        <f>IF('C-Design&amp;Const'!AK299="","",'C-Design&amp;Const'!AK299)</f>
        <v>(Record)</v>
      </c>
      <c r="K299" s="285" t="str">
        <f t="shared" si="28"/>
        <v>match</v>
      </c>
      <c r="L299" s="1410" t="str">
        <f t="shared" si="29"/>
        <v/>
      </c>
      <c r="M299" s="1333"/>
      <c r="N299" s="1333"/>
      <c r="O299" s="1333"/>
      <c r="P299" s="1333"/>
      <c r="Q299" s="1333"/>
      <c r="R299" s="1453"/>
      <c r="S299" s="1364"/>
      <c r="T299" s="1404"/>
      <c r="U299" s="1333"/>
      <c r="V299" s="1333"/>
      <c r="W299" s="1333"/>
      <c r="X299" s="1333"/>
      <c r="Y299" s="1333"/>
      <c r="Z299" s="1333"/>
      <c r="AA299" s="1333"/>
      <c r="AB299" s="1333"/>
      <c r="AC299" s="1333"/>
      <c r="AD299" s="1333"/>
      <c r="AE299" s="1333"/>
      <c r="AF299" s="1333"/>
      <c r="AG299" s="1333"/>
      <c r="AH299" s="1333"/>
      <c r="AI299" s="1333"/>
      <c r="AJ299" s="1333"/>
    </row>
    <row r="300" spans="1:49" s="30" customFormat="1" ht="15.75" customHeight="1" x14ac:dyDescent="0.25">
      <c r="A300" s="1517" t="str">
        <f>IF(COUNTIF('04 - 95% CD'!D300:G300,"Y")&gt;0,"Y",IF(COUNTIF('04 - 95% CD'!D300:G300,"N"),"N",""))</f>
        <v>N</v>
      </c>
      <c r="B300" s="191"/>
      <c r="C300" s="944"/>
      <c r="D300" s="463"/>
      <c r="E300" s="463"/>
      <c r="F300" s="359" t="str">
        <f>IF('C-Design&amp;Const'!$U300="","",'C-Design&amp;Const'!$U300)</f>
        <v>N</v>
      </c>
      <c r="G300" s="291"/>
      <c r="H300" s="469" t="str">
        <f>CONCATENATE(IF(F300="N","PLACEHOLDER ROW - ",""),'C-Design&amp;Const'!Z300,IF(F300="N","",J300))</f>
        <v xml:space="preserve">PLACEHOLDER ROW - CUSTOM - Ventilation  </v>
      </c>
      <c r="I300" s="184"/>
      <c r="J300" s="578" t="str">
        <f>IF('C-Design&amp;Const'!AK300="","",'C-Design&amp;Const'!AK300)</f>
        <v>(Record)</v>
      </c>
      <c r="K300" s="285" t="str">
        <f t="shared" si="28"/>
        <v>match</v>
      </c>
      <c r="L300" s="1410" t="str">
        <f t="shared" si="29"/>
        <v>&lt;---PM/Planner may hide PLACEHOLDER ROW</v>
      </c>
      <c r="M300" s="1382"/>
      <c r="N300" s="1382"/>
      <c r="O300" s="1382"/>
      <c r="P300" s="1382"/>
      <c r="Q300" s="1382"/>
      <c r="R300" s="1382"/>
      <c r="S300" s="1382"/>
      <c r="T300" s="1382"/>
      <c r="U300" s="1382"/>
      <c r="V300" s="1382"/>
      <c r="W300" s="1382"/>
      <c r="X300" s="1382"/>
      <c r="Y300" s="1382"/>
      <c r="Z300" s="1382"/>
      <c r="AA300" s="1382"/>
      <c r="AB300" s="1382"/>
      <c r="AC300" s="1382"/>
      <c r="AD300" s="1382"/>
      <c r="AE300" s="1382"/>
      <c r="AF300" s="1382"/>
      <c r="AG300" s="1382"/>
      <c r="AH300" s="1382"/>
      <c r="AI300" s="1382"/>
      <c r="AJ300" s="1382"/>
      <c r="AK300" s="181"/>
      <c r="AL300" s="181"/>
      <c r="AM300" s="181"/>
      <c r="AN300" s="181"/>
      <c r="AO300" s="181"/>
      <c r="AP300" s="181"/>
      <c r="AQ300" s="181"/>
      <c r="AR300" s="181"/>
      <c r="AS300" s="181"/>
      <c r="AT300" s="181"/>
      <c r="AU300" s="181"/>
      <c r="AV300" s="181"/>
      <c r="AW300" s="181"/>
    </row>
    <row r="301" spans="1:49" s="30" customFormat="1" ht="15.75" customHeight="1" x14ac:dyDescent="0.25">
      <c r="A301" s="1517" t="str">
        <f>IF(COUNTIF('04 - 95% CD'!D301:G301,"Y")&gt;0,"Y",IF(COUNTIF('04 - 95% CD'!D301:G301,"N"),"N",""))</f>
        <v>N</v>
      </c>
      <c r="B301" s="191"/>
      <c r="C301" s="944"/>
      <c r="D301" s="463"/>
      <c r="E301" s="463"/>
      <c r="F301" s="359" t="str">
        <f>IF('C-Design&amp;Const'!$U301="","",'C-Design&amp;Const'!$U301)</f>
        <v>N</v>
      </c>
      <c r="G301" s="291"/>
      <c r="H301" s="469" t="str">
        <f>CONCATENATE(IF(F301="N","PLACEHOLDER ROW - ",""),'C-Design&amp;Const'!Z301,IF(F301="N","",J301))</f>
        <v xml:space="preserve">PLACEHOLDER ROW - CUSTOM - Ventilation  </v>
      </c>
      <c r="I301" s="184"/>
      <c r="J301" s="578" t="str">
        <f>IF('C-Design&amp;Const'!AK301="","",'C-Design&amp;Const'!AK301)</f>
        <v>(Record)</v>
      </c>
      <c r="K301" s="285" t="str">
        <f t="shared" si="28"/>
        <v>match</v>
      </c>
      <c r="L301" s="1410" t="str">
        <f t="shared" si="29"/>
        <v>&lt;---PM/Planner may hide PLACEHOLDER ROW</v>
      </c>
      <c r="M301" s="1382"/>
      <c r="N301" s="1382"/>
      <c r="O301" s="1382"/>
      <c r="P301" s="1382"/>
      <c r="Q301" s="1382"/>
      <c r="R301" s="1382"/>
      <c r="S301" s="1382"/>
      <c r="T301" s="1382"/>
      <c r="U301" s="1382"/>
      <c r="V301" s="1382"/>
      <c r="W301" s="1382"/>
      <c r="X301" s="1382"/>
      <c r="Y301" s="1382"/>
      <c r="Z301" s="1382"/>
      <c r="AA301" s="1382"/>
      <c r="AB301" s="1382"/>
      <c r="AC301" s="1382"/>
      <c r="AD301" s="1382"/>
      <c r="AE301" s="1382"/>
      <c r="AF301" s="1382"/>
      <c r="AG301" s="1382"/>
      <c r="AH301" s="1382"/>
      <c r="AI301" s="1382"/>
      <c r="AJ301" s="1382"/>
      <c r="AK301" s="181"/>
      <c r="AL301" s="181"/>
      <c r="AM301" s="181"/>
      <c r="AN301" s="181"/>
      <c r="AO301" s="181"/>
      <c r="AP301" s="181"/>
      <c r="AQ301" s="181"/>
      <c r="AR301" s="181"/>
      <c r="AS301" s="181"/>
      <c r="AT301" s="181"/>
      <c r="AU301" s="181"/>
      <c r="AV301" s="181"/>
      <c r="AW301" s="181"/>
    </row>
    <row r="302" spans="1:49" x14ac:dyDescent="0.25">
      <c r="A302" s="1520" t="str">
        <f>IF(COUNTIF('04 - 95% CD'!D302:G302,"Y")&gt;0,"Y",IF(COUNTIF('04 - 95% CD'!D302:G302,"N"),"N",""))</f>
        <v>Y</v>
      </c>
      <c r="B302" s="125"/>
      <c r="C302" s="944"/>
      <c r="D302" s="411"/>
      <c r="E302" s="321"/>
      <c r="F302" s="559" t="str">
        <f>IF('C-Design&amp;Const'!$U302="","",'C-Design&amp;Const'!$U302)</f>
        <v>Y</v>
      </c>
      <c r="G302" s="485"/>
      <c r="H302" s="469" t="str">
        <f>CONCATENATE(IF(F302="N","PLACEHOLDER ROW - ",""),'C-Design&amp;Const'!Z302,IF(F302="N","",J302))</f>
        <v>Ventilation Symbols, Abbreviations, and General Notes (Record)</v>
      </c>
      <c r="I302" s="137"/>
      <c r="J302" s="578" t="str">
        <f>IF('C-Design&amp;Const'!AK302="","",'C-Design&amp;Const'!AK302)</f>
        <v>(Record)</v>
      </c>
      <c r="K302" s="285" t="str">
        <f t="shared" si="28"/>
        <v>match</v>
      </c>
      <c r="L302" s="1410" t="str">
        <f t="shared" si="29"/>
        <v/>
      </c>
      <c r="M302" s="1333"/>
      <c r="N302" s="1333"/>
      <c r="O302" s="1333"/>
      <c r="P302" s="1333"/>
      <c r="Q302" s="1333"/>
      <c r="R302" s="1284"/>
      <c r="S302" s="1513"/>
      <c r="T302" s="1404"/>
      <c r="U302" s="1333"/>
      <c r="V302" s="1333"/>
      <c r="W302" s="1333"/>
      <c r="X302" s="1333"/>
      <c r="Y302" s="1333"/>
      <c r="Z302" s="1333"/>
      <c r="AA302" s="1333"/>
      <c r="AB302" s="1333"/>
      <c r="AC302" s="1333"/>
      <c r="AD302" s="1333"/>
      <c r="AE302" s="1333"/>
      <c r="AF302" s="1333"/>
      <c r="AG302" s="1333"/>
      <c r="AH302" s="1333"/>
      <c r="AI302" s="1333"/>
      <c r="AJ302" s="1333"/>
    </row>
    <row r="303" spans="1:49" s="545" customFormat="1" ht="15.75" customHeight="1" x14ac:dyDescent="0.25">
      <c r="A303" s="1517" t="str">
        <f>IF(COUNTIF('04 - 95% CD'!D303:G303,"Y")&gt;0,"Y",IF(COUNTIF('04 - 95% CD'!D303:G303,"N"),"N",""))</f>
        <v>Y</v>
      </c>
      <c r="B303" s="554"/>
      <c r="C303" s="944"/>
      <c r="D303" s="463"/>
      <c r="E303" s="463"/>
      <c r="F303" s="359" t="str">
        <f>IF('C-Design&amp;Const'!$U303="","",'C-Design&amp;Const'!$U303)</f>
        <v>Y</v>
      </c>
      <c r="G303" s="291"/>
      <c r="H303" s="469" t="str">
        <f>CONCATENATE(IF(F303="N","PLACEHOLDER ROW - ",""),'C-Design&amp;Const'!Z303,IF(F303="N","",J303))</f>
        <v>Ventilation Demolition(s) (Record)</v>
      </c>
      <c r="I303" s="552"/>
      <c r="J303" s="578" t="str">
        <f>IF('C-Design&amp;Const'!AK303="","",'C-Design&amp;Const'!AK303)</f>
        <v>(Record)</v>
      </c>
      <c r="K303" s="285" t="str">
        <f t="shared" si="28"/>
        <v>match</v>
      </c>
      <c r="L303" s="1410" t="str">
        <f t="shared" si="29"/>
        <v/>
      </c>
      <c r="M303" s="1382"/>
      <c r="N303" s="1382"/>
      <c r="O303" s="1382"/>
      <c r="P303" s="1382"/>
      <c r="Q303" s="1382"/>
      <c r="R303" s="1382"/>
      <c r="S303" s="1382"/>
      <c r="T303" s="1382"/>
      <c r="U303" s="1382"/>
      <c r="V303" s="1382"/>
      <c r="W303" s="1382"/>
      <c r="X303" s="1382"/>
      <c r="Y303" s="1382"/>
      <c r="Z303" s="1382"/>
      <c r="AA303" s="1382"/>
      <c r="AB303" s="1382"/>
      <c r="AC303" s="1382"/>
      <c r="AD303" s="1382"/>
      <c r="AE303" s="1382"/>
      <c r="AF303" s="1382"/>
      <c r="AG303" s="1382"/>
      <c r="AH303" s="1382"/>
      <c r="AI303" s="1382"/>
      <c r="AJ303" s="1382"/>
      <c r="AK303" s="551"/>
      <c r="AL303" s="551"/>
      <c r="AM303" s="551"/>
      <c r="AN303" s="551"/>
      <c r="AO303" s="551"/>
      <c r="AP303" s="551"/>
      <c r="AQ303" s="551"/>
      <c r="AR303" s="551"/>
      <c r="AS303" s="551"/>
      <c r="AT303" s="551"/>
      <c r="AU303" s="551"/>
      <c r="AV303" s="551"/>
      <c r="AW303" s="551"/>
    </row>
    <row r="304" spans="1:49" x14ac:dyDescent="0.25">
      <c r="A304" s="1520" t="str">
        <f>IF(COUNTIF('04 - 95% CD'!D304:G304,"Y")&gt;0,"Y",IF(COUNTIF('04 - 95% CD'!D304:G304,"N"),"N",""))</f>
        <v>Y</v>
      </c>
      <c r="B304" s="125"/>
      <c r="C304" s="944"/>
      <c r="D304" s="411"/>
      <c r="E304" s="321"/>
      <c r="F304" s="559" t="str">
        <f>IF('C-Design&amp;Const'!$U304="","",'C-Design&amp;Const'!$U304)</f>
        <v>Y</v>
      </c>
      <c r="G304" s="485"/>
      <c r="H304" s="469" t="str">
        <f>CONCATENATE(IF(F304="N","PLACEHOLDER ROW - ",""),'C-Design&amp;Const'!Z304,IF(F304="N","",J304))</f>
        <v>Ventilation Floor Plans (Record)</v>
      </c>
      <c r="I304" s="137"/>
      <c r="J304" s="578" t="str">
        <f>IF('C-Design&amp;Const'!AK304="","",'C-Design&amp;Const'!AK304)</f>
        <v>(Record)</v>
      </c>
      <c r="K304" s="285" t="str">
        <f t="shared" si="28"/>
        <v>match</v>
      </c>
      <c r="L304" s="1410" t="str">
        <f t="shared" si="29"/>
        <v/>
      </c>
      <c r="M304" s="1333"/>
      <c r="N304" s="1333"/>
      <c r="O304" s="1333"/>
      <c r="P304" s="1333"/>
      <c r="Q304" s="1333"/>
      <c r="R304" s="1453"/>
      <c r="S304" s="1364"/>
      <c r="T304" s="1404"/>
      <c r="U304" s="1333"/>
      <c r="V304" s="1333"/>
      <c r="W304" s="1333"/>
      <c r="X304" s="1333"/>
      <c r="Y304" s="1333"/>
      <c r="Z304" s="1333"/>
      <c r="AA304" s="1333"/>
      <c r="AB304" s="1333"/>
      <c r="AC304" s="1333"/>
      <c r="AD304" s="1333"/>
      <c r="AE304" s="1333"/>
      <c r="AF304" s="1333"/>
      <c r="AG304" s="1333"/>
      <c r="AH304" s="1333"/>
      <c r="AI304" s="1333"/>
      <c r="AJ304" s="1333"/>
    </row>
    <row r="305" spans="1:49" x14ac:dyDescent="0.25">
      <c r="A305" s="1520" t="str">
        <f>IF(COUNTIF('04 - 95% CD'!D305:G305,"Y")&gt;0,"Y",IF(COUNTIF('04 - 95% CD'!D305:G305,"N"),"N",""))</f>
        <v>Y</v>
      </c>
      <c r="B305" s="125"/>
      <c r="C305" s="944"/>
      <c r="D305" s="411"/>
      <c r="E305" s="321"/>
      <c r="F305" s="559" t="str">
        <f>IF('C-Design&amp;Const'!$U305="","",'C-Design&amp;Const'!$U305)</f>
        <v>Y</v>
      </c>
      <c r="G305" s="485"/>
      <c r="H305" s="469" t="str">
        <f>CONCATENATE(IF(F305="N","PLACEHOLDER ROW - ",""),'C-Design&amp;Const'!Z305,IF(F305="N","",J305))</f>
        <v>Ventilation Air Flow Diagrams (Record)</v>
      </c>
      <c r="I305" s="137"/>
      <c r="J305" s="578" t="str">
        <f>IF('C-Design&amp;Const'!AK305="","",'C-Design&amp;Const'!AK305)</f>
        <v>(Record)</v>
      </c>
      <c r="K305" s="285" t="str">
        <f t="shared" si="28"/>
        <v>match</v>
      </c>
      <c r="L305" s="1410" t="str">
        <f t="shared" si="29"/>
        <v/>
      </c>
      <c r="M305" s="1333"/>
      <c r="N305" s="1333"/>
      <c r="O305" s="1333"/>
      <c r="P305" s="1333"/>
      <c r="Q305" s="1333"/>
      <c r="R305" s="1453"/>
      <c r="S305" s="1364"/>
      <c r="T305" s="1404"/>
      <c r="U305" s="1333"/>
      <c r="V305" s="1333"/>
      <c r="W305" s="1333"/>
      <c r="X305" s="1333"/>
      <c r="Y305" s="1333"/>
      <c r="Z305" s="1333"/>
      <c r="AA305" s="1333"/>
      <c r="AB305" s="1333"/>
      <c r="AC305" s="1333"/>
      <c r="AD305" s="1333"/>
      <c r="AE305" s="1333"/>
      <c r="AF305" s="1333"/>
      <c r="AG305" s="1333"/>
      <c r="AH305" s="1333"/>
      <c r="AI305" s="1333"/>
      <c r="AJ305" s="1333"/>
    </row>
    <row r="306" spans="1:49" x14ac:dyDescent="0.25">
      <c r="A306" s="1520" t="str">
        <f>IF(COUNTIF('04 - 95% CD'!D306:G306,"Y")&gt;0,"Y",IF(COUNTIF('04 - 95% CD'!D306:G306,"N"),"N",""))</f>
        <v>Y</v>
      </c>
      <c r="B306" s="125"/>
      <c r="C306" s="944"/>
      <c r="D306" s="411"/>
      <c r="E306" s="321"/>
      <c r="F306" s="559" t="str">
        <f>IF('C-Design&amp;Const'!$U306="","",'C-Design&amp;Const'!$U306)</f>
        <v>Y</v>
      </c>
      <c r="G306" s="485"/>
      <c r="H306" s="469" t="str">
        <f>CONCATENATE(IF(F306="N","PLACEHOLDER ROW - ",""),'C-Design&amp;Const'!Z306,IF(F306="N","",J306))</f>
        <v>Ventilation Large Scale Mechanical Room Plans (Record)</v>
      </c>
      <c r="I306" s="137"/>
      <c r="J306" s="578" t="str">
        <f>IF('C-Design&amp;Const'!AK306="","",'C-Design&amp;Const'!AK306)</f>
        <v>(Record)</v>
      </c>
      <c r="K306" s="285" t="str">
        <f t="shared" si="28"/>
        <v>match</v>
      </c>
      <c r="L306" s="1410" t="str">
        <f t="shared" si="29"/>
        <v/>
      </c>
      <c r="M306" s="1333"/>
      <c r="N306" s="1333"/>
      <c r="O306" s="1333"/>
      <c r="P306" s="1333"/>
      <c r="Q306" s="1333"/>
      <c r="R306" s="1453"/>
      <c r="S306" s="1364"/>
      <c r="T306" s="1404"/>
      <c r="U306" s="1333"/>
      <c r="V306" s="1333"/>
      <c r="W306" s="1333"/>
      <c r="X306" s="1333"/>
      <c r="Y306" s="1333"/>
      <c r="Z306" s="1333"/>
      <c r="AA306" s="1333"/>
      <c r="AB306" s="1333"/>
      <c r="AC306" s="1333"/>
      <c r="AD306" s="1333"/>
      <c r="AE306" s="1333"/>
      <c r="AF306" s="1333"/>
      <c r="AG306" s="1333"/>
      <c r="AH306" s="1333"/>
      <c r="AI306" s="1333"/>
      <c r="AJ306" s="1333"/>
    </row>
    <row r="307" spans="1:49" x14ac:dyDescent="0.25">
      <c r="A307" s="1520" t="str">
        <f>IF(COUNTIF('04 - 95% CD'!D307:G307,"Y")&gt;0,"Y",IF(COUNTIF('04 - 95% CD'!D307:G307,"N"),"N",""))</f>
        <v>Y</v>
      </c>
      <c r="B307" s="125"/>
      <c r="C307" s="944"/>
      <c r="D307" s="411"/>
      <c r="E307" s="321"/>
      <c r="F307" s="559" t="str">
        <f>IF('C-Design&amp;Const'!$U307="","",'C-Design&amp;Const'!$U307)</f>
        <v>Y</v>
      </c>
      <c r="G307" s="485"/>
      <c r="H307" s="469" t="str">
        <f>CONCATENATE(IF(F307="N","PLACEHOLDER ROW - ",""),'C-Design&amp;Const'!Z307,IF(F307="N","",J307))</f>
        <v>Ventilation Details and Sections (Record)</v>
      </c>
      <c r="I307" s="137"/>
      <c r="J307" s="578" t="str">
        <f>IF('C-Design&amp;Const'!AK307="","",'C-Design&amp;Const'!AK307)</f>
        <v>(Record)</v>
      </c>
      <c r="K307" s="285" t="str">
        <f t="shared" si="28"/>
        <v>match</v>
      </c>
      <c r="L307" s="1410" t="str">
        <f t="shared" si="29"/>
        <v/>
      </c>
      <c r="M307" s="1333"/>
      <c r="N307" s="1333"/>
      <c r="O307" s="1333"/>
      <c r="P307" s="1333"/>
      <c r="Q307" s="1333"/>
      <c r="R307" s="1453"/>
      <c r="S307" s="1364"/>
      <c r="T307" s="1404"/>
      <c r="U307" s="1333"/>
      <c r="V307" s="1333"/>
      <c r="W307" s="1333"/>
      <c r="X307" s="1333"/>
      <c r="Y307" s="1333"/>
      <c r="Z307" s="1333"/>
      <c r="AA307" s="1333"/>
      <c r="AB307" s="1333"/>
      <c r="AC307" s="1333"/>
      <c r="AD307" s="1333"/>
      <c r="AE307" s="1333"/>
      <c r="AF307" s="1333"/>
      <c r="AG307" s="1333"/>
      <c r="AH307" s="1333"/>
      <c r="AI307" s="1333"/>
      <c r="AJ307" s="1333"/>
    </row>
    <row r="308" spans="1:49" x14ac:dyDescent="0.25">
      <c r="A308" s="1520" t="str">
        <f>IF(COUNTIF('04 - 95% CD'!D308:G308,"Y")&gt;0,"Y",IF(COUNTIF('04 - 95% CD'!D308:G308,"N"),"N",""))</f>
        <v>Y</v>
      </c>
      <c r="B308" s="125"/>
      <c r="C308" s="944"/>
      <c r="D308" s="411"/>
      <c r="E308" s="321"/>
      <c r="F308" s="559" t="str">
        <f>IF('C-Design&amp;Const'!$U308="","",'C-Design&amp;Const'!$U308)</f>
        <v>Y</v>
      </c>
      <c r="G308" s="485"/>
      <c r="H308" s="469" t="str">
        <f>CONCATENATE(IF(F308="N","PLACEHOLDER ROW - ",""),'C-Design&amp;Const'!Z308,IF(F308="N","",J308))</f>
        <v>Ventilation Equipment Schedule (Record)</v>
      </c>
      <c r="I308" s="137"/>
      <c r="J308" s="578" t="str">
        <f>IF('C-Design&amp;Const'!AK308="","",'C-Design&amp;Const'!AK308)</f>
        <v>(Record)</v>
      </c>
      <c r="K308" s="285" t="str">
        <f t="shared" si="28"/>
        <v>match</v>
      </c>
      <c r="L308" s="1410" t="str">
        <f t="shared" si="29"/>
        <v/>
      </c>
      <c r="M308" s="1333"/>
      <c r="N308" s="1333"/>
      <c r="O308" s="1333"/>
      <c r="P308" s="1333"/>
      <c r="Q308" s="1333"/>
      <c r="R308" s="1453"/>
      <c r="S308" s="1364"/>
      <c r="T308" s="1404"/>
      <c r="U308" s="1333"/>
      <c r="V308" s="1333"/>
      <c r="W308" s="1333"/>
      <c r="X308" s="1333"/>
      <c r="Y308" s="1333"/>
      <c r="Z308" s="1333"/>
      <c r="AA308" s="1333"/>
      <c r="AB308" s="1333"/>
      <c r="AC308" s="1333"/>
      <c r="AD308" s="1333"/>
      <c r="AE308" s="1333"/>
      <c r="AF308" s="1333"/>
      <c r="AG308" s="1333"/>
      <c r="AH308" s="1333"/>
      <c r="AI308" s="1333"/>
      <c r="AJ308" s="1333"/>
    </row>
    <row r="309" spans="1:49" s="542" customFormat="1" x14ac:dyDescent="0.25">
      <c r="A309" s="1407" t="str">
        <f>IF(COUNTIF('04 - 95% CD'!D309:G309,"Y")&gt;0,"Y",IF(COUNTIF('04 - 95% CD'!D309:G309,"N"),"N",""))</f>
        <v>Y</v>
      </c>
      <c r="B309" s="125"/>
      <c r="C309" s="944"/>
      <c r="D309" s="411"/>
      <c r="E309" s="559" t="str">
        <f>IF('C-Design&amp;Const'!$U309="","",'C-Design&amp;Const'!$U309)</f>
        <v>Y</v>
      </c>
      <c r="F309" s="478"/>
      <c r="G309" s="485"/>
      <c r="H309" s="244" t="str">
        <f>CONCATENATE(IF(F309="N","PLACEHOLDER ROW - ",""),'C-Design&amp;Const'!Z309,IF(F309="N","",J309))</f>
        <v>Temperature Control Drawings(Record)</v>
      </c>
      <c r="I309" s="146"/>
      <c r="J309" s="578" t="str">
        <f>IF('C-Design&amp;Const'!AK309="","",'C-Design&amp;Const'!AK309)</f>
        <v>(Record)</v>
      </c>
      <c r="K309" s="285" t="str">
        <f t="shared" ref="K309:K315" si="34">IF((COUNTIF(D309:G309,"Y")=COUNTIF(A309,"Y")),"match","no 95% match")</f>
        <v>match</v>
      </c>
      <c r="L309" s="1410" t="str">
        <f t="shared" ref="L309:L315" si="35">CONCATENATE(IF(ISNUMBER(SEARCH("Placeholder",H309))=TRUE,"&lt;---PM/Planner may hide PLACEHOLDER ROW",""))</f>
        <v/>
      </c>
      <c r="M309" s="1333"/>
      <c r="N309" s="1333"/>
      <c r="O309" s="1333"/>
      <c r="P309" s="1333"/>
      <c r="Q309" s="1333"/>
      <c r="R309" s="1453"/>
      <c r="S309" s="1364"/>
      <c r="T309" s="1404"/>
      <c r="U309" s="1333"/>
      <c r="V309" s="1333"/>
      <c r="W309" s="1333"/>
      <c r="X309" s="1333"/>
      <c r="Y309" s="1333"/>
      <c r="Z309" s="1333"/>
      <c r="AA309" s="1333"/>
      <c r="AB309" s="1333"/>
      <c r="AC309" s="1333"/>
      <c r="AD309" s="1333"/>
      <c r="AE309" s="1333"/>
      <c r="AF309" s="1333"/>
      <c r="AG309" s="1333"/>
      <c r="AH309" s="1333"/>
      <c r="AI309" s="1333"/>
      <c r="AJ309" s="1333"/>
      <c r="AK309" s="17"/>
      <c r="AL309" s="17"/>
      <c r="AM309" s="17"/>
      <c r="AN309" s="17"/>
      <c r="AO309" s="17"/>
      <c r="AP309" s="17"/>
      <c r="AQ309" s="17"/>
      <c r="AR309" s="17"/>
      <c r="AS309" s="17"/>
      <c r="AT309" s="17"/>
      <c r="AU309" s="17"/>
      <c r="AV309" s="17"/>
      <c r="AW309" s="17"/>
    </row>
    <row r="310" spans="1:49" s="545" customFormat="1" ht="15.75" customHeight="1" x14ac:dyDescent="0.25">
      <c r="A310" s="1517" t="str">
        <f>IF(COUNTIF('04 - 95% CD'!D310:G310,"Y")&gt;0,"Y",IF(COUNTIF('04 - 95% CD'!D310:G310,"N"),"N",""))</f>
        <v>N</v>
      </c>
      <c r="B310" s="554"/>
      <c r="C310" s="944"/>
      <c r="D310" s="463"/>
      <c r="E310" s="463"/>
      <c r="F310" s="359" t="str">
        <f>IF('C-Design&amp;Const'!$U310="","",'C-Design&amp;Const'!$U310)</f>
        <v>N</v>
      </c>
      <c r="G310" s="291"/>
      <c r="H310" s="469" t="str">
        <f>CONCATENATE(IF(F310="N","PLACEHOLDER ROW - ",""),'C-Design&amp;Const'!Z310,IF(F310="N","",J310))</f>
        <v>PLACEHOLDER ROW - CUSTOM - Temperature Control</v>
      </c>
      <c r="I310" s="552"/>
      <c r="J310" s="578" t="str">
        <f>IF('C-Design&amp;Const'!AK310="","",'C-Design&amp;Const'!AK310)</f>
        <v>(Record)</v>
      </c>
      <c r="K310" s="285" t="str">
        <f t="shared" si="34"/>
        <v>match</v>
      </c>
      <c r="L310" s="1410" t="str">
        <f t="shared" si="35"/>
        <v>&lt;---PM/Planner may hide PLACEHOLDER ROW</v>
      </c>
      <c r="M310" s="1382"/>
      <c r="N310" s="1382"/>
      <c r="O310" s="1382"/>
      <c r="P310" s="1382"/>
      <c r="Q310" s="1382"/>
      <c r="R310" s="1382"/>
      <c r="S310" s="1382"/>
      <c r="T310" s="1382"/>
      <c r="U310" s="1382"/>
      <c r="V310" s="1382"/>
      <c r="W310" s="1382"/>
      <c r="X310" s="1382"/>
      <c r="Y310" s="1382"/>
      <c r="Z310" s="1382"/>
      <c r="AA310" s="1382"/>
      <c r="AB310" s="1382"/>
      <c r="AC310" s="1382"/>
      <c r="AD310" s="1382"/>
      <c r="AE310" s="1382"/>
      <c r="AF310" s="1382"/>
      <c r="AG310" s="1382"/>
      <c r="AH310" s="1382"/>
      <c r="AI310" s="1382"/>
      <c r="AJ310" s="1382"/>
      <c r="AK310" s="551"/>
      <c r="AL310" s="551"/>
      <c r="AM310" s="551"/>
      <c r="AN310" s="551"/>
      <c r="AO310" s="551"/>
      <c r="AP310" s="551"/>
      <c r="AQ310" s="551"/>
      <c r="AR310" s="551"/>
      <c r="AS310" s="551"/>
      <c r="AT310" s="551"/>
      <c r="AU310" s="551"/>
      <c r="AV310" s="551"/>
      <c r="AW310" s="551"/>
    </row>
    <row r="311" spans="1:49" s="545" customFormat="1" ht="15.75" customHeight="1" x14ac:dyDescent="0.25">
      <c r="A311" s="1517" t="str">
        <f>IF(COUNTIF('04 - 95% CD'!D311:G311,"Y")&gt;0,"Y",IF(COUNTIF('04 - 95% CD'!D311:G311,"N"),"N",""))</f>
        <v>N</v>
      </c>
      <c r="B311" s="554"/>
      <c r="C311" s="944"/>
      <c r="D311" s="463"/>
      <c r="E311" s="463"/>
      <c r="F311" s="359" t="str">
        <f>IF('C-Design&amp;Const'!$U311="","",'C-Design&amp;Const'!$U311)</f>
        <v>N</v>
      </c>
      <c r="G311" s="291"/>
      <c r="H311" s="469" t="str">
        <f>CONCATENATE(IF(F311="N","PLACEHOLDER ROW - ",""),'C-Design&amp;Const'!Z311,IF(F311="N","",J311))</f>
        <v>PLACEHOLDER ROW - CUSTOM - Temperature Control</v>
      </c>
      <c r="I311" s="552"/>
      <c r="J311" s="578" t="str">
        <f>IF('C-Design&amp;Const'!AK311="","",'C-Design&amp;Const'!AK311)</f>
        <v>(Record)</v>
      </c>
      <c r="K311" s="285" t="str">
        <f t="shared" si="34"/>
        <v>match</v>
      </c>
      <c r="L311" s="1410" t="str">
        <f t="shared" si="35"/>
        <v>&lt;---PM/Planner may hide PLACEHOLDER ROW</v>
      </c>
      <c r="M311" s="1382"/>
      <c r="N311" s="1382"/>
      <c r="O311" s="1382"/>
      <c r="P311" s="1382"/>
      <c r="Q311" s="1382"/>
      <c r="R311" s="1382"/>
      <c r="S311" s="1382"/>
      <c r="T311" s="1382"/>
      <c r="U311" s="1382"/>
      <c r="V311" s="1382"/>
      <c r="W311" s="1382"/>
      <c r="X311" s="1382"/>
      <c r="Y311" s="1382"/>
      <c r="Z311" s="1382"/>
      <c r="AA311" s="1382"/>
      <c r="AB311" s="1382"/>
      <c r="AC311" s="1382"/>
      <c r="AD311" s="1382"/>
      <c r="AE311" s="1382"/>
      <c r="AF311" s="1382"/>
      <c r="AG311" s="1382"/>
      <c r="AH311" s="1382"/>
      <c r="AI311" s="1382"/>
      <c r="AJ311" s="1382"/>
      <c r="AK311" s="551"/>
      <c r="AL311" s="551"/>
      <c r="AM311" s="551"/>
      <c r="AN311" s="551"/>
      <c r="AO311" s="551"/>
      <c r="AP311" s="551"/>
      <c r="AQ311" s="551"/>
      <c r="AR311" s="551"/>
      <c r="AS311" s="551"/>
      <c r="AT311" s="551"/>
      <c r="AU311" s="551"/>
      <c r="AV311" s="551"/>
      <c r="AW311" s="551"/>
    </row>
    <row r="312" spans="1:49" s="542" customFormat="1" x14ac:dyDescent="0.25">
      <c r="A312" s="1520" t="str">
        <f>IF(COUNTIF('04 - 95% CD'!D312:G312,"Y")&gt;0,"Y",IF(COUNTIF('04 - 95% CD'!D312:G312,"N"),"N",""))</f>
        <v>Y</v>
      </c>
      <c r="B312" s="125"/>
      <c r="C312" s="944"/>
      <c r="D312" s="411"/>
      <c r="E312" s="321"/>
      <c r="F312" s="559" t="str">
        <f>IF('C-Design&amp;Const'!$U312="","",'C-Design&amp;Const'!$U312)</f>
        <v>Y</v>
      </c>
      <c r="G312" s="485"/>
      <c r="H312" s="469" t="str">
        <f>CONCATENATE(IF(F312="N","PLACEHOLDER ROW - ",""),'C-Design&amp;Const'!Z312,IF(F312="N","",J312))</f>
        <v>Temperature Control Symbols, Abbreviations, and General Notes (Record)</v>
      </c>
      <c r="I312" s="137"/>
      <c r="J312" s="578" t="str">
        <f>IF('C-Design&amp;Const'!AK312="","",'C-Design&amp;Const'!AK312)</f>
        <v>(Record)</v>
      </c>
      <c r="K312" s="285" t="str">
        <f t="shared" si="34"/>
        <v>match</v>
      </c>
      <c r="L312" s="1410" t="str">
        <f t="shared" si="35"/>
        <v/>
      </c>
      <c r="M312" s="1333"/>
      <c r="N312" s="1333"/>
      <c r="O312" s="1333"/>
      <c r="P312" s="1333"/>
      <c r="Q312" s="1333"/>
      <c r="R312" s="1453"/>
      <c r="S312" s="1364"/>
      <c r="T312" s="1404"/>
      <c r="U312" s="1333"/>
      <c r="V312" s="1333"/>
      <c r="W312" s="1333"/>
      <c r="X312" s="1333"/>
      <c r="Y312" s="1333"/>
      <c r="Z312" s="1333"/>
      <c r="AA312" s="1333"/>
      <c r="AB312" s="1333"/>
      <c r="AC312" s="1333"/>
      <c r="AD312" s="1333"/>
      <c r="AE312" s="1333"/>
      <c r="AF312" s="1333"/>
      <c r="AG312" s="1333"/>
      <c r="AH312" s="1333"/>
      <c r="AI312" s="1333"/>
      <c r="AJ312" s="1333"/>
      <c r="AK312" s="17"/>
      <c r="AL312" s="17"/>
      <c r="AM312" s="17"/>
      <c r="AN312" s="17"/>
      <c r="AO312" s="17"/>
      <c r="AP312" s="17"/>
      <c r="AQ312" s="17"/>
      <c r="AR312" s="17"/>
      <c r="AS312" s="17"/>
      <c r="AT312" s="17"/>
      <c r="AU312" s="17"/>
      <c r="AV312" s="17"/>
      <c r="AW312" s="17"/>
    </row>
    <row r="313" spans="1:49" s="545" customFormat="1" ht="15.75" customHeight="1" x14ac:dyDescent="0.25">
      <c r="A313" s="1517" t="str">
        <f>IF(COUNTIF('04 - 95% CD'!D313:G313,"Y")&gt;0,"Y",IF(COUNTIF('04 - 95% CD'!D313:G313,"N"),"N",""))</f>
        <v>Y</v>
      </c>
      <c r="B313" s="554"/>
      <c r="C313" s="944"/>
      <c r="D313" s="463"/>
      <c r="E313" s="463"/>
      <c r="F313" s="359" t="str">
        <f>IF('C-Design&amp;Const'!$U313="","",'C-Design&amp;Const'!$U313)</f>
        <v>Y</v>
      </c>
      <c r="G313" s="291"/>
      <c r="H313" s="469" t="str">
        <f>CONCATENATE(IF(F313="N","PLACEHOLDER ROW - ",""),'C-Design&amp;Const'!Z313,IF(F313="N","",J313))</f>
        <v>Temperature Control Demolition(s) (Record)</v>
      </c>
      <c r="I313" s="552"/>
      <c r="J313" s="578" t="str">
        <f>IF('C-Design&amp;Const'!AK313="","",'C-Design&amp;Const'!AK313)</f>
        <v>(Record)</v>
      </c>
      <c r="K313" s="285" t="str">
        <f t="shared" si="34"/>
        <v>match</v>
      </c>
      <c r="L313" s="1410" t="str">
        <f t="shared" si="35"/>
        <v/>
      </c>
      <c r="M313" s="1382"/>
      <c r="N313" s="1382"/>
      <c r="O313" s="1382"/>
      <c r="P313" s="1382"/>
      <c r="Q313" s="1382"/>
      <c r="R313" s="1382"/>
      <c r="S313" s="1382"/>
      <c r="T313" s="1382"/>
      <c r="U313" s="1382"/>
      <c r="V313" s="1382"/>
      <c r="W313" s="1382"/>
      <c r="X313" s="1382"/>
      <c r="Y313" s="1382"/>
      <c r="Z313" s="1382"/>
      <c r="AA313" s="1382"/>
      <c r="AB313" s="1382"/>
      <c r="AC313" s="1382"/>
      <c r="AD313" s="1382"/>
      <c r="AE313" s="1382"/>
      <c r="AF313" s="1382"/>
      <c r="AG313" s="1382"/>
      <c r="AH313" s="1382"/>
      <c r="AI313" s="1382"/>
      <c r="AJ313" s="1382"/>
      <c r="AK313" s="551"/>
      <c r="AL313" s="551"/>
      <c r="AM313" s="551"/>
      <c r="AN313" s="551"/>
      <c r="AO313" s="551"/>
      <c r="AP313" s="551"/>
      <c r="AQ313" s="551"/>
      <c r="AR313" s="551"/>
      <c r="AS313" s="551"/>
      <c r="AT313" s="551"/>
      <c r="AU313" s="551"/>
      <c r="AV313" s="551"/>
      <c r="AW313" s="551"/>
    </row>
    <row r="314" spans="1:49" s="542" customFormat="1" x14ac:dyDescent="0.25">
      <c r="A314" s="1520" t="str">
        <f>IF(COUNTIF('04 - 95% CD'!D314:G314,"Y")&gt;0,"Y",IF(COUNTIF('04 - 95% CD'!D314:G314,"N"),"N",""))</f>
        <v>Y</v>
      </c>
      <c r="B314" s="125"/>
      <c r="C314" s="944"/>
      <c r="D314" s="411"/>
      <c r="E314" s="321"/>
      <c r="F314" s="559" t="str">
        <f>IF('C-Design&amp;Const'!$U314="","",'C-Design&amp;Const'!$U314)</f>
        <v>Y</v>
      </c>
      <c r="G314" s="485"/>
      <c r="H314" s="469" t="str">
        <f>CONCATENATE(IF(F314="N","PLACEHOLDER ROW - ",""),'C-Design&amp;Const'!Z314,IF(F314="N","",J314))</f>
        <v>Temperature Control Floor Plans (Record)</v>
      </c>
      <c r="I314" s="137"/>
      <c r="J314" s="578" t="str">
        <f>IF('C-Design&amp;Const'!AK314="","",'C-Design&amp;Const'!AK314)</f>
        <v>(Record)</v>
      </c>
      <c r="K314" s="285" t="str">
        <f t="shared" si="34"/>
        <v>match</v>
      </c>
      <c r="L314" s="1410" t="str">
        <f t="shared" si="35"/>
        <v/>
      </c>
      <c r="M314" s="1333"/>
      <c r="N314" s="1333"/>
      <c r="O314" s="1333"/>
      <c r="P314" s="1333"/>
      <c r="Q314" s="1333"/>
      <c r="R314" s="1453"/>
      <c r="S314" s="1364"/>
      <c r="T314" s="1404"/>
      <c r="U314" s="1333"/>
      <c r="V314" s="1333"/>
      <c r="W314" s="1333"/>
      <c r="X314" s="1333"/>
      <c r="Y314" s="1333"/>
      <c r="Z314" s="1333"/>
      <c r="AA314" s="1333"/>
      <c r="AB314" s="1333"/>
      <c r="AC314" s="1333"/>
      <c r="AD314" s="1333"/>
      <c r="AE314" s="1333"/>
      <c r="AF314" s="1333"/>
      <c r="AG314" s="1333"/>
      <c r="AH314" s="1333"/>
      <c r="AI314" s="1333"/>
      <c r="AJ314" s="1333"/>
      <c r="AK314" s="17"/>
      <c r="AL314" s="17"/>
      <c r="AM314" s="17"/>
      <c r="AN314" s="17"/>
      <c r="AO314" s="17"/>
      <c r="AP314" s="17"/>
      <c r="AQ314" s="17"/>
      <c r="AR314" s="17"/>
      <c r="AS314" s="17"/>
      <c r="AT314" s="17"/>
      <c r="AU314" s="17"/>
      <c r="AV314" s="17"/>
      <c r="AW314" s="17"/>
    </row>
    <row r="315" spans="1:49" s="542" customFormat="1" x14ac:dyDescent="0.25">
      <c r="A315" s="1520" t="str">
        <f>IF(COUNTIF('04 - 95% CD'!D315:G315,"Y")&gt;0,"Y",IF(COUNTIF('04 - 95% CD'!D315:G315,"N"),"N",""))</f>
        <v>Y</v>
      </c>
      <c r="B315" s="125"/>
      <c r="C315" s="944"/>
      <c r="D315" s="411"/>
      <c r="E315" s="321"/>
      <c r="F315" s="559" t="str">
        <f>IF('C-Design&amp;Const'!$U315="","",'C-Design&amp;Const'!$U315)</f>
        <v>Y</v>
      </c>
      <c r="G315" s="485"/>
      <c r="H315" s="469" t="str">
        <f>CONCATENATE(IF(F315="N","PLACEHOLDER ROW - ",""),'C-Design&amp;Const'!Z315,IF(F315="N","",J315))</f>
        <v>Temperature Control Sequences, Schedules, and Diagrams(Record)</v>
      </c>
      <c r="I315" s="137"/>
      <c r="J315" s="578" t="str">
        <f>IF('C-Design&amp;Const'!AK315="","",'C-Design&amp;Const'!AK315)</f>
        <v>(Record)</v>
      </c>
      <c r="K315" s="285" t="str">
        <f t="shared" si="34"/>
        <v>match</v>
      </c>
      <c r="L315" s="1410" t="str">
        <f t="shared" si="35"/>
        <v/>
      </c>
      <c r="M315" s="1333"/>
      <c r="N315" s="1333"/>
      <c r="O315" s="1333"/>
      <c r="P315" s="1333"/>
      <c r="Q315" s="1333"/>
      <c r="R315" s="1453"/>
      <c r="S315" s="1364"/>
      <c r="T315" s="1404"/>
      <c r="U315" s="1333"/>
      <c r="V315" s="1333"/>
      <c r="W315" s="1333"/>
      <c r="X315" s="1333"/>
      <c r="Y315" s="1333"/>
      <c r="Z315" s="1333"/>
      <c r="AA315" s="1333"/>
      <c r="AB315" s="1333"/>
      <c r="AC315" s="1333"/>
      <c r="AD315" s="1333"/>
      <c r="AE315" s="1333"/>
      <c r="AF315" s="1333"/>
      <c r="AG315" s="1333"/>
      <c r="AH315" s="1333"/>
      <c r="AI315" s="1333"/>
      <c r="AJ315" s="1333"/>
      <c r="AK315" s="17"/>
      <c r="AL315" s="17"/>
      <c r="AM315" s="17"/>
      <c r="AN315" s="17"/>
      <c r="AO315" s="17"/>
      <c r="AP315" s="17"/>
      <c r="AQ315" s="17"/>
      <c r="AR315" s="17"/>
      <c r="AS315" s="17"/>
      <c r="AT315" s="17"/>
      <c r="AU315" s="17"/>
      <c r="AV315" s="17"/>
      <c r="AW315" s="17"/>
    </row>
    <row r="316" spans="1:49" x14ac:dyDescent="0.25">
      <c r="A316" s="1407" t="str">
        <f>IF(COUNTIF('04 - 95% CD'!D316:G316,"Y")&gt;0,"Y",IF(COUNTIF('04 - 95% CD'!D316:G316,"N"),"N",""))</f>
        <v>Y</v>
      </c>
      <c r="B316" s="125"/>
      <c r="C316" s="944"/>
      <c r="D316" s="411"/>
      <c r="E316" s="559" t="str">
        <f>IF('C-Design&amp;Const'!$U316="","",'C-Design&amp;Const'!$U316)</f>
        <v>Y</v>
      </c>
      <c r="F316" s="478"/>
      <c r="G316" s="485"/>
      <c r="H316" s="244" t="str">
        <f>CONCATENATE(IF(F316="N","PLACEHOLDER ROW - ",""),'C-Design&amp;Const'!Z316,IF(F316="N","",J316))</f>
        <v>Electrical Drawings(Record)</v>
      </c>
      <c r="I316" s="146"/>
      <c r="J316" s="578" t="str">
        <f>IF('C-Design&amp;Const'!AK316="","",'C-Design&amp;Const'!AK316)</f>
        <v>(Record)</v>
      </c>
      <c r="K316" s="285" t="str">
        <f t="shared" si="28"/>
        <v>match</v>
      </c>
      <c r="L316" s="1410" t="str">
        <f t="shared" si="29"/>
        <v/>
      </c>
      <c r="M316" s="1333"/>
      <c r="N316" s="1333"/>
      <c r="O316" s="1333"/>
      <c r="P316" s="1333"/>
      <c r="Q316" s="1333"/>
      <c r="R316" s="1453"/>
      <c r="S316" s="1364"/>
      <c r="T316" s="1404"/>
      <c r="U316" s="1333"/>
      <c r="V316" s="1333"/>
      <c r="W316" s="1333"/>
      <c r="X316" s="1333"/>
      <c r="Y316" s="1333"/>
      <c r="Z316" s="1333"/>
      <c r="AA316" s="1333"/>
      <c r="AB316" s="1333"/>
      <c r="AC316" s="1333"/>
      <c r="AD316" s="1333"/>
      <c r="AE316" s="1333"/>
      <c r="AF316" s="1333"/>
      <c r="AG316" s="1333"/>
      <c r="AH316" s="1333"/>
      <c r="AI316" s="1333"/>
      <c r="AJ316" s="1333"/>
    </row>
    <row r="317" spans="1:49" s="30" customFormat="1" ht="15.75" customHeight="1" x14ac:dyDescent="0.25">
      <c r="A317" s="1517" t="str">
        <f>IF(COUNTIF('04 - 95% CD'!D317:G317,"Y")&gt;0,"Y",IF(COUNTIF('04 - 95% CD'!D317:G317,"N"),"N",""))</f>
        <v>N</v>
      </c>
      <c r="B317" s="191"/>
      <c r="C317" s="944"/>
      <c r="D317" s="463"/>
      <c r="E317" s="463"/>
      <c r="F317" s="359" t="str">
        <f>IF('C-Design&amp;Const'!$U317="","",'C-Design&amp;Const'!$U317)</f>
        <v>N</v>
      </c>
      <c r="G317" s="291"/>
      <c r="H317" s="469" t="str">
        <f>CONCATENATE(IF(F317="N","PLACEHOLDER ROW - ",""),'C-Design&amp;Const'!Z317,IF(F317="N","",J317))</f>
        <v xml:space="preserve">PLACEHOLDER ROW - CUSTOM - Electrical  </v>
      </c>
      <c r="I317" s="184"/>
      <c r="J317" s="578" t="str">
        <f>IF('C-Design&amp;Const'!AK317="","",'C-Design&amp;Const'!AK317)</f>
        <v>(Record)</v>
      </c>
      <c r="K317" s="285" t="str">
        <f t="shared" si="28"/>
        <v>match</v>
      </c>
      <c r="L317" s="1410" t="str">
        <f t="shared" si="29"/>
        <v>&lt;---PM/Planner may hide PLACEHOLDER ROW</v>
      </c>
      <c r="M317" s="1382"/>
      <c r="N317" s="1382"/>
      <c r="O317" s="1382"/>
      <c r="P317" s="1382"/>
      <c r="Q317" s="1382"/>
      <c r="R317" s="1382"/>
      <c r="S317" s="1382"/>
      <c r="T317" s="1382"/>
      <c r="U317" s="1382"/>
      <c r="V317" s="1382"/>
      <c r="W317" s="1382"/>
      <c r="X317" s="1382"/>
      <c r="Y317" s="1382"/>
      <c r="Z317" s="1382"/>
      <c r="AA317" s="1382"/>
      <c r="AB317" s="1382"/>
      <c r="AC317" s="1382"/>
      <c r="AD317" s="1382"/>
      <c r="AE317" s="1382"/>
      <c r="AF317" s="1382"/>
      <c r="AG317" s="1382"/>
      <c r="AH317" s="1382"/>
      <c r="AI317" s="1382"/>
      <c r="AJ317" s="1382"/>
      <c r="AK317" s="181"/>
      <c r="AL317" s="181"/>
      <c r="AM317" s="181"/>
      <c r="AN317" s="181"/>
      <c r="AO317" s="181"/>
      <c r="AP317" s="181"/>
      <c r="AQ317" s="181"/>
      <c r="AR317" s="181"/>
      <c r="AS317" s="181"/>
      <c r="AT317" s="181"/>
      <c r="AU317" s="181"/>
      <c r="AV317" s="181"/>
      <c r="AW317" s="181"/>
    </row>
    <row r="318" spans="1:49" s="30" customFormat="1" ht="15.75" customHeight="1" x14ac:dyDescent="0.25">
      <c r="A318" s="1517" t="str">
        <f>IF(COUNTIF('04 - 95% CD'!D318:G318,"Y")&gt;0,"Y",IF(COUNTIF('04 - 95% CD'!D318:G318,"N"),"N",""))</f>
        <v>N</v>
      </c>
      <c r="B318" s="191"/>
      <c r="C318" s="944"/>
      <c r="D318" s="463"/>
      <c r="E318" s="463"/>
      <c r="F318" s="359" t="str">
        <f>IF('C-Design&amp;Const'!$U318="","",'C-Design&amp;Const'!$U318)</f>
        <v>N</v>
      </c>
      <c r="G318" s="291"/>
      <c r="H318" s="469" t="str">
        <f>CONCATENATE(IF(F318="N","PLACEHOLDER ROW - ",""),'C-Design&amp;Const'!Z318,IF(F318="N","",J318))</f>
        <v xml:space="preserve">PLACEHOLDER ROW - CUSTOM - Electrical  </v>
      </c>
      <c r="I318" s="184"/>
      <c r="J318" s="578" t="str">
        <f>IF('C-Design&amp;Const'!AK318="","",'C-Design&amp;Const'!AK318)</f>
        <v>(Record)</v>
      </c>
      <c r="K318" s="285" t="str">
        <f t="shared" si="28"/>
        <v>match</v>
      </c>
      <c r="L318" s="1410" t="str">
        <f t="shared" si="29"/>
        <v>&lt;---PM/Planner may hide PLACEHOLDER ROW</v>
      </c>
      <c r="M318" s="1382"/>
      <c r="N318" s="1382"/>
      <c r="O318" s="1382"/>
      <c r="P318" s="1382"/>
      <c r="Q318" s="1382"/>
      <c r="R318" s="1382"/>
      <c r="S318" s="1382"/>
      <c r="T318" s="1382"/>
      <c r="U318" s="1382"/>
      <c r="V318" s="1382"/>
      <c r="W318" s="1382"/>
      <c r="X318" s="1382"/>
      <c r="Y318" s="1382"/>
      <c r="Z318" s="1382"/>
      <c r="AA318" s="1382"/>
      <c r="AB318" s="1382"/>
      <c r="AC318" s="1382"/>
      <c r="AD318" s="1382"/>
      <c r="AE318" s="1382"/>
      <c r="AF318" s="1382"/>
      <c r="AG318" s="1382"/>
      <c r="AH318" s="1382"/>
      <c r="AI318" s="1382"/>
      <c r="AJ318" s="1382"/>
      <c r="AK318" s="181"/>
      <c r="AL318" s="181"/>
      <c r="AM318" s="181"/>
      <c r="AN318" s="181"/>
      <c r="AO318" s="181"/>
      <c r="AP318" s="181"/>
      <c r="AQ318" s="181"/>
      <c r="AR318" s="181"/>
      <c r="AS318" s="181"/>
      <c r="AT318" s="181"/>
      <c r="AU318" s="181"/>
      <c r="AV318" s="181"/>
      <c r="AW318" s="181"/>
    </row>
    <row r="319" spans="1:49" x14ac:dyDescent="0.25">
      <c r="A319" s="1520" t="str">
        <f>IF(COUNTIF('04 - 95% CD'!D319:G319,"Y")&gt;0,"Y",IF(COUNTIF('04 - 95% CD'!D319:G319,"N"),"N",""))</f>
        <v>Y</v>
      </c>
      <c r="B319" s="125"/>
      <c r="C319" s="944"/>
      <c r="D319" s="411"/>
      <c r="E319" s="321"/>
      <c r="F319" s="559" t="str">
        <f>IF('C-Design&amp;Const'!$U319="","",'C-Design&amp;Const'!$U319)</f>
        <v>Y</v>
      </c>
      <c r="G319" s="485"/>
      <c r="H319" s="469" t="str">
        <f>CONCATENATE(IF(F319="N","PLACEHOLDER ROW - ",""),'C-Design&amp;Const'!Z319,IF(F319="N","",J319))</f>
        <v>Electrical Symbols, Abbreviations, and General Notes (Record)</v>
      </c>
      <c r="I319" s="137"/>
      <c r="J319" s="578" t="str">
        <f>IF('C-Design&amp;Const'!AK319="","",'C-Design&amp;Const'!AK319)</f>
        <v>(Record)</v>
      </c>
      <c r="K319" s="285" t="str">
        <f t="shared" si="28"/>
        <v>match</v>
      </c>
      <c r="L319" s="1410" t="str">
        <f t="shared" si="29"/>
        <v/>
      </c>
      <c r="M319" s="1333"/>
      <c r="N319" s="1333"/>
      <c r="O319" s="1333"/>
      <c r="P319" s="1333"/>
      <c r="Q319" s="1333"/>
      <c r="R319" s="1453"/>
      <c r="S319" s="1364"/>
      <c r="T319" s="1404"/>
      <c r="U319" s="1333"/>
      <c r="V319" s="1333"/>
      <c r="W319" s="1333"/>
      <c r="X319" s="1333"/>
      <c r="Y319" s="1333"/>
      <c r="Z319" s="1333"/>
      <c r="AA319" s="1333"/>
      <c r="AB319" s="1333"/>
      <c r="AC319" s="1333"/>
      <c r="AD319" s="1333"/>
      <c r="AE319" s="1333"/>
      <c r="AF319" s="1333"/>
      <c r="AG319" s="1333"/>
      <c r="AH319" s="1333"/>
      <c r="AI319" s="1333"/>
      <c r="AJ319" s="1333"/>
    </row>
    <row r="320" spans="1:49" s="545" customFormat="1" ht="15.75" customHeight="1" x14ac:dyDescent="0.25">
      <c r="A320" s="1517" t="str">
        <f>IF(COUNTIF('04 - 95% CD'!D320:G320,"Y")&gt;0,"Y",IF(COUNTIF('04 - 95% CD'!D320:G320,"N"),"N",""))</f>
        <v>Y</v>
      </c>
      <c r="B320" s="554"/>
      <c r="C320" s="944"/>
      <c r="D320" s="463"/>
      <c r="E320" s="463"/>
      <c r="F320" s="359" t="str">
        <f>IF('C-Design&amp;Const'!$U320="","",'C-Design&amp;Const'!$U320)</f>
        <v>Y</v>
      </c>
      <c r="G320" s="291"/>
      <c r="H320" s="469" t="str">
        <f>CONCATENATE(IF(F320="N","PLACEHOLDER ROW - ",""),'C-Design&amp;Const'!Z320,IF(F320="N","",J320))</f>
        <v>Electrical Demolition(s) (Record)</v>
      </c>
      <c r="I320" s="552"/>
      <c r="J320" s="578" t="str">
        <f>IF('C-Design&amp;Const'!AK320="","",'C-Design&amp;Const'!AK320)</f>
        <v>(Record)</v>
      </c>
      <c r="K320" s="285" t="str">
        <f t="shared" si="28"/>
        <v>match</v>
      </c>
      <c r="L320" s="1410" t="str">
        <f t="shared" si="29"/>
        <v/>
      </c>
      <c r="M320" s="1382"/>
      <c r="N320" s="1382"/>
      <c r="O320" s="1382"/>
      <c r="P320" s="1382"/>
      <c r="Q320" s="1382"/>
      <c r="R320" s="1382"/>
      <c r="S320" s="1382"/>
      <c r="T320" s="1382"/>
      <c r="U320" s="1382"/>
      <c r="V320" s="1382"/>
      <c r="W320" s="1382"/>
      <c r="X320" s="1382"/>
      <c r="Y320" s="1382"/>
      <c r="Z320" s="1382"/>
      <c r="AA320" s="1382"/>
      <c r="AB320" s="1382"/>
      <c r="AC320" s="1382"/>
      <c r="AD320" s="1382"/>
      <c r="AE320" s="1382"/>
      <c r="AF320" s="1382"/>
      <c r="AG320" s="1382"/>
      <c r="AH320" s="1382"/>
      <c r="AI320" s="1382"/>
      <c r="AJ320" s="1382"/>
      <c r="AK320" s="551"/>
      <c r="AL320" s="551"/>
      <c r="AM320" s="551"/>
      <c r="AN320" s="551"/>
      <c r="AO320" s="551"/>
      <c r="AP320" s="551"/>
      <c r="AQ320" s="551"/>
      <c r="AR320" s="551"/>
      <c r="AS320" s="551"/>
      <c r="AT320" s="551"/>
      <c r="AU320" s="551"/>
      <c r="AV320" s="551"/>
      <c r="AW320" s="551"/>
    </row>
    <row r="321" spans="1:49" x14ac:dyDescent="0.25">
      <c r="A321" s="1520" t="str">
        <f>IF(COUNTIF('04 - 95% CD'!D321:G321,"Y")&gt;0,"Y",IF(COUNTIF('04 - 95% CD'!D321:G321,"N"),"N",""))</f>
        <v>Y</v>
      </c>
      <c r="B321" s="125"/>
      <c r="C321" s="944"/>
      <c r="D321" s="411"/>
      <c r="E321" s="321"/>
      <c r="F321" s="559" t="str">
        <f>IF('C-Design&amp;Const'!$U321="","",'C-Design&amp;Const'!$U321)</f>
        <v>Y</v>
      </c>
      <c r="G321" s="485"/>
      <c r="H321" s="469" t="str">
        <f>CONCATENATE(IF(F321="N","PLACEHOLDER ROW - ",""),'C-Design&amp;Const'!Z321,IF(F321="N","",J321))</f>
        <v>Electrical Floor Plans w/ Devices for Power (Record)</v>
      </c>
      <c r="I321" s="137"/>
      <c r="J321" s="578" t="str">
        <f>IF('C-Design&amp;Const'!AK321="","",'C-Design&amp;Const'!AK321)</f>
        <v>(Record)</v>
      </c>
      <c r="K321" s="285" t="str">
        <f t="shared" si="28"/>
        <v>match</v>
      </c>
      <c r="L321" s="1410" t="str">
        <f t="shared" si="29"/>
        <v/>
      </c>
      <c r="M321" s="1333"/>
      <c r="N321" s="1333"/>
      <c r="O321" s="1333"/>
      <c r="P321" s="1333"/>
      <c r="Q321" s="1333"/>
      <c r="R321" s="1453"/>
      <c r="S321" s="1364"/>
      <c r="T321" s="1404"/>
      <c r="U321" s="1333"/>
      <c r="V321" s="1333"/>
      <c r="W321" s="1333"/>
      <c r="X321" s="1333"/>
      <c r="Y321" s="1333"/>
      <c r="Z321" s="1333"/>
      <c r="AA321" s="1333"/>
      <c r="AB321" s="1333"/>
      <c r="AC321" s="1333"/>
      <c r="AD321" s="1333"/>
      <c r="AE321" s="1333"/>
      <c r="AF321" s="1333"/>
      <c r="AG321" s="1333"/>
      <c r="AH321" s="1333"/>
      <c r="AI321" s="1333"/>
      <c r="AJ321" s="1333"/>
    </row>
    <row r="322" spans="1:49" x14ac:dyDescent="0.25">
      <c r="A322" s="1520" t="str">
        <f>IF(COUNTIF('04 - 95% CD'!D322:G322,"Y")&gt;0,"Y",IF(COUNTIF('04 - 95% CD'!D322:G322,"N"),"N",""))</f>
        <v>Y</v>
      </c>
      <c r="B322" s="125"/>
      <c r="C322" s="944"/>
      <c r="D322" s="411"/>
      <c r="E322" s="321"/>
      <c r="F322" s="559" t="str">
        <f>IF('C-Design&amp;Const'!$U322="","",'C-Design&amp;Const'!$U322)</f>
        <v>Y</v>
      </c>
      <c r="G322" s="485"/>
      <c r="H322" s="469" t="str">
        <f>CONCATENATE(IF(F322="N","PLACEHOLDER ROW - ",""),'C-Design&amp;Const'!Z322,IF(F322="N","",J322))</f>
        <v>Electrical Lighting Plans; Power Plans (Record)</v>
      </c>
      <c r="I322" s="137"/>
      <c r="J322" s="578" t="str">
        <f>IF('C-Design&amp;Const'!AK322="","",'C-Design&amp;Const'!AK322)</f>
        <v>(Record)</v>
      </c>
      <c r="K322" s="285" t="str">
        <f t="shared" si="28"/>
        <v>match</v>
      </c>
      <c r="L322" s="1410" t="str">
        <f t="shared" si="29"/>
        <v/>
      </c>
      <c r="M322" s="1333"/>
      <c r="N322" s="1333"/>
      <c r="O322" s="1333"/>
      <c r="P322" s="1333"/>
      <c r="Q322" s="1333"/>
      <c r="R322" s="1453"/>
      <c r="S322" s="1364"/>
      <c r="T322" s="1404"/>
      <c r="U322" s="1333"/>
      <c r="V322" s="1333"/>
      <c r="W322" s="1333"/>
      <c r="X322" s="1333"/>
      <c r="Y322" s="1333"/>
      <c r="Z322" s="1333"/>
      <c r="AA322" s="1333"/>
      <c r="AB322" s="1333"/>
      <c r="AC322" s="1333"/>
      <c r="AD322" s="1333"/>
      <c r="AE322" s="1333"/>
      <c r="AF322" s="1333"/>
      <c r="AG322" s="1333"/>
      <c r="AH322" s="1333"/>
      <c r="AI322" s="1333"/>
      <c r="AJ322" s="1333"/>
    </row>
    <row r="323" spans="1:49" x14ac:dyDescent="0.25">
      <c r="A323" s="1520" t="str">
        <f>IF(COUNTIF('04 - 95% CD'!D323:G323,"Y")&gt;0,"Y",IF(COUNTIF('04 - 95% CD'!D323:G323,"N"),"N",""))</f>
        <v>Y</v>
      </c>
      <c r="B323" s="125"/>
      <c r="C323" s="944"/>
      <c r="D323" s="411"/>
      <c r="E323" s="321"/>
      <c r="F323" s="559" t="str">
        <f>IF('C-Design&amp;Const'!$U323="","",'C-Design&amp;Const'!$U323)</f>
        <v>Y</v>
      </c>
      <c r="G323" s="485"/>
      <c r="H323" s="469" t="str">
        <f>CONCATENATE(IF(F323="N","PLACEHOLDER ROW - ",""),'C-Design&amp;Const'!Z323,IF(F323="N","",J323))</f>
        <v>Electrical Primary Feed Diagrams (Record)</v>
      </c>
      <c r="I323" s="137"/>
      <c r="J323" s="578" t="str">
        <f>IF('C-Design&amp;Const'!AK323="","",'C-Design&amp;Const'!AK323)</f>
        <v>(Record)</v>
      </c>
      <c r="K323" s="285" t="str">
        <f t="shared" si="28"/>
        <v>match</v>
      </c>
      <c r="L323" s="1410" t="str">
        <f t="shared" si="29"/>
        <v/>
      </c>
      <c r="M323" s="1333"/>
      <c r="N323" s="1333"/>
      <c r="O323" s="1333"/>
      <c r="P323" s="1333"/>
      <c r="Q323" s="1333"/>
      <c r="R323" s="1453"/>
      <c r="S323" s="1364"/>
      <c r="T323" s="1404"/>
      <c r="U323" s="1333"/>
      <c r="V323" s="1333"/>
      <c r="W323" s="1333"/>
      <c r="X323" s="1333"/>
      <c r="Y323" s="1333"/>
      <c r="Z323" s="1333"/>
      <c r="AA323" s="1333"/>
      <c r="AB323" s="1333"/>
      <c r="AC323" s="1333"/>
      <c r="AD323" s="1333"/>
      <c r="AE323" s="1333"/>
      <c r="AF323" s="1333"/>
      <c r="AG323" s="1333"/>
      <c r="AH323" s="1333"/>
      <c r="AI323" s="1333"/>
      <c r="AJ323" s="1333"/>
    </row>
    <row r="324" spans="1:49" x14ac:dyDescent="0.25">
      <c r="A324" s="1520" t="str">
        <f>IF(COUNTIF('04 - 95% CD'!D324:G324,"Y")&gt;0,"Y",IF(COUNTIF('04 - 95% CD'!D324:G324,"N"),"N",""))</f>
        <v>Y</v>
      </c>
      <c r="B324" s="125"/>
      <c r="C324" s="944"/>
      <c r="D324" s="411"/>
      <c r="E324" s="321"/>
      <c r="F324" s="559" t="str">
        <f>IF('C-Design&amp;Const'!$U324="","",'C-Design&amp;Const'!$U324)</f>
        <v>Y</v>
      </c>
      <c r="G324" s="485"/>
      <c r="H324" s="469" t="str">
        <f>CONCATENATE(IF(F324="N","PLACEHOLDER ROW - ",""),'C-Design&amp;Const'!Z324,IF(F324="N","",J324))</f>
        <v>Electrical Feeder Schedule (Record)</v>
      </c>
      <c r="I324" s="137"/>
      <c r="J324" s="578" t="str">
        <f>IF('C-Design&amp;Const'!AK324="","",'C-Design&amp;Const'!AK324)</f>
        <v>(Record)</v>
      </c>
      <c r="K324" s="285" t="str">
        <f t="shared" si="28"/>
        <v>match</v>
      </c>
      <c r="L324" s="1410" t="str">
        <f t="shared" si="29"/>
        <v/>
      </c>
      <c r="M324" s="1333"/>
      <c r="N324" s="1333"/>
      <c r="O324" s="1333"/>
      <c r="P324" s="1333"/>
      <c r="Q324" s="1333"/>
      <c r="R324" s="1453"/>
      <c r="S324" s="1364"/>
      <c r="T324" s="1404"/>
      <c r="U324" s="1333"/>
      <c r="V324" s="1333"/>
      <c r="W324" s="1333"/>
      <c r="X324" s="1333"/>
      <c r="Y324" s="1333"/>
      <c r="Z324" s="1333"/>
      <c r="AA324" s="1333"/>
      <c r="AB324" s="1333"/>
      <c r="AC324" s="1333"/>
      <c r="AD324" s="1333"/>
      <c r="AE324" s="1333"/>
      <c r="AF324" s="1333"/>
      <c r="AG324" s="1333"/>
      <c r="AH324" s="1333"/>
      <c r="AI324" s="1333"/>
      <c r="AJ324" s="1333"/>
    </row>
    <row r="325" spans="1:49" x14ac:dyDescent="0.25">
      <c r="A325" s="1520" t="str">
        <f>IF(COUNTIF('04 - 95% CD'!D325:G325,"Y")&gt;0,"Y",IF(COUNTIF('04 - 95% CD'!D325:G325,"N"),"N",""))</f>
        <v>Y</v>
      </c>
      <c r="B325" s="125"/>
      <c r="C325" s="944"/>
      <c r="D325" s="411"/>
      <c r="E325" s="321"/>
      <c r="F325" s="559" t="str">
        <f>IF('C-Design&amp;Const'!$U325="","",'C-Design&amp;Const'!$U325)</f>
        <v>Y</v>
      </c>
      <c r="G325" s="485"/>
      <c r="H325" s="469" t="str">
        <f>CONCATENATE(IF(F325="N","PLACEHOLDER ROW - ",""),'C-Design&amp;Const'!Z325,IF(F325="N","",J325))</f>
        <v>Electrical Secondary Riser Diagrams (Record)</v>
      </c>
      <c r="I325" s="137"/>
      <c r="J325" s="578" t="str">
        <f>IF('C-Design&amp;Const'!AK325="","",'C-Design&amp;Const'!AK325)</f>
        <v>(Record)</v>
      </c>
      <c r="K325" s="285" t="str">
        <f t="shared" si="28"/>
        <v>match</v>
      </c>
      <c r="L325" s="1410" t="str">
        <f t="shared" si="29"/>
        <v/>
      </c>
      <c r="M325" s="1333"/>
      <c r="N325" s="1333"/>
      <c r="O325" s="1333"/>
      <c r="P325" s="1333"/>
      <c r="Q325" s="1333"/>
      <c r="R325" s="1284"/>
      <c r="S325" s="1513"/>
      <c r="T325" s="1404"/>
      <c r="U325" s="1333"/>
      <c r="V325" s="1333"/>
      <c r="W325" s="1333"/>
      <c r="X325" s="1333"/>
      <c r="Y325" s="1333"/>
      <c r="Z325" s="1333"/>
      <c r="AA325" s="1333"/>
      <c r="AB325" s="1333"/>
      <c r="AC325" s="1333"/>
      <c r="AD325" s="1333"/>
      <c r="AE325" s="1333"/>
      <c r="AF325" s="1333"/>
      <c r="AG325" s="1333"/>
      <c r="AH325" s="1333"/>
      <c r="AI325" s="1333"/>
      <c r="AJ325" s="1333"/>
    </row>
    <row r="326" spans="1:49" x14ac:dyDescent="0.25">
      <c r="A326" s="1520" t="str">
        <f>IF(COUNTIF('04 - 95% CD'!D326:G326,"Y")&gt;0,"Y",IF(COUNTIF('04 - 95% CD'!D326:G326,"N"),"N",""))</f>
        <v>Y</v>
      </c>
      <c r="B326" s="125"/>
      <c r="C326" s="944"/>
      <c r="D326" s="411"/>
      <c r="E326" s="321"/>
      <c r="F326" s="559" t="str">
        <f>IF('C-Design&amp;Const'!$U326="","",'C-Design&amp;Const'!$U326)</f>
        <v>Y</v>
      </c>
      <c r="G326" s="485"/>
      <c r="H326" s="469" t="str">
        <f>CONCATENATE(IF(F326="N","PLACEHOLDER ROW - ",""),'C-Design&amp;Const'!Z326,IF(F326="N","",J326))</f>
        <v>Electrical Power Distribution Schedule (Record)</v>
      </c>
      <c r="I326" s="137"/>
      <c r="J326" s="578" t="str">
        <f>IF('C-Design&amp;Const'!AK326="","",'C-Design&amp;Const'!AK326)</f>
        <v>(Record)</v>
      </c>
      <c r="K326" s="285" t="str">
        <f t="shared" si="28"/>
        <v>match</v>
      </c>
      <c r="L326" s="1410" t="str">
        <f t="shared" si="29"/>
        <v/>
      </c>
      <c r="M326" s="1333"/>
      <c r="N326" s="1333"/>
      <c r="O326" s="1333"/>
      <c r="P326" s="1333"/>
      <c r="Q326" s="1333"/>
      <c r="R326" s="1453"/>
      <c r="S326" s="1364"/>
      <c r="T326" s="1404"/>
      <c r="U326" s="1333"/>
      <c r="V326" s="1333"/>
      <c r="W326" s="1333"/>
      <c r="X326" s="1333"/>
      <c r="Y326" s="1333"/>
      <c r="Z326" s="1333"/>
      <c r="AA326" s="1333"/>
      <c r="AB326" s="1333"/>
      <c r="AC326" s="1333"/>
      <c r="AD326" s="1333"/>
      <c r="AE326" s="1333"/>
      <c r="AF326" s="1333"/>
      <c r="AG326" s="1333"/>
      <c r="AH326" s="1333"/>
      <c r="AI326" s="1333"/>
      <c r="AJ326" s="1333"/>
    </row>
    <row r="327" spans="1:49" x14ac:dyDescent="0.25">
      <c r="A327" s="1520" t="str">
        <f>IF(COUNTIF('04 - 95% CD'!D327:G327,"Y")&gt;0,"Y",IF(COUNTIF('04 - 95% CD'!D327:G327,"N"),"N",""))</f>
        <v>Y</v>
      </c>
      <c r="B327" s="125"/>
      <c r="C327" s="944"/>
      <c r="D327" s="411"/>
      <c r="E327" s="321"/>
      <c r="F327" s="559" t="str">
        <f>IF('C-Design&amp;Const'!$U327="","",'C-Design&amp;Const'!$U327)</f>
        <v>Y</v>
      </c>
      <c r="G327" s="485"/>
      <c r="H327" s="469" t="str">
        <f>CONCATENATE(IF(F327="N","PLACEHOLDER ROW - ",""),'C-Design&amp;Const'!Z327,IF(F327="N","",J327))</f>
        <v>Electrical Grounding Riser Diagram (Record)</v>
      </c>
      <c r="I327" s="137"/>
      <c r="J327" s="578" t="str">
        <f>IF('C-Design&amp;Const'!AK327="","",'C-Design&amp;Const'!AK327)</f>
        <v>(Record)</v>
      </c>
      <c r="K327" s="285" t="str">
        <f t="shared" ref="K327:K382" si="36">IF((COUNTIF(D327:G327,"Y")=COUNTIF(A327,"Y")),"match","no 95% match")</f>
        <v>match</v>
      </c>
      <c r="L327" s="1410" t="str">
        <f t="shared" ref="L327:L400" si="37">CONCATENATE(IF(ISNUMBER(SEARCH("Placeholder",H327))=TRUE,"&lt;---PM/Planner may hide PLACEHOLDER ROW",""))</f>
        <v/>
      </c>
      <c r="M327" s="1333"/>
      <c r="N327" s="1333"/>
      <c r="O327" s="1333"/>
      <c r="P327" s="1333"/>
      <c r="Q327" s="1333"/>
      <c r="R327" s="1453"/>
      <c r="S327" s="1364"/>
      <c r="T327" s="1404"/>
      <c r="U327" s="1333"/>
      <c r="V327" s="1333"/>
      <c r="W327" s="1333"/>
      <c r="X327" s="1333"/>
      <c r="Y327" s="1333"/>
      <c r="Z327" s="1333"/>
      <c r="AA327" s="1333"/>
      <c r="AB327" s="1333"/>
      <c r="AC327" s="1333"/>
      <c r="AD327" s="1333"/>
      <c r="AE327" s="1333"/>
      <c r="AF327" s="1333"/>
      <c r="AG327" s="1333"/>
      <c r="AH327" s="1333"/>
      <c r="AI327" s="1333"/>
      <c r="AJ327" s="1333"/>
    </row>
    <row r="328" spans="1:49" x14ac:dyDescent="0.25">
      <c r="A328" s="1520" t="str">
        <f>IF(COUNTIF('04 - 95% CD'!D328:G328,"Y")&gt;0,"Y",IF(COUNTIF('04 - 95% CD'!D328:G328,"N"),"N",""))</f>
        <v>Y</v>
      </c>
      <c r="B328" s="125"/>
      <c r="C328" s="944"/>
      <c r="D328" s="411"/>
      <c r="E328" s="321"/>
      <c r="F328" s="559" t="str">
        <f>IF('C-Design&amp;Const'!$U328="","",'C-Design&amp;Const'!$U328)</f>
        <v>Y</v>
      </c>
      <c r="G328" s="485"/>
      <c r="H328" s="469" t="str">
        <f>CONCATENATE(IF(F328="N","PLACEHOLDER ROW - ",""),'C-Design&amp;Const'!Z328,IF(F328="N","",J328))</f>
        <v>Electrical Details (Record)</v>
      </c>
      <c r="I328" s="137"/>
      <c r="J328" s="578" t="str">
        <f>IF('C-Design&amp;Const'!AK328="","",'C-Design&amp;Const'!AK328)</f>
        <v>(Record)</v>
      </c>
      <c r="K328" s="285" t="str">
        <f t="shared" si="36"/>
        <v>match</v>
      </c>
      <c r="L328" s="1410" t="str">
        <f t="shared" si="37"/>
        <v/>
      </c>
      <c r="M328" s="1333"/>
      <c r="N328" s="1333"/>
      <c r="O328" s="1333"/>
      <c r="P328" s="1333"/>
      <c r="Q328" s="1333"/>
      <c r="R328" s="1284"/>
      <c r="S328" s="1513"/>
      <c r="T328" s="1404"/>
      <c r="U328" s="1333"/>
      <c r="V328" s="1333"/>
      <c r="W328" s="1333"/>
      <c r="X328" s="1333"/>
      <c r="Y328" s="1333"/>
      <c r="Z328" s="1333"/>
      <c r="AA328" s="1333"/>
      <c r="AB328" s="1333"/>
      <c r="AC328" s="1333"/>
      <c r="AD328" s="1333"/>
      <c r="AE328" s="1333"/>
      <c r="AF328" s="1333"/>
      <c r="AG328" s="1333"/>
      <c r="AH328" s="1333"/>
      <c r="AI328" s="1333"/>
      <c r="AJ328" s="1333"/>
    </row>
    <row r="329" spans="1:49" x14ac:dyDescent="0.25">
      <c r="A329" s="1520" t="str">
        <f>IF(COUNTIF('04 - 95% CD'!D329:G329,"Y")&gt;0,"Y",IF(COUNTIF('04 - 95% CD'!D329:G329,"N"),"N",""))</f>
        <v>Y</v>
      </c>
      <c r="B329" s="125"/>
      <c r="C329" s="944"/>
      <c r="D329" s="411"/>
      <c r="E329" s="321"/>
      <c r="F329" s="559" t="str">
        <f>IF('C-Design&amp;Const'!$U329="","",'C-Design&amp;Const'!$U329)</f>
        <v>Y</v>
      </c>
      <c r="G329" s="485"/>
      <c r="H329" s="469" t="str">
        <f>CONCATENATE(IF(F329="N","PLACEHOLDER ROW - ",""),'C-Design&amp;Const'!Z329,IF(F329="N","",J329))</f>
        <v>Electrical Fixture Schedule and Equipment (Record)</v>
      </c>
      <c r="I329" s="137"/>
      <c r="J329" s="578" t="str">
        <f>IF('C-Design&amp;Const'!AK329="","",'C-Design&amp;Const'!AK329)</f>
        <v>(Record)</v>
      </c>
      <c r="K329" s="285" t="str">
        <f t="shared" si="36"/>
        <v>match</v>
      </c>
      <c r="L329" s="1410" t="str">
        <f t="shared" si="37"/>
        <v/>
      </c>
      <c r="M329" s="1333"/>
      <c r="N329" s="1333"/>
      <c r="O329" s="1333"/>
      <c r="P329" s="1333"/>
      <c r="Q329" s="1333"/>
      <c r="R329" s="1453"/>
      <c r="S329" s="1364"/>
      <c r="T329" s="1404"/>
      <c r="U329" s="1333"/>
      <c r="V329" s="1333"/>
      <c r="W329" s="1333"/>
      <c r="X329" s="1333"/>
      <c r="Y329" s="1333"/>
      <c r="Z329" s="1333"/>
      <c r="AA329" s="1333"/>
      <c r="AB329" s="1333"/>
      <c r="AC329" s="1333"/>
      <c r="AD329" s="1333"/>
      <c r="AE329" s="1333"/>
      <c r="AF329" s="1333"/>
      <c r="AG329" s="1333"/>
      <c r="AH329" s="1333"/>
      <c r="AI329" s="1333"/>
      <c r="AJ329" s="1333"/>
    </row>
    <row r="330" spans="1:49" x14ac:dyDescent="0.25">
      <c r="A330" s="1520" t="str">
        <f>IF(COUNTIF('04 - 95% CD'!D330:G330,"Y")&gt;0,"Y",IF(COUNTIF('04 - 95% CD'!D330:G330,"N"),"N",""))</f>
        <v>Y</v>
      </c>
      <c r="B330" s="125"/>
      <c r="C330" s="944"/>
      <c r="D330" s="411"/>
      <c r="E330" s="321"/>
      <c r="F330" s="559" t="str">
        <f>IF('C-Design&amp;Const'!$U330="","",'C-Design&amp;Const'!$U330)</f>
        <v>Y</v>
      </c>
      <c r="G330" s="485"/>
      <c r="H330" s="469" t="str">
        <f>CONCATENATE(IF(F330="N","PLACEHOLDER ROW - ",""),'C-Design&amp;Const'!Z330,IF(F330="N","",J330))</f>
        <v>Electrical Lightning Protection Sections / Diagrams(Record)</v>
      </c>
      <c r="I330" s="137"/>
      <c r="J330" s="578" t="str">
        <f>IF('C-Design&amp;Const'!AK330="","",'C-Design&amp;Const'!AK330)</f>
        <v>(Record)</v>
      </c>
      <c r="K330" s="285" t="str">
        <f t="shared" si="36"/>
        <v>match</v>
      </c>
      <c r="L330" s="1410" t="str">
        <f t="shared" si="37"/>
        <v/>
      </c>
      <c r="M330" s="1333"/>
      <c r="N330" s="1333"/>
      <c r="O330" s="1333"/>
      <c r="P330" s="1333"/>
      <c r="Q330" s="1333"/>
      <c r="R330" s="1453"/>
      <c r="S330" s="1364"/>
      <c r="T330" s="1404"/>
      <c r="U330" s="1333"/>
      <c r="V330" s="1333"/>
      <c r="W330" s="1333"/>
      <c r="X330" s="1333"/>
      <c r="Y330" s="1333"/>
      <c r="Z330" s="1333"/>
      <c r="AA330" s="1333"/>
      <c r="AB330" s="1333"/>
      <c r="AC330" s="1333"/>
      <c r="AD330" s="1333"/>
      <c r="AE330" s="1333"/>
      <c r="AF330" s="1333"/>
      <c r="AG330" s="1333"/>
      <c r="AH330" s="1333"/>
      <c r="AI330" s="1333"/>
      <c r="AJ330" s="1333"/>
    </row>
    <row r="331" spans="1:49" s="30" customFormat="1" ht="16.5" customHeight="1" x14ac:dyDescent="0.25">
      <c r="A331" s="1517" t="str">
        <f>IF(COUNTIF('04 - 95% CD'!D331:G331,"Y")&gt;0,"Y",IF(COUNTIF('04 - 95% CD'!D331:G331,"N"),"N",""))</f>
        <v>Y</v>
      </c>
      <c r="B331" s="191"/>
      <c r="C331" s="944"/>
      <c r="D331" s="463"/>
      <c r="E331" s="463"/>
      <c r="F331" s="359" t="str">
        <f>IF('C-Design&amp;Const'!$U331="","",'C-Design&amp;Const'!$U331)</f>
        <v>Y</v>
      </c>
      <c r="G331" s="291"/>
      <c r="H331" s="469" t="str">
        <f>CONCATENATE(IF(F331="N","PLACEHOLDER ROW - ",""),'C-Design&amp;Const'!Z331,IF(F331="N","",J331))</f>
        <v>Electrical Lightning Protection Details (Record)</v>
      </c>
      <c r="I331" s="184"/>
      <c r="J331" s="578" t="str">
        <f>IF('C-Design&amp;Const'!AK331="","",'C-Design&amp;Const'!AK331)</f>
        <v>(Record)</v>
      </c>
      <c r="K331" s="285" t="str">
        <f t="shared" si="36"/>
        <v>match</v>
      </c>
      <c r="L331" s="1410" t="str">
        <f t="shared" si="37"/>
        <v/>
      </c>
      <c r="M331" s="1382"/>
      <c r="N331" s="1382"/>
      <c r="O331" s="1382"/>
      <c r="P331" s="1382"/>
      <c r="Q331" s="1382"/>
      <c r="R331" s="1382"/>
      <c r="S331" s="1382"/>
      <c r="T331" s="1382"/>
      <c r="U331" s="1382"/>
      <c r="V331" s="1382"/>
      <c r="W331" s="1382"/>
      <c r="X331" s="1382"/>
      <c r="Y331" s="1382"/>
      <c r="Z331" s="1382"/>
      <c r="AA331" s="1382"/>
      <c r="AB331" s="1382"/>
      <c r="AC331" s="1382"/>
      <c r="AD331" s="1382"/>
      <c r="AE331" s="1382"/>
      <c r="AF331" s="1382"/>
      <c r="AG331" s="1382"/>
      <c r="AH331" s="1382"/>
      <c r="AI331" s="1382"/>
      <c r="AJ331" s="1382"/>
      <c r="AK331" s="181"/>
      <c r="AL331" s="181"/>
      <c r="AM331" s="181"/>
      <c r="AN331" s="181"/>
      <c r="AO331" s="181"/>
      <c r="AP331" s="181"/>
      <c r="AQ331" s="181"/>
      <c r="AR331" s="181"/>
      <c r="AS331" s="181"/>
      <c r="AT331" s="181"/>
      <c r="AU331" s="181"/>
      <c r="AV331" s="181"/>
      <c r="AW331" s="181"/>
    </row>
    <row r="332" spans="1:49" x14ac:dyDescent="0.25">
      <c r="A332" s="1407" t="str">
        <f>IF(COUNTIF('04 - 95% CD'!D332:G332,"Y")&gt;0,"Y",IF(COUNTIF('04 - 95% CD'!D332:G332,"N"),"N",""))</f>
        <v>Y</v>
      </c>
      <c r="B332" s="125"/>
      <c r="C332" s="944"/>
      <c r="D332" s="321"/>
      <c r="E332" s="559" t="str">
        <f>IF('C-Design&amp;Const'!$U332="","",'C-Design&amp;Const'!$U332)</f>
        <v>Y</v>
      </c>
      <c r="F332" s="478"/>
      <c r="G332" s="485"/>
      <c r="H332" s="244" t="str">
        <f>CONCATENATE(IF(F332="N","PLACEHOLDER ROW - ",""),'C-Design&amp;Const'!Z332,IF(F332="N","",J332))</f>
        <v>Fire Alarm Drawings(Record)</v>
      </c>
      <c r="I332" s="146"/>
      <c r="J332" s="578" t="str">
        <f>IF('C-Design&amp;Const'!AK332="","",'C-Design&amp;Const'!AK332)</f>
        <v>(Record)</v>
      </c>
      <c r="K332" s="285" t="str">
        <f t="shared" si="36"/>
        <v>match</v>
      </c>
      <c r="L332" s="1410" t="str">
        <f t="shared" si="37"/>
        <v/>
      </c>
      <c r="M332" s="1333"/>
      <c r="N332" s="1333"/>
      <c r="O332" s="1333"/>
      <c r="P332" s="1333"/>
      <c r="Q332" s="1333"/>
      <c r="R332" s="1453"/>
      <c r="S332" s="1364"/>
      <c r="T332" s="1404"/>
      <c r="U332" s="1333"/>
      <c r="V332" s="1333"/>
      <c r="W332" s="1333"/>
      <c r="X332" s="1333"/>
      <c r="Y332" s="1333"/>
      <c r="Z332" s="1333"/>
      <c r="AA332" s="1333"/>
      <c r="AB332" s="1333"/>
      <c r="AC332" s="1333"/>
      <c r="AD332" s="1333"/>
      <c r="AE332" s="1333"/>
      <c r="AF332" s="1333"/>
      <c r="AG332" s="1333"/>
      <c r="AH332" s="1333"/>
      <c r="AI332" s="1333"/>
      <c r="AJ332" s="1333"/>
    </row>
    <row r="333" spans="1:49" s="30" customFormat="1" ht="15.75" customHeight="1" x14ac:dyDescent="0.25">
      <c r="A333" s="1517" t="str">
        <f>IF(COUNTIF('04 - 95% CD'!D333:G333,"Y")&gt;0,"Y",IF(COUNTIF('04 - 95% CD'!D333:G333,"N"),"N",""))</f>
        <v>N</v>
      </c>
      <c r="B333" s="191"/>
      <c r="C333" s="944"/>
      <c r="D333" s="463"/>
      <c r="E333" s="463"/>
      <c r="F333" s="359" t="str">
        <f>IF('C-Design&amp;Const'!$U333="","",'C-Design&amp;Const'!$U333)</f>
        <v>N</v>
      </c>
      <c r="G333" s="291"/>
      <c r="H333" s="469" t="str">
        <f>CONCATENATE(IF(F333="N","PLACEHOLDER ROW - ",""),'C-Design&amp;Const'!Z333,IF(F333="N","",J333))</f>
        <v xml:space="preserve">PLACEHOLDER ROW - CUSTOM - Fire Alarm  </v>
      </c>
      <c r="I333" s="184"/>
      <c r="J333" s="578" t="str">
        <f>IF('C-Design&amp;Const'!AK333="","",'C-Design&amp;Const'!AK333)</f>
        <v>(Record)</v>
      </c>
      <c r="K333" s="285" t="str">
        <f t="shared" si="36"/>
        <v>match</v>
      </c>
      <c r="L333" s="1410" t="str">
        <f t="shared" si="37"/>
        <v>&lt;---PM/Planner may hide PLACEHOLDER ROW</v>
      </c>
      <c r="M333" s="1382"/>
      <c r="N333" s="1382"/>
      <c r="O333" s="1382"/>
      <c r="P333" s="1382"/>
      <c r="Q333" s="1382"/>
      <c r="R333" s="1382"/>
      <c r="S333" s="1382"/>
      <c r="T333" s="1382"/>
      <c r="U333" s="1382"/>
      <c r="V333" s="1382"/>
      <c r="W333" s="1382"/>
      <c r="X333" s="1382"/>
      <c r="Y333" s="1382"/>
      <c r="Z333" s="1382"/>
      <c r="AA333" s="1382"/>
      <c r="AB333" s="1382"/>
      <c r="AC333" s="1382"/>
      <c r="AD333" s="1382"/>
      <c r="AE333" s="1382"/>
      <c r="AF333" s="1382"/>
      <c r="AG333" s="1382"/>
      <c r="AH333" s="1382"/>
      <c r="AI333" s="1382"/>
      <c r="AJ333" s="1382"/>
      <c r="AK333" s="181"/>
      <c r="AL333" s="181"/>
      <c r="AM333" s="181"/>
      <c r="AN333" s="181"/>
      <c r="AO333" s="181"/>
      <c r="AP333" s="181"/>
      <c r="AQ333" s="181"/>
      <c r="AR333" s="181"/>
      <c r="AS333" s="181"/>
      <c r="AT333" s="181"/>
      <c r="AU333" s="181"/>
      <c r="AV333" s="181"/>
      <c r="AW333" s="181"/>
    </row>
    <row r="334" spans="1:49" s="30" customFormat="1" ht="15.75" customHeight="1" x14ac:dyDescent="0.25">
      <c r="A334" s="1517" t="str">
        <f>IF(COUNTIF('04 - 95% CD'!D334:G334,"Y")&gt;0,"Y",IF(COUNTIF('04 - 95% CD'!D334:G334,"N"),"N",""))</f>
        <v>N</v>
      </c>
      <c r="B334" s="191"/>
      <c r="C334" s="944"/>
      <c r="D334" s="463"/>
      <c r="E334" s="463"/>
      <c r="F334" s="359" t="str">
        <f>IF('C-Design&amp;Const'!$U334="","",'C-Design&amp;Const'!$U334)</f>
        <v>N</v>
      </c>
      <c r="G334" s="291"/>
      <c r="H334" s="469" t="str">
        <f>CONCATENATE(IF(F334="N","PLACEHOLDER ROW - ",""),'C-Design&amp;Const'!Z334,IF(F334="N","",J334))</f>
        <v xml:space="preserve">PLACEHOLDER ROW - CUSTOM - Fire Alarm  </v>
      </c>
      <c r="I334" s="184"/>
      <c r="J334" s="578" t="str">
        <f>IF('C-Design&amp;Const'!AK334="","",'C-Design&amp;Const'!AK334)</f>
        <v>(Record)</v>
      </c>
      <c r="K334" s="285" t="str">
        <f t="shared" si="36"/>
        <v>match</v>
      </c>
      <c r="L334" s="1410" t="str">
        <f t="shared" si="37"/>
        <v>&lt;---PM/Planner may hide PLACEHOLDER ROW</v>
      </c>
      <c r="M334" s="1382"/>
      <c r="N334" s="1382"/>
      <c r="O334" s="1382"/>
      <c r="P334" s="1382"/>
      <c r="Q334" s="1382"/>
      <c r="R334" s="1382"/>
      <c r="S334" s="1382"/>
      <c r="T334" s="1382"/>
      <c r="U334" s="1382"/>
      <c r="V334" s="1382"/>
      <c r="W334" s="1382"/>
      <c r="X334" s="1382"/>
      <c r="Y334" s="1382"/>
      <c r="Z334" s="1382"/>
      <c r="AA334" s="1382"/>
      <c r="AB334" s="1382"/>
      <c r="AC334" s="1382"/>
      <c r="AD334" s="1382"/>
      <c r="AE334" s="1382"/>
      <c r="AF334" s="1382"/>
      <c r="AG334" s="1382"/>
      <c r="AH334" s="1382"/>
      <c r="AI334" s="1382"/>
      <c r="AJ334" s="1382"/>
      <c r="AK334" s="181"/>
      <c r="AL334" s="181"/>
      <c r="AM334" s="181"/>
      <c r="AN334" s="181"/>
      <c r="AO334" s="181"/>
      <c r="AP334" s="181"/>
      <c r="AQ334" s="181"/>
      <c r="AR334" s="181"/>
      <c r="AS334" s="181"/>
      <c r="AT334" s="181"/>
      <c r="AU334" s="181"/>
      <c r="AV334" s="181"/>
      <c r="AW334" s="181"/>
    </row>
    <row r="335" spans="1:49" s="545" customFormat="1" ht="15.75" customHeight="1" x14ac:dyDescent="0.25">
      <c r="A335" s="1517" t="str">
        <f>IF(COUNTIF('04 - 95% CD'!D335:G335,"Y")&gt;0,"Y",IF(COUNTIF('04 - 95% CD'!D335:G335,"N"),"N",""))</f>
        <v>Y</v>
      </c>
      <c r="B335" s="554"/>
      <c r="C335" s="944"/>
      <c r="D335" s="463"/>
      <c r="E335" s="463"/>
      <c r="F335" s="359" t="str">
        <f>IF('C-Design&amp;Const'!$U335="","",'C-Design&amp;Const'!$U335)</f>
        <v>Y</v>
      </c>
      <c r="G335" s="291"/>
      <c r="H335" s="469" t="str">
        <f>CONCATENATE(IF(F335="N","PLACEHOLDER ROW - ",""),'C-Design&amp;Const'!Z335,IF(F335="N","",J335))</f>
        <v>Fire Alarm Symbols, Abbreviations, and General Notes (Record)</v>
      </c>
      <c r="I335" s="552"/>
      <c r="J335" s="578" t="str">
        <f>IF('C-Design&amp;Const'!AK335="","",'C-Design&amp;Const'!AK335)</f>
        <v>(Record)</v>
      </c>
      <c r="K335" s="285" t="str">
        <f t="shared" si="36"/>
        <v>match</v>
      </c>
      <c r="L335" s="1410" t="str">
        <f t="shared" si="37"/>
        <v/>
      </c>
      <c r="M335" s="1382"/>
      <c r="N335" s="1382"/>
      <c r="O335" s="1382"/>
      <c r="P335" s="1382"/>
      <c r="Q335" s="1382"/>
      <c r="R335" s="1382"/>
      <c r="S335" s="1382"/>
      <c r="T335" s="1382"/>
      <c r="U335" s="1382"/>
      <c r="V335" s="1382"/>
      <c r="W335" s="1382"/>
      <c r="X335" s="1382"/>
      <c r="Y335" s="1382"/>
      <c r="Z335" s="1382"/>
      <c r="AA335" s="1382"/>
      <c r="AB335" s="1382"/>
      <c r="AC335" s="1382"/>
      <c r="AD335" s="1382"/>
      <c r="AE335" s="1382"/>
      <c r="AF335" s="1382"/>
      <c r="AG335" s="1382"/>
      <c r="AH335" s="1382"/>
      <c r="AI335" s="1382"/>
      <c r="AJ335" s="1382"/>
      <c r="AK335" s="551"/>
      <c r="AL335" s="551"/>
      <c r="AM335" s="551"/>
      <c r="AN335" s="551"/>
      <c r="AO335" s="551"/>
      <c r="AP335" s="551"/>
      <c r="AQ335" s="551"/>
      <c r="AR335" s="551"/>
      <c r="AS335" s="551"/>
      <c r="AT335" s="551"/>
      <c r="AU335" s="551"/>
      <c r="AV335" s="551"/>
      <c r="AW335" s="551"/>
    </row>
    <row r="336" spans="1:49" s="545" customFormat="1" ht="15.75" customHeight="1" x14ac:dyDescent="0.25">
      <c r="A336" s="1517" t="str">
        <f>IF(COUNTIF('04 - 95% CD'!D336:G336,"Y")&gt;0,"Y",IF(COUNTIF('04 - 95% CD'!D336:G336,"N"),"N",""))</f>
        <v>Y</v>
      </c>
      <c r="B336" s="554"/>
      <c r="C336" s="944"/>
      <c r="D336" s="463"/>
      <c r="E336" s="463"/>
      <c r="F336" s="359" t="str">
        <f>IF('C-Design&amp;Const'!$U336="","",'C-Design&amp;Const'!$U336)</f>
        <v>Y</v>
      </c>
      <c r="G336" s="291"/>
      <c r="H336" s="469" t="str">
        <f>CONCATENATE(IF(F336="N","PLACEHOLDER ROW - ",""),'C-Design&amp;Const'!Z336,IF(F336="N","",J336))</f>
        <v>Fire Alarm Demolition(s) (Record)</v>
      </c>
      <c r="I336" s="552"/>
      <c r="J336" s="578" t="str">
        <f>IF('C-Design&amp;Const'!AK336="","",'C-Design&amp;Const'!AK336)</f>
        <v>(Record)</v>
      </c>
      <c r="K336" s="285" t="str">
        <f t="shared" si="36"/>
        <v>match</v>
      </c>
      <c r="L336" s="1410" t="str">
        <f t="shared" si="37"/>
        <v/>
      </c>
      <c r="M336" s="1382"/>
      <c r="N336" s="1382"/>
      <c r="O336" s="1382"/>
      <c r="P336" s="1382"/>
      <c r="Q336" s="1382"/>
      <c r="R336" s="1382"/>
      <c r="S336" s="1382"/>
      <c r="T336" s="1382"/>
      <c r="U336" s="1382"/>
      <c r="V336" s="1382"/>
      <c r="W336" s="1382"/>
      <c r="X336" s="1382"/>
      <c r="Y336" s="1382"/>
      <c r="Z336" s="1382"/>
      <c r="AA336" s="1382"/>
      <c r="AB336" s="1382"/>
      <c r="AC336" s="1382"/>
      <c r="AD336" s="1382"/>
      <c r="AE336" s="1382"/>
      <c r="AF336" s="1382"/>
      <c r="AG336" s="1382"/>
      <c r="AH336" s="1382"/>
      <c r="AI336" s="1382"/>
      <c r="AJ336" s="1382"/>
      <c r="AK336" s="551"/>
      <c r="AL336" s="551"/>
      <c r="AM336" s="551"/>
      <c r="AN336" s="551"/>
      <c r="AO336" s="551"/>
      <c r="AP336" s="551"/>
      <c r="AQ336" s="551"/>
      <c r="AR336" s="551"/>
      <c r="AS336" s="551"/>
      <c r="AT336" s="551"/>
      <c r="AU336" s="551"/>
      <c r="AV336" s="551"/>
      <c r="AW336" s="551"/>
    </row>
    <row r="337" spans="1:49" x14ac:dyDescent="0.25">
      <c r="A337" s="1520" t="str">
        <f>IF(COUNTIF('04 - 95% CD'!D337:G337,"Y")&gt;0,"Y",IF(COUNTIF('04 - 95% CD'!D337:G337,"N"),"N",""))</f>
        <v>Y</v>
      </c>
      <c r="B337" s="125"/>
      <c r="C337" s="944"/>
      <c r="D337" s="411"/>
      <c r="E337" s="321"/>
      <c r="F337" s="559" t="str">
        <f>IF('C-Design&amp;Const'!$U337="","",'C-Design&amp;Const'!$U337)</f>
        <v>Y</v>
      </c>
      <c r="G337" s="485"/>
      <c r="H337" s="469" t="str">
        <f>CONCATENATE(IF(F337="N","PLACEHOLDER ROW - ",""),'C-Design&amp;Const'!Z337,IF(F337="N","",J337))</f>
        <v>Fire Alarm Floor Plans (Record)</v>
      </c>
      <c r="I337" s="137"/>
      <c r="J337" s="578" t="str">
        <f>IF('C-Design&amp;Const'!AK337="","",'C-Design&amp;Const'!AK337)</f>
        <v>(Record)</v>
      </c>
      <c r="K337" s="285" t="str">
        <f t="shared" si="36"/>
        <v>match</v>
      </c>
      <c r="L337" s="1410" t="str">
        <f t="shared" si="37"/>
        <v/>
      </c>
      <c r="M337" s="1333"/>
      <c r="N337" s="1333"/>
      <c r="O337" s="1333"/>
      <c r="P337" s="1333"/>
      <c r="Q337" s="1333"/>
      <c r="R337" s="1453"/>
      <c r="S337" s="1364"/>
      <c r="T337" s="1404"/>
      <c r="U337" s="1333"/>
      <c r="V337" s="1333"/>
      <c r="W337" s="1333"/>
      <c r="X337" s="1333"/>
      <c r="Y337" s="1333"/>
      <c r="Z337" s="1333"/>
      <c r="AA337" s="1333"/>
      <c r="AB337" s="1333"/>
      <c r="AC337" s="1333"/>
      <c r="AD337" s="1333"/>
      <c r="AE337" s="1333"/>
      <c r="AF337" s="1333"/>
      <c r="AG337" s="1333"/>
      <c r="AH337" s="1333"/>
      <c r="AI337" s="1333"/>
      <c r="AJ337" s="1333"/>
    </row>
    <row r="338" spans="1:49" x14ac:dyDescent="0.25">
      <c r="A338" s="1520" t="str">
        <f>IF(COUNTIF('04 - 95% CD'!D338:G338,"Y")&gt;0,"Y",IF(COUNTIF('04 - 95% CD'!D338:G338,"N"),"N",""))</f>
        <v>Y</v>
      </c>
      <c r="B338" s="125"/>
      <c r="C338" s="944"/>
      <c r="D338" s="411"/>
      <c r="E338" s="321"/>
      <c r="F338" s="559" t="str">
        <f>IF('C-Design&amp;Const'!$U338="","",'C-Design&amp;Const'!$U338)</f>
        <v>Y</v>
      </c>
      <c r="G338" s="485"/>
      <c r="H338" s="469" t="str">
        <f>CONCATENATE(IF(F338="N","PLACEHOLDER ROW - ",""),'C-Design&amp;Const'!Z338,IF(F338="N","",J338))</f>
        <v>Fire Alarm Riser Diagrams and Connections (Record)</v>
      </c>
      <c r="I338" s="137"/>
      <c r="J338" s="578" t="str">
        <f>IF('C-Design&amp;Const'!AK338="","",'C-Design&amp;Const'!AK338)</f>
        <v>(Record)</v>
      </c>
      <c r="K338" s="285" t="str">
        <f t="shared" si="36"/>
        <v>match</v>
      </c>
      <c r="L338" s="1410" t="str">
        <f t="shared" si="37"/>
        <v/>
      </c>
      <c r="M338" s="1333"/>
      <c r="N338" s="1333"/>
      <c r="O338" s="1333"/>
      <c r="P338" s="1333"/>
      <c r="Q338" s="1333"/>
      <c r="R338" s="1453"/>
      <c r="S338" s="1364"/>
      <c r="T338" s="1404"/>
      <c r="U338" s="1333"/>
      <c r="V338" s="1333"/>
      <c r="W338" s="1333"/>
      <c r="X338" s="1333"/>
      <c r="Y338" s="1333"/>
      <c r="Z338" s="1333"/>
      <c r="AA338" s="1333"/>
      <c r="AB338" s="1333"/>
      <c r="AC338" s="1333"/>
      <c r="AD338" s="1333"/>
      <c r="AE338" s="1333"/>
      <c r="AF338" s="1333"/>
      <c r="AG338" s="1333"/>
      <c r="AH338" s="1333"/>
      <c r="AI338" s="1333"/>
      <c r="AJ338" s="1333"/>
    </row>
    <row r="339" spans="1:49" x14ac:dyDescent="0.25">
      <c r="A339" s="1520" t="str">
        <f>IF(COUNTIF('04 - 95% CD'!D339:G339,"Y")&gt;0,"Y",IF(COUNTIF('04 - 95% CD'!D339:G339,"N"),"N",""))</f>
        <v>Y</v>
      </c>
      <c r="B339" s="125"/>
      <c r="C339" s="944"/>
      <c r="D339" s="411"/>
      <c r="E339" s="321"/>
      <c r="F339" s="559" t="str">
        <f>IF('C-Design&amp;Const'!$U339="","",'C-Design&amp;Const'!$U339)</f>
        <v>Y</v>
      </c>
      <c r="G339" s="485"/>
      <c r="H339" s="469" t="str">
        <f>CONCATENATE(IF(F339="N","PLACEHOLDER ROW - ",""),'C-Design&amp;Const'!Z339,IF(F339="N","",J339))</f>
        <v>Fire Alarm Details (Record)</v>
      </c>
      <c r="I339" s="137"/>
      <c r="J339" s="578" t="str">
        <f>IF('C-Design&amp;Const'!AK339="","",'C-Design&amp;Const'!AK339)</f>
        <v>(Record)</v>
      </c>
      <c r="K339" s="285" t="str">
        <f t="shared" si="36"/>
        <v>match</v>
      </c>
      <c r="L339" s="1410" t="str">
        <f t="shared" si="37"/>
        <v/>
      </c>
      <c r="M339" s="1333"/>
      <c r="N339" s="1333"/>
      <c r="O339" s="1333"/>
      <c r="P339" s="1333"/>
      <c r="Q339" s="1333"/>
      <c r="R339" s="1453"/>
      <c r="S339" s="1364"/>
      <c r="T339" s="1404"/>
      <c r="U339" s="1333"/>
      <c r="V339" s="1333"/>
      <c r="W339" s="1333"/>
      <c r="X339" s="1333"/>
      <c r="Y339" s="1333"/>
      <c r="Z339" s="1333"/>
      <c r="AA339" s="1333"/>
      <c r="AB339" s="1333"/>
      <c r="AC339" s="1333"/>
      <c r="AD339" s="1333"/>
      <c r="AE339" s="1333"/>
      <c r="AF339" s="1333"/>
      <c r="AG339" s="1333"/>
      <c r="AH339" s="1333"/>
      <c r="AI339" s="1333"/>
      <c r="AJ339" s="1333"/>
    </row>
    <row r="340" spans="1:49" x14ac:dyDescent="0.25">
      <c r="A340" s="1407" t="str">
        <f>IF(COUNTIF('04 - 95% CD'!D340:G340,"Y")&gt;0,"Y",IF(COUNTIF('04 - 95% CD'!D340:G340,"N"),"N",""))</f>
        <v>Y</v>
      </c>
      <c r="B340" s="125"/>
      <c r="C340" s="944"/>
      <c r="D340" s="411"/>
      <c r="E340" s="559" t="str">
        <f>IF('C-Design&amp;Const'!$U340="","",'C-Design&amp;Const'!$U340)</f>
        <v>Y</v>
      </c>
      <c r="F340" s="321"/>
      <c r="G340" s="485"/>
      <c r="H340" s="244" t="str">
        <f>CONCATENATE(IF(F340="N","PLACEHOLDER ROW - ",""),'C-Design&amp;Const'!Z340,IF(F340="N","",J340))</f>
        <v>Building Automation Systems Drawings (HVAC Instrumentation and Control)(Record)</v>
      </c>
      <c r="I340" s="146"/>
      <c r="J340" s="578" t="str">
        <f>IF('C-Design&amp;Const'!AK340="","",'C-Design&amp;Const'!AK340)</f>
        <v>(Record)</v>
      </c>
      <c r="K340" s="285" t="str">
        <f t="shared" ref="K340:K357" si="38">IF((COUNTIF(D340:G340,"Y")=COUNTIF(A340,"Y")),"match","no 95% match")</f>
        <v>match</v>
      </c>
      <c r="L340" s="1410" t="str">
        <f t="shared" ref="L340:L357" si="39">CONCATENATE(IF(ISNUMBER(SEARCH("Placeholder",H340))=TRUE,"&lt;---PM/Planner may hide PLACEHOLDER ROW",""))</f>
        <v/>
      </c>
      <c r="M340" s="1333"/>
      <c r="N340" s="1333"/>
      <c r="O340" s="1333"/>
      <c r="P340" s="1333"/>
      <c r="Q340" s="1333"/>
      <c r="R340" s="1453"/>
      <c r="S340" s="1364"/>
      <c r="T340" s="1404"/>
      <c r="U340" s="1333"/>
      <c r="V340" s="1333"/>
      <c r="W340" s="1333"/>
      <c r="X340" s="1333"/>
      <c r="Y340" s="1333"/>
      <c r="Z340" s="1333"/>
      <c r="AA340" s="1333"/>
      <c r="AB340" s="1333"/>
      <c r="AC340" s="1333"/>
      <c r="AD340" s="1333"/>
      <c r="AE340" s="1333"/>
      <c r="AF340" s="1333"/>
      <c r="AG340" s="1333"/>
      <c r="AH340" s="1333"/>
      <c r="AI340" s="1333"/>
      <c r="AJ340" s="1333"/>
    </row>
    <row r="341" spans="1:49" s="30" customFormat="1" ht="15.75" customHeight="1" x14ac:dyDescent="0.25">
      <c r="A341" s="1517" t="str">
        <f>IF(COUNTIF('04 - 95% CD'!D341:G341,"Y")&gt;0,"Y",IF(COUNTIF('04 - 95% CD'!D341:G341,"N"),"N",""))</f>
        <v>N</v>
      </c>
      <c r="B341" s="191"/>
      <c r="C341" s="944"/>
      <c r="D341" s="463"/>
      <c r="E341" s="463"/>
      <c r="F341" s="359" t="str">
        <f>IF('C-Design&amp;Const'!$U341="","",'C-Design&amp;Const'!$U341)</f>
        <v>N</v>
      </c>
      <c r="G341" s="291"/>
      <c r="H341" s="469" t="str">
        <f>CONCATENATE(IF(F341="N","PLACEHOLDER ROW - ",""),'C-Design&amp;Const'!Z341,IF(F341="N","",J341))</f>
        <v>PLACEHOLDER ROW - CUSTOM - Building Automation Systems</v>
      </c>
      <c r="I341" s="184"/>
      <c r="J341" s="578" t="str">
        <f>IF('C-Design&amp;Const'!AK341="","",'C-Design&amp;Const'!AK341)</f>
        <v>(Record)</v>
      </c>
      <c r="K341" s="285" t="str">
        <f t="shared" si="38"/>
        <v>match</v>
      </c>
      <c r="L341" s="1410" t="str">
        <f t="shared" si="39"/>
        <v>&lt;---PM/Planner may hide PLACEHOLDER ROW</v>
      </c>
      <c r="M341" s="1382"/>
      <c r="N341" s="1382"/>
      <c r="O341" s="1382"/>
      <c r="P341" s="1382"/>
      <c r="Q341" s="1382"/>
      <c r="R341" s="1382"/>
      <c r="S341" s="1382"/>
      <c r="T341" s="1382"/>
      <c r="U341" s="1382"/>
      <c r="V341" s="1382"/>
      <c r="W341" s="1382"/>
      <c r="X341" s="1382"/>
      <c r="Y341" s="1382"/>
      <c r="Z341" s="1382"/>
      <c r="AA341" s="1382"/>
      <c r="AB341" s="1382"/>
      <c r="AC341" s="1382"/>
      <c r="AD341" s="1382"/>
      <c r="AE341" s="1382"/>
      <c r="AF341" s="1382"/>
      <c r="AG341" s="1382"/>
      <c r="AH341" s="1382"/>
      <c r="AI341" s="1382"/>
      <c r="AJ341" s="1382"/>
      <c r="AK341" s="181"/>
      <c r="AL341" s="181"/>
      <c r="AM341" s="181"/>
      <c r="AN341" s="181"/>
      <c r="AO341" s="181"/>
      <c r="AP341" s="181"/>
      <c r="AQ341" s="181"/>
      <c r="AR341" s="181"/>
      <c r="AS341" s="181"/>
      <c r="AT341" s="181"/>
      <c r="AU341" s="181"/>
      <c r="AV341" s="181"/>
      <c r="AW341" s="181"/>
    </row>
    <row r="342" spans="1:49" s="30" customFormat="1" ht="15.75" customHeight="1" x14ac:dyDescent="0.25">
      <c r="A342" s="1517" t="str">
        <f>IF(COUNTIF('04 - 95% CD'!D342:G342,"Y")&gt;0,"Y",IF(COUNTIF('04 - 95% CD'!D342:G342,"N"),"N",""))</f>
        <v>N</v>
      </c>
      <c r="B342" s="191"/>
      <c r="C342" s="944"/>
      <c r="D342" s="463"/>
      <c r="E342" s="463"/>
      <c r="F342" s="359" t="str">
        <f>IF('C-Design&amp;Const'!$U342="","",'C-Design&amp;Const'!$U342)</f>
        <v>N</v>
      </c>
      <c r="G342" s="291"/>
      <c r="H342" s="469" t="str">
        <f>CONCATENATE(IF(F342="N","PLACEHOLDER ROW - ",""),'C-Design&amp;Const'!Z342,IF(F342="N","",J342))</f>
        <v>PLACEHOLDER ROW - CUSTOM - Building Automation Systems</v>
      </c>
      <c r="I342" s="184"/>
      <c r="J342" s="578" t="str">
        <f>IF('C-Design&amp;Const'!AK342="","",'C-Design&amp;Const'!AK342)</f>
        <v>(Record)</v>
      </c>
      <c r="K342" s="285" t="str">
        <f t="shared" si="38"/>
        <v>match</v>
      </c>
      <c r="L342" s="1410" t="str">
        <f t="shared" si="39"/>
        <v>&lt;---PM/Planner may hide PLACEHOLDER ROW</v>
      </c>
      <c r="M342" s="1382"/>
      <c r="N342" s="1382"/>
      <c r="O342" s="1382"/>
      <c r="P342" s="1382"/>
      <c r="Q342" s="1382"/>
      <c r="R342" s="1382"/>
      <c r="S342" s="1382"/>
      <c r="T342" s="1382"/>
      <c r="U342" s="1382"/>
      <c r="V342" s="1382"/>
      <c r="W342" s="1382"/>
      <c r="X342" s="1382"/>
      <c r="Y342" s="1382"/>
      <c r="Z342" s="1382"/>
      <c r="AA342" s="1382"/>
      <c r="AB342" s="1382"/>
      <c r="AC342" s="1382"/>
      <c r="AD342" s="1382"/>
      <c r="AE342" s="1382"/>
      <c r="AF342" s="1382"/>
      <c r="AG342" s="1382"/>
      <c r="AH342" s="1382"/>
      <c r="AI342" s="1382"/>
      <c r="AJ342" s="1382"/>
      <c r="AK342" s="181"/>
      <c r="AL342" s="181"/>
      <c r="AM342" s="181"/>
      <c r="AN342" s="181"/>
      <c r="AO342" s="181"/>
      <c r="AP342" s="181"/>
      <c r="AQ342" s="181"/>
      <c r="AR342" s="181"/>
      <c r="AS342" s="181"/>
      <c r="AT342" s="181"/>
      <c r="AU342" s="181"/>
      <c r="AV342" s="181"/>
      <c r="AW342" s="181"/>
    </row>
    <row r="343" spans="1:49" s="545" customFormat="1" ht="15.75" customHeight="1" x14ac:dyDescent="0.25">
      <c r="A343" s="1517" t="str">
        <f>IF(COUNTIF('04 - 95% CD'!D343:G343,"Y")&gt;0,"Y",IF(COUNTIF('04 - 95% CD'!D343:G343,"N"),"N",""))</f>
        <v>Y</v>
      </c>
      <c r="B343" s="554"/>
      <c r="C343" s="944"/>
      <c r="D343" s="463"/>
      <c r="E343" s="463"/>
      <c r="F343" s="359" t="str">
        <f>IF('C-Design&amp;Const'!$U343="","",'C-Design&amp;Const'!$U343)</f>
        <v>Y</v>
      </c>
      <c r="G343" s="291"/>
      <c r="H343" s="469" t="str">
        <f>CONCATENATE(IF(F343="N","PLACEHOLDER ROW - ",""),'C-Design&amp;Const'!Z343,IF(F343="N","",J343))</f>
        <v>Building Automation Symbols, Abbreviations, and General Notes (Record)</v>
      </c>
      <c r="I343" s="552"/>
      <c r="J343" s="578" t="str">
        <f>IF('C-Design&amp;Const'!AK343="","",'C-Design&amp;Const'!AK343)</f>
        <v>(Record)</v>
      </c>
      <c r="K343" s="285" t="str">
        <f t="shared" si="38"/>
        <v>match</v>
      </c>
      <c r="L343" s="1410" t="str">
        <f t="shared" si="39"/>
        <v/>
      </c>
      <c r="M343" s="1382"/>
      <c r="N343" s="1382"/>
      <c r="O343" s="1382"/>
      <c r="P343" s="1382"/>
      <c r="Q343" s="1382"/>
      <c r="R343" s="1382"/>
      <c r="S343" s="1382"/>
      <c r="T343" s="1382"/>
      <c r="U343" s="1382"/>
      <c r="V343" s="1382"/>
      <c r="W343" s="1382"/>
      <c r="X343" s="1382"/>
      <c r="Y343" s="1382"/>
      <c r="Z343" s="1382"/>
      <c r="AA343" s="1382"/>
      <c r="AB343" s="1382"/>
      <c r="AC343" s="1382"/>
      <c r="AD343" s="1382"/>
      <c r="AE343" s="1382"/>
      <c r="AF343" s="1382"/>
      <c r="AG343" s="1382"/>
      <c r="AH343" s="1382"/>
      <c r="AI343" s="1382"/>
      <c r="AJ343" s="1382"/>
      <c r="AK343" s="551"/>
      <c r="AL343" s="551"/>
      <c r="AM343" s="551"/>
      <c r="AN343" s="551"/>
      <c r="AO343" s="551"/>
      <c r="AP343" s="551"/>
      <c r="AQ343" s="551"/>
      <c r="AR343" s="551"/>
      <c r="AS343" s="551"/>
      <c r="AT343" s="551"/>
      <c r="AU343" s="551"/>
      <c r="AV343" s="551"/>
      <c r="AW343" s="551"/>
    </row>
    <row r="344" spans="1:49" s="545" customFormat="1" ht="15.75" customHeight="1" x14ac:dyDescent="0.25">
      <c r="A344" s="1517" t="str">
        <f>IF(COUNTIF('04 - 95% CD'!D344:G344,"Y")&gt;0,"Y",IF(COUNTIF('04 - 95% CD'!D344:G344,"N"),"N",""))</f>
        <v>Y</v>
      </c>
      <c r="B344" s="554"/>
      <c r="C344" s="944"/>
      <c r="D344" s="463"/>
      <c r="E344" s="463"/>
      <c r="F344" s="359" t="str">
        <f>IF('C-Design&amp;Const'!$U344="","",'C-Design&amp;Const'!$U344)</f>
        <v>Y</v>
      </c>
      <c r="G344" s="291"/>
      <c r="H344" s="469" t="str">
        <f>CONCATENATE(IF(F344="N","PLACEHOLDER ROW - ",""),'C-Design&amp;Const'!Z344,IF(F344="N","",J344))</f>
        <v>Building Automation Systems Demolition(s) (Record)</v>
      </c>
      <c r="I344" s="552"/>
      <c r="J344" s="578" t="str">
        <f>IF('C-Design&amp;Const'!AK344="","",'C-Design&amp;Const'!AK344)</f>
        <v>(Record)</v>
      </c>
      <c r="K344" s="285" t="str">
        <f t="shared" si="38"/>
        <v>match</v>
      </c>
      <c r="L344" s="1410" t="str">
        <f t="shared" si="39"/>
        <v/>
      </c>
      <c r="M344" s="1382"/>
      <c r="N344" s="1382"/>
      <c r="O344" s="1382"/>
      <c r="P344" s="1382"/>
      <c r="Q344" s="1382"/>
      <c r="R344" s="1382"/>
      <c r="S344" s="1382"/>
      <c r="T344" s="1382"/>
      <c r="U344" s="1382"/>
      <c r="V344" s="1382"/>
      <c r="W344" s="1382"/>
      <c r="X344" s="1382"/>
      <c r="Y344" s="1382"/>
      <c r="Z344" s="1382"/>
      <c r="AA344" s="1382"/>
      <c r="AB344" s="1382"/>
      <c r="AC344" s="1382"/>
      <c r="AD344" s="1382"/>
      <c r="AE344" s="1382"/>
      <c r="AF344" s="1382"/>
      <c r="AG344" s="1382"/>
      <c r="AH344" s="1382"/>
      <c r="AI344" s="1382"/>
      <c r="AJ344" s="1382"/>
      <c r="AK344" s="551"/>
      <c r="AL344" s="551"/>
      <c r="AM344" s="551"/>
      <c r="AN344" s="551"/>
      <c r="AO344" s="551"/>
      <c r="AP344" s="551"/>
      <c r="AQ344" s="551"/>
      <c r="AR344" s="551"/>
      <c r="AS344" s="551"/>
      <c r="AT344" s="551"/>
      <c r="AU344" s="551"/>
      <c r="AV344" s="551"/>
      <c r="AW344" s="551"/>
    </row>
    <row r="345" spans="1:49" ht="30" x14ac:dyDescent="0.25">
      <c r="A345" s="1520" t="str">
        <f>IF(COUNTIF('04 - 95% CD'!D345:G345,"Y")&gt;0,"Y",IF(COUNTIF('04 - 95% CD'!D345:G345,"N"),"N",""))</f>
        <v>Y</v>
      </c>
      <c r="B345" s="125"/>
      <c r="C345" s="944"/>
      <c r="D345" s="411"/>
      <c r="E345" s="321"/>
      <c r="F345" s="559" t="str">
        <f>IF('C-Design&amp;Const'!$U345="","",'C-Design&amp;Const'!$U345)</f>
        <v>Y</v>
      </c>
      <c r="G345" s="485"/>
      <c r="H345" s="243" t="str">
        <f>CONCATENATE(IF(F345="N","PLACEHOLDER ROW - ",""),'C-Design&amp;Const'!Z345,IF(F345="N","",J345))</f>
        <v>Building Automation Floor Plans and Approximate Control Panel Locations &amp; Other Instruments or Device Locations (Record)</v>
      </c>
      <c r="I345" s="137"/>
      <c r="J345" s="578" t="str">
        <f>IF('C-Design&amp;Const'!AK345="","",'C-Design&amp;Const'!AK345)</f>
        <v>(Record)</v>
      </c>
      <c r="K345" s="285" t="str">
        <f t="shared" si="38"/>
        <v>match</v>
      </c>
      <c r="L345" s="1410" t="str">
        <f t="shared" si="39"/>
        <v/>
      </c>
      <c r="M345" s="1333"/>
      <c r="N345" s="1333"/>
      <c r="O345" s="1333"/>
      <c r="P345" s="1333"/>
      <c r="Q345" s="1333"/>
      <c r="R345" s="1453"/>
      <c r="S345" s="1364"/>
      <c r="T345" s="1404"/>
      <c r="U345" s="1333"/>
      <c r="V345" s="1333"/>
      <c r="W345" s="1333"/>
      <c r="X345" s="1333"/>
      <c r="Y345" s="1333"/>
      <c r="Z345" s="1333"/>
      <c r="AA345" s="1333"/>
      <c r="AB345" s="1333"/>
      <c r="AC345" s="1333"/>
      <c r="AD345" s="1333"/>
      <c r="AE345" s="1333"/>
      <c r="AF345" s="1333"/>
      <c r="AG345" s="1333"/>
      <c r="AH345" s="1333"/>
      <c r="AI345" s="1333"/>
      <c r="AJ345" s="1333"/>
    </row>
    <row r="346" spans="1:49" ht="30" x14ac:dyDescent="0.25">
      <c r="A346" s="1520" t="str">
        <f>IF(COUNTIF('04 - 95% CD'!D346:G346,"Y")&gt;0,"Y",IF(COUNTIF('04 - 95% CD'!D346:G346,"N"),"N",""))</f>
        <v>Y</v>
      </c>
      <c r="B346" s="125"/>
      <c r="C346" s="944"/>
      <c r="D346" s="411"/>
      <c r="E346" s="321"/>
      <c r="F346" s="559" t="str">
        <f>IF('C-Design&amp;Const'!$U346="","",'C-Design&amp;Const'!$U346)</f>
        <v>Y</v>
      </c>
      <c r="G346" s="485"/>
      <c r="H346" s="243" t="str">
        <f>CONCATENATE(IF(F346="N","PLACEHOLDER ROW - ",""),'C-Design&amp;Const'!Z346,IF(F346="N","",J346))</f>
        <v>Building Automation Systems Diagrams, Points List (Diagrammatical or Spreadsheet), Device Schedule, and Sequences of Operation (Record)</v>
      </c>
      <c r="I346" s="137"/>
      <c r="J346" s="578" t="str">
        <f>IF('C-Design&amp;Const'!AK346="","",'C-Design&amp;Const'!AK346)</f>
        <v>(Record)</v>
      </c>
      <c r="K346" s="285" t="str">
        <f t="shared" si="38"/>
        <v>match</v>
      </c>
      <c r="L346" s="1410" t="str">
        <f t="shared" si="39"/>
        <v/>
      </c>
      <c r="M346" s="1333"/>
      <c r="N346" s="1333"/>
      <c r="O346" s="1333"/>
      <c r="P346" s="1333"/>
      <c r="Q346" s="1333"/>
      <c r="R346" s="1284"/>
      <c r="S346" s="1513"/>
      <c r="T346" s="1404"/>
      <c r="U346" s="1333"/>
      <c r="V346" s="1333"/>
      <c r="W346" s="1333"/>
      <c r="X346" s="1333"/>
      <c r="Y346" s="1333"/>
      <c r="Z346" s="1333"/>
      <c r="AA346" s="1333"/>
      <c r="AB346" s="1333"/>
      <c r="AC346" s="1333"/>
      <c r="AD346" s="1333"/>
      <c r="AE346" s="1333"/>
      <c r="AF346" s="1333"/>
      <c r="AG346" s="1333"/>
      <c r="AH346" s="1333"/>
      <c r="AI346" s="1333"/>
      <c r="AJ346" s="1333"/>
    </row>
    <row r="347" spans="1:49" s="30" customFormat="1" ht="16.5" customHeight="1" x14ac:dyDescent="0.25">
      <c r="A347" s="1517" t="str">
        <f>IF(COUNTIF('04 - 95% CD'!D347:G347,"Y")&gt;0,"Y",IF(COUNTIF('04 - 95% CD'!D347:G347,"N"),"N",""))</f>
        <v>Y</v>
      </c>
      <c r="B347" s="191"/>
      <c r="C347" s="944"/>
      <c r="D347" s="463"/>
      <c r="E347" s="463"/>
      <c r="F347" s="359" t="str">
        <f>IF('C-Design&amp;Const'!$U347="","",'C-Design&amp;Const'!$U347)</f>
        <v>Y</v>
      </c>
      <c r="G347" s="291"/>
      <c r="H347" s="469" t="str">
        <f>CONCATENATE(IF(F347="N","PLACEHOLDER ROW - ",""),'C-Design&amp;Const'!Z347,IF(F347="N","",J347))</f>
        <v>Building Network Connections and Integration (Record)</v>
      </c>
      <c r="I347" s="184"/>
      <c r="J347" s="578" t="str">
        <f>IF('C-Design&amp;Const'!AK347="","",'C-Design&amp;Const'!AK347)</f>
        <v>(Record)</v>
      </c>
      <c r="K347" s="285" t="str">
        <f t="shared" si="38"/>
        <v>match</v>
      </c>
      <c r="L347" s="1410" t="str">
        <f t="shared" si="39"/>
        <v/>
      </c>
      <c r="M347" s="1382"/>
      <c r="N347" s="1382"/>
      <c r="O347" s="1382"/>
      <c r="P347" s="1382"/>
      <c r="Q347" s="1382"/>
      <c r="R347" s="1382"/>
      <c r="S347" s="1382"/>
      <c r="T347" s="1382"/>
      <c r="U347" s="1382"/>
      <c r="V347" s="1382"/>
      <c r="W347" s="1382"/>
      <c r="X347" s="1382"/>
      <c r="Y347" s="1382"/>
      <c r="Z347" s="1382"/>
      <c r="AA347" s="1382"/>
      <c r="AB347" s="1382"/>
      <c r="AC347" s="1382"/>
      <c r="AD347" s="1382"/>
      <c r="AE347" s="1382"/>
      <c r="AF347" s="1382"/>
      <c r="AG347" s="1382"/>
      <c r="AH347" s="1382"/>
      <c r="AI347" s="1382"/>
      <c r="AJ347" s="1382"/>
      <c r="AK347" s="181"/>
      <c r="AL347" s="181"/>
      <c r="AM347" s="181"/>
      <c r="AN347" s="181"/>
      <c r="AO347" s="181"/>
      <c r="AP347" s="181"/>
      <c r="AQ347" s="181"/>
      <c r="AR347" s="181"/>
      <c r="AS347" s="181"/>
      <c r="AT347" s="181"/>
      <c r="AU347" s="181"/>
      <c r="AV347" s="181"/>
      <c r="AW347" s="181"/>
    </row>
    <row r="348" spans="1:49" x14ac:dyDescent="0.25">
      <c r="A348" s="1520" t="str">
        <f>IF(COUNTIF('04 - 95% CD'!D348:G348,"Y")&gt;0,"Y",IF(COUNTIF('04 - 95% CD'!D348:G348,"N"),"N",""))</f>
        <v>Y</v>
      </c>
      <c r="B348" s="125"/>
      <c r="C348" s="944"/>
      <c r="D348" s="411"/>
      <c r="E348" s="321"/>
      <c r="F348" s="559" t="str">
        <f>IF('C-Design&amp;Const'!$U348="","",'C-Design&amp;Const'!$U348)</f>
        <v>Y</v>
      </c>
      <c r="G348" s="485"/>
      <c r="H348" s="243" t="str">
        <f>CONCATENATE(IF(F348="N","PLACEHOLDER ROW - ",""),'C-Design&amp;Const'!Z348,IF(F348="N","",J348))</f>
        <v>Temperature Controls Building Automation Systems - Sequence of Operation (Record)</v>
      </c>
      <c r="I348" s="137"/>
      <c r="J348" s="578" t="str">
        <f>IF('C-Design&amp;Const'!AK348="","",'C-Design&amp;Const'!AK348)</f>
        <v>(Record)</v>
      </c>
      <c r="K348" s="285" t="str">
        <f t="shared" si="38"/>
        <v>match</v>
      </c>
      <c r="L348" s="1410" t="str">
        <f t="shared" si="39"/>
        <v/>
      </c>
      <c r="M348" s="1333"/>
      <c r="N348" s="1333"/>
      <c r="O348" s="1333"/>
      <c r="P348" s="1333"/>
      <c r="Q348" s="1333"/>
      <c r="R348" s="1284"/>
      <c r="S348" s="1513"/>
      <c r="T348" s="1404"/>
      <c r="U348" s="1333"/>
      <c r="V348" s="1333"/>
      <c r="W348" s="1333"/>
      <c r="X348" s="1333"/>
      <c r="Y348" s="1333"/>
      <c r="Z348" s="1333"/>
      <c r="AA348" s="1333"/>
      <c r="AB348" s="1333"/>
      <c r="AC348" s="1333"/>
      <c r="AD348" s="1333"/>
      <c r="AE348" s="1333"/>
      <c r="AF348" s="1333"/>
      <c r="AG348" s="1333"/>
      <c r="AH348" s="1333"/>
      <c r="AI348" s="1333"/>
      <c r="AJ348" s="1333"/>
    </row>
    <row r="349" spans="1:49" s="30" customFormat="1" ht="15.75" customHeight="1" x14ac:dyDescent="0.25">
      <c r="A349" s="1517" t="str">
        <f>IF(COUNTIF('04 - 95% CD'!D349:G349,"Y")&gt;0,"Y",IF(COUNTIF('04 - 95% CD'!D349:G349,"N"),"N",""))</f>
        <v>Y</v>
      </c>
      <c r="B349" s="191"/>
      <c r="C349" s="944"/>
      <c r="D349" s="463"/>
      <c r="E349" s="463"/>
      <c r="F349" s="359" t="str">
        <f>IF('C-Design&amp;Const'!$U349="","",'C-Design&amp;Const'!$U349)</f>
        <v>Y</v>
      </c>
      <c r="G349" s="291"/>
      <c r="H349" s="469" t="str">
        <f>CONCATENATE(IF(F349="N","PLACEHOLDER ROW - ",""),'C-Design&amp;Const'!Z349,IF(F349="N","",J349))</f>
        <v>Building Automation Systems Details (Record)</v>
      </c>
      <c r="I349" s="184"/>
      <c r="J349" s="578" t="str">
        <f>IF('C-Design&amp;Const'!AK349="","",'C-Design&amp;Const'!AK349)</f>
        <v>(Record)</v>
      </c>
      <c r="K349" s="285" t="str">
        <f t="shared" si="38"/>
        <v>match</v>
      </c>
      <c r="L349" s="1410" t="str">
        <f t="shared" si="39"/>
        <v/>
      </c>
      <c r="M349" s="1382"/>
      <c r="N349" s="1382"/>
      <c r="O349" s="1382"/>
      <c r="P349" s="1382"/>
      <c r="Q349" s="1382"/>
      <c r="R349" s="1382"/>
      <c r="S349" s="1382"/>
      <c r="T349" s="1382"/>
      <c r="U349" s="1382"/>
      <c r="V349" s="1382"/>
      <c r="W349" s="1382"/>
      <c r="X349" s="1382"/>
      <c r="Y349" s="1382"/>
      <c r="Z349" s="1382"/>
      <c r="AA349" s="1382"/>
      <c r="AB349" s="1382"/>
      <c r="AC349" s="1382"/>
      <c r="AD349" s="1382"/>
      <c r="AE349" s="1382"/>
      <c r="AF349" s="1382"/>
      <c r="AG349" s="1382"/>
      <c r="AH349" s="1382"/>
      <c r="AI349" s="1382"/>
      <c r="AJ349" s="1382"/>
      <c r="AK349" s="181"/>
      <c r="AL349" s="181"/>
      <c r="AM349" s="181"/>
      <c r="AN349" s="181"/>
      <c r="AO349" s="181"/>
      <c r="AP349" s="181"/>
      <c r="AQ349" s="181"/>
      <c r="AR349" s="181"/>
      <c r="AS349" s="181"/>
      <c r="AT349" s="181"/>
      <c r="AU349" s="181"/>
      <c r="AV349" s="181"/>
      <c r="AW349" s="181"/>
    </row>
    <row r="350" spans="1:49" x14ac:dyDescent="0.25">
      <c r="A350" s="1407" t="str">
        <f>IF(COUNTIF('04 - 95% CD'!D350:G350,"Y")&gt;0,"Y",IF(COUNTIF('04 - 95% CD'!D350:G350,"N"),"N",""))</f>
        <v>Y</v>
      </c>
      <c r="B350" s="125"/>
      <c r="C350" s="944"/>
      <c r="D350" s="411"/>
      <c r="E350" s="559" t="str">
        <f>IF('C-Design&amp;Const'!$U350="","",'C-Design&amp;Const'!$U350)</f>
        <v>Y</v>
      </c>
      <c r="F350" s="321"/>
      <c r="G350" s="485"/>
      <c r="H350" s="244" t="str">
        <f>CONCATENATE(IF(F350="N","PLACEHOLDER ROW - ",""),'C-Design&amp;Const'!Z350,IF(F350="N","",J350))</f>
        <v>Access Controls Drawings(Record)</v>
      </c>
      <c r="I350" s="146"/>
      <c r="J350" s="578" t="str">
        <f>IF('C-Design&amp;Const'!AK350="","",'C-Design&amp;Const'!AK350)</f>
        <v>(Record)</v>
      </c>
      <c r="K350" s="285" t="str">
        <f t="shared" si="38"/>
        <v>match</v>
      </c>
      <c r="L350" s="1410" t="str">
        <f t="shared" si="39"/>
        <v/>
      </c>
      <c r="M350" s="1333"/>
      <c r="N350" s="1333"/>
      <c r="O350" s="1333"/>
      <c r="P350" s="1333"/>
      <c r="Q350" s="1333"/>
      <c r="R350" s="1453"/>
      <c r="S350" s="1364"/>
      <c r="T350" s="1404"/>
      <c r="U350" s="1333"/>
      <c r="V350" s="1333"/>
      <c r="W350" s="1333"/>
      <c r="X350" s="1333"/>
      <c r="Y350" s="1333"/>
      <c r="Z350" s="1333"/>
      <c r="AA350" s="1333"/>
      <c r="AB350" s="1333"/>
      <c r="AC350" s="1333"/>
      <c r="AD350" s="1333"/>
      <c r="AE350" s="1333"/>
      <c r="AF350" s="1333"/>
      <c r="AG350" s="1333"/>
      <c r="AH350" s="1333"/>
      <c r="AI350" s="1333"/>
      <c r="AJ350" s="1333"/>
    </row>
    <row r="351" spans="1:49" s="30" customFormat="1" ht="15.75" customHeight="1" x14ac:dyDescent="0.25">
      <c r="A351" s="1517" t="str">
        <f>IF(COUNTIF('04 - 95% CD'!D351:G351,"Y")&gt;0,"Y",IF(COUNTIF('04 - 95% CD'!D351:G351,"N"),"N",""))</f>
        <v>N</v>
      </c>
      <c r="B351" s="191"/>
      <c r="C351" s="944"/>
      <c r="D351" s="463"/>
      <c r="E351" s="463"/>
      <c r="F351" s="359" t="str">
        <f>IF('C-Design&amp;Const'!$U351="","",'C-Design&amp;Const'!$U351)</f>
        <v>N</v>
      </c>
      <c r="G351" s="291"/>
      <c r="H351" s="469" t="str">
        <f>CONCATENATE(IF(F351="N","PLACEHOLDER ROW - ",""),'C-Design&amp;Const'!Z351,IF(F351="N","",J351))</f>
        <v xml:space="preserve">PLACEHOLDER ROW - CUSTOM Access Controls </v>
      </c>
      <c r="I351" s="184"/>
      <c r="J351" s="578" t="str">
        <f>IF('C-Design&amp;Const'!AK351="","",'C-Design&amp;Const'!AK351)</f>
        <v>(Record)</v>
      </c>
      <c r="K351" s="285" t="str">
        <f t="shared" si="38"/>
        <v>match</v>
      </c>
      <c r="L351" s="1410" t="str">
        <f t="shared" si="39"/>
        <v>&lt;---PM/Planner may hide PLACEHOLDER ROW</v>
      </c>
      <c r="M351" s="1382"/>
      <c r="N351" s="1382"/>
      <c r="O351" s="1382"/>
      <c r="P351" s="1382"/>
      <c r="Q351" s="1382"/>
      <c r="R351" s="1382"/>
      <c r="S351" s="1382"/>
      <c r="T351" s="1382"/>
      <c r="U351" s="1382"/>
      <c r="V351" s="1382"/>
      <c r="W351" s="1382"/>
      <c r="X351" s="1382"/>
      <c r="Y351" s="1382"/>
      <c r="Z351" s="1382"/>
      <c r="AA351" s="1382"/>
      <c r="AB351" s="1382"/>
      <c r="AC351" s="1382"/>
      <c r="AD351" s="1382"/>
      <c r="AE351" s="1382"/>
      <c r="AF351" s="1382"/>
      <c r="AG351" s="1382"/>
      <c r="AH351" s="1382"/>
      <c r="AI351" s="1382"/>
      <c r="AJ351" s="1382"/>
      <c r="AK351" s="181"/>
      <c r="AL351" s="181"/>
      <c r="AM351" s="181"/>
      <c r="AN351" s="181"/>
      <c r="AO351" s="181"/>
      <c r="AP351" s="181"/>
      <c r="AQ351" s="181"/>
      <c r="AR351" s="181"/>
      <c r="AS351" s="181"/>
      <c r="AT351" s="181"/>
      <c r="AU351" s="181"/>
      <c r="AV351" s="181"/>
      <c r="AW351" s="181"/>
    </row>
    <row r="352" spans="1:49" s="30" customFormat="1" ht="15.75" customHeight="1" x14ac:dyDescent="0.25">
      <c r="A352" s="1517" t="str">
        <f>IF(COUNTIF('04 - 95% CD'!D352:G352,"Y")&gt;0,"Y",IF(COUNTIF('04 - 95% CD'!D352:G352,"N"),"N",""))</f>
        <v>N</v>
      </c>
      <c r="B352" s="191"/>
      <c r="C352" s="944"/>
      <c r="D352" s="463"/>
      <c r="E352" s="463"/>
      <c r="F352" s="359" t="str">
        <f>IF('C-Design&amp;Const'!$U352="","",'C-Design&amp;Const'!$U352)</f>
        <v>N</v>
      </c>
      <c r="G352" s="291"/>
      <c r="H352" s="469" t="str">
        <f>CONCATENATE(IF(F352="N","PLACEHOLDER ROW - ",""),'C-Design&amp;Const'!Z352,IF(F352="N","",J352))</f>
        <v xml:space="preserve">PLACEHOLDER ROW - CUSTOM Access Controls </v>
      </c>
      <c r="I352" s="184"/>
      <c r="J352" s="578" t="str">
        <f>IF('C-Design&amp;Const'!AK352="","",'C-Design&amp;Const'!AK352)</f>
        <v>(Record)</v>
      </c>
      <c r="K352" s="285" t="str">
        <f t="shared" si="38"/>
        <v>match</v>
      </c>
      <c r="L352" s="1410" t="str">
        <f t="shared" si="39"/>
        <v>&lt;---PM/Planner may hide PLACEHOLDER ROW</v>
      </c>
      <c r="M352" s="1382"/>
      <c r="N352" s="1382"/>
      <c r="O352" s="1382"/>
      <c r="P352" s="1382"/>
      <c r="Q352" s="1382"/>
      <c r="R352" s="1382"/>
      <c r="S352" s="1382"/>
      <c r="T352" s="1382"/>
      <c r="U352" s="1382"/>
      <c r="V352" s="1382"/>
      <c r="W352" s="1382"/>
      <c r="X352" s="1382"/>
      <c r="Y352" s="1382"/>
      <c r="Z352" s="1382"/>
      <c r="AA352" s="1382"/>
      <c r="AB352" s="1382"/>
      <c r="AC352" s="1382"/>
      <c r="AD352" s="1382"/>
      <c r="AE352" s="1382"/>
      <c r="AF352" s="1382"/>
      <c r="AG352" s="1382"/>
      <c r="AH352" s="1382"/>
      <c r="AI352" s="1382"/>
      <c r="AJ352" s="1382"/>
      <c r="AK352" s="181"/>
      <c r="AL352" s="181"/>
      <c r="AM352" s="181"/>
      <c r="AN352" s="181"/>
      <c r="AO352" s="181"/>
      <c r="AP352" s="181"/>
      <c r="AQ352" s="181"/>
      <c r="AR352" s="181"/>
      <c r="AS352" s="181"/>
      <c r="AT352" s="181"/>
      <c r="AU352" s="181"/>
      <c r="AV352" s="181"/>
      <c r="AW352" s="181"/>
    </row>
    <row r="353" spans="1:49" s="545" customFormat="1" ht="15.75" customHeight="1" x14ac:dyDescent="0.25">
      <c r="A353" s="1517" t="str">
        <f>IF(COUNTIF('04 - 95% CD'!D353:G353,"Y")&gt;0,"Y",IF(COUNTIF('04 - 95% CD'!D353:G353,"N"),"N",""))</f>
        <v>Y</v>
      </c>
      <c r="B353" s="554"/>
      <c r="C353" s="944"/>
      <c r="D353" s="463"/>
      <c r="E353" s="463"/>
      <c r="F353" s="359" t="str">
        <f>IF('C-Design&amp;Const'!$U353="","",'C-Design&amp;Const'!$U353)</f>
        <v>Y</v>
      </c>
      <c r="G353" s="291"/>
      <c r="H353" s="469" t="str">
        <f>CONCATENATE(IF(F353="N","PLACEHOLDER ROW - ",""),'C-Design&amp;Const'!Z353,IF(F353="N","",J353))</f>
        <v>Access Control Symbols, Abbreviations, and General Notes (Record)</v>
      </c>
      <c r="I353" s="552"/>
      <c r="J353" s="578" t="str">
        <f>IF('C-Design&amp;Const'!AK353="","",'C-Design&amp;Const'!AK353)</f>
        <v>(Record)</v>
      </c>
      <c r="K353" s="285" t="str">
        <f t="shared" ref="K353:K354" si="40">IF((COUNTIF(D353:G353,"Y")=COUNTIF(A353,"Y")),"match","no 95% match")</f>
        <v>match</v>
      </c>
      <c r="L353" s="1410" t="str">
        <f t="shared" ref="L353:L354" si="41">CONCATENATE(IF(ISNUMBER(SEARCH("Placeholder",H353))=TRUE,"&lt;---PM/Planner may hide PLACEHOLDER ROW",""))</f>
        <v/>
      </c>
      <c r="M353" s="1382"/>
      <c r="N353" s="1382"/>
      <c r="O353" s="1382"/>
      <c r="P353" s="1382"/>
      <c r="Q353" s="1382"/>
      <c r="R353" s="1382"/>
      <c r="S353" s="1382"/>
      <c r="T353" s="1382"/>
      <c r="U353" s="1382"/>
      <c r="V353" s="1382"/>
      <c r="W353" s="1382"/>
      <c r="X353" s="1382"/>
      <c r="Y353" s="1382"/>
      <c r="Z353" s="1382"/>
      <c r="AA353" s="1382"/>
      <c r="AB353" s="1382"/>
      <c r="AC353" s="1382"/>
      <c r="AD353" s="1382"/>
      <c r="AE353" s="1382"/>
      <c r="AF353" s="1382"/>
      <c r="AG353" s="1382"/>
      <c r="AH353" s="1382"/>
      <c r="AI353" s="1382"/>
      <c r="AJ353" s="1382"/>
      <c r="AK353" s="551"/>
      <c r="AL353" s="551"/>
      <c r="AM353" s="551"/>
      <c r="AN353" s="551"/>
      <c r="AO353" s="551"/>
      <c r="AP353" s="551"/>
      <c r="AQ353" s="551"/>
      <c r="AR353" s="551"/>
      <c r="AS353" s="551"/>
      <c r="AT353" s="551"/>
      <c r="AU353" s="551"/>
      <c r="AV353" s="551"/>
      <c r="AW353" s="551"/>
    </row>
    <row r="354" spans="1:49" s="545" customFormat="1" ht="15.75" customHeight="1" x14ac:dyDescent="0.25">
      <c r="A354" s="1517" t="str">
        <f>IF(COUNTIF('04 - 95% CD'!D354:G354,"Y")&gt;0,"Y",IF(COUNTIF('04 - 95% CD'!D354:G354,"N"),"N",""))</f>
        <v>Y</v>
      </c>
      <c r="B354" s="554"/>
      <c r="C354" s="944"/>
      <c r="D354" s="463"/>
      <c r="E354" s="463"/>
      <c r="F354" s="359" t="str">
        <f>IF('C-Design&amp;Const'!$U354="","",'C-Design&amp;Const'!$U354)</f>
        <v>Y</v>
      </c>
      <c r="G354" s="291"/>
      <c r="H354" s="469" t="str">
        <f>CONCATENATE(IF(F354="N","PLACEHOLDER ROW - ",""),'C-Design&amp;Const'!Z354,IF(F354="N","",J354))</f>
        <v>Access Control Demolition(s) (Record)</v>
      </c>
      <c r="I354" s="552"/>
      <c r="J354" s="578" t="str">
        <f>IF('C-Design&amp;Const'!AK354="","",'C-Design&amp;Const'!AK354)</f>
        <v>(Record)</v>
      </c>
      <c r="K354" s="285" t="str">
        <f t="shared" si="40"/>
        <v>match</v>
      </c>
      <c r="L354" s="1410" t="str">
        <f t="shared" si="41"/>
        <v/>
      </c>
      <c r="M354" s="1382"/>
      <c r="N354" s="1382"/>
      <c r="O354" s="1382"/>
      <c r="P354" s="1382"/>
      <c r="Q354" s="1382"/>
      <c r="R354" s="1382"/>
      <c r="S354" s="1382"/>
      <c r="T354" s="1382"/>
      <c r="U354" s="1382"/>
      <c r="V354" s="1382"/>
      <c r="W354" s="1382"/>
      <c r="X354" s="1382"/>
      <c r="Y354" s="1382"/>
      <c r="Z354" s="1382"/>
      <c r="AA354" s="1382"/>
      <c r="AB354" s="1382"/>
      <c r="AC354" s="1382"/>
      <c r="AD354" s="1382"/>
      <c r="AE354" s="1382"/>
      <c r="AF354" s="1382"/>
      <c r="AG354" s="1382"/>
      <c r="AH354" s="1382"/>
      <c r="AI354" s="1382"/>
      <c r="AJ354" s="1382"/>
      <c r="AK354" s="551"/>
      <c r="AL354" s="551"/>
      <c r="AM354" s="551"/>
      <c r="AN354" s="551"/>
      <c r="AO354" s="551"/>
      <c r="AP354" s="551"/>
      <c r="AQ354" s="551"/>
      <c r="AR354" s="551"/>
      <c r="AS354" s="551"/>
      <c r="AT354" s="551"/>
      <c r="AU354" s="551"/>
      <c r="AV354" s="551"/>
      <c r="AW354" s="551"/>
    </row>
    <row r="355" spans="1:49" x14ac:dyDescent="0.25">
      <c r="A355" s="1520" t="str">
        <f>IF(COUNTIF('04 - 95% CD'!D355:G355,"Y")&gt;0,"Y",IF(COUNTIF('04 - 95% CD'!D355:G355,"N"),"N",""))</f>
        <v>Y</v>
      </c>
      <c r="B355" s="125"/>
      <c r="C355" s="944"/>
      <c r="D355" s="411"/>
      <c r="E355" s="321"/>
      <c r="F355" s="559" t="str">
        <f>IF('C-Design&amp;Const'!$U355="","",'C-Design&amp;Const'!$U355)</f>
        <v>Y</v>
      </c>
      <c r="G355" s="485"/>
      <c r="H355" s="243" t="str">
        <f>CONCATENATE(IF(F355="N","PLACEHOLDER ROW - ",""),'C-Design&amp;Const'!Z355,IF(F355="N","",J355))</f>
        <v>Access Control Floor Plans (Record)</v>
      </c>
      <c r="I355" s="137"/>
      <c r="J355" s="578" t="str">
        <f>IF('C-Design&amp;Const'!AK355="","",'C-Design&amp;Const'!AK355)</f>
        <v>(Record)</v>
      </c>
      <c r="K355" s="285" t="str">
        <f t="shared" si="38"/>
        <v>match</v>
      </c>
      <c r="L355" s="1410" t="str">
        <f t="shared" si="39"/>
        <v/>
      </c>
      <c r="M355" s="1333"/>
      <c r="N355" s="1333"/>
      <c r="O355" s="1333"/>
      <c r="P355" s="1333"/>
      <c r="Q355" s="1333"/>
      <c r="R355" s="1453"/>
      <c r="S355" s="1364"/>
      <c r="T355" s="1404"/>
      <c r="U355" s="1333"/>
      <c r="V355" s="1333"/>
      <c r="W355" s="1333"/>
      <c r="X355" s="1333"/>
      <c r="Y355" s="1333"/>
      <c r="Z355" s="1333"/>
      <c r="AA355" s="1333"/>
      <c r="AB355" s="1333"/>
      <c r="AC355" s="1333"/>
      <c r="AD355" s="1333"/>
      <c r="AE355" s="1333"/>
      <c r="AF355" s="1333"/>
      <c r="AG355" s="1333"/>
      <c r="AH355" s="1333"/>
      <c r="AI355" s="1333"/>
      <c r="AJ355" s="1333"/>
    </row>
    <row r="356" spans="1:49" x14ac:dyDescent="0.25">
      <c r="A356" s="1520" t="str">
        <f>IF(COUNTIF('04 - 95% CD'!D356:G356,"Y")&gt;0,"Y",IF(COUNTIF('04 - 95% CD'!D356:G356,"N"),"N",""))</f>
        <v>Y</v>
      </c>
      <c r="B356" s="125"/>
      <c r="C356" s="944"/>
      <c r="D356" s="411"/>
      <c r="E356" s="321"/>
      <c r="F356" s="559" t="str">
        <f>IF('C-Design&amp;Const'!$U356="","",'C-Design&amp;Const'!$U356)</f>
        <v>Y</v>
      </c>
      <c r="G356" s="485"/>
      <c r="H356" s="243" t="str">
        <f>CONCATENATE(IF(F356="N","PLACEHOLDER ROW - ",""),'C-Design&amp;Const'!Z356,IF(F356="N","",J356))</f>
        <v>Access Control Logic Diagrams, Points Lists and Device Schedule (Record)</v>
      </c>
      <c r="I356" s="137"/>
      <c r="J356" s="578" t="str">
        <f>IF('C-Design&amp;Const'!AK356="","",'C-Design&amp;Const'!AK356)</f>
        <v>(Record)</v>
      </c>
      <c r="K356" s="285" t="str">
        <f t="shared" si="38"/>
        <v>match</v>
      </c>
      <c r="L356" s="1410" t="str">
        <f t="shared" si="39"/>
        <v/>
      </c>
      <c r="M356" s="1333"/>
      <c r="N356" s="1333"/>
      <c r="O356" s="1333"/>
      <c r="P356" s="1333"/>
      <c r="Q356" s="1333"/>
      <c r="R356" s="1453"/>
      <c r="S356" s="1364"/>
      <c r="T356" s="1404"/>
      <c r="U356" s="1333"/>
      <c r="V356" s="1333"/>
      <c r="W356" s="1333"/>
      <c r="X356" s="1333"/>
      <c r="Y356" s="1333"/>
      <c r="Z356" s="1333"/>
      <c r="AA356" s="1333"/>
      <c r="AB356" s="1333"/>
      <c r="AC356" s="1333"/>
      <c r="AD356" s="1333"/>
      <c r="AE356" s="1333"/>
      <c r="AF356" s="1333"/>
      <c r="AG356" s="1333"/>
      <c r="AH356" s="1333"/>
      <c r="AI356" s="1333"/>
      <c r="AJ356" s="1333"/>
    </row>
    <row r="357" spans="1:49" s="30" customFormat="1" ht="15" customHeight="1" x14ac:dyDescent="0.25">
      <c r="A357" s="1520" t="str">
        <f>IF(COUNTIF('04 - 95% CD'!D357:G357,"Y")&gt;0,"Y",IF(COUNTIF('04 - 95% CD'!D357:G357,"N"),"N",""))</f>
        <v>Y</v>
      </c>
      <c r="B357" s="191"/>
      <c r="C357" s="944"/>
      <c r="D357" s="463"/>
      <c r="E357" s="463"/>
      <c r="F357" s="559" t="str">
        <f>IF('C-Design&amp;Const'!$U357="","",'C-Design&amp;Const'!$U357)</f>
        <v>Y</v>
      </c>
      <c r="G357" s="291"/>
      <c r="H357" s="469" t="str">
        <f>CONCATENATE(IF(F357="N","PLACEHOLDER ROW - ",""),'C-Design&amp;Const'!Z357,IF(F357="N","",J357))</f>
        <v>Access Control Details (Record)</v>
      </c>
      <c r="I357" s="184"/>
      <c r="J357" s="578" t="str">
        <f>IF('C-Design&amp;Const'!AK357="","",'C-Design&amp;Const'!AK357)</f>
        <v>(Record)</v>
      </c>
      <c r="K357" s="285" t="str">
        <f t="shared" si="38"/>
        <v>match</v>
      </c>
      <c r="L357" s="1410" t="str">
        <f t="shared" si="39"/>
        <v/>
      </c>
      <c r="M357" s="1382"/>
      <c r="N357" s="1382"/>
      <c r="O357" s="1382"/>
      <c r="P357" s="1382"/>
      <c r="Q357" s="1382"/>
      <c r="R357" s="1382"/>
      <c r="S357" s="1382"/>
      <c r="T357" s="1382"/>
      <c r="U357" s="1382"/>
      <c r="V357" s="1382"/>
      <c r="W357" s="1382"/>
      <c r="X357" s="1382"/>
      <c r="Y357" s="1382"/>
      <c r="Z357" s="1382"/>
      <c r="AA357" s="1382"/>
      <c r="AB357" s="1382"/>
      <c r="AC357" s="1382"/>
      <c r="AD357" s="1382"/>
      <c r="AE357" s="1382"/>
      <c r="AF357" s="1382"/>
      <c r="AG357" s="1382"/>
      <c r="AH357" s="1382"/>
      <c r="AI357" s="1382"/>
      <c r="AJ357" s="1382"/>
      <c r="AK357" s="181"/>
      <c r="AL357" s="181"/>
      <c r="AM357" s="181"/>
      <c r="AN357" s="181"/>
      <c r="AO357" s="181"/>
      <c r="AP357" s="181"/>
      <c r="AQ357" s="181"/>
      <c r="AR357" s="181"/>
      <c r="AS357" s="181"/>
      <c r="AT357" s="181"/>
      <c r="AU357" s="181"/>
      <c r="AV357" s="181"/>
      <c r="AW357" s="181"/>
    </row>
    <row r="358" spans="1:49" x14ac:dyDescent="0.25">
      <c r="A358" s="1407" t="str">
        <f>IF(COUNTIF('04 - 95% CD'!D358:G358,"Y")&gt;0,"Y",IF(COUNTIF('04 - 95% CD'!D358:G358,"N"),"N",""))</f>
        <v>Y</v>
      </c>
      <c r="B358" s="125"/>
      <c r="C358" s="944"/>
      <c r="D358" s="411"/>
      <c r="E358" s="559" t="str">
        <f>IF('C-Design&amp;Const'!$U358="","",'C-Design&amp;Const'!$U358)</f>
        <v>Y</v>
      </c>
      <c r="F358" s="321"/>
      <c r="G358" s="485"/>
      <c r="H358" s="244" t="str">
        <f>CONCATENATE(IF(F358="N","PLACEHOLDER ROW - ",""),'C-Design&amp;Const'!Z358,IF(F358="N","",J358))</f>
        <v>Telecom Drawings(Record)</v>
      </c>
      <c r="I358" s="148"/>
      <c r="J358" s="578" t="str">
        <f>IF('C-Design&amp;Const'!AK358="","",'C-Design&amp;Const'!AK358)</f>
        <v>(Record)</v>
      </c>
      <c r="K358" s="285" t="str">
        <f t="shared" si="36"/>
        <v>match</v>
      </c>
      <c r="L358" s="1410" t="str">
        <f t="shared" si="37"/>
        <v/>
      </c>
      <c r="M358" s="1333"/>
      <c r="N358" s="1333"/>
      <c r="O358" s="1333"/>
      <c r="P358" s="1333"/>
      <c r="Q358" s="1333"/>
      <c r="R358" s="1284"/>
      <c r="S358" s="1513"/>
      <c r="T358" s="1404"/>
      <c r="U358" s="1333"/>
      <c r="V358" s="1333"/>
      <c r="W358" s="1333"/>
      <c r="X358" s="1333"/>
      <c r="Y358" s="1333"/>
      <c r="Z358" s="1333"/>
      <c r="AA358" s="1333"/>
      <c r="AB358" s="1333"/>
      <c r="AC358" s="1333"/>
      <c r="AD358" s="1333"/>
      <c r="AE358" s="1333"/>
      <c r="AF358" s="1333"/>
      <c r="AG358" s="1333"/>
      <c r="AH358" s="1333"/>
      <c r="AI358" s="1333"/>
      <c r="AJ358" s="1333"/>
    </row>
    <row r="359" spans="1:49" s="30" customFormat="1" ht="15.75" customHeight="1" x14ac:dyDescent="0.25">
      <c r="A359" s="1517" t="str">
        <f>IF(COUNTIF('04 - 95% CD'!D359:G359,"Y")&gt;0,"Y",IF(COUNTIF('04 - 95% CD'!D359:G359,"N"),"N",""))</f>
        <v>N</v>
      </c>
      <c r="B359" s="191"/>
      <c r="C359" s="944"/>
      <c r="D359" s="463"/>
      <c r="E359" s="463"/>
      <c r="F359" s="359" t="str">
        <f>IF('C-Design&amp;Const'!$U359="","",'C-Design&amp;Const'!$U359)</f>
        <v>N</v>
      </c>
      <c r="G359" s="291"/>
      <c r="H359" s="469" t="str">
        <f>CONCATENATE(IF(F359="N","PLACEHOLDER ROW - ",""),'C-Design&amp;Const'!Z359,IF(F359="N","",J359))</f>
        <v xml:space="preserve">PLACEHOLDER ROW - CUSTOM - Telecom  </v>
      </c>
      <c r="I359" s="184"/>
      <c r="J359" s="578" t="str">
        <f>IF('C-Design&amp;Const'!AK359="","",'C-Design&amp;Const'!AK359)</f>
        <v>(Record)</v>
      </c>
      <c r="K359" s="285" t="str">
        <f t="shared" si="36"/>
        <v>match</v>
      </c>
      <c r="L359" s="1410" t="str">
        <f t="shared" si="37"/>
        <v>&lt;---PM/Planner may hide PLACEHOLDER ROW</v>
      </c>
      <c r="M359" s="1382"/>
      <c r="N359" s="1382"/>
      <c r="O359" s="1382"/>
      <c r="P359" s="1382"/>
      <c r="Q359" s="1382"/>
      <c r="R359" s="1382"/>
      <c r="S359" s="1382"/>
      <c r="T359" s="1382"/>
      <c r="U359" s="1382"/>
      <c r="V359" s="1382"/>
      <c r="W359" s="1382"/>
      <c r="X359" s="1382"/>
      <c r="Y359" s="1382"/>
      <c r="Z359" s="1382"/>
      <c r="AA359" s="1382"/>
      <c r="AB359" s="1382"/>
      <c r="AC359" s="1382"/>
      <c r="AD359" s="1382"/>
      <c r="AE359" s="1382"/>
      <c r="AF359" s="1382"/>
      <c r="AG359" s="1382"/>
      <c r="AH359" s="1382"/>
      <c r="AI359" s="1382"/>
      <c r="AJ359" s="1382"/>
      <c r="AK359" s="181"/>
      <c r="AL359" s="181"/>
      <c r="AM359" s="181"/>
      <c r="AN359" s="181"/>
      <c r="AO359" s="181"/>
      <c r="AP359" s="181"/>
      <c r="AQ359" s="181"/>
      <c r="AR359" s="181"/>
      <c r="AS359" s="181"/>
      <c r="AT359" s="181"/>
      <c r="AU359" s="181"/>
      <c r="AV359" s="181"/>
      <c r="AW359" s="181"/>
    </row>
    <row r="360" spans="1:49" s="30" customFormat="1" ht="15.75" customHeight="1" x14ac:dyDescent="0.25">
      <c r="A360" s="1517" t="str">
        <f>IF(COUNTIF('04 - 95% CD'!D360:G360,"Y")&gt;0,"Y",IF(COUNTIF('04 - 95% CD'!D360:G360,"N"),"N",""))</f>
        <v>N</v>
      </c>
      <c r="B360" s="191"/>
      <c r="C360" s="944"/>
      <c r="D360" s="463"/>
      <c r="E360" s="463"/>
      <c r="F360" s="359" t="str">
        <f>IF('C-Design&amp;Const'!$U360="","",'C-Design&amp;Const'!$U360)</f>
        <v>N</v>
      </c>
      <c r="G360" s="291"/>
      <c r="H360" s="469" t="str">
        <f>CONCATENATE(IF(F360="N","PLACEHOLDER ROW - ",""),'C-Design&amp;Const'!Z360,IF(F360="N","",J360))</f>
        <v xml:space="preserve">PLACEHOLDER ROW - CUSTOM - Telecom  </v>
      </c>
      <c r="I360" s="184"/>
      <c r="J360" s="578" t="str">
        <f>IF('C-Design&amp;Const'!AK360="","",'C-Design&amp;Const'!AK360)</f>
        <v>(Record)</v>
      </c>
      <c r="K360" s="285" t="str">
        <f t="shared" si="36"/>
        <v>match</v>
      </c>
      <c r="L360" s="1410" t="str">
        <f t="shared" si="37"/>
        <v>&lt;---PM/Planner may hide PLACEHOLDER ROW</v>
      </c>
      <c r="M360" s="1382"/>
      <c r="N360" s="1382"/>
      <c r="O360" s="1382"/>
      <c r="P360" s="1382"/>
      <c r="Q360" s="1382"/>
      <c r="R360" s="1382"/>
      <c r="S360" s="1382"/>
      <c r="T360" s="1382"/>
      <c r="U360" s="1382"/>
      <c r="V360" s="1382"/>
      <c r="W360" s="1382"/>
      <c r="X360" s="1382"/>
      <c r="Y360" s="1382"/>
      <c r="Z360" s="1382"/>
      <c r="AA360" s="1382"/>
      <c r="AB360" s="1382"/>
      <c r="AC360" s="1382"/>
      <c r="AD360" s="1382"/>
      <c r="AE360" s="1382"/>
      <c r="AF360" s="1382"/>
      <c r="AG360" s="1382"/>
      <c r="AH360" s="1382"/>
      <c r="AI360" s="1382"/>
      <c r="AJ360" s="1382"/>
      <c r="AK360" s="181"/>
      <c r="AL360" s="181"/>
      <c r="AM360" s="181"/>
      <c r="AN360" s="181"/>
      <c r="AO360" s="181"/>
      <c r="AP360" s="181"/>
      <c r="AQ360" s="181"/>
      <c r="AR360" s="181"/>
      <c r="AS360" s="181"/>
      <c r="AT360" s="181"/>
      <c r="AU360" s="181"/>
      <c r="AV360" s="181"/>
      <c r="AW360" s="181"/>
    </row>
    <row r="361" spans="1:49" s="545" customFormat="1" ht="15.75" customHeight="1" x14ac:dyDescent="0.25">
      <c r="A361" s="1517" t="str">
        <f>IF(COUNTIF('04 - 95% CD'!D361:G361,"Y")&gt;0,"Y",IF(COUNTIF('04 - 95% CD'!D361:G361,"N"),"N",""))</f>
        <v>Y</v>
      </c>
      <c r="B361" s="554"/>
      <c r="C361" s="944"/>
      <c r="D361" s="463"/>
      <c r="E361" s="463"/>
      <c r="F361" s="359" t="str">
        <f>IF('C-Design&amp;Const'!$U361="","",'C-Design&amp;Const'!$U361)</f>
        <v>Y</v>
      </c>
      <c r="G361" s="291"/>
      <c r="H361" s="469" t="str">
        <f>CONCATENATE(IF(F361="N","PLACEHOLDER ROW - ",""),'C-Design&amp;Const'!Z361,IF(F361="N","",J361))</f>
        <v>Telecom Symbols, Abbreviations, and General Notes (Record)</v>
      </c>
      <c r="I361" s="552"/>
      <c r="J361" s="578" t="str">
        <f>IF('C-Design&amp;Const'!AK361="","",'C-Design&amp;Const'!AK361)</f>
        <v>(Record)</v>
      </c>
      <c r="K361" s="285" t="str">
        <f t="shared" si="36"/>
        <v>match</v>
      </c>
      <c r="L361" s="1410" t="str">
        <f t="shared" si="37"/>
        <v/>
      </c>
      <c r="M361" s="1382"/>
      <c r="N361" s="1382"/>
      <c r="O361" s="1382"/>
      <c r="P361" s="1382"/>
      <c r="Q361" s="1382"/>
      <c r="R361" s="1382"/>
      <c r="S361" s="1382"/>
      <c r="T361" s="1382"/>
      <c r="U361" s="1382"/>
      <c r="V361" s="1382"/>
      <c r="W361" s="1382"/>
      <c r="X361" s="1382"/>
      <c r="Y361" s="1382"/>
      <c r="Z361" s="1382"/>
      <c r="AA361" s="1382"/>
      <c r="AB361" s="1382"/>
      <c r="AC361" s="1382"/>
      <c r="AD361" s="1382"/>
      <c r="AE361" s="1382"/>
      <c r="AF361" s="1382"/>
      <c r="AG361" s="1382"/>
      <c r="AH361" s="1382"/>
      <c r="AI361" s="1382"/>
      <c r="AJ361" s="1382"/>
      <c r="AK361" s="551"/>
      <c r="AL361" s="551"/>
      <c r="AM361" s="551"/>
      <c r="AN361" s="551"/>
      <c r="AO361" s="551"/>
      <c r="AP361" s="551"/>
      <c r="AQ361" s="551"/>
      <c r="AR361" s="551"/>
      <c r="AS361" s="551"/>
      <c r="AT361" s="551"/>
      <c r="AU361" s="551"/>
      <c r="AV361" s="551"/>
      <c r="AW361" s="551"/>
    </row>
    <row r="362" spans="1:49" s="545" customFormat="1" ht="15.75" customHeight="1" x14ac:dyDescent="0.25">
      <c r="A362" s="1517" t="str">
        <f>IF(COUNTIF('04 - 95% CD'!D362:G362,"Y")&gt;0,"Y",IF(COUNTIF('04 - 95% CD'!D362:G362,"N"),"N",""))</f>
        <v>Y</v>
      </c>
      <c r="B362" s="554"/>
      <c r="C362" s="944"/>
      <c r="D362" s="463"/>
      <c r="E362" s="463"/>
      <c r="F362" s="359" t="str">
        <f>IF('C-Design&amp;Const'!$U362="","",'C-Design&amp;Const'!$U362)</f>
        <v>Y</v>
      </c>
      <c r="G362" s="291"/>
      <c r="H362" s="469" t="str">
        <f>CONCATENATE(IF(F362="N","PLACEHOLDER ROW - ",""),'C-Design&amp;Const'!Z362,IF(F362="N","",J362))</f>
        <v>Telecom Demolition(s) (Record)</v>
      </c>
      <c r="I362" s="552"/>
      <c r="J362" s="578" t="str">
        <f>IF('C-Design&amp;Const'!AK362="","",'C-Design&amp;Const'!AK362)</f>
        <v>(Record)</v>
      </c>
      <c r="K362" s="285" t="str">
        <f t="shared" si="36"/>
        <v>match</v>
      </c>
      <c r="L362" s="1410" t="str">
        <f t="shared" si="37"/>
        <v/>
      </c>
      <c r="M362" s="1382"/>
      <c r="N362" s="1382"/>
      <c r="O362" s="1382"/>
      <c r="P362" s="1382"/>
      <c r="Q362" s="1382"/>
      <c r="R362" s="1382"/>
      <c r="S362" s="1382"/>
      <c r="T362" s="1382"/>
      <c r="U362" s="1382"/>
      <c r="V362" s="1382"/>
      <c r="W362" s="1382"/>
      <c r="X362" s="1382"/>
      <c r="Y362" s="1382"/>
      <c r="Z362" s="1382"/>
      <c r="AA362" s="1382"/>
      <c r="AB362" s="1382"/>
      <c r="AC362" s="1382"/>
      <c r="AD362" s="1382"/>
      <c r="AE362" s="1382"/>
      <c r="AF362" s="1382"/>
      <c r="AG362" s="1382"/>
      <c r="AH362" s="1382"/>
      <c r="AI362" s="1382"/>
      <c r="AJ362" s="1382"/>
      <c r="AK362" s="551"/>
      <c r="AL362" s="551"/>
      <c r="AM362" s="551"/>
      <c r="AN362" s="551"/>
      <c r="AO362" s="551"/>
      <c r="AP362" s="551"/>
      <c r="AQ362" s="551"/>
      <c r="AR362" s="551"/>
      <c r="AS362" s="551"/>
      <c r="AT362" s="551"/>
      <c r="AU362" s="551"/>
      <c r="AV362" s="551"/>
      <c r="AW362" s="551"/>
    </row>
    <row r="363" spans="1:49" x14ac:dyDescent="0.25">
      <c r="A363" s="1520" t="str">
        <f>IF(COUNTIF('04 - 95% CD'!D363:G363,"Y")&gt;0,"Y",IF(COUNTIF('04 - 95% CD'!D363:G363,"N"),"N",""))</f>
        <v>Y</v>
      </c>
      <c r="B363" s="125"/>
      <c r="C363" s="944"/>
      <c r="D363" s="463"/>
      <c r="E363" s="463"/>
      <c r="F363" s="559" t="str">
        <f>IF('C-Design&amp;Const'!$U363="","",'C-Design&amp;Const'!$U363)</f>
        <v>Y</v>
      </c>
      <c r="G363" s="485"/>
      <c r="H363" s="469" t="str">
        <f>CONCATENATE(IF(F363="N","PLACEHOLDER ROW - ",""),'C-Design&amp;Const'!Z363,IF(F363="N","",J363))</f>
        <v>Telecom/Data Floor Plans w/ Devices   (Record)</v>
      </c>
      <c r="I363" s="137"/>
      <c r="J363" s="578" t="str">
        <f>IF('C-Design&amp;Const'!AK363="","",'C-Design&amp;Const'!AK363)</f>
        <v>(Record)</v>
      </c>
      <c r="K363" s="285" t="str">
        <f t="shared" si="36"/>
        <v>match</v>
      </c>
      <c r="L363" s="1410" t="str">
        <f t="shared" si="37"/>
        <v/>
      </c>
      <c r="M363" s="1333"/>
      <c r="N363" s="1333"/>
      <c r="O363" s="1333"/>
      <c r="P363" s="1333"/>
      <c r="Q363" s="1333"/>
      <c r="R363" s="1453"/>
      <c r="S363" s="1364"/>
      <c r="T363" s="1404"/>
      <c r="U363" s="1333"/>
      <c r="V363" s="1333"/>
      <c r="W363" s="1333"/>
      <c r="X363" s="1333"/>
      <c r="Y363" s="1333"/>
      <c r="Z363" s="1333"/>
      <c r="AA363" s="1333"/>
      <c r="AB363" s="1333"/>
      <c r="AC363" s="1333"/>
      <c r="AD363" s="1333"/>
      <c r="AE363" s="1333"/>
      <c r="AF363" s="1333"/>
      <c r="AG363" s="1333"/>
      <c r="AH363" s="1333"/>
      <c r="AI363" s="1333"/>
      <c r="AJ363" s="1333"/>
    </row>
    <row r="364" spans="1:49" x14ac:dyDescent="0.25">
      <c r="A364" s="1520" t="str">
        <f>IF(COUNTIF('04 - 95% CD'!D364:G364,"Y")&gt;0,"Y",IF(COUNTIF('04 - 95% CD'!D364:G364,"N"),"N",""))</f>
        <v>Y</v>
      </c>
      <c r="B364" s="125"/>
      <c r="C364" s="944"/>
      <c r="D364" s="463"/>
      <c r="E364" s="463"/>
      <c r="F364" s="559" t="str">
        <f>IF('C-Design&amp;Const'!$U364="","",'C-Design&amp;Const'!$U364)</f>
        <v>Y</v>
      </c>
      <c r="G364" s="485"/>
      <c r="H364" s="469" t="str">
        <f>CONCATENATE(IF(F364="N","PLACEHOLDER ROW - ",""),'C-Design&amp;Const'!Z364,IF(F364="N","",J364))</f>
        <v>Telecom/Data Raceway Distribution   (Record)</v>
      </c>
      <c r="I364" s="137"/>
      <c r="J364" s="578" t="str">
        <f>IF('C-Design&amp;Const'!AK364="","",'C-Design&amp;Const'!AK364)</f>
        <v>(Record)</v>
      </c>
      <c r="K364" s="285" t="str">
        <f t="shared" si="36"/>
        <v>match</v>
      </c>
      <c r="L364" s="1410" t="str">
        <f t="shared" si="37"/>
        <v/>
      </c>
      <c r="M364" s="1333"/>
      <c r="N364" s="1333"/>
      <c r="O364" s="1333"/>
      <c r="P364" s="1333"/>
      <c r="Q364" s="1333"/>
      <c r="R364" s="1453"/>
      <c r="S364" s="1364"/>
      <c r="T364" s="1404"/>
      <c r="U364" s="1333"/>
      <c r="V364" s="1333"/>
      <c r="W364" s="1333"/>
      <c r="X364" s="1333"/>
      <c r="Y364" s="1333"/>
      <c r="Z364" s="1333"/>
      <c r="AA364" s="1333"/>
      <c r="AB364" s="1333"/>
      <c r="AC364" s="1333"/>
      <c r="AD364" s="1333"/>
      <c r="AE364" s="1333"/>
      <c r="AF364" s="1333"/>
      <c r="AG364" s="1333"/>
      <c r="AH364" s="1333"/>
      <c r="AI364" s="1333"/>
      <c r="AJ364" s="1333"/>
    </row>
    <row r="365" spans="1:49" x14ac:dyDescent="0.25">
      <c r="A365" s="1520" t="str">
        <f>IF(COUNTIF('04 - 95% CD'!D365:G365,"Y")&gt;0,"Y",IF(COUNTIF('04 - 95% CD'!D365:G365,"N"),"N",""))</f>
        <v>Y</v>
      </c>
      <c r="B365" s="125"/>
      <c r="C365" s="944"/>
      <c r="D365" s="463"/>
      <c r="E365" s="463"/>
      <c r="F365" s="559" t="str">
        <f>IF('C-Design&amp;Const'!$U365="","",'C-Design&amp;Const'!$U365)</f>
        <v>Y</v>
      </c>
      <c r="G365" s="485"/>
      <c r="H365" s="469" t="str">
        <f>CONCATENATE(IF(F365="N","PLACEHOLDER ROW - ",""),'C-Design&amp;Const'!Z365,IF(F365="N","",J365))</f>
        <v>Telecom/Data Riser Diagram   (Record)</v>
      </c>
      <c r="I365" s="137"/>
      <c r="J365" s="578" t="str">
        <f>IF('C-Design&amp;Const'!AK365="","",'C-Design&amp;Const'!AK365)</f>
        <v>(Record)</v>
      </c>
      <c r="K365" s="285" t="str">
        <f t="shared" si="36"/>
        <v>match</v>
      </c>
      <c r="L365" s="1410" t="str">
        <f t="shared" si="37"/>
        <v/>
      </c>
      <c r="M365" s="1333"/>
      <c r="N365" s="1333"/>
      <c r="O365" s="1333"/>
      <c r="P365" s="1333"/>
      <c r="Q365" s="1333"/>
      <c r="R365" s="1284"/>
      <c r="S365" s="1513"/>
      <c r="T365" s="1404"/>
      <c r="U365" s="1333"/>
      <c r="V365" s="1333"/>
      <c r="W365" s="1333"/>
      <c r="X365" s="1333"/>
      <c r="Y365" s="1333"/>
      <c r="Z365" s="1333"/>
      <c r="AA365" s="1333"/>
      <c r="AB365" s="1333"/>
      <c r="AC365" s="1333"/>
      <c r="AD365" s="1333"/>
      <c r="AE365" s="1333"/>
      <c r="AF365" s="1333"/>
      <c r="AG365" s="1333"/>
      <c r="AH365" s="1333"/>
      <c r="AI365" s="1333"/>
      <c r="AJ365" s="1333"/>
    </row>
    <row r="366" spans="1:49" x14ac:dyDescent="0.25">
      <c r="A366" s="1520" t="str">
        <f>IF(COUNTIF('04 - 95% CD'!D366:G366,"Y")&gt;0,"Y",IF(COUNTIF('04 - 95% CD'!D366:G366,"N"),"N",""))</f>
        <v>Y</v>
      </c>
      <c r="B366" s="125"/>
      <c r="C366" s="944"/>
      <c r="D366" s="463"/>
      <c r="E366" s="463"/>
      <c r="F366" s="559" t="str">
        <f>IF('C-Design&amp;Const'!$U366="","",'C-Design&amp;Const'!$U366)</f>
        <v>Y</v>
      </c>
      <c r="G366" s="485"/>
      <c r="H366" s="469" t="str">
        <f>CONCATENATE(IF(F366="N","PLACEHOLDER ROW - ",""),'C-Design&amp;Const'!Z366,IF(F366="N","",J366))</f>
        <v>Telecom/Data Details and Sections (Record)</v>
      </c>
      <c r="I366" s="137"/>
      <c r="J366" s="578" t="str">
        <f>IF('C-Design&amp;Const'!AK366="","",'C-Design&amp;Const'!AK366)</f>
        <v>(Record)</v>
      </c>
      <c r="K366" s="285" t="str">
        <f t="shared" si="36"/>
        <v>match</v>
      </c>
      <c r="L366" s="1410" t="str">
        <f t="shared" si="37"/>
        <v/>
      </c>
      <c r="M366" s="1333"/>
      <c r="N366" s="1333"/>
      <c r="O366" s="1333"/>
      <c r="P366" s="1333"/>
      <c r="Q366" s="1333"/>
      <c r="R366" s="1453"/>
      <c r="S366" s="1364"/>
      <c r="T366" s="1404"/>
      <c r="U366" s="1333"/>
      <c r="V366" s="1333"/>
      <c r="W366" s="1333"/>
      <c r="X366" s="1333"/>
      <c r="Y366" s="1333"/>
      <c r="Z366" s="1333"/>
      <c r="AA366" s="1333"/>
      <c r="AB366" s="1333"/>
      <c r="AC366" s="1333"/>
      <c r="AD366" s="1333"/>
      <c r="AE366" s="1333"/>
      <c r="AF366" s="1333"/>
      <c r="AG366" s="1333"/>
      <c r="AH366" s="1333"/>
      <c r="AI366" s="1333"/>
      <c r="AJ366" s="1333"/>
    </row>
    <row r="367" spans="1:49" s="30" customFormat="1" ht="18.75" x14ac:dyDescent="0.25">
      <c r="A367" s="1520" t="str">
        <f>IF(COUNTIF('04 - 95% CD'!D367:G367,"Y")&gt;0,"Y",IF(COUNTIF('04 - 95% CD'!D367:G367,"N"),"N",""))</f>
        <v>Y</v>
      </c>
      <c r="B367" s="191"/>
      <c r="C367" s="944"/>
      <c r="D367" s="463"/>
      <c r="E367" s="359" t="str">
        <f>IF('C-Design&amp;Const'!$U367="","",'C-Design&amp;Const'!$U367)</f>
        <v>Y</v>
      </c>
      <c r="F367" s="235"/>
      <c r="G367" s="291"/>
      <c r="H367" s="242" t="str">
        <f>CONCATENATE(IF(F367="N","PLACEHOLDER ROW - ",""),'C-Design&amp;Const'!Z367,IF(F367="N","",J367))</f>
        <v>Audio Visual Drawings(Record)</v>
      </c>
      <c r="I367" s="184"/>
      <c r="J367" s="578" t="str">
        <f>IF('C-Design&amp;Const'!AK367="","",'C-Design&amp;Const'!AK367)</f>
        <v>(Record)</v>
      </c>
      <c r="K367" s="285" t="str">
        <f t="shared" si="36"/>
        <v>match</v>
      </c>
      <c r="L367" s="1410" t="str">
        <f t="shared" si="37"/>
        <v/>
      </c>
      <c r="M367" s="1382"/>
      <c r="N367" s="1382"/>
      <c r="O367" s="1382"/>
      <c r="P367" s="1382"/>
      <c r="Q367" s="1382"/>
      <c r="R367" s="1382"/>
      <c r="S367" s="1382"/>
      <c r="T367" s="1382"/>
      <c r="U367" s="1382"/>
      <c r="V367" s="1382"/>
      <c r="W367" s="1382"/>
      <c r="X367" s="1382"/>
      <c r="Y367" s="1382"/>
      <c r="Z367" s="1382"/>
      <c r="AA367" s="1382"/>
      <c r="AB367" s="1382"/>
      <c r="AC367" s="1382"/>
      <c r="AD367" s="1382"/>
      <c r="AE367" s="1382"/>
      <c r="AF367" s="1382"/>
      <c r="AG367" s="1382"/>
      <c r="AH367" s="1382"/>
      <c r="AI367" s="1382"/>
      <c r="AJ367" s="1382"/>
      <c r="AK367" s="181"/>
      <c r="AL367" s="181"/>
      <c r="AM367" s="181"/>
      <c r="AN367" s="181"/>
      <c r="AO367" s="181"/>
      <c r="AP367" s="181"/>
      <c r="AQ367" s="181"/>
      <c r="AR367" s="181"/>
      <c r="AS367" s="181"/>
      <c r="AT367" s="181"/>
      <c r="AU367" s="181"/>
      <c r="AV367" s="181"/>
      <c r="AW367" s="181"/>
    </row>
    <row r="368" spans="1:49" s="545" customFormat="1" ht="15.75" customHeight="1" x14ac:dyDescent="0.25">
      <c r="A368" s="1517" t="str">
        <f>IF(COUNTIF('04 - 95% CD'!D368:G368,"Y")&gt;0,"Y",IF(COUNTIF('04 - 95% CD'!D368:G368,"N"),"N",""))</f>
        <v>Y</v>
      </c>
      <c r="B368" s="554"/>
      <c r="C368" s="944"/>
      <c r="D368" s="463"/>
      <c r="E368" s="463"/>
      <c r="F368" s="359" t="str">
        <f>IF('C-Design&amp;Const'!$U368="","",'C-Design&amp;Const'!$U368)</f>
        <v>Y</v>
      </c>
      <c r="G368" s="291"/>
      <c r="H368" s="469" t="str">
        <f>CONCATENATE(IF(F368="N","PLACEHOLDER ROW - ",""),'C-Design&amp;Const'!Z368,IF(F368="N","",J368))</f>
        <v>Audio Visual Symbols, Abbreviations, and General Notes (Record)</v>
      </c>
      <c r="I368" s="552"/>
      <c r="J368" s="578" t="str">
        <f>IF('C-Design&amp;Const'!AK368="","",'C-Design&amp;Const'!AK368)</f>
        <v>(Record)</v>
      </c>
      <c r="K368" s="285" t="str">
        <f t="shared" ref="K368:K369" si="42">IF((COUNTIF(D368:G368,"Y")=COUNTIF(A368,"Y")),"match","no 95% match")</f>
        <v>match</v>
      </c>
      <c r="L368" s="1410" t="str">
        <f t="shared" ref="L368:L369" si="43">CONCATENATE(IF(ISNUMBER(SEARCH("Placeholder",H368))=TRUE,"&lt;---PM/Planner may hide PLACEHOLDER ROW",""))</f>
        <v/>
      </c>
      <c r="M368" s="1382"/>
      <c r="N368" s="1382"/>
      <c r="O368" s="1382"/>
      <c r="P368" s="1382"/>
      <c r="Q368" s="1382"/>
      <c r="R368" s="1382"/>
      <c r="S368" s="1382"/>
      <c r="T368" s="1382"/>
      <c r="U368" s="1382"/>
      <c r="V368" s="1382"/>
      <c r="W368" s="1382"/>
      <c r="X368" s="1382"/>
      <c r="Y368" s="1382"/>
      <c r="Z368" s="1382"/>
      <c r="AA368" s="1382"/>
      <c r="AB368" s="1382"/>
      <c r="AC368" s="1382"/>
      <c r="AD368" s="1382"/>
      <c r="AE368" s="1382"/>
      <c r="AF368" s="1382"/>
      <c r="AG368" s="1382"/>
      <c r="AH368" s="1382"/>
      <c r="AI368" s="1382"/>
      <c r="AJ368" s="1382"/>
      <c r="AK368" s="551"/>
      <c r="AL368" s="551"/>
      <c r="AM368" s="551"/>
      <c r="AN368" s="551"/>
      <c r="AO368" s="551"/>
      <c r="AP368" s="551"/>
      <c r="AQ368" s="551"/>
      <c r="AR368" s="551"/>
      <c r="AS368" s="551"/>
      <c r="AT368" s="551"/>
      <c r="AU368" s="551"/>
      <c r="AV368" s="551"/>
      <c r="AW368" s="551"/>
    </row>
    <row r="369" spans="1:49" s="545" customFormat="1" ht="15.75" customHeight="1" x14ac:dyDescent="0.25">
      <c r="A369" s="1517" t="str">
        <f>IF(COUNTIF('04 - 95% CD'!D369:G369,"Y")&gt;0,"Y",IF(COUNTIF('04 - 95% CD'!D369:G369,"N"),"N",""))</f>
        <v>Y</v>
      </c>
      <c r="B369" s="554"/>
      <c r="C369" s="944"/>
      <c r="D369" s="463"/>
      <c r="E369" s="463"/>
      <c r="F369" s="359" t="str">
        <f>IF('C-Design&amp;Const'!$U369="","",'C-Design&amp;Const'!$U369)</f>
        <v>Y</v>
      </c>
      <c r="G369" s="291"/>
      <c r="H369" s="469" t="str">
        <f>CONCATENATE(IF(F369="N","PLACEHOLDER ROW - ",""),'C-Design&amp;Const'!Z369,IF(F369="N","",J369))</f>
        <v>A/V Demolition(s) (Record)</v>
      </c>
      <c r="I369" s="552"/>
      <c r="J369" s="578" t="str">
        <f>IF('C-Design&amp;Const'!AK369="","",'C-Design&amp;Const'!AK369)</f>
        <v>(Record)</v>
      </c>
      <c r="K369" s="285" t="str">
        <f t="shared" si="42"/>
        <v>match</v>
      </c>
      <c r="L369" s="1410" t="str">
        <f t="shared" si="43"/>
        <v/>
      </c>
      <c r="M369" s="1382"/>
      <c r="N369" s="1382"/>
      <c r="O369" s="1382"/>
      <c r="P369" s="1382"/>
      <c r="Q369" s="1382"/>
      <c r="R369" s="1382"/>
      <c r="S369" s="1382"/>
      <c r="T369" s="1382"/>
      <c r="U369" s="1382"/>
      <c r="V369" s="1382"/>
      <c r="W369" s="1382"/>
      <c r="X369" s="1382"/>
      <c r="Y369" s="1382"/>
      <c r="Z369" s="1382"/>
      <c r="AA369" s="1382"/>
      <c r="AB369" s="1382"/>
      <c r="AC369" s="1382"/>
      <c r="AD369" s="1382"/>
      <c r="AE369" s="1382"/>
      <c r="AF369" s="1382"/>
      <c r="AG369" s="1382"/>
      <c r="AH369" s="1382"/>
      <c r="AI369" s="1382"/>
      <c r="AJ369" s="1382"/>
      <c r="AK369" s="551"/>
      <c r="AL369" s="551"/>
      <c r="AM369" s="551"/>
      <c r="AN369" s="551"/>
      <c r="AO369" s="551"/>
      <c r="AP369" s="551"/>
      <c r="AQ369" s="551"/>
      <c r="AR369" s="551"/>
      <c r="AS369" s="551"/>
      <c r="AT369" s="551"/>
      <c r="AU369" s="551"/>
      <c r="AV369" s="551"/>
      <c r="AW369" s="551"/>
    </row>
    <row r="370" spans="1:49" ht="45" x14ac:dyDescent="0.25">
      <c r="A370" s="1520" t="str">
        <f>IF(COUNTIF('04 - 95% CD'!D370:G370,"Y")&gt;0,"Y",IF(COUNTIF('04 - 95% CD'!D370:G370,"N"),"N",""))</f>
        <v>Y</v>
      </c>
      <c r="B370" s="125"/>
      <c r="C370" s="944"/>
      <c r="D370" s="411"/>
      <c r="E370" s="321"/>
      <c r="F370" s="559" t="str">
        <f>IF('C-Design&amp;Const'!$U370="","",'C-Design&amp;Const'!$U370)</f>
        <v>Y</v>
      </c>
      <c r="G370" s="485"/>
      <c r="H370" s="469" t="str">
        <f>CONCATENATE(IF(F370="N","PLACEHOLDER ROW - ",""),'C-Design&amp;Const'!Z370,IF(F370="N","",J370))</f>
        <v>AV System Floor Plans.  Equipment identified, Equipment Clearance &amp; Throw Distances Dimensioned, Power, Conduit &amp; Backbox Layouts Shown.  Cables shown separated by type/signal level; all Cables Leaving Room Clearly Shown. (Record)</v>
      </c>
      <c r="I370" s="137"/>
      <c r="J370" s="578" t="str">
        <f>IF('C-Design&amp;Const'!AK370="","",'C-Design&amp;Const'!AK370)</f>
        <v>(Record)</v>
      </c>
      <c r="K370" s="285" t="str">
        <f t="shared" si="36"/>
        <v>match</v>
      </c>
      <c r="L370" s="1410" t="str">
        <f t="shared" si="37"/>
        <v/>
      </c>
      <c r="M370" s="1333"/>
      <c r="N370" s="1333"/>
      <c r="O370" s="1333"/>
      <c r="P370" s="1333"/>
      <c r="Q370" s="1333"/>
      <c r="R370" s="1453"/>
      <c r="S370" s="1364"/>
      <c r="T370" s="1404"/>
      <c r="U370" s="1333"/>
      <c r="V370" s="1333"/>
      <c r="W370" s="1333"/>
      <c r="X370" s="1333"/>
      <c r="Y370" s="1333"/>
      <c r="Z370" s="1333"/>
      <c r="AA370" s="1333"/>
      <c r="AB370" s="1333"/>
      <c r="AC370" s="1333"/>
      <c r="AD370" s="1333"/>
      <c r="AE370" s="1333"/>
      <c r="AF370" s="1333"/>
      <c r="AG370" s="1333"/>
      <c r="AH370" s="1333"/>
      <c r="AI370" s="1333"/>
      <c r="AJ370" s="1333"/>
    </row>
    <row r="371" spans="1:49" ht="75" x14ac:dyDescent="0.25">
      <c r="A371" s="1520" t="str">
        <f>IF(COUNTIF('04 - 95% CD'!D371:G371,"Y")&gt;0,"Y",IF(COUNTIF('04 - 95% CD'!D371:G371,"N"),"N",""))</f>
        <v>Y</v>
      </c>
      <c r="B371" s="125"/>
      <c r="C371" s="944"/>
      <c r="D371" s="411"/>
      <c r="E371" s="321"/>
      <c r="F371" s="559" t="str">
        <f>IF('C-Design&amp;Const'!$U371="","",'C-Design&amp;Const'!$U371)</f>
        <v>Y</v>
      </c>
      <c r="G371" s="485"/>
      <c r="H371" s="469" t="str">
        <f>CONCATENATE(IF(F371="N","PLACEHOLDER ROW - ",""),'C-Design&amp;Const'!Z371,IF(F371="N","",J371))</f>
        <v>AV System Details:  Equipment Installation Details, AV Rack Elevations for each Rack, Major Equipment Components Located in the Rack, Custom Plate Details, and Plates Associated with Equipment Plans and System Line Diagrams.  Equipment Mounting Details which Support More than 40 Pounds shall be stamped by a Licensed Structural Engineer. (Record)</v>
      </c>
      <c r="I371" s="137"/>
      <c r="J371" s="578" t="str">
        <f>IF('C-Design&amp;Const'!AK371="","",'C-Design&amp;Const'!AK371)</f>
        <v>(Record)</v>
      </c>
      <c r="K371" s="285" t="str">
        <f t="shared" si="36"/>
        <v>match</v>
      </c>
      <c r="L371" s="1410" t="str">
        <f t="shared" si="37"/>
        <v/>
      </c>
      <c r="M371" s="1333"/>
      <c r="N371" s="1333"/>
      <c r="O371" s="1333"/>
      <c r="P371" s="1333"/>
      <c r="Q371" s="1333"/>
      <c r="R371" s="1453"/>
      <c r="S371" s="1364"/>
      <c r="T371" s="1404"/>
      <c r="U371" s="1333"/>
      <c r="V371" s="1333"/>
      <c r="W371" s="1333"/>
      <c r="X371" s="1333"/>
      <c r="Y371" s="1333"/>
      <c r="Z371" s="1333"/>
      <c r="AA371" s="1333"/>
      <c r="AB371" s="1333"/>
      <c r="AC371" s="1333"/>
      <c r="AD371" s="1333"/>
      <c r="AE371" s="1333"/>
      <c r="AF371" s="1333"/>
      <c r="AG371" s="1333"/>
      <c r="AH371" s="1333"/>
      <c r="AI371" s="1333"/>
      <c r="AJ371" s="1333"/>
    </row>
    <row r="372" spans="1:49" x14ac:dyDescent="0.25">
      <c r="A372" s="1520" t="str">
        <f>IF(COUNTIF('04 - 95% CD'!D372:G372,"Y")&gt;0,"Y",IF(COUNTIF('04 - 95% CD'!D372:G372,"N"),"N",""))</f>
        <v>Y</v>
      </c>
      <c r="B372" s="125"/>
      <c r="C372" s="944"/>
      <c r="D372" s="411"/>
      <c r="E372" s="321"/>
      <c r="F372" s="559" t="str">
        <f>IF('C-Design&amp;Const'!$U372="","",'C-Design&amp;Const'!$U372)</f>
        <v>Y</v>
      </c>
      <c r="G372" s="485"/>
      <c r="H372" s="1015" t="str">
        <f>CONCATENATE(IF(F372="N","PLACEHOLDER ROW - ",""),'C-Design&amp;Const'!Z372,IF(F372="N","",J372))</f>
        <v>AV System Line Diagrams, showing: (Record)</v>
      </c>
      <c r="I372" s="137"/>
      <c r="J372" s="578" t="str">
        <f>IF('C-Design&amp;Const'!AK372="","",'C-Design&amp;Const'!AK372)</f>
        <v>(Record)</v>
      </c>
      <c r="K372" s="285" t="str">
        <f t="shared" si="36"/>
        <v>match</v>
      </c>
      <c r="L372" s="1410" t="str">
        <f t="shared" si="37"/>
        <v/>
      </c>
      <c r="M372" s="1333"/>
      <c r="N372" s="1333"/>
      <c r="O372" s="1333"/>
      <c r="P372" s="1333"/>
      <c r="Q372" s="1333"/>
      <c r="R372" s="1453"/>
      <c r="S372" s="1364"/>
      <c r="T372" s="1404"/>
      <c r="U372" s="1333"/>
      <c r="V372" s="1333"/>
      <c r="W372" s="1333"/>
      <c r="X372" s="1333"/>
      <c r="Y372" s="1333"/>
      <c r="Z372" s="1333"/>
      <c r="AA372" s="1333"/>
      <c r="AB372" s="1333"/>
      <c r="AC372" s="1333"/>
      <c r="AD372" s="1333"/>
      <c r="AE372" s="1333"/>
      <c r="AF372" s="1333"/>
      <c r="AG372" s="1333"/>
      <c r="AH372" s="1333"/>
      <c r="AI372" s="1333"/>
      <c r="AJ372" s="1333"/>
    </row>
    <row r="373" spans="1:49" x14ac:dyDescent="0.25">
      <c r="A373" s="1520" t="str">
        <f>IF(COUNTIF('04 - 95% CD'!D373:G373,"Y")&gt;0,"Y",IF(COUNTIF('04 - 95% CD'!D373:G373,"N"),"N",""))</f>
        <v>Y</v>
      </c>
      <c r="B373" s="125"/>
      <c r="C373" s="944"/>
      <c r="D373" s="411"/>
      <c r="E373" s="321"/>
      <c r="F373" s="524"/>
      <c r="G373" s="559" t="str">
        <f>IF('C-Design&amp;Const'!$U373="","",'C-Design&amp;Const'!$U373)</f>
        <v>Y</v>
      </c>
      <c r="H373" s="1021" t="str">
        <f>CONCATENATE(IF(G373="N","PLACEHOLDER ROW - ",""),'C-Design&amp;Const'!Z373,IF(G373="N","",J373))</f>
        <v>Signal flow from input to output, left to right (Record)</v>
      </c>
      <c r="I373" s="150"/>
      <c r="J373" s="578" t="str">
        <f>IF('C-Design&amp;Const'!AK373="","",'C-Design&amp;Const'!AK373)</f>
        <v>(Record)</v>
      </c>
      <c r="K373" s="285" t="str">
        <f t="shared" si="36"/>
        <v>match</v>
      </c>
      <c r="L373" s="1410" t="str">
        <f t="shared" si="37"/>
        <v/>
      </c>
      <c r="M373" s="1333"/>
      <c r="N373" s="1333"/>
      <c r="O373" s="1333"/>
      <c r="P373" s="1333"/>
      <c r="Q373" s="1333"/>
      <c r="R373" s="1446"/>
      <c r="S373" s="1364"/>
      <c r="T373" s="1404"/>
      <c r="U373" s="1333"/>
      <c r="V373" s="1333"/>
      <c r="W373" s="1333"/>
      <c r="X373" s="1333"/>
      <c r="Y373" s="1333"/>
      <c r="Z373" s="1333"/>
      <c r="AA373" s="1333"/>
      <c r="AB373" s="1333"/>
      <c r="AC373" s="1333"/>
      <c r="AD373" s="1333"/>
      <c r="AE373" s="1333"/>
      <c r="AF373" s="1333"/>
      <c r="AG373" s="1333"/>
      <c r="AH373" s="1333"/>
      <c r="AI373" s="1333"/>
      <c r="AJ373" s="1333"/>
    </row>
    <row r="374" spans="1:49" ht="30" x14ac:dyDescent="0.25">
      <c r="A374" s="1520" t="str">
        <f>IF(COUNTIF('04 - 95% CD'!D374:G374,"Y")&gt;0,"Y",IF(COUNTIF('04 - 95% CD'!D374:G374,"N"),"N",""))</f>
        <v>Y</v>
      </c>
      <c r="B374" s="125"/>
      <c r="C374" s="944"/>
      <c r="D374" s="411"/>
      <c r="E374" s="321"/>
      <c r="F374" s="524"/>
      <c r="G374" s="559" t="str">
        <f>IF('C-Design&amp;Const'!$U374="","",'C-Design&amp;Const'!$U374)</f>
        <v>Y</v>
      </c>
      <c r="H374" s="1021" t="str">
        <f>CONCATENATE(IF(G374="N","PLACEHOLDER ROW - ",""),'C-Design&amp;Const'!Z374,IF(G374="N","",J374))</f>
        <v>Major pieces of equipment identified by manufacturer, model number &amp; description (Record)</v>
      </c>
      <c r="I374" s="150"/>
      <c r="J374" s="578" t="str">
        <f>IF('C-Design&amp;Const'!AK374="","",'C-Design&amp;Const'!AK374)</f>
        <v>(Record)</v>
      </c>
      <c r="K374" s="285" t="str">
        <f t="shared" si="36"/>
        <v>match</v>
      </c>
      <c r="L374" s="1410" t="str">
        <f t="shared" si="37"/>
        <v/>
      </c>
      <c r="M374" s="1333"/>
      <c r="N374" s="1333"/>
      <c r="O374" s="1333"/>
      <c r="P374" s="1333"/>
      <c r="Q374" s="1333"/>
      <c r="R374" s="1444"/>
      <c r="S374" s="1448"/>
      <c r="T374" s="1404"/>
      <c r="U374" s="1333"/>
      <c r="V374" s="1333"/>
      <c r="W374" s="1333"/>
      <c r="X374" s="1333"/>
      <c r="Y374" s="1333"/>
      <c r="Z374" s="1333"/>
      <c r="AA374" s="1333"/>
      <c r="AB374" s="1333"/>
      <c r="AC374" s="1333"/>
      <c r="AD374" s="1333"/>
      <c r="AE374" s="1333"/>
      <c r="AF374" s="1333"/>
      <c r="AG374" s="1333"/>
      <c r="AH374" s="1333"/>
      <c r="AI374" s="1333"/>
      <c r="AJ374" s="1333"/>
    </row>
    <row r="375" spans="1:49" x14ac:dyDescent="0.25">
      <c r="A375" s="1520" t="str">
        <f>IF(COUNTIF('04 - 95% CD'!D375:G375,"Y")&gt;0,"Y",IF(COUNTIF('04 - 95% CD'!D375:G375,"N"),"N",""))</f>
        <v>Y</v>
      </c>
      <c r="B375" s="125"/>
      <c r="C375" s="944"/>
      <c r="D375" s="411"/>
      <c r="E375" s="321"/>
      <c r="F375" s="524"/>
      <c r="G375" s="559" t="str">
        <f>IF('C-Design&amp;Const'!$U375="","",'C-Design&amp;Const'!$U375)</f>
        <v>Y</v>
      </c>
      <c r="H375" s="1021" t="str">
        <f>CONCATENATE(IF(G375="N","PLACEHOLDER ROW - ",""),'C-Design&amp;Const'!Z375,IF(G375="N","",J375))</f>
        <v>Equipment associated with plans and details (Record)</v>
      </c>
      <c r="I375" s="150"/>
      <c r="J375" s="578" t="str">
        <f>IF('C-Design&amp;Const'!AK375="","",'C-Design&amp;Const'!AK375)</f>
        <v>(Record)</v>
      </c>
      <c r="K375" s="285" t="str">
        <f t="shared" si="36"/>
        <v>match</v>
      </c>
      <c r="L375" s="1410" t="str">
        <f t="shared" si="37"/>
        <v/>
      </c>
      <c r="M375" s="1333"/>
      <c r="N375" s="1333"/>
      <c r="O375" s="1333"/>
      <c r="P375" s="1333"/>
      <c r="Q375" s="1333"/>
      <c r="R375" s="1487"/>
      <c r="S375" s="1364"/>
      <c r="T375" s="1404"/>
      <c r="U375" s="1333"/>
      <c r="V375" s="1333"/>
      <c r="W375" s="1333"/>
      <c r="X375" s="1333"/>
      <c r="Y375" s="1333"/>
      <c r="Z375" s="1333"/>
      <c r="AA375" s="1333"/>
      <c r="AB375" s="1333"/>
      <c r="AC375" s="1333"/>
      <c r="AD375" s="1333"/>
      <c r="AE375" s="1333"/>
      <c r="AF375" s="1333"/>
      <c r="AG375" s="1333"/>
      <c r="AH375" s="1333"/>
      <c r="AI375" s="1333"/>
      <c r="AJ375" s="1333"/>
    </row>
    <row r="376" spans="1:49" x14ac:dyDescent="0.25">
      <c r="A376" s="1520" t="str">
        <f>IF(COUNTIF('04 - 95% CD'!D376:G376,"Y")&gt;0,"Y",IF(COUNTIF('04 - 95% CD'!D376:G376,"N"),"N",""))</f>
        <v>Y</v>
      </c>
      <c r="B376" s="125"/>
      <c r="C376" s="944"/>
      <c r="D376" s="411"/>
      <c r="E376" s="321"/>
      <c r="F376" s="524"/>
      <c r="G376" s="559" t="str">
        <f>IF('C-Design&amp;Const'!$U376="","",'C-Design&amp;Const'!$U376)</f>
        <v>Y</v>
      </c>
      <c r="H376" s="1021" t="str">
        <f>CONCATENATE(IF(G376="N","PLACEHOLDER ROW - ",""),'C-Design&amp;Const'!Z376,IF(G376="N","",J376))</f>
        <v>All field and rack cabling and signal type (Record)</v>
      </c>
      <c r="I376" s="150"/>
      <c r="J376" s="578" t="str">
        <f>IF('C-Design&amp;Const'!AK376="","",'C-Design&amp;Const'!AK376)</f>
        <v>(Record)</v>
      </c>
      <c r="K376" s="285" t="str">
        <f t="shared" si="36"/>
        <v>match</v>
      </c>
      <c r="L376" s="1410" t="str">
        <f t="shared" si="37"/>
        <v/>
      </c>
      <c r="M376" s="1333"/>
      <c r="N376" s="1333"/>
      <c r="O376" s="1333"/>
      <c r="P376" s="1333"/>
      <c r="Q376" s="1333"/>
      <c r="R376" s="1444"/>
      <c r="S376" s="1448"/>
      <c r="T376" s="1404"/>
      <c r="U376" s="1333"/>
      <c r="V376" s="1333"/>
      <c r="W376" s="1333"/>
      <c r="X376" s="1333"/>
      <c r="Y376" s="1333"/>
      <c r="Z376" s="1333"/>
      <c r="AA376" s="1333"/>
      <c r="AB376" s="1333"/>
      <c r="AC376" s="1333"/>
      <c r="AD376" s="1333"/>
      <c r="AE376" s="1333"/>
      <c r="AF376" s="1333"/>
      <c r="AG376" s="1333"/>
      <c r="AH376" s="1333"/>
      <c r="AI376" s="1333"/>
      <c r="AJ376" s="1333"/>
    </row>
    <row r="377" spans="1:49" x14ac:dyDescent="0.25">
      <c r="A377" s="1520" t="str">
        <f>IF(COUNTIF('04 - 95% CD'!D377:G377,"Y")&gt;0,"Y",IF(COUNTIF('04 - 95% CD'!D377:G377,"N"),"N",""))</f>
        <v>Y</v>
      </c>
      <c r="B377" s="125"/>
      <c r="C377" s="944"/>
      <c r="D377" s="411"/>
      <c r="E377" s="321"/>
      <c r="F377" s="524"/>
      <c r="G377" s="559" t="str">
        <f>IF('C-Design&amp;Const'!$U377="","",'C-Design&amp;Const'!$U377)</f>
        <v>Y</v>
      </c>
      <c r="H377" s="1021" t="str">
        <f>CONCATENATE(IF(G377="N","PLACEHOLDER ROW - ",""),'C-Design&amp;Const'!Z377,IF(G377="N","",J377))</f>
        <v>Video signal resolutions (Record)</v>
      </c>
      <c r="I377" s="150"/>
      <c r="J377" s="578" t="str">
        <f>IF('C-Design&amp;Const'!AK377="","",'C-Design&amp;Const'!AK377)</f>
        <v>(Record)</v>
      </c>
      <c r="K377" s="285" t="str">
        <f t="shared" si="36"/>
        <v>match</v>
      </c>
      <c r="L377" s="1410" t="str">
        <f t="shared" si="37"/>
        <v/>
      </c>
      <c r="M377" s="1333"/>
      <c r="N377" s="1333"/>
      <c r="O377" s="1333"/>
      <c r="P377" s="1333"/>
      <c r="Q377" s="1333"/>
      <c r="R377" s="1284"/>
      <c r="S377" s="1488"/>
      <c r="T377" s="1404"/>
      <c r="U377" s="1333"/>
      <c r="V377" s="1333"/>
      <c r="W377" s="1333"/>
      <c r="X377" s="1333"/>
      <c r="Y377" s="1333"/>
      <c r="Z377" s="1333"/>
      <c r="AA377" s="1333"/>
      <c r="AB377" s="1333"/>
      <c r="AC377" s="1333"/>
      <c r="AD377" s="1333"/>
      <c r="AE377" s="1333"/>
      <c r="AF377" s="1333"/>
      <c r="AG377" s="1333"/>
      <c r="AH377" s="1333"/>
      <c r="AI377" s="1333"/>
      <c r="AJ377" s="1333"/>
    </row>
    <row r="378" spans="1:49" x14ac:dyDescent="0.25">
      <c r="A378" s="1520" t="str">
        <f>IF(COUNTIF('04 - 95% CD'!D378:G378,"Y")&gt;0,"Y",IF(COUNTIF('04 - 95% CD'!D378:G378,"N"),"N",""))</f>
        <v>Y</v>
      </c>
      <c r="B378" s="125"/>
      <c r="C378" s="944"/>
      <c r="D378" s="411"/>
      <c r="E378" s="321"/>
      <c r="F378" s="524"/>
      <c r="G378" s="559" t="str">
        <f>IF('C-Design&amp;Const'!$U378="","",'C-Design&amp;Const'!$U378)</f>
        <v>Y</v>
      </c>
      <c r="H378" s="1021" t="str">
        <f>CONCATENATE(IF(G378="N","PLACEHOLDER ROW - ",""),'C-Design&amp;Const'!Z378,IF(G378="N","",J378))</f>
        <v>Manufacturer &amp; model number of all premade cables  (Record)</v>
      </c>
      <c r="I378" s="150"/>
      <c r="J378" s="578" t="str">
        <f>IF('C-Design&amp;Const'!AK378="","",'C-Design&amp;Const'!AK378)</f>
        <v>(Record)</v>
      </c>
      <c r="K378" s="285" t="str">
        <f t="shared" si="36"/>
        <v>match</v>
      </c>
      <c r="L378" s="1410" t="str">
        <f t="shared" si="37"/>
        <v/>
      </c>
      <c r="M378" s="1333"/>
      <c r="N378" s="1333"/>
      <c r="O378" s="1333"/>
      <c r="P378" s="1333"/>
      <c r="Q378" s="1333"/>
      <c r="R378" s="1453"/>
      <c r="S378" s="1364"/>
      <c r="T378" s="1404"/>
      <c r="U378" s="1333"/>
      <c r="V378" s="1333"/>
      <c r="W378" s="1333"/>
      <c r="X378" s="1333"/>
      <c r="Y378" s="1333"/>
      <c r="Z378" s="1333"/>
      <c r="AA378" s="1333"/>
      <c r="AB378" s="1333"/>
      <c r="AC378" s="1333"/>
      <c r="AD378" s="1333"/>
      <c r="AE378" s="1333"/>
      <c r="AF378" s="1333"/>
      <c r="AG378" s="1333"/>
      <c r="AH378" s="1333"/>
      <c r="AI378" s="1333"/>
      <c r="AJ378" s="1333"/>
    </row>
    <row r="379" spans="1:49" x14ac:dyDescent="0.25">
      <c r="A379" s="1520" t="str">
        <f>IF(COUNTIF('04 - 95% CD'!D379:G379,"Y")&gt;0,"Y",IF(COUNTIF('04 - 95% CD'!D379:G379,"N"),"N",""))</f>
        <v>Y</v>
      </c>
      <c r="B379" s="125"/>
      <c r="C379" s="944"/>
      <c r="D379" s="411"/>
      <c r="E379" s="321"/>
      <c r="F379" s="524"/>
      <c r="G379" s="1001" t="str">
        <f>IF('C-Design&amp;Const'!$U379="","",'C-Design&amp;Const'!$U379)</f>
        <v>Y</v>
      </c>
      <c r="H379" s="1021" t="str">
        <f>CONCATENATE(IF(G379="N","PLACEHOLDER ROW - ",""),'C-Design&amp;Const'!Z379,IF(G379="N","",J379))</f>
        <v>Typical pin out details (Record)</v>
      </c>
      <c r="I379" s="150"/>
      <c r="J379" s="578" t="str">
        <f>IF('C-Design&amp;Const'!AK379="","",'C-Design&amp;Const'!AK379)</f>
        <v>(Record)</v>
      </c>
      <c r="K379" s="285" t="str">
        <f t="shared" si="36"/>
        <v>match</v>
      </c>
      <c r="L379" s="1410" t="str">
        <f t="shared" si="37"/>
        <v/>
      </c>
      <c r="M379" s="1333"/>
      <c r="N379" s="1333"/>
      <c r="O379" s="1333"/>
      <c r="P379" s="1333"/>
      <c r="Q379" s="1333"/>
      <c r="R379" s="1453"/>
      <c r="S379" s="1364"/>
      <c r="T379" s="1404"/>
      <c r="U379" s="1333"/>
      <c r="V379" s="1333"/>
      <c r="W379" s="1333"/>
      <c r="X379" s="1333"/>
      <c r="Y379" s="1333"/>
      <c r="Z379" s="1333"/>
      <c r="AA379" s="1333"/>
      <c r="AB379" s="1333"/>
      <c r="AC379" s="1333"/>
      <c r="AD379" s="1333"/>
      <c r="AE379" s="1333"/>
      <c r="AF379" s="1333"/>
      <c r="AG379" s="1333"/>
      <c r="AH379" s="1333"/>
      <c r="AI379" s="1333"/>
      <c r="AJ379" s="1333"/>
    </row>
    <row r="380" spans="1:49" x14ac:dyDescent="0.25">
      <c r="A380" s="1520" t="str">
        <f>IF(COUNTIF('04 - 95% CD'!D380:G380,"Y")&gt;0,"Y",IF(COUNTIF('04 - 95% CD'!D380:G380,"N"),"N",""))</f>
        <v>Y</v>
      </c>
      <c r="B380" s="125"/>
      <c r="C380" s="944"/>
      <c r="D380" s="411"/>
      <c r="E380" s="321"/>
      <c r="F380" s="489" t="str">
        <f>IF('C-Design&amp;Const'!$U380="","",'C-Design&amp;Const'!$U380)</f>
        <v>Y</v>
      </c>
      <c r="G380" s="460"/>
      <c r="H380" s="243" t="str">
        <f>CONCATENATE(IF(F380="N","PLACEHOLDER ROW - ",""),'C-Design&amp;Const'!Z380,IF(F380="N","",J380))</f>
        <v>Video Security System – Approved Camera Locations (Record)</v>
      </c>
      <c r="I380" s="150"/>
      <c r="J380" s="578" t="str">
        <f>IF('C-Design&amp;Const'!AK380="","",'C-Design&amp;Const'!AK380)</f>
        <v>(Record)</v>
      </c>
      <c r="K380" s="285" t="str">
        <f t="shared" si="36"/>
        <v>match</v>
      </c>
      <c r="L380" s="1410" t="str">
        <f t="shared" si="37"/>
        <v/>
      </c>
      <c r="M380" s="1333"/>
      <c r="N380" s="1333"/>
      <c r="O380" s="1333"/>
      <c r="P380" s="1333"/>
      <c r="Q380" s="1333"/>
      <c r="R380" s="1453"/>
      <c r="S380" s="1364"/>
      <c r="T380" s="1404"/>
      <c r="U380" s="1333"/>
      <c r="V380" s="1333"/>
      <c r="W380" s="1333"/>
      <c r="X380" s="1333"/>
      <c r="Y380" s="1333"/>
      <c r="Z380" s="1333"/>
      <c r="AA380" s="1333"/>
      <c r="AB380" s="1333"/>
      <c r="AC380" s="1333"/>
      <c r="AD380" s="1333"/>
      <c r="AE380" s="1333"/>
      <c r="AF380" s="1333"/>
      <c r="AG380" s="1333"/>
      <c r="AH380" s="1333"/>
      <c r="AI380" s="1333"/>
      <c r="AJ380" s="1333"/>
    </row>
    <row r="381" spans="1:49" s="17" customFormat="1" x14ac:dyDescent="0.25">
      <c r="A381" s="1510" t="str">
        <f>IF(COUNTIF('04 - 95% CD'!D381:G381,"Y")&gt;0,"Y",IF(COUNTIF('04 - 95% CD'!D381:G381,"N"),"N",""))</f>
        <v/>
      </c>
      <c r="B381" s="141"/>
      <c r="C381" s="944"/>
      <c r="D381" s="411"/>
      <c r="E381" s="411"/>
      <c r="F381" s="321"/>
      <c r="G381" s="294"/>
      <c r="H381" s="296"/>
      <c r="I381" s="130"/>
      <c r="J381" s="578" t="str">
        <f>IF('C-Design&amp;Const'!AK381="","",'C-Design&amp;Const'!AK381)</f>
        <v/>
      </c>
      <c r="K381" s="285" t="str">
        <f t="shared" si="36"/>
        <v>match</v>
      </c>
      <c r="L381" s="1410" t="str">
        <f t="shared" si="37"/>
        <v/>
      </c>
      <c r="M381" s="1333"/>
      <c r="N381" s="1333"/>
      <c r="O381" s="1333"/>
      <c r="P381" s="1333"/>
      <c r="Q381" s="1333"/>
      <c r="R381" s="1453"/>
      <c r="S381" s="1364"/>
      <c r="T381" s="1404"/>
      <c r="U381" s="1333"/>
      <c r="V381" s="1333"/>
      <c r="W381" s="1333"/>
      <c r="X381" s="1333"/>
      <c r="Y381" s="1333"/>
      <c r="Z381" s="1333"/>
      <c r="AA381" s="1333"/>
      <c r="AB381" s="1333"/>
      <c r="AC381" s="1333"/>
      <c r="AD381" s="1333"/>
      <c r="AE381" s="1333"/>
      <c r="AF381" s="1333"/>
      <c r="AG381" s="1333"/>
      <c r="AH381" s="1333"/>
      <c r="AI381" s="1333"/>
      <c r="AJ381" s="1333"/>
    </row>
    <row r="382" spans="1:49" s="181" customFormat="1" ht="23.25" customHeight="1" x14ac:dyDescent="0.25">
      <c r="A382" s="1501" t="str">
        <f>IF(COUNTIF('04 - 95% CD'!D382:G382,"Y")&gt;0,"Y",IF(COUNTIF('04 - 95% CD'!D382:G382,"N"),"N",""))</f>
        <v>N</v>
      </c>
      <c r="B382" s="177"/>
      <c r="C382" s="948"/>
      <c r="D382" s="359" t="str">
        <f>IF('C-Design&amp;Const'!$U382="","",'C-Design&amp;Const'!$U382)</f>
        <v>N</v>
      </c>
      <c r="E382" s="234"/>
      <c r="F382" s="235"/>
      <c r="G382" s="291" t="str">
        <f>IF('C-Design&amp;Const'!Y382="","",'C-Design&amp;Const'!Y382)</f>
        <v>07b.</v>
      </c>
      <c r="H382" s="290" t="str">
        <f>CONCATENATE('C-Design&amp;Const'!Z382,IF(D382="N"," Not Used In This Construction Phase",J382))</f>
        <v>Building Information Model (BIM) Not Used In This Construction Phase</v>
      </c>
      <c r="I382" s="184"/>
      <c r="J382" s="578" t="str">
        <f>IF('C-Design&amp;Const'!AK382="","",'C-Design&amp;Const'!AK382)</f>
        <v/>
      </c>
      <c r="K382" s="285" t="str">
        <f t="shared" si="36"/>
        <v>match</v>
      </c>
      <c r="L382" s="1410" t="str">
        <f t="shared" si="37"/>
        <v/>
      </c>
      <c r="M382" s="1382"/>
      <c r="N382" s="1382"/>
      <c r="O382" s="1382"/>
      <c r="P382" s="1382"/>
      <c r="Q382" s="1382"/>
      <c r="R382" s="1447"/>
      <c r="S382" s="1448"/>
      <c r="T382" s="1404"/>
      <c r="U382" s="1382"/>
      <c r="V382" s="1382"/>
      <c r="W382" s="1382"/>
      <c r="X382" s="1382"/>
      <c r="Y382" s="1382"/>
      <c r="Z382" s="1382"/>
      <c r="AA382" s="1382"/>
      <c r="AB382" s="1382"/>
      <c r="AC382" s="1382"/>
      <c r="AD382" s="1382"/>
      <c r="AE382" s="1382"/>
      <c r="AF382" s="1382"/>
      <c r="AG382" s="1382"/>
      <c r="AH382" s="1382"/>
      <c r="AI382" s="1382"/>
      <c r="AJ382" s="1382"/>
    </row>
    <row r="383" spans="1:49" hidden="1" x14ac:dyDescent="0.25">
      <c r="A383" s="1407" t="str">
        <f>IF(COUNTIF('04 - 95% CD'!D383:G383,"Y")&gt;0,"Y",IF(COUNTIF('04 - 95% CD'!D383:G383,"N"),"N",""))</f>
        <v/>
      </c>
      <c r="B383" s="125"/>
      <c r="C383" s="944"/>
      <c r="D383" s="321"/>
      <c r="E383" s="321"/>
      <c r="F383" s="321"/>
      <c r="G383" s="294"/>
      <c r="H383" s="296"/>
      <c r="I383" s="130"/>
      <c r="J383" s="578" t="str">
        <f>IF('C-Design&amp;Const'!AK383="","",'C-Design&amp;Const'!AK383)</f>
        <v/>
      </c>
      <c r="K383" s="285" t="str">
        <f t="shared" ref="K383:K427" si="44">IF((COUNTIF(D383:G383,"Y")=COUNTIF(A383,"Y")),"match","no 95% match")</f>
        <v>match</v>
      </c>
      <c r="L383" s="1410" t="str">
        <f t="shared" si="37"/>
        <v/>
      </c>
      <c r="M383" s="1333"/>
      <c r="N383" s="1333"/>
      <c r="O383" s="1333"/>
      <c r="P383" s="1333"/>
      <c r="Q383" s="1333"/>
      <c r="R383" s="1453"/>
      <c r="S383" s="1364"/>
      <c r="T383" s="1284"/>
      <c r="U383" s="1333"/>
      <c r="V383" s="1333"/>
      <c r="W383" s="1333"/>
      <c r="X383" s="1333"/>
      <c r="Y383" s="1333"/>
      <c r="Z383" s="1333"/>
      <c r="AA383" s="1333"/>
      <c r="AB383" s="1333"/>
      <c r="AC383" s="1333"/>
      <c r="AD383" s="1333"/>
      <c r="AE383" s="1333"/>
      <c r="AF383" s="1333"/>
      <c r="AG383" s="1333"/>
      <c r="AH383" s="1333"/>
      <c r="AI383" s="1333"/>
      <c r="AJ383" s="1333"/>
    </row>
    <row r="384" spans="1:49" x14ac:dyDescent="0.25">
      <c r="A384" s="1407" t="str">
        <f>IF(COUNTIF('04 - 95% CD'!D384:G384,"Y")&gt;0,"Y",IF(COUNTIF('04 - 95% CD'!D384:G384,"N"),"N",""))</f>
        <v/>
      </c>
      <c r="B384" s="125"/>
      <c r="C384" s="944"/>
      <c r="D384" s="321"/>
      <c r="E384" s="321"/>
      <c r="F384" s="321"/>
      <c r="G384" s="294"/>
      <c r="H384" s="296"/>
      <c r="I384" s="130"/>
      <c r="J384" s="578" t="str">
        <f>IF('C-Design&amp;Const'!AK384="","",'C-Design&amp;Const'!AK384)</f>
        <v/>
      </c>
      <c r="K384" s="285" t="str">
        <f t="shared" si="44"/>
        <v>match</v>
      </c>
      <c r="L384" s="1410" t="str">
        <f t="shared" si="37"/>
        <v/>
      </c>
      <c r="M384" s="1333"/>
      <c r="N384" s="1333"/>
      <c r="O384" s="1333"/>
      <c r="P384" s="1333"/>
      <c r="Q384" s="1333"/>
      <c r="R384" s="1453"/>
      <c r="S384" s="1364"/>
      <c r="T384" s="1284"/>
      <c r="U384" s="1333"/>
      <c r="V384" s="1333"/>
      <c r="W384" s="1333"/>
      <c r="X384" s="1333"/>
      <c r="Y384" s="1333"/>
      <c r="Z384" s="1333"/>
      <c r="AA384" s="1333"/>
      <c r="AB384" s="1333"/>
      <c r="AC384" s="1333"/>
      <c r="AD384" s="1333"/>
      <c r="AE384" s="1333"/>
      <c r="AF384" s="1333"/>
      <c r="AG384" s="1333"/>
      <c r="AH384" s="1333"/>
      <c r="AI384" s="1333"/>
      <c r="AJ384" s="1333"/>
    </row>
    <row r="385" spans="1:50" s="181" customFormat="1" ht="18.75" x14ac:dyDescent="0.25">
      <c r="A385" s="1501" t="str">
        <f>IF(COUNTIF('04 - 95% CD'!D385:G385,"Y")&gt;0,"Y",IF(COUNTIF('04 - 95% CD'!D385:G385,"N"),"N",""))</f>
        <v>N</v>
      </c>
      <c r="B385" s="177"/>
      <c r="C385" s="944"/>
      <c r="D385" s="559" t="str">
        <f>IF('C-Design&amp;Const'!$U385="","",'C-Design&amp;Const'!$U385)</f>
        <v>N</v>
      </c>
      <c r="E385" s="234"/>
      <c r="F385" s="235"/>
      <c r="G385" s="291" t="str">
        <f>IF('C-Design&amp;Const'!Y385="","",'C-Design&amp;Const'!Y385)</f>
        <v>08a.</v>
      </c>
      <c r="H385" s="290" t="str">
        <f>CONCATENATE('C-Design&amp;Const'!Z385,IF(D385="N"," Not Used In This Construction Phase",J385))</f>
        <v>Design Presentation Not Used In This Construction Phase</v>
      </c>
      <c r="I385" s="184"/>
      <c r="J385" s="578" t="str">
        <f>IF('C-Design&amp;Const'!AK385="","",'C-Design&amp;Const'!AK385)</f>
        <v/>
      </c>
      <c r="K385" s="285" t="str">
        <f t="shared" si="44"/>
        <v>match</v>
      </c>
      <c r="L385" s="1410" t="str">
        <f t="shared" si="37"/>
        <v/>
      </c>
      <c r="M385" s="1382"/>
      <c r="N385" s="1382"/>
      <c r="O385" s="1382"/>
      <c r="P385" s="1382"/>
      <c r="Q385" s="1382"/>
      <c r="R385" s="1447"/>
      <c r="S385" s="1448"/>
      <c r="T385" s="1274"/>
      <c r="U385" s="1382"/>
      <c r="V385" s="1382"/>
      <c r="W385" s="1382"/>
      <c r="X385" s="1382"/>
      <c r="Y385" s="1382"/>
      <c r="Z385" s="1382"/>
      <c r="AA385" s="1382"/>
      <c r="AB385" s="1382"/>
      <c r="AC385" s="1382"/>
      <c r="AD385" s="1382"/>
      <c r="AE385" s="1382"/>
      <c r="AF385" s="1382"/>
      <c r="AG385" s="1382"/>
      <c r="AH385" s="1382"/>
      <c r="AI385" s="1382"/>
      <c r="AJ385" s="1382"/>
      <c r="AX385" s="30"/>
    </row>
    <row r="386" spans="1:50" s="30" customFormat="1" hidden="1" x14ac:dyDescent="0.25">
      <c r="A386" s="1407" t="str">
        <f>IF(COUNTIF('04 - 95% CD'!D386:G386,"Y")&gt;0,"Y",IF(COUNTIF('04 - 95% CD'!D386:G386,"N"),"N",""))</f>
        <v>N</v>
      </c>
      <c r="B386" s="191"/>
      <c r="C386" s="944"/>
      <c r="D386" s="321"/>
      <c r="E386" s="559" t="str">
        <f>IF('C-Design&amp;Const'!$U386="","",'C-Design&amp;Const'!$U386)</f>
        <v>N</v>
      </c>
      <c r="F386" s="560"/>
      <c r="G386" s="558"/>
      <c r="H386" s="410" t="str">
        <f>'04 - 95% CD'!H386</f>
        <v>PLACEHOLDER ROW - OPTIONAL CLIENT CUSTOM ITEM</v>
      </c>
      <c r="I386" s="186"/>
      <c r="J386" s="578" t="str">
        <f>IF('C-Design&amp;Const'!AK386="","",'C-Design&amp;Const'!AK386)</f>
        <v/>
      </c>
      <c r="K386" s="285" t="str">
        <f t="shared" si="44"/>
        <v>match</v>
      </c>
      <c r="L386" s="1410" t="str">
        <f t="shared" si="37"/>
        <v>&lt;---PM/Planner may hide PLACEHOLDER ROW</v>
      </c>
      <c r="M386" s="1382"/>
      <c r="N386" s="1382"/>
      <c r="O386" s="1382"/>
      <c r="P386" s="1382"/>
      <c r="Q386" s="1382"/>
      <c r="R386" s="1490"/>
      <c r="S386" s="1274"/>
      <c r="T386" s="1274"/>
      <c r="U386" s="1382"/>
      <c r="V386" s="1382"/>
      <c r="W386" s="1382"/>
      <c r="X386" s="1382"/>
      <c r="Y386" s="1382"/>
      <c r="Z386" s="1382"/>
      <c r="AA386" s="1382"/>
      <c r="AB386" s="1382"/>
      <c r="AC386" s="1382"/>
      <c r="AD386" s="1382"/>
      <c r="AE386" s="1382"/>
      <c r="AF386" s="1382"/>
      <c r="AG386" s="1382"/>
      <c r="AH386" s="1382"/>
      <c r="AI386" s="1382"/>
      <c r="AJ386" s="1382"/>
      <c r="AK386" s="181"/>
      <c r="AL386" s="181"/>
      <c r="AM386" s="181"/>
      <c r="AN386" s="181"/>
      <c r="AO386" s="181"/>
      <c r="AP386" s="181"/>
      <c r="AQ386" s="181"/>
      <c r="AR386" s="181"/>
      <c r="AS386" s="181"/>
      <c r="AT386" s="181"/>
      <c r="AU386" s="181"/>
      <c r="AV386" s="181"/>
      <c r="AW386" s="181"/>
    </row>
    <row r="387" spans="1:50" s="30" customFormat="1" hidden="1" x14ac:dyDescent="0.25">
      <c r="A387" s="1407" t="str">
        <f>IF(COUNTIF('04 - 95% CD'!D387:G387,"Y")&gt;0,"Y",IF(COUNTIF('04 - 95% CD'!D387:G387,"N"),"N",""))</f>
        <v>N</v>
      </c>
      <c r="B387" s="191"/>
      <c r="C387" s="944"/>
      <c r="D387" s="321"/>
      <c r="E387" s="559" t="str">
        <f>IF('C-Design&amp;Const'!$U387="","",'C-Design&amp;Const'!$U387)</f>
        <v>N</v>
      </c>
      <c r="F387" s="560"/>
      <c r="G387" s="558"/>
      <c r="H387" s="410" t="str">
        <f>'04 - 95% CD'!H387</f>
        <v>PLACEHOLDER ROW - OPTIONAL CLIENT CUSTOM ITEM</v>
      </c>
      <c r="I387" s="186"/>
      <c r="J387" s="578" t="str">
        <f>IF('C-Design&amp;Const'!AK387="","",'C-Design&amp;Const'!AK387)</f>
        <v/>
      </c>
      <c r="K387" s="285" t="str">
        <f t="shared" si="44"/>
        <v>match</v>
      </c>
      <c r="L387" s="1410" t="str">
        <f t="shared" si="37"/>
        <v>&lt;---PM/Planner may hide PLACEHOLDER ROW</v>
      </c>
      <c r="M387" s="1382"/>
      <c r="N387" s="1382"/>
      <c r="O387" s="1382"/>
      <c r="P387" s="1382"/>
      <c r="Q387" s="1382"/>
      <c r="R387" s="1490"/>
      <c r="S387" s="1274"/>
      <c r="T387" s="1274"/>
      <c r="U387" s="1382"/>
      <c r="V387" s="1382"/>
      <c r="W387" s="1382"/>
      <c r="X387" s="1382"/>
      <c r="Y387" s="1382"/>
      <c r="Z387" s="1382"/>
      <c r="AA387" s="1382"/>
      <c r="AB387" s="1382"/>
      <c r="AC387" s="1382"/>
      <c r="AD387" s="1382"/>
      <c r="AE387" s="1382"/>
      <c r="AF387" s="1382"/>
      <c r="AG387" s="1382"/>
      <c r="AH387" s="1382"/>
      <c r="AI387" s="1382"/>
      <c r="AJ387" s="1382"/>
      <c r="AK387" s="181"/>
      <c r="AL387" s="181"/>
      <c r="AM387" s="181"/>
      <c r="AN387" s="181"/>
      <c r="AO387" s="181"/>
      <c r="AP387" s="181"/>
      <c r="AQ387" s="181"/>
      <c r="AR387" s="181"/>
      <c r="AS387" s="181"/>
      <c r="AT387" s="181"/>
      <c r="AU387" s="181"/>
      <c r="AV387" s="181"/>
      <c r="AW387" s="181"/>
    </row>
    <row r="388" spans="1:50" s="30" customFormat="1" hidden="1" x14ac:dyDescent="0.25">
      <c r="A388" s="1407" t="str">
        <f>IF(COUNTIF('04 - 95% CD'!D388:G388,"Y")&gt;0,"Y",IF(COUNTIF('04 - 95% CD'!D388:G388,"N"),"N",""))</f>
        <v>N</v>
      </c>
      <c r="B388" s="191"/>
      <c r="C388" s="944"/>
      <c r="D388" s="321"/>
      <c r="E388" s="559" t="str">
        <f>IF('C-Design&amp;Const'!$U388="","",'C-Design&amp;Const'!$U388)</f>
        <v>N</v>
      </c>
      <c r="F388" s="560"/>
      <c r="G388" s="558"/>
      <c r="H388" s="410" t="str">
        <f>'04 - 95% CD'!H388</f>
        <v>PLACEHOLDER ROW - OPTIONAL CLIENT CUSTOM ITEM</v>
      </c>
      <c r="I388" s="186"/>
      <c r="J388" s="578" t="str">
        <f>IF('C-Design&amp;Const'!AK388="","",'C-Design&amp;Const'!AK388)</f>
        <v/>
      </c>
      <c r="K388" s="285" t="str">
        <f t="shared" si="44"/>
        <v>match</v>
      </c>
      <c r="L388" s="1410" t="str">
        <f t="shared" si="37"/>
        <v>&lt;---PM/Planner may hide PLACEHOLDER ROW</v>
      </c>
      <c r="M388" s="1382"/>
      <c r="N388" s="1382"/>
      <c r="O388" s="1382"/>
      <c r="P388" s="1382"/>
      <c r="Q388" s="1382"/>
      <c r="R388" s="1490"/>
      <c r="S388" s="1274"/>
      <c r="T388" s="1274"/>
      <c r="U388" s="1382"/>
      <c r="V388" s="1382"/>
      <c r="W388" s="1382"/>
      <c r="X388" s="1382"/>
      <c r="Y388" s="1382"/>
      <c r="Z388" s="1382"/>
      <c r="AA388" s="1382"/>
      <c r="AB388" s="1382"/>
      <c r="AC388" s="1382"/>
      <c r="AD388" s="1382"/>
      <c r="AE388" s="1382"/>
      <c r="AF388" s="1382"/>
      <c r="AG388" s="1382"/>
      <c r="AH388" s="1382"/>
      <c r="AI388" s="1382"/>
      <c r="AJ388" s="1382"/>
      <c r="AK388" s="181"/>
      <c r="AL388" s="181"/>
      <c r="AM388" s="181"/>
      <c r="AN388" s="181"/>
      <c r="AO388" s="181"/>
      <c r="AP388" s="181"/>
      <c r="AQ388" s="181"/>
      <c r="AR388" s="181"/>
      <c r="AS388" s="181"/>
      <c r="AT388" s="181"/>
      <c r="AU388" s="181"/>
      <c r="AV388" s="181"/>
      <c r="AW388" s="181"/>
    </row>
    <row r="389" spans="1:50" s="30" customFormat="1" hidden="1" x14ac:dyDescent="0.25">
      <c r="A389" s="1407" t="str">
        <f>IF(COUNTIF('04 - 95% CD'!D389:G389,"Y")&gt;0,"Y",IF(COUNTIF('04 - 95% CD'!D389:G389,"N"),"N",""))</f>
        <v>N</v>
      </c>
      <c r="B389" s="191"/>
      <c r="C389" s="944"/>
      <c r="D389" s="321"/>
      <c r="E389" s="559" t="str">
        <f>IF('C-Design&amp;Const'!$U389="","",'C-Design&amp;Const'!$U389)</f>
        <v>N</v>
      </c>
      <c r="F389" s="560"/>
      <c r="G389" s="558"/>
      <c r="H389" s="410" t="str">
        <f>'04 - 95% CD'!H389</f>
        <v>PLACEHOLDER ROW - OPTIONAL CLIENT CUSTOM ITEM</v>
      </c>
      <c r="I389" s="186"/>
      <c r="J389" s="578" t="str">
        <f>IF('C-Design&amp;Const'!AK389="","",'C-Design&amp;Const'!AK389)</f>
        <v/>
      </c>
      <c r="K389" s="285" t="str">
        <f t="shared" si="44"/>
        <v>match</v>
      </c>
      <c r="L389" s="1410" t="str">
        <f t="shared" si="37"/>
        <v>&lt;---PM/Planner may hide PLACEHOLDER ROW</v>
      </c>
      <c r="M389" s="1382"/>
      <c r="N389" s="1382"/>
      <c r="O389" s="1382"/>
      <c r="P389" s="1382"/>
      <c r="Q389" s="1382"/>
      <c r="R389" s="1490"/>
      <c r="S389" s="1274"/>
      <c r="T389" s="1274"/>
      <c r="U389" s="1382"/>
      <c r="V389" s="1382"/>
      <c r="W389" s="1382"/>
      <c r="X389" s="1382"/>
      <c r="Y389" s="1382"/>
      <c r="Z389" s="1382"/>
      <c r="AA389" s="1382"/>
      <c r="AB389" s="1382"/>
      <c r="AC389" s="1382"/>
      <c r="AD389" s="1382"/>
      <c r="AE389" s="1382"/>
      <c r="AF389" s="1382"/>
      <c r="AG389" s="1382"/>
      <c r="AH389" s="1382"/>
      <c r="AI389" s="1382"/>
      <c r="AJ389" s="1382"/>
      <c r="AK389" s="181"/>
      <c r="AL389" s="181"/>
      <c r="AM389" s="181"/>
      <c r="AN389" s="181"/>
      <c r="AO389" s="181"/>
      <c r="AP389" s="181"/>
      <c r="AQ389" s="181"/>
      <c r="AR389" s="181"/>
      <c r="AS389" s="181"/>
      <c r="AT389" s="181"/>
      <c r="AU389" s="181"/>
      <c r="AV389" s="181"/>
      <c r="AW389" s="181"/>
    </row>
    <row r="390" spans="1:50" s="30" customFormat="1" hidden="1" x14ac:dyDescent="0.25">
      <c r="A390" s="1407" t="str">
        <f>IF(COUNTIF('04 - 95% CD'!D390:G390,"Y")&gt;0,"Y",IF(COUNTIF('04 - 95% CD'!D390:G390,"N"),"N",""))</f>
        <v>N</v>
      </c>
      <c r="B390" s="191"/>
      <c r="C390" s="944"/>
      <c r="D390" s="321"/>
      <c r="E390" s="559" t="str">
        <f>IF('C-Design&amp;Const'!$U390="","",'C-Design&amp;Const'!$U390)</f>
        <v>N</v>
      </c>
      <c r="F390" s="560"/>
      <c r="G390" s="558"/>
      <c r="H390" s="410" t="str">
        <f>'04 - 95% CD'!H390</f>
        <v>PLACEHOLDER ROW - OPTIONAL CLIENT CUSTOM ITEM</v>
      </c>
      <c r="I390" s="186"/>
      <c r="J390" s="578" t="str">
        <f>IF('C-Design&amp;Const'!AK390="","",'C-Design&amp;Const'!AK390)</f>
        <v/>
      </c>
      <c r="K390" s="285" t="str">
        <f t="shared" si="44"/>
        <v>match</v>
      </c>
      <c r="L390" s="1410" t="str">
        <f t="shared" si="37"/>
        <v>&lt;---PM/Planner may hide PLACEHOLDER ROW</v>
      </c>
      <c r="M390" s="1382"/>
      <c r="N390" s="1382"/>
      <c r="O390" s="1382"/>
      <c r="P390" s="1382"/>
      <c r="Q390" s="1382"/>
      <c r="R390" s="1490"/>
      <c r="S390" s="1274"/>
      <c r="T390" s="1274"/>
      <c r="U390" s="1382"/>
      <c r="V390" s="1382"/>
      <c r="W390" s="1382"/>
      <c r="X390" s="1382"/>
      <c r="Y390" s="1382"/>
      <c r="Z390" s="1382"/>
      <c r="AA390" s="1382"/>
      <c r="AB390" s="1382"/>
      <c r="AC390" s="1382"/>
      <c r="AD390" s="1382"/>
      <c r="AE390" s="1382"/>
      <c r="AF390" s="1382"/>
      <c r="AG390" s="1382"/>
      <c r="AH390" s="1382"/>
      <c r="AI390" s="1382"/>
      <c r="AJ390" s="1382"/>
      <c r="AK390" s="181"/>
      <c r="AL390" s="181"/>
      <c r="AM390" s="181"/>
      <c r="AN390" s="181"/>
      <c r="AO390" s="181"/>
      <c r="AP390" s="181"/>
      <c r="AQ390" s="181"/>
      <c r="AR390" s="181"/>
      <c r="AS390" s="181"/>
      <c r="AT390" s="181"/>
      <c r="AU390" s="181"/>
      <c r="AV390" s="181"/>
      <c r="AW390" s="181"/>
    </row>
    <row r="391" spans="1:50" s="30" customFormat="1" hidden="1" x14ac:dyDescent="0.25">
      <c r="A391" s="1407" t="str">
        <f>IF(COUNTIF('04 - 95% CD'!D391:G391,"Y")&gt;0,"Y",IF(COUNTIF('04 - 95% CD'!D391:G391,"N"),"N",""))</f>
        <v>N</v>
      </c>
      <c r="B391" s="191"/>
      <c r="C391" s="944"/>
      <c r="D391" s="321"/>
      <c r="E391" s="559" t="str">
        <f>IF('C-Design&amp;Const'!$U391="","",'C-Design&amp;Const'!$U391)</f>
        <v>N</v>
      </c>
      <c r="F391" s="560"/>
      <c r="G391" s="558"/>
      <c r="H391" s="410" t="str">
        <f>'04 - 95% CD'!H391</f>
        <v>PLACEHOLDER ROW - OPTIONAL CLIENT CUSTOM ITEM</v>
      </c>
      <c r="I391" s="186"/>
      <c r="J391" s="578" t="str">
        <f>IF('C-Design&amp;Const'!AK391="","",'C-Design&amp;Const'!AK391)</f>
        <v/>
      </c>
      <c r="K391" s="285" t="str">
        <f t="shared" si="44"/>
        <v>match</v>
      </c>
      <c r="L391" s="1410" t="str">
        <f t="shared" si="37"/>
        <v>&lt;---PM/Planner may hide PLACEHOLDER ROW</v>
      </c>
      <c r="M391" s="1382"/>
      <c r="N391" s="1382"/>
      <c r="O391" s="1382"/>
      <c r="P391" s="1382"/>
      <c r="Q391" s="1382"/>
      <c r="R391" s="1490"/>
      <c r="S391" s="1274"/>
      <c r="T391" s="1274"/>
      <c r="U391" s="1382"/>
      <c r="V391" s="1382"/>
      <c r="W391" s="1382"/>
      <c r="X391" s="1382"/>
      <c r="Y391" s="1382"/>
      <c r="Z391" s="1382"/>
      <c r="AA391" s="1382"/>
      <c r="AB391" s="1382"/>
      <c r="AC391" s="1382"/>
      <c r="AD391" s="1382"/>
      <c r="AE391" s="1382"/>
      <c r="AF391" s="1382"/>
      <c r="AG391" s="1382"/>
      <c r="AH391" s="1382"/>
      <c r="AI391" s="1382"/>
      <c r="AJ391" s="1382"/>
      <c r="AK391" s="181"/>
      <c r="AL391" s="181"/>
      <c r="AM391" s="181"/>
      <c r="AN391" s="181"/>
      <c r="AO391" s="181"/>
      <c r="AP391" s="181"/>
      <c r="AQ391" s="181"/>
      <c r="AR391" s="181"/>
      <c r="AS391" s="181"/>
      <c r="AT391" s="181"/>
      <c r="AU391" s="181"/>
      <c r="AV391" s="181"/>
      <c r="AW391" s="181"/>
    </row>
    <row r="392" spans="1:50" s="30" customFormat="1" hidden="1" x14ac:dyDescent="0.25">
      <c r="A392" s="1407" t="str">
        <f>IF(COUNTIF('04 - 95% CD'!D392:G392,"Y")&gt;0,"Y",IF(COUNTIF('04 - 95% CD'!D392:G392,"N"),"N",""))</f>
        <v>N</v>
      </c>
      <c r="B392" s="191"/>
      <c r="C392" s="944"/>
      <c r="D392" s="321"/>
      <c r="E392" s="559" t="str">
        <f>IF('C-Design&amp;Const'!$U395="","",'C-Design&amp;Const'!$U395)</f>
        <v>N</v>
      </c>
      <c r="F392" s="560"/>
      <c r="G392" s="558"/>
      <c r="H392" s="410" t="str">
        <f>'04 - 95% CD'!H392</f>
        <v>PLACEHOLDER ROW - OPTIONAL CLIENT CUSTOM ITEM</v>
      </c>
      <c r="I392" s="186"/>
      <c r="J392" s="578" t="str">
        <f>IF('C-Design&amp;Const'!AK395="","",'C-Design&amp;Const'!AK395)</f>
        <v/>
      </c>
      <c r="K392" s="285" t="str">
        <f t="shared" si="44"/>
        <v>match</v>
      </c>
      <c r="L392" s="1410" t="str">
        <f t="shared" si="37"/>
        <v>&lt;---PM/Planner may hide PLACEHOLDER ROW</v>
      </c>
      <c r="M392" s="1382"/>
      <c r="N392" s="1382"/>
      <c r="O392" s="1382"/>
      <c r="P392" s="1382"/>
      <c r="Q392" s="1382"/>
      <c r="R392" s="1490"/>
      <c r="S392" s="1274"/>
      <c r="T392" s="1274"/>
      <c r="U392" s="1382"/>
      <c r="V392" s="1382"/>
      <c r="W392" s="1382"/>
      <c r="X392" s="1382"/>
      <c r="Y392" s="1382"/>
      <c r="Z392" s="1382"/>
      <c r="AA392" s="1382"/>
      <c r="AB392" s="1382"/>
      <c r="AC392" s="1382"/>
      <c r="AD392" s="1382"/>
      <c r="AE392" s="1382"/>
      <c r="AF392" s="1382"/>
      <c r="AG392" s="1382"/>
      <c r="AH392" s="1382"/>
      <c r="AI392" s="1382"/>
      <c r="AJ392" s="1382"/>
      <c r="AK392" s="181"/>
      <c r="AL392" s="181"/>
      <c r="AM392" s="181"/>
      <c r="AN392" s="181"/>
      <c r="AO392" s="181"/>
      <c r="AP392" s="181"/>
      <c r="AQ392" s="181"/>
      <c r="AR392" s="181"/>
      <c r="AS392" s="181"/>
      <c r="AT392" s="181"/>
      <c r="AU392" s="181"/>
      <c r="AV392" s="181"/>
      <c r="AW392" s="181"/>
    </row>
    <row r="393" spans="1:50" s="30" customFormat="1" hidden="1" x14ac:dyDescent="0.25">
      <c r="A393" s="1407" t="str">
        <f>IF(COUNTIF('04 - 95% CD'!D393:G393,"Y")&gt;0,"Y",IF(COUNTIF('04 - 95% CD'!D393:G393,"N"),"N",""))</f>
        <v>N</v>
      </c>
      <c r="B393" s="191"/>
      <c r="C393" s="944"/>
      <c r="D393" s="321"/>
      <c r="E393" s="559" t="str">
        <f>IF('C-Design&amp;Const'!$U392="","",'C-Design&amp;Const'!$U392)</f>
        <v>N</v>
      </c>
      <c r="F393" s="560"/>
      <c r="G393" s="558"/>
      <c r="H393" s="410" t="str">
        <f>'04 - 95% CD'!H393</f>
        <v>PLACEHOLDER ROW - OPTIONAL CLIENT CUSTOM ITEM</v>
      </c>
      <c r="I393" s="186"/>
      <c r="J393" s="578" t="str">
        <f>IF('C-Design&amp;Const'!AK392="","",'C-Design&amp;Const'!AK392)</f>
        <v/>
      </c>
      <c r="K393" s="285" t="str">
        <f t="shared" si="44"/>
        <v>match</v>
      </c>
      <c r="L393" s="1410" t="str">
        <f t="shared" si="37"/>
        <v>&lt;---PM/Planner may hide PLACEHOLDER ROW</v>
      </c>
      <c r="M393" s="1382"/>
      <c r="N393" s="1382"/>
      <c r="O393" s="1382"/>
      <c r="P393" s="1382"/>
      <c r="Q393" s="1382"/>
      <c r="R393" s="1490"/>
      <c r="S393" s="1274"/>
      <c r="T393" s="1274"/>
      <c r="U393" s="1382"/>
      <c r="V393" s="1382"/>
      <c r="W393" s="1382"/>
      <c r="X393" s="1382"/>
      <c r="Y393" s="1382"/>
      <c r="Z393" s="1382"/>
      <c r="AA393" s="1382"/>
      <c r="AB393" s="1382"/>
      <c r="AC393" s="1382"/>
      <c r="AD393" s="1382"/>
      <c r="AE393" s="1382"/>
      <c r="AF393" s="1382"/>
      <c r="AG393" s="1382"/>
      <c r="AH393" s="1382"/>
      <c r="AI393" s="1382"/>
      <c r="AJ393" s="1382"/>
      <c r="AK393" s="181"/>
      <c r="AL393" s="181"/>
      <c r="AM393" s="181"/>
      <c r="AN393" s="181"/>
      <c r="AO393" s="181"/>
      <c r="AP393" s="181"/>
      <c r="AQ393" s="181"/>
      <c r="AR393" s="181"/>
      <c r="AS393" s="181"/>
      <c r="AT393" s="181"/>
      <c r="AU393" s="181"/>
      <c r="AV393" s="181"/>
      <c r="AW393" s="181"/>
    </row>
    <row r="394" spans="1:50" s="30" customFormat="1" hidden="1" x14ac:dyDescent="0.25">
      <c r="A394" s="1407" t="str">
        <f>IF(COUNTIF('04 - 95% CD'!D394:G394,"Y")&gt;0,"Y",IF(COUNTIF('04 - 95% CD'!D394:G394,"N"),"N",""))</f>
        <v>N</v>
      </c>
      <c r="B394" s="191"/>
      <c r="C394" s="944"/>
      <c r="D394" s="321"/>
      <c r="E394" s="559" t="str">
        <f>IF('C-Design&amp;Const'!$U393="","",'C-Design&amp;Const'!$U393)</f>
        <v>N</v>
      </c>
      <c r="F394" s="560"/>
      <c r="G394" s="558"/>
      <c r="H394" s="410" t="str">
        <f>'04 - 95% CD'!H394</f>
        <v>PLACEHOLDER ROW - OPTIONAL CLIENT CUSTOM ITEM</v>
      </c>
      <c r="I394" s="186"/>
      <c r="J394" s="578" t="str">
        <f>IF('C-Design&amp;Const'!AK393="","",'C-Design&amp;Const'!AK393)</f>
        <v/>
      </c>
      <c r="K394" s="285" t="str">
        <f t="shared" si="44"/>
        <v>match</v>
      </c>
      <c r="L394" s="1410" t="str">
        <f t="shared" si="37"/>
        <v>&lt;---PM/Planner may hide PLACEHOLDER ROW</v>
      </c>
      <c r="M394" s="1382"/>
      <c r="N394" s="1382"/>
      <c r="O394" s="1382"/>
      <c r="P394" s="1382"/>
      <c r="Q394" s="1382"/>
      <c r="R394" s="1490"/>
      <c r="S394" s="1274"/>
      <c r="T394" s="1274"/>
      <c r="U394" s="1382"/>
      <c r="V394" s="1382"/>
      <c r="W394" s="1382"/>
      <c r="X394" s="1382"/>
      <c r="Y394" s="1382"/>
      <c r="Z394" s="1382"/>
      <c r="AA394" s="1382"/>
      <c r="AB394" s="1382"/>
      <c r="AC394" s="1382"/>
      <c r="AD394" s="1382"/>
      <c r="AE394" s="1382"/>
      <c r="AF394" s="1382"/>
      <c r="AG394" s="1382"/>
      <c r="AH394" s="1382"/>
      <c r="AI394" s="1382"/>
      <c r="AJ394" s="1382"/>
      <c r="AK394" s="181"/>
      <c r="AL394" s="181"/>
      <c r="AM394" s="181"/>
      <c r="AN394" s="181"/>
      <c r="AO394" s="181"/>
      <c r="AP394" s="181"/>
      <c r="AQ394" s="181"/>
      <c r="AR394" s="181"/>
      <c r="AS394" s="181"/>
      <c r="AT394" s="181"/>
      <c r="AU394" s="181"/>
      <c r="AV394" s="181"/>
      <c r="AW394" s="181"/>
    </row>
    <row r="395" spans="1:50" s="30" customFormat="1" hidden="1" x14ac:dyDescent="0.25">
      <c r="A395" s="1407" t="str">
        <f>IF(COUNTIF('04 - 95% CD'!D395:G395,"Y")&gt;0,"Y",IF(COUNTIF('04 - 95% CD'!D395:G395,"N"),"N",""))</f>
        <v>N</v>
      </c>
      <c r="B395" s="191"/>
      <c r="C395" s="944"/>
      <c r="D395" s="321"/>
      <c r="E395" s="559" t="str">
        <f>IF('C-Design&amp;Const'!$U394="","",'C-Design&amp;Const'!$U394)</f>
        <v>N</v>
      </c>
      <c r="F395" s="560"/>
      <c r="G395" s="558"/>
      <c r="H395" s="410" t="str">
        <f>'04 - 95% CD'!H395</f>
        <v>PLACEHOLDER ROW - OPTIONAL CLIENT CUSTOM ITEM</v>
      </c>
      <c r="I395" s="186"/>
      <c r="J395" s="578" t="str">
        <f>IF('C-Design&amp;Const'!AK394="","",'C-Design&amp;Const'!AK394)</f>
        <v/>
      </c>
      <c r="K395" s="285" t="str">
        <f t="shared" si="44"/>
        <v>match</v>
      </c>
      <c r="L395" s="1410" t="str">
        <f t="shared" si="37"/>
        <v>&lt;---PM/Planner may hide PLACEHOLDER ROW</v>
      </c>
      <c r="M395" s="1382"/>
      <c r="N395" s="1382"/>
      <c r="O395" s="1382"/>
      <c r="P395" s="1382"/>
      <c r="Q395" s="1382"/>
      <c r="R395" s="1490"/>
      <c r="S395" s="1274"/>
      <c r="T395" s="1274"/>
      <c r="U395" s="1382"/>
      <c r="V395" s="1382"/>
      <c r="W395" s="1382"/>
      <c r="X395" s="1382"/>
      <c r="Y395" s="1382"/>
      <c r="Z395" s="1382"/>
      <c r="AA395" s="1382"/>
      <c r="AB395" s="1382"/>
      <c r="AC395" s="1382"/>
      <c r="AD395" s="1382"/>
      <c r="AE395" s="1382"/>
      <c r="AF395" s="1382"/>
      <c r="AG395" s="1382"/>
      <c r="AH395" s="1382"/>
      <c r="AI395" s="1382"/>
      <c r="AJ395" s="1382"/>
      <c r="AK395" s="181"/>
      <c r="AL395" s="181"/>
      <c r="AM395" s="181"/>
      <c r="AN395" s="181"/>
      <c r="AO395" s="181"/>
      <c r="AP395" s="181"/>
      <c r="AQ395" s="181"/>
      <c r="AR395" s="181"/>
      <c r="AS395" s="181"/>
      <c r="AT395" s="181"/>
      <c r="AU395" s="181"/>
      <c r="AV395" s="181"/>
      <c r="AW395" s="181"/>
    </row>
    <row r="396" spans="1:50" s="30" customFormat="1" hidden="1" x14ac:dyDescent="0.25">
      <c r="A396" s="1407" t="str">
        <f>IF(COUNTIF('04 - 95% CD'!D396:G396,"Y")&gt;0,"Y",IF(COUNTIF('04 - 95% CD'!D396:G396,"N"),"N",""))</f>
        <v>N</v>
      </c>
      <c r="B396" s="191"/>
      <c r="C396" s="944"/>
      <c r="D396" s="321"/>
      <c r="E396" s="559" t="str">
        <f>IF('C-Design&amp;Const'!$U396="","",'C-Design&amp;Const'!$U396)</f>
        <v>N</v>
      </c>
      <c r="F396" s="560"/>
      <c r="G396" s="558"/>
      <c r="H396" s="410" t="str">
        <f>'04 - 95% CD'!H396</f>
        <v>PLACEHOLDER ROW - OPTIONAL CLIENT CUSTOM ITEM</v>
      </c>
      <c r="I396" s="186"/>
      <c r="J396" s="578" t="str">
        <f>IF('C-Design&amp;Const'!AK396="","",'C-Design&amp;Const'!AK396)</f>
        <v/>
      </c>
      <c r="K396" s="285" t="str">
        <f t="shared" si="44"/>
        <v>match</v>
      </c>
      <c r="L396" s="1410" t="str">
        <f t="shared" si="37"/>
        <v>&lt;---PM/Planner may hide PLACEHOLDER ROW</v>
      </c>
      <c r="M396" s="1382"/>
      <c r="N396" s="1382"/>
      <c r="O396" s="1382"/>
      <c r="P396" s="1382"/>
      <c r="Q396" s="1382"/>
      <c r="R396" s="1490"/>
      <c r="S396" s="1274"/>
      <c r="T396" s="1274"/>
      <c r="U396" s="1382"/>
      <c r="V396" s="1382"/>
      <c r="W396" s="1382"/>
      <c r="X396" s="1382"/>
      <c r="Y396" s="1382"/>
      <c r="Z396" s="1382"/>
      <c r="AA396" s="1382"/>
      <c r="AB396" s="1382"/>
      <c r="AC396" s="1382"/>
      <c r="AD396" s="1382"/>
      <c r="AE396" s="1382"/>
      <c r="AF396" s="1382"/>
      <c r="AG396" s="1382"/>
      <c r="AH396" s="1382"/>
      <c r="AI396" s="1382"/>
      <c r="AJ396" s="1382"/>
      <c r="AK396" s="181"/>
      <c r="AL396" s="181"/>
      <c r="AM396" s="181"/>
      <c r="AN396" s="181"/>
      <c r="AO396" s="181"/>
      <c r="AP396" s="181"/>
      <c r="AQ396" s="181"/>
      <c r="AR396" s="181"/>
      <c r="AS396" s="181"/>
      <c r="AT396" s="181"/>
      <c r="AU396" s="181"/>
      <c r="AV396" s="181"/>
      <c r="AW396" s="181"/>
    </row>
    <row r="397" spans="1:50" s="30" customFormat="1" hidden="1" x14ac:dyDescent="0.25">
      <c r="A397" s="1407" t="str">
        <f>IF(COUNTIF('04 - 95% CD'!D397:G397,"Y")&gt;0,"Y",IF(COUNTIF('04 - 95% CD'!D397:G397,"N"),"N",""))</f>
        <v>N</v>
      </c>
      <c r="B397" s="191"/>
      <c r="C397" s="944"/>
      <c r="D397" s="321"/>
      <c r="E397" s="559" t="str">
        <f>IF('C-Design&amp;Const'!$U397="","",'C-Design&amp;Const'!$U397)</f>
        <v>N</v>
      </c>
      <c r="F397" s="560"/>
      <c r="G397" s="558"/>
      <c r="H397" s="410" t="str">
        <f>'04 - 95% CD'!H397</f>
        <v>PLACEHOLDER ROW - OPTIONAL CLIENT CUSTOM ITEM</v>
      </c>
      <c r="I397" s="186"/>
      <c r="J397" s="578" t="str">
        <f>IF('C-Design&amp;Const'!AK397="","",'C-Design&amp;Const'!AK397)</f>
        <v/>
      </c>
      <c r="K397" s="285" t="str">
        <f t="shared" si="44"/>
        <v>match</v>
      </c>
      <c r="L397" s="1410" t="str">
        <f t="shared" si="37"/>
        <v>&lt;---PM/Planner may hide PLACEHOLDER ROW</v>
      </c>
      <c r="M397" s="1382"/>
      <c r="N397" s="1382"/>
      <c r="O397" s="1382"/>
      <c r="P397" s="1382"/>
      <c r="Q397" s="1382"/>
      <c r="R397" s="1490"/>
      <c r="S397" s="1274"/>
      <c r="T397" s="1274"/>
      <c r="U397" s="1382"/>
      <c r="V397" s="1382"/>
      <c r="W397" s="1382"/>
      <c r="X397" s="1382"/>
      <c r="Y397" s="1382"/>
      <c r="Z397" s="1382"/>
      <c r="AA397" s="1382"/>
      <c r="AB397" s="1382"/>
      <c r="AC397" s="1382"/>
      <c r="AD397" s="1382"/>
      <c r="AE397" s="1382"/>
      <c r="AF397" s="1382"/>
      <c r="AG397" s="1382"/>
      <c r="AH397" s="1382"/>
      <c r="AI397" s="1382"/>
      <c r="AJ397" s="1382"/>
      <c r="AK397" s="181"/>
      <c r="AL397" s="181"/>
      <c r="AM397" s="181"/>
      <c r="AN397" s="181"/>
      <c r="AO397" s="181"/>
      <c r="AP397" s="181"/>
      <c r="AQ397" s="181"/>
      <c r="AR397" s="181"/>
      <c r="AS397" s="181"/>
      <c r="AT397" s="181"/>
      <c r="AU397" s="181"/>
      <c r="AV397" s="181"/>
      <c r="AW397" s="181"/>
    </row>
    <row r="398" spans="1:50" s="30" customFormat="1" hidden="1" x14ac:dyDescent="0.25">
      <c r="A398" s="1407" t="str">
        <f>IF(COUNTIF('04 - 95% CD'!D398:G398,"Y")&gt;0,"Y",IF(COUNTIF('04 - 95% CD'!D398:G398,"N"),"N",""))</f>
        <v>N</v>
      </c>
      <c r="B398" s="191"/>
      <c r="C398" s="944"/>
      <c r="D398" s="321"/>
      <c r="E398" s="559" t="str">
        <f>IF('C-Design&amp;Const'!$U398="","",'C-Design&amp;Const'!$U398)</f>
        <v>N</v>
      </c>
      <c r="F398" s="560"/>
      <c r="G398" s="558"/>
      <c r="H398" s="410" t="str">
        <f>'04 - 95% CD'!H398</f>
        <v>PLACEHOLDER ROW - OPTIONAL CLIENT CUSTOM ITEM</v>
      </c>
      <c r="I398" s="186"/>
      <c r="J398" s="578" t="str">
        <f>IF('C-Design&amp;Const'!AK398="","",'C-Design&amp;Const'!AK398)</f>
        <v/>
      </c>
      <c r="K398" s="285" t="str">
        <f t="shared" si="44"/>
        <v>match</v>
      </c>
      <c r="L398" s="1410" t="str">
        <f t="shared" si="37"/>
        <v>&lt;---PM/Planner may hide PLACEHOLDER ROW</v>
      </c>
      <c r="M398" s="1382"/>
      <c r="N398" s="1382"/>
      <c r="O398" s="1382"/>
      <c r="P398" s="1382"/>
      <c r="Q398" s="1382"/>
      <c r="R398" s="1490"/>
      <c r="S398" s="1274"/>
      <c r="T398" s="1274"/>
      <c r="U398" s="1382"/>
      <c r="V398" s="1382"/>
      <c r="W398" s="1382"/>
      <c r="X398" s="1382"/>
      <c r="Y398" s="1382"/>
      <c r="Z398" s="1382"/>
      <c r="AA398" s="1382"/>
      <c r="AB398" s="1382"/>
      <c r="AC398" s="1382"/>
      <c r="AD398" s="1382"/>
      <c r="AE398" s="1382"/>
      <c r="AF398" s="1382"/>
      <c r="AG398" s="1382"/>
      <c r="AH398" s="1382"/>
      <c r="AI398" s="1382"/>
      <c r="AJ398" s="1382"/>
      <c r="AK398" s="181"/>
      <c r="AL398" s="181"/>
      <c r="AM398" s="181"/>
      <c r="AN398" s="181"/>
      <c r="AO398" s="181"/>
      <c r="AP398" s="181"/>
      <c r="AQ398" s="181"/>
      <c r="AR398" s="181"/>
      <c r="AS398" s="181"/>
      <c r="AT398" s="181"/>
      <c r="AU398" s="181"/>
      <c r="AV398" s="181"/>
      <c r="AW398" s="181"/>
    </row>
    <row r="399" spans="1:50" s="30" customFormat="1" hidden="1" x14ac:dyDescent="0.25">
      <c r="A399" s="1407" t="str">
        <f>IF(COUNTIF('04 - 95% CD'!D399:G399,"Y")&gt;0,"Y",IF(COUNTIF('04 - 95% CD'!D399:G399,"N"),"N",""))</f>
        <v>N</v>
      </c>
      <c r="B399" s="191"/>
      <c r="C399" s="944"/>
      <c r="D399" s="321"/>
      <c r="E399" s="559" t="str">
        <f>IF('C-Design&amp;Const'!$U399="","",'C-Design&amp;Const'!$U399)</f>
        <v>N</v>
      </c>
      <c r="F399" s="560"/>
      <c r="G399" s="558"/>
      <c r="H399" s="410" t="str">
        <f>'04 - 95% CD'!H399</f>
        <v>PLACEHOLDER ROW - OPTIONAL CLIENT CUSTOM ITEM</v>
      </c>
      <c r="I399" s="186"/>
      <c r="J399" s="578" t="str">
        <f>IF('C-Design&amp;Const'!AK399="","",'C-Design&amp;Const'!AK399)</f>
        <v/>
      </c>
      <c r="K399" s="285" t="str">
        <f t="shared" si="44"/>
        <v>match</v>
      </c>
      <c r="L399" s="1410" t="str">
        <f t="shared" si="37"/>
        <v>&lt;---PM/Planner may hide PLACEHOLDER ROW</v>
      </c>
      <c r="M399" s="1382"/>
      <c r="N399" s="1382"/>
      <c r="O399" s="1382"/>
      <c r="P399" s="1382"/>
      <c r="Q399" s="1382"/>
      <c r="R399" s="1490"/>
      <c r="S399" s="1274"/>
      <c r="T399" s="1274"/>
      <c r="U399" s="1382"/>
      <c r="V399" s="1382"/>
      <c r="W399" s="1382"/>
      <c r="X399" s="1382"/>
      <c r="Y399" s="1382"/>
      <c r="Z399" s="1382"/>
      <c r="AA399" s="1382"/>
      <c r="AB399" s="1382"/>
      <c r="AC399" s="1382"/>
      <c r="AD399" s="1382"/>
      <c r="AE399" s="1382"/>
      <c r="AF399" s="1382"/>
      <c r="AG399" s="1382"/>
      <c r="AH399" s="1382"/>
      <c r="AI399" s="1382"/>
      <c r="AJ399" s="1382"/>
      <c r="AK399" s="181"/>
      <c r="AL399" s="181"/>
      <c r="AM399" s="181"/>
      <c r="AN399" s="181"/>
      <c r="AO399" s="181"/>
      <c r="AP399" s="181"/>
      <c r="AQ399" s="181"/>
      <c r="AR399" s="181"/>
      <c r="AS399" s="181"/>
      <c r="AT399" s="181"/>
      <c r="AU399" s="181"/>
      <c r="AV399" s="181"/>
      <c r="AW399" s="181"/>
    </row>
    <row r="400" spans="1:50" s="30" customFormat="1" hidden="1" x14ac:dyDescent="0.25">
      <c r="A400" s="1407" t="str">
        <f>IF(COUNTIF('04 - 95% CD'!D400:G400,"Y")&gt;0,"Y",IF(COUNTIF('04 - 95% CD'!D400:G400,"N"),"N",""))</f>
        <v>N</v>
      </c>
      <c r="B400" s="191"/>
      <c r="C400" s="944"/>
      <c r="D400" s="321"/>
      <c r="E400" s="559" t="str">
        <f>IF('C-Design&amp;Const'!$U400="","",'C-Design&amp;Const'!$U400)</f>
        <v>N</v>
      </c>
      <c r="F400" s="560"/>
      <c r="G400" s="558"/>
      <c r="H400" s="410" t="str">
        <f>'04 - 95% CD'!H400</f>
        <v>PLACEHOLDER ROW - OPTIONAL CLIENT CUSTOM ITEM</v>
      </c>
      <c r="I400" s="186"/>
      <c r="J400" s="578" t="str">
        <f>IF('C-Design&amp;Const'!AK400="","",'C-Design&amp;Const'!AK400)</f>
        <v/>
      </c>
      <c r="K400" s="285" t="str">
        <f t="shared" si="44"/>
        <v>match</v>
      </c>
      <c r="L400" s="1410" t="str">
        <f t="shared" si="37"/>
        <v>&lt;---PM/Planner may hide PLACEHOLDER ROW</v>
      </c>
      <c r="M400" s="1382"/>
      <c r="N400" s="1382"/>
      <c r="O400" s="1382"/>
      <c r="P400" s="1382"/>
      <c r="Q400" s="1382"/>
      <c r="R400" s="1490"/>
      <c r="S400" s="1274"/>
      <c r="T400" s="1274"/>
      <c r="U400" s="1382"/>
      <c r="V400" s="1382"/>
      <c r="W400" s="1382"/>
      <c r="X400" s="1382"/>
      <c r="Y400" s="1382"/>
      <c r="Z400" s="1382"/>
      <c r="AA400" s="1382"/>
      <c r="AB400" s="1382"/>
      <c r="AC400" s="1382"/>
      <c r="AD400" s="1382"/>
      <c r="AE400" s="1382"/>
      <c r="AF400" s="1382"/>
      <c r="AG400" s="1382"/>
      <c r="AH400" s="1382"/>
      <c r="AI400" s="1382"/>
      <c r="AJ400" s="1382"/>
      <c r="AK400" s="181"/>
      <c r="AL400" s="181"/>
      <c r="AM400" s="181"/>
      <c r="AN400" s="181"/>
      <c r="AO400" s="181"/>
      <c r="AP400" s="181"/>
      <c r="AQ400" s="181"/>
      <c r="AR400" s="181"/>
      <c r="AS400" s="181"/>
      <c r="AT400" s="181"/>
      <c r="AU400" s="181"/>
      <c r="AV400" s="181"/>
      <c r="AW400" s="181"/>
    </row>
    <row r="401" spans="1:49" s="30" customFormat="1" hidden="1" x14ac:dyDescent="0.25">
      <c r="A401" s="1407" t="str">
        <f>IF(COUNTIF('04 - 95% CD'!D401:G401,"Y")&gt;0,"Y",IF(COUNTIF('04 - 95% CD'!D401:G401,"N"),"N",""))</f>
        <v>N</v>
      </c>
      <c r="B401" s="191"/>
      <c r="C401" s="944"/>
      <c r="D401" s="321"/>
      <c r="E401" s="559" t="str">
        <f>IF('C-Design&amp;Const'!$U401="","",'C-Design&amp;Const'!$U401)</f>
        <v>N</v>
      </c>
      <c r="F401" s="560"/>
      <c r="G401" s="558"/>
      <c r="H401" s="410" t="str">
        <f>'04 - 95% CD'!H401</f>
        <v>PLACEHOLDER ROW - OPTIONAL CLIENT CUSTOM ITEM</v>
      </c>
      <c r="I401" s="186"/>
      <c r="J401" s="578" t="str">
        <f>IF('C-Design&amp;Const'!AK401="","",'C-Design&amp;Const'!AK401)</f>
        <v/>
      </c>
      <c r="K401" s="285" t="str">
        <f t="shared" si="44"/>
        <v>match</v>
      </c>
      <c r="L401" s="1410" t="str">
        <f t="shared" ref="L401:L442" si="45">CONCATENATE(IF(ISNUMBER(SEARCH("Placeholder",H401))=TRUE,"&lt;---PM/Planner may hide PLACEHOLDER ROW",""))</f>
        <v>&lt;---PM/Planner may hide PLACEHOLDER ROW</v>
      </c>
      <c r="M401" s="1382"/>
      <c r="N401" s="1382"/>
      <c r="O401" s="1382"/>
      <c r="P401" s="1382"/>
      <c r="Q401" s="1382"/>
      <c r="R401" s="1490"/>
      <c r="S401" s="1274"/>
      <c r="T401" s="1274"/>
      <c r="U401" s="1382"/>
      <c r="V401" s="1382"/>
      <c r="W401" s="1382"/>
      <c r="X401" s="1382"/>
      <c r="Y401" s="1382"/>
      <c r="Z401" s="1382"/>
      <c r="AA401" s="1382"/>
      <c r="AB401" s="1382"/>
      <c r="AC401" s="1382"/>
      <c r="AD401" s="1382"/>
      <c r="AE401" s="1382"/>
      <c r="AF401" s="1382"/>
      <c r="AG401" s="1382"/>
      <c r="AH401" s="1382"/>
      <c r="AI401" s="1382"/>
      <c r="AJ401" s="1382"/>
      <c r="AK401" s="181"/>
      <c r="AL401" s="181"/>
      <c r="AM401" s="181"/>
      <c r="AN401" s="181"/>
      <c r="AO401" s="181"/>
      <c r="AP401" s="181"/>
      <c r="AQ401" s="181"/>
      <c r="AR401" s="181"/>
      <c r="AS401" s="181"/>
      <c r="AT401" s="181"/>
      <c r="AU401" s="181"/>
      <c r="AV401" s="181"/>
      <c r="AW401" s="181"/>
    </row>
    <row r="402" spans="1:49" s="30" customFormat="1" hidden="1" x14ac:dyDescent="0.25">
      <c r="A402" s="1407" t="str">
        <f>IF(COUNTIF('04 - 95% CD'!D402:G402,"Y")&gt;0,"Y",IF(COUNTIF('04 - 95% CD'!D402:G402,"N"),"N",""))</f>
        <v/>
      </c>
      <c r="B402" s="191"/>
      <c r="C402" s="944"/>
      <c r="D402" s="321"/>
      <c r="E402" s="559" t="str">
        <f>IF('C-Design&amp;Const'!$U402="","",'C-Design&amp;Const'!$U402)</f>
        <v/>
      </c>
      <c r="F402" s="560"/>
      <c r="G402" s="558"/>
      <c r="H402" s="410" t="str">
        <f>'04 - 95% CD'!H402</f>
        <v>PLACEHOLDER ROW - OPTIONAL CLIENT CUSTOM ITEM</v>
      </c>
      <c r="I402" s="186"/>
      <c r="J402" s="578" t="str">
        <f>IF('C-Design&amp;Const'!AK402="","",'C-Design&amp;Const'!AK402)</f>
        <v/>
      </c>
      <c r="K402" s="285" t="str">
        <f t="shared" si="44"/>
        <v>match</v>
      </c>
      <c r="L402" s="1410" t="str">
        <f t="shared" si="45"/>
        <v>&lt;---PM/Planner may hide PLACEHOLDER ROW</v>
      </c>
      <c r="M402" s="1382"/>
      <c r="N402" s="1382"/>
      <c r="O402" s="1382"/>
      <c r="P402" s="1382"/>
      <c r="Q402" s="1382"/>
      <c r="R402" s="1490"/>
      <c r="S402" s="1274"/>
      <c r="T402" s="1274"/>
      <c r="U402" s="1382"/>
      <c r="V402" s="1382"/>
      <c r="W402" s="1382"/>
      <c r="X402" s="1382"/>
      <c r="Y402" s="1382"/>
      <c r="Z402" s="1382"/>
      <c r="AA402" s="1382"/>
      <c r="AB402" s="1382"/>
      <c r="AC402" s="1382"/>
      <c r="AD402" s="1382"/>
      <c r="AE402" s="1382"/>
      <c r="AF402" s="1382"/>
      <c r="AG402" s="1382"/>
      <c r="AH402" s="1382"/>
      <c r="AI402" s="1382"/>
      <c r="AJ402" s="1382"/>
      <c r="AK402" s="181"/>
      <c r="AL402" s="181"/>
      <c r="AM402" s="181"/>
      <c r="AN402" s="181"/>
      <c r="AO402" s="181"/>
      <c r="AP402" s="181"/>
      <c r="AQ402" s="181"/>
      <c r="AR402" s="181"/>
      <c r="AS402" s="181"/>
      <c r="AT402" s="181"/>
      <c r="AU402" s="181"/>
      <c r="AV402" s="181"/>
      <c r="AW402" s="181"/>
    </row>
    <row r="403" spans="1:49" s="30" customFormat="1" hidden="1" x14ac:dyDescent="0.25">
      <c r="A403" s="1407" t="str">
        <f>IF(COUNTIF('04 - 95% CD'!D403:G403,"Y")&gt;0,"Y",IF(COUNTIF('04 - 95% CD'!D403:G403,"N"),"N",""))</f>
        <v>N</v>
      </c>
      <c r="B403" s="191"/>
      <c r="C403" s="944"/>
      <c r="D403" s="321"/>
      <c r="E403" s="559" t="str">
        <f>IF('C-Design&amp;Const'!$U403="","",'C-Design&amp;Const'!$U403)</f>
        <v>N</v>
      </c>
      <c r="F403" s="560"/>
      <c r="G403" s="558"/>
      <c r="H403" s="410" t="str">
        <f>'04 - 95% CD'!H403</f>
        <v>PLACEHOLDER ROW - OPTIONAL CLIENT CUSTOM ITEM</v>
      </c>
      <c r="I403" s="186"/>
      <c r="J403" s="578" t="str">
        <f>IF('C-Design&amp;Const'!AK403="","",'C-Design&amp;Const'!AK403)</f>
        <v/>
      </c>
      <c r="K403" s="285" t="str">
        <f t="shared" si="44"/>
        <v>match</v>
      </c>
      <c r="L403" s="1410" t="str">
        <f t="shared" si="45"/>
        <v>&lt;---PM/Planner may hide PLACEHOLDER ROW</v>
      </c>
      <c r="M403" s="1382"/>
      <c r="N403" s="1382"/>
      <c r="O403" s="1382"/>
      <c r="P403" s="1382"/>
      <c r="Q403" s="1382"/>
      <c r="R403" s="1490"/>
      <c r="S403" s="1274"/>
      <c r="T403" s="1274"/>
      <c r="U403" s="1382"/>
      <c r="V403" s="1382"/>
      <c r="W403" s="1382"/>
      <c r="X403" s="1382"/>
      <c r="Y403" s="1382"/>
      <c r="Z403" s="1382"/>
      <c r="AA403" s="1382"/>
      <c r="AB403" s="1382"/>
      <c r="AC403" s="1382"/>
      <c r="AD403" s="1382"/>
      <c r="AE403" s="1382"/>
      <c r="AF403" s="1382"/>
      <c r="AG403" s="1382"/>
      <c r="AH403" s="1382"/>
      <c r="AI403" s="1382"/>
      <c r="AJ403" s="1382"/>
      <c r="AK403" s="181"/>
      <c r="AL403" s="181"/>
      <c r="AM403" s="181"/>
      <c r="AN403" s="181"/>
      <c r="AO403" s="181"/>
      <c r="AP403" s="181"/>
      <c r="AQ403" s="181"/>
      <c r="AR403" s="181"/>
      <c r="AS403" s="181"/>
      <c r="AT403" s="181"/>
      <c r="AU403" s="181"/>
      <c r="AV403" s="181"/>
      <c r="AW403" s="181"/>
    </row>
    <row r="404" spans="1:49" s="30" customFormat="1" hidden="1" x14ac:dyDescent="0.25">
      <c r="A404" s="1407" t="str">
        <f>IF(COUNTIF('04 - 95% CD'!D404:G404,"Y")&gt;0,"Y",IF(COUNTIF('04 - 95% CD'!D404:G404,"N"),"N",""))</f>
        <v>N</v>
      </c>
      <c r="B404" s="191"/>
      <c r="C404" s="944"/>
      <c r="D404" s="321"/>
      <c r="E404" s="559" t="str">
        <f>IF('C-Design&amp;Const'!$U404="","",'C-Design&amp;Const'!$U404)</f>
        <v>N</v>
      </c>
      <c r="F404" s="560"/>
      <c r="G404" s="558"/>
      <c r="H404" s="410" t="str">
        <f>'04 - 95% CD'!H404</f>
        <v>PLACEHOLDER ROW - OPTIONAL CLIENT CUSTOM ITEM</v>
      </c>
      <c r="I404" s="186"/>
      <c r="J404" s="578" t="str">
        <f>IF('C-Design&amp;Const'!AK404="","",'C-Design&amp;Const'!AK404)</f>
        <v/>
      </c>
      <c r="K404" s="285" t="str">
        <f t="shared" si="44"/>
        <v>match</v>
      </c>
      <c r="L404" s="1410" t="str">
        <f t="shared" si="45"/>
        <v>&lt;---PM/Planner may hide PLACEHOLDER ROW</v>
      </c>
      <c r="M404" s="1382"/>
      <c r="N404" s="1382"/>
      <c r="O404" s="1382"/>
      <c r="P404" s="1382"/>
      <c r="Q404" s="1382"/>
      <c r="R404" s="1490"/>
      <c r="S404" s="1274"/>
      <c r="T404" s="1274"/>
      <c r="U404" s="1382"/>
      <c r="V404" s="1382"/>
      <c r="W404" s="1382"/>
      <c r="X404" s="1382"/>
      <c r="Y404" s="1382"/>
      <c r="Z404" s="1382"/>
      <c r="AA404" s="1382"/>
      <c r="AB404" s="1382"/>
      <c r="AC404" s="1382"/>
      <c r="AD404" s="1382"/>
      <c r="AE404" s="1382"/>
      <c r="AF404" s="1382"/>
      <c r="AG404" s="1382"/>
      <c r="AH404" s="1382"/>
      <c r="AI404" s="1382"/>
      <c r="AJ404" s="1382"/>
      <c r="AK404" s="181"/>
      <c r="AL404" s="181"/>
      <c r="AM404" s="181"/>
      <c r="AN404" s="181"/>
      <c r="AO404" s="181"/>
      <c r="AP404" s="181"/>
      <c r="AQ404" s="181"/>
      <c r="AR404" s="181"/>
      <c r="AS404" s="181"/>
      <c r="AT404" s="181"/>
      <c r="AU404" s="181"/>
      <c r="AV404" s="181"/>
      <c r="AW404" s="181"/>
    </row>
    <row r="405" spans="1:49" s="30" customFormat="1" hidden="1" x14ac:dyDescent="0.25">
      <c r="A405" s="1407" t="str">
        <f>IF(COUNTIF('04 - 95% CD'!D405:G405,"Y")&gt;0,"Y",IF(COUNTIF('04 - 95% CD'!D405:G405,"N"),"N",""))</f>
        <v>N</v>
      </c>
      <c r="B405" s="191"/>
      <c r="C405" s="944"/>
      <c r="D405" s="321"/>
      <c r="E405" s="559" t="str">
        <f>IF('C-Design&amp;Const'!$U405="","",'C-Design&amp;Const'!$U405)</f>
        <v>N</v>
      </c>
      <c r="F405" s="560"/>
      <c r="G405" s="558"/>
      <c r="H405" s="410" t="str">
        <f>'04 - 95% CD'!H405</f>
        <v>PLACEHOLDER ROW - OPTIONAL CLIENT CUSTOM ITEM</v>
      </c>
      <c r="I405" s="186"/>
      <c r="J405" s="578" t="str">
        <f>IF('C-Design&amp;Const'!AK405="","",'C-Design&amp;Const'!AK405)</f>
        <v/>
      </c>
      <c r="K405" s="285" t="str">
        <f t="shared" si="44"/>
        <v>match</v>
      </c>
      <c r="L405" s="1410" t="str">
        <f t="shared" si="45"/>
        <v>&lt;---PM/Planner may hide PLACEHOLDER ROW</v>
      </c>
      <c r="M405" s="1382"/>
      <c r="N405" s="1382"/>
      <c r="O405" s="1382"/>
      <c r="P405" s="1382"/>
      <c r="Q405" s="1382"/>
      <c r="R405" s="1490"/>
      <c r="S405" s="1274"/>
      <c r="T405" s="1274"/>
      <c r="U405" s="1382"/>
      <c r="V405" s="1382"/>
      <c r="W405" s="1382"/>
      <c r="X405" s="1382"/>
      <c r="Y405" s="1382"/>
      <c r="Z405" s="1382"/>
      <c r="AA405" s="1382"/>
      <c r="AB405" s="1382"/>
      <c r="AC405" s="1382"/>
      <c r="AD405" s="1382"/>
      <c r="AE405" s="1382"/>
      <c r="AF405" s="1382"/>
      <c r="AG405" s="1382"/>
      <c r="AH405" s="1382"/>
      <c r="AI405" s="1382"/>
      <c r="AJ405" s="1382"/>
      <c r="AK405" s="181"/>
      <c r="AL405" s="181"/>
      <c r="AM405" s="181"/>
      <c r="AN405" s="181"/>
      <c r="AO405" s="181"/>
      <c r="AP405" s="181"/>
      <c r="AQ405" s="181"/>
      <c r="AR405" s="181"/>
      <c r="AS405" s="181"/>
      <c r="AT405" s="181"/>
      <c r="AU405" s="181"/>
      <c r="AV405" s="181"/>
      <c r="AW405" s="181"/>
    </row>
    <row r="406" spans="1:49" s="30" customFormat="1" hidden="1" x14ac:dyDescent="0.25">
      <c r="A406" s="1407" t="str">
        <f>IF(COUNTIF('04 - 95% CD'!D406:G406,"Y")&gt;0,"Y",IF(COUNTIF('04 - 95% CD'!D406:G406,"N"),"N",""))</f>
        <v>N</v>
      </c>
      <c r="B406" s="191"/>
      <c r="C406" s="944"/>
      <c r="D406" s="321"/>
      <c r="E406" s="559" t="str">
        <f>IF('C-Design&amp;Const'!$U406="","",'C-Design&amp;Const'!$U406)</f>
        <v>N</v>
      </c>
      <c r="F406" s="560"/>
      <c r="G406" s="558"/>
      <c r="H406" s="410" t="str">
        <f>'04 - 95% CD'!H406</f>
        <v>PLACEHOLDER ROW - OPTIONAL CLIENT CUSTOM ITEM</v>
      </c>
      <c r="I406" s="186"/>
      <c r="J406" s="578" t="str">
        <f>IF('C-Design&amp;Const'!AK406="","",'C-Design&amp;Const'!AK406)</f>
        <v/>
      </c>
      <c r="K406" s="285" t="str">
        <f t="shared" si="44"/>
        <v>match</v>
      </c>
      <c r="L406" s="1410" t="str">
        <f t="shared" si="45"/>
        <v>&lt;---PM/Planner may hide PLACEHOLDER ROW</v>
      </c>
      <c r="M406" s="1382"/>
      <c r="N406" s="1382"/>
      <c r="O406" s="1382"/>
      <c r="P406" s="1382"/>
      <c r="Q406" s="1382"/>
      <c r="R406" s="1490"/>
      <c r="S406" s="1274"/>
      <c r="T406" s="1274"/>
      <c r="U406" s="1382"/>
      <c r="V406" s="1382"/>
      <c r="W406" s="1382"/>
      <c r="X406" s="1382"/>
      <c r="Y406" s="1382"/>
      <c r="Z406" s="1382"/>
      <c r="AA406" s="1382"/>
      <c r="AB406" s="1382"/>
      <c r="AC406" s="1382"/>
      <c r="AD406" s="1382"/>
      <c r="AE406" s="1382"/>
      <c r="AF406" s="1382"/>
      <c r="AG406" s="1382"/>
      <c r="AH406" s="1382"/>
      <c r="AI406" s="1382"/>
      <c r="AJ406" s="1382"/>
      <c r="AK406" s="181"/>
      <c r="AL406" s="181"/>
      <c r="AM406" s="181"/>
      <c r="AN406" s="181"/>
      <c r="AO406" s="181"/>
      <c r="AP406" s="181"/>
      <c r="AQ406" s="181"/>
      <c r="AR406" s="181"/>
      <c r="AS406" s="181"/>
      <c r="AT406" s="181"/>
      <c r="AU406" s="181"/>
      <c r="AV406" s="181"/>
      <c r="AW406" s="181"/>
    </row>
    <row r="407" spans="1:49" s="30" customFormat="1" hidden="1" x14ac:dyDescent="0.25">
      <c r="A407" s="1407" t="str">
        <f>IF(COUNTIF('04 - 95% CD'!D407:G407,"Y")&gt;0,"Y",IF(COUNTIF('04 - 95% CD'!D407:G407,"N"),"N",""))</f>
        <v>N</v>
      </c>
      <c r="B407" s="191"/>
      <c r="C407" s="944"/>
      <c r="D407" s="321"/>
      <c r="E407" s="559" t="str">
        <f>IF('C-Design&amp;Const'!$U407="","",'C-Design&amp;Const'!$U407)</f>
        <v>N</v>
      </c>
      <c r="F407" s="560"/>
      <c r="G407" s="558"/>
      <c r="H407" s="410" t="str">
        <f>'04 - 95% CD'!H407</f>
        <v>PLACEHOLDER ROW - OPTIONAL CLIENT CUSTOM ITEM</v>
      </c>
      <c r="I407" s="186"/>
      <c r="J407" s="578" t="str">
        <f>IF('C-Design&amp;Const'!AK407="","",'C-Design&amp;Const'!AK407)</f>
        <v/>
      </c>
      <c r="K407" s="285" t="str">
        <f t="shared" si="44"/>
        <v>match</v>
      </c>
      <c r="L407" s="1410" t="str">
        <f t="shared" si="45"/>
        <v>&lt;---PM/Planner may hide PLACEHOLDER ROW</v>
      </c>
      <c r="M407" s="1382"/>
      <c r="N407" s="1382"/>
      <c r="O407" s="1382"/>
      <c r="P407" s="1382"/>
      <c r="Q407" s="1382"/>
      <c r="R407" s="1490"/>
      <c r="S407" s="1274"/>
      <c r="T407" s="1274"/>
      <c r="U407" s="1382"/>
      <c r="V407" s="1382"/>
      <c r="W407" s="1382"/>
      <c r="X407" s="1382"/>
      <c r="Y407" s="1382"/>
      <c r="Z407" s="1382"/>
      <c r="AA407" s="1382"/>
      <c r="AB407" s="1382"/>
      <c r="AC407" s="1382"/>
      <c r="AD407" s="1382"/>
      <c r="AE407" s="1382"/>
      <c r="AF407" s="1382"/>
      <c r="AG407" s="1382"/>
      <c r="AH407" s="1382"/>
      <c r="AI407" s="1382"/>
      <c r="AJ407" s="1382"/>
      <c r="AK407" s="181"/>
      <c r="AL407" s="181"/>
      <c r="AM407" s="181"/>
      <c r="AN407" s="181"/>
      <c r="AO407" s="181"/>
      <c r="AP407" s="181"/>
      <c r="AQ407" s="181"/>
      <c r="AR407" s="181"/>
      <c r="AS407" s="181"/>
      <c r="AT407" s="181"/>
      <c r="AU407" s="181"/>
      <c r="AV407" s="181"/>
      <c r="AW407" s="181"/>
    </row>
    <row r="408" spans="1:49" s="30" customFormat="1" hidden="1" x14ac:dyDescent="0.25">
      <c r="A408" s="1407" t="str">
        <f>IF(COUNTIF('04 - 95% CD'!D408:G408,"Y")&gt;0,"Y",IF(COUNTIF('04 - 95% CD'!D408:G408,"N"),"N",""))</f>
        <v>N</v>
      </c>
      <c r="B408" s="191"/>
      <c r="C408" s="944"/>
      <c r="D408" s="321"/>
      <c r="E408" s="559" t="str">
        <f>IF('C-Design&amp;Const'!$U408="","",'C-Design&amp;Const'!$U408)</f>
        <v>N</v>
      </c>
      <c r="F408" s="560"/>
      <c r="G408" s="558"/>
      <c r="H408" s="410" t="str">
        <f>'04 - 95% CD'!H408</f>
        <v>PLACEHOLDER ROW - OPTIONAL CLIENT CUSTOM ITEM</v>
      </c>
      <c r="I408" s="186"/>
      <c r="J408" s="578" t="str">
        <f>IF('C-Design&amp;Const'!AK408="","",'C-Design&amp;Const'!AK408)</f>
        <v/>
      </c>
      <c r="K408" s="285" t="str">
        <f t="shared" si="44"/>
        <v>match</v>
      </c>
      <c r="L408" s="1410" t="str">
        <f t="shared" si="45"/>
        <v>&lt;---PM/Planner may hide PLACEHOLDER ROW</v>
      </c>
      <c r="M408" s="1382"/>
      <c r="N408" s="1382"/>
      <c r="O408" s="1382"/>
      <c r="P408" s="1382"/>
      <c r="Q408" s="1382"/>
      <c r="R408" s="1490"/>
      <c r="S408" s="1274"/>
      <c r="T408" s="1274"/>
      <c r="U408" s="1382"/>
      <c r="V408" s="1382"/>
      <c r="W408" s="1382"/>
      <c r="X408" s="1382"/>
      <c r="Y408" s="1382"/>
      <c r="Z408" s="1382"/>
      <c r="AA408" s="1382"/>
      <c r="AB408" s="1382"/>
      <c r="AC408" s="1382"/>
      <c r="AD408" s="1382"/>
      <c r="AE408" s="1382"/>
      <c r="AF408" s="1382"/>
      <c r="AG408" s="1382"/>
      <c r="AH408" s="1382"/>
      <c r="AI408" s="1382"/>
      <c r="AJ408" s="1382"/>
      <c r="AK408" s="181"/>
      <c r="AL408" s="181"/>
      <c r="AM408" s="181"/>
      <c r="AN408" s="181"/>
      <c r="AO408" s="181"/>
      <c r="AP408" s="181"/>
      <c r="AQ408" s="181"/>
      <c r="AR408" s="181"/>
      <c r="AS408" s="181"/>
      <c r="AT408" s="181"/>
      <c r="AU408" s="181"/>
      <c r="AV408" s="181"/>
      <c r="AW408" s="181"/>
    </row>
    <row r="409" spans="1:49" s="30" customFormat="1" hidden="1" x14ac:dyDescent="0.25">
      <c r="A409" s="1407" t="str">
        <f>IF(COUNTIF('04 - 95% CD'!D409:G409,"Y")&gt;0,"Y",IF(COUNTIF('04 - 95% CD'!D409:G409,"N"),"N",""))</f>
        <v>N</v>
      </c>
      <c r="B409" s="191"/>
      <c r="C409" s="944"/>
      <c r="D409" s="321"/>
      <c r="E409" s="559" t="str">
        <f>IF('C-Design&amp;Const'!$U409="","",'C-Design&amp;Const'!$U409)</f>
        <v>N</v>
      </c>
      <c r="F409" s="560"/>
      <c r="G409" s="558"/>
      <c r="H409" s="410" t="str">
        <f>'04 - 95% CD'!H409</f>
        <v>PLACEHOLDER ROW - OPTIONAL CLIENT CUSTOM ITEM</v>
      </c>
      <c r="I409" s="186"/>
      <c r="J409" s="578" t="str">
        <f>IF('C-Design&amp;Const'!AK409="","",'C-Design&amp;Const'!AK409)</f>
        <v/>
      </c>
      <c r="K409" s="285" t="str">
        <f t="shared" si="44"/>
        <v>match</v>
      </c>
      <c r="L409" s="1410" t="str">
        <f t="shared" si="45"/>
        <v>&lt;---PM/Planner may hide PLACEHOLDER ROW</v>
      </c>
      <c r="M409" s="1382"/>
      <c r="N409" s="1382"/>
      <c r="O409" s="1382"/>
      <c r="P409" s="1382"/>
      <c r="Q409" s="1382"/>
      <c r="R409" s="1490"/>
      <c r="S409" s="1274"/>
      <c r="T409" s="1274"/>
      <c r="U409" s="1382"/>
      <c r="V409" s="1382"/>
      <c r="W409" s="1382"/>
      <c r="X409" s="1382"/>
      <c r="Y409" s="1382"/>
      <c r="Z409" s="1382"/>
      <c r="AA409" s="1382"/>
      <c r="AB409" s="1382"/>
      <c r="AC409" s="1382"/>
      <c r="AD409" s="1382"/>
      <c r="AE409" s="1382"/>
      <c r="AF409" s="1382"/>
      <c r="AG409" s="1382"/>
      <c r="AH409" s="1382"/>
      <c r="AI409" s="1382"/>
      <c r="AJ409" s="1382"/>
      <c r="AK409" s="181"/>
      <c r="AL409" s="181"/>
      <c r="AM409" s="181"/>
      <c r="AN409" s="181"/>
      <c r="AO409" s="181"/>
      <c r="AP409" s="181"/>
      <c r="AQ409" s="181"/>
      <c r="AR409" s="181"/>
      <c r="AS409" s="181"/>
      <c r="AT409" s="181"/>
      <c r="AU409" s="181"/>
      <c r="AV409" s="181"/>
      <c r="AW409" s="181"/>
    </row>
    <row r="410" spans="1:49" s="30" customFormat="1" hidden="1" x14ac:dyDescent="0.25">
      <c r="A410" s="1407" t="str">
        <f>IF(COUNTIF('04 - 95% CD'!D410:G410,"Y")&gt;0,"Y",IF(COUNTIF('04 - 95% CD'!D410:G410,"N"),"N",""))</f>
        <v>N</v>
      </c>
      <c r="B410" s="191"/>
      <c r="C410" s="944"/>
      <c r="D410" s="321"/>
      <c r="E410" s="559" t="str">
        <f>IF('C-Design&amp;Const'!$U413="","",'C-Design&amp;Const'!$U413)</f>
        <v>N</v>
      </c>
      <c r="F410" s="560"/>
      <c r="G410" s="558"/>
      <c r="H410" s="410" t="str">
        <f>'04 - 95% CD'!H410</f>
        <v>PLACEHOLDER ROW - OPTIONAL CLIENT CUSTOM ITEM</v>
      </c>
      <c r="I410" s="186"/>
      <c r="J410" s="578" t="str">
        <f>IF('C-Design&amp;Const'!AK413="","",'C-Design&amp;Const'!AK413)</f>
        <v/>
      </c>
      <c r="K410" s="285" t="str">
        <f t="shared" si="44"/>
        <v>match</v>
      </c>
      <c r="L410" s="1410" t="str">
        <f t="shared" si="45"/>
        <v>&lt;---PM/Planner may hide PLACEHOLDER ROW</v>
      </c>
      <c r="M410" s="1382"/>
      <c r="N410" s="1382"/>
      <c r="O410" s="1382"/>
      <c r="P410" s="1382"/>
      <c r="Q410" s="1382"/>
      <c r="R410" s="1490"/>
      <c r="S410" s="1274"/>
      <c r="T410" s="1274"/>
      <c r="U410" s="1382"/>
      <c r="V410" s="1382"/>
      <c r="W410" s="1382"/>
      <c r="X410" s="1382"/>
      <c r="Y410" s="1382"/>
      <c r="Z410" s="1382"/>
      <c r="AA410" s="1382"/>
      <c r="AB410" s="1382"/>
      <c r="AC410" s="1382"/>
      <c r="AD410" s="1382"/>
      <c r="AE410" s="1382"/>
      <c r="AF410" s="1382"/>
      <c r="AG410" s="1382"/>
      <c r="AH410" s="1382"/>
      <c r="AI410" s="1382"/>
      <c r="AJ410" s="1382"/>
      <c r="AK410" s="181"/>
      <c r="AL410" s="181"/>
      <c r="AM410" s="181"/>
      <c r="AN410" s="181"/>
      <c r="AO410" s="181"/>
      <c r="AP410" s="181"/>
      <c r="AQ410" s="181"/>
      <c r="AR410" s="181"/>
      <c r="AS410" s="181"/>
      <c r="AT410" s="181"/>
      <c r="AU410" s="181"/>
      <c r="AV410" s="181"/>
      <c r="AW410" s="181"/>
    </row>
    <row r="411" spans="1:49" s="30" customFormat="1" hidden="1" x14ac:dyDescent="0.25">
      <c r="A411" s="1407" t="str">
        <f>IF(COUNTIF('04 - 95% CD'!D411:G411,"Y")&gt;0,"Y",IF(COUNTIF('04 - 95% CD'!D411:G411,"N"),"N",""))</f>
        <v>N</v>
      </c>
      <c r="B411" s="191"/>
      <c r="C411" s="944"/>
      <c r="D411" s="321"/>
      <c r="E411" s="559" t="str">
        <f>IF('C-Design&amp;Const'!$U410="","",'C-Design&amp;Const'!$U410)</f>
        <v>N</v>
      </c>
      <c r="F411" s="560"/>
      <c r="G411" s="558"/>
      <c r="H411" s="410" t="str">
        <f>'04 - 95% CD'!H411</f>
        <v>PLACEHOLDER ROW - OPTIONAL CLIENT CUSTOM ITEM</v>
      </c>
      <c r="I411" s="186"/>
      <c r="J411" s="578" t="str">
        <f>IF('C-Design&amp;Const'!AK410="","",'C-Design&amp;Const'!AK410)</f>
        <v/>
      </c>
      <c r="K411" s="285" t="str">
        <f t="shared" si="44"/>
        <v>match</v>
      </c>
      <c r="L411" s="1410" t="str">
        <f t="shared" si="45"/>
        <v>&lt;---PM/Planner may hide PLACEHOLDER ROW</v>
      </c>
      <c r="M411" s="1382"/>
      <c r="N411" s="1382"/>
      <c r="O411" s="1382"/>
      <c r="P411" s="1382"/>
      <c r="Q411" s="1382"/>
      <c r="R411" s="1490"/>
      <c r="S411" s="1274"/>
      <c r="T411" s="1274"/>
      <c r="U411" s="1382"/>
      <c r="V411" s="1382"/>
      <c r="W411" s="1382"/>
      <c r="X411" s="1382"/>
      <c r="Y411" s="1382"/>
      <c r="Z411" s="1382"/>
      <c r="AA411" s="1382"/>
      <c r="AB411" s="1382"/>
      <c r="AC411" s="1382"/>
      <c r="AD411" s="1382"/>
      <c r="AE411" s="1382"/>
      <c r="AF411" s="1382"/>
      <c r="AG411" s="1382"/>
      <c r="AH411" s="1382"/>
      <c r="AI411" s="1382"/>
      <c r="AJ411" s="1382"/>
      <c r="AK411" s="181"/>
      <c r="AL411" s="181"/>
      <c r="AM411" s="181"/>
      <c r="AN411" s="181"/>
      <c r="AO411" s="181"/>
      <c r="AP411" s="181"/>
      <c r="AQ411" s="181"/>
      <c r="AR411" s="181"/>
      <c r="AS411" s="181"/>
      <c r="AT411" s="181"/>
      <c r="AU411" s="181"/>
      <c r="AV411" s="181"/>
      <c r="AW411" s="181"/>
    </row>
    <row r="412" spans="1:49" s="30" customFormat="1" hidden="1" x14ac:dyDescent="0.25">
      <c r="A412" s="1407" t="str">
        <f>IF(COUNTIF('04 - 95% CD'!D412:G412,"Y")&gt;0,"Y",IF(COUNTIF('04 - 95% CD'!D412:G412,"N"),"N",""))</f>
        <v>N</v>
      </c>
      <c r="B412" s="191"/>
      <c r="C412" s="944"/>
      <c r="D412" s="321"/>
      <c r="E412" s="559" t="str">
        <f>IF('C-Design&amp;Const'!$U411="","",'C-Design&amp;Const'!$U411)</f>
        <v>N</v>
      </c>
      <c r="F412" s="560"/>
      <c r="G412" s="558"/>
      <c r="H412" s="410" t="str">
        <f>'04 - 95% CD'!H412</f>
        <v>PLACEHOLDER ROW - OPTIONAL CLIENT CUSTOM ITEM</v>
      </c>
      <c r="I412" s="186"/>
      <c r="J412" s="578" t="str">
        <f>IF('C-Design&amp;Const'!AK411="","",'C-Design&amp;Const'!AK411)</f>
        <v/>
      </c>
      <c r="K412" s="285" t="str">
        <f t="shared" si="44"/>
        <v>match</v>
      </c>
      <c r="L412" s="1410" t="str">
        <f t="shared" si="45"/>
        <v>&lt;---PM/Planner may hide PLACEHOLDER ROW</v>
      </c>
      <c r="M412" s="1382"/>
      <c r="N412" s="1382"/>
      <c r="O412" s="1382"/>
      <c r="P412" s="1382"/>
      <c r="Q412" s="1382"/>
      <c r="R412" s="1490"/>
      <c r="S412" s="1274"/>
      <c r="T412" s="1274"/>
      <c r="U412" s="1382"/>
      <c r="V412" s="1382"/>
      <c r="W412" s="1382"/>
      <c r="X412" s="1382"/>
      <c r="Y412" s="1382"/>
      <c r="Z412" s="1382"/>
      <c r="AA412" s="1382"/>
      <c r="AB412" s="1382"/>
      <c r="AC412" s="1382"/>
      <c r="AD412" s="1382"/>
      <c r="AE412" s="1382"/>
      <c r="AF412" s="1382"/>
      <c r="AG412" s="1382"/>
      <c r="AH412" s="1382"/>
      <c r="AI412" s="1382"/>
      <c r="AJ412" s="1382"/>
      <c r="AK412" s="181"/>
      <c r="AL412" s="181"/>
      <c r="AM412" s="181"/>
      <c r="AN412" s="181"/>
      <c r="AO412" s="181"/>
      <c r="AP412" s="181"/>
      <c r="AQ412" s="181"/>
      <c r="AR412" s="181"/>
      <c r="AS412" s="181"/>
      <c r="AT412" s="181"/>
      <c r="AU412" s="181"/>
      <c r="AV412" s="181"/>
      <c r="AW412" s="181"/>
    </row>
    <row r="413" spans="1:49" s="30" customFormat="1" hidden="1" x14ac:dyDescent="0.25">
      <c r="A413" s="1407" t="str">
        <f>IF(COUNTIF('04 - 95% CD'!D413:G413,"Y")&gt;0,"Y",IF(COUNTIF('04 - 95% CD'!D413:G413,"N"),"N",""))</f>
        <v>N</v>
      </c>
      <c r="B413" s="191"/>
      <c r="C413" s="944"/>
      <c r="D413" s="321"/>
      <c r="E413" s="559" t="str">
        <f>IF('C-Design&amp;Const'!$U412="","",'C-Design&amp;Const'!$U412)</f>
        <v>N</v>
      </c>
      <c r="F413" s="560"/>
      <c r="G413" s="558"/>
      <c r="H413" s="410" t="str">
        <f>'04 - 95% CD'!H413</f>
        <v>PLACEHOLDER ROW - OPTIONAL CLIENT CUSTOM ITEM</v>
      </c>
      <c r="I413" s="186"/>
      <c r="J413" s="578" t="str">
        <f>IF('C-Design&amp;Const'!AK412="","",'C-Design&amp;Const'!AK412)</f>
        <v/>
      </c>
      <c r="K413" s="285" t="str">
        <f t="shared" si="44"/>
        <v>match</v>
      </c>
      <c r="L413" s="1410" t="str">
        <f t="shared" si="45"/>
        <v>&lt;---PM/Planner may hide PLACEHOLDER ROW</v>
      </c>
      <c r="M413" s="1382"/>
      <c r="N413" s="1382"/>
      <c r="O413" s="1382"/>
      <c r="P413" s="1382"/>
      <c r="Q413" s="1382"/>
      <c r="R413" s="1490"/>
      <c r="S413" s="1274"/>
      <c r="T413" s="1274"/>
      <c r="U413" s="1382"/>
      <c r="V413" s="1382"/>
      <c r="W413" s="1382"/>
      <c r="X413" s="1382"/>
      <c r="Y413" s="1382"/>
      <c r="Z413" s="1382"/>
      <c r="AA413" s="1382"/>
      <c r="AB413" s="1382"/>
      <c r="AC413" s="1382"/>
      <c r="AD413" s="1382"/>
      <c r="AE413" s="1382"/>
      <c r="AF413" s="1382"/>
      <c r="AG413" s="1382"/>
      <c r="AH413" s="1382"/>
      <c r="AI413" s="1382"/>
      <c r="AJ413" s="1382"/>
      <c r="AK413" s="181"/>
      <c r="AL413" s="181"/>
      <c r="AM413" s="181"/>
      <c r="AN413" s="181"/>
      <c r="AO413" s="181"/>
      <c r="AP413" s="181"/>
      <c r="AQ413" s="181"/>
      <c r="AR413" s="181"/>
      <c r="AS413" s="181"/>
      <c r="AT413" s="181"/>
      <c r="AU413" s="181"/>
      <c r="AV413" s="181"/>
      <c r="AW413" s="181"/>
    </row>
    <row r="414" spans="1:49" s="30" customFormat="1" hidden="1" x14ac:dyDescent="0.25">
      <c r="A414" s="1407" t="str">
        <f>IF(COUNTIF('04 - 95% CD'!D414:G414,"Y")&gt;0,"Y",IF(COUNTIF('04 - 95% CD'!D414:G414,"N"),"N",""))</f>
        <v>N</v>
      </c>
      <c r="B414" s="191"/>
      <c r="C414" s="944"/>
      <c r="D414" s="321"/>
      <c r="E414" s="559" t="str">
        <f>IF('C-Design&amp;Const'!$U414="","",'C-Design&amp;Const'!$U414)</f>
        <v>N</v>
      </c>
      <c r="F414" s="560"/>
      <c r="G414" s="558"/>
      <c r="H414" s="410" t="str">
        <f>'04 - 95% CD'!H414</f>
        <v>PLACEHOLDER ROW - OPTIONAL CLIENT CUSTOM ITEM</v>
      </c>
      <c r="I414" s="186"/>
      <c r="J414" s="578" t="str">
        <f>IF('C-Design&amp;Const'!AK414="","",'C-Design&amp;Const'!AK414)</f>
        <v/>
      </c>
      <c r="K414" s="285" t="str">
        <f t="shared" si="44"/>
        <v>match</v>
      </c>
      <c r="L414" s="1410" t="str">
        <f t="shared" si="45"/>
        <v>&lt;---PM/Planner may hide PLACEHOLDER ROW</v>
      </c>
      <c r="M414" s="1382"/>
      <c r="N414" s="1382"/>
      <c r="O414" s="1382"/>
      <c r="P414" s="1382"/>
      <c r="Q414" s="1382"/>
      <c r="R414" s="1490"/>
      <c r="S414" s="1274"/>
      <c r="T414" s="1274"/>
      <c r="U414" s="1382"/>
      <c r="V414" s="1382"/>
      <c r="W414" s="1382"/>
      <c r="X414" s="1382"/>
      <c r="Y414" s="1382"/>
      <c r="Z414" s="1382"/>
      <c r="AA414" s="1382"/>
      <c r="AB414" s="1382"/>
      <c r="AC414" s="1382"/>
      <c r="AD414" s="1382"/>
      <c r="AE414" s="1382"/>
      <c r="AF414" s="1382"/>
      <c r="AG414" s="1382"/>
      <c r="AH414" s="1382"/>
      <c r="AI414" s="1382"/>
      <c r="AJ414" s="1382"/>
      <c r="AK414" s="181"/>
      <c r="AL414" s="181"/>
      <c r="AM414" s="181"/>
      <c r="AN414" s="181"/>
      <c r="AO414" s="181"/>
      <c r="AP414" s="181"/>
      <c r="AQ414" s="181"/>
      <c r="AR414" s="181"/>
      <c r="AS414" s="181"/>
      <c r="AT414" s="181"/>
      <c r="AU414" s="181"/>
      <c r="AV414" s="181"/>
      <c r="AW414" s="181"/>
    </row>
    <row r="415" spans="1:49" s="30" customFormat="1" hidden="1" x14ac:dyDescent="0.25">
      <c r="A415" s="1407" t="str">
        <f>IF(COUNTIF('04 - 95% CD'!D415:G415,"Y")&gt;0,"Y",IF(COUNTIF('04 - 95% CD'!D415:G415,"N"),"N",""))</f>
        <v>N</v>
      </c>
      <c r="B415" s="191"/>
      <c r="C415" s="944"/>
      <c r="D415" s="321"/>
      <c r="E415" s="559" t="str">
        <f>IF('C-Design&amp;Const'!$U415="","",'C-Design&amp;Const'!$U415)</f>
        <v>N</v>
      </c>
      <c r="F415" s="560"/>
      <c r="G415" s="558"/>
      <c r="H415" s="410" t="str">
        <f>'04 - 95% CD'!H415</f>
        <v>PLACEHOLDER ROW - OPTIONAL CLIENT CUSTOM ITEM</v>
      </c>
      <c r="I415" s="186"/>
      <c r="J415" s="578" t="str">
        <f>IF('C-Design&amp;Const'!AK415="","",'C-Design&amp;Const'!AK415)</f>
        <v/>
      </c>
      <c r="K415" s="285" t="str">
        <f t="shared" si="44"/>
        <v>match</v>
      </c>
      <c r="L415" s="1410" t="str">
        <f t="shared" si="45"/>
        <v>&lt;---PM/Planner may hide PLACEHOLDER ROW</v>
      </c>
      <c r="M415" s="1382"/>
      <c r="N415" s="1382"/>
      <c r="O415" s="1382"/>
      <c r="P415" s="1382"/>
      <c r="Q415" s="1382"/>
      <c r="R415" s="1490"/>
      <c r="S415" s="1274"/>
      <c r="T415" s="1274"/>
      <c r="U415" s="1382"/>
      <c r="V415" s="1382"/>
      <c r="W415" s="1382"/>
      <c r="X415" s="1382"/>
      <c r="Y415" s="1382"/>
      <c r="Z415" s="1382"/>
      <c r="AA415" s="1382"/>
      <c r="AB415" s="1382"/>
      <c r="AC415" s="1382"/>
      <c r="AD415" s="1382"/>
      <c r="AE415" s="1382"/>
      <c r="AF415" s="1382"/>
      <c r="AG415" s="1382"/>
      <c r="AH415" s="1382"/>
      <c r="AI415" s="1382"/>
      <c r="AJ415" s="1382"/>
      <c r="AK415" s="181"/>
      <c r="AL415" s="181"/>
      <c r="AM415" s="181"/>
      <c r="AN415" s="181"/>
      <c r="AO415" s="181"/>
      <c r="AP415" s="181"/>
      <c r="AQ415" s="181"/>
      <c r="AR415" s="181"/>
      <c r="AS415" s="181"/>
      <c r="AT415" s="181"/>
      <c r="AU415" s="181"/>
      <c r="AV415" s="181"/>
      <c r="AW415" s="181"/>
    </row>
    <row r="416" spans="1:49" s="30" customFormat="1" hidden="1" x14ac:dyDescent="0.25">
      <c r="A416" s="1407" t="str">
        <f>IF(COUNTIF('04 - 95% CD'!D416:G416,"Y")&gt;0,"Y",IF(COUNTIF('04 - 95% CD'!D416:G416,"N"),"N",""))</f>
        <v>N</v>
      </c>
      <c r="B416" s="191"/>
      <c r="C416" s="944"/>
      <c r="D416" s="321"/>
      <c r="E416" s="559" t="str">
        <f>IF('C-Design&amp;Const'!$U416="","",'C-Design&amp;Const'!$U416)</f>
        <v>N</v>
      </c>
      <c r="F416" s="560"/>
      <c r="G416" s="558"/>
      <c r="H416" s="410" t="str">
        <f>'04 - 95% CD'!H416</f>
        <v>PLACEHOLDER ROW - OPTIONAL CLIENT CUSTOM ITEM</v>
      </c>
      <c r="I416" s="186"/>
      <c r="J416" s="578" t="str">
        <f>IF('C-Design&amp;Const'!AK416="","",'C-Design&amp;Const'!AK416)</f>
        <v/>
      </c>
      <c r="K416" s="285" t="str">
        <f t="shared" si="44"/>
        <v>match</v>
      </c>
      <c r="L416" s="1410" t="str">
        <f t="shared" si="45"/>
        <v>&lt;---PM/Planner may hide PLACEHOLDER ROW</v>
      </c>
      <c r="M416" s="1382"/>
      <c r="N416" s="1382"/>
      <c r="O416" s="1382"/>
      <c r="P416" s="1382"/>
      <c r="Q416" s="1382"/>
      <c r="R416" s="1490"/>
      <c r="S416" s="1274"/>
      <c r="T416" s="1274"/>
      <c r="U416" s="1382"/>
      <c r="V416" s="1382"/>
      <c r="W416" s="1382"/>
      <c r="X416" s="1382"/>
      <c r="Y416" s="1382"/>
      <c r="Z416" s="1382"/>
      <c r="AA416" s="1382"/>
      <c r="AB416" s="1382"/>
      <c r="AC416" s="1382"/>
      <c r="AD416" s="1382"/>
      <c r="AE416" s="1382"/>
      <c r="AF416" s="1382"/>
      <c r="AG416" s="1382"/>
      <c r="AH416" s="1382"/>
      <c r="AI416" s="1382"/>
      <c r="AJ416" s="1382"/>
      <c r="AK416" s="181"/>
      <c r="AL416" s="181"/>
      <c r="AM416" s="181"/>
      <c r="AN416" s="181"/>
      <c r="AO416" s="181"/>
      <c r="AP416" s="181"/>
      <c r="AQ416" s="181"/>
      <c r="AR416" s="181"/>
      <c r="AS416" s="181"/>
      <c r="AT416" s="181"/>
      <c r="AU416" s="181"/>
      <c r="AV416" s="181"/>
      <c r="AW416" s="181"/>
    </row>
    <row r="417" spans="1:49" s="30" customFormat="1" hidden="1" x14ac:dyDescent="0.25">
      <c r="A417" s="1407" t="str">
        <f>IF(COUNTIF('04 - 95% CD'!D417:G417,"Y")&gt;0,"Y",IF(COUNTIF('04 - 95% CD'!D417:G417,"N"),"N",""))</f>
        <v>N</v>
      </c>
      <c r="B417" s="191"/>
      <c r="C417" s="944"/>
      <c r="D417" s="321"/>
      <c r="E417" s="559" t="str">
        <f>IF('C-Design&amp;Const'!$U417="","",'C-Design&amp;Const'!$U417)</f>
        <v>N</v>
      </c>
      <c r="F417" s="560"/>
      <c r="G417" s="558"/>
      <c r="H417" s="410" t="str">
        <f>'04 - 95% CD'!H417</f>
        <v>PLACEHOLDER ROW - OPTIONAL CLIENT CUSTOM ITEM</v>
      </c>
      <c r="I417" s="186"/>
      <c r="J417" s="578" t="str">
        <f>IF('C-Design&amp;Const'!AK417="","",'C-Design&amp;Const'!AK417)</f>
        <v/>
      </c>
      <c r="K417" s="285" t="str">
        <f t="shared" si="44"/>
        <v>match</v>
      </c>
      <c r="L417" s="1410" t="str">
        <f t="shared" si="45"/>
        <v>&lt;---PM/Planner may hide PLACEHOLDER ROW</v>
      </c>
      <c r="M417" s="1382"/>
      <c r="N417" s="1382"/>
      <c r="O417" s="1382"/>
      <c r="P417" s="1382"/>
      <c r="Q417" s="1382"/>
      <c r="R417" s="1490"/>
      <c r="S417" s="1274"/>
      <c r="T417" s="1274"/>
      <c r="U417" s="1382"/>
      <c r="V417" s="1382"/>
      <c r="W417" s="1382"/>
      <c r="X417" s="1382"/>
      <c r="Y417" s="1382"/>
      <c r="Z417" s="1382"/>
      <c r="AA417" s="1382"/>
      <c r="AB417" s="1382"/>
      <c r="AC417" s="1382"/>
      <c r="AD417" s="1382"/>
      <c r="AE417" s="1382"/>
      <c r="AF417" s="1382"/>
      <c r="AG417" s="1382"/>
      <c r="AH417" s="1382"/>
      <c r="AI417" s="1382"/>
      <c r="AJ417" s="1382"/>
      <c r="AK417" s="181"/>
      <c r="AL417" s="181"/>
      <c r="AM417" s="181"/>
      <c r="AN417" s="181"/>
      <c r="AO417" s="181"/>
      <c r="AP417" s="181"/>
      <c r="AQ417" s="181"/>
      <c r="AR417" s="181"/>
      <c r="AS417" s="181"/>
      <c r="AT417" s="181"/>
      <c r="AU417" s="181"/>
      <c r="AV417" s="181"/>
      <c r="AW417" s="181"/>
    </row>
    <row r="418" spans="1:49" s="30" customFormat="1" hidden="1" x14ac:dyDescent="0.25">
      <c r="A418" s="1407" t="str">
        <f>IF(COUNTIF('04 - 95% CD'!D418:G418,"Y")&gt;0,"Y",IF(COUNTIF('04 - 95% CD'!D418:G418,"N"),"N",""))</f>
        <v>N</v>
      </c>
      <c r="B418" s="191"/>
      <c r="C418" s="944"/>
      <c r="D418" s="321"/>
      <c r="E418" s="559" t="str">
        <f>IF('C-Design&amp;Const'!$U418="","",'C-Design&amp;Const'!$U418)</f>
        <v>N</v>
      </c>
      <c r="F418" s="560"/>
      <c r="G418" s="558"/>
      <c r="H418" s="410" t="str">
        <f>'04 - 95% CD'!H418</f>
        <v>PLACEHOLDER ROW - OPTIONAL CLIENT CUSTOM ITEM</v>
      </c>
      <c r="I418" s="186"/>
      <c r="J418" s="578" t="str">
        <f>IF('C-Design&amp;Const'!AK418="","",'C-Design&amp;Const'!AK418)</f>
        <v/>
      </c>
      <c r="K418" s="285" t="str">
        <f t="shared" si="44"/>
        <v>match</v>
      </c>
      <c r="L418" s="1410" t="str">
        <f t="shared" si="45"/>
        <v>&lt;---PM/Planner may hide PLACEHOLDER ROW</v>
      </c>
      <c r="M418" s="1382"/>
      <c r="N418" s="1382"/>
      <c r="O418" s="1382"/>
      <c r="P418" s="1382"/>
      <c r="Q418" s="1382"/>
      <c r="R418" s="1490"/>
      <c r="S418" s="1274"/>
      <c r="T418" s="1274"/>
      <c r="U418" s="1382"/>
      <c r="V418" s="1382"/>
      <c r="W418" s="1382"/>
      <c r="X418" s="1382"/>
      <c r="Y418" s="1382"/>
      <c r="Z418" s="1382"/>
      <c r="AA418" s="1382"/>
      <c r="AB418" s="1382"/>
      <c r="AC418" s="1382"/>
      <c r="AD418" s="1382"/>
      <c r="AE418" s="1382"/>
      <c r="AF418" s="1382"/>
      <c r="AG418" s="1382"/>
      <c r="AH418" s="1382"/>
      <c r="AI418" s="1382"/>
      <c r="AJ418" s="1382"/>
      <c r="AK418" s="181"/>
      <c r="AL418" s="181"/>
      <c r="AM418" s="181"/>
      <c r="AN418" s="181"/>
      <c r="AO418" s="181"/>
      <c r="AP418" s="181"/>
      <c r="AQ418" s="181"/>
      <c r="AR418" s="181"/>
      <c r="AS418" s="181"/>
      <c r="AT418" s="181"/>
      <c r="AU418" s="181"/>
      <c r="AV418" s="181"/>
      <c r="AW418" s="181"/>
    </row>
    <row r="419" spans="1:49" s="30" customFormat="1" hidden="1" x14ac:dyDescent="0.25">
      <c r="A419" s="1407" t="str">
        <f>IF(COUNTIF('04 - 95% CD'!D419:G419,"Y")&gt;0,"Y",IF(COUNTIF('04 - 95% CD'!D419:G419,"N"),"N",""))</f>
        <v>N</v>
      </c>
      <c r="B419" s="191"/>
      <c r="C419" s="944"/>
      <c r="D419" s="321"/>
      <c r="E419" s="559" t="str">
        <f>IF('C-Design&amp;Const'!$U419="","",'C-Design&amp;Const'!$U419)</f>
        <v>N</v>
      </c>
      <c r="F419" s="560"/>
      <c r="G419" s="558"/>
      <c r="H419" s="410" t="str">
        <f>'04 - 95% CD'!H419</f>
        <v>PLACEHOLDER ROW - OPTIONAL CLIENT CUSTOM ITEM</v>
      </c>
      <c r="I419" s="186"/>
      <c r="J419" s="578" t="str">
        <f>IF('C-Design&amp;Const'!AK419="","",'C-Design&amp;Const'!AK419)</f>
        <v/>
      </c>
      <c r="K419" s="285" t="str">
        <f t="shared" si="44"/>
        <v>match</v>
      </c>
      <c r="L419" s="1410" t="str">
        <f t="shared" si="45"/>
        <v>&lt;---PM/Planner may hide PLACEHOLDER ROW</v>
      </c>
      <c r="M419" s="1382"/>
      <c r="N419" s="1382"/>
      <c r="O419" s="1382"/>
      <c r="P419" s="1382"/>
      <c r="Q419" s="1382"/>
      <c r="R419" s="1490"/>
      <c r="S419" s="1274"/>
      <c r="T419" s="1274"/>
      <c r="U419" s="1382"/>
      <c r="V419" s="1382"/>
      <c r="W419" s="1382"/>
      <c r="X419" s="1382"/>
      <c r="Y419" s="1382"/>
      <c r="Z419" s="1382"/>
      <c r="AA419" s="1382"/>
      <c r="AB419" s="1382"/>
      <c r="AC419" s="1382"/>
      <c r="AD419" s="1382"/>
      <c r="AE419" s="1382"/>
      <c r="AF419" s="1382"/>
      <c r="AG419" s="1382"/>
      <c r="AH419" s="1382"/>
      <c r="AI419" s="1382"/>
      <c r="AJ419" s="1382"/>
      <c r="AK419" s="181"/>
      <c r="AL419" s="181"/>
      <c r="AM419" s="181"/>
      <c r="AN419" s="181"/>
      <c r="AO419" s="181"/>
      <c r="AP419" s="181"/>
      <c r="AQ419" s="181"/>
      <c r="AR419" s="181"/>
      <c r="AS419" s="181"/>
      <c r="AT419" s="181"/>
      <c r="AU419" s="181"/>
      <c r="AV419" s="181"/>
      <c r="AW419" s="181"/>
    </row>
    <row r="420" spans="1:49" s="30" customFormat="1" hidden="1" x14ac:dyDescent="0.25">
      <c r="A420" s="1407" t="str">
        <f>IF(COUNTIF('04 - 95% CD'!D420:G420,"Y")&gt;0,"Y",IF(COUNTIF('04 - 95% CD'!D420:G420,"N"),"N",""))</f>
        <v>N</v>
      </c>
      <c r="B420" s="191"/>
      <c r="C420" s="944"/>
      <c r="D420" s="321"/>
      <c r="E420" s="559" t="str">
        <f>IF('C-Design&amp;Const'!$U420="","",'C-Design&amp;Const'!$U420)</f>
        <v>N</v>
      </c>
      <c r="F420" s="560"/>
      <c r="G420" s="558"/>
      <c r="H420" s="410" t="str">
        <f>'04 - 95% CD'!H420</f>
        <v>PLACEHOLDER ROW - OPTIONAL CLIENT CUSTOM ITEM</v>
      </c>
      <c r="I420" s="186"/>
      <c r="J420" s="578" t="str">
        <f>IF('C-Design&amp;Const'!AK420="","",'C-Design&amp;Const'!AK420)</f>
        <v/>
      </c>
      <c r="K420" s="285" t="str">
        <f t="shared" si="44"/>
        <v>match</v>
      </c>
      <c r="L420" s="1410" t="str">
        <f t="shared" si="45"/>
        <v>&lt;---PM/Planner may hide PLACEHOLDER ROW</v>
      </c>
      <c r="M420" s="1382"/>
      <c r="N420" s="1382"/>
      <c r="O420" s="1382"/>
      <c r="P420" s="1382"/>
      <c r="Q420" s="1382"/>
      <c r="R420" s="1490"/>
      <c r="S420" s="1274"/>
      <c r="T420" s="1274"/>
      <c r="U420" s="1382"/>
      <c r="V420" s="1382"/>
      <c r="W420" s="1382"/>
      <c r="X420" s="1382"/>
      <c r="Y420" s="1382"/>
      <c r="Z420" s="1382"/>
      <c r="AA420" s="1382"/>
      <c r="AB420" s="1382"/>
      <c r="AC420" s="1382"/>
      <c r="AD420" s="1382"/>
      <c r="AE420" s="1382"/>
      <c r="AF420" s="1382"/>
      <c r="AG420" s="1382"/>
      <c r="AH420" s="1382"/>
      <c r="AI420" s="1382"/>
      <c r="AJ420" s="1382"/>
      <c r="AK420" s="181"/>
      <c r="AL420" s="181"/>
      <c r="AM420" s="181"/>
      <c r="AN420" s="181"/>
      <c r="AO420" s="181"/>
      <c r="AP420" s="181"/>
      <c r="AQ420" s="181"/>
      <c r="AR420" s="181"/>
      <c r="AS420" s="181"/>
      <c r="AT420" s="181"/>
      <c r="AU420" s="181"/>
      <c r="AV420" s="181"/>
      <c r="AW420" s="181"/>
    </row>
    <row r="421" spans="1:49" s="30" customFormat="1" hidden="1" x14ac:dyDescent="0.25">
      <c r="A421" s="1407" t="str">
        <f>IF(COUNTIF('04 - 95% CD'!D421:G421,"Y")&gt;0,"Y",IF(COUNTIF('04 - 95% CD'!D421:G421,"N"),"N",""))</f>
        <v/>
      </c>
      <c r="B421" s="191"/>
      <c r="C421" s="944"/>
      <c r="D421" s="321"/>
      <c r="E421" s="559" t="str">
        <f>IF('C-Design&amp;Const'!$U421="","",'C-Design&amp;Const'!$U421)</f>
        <v/>
      </c>
      <c r="F421" s="560"/>
      <c r="G421" s="558"/>
      <c r="H421" s="410" t="str">
        <f>'04 - 95% CD'!H421</f>
        <v>PLACEHOLDER ROW - OPTIONAL CLIENT CUSTOM ITEM</v>
      </c>
      <c r="I421" s="186"/>
      <c r="J421" s="578" t="str">
        <f>IF('C-Design&amp;Const'!AK421="","",'C-Design&amp;Const'!AK421)</f>
        <v/>
      </c>
      <c r="K421" s="285" t="str">
        <f t="shared" si="44"/>
        <v>match</v>
      </c>
      <c r="L421" s="1410" t="str">
        <f t="shared" si="45"/>
        <v>&lt;---PM/Planner may hide PLACEHOLDER ROW</v>
      </c>
      <c r="M421" s="1382"/>
      <c r="N421" s="1382"/>
      <c r="O421" s="1382"/>
      <c r="P421" s="1382"/>
      <c r="Q421" s="1382"/>
      <c r="R421" s="1490"/>
      <c r="S421" s="1274"/>
      <c r="T421" s="1274"/>
      <c r="U421" s="1382"/>
      <c r="V421" s="1382"/>
      <c r="W421" s="1382"/>
      <c r="X421" s="1382"/>
      <c r="Y421" s="1382"/>
      <c r="Z421" s="1382"/>
      <c r="AA421" s="1382"/>
      <c r="AB421" s="1382"/>
      <c r="AC421" s="1382"/>
      <c r="AD421" s="1382"/>
      <c r="AE421" s="1382"/>
      <c r="AF421" s="1382"/>
      <c r="AG421" s="1382"/>
      <c r="AH421" s="1382"/>
      <c r="AI421" s="1382"/>
      <c r="AJ421" s="1382"/>
      <c r="AK421" s="181"/>
      <c r="AL421" s="181"/>
      <c r="AM421" s="181"/>
      <c r="AN421" s="181"/>
      <c r="AO421" s="181"/>
      <c r="AP421" s="181"/>
      <c r="AQ421" s="181"/>
      <c r="AR421" s="181"/>
      <c r="AS421" s="181"/>
      <c r="AT421" s="181"/>
      <c r="AU421" s="181"/>
      <c r="AV421" s="181"/>
      <c r="AW421" s="181"/>
    </row>
    <row r="422" spans="1:49" s="30" customFormat="1" hidden="1" x14ac:dyDescent="0.25">
      <c r="A422" s="1407" t="str">
        <f>IF(COUNTIF('04 - 95% CD'!D422:G422,"Y")&gt;0,"Y",IF(COUNTIF('04 - 95% CD'!D422:G422,"N"),"N",""))</f>
        <v>N</v>
      </c>
      <c r="B422" s="191"/>
      <c r="C422" s="944"/>
      <c r="D422" s="321"/>
      <c r="E422" s="559" t="str">
        <f>IF('C-Design&amp;Const'!$U422="","",'C-Design&amp;Const'!$U422)</f>
        <v>N</v>
      </c>
      <c r="F422" s="560"/>
      <c r="G422" s="558"/>
      <c r="H422" s="410" t="str">
        <f>'04 - 95% CD'!H422</f>
        <v>PLACEHOLDER ROW - OPTIONAL CLIENT CUSTOM ITEM</v>
      </c>
      <c r="I422" s="186"/>
      <c r="J422" s="578" t="str">
        <f>IF('C-Design&amp;Const'!AK422="","",'C-Design&amp;Const'!AK422)</f>
        <v/>
      </c>
      <c r="K422" s="285" t="str">
        <f t="shared" si="44"/>
        <v>match</v>
      </c>
      <c r="L422" s="1410" t="str">
        <f t="shared" si="45"/>
        <v>&lt;---PM/Planner may hide PLACEHOLDER ROW</v>
      </c>
      <c r="M422" s="1382"/>
      <c r="N422" s="1382"/>
      <c r="O422" s="1382"/>
      <c r="P422" s="1382"/>
      <c r="Q422" s="1382"/>
      <c r="R422" s="1490"/>
      <c r="S422" s="1274"/>
      <c r="T422" s="1274"/>
      <c r="U422" s="1382"/>
      <c r="V422" s="1382"/>
      <c r="W422" s="1382"/>
      <c r="X422" s="1382"/>
      <c r="Y422" s="1382"/>
      <c r="Z422" s="1382"/>
      <c r="AA422" s="1382"/>
      <c r="AB422" s="1382"/>
      <c r="AC422" s="1382"/>
      <c r="AD422" s="1382"/>
      <c r="AE422" s="1382"/>
      <c r="AF422" s="1382"/>
      <c r="AG422" s="1382"/>
      <c r="AH422" s="1382"/>
      <c r="AI422" s="1382"/>
      <c r="AJ422" s="1382"/>
      <c r="AK422" s="181"/>
      <c r="AL422" s="181"/>
      <c r="AM422" s="181"/>
      <c r="AN422" s="181"/>
      <c r="AO422" s="181"/>
      <c r="AP422" s="181"/>
      <c r="AQ422" s="181"/>
      <c r="AR422" s="181"/>
      <c r="AS422" s="181"/>
      <c r="AT422" s="181"/>
      <c r="AU422" s="181"/>
      <c r="AV422" s="181"/>
      <c r="AW422" s="181"/>
    </row>
    <row r="423" spans="1:49" s="30" customFormat="1" hidden="1" x14ac:dyDescent="0.25">
      <c r="A423" s="1407" t="str">
        <f>IF(COUNTIF('04 - 95% CD'!D423:G423,"Y")&gt;0,"Y",IF(COUNTIF('04 - 95% CD'!D423:G423,"N"),"N",""))</f>
        <v/>
      </c>
      <c r="B423" s="191"/>
      <c r="C423" s="944"/>
      <c r="D423" s="321"/>
      <c r="E423" s="559" t="str">
        <f>IF('C-Design&amp;Const'!$U423="","",'C-Design&amp;Const'!$U423)</f>
        <v/>
      </c>
      <c r="F423" s="560"/>
      <c r="G423" s="558"/>
      <c r="H423" s="410" t="str">
        <f>'04 - 95% CD'!H423</f>
        <v>PLACEHOLDER ROW - OPTIONAL CLIENT CUSTOM ITEM</v>
      </c>
      <c r="I423" s="186"/>
      <c r="J423" s="578" t="str">
        <f>IF('C-Design&amp;Const'!AK423="","",'C-Design&amp;Const'!AK423)</f>
        <v/>
      </c>
      <c r="K423" s="285" t="str">
        <f t="shared" si="44"/>
        <v>match</v>
      </c>
      <c r="L423" s="1410" t="str">
        <f t="shared" si="45"/>
        <v>&lt;---PM/Planner may hide PLACEHOLDER ROW</v>
      </c>
      <c r="M423" s="1382"/>
      <c r="N423" s="1382"/>
      <c r="O423" s="1382"/>
      <c r="P423" s="1382"/>
      <c r="Q423" s="1382"/>
      <c r="R423" s="1490"/>
      <c r="S423" s="1274"/>
      <c r="T423" s="1274"/>
      <c r="U423" s="1382"/>
      <c r="V423" s="1382"/>
      <c r="W423" s="1382"/>
      <c r="X423" s="1382"/>
      <c r="Y423" s="1382"/>
      <c r="Z423" s="1382"/>
      <c r="AA423" s="1382"/>
      <c r="AB423" s="1382"/>
      <c r="AC423" s="1382"/>
      <c r="AD423" s="1382"/>
      <c r="AE423" s="1382"/>
      <c r="AF423" s="1382"/>
      <c r="AG423" s="1382"/>
      <c r="AH423" s="1382"/>
      <c r="AI423" s="1382"/>
      <c r="AJ423" s="1382"/>
      <c r="AK423" s="181"/>
      <c r="AL423" s="181"/>
      <c r="AM423" s="181"/>
      <c r="AN423" s="181"/>
      <c r="AO423" s="181"/>
      <c r="AP423" s="181"/>
      <c r="AQ423" s="181"/>
      <c r="AR423" s="181"/>
      <c r="AS423" s="181"/>
      <c r="AT423" s="181"/>
      <c r="AU423" s="181"/>
      <c r="AV423" s="181"/>
      <c r="AW423" s="181"/>
    </row>
    <row r="424" spans="1:49" s="30" customFormat="1" hidden="1" x14ac:dyDescent="0.25">
      <c r="A424" s="1407" t="str">
        <f>IF(COUNTIF('04 - 95% CD'!D424:G424,"Y")&gt;0,"Y",IF(COUNTIF('04 - 95% CD'!D424:G424,"N"),"N",""))</f>
        <v/>
      </c>
      <c r="B424" s="191"/>
      <c r="C424" s="944"/>
      <c r="D424" s="321"/>
      <c r="E424" s="559" t="str">
        <f>IF('C-Design&amp;Const'!$U424="","",'C-Design&amp;Const'!$U424)</f>
        <v/>
      </c>
      <c r="F424" s="560"/>
      <c r="G424" s="558"/>
      <c r="H424" s="410" t="str">
        <f>'04 - 95% CD'!H424</f>
        <v>PLACEHOLDER ROW - OPTIONAL CLIENT CUSTOM ITEM</v>
      </c>
      <c r="I424" s="186"/>
      <c r="J424" s="578" t="str">
        <f>IF('C-Design&amp;Const'!AK424="","",'C-Design&amp;Const'!AK424)</f>
        <v/>
      </c>
      <c r="K424" s="285" t="str">
        <f t="shared" si="44"/>
        <v>match</v>
      </c>
      <c r="L424" s="1410" t="str">
        <f t="shared" si="45"/>
        <v>&lt;---PM/Planner may hide PLACEHOLDER ROW</v>
      </c>
      <c r="M424" s="1382"/>
      <c r="N424" s="1382"/>
      <c r="O424" s="1382"/>
      <c r="P424" s="1382"/>
      <c r="Q424" s="1382"/>
      <c r="R424" s="1490"/>
      <c r="S424" s="1274"/>
      <c r="T424" s="1274"/>
      <c r="U424" s="1382"/>
      <c r="V424" s="1382"/>
      <c r="W424" s="1382"/>
      <c r="X424" s="1382"/>
      <c r="Y424" s="1382"/>
      <c r="Z424" s="1382"/>
      <c r="AA424" s="1382"/>
      <c r="AB424" s="1382"/>
      <c r="AC424" s="1382"/>
      <c r="AD424" s="1382"/>
      <c r="AE424" s="1382"/>
      <c r="AF424" s="1382"/>
      <c r="AG424" s="1382"/>
      <c r="AH424" s="1382"/>
      <c r="AI424" s="1382"/>
      <c r="AJ424" s="1382"/>
      <c r="AK424" s="181"/>
      <c r="AL424" s="181"/>
      <c r="AM424" s="181"/>
      <c r="AN424" s="181"/>
      <c r="AO424" s="181"/>
      <c r="AP424" s="181"/>
      <c r="AQ424" s="181"/>
      <c r="AR424" s="181"/>
      <c r="AS424" s="181"/>
      <c r="AT424" s="181"/>
      <c r="AU424" s="181"/>
      <c r="AV424" s="181"/>
      <c r="AW424" s="181"/>
    </row>
    <row r="425" spans="1:49" s="30" customFormat="1" hidden="1" x14ac:dyDescent="0.25">
      <c r="A425" s="1407" t="str">
        <f>IF(COUNTIF('04 - 95% CD'!D425:G425,"Y")&gt;0,"Y",IF(COUNTIF('04 - 95% CD'!D425:G425,"N"),"N",""))</f>
        <v>N</v>
      </c>
      <c r="B425" s="191"/>
      <c r="C425" s="944"/>
      <c r="D425" s="321"/>
      <c r="E425" s="559" t="str">
        <f>IF('C-Design&amp;Const'!$U425="","",'C-Design&amp;Const'!$U425)</f>
        <v>N</v>
      </c>
      <c r="F425" s="560"/>
      <c r="G425" s="558"/>
      <c r="H425" s="410" t="str">
        <f>'04 - 95% CD'!H425</f>
        <v>PLACEHOLDER ROW - OPTIONAL CLIENT CUSTOM ITEM</v>
      </c>
      <c r="I425" s="186"/>
      <c r="J425" s="578" t="str">
        <f>IF('C-Design&amp;Const'!AK425="","",'C-Design&amp;Const'!AK425)</f>
        <v/>
      </c>
      <c r="K425" s="285" t="str">
        <f t="shared" si="44"/>
        <v>match</v>
      </c>
      <c r="L425" s="1410" t="str">
        <f t="shared" si="45"/>
        <v>&lt;---PM/Planner may hide PLACEHOLDER ROW</v>
      </c>
      <c r="M425" s="1382"/>
      <c r="N425" s="1382"/>
      <c r="O425" s="1382"/>
      <c r="P425" s="1382"/>
      <c r="Q425" s="1382"/>
      <c r="R425" s="1490"/>
      <c r="S425" s="1274"/>
      <c r="T425" s="1274"/>
      <c r="U425" s="1382"/>
      <c r="V425" s="1382"/>
      <c r="W425" s="1382"/>
      <c r="X425" s="1382"/>
      <c r="Y425" s="1382"/>
      <c r="Z425" s="1382"/>
      <c r="AA425" s="1382"/>
      <c r="AB425" s="1382"/>
      <c r="AC425" s="1382"/>
      <c r="AD425" s="1382"/>
      <c r="AE425" s="1382"/>
      <c r="AF425" s="1382"/>
      <c r="AG425" s="1382"/>
      <c r="AH425" s="1382"/>
      <c r="AI425" s="1382"/>
      <c r="AJ425" s="1382"/>
      <c r="AK425" s="181"/>
      <c r="AL425" s="181"/>
      <c r="AM425" s="181"/>
      <c r="AN425" s="181"/>
      <c r="AO425" s="181"/>
      <c r="AP425" s="181"/>
      <c r="AQ425" s="181"/>
      <c r="AR425" s="181"/>
      <c r="AS425" s="181"/>
      <c r="AT425" s="181"/>
      <c r="AU425" s="181"/>
      <c r="AV425" s="181"/>
      <c r="AW425" s="181"/>
    </row>
    <row r="426" spans="1:49" s="30" customFormat="1" hidden="1" x14ac:dyDescent="0.25">
      <c r="A426" s="1407" t="str">
        <f>IF(COUNTIF('04 - 95% CD'!D426:G426,"Y")&gt;0,"Y",IF(COUNTIF('04 - 95% CD'!D426:G426,"N"),"N",""))</f>
        <v>N</v>
      </c>
      <c r="B426" s="191"/>
      <c r="C426" s="944"/>
      <c r="D426" s="321"/>
      <c r="E426" s="559" t="str">
        <f>IF('C-Design&amp;Const'!$U426="","",'C-Design&amp;Const'!$U426)</f>
        <v>N</v>
      </c>
      <c r="F426" s="560"/>
      <c r="G426" s="558"/>
      <c r="H426" s="410" t="str">
        <f>'04 - 95% CD'!H426</f>
        <v>PLACEHOLDER ROW - OPTIONAL CLIENT CUSTOM ITEM</v>
      </c>
      <c r="I426" s="186"/>
      <c r="J426" s="578" t="str">
        <f>IF('C-Design&amp;Const'!AK426="","",'C-Design&amp;Const'!AK426)</f>
        <v/>
      </c>
      <c r="K426" s="285" t="str">
        <f t="shared" si="44"/>
        <v>match</v>
      </c>
      <c r="L426" s="1410" t="str">
        <f t="shared" si="45"/>
        <v>&lt;---PM/Planner may hide PLACEHOLDER ROW</v>
      </c>
      <c r="M426" s="1382"/>
      <c r="N426" s="1382"/>
      <c r="O426" s="1382"/>
      <c r="P426" s="1382"/>
      <c r="Q426" s="1382"/>
      <c r="R426" s="1490"/>
      <c r="S426" s="1274"/>
      <c r="T426" s="1274"/>
      <c r="U426" s="1382"/>
      <c r="V426" s="1382"/>
      <c r="W426" s="1382"/>
      <c r="X426" s="1382"/>
      <c r="Y426" s="1382"/>
      <c r="Z426" s="1382"/>
      <c r="AA426" s="1382"/>
      <c r="AB426" s="1382"/>
      <c r="AC426" s="1382"/>
      <c r="AD426" s="1382"/>
      <c r="AE426" s="1382"/>
      <c r="AF426" s="1382"/>
      <c r="AG426" s="1382"/>
      <c r="AH426" s="1382"/>
      <c r="AI426" s="1382"/>
      <c r="AJ426" s="1382"/>
      <c r="AK426" s="181"/>
      <c r="AL426" s="181"/>
      <c r="AM426" s="181"/>
      <c r="AN426" s="181"/>
      <c r="AO426" s="181"/>
      <c r="AP426" s="181"/>
      <c r="AQ426" s="181"/>
      <c r="AR426" s="181"/>
      <c r="AS426" s="181"/>
      <c r="AT426" s="181"/>
      <c r="AU426" s="181"/>
      <c r="AV426" s="181"/>
      <c r="AW426" s="181"/>
    </row>
    <row r="427" spans="1:49" s="30" customFormat="1" hidden="1" x14ac:dyDescent="0.25">
      <c r="A427" s="1407" t="str">
        <f>IF(COUNTIF('04 - 95% CD'!D427:G427,"Y")&gt;0,"Y",IF(COUNTIF('04 - 95% CD'!D427:G427,"N"),"N",""))</f>
        <v>N</v>
      </c>
      <c r="B427" s="191"/>
      <c r="C427" s="944"/>
      <c r="D427" s="321"/>
      <c r="E427" s="559" t="str">
        <f>IF('C-Design&amp;Const'!$U427="","",'C-Design&amp;Const'!$U427)</f>
        <v>N</v>
      </c>
      <c r="F427" s="560"/>
      <c r="G427" s="558"/>
      <c r="H427" s="410" t="str">
        <f>'04 - 95% CD'!H427</f>
        <v>PLACEHOLDER ROW - OPTIONAL CLIENT CUSTOM ITEM</v>
      </c>
      <c r="I427" s="186"/>
      <c r="J427" s="578" t="str">
        <f>IF('C-Design&amp;Const'!AK427="","",'C-Design&amp;Const'!AK427)</f>
        <v/>
      </c>
      <c r="K427" s="285" t="str">
        <f t="shared" si="44"/>
        <v>match</v>
      </c>
      <c r="L427" s="1410" t="str">
        <f t="shared" si="45"/>
        <v>&lt;---PM/Planner may hide PLACEHOLDER ROW</v>
      </c>
      <c r="M427" s="1382"/>
      <c r="N427" s="1382"/>
      <c r="O427" s="1382"/>
      <c r="P427" s="1382"/>
      <c r="Q427" s="1382"/>
      <c r="R427" s="1490"/>
      <c r="S427" s="1274"/>
      <c r="T427" s="1274"/>
      <c r="U427" s="1382"/>
      <c r="V427" s="1382"/>
      <c r="W427" s="1382"/>
      <c r="X427" s="1382"/>
      <c r="Y427" s="1382"/>
      <c r="Z427" s="1382"/>
      <c r="AA427" s="1382"/>
      <c r="AB427" s="1382"/>
      <c r="AC427" s="1382"/>
      <c r="AD427" s="1382"/>
      <c r="AE427" s="1382"/>
      <c r="AF427" s="1382"/>
      <c r="AG427" s="1382"/>
      <c r="AH427" s="1382"/>
      <c r="AI427" s="1382"/>
      <c r="AJ427" s="1382"/>
      <c r="AK427" s="181"/>
      <c r="AL427" s="181"/>
      <c r="AM427" s="181"/>
      <c r="AN427" s="181"/>
      <c r="AO427" s="181"/>
      <c r="AP427" s="181"/>
      <c r="AQ427" s="181"/>
      <c r="AR427" s="181"/>
      <c r="AS427" s="181"/>
      <c r="AT427" s="181"/>
      <c r="AU427" s="181"/>
      <c r="AV427" s="181"/>
      <c r="AW427" s="181"/>
    </row>
    <row r="428" spans="1:49" s="30" customFormat="1" hidden="1" x14ac:dyDescent="0.25">
      <c r="A428" s="1407" t="str">
        <f>IF(COUNTIF('04 - 95% CD'!D428:G428,"Y")&gt;0,"Y",IF(COUNTIF('04 - 95% CD'!D428:G428,"N"),"N",""))</f>
        <v>N</v>
      </c>
      <c r="B428" s="191"/>
      <c r="C428" s="944"/>
      <c r="D428" s="321"/>
      <c r="E428" s="559" t="str">
        <f>IF('C-Design&amp;Const'!$U428="","",'C-Design&amp;Const'!$U428)</f>
        <v>N</v>
      </c>
      <c r="F428" s="560"/>
      <c r="G428" s="558"/>
      <c r="H428" s="410" t="str">
        <f>'04 - 95% CD'!H428</f>
        <v>PLACEHOLDER ROW - OPTIONAL CLIENT CUSTOM ITEM</v>
      </c>
      <c r="I428" s="186"/>
      <c r="J428" s="578" t="str">
        <f>IF('C-Design&amp;Const'!AK428="","",'C-Design&amp;Const'!AK428)</f>
        <v/>
      </c>
      <c r="K428" s="285" t="str">
        <f t="shared" ref="K428:K443" si="46">IF((COUNTIF(D428:G428,"Y")=COUNTIF(A428,"Y")),"match","no 95% match")</f>
        <v>match</v>
      </c>
      <c r="L428" s="1410" t="str">
        <f t="shared" si="45"/>
        <v>&lt;---PM/Planner may hide PLACEHOLDER ROW</v>
      </c>
      <c r="M428" s="1382"/>
      <c r="N428" s="1382"/>
      <c r="O428" s="1382"/>
      <c r="P428" s="1382"/>
      <c r="Q428" s="1382"/>
      <c r="R428" s="1490"/>
      <c r="S428" s="1274"/>
      <c r="T428" s="1274"/>
      <c r="U428" s="1382"/>
      <c r="V428" s="1382"/>
      <c r="W428" s="1382"/>
      <c r="X428" s="1382"/>
      <c r="Y428" s="1382"/>
      <c r="Z428" s="1382"/>
      <c r="AA428" s="1382"/>
      <c r="AB428" s="1382"/>
      <c r="AC428" s="1382"/>
      <c r="AD428" s="1382"/>
      <c r="AE428" s="1382"/>
      <c r="AF428" s="1382"/>
      <c r="AG428" s="1382"/>
      <c r="AH428" s="1382"/>
      <c r="AI428" s="1382"/>
      <c r="AJ428" s="1382"/>
      <c r="AK428" s="181"/>
      <c r="AL428" s="181"/>
      <c r="AM428" s="181"/>
      <c r="AN428" s="181"/>
      <c r="AO428" s="181"/>
      <c r="AP428" s="181"/>
      <c r="AQ428" s="181"/>
      <c r="AR428" s="181"/>
      <c r="AS428" s="181"/>
      <c r="AT428" s="181"/>
      <c r="AU428" s="181"/>
      <c r="AV428" s="181"/>
      <c r="AW428" s="181"/>
    </row>
    <row r="429" spans="1:49" s="30" customFormat="1" hidden="1" x14ac:dyDescent="0.25">
      <c r="A429" s="1407" t="str">
        <f>IF(COUNTIF('04 - 95% CD'!D429:G429,"Y")&gt;0,"Y",IF(COUNTIF('04 - 95% CD'!D429:G429,"N"),"N",""))</f>
        <v>N</v>
      </c>
      <c r="B429" s="191"/>
      <c r="C429" s="944"/>
      <c r="D429" s="321"/>
      <c r="E429" s="559" t="str">
        <f>IF('C-Design&amp;Const'!$U429="","",'C-Design&amp;Const'!$U429)</f>
        <v>N</v>
      </c>
      <c r="F429" s="560"/>
      <c r="G429" s="558"/>
      <c r="H429" s="410" t="str">
        <f>'04 - 95% CD'!H429</f>
        <v>PLACEHOLDER ROW - OPTIONAL CLIENT CUSTOM ITEM</v>
      </c>
      <c r="I429" s="186"/>
      <c r="J429" s="578" t="str">
        <f>IF('C-Design&amp;Const'!AK429="","",'C-Design&amp;Const'!AK429)</f>
        <v/>
      </c>
      <c r="K429" s="285" t="str">
        <f t="shared" si="46"/>
        <v>match</v>
      </c>
      <c r="L429" s="1410" t="str">
        <f t="shared" si="45"/>
        <v>&lt;---PM/Planner may hide PLACEHOLDER ROW</v>
      </c>
      <c r="M429" s="1382"/>
      <c r="N429" s="1382"/>
      <c r="O429" s="1382"/>
      <c r="P429" s="1382"/>
      <c r="Q429" s="1382"/>
      <c r="R429" s="1490"/>
      <c r="S429" s="1274"/>
      <c r="T429" s="1274"/>
      <c r="U429" s="1382"/>
      <c r="V429" s="1382"/>
      <c r="W429" s="1382"/>
      <c r="X429" s="1382"/>
      <c r="Y429" s="1382"/>
      <c r="Z429" s="1382"/>
      <c r="AA429" s="1382"/>
      <c r="AB429" s="1382"/>
      <c r="AC429" s="1382"/>
      <c r="AD429" s="1382"/>
      <c r="AE429" s="1382"/>
      <c r="AF429" s="1382"/>
      <c r="AG429" s="1382"/>
      <c r="AH429" s="1382"/>
      <c r="AI429" s="1382"/>
      <c r="AJ429" s="1382"/>
      <c r="AK429" s="181"/>
      <c r="AL429" s="181"/>
      <c r="AM429" s="181"/>
      <c r="AN429" s="181"/>
      <c r="AO429" s="181"/>
      <c r="AP429" s="181"/>
      <c r="AQ429" s="181"/>
      <c r="AR429" s="181"/>
      <c r="AS429" s="181"/>
      <c r="AT429" s="181"/>
      <c r="AU429" s="181"/>
      <c r="AV429" s="181"/>
      <c r="AW429" s="181"/>
    </row>
    <row r="430" spans="1:49" s="30" customFormat="1" hidden="1" x14ac:dyDescent="0.25">
      <c r="A430" s="1407" t="str">
        <f>IF(COUNTIF('04 - 95% CD'!D430:G430,"Y")&gt;0,"Y",IF(COUNTIF('04 - 95% CD'!D430:G430,"N"),"N",""))</f>
        <v>N</v>
      </c>
      <c r="B430" s="191"/>
      <c r="C430" s="944"/>
      <c r="D430" s="321"/>
      <c r="E430" s="559" t="str">
        <f>IF('C-Design&amp;Const'!$U430="","",'C-Design&amp;Const'!$U430)</f>
        <v>N</v>
      </c>
      <c r="F430" s="560"/>
      <c r="G430" s="558"/>
      <c r="H430" s="410" t="str">
        <f>'04 - 95% CD'!H430</f>
        <v>PLACEHOLDER ROW - OPTIONAL CLIENT CUSTOM ITEM</v>
      </c>
      <c r="I430" s="186"/>
      <c r="J430" s="578" t="str">
        <f>IF('C-Design&amp;Const'!AK430="","",'C-Design&amp;Const'!AK430)</f>
        <v/>
      </c>
      <c r="K430" s="285" t="str">
        <f t="shared" si="46"/>
        <v>match</v>
      </c>
      <c r="L430" s="1410" t="str">
        <f t="shared" si="45"/>
        <v>&lt;---PM/Planner may hide PLACEHOLDER ROW</v>
      </c>
      <c r="M430" s="1382"/>
      <c r="N430" s="1382"/>
      <c r="O430" s="1382"/>
      <c r="P430" s="1382"/>
      <c r="Q430" s="1382"/>
      <c r="R430" s="1490"/>
      <c r="S430" s="1274"/>
      <c r="T430" s="1274"/>
      <c r="U430" s="1382"/>
      <c r="V430" s="1382"/>
      <c r="W430" s="1382"/>
      <c r="X430" s="1382"/>
      <c r="Y430" s="1382"/>
      <c r="Z430" s="1382"/>
      <c r="AA430" s="1382"/>
      <c r="AB430" s="1382"/>
      <c r="AC430" s="1382"/>
      <c r="AD430" s="1382"/>
      <c r="AE430" s="1382"/>
      <c r="AF430" s="1382"/>
      <c r="AG430" s="1382"/>
      <c r="AH430" s="1382"/>
      <c r="AI430" s="1382"/>
      <c r="AJ430" s="1382"/>
      <c r="AK430" s="181"/>
      <c r="AL430" s="181"/>
      <c r="AM430" s="181"/>
      <c r="AN430" s="181"/>
      <c r="AO430" s="181"/>
      <c r="AP430" s="181"/>
      <c r="AQ430" s="181"/>
      <c r="AR430" s="181"/>
      <c r="AS430" s="181"/>
      <c r="AT430" s="181"/>
      <c r="AU430" s="181"/>
      <c r="AV430" s="181"/>
      <c r="AW430" s="181"/>
    </row>
    <row r="431" spans="1:49" s="30" customFormat="1" hidden="1" x14ac:dyDescent="0.25">
      <c r="A431" s="1407" t="str">
        <f>IF(COUNTIF('04 - 95% CD'!D431:G431,"Y")&gt;0,"Y",IF(COUNTIF('04 - 95% CD'!D431:G431,"N"),"N",""))</f>
        <v>N</v>
      </c>
      <c r="B431" s="191"/>
      <c r="C431" s="944"/>
      <c r="D431" s="321"/>
      <c r="E431" s="559" t="str">
        <f>IF('C-Design&amp;Const'!$U434="","",'C-Design&amp;Const'!$U434)</f>
        <v>N</v>
      </c>
      <c r="F431" s="560"/>
      <c r="G431" s="558"/>
      <c r="H431" s="410" t="str">
        <f>'04 - 95% CD'!H431</f>
        <v>PLACEHOLDER ROW - OPTIONAL CLIENT CUSTOM ITEM</v>
      </c>
      <c r="I431" s="186"/>
      <c r="J431" s="578" t="str">
        <f>IF('C-Design&amp;Const'!AK434="","",'C-Design&amp;Const'!AK434)</f>
        <v/>
      </c>
      <c r="K431" s="285" t="str">
        <f t="shared" si="46"/>
        <v>match</v>
      </c>
      <c r="L431" s="1410" t="str">
        <f t="shared" si="45"/>
        <v>&lt;---PM/Planner may hide PLACEHOLDER ROW</v>
      </c>
      <c r="M431" s="1382"/>
      <c r="N431" s="1382"/>
      <c r="O431" s="1382"/>
      <c r="P431" s="1382"/>
      <c r="Q431" s="1382"/>
      <c r="R431" s="1490"/>
      <c r="S431" s="1274"/>
      <c r="T431" s="1274"/>
      <c r="U431" s="1382"/>
      <c r="V431" s="1382"/>
      <c r="W431" s="1382"/>
      <c r="X431" s="1382"/>
      <c r="Y431" s="1382"/>
      <c r="Z431" s="1382"/>
      <c r="AA431" s="1382"/>
      <c r="AB431" s="1382"/>
      <c r="AC431" s="1382"/>
      <c r="AD431" s="1382"/>
      <c r="AE431" s="1382"/>
      <c r="AF431" s="1382"/>
      <c r="AG431" s="1382"/>
      <c r="AH431" s="1382"/>
      <c r="AI431" s="1382"/>
      <c r="AJ431" s="1382"/>
      <c r="AK431" s="181"/>
      <c r="AL431" s="181"/>
      <c r="AM431" s="181"/>
      <c r="AN431" s="181"/>
      <c r="AO431" s="181"/>
      <c r="AP431" s="181"/>
      <c r="AQ431" s="181"/>
      <c r="AR431" s="181"/>
      <c r="AS431" s="181"/>
      <c r="AT431" s="181"/>
      <c r="AU431" s="181"/>
      <c r="AV431" s="181"/>
      <c r="AW431" s="181"/>
    </row>
    <row r="432" spans="1:49" s="30" customFormat="1" hidden="1" x14ac:dyDescent="0.25">
      <c r="A432" s="1407" t="str">
        <f>IF(COUNTIF('04 - 95% CD'!D432:G432,"Y")&gt;0,"Y",IF(COUNTIF('04 - 95% CD'!D432:G432,"N"),"N",""))</f>
        <v>N</v>
      </c>
      <c r="B432" s="191"/>
      <c r="C432" s="944"/>
      <c r="D432" s="321"/>
      <c r="E432" s="559" t="str">
        <f>IF('C-Design&amp;Const'!$U431="","",'C-Design&amp;Const'!$U431)</f>
        <v>N</v>
      </c>
      <c r="F432" s="560"/>
      <c r="G432" s="558"/>
      <c r="H432" s="410" t="str">
        <f>'04 - 95% CD'!H432</f>
        <v>PLACEHOLDER ROW - OPTIONAL CLIENT CUSTOM ITEM</v>
      </c>
      <c r="I432" s="186"/>
      <c r="J432" s="578" t="str">
        <f>IF('C-Design&amp;Const'!AK431="","",'C-Design&amp;Const'!AK431)</f>
        <v/>
      </c>
      <c r="K432" s="285" t="str">
        <f t="shared" si="46"/>
        <v>match</v>
      </c>
      <c r="L432" s="1410" t="str">
        <f t="shared" si="45"/>
        <v>&lt;---PM/Planner may hide PLACEHOLDER ROW</v>
      </c>
      <c r="M432" s="1382"/>
      <c r="N432" s="1382"/>
      <c r="O432" s="1382"/>
      <c r="P432" s="1382"/>
      <c r="Q432" s="1382"/>
      <c r="R432" s="1490"/>
      <c r="S432" s="1274"/>
      <c r="T432" s="1274"/>
      <c r="U432" s="1382"/>
      <c r="V432" s="1382"/>
      <c r="W432" s="1382"/>
      <c r="X432" s="1382"/>
      <c r="Y432" s="1382"/>
      <c r="Z432" s="1382"/>
      <c r="AA432" s="1382"/>
      <c r="AB432" s="1382"/>
      <c r="AC432" s="1382"/>
      <c r="AD432" s="1382"/>
      <c r="AE432" s="1382"/>
      <c r="AF432" s="1382"/>
      <c r="AG432" s="1382"/>
      <c r="AH432" s="1382"/>
      <c r="AI432" s="1382"/>
      <c r="AJ432" s="1382"/>
      <c r="AK432" s="181"/>
      <c r="AL432" s="181"/>
      <c r="AM432" s="181"/>
      <c r="AN432" s="181"/>
      <c r="AO432" s="181"/>
      <c r="AP432" s="181"/>
      <c r="AQ432" s="181"/>
      <c r="AR432" s="181"/>
      <c r="AS432" s="181"/>
      <c r="AT432" s="181"/>
      <c r="AU432" s="181"/>
      <c r="AV432" s="181"/>
      <c r="AW432" s="181"/>
    </row>
    <row r="433" spans="1:50" s="30" customFormat="1" hidden="1" x14ac:dyDescent="0.25">
      <c r="A433" s="1407" t="str">
        <f>IF(COUNTIF('04 - 95% CD'!D433:G433,"Y")&gt;0,"Y",IF(COUNTIF('04 - 95% CD'!D433:G433,"N"),"N",""))</f>
        <v>N</v>
      </c>
      <c r="B433" s="191"/>
      <c r="C433" s="944"/>
      <c r="D433" s="321"/>
      <c r="E433" s="559" t="str">
        <f>IF('C-Design&amp;Const'!$U432="","",'C-Design&amp;Const'!$U432)</f>
        <v>N</v>
      </c>
      <c r="F433" s="560"/>
      <c r="G433" s="558"/>
      <c r="H433" s="410" t="str">
        <f>'04 - 95% CD'!H433</f>
        <v>PLACEHOLDER ROW - OPTIONAL CLIENT CUSTOM ITEM</v>
      </c>
      <c r="I433" s="186"/>
      <c r="J433" s="578" t="str">
        <f>IF('C-Design&amp;Const'!AK432="","",'C-Design&amp;Const'!AK432)</f>
        <v/>
      </c>
      <c r="K433" s="285" t="str">
        <f t="shared" si="46"/>
        <v>match</v>
      </c>
      <c r="L433" s="1410" t="str">
        <f t="shared" si="45"/>
        <v>&lt;---PM/Planner may hide PLACEHOLDER ROW</v>
      </c>
      <c r="M433" s="1382"/>
      <c r="N433" s="1382"/>
      <c r="O433" s="1382"/>
      <c r="P433" s="1382"/>
      <c r="Q433" s="1382"/>
      <c r="R433" s="1490"/>
      <c r="S433" s="1274"/>
      <c r="T433" s="1274"/>
      <c r="U433" s="1382"/>
      <c r="V433" s="1382"/>
      <c r="W433" s="1382"/>
      <c r="X433" s="1382"/>
      <c r="Y433" s="1382"/>
      <c r="Z433" s="1382"/>
      <c r="AA433" s="1382"/>
      <c r="AB433" s="1382"/>
      <c r="AC433" s="1382"/>
      <c r="AD433" s="1382"/>
      <c r="AE433" s="1382"/>
      <c r="AF433" s="1382"/>
      <c r="AG433" s="1382"/>
      <c r="AH433" s="1382"/>
      <c r="AI433" s="1382"/>
      <c r="AJ433" s="1382"/>
      <c r="AK433" s="181"/>
      <c r="AL433" s="181"/>
      <c r="AM433" s="181"/>
      <c r="AN433" s="181"/>
      <c r="AO433" s="181"/>
      <c r="AP433" s="181"/>
      <c r="AQ433" s="181"/>
      <c r="AR433" s="181"/>
      <c r="AS433" s="181"/>
      <c r="AT433" s="181"/>
      <c r="AU433" s="181"/>
      <c r="AV433" s="181"/>
      <c r="AW433" s="181"/>
    </row>
    <row r="434" spans="1:50" s="30" customFormat="1" hidden="1" x14ac:dyDescent="0.25">
      <c r="A434" s="1407" t="str">
        <f>IF(COUNTIF('04 - 95% CD'!D434:G434,"Y")&gt;0,"Y",IF(COUNTIF('04 - 95% CD'!D434:G434,"N"),"N",""))</f>
        <v>N</v>
      </c>
      <c r="B434" s="191"/>
      <c r="C434" s="944"/>
      <c r="D434" s="321"/>
      <c r="E434" s="559" t="str">
        <f>IF('C-Design&amp;Const'!$U433="","",'C-Design&amp;Const'!$U433)</f>
        <v>N</v>
      </c>
      <c r="F434" s="560"/>
      <c r="G434" s="558"/>
      <c r="H434" s="410" t="str">
        <f>'04 - 95% CD'!H434</f>
        <v>PLACEHOLDER ROW - OPTIONAL CLIENT CUSTOM ITEM</v>
      </c>
      <c r="I434" s="186"/>
      <c r="J434" s="578" t="str">
        <f>IF('C-Design&amp;Const'!AK433="","",'C-Design&amp;Const'!AK433)</f>
        <v/>
      </c>
      <c r="K434" s="285" t="str">
        <f t="shared" si="46"/>
        <v>match</v>
      </c>
      <c r="L434" s="1410" t="str">
        <f t="shared" si="45"/>
        <v>&lt;---PM/Planner may hide PLACEHOLDER ROW</v>
      </c>
      <c r="M434" s="1382"/>
      <c r="N434" s="1382"/>
      <c r="O434" s="1382"/>
      <c r="P434" s="1382"/>
      <c r="Q434" s="1382"/>
      <c r="R434" s="1490"/>
      <c r="S434" s="1274"/>
      <c r="T434" s="1274"/>
      <c r="U434" s="1382"/>
      <c r="V434" s="1382"/>
      <c r="W434" s="1382"/>
      <c r="X434" s="1382"/>
      <c r="Y434" s="1382"/>
      <c r="Z434" s="1382"/>
      <c r="AA434" s="1382"/>
      <c r="AB434" s="1382"/>
      <c r="AC434" s="1382"/>
      <c r="AD434" s="1382"/>
      <c r="AE434" s="1382"/>
      <c r="AF434" s="1382"/>
      <c r="AG434" s="1382"/>
      <c r="AH434" s="1382"/>
      <c r="AI434" s="1382"/>
      <c r="AJ434" s="1382"/>
      <c r="AK434" s="181"/>
      <c r="AL434" s="181"/>
      <c r="AM434" s="181"/>
      <c r="AN434" s="181"/>
      <c r="AO434" s="181"/>
      <c r="AP434" s="181"/>
      <c r="AQ434" s="181"/>
      <c r="AR434" s="181"/>
      <c r="AS434" s="181"/>
      <c r="AT434" s="181"/>
      <c r="AU434" s="181"/>
      <c r="AV434" s="181"/>
      <c r="AW434" s="181"/>
    </row>
    <row r="435" spans="1:50" s="30" customFormat="1" hidden="1" x14ac:dyDescent="0.25">
      <c r="A435" s="1407" t="str">
        <f>IF(COUNTIF('04 - 95% CD'!D435:G435,"Y")&gt;0,"Y",IF(COUNTIF('04 - 95% CD'!D435:G435,"N"),"N",""))</f>
        <v>N</v>
      </c>
      <c r="B435" s="191"/>
      <c r="C435" s="944"/>
      <c r="D435" s="321"/>
      <c r="E435" s="559" t="str">
        <f>IF('C-Design&amp;Const'!$U435="","",'C-Design&amp;Const'!$U435)</f>
        <v>N</v>
      </c>
      <c r="F435" s="560"/>
      <c r="G435" s="558"/>
      <c r="H435" s="410" t="str">
        <f>'04 - 95% CD'!H435</f>
        <v>PLACEHOLDER ROW - OPTIONAL CLIENT CUSTOM ITEM</v>
      </c>
      <c r="I435" s="186"/>
      <c r="J435" s="578" t="str">
        <f>IF('C-Design&amp;Const'!AK435="","",'C-Design&amp;Const'!AK435)</f>
        <v/>
      </c>
      <c r="K435" s="285" t="str">
        <f t="shared" si="46"/>
        <v>match</v>
      </c>
      <c r="L435" s="1410" t="str">
        <f t="shared" si="45"/>
        <v>&lt;---PM/Planner may hide PLACEHOLDER ROW</v>
      </c>
      <c r="M435" s="1382"/>
      <c r="N435" s="1382"/>
      <c r="O435" s="1382"/>
      <c r="P435" s="1382"/>
      <c r="Q435" s="1382"/>
      <c r="R435" s="1490"/>
      <c r="S435" s="1274"/>
      <c r="T435" s="1274"/>
      <c r="U435" s="1382"/>
      <c r="V435" s="1382"/>
      <c r="W435" s="1382"/>
      <c r="X435" s="1382"/>
      <c r="Y435" s="1382"/>
      <c r="Z435" s="1382"/>
      <c r="AA435" s="1382"/>
      <c r="AB435" s="1382"/>
      <c r="AC435" s="1382"/>
      <c r="AD435" s="1382"/>
      <c r="AE435" s="1382"/>
      <c r="AF435" s="1382"/>
      <c r="AG435" s="1382"/>
      <c r="AH435" s="1382"/>
      <c r="AI435" s="1382"/>
      <c r="AJ435" s="1382"/>
      <c r="AK435" s="181"/>
      <c r="AL435" s="181"/>
      <c r="AM435" s="181"/>
      <c r="AN435" s="181"/>
      <c r="AO435" s="181"/>
      <c r="AP435" s="181"/>
      <c r="AQ435" s="181"/>
      <c r="AR435" s="181"/>
      <c r="AS435" s="181"/>
      <c r="AT435" s="181"/>
      <c r="AU435" s="181"/>
      <c r="AV435" s="181"/>
      <c r="AW435" s="181"/>
    </row>
    <row r="436" spans="1:50" s="30" customFormat="1" hidden="1" x14ac:dyDescent="0.25">
      <c r="A436" s="1407" t="str">
        <f>IF(COUNTIF('04 - 95% CD'!D436:G436,"Y")&gt;0,"Y",IF(COUNTIF('04 - 95% CD'!D436:G436,"N"),"N",""))</f>
        <v>N</v>
      </c>
      <c r="B436" s="191"/>
      <c r="C436" s="944"/>
      <c r="D436" s="321"/>
      <c r="E436" s="559" t="str">
        <f>IF('C-Design&amp;Const'!$U436="","",'C-Design&amp;Const'!$U436)</f>
        <v>N</v>
      </c>
      <c r="F436" s="560"/>
      <c r="G436" s="558"/>
      <c r="H436" s="410" t="str">
        <f>'04 - 95% CD'!H436</f>
        <v>PLACEHOLDER ROW - OPTIONAL CLIENT CUSTOM ITEM</v>
      </c>
      <c r="I436" s="186"/>
      <c r="J436" s="578" t="str">
        <f>IF('C-Design&amp;Const'!AK436="","",'C-Design&amp;Const'!AK436)</f>
        <v/>
      </c>
      <c r="K436" s="285" t="str">
        <f t="shared" si="46"/>
        <v>match</v>
      </c>
      <c r="L436" s="1410" t="str">
        <f t="shared" si="45"/>
        <v>&lt;---PM/Planner may hide PLACEHOLDER ROW</v>
      </c>
      <c r="M436" s="1382"/>
      <c r="N436" s="1382"/>
      <c r="O436" s="1382"/>
      <c r="P436" s="1382"/>
      <c r="Q436" s="1382"/>
      <c r="R436" s="1490"/>
      <c r="S436" s="1274"/>
      <c r="T436" s="1274"/>
      <c r="U436" s="1382"/>
      <c r="V436" s="1382"/>
      <c r="W436" s="1382"/>
      <c r="X436" s="1382"/>
      <c r="Y436" s="1382"/>
      <c r="Z436" s="1382"/>
      <c r="AA436" s="1382"/>
      <c r="AB436" s="1382"/>
      <c r="AC436" s="1382"/>
      <c r="AD436" s="1382"/>
      <c r="AE436" s="1382"/>
      <c r="AF436" s="1382"/>
      <c r="AG436" s="1382"/>
      <c r="AH436" s="1382"/>
      <c r="AI436" s="1382"/>
      <c r="AJ436" s="1382"/>
      <c r="AK436" s="181"/>
      <c r="AL436" s="181"/>
      <c r="AM436" s="181"/>
      <c r="AN436" s="181"/>
      <c r="AO436" s="181"/>
      <c r="AP436" s="181"/>
      <c r="AQ436" s="181"/>
      <c r="AR436" s="181"/>
      <c r="AS436" s="181"/>
      <c r="AT436" s="181"/>
      <c r="AU436" s="181"/>
      <c r="AV436" s="181"/>
      <c r="AW436" s="181"/>
    </row>
    <row r="437" spans="1:50" s="30" customFormat="1" hidden="1" x14ac:dyDescent="0.25">
      <c r="A437" s="1407" t="str">
        <f>IF(COUNTIF('04 - 95% CD'!D437:G437,"Y")&gt;0,"Y",IF(COUNTIF('04 - 95% CD'!D437:G437,"N"),"N",""))</f>
        <v>N</v>
      </c>
      <c r="B437" s="191"/>
      <c r="C437" s="944"/>
      <c r="D437" s="321"/>
      <c r="E437" s="559" t="str">
        <f>IF('C-Design&amp;Const'!$U437="","",'C-Design&amp;Const'!$U437)</f>
        <v>N</v>
      </c>
      <c r="F437" s="560"/>
      <c r="G437" s="558"/>
      <c r="H437" s="410" t="str">
        <f>'04 - 95% CD'!H437</f>
        <v>PLACEHOLDER ROW - OPTIONAL CLIENT CUSTOM ITEM</v>
      </c>
      <c r="I437" s="186"/>
      <c r="J437" s="578" t="str">
        <f>IF('C-Design&amp;Const'!AK437="","",'C-Design&amp;Const'!AK437)</f>
        <v/>
      </c>
      <c r="K437" s="285" t="str">
        <f t="shared" si="46"/>
        <v>match</v>
      </c>
      <c r="L437" s="1410" t="str">
        <f t="shared" si="45"/>
        <v>&lt;---PM/Planner may hide PLACEHOLDER ROW</v>
      </c>
      <c r="M437" s="1382"/>
      <c r="N437" s="1382"/>
      <c r="O437" s="1382"/>
      <c r="P437" s="1382"/>
      <c r="Q437" s="1382"/>
      <c r="R437" s="1490"/>
      <c r="S437" s="1274"/>
      <c r="T437" s="1274"/>
      <c r="U437" s="1382"/>
      <c r="V437" s="1382"/>
      <c r="W437" s="1382"/>
      <c r="X437" s="1382"/>
      <c r="Y437" s="1382"/>
      <c r="Z437" s="1382"/>
      <c r="AA437" s="1382"/>
      <c r="AB437" s="1382"/>
      <c r="AC437" s="1382"/>
      <c r="AD437" s="1382"/>
      <c r="AE437" s="1382"/>
      <c r="AF437" s="1382"/>
      <c r="AG437" s="1382"/>
      <c r="AH437" s="1382"/>
      <c r="AI437" s="1382"/>
      <c r="AJ437" s="1382"/>
      <c r="AK437" s="181"/>
      <c r="AL437" s="181"/>
      <c r="AM437" s="181"/>
      <c r="AN437" s="181"/>
      <c r="AO437" s="181"/>
      <c r="AP437" s="181"/>
      <c r="AQ437" s="181"/>
      <c r="AR437" s="181"/>
      <c r="AS437" s="181"/>
      <c r="AT437" s="181"/>
      <c r="AU437" s="181"/>
      <c r="AV437" s="181"/>
      <c r="AW437" s="181"/>
    </row>
    <row r="438" spans="1:50" s="30" customFormat="1" hidden="1" x14ac:dyDescent="0.25">
      <c r="A438" s="1407" t="str">
        <f>IF(COUNTIF('04 - 95% CD'!D438:G438,"Y")&gt;0,"Y",IF(COUNTIF('04 - 95% CD'!D438:G438,"N"),"N",""))</f>
        <v>N</v>
      </c>
      <c r="B438" s="191"/>
      <c r="C438" s="944"/>
      <c r="D438" s="321"/>
      <c r="E438" s="559" t="str">
        <f>IF('C-Design&amp;Const'!$U438="","",'C-Design&amp;Const'!$U438)</f>
        <v>N</v>
      </c>
      <c r="F438" s="560"/>
      <c r="G438" s="558"/>
      <c r="H438" s="410" t="str">
        <f>'04 - 95% CD'!H438</f>
        <v>PLACEHOLDER ROW - OPTIONAL CLIENT CUSTOM ITEM</v>
      </c>
      <c r="I438" s="186"/>
      <c r="J438" s="578" t="str">
        <f>IF('C-Design&amp;Const'!AK438="","",'C-Design&amp;Const'!AK438)</f>
        <v/>
      </c>
      <c r="K438" s="285" t="str">
        <f t="shared" si="46"/>
        <v>match</v>
      </c>
      <c r="L438" s="1410" t="str">
        <f t="shared" si="45"/>
        <v>&lt;---PM/Planner may hide PLACEHOLDER ROW</v>
      </c>
      <c r="M438" s="1382"/>
      <c r="N438" s="1382"/>
      <c r="O438" s="1382"/>
      <c r="P438" s="1382"/>
      <c r="Q438" s="1382"/>
      <c r="R438" s="1490"/>
      <c r="S438" s="1274"/>
      <c r="T438" s="1274"/>
      <c r="U438" s="1382"/>
      <c r="V438" s="1382"/>
      <c r="W438" s="1382"/>
      <c r="X438" s="1382"/>
      <c r="Y438" s="1382"/>
      <c r="Z438" s="1382"/>
      <c r="AA438" s="1382"/>
      <c r="AB438" s="1382"/>
      <c r="AC438" s="1382"/>
      <c r="AD438" s="1382"/>
      <c r="AE438" s="1382"/>
      <c r="AF438" s="1382"/>
      <c r="AG438" s="1382"/>
      <c r="AH438" s="1382"/>
      <c r="AI438" s="1382"/>
      <c r="AJ438" s="1382"/>
      <c r="AK438" s="181"/>
      <c r="AL438" s="181"/>
      <c r="AM438" s="181"/>
      <c r="AN438" s="181"/>
      <c r="AO438" s="181"/>
      <c r="AP438" s="181"/>
      <c r="AQ438" s="181"/>
      <c r="AR438" s="181"/>
      <c r="AS438" s="181"/>
      <c r="AT438" s="181"/>
      <c r="AU438" s="181"/>
      <c r="AV438" s="181"/>
      <c r="AW438" s="181"/>
    </row>
    <row r="439" spans="1:50" s="30" customFormat="1" hidden="1" x14ac:dyDescent="0.25">
      <c r="A439" s="1407" t="str">
        <f>IF(COUNTIF('04 - 95% CD'!D439:G439,"Y")&gt;0,"Y",IF(COUNTIF('04 - 95% CD'!D439:G439,"N"),"N",""))</f>
        <v>N</v>
      </c>
      <c r="B439" s="191"/>
      <c r="C439" s="944"/>
      <c r="D439" s="321"/>
      <c r="E439" s="559" t="str">
        <f>IF('C-Design&amp;Const'!$U439="","",'C-Design&amp;Const'!$U439)</f>
        <v>N</v>
      </c>
      <c r="F439" s="560"/>
      <c r="G439" s="558"/>
      <c r="H439" s="410" t="str">
        <f>'04 - 95% CD'!H439</f>
        <v>PLACEHOLDER ROW - OPTIONAL CLIENT CUSTOM ITEM</v>
      </c>
      <c r="I439" s="186"/>
      <c r="J439" s="578" t="str">
        <f>IF('C-Design&amp;Const'!AK439="","",'C-Design&amp;Const'!AK439)</f>
        <v/>
      </c>
      <c r="K439" s="285" t="str">
        <f t="shared" si="46"/>
        <v>match</v>
      </c>
      <c r="L439" s="1410" t="str">
        <f t="shared" si="45"/>
        <v>&lt;---PM/Planner may hide PLACEHOLDER ROW</v>
      </c>
      <c r="M439" s="1382"/>
      <c r="N439" s="1382"/>
      <c r="O439" s="1382"/>
      <c r="P439" s="1382"/>
      <c r="Q439" s="1382"/>
      <c r="R439" s="1490"/>
      <c r="S439" s="1274"/>
      <c r="T439" s="1274"/>
      <c r="U439" s="1382"/>
      <c r="V439" s="1382"/>
      <c r="W439" s="1382"/>
      <c r="X439" s="1382"/>
      <c r="Y439" s="1382"/>
      <c r="Z439" s="1382"/>
      <c r="AA439" s="1382"/>
      <c r="AB439" s="1382"/>
      <c r="AC439" s="1382"/>
      <c r="AD439" s="1382"/>
      <c r="AE439" s="1382"/>
      <c r="AF439" s="1382"/>
      <c r="AG439" s="1382"/>
      <c r="AH439" s="1382"/>
      <c r="AI439" s="1382"/>
      <c r="AJ439" s="1382"/>
      <c r="AK439" s="181"/>
      <c r="AL439" s="181"/>
      <c r="AM439" s="181"/>
      <c r="AN439" s="181"/>
      <c r="AO439" s="181"/>
      <c r="AP439" s="181"/>
      <c r="AQ439" s="181"/>
      <c r="AR439" s="181"/>
      <c r="AS439" s="181"/>
      <c r="AT439" s="181"/>
      <c r="AU439" s="181"/>
      <c r="AV439" s="181"/>
      <c r="AW439" s="181"/>
    </row>
    <row r="440" spans="1:50" s="30" customFormat="1" hidden="1" x14ac:dyDescent="0.25">
      <c r="A440" s="1407" t="str">
        <f>IF(COUNTIF('04 - 95% CD'!D440:G440,"Y")&gt;0,"Y",IF(COUNTIF('04 - 95% CD'!D440:G440,"N"),"N",""))</f>
        <v>N</v>
      </c>
      <c r="B440" s="191"/>
      <c r="C440" s="944"/>
      <c r="D440" s="321"/>
      <c r="E440" s="559" t="str">
        <f>IF('C-Design&amp;Const'!$U440="","",'C-Design&amp;Const'!$U440)</f>
        <v>N</v>
      </c>
      <c r="F440" s="560"/>
      <c r="G440" s="558"/>
      <c r="H440" s="410" t="str">
        <f>'04 - 95% CD'!H440</f>
        <v>PLACEHOLDER ROW - OPTIONAL CLIENT CUSTOM ITEM</v>
      </c>
      <c r="I440" s="186"/>
      <c r="J440" s="578" t="str">
        <f>IF('C-Design&amp;Const'!AK440="","",'C-Design&amp;Const'!AK440)</f>
        <v/>
      </c>
      <c r="K440" s="285" t="str">
        <f t="shared" si="46"/>
        <v>match</v>
      </c>
      <c r="L440" s="1410" t="str">
        <f t="shared" si="45"/>
        <v>&lt;---PM/Planner may hide PLACEHOLDER ROW</v>
      </c>
      <c r="M440" s="1382"/>
      <c r="N440" s="1382"/>
      <c r="O440" s="1382"/>
      <c r="P440" s="1382"/>
      <c r="Q440" s="1382"/>
      <c r="R440" s="1490"/>
      <c r="S440" s="1274"/>
      <c r="T440" s="1274"/>
      <c r="U440" s="1382"/>
      <c r="V440" s="1382"/>
      <c r="W440" s="1382"/>
      <c r="X440" s="1382"/>
      <c r="Y440" s="1382"/>
      <c r="Z440" s="1382"/>
      <c r="AA440" s="1382"/>
      <c r="AB440" s="1382"/>
      <c r="AC440" s="1382"/>
      <c r="AD440" s="1382"/>
      <c r="AE440" s="1382"/>
      <c r="AF440" s="1382"/>
      <c r="AG440" s="1382"/>
      <c r="AH440" s="1382"/>
      <c r="AI440" s="1382"/>
      <c r="AJ440" s="1382"/>
      <c r="AK440" s="181"/>
      <c r="AL440" s="181"/>
      <c r="AM440" s="181"/>
      <c r="AN440" s="181"/>
      <c r="AO440" s="181"/>
      <c r="AP440" s="181"/>
      <c r="AQ440" s="181"/>
      <c r="AR440" s="181"/>
      <c r="AS440" s="181"/>
      <c r="AT440" s="181"/>
      <c r="AU440" s="181"/>
      <c r="AV440" s="181"/>
      <c r="AW440" s="181"/>
    </row>
    <row r="441" spans="1:50" s="30" customFormat="1" x14ac:dyDescent="0.25">
      <c r="A441" s="1407" t="str">
        <f>IF(COUNTIF('04 - 95% CD'!D441:G441,"Y")&gt;0,"Y",IF(COUNTIF('04 - 95% CD'!D441:G441,"N"),"N",""))</f>
        <v/>
      </c>
      <c r="B441" s="191"/>
      <c r="C441" s="944"/>
      <c r="D441" s="411"/>
      <c r="E441" s="411"/>
      <c r="F441" s="411"/>
      <c r="G441" s="511"/>
      <c r="H441" s="411"/>
      <c r="I441" s="186"/>
      <c r="J441" s="578" t="str">
        <f>IF('C-Design&amp;Const'!AK441="","",'C-Design&amp;Const'!AK441)</f>
        <v/>
      </c>
      <c r="K441" s="285" t="str">
        <f t="shared" si="46"/>
        <v>match</v>
      </c>
      <c r="L441" s="1410" t="str">
        <f t="shared" si="45"/>
        <v/>
      </c>
      <c r="M441" s="1382"/>
      <c r="N441" s="1382"/>
      <c r="O441" s="1382"/>
      <c r="P441" s="1382"/>
      <c r="Q441" s="1382"/>
      <c r="R441" s="1490"/>
      <c r="S441" s="1274"/>
      <c r="T441" s="1274"/>
      <c r="U441" s="1382"/>
      <c r="V441" s="1382"/>
      <c r="W441" s="1382"/>
      <c r="X441" s="1382"/>
      <c r="Y441" s="1382"/>
      <c r="Z441" s="1382"/>
      <c r="AA441" s="1382"/>
      <c r="AB441" s="1382"/>
      <c r="AC441" s="1382"/>
      <c r="AD441" s="1382"/>
      <c r="AE441" s="1382"/>
      <c r="AF441" s="1382"/>
      <c r="AG441" s="1382"/>
      <c r="AH441" s="1382"/>
      <c r="AI441" s="1382"/>
      <c r="AJ441" s="1382"/>
      <c r="AK441" s="181"/>
      <c r="AL441" s="181"/>
      <c r="AM441" s="181"/>
      <c r="AN441" s="181"/>
      <c r="AO441" s="181"/>
      <c r="AP441" s="181"/>
      <c r="AQ441" s="181"/>
      <c r="AR441" s="181"/>
      <c r="AS441" s="181"/>
      <c r="AT441" s="181"/>
      <c r="AU441" s="181"/>
      <c r="AV441" s="181"/>
      <c r="AW441" s="181"/>
    </row>
    <row r="442" spans="1:50" s="30" customFormat="1" x14ac:dyDescent="0.25">
      <c r="A442" s="1407" t="str">
        <f>IF(COUNTIF('04 - 95% CD'!D442:G442,"Y")&gt;0,"Y",IF(COUNTIF('04 - 95% CD'!D442:G442,"N"),"N",""))</f>
        <v/>
      </c>
      <c r="B442" s="191"/>
      <c r="C442" s="944"/>
      <c r="D442" s="411"/>
      <c r="E442" s="411"/>
      <c r="F442" s="411"/>
      <c r="G442" s="511"/>
      <c r="H442" s="411"/>
      <c r="I442" s="186"/>
      <c r="J442" s="578" t="str">
        <f>IF('C-Design&amp;Const'!AK442="","",'C-Design&amp;Const'!AK442)</f>
        <v/>
      </c>
      <c r="K442" s="285" t="str">
        <f t="shared" si="46"/>
        <v>match</v>
      </c>
      <c r="L442" s="1410" t="str">
        <f t="shared" si="45"/>
        <v/>
      </c>
      <c r="M442" s="1382"/>
      <c r="N442" s="1382"/>
      <c r="O442" s="1382"/>
      <c r="P442" s="1382"/>
      <c r="Q442" s="1382"/>
      <c r="R442" s="1490"/>
      <c r="S442" s="1274"/>
      <c r="T442" s="1274"/>
      <c r="U442" s="1382"/>
      <c r="V442" s="1382"/>
      <c r="W442" s="1382"/>
      <c r="X442" s="1382"/>
      <c r="Y442" s="1382"/>
      <c r="Z442" s="1382"/>
      <c r="AA442" s="1382"/>
      <c r="AB442" s="1382"/>
      <c r="AC442" s="1382"/>
      <c r="AD442" s="1382"/>
      <c r="AE442" s="1382"/>
      <c r="AF442" s="1382"/>
      <c r="AG442" s="1382"/>
      <c r="AH442" s="1382"/>
      <c r="AI442" s="1382"/>
      <c r="AJ442" s="1382"/>
      <c r="AK442" s="181"/>
      <c r="AL442" s="181"/>
      <c r="AM442" s="181"/>
      <c r="AN442" s="181"/>
      <c r="AO442" s="181"/>
      <c r="AP442" s="181"/>
      <c r="AQ442" s="181"/>
      <c r="AR442" s="181"/>
      <c r="AS442" s="181"/>
      <c r="AT442" s="181"/>
      <c r="AU442" s="181"/>
      <c r="AV442" s="181"/>
      <c r="AW442" s="181"/>
    </row>
    <row r="443" spans="1:50" s="181" customFormat="1" ht="36.75" customHeight="1" x14ac:dyDescent="0.25">
      <c r="A443" s="1501" t="str">
        <f>IF(COUNTIF('04 - 95% CD'!D443:G443,"Y")&gt;0,"Y",IF(COUNTIF('04 - 95% CD'!D443:G443,"N"),"N",""))</f>
        <v>N</v>
      </c>
      <c r="B443" s="177"/>
      <c r="C443" s="944"/>
      <c r="D443" s="559" t="str">
        <f>IF('C-Design&amp;Const'!$U443="","",'C-Design&amp;Const'!$U443)</f>
        <v>N</v>
      </c>
      <c r="E443" s="234"/>
      <c r="F443" s="235"/>
      <c r="G443" s="291" t="str">
        <f>IF('C-Design&amp;Const'!Y443="","",'C-Design&amp;Const'!Y443)</f>
        <v>09.</v>
      </c>
      <c r="H443" s="290" t="str">
        <f>CONCATENATE('C-Design&amp;Const'!Z443,IF(D443="N"," Not Used In This Construction Phase",J443))</f>
        <v>Illinois State Historic Preservation Office (ISHPO) Not Used In This Construction Phase</v>
      </c>
      <c r="I443" s="184"/>
      <c r="J443" s="578" t="str">
        <f>IF('C-Design&amp;Const'!AK443="","",'C-Design&amp;Const'!AK443)</f>
        <v/>
      </c>
      <c r="K443" s="285" t="str">
        <f t="shared" si="46"/>
        <v>match</v>
      </c>
      <c r="L443" s="1410" t="str">
        <f t="shared" ref="L443:L506" si="47">CONCATENATE(IF(ISNUMBER(SEARCH("Placeholder",H443))=TRUE,"&lt;---PM/Planner may hide PLACEHOLDER ROW",""))</f>
        <v/>
      </c>
      <c r="M443" s="1382"/>
      <c r="N443" s="1382"/>
      <c r="O443" s="1382"/>
      <c r="P443" s="1382"/>
      <c r="Q443" s="1382"/>
      <c r="R443" s="1447"/>
      <c r="S443" s="1448"/>
      <c r="T443" s="1274"/>
      <c r="U443" s="1382"/>
      <c r="V443" s="1382"/>
      <c r="W443" s="1382"/>
      <c r="X443" s="1382"/>
      <c r="Y443" s="1382"/>
      <c r="Z443" s="1382"/>
      <c r="AA443" s="1382"/>
      <c r="AB443" s="1382"/>
      <c r="AC443" s="1382"/>
      <c r="AD443" s="1382"/>
      <c r="AE443" s="1382"/>
      <c r="AF443" s="1382"/>
      <c r="AG443" s="1382"/>
      <c r="AH443" s="1382"/>
      <c r="AI443" s="1382"/>
      <c r="AJ443" s="1382"/>
      <c r="AX443" s="30"/>
    </row>
    <row r="444" spans="1:50" s="181" customFormat="1" ht="15" hidden="1" customHeight="1" x14ac:dyDescent="0.25">
      <c r="A444" s="1407" t="str">
        <f>IF(COUNTIF('04 - 95% CD'!D444:G444,"Y")&gt;0,"Y",IF(COUNTIF('04 - 95% CD'!D444:G444,"N"),"N",""))</f>
        <v>N</v>
      </c>
      <c r="B444" s="177"/>
      <c r="C444" s="944"/>
      <c r="D444" s="321"/>
      <c r="E444" s="559" t="str">
        <f>IF('C-Design&amp;Const'!$U444="","",'C-Design&amp;Const'!$U444)</f>
        <v>N</v>
      </c>
      <c r="F444" s="560"/>
      <c r="G444" s="558"/>
      <c r="H444" s="410" t="str">
        <f>'04 - 95% CD'!H444</f>
        <v>Meeting notes from walk through with ISHPO</v>
      </c>
      <c r="I444" s="186"/>
      <c r="J444" s="578" t="str">
        <f>IF('C-Design&amp;Const'!AK444="","",'C-Design&amp;Const'!AK444)</f>
        <v/>
      </c>
      <c r="K444" s="285" t="str">
        <f t="shared" ref="K444" si="48">IF((COUNTIF(D444:F444,"Y")=COUNTIF(A444,"Y")),"match","no 95% match")</f>
        <v>match</v>
      </c>
      <c r="L444" s="1410" t="str">
        <f t="shared" si="47"/>
        <v/>
      </c>
      <c r="M444" s="1382"/>
      <c r="N444" s="1382"/>
      <c r="O444" s="1382"/>
      <c r="P444" s="1382"/>
      <c r="Q444" s="1382"/>
      <c r="R444" s="1447"/>
      <c r="S444" s="1448"/>
      <c r="T444" s="1274"/>
      <c r="U444" s="1382"/>
      <c r="V444" s="1382"/>
      <c r="W444" s="1382"/>
      <c r="X444" s="1382"/>
      <c r="Y444" s="1382"/>
      <c r="Z444" s="1382"/>
      <c r="AA444" s="1382"/>
      <c r="AB444" s="1382"/>
      <c r="AC444" s="1382"/>
      <c r="AD444" s="1382"/>
      <c r="AE444" s="1382"/>
      <c r="AF444" s="1382"/>
      <c r="AG444" s="1382"/>
      <c r="AH444" s="1382"/>
      <c r="AI444" s="1382"/>
      <c r="AJ444" s="1382"/>
      <c r="AX444" s="30"/>
    </row>
    <row r="445" spans="1:50" s="181" customFormat="1" ht="15" hidden="1" customHeight="1" x14ac:dyDescent="0.25">
      <c r="A445" s="1407" t="str">
        <f>IF(COUNTIF('04 - 95% CD'!D445:G445,"Y")&gt;0,"Y",IF(COUNTIF('04 - 95% CD'!D445:G445,"N"),"N",""))</f>
        <v>N</v>
      </c>
      <c r="B445" s="177"/>
      <c r="C445" s="944"/>
      <c r="D445" s="321"/>
      <c r="E445" s="559" t="str">
        <f>IF('C-Design&amp;Const'!$U445="","",'C-Design&amp;Const'!$U445)</f>
        <v>N</v>
      </c>
      <c r="F445" s="560"/>
      <c r="G445" s="558"/>
      <c r="H445" s="410" t="str">
        <f>'04 - 95% CD'!H445</f>
        <v>Narrative on building and historical significance</v>
      </c>
      <c r="I445" s="186"/>
      <c r="J445" s="578" t="str">
        <f>IF('C-Design&amp;Const'!AK445="","",'C-Design&amp;Const'!AK445)</f>
        <v/>
      </c>
      <c r="K445" s="285" t="str">
        <f t="shared" ref="K445:K454" si="49">IF((COUNTIF(D445:F445,"Y")=COUNTIF(A445,"Y")),"match","no 95% match")</f>
        <v>match</v>
      </c>
      <c r="L445" s="1410" t="str">
        <f t="shared" si="47"/>
        <v/>
      </c>
      <c r="M445" s="1382"/>
      <c r="N445" s="1382"/>
      <c r="O445" s="1382"/>
      <c r="P445" s="1382"/>
      <c r="Q445" s="1382"/>
      <c r="R445" s="1447"/>
      <c r="S445" s="1448"/>
      <c r="T445" s="1274"/>
      <c r="U445" s="1382"/>
      <c r="V445" s="1382"/>
      <c r="W445" s="1382"/>
      <c r="X445" s="1382"/>
      <c r="Y445" s="1382"/>
      <c r="Z445" s="1382"/>
      <c r="AA445" s="1382"/>
      <c r="AB445" s="1382"/>
      <c r="AC445" s="1382"/>
      <c r="AD445" s="1382"/>
      <c r="AE445" s="1382"/>
      <c r="AF445" s="1382"/>
      <c r="AG445" s="1382"/>
      <c r="AH445" s="1382"/>
      <c r="AI445" s="1382"/>
      <c r="AJ445" s="1382"/>
      <c r="AX445" s="30"/>
    </row>
    <row r="446" spans="1:50" s="181" customFormat="1" ht="15" hidden="1" customHeight="1" x14ac:dyDescent="0.25">
      <c r="A446" s="1407" t="str">
        <f>IF(COUNTIF('04 - 95% CD'!D446:G446,"Y")&gt;0,"Y",IF(COUNTIF('04 - 95% CD'!D446:G446,"N"),"N",""))</f>
        <v>N</v>
      </c>
      <c r="B446" s="177"/>
      <c r="C446" s="944"/>
      <c r="D446" s="321"/>
      <c r="E446" s="559" t="str">
        <f>IF('C-Design&amp;Const'!$U446="","",'C-Design&amp;Const'!$U446)</f>
        <v>N</v>
      </c>
      <c r="F446" s="560"/>
      <c r="G446" s="558"/>
      <c r="H446" s="410" t="str">
        <f>'04 - 95% CD'!H446</f>
        <v>Exterior Photographic Documentation</v>
      </c>
      <c r="I446" s="186"/>
      <c r="J446" s="578" t="str">
        <f>IF('C-Design&amp;Const'!AK446="","",'C-Design&amp;Const'!AK446)</f>
        <v/>
      </c>
      <c r="K446" s="285" t="str">
        <f t="shared" si="49"/>
        <v>match</v>
      </c>
      <c r="L446" s="1410" t="str">
        <f t="shared" si="47"/>
        <v/>
      </c>
      <c r="M446" s="1382"/>
      <c r="N446" s="1382"/>
      <c r="O446" s="1382"/>
      <c r="P446" s="1382"/>
      <c r="Q446" s="1382"/>
      <c r="R446" s="1447"/>
      <c r="S446" s="1448"/>
      <c r="T446" s="1274"/>
      <c r="U446" s="1382"/>
      <c r="V446" s="1382"/>
      <c r="W446" s="1382"/>
      <c r="X446" s="1382"/>
      <c r="Y446" s="1382"/>
      <c r="Z446" s="1382"/>
      <c r="AA446" s="1382"/>
      <c r="AB446" s="1382"/>
      <c r="AC446" s="1382"/>
      <c r="AD446" s="1382"/>
      <c r="AE446" s="1382"/>
      <c r="AF446" s="1382"/>
      <c r="AG446" s="1382"/>
      <c r="AH446" s="1382"/>
      <c r="AI446" s="1382"/>
      <c r="AJ446" s="1382"/>
      <c r="AX446" s="30"/>
    </row>
    <row r="447" spans="1:50" s="181" customFormat="1" ht="15" hidden="1" customHeight="1" x14ac:dyDescent="0.25">
      <c r="A447" s="1407" t="str">
        <f>IF(COUNTIF('04 - 95% CD'!D447:G447,"Y")&gt;0,"Y",IF(COUNTIF('04 - 95% CD'!D447:G447,"N"),"N",""))</f>
        <v>N</v>
      </c>
      <c r="B447" s="177"/>
      <c r="C447" s="944"/>
      <c r="D447" s="321"/>
      <c r="E447" s="559" t="str">
        <f>IF('C-Design&amp;Const'!$U447="","",'C-Design&amp;Const'!$U447)</f>
        <v>N</v>
      </c>
      <c r="F447" s="560"/>
      <c r="G447" s="558"/>
      <c r="H447" s="410" t="str">
        <f>'04 - 95% CD'!H447</f>
        <v>Exterior preservation drawings</v>
      </c>
      <c r="I447" s="186"/>
      <c r="J447" s="578" t="str">
        <f>IF('C-Design&amp;Const'!AK447="","",'C-Design&amp;Const'!AK447)</f>
        <v/>
      </c>
      <c r="K447" s="285" t="str">
        <f t="shared" si="49"/>
        <v>match</v>
      </c>
      <c r="L447" s="1410" t="str">
        <f t="shared" si="47"/>
        <v/>
      </c>
      <c r="M447" s="1382"/>
      <c r="N447" s="1382"/>
      <c r="O447" s="1382"/>
      <c r="P447" s="1382"/>
      <c r="Q447" s="1382"/>
      <c r="R447" s="1447"/>
      <c r="S447" s="1448"/>
      <c r="T447" s="1274"/>
      <c r="U447" s="1382"/>
      <c r="V447" s="1382"/>
      <c r="W447" s="1382"/>
      <c r="X447" s="1382"/>
      <c r="Y447" s="1382"/>
      <c r="Z447" s="1382"/>
      <c r="AA447" s="1382"/>
      <c r="AB447" s="1382"/>
      <c r="AC447" s="1382"/>
      <c r="AD447" s="1382"/>
      <c r="AE447" s="1382"/>
      <c r="AF447" s="1382"/>
      <c r="AG447" s="1382"/>
      <c r="AH447" s="1382"/>
      <c r="AI447" s="1382"/>
      <c r="AJ447" s="1382"/>
      <c r="AX447" s="30"/>
    </row>
    <row r="448" spans="1:50" s="181" customFormat="1" ht="15" hidden="1" customHeight="1" x14ac:dyDescent="0.25">
      <c r="A448" s="1407" t="str">
        <f>IF(COUNTIF('04 - 95% CD'!D448:G448,"Y")&gt;0,"Y",IF(COUNTIF('04 - 95% CD'!D448:G448,"N"),"N",""))</f>
        <v>N</v>
      </c>
      <c r="B448" s="177"/>
      <c r="C448" s="944"/>
      <c r="D448" s="321"/>
      <c r="E448" s="559" t="str">
        <f>IF('C-Design&amp;Const'!$U448="","",'C-Design&amp;Const'!$U448)</f>
        <v>N</v>
      </c>
      <c r="F448" s="560"/>
      <c r="G448" s="558"/>
      <c r="H448" s="410" t="str">
        <f>'04 - 95% CD'!H448</f>
        <v>Interior Photographic Documentation</v>
      </c>
      <c r="I448" s="186"/>
      <c r="J448" s="578" t="str">
        <f>IF('C-Design&amp;Const'!AK448="","",'C-Design&amp;Const'!AK448)</f>
        <v/>
      </c>
      <c r="K448" s="285" t="str">
        <f t="shared" si="49"/>
        <v>match</v>
      </c>
      <c r="L448" s="1410" t="str">
        <f t="shared" si="47"/>
        <v/>
      </c>
      <c r="M448" s="1382"/>
      <c r="N448" s="1382"/>
      <c r="O448" s="1382"/>
      <c r="P448" s="1382"/>
      <c r="Q448" s="1382"/>
      <c r="R448" s="1447"/>
      <c r="S448" s="1448"/>
      <c r="T448" s="1274"/>
      <c r="U448" s="1382"/>
      <c r="V448" s="1382"/>
      <c r="W448" s="1382"/>
      <c r="X448" s="1382"/>
      <c r="Y448" s="1382"/>
      <c r="Z448" s="1382"/>
      <c r="AA448" s="1382"/>
      <c r="AB448" s="1382"/>
      <c r="AC448" s="1382"/>
      <c r="AD448" s="1382"/>
      <c r="AE448" s="1382"/>
      <c r="AF448" s="1382"/>
      <c r="AG448" s="1382"/>
      <c r="AH448" s="1382"/>
      <c r="AI448" s="1382"/>
      <c r="AJ448" s="1382"/>
      <c r="AX448" s="30"/>
    </row>
    <row r="449" spans="1:50" s="181" customFormat="1" ht="15" hidden="1" customHeight="1" x14ac:dyDescent="0.25">
      <c r="A449" s="1407" t="str">
        <f>IF(COUNTIF('04 - 95% CD'!D449:G449,"Y")&gt;0,"Y",IF(COUNTIF('04 - 95% CD'!D449:G449,"N"),"N",""))</f>
        <v>N</v>
      </c>
      <c r="B449" s="177"/>
      <c r="C449" s="944"/>
      <c r="D449" s="321"/>
      <c r="E449" s="559" t="str">
        <f>IF('C-Design&amp;Const'!$U449="","",'C-Design&amp;Const'!$U449)</f>
        <v>N</v>
      </c>
      <c r="F449" s="560"/>
      <c r="G449" s="558"/>
      <c r="H449" s="410" t="str">
        <f>'04 - 95% CD'!H449</f>
        <v>Interior preservation drawings</v>
      </c>
      <c r="I449" s="186"/>
      <c r="J449" s="578" t="str">
        <f>IF('C-Design&amp;Const'!AK449="","",'C-Design&amp;Const'!AK449)</f>
        <v/>
      </c>
      <c r="K449" s="285" t="str">
        <f t="shared" si="49"/>
        <v>match</v>
      </c>
      <c r="L449" s="1410" t="str">
        <f t="shared" si="47"/>
        <v/>
      </c>
      <c r="M449" s="1382"/>
      <c r="N449" s="1382"/>
      <c r="O449" s="1382"/>
      <c r="P449" s="1382"/>
      <c r="Q449" s="1382"/>
      <c r="R449" s="1447"/>
      <c r="S449" s="1448"/>
      <c r="T449" s="1274"/>
      <c r="U449" s="1382"/>
      <c r="V449" s="1382"/>
      <c r="W449" s="1382"/>
      <c r="X449" s="1382"/>
      <c r="Y449" s="1382"/>
      <c r="Z449" s="1382"/>
      <c r="AA449" s="1382"/>
      <c r="AB449" s="1382"/>
      <c r="AC449" s="1382"/>
      <c r="AD449" s="1382"/>
      <c r="AE449" s="1382"/>
      <c r="AF449" s="1382"/>
      <c r="AG449" s="1382"/>
      <c r="AH449" s="1382"/>
      <c r="AI449" s="1382"/>
      <c r="AJ449" s="1382"/>
      <c r="AX449" s="30"/>
    </row>
    <row r="450" spans="1:50" s="181" customFormat="1" ht="15" hidden="1" customHeight="1" x14ac:dyDescent="0.25">
      <c r="A450" s="1407" t="str">
        <f>IF(COUNTIF('04 - 95% CD'!D450:G450,"Y")&gt;0,"Y",IF(COUNTIF('04 - 95% CD'!D450:G450,"N"),"N",""))</f>
        <v>N</v>
      </c>
      <c r="B450" s="177"/>
      <c r="C450" s="944"/>
      <c r="D450" s="321"/>
      <c r="E450" s="559" t="str">
        <f>IF('C-Design&amp;Const'!$U450="","",'C-Design&amp;Const'!$U450)</f>
        <v>N</v>
      </c>
      <c r="F450" s="560"/>
      <c r="G450" s="558"/>
      <c r="H450" s="410" t="str">
        <f>'04 - 95% CD'!H450</f>
        <v>Historic Illinois Building Survey</v>
      </c>
      <c r="I450" s="186"/>
      <c r="J450" s="578" t="str">
        <f>IF('C-Design&amp;Const'!AK450="","",'C-Design&amp;Const'!AK450)</f>
        <v/>
      </c>
      <c r="K450" s="285" t="str">
        <f t="shared" si="49"/>
        <v>match</v>
      </c>
      <c r="L450" s="1410" t="str">
        <f t="shared" si="47"/>
        <v/>
      </c>
      <c r="M450" s="1382"/>
      <c r="N450" s="1382"/>
      <c r="O450" s="1382"/>
      <c r="P450" s="1382"/>
      <c r="Q450" s="1382"/>
      <c r="R450" s="1447"/>
      <c r="S450" s="1448"/>
      <c r="T450" s="1274"/>
      <c r="U450" s="1382"/>
      <c r="V450" s="1382"/>
      <c r="W450" s="1382"/>
      <c r="X450" s="1382"/>
      <c r="Y450" s="1382"/>
      <c r="Z450" s="1382"/>
      <c r="AA450" s="1382"/>
      <c r="AB450" s="1382"/>
      <c r="AC450" s="1382"/>
      <c r="AD450" s="1382"/>
      <c r="AE450" s="1382"/>
      <c r="AF450" s="1382"/>
      <c r="AG450" s="1382"/>
      <c r="AH450" s="1382"/>
      <c r="AI450" s="1382"/>
      <c r="AJ450" s="1382"/>
      <c r="AX450" s="30"/>
    </row>
    <row r="451" spans="1:50" s="181" customFormat="1" ht="15" hidden="1" customHeight="1" x14ac:dyDescent="0.25">
      <c r="A451" s="1407" t="str">
        <f>IF(COUNTIF('04 - 95% CD'!D451:G451,"Y")&gt;0,"Y",IF(COUNTIF('04 - 95% CD'!D451:G451,"N"),"N",""))</f>
        <v>N</v>
      </c>
      <c r="B451" s="177"/>
      <c r="C451" s="944"/>
      <c r="D451" s="321"/>
      <c r="E451" s="559" t="str">
        <f>IF('C-Design&amp;Const'!$U451="","",'C-Design&amp;Const'!$U451)</f>
        <v>N</v>
      </c>
      <c r="F451" s="560"/>
      <c r="G451" s="558"/>
      <c r="H451" s="410" t="str">
        <f>'04 - 95% CD'!H451</f>
        <v>Historic Illinois Engineering Record</v>
      </c>
      <c r="I451" s="186"/>
      <c r="J451" s="578" t="str">
        <f>IF('C-Design&amp;Const'!AK451="","",'C-Design&amp;Const'!AK451)</f>
        <v/>
      </c>
      <c r="K451" s="285" t="str">
        <f t="shared" si="49"/>
        <v>match</v>
      </c>
      <c r="L451" s="1410" t="str">
        <f t="shared" si="47"/>
        <v/>
      </c>
      <c r="M451" s="1382"/>
      <c r="N451" s="1382"/>
      <c r="O451" s="1382"/>
      <c r="P451" s="1382"/>
      <c r="Q451" s="1382"/>
      <c r="R451" s="1447"/>
      <c r="S451" s="1448"/>
      <c r="T451" s="1274"/>
      <c r="U451" s="1382"/>
      <c r="V451" s="1382"/>
      <c r="W451" s="1382"/>
      <c r="X451" s="1382"/>
      <c r="Y451" s="1382"/>
      <c r="Z451" s="1382"/>
      <c r="AA451" s="1382"/>
      <c r="AB451" s="1382"/>
      <c r="AC451" s="1382"/>
      <c r="AD451" s="1382"/>
      <c r="AE451" s="1382"/>
      <c r="AF451" s="1382"/>
      <c r="AG451" s="1382"/>
      <c r="AH451" s="1382"/>
      <c r="AI451" s="1382"/>
      <c r="AJ451" s="1382"/>
      <c r="AX451" s="30"/>
    </row>
    <row r="452" spans="1:50" s="181" customFormat="1" ht="15" hidden="1" customHeight="1" x14ac:dyDescent="0.25">
      <c r="A452" s="1407" t="str">
        <f>IF(COUNTIF('04 - 95% CD'!D452:G452,"Y")&gt;0,"Y",IF(COUNTIF('04 - 95% CD'!D452:G452,"N"),"N",""))</f>
        <v>N</v>
      </c>
      <c r="B452" s="177"/>
      <c r="C452" s="944"/>
      <c r="D452" s="321"/>
      <c r="E452" s="559" t="str">
        <f>IF('C-Design&amp;Const'!$U452="","",'C-Design&amp;Const'!$U452)</f>
        <v>N</v>
      </c>
      <c r="F452" s="560"/>
      <c r="G452" s="558"/>
      <c r="H452" s="410" t="str">
        <f>'04 - 95% CD'!H452</f>
        <v>ISHPO item to be determined per project</v>
      </c>
      <c r="I452" s="186"/>
      <c r="J452" s="578" t="str">
        <f>IF('C-Design&amp;Const'!AK452="","",'C-Design&amp;Const'!AK452)</f>
        <v/>
      </c>
      <c r="K452" s="285" t="str">
        <f t="shared" si="49"/>
        <v>match</v>
      </c>
      <c r="L452" s="1410" t="str">
        <f t="shared" si="47"/>
        <v/>
      </c>
      <c r="M452" s="1382"/>
      <c r="N452" s="1382"/>
      <c r="O452" s="1382"/>
      <c r="P452" s="1382"/>
      <c r="Q452" s="1382"/>
      <c r="R452" s="1447"/>
      <c r="S452" s="1448"/>
      <c r="T452" s="1274"/>
      <c r="U452" s="1382"/>
      <c r="V452" s="1382"/>
      <c r="W452" s="1382"/>
      <c r="X452" s="1382"/>
      <c r="Y452" s="1382"/>
      <c r="Z452" s="1382"/>
      <c r="AA452" s="1382"/>
      <c r="AB452" s="1382"/>
      <c r="AC452" s="1382"/>
      <c r="AD452" s="1382"/>
      <c r="AE452" s="1382"/>
      <c r="AF452" s="1382"/>
      <c r="AG452" s="1382"/>
      <c r="AH452" s="1382"/>
      <c r="AI452" s="1382"/>
      <c r="AJ452" s="1382"/>
      <c r="AX452" s="30"/>
    </row>
    <row r="453" spans="1:50" s="181" customFormat="1" ht="15" hidden="1" customHeight="1" x14ac:dyDescent="0.25">
      <c r="A453" s="1407" t="str">
        <f>IF(COUNTIF('04 - 95% CD'!D453:G453,"Y")&gt;0,"Y",IF(COUNTIF('04 - 95% CD'!D453:G453,"N"),"N",""))</f>
        <v>N</v>
      </c>
      <c r="B453" s="177"/>
      <c r="C453" s="944"/>
      <c r="D453" s="321"/>
      <c r="E453" s="559" t="str">
        <f>IF('C-Design&amp;Const'!$U453="","",'C-Design&amp;Const'!$U453)</f>
        <v>N</v>
      </c>
      <c r="F453" s="560"/>
      <c r="G453" s="558"/>
      <c r="H453" s="410" t="str">
        <f>'04 - 95% CD'!H453</f>
        <v>ISHPO item to be determined per project</v>
      </c>
      <c r="I453" s="186"/>
      <c r="J453" s="578" t="str">
        <f>IF('C-Design&amp;Const'!AK453="","",'C-Design&amp;Const'!AK453)</f>
        <v/>
      </c>
      <c r="K453" s="285" t="str">
        <f t="shared" si="49"/>
        <v>match</v>
      </c>
      <c r="L453" s="1410" t="str">
        <f t="shared" si="47"/>
        <v/>
      </c>
      <c r="M453" s="1382"/>
      <c r="N453" s="1382"/>
      <c r="O453" s="1382"/>
      <c r="P453" s="1382"/>
      <c r="Q453" s="1382"/>
      <c r="R453" s="1447"/>
      <c r="S453" s="1448"/>
      <c r="T453" s="1274"/>
      <c r="U453" s="1382"/>
      <c r="V453" s="1382"/>
      <c r="W453" s="1382"/>
      <c r="X453" s="1382"/>
      <c r="Y453" s="1382"/>
      <c r="Z453" s="1382"/>
      <c r="AA453" s="1382"/>
      <c r="AB453" s="1382"/>
      <c r="AC453" s="1382"/>
      <c r="AD453" s="1382"/>
      <c r="AE453" s="1382"/>
      <c r="AF453" s="1382"/>
      <c r="AG453" s="1382"/>
      <c r="AH453" s="1382"/>
      <c r="AI453" s="1382"/>
      <c r="AJ453" s="1382"/>
      <c r="AX453" s="30"/>
    </row>
    <row r="454" spans="1:50" s="181" customFormat="1" ht="15" hidden="1" customHeight="1" x14ac:dyDescent="0.25">
      <c r="A454" s="1407" t="str">
        <f>IF(COUNTIF('04 - 95% CD'!D454:G454,"Y")&gt;0,"Y",IF(COUNTIF('04 - 95% CD'!D454:G454,"N"),"N",""))</f>
        <v>N</v>
      </c>
      <c r="B454" s="177"/>
      <c r="C454" s="944"/>
      <c r="D454" s="321"/>
      <c r="E454" s="559" t="str">
        <f>IF('C-Design&amp;Const'!$U454="","",'C-Design&amp;Const'!$U454)</f>
        <v>N</v>
      </c>
      <c r="F454" s="560"/>
      <c r="G454" s="558"/>
      <c r="H454" s="410" t="str">
        <f>'04 - 95% CD'!H454</f>
        <v>ISHPO item to be determined per project</v>
      </c>
      <c r="I454" s="186"/>
      <c r="J454" s="578" t="str">
        <f>IF('C-Design&amp;Const'!AK454="","",'C-Design&amp;Const'!AK454)</f>
        <v/>
      </c>
      <c r="K454" s="285" t="str">
        <f t="shared" si="49"/>
        <v>match</v>
      </c>
      <c r="L454" s="1410" t="str">
        <f t="shared" si="47"/>
        <v/>
      </c>
      <c r="M454" s="1382"/>
      <c r="N454" s="1382"/>
      <c r="O454" s="1382"/>
      <c r="P454" s="1382"/>
      <c r="Q454" s="1382"/>
      <c r="R454" s="1447"/>
      <c r="S454" s="1448"/>
      <c r="T454" s="1274"/>
      <c r="U454" s="1382"/>
      <c r="V454" s="1382"/>
      <c r="W454" s="1382"/>
      <c r="X454" s="1382"/>
      <c r="Y454" s="1382"/>
      <c r="Z454" s="1382"/>
      <c r="AA454" s="1382"/>
      <c r="AB454" s="1382"/>
      <c r="AC454" s="1382"/>
      <c r="AD454" s="1382"/>
      <c r="AE454" s="1382"/>
      <c r="AF454" s="1382"/>
      <c r="AG454" s="1382"/>
      <c r="AH454" s="1382"/>
      <c r="AI454" s="1382"/>
      <c r="AJ454" s="1382"/>
      <c r="AX454" s="30"/>
    </row>
    <row r="455" spans="1:50" s="181" customFormat="1" ht="16.5" customHeight="1" x14ac:dyDescent="0.25">
      <c r="A455" s="1407" t="s">
        <v>208</v>
      </c>
      <c r="B455" s="177"/>
      <c r="C455" s="944"/>
      <c r="D455" s="499"/>
      <c r="E455" s="520"/>
      <c r="F455" s="538"/>
      <c r="G455" s="527"/>
      <c r="H455" s="528"/>
      <c r="I455" s="186"/>
      <c r="J455" s="578" t="str">
        <f>IF('C-Design&amp;Const'!AK455="","",'C-Design&amp;Const'!AK455)</f>
        <v/>
      </c>
      <c r="K455" s="285"/>
      <c r="L455" s="1410" t="str">
        <f t="shared" si="47"/>
        <v/>
      </c>
      <c r="M455" s="1382"/>
      <c r="N455" s="1382"/>
      <c r="O455" s="1382"/>
      <c r="P455" s="1382"/>
      <c r="Q455" s="1382"/>
      <c r="R455" s="1447"/>
      <c r="S455" s="1448"/>
      <c r="T455" s="1274"/>
      <c r="U455" s="1382"/>
      <c r="V455" s="1382"/>
      <c r="W455" s="1382"/>
      <c r="X455" s="1382"/>
      <c r="Y455" s="1382"/>
      <c r="Z455" s="1382"/>
      <c r="AA455" s="1382"/>
      <c r="AB455" s="1382"/>
      <c r="AC455" s="1382"/>
      <c r="AD455" s="1382"/>
      <c r="AE455" s="1382"/>
      <c r="AF455" s="1382"/>
      <c r="AG455" s="1382"/>
      <c r="AH455" s="1382"/>
      <c r="AI455" s="1382"/>
      <c r="AJ455" s="1382"/>
      <c r="AX455" s="30"/>
    </row>
    <row r="456" spans="1:50" s="181" customFormat="1" ht="15" customHeight="1" x14ac:dyDescent="0.25">
      <c r="A456" s="1407" t="str">
        <f>IF(COUNTIF('04 - 95% CD'!D455:G455,"Y")&gt;0,"Y",IF(COUNTIF('04 - 95% CD'!D455:G455,"N"),"N",""))</f>
        <v/>
      </c>
      <c r="B456" s="177"/>
      <c r="C456" s="944"/>
      <c r="D456" s="499"/>
      <c r="E456" s="539"/>
      <c r="F456" s="539"/>
      <c r="G456" s="292"/>
      <c r="H456" s="293"/>
      <c r="I456" s="184"/>
      <c r="J456" s="578" t="str">
        <f>IF('C-Design&amp;Const'!AK456="","",'C-Design&amp;Const'!AK456)</f>
        <v/>
      </c>
      <c r="K456" s="354"/>
      <c r="L456" s="1410" t="str">
        <f t="shared" si="47"/>
        <v/>
      </c>
      <c r="M456" s="1382"/>
      <c r="N456" s="1382"/>
      <c r="O456" s="1382"/>
      <c r="P456" s="1382"/>
      <c r="Q456" s="1382"/>
      <c r="R456" s="1447"/>
      <c r="S456" s="1448"/>
      <c r="T456" s="1274"/>
      <c r="U456" s="1382"/>
      <c r="V456" s="1382"/>
      <c r="W456" s="1382"/>
      <c r="X456" s="1382"/>
      <c r="Y456" s="1382"/>
      <c r="Z456" s="1382"/>
      <c r="AA456" s="1382"/>
      <c r="AB456" s="1382"/>
      <c r="AC456" s="1382"/>
      <c r="AD456" s="1382"/>
      <c r="AE456" s="1382"/>
      <c r="AF456" s="1382"/>
      <c r="AG456" s="1382"/>
      <c r="AH456" s="1382"/>
      <c r="AI456" s="1382"/>
      <c r="AJ456" s="1382"/>
      <c r="AX456" s="30"/>
    </row>
    <row r="457" spans="1:50" ht="21" hidden="1" x14ac:dyDescent="0.25">
      <c r="A457" s="2321" t="s">
        <v>262</v>
      </c>
      <c r="B457" s="125"/>
      <c r="C457" s="951"/>
      <c r="D457" s="530" t="s">
        <v>228</v>
      </c>
      <c r="E457" s="806"/>
      <c r="F457" s="806"/>
      <c r="G457" s="529"/>
      <c r="H457" s="530"/>
      <c r="I457" s="552"/>
      <c r="J457" s="17" t="str">
        <f>IF('C-Design&amp;Const'!AK457="","",'C-Design&amp;Const'!AK457)</f>
        <v/>
      </c>
      <c r="L457" s="1410" t="str">
        <f t="shared" si="47"/>
        <v/>
      </c>
      <c r="M457" s="1333"/>
      <c r="N457" s="1333"/>
      <c r="O457" s="1333"/>
      <c r="P457" s="1333"/>
      <c r="Q457" s="1333"/>
      <c r="R457" s="1453"/>
      <c r="S457" s="1364"/>
      <c r="T457" s="1284"/>
      <c r="U457" s="1333"/>
      <c r="V457" s="1333"/>
      <c r="W457" s="1333"/>
      <c r="X457" s="1333"/>
      <c r="Y457" s="1333"/>
      <c r="Z457" s="1333"/>
      <c r="AA457" s="1333"/>
      <c r="AB457" s="1333"/>
      <c r="AC457" s="1333"/>
      <c r="AD457" s="1333"/>
      <c r="AE457" s="1333"/>
      <c r="AF457" s="1333"/>
      <c r="AG457" s="1333"/>
      <c r="AH457" s="1333"/>
      <c r="AI457" s="1333"/>
      <c r="AJ457" s="1333"/>
    </row>
    <row r="458" spans="1:50" s="181" customFormat="1" ht="15" hidden="1" customHeight="1" x14ac:dyDescent="0.25">
      <c r="A458" s="2322"/>
      <c r="B458" s="177"/>
      <c r="C458" s="944"/>
      <c r="D458" s="499"/>
      <c r="E458" s="539"/>
      <c r="F458" s="539"/>
      <c r="G458" s="292"/>
      <c r="H458" s="293"/>
      <c r="I458" s="552"/>
      <c r="J458" s="181" t="str">
        <f>IF('C-Design&amp;Const'!AK458="","",'C-Design&amp;Const'!AK458)</f>
        <v/>
      </c>
      <c r="L458" s="1410" t="str">
        <f t="shared" si="47"/>
        <v/>
      </c>
      <c r="M458" s="1382"/>
      <c r="N458" s="1382"/>
      <c r="O458" s="1382"/>
      <c r="P458" s="1382"/>
      <c r="Q458" s="1382"/>
      <c r="R458" s="1447"/>
      <c r="S458" s="1448"/>
      <c r="T458" s="1274"/>
      <c r="U458" s="1382"/>
      <c r="V458" s="1382"/>
      <c r="W458" s="1382"/>
      <c r="X458" s="1382"/>
      <c r="Y458" s="1382"/>
      <c r="Z458" s="1382"/>
      <c r="AA458" s="1382"/>
      <c r="AB458" s="1382"/>
      <c r="AC458" s="1382"/>
      <c r="AD458" s="1382"/>
      <c r="AE458" s="1382"/>
      <c r="AF458" s="1382"/>
      <c r="AG458" s="1382"/>
      <c r="AH458" s="1382"/>
      <c r="AI458" s="1382"/>
      <c r="AJ458" s="1382"/>
      <c r="AX458" s="30"/>
    </row>
    <row r="459" spans="1:50" ht="18.75" hidden="1" x14ac:dyDescent="0.25">
      <c r="A459" s="2322"/>
      <c r="B459" s="125"/>
      <c r="C459" s="944"/>
      <c r="D459" s="559" t="str">
        <f>IF('C-Design&amp;Const'!$U459="","",'C-Design&amp;Const'!$U459)</f>
        <v>N</v>
      </c>
      <c r="E459" s="234"/>
      <c r="F459" s="235"/>
      <c r="G459" s="291" t="str">
        <f>IF('C-Design&amp;Const'!Y459="","",'C-Design&amp;Const'!Y459)</f>
        <v>10.</v>
      </c>
      <c r="H459" s="290" t="str">
        <f>CONCATENATE('C-Design&amp;Const'!Z459,IF(D459="N"," Not Used In This Construction Phase",""))</f>
        <v>Log of Plan Holders Not Used In This Construction Phase</v>
      </c>
      <c r="I459" s="552"/>
      <c r="J459" s="17" t="str">
        <f>IF('C-Design&amp;Const'!AK459="","",'C-Design&amp;Const'!AK459)</f>
        <v/>
      </c>
      <c r="L459" s="1410" t="str">
        <f t="shared" si="47"/>
        <v/>
      </c>
      <c r="M459" s="1333"/>
      <c r="N459" s="1333"/>
      <c r="O459" s="1333"/>
      <c r="P459" s="1333"/>
      <c r="Q459" s="1333"/>
      <c r="R459" s="1453"/>
      <c r="S459" s="1384"/>
      <c r="T459" s="1284"/>
      <c r="U459" s="1333"/>
      <c r="V459" s="1333"/>
      <c r="W459" s="1333"/>
      <c r="X459" s="1333"/>
      <c r="Y459" s="1333"/>
      <c r="Z459" s="1333"/>
      <c r="AA459" s="1333"/>
      <c r="AB459" s="1333"/>
      <c r="AC459" s="1333"/>
      <c r="AD459" s="1333"/>
      <c r="AE459" s="1333"/>
      <c r="AF459" s="1333"/>
      <c r="AG459" s="1333"/>
      <c r="AH459" s="1333"/>
      <c r="AI459" s="1333"/>
      <c r="AJ459" s="1333"/>
    </row>
    <row r="460" spans="1:50" s="181" customFormat="1" ht="15" hidden="1" customHeight="1" x14ac:dyDescent="0.25">
      <c r="A460" s="2322"/>
      <c r="B460" s="177"/>
      <c r="C460" s="944"/>
      <c r="D460" s="499"/>
      <c r="E460" s="539"/>
      <c r="F460" s="539"/>
      <c r="G460" s="292"/>
      <c r="H460" s="293"/>
      <c r="I460" s="552"/>
      <c r="J460" s="181" t="str">
        <f>IF('C-Design&amp;Const'!AK460="","",'C-Design&amp;Const'!AK460)</f>
        <v/>
      </c>
      <c r="L460" s="1410" t="str">
        <f t="shared" si="47"/>
        <v/>
      </c>
      <c r="M460" s="1382"/>
      <c r="N460" s="1382"/>
      <c r="O460" s="1382"/>
      <c r="P460" s="1382"/>
      <c r="Q460" s="1382"/>
      <c r="R460" s="1447"/>
      <c r="S460" s="1448"/>
      <c r="T460" s="1274"/>
      <c r="U460" s="1382"/>
      <c r="V460" s="1382"/>
      <c r="W460" s="1382"/>
      <c r="X460" s="1382"/>
      <c r="Y460" s="1382"/>
      <c r="Z460" s="1382"/>
      <c r="AA460" s="1382"/>
      <c r="AB460" s="1382"/>
      <c r="AC460" s="1382"/>
      <c r="AD460" s="1382"/>
      <c r="AE460" s="1382"/>
      <c r="AF460" s="1382"/>
      <c r="AG460" s="1382"/>
      <c r="AH460" s="1382"/>
      <c r="AI460" s="1382"/>
      <c r="AJ460" s="1382"/>
      <c r="AX460" s="30"/>
    </row>
    <row r="461" spans="1:50" ht="37.5" hidden="1" x14ac:dyDescent="0.25">
      <c r="A461" s="2322"/>
      <c r="B461" s="125"/>
      <c r="C461" s="944"/>
      <c r="D461" s="559" t="str">
        <f>IF('C-Design&amp;Const'!$U461="","",'C-Design&amp;Const'!$U461)</f>
        <v>N</v>
      </c>
      <c r="E461" s="234"/>
      <c r="F461" s="235"/>
      <c r="G461" s="291" t="str">
        <f>IF('C-Design&amp;Const'!Y461="","",'C-Design&amp;Const'!Y461)</f>
        <v>11.</v>
      </c>
      <c r="H461" s="290" t="str">
        <f>CONCATENATE('C-Design&amp;Const'!Z461,IF(D461="N"," Not Used In This Construction Phase",""))</f>
        <v>Addenda to Project Manual and Drawings Not Used In This Construction Phase</v>
      </c>
      <c r="I461" s="552"/>
      <c r="J461" s="17" t="str">
        <f>IF('C-Design&amp;Const'!AK461="","",'C-Design&amp;Const'!AK461)</f>
        <v/>
      </c>
      <c r="L461" s="1410" t="str">
        <f t="shared" si="47"/>
        <v/>
      </c>
      <c r="M461" s="1333"/>
      <c r="N461" s="1333"/>
      <c r="O461" s="1333"/>
      <c r="P461" s="1333"/>
      <c r="Q461" s="1333"/>
      <c r="R461" s="1453"/>
      <c r="S461" s="1364"/>
      <c r="T461" s="1284"/>
      <c r="U461" s="1333"/>
      <c r="V461" s="1333"/>
      <c r="W461" s="1333"/>
      <c r="X461" s="1333"/>
      <c r="Y461" s="1333"/>
      <c r="Z461" s="1333"/>
      <c r="AA461" s="1333"/>
      <c r="AB461" s="1333"/>
      <c r="AC461" s="1333"/>
      <c r="AD461" s="1333"/>
      <c r="AE461" s="1333"/>
      <c r="AF461" s="1333"/>
      <c r="AG461" s="1333"/>
      <c r="AH461" s="1333"/>
      <c r="AI461" s="1333"/>
      <c r="AJ461" s="1333"/>
    </row>
    <row r="462" spans="1:50" s="181" customFormat="1" ht="15" hidden="1" customHeight="1" x14ac:dyDescent="0.25">
      <c r="A462" s="2322"/>
      <c r="B462" s="177"/>
      <c r="C462" s="944"/>
      <c r="D462" s="499"/>
      <c r="E462" s="539"/>
      <c r="F462" s="539"/>
      <c r="G462" s="292"/>
      <c r="H462" s="293"/>
      <c r="I462" s="552"/>
      <c r="J462" s="181" t="str">
        <f>IF('C-Design&amp;Const'!AK462="","",'C-Design&amp;Const'!AK462)</f>
        <v/>
      </c>
      <c r="L462" s="1410" t="str">
        <f t="shared" si="47"/>
        <v/>
      </c>
      <c r="M462" s="1382"/>
      <c r="N462" s="1382"/>
      <c r="O462" s="1382"/>
      <c r="P462" s="1382"/>
      <c r="Q462" s="1382"/>
      <c r="R462" s="1447"/>
      <c r="S462" s="1448"/>
      <c r="T462" s="1274"/>
      <c r="U462" s="1382"/>
      <c r="V462" s="1382"/>
      <c r="W462" s="1382"/>
      <c r="X462" s="1382"/>
      <c r="Y462" s="1382"/>
      <c r="Z462" s="1382"/>
      <c r="AA462" s="1382"/>
      <c r="AB462" s="1382"/>
      <c r="AC462" s="1382"/>
      <c r="AD462" s="1382"/>
      <c r="AE462" s="1382"/>
      <c r="AF462" s="1382"/>
      <c r="AG462" s="1382"/>
      <c r="AH462" s="1382"/>
      <c r="AI462" s="1382"/>
      <c r="AJ462" s="1382"/>
      <c r="AX462" s="30"/>
    </row>
    <row r="463" spans="1:50" ht="18.75" hidden="1" x14ac:dyDescent="0.25">
      <c r="A463" s="2322"/>
      <c r="B463" s="125"/>
      <c r="C463" s="944"/>
      <c r="D463" s="559" t="str">
        <f>IF('C-Design&amp;Const'!$U463="","",'C-Design&amp;Const'!$U463)</f>
        <v>N</v>
      </c>
      <c r="E463" s="234"/>
      <c r="F463" s="235"/>
      <c r="G463" s="291" t="str">
        <f>IF('C-Design&amp;Const'!Y463="","",'C-Design&amp;Const'!Y463)</f>
        <v>12.</v>
      </c>
      <c r="H463" s="290" t="str">
        <f>CONCATENATE('C-Design&amp;Const'!Z463,IF(D463="N"," Not Used In This Construction Phase",""))</f>
        <v>PreBid Meeting Not Used In This Construction Phase</v>
      </c>
      <c r="I463" s="552"/>
      <c r="J463" s="17" t="str">
        <f>IF('C-Design&amp;Const'!AK463="","",'C-Design&amp;Const'!AK463)</f>
        <v/>
      </c>
      <c r="L463" s="1410" t="str">
        <f t="shared" si="47"/>
        <v/>
      </c>
      <c r="M463" s="1333"/>
      <c r="N463" s="1333"/>
      <c r="O463" s="1333"/>
      <c r="P463" s="1333"/>
      <c r="Q463" s="1333"/>
      <c r="R463" s="1453"/>
      <c r="S463" s="1364"/>
      <c r="T463" s="1284"/>
      <c r="U463" s="1333"/>
      <c r="V463" s="1333"/>
      <c r="W463" s="1333"/>
      <c r="X463" s="1333"/>
      <c r="Y463" s="1333"/>
      <c r="Z463" s="1333"/>
      <c r="AA463" s="1333"/>
      <c r="AB463" s="1333"/>
      <c r="AC463" s="1333"/>
      <c r="AD463" s="1333"/>
      <c r="AE463" s="1333"/>
      <c r="AF463" s="1333"/>
      <c r="AG463" s="1333"/>
      <c r="AH463" s="1333"/>
      <c r="AI463" s="1333"/>
      <c r="AJ463" s="1333"/>
    </row>
    <row r="464" spans="1:50" s="181" customFormat="1" ht="15" hidden="1" customHeight="1" x14ac:dyDescent="0.25">
      <c r="A464" s="2322"/>
      <c r="B464" s="177"/>
      <c r="C464" s="944"/>
      <c r="D464" s="321"/>
      <c r="E464" s="559" t="str">
        <f>IF('C-Design&amp;Const'!$U464="","",'C-Design&amp;Const'!$U464)</f>
        <v>N</v>
      </c>
      <c r="F464" s="560"/>
      <c r="G464" s="558"/>
      <c r="H464" s="238" t="str">
        <f>CONCATENATE(IF(ISNUMBER(SEARCH("Placeholder",'C-Design&amp;Const'!Z464))=TRUE,"",IF(E464="N","PLACEHOLDER ROW - ","")),'C-Design&amp;Const'!Z464,IF(E464="N","",J464))</f>
        <v>PLACEHOLDER ROW - Agenda</v>
      </c>
      <c r="I464" s="552"/>
      <c r="J464" s="181" t="str">
        <f>IF('C-Design&amp;Const'!AK464="","",'C-Design&amp;Const'!AK464)</f>
        <v/>
      </c>
      <c r="L464" s="1410" t="str">
        <f t="shared" si="47"/>
        <v>&lt;---PM/Planner may hide PLACEHOLDER ROW</v>
      </c>
      <c r="M464" s="1382"/>
      <c r="N464" s="1382"/>
      <c r="O464" s="1382"/>
      <c r="P464" s="1382"/>
      <c r="Q464" s="1382"/>
      <c r="R464" s="1447"/>
      <c r="S464" s="1448"/>
      <c r="T464" s="1274"/>
      <c r="U464" s="1382"/>
      <c r="V464" s="1382"/>
      <c r="W464" s="1382"/>
      <c r="X464" s="1382"/>
      <c r="Y464" s="1382"/>
      <c r="Z464" s="1382"/>
      <c r="AA464" s="1382"/>
      <c r="AB464" s="1382"/>
      <c r="AC464" s="1382"/>
      <c r="AD464" s="1382"/>
      <c r="AE464" s="1382"/>
      <c r="AF464" s="1382"/>
      <c r="AG464" s="1382"/>
      <c r="AH464" s="1382"/>
      <c r="AI464" s="1382"/>
      <c r="AJ464" s="1382"/>
      <c r="AX464" s="30"/>
    </row>
    <row r="465" spans="1:50" s="181" customFormat="1" ht="15" hidden="1" customHeight="1" x14ac:dyDescent="0.25">
      <c r="A465" s="2322"/>
      <c r="B465" s="177"/>
      <c r="C465" s="944"/>
      <c r="D465" s="321"/>
      <c r="E465" s="559" t="str">
        <f>IF('C-Design&amp;Const'!$U465="","",'C-Design&amp;Const'!$U465)</f>
        <v>N</v>
      </c>
      <c r="F465" s="560"/>
      <c r="G465" s="558"/>
      <c r="H465" s="238" t="str">
        <f>CONCATENATE(IF(ISNUMBER(SEARCH("Placeholder",'C-Design&amp;Const'!Z465))=TRUE,"",IF(E465="N","PLACEHOLDER ROW - ","")),'C-Design&amp;Const'!Z465,IF(E465="N","",J465))</f>
        <v>PLACEHOLDER ROW - Sign In</v>
      </c>
      <c r="I465" s="552"/>
      <c r="J465" s="181" t="str">
        <f>IF('C-Design&amp;Const'!AK465="","",'C-Design&amp;Const'!AK465)</f>
        <v/>
      </c>
      <c r="L465" s="1410" t="str">
        <f t="shared" si="47"/>
        <v>&lt;---PM/Planner may hide PLACEHOLDER ROW</v>
      </c>
      <c r="M465" s="1382"/>
      <c r="N465" s="1382"/>
      <c r="O465" s="1382"/>
      <c r="P465" s="1382"/>
      <c r="Q465" s="1382"/>
      <c r="R465" s="1447"/>
      <c r="S465" s="1448"/>
      <c r="T465" s="1274"/>
      <c r="U465" s="1382"/>
      <c r="V465" s="1382"/>
      <c r="W465" s="1382"/>
      <c r="X465" s="1382"/>
      <c r="Y465" s="1382"/>
      <c r="Z465" s="1382"/>
      <c r="AA465" s="1382"/>
      <c r="AB465" s="1382"/>
      <c r="AC465" s="1382"/>
      <c r="AD465" s="1382"/>
      <c r="AE465" s="1382"/>
      <c r="AF465" s="1382"/>
      <c r="AG465" s="1382"/>
      <c r="AH465" s="1382"/>
      <c r="AI465" s="1382"/>
      <c r="AJ465" s="1382"/>
      <c r="AX465" s="30"/>
    </row>
    <row r="466" spans="1:50" s="181" customFormat="1" ht="15" hidden="1" customHeight="1" x14ac:dyDescent="0.25">
      <c r="A466" s="2322"/>
      <c r="B466" s="177"/>
      <c r="C466" s="944"/>
      <c r="D466" s="321"/>
      <c r="E466" s="559" t="str">
        <f>IF('C-Design&amp;Const'!$U466="","",'C-Design&amp;Const'!$U466)</f>
        <v>N</v>
      </c>
      <c r="F466" s="560"/>
      <c r="G466" s="558"/>
      <c r="H466" s="238" t="str">
        <f>CONCATENATE(IF(ISNUMBER(SEARCH("Placeholder",'C-Design&amp;Const'!Z466))=TRUE,"",IF(E466="N","PLACEHOLDER ROW - ","")),'C-Design&amp;Const'!Z466,IF(E466="N","",J466))</f>
        <v>PLACEHOLDER ROW - Meeting Minutes</v>
      </c>
      <c r="I466" s="552"/>
      <c r="J466" s="181" t="str">
        <f>IF('C-Design&amp;Const'!AK466="","",'C-Design&amp;Const'!AK466)</f>
        <v/>
      </c>
      <c r="L466" s="1410" t="str">
        <f t="shared" si="47"/>
        <v>&lt;---PM/Planner may hide PLACEHOLDER ROW</v>
      </c>
      <c r="M466" s="1382"/>
      <c r="N466" s="1382"/>
      <c r="O466" s="1382"/>
      <c r="P466" s="1382"/>
      <c r="Q466" s="1382"/>
      <c r="R466" s="1447"/>
      <c r="S466" s="1448"/>
      <c r="T466" s="1274"/>
      <c r="U466" s="1382"/>
      <c r="V466" s="1382"/>
      <c r="W466" s="1382"/>
      <c r="X466" s="1382"/>
      <c r="Y466" s="1382"/>
      <c r="Z466" s="1382"/>
      <c r="AA466" s="1382"/>
      <c r="AB466" s="1382"/>
      <c r="AC466" s="1382"/>
      <c r="AD466" s="1382"/>
      <c r="AE466" s="1382"/>
      <c r="AF466" s="1382"/>
      <c r="AG466" s="1382"/>
      <c r="AH466" s="1382"/>
      <c r="AI466" s="1382"/>
      <c r="AJ466" s="1382"/>
      <c r="AX466" s="30"/>
    </row>
    <row r="467" spans="1:50" s="181" customFormat="1" ht="15" hidden="1" customHeight="1" x14ac:dyDescent="0.25">
      <c r="A467" s="2322"/>
      <c r="B467" s="177"/>
      <c r="C467" s="944"/>
      <c r="D467" s="499"/>
      <c r="E467" s="539"/>
      <c r="F467" s="539"/>
      <c r="G467" s="292"/>
      <c r="H467" s="293"/>
      <c r="I467" s="552"/>
      <c r="J467" s="181" t="str">
        <f>IF('C-Design&amp;Const'!AK467="","",'C-Design&amp;Const'!AK467)</f>
        <v/>
      </c>
      <c r="L467" s="1410" t="str">
        <f t="shared" si="47"/>
        <v/>
      </c>
      <c r="M467" s="1382"/>
      <c r="N467" s="1382"/>
      <c r="O467" s="1382"/>
      <c r="P467" s="1382"/>
      <c r="Q467" s="1382"/>
      <c r="R467" s="1447"/>
      <c r="S467" s="1448"/>
      <c r="T467" s="1274"/>
      <c r="U467" s="1382"/>
      <c r="V467" s="1382"/>
      <c r="W467" s="1382"/>
      <c r="X467" s="1382"/>
      <c r="Y467" s="1382"/>
      <c r="Z467" s="1382"/>
      <c r="AA467" s="1382"/>
      <c r="AB467" s="1382"/>
      <c r="AC467" s="1382"/>
      <c r="AD467" s="1382"/>
      <c r="AE467" s="1382"/>
      <c r="AF467" s="1382"/>
      <c r="AG467" s="1382"/>
      <c r="AH467" s="1382"/>
      <c r="AI467" s="1382"/>
      <c r="AJ467" s="1382"/>
      <c r="AX467" s="30"/>
    </row>
    <row r="468" spans="1:50" ht="37.5" hidden="1" x14ac:dyDescent="0.25">
      <c r="A468" s="2322"/>
      <c r="B468" s="125"/>
      <c r="C468" s="944"/>
      <c r="D468" s="559" t="str">
        <f>IF('C-Design&amp;Const'!$U468="","",'C-Design&amp;Const'!$U468)</f>
        <v>N</v>
      </c>
      <c r="E468" s="234"/>
      <c r="F468" s="235"/>
      <c r="G468" s="291" t="str">
        <f>IF('C-Design&amp;Const'!Y468="","",'C-Design&amp;Const'!Y468)</f>
        <v>13.</v>
      </c>
      <c r="H468" s="290" t="str">
        <f>CONCATENATE('C-Design&amp;Const'!Z468,IF(D468="N"," Not Used In This Construction Phase",""))</f>
        <v>Written Analysis of Award of Construction Contract Not Used In This Construction Phase</v>
      </c>
      <c r="I468" s="552"/>
      <c r="J468" s="17" t="str">
        <f>IF('C-Design&amp;Const'!AK468="","",'C-Design&amp;Const'!AK468)</f>
        <v/>
      </c>
      <c r="L468" s="1410" t="str">
        <f t="shared" si="47"/>
        <v/>
      </c>
      <c r="M468" s="1333"/>
      <c r="N468" s="1333"/>
      <c r="O468" s="1333"/>
      <c r="P468" s="1333"/>
      <c r="Q468" s="1333"/>
      <c r="R468" s="1453"/>
      <c r="S468" s="1364"/>
      <c r="T468" s="1284"/>
      <c r="U468" s="1333"/>
      <c r="V468" s="1333"/>
      <c r="W468" s="1333"/>
      <c r="X468" s="1333"/>
      <c r="Y468" s="1333"/>
      <c r="Z468" s="1333"/>
      <c r="AA468" s="1333"/>
      <c r="AB468" s="1333"/>
      <c r="AC468" s="1333"/>
      <c r="AD468" s="1333"/>
      <c r="AE468" s="1333"/>
      <c r="AF468" s="1333"/>
      <c r="AG468" s="1333"/>
      <c r="AH468" s="1333"/>
      <c r="AI468" s="1333"/>
      <c r="AJ468" s="1333"/>
    </row>
    <row r="469" spans="1:50" ht="18.75" hidden="1" x14ac:dyDescent="0.25">
      <c r="A469" s="2323"/>
      <c r="B469" s="125"/>
      <c r="C469" s="944"/>
      <c r="D469" s="499"/>
      <c r="E469" s="539"/>
      <c r="F469" s="539"/>
      <c r="G469" s="292"/>
      <c r="H469" s="293"/>
      <c r="I469" s="552"/>
      <c r="J469" s="17" t="str">
        <f>IF('C-Design&amp;Const'!AK469="","",'C-Design&amp;Const'!AK469)</f>
        <v/>
      </c>
      <c r="L469" s="1410" t="str">
        <f t="shared" si="47"/>
        <v/>
      </c>
      <c r="M469" s="1333"/>
      <c r="N469" s="1333"/>
      <c r="O469" s="1333"/>
      <c r="P469" s="1333"/>
      <c r="Q469" s="1333"/>
      <c r="R469" s="1453"/>
      <c r="S469" s="1364"/>
      <c r="T469" s="1284"/>
      <c r="U469" s="1333"/>
      <c r="V469" s="1333"/>
      <c r="W469" s="1333"/>
      <c r="X469" s="1333"/>
      <c r="Y469" s="1333"/>
      <c r="Z469" s="1333"/>
      <c r="AA469" s="1333"/>
      <c r="AB469" s="1333"/>
      <c r="AC469" s="1333"/>
      <c r="AD469" s="1333"/>
      <c r="AE469" s="1333"/>
      <c r="AF469" s="1333"/>
      <c r="AG469" s="1333"/>
      <c r="AH469" s="1333"/>
      <c r="AI469" s="1333"/>
      <c r="AJ469" s="1333"/>
    </row>
    <row r="470" spans="1:50" ht="21" hidden="1" customHeight="1" x14ac:dyDescent="0.25">
      <c r="A470" s="2331" t="s">
        <v>263</v>
      </c>
      <c r="B470" s="125"/>
      <c r="C470" s="955"/>
      <c r="D470" s="531" t="s">
        <v>227</v>
      </c>
      <c r="E470" s="807"/>
      <c r="F470" s="807"/>
      <c r="G470" s="1034"/>
      <c r="H470" s="531"/>
      <c r="I470" s="552"/>
      <c r="J470" s="17" t="str">
        <f>IF('C-Design&amp;Const'!AK470="","",'C-Design&amp;Const'!AK470)</f>
        <v/>
      </c>
      <c r="L470" s="1410" t="str">
        <f t="shared" si="47"/>
        <v/>
      </c>
      <c r="M470" s="1333"/>
      <c r="N470" s="1333"/>
      <c r="O470" s="1333"/>
      <c r="P470" s="1333"/>
      <c r="Q470" s="1333"/>
      <c r="R470" s="1453"/>
      <c r="S470" s="1364"/>
      <c r="T470" s="1284"/>
      <c r="U470" s="1333"/>
      <c r="V470" s="1333"/>
      <c r="W470" s="1333"/>
      <c r="X470" s="1333"/>
      <c r="Y470" s="1333"/>
      <c r="Z470" s="1333"/>
      <c r="AA470" s="1333"/>
      <c r="AB470" s="1333"/>
      <c r="AC470" s="1333"/>
      <c r="AD470" s="1333"/>
      <c r="AE470" s="1333"/>
      <c r="AF470" s="1333"/>
      <c r="AG470" s="1333"/>
      <c r="AH470" s="1333"/>
      <c r="AI470" s="1333"/>
      <c r="AJ470" s="1333"/>
    </row>
    <row r="471" spans="1:50" ht="18.75" hidden="1" x14ac:dyDescent="0.25">
      <c r="A471" s="2332"/>
      <c r="B471" s="125"/>
      <c r="C471" s="943"/>
      <c r="D471" s="295"/>
      <c r="E471" s="321"/>
      <c r="F471" s="321"/>
      <c r="G471" s="294"/>
      <c r="H471" s="295"/>
      <c r="I471" s="552"/>
      <c r="J471" s="17" t="str">
        <f>IF('C-Design&amp;Const'!AK471="","",'C-Design&amp;Const'!AK471)</f>
        <v/>
      </c>
      <c r="L471" s="1410" t="str">
        <f t="shared" si="47"/>
        <v/>
      </c>
      <c r="M471" s="1333"/>
      <c r="N471" s="1333"/>
      <c r="O471" s="1333"/>
      <c r="P471" s="1333"/>
      <c r="Q471" s="1333"/>
      <c r="R471" s="1453"/>
      <c r="S471" s="1364"/>
      <c r="T471" s="1284"/>
      <c r="U471" s="1333"/>
      <c r="V471" s="1333"/>
      <c r="W471" s="1333"/>
      <c r="X471" s="1333"/>
      <c r="Y471" s="1333"/>
      <c r="Z471" s="1333"/>
      <c r="AA471" s="1333"/>
      <c r="AB471" s="1333"/>
      <c r="AC471" s="1333"/>
      <c r="AD471" s="1333"/>
      <c r="AE471" s="1333"/>
      <c r="AF471" s="1333"/>
      <c r="AG471" s="1333"/>
      <c r="AH471" s="1333"/>
      <c r="AI471" s="1333"/>
      <c r="AJ471" s="1333"/>
    </row>
    <row r="472" spans="1:50" ht="20.25" hidden="1" customHeight="1" x14ac:dyDescent="0.25">
      <c r="A472" s="2332"/>
      <c r="B472" s="125"/>
      <c r="C472" s="944"/>
      <c r="D472" s="559" t="str">
        <f>IF('C-Design&amp;Const'!$U472="","",'C-Design&amp;Const'!$U472)</f>
        <v>N</v>
      </c>
      <c r="E472" s="234"/>
      <c r="F472" s="235"/>
      <c r="G472" s="291" t="str">
        <f>IF('C-Design&amp;Const'!Y472="","",'C-Design&amp;Const'!Y472)</f>
        <v>20.</v>
      </c>
      <c r="H472" s="290" t="str">
        <f>CONCATENATE('C-Design&amp;Const'!Z472,IF(D472="N"," Not Used In This Construction Phase",""))</f>
        <v>Results of PSC Construction Reviews Not Used In This Construction Phase</v>
      </c>
      <c r="I472" s="552"/>
      <c r="J472" s="17" t="str">
        <f>IF('C-Design&amp;Const'!AK472="","",'C-Design&amp;Const'!AK472)</f>
        <v/>
      </c>
      <c r="L472" s="1410" t="str">
        <f t="shared" si="47"/>
        <v/>
      </c>
      <c r="M472" s="1333"/>
      <c r="N472" s="1333"/>
      <c r="O472" s="1333"/>
      <c r="P472" s="1333"/>
      <c r="Q472" s="1333"/>
      <c r="R472" s="1453"/>
      <c r="S472" s="1364"/>
      <c r="T472" s="1284"/>
      <c r="U472" s="1333"/>
      <c r="V472" s="1333"/>
      <c r="W472" s="1333"/>
      <c r="X472" s="1333"/>
      <c r="Y472" s="1333"/>
      <c r="Z472" s="1333"/>
      <c r="AA472" s="1333"/>
      <c r="AB472" s="1333"/>
      <c r="AC472" s="1333"/>
      <c r="AD472" s="1333"/>
      <c r="AE472" s="1333"/>
      <c r="AF472" s="1333"/>
      <c r="AG472" s="1333"/>
      <c r="AH472" s="1333"/>
      <c r="AI472" s="1333"/>
      <c r="AJ472" s="1333"/>
    </row>
    <row r="473" spans="1:50" s="181" customFormat="1" ht="15" hidden="1" customHeight="1" x14ac:dyDescent="0.25">
      <c r="A473" s="2332"/>
      <c r="B473" s="177"/>
      <c r="C473" s="944"/>
      <c r="D473" s="321"/>
      <c r="E473" s="559" t="str">
        <f>IF('C-Design&amp;Const'!$U473="","",'C-Design&amp;Const'!$U473)</f>
        <v>N</v>
      </c>
      <c r="F473" s="560"/>
      <c r="G473" s="558"/>
      <c r="H473" s="238" t="str">
        <f>CONCATENATE(IF(ISNUMBER(SEARCH("Placeholder",'C-Design&amp;Const'!Z473))=TRUE,"",IF(E473="N","PLACEHOLDER ROW - ","")),'C-Design&amp;Const'!Z473,IF(E473="N","",J473))</f>
        <v>PLACEHOLDER ROW - Contractor Baseline Schedule</v>
      </c>
      <c r="I473" s="552"/>
      <c r="J473" s="181" t="str">
        <f>IF('C-Design&amp;Const'!AK473="","",'C-Design&amp;Const'!AK473)</f>
        <v/>
      </c>
      <c r="L473" s="1410" t="str">
        <f t="shared" si="47"/>
        <v>&lt;---PM/Planner may hide PLACEHOLDER ROW</v>
      </c>
      <c r="M473" s="1382"/>
      <c r="N473" s="1382"/>
      <c r="O473" s="1382"/>
      <c r="P473" s="1382"/>
      <c r="Q473" s="1382"/>
      <c r="R473" s="1447"/>
      <c r="S473" s="1448"/>
      <c r="T473" s="1274"/>
      <c r="U473" s="1382"/>
      <c r="V473" s="1382"/>
      <c r="W473" s="1382"/>
      <c r="X473" s="1382"/>
      <c r="Y473" s="1382"/>
      <c r="Z473" s="1382"/>
      <c r="AA473" s="1382"/>
      <c r="AB473" s="1382"/>
      <c r="AC473" s="1382"/>
      <c r="AD473" s="1382"/>
      <c r="AE473" s="1382"/>
      <c r="AF473" s="1382"/>
      <c r="AG473" s="1382"/>
      <c r="AH473" s="1382"/>
      <c r="AI473" s="1382"/>
      <c r="AJ473" s="1382"/>
      <c r="AX473" s="30"/>
    </row>
    <row r="474" spans="1:50" s="181" customFormat="1" ht="15" hidden="1" customHeight="1" x14ac:dyDescent="0.25">
      <c r="A474" s="2332"/>
      <c r="B474" s="177"/>
      <c r="C474" s="944"/>
      <c r="D474" s="321"/>
      <c r="E474" s="559" t="str">
        <f>IF('C-Design&amp;Const'!$U474="","",'C-Design&amp;Const'!$U474)</f>
        <v>N</v>
      </c>
      <c r="F474" s="560"/>
      <c r="G474" s="558"/>
      <c r="H474" s="238" t="str">
        <f>CONCATENATE(IF(ISNUMBER(SEARCH("Placeholder",'C-Design&amp;Const'!Z474))=TRUE,"",IF(E474="N","PLACEHOLDER ROW - ","")),'C-Design&amp;Const'!Z474,IF(E474="N","",J474))</f>
        <v>PLACEHOLDER ROW - Log of Contractor Submittals</v>
      </c>
      <c r="I474" s="552"/>
      <c r="J474" s="181" t="str">
        <f>IF('C-Design&amp;Const'!AK474="","",'C-Design&amp;Const'!AK474)</f>
        <v/>
      </c>
      <c r="L474" s="1410" t="str">
        <f t="shared" si="47"/>
        <v>&lt;---PM/Planner may hide PLACEHOLDER ROW</v>
      </c>
      <c r="M474" s="1382"/>
      <c r="N474" s="1382"/>
      <c r="O474" s="1382"/>
      <c r="P474" s="1382"/>
      <c r="Q474" s="1382"/>
      <c r="R474" s="1447"/>
      <c r="S474" s="1448"/>
      <c r="T474" s="1274"/>
      <c r="U474" s="1382"/>
      <c r="V474" s="1382"/>
      <c r="W474" s="1382"/>
      <c r="X474" s="1382"/>
      <c r="Y474" s="1382"/>
      <c r="Z474" s="1382"/>
      <c r="AA474" s="1382"/>
      <c r="AB474" s="1382"/>
      <c r="AC474" s="1382"/>
      <c r="AD474" s="1382"/>
      <c r="AE474" s="1382"/>
      <c r="AF474" s="1382"/>
      <c r="AG474" s="1382"/>
      <c r="AH474" s="1382"/>
      <c r="AI474" s="1382"/>
      <c r="AJ474" s="1382"/>
      <c r="AX474" s="30"/>
    </row>
    <row r="475" spans="1:50" s="181" customFormat="1" ht="15" hidden="1" customHeight="1" x14ac:dyDescent="0.25">
      <c r="A475" s="2332"/>
      <c r="B475" s="177"/>
      <c r="C475" s="944"/>
      <c r="D475" s="321"/>
      <c r="E475" s="559" t="str">
        <f>IF('C-Design&amp;Const'!$U475="","",'C-Design&amp;Const'!$U475)</f>
        <v>N</v>
      </c>
      <c r="F475" s="560"/>
      <c r="G475" s="558"/>
      <c r="H475" s="238" t="str">
        <f>CONCATENATE(IF(ISNUMBER(SEARCH("Placeholder",'C-Design&amp;Const'!Z475))=TRUE,"",IF(E475="N","PLACEHOLDER ROW - ","")),'C-Design&amp;Const'!Z475,IF(E475="N","",J475))</f>
        <v>PLACEHOLDER ROW - Schedule of Values</v>
      </c>
      <c r="I475" s="552"/>
      <c r="J475" s="181" t="str">
        <f>IF('C-Design&amp;Const'!AK475="","",'C-Design&amp;Const'!AK475)</f>
        <v/>
      </c>
      <c r="L475" s="1410" t="str">
        <f t="shared" si="47"/>
        <v>&lt;---PM/Planner may hide PLACEHOLDER ROW</v>
      </c>
      <c r="M475" s="1382"/>
      <c r="N475" s="1382"/>
      <c r="O475" s="1382"/>
      <c r="P475" s="1382"/>
      <c r="Q475" s="1382"/>
      <c r="R475" s="1447"/>
      <c r="S475" s="1448"/>
      <c r="T475" s="1274"/>
      <c r="U475" s="1382"/>
      <c r="V475" s="1382"/>
      <c r="W475" s="1382"/>
      <c r="X475" s="1382"/>
      <c r="Y475" s="1382"/>
      <c r="Z475" s="1382"/>
      <c r="AA475" s="1382"/>
      <c r="AB475" s="1382"/>
      <c r="AC475" s="1382"/>
      <c r="AD475" s="1382"/>
      <c r="AE475" s="1382"/>
      <c r="AF475" s="1382"/>
      <c r="AG475" s="1382"/>
      <c r="AH475" s="1382"/>
      <c r="AI475" s="1382"/>
      <c r="AJ475" s="1382"/>
      <c r="AX475" s="30"/>
    </row>
    <row r="476" spans="1:50" s="181" customFormat="1" ht="15" hidden="1" customHeight="1" x14ac:dyDescent="0.25">
      <c r="A476" s="2332"/>
      <c r="B476" s="177"/>
      <c r="C476" s="944"/>
      <c r="D476" s="321"/>
      <c r="E476" s="559" t="str">
        <f>IF('C-Design&amp;Const'!$U476="","",'C-Design&amp;Const'!$U476)</f>
        <v>N</v>
      </c>
      <c r="F476" s="560"/>
      <c r="G476" s="558"/>
      <c r="H476" s="410" t="str">
        <f>CONCATENATE(IF(ISNUMBER(SEARCH("Placeholder",'C-Design&amp;Const'!Z476))=TRUE,"",IF(E476="N","PLACEHOLDER ROW - ","")),'C-Design&amp;Const'!Z476,IF(E476="N","",J476))</f>
        <v>PLACEHOLDER ROW - Shop Drawings, Product Data, &amp; Quality Assurance Submittals (with all comments &amp; recommendation)</v>
      </c>
      <c r="I476" s="552"/>
      <c r="J476" s="181" t="str">
        <f>IF('C-Design&amp;Const'!AK476="","",'C-Design&amp;Const'!AK476)</f>
        <v/>
      </c>
      <c r="L476" s="1410" t="str">
        <f t="shared" si="47"/>
        <v>&lt;---PM/Planner may hide PLACEHOLDER ROW</v>
      </c>
      <c r="M476" s="1382"/>
      <c r="N476" s="1382"/>
      <c r="O476" s="1382"/>
      <c r="P476" s="1382"/>
      <c r="Q476" s="1382"/>
      <c r="R476" s="1447"/>
      <c r="S476" s="1448"/>
      <c r="T476" s="1274"/>
      <c r="U476" s="1382"/>
      <c r="V476" s="1382"/>
      <c r="W476" s="1382"/>
      <c r="X476" s="1382"/>
      <c r="Y476" s="1382"/>
      <c r="Z476" s="1382"/>
      <c r="AA476" s="1382"/>
      <c r="AB476" s="1382"/>
      <c r="AC476" s="1382"/>
      <c r="AD476" s="1382"/>
      <c r="AE476" s="1382"/>
      <c r="AF476" s="1382"/>
      <c r="AG476" s="1382"/>
      <c r="AH476" s="1382"/>
      <c r="AI476" s="1382"/>
      <c r="AJ476" s="1382"/>
      <c r="AX476" s="30"/>
    </row>
    <row r="477" spans="1:50" s="181" customFormat="1" ht="15" hidden="1" customHeight="1" x14ac:dyDescent="0.25">
      <c r="A477" s="2332"/>
      <c r="B477" s="177"/>
      <c r="C477" s="944"/>
      <c r="D477" s="321"/>
      <c r="E477" s="559" t="str">
        <f>IF('C-Design&amp;Const'!$U477="","",'C-Design&amp;Const'!$U477)</f>
        <v>N</v>
      </c>
      <c r="F477" s="560"/>
      <c r="G477" s="558"/>
      <c r="H477" s="410" t="str">
        <f>CONCATENATE(IF(ISNUMBER(SEARCH("Placeholder",'C-Design&amp;Const'!Z477))=TRUE,"",IF(E477="N","PLACEHOLDER ROW - ","")),'C-Design&amp;Const'!Z477,IF(E477="N","",J477))</f>
        <v>PLACEHOLDER ROW - Breaker Fuse Coordination Analysis based on equipment selected</v>
      </c>
      <c r="I477" s="552"/>
      <c r="J477" s="181" t="str">
        <f>IF('C-Design&amp;Const'!AK477="","",'C-Design&amp;Const'!AK477)</f>
        <v/>
      </c>
      <c r="L477" s="1410" t="str">
        <f t="shared" si="47"/>
        <v>&lt;---PM/Planner may hide PLACEHOLDER ROW</v>
      </c>
      <c r="M477" s="1382"/>
      <c r="N477" s="1382"/>
      <c r="O477" s="1382"/>
      <c r="P477" s="1382"/>
      <c r="Q477" s="1382"/>
      <c r="R477" s="1447"/>
      <c r="S477" s="1448"/>
      <c r="T477" s="1274"/>
      <c r="U477" s="1382"/>
      <c r="V477" s="1382"/>
      <c r="W477" s="1382"/>
      <c r="X477" s="1382"/>
      <c r="Y477" s="1382"/>
      <c r="Z477" s="1382"/>
      <c r="AA477" s="1382"/>
      <c r="AB477" s="1382"/>
      <c r="AC477" s="1382"/>
      <c r="AD477" s="1382"/>
      <c r="AE477" s="1382"/>
      <c r="AF477" s="1382"/>
      <c r="AG477" s="1382"/>
      <c r="AH477" s="1382"/>
      <c r="AI477" s="1382"/>
      <c r="AJ477" s="1382"/>
      <c r="AX477" s="30"/>
    </row>
    <row r="478" spans="1:50" s="181" customFormat="1" ht="15" hidden="1" customHeight="1" x14ac:dyDescent="0.25">
      <c r="A478" s="2332"/>
      <c r="B478" s="177"/>
      <c r="C478" s="944"/>
      <c r="D478" s="321"/>
      <c r="E478" s="559" t="str">
        <f>IF('C-Design&amp;Const'!$U478="","",'C-Design&amp;Const'!$U478)</f>
        <v>N</v>
      </c>
      <c r="F478" s="560"/>
      <c r="G478" s="558"/>
      <c r="H478" s="410" t="str">
        <f>CONCATENATE(IF(ISNUMBER(SEARCH("Placeholder",'C-Design&amp;Const'!Z478))=TRUE,"",IF(E478="N","PLACEHOLDER ROW - ","")),'C-Design&amp;Const'!Z478,IF(E478="N","",J478))</f>
        <v>PLACEHOLDER ROW - Updates to Checklist for spec sections w/ submittals recv'd vs reqd (shop drawings, calcs, etc…).  (NOTE:  previously received under separate cover with Item 06 - Project Manual.)</v>
      </c>
      <c r="I478" s="552"/>
      <c r="J478" s="181" t="str">
        <f>IF('C-Design&amp;Const'!AK478="","",'C-Design&amp;Const'!AK478)</f>
        <v/>
      </c>
      <c r="L478" s="1410" t="str">
        <f t="shared" si="47"/>
        <v>&lt;---PM/Planner may hide PLACEHOLDER ROW</v>
      </c>
      <c r="M478" s="1382"/>
      <c r="N478" s="1382"/>
      <c r="O478" s="1382"/>
      <c r="P478" s="1382"/>
      <c r="Q478" s="1382"/>
      <c r="R478" s="1447"/>
      <c r="S478" s="1448"/>
      <c r="T478" s="1274"/>
      <c r="U478" s="1382"/>
      <c r="V478" s="1382"/>
      <c r="W478" s="1382"/>
      <c r="X478" s="1382"/>
      <c r="Y478" s="1382"/>
      <c r="Z478" s="1382"/>
      <c r="AA478" s="1382"/>
      <c r="AB478" s="1382"/>
      <c r="AC478" s="1382"/>
      <c r="AD478" s="1382"/>
      <c r="AE478" s="1382"/>
      <c r="AF478" s="1382"/>
      <c r="AG478" s="1382"/>
      <c r="AH478" s="1382"/>
      <c r="AI478" s="1382"/>
      <c r="AJ478" s="1382"/>
      <c r="AX478" s="30"/>
    </row>
    <row r="479" spans="1:50" ht="18.75" hidden="1" x14ac:dyDescent="0.25">
      <c r="A479" s="2332"/>
      <c r="B479" s="125"/>
      <c r="C479" s="944"/>
      <c r="D479" s="499"/>
      <c r="E479" s="539" t="str">
        <f>IF('C-Design&amp;Const'!$U479="","",'C-Design&amp;Const'!$U479)</f>
        <v/>
      </c>
      <c r="F479" s="539"/>
      <c r="G479" s="292"/>
      <c r="H479" s="293"/>
      <c r="I479" s="552"/>
      <c r="J479" s="17" t="str">
        <f>IF('C-Design&amp;Const'!AK479="","",'C-Design&amp;Const'!AK479)</f>
        <v/>
      </c>
      <c r="L479" s="1410" t="str">
        <f t="shared" si="47"/>
        <v/>
      </c>
      <c r="M479" s="1333"/>
      <c r="N479" s="1333"/>
      <c r="O479" s="1333"/>
      <c r="P479" s="1333"/>
      <c r="Q479" s="1333"/>
      <c r="R479" s="1453"/>
      <c r="S479" s="1364"/>
      <c r="T479" s="1284"/>
      <c r="U479" s="1333"/>
      <c r="V479" s="1333"/>
      <c r="W479" s="1333"/>
      <c r="X479" s="1333"/>
      <c r="Y479" s="1333"/>
      <c r="Z479" s="1333"/>
      <c r="AA479" s="1333"/>
      <c r="AB479" s="1333"/>
      <c r="AC479" s="1333"/>
      <c r="AD479" s="1333"/>
      <c r="AE479" s="1333"/>
      <c r="AF479" s="1333"/>
      <c r="AG479" s="1333"/>
      <c r="AH479" s="1333"/>
      <c r="AI479" s="1333"/>
      <c r="AJ479" s="1333"/>
    </row>
    <row r="480" spans="1:50" ht="18.75" hidden="1" x14ac:dyDescent="0.25">
      <c r="A480" s="2332"/>
      <c r="B480" s="125"/>
      <c r="C480" s="944"/>
      <c r="D480" s="559" t="str">
        <f>IF('C-Design&amp;Const'!$U480="","",'C-Design&amp;Const'!$U480)</f>
        <v>N</v>
      </c>
      <c r="E480" s="234"/>
      <c r="F480" s="235"/>
      <c r="G480" s="291" t="str">
        <f>IF('C-Design&amp;Const'!Y480="","",'C-Design&amp;Const'!Y480)</f>
        <v>21.</v>
      </c>
      <c r="H480" s="290" t="str">
        <f>CONCATENATE('C-Design&amp;Const'!Z480,IF(D480="N"," Not Used In This Construction Phase",""))</f>
        <v>Pay / Progress Meetings Not Used In This Construction Phase</v>
      </c>
      <c r="I480" s="552"/>
      <c r="J480" s="17" t="str">
        <f>IF('C-Design&amp;Const'!AK480="","",'C-Design&amp;Const'!AK480)</f>
        <v/>
      </c>
      <c r="L480" s="1410" t="str">
        <f t="shared" si="47"/>
        <v/>
      </c>
      <c r="M480" s="1333"/>
      <c r="N480" s="1333"/>
      <c r="O480" s="1333"/>
      <c r="P480" s="1333"/>
      <c r="Q480" s="1333"/>
      <c r="R480" s="1453"/>
      <c r="S480" s="1364"/>
      <c r="T480" s="1284"/>
      <c r="U480" s="1333"/>
      <c r="V480" s="1333"/>
      <c r="W480" s="1333"/>
      <c r="X480" s="1333"/>
      <c r="Y480" s="1333"/>
      <c r="Z480" s="1333"/>
      <c r="AA480" s="1333"/>
      <c r="AB480" s="1333"/>
      <c r="AC480" s="1333"/>
      <c r="AD480" s="1333"/>
      <c r="AE480" s="1333"/>
      <c r="AF480" s="1333"/>
      <c r="AG480" s="1333"/>
      <c r="AH480" s="1333"/>
      <c r="AI480" s="1333"/>
      <c r="AJ480" s="1333"/>
    </row>
    <row r="481" spans="1:50" s="181" customFormat="1" ht="15" hidden="1" customHeight="1" x14ac:dyDescent="0.25">
      <c r="A481" s="2332"/>
      <c r="B481" s="177"/>
      <c r="C481" s="944"/>
      <c r="D481" s="321"/>
      <c r="E481" s="559" t="str">
        <f>IF('C-Design&amp;Const'!$U481="","",'C-Design&amp;Const'!$U481)</f>
        <v>N</v>
      </c>
      <c r="F481" s="560"/>
      <c r="G481" s="558"/>
      <c r="H481" s="238" t="str">
        <f>CONCATENATE(IF(ISNUMBER(SEARCH("Placeholder",'C-Design&amp;Const'!Z481))=TRUE,"",IF(E481="N","PLACEHOLDER ROW - ","")),'C-Design&amp;Const'!Z481,IF(E481="N","",J481))</f>
        <v>PLACEHOLDER ROW - Agenda</v>
      </c>
      <c r="I481" s="552"/>
      <c r="J481" s="181" t="str">
        <f>IF('C-Design&amp;Const'!AK481="","",'C-Design&amp;Const'!AK481)</f>
        <v/>
      </c>
      <c r="L481" s="1410" t="str">
        <f t="shared" si="47"/>
        <v>&lt;---PM/Planner may hide PLACEHOLDER ROW</v>
      </c>
      <c r="M481" s="1382"/>
      <c r="N481" s="1382"/>
      <c r="O481" s="1382"/>
      <c r="P481" s="1382"/>
      <c r="Q481" s="1382"/>
      <c r="R481" s="1447"/>
      <c r="S481" s="1448"/>
      <c r="T481" s="1274"/>
      <c r="U481" s="1382"/>
      <c r="V481" s="1382"/>
      <c r="W481" s="1382"/>
      <c r="X481" s="1382"/>
      <c r="Y481" s="1382"/>
      <c r="Z481" s="1382"/>
      <c r="AA481" s="1382"/>
      <c r="AB481" s="1382"/>
      <c r="AC481" s="1382"/>
      <c r="AD481" s="1382"/>
      <c r="AE481" s="1382"/>
      <c r="AF481" s="1382"/>
      <c r="AG481" s="1382"/>
      <c r="AH481" s="1382"/>
      <c r="AI481" s="1382"/>
      <c r="AJ481" s="1382"/>
      <c r="AX481" s="30"/>
    </row>
    <row r="482" spans="1:50" s="181" customFormat="1" ht="15" hidden="1" customHeight="1" x14ac:dyDescent="0.25">
      <c r="A482" s="2332"/>
      <c r="B482" s="177"/>
      <c r="C482" s="944"/>
      <c r="D482" s="321"/>
      <c r="E482" s="559" t="str">
        <f>IF('C-Design&amp;Const'!$U482="","",'C-Design&amp;Const'!$U482)</f>
        <v>N</v>
      </c>
      <c r="F482" s="560"/>
      <c r="G482" s="558"/>
      <c r="H482" s="238" t="str">
        <f>CONCATENATE(IF(ISNUMBER(SEARCH("Placeholder",'C-Design&amp;Const'!Z482))=TRUE,"",IF(E482="N","PLACEHOLDER ROW - ","")),'C-Design&amp;Const'!Z482,IF(E482="N","",J482))</f>
        <v>PLACEHOLDER ROW - Sign In</v>
      </c>
      <c r="I482" s="552"/>
      <c r="J482" s="181" t="str">
        <f>IF('C-Design&amp;Const'!AK482="","",'C-Design&amp;Const'!AK482)</f>
        <v/>
      </c>
      <c r="L482" s="1410" t="str">
        <f t="shared" si="47"/>
        <v>&lt;---PM/Planner may hide PLACEHOLDER ROW</v>
      </c>
      <c r="M482" s="1382"/>
      <c r="N482" s="1382"/>
      <c r="O482" s="1382"/>
      <c r="P482" s="1382"/>
      <c r="Q482" s="1382"/>
      <c r="R482" s="1447"/>
      <c r="S482" s="1448"/>
      <c r="T482" s="1274"/>
      <c r="U482" s="1382"/>
      <c r="V482" s="1382"/>
      <c r="W482" s="1382"/>
      <c r="X482" s="1382"/>
      <c r="Y482" s="1382"/>
      <c r="Z482" s="1382"/>
      <c r="AA482" s="1382"/>
      <c r="AB482" s="1382"/>
      <c r="AC482" s="1382"/>
      <c r="AD482" s="1382"/>
      <c r="AE482" s="1382"/>
      <c r="AF482" s="1382"/>
      <c r="AG482" s="1382"/>
      <c r="AH482" s="1382"/>
      <c r="AI482" s="1382"/>
      <c r="AJ482" s="1382"/>
      <c r="AX482" s="30"/>
    </row>
    <row r="483" spans="1:50" s="181" customFormat="1" ht="15" hidden="1" customHeight="1" x14ac:dyDescent="0.25">
      <c r="A483" s="2332"/>
      <c r="B483" s="177"/>
      <c r="C483" s="944"/>
      <c r="D483" s="321"/>
      <c r="E483" s="559" t="str">
        <f>IF('C-Design&amp;Const'!$U483="","",'C-Design&amp;Const'!$U483)</f>
        <v>N</v>
      </c>
      <c r="F483" s="560"/>
      <c r="G483" s="558"/>
      <c r="H483" s="238" t="str">
        <f>CONCATENATE(IF(ISNUMBER(SEARCH("Placeholder",'C-Design&amp;Const'!Z483))=TRUE,"",IF(E483="N","PLACEHOLDER ROW - ","")),'C-Design&amp;Const'!Z483,IF(E483="N","",J483))</f>
        <v>PLACEHOLDER ROW - Meeting Minutes (including field decisions)</v>
      </c>
      <c r="I483" s="552"/>
      <c r="J483" s="181" t="str">
        <f>IF('C-Design&amp;Const'!AK483="","",'C-Design&amp;Const'!AK483)</f>
        <v/>
      </c>
      <c r="L483" s="1410" t="str">
        <f t="shared" si="47"/>
        <v>&lt;---PM/Planner may hide PLACEHOLDER ROW</v>
      </c>
      <c r="M483" s="1382"/>
      <c r="N483" s="1382"/>
      <c r="O483" s="1382"/>
      <c r="P483" s="1382"/>
      <c r="Q483" s="1382"/>
      <c r="R483" s="1447"/>
      <c r="S483" s="1448"/>
      <c r="T483" s="1274"/>
      <c r="U483" s="1382"/>
      <c r="V483" s="1382"/>
      <c r="W483" s="1382"/>
      <c r="X483" s="1382"/>
      <c r="Y483" s="1382"/>
      <c r="Z483" s="1382"/>
      <c r="AA483" s="1382"/>
      <c r="AB483" s="1382"/>
      <c r="AC483" s="1382"/>
      <c r="AD483" s="1382"/>
      <c r="AE483" s="1382"/>
      <c r="AF483" s="1382"/>
      <c r="AG483" s="1382"/>
      <c r="AH483" s="1382"/>
      <c r="AI483" s="1382"/>
      <c r="AJ483" s="1382"/>
      <c r="AX483" s="30"/>
    </row>
    <row r="484" spans="1:50" ht="18.75" hidden="1" x14ac:dyDescent="0.25">
      <c r="A484" s="2332"/>
      <c r="B484" s="125"/>
      <c r="C484" s="944"/>
      <c r="D484" s="499"/>
      <c r="E484" s="539"/>
      <c r="F484" s="539"/>
      <c r="G484" s="292"/>
      <c r="H484" s="293"/>
      <c r="I484" s="552"/>
      <c r="J484" s="17" t="str">
        <f>IF('C-Design&amp;Const'!AK484="","",'C-Design&amp;Const'!AK484)</f>
        <v/>
      </c>
      <c r="L484" s="1410" t="str">
        <f t="shared" si="47"/>
        <v/>
      </c>
      <c r="M484" s="1333"/>
      <c r="N484" s="1333"/>
      <c r="O484" s="1333"/>
      <c r="P484" s="1333"/>
      <c r="Q484" s="1333"/>
      <c r="R484" s="1453"/>
      <c r="S484" s="1364"/>
      <c r="T484" s="1284"/>
      <c r="U484" s="1333"/>
      <c r="V484" s="1333"/>
      <c r="W484" s="1333"/>
      <c r="X484" s="1333"/>
      <c r="Y484" s="1333"/>
      <c r="Z484" s="1333"/>
      <c r="AA484" s="1333"/>
      <c r="AB484" s="1333"/>
      <c r="AC484" s="1333"/>
      <c r="AD484" s="1333"/>
      <c r="AE484" s="1333"/>
      <c r="AF484" s="1333"/>
      <c r="AG484" s="1333"/>
      <c r="AH484" s="1333"/>
      <c r="AI484" s="1333"/>
      <c r="AJ484" s="1333"/>
    </row>
    <row r="485" spans="1:50" ht="18.75" hidden="1" x14ac:dyDescent="0.25">
      <c r="A485" s="2332"/>
      <c r="B485" s="125"/>
      <c r="C485" s="944"/>
      <c r="D485" s="559" t="str">
        <f>IF('C-Design&amp;Const'!$U485="","",'C-Design&amp;Const'!$U485)</f>
        <v>N</v>
      </c>
      <c r="E485" s="234"/>
      <c r="F485" s="235"/>
      <c r="G485" s="291" t="str">
        <f>IF('C-Design&amp;Const'!Y485="","",'C-Design&amp;Const'!Y485)</f>
        <v>22.</v>
      </c>
      <c r="H485" s="290" t="str">
        <f>CONCATENATE('C-Design&amp;Const'!Z485,IF(D485="N"," Not Used In This Construction Phase",""))</f>
        <v>Written Description of Delays Not Used In This Construction Phase</v>
      </c>
      <c r="I485" s="552"/>
      <c r="J485" s="17" t="str">
        <f>IF('C-Design&amp;Const'!AK485="","",'C-Design&amp;Const'!AK485)</f>
        <v/>
      </c>
      <c r="L485" s="1410" t="str">
        <f t="shared" si="47"/>
        <v/>
      </c>
      <c r="M485" s="1333"/>
      <c r="N485" s="1333"/>
      <c r="O485" s="1333"/>
      <c r="P485" s="1333"/>
      <c r="Q485" s="1333"/>
      <c r="R485" s="1453"/>
      <c r="S485" s="1364"/>
      <c r="T485" s="1284"/>
      <c r="U485" s="1333"/>
      <c r="V485" s="1333"/>
      <c r="W485" s="1333"/>
      <c r="X485" s="1333"/>
      <c r="Y485" s="1333"/>
      <c r="Z485" s="1333"/>
      <c r="AA485" s="1333"/>
      <c r="AB485" s="1333"/>
      <c r="AC485" s="1333"/>
      <c r="AD485" s="1333"/>
      <c r="AE485" s="1333"/>
      <c r="AF485" s="1333"/>
      <c r="AG485" s="1333"/>
      <c r="AH485" s="1333"/>
      <c r="AI485" s="1333"/>
      <c r="AJ485" s="1333"/>
    </row>
    <row r="486" spans="1:50" ht="18.75" hidden="1" x14ac:dyDescent="0.25">
      <c r="A486" s="2332"/>
      <c r="B486" s="125"/>
      <c r="C486" s="944"/>
      <c r="D486" s="499"/>
      <c r="E486" s="539"/>
      <c r="F486" s="539"/>
      <c r="G486" s="292"/>
      <c r="H486" s="293"/>
      <c r="I486" s="552"/>
      <c r="J486" s="17" t="str">
        <f>IF('C-Design&amp;Const'!AK486="","",'C-Design&amp;Const'!AK486)</f>
        <v/>
      </c>
      <c r="L486" s="1410" t="str">
        <f t="shared" si="47"/>
        <v/>
      </c>
      <c r="M486" s="1333"/>
      <c r="N486" s="1333"/>
      <c r="O486" s="1333"/>
      <c r="P486" s="1333"/>
      <c r="Q486" s="1333"/>
      <c r="R486" s="1453"/>
      <c r="S486" s="1364"/>
      <c r="T486" s="1284"/>
      <c r="U486" s="1333"/>
      <c r="V486" s="1333"/>
      <c r="W486" s="1333"/>
      <c r="X486" s="1333"/>
      <c r="Y486" s="1333"/>
      <c r="Z486" s="1333"/>
      <c r="AA486" s="1333"/>
      <c r="AB486" s="1333"/>
      <c r="AC486" s="1333"/>
      <c r="AD486" s="1333"/>
      <c r="AE486" s="1333"/>
      <c r="AF486" s="1333"/>
      <c r="AG486" s="1333"/>
      <c r="AH486" s="1333"/>
      <c r="AI486" s="1333"/>
      <c r="AJ486" s="1333"/>
    </row>
    <row r="487" spans="1:50" ht="18.75" hidden="1" x14ac:dyDescent="0.25">
      <c r="A487" s="2332"/>
      <c r="B487" s="125"/>
      <c r="C487" s="944"/>
      <c r="D487" s="559" t="str">
        <f>IF('C-Design&amp;Const'!$U487="","",'C-Design&amp;Const'!$U487)</f>
        <v>N</v>
      </c>
      <c r="E487" s="234"/>
      <c r="F487" s="235"/>
      <c r="G487" s="291" t="str">
        <f>IF('C-Design&amp;Const'!Y487="","",'C-Design&amp;Const'!Y487)</f>
        <v>23.</v>
      </c>
      <c r="H487" s="290" t="str">
        <f>CONCATENATE('C-Design&amp;Const'!Z487,IF(D487="N"," Not Used In This Construction Phase",""))</f>
        <v>Construction Information / Changes Not Used In This Construction Phase</v>
      </c>
      <c r="I487" s="552"/>
      <c r="J487" s="17" t="str">
        <f>IF('C-Design&amp;Const'!AK487="","",'C-Design&amp;Const'!AK487)</f>
        <v/>
      </c>
      <c r="L487" s="1410" t="str">
        <f t="shared" si="47"/>
        <v/>
      </c>
      <c r="M487" s="1333"/>
      <c r="N487" s="1333"/>
      <c r="O487" s="1333"/>
      <c r="P487" s="1333"/>
      <c r="Q487" s="1333"/>
      <c r="R487" s="1453"/>
      <c r="S487" s="1364"/>
      <c r="T487" s="1284"/>
      <c r="U487" s="1333"/>
      <c r="V487" s="1333"/>
      <c r="W487" s="1333"/>
      <c r="X487" s="1333"/>
      <c r="Y487" s="1333"/>
      <c r="Z487" s="1333"/>
      <c r="AA487" s="1333"/>
      <c r="AB487" s="1333"/>
      <c r="AC487" s="1333"/>
      <c r="AD487" s="1333"/>
      <c r="AE487" s="1333"/>
      <c r="AF487" s="1333"/>
      <c r="AG487" s="1333"/>
      <c r="AH487" s="1333"/>
      <c r="AI487" s="1333"/>
      <c r="AJ487" s="1333"/>
    </row>
    <row r="488" spans="1:50" s="181" customFormat="1" ht="15" hidden="1" customHeight="1" x14ac:dyDescent="0.25">
      <c r="A488" s="2332"/>
      <c r="B488" s="177"/>
      <c r="C488" s="944"/>
      <c r="D488" s="321"/>
      <c r="E488" s="559" t="str">
        <f>IF('C-Design&amp;Const'!$U488="","",'C-Design&amp;Const'!$U488)</f>
        <v>N</v>
      </c>
      <c r="F488" s="560"/>
      <c r="G488" s="558"/>
      <c r="H488" s="238" t="str">
        <f>CONCATENATE(IF(ISNUMBER(SEARCH("Placeholder",'C-Design&amp;Const'!Z488))=TRUE,"",IF(E488="N","PLACEHOLDER ROW - ","")),'C-Design&amp;Const'!Z488,IF(E488="N","",J488))</f>
        <v>PLACEHOLDER ROW - RFI's responses, ASI's, RFP's, Change Orders and Field Directives</v>
      </c>
      <c r="I488" s="552"/>
      <c r="J488" s="181" t="str">
        <f>IF('C-Design&amp;Const'!AK488="","",'C-Design&amp;Const'!AK488)</f>
        <v/>
      </c>
      <c r="L488" s="1410" t="str">
        <f t="shared" si="47"/>
        <v>&lt;---PM/Planner may hide PLACEHOLDER ROW</v>
      </c>
      <c r="M488" s="1382"/>
      <c r="N488" s="1382"/>
      <c r="O488" s="1382"/>
      <c r="P488" s="1382"/>
      <c r="Q488" s="1382"/>
      <c r="R488" s="1447"/>
      <c r="S488" s="1448"/>
      <c r="T488" s="1274"/>
      <c r="U488" s="1382"/>
      <c r="V488" s="1382"/>
      <c r="W488" s="1382"/>
      <c r="X488" s="1382"/>
      <c r="Y488" s="1382"/>
      <c r="Z488" s="1382"/>
      <c r="AA488" s="1382"/>
      <c r="AB488" s="1382"/>
      <c r="AC488" s="1382"/>
      <c r="AD488" s="1382"/>
      <c r="AE488" s="1382"/>
      <c r="AF488" s="1382"/>
      <c r="AG488" s="1382"/>
      <c r="AH488" s="1382"/>
      <c r="AI488" s="1382"/>
      <c r="AJ488" s="1382"/>
      <c r="AX488" s="30"/>
    </row>
    <row r="489" spans="1:50" s="181" customFormat="1" ht="15" hidden="1" customHeight="1" x14ac:dyDescent="0.25">
      <c r="A489" s="2332"/>
      <c r="B489" s="177"/>
      <c r="C489" s="944"/>
      <c r="D489" s="321"/>
      <c r="E489" s="559" t="str">
        <f>IF('C-Design&amp;Const'!$U489="","",'C-Design&amp;Const'!$U489)</f>
        <v>N</v>
      </c>
      <c r="F489" s="560"/>
      <c r="G489" s="558"/>
      <c r="H489" s="238" t="str">
        <f>CONCATENATE(IF(ISNUMBER(SEARCH("Placeholder",'C-Design&amp;Const'!Z489))=TRUE,"",IF(E489="N","PLACEHOLDER ROW - ","")),'C-Design&amp;Const'!Z489,IF(E489="N","",J489))</f>
        <v>PLACEHOLDER ROW - Logs of RFI's &amp; responses, ASI's, RFP's, Change Orders and Field Directives</v>
      </c>
      <c r="I489" s="552"/>
      <c r="J489" s="181" t="str">
        <f>IF('C-Design&amp;Const'!AK489="","",'C-Design&amp;Const'!AK489)</f>
        <v/>
      </c>
      <c r="L489" s="1410" t="str">
        <f t="shared" si="47"/>
        <v>&lt;---PM/Planner may hide PLACEHOLDER ROW</v>
      </c>
      <c r="M489" s="1382"/>
      <c r="N489" s="1382"/>
      <c r="O489" s="1382"/>
      <c r="P489" s="1382"/>
      <c r="Q489" s="1382"/>
      <c r="R489" s="1447"/>
      <c r="S489" s="1448"/>
      <c r="T489" s="1274"/>
      <c r="U489" s="1382"/>
      <c r="V489" s="1382"/>
      <c r="W489" s="1382"/>
      <c r="X489" s="1382"/>
      <c r="Y489" s="1382"/>
      <c r="Z489" s="1382"/>
      <c r="AA489" s="1382"/>
      <c r="AB489" s="1382"/>
      <c r="AC489" s="1382"/>
      <c r="AD489" s="1382"/>
      <c r="AE489" s="1382"/>
      <c r="AF489" s="1382"/>
      <c r="AG489" s="1382"/>
      <c r="AH489" s="1382"/>
      <c r="AI489" s="1382"/>
      <c r="AJ489" s="1382"/>
      <c r="AX489" s="30"/>
    </row>
    <row r="490" spans="1:50" s="181" customFormat="1" ht="15" hidden="1" customHeight="1" x14ac:dyDescent="0.25">
      <c r="A490" s="2332"/>
      <c r="B490" s="177"/>
      <c r="C490" s="944"/>
      <c r="D490" s="321"/>
      <c r="E490" s="559" t="str">
        <f>IF('C-Design&amp;Const'!$U490="","",'C-Design&amp;Const'!$U490)</f>
        <v>N</v>
      </c>
      <c r="F490" s="560"/>
      <c r="G490" s="558"/>
      <c r="H490" s="238" t="str">
        <f>CONCATENATE(IF(ISNUMBER(SEARCH("Placeholder",'C-Design&amp;Const'!Z490))=TRUE,"",IF(E490="N","PLACEHOLDER ROW - ","")),'C-Design&amp;Const'!Z490,IF(E490="N","",J490))</f>
        <v>PLACEHOLDER ROW - Justifications or Explanations for Errors/ Omissions, Deficiencies or Conflicts</v>
      </c>
      <c r="I490" s="552"/>
      <c r="J490" s="181" t="str">
        <f>IF('C-Design&amp;Const'!AK490="","",'C-Design&amp;Const'!AK490)</f>
        <v/>
      </c>
      <c r="L490" s="1410" t="str">
        <f t="shared" si="47"/>
        <v>&lt;---PM/Planner may hide PLACEHOLDER ROW</v>
      </c>
      <c r="M490" s="1382"/>
      <c r="N490" s="1382"/>
      <c r="O490" s="1382"/>
      <c r="P490" s="1382"/>
      <c r="Q490" s="1382"/>
      <c r="R490" s="1447"/>
      <c r="S490" s="1448"/>
      <c r="T490" s="1274"/>
      <c r="U490" s="1382"/>
      <c r="V490" s="1382"/>
      <c r="W490" s="1382"/>
      <c r="X490" s="1382"/>
      <c r="Y490" s="1382"/>
      <c r="Z490" s="1382"/>
      <c r="AA490" s="1382"/>
      <c r="AB490" s="1382"/>
      <c r="AC490" s="1382"/>
      <c r="AD490" s="1382"/>
      <c r="AE490" s="1382"/>
      <c r="AF490" s="1382"/>
      <c r="AG490" s="1382"/>
      <c r="AH490" s="1382"/>
      <c r="AI490" s="1382"/>
      <c r="AJ490" s="1382"/>
      <c r="AX490" s="30"/>
    </row>
    <row r="491" spans="1:50" s="181" customFormat="1" ht="15" hidden="1" customHeight="1" x14ac:dyDescent="0.25">
      <c r="A491" s="2332"/>
      <c r="B491" s="177"/>
      <c r="C491" s="944"/>
      <c r="D491" s="321"/>
      <c r="E491" s="559" t="str">
        <f>IF('C-Design&amp;Const'!$U491="","",'C-Design&amp;Const'!$U491)</f>
        <v>N</v>
      </c>
      <c r="F491" s="560"/>
      <c r="G491" s="558"/>
      <c r="H491" s="238" t="str">
        <f>CONCATENATE(IF(ISNUMBER(SEARCH("Placeholder",'C-Design&amp;Const'!Z491))=TRUE,"",IF(E491="N","PLACEHOLDER ROW - ","")),'C-Design&amp;Const'!Z491,IF(E491="N","",J491))</f>
        <v>PLACEHOLDER ROW - Corrections to Errors / Omissions, Deficiencies, or Conflicts</v>
      </c>
      <c r="I491" s="552"/>
      <c r="J491" s="181" t="str">
        <f>IF('C-Design&amp;Const'!AK491="","",'C-Design&amp;Const'!AK491)</f>
        <v/>
      </c>
      <c r="L491" s="1410" t="str">
        <f t="shared" si="47"/>
        <v>&lt;---PM/Planner may hide PLACEHOLDER ROW</v>
      </c>
      <c r="M491" s="1382"/>
      <c r="N491" s="1382"/>
      <c r="O491" s="1382"/>
      <c r="P491" s="1382"/>
      <c r="Q491" s="1382"/>
      <c r="R491" s="1447"/>
      <c r="S491" s="1448"/>
      <c r="T491" s="1274"/>
      <c r="U491" s="1382"/>
      <c r="V491" s="1382"/>
      <c r="W491" s="1382"/>
      <c r="X491" s="1382"/>
      <c r="Y491" s="1382"/>
      <c r="Z491" s="1382"/>
      <c r="AA491" s="1382"/>
      <c r="AB491" s="1382"/>
      <c r="AC491" s="1382"/>
      <c r="AD491" s="1382"/>
      <c r="AE491" s="1382"/>
      <c r="AF491" s="1382"/>
      <c r="AG491" s="1382"/>
      <c r="AH491" s="1382"/>
      <c r="AI491" s="1382"/>
      <c r="AJ491" s="1382"/>
      <c r="AX491" s="30"/>
    </row>
    <row r="492" spans="1:50" s="181" customFormat="1" ht="15" hidden="1" customHeight="1" x14ac:dyDescent="0.25">
      <c r="A492" s="2332"/>
      <c r="B492" s="177"/>
      <c r="C492" s="944"/>
      <c r="D492" s="321"/>
      <c r="E492" s="559" t="str">
        <f>IF('C-Design&amp;Const'!$U492="","",'C-Design&amp;Const'!$U492)</f>
        <v>N</v>
      </c>
      <c r="F492" s="560"/>
      <c r="G492" s="558"/>
      <c r="H492" s="410" t="str">
        <f>CONCATENATE(IF(ISNUMBER(SEARCH("Placeholder",'C-Design&amp;Const'!Z492))=TRUE,"",IF(E492="N","PLACEHOLDER ROW - ","")),'C-Design&amp;Const'!Z492,IF(E492="N","",J492))</f>
        <v>PLACEHOLDER ROW - OPTIONAL CLIENT CUSTOM ITEM</v>
      </c>
      <c r="I492" s="552"/>
      <c r="J492" s="181" t="str">
        <f>IF('C-Design&amp;Const'!AK492="","",'C-Design&amp;Const'!AK492)</f>
        <v/>
      </c>
      <c r="L492" s="1410" t="str">
        <f t="shared" si="47"/>
        <v>&lt;---PM/Planner may hide PLACEHOLDER ROW</v>
      </c>
      <c r="M492" s="1382"/>
      <c r="N492" s="1382"/>
      <c r="O492" s="1382"/>
      <c r="P492" s="1382"/>
      <c r="Q492" s="1382"/>
      <c r="R492" s="1447"/>
      <c r="S492" s="1448"/>
      <c r="T492" s="1274"/>
      <c r="U492" s="1382"/>
      <c r="V492" s="1382"/>
      <c r="W492" s="1382"/>
      <c r="X492" s="1382"/>
      <c r="Y492" s="1382"/>
      <c r="Z492" s="1382"/>
      <c r="AA492" s="1382"/>
      <c r="AB492" s="1382"/>
      <c r="AC492" s="1382"/>
      <c r="AD492" s="1382"/>
      <c r="AE492" s="1382"/>
      <c r="AF492" s="1382"/>
      <c r="AG492" s="1382"/>
      <c r="AH492" s="1382"/>
      <c r="AI492" s="1382"/>
      <c r="AJ492" s="1382"/>
      <c r="AX492" s="30"/>
    </row>
    <row r="493" spans="1:50" s="181" customFormat="1" ht="15" hidden="1" customHeight="1" x14ac:dyDescent="0.25">
      <c r="A493" s="2332"/>
      <c r="B493" s="177"/>
      <c r="C493" s="944"/>
      <c r="D493" s="321"/>
      <c r="E493" s="559" t="str">
        <f>IF('C-Design&amp;Const'!$U493="","",'C-Design&amp;Const'!$U493)</f>
        <v>N</v>
      </c>
      <c r="F493" s="560"/>
      <c r="G493" s="558"/>
      <c r="H493" s="410" t="str">
        <f>CONCATENATE(IF(ISNUMBER(SEARCH("Placeholder",'C-Design&amp;Const'!Z493))=TRUE,"",IF(E493="N","PLACEHOLDER ROW - ","")),'C-Design&amp;Const'!Z493,IF(E493="N","",J493))</f>
        <v>PLACEHOLDER ROW - OPTIONAL CLIENT CUSTOM ITEM</v>
      </c>
      <c r="I493" s="552"/>
      <c r="J493" s="181" t="str">
        <f>IF('C-Design&amp;Const'!AK493="","",'C-Design&amp;Const'!AK493)</f>
        <v/>
      </c>
      <c r="L493" s="1410" t="str">
        <f t="shared" si="47"/>
        <v>&lt;---PM/Planner may hide PLACEHOLDER ROW</v>
      </c>
      <c r="M493" s="1382"/>
      <c r="N493" s="1382"/>
      <c r="O493" s="1382"/>
      <c r="P493" s="1382"/>
      <c r="Q493" s="1382"/>
      <c r="R493" s="1447"/>
      <c r="S493" s="1448"/>
      <c r="T493" s="1274"/>
      <c r="U493" s="1382"/>
      <c r="V493" s="1382"/>
      <c r="W493" s="1382"/>
      <c r="X493" s="1382"/>
      <c r="Y493" s="1382"/>
      <c r="Z493" s="1382"/>
      <c r="AA493" s="1382"/>
      <c r="AB493" s="1382"/>
      <c r="AC493" s="1382"/>
      <c r="AD493" s="1382"/>
      <c r="AE493" s="1382"/>
      <c r="AF493" s="1382"/>
      <c r="AG493" s="1382"/>
      <c r="AH493" s="1382"/>
      <c r="AI493" s="1382"/>
      <c r="AJ493" s="1382"/>
      <c r="AX493" s="30"/>
    </row>
    <row r="494" spans="1:50" ht="18.75" hidden="1" x14ac:dyDescent="0.25">
      <c r="A494" s="2332"/>
      <c r="B494" s="125"/>
      <c r="C494" s="944"/>
      <c r="D494" s="499"/>
      <c r="E494" s="539" t="str">
        <f>IF('C-Design&amp;Const'!$W494="","",'C-Design&amp;Const'!$W494)</f>
        <v/>
      </c>
      <c r="F494" s="539"/>
      <c r="G494" s="292"/>
      <c r="H494" s="293"/>
      <c r="I494" s="552"/>
      <c r="J494" s="17" t="str">
        <f>IF('C-Design&amp;Const'!AK494="","",'C-Design&amp;Const'!AK494)</f>
        <v/>
      </c>
      <c r="L494" s="1410" t="str">
        <f t="shared" si="47"/>
        <v/>
      </c>
      <c r="M494" s="1333"/>
      <c r="N494" s="1333"/>
      <c r="O494" s="1333"/>
      <c r="P494" s="1333"/>
      <c r="Q494" s="1333"/>
      <c r="R494" s="1453"/>
      <c r="S494" s="1364"/>
      <c r="T494" s="1284"/>
      <c r="U494" s="1333"/>
      <c r="V494" s="1333"/>
      <c r="W494" s="1333"/>
      <c r="X494" s="1333"/>
      <c r="Y494" s="1333"/>
      <c r="Z494" s="1333"/>
      <c r="AA494" s="1333"/>
      <c r="AB494" s="1333"/>
      <c r="AC494" s="1333"/>
      <c r="AD494" s="1333"/>
      <c r="AE494" s="1333"/>
      <c r="AF494" s="1333"/>
      <c r="AG494" s="1333"/>
      <c r="AH494" s="1333"/>
      <c r="AI494" s="1333"/>
      <c r="AJ494" s="1333"/>
    </row>
    <row r="495" spans="1:50" ht="37.5" hidden="1" x14ac:dyDescent="0.25">
      <c r="A495" s="2332"/>
      <c r="B495" s="125"/>
      <c r="C495" s="944"/>
      <c r="D495" s="559" t="str">
        <f>IF('C-Design&amp;Const'!$U495="","",'C-Design&amp;Const'!$U495)</f>
        <v>N</v>
      </c>
      <c r="E495" s="234"/>
      <c r="F495" s="235"/>
      <c r="G495" s="291" t="str">
        <f>IF('C-Design&amp;Const'!Y495="","",'C-Design&amp;Const'!Y495)</f>
        <v>24.</v>
      </c>
      <c r="H495" s="290" t="str">
        <f>CONCATENATE('C-Design&amp;Const'!Z495,IF(D495="N"," Not Used In This Construction Phase",""))</f>
        <v>On-site Inspection / Observation Reports Not Used In This Construction Phase</v>
      </c>
      <c r="I495" s="552"/>
      <c r="J495" s="17" t="str">
        <f>IF('C-Design&amp;Const'!AK495="","",'C-Design&amp;Const'!AK495)</f>
        <v/>
      </c>
      <c r="L495" s="1410" t="str">
        <f t="shared" si="47"/>
        <v/>
      </c>
      <c r="M495" s="1333"/>
      <c r="N495" s="1333"/>
      <c r="O495" s="1333"/>
      <c r="P495" s="1333"/>
      <c r="Q495" s="1333"/>
      <c r="R495" s="1453"/>
      <c r="S495" s="1364"/>
      <c r="T495" s="1284"/>
      <c r="U495" s="1333"/>
      <c r="V495" s="1333"/>
      <c r="W495" s="1333"/>
      <c r="X495" s="1333"/>
      <c r="Y495" s="1333"/>
      <c r="Z495" s="1333"/>
      <c r="AA495" s="1333"/>
      <c r="AB495" s="1333"/>
      <c r="AC495" s="1333"/>
      <c r="AD495" s="1333"/>
      <c r="AE495" s="1333"/>
      <c r="AF495" s="1333"/>
      <c r="AG495" s="1333"/>
      <c r="AH495" s="1333"/>
      <c r="AI495" s="1333"/>
      <c r="AJ495" s="1333"/>
    </row>
    <row r="496" spans="1:50" s="181" customFormat="1" ht="15" hidden="1" customHeight="1" x14ac:dyDescent="0.25">
      <c r="A496" s="2332"/>
      <c r="B496" s="177"/>
      <c r="C496" s="944"/>
      <c r="D496" s="321"/>
      <c r="E496" s="559" t="str">
        <f>IF('C-Design&amp;Const'!$U496="","",'C-Design&amp;Const'!$U496)</f>
        <v>N</v>
      </c>
      <c r="F496" s="560"/>
      <c r="G496" s="558"/>
      <c r="H496" s="238" t="str">
        <f>CONCATENATE(IF(ISNUMBER(SEARCH("Placeholder",'C-Design&amp;Const'!Z496))=TRUE,"",IF(E496="N","PLACEHOLDER ROW - ","")),'C-Design&amp;Const'!Z496,IF(E496="N","",J496))</f>
        <v>PLACEHOLDER ROW - Progress Photos</v>
      </c>
      <c r="I496" s="552"/>
      <c r="J496" s="181" t="str">
        <f>IF('C-Design&amp;Const'!AK496="","",'C-Design&amp;Const'!AK496)</f>
        <v/>
      </c>
      <c r="L496" s="1410" t="str">
        <f t="shared" si="47"/>
        <v>&lt;---PM/Planner may hide PLACEHOLDER ROW</v>
      </c>
      <c r="M496" s="1382"/>
      <c r="N496" s="1382"/>
      <c r="O496" s="1382"/>
      <c r="P496" s="1382"/>
      <c r="Q496" s="1382"/>
      <c r="R496" s="1447"/>
      <c r="S496" s="1448"/>
      <c r="T496" s="1274"/>
      <c r="U496" s="1382"/>
      <c r="V496" s="1382"/>
      <c r="W496" s="1382"/>
      <c r="X496" s="1382"/>
      <c r="Y496" s="1382"/>
      <c r="Z496" s="1382"/>
      <c r="AA496" s="1382"/>
      <c r="AB496" s="1382"/>
      <c r="AC496" s="1382"/>
      <c r="AD496" s="1382"/>
      <c r="AE496" s="1382"/>
      <c r="AF496" s="1382"/>
      <c r="AG496" s="1382"/>
      <c r="AH496" s="1382"/>
      <c r="AI496" s="1382"/>
      <c r="AJ496" s="1382"/>
      <c r="AX496" s="30"/>
    </row>
    <row r="497" spans="1:50" s="181" customFormat="1" ht="15" hidden="1" customHeight="1" x14ac:dyDescent="0.25">
      <c r="A497" s="2332"/>
      <c r="B497" s="177"/>
      <c r="C497" s="944"/>
      <c r="D497" s="321"/>
      <c r="E497" s="559" t="str">
        <f>IF('C-Design&amp;Const'!$U497="","",'C-Design&amp;Const'!$U497)</f>
        <v>N</v>
      </c>
      <c r="F497" s="560"/>
      <c r="G497" s="558"/>
      <c r="H497" s="238" t="str">
        <f>CONCATENATE(IF(ISNUMBER(SEARCH("Placeholder",'C-Design&amp;Const'!Z497))=TRUE,"",IF(E497="N","PLACEHOLDER ROW - ","")),'C-Design&amp;Const'!Z497,IF(E497="N","",J497))</f>
        <v>PLACEHOLDER ROW - Observations / Inspections results</v>
      </c>
      <c r="I497" s="552"/>
      <c r="J497" s="181" t="str">
        <f>IF('C-Design&amp;Const'!AK497="","",'C-Design&amp;Const'!AK497)</f>
        <v/>
      </c>
      <c r="L497" s="1410" t="str">
        <f t="shared" si="47"/>
        <v>&lt;---PM/Planner may hide PLACEHOLDER ROW</v>
      </c>
      <c r="M497" s="1382"/>
      <c r="N497" s="1382"/>
      <c r="O497" s="1382"/>
      <c r="P497" s="1382"/>
      <c r="Q497" s="1382"/>
      <c r="R497" s="1447"/>
      <c r="S497" s="1448"/>
      <c r="T497" s="1274"/>
      <c r="U497" s="1382"/>
      <c r="V497" s="1382"/>
      <c r="W497" s="1382"/>
      <c r="X497" s="1382"/>
      <c r="Y497" s="1382"/>
      <c r="Z497" s="1382"/>
      <c r="AA497" s="1382"/>
      <c r="AB497" s="1382"/>
      <c r="AC497" s="1382"/>
      <c r="AD497" s="1382"/>
      <c r="AE497" s="1382"/>
      <c r="AF497" s="1382"/>
      <c r="AG497" s="1382"/>
      <c r="AH497" s="1382"/>
      <c r="AI497" s="1382"/>
      <c r="AJ497" s="1382"/>
      <c r="AX497" s="30"/>
    </row>
    <row r="498" spans="1:50" s="181" customFormat="1" ht="15" hidden="1" customHeight="1" x14ac:dyDescent="0.25">
      <c r="A498" s="2332"/>
      <c r="B498" s="177"/>
      <c r="C498" s="944"/>
      <c r="D498" s="321"/>
      <c r="E498" s="559" t="str">
        <f>IF('C-Design&amp;Const'!$U498="","",'C-Design&amp;Const'!$U498)</f>
        <v>N</v>
      </c>
      <c r="F498" s="560"/>
      <c r="G498" s="558"/>
      <c r="H498" s="238" t="str">
        <f>CONCATENATE(IF(ISNUMBER(SEARCH("Placeholder",'C-Design&amp;Const'!Z498))=TRUE,"",IF(E498="N","PLACEHOLDER ROW - ","")),'C-Design&amp;Const'!Z498,IF(E498="N","",J498))</f>
        <v>PLACEHOLDER ROW - Summary of Tests observed</v>
      </c>
      <c r="I498" s="552"/>
      <c r="J498" s="181" t="str">
        <f>IF('C-Design&amp;Const'!AK498="","",'C-Design&amp;Const'!AK498)</f>
        <v/>
      </c>
      <c r="L498" s="1410" t="str">
        <f t="shared" si="47"/>
        <v>&lt;---PM/Planner may hide PLACEHOLDER ROW</v>
      </c>
      <c r="M498" s="1382"/>
      <c r="N498" s="1382"/>
      <c r="O498" s="1382"/>
      <c r="P498" s="1382"/>
      <c r="Q498" s="1382"/>
      <c r="R498" s="1447"/>
      <c r="S498" s="1448"/>
      <c r="T498" s="1274"/>
      <c r="U498" s="1382"/>
      <c r="V498" s="1382"/>
      <c r="W498" s="1382"/>
      <c r="X498" s="1382"/>
      <c r="Y498" s="1382"/>
      <c r="Z498" s="1382"/>
      <c r="AA498" s="1382"/>
      <c r="AB498" s="1382"/>
      <c r="AC498" s="1382"/>
      <c r="AD498" s="1382"/>
      <c r="AE498" s="1382"/>
      <c r="AF498" s="1382"/>
      <c r="AG498" s="1382"/>
      <c r="AH498" s="1382"/>
      <c r="AI498" s="1382"/>
      <c r="AJ498" s="1382"/>
      <c r="AX498" s="30"/>
    </row>
    <row r="499" spans="1:50" s="181" customFormat="1" ht="15" hidden="1" customHeight="1" x14ac:dyDescent="0.25">
      <c r="A499" s="2332"/>
      <c r="B499" s="177"/>
      <c r="C499" s="944"/>
      <c r="D499" s="321"/>
      <c r="E499" s="559" t="str">
        <f>IF('C-Design&amp;Const'!$U499="","",'C-Design&amp;Const'!$U499)</f>
        <v>N</v>
      </c>
      <c r="F499" s="560"/>
      <c r="G499" s="558"/>
      <c r="H499" s="410" t="str">
        <f>CONCATENATE(IF(ISNUMBER(SEARCH("Placeholder",'C-Design&amp;Const'!Z499))=TRUE,"",IF(E499="N","PLACEHOLDER ROW - ","")),'C-Design&amp;Const'!Z499,IF(E499="N","",J499))</f>
        <v>PLACEHOLDER ROW - OPTIONAL CLIENT CUSTOM ITEM</v>
      </c>
      <c r="I499" s="552"/>
      <c r="J499" s="181" t="str">
        <f>IF('C-Design&amp;Const'!AK499="","",'C-Design&amp;Const'!AK499)</f>
        <v/>
      </c>
      <c r="L499" s="1410" t="str">
        <f t="shared" si="47"/>
        <v>&lt;---PM/Planner may hide PLACEHOLDER ROW</v>
      </c>
      <c r="M499" s="1382"/>
      <c r="N499" s="1382"/>
      <c r="O499" s="1382"/>
      <c r="P499" s="1382"/>
      <c r="Q499" s="1382"/>
      <c r="R499" s="1447"/>
      <c r="S499" s="1448"/>
      <c r="T499" s="1274"/>
      <c r="U499" s="1382"/>
      <c r="V499" s="1382"/>
      <c r="W499" s="1382"/>
      <c r="X499" s="1382"/>
      <c r="Y499" s="1382"/>
      <c r="Z499" s="1382"/>
      <c r="AA499" s="1382"/>
      <c r="AB499" s="1382"/>
      <c r="AC499" s="1382"/>
      <c r="AD499" s="1382"/>
      <c r="AE499" s="1382"/>
      <c r="AF499" s="1382"/>
      <c r="AG499" s="1382"/>
      <c r="AH499" s="1382"/>
      <c r="AI499" s="1382"/>
      <c r="AJ499" s="1382"/>
      <c r="AX499" s="30"/>
    </row>
    <row r="500" spans="1:50" s="181" customFormat="1" ht="15" hidden="1" customHeight="1" x14ac:dyDescent="0.25">
      <c r="A500" s="2332"/>
      <c r="B500" s="177"/>
      <c r="C500" s="944"/>
      <c r="D500" s="321"/>
      <c r="E500" s="559" t="str">
        <f>IF('C-Design&amp;Const'!$U500="","",'C-Design&amp;Const'!$U500)</f>
        <v>N</v>
      </c>
      <c r="F500" s="560"/>
      <c r="G500" s="558"/>
      <c r="H500" s="410" t="str">
        <f>CONCATENATE(IF(ISNUMBER(SEARCH("Placeholder",'C-Design&amp;Const'!Z500))=TRUE,"",IF(E500="N","PLACEHOLDER ROW - ","")),'C-Design&amp;Const'!Z500,IF(E500="N","",J500))</f>
        <v>PLACEHOLDER ROW - OPTIONAL CLIENT CUSTOM ITEM</v>
      </c>
      <c r="I500" s="552"/>
      <c r="J500" s="181" t="str">
        <f>IF('C-Design&amp;Const'!AK500="","",'C-Design&amp;Const'!AK500)</f>
        <v/>
      </c>
      <c r="L500" s="1410" t="str">
        <f t="shared" si="47"/>
        <v>&lt;---PM/Planner may hide PLACEHOLDER ROW</v>
      </c>
      <c r="M500" s="1382"/>
      <c r="N500" s="1382"/>
      <c r="O500" s="1382"/>
      <c r="P500" s="1382"/>
      <c r="Q500" s="1382"/>
      <c r="R500" s="1447"/>
      <c r="S500" s="1448"/>
      <c r="T500" s="1274"/>
      <c r="U500" s="1382"/>
      <c r="V500" s="1382"/>
      <c r="W500" s="1382"/>
      <c r="X500" s="1382"/>
      <c r="Y500" s="1382"/>
      <c r="Z500" s="1382"/>
      <c r="AA500" s="1382"/>
      <c r="AB500" s="1382"/>
      <c r="AC500" s="1382"/>
      <c r="AD500" s="1382"/>
      <c r="AE500" s="1382"/>
      <c r="AF500" s="1382"/>
      <c r="AG500" s="1382"/>
      <c r="AH500" s="1382"/>
      <c r="AI500" s="1382"/>
      <c r="AJ500" s="1382"/>
      <c r="AX500" s="30"/>
    </row>
    <row r="501" spans="1:50" ht="18.75" hidden="1" x14ac:dyDescent="0.25">
      <c r="A501" s="2332"/>
      <c r="B501" s="125"/>
      <c r="C501" s="944"/>
      <c r="D501" s="499"/>
      <c r="E501" s="539"/>
      <c r="F501" s="539"/>
      <c r="G501" s="292"/>
      <c r="H501" s="293"/>
      <c r="I501" s="552"/>
      <c r="J501" s="17" t="str">
        <f>IF('C-Design&amp;Const'!AK501="","",'C-Design&amp;Const'!AK501)</f>
        <v/>
      </c>
      <c r="L501" s="1410" t="str">
        <f t="shared" si="47"/>
        <v/>
      </c>
      <c r="M501" s="1333"/>
      <c r="N501" s="1333"/>
      <c r="O501" s="1333"/>
      <c r="P501" s="1333"/>
      <c r="Q501" s="1333"/>
      <c r="R501" s="1453"/>
      <c r="S501" s="1364"/>
      <c r="T501" s="1284"/>
      <c r="U501" s="1333"/>
      <c r="V501" s="1333"/>
      <c r="W501" s="1333"/>
      <c r="X501" s="1333"/>
      <c r="Y501" s="1333"/>
      <c r="Z501" s="1333"/>
      <c r="AA501" s="1333"/>
      <c r="AB501" s="1333"/>
      <c r="AC501" s="1333"/>
      <c r="AD501" s="1333"/>
      <c r="AE501" s="1333"/>
      <c r="AF501" s="1333"/>
      <c r="AG501" s="1333"/>
      <c r="AH501" s="1333"/>
      <c r="AI501" s="1333"/>
      <c r="AJ501" s="1333"/>
    </row>
    <row r="502" spans="1:50" ht="37.5" hidden="1" x14ac:dyDescent="0.25">
      <c r="A502" s="2332"/>
      <c r="B502" s="125"/>
      <c r="C502" s="944"/>
      <c r="D502" s="559" t="str">
        <f>IF('C-Design&amp;Const'!$U502="","",'C-Design&amp;Const'!$U502)</f>
        <v>N</v>
      </c>
      <c r="E502" s="492"/>
      <c r="F502" s="235"/>
      <c r="G502" s="291" t="str">
        <f>IF('C-Design&amp;Const'!Y502="","",'C-Design&amp;Const'!Y502)</f>
        <v>25.</v>
      </c>
      <c r="H502" s="290" t="str">
        <f>CONCATENATE('C-Design&amp;Const'!Z502,IF(D502="N"," Not Used In This Construction Phase",""))</f>
        <v>Results of Construction Inspection / Survey / Testing Not Used In This Construction Phase</v>
      </c>
      <c r="I502" s="552"/>
      <c r="J502" s="17" t="str">
        <f>IF('C-Design&amp;Const'!AK502="","",'C-Design&amp;Const'!AK502)</f>
        <v/>
      </c>
      <c r="L502" s="1410" t="str">
        <f t="shared" si="47"/>
        <v/>
      </c>
      <c r="M502" s="1333"/>
      <c r="N502" s="1333"/>
      <c r="O502" s="1333"/>
      <c r="P502" s="1333"/>
      <c r="Q502" s="1333"/>
      <c r="R502" s="1453"/>
      <c r="S502" s="1364"/>
      <c r="T502" s="1284"/>
      <c r="U502" s="1333"/>
      <c r="V502" s="1333"/>
      <c r="W502" s="1333"/>
      <c r="X502" s="1333"/>
      <c r="Y502" s="1333"/>
      <c r="Z502" s="1333"/>
      <c r="AA502" s="1333"/>
      <c r="AB502" s="1333"/>
      <c r="AC502" s="1333"/>
      <c r="AD502" s="1333"/>
      <c r="AE502" s="1333"/>
      <c r="AF502" s="1333"/>
      <c r="AG502" s="1333"/>
      <c r="AH502" s="1333"/>
      <c r="AI502" s="1333"/>
      <c r="AJ502" s="1333"/>
    </row>
    <row r="503" spans="1:50" ht="18.75" hidden="1" x14ac:dyDescent="0.25">
      <c r="A503" s="2332"/>
      <c r="B503" s="125"/>
      <c r="C503" s="943"/>
      <c r="D503" s="297"/>
      <c r="E503" s="297"/>
      <c r="F503" s="321"/>
      <c r="G503" s="532" t="s">
        <v>234</v>
      </c>
      <c r="H503" s="987" t="s">
        <v>233</v>
      </c>
      <c r="I503" s="552"/>
      <c r="J503" s="17" t="str">
        <f>IF('C-Design&amp;Const'!AK503="","",'C-Design&amp;Const'!AK503)</f>
        <v/>
      </c>
      <c r="L503" s="1410" t="str">
        <f t="shared" si="47"/>
        <v/>
      </c>
      <c r="M503" s="1333"/>
      <c r="N503" s="1333"/>
      <c r="O503" s="1333"/>
      <c r="P503" s="1333"/>
      <c r="Q503" s="1333"/>
      <c r="R503" s="1453"/>
      <c r="S503" s="1364"/>
      <c r="T503" s="1284"/>
      <c r="U503" s="1333"/>
      <c r="V503" s="1333"/>
      <c r="W503" s="1333"/>
      <c r="X503" s="1333"/>
      <c r="Y503" s="1333"/>
      <c r="Z503" s="1333"/>
      <c r="AA503" s="1333"/>
      <c r="AB503" s="1333"/>
      <c r="AC503" s="1333"/>
      <c r="AD503" s="1333"/>
      <c r="AE503" s="1333"/>
      <c r="AF503" s="1333"/>
      <c r="AG503" s="1333"/>
      <c r="AH503" s="1333"/>
      <c r="AI503" s="1333"/>
      <c r="AJ503" s="1333"/>
    </row>
    <row r="504" spans="1:50" s="181" customFormat="1" ht="15" hidden="1" customHeight="1" x14ac:dyDescent="0.25">
      <c r="A504" s="2332"/>
      <c r="B504" s="177"/>
      <c r="C504" s="944"/>
      <c r="D504" s="297"/>
      <c r="E504" s="559" t="str">
        <f>IF('C-Design&amp;Const'!$U504="","",'C-Design&amp;Const'!$U504)</f>
        <v>N</v>
      </c>
      <c r="F504" s="560"/>
      <c r="G504" s="558"/>
      <c r="H504" s="238" t="str">
        <f>CONCATENATE(IF(ISNUMBER(SEARCH("Placeholder",'C-Design&amp;Const'!Z504))=TRUE,"",IF(E504="N","PLACEHOLDER ROW - ","")),'C-Design&amp;Const'!Z504,IF(E504="N","",J504))</f>
        <v>PLACEHOLDER ROW - Asbestos Testing and Abatement Report</v>
      </c>
      <c r="I504" s="552"/>
      <c r="J504" s="181" t="str">
        <f>IF('C-Design&amp;Const'!AK504="","",'C-Design&amp;Const'!AK504)</f>
        <v/>
      </c>
      <c r="L504" s="1410" t="str">
        <f t="shared" si="47"/>
        <v>&lt;---PM/Planner may hide PLACEHOLDER ROW</v>
      </c>
      <c r="M504" s="1382"/>
      <c r="N504" s="1382"/>
      <c r="O504" s="1382"/>
      <c r="P504" s="1382"/>
      <c r="Q504" s="1382"/>
      <c r="R504" s="1447"/>
      <c r="S504" s="1448"/>
      <c r="T504" s="1274"/>
      <c r="U504" s="1382"/>
      <c r="V504" s="1382"/>
      <c r="W504" s="1382"/>
      <c r="X504" s="1382"/>
      <c r="Y504" s="1382"/>
      <c r="Z504" s="1382"/>
      <c r="AA504" s="1382"/>
      <c r="AB504" s="1382"/>
      <c r="AC504" s="1382"/>
      <c r="AD504" s="1382"/>
      <c r="AE504" s="1382"/>
      <c r="AF504" s="1382"/>
      <c r="AG504" s="1382"/>
      <c r="AH504" s="1382"/>
      <c r="AI504" s="1382"/>
      <c r="AJ504" s="1382"/>
      <c r="AX504" s="30"/>
    </row>
    <row r="505" spans="1:50" s="181" customFormat="1" ht="15" hidden="1" customHeight="1" x14ac:dyDescent="0.25">
      <c r="A505" s="2332"/>
      <c r="B505" s="177"/>
      <c r="C505" s="944"/>
      <c r="D505" s="297"/>
      <c r="E505" s="559" t="str">
        <f>IF('C-Design&amp;Const'!$U505="","",'C-Design&amp;Const'!$U505)</f>
        <v>N</v>
      </c>
      <c r="F505" s="560"/>
      <c r="G505" s="558"/>
      <c r="H505" s="238" t="str">
        <f>CONCATENATE(IF(ISNUMBER(SEARCH("Placeholder",'C-Design&amp;Const'!Z505))=TRUE,"",IF(E505="N","PLACEHOLDER ROW - ","")),'C-Design&amp;Const'!Z505,IF(E505="N","",J505))</f>
        <v>PLACEHOLDER ROW - Lead-based paint field survey and material analysis</v>
      </c>
      <c r="I505" s="552"/>
      <c r="J505" s="181" t="str">
        <f>IF('C-Design&amp;Const'!AK505="","",'C-Design&amp;Const'!AK505)</f>
        <v/>
      </c>
      <c r="L505" s="1410" t="str">
        <f t="shared" si="47"/>
        <v>&lt;---PM/Planner may hide PLACEHOLDER ROW</v>
      </c>
      <c r="M505" s="1382"/>
      <c r="N505" s="1382"/>
      <c r="O505" s="1382"/>
      <c r="P505" s="1382"/>
      <c r="Q505" s="1382"/>
      <c r="R505" s="1447"/>
      <c r="S505" s="1448"/>
      <c r="T505" s="1274"/>
      <c r="U505" s="1382"/>
      <c r="V505" s="1382"/>
      <c r="W505" s="1382"/>
      <c r="X505" s="1382"/>
      <c r="Y505" s="1382"/>
      <c r="Z505" s="1382"/>
      <c r="AA505" s="1382"/>
      <c r="AB505" s="1382"/>
      <c r="AC505" s="1382"/>
      <c r="AD505" s="1382"/>
      <c r="AE505" s="1382"/>
      <c r="AF505" s="1382"/>
      <c r="AG505" s="1382"/>
      <c r="AH505" s="1382"/>
      <c r="AI505" s="1382"/>
      <c r="AJ505" s="1382"/>
      <c r="AX505" s="30"/>
    </row>
    <row r="506" spans="1:50" s="181" customFormat="1" ht="15" hidden="1" customHeight="1" x14ac:dyDescent="0.25">
      <c r="A506" s="2332"/>
      <c r="B506" s="177"/>
      <c r="C506" s="944"/>
      <c r="D506" s="297"/>
      <c r="E506" s="559" t="str">
        <f>IF('C-Design&amp;Const'!$U506="","",'C-Design&amp;Const'!$U506)</f>
        <v>N</v>
      </c>
      <c r="F506" s="560"/>
      <c r="G506" s="558"/>
      <c r="H506" s="238" t="str">
        <f>CONCATENATE(IF(ISNUMBER(SEARCH("Placeholder",'C-Design&amp;Const'!Z506))=TRUE,"",IF(E506="N","PLACEHOLDER ROW - ","")),'C-Design&amp;Const'!Z506,IF(E506="N","",J506))</f>
        <v>PLACEHOLDER ROW - Review and submit flow tests</v>
      </c>
      <c r="I506" s="552"/>
      <c r="J506" s="181" t="str">
        <f>IF('C-Design&amp;Const'!AK506="","",'C-Design&amp;Const'!AK506)</f>
        <v/>
      </c>
      <c r="L506" s="1410" t="str">
        <f t="shared" si="47"/>
        <v>&lt;---PM/Planner may hide PLACEHOLDER ROW</v>
      </c>
      <c r="M506" s="1382"/>
      <c r="N506" s="1382"/>
      <c r="O506" s="1382"/>
      <c r="P506" s="1382"/>
      <c r="Q506" s="1382"/>
      <c r="R506" s="1447"/>
      <c r="S506" s="1448"/>
      <c r="T506" s="1274"/>
      <c r="U506" s="1382"/>
      <c r="V506" s="1382"/>
      <c r="W506" s="1382"/>
      <c r="X506" s="1382"/>
      <c r="Y506" s="1382"/>
      <c r="Z506" s="1382"/>
      <c r="AA506" s="1382"/>
      <c r="AB506" s="1382"/>
      <c r="AC506" s="1382"/>
      <c r="AD506" s="1382"/>
      <c r="AE506" s="1382"/>
      <c r="AF506" s="1382"/>
      <c r="AG506" s="1382"/>
      <c r="AH506" s="1382"/>
      <c r="AI506" s="1382"/>
      <c r="AJ506" s="1382"/>
      <c r="AX506" s="30"/>
    </row>
    <row r="507" spans="1:50" s="181" customFormat="1" ht="15" hidden="1" customHeight="1" x14ac:dyDescent="0.25">
      <c r="A507" s="2332"/>
      <c r="B507" s="177"/>
      <c r="C507" s="944"/>
      <c r="D507" s="297"/>
      <c r="E507" s="559" t="str">
        <f>IF('C-Design&amp;Const'!$U507="","",'C-Design&amp;Const'!$U507)</f>
        <v>N</v>
      </c>
      <c r="F507" s="560"/>
      <c r="G507" s="558"/>
      <c r="H507" s="238" t="str">
        <f>CONCATENATE(IF(ISNUMBER(SEARCH("Placeholder",'C-Design&amp;Const'!Z507))=TRUE,"",IF(E507="N","PLACEHOLDER ROW - ","")),'C-Design&amp;Const'!Z507,IF(E507="N","",J507))</f>
        <v>PLACEHOLDER ROW - Review and submit surveying results from contractor</v>
      </c>
      <c r="I507" s="552"/>
      <c r="J507" s="181" t="str">
        <f>IF('C-Design&amp;Const'!AK507="","",'C-Design&amp;Const'!AK507)</f>
        <v/>
      </c>
      <c r="L507" s="1410" t="str">
        <f t="shared" ref="L507:L520" si="50">CONCATENATE(IF(ISNUMBER(SEARCH("Placeholder",H507))=TRUE,"&lt;---PM/Planner may hide PLACEHOLDER ROW",""))</f>
        <v>&lt;---PM/Planner may hide PLACEHOLDER ROW</v>
      </c>
      <c r="M507" s="1382"/>
      <c r="N507" s="1382"/>
      <c r="O507" s="1382"/>
      <c r="P507" s="1382"/>
      <c r="Q507" s="1382"/>
      <c r="R507" s="1447"/>
      <c r="S507" s="1448"/>
      <c r="T507" s="1274"/>
      <c r="U507" s="1382"/>
      <c r="V507" s="1382"/>
      <c r="W507" s="1382"/>
      <c r="X507" s="1382"/>
      <c r="Y507" s="1382"/>
      <c r="Z507" s="1382"/>
      <c r="AA507" s="1382"/>
      <c r="AB507" s="1382"/>
      <c r="AC507" s="1382"/>
      <c r="AD507" s="1382"/>
      <c r="AE507" s="1382"/>
      <c r="AF507" s="1382"/>
      <c r="AG507" s="1382"/>
      <c r="AH507" s="1382"/>
      <c r="AI507" s="1382"/>
      <c r="AJ507" s="1382"/>
      <c r="AX507" s="30"/>
    </row>
    <row r="508" spans="1:50" s="181" customFormat="1" ht="28.5" hidden="1" x14ac:dyDescent="0.25">
      <c r="A508" s="2332"/>
      <c r="B508" s="177"/>
      <c r="C508" s="944"/>
      <c r="D508" s="297"/>
      <c r="E508" s="559" t="str">
        <f>IF('C-Design&amp;Const'!$U508="","",'C-Design&amp;Const'!$U508)</f>
        <v>N</v>
      </c>
      <c r="F508" s="560"/>
      <c r="G508" s="558"/>
      <c r="H508" s="238" t="str">
        <f>CONCATENATE(IF(ISNUMBER(SEARCH("Placeholder",'C-Design&amp;Const'!Z508))=TRUE,"",IF(E508="N","PLACEHOLDER ROW - ","")),'C-Design&amp;Const'!Z508,IF(E508="N","",J508))</f>
        <v>PLACEHOLDER ROW - Review &amp; Submit results of soil compaction tests at roadways, sidewalks, and driveways. - May be updated from STNDS</v>
      </c>
      <c r="I508" s="552"/>
      <c r="J508" s="181" t="str">
        <f>IF('C-Design&amp;Const'!AK508="","",'C-Design&amp;Const'!AK508)</f>
        <v/>
      </c>
      <c r="L508" s="1410" t="str">
        <f t="shared" si="50"/>
        <v>&lt;---PM/Planner may hide PLACEHOLDER ROW</v>
      </c>
      <c r="M508" s="1382"/>
      <c r="N508" s="1382"/>
      <c r="O508" s="1382"/>
      <c r="P508" s="1382"/>
      <c r="Q508" s="1382"/>
      <c r="R508" s="1447"/>
      <c r="S508" s="1448"/>
      <c r="T508" s="1274"/>
      <c r="U508" s="1382"/>
      <c r="V508" s="1382"/>
      <c r="W508" s="1382"/>
      <c r="X508" s="1382"/>
      <c r="Y508" s="1382"/>
      <c r="Z508" s="1382"/>
      <c r="AA508" s="1382"/>
      <c r="AB508" s="1382"/>
      <c r="AC508" s="1382"/>
      <c r="AD508" s="1382"/>
      <c r="AE508" s="1382"/>
      <c r="AF508" s="1382"/>
      <c r="AG508" s="1382"/>
      <c r="AH508" s="1382"/>
      <c r="AI508" s="1382"/>
      <c r="AJ508" s="1382"/>
      <c r="AX508" s="30"/>
    </row>
    <row r="509" spans="1:50" s="181" customFormat="1" ht="15" hidden="1" customHeight="1" x14ac:dyDescent="0.25">
      <c r="A509" s="2332"/>
      <c r="B509" s="177"/>
      <c r="C509" s="944"/>
      <c r="D509" s="297"/>
      <c r="E509" s="559" t="str">
        <f>IF('C-Design&amp;Const'!$U509="","",'C-Design&amp;Const'!$U509)</f>
        <v>N</v>
      </c>
      <c r="F509" s="560"/>
      <c r="G509" s="558"/>
      <c r="H509" s="238" t="str">
        <f>CONCATENATE(IF(ISNUMBER(SEARCH("Placeholder",'C-Design&amp;Const'!Z509))=TRUE,"",IF(E509="N","PLACEHOLDER ROW - ","")),'C-Design&amp;Const'!Z509,IF(E509="N","",J509))</f>
        <v>PLACEHOLDER ROW - Review and submit results of soil compaction tests at backfill against structures. - May be updated from STNDS</v>
      </c>
      <c r="I509" s="552"/>
      <c r="J509" s="181" t="str">
        <f>IF('C-Design&amp;Const'!AK509="","",'C-Design&amp;Const'!AK509)</f>
        <v/>
      </c>
      <c r="L509" s="1410" t="str">
        <f t="shared" si="50"/>
        <v>&lt;---PM/Planner may hide PLACEHOLDER ROW</v>
      </c>
      <c r="M509" s="1382"/>
      <c r="N509" s="1382"/>
      <c r="O509" s="1382"/>
      <c r="P509" s="1382"/>
      <c r="Q509" s="1382"/>
      <c r="R509" s="1447"/>
      <c r="S509" s="1448"/>
      <c r="T509" s="1274"/>
      <c r="U509" s="1382"/>
      <c r="V509" s="1382"/>
      <c r="W509" s="1382"/>
      <c r="X509" s="1382"/>
      <c r="Y509" s="1382"/>
      <c r="Z509" s="1382"/>
      <c r="AA509" s="1382"/>
      <c r="AB509" s="1382"/>
      <c r="AC509" s="1382"/>
      <c r="AD509" s="1382"/>
      <c r="AE509" s="1382"/>
      <c r="AF509" s="1382"/>
      <c r="AG509" s="1382"/>
      <c r="AH509" s="1382"/>
      <c r="AI509" s="1382"/>
      <c r="AJ509" s="1382"/>
      <c r="AX509" s="30"/>
    </row>
    <row r="510" spans="1:50" s="181" customFormat="1" ht="15" hidden="1" customHeight="1" x14ac:dyDescent="0.25">
      <c r="A510" s="2332"/>
      <c r="B510" s="177"/>
      <c r="C510" s="944"/>
      <c r="D510" s="297"/>
      <c r="E510" s="559" t="str">
        <f>IF('C-Design&amp;Const'!$U510="","",'C-Design&amp;Const'!$U510)</f>
        <v>N</v>
      </c>
      <c r="F510" s="560"/>
      <c r="G510" s="558"/>
      <c r="H510" s="238" t="str">
        <f>CONCATENATE(IF(ISNUMBER(SEARCH("Placeholder",'C-Design&amp;Const'!Z510))=TRUE,"",IF(E510="N","PLACEHOLDER ROW - ","")),'C-Design&amp;Const'!Z510,IF(E510="N","",J510))</f>
        <v>PLACEHOLDER ROW - Review and submit results of nuclear density tests for bituminous pavements. - May be updated from STNDS</v>
      </c>
      <c r="I510" s="552"/>
      <c r="J510" s="181" t="str">
        <f>IF('C-Design&amp;Const'!AK510="","",'C-Design&amp;Const'!AK510)</f>
        <v/>
      </c>
      <c r="L510" s="1410" t="str">
        <f t="shared" si="50"/>
        <v>&lt;---PM/Planner may hide PLACEHOLDER ROW</v>
      </c>
      <c r="M510" s="1382"/>
      <c r="N510" s="1382"/>
      <c r="O510" s="1382"/>
      <c r="P510" s="1382"/>
      <c r="Q510" s="1382"/>
      <c r="R510" s="1447"/>
      <c r="S510" s="1448"/>
      <c r="T510" s="1274"/>
      <c r="U510" s="1382"/>
      <c r="V510" s="1382"/>
      <c r="W510" s="1382"/>
      <c r="X510" s="1382"/>
      <c r="Y510" s="1382"/>
      <c r="Z510" s="1382"/>
      <c r="AA510" s="1382"/>
      <c r="AB510" s="1382"/>
      <c r="AC510" s="1382"/>
      <c r="AD510" s="1382"/>
      <c r="AE510" s="1382"/>
      <c r="AF510" s="1382"/>
      <c r="AG510" s="1382"/>
      <c r="AH510" s="1382"/>
      <c r="AI510" s="1382"/>
      <c r="AJ510" s="1382"/>
      <c r="AX510" s="30"/>
    </row>
    <row r="511" spans="1:50" s="181" customFormat="1" ht="15" hidden="1" customHeight="1" x14ac:dyDescent="0.25">
      <c r="A511" s="2332"/>
      <c r="B511" s="177"/>
      <c r="C511" s="944"/>
      <c r="D511" s="297"/>
      <c r="E511" s="559" t="str">
        <f>IF('C-Design&amp;Const'!$U511="","",'C-Design&amp;Const'!$U511)</f>
        <v>N</v>
      </c>
      <c r="F511" s="560"/>
      <c r="G511" s="558"/>
      <c r="H511" s="238" t="str">
        <f>CONCATENATE(IF(ISNUMBER(SEARCH("Placeholder",'C-Design&amp;Const'!Z511))=TRUE,"",IF(E511="N","PLACEHOLDER ROW - ","")),'C-Design&amp;Const'!Z511,IF(E511="N","",J511))</f>
        <v>PLACEHOLDER ROW - Review and submit results pile driving records. - May be updated from STNDS</v>
      </c>
      <c r="I511" s="552"/>
      <c r="J511" s="181" t="str">
        <f>IF('C-Design&amp;Const'!AK511="","",'C-Design&amp;Const'!AK511)</f>
        <v/>
      </c>
      <c r="L511" s="1410" t="str">
        <f t="shared" si="50"/>
        <v>&lt;---PM/Planner may hide PLACEHOLDER ROW</v>
      </c>
      <c r="M511" s="1382"/>
      <c r="N511" s="1382"/>
      <c r="O511" s="1382"/>
      <c r="P511" s="1382"/>
      <c r="Q511" s="1382"/>
      <c r="R511" s="1447"/>
      <c r="S511" s="1448"/>
      <c r="T511" s="1274"/>
      <c r="U511" s="1382"/>
      <c r="V511" s="1382"/>
      <c r="W511" s="1382"/>
      <c r="X511" s="1382"/>
      <c r="Y511" s="1382"/>
      <c r="Z511" s="1382"/>
      <c r="AA511" s="1382"/>
      <c r="AB511" s="1382"/>
      <c r="AC511" s="1382"/>
      <c r="AD511" s="1382"/>
      <c r="AE511" s="1382"/>
      <c r="AF511" s="1382"/>
      <c r="AG511" s="1382"/>
      <c r="AH511" s="1382"/>
      <c r="AI511" s="1382"/>
      <c r="AJ511" s="1382"/>
      <c r="AX511" s="30"/>
    </row>
    <row r="512" spans="1:50" s="181" customFormat="1" ht="15" hidden="1" customHeight="1" x14ac:dyDescent="0.25">
      <c r="A512" s="2332"/>
      <c r="B512" s="177"/>
      <c r="C512" s="944"/>
      <c r="D512" s="297"/>
      <c r="E512" s="559" t="str">
        <f>IF('C-Design&amp;Const'!$U512="","",'C-Design&amp;Const'!$U512)</f>
        <v>N</v>
      </c>
      <c r="F512" s="560"/>
      <c r="G512" s="558"/>
      <c r="H512" s="238" t="str">
        <f>CONCATENATE(IF(ISNUMBER(SEARCH("Placeholder",'C-Design&amp;Const'!Z512))=TRUE,"",IF(E512="N","PLACEHOLDER ROW - ","")),'C-Design&amp;Const'!Z512,IF(E512="N","",J512))</f>
        <v>PLACEHOLDER ROW - Results of all concrete cylinder tests. - May be updated from STNDS</v>
      </c>
      <c r="I512" s="552"/>
      <c r="J512" s="181" t="str">
        <f>IF('C-Design&amp;Const'!AK512="","",'C-Design&amp;Const'!AK512)</f>
        <v/>
      </c>
      <c r="L512" s="1410" t="str">
        <f t="shared" si="50"/>
        <v>&lt;---PM/Planner may hide PLACEHOLDER ROW</v>
      </c>
      <c r="M512" s="1382"/>
      <c r="N512" s="1382"/>
      <c r="O512" s="1382"/>
      <c r="P512" s="1382"/>
      <c r="Q512" s="1382"/>
      <c r="R512" s="1447"/>
      <c r="S512" s="1448"/>
      <c r="T512" s="1274"/>
      <c r="U512" s="1382"/>
      <c r="V512" s="1382"/>
      <c r="W512" s="1382"/>
      <c r="X512" s="1382"/>
      <c r="Y512" s="1382"/>
      <c r="Z512" s="1382"/>
      <c r="AA512" s="1382"/>
      <c r="AB512" s="1382"/>
      <c r="AC512" s="1382"/>
      <c r="AD512" s="1382"/>
      <c r="AE512" s="1382"/>
      <c r="AF512" s="1382"/>
      <c r="AG512" s="1382"/>
      <c r="AH512" s="1382"/>
      <c r="AI512" s="1382"/>
      <c r="AJ512" s="1382"/>
      <c r="AX512" s="30"/>
    </row>
    <row r="513" spans="1:50" s="30" customFormat="1" ht="15" hidden="1" customHeight="1" x14ac:dyDescent="0.25">
      <c r="A513" s="2332"/>
      <c r="B513" s="191"/>
      <c r="C513" s="944"/>
      <c r="D513" s="463"/>
      <c r="E513" s="359" t="str">
        <f>IF('C-Design&amp;Const'!$U513="","",'C-Design&amp;Const'!$U513)</f>
        <v>N</v>
      </c>
      <c r="F513" s="235"/>
      <c r="G513" s="291"/>
      <c r="H513" s="808" t="str">
        <f>CONCATENATE(IF(ISNUMBER(SEARCH("Placeholder",'C-Design&amp;Const'!Z513))=TRUE,"",IF(E513="N","PLACEHOLDER ROW - ","")),'C-Design&amp;Const'!Z513,IF(E513="N","",J513))</f>
        <v>PLACEHOLDER ROW - Results of Harmonic Analysis Reports for VFD's. - May be updated from STNDS</v>
      </c>
      <c r="I513" s="552"/>
      <c r="J513" s="181" t="str">
        <f>IF('C-Design&amp;Const'!AK513="","",'C-Design&amp;Const'!AK513)</f>
        <v/>
      </c>
      <c r="L513" s="1410" t="str">
        <f t="shared" si="50"/>
        <v>&lt;---PM/Planner may hide PLACEHOLDER ROW</v>
      </c>
      <c r="M513" s="1382"/>
      <c r="N513" s="1382"/>
      <c r="O513" s="1382"/>
      <c r="P513" s="1382"/>
      <c r="Q513" s="1382"/>
      <c r="R513" s="1382"/>
      <c r="S513" s="1382"/>
      <c r="T513" s="1382"/>
      <c r="U513" s="1382"/>
      <c r="V513" s="1382"/>
      <c r="W513" s="1382"/>
      <c r="X513" s="1382"/>
      <c r="Y513" s="1382"/>
      <c r="Z513" s="1382"/>
      <c r="AA513" s="1382"/>
      <c r="AB513" s="1382"/>
      <c r="AC513" s="1382"/>
      <c r="AD513" s="1382"/>
      <c r="AE513" s="1382"/>
      <c r="AF513" s="1382"/>
      <c r="AG513" s="1382"/>
      <c r="AH513" s="1382"/>
      <c r="AI513" s="1382"/>
      <c r="AJ513" s="1382"/>
      <c r="AK513" s="181"/>
      <c r="AL513" s="181"/>
      <c r="AM513" s="181"/>
      <c r="AN513" s="181"/>
      <c r="AO513" s="181"/>
      <c r="AP513" s="181"/>
      <c r="AQ513" s="181"/>
      <c r="AR513" s="181"/>
      <c r="AS513" s="181"/>
      <c r="AT513" s="181"/>
      <c r="AU513" s="181"/>
      <c r="AV513" s="181"/>
      <c r="AW513" s="181"/>
    </row>
    <row r="514" spans="1:50" s="181" customFormat="1" ht="15" hidden="1" customHeight="1" x14ac:dyDescent="0.25">
      <c r="A514" s="2332"/>
      <c r="B514" s="177"/>
      <c r="C514" s="944"/>
      <c r="D514" s="321"/>
      <c r="E514" s="559" t="str">
        <f>IF('C-Design&amp;Const'!$U514="","",'C-Design&amp;Const'!$U514)</f>
        <v>N</v>
      </c>
      <c r="F514" s="560"/>
      <c r="G514" s="558"/>
      <c r="H514" s="238" t="str">
        <f>CONCATENATE(IF(ISNUMBER(SEARCH("Placeholder",'C-Design&amp;Const'!Z514))=TRUE,"",IF(E514="N","PLACEHOLDER ROW - ","")),'C-Design&amp;Const'!Z514,IF(E514="N","",J514))</f>
        <v>PLACEHOLDER ROW - Results of Equipment Tests - May be updated from STNDS</v>
      </c>
      <c r="I514" s="552"/>
      <c r="J514" s="181" t="str">
        <f>IF('C-Design&amp;Const'!AK514="","",'C-Design&amp;Const'!AK514)</f>
        <v/>
      </c>
      <c r="L514" s="1410" t="str">
        <f t="shared" si="50"/>
        <v>&lt;---PM/Planner may hide PLACEHOLDER ROW</v>
      </c>
      <c r="M514" s="1382"/>
      <c r="N514" s="1382"/>
      <c r="O514" s="1382"/>
      <c r="P514" s="1382"/>
      <c r="Q514" s="1382"/>
      <c r="R514" s="1447"/>
      <c r="S514" s="1448"/>
      <c r="T514" s="1274"/>
      <c r="U514" s="1382"/>
      <c r="V514" s="1382"/>
      <c r="W514" s="1382"/>
      <c r="X514" s="1382"/>
      <c r="Y514" s="1382"/>
      <c r="Z514" s="1382"/>
      <c r="AA514" s="1382"/>
      <c r="AB514" s="1382"/>
      <c r="AC514" s="1382"/>
      <c r="AD514" s="1382"/>
      <c r="AE514" s="1382"/>
      <c r="AF514" s="1382"/>
      <c r="AG514" s="1382"/>
      <c r="AH514" s="1382"/>
      <c r="AI514" s="1382"/>
      <c r="AJ514" s="1382"/>
      <c r="AX514" s="30"/>
    </row>
    <row r="515" spans="1:50" s="551" customFormat="1" ht="15" hidden="1" customHeight="1" x14ac:dyDescent="0.25">
      <c r="A515" s="2332"/>
      <c r="B515" s="549"/>
      <c r="C515" s="944"/>
      <c r="D515" s="321"/>
      <c r="E515" s="559" t="str">
        <f>IF('C-Design&amp;Const'!$U515="","",'C-Design&amp;Const'!$U515)</f>
        <v>N</v>
      </c>
      <c r="F515" s="560"/>
      <c r="G515" s="558"/>
      <c r="H515" s="238" t="str">
        <f>CONCATENATE(IF(ISNUMBER(SEARCH("Placeholder",'C-Design&amp;Const'!Z515))=TRUE,"",IF(E515="N","PLACEHOLDER ROW - ","")),'C-Design&amp;Const'!Z515,IF(E515="N","",J515))</f>
        <v>PLACEHOLDER ROW - Results of Material Testing - May be updated from  STNDS</v>
      </c>
      <c r="I515" s="552"/>
      <c r="J515" s="551" t="str">
        <f>IF('C-Design&amp;Const'!AK515="","",'C-Design&amp;Const'!AK515)</f>
        <v/>
      </c>
      <c r="L515" s="1410" t="str">
        <f t="shared" ref="L515:L517" si="51">CONCATENATE(IF(ISNUMBER(SEARCH("Placeholder",H515))=TRUE,"&lt;---PM/Planner may hide PLACEHOLDER ROW",""))</f>
        <v>&lt;---PM/Planner may hide PLACEHOLDER ROW</v>
      </c>
      <c r="M515" s="1382"/>
      <c r="N515" s="1382"/>
      <c r="O515" s="1382"/>
      <c r="P515" s="1382"/>
      <c r="Q515" s="1382"/>
      <c r="R515" s="1447"/>
      <c r="S515" s="1448"/>
      <c r="T515" s="1274"/>
      <c r="U515" s="1382"/>
      <c r="V515" s="1382"/>
      <c r="W515" s="1382"/>
      <c r="X515" s="1382"/>
      <c r="Y515" s="1382"/>
      <c r="Z515" s="1382"/>
      <c r="AA515" s="1382"/>
      <c r="AB515" s="1382"/>
      <c r="AC515" s="1382"/>
      <c r="AD515" s="1382"/>
      <c r="AE515" s="1382"/>
      <c r="AF515" s="1382"/>
      <c r="AG515" s="1382"/>
      <c r="AH515" s="1382"/>
      <c r="AI515" s="1382"/>
      <c r="AJ515" s="1382"/>
      <c r="AX515" s="545"/>
    </row>
    <row r="516" spans="1:50" s="551" customFormat="1" ht="15" hidden="1" customHeight="1" x14ac:dyDescent="0.25">
      <c r="A516" s="2332"/>
      <c r="B516" s="549"/>
      <c r="C516" s="944"/>
      <c r="D516" s="321"/>
      <c r="E516" s="559" t="str">
        <f>IF('C-Design&amp;Const'!$U516="","",'C-Design&amp;Const'!$U516)</f>
        <v>N</v>
      </c>
      <c r="F516" s="560"/>
      <c r="G516" s="558"/>
      <c r="H516" s="238" t="str">
        <f>CONCATENATE(IF(ISNUMBER(SEARCH("Placeholder",'C-Design&amp;Const'!Z516))=TRUE,"",IF(E516="N","PLACEHOLDER ROW - ","")),'C-Design&amp;Const'!Z516,IF(E516="N","",J516))</f>
        <v>PLACEHOLDER ROW - OPTIONAL CLIENT CUSTOM ITEM</v>
      </c>
      <c r="I516" s="552"/>
      <c r="J516" s="551" t="str">
        <f>IF('C-Design&amp;Const'!AK516="","",'C-Design&amp;Const'!AK516)</f>
        <v/>
      </c>
      <c r="L516" s="1410" t="str">
        <f t="shared" si="51"/>
        <v>&lt;---PM/Planner may hide PLACEHOLDER ROW</v>
      </c>
      <c r="M516" s="1382"/>
      <c r="N516" s="1382"/>
      <c r="O516" s="1382"/>
      <c r="P516" s="1382"/>
      <c r="Q516" s="1382"/>
      <c r="R516" s="1447"/>
      <c r="S516" s="1448"/>
      <c r="T516" s="1274"/>
      <c r="U516" s="1382"/>
      <c r="V516" s="1382"/>
      <c r="W516" s="1382"/>
      <c r="X516" s="1382"/>
      <c r="Y516" s="1382"/>
      <c r="Z516" s="1382"/>
      <c r="AA516" s="1382"/>
      <c r="AB516" s="1382"/>
      <c r="AC516" s="1382"/>
      <c r="AD516" s="1382"/>
      <c r="AE516" s="1382"/>
      <c r="AF516" s="1382"/>
      <c r="AG516" s="1382"/>
      <c r="AH516" s="1382"/>
      <c r="AI516" s="1382"/>
      <c r="AJ516" s="1382"/>
      <c r="AX516" s="545"/>
    </row>
    <row r="517" spans="1:50" s="551" customFormat="1" ht="15" hidden="1" customHeight="1" x14ac:dyDescent="0.25">
      <c r="A517" s="2332"/>
      <c r="B517" s="549"/>
      <c r="C517" s="944"/>
      <c r="D517" s="321"/>
      <c r="E517" s="559" t="str">
        <f>IF('C-Design&amp;Const'!$U517="","",'C-Design&amp;Const'!$U517)</f>
        <v>N</v>
      </c>
      <c r="F517" s="560"/>
      <c r="G517" s="558"/>
      <c r="H517" s="238" t="str">
        <f>CONCATENATE(IF(ISNUMBER(SEARCH("Placeholder",'C-Design&amp;Const'!Z517))=TRUE,"",IF(E517="N","PLACEHOLDER ROW - ","")),'C-Design&amp;Const'!Z517,IF(E517="N","",J517))</f>
        <v>PLACEHOLDER ROW - OPTIONAL CLIENT CUSTOM ITEM</v>
      </c>
      <c r="I517" s="552"/>
      <c r="J517" s="551" t="str">
        <f>IF('C-Design&amp;Const'!AK517="","",'C-Design&amp;Const'!AK517)</f>
        <v/>
      </c>
      <c r="L517" s="1410" t="str">
        <f t="shared" si="51"/>
        <v>&lt;---PM/Planner may hide PLACEHOLDER ROW</v>
      </c>
      <c r="M517" s="1382"/>
      <c r="N517" s="1382"/>
      <c r="O517" s="1382"/>
      <c r="P517" s="1382"/>
      <c r="Q517" s="1382"/>
      <c r="R517" s="1447"/>
      <c r="S517" s="1448"/>
      <c r="T517" s="1274"/>
      <c r="U517" s="1382"/>
      <c r="V517" s="1382"/>
      <c r="W517" s="1382"/>
      <c r="X517" s="1382"/>
      <c r="Y517" s="1382"/>
      <c r="Z517" s="1382"/>
      <c r="AA517" s="1382"/>
      <c r="AB517" s="1382"/>
      <c r="AC517" s="1382"/>
      <c r="AD517" s="1382"/>
      <c r="AE517" s="1382"/>
      <c r="AF517" s="1382"/>
      <c r="AG517" s="1382"/>
      <c r="AH517" s="1382"/>
      <c r="AI517" s="1382"/>
      <c r="AJ517" s="1382"/>
      <c r="AX517" s="545"/>
    </row>
    <row r="518" spans="1:50" ht="18.75" hidden="1" x14ac:dyDescent="0.25">
      <c r="A518" s="2332"/>
      <c r="B518" s="125"/>
      <c r="C518" s="944"/>
      <c r="D518" s="499"/>
      <c r="E518" s="539"/>
      <c r="F518" s="539"/>
      <c r="G518" s="292"/>
      <c r="H518" s="293"/>
      <c r="I518" s="552"/>
      <c r="J518" s="17" t="str">
        <f>IF('C-Design&amp;Const'!AK518="","",'C-Design&amp;Const'!AK518)</f>
        <v/>
      </c>
      <c r="L518" s="1410" t="str">
        <f t="shared" si="50"/>
        <v/>
      </c>
      <c r="M518" s="1333"/>
      <c r="N518" s="1333"/>
      <c r="O518" s="1333"/>
      <c r="P518" s="1333"/>
      <c r="Q518" s="1333"/>
      <c r="R518" s="1453"/>
      <c r="S518" s="1364"/>
      <c r="T518" s="1284"/>
      <c r="U518" s="1333"/>
      <c r="V518" s="1333"/>
      <c r="W518" s="1333"/>
      <c r="X518" s="1333"/>
      <c r="Y518" s="1333"/>
      <c r="Z518" s="1333"/>
      <c r="AA518" s="1333"/>
      <c r="AB518" s="1333"/>
      <c r="AC518" s="1333"/>
      <c r="AD518" s="1333"/>
      <c r="AE518" s="1333"/>
      <c r="AF518" s="1333"/>
      <c r="AG518" s="1333"/>
      <c r="AH518" s="1333"/>
      <c r="AI518" s="1333"/>
      <c r="AJ518" s="1333"/>
    </row>
    <row r="519" spans="1:50" ht="37.5" hidden="1" x14ac:dyDescent="0.25">
      <c r="A519" s="2332"/>
      <c r="B519" s="125"/>
      <c r="C519" s="944"/>
      <c r="D519" s="559" t="str">
        <f>IF('C-Design&amp;Const'!$U519="","",'C-Design&amp;Const'!$U519)</f>
        <v>N</v>
      </c>
      <c r="E519" s="492"/>
      <c r="F519" s="210"/>
      <c r="G519" s="291" t="str">
        <f>IF('C-Design&amp;Const'!Y519="","",'C-Design&amp;Const'!Y519)</f>
        <v>28.</v>
      </c>
      <c r="H519" s="290" t="str">
        <f>CONCATENATE('C-Design&amp;Const'!Z519,IF(D519="N"," Not Used In This Construction Phase",""))</f>
        <v>List of Systems / Items to Commission Not Used In This Construction Phase</v>
      </c>
      <c r="I519" s="552"/>
      <c r="J519" s="17" t="str">
        <f>IF('C-Design&amp;Const'!AK521="","",'C-Design&amp;Const'!AK521)</f>
        <v/>
      </c>
      <c r="L519" s="1410" t="str">
        <f t="shared" si="50"/>
        <v/>
      </c>
      <c r="M519" s="1333"/>
      <c r="N519" s="1333"/>
      <c r="O519" s="1333"/>
      <c r="P519" s="1333"/>
      <c r="Q519" s="1333"/>
      <c r="R519" s="1453"/>
      <c r="S519" s="1364"/>
      <c r="T519" s="1284"/>
      <c r="U519" s="1333"/>
      <c r="V519" s="1333"/>
      <c r="W519" s="1333"/>
      <c r="X519" s="1333"/>
      <c r="Y519" s="1333"/>
      <c r="Z519" s="1333"/>
      <c r="AA519" s="1333"/>
      <c r="AB519" s="1333"/>
      <c r="AC519" s="1333"/>
      <c r="AD519" s="1333"/>
      <c r="AE519" s="1333"/>
      <c r="AF519" s="1333"/>
      <c r="AG519" s="1333"/>
      <c r="AH519" s="1333"/>
      <c r="AI519" s="1333"/>
      <c r="AJ519" s="1333"/>
    </row>
    <row r="520" spans="1:50" ht="18.75" hidden="1" customHeight="1" x14ac:dyDescent="0.25">
      <c r="A520" s="2332"/>
      <c r="B520" s="125"/>
      <c r="C520" s="943"/>
      <c r="D520" s="295"/>
      <c r="E520" s="297"/>
      <c r="F520" s="297"/>
      <c r="G520" s="294"/>
      <c r="H520" s="295"/>
      <c r="I520" s="552"/>
      <c r="J520" s="17" t="str">
        <f>IF('C-Design&amp;Const'!AK522="","",'C-Design&amp;Const'!AK522)</f>
        <v/>
      </c>
      <c r="L520" s="1410" t="str">
        <f t="shared" si="50"/>
        <v/>
      </c>
      <c r="M520" s="1333"/>
      <c r="N520" s="1333"/>
      <c r="O520" s="1333"/>
      <c r="P520" s="1333"/>
      <c r="Q520" s="1333"/>
      <c r="R520" s="1453"/>
      <c r="S520" s="1364"/>
      <c r="T520" s="1284"/>
      <c r="U520" s="1333"/>
      <c r="V520" s="1333"/>
      <c r="W520" s="1333"/>
      <c r="X520" s="1333"/>
      <c r="Y520" s="1333"/>
      <c r="Z520" s="1333"/>
      <c r="AA520" s="1333"/>
      <c r="AB520" s="1333"/>
      <c r="AC520" s="1333"/>
      <c r="AD520" s="1333"/>
      <c r="AE520" s="1333"/>
      <c r="AF520" s="1333"/>
      <c r="AG520" s="1333"/>
      <c r="AH520" s="1333"/>
      <c r="AI520" s="1333"/>
      <c r="AJ520" s="1333"/>
    </row>
    <row r="521" spans="1:50" ht="37.5" hidden="1" x14ac:dyDescent="0.25">
      <c r="A521" s="2332"/>
      <c r="B521" s="125"/>
      <c r="C521" s="944"/>
      <c r="D521" s="559" t="str">
        <f>IF('C-Design&amp;Const'!$U521="","",'C-Design&amp;Const'!$U521)</f>
        <v>N</v>
      </c>
      <c r="E521" s="234"/>
      <c r="F521" s="235"/>
      <c r="G521" s="291" t="str">
        <f>IF('C-Design&amp;Const'!Y521="","",'C-Design&amp;Const'!Y521)</f>
        <v>26.</v>
      </c>
      <c r="H521" s="290" t="str">
        <f>CONCATENATE('C-Design&amp;Const'!Z521,IF(D521="N"," Not Used In This Construction Phase",""))</f>
        <v>Certificate of Substantial Completion Not Used In This Construction Phase</v>
      </c>
      <c r="I521" s="552"/>
      <c r="J521" s="17" t="str">
        <f>IF('C-Design&amp;Const'!AK523="","",'C-Design&amp;Const'!AK523)</f>
        <v/>
      </c>
      <c r="L521" s="1410" t="str">
        <f t="shared" ref="L521:L565" si="52">CONCATENATE(IF(ISNUMBER(SEARCH("Placeholder",H521))=TRUE,"&lt;---PM/Planner may hide PLACEHOLDER ROW",""))</f>
        <v/>
      </c>
      <c r="M521" s="1333"/>
      <c r="N521" s="1333"/>
      <c r="O521" s="1333"/>
      <c r="P521" s="1333"/>
      <c r="Q521" s="1333"/>
      <c r="R521" s="1453"/>
      <c r="S521" s="1364"/>
      <c r="T521" s="1284"/>
      <c r="U521" s="1333"/>
      <c r="V521" s="1333"/>
      <c r="W521" s="1333"/>
      <c r="X521" s="1333"/>
      <c r="Y521" s="1333"/>
      <c r="Z521" s="1333"/>
      <c r="AA521" s="1333"/>
      <c r="AB521" s="1333"/>
      <c r="AC521" s="1333"/>
      <c r="AD521" s="1333"/>
      <c r="AE521" s="1333"/>
      <c r="AF521" s="1333"/>
      <c r="AG521" s="1333"/>
      <c r="AH521" s="1333"/>
      <c r="AI521" s="1333"/>
      <c r="AJ521" s="1333"/>
    </row>
    <row r="522" spans="1:50" ht="18.75" hidden="1" x14ac:dyDescent="0.25">
      <c r="A522" s="2332"/>
      <c r="B522" s="125"/>
      <c r="C522" s="944"/>
      <c r="D522" s="499"/>
      <c r="E522" s="539"/>
      <c r="F522" s="539"/>
      <c r="G522" s="292"/>
      <c r="H522" s="293"/>
      <c r="I522" s="552"/>
      <c r="J522" s="17" t="str">
        <f>IF('C-Design&amp;Const'!AK520="","",'C-Design&amp;Const'!AK520)</f>
        <v/>
      </c>
      <c r="L522" s="1410" t="str">
        <f t="shared" si="52"/>
        <v/>
      </c>
      <c r="M522" s="1333"/>
      <c r="N522" s="1333"/>
      <c r="O522" s="1333"/>
      <c r="P522" s="1333"/>
      <c r="Q522" s="1333"/>
      <c r="R522" s="1453"/>
      <c r="S522" s="1364"/>
      <c r="T522" s="1284"/>
      <c r="U522" s="1333"/>
      <c r="V522" s="1333"/>
      <c r="W522" s="1333"/>
      <c r="X522" s="1333"/>
      <c r="Y522" s="1333"/>
      <c r="Z522" s="1333"/>
      <c r="AA522" s="1333"/>
      <c r="AB522" s="1333"/>
      <c r="AC522" s="1333"/>
      <c r="AD522" s="1333"/>
      <c r="AE522" s="1333"/>
      <c r="AF522" s="1333"/>
      <c r="AG522" s="1333"/>
      <c r="AH522" s="1333"/>
      <c r="AI522" s="1333"/>
      <c r="AJ522" s="1333"/>
    </row>
    <row r="523" spans="1:50" ht="18.75" hidden="1" x14ac:dyDescent="0.25">
      <c r="A523" s="2332"/>
      <c r="B523" s="125"/>
      <c r="C523" s="944"/>
      <c r="D523" s="559" t="str">
        <f>IF('C-Design&amp;Const'!$U523="","",'C-Design&amp;Const'!$U523)</f>
        <v>N</v>
      </c>
      <c r="E523" s="234"/>
      <c r="F523" s="235"/>
      <c r="G523" s="291" t="str">
        <f>IF('C-Design&amp;Const'!Y523="","",'C-Design&amp;Const'!Y523)</f>
        <v>27.</v>
      </c>
      <c r="H523" s="290" t="str">
        <f>CONCATENATE('C-Design&amp;Const'!Z523,IF(D523="N"," Not Used In This Construction Phase",""))</f>
        <v>Punch List Not Used In This Construction Phase</v>
      </c>
      <c r="I523" s="552"/>
      <c r="J523" s="17" t="str">
        <f>IF('C-Design&amp;Const'!AK519="","",'C-Design&amp;Const'!AK519)</f>
        <v/>
      </c>
      <c r="L523" s="1410" t="str">
        <f t="shared" si="52"/>
        <v/>
      </c>
      <c r="M523" s="1333"/>
      <c r="N523" s="1333"/>
      <c r="O523" s="1333"/>
      <c r="P523" s="1333"/>
      <c r="Q523" s="1333"/>
      <c r="R523" s="1453"/>
      <c r="S523" s="1364"/>
      <c r="T523" s="1284"/>
      <c r="U523" s="1333"/>
      <c r="V523" s="1333"/>
      <c r="W523" s="1333"/>
      <c r="X523" s="1333"/>
      <c r="Y523" s="1333"/>
      <c r="Z523" s="1333"/>
      <c r="AA523" s="1333"/>
      <c r="AB523" s="1333"/>
      <c r="AC523" s="1333"/>
      <c r="AD523" s="1333"/>
      <c r="AE523" s="1333"/>
      <c r="AF523" s="1333"/>
      <c r="AG523" s="1333"/>
      <c r="AH523" s="1333"/>
      <c r="AI523" s="1333"/>
      <c r="AJ523" s="1333"/>
    </row>
    <row r="524" spans="1:50" ht="18.75" hidden="1" x14ac:dyDescent="0.25">
      <c r="A524" s="2333"/>
      <c r="B524" s="125"/>
      <c r="C524" s="944"/>
      <c r="D524" s="499"/>
      <c r="E524" s="539"/>
      <c r="F524" s="539"/>
      <c r="G524" s="292"/>
      <c r="H524" s="293"/>
      <c r="I524" s="552"/>
      <c r="J524" s="17" t="str">
        <f>IF('C-Design&amp;Const'!AK524="","",'C-Design&amp;Const'!AK524)</f>
        <v/>
      </c>
      <c r="L524" s="1410" t="str">
        <f t="shared" si="52"/>
        <v/>
      </c>
      <c r="M524" s="1333"/>
      <c r="N524" s="1333"/>
      <c r="O524" s="1333"/>
      <c r="P524" s="1333"/>
      <c r="Q524" s="1333"/>
      <c r="R524" s="1453"/>
      <c r="S524" s="1364"/>
      <c r="T524" s="1284"/>
      <c r="U524" s="1333"/>
      <c r="V524" s="1333"/>
      <c r="W524" s="1333"/>
      <c r="X524" s="1333"/>
      <c r="Y524" s="1333"/>
      <c r="Z524" s="1333"/>
      <c r="AA524" s="1333"/>
      <c r="AB524" s="1333"/>
      <c r="AC524" s="1333"/>
      <c r="AD524" s="1333"/>
      <c r="AE524" s="1333"/>
      <c r="AF524" s="1333"/>
      <c r="AG524" s="1333"/>
      <c r="AH524" s="1333"/>
      <c r="AI524" s="1333"/>
      <c r="AJ524" s="1333"/>
    </row>
    <row r="525" spans="1:50" ht="21" customHeight="1" x14ac:dyDescent="0.25">
      <c r="B525" s="125"/>
      <c r="C525" s="956"/>
      <c r="D525" s="310" t="s">
        <v>1046</v>
      </c>
      <c r="E525" s="809"/>
      <c r="F525" s="809"/>
      <c r="G525" s="1039"/>
      <c r="H525" s="1040"/>
      <c r="I525" s="552"/>
      <c r="J525" s="17" t="str">
        <f>IF('C-Design&amp;Const'!AK525="","",'C-Design&amp;Const'!AK525)</f>
        <v/>
      </c>
      <c r="L525" s="1529" t="s">
        <v>238</v>
      </c>
      <c r="M525" s="1333"/>
      <c r="N525" s="1333"/>
      <c r="O525" s="1333"/>
      <c r="P525" s="1333"/>
      <c r="Q525" s="1333"/>
      <c r="R525" s="1453"/>
      <c r="S525" s="1364"/>
      <c r="T525" s="1284"/>
      <c r="U525" s="1333"/>
      <c r="V525" s="1333"/>
      <c r="W525" s="1333"/>
      <c r="X525" s="1333"/>
      <c r="Y525" s="1333"/>
      <c r="Z525" s="1333"/>
      <c r="AA525" s="1333"/>
      <c r="AB525" s="1333"/>
      <c r="AC525" s="1333"/>
      <c r="AD525" s="1333"/>
      <c r="AE525" s="1333"/>
      <c r="AF525" s="1333"/>
      <c r="AG525" s="1333"/>
      <c r="AH525" s="1333"/>
      <c r="AI525" s="1333"/>
      <c r="AJ525" s="1333"/>
    </row>
    <row r="526" spans="1:50" ht="18.75" x14ac:dyDescent="0.25">
      <c r="A526" s="1822"/>
      <c r="B526" s="125"/>
      <c r="C526" s="943"/>
      <c r="D526" s="533"/>
      <c r="E526" s="297"/>
      <c r="F526" s="297"/>
      <c r="G526" s="294"/>
      <c r="H526" s="295"/>
      <c r="I526" s="552"/>
      <c r="J526" s="17" t="str">
        <f>IF('C-Design&amp;Const'!AK526="","",'C-Design&amp;Const'!AK526)</f>
        <v/>
      </c>
      <c r="L526" s="1410" t="str">
        <f>CONCATENATE(IF(ISNUMBER(SEARCH("Placeholder",H526))=TRUE,"&lt;---PM/Planner may hide PLACEHOLDER ROW",""))</f>
        <v/>
      </c>
      <c r="M526" s="1333"/>
      <c r="N526" s="1333"/>
      <c r="O526" s="1333"/>
      <c r="P526" s="1333"/>
      <c r="Q526" s="1333"/>
      <c r="R526" s="1453"/>
      <c r="S526" s="1364"/>
      <c r="T526" s="1284"/>
      <c r="U526" s="1333"/>
      <c r="V526" s="1333"/>
      <c r="W526" s="1333"/>
      <c r="X526" s="1333"/>
      <c r="Y526" s="1333"/>
      <c r="Z526" s="1333"/>
      <c r="AA526" s="1333"/>
      <c r="AB526" s="1333"/>
      <c r="AC526" s="1333"/>
      <c r="AD526" s="1333"/>
      <c r="AE526" s="1333"/>
      <c r="AF526" s="1333"/>
      <c r="AG526" s="1333"/>
      <c r="AH526" s="1333"/>
      <c r="AI526" s="1333"/>
      <c r="AJ526" s="1333"/>
    </row>
    <row r="527" spans="1:50" ht="40.5" customHeight="1" x14ac:dyDescent="0.25">
      <c r="A527" s="2334" t="s">
        <v>780</v>
      </c>
      <c r="B527" s="125"/>
      <c r="C527" s="944"/>
      <c r="D527" s="559" t="str">
        <f>IF('C-Design&amp;Const'!$U527="","",'C-Design&amp;Const'!$U527)</f>
        <v>Y</v>
      </c>
      <c r="E527" s="234"/>
      <c r="F527" s="235"/>
      <c r="G527" s="291" t="str">
        <f>IF('C-Design&amp;Const'!Y527="","",'C-Design&amp;Const'!Y527)</f>
        <v>30.</v>
      </c>
      <c r="H527" s="290" t="str">
        <f>CONCATENATE('C-Design&amp;Const'!Z527,IF(D527="N"," Not Used In This Construction Phase",J527))</f>
        <v>O &amp; M's &amp; Systems Manuals (check for full component list in the facility standards)</v>
      </c>
      <c r="I527" s="552"/>
      <c r="J527" s="17" t="str">
        <f>IF('C-Design&amp;Const'!AK527="","",'C-Design&amp;Const'!AK527)</f>
        <v/>
      </c>
      <c r="L527" s="1410" t="str">
        <f t="shared" si="52"/>
        <v/>
      </c>
      <c r="M527" s="1333"/>
      <c r="N527" s="1333"/>
      <c r="O527" s="1333"/>
      <c r="P527" s="1333"/>
      <c r="Q527" s="1333"/>
      <c r="R527" s="1453"/>
      <c r="S527" s="1364"/>
      <c r="T527" s="1284"/>
      <c r="U527" s="1333"/>
      <c r="V527" s="1333"/>
      <c r="W527" s="1333"/>
      <c r="X527" s="1333"/>
      <c r="Y527" s="1333"/>
      <c r="Z527" s="1333"/>
      <c r="AA527" s="1333"/>
      <c r="AB527" s="1333"/>
      <c r="AC527" s="1333"/>
      <c r="AD527" s="1333"/>
      <c r="AE527" s="1333"/>
      <c r="AF527" s="1333"/>
      <c r="AG527" s="1333"/>
      <c r="AH527" s="1333"/>
      <c r="AI527" s="1333"/>
      <c r="AJ527" s="1333"/>
    </row>
    <row r="528" spans="1:50" ht="25.5" x14ac:dyDescent="0.25">
      <c r="A528" s="2334"/>
      <c r="B528" s="125"/>
      <c r="C528" s="944"/>
      <c r="D528" s="321"/>
      <c r="E528" s="321"/>
      <c r="F528" s="321"/>
      <c r="G528" s="294"/>
      <c r="H528" s="987" t="s">
        <v>232</v>
      </c>
      <c r="I528" s="552"/>
      <c r="J528" s="17" t="str">
        <f>IF('C-Design&amp;Const'!AK528="","",'C-Design&amp;Const'!AK528)</f>
        <v/>
      </c>
      <c r="L528" s="1410" t="str">
        <f t="shared" si="52"/>
        <v/>
      </c>
      <c r="M528" s="1333"/>
      <c r="N528" s="1333"/>
      <c r="O528" s="1333"/>
      <c r="P528" s="1333"/>
      <c r="Q528" s="1333"/>
      <c r="R528" s="1453"/>
      <c r="S528" s="1364"/>
      <c r="T528" s="1284"/>
      <c r="U528" s="1333"/>
      <c r="V528" s="1333"/>
      <c r="W528" s="1333"/>
      <c r="X528" s="1333"/>
      <c r="Y528" s="1333"/>
      <c r="Z528" s="1333"/>
      <c r="AA528" s="1333"/>
      <c r="AB528" s="1333"/>
      <c r="AC528" s="1333"/>
      <c r="AD528" s="1333"/>
      <c r="AE528" s="1333"/>
      <c r="AF528" s="1333"/>
      <c r="AG528" s="1333"/>
      <c r="AH528" s="1333"/>
      <c r="AI528" s="1333"/>
      <c r="AJ528" s="1333"/>
    </row>
    <row r="529" spans="1:50" s="181" customFormat="1" ht="15" customHeight="1" x14ac:dyDescent="0.25">
      <c r="A529" s="2334"/>
      <c r="B529" s="177"/>
      <c r="C529" s="944"/>
      <c r="D529" s="321"/>
      <c r="E529" s="559" t="str">
        <f>IF('C-Design&amp;Const'!$U529="","",'C-Design&amp;Const'!$U529)</f>
        <v>Y</v>
      </c>
      <c r="F529" s="560"/>
      <c r="G529" s="558"/>
      <c r="H529" s="238" t="str">
        <f>CONCATENATE(IF(ISNUMBER(SEARCH("Placeholder",'C-Design&amp;Const'!Z529))=TRUE,"",IF(E529="N","PLACEHOLDER ROW - ","")),'C-Design&amp;Const'!Z529,IF(E529="N","",J529))</f>
        <v>Manufacturer’s Product Data (Tech Specifications/ Cut Sheets)</v>
      </c>
      <c r="I529" s="552"/>
      <c r="J529" s="181" t="str">
        <f>IF('C-Design&amp;Const'!AK529="","",'C-Design&amp;Const'!AK529)</f>
        <v/>
      </c>
      <c r="L529" s="1410" t="str">
        <f t="shared" si="52"/>
        <v/>
      </c>
      <c r="M529" s="1382"/>
      <c r="N529" s="1382"/>
      <c r="O529" s="1382"/>
      <c r="P529" s="1382"/>
      <c r="Q529" s="1382"/>
      <c r="R529" s="1447"/>
      <c r="S529" s="1448"/>
      <c r="T529" s="1274"/>
      <c r="U529" s="1382"/>
      <c r="V529" s="1382"/>
      <c r="W529" s="1382"/>
      <c r="X529" s="1382"/>
      <c r="Y529" s="1382"/>
      <c r="Z529" s="1382"/>
      <c r="AA529" s="1382"/>
      <c r="AB529" s="1382"/>
      <c r="AC529" s="1382"/>
      <c r="AD529" s="1382"/>
      <c r="AE529" s="1382"/>
      <c r="AF529" s="1382"/>
      <c r="AG529" s="1382"/>
      <c r="AH529" s="1382"/>
      <c r="AI529" s="1382"/>
      <c r="AJ529" s="1382"/>
      <c r="AX529" s="30"/>
    </row>
    <row r="530" spans="1:50" s="181" customFormat="1" ht="15" customHeight="1" x14ac:dyDescent="0.25">
      <c r="A530" s="2334"/>
      <c r="B530" s="177"/>
      <c r="C530" s="944"/>
      <c r="D530" s="321"/>
      <c r="E530" s="559" t="str">
        <f>IF('C-Design&amp;Const'!$U530="","",'C-Design&amp;Const'!$U530)</f>
        <v>Y</v>
      </c>
      <c r="F530" s="560"/>
      <c r="G530" s="558"/>
      <c r="H530" s="238" t="str">
        <f>CONCATENATE(IF(ISNUMBER(SEARCH("Placeholder",'C-Design&amp;Const'!Z530))=TRUE,"",IF(E530="N","PLACEHOLDER ROW - ","")),'C-Design&amp;Const'!Z530,IF(E530="N","",J530))</f>
        <v>Manufacturer’s Operational Instructions</v>
      </c>
      <c r="I530" s="552"/>
      <c r="J530" s="181" t="str">
        <f>IF('C-Design&amp;Const'!AK530="","",'C-Design&amp;Const'!AK530)</f>
        <v/>
      </c>
      <c r="L530" s="1410" t="str">
        <f t="shared" si="52"/>
        <v/>
      </c>
      <c r="M530" s="1382"/>
      <c r="N530" s="1382"/>
      <c r="O530" s="1382"/>
      <c r="P530" s="1382"/>
      <c r="Q530" s="1382"/>
      <c r="R530" s="1447"/>
      <c r="S530" s="1448"/>
      <c r="T530" s="1274"/>
      <c r="U530" s="1382"/>
      <c r="V530" s="1382"/>
      <c r="W530" s="1382"/>
      <c r="X530" s="1382"/>
      <c r="Y530" s="1382"/>
      <c r="Z530" s="1382"/>
      <c r="AA530" s="1382"/>
      <c r="AB530" s="1382"/>
      <c r="AC530" s="1382"/>
      <c r="AD530" s="1382"/>
      <c r="AE530" s="1382"/>
      <c r="AF530" s="1382"/>
      <c r="AG530" s="1382"/>
      <c r="AH530" s="1382"/>
      <c r="AI530" s="1382"/>
      <c r="AJ530" s="1382"/>
      <c r="AX530" s="30"/>
    </row>
    <row r="531" spans="1:50" s="181" customFormat="1" ht="15" customHeight="1" x14ac:dyDescent="0.25">
      <c r="A531" s="2334"/>
      <c r="B531" s="177"/>
      <c r="C531" s="944"/>
      <c r="D531" s="321"/>
      <c r="E531" s="559" t="str">
        <f>IF('C-Design&amp;Const'!$U531="","",'C-Design&amp;Const'!$U531)</f>
        <v>Y</v>
      </c>
      <c r="F531" s="560"/>
      <c r="G531" s="558"/>
      <c r="H531" s="238" t="str">
        <f>CONCATENATE(IF(ISNUMBER(SEARCH("Placeholder",'C-Design&amp;Const'!Z531))=TRUE,"",IF(E531="N","PLACEHOLDER ROW - ","")),'C-Design&amp;Const'!Z531,IF(E531="N","",J531))</f>
        <v>Supplemental Product Submittals &amp; Shop Drawings / Approved</v>
      </c>
      <c r="I531" s="552"/>
      <c r="J531" s="181" t="str">
        <f>IF('C-Design&amp;Const'!AK531="","",'C-Design&amp;Const'!AK531)</f>
        <v/>
      </c>
      <c r="L531" s="1410" t="str">
        <f t="shared" si="52"/>
        <v/>
      </c>
      <c r="M531" s="1382"/>
      <c r="N531" s="1382"/>
      <c r="O531" s="1382"/>
      <c r="P531" s="1382"/>
      <c r="Q531" s="1382"/>
      <c r="R531" s="1447"/>
      <c r="S531" s="1448"/>
      <c r="T531" s="1274"/>
      <c r="U531" s="1382"/>
      <c r="V531" s="1382"/>
      <c r="W531" s="1382"/>
      <c r="X531" s="1382"/>
      <c r="Y531" s="1382"/>
      <c r="Z531" s="1382"/>
      <c r="AA531" s="1382"/>
      <c r="AB531" s="1382"/>
      <c r="AC531" s="1382"/>
      <c r="AD531" s="1382"/>
      <c r="AE531" s="1382"/>
      <c r="AF531" s="1382"/>
      <c r="AG531" s="1382"/>
      <c r="AH531" s="1382"/>
      <c r="AI531" s="1382"/>
      <c r="AJ531" s="1382"/>
      <c r="AX531" s="30"/>
    </row>
    <row r="532" spans="1:50" s="181" customFormat="1" ht="15" customHeight="1" x14ac:dyDescent="0.25">
      <c r="A532" s="2334"/>
      <c r="B532" s="177"/>
      <c r="C532" s="944"/>
      <c r="D532" s="321"/>
      <c r="E532" s="559" t="str">
        <f>IF('C-Design&amp;Const'!$U532="","",'C-Design&amp;Const'!$U532)</f>
        <v>Y</v>
      </c>
      <c r="F532" s="560"/>
      <c r="G532" s="558"/>
      <c r="H532" s="238" t="str">
        <f>CONCATENATE(IF(ISNUMBER(SEARCH("Placeholder",'C-Design&amp;Const'!Z532))=TRUE,"",IF(E532="N","PLACEHOLDER ROW - ","")),'C-Design&amp;Const'!Z532,IF(E532="N","",J532))</f>
        <v>Manufacturer’s Preventive Maintenance Instructions</v>
      </c>
      <c r="I532" s="552"/>
      <c r="J532" s="181" t="str">
        <f>IF('C-Design&amp;Const'!AK532="","",'C-Design&amp;Const'!AK532)</f>
        <v/>
      </c>
      <c r="L532" s="1410" t="str">
        <f t="shared" si="52"/>
        <v/>
      </c>
      <c r="M532" s="1382"/>
      <c r="N532" s="1382"/>
      <c r="O532" s="1382"/>
      <c r="P532" s="1382"/>
      <c r="Q532" s="1382"/>
      <c r="R532" s="1447"/>
      <c r="S532" s="1448"/>
      <c r="T532" s="1274"/>
      <c r="U532" s="1382"/>
      <c r="V532" s="1382"/>
      <c r="W532" s="1382"/>
      <c r="X532" s="1382"/>
      <c r="Y532" s="1382"/>
      <c r="Z532" s="1382"/>
      <c r="AA532" s="1382"/>
      <c r="AB532" s="1382"/>
      <c r="AC532" s="1382"/>
      <c r="AD532" s="1382"/>
      <c r="AE532" s="1382"/>
      <c r="AF532" s="1382"/>
      <c r="AG532" s="1382"/>
      <c r="AH532" s="1382"/>
      <c r="AI532" s="1382"/>
      <c r="AJ532" s="1382"/>
      <c r="AX532" s="30"/>
    </row>
    <row r="533" spans="1:50" s="181" customFormat="1" ht="15" customHeight="1" x14ac:dyDescent="0.25">
      <c r="A533" s="2334"/>
      <c r="B533" s="177"/>
      <c r="C533" s="944"/>
      <c r="D533" s="321"/>
      <c r="E533" s="559" t="str">
        <f>IF('C-Design&amp;Const'!$U533="","",'C-Design&amp;Const'!$U533)</f>
        <v>Y</v>
      </c>
      <c r="F533" s="560"/>
      <c r="G533" s="558"/>
      <c r="H533" s="238" t="str">
        <f>CONCATENATE(IF(ISNUMBER(SEARCH("Placeholder",'C-Design&amp;Const'!Z533))=TRUE,"",IF(E533="N","PLACEHOLDER ROW - ","")),'C-Design&amp;Const'!Z533,IF(E533="N","",J533))</f>
        <v xml:space="preserve">Warranties and Bonds  </v>
      </c>
      <c r="I533" s="552"/>
      <c r="J533" s="181" t="str">
        <f>IF('C-Design&amp;Const'!AK533="","",'C-Design&amp;Const'!AK533)</f>
        <v/>
      </c>
      <c r="L533" s="1410" t="str">
        <f t="shared" si="52"/>
        <v/>
      </c>
      <c r="M533" s="1382"/>
      <c r="N533" s="1382"/>
      <c r="O533" s="1382"/>
      <c r="P533" s="1382"/>
      <c r="Q533" s="1382"/>
      <c r="R533" s="1447"/>
      <c r="S533" s="1448"/>
      <c r="T533" s="1274"/>
      <c r="U533" s="1382"/>
      <c r="V533" s="1382"/>
      <c r="W533" s="1382"/>
      <c r="X533" s="1382"/>
      <c r="Y533" s="1382"/>
      <c r="Z533" s="1382"/>
      <c r="AA533" s="1382"/>
      <c r="AB533" s="1382"/>
      <c r="AC533" s="1382"/>
      <c r="AD533" s="1382"/>
      <c r="AE533" s="1382"/>
      <c r="AF533" s="1382"/>
      <c r="AG533" s="1382"/>
      <c r="AH533" s="1382"/>
      <c r="AI533" s="1382"/>
      <c r="AJ533" s="1382"/>
      <c r="AX533" s="30"/>
    </row>
    <row r="534" spans="1:50" s="181" customFormat="1" ht="15" customHeight="1" x14ac:dyDescent="0.25">
      <c r="A534" s="2334"/>
      <c r="B534" s="177"/>
      <c r="C534" s="944"/>
      <c r="D534" s="321"/>
      <c r="E534" s="559" t="str">
        <f>IF('C-Design&amp;Const'!$U534="","",'C-Design&amp;Const'!$U534)</f>
        <v>Y</v>
      </c>
      <c r="F534" s="560"/>
      <c r="G534" s="558"/>
      <c r="H534" s="238" t="str">
        <f>CONCATENATE(IF(ISNUMBER(SEARCH("Placeholder",'C-Design&amp;Const'!Z534))=TRUE,"",IF(E534="N","PLACEHOLDER ROW - ","")),'C-Design&amp;Const'!Z534,IF(E534="N","",J534))</f>
        <v>Functional Performance Tests</v>
      </c>
      <c r="I534" s="552"/>
      <c r="J534" s="181" t="str">
        <f>IF('C-Design&amp;Const'!AK534="","",'C-Design&amp;Const'!AK534)</f>
        <v/>
      </c>
      <c r="L534" s="1410" t="str">
        <f t="shared" si="52"/>
        <v/>
      </c>
      <c r="M534" s="1382"/>
      <c r="N534" s="1382"/>
      <c r="O534" s="1382"/>
      <c r="P534" s="1382"/>
      <c r="Q534" s="1382"/>
      <c r="R534" s="1447"/>
      <c r="S534" s="1448"/>
      <c r="T534" s="1274"/>
      <c r="U534" s="1382"/>
      <c r="V534" s="1382"/>
      <c r="W534" s="1382"/>
      <c r="X534" s="1382"/>
      <c r="Y534" s="1382"/>
      <c r="Z534" s="1382"/>
      <c r="AA534" s="1382"/>
      <c r="AB534" s="1382"/>
      <c r="AC534" s="1382"/>
      <c r="AD534" s="1382"/>
      <c r="AE534" s="1382"/>
      <c r="AF534" s="1382"/>
      <c r="AG534" s="1382"/>
      <c r="AH534" s="1382"/>
      <c r="AI534" s="1382"/>
      <c r="AJ534" s="1382"/>
      <c r="AX534" s="30"/>
    </row>
    <row r="535" spans="1:50" s="181" customFormat="1" ht="15" customHeight="1" x14ac:dyDescent="0.25">
      <c r="A535" s="2334"/>
      <c r="B535" s="177"/>
      <c r="C535" s="944"/>
      <c r="D535" s="321"/>
      <c r="E535" s="559" t="str">
        <f>IF('C-Design&amp;Const'!$U535="","",'C-Design&amp;Const'!$U535)</f>
        <v>Y</v>
      </c>
      <c r="F535" s="560"/>
      <c r="G535" s="558"/>
      <c r="H535" s="238" t="str">
        <f>CONCATENATE(IF(ISNUMBER(SEARCH("Placeholder",'C-Design&amp;Const'!Z535))=TRUE,"",IF(E535="N","PLACEHOLDER ROW - ","")),'C-Design&amp;Const'!Z535,IF(E535="N","",J535))</f>
        <v>Safety Precautions</v>
      </c>
      <c r="I535" s="552"/>
      <c r="J535" s="181" t="str">
        <f>IF('C-Design&amp;Const'!AK535="","",'C-Design&amp;Const'!AK535)</f>
        <v/>
      </c>
      <c r="L535" s="1410" t="str">
        <f t="shared" si="52"/>
        <v/>
      </c>
      <c r="M535" s="1382"/>
      <c r="N535" s="1382"/>
      <c r="O535" s="1382"/>
      <c r="P535" s="1382"/>
      <c r="Q535" s="1382"/>
      <c r="R535" s="1447"/>
      <c r="S535" s="1448"/>
      <c r="T535" s="1274"/>
      <c r="U535" s="1382"/>
      <c r="V535" s="1382"/>
      <c r="W535" s="1382"/>
      <c r="X535" s="1382"/>
      <c r="Y535" s="1382"/>
      <c r="Z535" s="1382"/>
      <c r="AA535" s="1382"/>
      <c r="AB535" s="1382"/>
      <c r="AC535" s="1382"/>
      <c r="AD535" s="1382"/>
      <c r="AE535" s="1382"/>
      <c r="AF535" s="1382"/>
      <c r="AG535" s="1382"/>
      <c r="AH535" s="1382"/>
      <c r="AI535" s="1382"/>
      <c r="AJ535" s="1382"/>
      <c r="AX535" s="30"/>
    </row>
    <row r="536" spans="1:50" s="181" customFormat="1" ht="15" customHeight="1" x14ac:dyDescent="0.25">
      <c r="A536" s="2334"/>
      <c r="B536" s="177"/>
      <c r="C536" s="944"/>
      <c r="D536" s="321"/>
      <c r="E536" s="559" t="str">
        <f>IF('C-Design&amp;Const'!$U536="","",'C-Design&amp;Const'!$U536)</f>
        <v>Y</v>
      </c>
      <c r="F536" s="560"/>
      <c r="G536" s="558"/>
      <c r="H536" s="238" t="str">
        <f>CONCATENATE(IF(ISNUMBER(SEARCH("Placeholder",'C-Design&amp;Const'!Z536))=TRUE,"",IF(E536="N","PLACEHOLDER ROW - ","")),'C-Design&amp;Const'!Z536,IF(E536="N","",J536))</f>
        <v>Emergency Procedures</v>
      </c>
      <c r="I536" s="552"/>
      <c r="J536" s="181" t="str">
        <f>IF('C-Design&amp;Const'!AK536="","",'C-Design&amp;Const'!AK536)</f>
        <v/>
      </c>
      <c r="L536" s="1410" t="str">
        <f t="shared" si="52"/>
        <v/>
      </c>
      <c r="M536" s="1382"/>
      <c r="N536" s="1382"/>
      <c r="O536" s="1382"/>
      <c r="P536" s="1382"/>
      <c r="Q536" s="1382"/>
      <c r="R536" s="1447"/>
      <c r="S536" s="1448"/>
      <c r="T536" s="1274"/>
      <c r="U536" s="1382"/>
      <c r="V536" s="1382"/>
      <c r="W536" s="1382"/>
      <c r="X536" s="1382"/>
      <c r="Y536" s="1382"/>
      <c r="Z536" s="1382"/>
      <c r="AA536" s="1382"/>
      <c r="AB536" s="1382"/>
      <c r="AC536" s="1382"/>
      <c r="AD536" s="1382"/>
      <c r="AE536" s="1382"/>
      <c r="AF536" s="1382"/>
      <c r="AG536" s="1382"/>
      <c r="AH536" s="1382"/>
      <c r="AI536" s="1382"/>
      <c r="AJ536" s="1382"/>
      <c r="AX536" s="30"/>
    </row>
    <row r="537" spans="1:50" s="551" customFormat="1" ht="15" customHeight="1" x14ac:dyDescent="0.25">
      <c r="A537" s="2334"/>
      <c r="B537" s="549"/>
      <c r="C537" s="944"/>
      <c r="D537" s="321"/>
      <c r="E537" s="559" t="str">
        <f>IF('C-Design&amp;Const'!$U537="","",'C-Design&amp;Const'!$U537)</f>
        <v>Y</v>
      </c>
      <c r="F537" s="560"/>
      <c r="G537" s="558"/>
      <c r="H537" s="238" t="str">
        <f>CONCATENATE(IF(ISNUMBER(SEARCH("Placeholder",'C-Design&amp;Const'!Z537))=TRUE,"",IF(E537="N","PLACEHOLDER ROW - ","")),'C-Design&amp;Const'!Z537,IF(E537="N","",J537))</f>
        <v>BMS/BAS Network Architecture Diagrams</v>
      </c>
      <c r="I537" s="552"/>
      <c r="J537" s="551" t="str">
        <f>IF('C-Design&amp;Const'!AK537="","",'C-Design&amp;Const'!AK537)</f>
        <v/>
      </c>
      <c r="L537" s="1410" t="str">
        <f t="shared" si="52"/>
        <v/>
      </c>
      <c r="M537" s="1382"/>
      <c r="N537" s="1382"/>
      <c r="O537" s="1382"/>
      <c r="P537" s="1382"/>
      <c r="Q537" s="1382"/>
      <c r="R537" s="1447"/>
      <c r="S537" s="1448"/>
      <c r="T537" s="1274"/>
      <c r="U537" s="1382"/>
      <c r="V537" s="1382"/>
      <c r="W537" s="1382"/>
      <c r="X537" s="1382"/>
      <c r="Y537" s="1382"/>
      <c r="Z537" s="1382"/>
      <c r="AA537" s="1382"/>
      <c r="AB537" s="1382"/>
      <c r="AC537" s="1382"/>
      <c r="AD537" s="1382"/>
      <c r="AE537" s="1382"/>
      <c r="AF537" s="1382"/>
      <c r="AG537" s="1382"/>
      <c r="AH537" s="1382"/>
      <c r="AI537" s="1382"/>
      <c r="AJ537" s="1382"/>
      <c r="AX537" s="545"/>
    </row>
    <row r="538" spans="1:50" s="551" customFormat="1" ht="15" customHeight="1" x14ac:dyDescent="0.25">
      <c r="A538" s="2334"/>
      <c r="B538" s="549"/>
      <c r="C538" s="944"/>
      <c r="D538" s="321"/>
      <c r="E538" s="559" t="str">
        <f>IF('C-Design&amp;Const'!$U538="","",'C-Design&amp;Const'!$U538)</f>
        <v>Y</v>
      </c>
      <c r="F538" s="560"/>
      <c r="G538" s="558"/>
      <c r="H538" s="238" t="str">
        <f>CONCATENATE(IF(ISNUMBER(SEARCH("Placeholder",'C-Design&amp;Const'!Z538))=TRUE,"",IF(E538="N","PLACEHOLDER ROW - ","")),'C-Design&amp;Const'!Z538,IF(E538="N","",J538))</f>
        <v>BMS/BAS Input / Output Point List</v>
      </c>
      <c r="I538" s="552"/>
      <c r="J538" s="551" t="str">
        <f>IF('C-Design&amp;Const'!AK538="","",'C-Design&amp;Const'!AK538)</f>
        <v/>
      </c>
      <c r="L538" s="1410" t="str">
        <f t="shared" si="52"/>
        <v/>
      </c>
      <c r="M538" s="1382"/>
      <c r="N538" s="1382"/>
      <c r="O538" s="1382"/>
      <c r="P538" s="1382"/>
      <c r="Q538" s="1382"/>
      <c r="R538" s="1447"/>
      <c r="S538" s="1448"/>
      <c r="T538" s="1274"/>
      <c r="U538" s="1382"/>
      <c r="V538" s="1382"/>
      <c r="W538" s="1382"/>
      <c r="X538" s="1382"/>
      <c r="Y538" s="1382"/>
      <c r="Z538" s="1382"/>
      <c r="AA538" s="1382"/>
      <c r="AB538" s="1382"/>
      <c r="AC538" s="1382"/>
      <c r="AD538" s="1382"/>
      <c r="AE538" s="1382"/>
      <c r="AF538" s="1382"/>
      <c r="AG538" s="1382"/>
      <c r="AH538" s="1382"/>
      <c r="AI538" s="1382"/>
      <c r="AJ538" s="1382"/>
      <c r="AX538" s="545"/>
    </row>
    <row r="539" spans="1:50" s="551" customFormat="1" ht="15" customHeight="1" x14ac:dyDescent="0.25">
      <c r="A539" s="2334"/>
      <c r="B539" s="549"/>
      <c r="C539" s="944"/>
      <c r="D539" s="321"/>
      <c r="E539" s="559" t="str">
        <f>IF('C-Design&amp;Const'!$U539="","",'C-Design&amp;Const'!$U539)</f>
        <v>Y</v>
      </c>
      <c r="F539" s="560"/>
      <c r="G539" s="558"/>
      <c r="H539" s="238" t="str">
        <f>CONCATENATE(IF(ISNUMBER(SEARCH("Placeholder",'C-Design&amp;Const'!Z539))=TRUE,"",IF(E539="N","PLACEHOLDER ROW - ","")),'C-Design&amp;Const'!Z539,IF(E539="N","",J539))</f>
        <v>BMS/BAS Integration and Mapping Details</v>
      </c>
      <c r="I539" s="552"/>
      <c r="J539" s="551" t="str">
        <f>IF('C-Design&amp;Const'!AK539="","",'C-Design&amp;Const'!AK539)</f>
        <v/>
      </c>
      <c r="L539" s="1410" t="str">
        <f t="shared" si="52"/>
        <v/>
      </c>
      <c r="M539" s="1382"/>
      <c r="N539" s="1382"/>
      <c r="O539" s="1382"/>
      <c r="P539" s="1382"/>
      <c r="Q539" s="1382"/>
      <c r="R539" s="1447"/>
      <c r="S539" s="1448"/>
      <c r="T539" s="1274"/>
      <c r="U539" s="1382"/>
      <c r="V539" s="1382"/>
      <c r="W539" s="1382"/>
      <c r="X539" s="1382"/>
      <c r="Y539" s="1382"/>
      <c r="Z539" s="1382"/>
      <c r="AA539" s="1382"/>
      <c r="AB539" s="1382"/>
      <c r="AC539" s="1382"/>
      <c r="AD539" s="1382"/>
      <c r="AE539" s="1382"/>
      <c r="AF539" s="1382"/>
      <c r="AG539" s="1382"/>
      <c r="AH539" s="1382"/>
      <c r="AI539" s="1382"/>
      <c r="AJ539" s="1382"/>
      <c r="AX539" s="545"/>
    </row>
    <row r="540" spans="1:50" s="551" customFormat="1" ht="15" customHeight="1" x14ac:dyDescent="0.25">
      <c r="A540" s="2334"/>
      <c r="B540" s="549"/>
      <c r="C540" s="944"/>
      <c r="D540" s="321"/>
      <c r="E540" s="559" t="str">
        <f>IF('C-Design&amp;Const'!$U540="","",'C-Design&amp;Const'!$U540)</f>
        <v>Y</v>
      </c>
      <c r="F540" s="560"/>
      <c r="G540" s="558"/>
      <c r="H540" s="238" t="str">
        <f>CONCATENATE(IF(ISNUMBER(SEARCH("Placeholder",'C-Design&amp;Const'!Z540))=TRUE,"",IF(E540="N","PLACEHOLDER ROW - ","")),'C-Design&amp;Const'!Z540,IF(E540="N","",J540))</f>
        <v>BAS Licensing, Programming, and Engineering Tools</v>
      </c>
      <c r="I540" s="552"/>
      <c r="J540" s="551" t="str">
        <f>IF('C-Design&amp;Const'!AK540="","",'C-Design&amp;Const'!AK540)</f>
        <v/>
      </c>
      <c r="L540" s="1410" t="str">
        <f t="shared" si="52"/>
        <v/>
      </c>
      <c r="M540" s="1382"/>
      <c r="N540" s="1382"/>
      <c r="O540" s="1382"/>
      <c r="P540" s="1382"/>
      <c r="Q540" s="1382"/>
      <c r="R540" s="1447"/>
      <c r="S540" s="1448"/>
      <c r="T540" s="1274"/>
      <c r="U540" s="1382"/>
      <c r="V540" s="1382"/>
      <c r="W540" s="1382"/>
      <c r="X540" s="1382"/>
      <c r="Y540" s="1382"/>
      <c r="Z540" s="1382"/>
      <c r="AA540" s="1382"/>
      <c r="AB540" s="1382"/>
      <c r="AC540" s="1382"/>
      <c r="AD540" s="1382"/>
      <c r="AE540" s="1382"/>
      <c r="AF540" s="1382"/>
      <c r="AG540" s="1382"/>
      <c r="AH540" s="1382"/>
      <c r="AI540" s="1382"/>
      <c r="AJ540" s="1382"/>
      <c r="AX540" s="545"/>
    </row>
    <row r="541" spans="1:50" s="551" customFormat="1" ht="15" customHeight="1" x14ac:dyDescent="0.25">
      <c r="A541" s="2334"/>
      <c r="B541" s="549"/>
      <c r="C541" s="944"/>
      <c r="D541" s="321"/>
      <c r="E541" s="559" t="str">
        <f>IF('C-Design&amp;Const'!$U541="","",'C-Design&amp;Const'!$U541)</f>
        <v>Y</v>
      </c>
      <c r="F541" s="560"/>
      <c r="G541" s="558"/>
      <c r="H541" s="238" t="str">
        <f>CONCATENATE(IF(ISNUMBER(SEARCH("Placeholder",'C-Design&amp;Const'!Z541))=TRUE,"",IF(E541="N","PLACEHOLDER ROW - ","")),'C-Design&amp;Const'!Z541,IF(E541="N","",J541))</f>
        <v>Images and/or screen shots of final graphical user interfaces for each installed</v>
      </c>
      <c r="I541" s="552"/>
      <c r="J541" s="551" t="str">
        <f>IF('C-Design&amp;Const'!AK541="","",'C-Design&amp;Const'!AK541)</f>
        <v/>
      </c>
      <c r="L541" s="1410" t="str">
        <f t="shared" si="52"/>
        <v/>
      </c>
      <c r="M541" s="1382"/>
      <c r="N541" s="1382"/>
      <c r="O541" s="1382"/>
      <c r="P541" s="1382"/>
      <c r="Q541" s="1382"/>
      <c r="R541" s="1447"/>
      <c r="S541" s="1448"/>
      <c r="T541" s="1274"/>
      <c r="U541" s="1382"/>
      <c r="V541" s="1382"/>
      <c r="W541" s="1382"/>
      <c r="X541" s="1382"/>
      <c r="Y541" s="1382"/>
      <c r="Z541" s="1382"/>
      <c r="AA541" s="1382"/>
      <c r="AB541" s="1382"/>
      <c r="AC541" s="1382"/>
      <c r="AD541" s="1382"/>
      <c r="AE541" s="1382"/>
      <c r="AF541" s="1382"/>
      <c r="AG541" s="1382"/>
      <c r="AH541" s="1382"/>
      <c r="AI541" s="1382"/>
      <c r="AJ541" s="1382"/>
      <c r="AX541" s="545"/>
    </row>
    <row r="542" spans="1:50" s="551" customFormat="1" ht="15" customHeight="1" x14ac:dyDescent="0.25">
      <c r="A542" s="2334"/>
      <c r="B542" s="549"/>
      <c r="C542" s="944"/>
      <c r="D542" s="321"/>
      <c r="E542" s="559" t="str">
        <f>IF('C-Design&amp;Const'!$U542="","",'C-Design&amp;Const'!$U542)</f>
        <v>N</v>
      </c>
      <c r="F542" s="560"/>
      <c r="G542" s="558"/>
      <c r="H542" s="238" t="str">
        <f>CONCATENATE(IF(ISNUMBER(SEARCH("Placeholder",'C-Design&amp;Const'!Z542))=TRUE,"",IF(E542="N","PLACEHOLDER ROW - ","")),'C-Design&amp;Const'!Z542,IF(E542="N","",J542))</f>
        <v>PLACEHOLDER ROW - OPTIONAL CLIENT CUSTOM ITEM</v>
      </c>
      <c r="I542" s="552"/>
      <c r="J542" s="551" t="str">
        <f>IF('C-Design&amp;Const'!AK542="","",'C-Design&amp;Const'!AK542)</f>
        <v/>
      </c>
      <c r="L542" s="1410" t="str">
        <f t="shared" si="52"/>
        <v>&lt;---PM/Planner may hide PLACEHOLDER ROW</v>
      </c>
      <c r="M542" s="1382"/>
      <c r="N542" s="1382"/>
      <c r="O542" s="1382"/>
      <c r="P542" s="1382"/>
      <c r="Q542" s="1382"/>
      <c r="R542" s="1447"/>
      <c r="S542" s="1448"/>
      <c r="T542" s="1274"/>
      <c r="U542" s="1382"/>
      <c r="V542" s="1382"/>
      <c r="W542" s="1382"/>
      <c r="X542" s="1382"/>
      <c r="Y542" s="1382"/>
      <c r="Z542" s="1382"/>
      <c r="AA542" s="1382"/>
      <c r="AB542" s="1382"/>
      <c r="AC542" s="1382"/>
      <c r="AD542" s="1382"/>
      <c r="AE542" s="1382"/>
      <c r="AF542" s="1382"/>
      <c r="AG542" s="1382"/>
      <c r="AH542" s="1382"/>
      <c r="AI542" s="1382"/>
      <c r="AJ542" s="1382"/>
      <c r="AX542" s="545"/>
    </row>
    <row r="543" spans="1:50" s="551" customFormat="1" ht="15" customHeight="1" x14ac:dyDescent="0.25">
      <c r="A543" s="2334"/>
      <c r="B543" s="549"/>
      <c r="C543" s="944"/>
      <c r="D543" s="321"/>
      <c r="E543" s="559" t="str">
        <f>IF('C-Design&amp;Const'!$U543="","",'C-Design&amp;Const'!$U543)</f>
        <v>N</v>
      </c>
      <c r="F543" s="560"/>
      <c r="G543" s="558"/>
      <c r="H543" s="238" t="str">
        <f>CONCATENATE(IF(ISNUMBER(SEARCH("Placeholder",'C-Design&amp;Const'!Z543))=TRUE,"",IF(E543="N","PLACEHOLDER ROW - ","")),'C-Design&amp;Const'!Z543,IF(E543="N","",J543))</f>
        <v>PLACEHOLDER ROW - OPTIONAL CLIENT CUSTOM ITEM</v>
      </c>
      <c r="I543" s="552"/>
      <c r="J543" s="551" t="str">
        <f>IF('C-Design&amp;Const'!AK543="","",'C-Design&amp;Const'!AK543)</f>
        <v/>
      </c>
      <c r="L543" s="1410" t="str">
        <f t="shared" si="52"/>
        <v>&lt;---PM/Planner may hide PLACEHOLDER ROW</v>
      </c>
      <c r="M543" s="1382"/>
      <c r="N543" s="1382"/>
      <c r="O543" s="1382"/>
      <c r="P543" s="1382"/>
      <c r="Q543" s="1382"/>
      <c r="R543" s="1447"/>
      <c r="S543" s="1448"/>
      <c r="T543" s="1274"/>
      <c r="U543" s="1382"/>
      <c r="V543" s="1382"/>
      <c r="W543" s="1382"/>
      <c r="X543" s="1382"/>
      <c r="Y543" s="1382"/>
      <c r="Z543" s="1382"/>
      <c r="AA543" s="1382"/>
      <c r="AB543" s="1382"/>
      <c r="AC543" s="1382"/>
      <c r="AD543" s="1382"/>
      <c r="AE543" s="1382"/>
      <c r="AF543" s="1382"/>
      <c r="AG543" s="1382"/>
      <c r="AH543" s="1382"/>
      <c r="AI543" s="1382"/>
      <c r="AJ543" s="1382"/>
      <c r="AX543" s="545"/>
    </row>
    <row r="544" spans="1:50" s="551" customFormat="1" ht="15" customHeight="1" x14ac:dyDescent="0.25">
      <c r="A544" s="2334"/>
      <c r="B544" s="549"/>
      <c r="C544" s="944"/>
      <c r="D544" s="321"/>
      <c r="E544" s="559" t="str">
        <f>IF('C-Design&amp;Const'!$U544="","",'C-Design&amp;Const'!$U544)</f>
        <v>N</v>
      </c>
      <c r="F544" s="560"/>
      <c r="G544" s="558"/>
      <c r="H544" s="238" t="str">
        <f>CONCATENATE(IF(ISNUMBER(SEARCH("Placeholder",'C-Design&amp;Const'!Z544))=TRUE,"",IF(E544="N","PLACEHOLDER ROW - ","")),'C-Design&amp;Const'!Z544,IF(E544="N","",J544))</f>
        <v>PLACEHOLDER ROW - OPTIONAL CLIENT CUSTOM ITEM</v>
      </c>
      <c r="I544" s="552"/>
      <c r="J544" s="551" t="str">
        <f>IF('C-Design&amp;Const'!AK544="","",'C-Design&amp;Const'!AK544)</f>
        <v/>
      </c>
      <c r="L544" s="1410" t="str">
        <f t="shared" si="52"/>
        <v>&lt;---PM/Planner may hide PLACEHOLDER ROW</v>
      </c>
      <c r="M544" s="1382"/>
      <c r="N544" s="1382"/>
      <c r="O544" s="1382"/>
      <c r="P544" s="1382"/>
      <c r="Q544" s="1382"/>
      <c r="R544" s="1447"/>
      <c r="S544" s="1448"/>
      <c r="T544" s="1274"/>
      <c r="U544" s="1382"/>
      <c r="V544" s="1382"/>
      <c r="W544" s="1382"/>
      <c r="X544" s="1382"/>
      <c r="Y544" s="1382"/>
      <c r="Z544" s="1382"/>
      <c r="AA544" s="1382"/>
      <c r="AB544" s="1382"/>
      <c r="AC544" s="1382"/>
      <c r="AD544" s="1382"/>
      <c r="AE544" s="1382"/>
      <c r="AF544" s="1382"/>
      <c r="AG544" s="1382"/>
      <c r="AH544" s="1382"/>
      <c r="AI544" s="1382"/>
      <c r="AJ544" s="1382"/>
      <c r="AX544" s="545"/>
    </row>
    <row r="545" spans="1:50" ht="18.75" x14ac:dyDescent="0.25">
      <c r="A545" s="2334"/>
      <c r="B545" s="125"/>
      <c r="C545" s="944"/>
      <c r="D545" s="412"/>
      <c r="E545" s="321"/>
      <c r="F545" s="321"/>
      <c r="G545" s="294"/>
      <c r="H545" s="412"/>
      <c r="I545" s="552"/>
      <c r="J545" s="17" t="str">
        <f>IF('C-Design&amp;Const'!AK545="","",'C-Design&amp;Const'!AK545)</f>
        <v/>
      </c>
      <c r="L545" s="1410" t="str">
        <f t="shared" si="52"/>
        <v/>
      </c>
      <c r="M545" s="1333"/>
      <c r="N545" s="1333"/>
      <c r="O545" s="1333"/>
      <c r="P545" s="1333"/>
      <c r="Q545" s="1333"/>
      <c r="R545" s="1453"/>
      <c r="S545" s="1364"/>
      <c r="T545" s="1284"/>
      <c r="U545" s="1333"/>
      <c r="V545" s="1333"/>
      <c r="W545" s="1333"/>
      <c r="X545" s="1333"/>
      <c r="Y545" s="1333"/>
      <c r="Z545" s="1333"/>
      <c r="AA545" s="1333"/>
      <c r="AB545" s="1333"/>
      <c r="AC545" s="1333"/>
      <c r="AD545" s="1333"/>
      <c r="AE545" s="1333"/>
      <c r="AF545" s="1333"/>
      <c r="AG545" s="1333"/>
      <c r="AH545" s="1333"/>
      <c r="AI545" s="1333"/>
      <c r="AJ545" s="1333"/>
    </row>
    <row r="546" spans="1:50" ht="18.75" x14ac:dyDescent="0.25">
      <c r="A546" s="2334"/>
      <c r="B546" s="125"/>
      <c r="C546" s="944"/>
      <c r="D546" s="559" t="str">
        <f>IF('C-Design&amp;Const'!$U546="","",'C-Design&amp;Const'!$U546)</f>
        <v>Y</v>
      </c>
      <c r="E546" s="234"/>
      <c r="F546" s="235"/>
      <c r="G546" s="291" t="str">
        <f>IF('C-Design&amp;Const'!Y546="","",'C-Design&amp;Const'!Y546)</f>
        <v>31.</v>
      </c>
      <c r="H546" s="290" t="str">
        <f>CONCATENATE('C-Design&amp;Const'!Z546,IF(D546="N"," Not Used In This Construction Phase",J546))</f>
        <v>LEED Certification / Documentation</v>
      </c>
      <c r="I546" s="552"/>
      <c r="J546" s="17" t="str">
        <f>IF('C-Design&amp;Const'!AK546="","",'C-Design&amp;Const'!AK546)</f>
        <v/>
      </c>
      <c r="L546" s="1410" t="str">
        <f t="shared" si="52"/>
        <v/>
      </c>
      <c r="M546" s="1333"/>
      <c r="N546" s="1333"/>
      <c r="O546" s="1333"/>
      <c r="P546" s="1333"/>
      <c r="Q546" s="1333"/>
      <c r="R546" s="1453"/>
      <c r="S546" s="1364"/>
      <c r="T546" s="1284"/>
      <c r="U546" s="1333"/>
      <c r="V546" s="1333"/>
      <c r="W546" s="1333"/>
      <c r="X546" s="1333"/>
      <c r="Y546" s="1333"/>
      <c r="Z546" s="1333"/>
      <c r="AA546" s="1333"/>
      <c r="AB546" s="1333"/>
      <c r="AC546" s="1333"/>
      <c r="AD546" s="1333"/>
      <c r="AE546" s="1333"/>
      <c r="AF546" s="1333"/>
      <c r="AG546" s="1333"/>
      <c r="AH546" s="1333"/>
      <c r="AI546" s="1333"/>
      <c r="AJ546" s="1333"/>
    </row>
    <row r="547" spans="1:50" s="181" customFormat="1" ht="15" customHeight="1" x14ac:dyDescent="0.25">
      <c r="A547" s="2334"/>
      <c r="B547" s="177"/>
      <c r="C547" s="944"/>
      <c r="D547" s="321"/>
      <c r="E547" s="559" t="str">
        <f>IF('C-Design&amp;Const'!$U547="","",'C-Design&amp;Const'!$U547)</f>
        <v>Y</v>
      </c>
      <c r="F547" s="560"/>
      <c r="G547" s="558"/>
      <c r="H547" s="410" t="str">
        <f>IF('C-Design&amp;Const'!Z547="","",'C-Design&amp;Const'!Z547)</f>
        <v>Supplemental - US Green Buildings Council Building Certification</v>
      </c>
      <c r="I547" s="552"/>
      <c r="J547" s="181" t="str">
        <f>IF('C-Design&amp;Const'!AK547="","",'C-Design&amp;Const'!AK547)</f>
        <v/>
      </c>
      <c r="L547" s="1410" t="str">
        <f t="shared" si="52"/>
        <v/>
      </c>
      <c r="M547" s="1382"/>
      <c r="N547" s="1382"/>
      <c r="O547" s="1382"/>
      <c r="P547" s="1382"/>
      <c r="Q547" s="1382"/>
      <c r="R547" s="1447"/>
      <c r="S547" s="1448"/>
      <c r="T547" s="1274"/>
      <c r="U547" s="1382"/>
      <c r="V547" s="1382"/>
      <c r="W547" s="1382"/>
      <c r="X547" s="1382"/>
      <c r="Y547" s="1382"/>
      <c r="Z547" s="1382"/>
      <c r="AA547" s="1382"/>
      <c r="AB547" s="1382"/>
      <c r="AC547" s="1382"/>
      <c r="AD547" s="1382"/>
      <c r="AE547" s="1382"/>
      <c r="AF547" s="1382"/>
      <c r="AG547" s="1382"/>
      <c r="AH547" s="1382"/>
      <c r="AI547" s="1382"/>
      <c r="AJ547" s="1382"/>
      <c r="AX547" s="30"/>
    </row>
    <row r="548" spans="1:50" s="551" customFormat="1" ht="15" customHeight="1" x14ac:dyDescent="0.25">
      <c r="A548" s="2334"/>
      <c r="B548" s="549"/>
      <c r="C548" s="944"/>
      <c r="D548" s="321"/>
      <c r="E548" s="559" t="str">
        <f>IF('C-Design&amp;Const'!$U548="","",'C-Design&amp;Const'!$U548)</f>
        <v>N</v>
      </c>
      <c r="F548" s="560"/>
      <c r="G548" s="558"/>
      <c r="H548" s="238" t="str">
        <f>CONCATENATE(IF(ISNUMBER(SEARCH("Placeholder",'C-Design&amp;Const'!Z548))=TRUE,"",IF(E548="N","PLACEHOLDER ROW - ","")),'C-Design&amp;Const'!Z548,IF(E548="N","",J548))</f>
        <v>PLACEHOLDER ROW - OPTIONAL CLIENT CUSTOM ITEM</v>
      </c>
      <c r="I548" s="552"/>
      <c r="J548" s="551" t="str">
        <f>IF('C-Design&amp;Const'!AK548="","",'C-Design&amp;Const'!AK548)</f>
        <v/>
      </c>
      <c r="L548" s="1410" t="str">
        <f t="shared" ref="L548:L549" si="53">CONCATENATE(IF(ISNUMBER(SEARCH("Placeholder",H548))=TRUE,"&lt;---PM/Planner may hide PLACEHOLDER ROW",""))</f>
        <v>&lt;---PM/Planner may hide PLACEHOLDER ROW</v>
      </c>
      <c r="M548" s="1382"/>
      <c r="N548" s="1382"/>
      <c r="O548" s="1382"/>
      <c r="P548" s="1382"/>
      <c r="Q548" s="1382"/>
      <c r="R548" s="1447"/>
      <c r="S548" s="1448"/>
      <c r="T548" s="1274"/>
      <c r="U548" s="1382"/>
      <c r="V548" s="1382"/>
      <c r="W548" s="1382"/>
      <c r="X548" s="1382"/>
      <c r="Y548" s="1382"/>
      <c r="Z548" s="1382"/>
      <c r="AA548" s="1382"/>
      <c r="AB548" s="1382"/>
      <c r="AC548" s="1382"/>
      <c r="AD548" s="1382"/>
      <c r="AE548" s="1382"/>
      <c r="AF548" s="1382"/>
      <c r="AG548" s="1382"/>
      <c r="AH548" s="1382"/>
      <c r="AI548" s="1382"/>
      <c r="AJ548" s="1382"/>
      <c r="AX548" s="545"/>
    </row>
    <row r="549" spans="1:50" s="551" customFormat="1" ht="15" customHeight="1" x14ac:dyDescent="0.25">
      <c r="A549" s="2334"/>
      <c r="B549" s="549"/>
      <c r="C549" s="944"/>
      <c r="D549" s="321"/>
      <c r="E549" s="559" t="str">
        <f>IF('C-Design&amp;Const'!$U549="","",'C-Design&amp;Const'!$U549)</f>
        <v>N</v>
      </c>
      <c r="F549" s="560"/>
      <c r="G549" s="558"/>
      <c r="H549" s="238" t="str">
        <f>CONCATENATE(IF(ISNUMBER(SEARCH("Placeholder",'C-Design&amp;Const'!Z549))=TRUE,"",IF(E549="N","PLACEHOLDER ROW - ","")),'C-Design&amp;Const'!Z549,IF(E549="N","",J549))</f>
        <v>PLACEHOLDER ROW - OPTIONAL CLIENT CUSTOM ITEM</v>
      </c>
      <c r="I549" s="552"/>
      <c r="J549" s="551" t="str">
        <f>IF('C-Design&amp;Const'!AK549="","",'C-Design&amp;Const'!AK549)</f>
        <v/>
      </c>
      <c r="L549" s="1410" t="str">
        <f t="shared" si="53"/>
        <v>&lt;---PM/Planner may hide PLACEHOLDER ROW</v>
      </c>
      <c r="M549" s="1382"/>
      <c r="N549" s="1382"/>
      <c r="O549" s="1382"/>
      <c r="P549" s="1382"/>
      <c r="Q549" s="1382"/>
      <c r="R549" s="1447"/>
      <c r="S549" s="1448"/>
      <c r="T549" s="1274"/>
      <c r="U549" s="1382"/>
      <c r="V549" s="1382"/>
      <c r="W549" s="1382"/>
      <c r="X549" s="1382"/>
      <c r="Y549" s="1382"/>
      <c r="Z549" s="1382"/>
      <c r="AA549" s="1382"/>
      <c r="AB549" s="1382"/>
      <c r="AC549" s="1382"/>
      <c r="AD549" s="1382"/>
      <c r="AE549" s="1382"/>
      <c r="AF549" s="1382"/>
      <c r="AG549" s="1382"/>
      <c r="AH549" s="1382"/>
      <c r="AI549" s="1382"/>
      <c r="AJ549" s="1382"/>
      <c r="AX549" s="545"/>
    </row>
    <row r="550" spans="1:50" ht="18.75" x14ac:dyDescent="0.25">
      <c r="A550" s="2334"/>
      <c r="B550" s="125"/>
      <c r="C550" s="944"/>
      <c r="D550" s="295"/>
      <c r="E550" s="321"/>
      <c r="F550" s="321"/>
      <c r="G550" s="294"/>
      <c r="H550" s="295"/>
      <c r="I550" s="552"/>
      <c r="J550" s="17" t="str">
        <f>IF('C-Design&amp;Const'!AK550="","",'C-Design&amp;Const'!AK550)</f>
        <v/>
      </c>
      <c r="L550" s="1410" t="str">
        <f t="shared" si="52"/>
        <v/>
      </c>
      <c r="M550" s="1333"/>
      <c r="N550" s="1333"/>
      <c r="O550" s="1333"/>
      <c r="P550" s="1333"/>
      <c r="Q550" s="1333"/>
      <c r="R550" s="1453"/>
      <c r="S550" s="1364"/>
      <c r="T550" s="1284"/>
      <c r="U550" s="1333"/>
      <c r="V550" s="1333"/>
      <c r="W550" s="1333"/>
      <c r="X550" s="1333"/>
      <c r="Y550" s="1333"/>
      <c r="Z550" s="1333"/>
      <c r="AA550" s="1333"/>
      <c r="AB550" s="1333"/>
      <c r="AC550" s="1333"/>
      <c r="AD550" s="1333"/>
      <c r="AE550" s="1333"/>
      <c r="AF550" s="1333"/>
      <c r="AG550" s="1333"/>
      <c r="AH550" s="1333"/>
      <c r="AI550" s="1333"/>
      <c r="AJ550" s="1333"/>
    </row>
    <row r="551" spans="1:50" ht="18.75" x14ac:dyDescent="0.25">
      <c r="A551" s="2334"/>
      <c r="B551" s="125"/>
      <c r="C551" s="944"/>
      <c r="D551" s="559" t="str">
        <f>IF('C-Design&amp;Const'!$U551="","",'C-Design&amp;Const'!$U551)</f>
        <v>Y</v>
      </c>
      <c r="E551" s="234"/>
      <c r="F551" s="235"/>
      <c r="G551" s="291" t="str">
        <f>IF('C-Design&amp;Const'!Y551="","",'C-Design&amp;Const'!Y551)</f>
        <v>32.</v>
      </c>
      <c r="H551" s="290" t="str">
        <f>CONCATENATE('C-Design&amp;Const'!Z551,IF(D551="N"," Not Used In This Construction Phase",J551))</f>
        <v>Final Approved Contractor Submittals with Log</v>
      </c>
      <c r="I551" s="552"/>
      <c r="J551" s="17" t="str">
        <f>IF('C-Design&amp;Const'!AK551="","",'C-Design&amp;Const'!AK551)</f>
        <v/>
      </c>
      <c r="L551" s="1410" t="str">
        <f t="shared" si="52"/>
        <v/>
      </c>
      <c r="M551" s="1333"/>
      <c r="N551" s="1333"/>
      <c r="O551" s="1333"/>
      <c r="P551" s="1333"/>
      <c r="Q551" s="1333"/>
      <c r="R551" s="1453"/>
      <c r="S551" s="1364"/>
      <c r="T551" s="1284"/>
      <c r="U551" s="1333"/>
      <c r="V551" s="1333"/>
      <c r="W551" s="1333"/>
      <c r="X551" s="1333"/>
      <c r="Y551" s="1333"/>
      <c r="Z551" s="1333"/>
      <c r="AA551" s="1333"/>
      <c r="AB551" s="1333"/>
      <c r="AC551" s="1333"/>
      <c r="AD551" s="1333"/>
      <c r="AE551" s="1333"/>
      <c r="AF551" s="1333"/>
      <c r="AG551" s="1333"/>
      <c r="AH551" s="1333"/>
      <c r="AI551" s="1333"/>
      <c r="AJ551" s="1333"/>
    </row>
    <row r="552" spans="1:50" ht="18.75" x14ac:dyDescent="0.25">
      <c r="A552" s="2334"/>
      <c r="B552" s="125"/>
      <c r="C552" s="943"/>
      <c r="D552" s="295"/>
      <c r="E552" s="297"/>
      <c r="F552" s="297"/>
      <c r="G552" s="294"/>
      <c r="H552" s="295"/>
      <c r="I552" s="552"/>
      <c r="J552" s="17" t="str">
        <f>IF('C-Design&amp;Const'!AK552="","",'C-Design&amp;Const'!AK552)</f>
        <v/>
      </c>
      <c r="L552" s="1410" t="str">
        <f t="shared" si="52"/>
        <v/>
      </c>
      <c r="M552" s="1333"/>
      <c r="N552" s="1333"/>
      <c r="O552" s="1333"/>
      <c r="P552" s="1333"/>
      <c r="Q552" s="1333"/>
      <c r="R552" s="1453"/>
      <c r="S552" s="1364"/>
      <c r="T552" s="1284"/>
      <c r="U552" s="1333"/>
      <c r="V552" s="1333"/>
      <c r="W552" s="1333"/>
      <c r="X552" s="1333"/>
      <c r="Y552" s="1333"/>
      <c r="Z552" s="1333"/>
      <c r="AA552" s="1333"/>
      <c r="AB552" s="1333"/>
      <c r="AC552" s="1333"/>
      <c r="AD552" s="1333"/>
      <c r="AE552" s="1333"/>
      <c r="AF552" s="1333"/>
      <c r="AG552" s="1333"/>
      <c r="AH552" s="1333"/>
      <c r="AI552" s="1333"/>
      <c r="AJ552" s="1333"/>
    </row>
    <row r="553" spans="1:50" ht="18.75" x14ac:dyDescent="0.25">
      <c r="A553" s="2334"/>
      <c r="B553" s="125"/>
      <c r="C553" s="944"/>
      <c r="D553" s="559" t="str">
        <f>IF('C-Design&amp;Const'!$U553="","",'C-Design&amp;Const'!$U553)</f>
        <v>Y</v>
      </c>
      <c r="E553" s="234"/>
      <c r="F553" s="235"/>
      <c r="G553" s="291" t="str">
        <f>IF('C-Design&amp;Const'!Y553="","",'C-Design&amp;Const'!Y553)</f>
        <v>33.</v>
      </c>
      <c r="H553" s="290" t="str">
        <f>CONCATENATE('C-Design&amp;Const'!Z553,IF(D553="N"," Not Used In This Construction Phase",J553))</f>
        <v>Contractor As-Built Drawings and As-Built Project Manual</v>
      </c>
      <c r="I553" s="552"/>
      <c r="J553" s="17" t="str">
        <f>IF('C-Design&amp;Const'!AK553="","",'C-Design&amp;Const'!AK553)</f>
        <v/>
      </c>
      <c r="L553" s="1410" t="str">
        <f t="shared" si="52"/>
        <v/>
      </c>
      <c r="M553" s="1333"/>
      <c r="N553" s="1333"/>
      <c r="O553" s="1333"/>
      <c r="P553" s="1333"/>
      <c r="Q553" s="1333"/>
      <c r="R553" s="1453"/>
      <c r="S553" s="1364"/>
      <c r="T553" s="1284"/>
      <c r="U553" s="1333"/>
      <c r="V553" s="1333"/>
      <c r="W553" s="1333"/>
      <c r="X553" s="1333"/>
      <c r="Y553" s="1333"/>
      <c r="Z553" s="1333"/>
      <c r="AA553" s="1333"/>
      <c r="AB553" s="1333"/>
      <c r="AC553" s="1333"/>
      <c r="AD553" s="1333"/>
      <c r="AE553" s="1333"/>
      <c r="AF553" s="1333"/>
      <c r="AG553" s="1333"/>
      <c r="AH553" s="1333"/>
      <c r="AI553" s="1333"/>
      <c r="AJ553" s="1333"/>
    </row>
    <row r="554" spans="1:50" ht="18.75" customHeight="1" x14ac:dyDescent="0.25">
      <c r="A554" s="2335"/>
      <c r="B554" s="125"/>
      <c r="C554" s="943"/>
      <c r="D554" s="295"/>
      <c r="E554" s="297"/>
      <c r="F554" s="297"/>
      <c r="G554" s="565"/>
      <c r="H554" s="576"/>
      <c r="I554" s="552"/>
      <c r="J554" s="17" t="str">
        <f>IF('C-Design&amp;Const'!AK554="","",'C-Design&amp;Const'!AK554)</f>
        <v/>
      </c>
      <c r="L554" s="1410" t="str">
        <f t="shared" si="52"/>
        <v/>
      </c>
      <c r="M554" s="1333"/>
      <c r="N554" s="1333"/>
      <c r="O554" s="1333"/>
      <c r="P554" s="1333"/>
      <c r="Q554" s="1333"/>
      <c r="R554" s="1453"/>
      <c r="S554" s="1364"/>
      <c r="T554" s="1284"/>
      <c r="U554" s="1333"/>
      <c r="V554" s="1333"/>
      <c r="W554" s="1333"/>
      <c r="X554" s="1333"/>
      <c r="Y554" s="1333"/>
      <c r="Z554" s="1333"/>
      <c r="AA554" s="1333"/>
      <c r="AB554" s="1333"/>
      <c r="AC554" s="1333"/>
      <c r="AD554" s="1333"/>
      <c r="AE554" s="1333"/>
      <c r="AF554" s="1333"/>
      <c r="AG554" s="1333"/>
      <c r="AH554" s="1333"/>
      <c r="AI554" s="1333"/>
      <c r="AJ554" s="1333"/>
    </row>
    <row r="555" spans="1:50" ht="21" hidden="1" customHeight="1" x14ac:dyDescent="0.25">
      <c r="A555" s="2321" t="s">
        <v>265</v>
      </c>
      <c r="B555" s="125"/>
      <c r="C555" s="954"/>
      <c r="D555" s="308" t="s">
        <v>147</v>
      </c>
      <c r="E555" s="540"/>
      <c r="F555" s="540"/>
      <c r="G555" s="849"/>
      <c r="H555" s="850"/>
      <c r="I555" s="552"/>
      <c r="J555" s="17" t="str">
        <f>IF('C-Design&amp;Const'!AK555="","",'C-Design&amp;Const'!AK555)</f>
        <v/>
      </c>
      <c r="L555" s="1410" t="str">
        <f t="shared" si="52"/>
        <v/>
      </c>
      <c r="M555" s="1333"/>
      <c r="N555" s="1333"/>
      <c r="O555" s="1333"/>
      <c r="P555" s="1333"/>
      <c r="Q555" s="1333"/>
      <c r="R555" s="1453"/>
      <c r="S555" s="1364"/>
      <c r="T555" s="1284"/>
      <c r="U555" s="1333"/>
      <c r="V555" s="1333"/>
      <c r="W555" s="1333"/>
      <c r="X555" s="1333"/>
      <c r="Y555" s="1333"/>
      <c r="Z555" s="1333"/>
      <c r="AA555" s="1333"/>
      <c r="AB555" s="1333"/>
      <c r="AC555" s="1333"/>
      <c r="AD555" s="1333"/>
      <c r="AE555" s="1333"/>
      <c r="AF555" s="1333"/>
      <c r="AG555" s="1333"/>
      <c r="AH555" s="1333"/>
      <c r="AI555" s="1333"/>
      <c r="AJ555" s="1333"/>
    </row>
    <row r="556" spans="1:50" ht="18.75" hidden="1" x14ac:dyDescent="0.25">
      <c r="A556" s="2322"/>
      <c r="B556" s="125"/>
      <c r="C556" s="921"/>
      <c r="D556" s="258"/>
      <c r="E556" s="21"/>
      <c r="F556" s="21"/>
      <c r="G556" s="565"/>
      <c r="H556" s="576"/>
      <c r="I556" s="552"/>
      <c r="J556" s="17" t="str">
        <f>IF('C-Design&amp;Const'!AK556="","",'C-Design&amp;Const'!AK556)</f>
        <v/>
      </c>
      <c r="L556" s="1410" t="str">
        <f t="shared" si="52"/>
        <v/>
      </c>
      <c r="M556" s="1333"/>
      <c r="N556" s="1333"/>
      <c r="O556" s="1333"/>
      <c r="P556" s="1333"/>
      <c r="Q556" s="1333"/>
      <c r="R556" s="1453"/>
      <c r="S556" s="1364"/>
      <c r="T556" s="1284"/>
      <c r="U556" s="1333"/>
      <c r="V556" s="1333"/>
      <c r="W556" s="1333"/>
      <c r="X556" s="1333"/>
      <c r="Y556" s="1333"/>
      <c r="Z556" s="1333"/>
      <c r="AA556" s="1333"/>
      <c r="AB556" s="1333"/>
      <c r="AC556" s="1333"/>
      <c r="AD556" s="1333"/>
      <c r="AE556" s="1333"/>
      <c r="AF556" s="1333"/>
      <c r="AG556" s="1333"/>
      <c r="AH556" s="1333"/>
      <c r="AI556" s="1333"/>
      <c r="AJ556" s="1333"/>
    </row>
    <row r="557" spans="1:50" ht="18.75" hidden="1" x14ac:dyDescent="0.25">
      <c r="A557" s="2322"/>
      <c r="B557" s="125"/>
      <c r="C557" s="945"/>
      <c r="D557" s="29" t="str">
        <f>IF('C-Design&amp;Const'!$U557="","",'C-Design&amp;Const'!$U557)</f>
        <v>N</v>
      </c>
      <c r="E557" s="31"/>
      <c r="F557" s="178"/>
      <c r="G557" s="550" t="str">
        <f>IF('C-Design&amp;Const'!Y557="","",'C-Design&amp;Const'!Y557)</f>
        <v>40.</v>
      </c>
      <c r="H557" s="555" t="str">
        <f>CONCATENATE('C-Design&amp;Const'!Z557,IF(D557="N"," Not Used In This Construction Phase",J557))</f>
        <v>Post Construction Activities Log Not Used In This Construction Phase</v>
      </c>
      <c r="I557" s="552"/>
      <c r="J557" s="17" t="str">
        <f>IF('C-Design&amp;Const'!AK557="","",'C-Design&amp;Const'!AK557)</f>
        <v/>
      </c>
      <c r="L557" s="1410" t="str">
        <f t="shared" si="52"/>
        <v/>
      </c>
      <c r="M557" s="1333"/>
      <c r="N557" s="1333"/>
      <c r="O557" s="1333"/>
      <c r="P557" s="1333"/>
      <c r="Q557" s="1333"/>
      <c r="R557" s="1453"/>
      <c r="S557" s="1364"/>
      <c r="T557" s="1284"/>
      <c r="U557" s="1333"/>
      <c r="V557" s="1333"/>
      <c r="W557" s="1333"/>
      <c r="X557" s="1333"/>
      <c r="Y557" s="1333"/>
      <c r="Z557" s="1333"/>
      <c r="AA557" s="1333"/>
      <c r="AB557" s="1333"/>
      <c r="AC557" s="1333"/>
      <c r="AD557" s="1333"/>
      <c r="AE557" s="1333"/>
      <c r="AF557" s="1333"/>
      <c r="AG557" s="1333"/>
      <c r="AH557" s="1333"/>
      <c r="AI557" s="1333"/>
      <c r="AJ557" s="1333"/>
    </row>
    <row r="558" spans="1:50" ht="18.75" hidden="1" x14ac:dyDescent="0.25">
      <c r="A558" s="2322"/>
      <c r="B558" s="125"/>
      <c r="C558" s="921"/>
      <c r="D558" s="258"/>
      <c r="E558" s="21"/>
      <c r="F558" s="21"/>
      <c r="G558" s="1821"/>
      <c r="H558" s="576"/>
      <c r="I558" s="552"/>
      <c r="J558" s="17" t="str">
        <f>IF('C-Design&amp;Const'!AK558="","",'C-Design&amp;Const'!AK558)</f>
        <v/>
      </c>
      <c r="L558" s="1410" t="str">
        <f t="shared" si="52"/>
        <v/>
      </c>
      <c r="M558" s="1333"/>
      <c r="N558" s="1333"/>
      <c r="O558" s="1333"/>
      <c r="P558" s="1333"/>
      <c r="Q558" s="1333"/>
      <c r="R558" s="1453"/>
      <c r="S558" s="1364"/>
      <c r="T558" s="1284"/>
      <c r="U558" s="1333"/>
      <c r="V558" s="1333"/>
      <c r="W558" s="1333"/>
      <c r="X558" s="1333"/>
      <c r="Y558" s="1333"/>
      <c r="Z558" s="1333"/>
      <c r="AA558" s="1333"/>
      <c r="AB558" s="1333"/>
      <c r="AC558" s="1333"/>
      <c r="AD558" s="1333"/>
      <c r="AE558" s="1333"/>
      <c r="AF558" s="1333"/>
      <c r="AG558" s="1333"/>
      <c r="AH558" s="1333"/>
      <c r="AI558" s="1333"/>
      <c r="AJ558" s="1333"/>
    </row>
    <row r="559" spans="1:50" ht="37.5" hidden="1" x14ac:dyDescent="0.25">
      <c r="A559" s="2322"/>
      <c r="B559" s="125"/>
      <c r="C559" s="945"/>
      <c r="D559" s="29" t="str">
        <f>IF('C-Design&amp;Const'!$U559="","",'C-Design&amp;Const'!$U559)</f>
        <v>N</v>
      </c>
      <c r="E559" s="31"/>
      <c r="F559" s="178"/>
      <c r="G559" s="550" t="str">
        <f>IF('C-Design&amp;Const'!Y559="","",'C-Design&amp;Const'!Y559)</f>
        <v>41.</v>
      </c>
      <c r="H559" s="555" t="str">
        <f>CONCATENATE('C-Design&amp;Const'!Z559,IF(D559="N"," Not Used In This Construction Phase",J559))</f>
        <v>Log of Equipment with Settings Different than Manufacturer's Recommendations Not Used In This Construction Phase</v>
      </c>
      <c r="I559" s="552"/>
      <c r="J559" s="17" t="str">
        <f>IF('C-Design&amp;Const'!AK559="","",'C-Design&amp;Const'!AK559)</f>
        <v/>
      </c>
      <c r="L559" s="1410" t="str">
        <f t="shared" si="52"/>
        <v/>
      </c>
      <c r="M559" s="1333"/>
      <c r="N559" s="1333"/>
      <c r="O559" s="1333"/>
      <c r="P559" s="1333"/>
      <c r="Q559" s="1333"/>
      <c r="R559" s="1453"/>
      <c r="S559" s="1364"/>
      <c r="T559" s="1284"/>
      <c r="U559" s="1333"/>
      <c r="V559" s="1333"/>
      <c r="W559" s="1333"/>
      <c r="X559" s="1333"/>
      <c r="Y559" s="1333"/>
      <c r="Z559" s="1333"/>
      <c r="AA559" s="1333"/>
      <c r="AB559" s="1333"/>
      <c r="AC559" s="1333"/>
      <c r="AD559" s="1333"/>
      <c r="AE559" s="1333"/>
      <c r="AF559" s="1333"/>
      <c r="AG559" s="1333"/>
      <c r="AH559" s="1333"/>
      <c r="AI559" s="1333"/>
      <c r="AJ559" s="1333"/>
    </row>
    <row r="560" spans="1:50" ht="18.75" hidden="1" x14ac:dyDescent="0.25">
      <c r="A560" s="2322"/>
      <c r="B560" s="125"/>
      <c r="C560" s="921"/>
      <c r="D560" s="258"/>
      <c r="E560" s="21"/>
      <c r="F560" s="21"/>
      <c r="G560" s="1821"/>
      <c r="H560" s="576"/>
      <c r="I560" s="552"/>
      <c r="J560" s="17" t="str">
        <f>IF('C-Design&amp;Const'!AK560="","",'C-Design&amp;Const'!AK560)</f>
        <v/>
      </c>
      <c r="L560" s="1410" t="str">
        <f t="shared" si="52"/>
        <v/>
      </c>
      <c r="M560" s="1333"/>
      <c r="N560" s="1333"/>
      <c r="O560" s="1333"/>
      <c r="P560" s="1333"/>
      <c r="Q560" s="1333"/>
      <c r="R560" s="1453"/>
      <c r="S560" s="1364"/>
      <c r="T560" s="1284"/>
      <c r="U560" s="1333"/>
      <c r="V560" s="1333"/>
      <c r="W560" s="1333"/>
      <c r="X560" s="1333"/>
      <c r="Y560" s="1333"/>
      <c r="Z560" s="1333"/>
      <c r="AA560" s="1333"/>
      <c r="AB560" s="1333"/>
      <c r="AC560" s="1333"/>
      <c r="AD560" s="1333"/>
      <c r="AE560" s="1333"/>
      <c r="AF560" s="1333"/>
      <c r="AG560" s="1333"/>
      <c r="AH560" s="1333"/>
      <c r="AI560" s="1333"/>
      <c r="AJ560" s="1333"/>
    </row>
    <row r="561" spans="1:51" ht="18.75" hidden="1" x14ac:dyDescent="0.25">
      <c r="A561" s="2322"/>
      <c r="B561" s="125"/>
      <c r="C561" s="945"/>
      <c r="D561" s="29" t="str">
        <f>IF('C-Design&amp;Const'!$U561="","",'C-Design&amp;Const'!$U561)</f>
        <v>N</v>
      </c>
      <c r="E561" s="31"/>
      <c r="F561" s="178"/>
      <c r="G561" s="550" t="str">
        <f>IF('C-Design&amp;Const'!Y561="","",'C-Design&amp;Const'!Y561)</f>
        <v>42.</v>
      </c>
      <c r="H561" s="555" t="str">
        <f>CONCATENATE('C-Design&amp;Const'!Z561,IF(D561="N"," Not Used In This Construction Phase",J561))</f>
        <v>Post Construction Report Not Used In This Construction Phase</v>
      </c>
      <c r="I561" s="552"/>
      <c r="J561" s="17" t="str">
        <f>IF('C-Design&amp;Const'!AK561="","",'C-Design&amp;Const'!AK561)</f>
        <v/>
      </c>
      <c r="L561" s="1410" t="str">
        <f t="shared" si="52"/>
        <v/>
      </c>
      <c r="M561" s="1333"/>
      <c r="N561" s="1333"/>
      <c r="O561" s="1333"/>
      <c r="P561" s="1333"/>
      <c r="Q561" s="1333"/>
      <c r="R561" s="1453"/>
      <c r="S561" s="1364"/>
      <c r="T561" s="1284"/>
      <c r="U561" s="1333"/>
      <c r="V561" s="1333"/>
      <c r="W561" s="1333"/>
      <c r="X561" s="1333"/>
      <c r="Y561" s="1333"/>
      <c r="Z561" s="1333"/>
      <c r="AA561" s="1333"/>
      <c r="AB561" s="1333"/>
      <c r="AC561" s="1333"/>
      <c r="AD561" s="1333"/>
      <c r="AE561" s="1333"/>
      <c r="AF561" s="1333"/>
      <c r="AG561" s="1333"/>
      <c r="AH561" s="1333"/>
      <c r="AI561" s="1333"/>
      <c r="AJ561" s="1333"/>
    </row>
    <row r="562" spans="1:51" ht="18.75" hidden="1" x14ac:dyDescent="0.25">
      <c r="A562" s="2322"/>
      <c r="B562" s="125"/>
      <c r="C562" s="921"/>
      <c r="D562" s="258"/>
      <c r="E562" s="21"/>
      <c r="F562" s="21"/>
      <c r="G562" s="1821"/>
      <c r="H562" s="576"/>
      <c r="I562" s="552"/>
      <c r="J562" s="17" t="str">
        <f>IF('C-Design&amp;Const'!AK562="","",'C-Design&amp;Const'!AK562)</f>
        <v/>
      </c>
      <c r="L562" s="1410" t="str">
        <f t="shared" si="52"/>
        <v/>
      </c>
      <c r="M562" s="1333"/>
      <c r="N562" s="1333"/>
      <c r="O562" s="1333"/>
      <c r="P562" s="1333"/>
      <c r="Q562" s="1333"/>
      <c r="R562" s="1453"/>
      <c r="S562" s="1364"/>
      <c r="T562" s="1284"/>
      <c r="U562" s="1333"/>
      <c r="V562" s="1333"/>
      <c r="W562" s="1333"/>
      <c r="X562" s="1333"/>
      <c r="Y562" s="1333"/>
      <c r="Z562" s="1333"/>
      <c r="AA562" s="1333"/>
      <c r="AB562" s="1333"/>
      <c r="AC562" s="1333"/>
      <c r="AD562" s="1333"/>
      <c r="AE562" s="1333"/>
      <c r="AF562" s="1333"/>
      <c r="AG562" s="1333"/>
      <c r="AH562" s="1333"/>
      <c r="AI562" s="1333"/>
      <c r="AJ562" s="1333"/>
    </row>
    <row r="563" spans="1:51" ht="18.75" hidden="1" x14ac:dyDescent="0.25">
      <c r="A563" s="2322"/>
      <c r="B563" s="125"/>
      <c r="C563" s="945"/>
      <c r="D563" s="29" t="str">
        <f>IF('C-Design&amp;Const'!$U563="","",'C-Design&amp;Const'!$U563)</f>
        <v>N</v>
      </c>
      <c r="E563" s="31"/>
      <c r="F563" s="178"/>
      <c r="G563" s="550" t="str">
        <f>IF('C-Design&amp;Const'!Y563="","",'C-Design&amp;Const'!Y563)</f>
        <v>43.</v>
      </c>
      <c r="H563" s="555" t="str">
        <f>CONCATENATE('C-Design&amp;Const'!Z563,IF(D563="N"," Not Used In This Construction Phase",J563))</f>
        <v>Final Completion Certification Not Used In This Construction Phase</v>
      </c>
      <c r="I563" s="552"/>
      <c r="J563" s="17" t="str">
        <f>IF('C-Design&amp;Const'!AK563="","",'C-Design&amp;Const'!AK563)</f>
        <v/>
      </c>
      <c r="L563" s="1410" t="str">
        <f t="shared" si="52"/>
        <v/>
      </c>
      <c r="M563" s="1333"/>
      <c r="N563" s="1333"/>
      <c r="O563" s="1333"/>
      <c r="P563" s="1333"/>
      <c r="Q563" s="1333"/>
      <c r="R563" s="1453"/>
      <c r="S563" s="1364"/>
      <c r="T563" s="1284"/>
      <c r="U563" s="1333"/>
      <c r="V563" s="1333"/>
      <c r="W563" s="1333"/>
      <c r="X563" s="1333"/>
      <c r="Y563" s="1333"/>
      <c r="Z563" s="1333"/>
      <c r="AA563" s="1333"/>
      <c r="AB563" s="1333"/>
      <c r="AC563" s="1333"/>
      <c r="AD563" s="1333"/>
      <c r="AE563" s="1333"/>
      <c r="AF563" s="1333"/>
      <c r="AG563" s="1333"/>
      <c r="AH563" s="1333"/>
      <c r="AI563" s="1333"/>
      <c r="AJ563" s="1333"/>
    </row>
    <row r="564" spans="1:51" s="30" customFormat="1" ht="18.75" hidden="1" x14ac:dyDescent="0.25">
      <c r="A564" s="2323"/>
      <c r="B564" s="191"/>
      <c r="C564" s="921"/>
      <c r="D564" s="349"/>
      <c r="E564" s="350"/>
      <c r="F564" s="351"/>
      <c r="G564" s="352"/>
      <c r="H564" s="353"/>
      <c r="I564" s="552"/>
      <c r="J564" s="181" t="str">
        <f>IF('C-Design&amp;Const'!AK564="","",'C-Design&amp;Const'!AK564)</f>
        <v/>
      </c>
      <c r="L564" s="1410" t="str">
        <f t="shared" si="52"/>
        <v/>
      </c>
      <c r="M564" s="1382"/>
      <c r="N564" s="1382"/>
      <c r="O564" s="1382"/>
      <c r="P564" s="1382"/>
      <c r="Q564" s="1382"/>
      <c r="R564" s="1382"/>
      <c r="S564" s="1382"/>
      <c r="T564" s="1382"/>
      <c r="U564" s="1382"/>
      <c r="V564" s="1382"/>
      <c r="W564" s="1382"/>
      <c r="X564" s="1382"/>
      <c r="Y564" s="1382"/>
      <c r="Z564" s="1382"/>
      <c r="AA564" s="1382"/>
      <c r="AB564" s="1382"/>
      <c r="AC564" s="1382"/>
      <c r="AD564" s="1382"/>
      <c r="AE564" s="1382"/>
      <c r="AF564" s="1382"/>
      <c r="AG564" s="1382"/>
      <c r="AH564" s="1382"/>
      <c r="AI564" s="1382"/>
      <c r="AJ564" s="1382"/>
      <c r="AK564" s="181"/>
      <c r="AL564" s="181"/>
      <c r="AM564" s="181"/>
      <c r="AN564" s="181"/>
      <c r="AO564" s="181"/>
      <c r="AP564" s="181"/>
      <c r="AQ564" s="181"/>
      <c r="AR564" s="181"/>
      <c r="AS564" s="181"/>
      <c r="AT564" s="181"/>
      <c r="AU564" s="181"/>
      <c r="AV564" s="181"/>
      <c r="AW564" s="181"/>
    </row>
    <row r="565" spans="1:51" s="30" customFormat="1" ht="18.75" x14ac:dyDescent="0.25">
      <c r="A565" s="1407"/>
      <c r="B565" s="1273"/>
      <c r="C565" s="1547"/>
      <c r="D565" s="1364"/>
      <c r="E565" s="1364"/>
      <c r="F565" s="1364"/>
      <c r="G565" s="1548"/>
      <c r="H565" s="1549"/>
      <c r="I565" s="1469"/>
      <c r="J565" s="1382"/>
      <c r="K565" s="1574"/>
      <c r="L565" s="1410" t="str">
        <f t="shared" si="52"/>
        <v/>
      </c>
      <c r="M565" s="1382"/>
      <c r="N565" s="1382"/>
      <c r="O565" s="1382"/>
      <c r="P565" s="1382"/>
      <c r="Q565" s="1382"/>
      <c r="R565" s="1382"/>
      <c r="S565" s="1382"/>
      <c r="T565" s="1382"/>
      <c r="U565" s="1382"/>
      <c r="V565" s="1382"/>
      <c r="W565" s="1382"/>
      <c r="X565" s="1382"/>
      <c r="Y565" s="1382"/>
      <c r="Z565" s="1382"/>
      <c r="AA565" s="1382"/>
      <c r="AB565" s="1382"/>
      <c r="AC565" s="1382"/>
      <c r="AD565" s="1382"/>
      <c r="AE565" s="1382"/>
      <c r="AF565" s="1382"/>
      <c r="AG565" s="1382"/>
      <c r="AH565" s="1382"/>
      <c r="AI565" s="1382"/>
      <c r="AJ565" s="1382"/>
      <c r="AK565" s="181"/>
      <c r="AL565" s="181"/>
      <c r="AM565" s="181"/>
      <c r="AN565" s="181"/>
      <c r="AO565" s="181"/>
      <c r="AP565" s="181"/>
      <c r="AQ565" s="181"/>
      <c r="AR565" s="181"/>
      <c r="AS565" s="181"/>
      <c r="AT565" s="181"/>
      <c r="AU565" s="181"/>
      <c r="AV565" s="181"/>
      <c r="AW565" s="181"/>
    </row>
    <row r="566" spans="1:51" s="30" customFormat="1" ht="15" customHeight="1" x14ac:dyDescent="0.25">
      <c r="A566" s="1407"/>
      <c r="B566" s="1273"/>
      <c r="C566" s="1284"/>
      <c r="D566" s="1364"/>
      <c r="E566" s="1364"/>
      <c r="F566" s="1364"/>
      <c r="G566" s="1548"/>
      <c r="H566" s="1549"/>
      <c r="I566" s="1469"/>
      <c r="J566" s="1382"/>
      <c r="K566" s="1574"/>
      <c r="L566" s="1471"/>
      <c r="M566" s="1382"/>
      <c r="N566" s="1382"/>
      <c r="O566" s="1382"/>
      <c r="P566" s="1382"/>
      <c r="Q566" s="1382"/>
      <c r="R566" s="1382"/>
      <c r="S566" s="1382"/>
      <c r="T566" s="1382"/>
      <c r="U566" s="1382"/>
      <c r="V566" s="1382"/>
      <c r="W566" s="1382"/>
      <c r="X566" s="1382"/>
      <c r="Y566" s="1382"/>
      <c r="Z566" s="1382"/>
      <c r="AA566" s="1382"/>
      <c r="AB566" s="1382"/>
      <c r="AC566" s="1382"/>
      <c r="AD566" s="1382"/>
      <c r="AE566" s="1382"/>
      <c r="AF566" s="1382"/>
      <c r="AG566" s="1382"/>
      <c r="AH566" s="1382"/>
      <c r="AI566" s="1382"/>
      <c r="AJ566" s="1382"/>
      <c r="AK566" s="181"/>
      <c r="AL566" s="181"/>
      <c r="AM566" s="181"/>
      <c r="AN566" s="181"/>
      <c r="AO566" s="181"/>
      <c r="AP566" s="181"/>
      <c r="AQ566" s="181"/>
      <c r="AR566" s="181"/>
      <c r="AS566" s="181"/>
      <c r="AT566" s="181"/>
      <c r="AU566" s="181"/>
      <c r="AV566" s="181"/>
      <c r="AW566" s="181"/>
    </row>
    <row r="567" spans="1:51" s="30" customFormat="1" ht="15" customHeight="1" x14ac:dyDescent="0.25">
      <c r="A567" s="1407"/>
      <c r="B567" s="1273"/>
      <c r="C567" s="1284"/>
      <c r="D567" s="1364"/>
      <c r="E567" s="1364"/>
      <c r="F567" s="1364"/>
      <c r="G567" s="1499"/>
      <c r="H567" s="1333"/>
      <c r="I567" s="1469"/>
      <c r="J567" s="1382"/>
      <c r="K567" s="1574"/>
      <c r="L567" s="1472"/>
      <c r="M567" s="1382"/>
      <c r="N567" s="1382"/>
      <c r="O567" s="1382"/>
      <c r="P567" s="1382"/>
      <c r="Q567" s="1382"/>
      <c r="R567" s="1382"/>
      <c r="S567" s="1382"/>
      <c r="T567" s="1382"/>
      <c r="U567" s="1382"/>
      <c r="V567" s="1382"/>
      <c r="W567" s="1382"/>
      <c r="X567" s="1382"/>
      <c r="Y567" s="1382"/>
      <c r="Z567" s="1382"/>
      <c r="AA567" s="1382"/>
      <c r="AB567" s="1382"/>
      <c r="AC567" s="1382"/>
      <c r="AD567" s="1382"/>
      <c r="AE567" s="1382"/>
      <c r="AF567" s="1382"/>
      <c r="AG567" s="1382"/>
      <c r="AH567" s="1382"/>
      <c r="AI567" s="1382"/>
      <c r="AJ567" s="1382"/>
      <c r="AK567" s="181"/>
      <c r="AL567" s="181"/>
      <c r="AM567" s="181"/>
      <c r="AN567" s="181"/>
      <c r="AO567" s="181"/>
      <c r="AP567" s="181"/>
      <c r="AQ567" s="181"/>
      <c r="AR567" s="181"/>
      <c r="AS567" s="181"/>
      <c r="AT567" s="181"/>
      <c r="AU567" s="181"/>
      <c r="AV567" s="181"/>
      <c r="AW567" s="181"/>
    </row>
    <row r="568" spans="1:51" ht="12" customHeight="1" x14ac:dyDescent="0.3">
      <c r="A568" s="1331"/>
      <c r="B568" s="1405"/>
      <c r="C568" s="1497"/>
      <c r="D568" s="1474"/>
      <c r="E568" s="1474"/>
      <c r="F568" s="1474"/>
      <c r="G568" s="1498"/>
      <c r="H568" s="1369"/>
      <c r="I568" s="1406"/>
      <c r="J568" s="1333"/>
      <c r="K568" s="1550"/>
      <c r="L568" s="1333"/>
      <c r="M568" s="1333"/>
      <c r="N568" s="1333"/>
      <c r="O568" s="1333"/>
      <c r="P568" s="1333"/>
      <c r="Q568" s="1333"/>
      <c r="R568" s="1453"/>
      <c r="S568" s="1364"/>
      <c r="T568" s="1284"/>
      <c r="U568" s="1333"/>
      <c r="V568" s="1333"/>
      <c r="W568" s="1333"/>
      <c r="X568" s="1333"/>
      <c r="Y568" s="1333"/>
      <c r="Z568" s="1333"/>
      <c r="AA568" s="1333"/>
      <c r="AB568" s="1333"/>
      <c r="AC568" s="1333"/>
      <c r="AD568" s="1333"/>
      <c r="AE568" s="1333"/>
      <c r="AF568" s="1333"/>
      <c r="AG568" s="1333"/>
      <c r="AH568" s="1333"/>
      <c r="AI568" s="1333"/>
      <c r="AJ568" s="1333"/>
    </row>
    <row r="569" spans="1:51" ht="18.75" x14ac:dyDescent="0.3">
      <c r="A569" s="1370"/>
      <c r="B569" s="1285"/>
      <c r="C569" s="1284"/>
      <c r="D569" s="1364"/>
      <c r="E569" s="1364"/>
      <c r="F569" s="1364"/>
      <c r="G569" s="1499"/>
      <c r="H569" s="1333"/>
      <c r="I569" s="1467"/>
      <c r="J569" s="1374"/>
      <c r="K569" s="1575"/>
      <c r="L569" s="1374"/>
      <c r="M569" s="1374"/>
      <c r="N569" s="1374"/>
      <c r="O569" s="1333"/>
      <c r="P569" s="1333"/>
      <c r="Q569" s="1333"/>
      <c r="R569" s="1453"/>
      <c r="S569" s="1364"/>
      <c r="T569" s="1284"/>
      <c r="U569" s="1333"/>
      <c r="V569" s="1333"/>
      <c r="W569" s="1333"/>
      <c r="X569" s="1333"/>
      <c r="Y569" s="1333"/>
      <c r="Z569" s="1333"/>
      <c r="AA569" s="1333"/>
      <c r="AB569" s="1333"/>
      <c r="AC569" s="1333"/>
      <c r="AD569" s="1333"/>
      <c r="AE569" s="1333"/>
      <c r="AF569" s="1333"/>
      <c r="AG569" s="1333"/>
      <c r="AH569" s="1333"/>
      <c r="AI569" s="1333"/>
      <c r="AJ569" s="1333"/>
    </row>
    <row r="570" spans="1:51" ht="18.75" x14ac:dyDescent="0.3">
      <c r="A570" s="1342"/>
      <c r="B570" s="1285"/>
      <c r="C570" s="1284"/>
      <c r="D570" s="1364"/>
      <c r="E570" s="1364"/>
      <c r="F570" s="1364"/>
      <c r="G570" s="1499"/>
      <c r="H570" s="1333"/>
      <c r="I570" s="1467"/>
      <c r="J570" s="1351"/>
      <c r="K570" s="1550"/>
      <c r="L570" s="1351"/>
      <c r="M570" s="1351"/>
      <c r="N570" s="1351"/>
      <c r="O570" s="1333"/>
      <c r="P570" s="1333"/>
      <c r="Q570" s="1333"/>
      <c r="R570" s="1453"/>
      <c r="S570" s="1364"/>
      <c r="T570" s="1284"/>
      <c r="U570" s="1333"/>
      <c r="V570" s="1333"/>
      <c r="W570" s="1333"/>
      <c r="X570" s="1333"/>
      <c r="Y570" s="1333"/>
      <c r="Z570" s="1333"/>
      <c r="AA570" s="1333"/>
      <c r="AB570" s="1333"/>
      <c r="AC570" s="1333"/>
      <c r="AD570" s="1333"/>
      <c r="AE570" s="1333"/>
      <c r="AF570" s="1333"/>
      <c r="AG570" s="1333"/>
      <c r="AH570" s="1333"/>
      <c r="AI570" s="1333"/>
      <c r="AJ570" s="1333"/>
    </row>
    <row r="571" spans="1:51" ht="18.75" x14ac:dyDescent="0.3">
      <c r="A571" s="1342"/>
      <c r="B571" s="1285"/>
      <c r="C571" s="1287" t="str">
        <f ca="1">CONCATENATE("UIUC Template Change Log hidden below for TAB [",MID(CELL("filename",C15),FIND("]",CELL("filename",C15))+1,255),"] :")</f>
        <v>UIUC Template Change Log hidden below for TAB [07-CLOSEOUT] :</v>
      </c>
      <c r="D571" s="1364"/>
      <c r="E571" s="1364"/>
      <c r="F571" s="1364"/>
      <c r="G571" s="1499"/>
      <c r="H571" s="1333"/>
      <c r="I571" s="1467"/>
      <c r="J571" s="1351"/>
      <c r="K571" s="1550"/>
      <c r="L571" s="1351"/>
      <c r="M571" s="1351"/>
      <c r="N571" s="1333"/>
      <c r="O571" s="1333"/>
      <c r="P571" s="1562"/>
      <c r="Q571" s="1562"/>
      <c r="R571" s="1562"/>
      <c r="S571" s="1563"/>
      <c r="T571" s="1564"/>
      <c r="U571" s="1333"/>
      <c r="V571" s="1333"/>
      <c r="W571" s="1333"/>
      <c r="X571" s="1333"/>
      <c r="Y571" s="1333"/>
      <c r="Z571" s="1333"/>
      <c r="AA571" s="1333"/>
      <c r="AB571" s="1333"/>
      <c r="AC571" s="1333"/>
      <c r="AD571" s="1333"/>
      <c r="AE571" s="1333"/>
      <c r="AF571" s="1333"/>
      <c r="AG571" s="1333"/>
      <c r="AH571" s="1333"/>
      <c r="AI571" s="1333"/>
      <c r="AJ571" s="1333"/>
    </row>
    <row r="572" spans="1:51" ht="18.75" x14ac:dyDescent="0.25">
      <c r="A572" s="1517" t="str">
        <f>IF(COUNTIF('04 - 95% CD'!D538:G538,"Y")&gt;0,"Y",IF(COUNTIF('04 - 95% CD'!D538:G538,"N"),"N",""))</f>
        <v/>
      </c>
      <c r="B572" s="1273"/>
      <c r="C572" s="1284"/>
      <c r="D572" s="1364"/>
      <c r="E572" s="1364"/>
      <c r="F572" s="1364"/>
      <c r="G572" s="1499"/>
      <c r="H572" s="1333"/>
      <c r="I572" s="1469"/>
      <c r="J572" s="1382"/>
      <c r="K572" s="1528" t="str">
        <f t="shared" ref="K572" si="54">IF((COUNTIF(D572:G572,"Y")=COUNTIF(A572,"Y")),"match","no 95% match")</f>
        <v>match</v>
      </c>
      <c r="L572" s="1391"/>
      <c r="M572" s="1333"/>
      <c r="N572" s="1333"/>
      <c r="O572" s="1333"/>
      <c r="P572" s="1562"/>
      <c r="Q572" s="1562"/>
      <c r="R572" s="1562"/>
      <c r="S572" s="1563"/>
      <c r="T572" s="1564"/>
      <c r="U572" s="1284"/>
      <c r="V572" s="1284"/>
      <c r="W572" s="1333"/>
      <c r="X572" s="1333"/>
      <c r="Y572" s="1333"/>
      <c r="Z572" s="1333"/>
      <c r="AA572" s="1333"/>
      <c r="AB572" s="1333"/>
      <c r="AC572" s="1333"/>
      <c r="AD572" s="1333"/>
      <c r="AE572" s="1333"/>
      <c r="AF572" s="1333"/>
      <c r="AG572" s="1333"/>
      <c r="AH572" s="1333"/>
      <c r="AI572" s="1333"/>
      <c r="AJ572" s="1333"/>
      <c r="AX572" s="17"/>
      <c r="AY572" s="17"/>
    </row>
    <row r="573" spans="1:51" s="30" customFormat="1" ht="15" hidden="1" customHeight="1" x14ac:dyDescent="0.25">
      <c r="A573" s="1517" t="str">
        <f>IF(COUNTIF('04 - 95% CD'!D539:G539,"Y")&gt;0,"Y",IF(COUNTIF('04 - 95% CD'!D539:G539,"N"),"N",""))</f>
        <v/>
      </c>
      <c r="B573" s="1273"/>
      <c r="C573" s="2062">
        <v>42486</v>
      </c>
      <c r="D573" s="2062"/>
      <c r="E573" s="2062"/>
      <c r="F573" s="1297"/>
      <c r="G573" s="1297" t="s">
        <v>639</v>
      </c>
      <c r="H573" s="1333"/>
      <c r="I573" s="1469"/>
      <c r="J573" s="1382"/>
      <c r="K573" s="1528" t="str">
        <f t="shared" ref="K573" si="55">IF((COUNTIF(D573:G573,"Y")=COUNTIF(A573,"Y")),"match","no 95% match")</f>
        <v>match</v>
      </c>
      <c r="L573" s="1391"/>
      <c r="M573" s="1382"/>
      <c r="N573" s="1382"/>
      <c r="O573" s="1382"/>
      <c r="P573" s="1382"/>
      <c r="Q573" s="1382"/>
      <c r="R573" s="1382"/>
      <c r="S573" s="1382"/>
      <c r="T573" s="1382"/>
      <c r="U573" s="1382"/>
      <c r="V573" s="1382"/>
      <c r="W573" s="1382"/>
      <c r="X573" s="1382"/>
      <c r="Y573" s="1382"/>
      <c r="Z573" s="1382"/>
      <c r="AA573" s="1382"/>
      <c r="AB573" s="1382"/>
      <c r="AC573" s="1382"/>
      <c r="AD573" s="1382"/>
      <c r="AE573" s="1382"/>
      <c r="AF573" s="1382"/>
      <c r="AG573" s="1382"/>
      <c r="AH573" s="1382"/>
      <c r="AI573" s="1382"/>
      <c r="AJ573" s="1382"/>
      <c r="AK573" s="181"/>
      <c r="AL573" s="181"/>
      <c r="AM573" s="181"/>
      <c r="AN573" s="181"/>
      <c r="AO573" s="181"/>
      <c r="AP573" s="181"/>
      <c r="AQ573" s="181"/>
      <c r="AR573" s="181"/>
      <c r="AS573" s="181"/>
      <c r="AT573" s="181"/>
      <c r="AU573" s="181"/>
      <c r="AV573" s="181"/>
      <c r="AW573" s="181"/>
    </row>
    <row r="574" spans="1:51" ht="15" hidden="1" customHeight="1" x14ac:dyDescent="0.3">
      <c r="A574" s="1331"/>
      <c r="B574" s="1284"/>
      <c r="C574" s="2062"/>
      <c r="D574" s="2062"/>
      <c r="E574" s="2062"/>
      <c r="F574" s="1297"/>
      <c r="G574" s="1297" t="s">
        <v>675</v>
      </c>
      <c r="H574" s="1333"/>
      <c r="I574" s="1333"/>
      <c r="J574" s="1333"/>
      <c r="K574" s="1550"/>
      <c r="L574" s="1333"/>
      <c r="M574" s="1333"/>
      <c r="N574" s="1333"/>
      <c r="O574" s="1333"/>
      <c r="P574" s="1562"/>
      <c r="Q574" s="1562"/>
      <c r="R574" s="1562"/>
      <c r="S574" s="1563"/>
      <c r="T574" s="1564"/>
      <c r="U574" s="1284"/>
      <c r="V574" s="1284"/>
      <c r="W574" s="1333"/>
      <c r="X574" s="1333"/>
      <c r="Y574" s="1333"/>
      <c r="Z574" s="1333"/>
      <c r="AA574" s="1333"/>
      <c r="AB574" s="1333"/>
      <c r="AC574" s="1333"/>
      <c r="AD574" s="1333"/>
      <c r="AE574" s="1333"/>
      <c r="AF574" s="1333"/>
      <c r="AG574" s="1333"/>
      <c r="AH574" s="1333"/>
      <c r="AI574" s="1333"/>
      <c r="AJ574" s="1333"/>
      <c r="AX574" s="17"/>
      <c r="AY574" s="17"/>
    </row>
    <row r="575" spans="1:51" ht="15" hidden="1" customHeight="1" x14ac:dyDescent="0.3">
      <c r="A575" s="1331"/>
      <c r="B575" s="1284"/>
      <c r="C575" s="1284"/>
      <c r="D575" s="1364"/>
      <c r="E575" s="1364"/>
      <c r="F575" s="1364"/>
      <c r="G575" s="1499"/>
      <c r="H575" s="1333"/>
      <c r="I575" s="1333"/>
      <c r="J575" s="1333"/>
      <c r="K575" s="1550"/>
      <c r="L575" s="1333"/>
      <c r="M575" s="1333"/>
      <c r="N575" s="1333"/>
      <c r="O575" s="1333"/>
      <c r="P575" s="1562"/>
      <c r="Q575" s="1562"/>
      <c r="R575" s="1562"/>
      <c r="S575" s="1563"/>
      <c r="T575" s="1564"/>
      <c r="U575" s="1284"/>
      <c r="V575" s="1284"/>
      <c r="W575" s="1333"/>
      <c r="X575" s="1333"/>
      <c r="Y575" s="1333"/>
      <c r="Z575" s="1333"/>
      <c r="AA575" s="1333"/>
      <c r="AB575" s="1333"/>
      <c r="AC575" s="1333"/>
      <c r="AD575" s="1333"/>
      <c r="AE575" s="1333"/>
      <c r="AF575" s="1333"/>
      <c r="AG575" s="1333"/>
      <c r="AH575" s="1333"/>
      <c r="AI575" s="1333"/>
      <c r="AJ575" s="1333"/>
      <c r="AX575" s="17"/>
      <c r="AY575" s="17"/>
    </row>
    <row r="576" spans="1:51" ht="15" hidden="1" customHeight="1" x14ac:dyDescent="0.3">
      <c r="A576" s="1331"/>
      <c r="B576" s="1284"/>
      <c r="C576" s="2062">
        <v>42490</v>
      </c>
      <c r="D576" s="2062"/>
      <c r="E576" s="2062"/>
      <c r="F576" s="1297"/>
      <c r="G576" s="1297" t="s">
        <v>684</v>
      </c>
      <c r="H576" s="1333"/>
      <c r="I576" s="1333"/>
      <c r="J576" s="1333"/>
      <c r="K576" s="1550"/>
      <c r="L576" s="1333"/>
      <c r="M576" s="1333"/>
      <c r="N576" s="1333"/>
      <c r="O576" s="1333"/>
      <c r="P576" s="1562"/>
      <c r="Q576" s="1562"/>
      <c r="R576" s="1562"/>
      <c r="S576" s="1563"/>
      <c r="T576" s="1564"/>
      <c r="U576" s="1284"/>
      <c r="V576" s="1284"/>
      <c r="W576" s="1333"/>
      <c r="X576" s="1333"/>
      <c r="Y576" s="1333"/>
      <c r="Z576" s="1333"/>
      <c r="AA576" s="1333"/>
      <c r="AB576" s="1333"/>
      <c r="AC576" s="1333"/>
      <c r="AD576" s="1333"/>
      <c r="AE576" s="1333"/>
      <c r="AF576" s="1333"/>
      <c r="AG576" s="1333"/>
      <c r="AH576" s="1333"/>
      <c r="AI576" s="1333"/>
      <c r="AJ576" s="1333"/>
      <c r="AX576" s="17"/>
      <c r="AY576" s="17"/>
    </row>
    <row r="577" spans="1:51" ht="15" hidden="1" customHeight="1" x14ac:dyDescent="0.3">
      <c r="A577" s="1331"/>
      <c r="B577" s="1284"/>
      <c r="C577" s="1291"/>
      <c r="D577" s="1284"/>
      <c r="E577" s="1303"/>
      <c r="F577" s="1364"/>
      <c r="G577" s="1291" t="s">
        <v>688</v>
      </c>
      <c r="H577" s="1333"/>
      <c r="I577" s="1333"/>
      <c r="J577" s="1333"/>
      <c r="K577" s="1550"/>
      <c r="L577" s="1333"/>
      <c r="M577" s="1333"/>
      <c r="N577" s="1333"/>
      <c r="O577" s="1333"/>
      <c r="P577" s="1562"/>
      <c r="Q577" s="1562"/>
      <c r="R577" s="1562"/>
      <c r="S577" s="1563"/>
      <c r="T577" s="1564"/>
      <c r="U577" s="1488"/>
      <c r="V577" s="1284"/>
      <c r="W577" s="1333"/>
      <c r="X577" s="1333"/>
      <c r="Y577" s="1333"/>
      <c r="Z577" s="1333"/>
      <c r="AA577" s="1333"/>
      <c r="AB577" s="1333"/>
      <c r="AC577" s="1333"/>
      <c r="AD577" s="1333"/>
      <c r="AE577" s="1333"/>
      <c r="AF577" s="1333"/>
      <c r="AG577" s="1333"/>
      <c r="AH577" s="1333"/>
      <c r="AI577" s="1333"/>
      <c r="AJ577" s="1333"/>
      <c r="AX577" s="17"/>
      <c r="AY577" s="17"/>
    </row>
    <row r="578" spans="1:51" ht="15" hidden="1" customHeight="1" x14ac:dyDescent="0.3">
      <c r="A578" s="1331"/>
      <c r="B578" s="1284"/>
      <c r="C578" s="1291"/>
      <c r="D578" s="1284"/>
      <c r="E578" s="1303"/>
      <c r="F578" s="1364"/>
      <c r="G578" s="1291" t="s">
        <v>689</v>
      </c>
      <c r="H578" s="1333"/>
      <c r="I578" s="1333"/>
      <c r="J578" s="1333"/>
      <c r="K578" s="1550"/>
      <c r="L578" s="1333"/>
      <c r="M578" s="1333"/>
      <c r="N578" s="1333"/>
      <c r="O578" s="1333"/>
      <c r="P578" s="1562"/>
      <c r="Q578" s="1562"/>
      <c r="R578" s="1562"/>
      <c r="S578" s="1563"/>
      <c r="T578" s="1564"/>
      <c r="U578" s="1284"/>
      <c r="V578" s="1284"/>
      <c r="W578" s="1333"/>
      <c r="X578" s="1333"/>
      <c r="Y578" s="1333"/>
      <c r="Z578" s="1333"/>
      <c r="AA578" s="1333"/>
      <c r="AB578" s="1333"/>
      <c r="AC578" s="1333"/>
      <c r="AD578" s="1333"/>
      <c r="AE578" s="1333"/>
      <c r="AF578" s="1333"/>
      <c r="AG578" s="1333"/>
      <c r="AH578" s="1333"/>
      <c r="AI578" s="1333"/>
      <c r="AJ578" s="1333"/>
      <c r="AX578" s="17"/>
      <c r="AY578" s="17"/>
    </row>
    <row r="579" spans="1:51" ht="15" hidden="1" customHeight="1" x14ac:dyDescent="0.3">
      <c r="A579" s="1331"/>
      <c r="B579" s="1284"/>
      <c r="C579" s="1291"/>
      <c r="D579" s="1284"/>
      <c r="E579" s="1291"/>
      <c r="F579" s="1284"/>
      <c r="G579" s="1499"/>
      <c r="H579" s="1333"/>
      <c r="I579" s="1333"/>
      <c r="J579" s="1333"/>
      <c r="K579" s="1550"/>
      <c r="L579" s="1333"/>
      <c r="M579" s="1333"/>
      <c r="N579" s="1333"/>
      <c r="O579" s="1333"/>
      <c r="P579" s="1562"/>
      <c r="Q579" s="1562"/>
      <c r="R579" s="1562"/>
      <c r="S579" s="1563"/>
      <c r="T579" s="1564"/>
      <c r="U579" s="1284"/>
      <c r="V579" s="1284"/>
      <c r="W579" s="1333"/>
      <c r="X579" s="1333"/>
      <c r="Y579" s="1333"/>
      <c r="Z579" s="1333"/>
      <c r="AA579" s="1333"/>
      <c r="AB579" s="1333"/>
      <c r="AC579" s="1333"/>
      <c r="AD579" s="1333"/>
      <c r="AE579" s="1333"/>
      <c r="AF579" s="1333"/>
      <c r="AG579" s="1333"/>
      <c r="AH579" s="1333"/>
      <c r="AI579" s="1333"/>
      <c r="AJ579" s="1333"/>
      <c r="AX579" s="17"/>
      <c r="AY579" s="17"/>
    </row>
    <row r="580" spans="1:51" ht="15" hidden="1" customHeight="1" x14ac:dyDescent="0.3">
      <c r="A580" s="1331"/>
      <c r="B580" s="1284"/>
      <c r="C580" s="2062">
        <v>42492</v>
      </c>
      <c r="D580" s="2062"/>
      <c r="E580" s="2062"/>
      <c r="F580" s="1297"/>
      <c r="G580" s="1297" t="s">
        <v>695</v>
      </c>
      <c r="H580" s="1333"/>
      <c r="I580" s="1333"/>
      <c r="J580" s="1333"/>
      <c r="K580" s="1550"/>
      <c r="L580" s="1333"/>
      <c r="M580" s="1333"/>
      <c r="N580" s="1333"/>
      <c r="O580" s="1333"/>
      <c r="P580" s="1562"/>
      <c r="Q580" s="1562"/>
      <c r="R580" s="1562"/>
      <c r="S580" s="1563"/>
      <c r="T580" s="1564"/>
      <c r="U580" s="1489"/>
      <c r="V580" s="1284"/>
      <c r="W580" s="1333"/>
      <c r="X580" s="1333"/>
      <c r="Y580" s="1333"/>
      <c r="Z580" s="1333"/>
      <c r="AA580" s="1333"/>
      <c r="AB580" s="1333"/>
      <c r="AC580" s="1333"/>
      <c r="AD580" s="1333"/>
      <c r="AE580" s="1333"/>
      <c r="AF580" s="1333"/>
      <c r="AG580" s="1333"/>
      <c r="AH580" s="1333"/>
      <c r="AI580" s="1333"/>
      <c r="AJ580" s="1333"/>
      <c r="AX580" s="17"/>
      <c r="AY580" s="17"/>
    </row>
    <row r="581" spans="1:51" ht="15" hidden="1" customHeight="1" x14ac:dyDescent="0.3">
      <c r="A581" s="1331"/>
      <c r="B581" s="1284"/>
      <c r="C581" s="1291"/>
      <c r="D581" s="1284"/>
      <c r="E581" s="1291"/>
      <c r="F581" s="1284"/>
      <c r="G581" s="1499"/>
      <c r="H581" s="1333"/>
      <c r="I581" s="1333"/>
      <c r="J581" s="1333"/>
      <c r="K581" s="1550"/>
      <c r="L581" s="1333"/>
      <c r="M581" s="1333"/>
      <c r="N581" s="1333"/>
      <c r="O581" s="1333"/>
      <c r="P581" s="1562"/>
      <c r="Q581" s="1562"/>
      <c r="R581" s="1562"/>
      <c r="S581" s="1563"/>
      <c r="T581" s="1564"/>
      <c r="U581" s="1284"/>
      <c r="V581" s="1284"/>
      <c r="W581" s="1333"/>
      <c r="X581" s="1333"/>
      <c r="Y581" s="1333"/>
      <c r="Z581" s="1333"/>
      <c r="AA581" s="1333"/>
      <c r="AB581" s="1333"/>
      <c r="AC581" s="1333"/>
      <c r="AD581" s="1333"/>
      <c r="AE581" s="1333"/>
      <c r="AF581" s="1333"/>
      <c r="AG581" s="1333"/>
      <c r="AH581" s="1333"/>
      <c r="AI581" s="1333"/>
      <c r="AJ581" s="1333"/>
      <c r="AX581" s="17"/>
      <c r="AY581" s="17"/>
    </row>
    <row r="582" spans="1:51" ht="15" hidden="1" customHeight="1" x14ac:dyDescent="0.3">
      <c r="A582" s="1331"/>
      <c r="B582" s="1284"/>
      <c r="C582" s="2062">
        <v>42496</v>
      </c>
      <c r="D582" s="2062"/>
      <c r="E582" s="2062"/>
      <c r="F582" s="1297"/>
      <c r="G582" s="1297" t="s">
        <v>716</v>
      </c>
      <c r="H582" s="1284"/>
      <c r="I582" s="1333"/>
      <c r="J582" s="1333"/>
      <c r="K582" s="1550"/>
      <c r="L582" s="1333"/>
      <c r="M582" s="1333"/>
      <c r="N582" s="1333"/>
      <c r="O582" s="1333"/>
      <c r="P582" s="1562"/>
      <c r="Q582" s="1562"/>
      <c r="R582" s="1562"/>
      <c r="S582" s="1563"/>
      <c r="T582" s="1564"/>
      <c r="U582" s="1284"/>
      <c r="V582" s="1284"/>
      <c r="W582" s="1333"/>
      <c r="X582" s="1333"/>
      <c r="Y582" s="1333"/>
      <c r="Z582" s="1333"/>
      <c r="AA582" s="1333"/>
      <c r="AB582" s="1333"/>
      <c r="AC582" s="1333"/>
      <c r="AD582" s="1333"/>
      <c r="AE582" s="1333"/>
      <c r="AF582" s="1333"/>
      <c r="AG582" s="1333"/>
      <c r="AH582" s="1333"/>
      <c r="AI582" s="1333"/>
      <c r="AJ582" s="1333"/>
      <c r="AX582" s="17"/>
      <c r="AY582" s="17"/>
    </row>
    <row r="583" spans="1:51" ht="15" hidden="1" customHeight="1" x14ac:dyDescent="0.3">
      <c r="A583" s="1331"/>
      <c r="B583" s="1284"/>
      <c r="C583" s="1291"/>
      <c r="D583" s="1284"/>
      <c r="E583" s="1291"/>
      <c r="F583" s="1284"/>
      <c r="G583" s="1291"/>
      <c r="H583" s="1284"/>
      <c r="I583" s="1333"/>
      <c r="J583" s="1333"/>
      <c r="K583" s="1550"/>
      <c r="L583" s="1333"/>
      <c r="M583" s="1333"/>
      <c r="N583" s="1333"/>
      <c r="O583" s="1333"/>
      <c r="P583" s="1562"/>
      <c r="Q583" s="1562"/>
      <c r="R583" s="1562"/>
      <c r="S583" s="1563"/>
      <c r="T583" s="1564"/>
      <c r="U583" s="1284"/>
      <c r="V583" s="1284"/>
      <c r="W583" s="1333"/>
      <c r="X583" s="1333"/>
      <c r="Y583" s="1333"/>
      <c r="Z583" s="1333"/>
      <c r="AA583" s="1333"/>
      <c r="AB583" s="1333"/>
      <c r="AC583" s="1333"/>
      <c r="AD583" s="1333"/>
      <c r="AE583" s="1333"/>
      <c r="AF583" s="1333"/>
      <c r="AG583" s="1333"/>
      <c r="AH583" s="1333"/>
      <c r="AI583" s="1333"/>
      <c r="AJ583" s="1333"/>
      <c r="AX583" s="17"/>
      <c r="AY583" s="17"/>
    </row>
    <row r="584" spans="1:51" ht="15" hidden="1" customHeight="1" x14ac:dyDescent="0.3">
      <c r="A584" s="1331"/>
      <c r="B584" s="1284"/>
      <c r="C584" s="2062">
        <v>42635</v>
      </c>
      <c r="D584" s="2062"/>
      <c r="E584" s="2062"/>
      <c r="F584" s="1297"/>
      <c r="G584" s="1297" t="s">
        <v>838</v>
      </c>
      <c r="H584" s="1284"/>
      <c r="I584" s="1333"/>
      <c r="J584" s="1333"/>
      <c r="K584" s="1550"/>
      <c r="L584" s="1333"/>
      <c r="M584" s="1333"/>
      <c r="N584" s="1333"/>
      <c r="O584" s="1333"/>
      <c r="P584" s="1562"/>
      <c r="Q584" s="1562"/>
      <c r="R584" s="1562"/>
      <c r="S584" s="1563"/>
      <c r="T584" s="1564"/>
      <c r="U584" s="1284"/>
      <c r="V584" s="1284"/>
      <c r="W584" s="1333"/>
      <c r="X584" s="1333"/>
      <c r="Y584" s="1333"/>
      <c r="Z584" s="1333"/>
      <c r="AA584" s="1333"/>
      <c r="AB584" s="1333"/>
      <c r="AC584" s="1333"/>
      <c r="AD584" s="1333"/>
      <c r="AE584" s="1333"/>
      <c r="AF584" s="1333"/>
      <c r="AG584" s="1333"/>
      <c r="AH584" s="1333"/>
      <c r="AI584" s="1333"/>
      <c r="AJ584" s="1333"/>
      <c r="AX584" s="17"/>
      <c r="AY584" s="17"/>
    </row>
    <row r="585" spans="1:51" ht="15" hidden="1" customHeight="1" x14ac:dyDescent="0.3">
      <c r="A585" s="1331"/>
      <c r="B585" s="1284"/>
      <c r="C585" s="2062"/>
      <c r="D585" s="2062"/>
      <c r="E585" s="2062"/>
      <c r="F585" s="1297"/>
      <c r="G585" s="1297" t="s">
        <v>837</v>
      </c>
      <c r="H585" s="1284"/>
      <c r="I585" s="1333"/>
      <c r="J585" s="1333"/>
      <c r="K585" s="1550"/>
      <c r="L585" s="1333"/>
      <c r="M585" s="1333"/>
      <c r="N585" s="1333"/>
      <c r="O585" s="1333"/>
      <c r="P585" s="1562"/>
      <c r="Q585" s="1562"/>
      <c r="R585" s="1562"/>
      <c r="S585" s="1563"/>
      <c r="T585" s="1564"/>
      <c r="U585" s="1284"/>
      <c r="V585" s="1284"/>
      <c r="W585" s="1333"/>
      <c r="X585" s="1333"/>
      <c r="Y585" s="1333"/>
      <c r="Z585" s="1333"/>
      <c r="AA585" s="1333"/>
      <c r="AB585" s="1333"/>
      <c r="AC585" s="1333"/>
      <c r="AD585" s="1333"/>
      <c r="AE585" s="1333"/>
      <c r="AF585" s="1333"/>
      <c r="AG585" s="1333"/>
      <c r="AH585" s="1333"/>
      <c r="AI585" s="1333"/>
      <c r="AJ585" s="1333"/>
      <c r="AX585" s="17"/>
      <c r="AY585" s="17"/>
    </row>
    <row r="586" spans="1:51" ht="15" hidden="1" customHeight="1" x14ac:dyDescent="0.3">
      <c r="A586" s="1331"/>
      <c r="B586" s="1284"/>
      <c r="C586" s="1291"/>
      <c r="D586" s="1284"/>
      <c r="E586" s="1291"/>
      <c r="F586" s="1284"/>
      <c r="G586" s="1291"/>
      <c r="H586" s="1284"/>
      <c r="I586" s="1333"/>
      <c r="J586" s="1333"/>
      <c r="K586" s="1550"/>
      <c r="L586" s="1333"/>
      <c r="M586" s="1333"/>
      <c r="N586" s="1333"/>
      <c r="O586" s="1333"/>
      <c r="P586" s="1562"/>
      <c r="Q586" s="1562"/>
      <c r="R586" s="1562"/>
      <c r="S586" s="1563"/>
      <c r="T586" s="1564"/>
      <c r="U586" s="1489"/>
      <c r="V586" s="1284"/>
      <c r="W586" s="1333"/>
      <c r="X586" s="1333"/>
      <c r="Y586" s="1333"/>
      <c r="Z586" s="1333"/>
      <c r="AA586" s="1333"/>
      <c r="AB586" s="1333"/>
      <c r="AC586" s="1333"/>
      <c r="AD586" s="1333"/>
      <c r="AE586" s="1333"/>
      <c r="AF586" s="1333"/>
      <c r="AG586" s="1333"/>
      <c r="AH586" s="1333"/>
      <c r="AI586" s="1333"/>
      <c r="AJ586" s="1333"/>
      <c r="AX586" s="17"/>
      <c r="AY586" s="17"/>
    </row>
    <row r="587" spans="1:51" ht="15" hidden="1" customHeight="1" x14ac:dyDescent="0.3">
      <c r="A587" s="1331"/>
      <c r="B587" s="1284"/>
      <c r="C587" s="2062">
        <v>42653</v>
      </c>
      <c r="D587" s="2062"/>
      <c r="E587" s="2062"/>
      <c r="F587" s="1297"/>
      <c r="G587" s="1297" t="s">
        <v>867</v>
      </c>
      <c r="H587" s="1284"/>
      <c r="I587" s="1333"/>
      <c r="J587" s="1333"/>
      <c r="K587" s="1550"/>
      <c r="L587" s="1333"/>
      <c r="M587" s="1333"/>
      <c r="N587" s="1333"/>
      <c r="O587" s="1333"/>
      <c r="P587" s="1562"/>
      <c r="Q587" s="1562"/>
      <c r="R587" s="1562"/>
      <c r="S587" s="1563"/>
      <c r="T587" s="1564"/>
      <c r="U587" s="1284"/>
      <c r="V587" s="1284"/>
      <c r="W587" s="1333"/>
      <c r="X587" s="1333"/>
      <c r="Y587" s="1333"/>
      <c r="Z587" s="1333"/>
      <c r="AA587" s="1333"/>
      <c r="AB587" s="1333"/>
      <c r="AC587" s="1333"/>
      <c r="AD587" s="1333"/>
      <c r="AE587" s="1333"/>
      <c r="AF587" s="1333"/>
      <c r="AG587" s="1333"/>
      <c r="AH587" s="1333"/>
      <c r="AI587" s="1333"/>
      <c r="AJ587" s="1333"/>
      <c r="AX587" s="17"/>
      <c r="AY587" s="17"/>
    </row>
    <row r="588" spans="1:51" ht="15" hidden="1" customHeight="1" x14ac:dyDescent="0.3">
      <c r="A588" s="1331"/>
      <c r="B588" s="1284"/>
      <c r="C588" s="1291"/>
      <c r="D588" s="1284"/>
      <c r="E588" s="1291"/>
      <c r="F588" s="1284"/>
      <c r="G588" s="1291"/>
      <c r="H588" s="1284"/>
      <c r="I588" s="1333"/>
      <c r="J588" s="1333"/>
      <c r="K588" s="1550"/>
      <c r="L588" s="1333"/>
      <c r="M588" s="1333"/>
      <c r="N588" s="1333"/>
      <c r="O588" s="1333"/>
      <c r="P588" s="1562"/>
      <c r="Q588" s="1562"/>
      <c r="R588" s="1562"/>
      <c r="S588" s="1563"/>
      <c r="T588" s="1564"/>
      <c r="U588" s="1284"/>
      <c r="V588" s="1284"/>
      <c r="W588" s="1333"/>
      <c r="X588" s="1333"/>
      <c r="Y588" s="1333"/>
      <c r="Z588" s="1333"/>
      <c r="AA588" s="1333"/>
      <c r="AB588" s="1333"/>
      <c r="AC588" s="1333"/>
      <c r="AD588" s="1333"/>
      <c r="AE588" s="1333"/>
      <c r="AF588" s="1333"/>
      <c r="AG588" s="1333"/>
      <c r="AH588" s="1333"/>
      <c r="AI588" s="1333"/>
      <c r="AJ588" s="1333"/>
      <c r="AX588" s="17"/>
      <c r="AY588" s="17"/>
    </row>
    <row r="589" spans="1:51" ht="15" hidden="1" customHeight="1" x14ac:dyDescent="0.3">
      <c r="A589" s="1331"/>
      <c r="B589" s="1284"/>
      <c r="C589" s="2062">
        <v>42696</v>
      </c>
      <c r="D589" s="2062"/>
      <c r="E589" s="2062"/>
      <c r="F589" s="1297"/>
      <c r="G589" s="1418" t="s">
        <v>890</v>
      </c>
      <c r="H589" s="1284"/>
      <c r="I589" s="1333"/>
      <c r="J589" s="1333"/>
      <c r="K589" s="1550"/>
      <c r="L589" s="1333"/>
      <c r="M589" s="1333"/>
      <c r="N589" s="1333"/>
      <c r="O589" s="1333"/>
      <c r="P589" s="1562"/>
      <c r="Q589" s="1562"/>
      <c r="R589" s="1562"/>
      <c r="S589" s="1563"/>
      <c r="T589" s="1564"/>
      <c r="U589" s="1284"/>
      <c r="V589" s="1284"/>
      <c r="W589" s="1333"/>
      <c r="X589" s="1333"/>
      <c r="Y589" s="1333"/>
      <c r="Z589" s="1333"/>
      <c r="AA589" s="1333"/>
      <c r="AB589" s="1333"/>
      <c r="AC589" s="1333"/>
      <c r="AD589" s="1333"/>
      <c r="AE589" s="1333"/>
      <c r="AF589" s="1333"/>
      <c r="AG589" s="1333"/>
      <c r="AH589" s="1333"/>
      <c r="AI589" s="1333"/>
      <c r="AJ589" s="1333"/>
      <c r="AX589" s="17"/>
      <c r="AY589" s="17"/>
    </row>
    <row r="590" spans="1:51" ht="15" hidden="1" customHeight="1" x14ac:dyDescent="0.3">
      <c r="A590" s="1331"/>
      <c r="B590" s="1284"/>
      <c r="C590" s="1291"/>
      <c r="D590" s="1284"/>
      <c r="E590" s="1291"/>
      <c r="F590" s="1284"/>
      <c r="G590" s="1291"/>
      <c r="H590" s="1284"/>
      <c r="I590" s="1333"/>
      <c r="J590" s="1333"/>
      <c r="K590" s="1550"/>
      <c r="L590" s="1333"/>
      <c r="M590" s="1333"/>
      <c r="N590" s="1333"/>
      <c r="O590" s="1333"/>
      <c r="P590" s="1562"/>
      <c r="Q590" s="1562"/>
      <c r="R590" s="1562"/>
      <c r="S590" s="1563"/>
      <c r="T590" s="1564"/>
      <c r="U590" s="1284"/>
      <c r="V590" s="1284"/>
      <c r="W590" s="1333"/>
      <c r="X590" s="1333"/>
      <c r="Y590" s="1333"/>
      <c r="Z590" s="1333"/>
      <c r="AA590" s="1333"/>
      <c r="AB590" s="1333"/>
      <c r="AC590" s="1333"/>
      <c r="AD590" s="1333"/>
      <c r="AE590" s="1333"/>
      <c r="AF590" s="1333"/>
      <c r="AG590" s="1333"/>
      <c r="AH590" s="1333"/>
      <c r="AI590" s="1333"/>
      <c r="AJ590" s="1333"/>
      <c r="AX590" s="17"/>
      <c r="AY590" s="17"/>
    </row>
    <row r="591" spans="1:51" ht="15" hidden="1" customHeight="1" x14ac:dyDescent="0.3">
      <c r="A591" s="1331"/>
      <c r="B591" s="1284"/>
      <c r="C591" s="2062">
        <v>42702</v>
      </c>
      <c r="D591" s="2062"/>
      <c r="E591" s="2062"/>
      <c r="F591" s="1297"/>
      <c r="G591" s="1418" t="s">
        <v>896</v>
      </c>
      <c r="H591" s="1284"/>
      <c r="I591" s="1333"/>
      <c r="J591" s="1333"/>
      <c r="K591" s="1550"/>
      <c r="L591" s="1333"/>
      <c r="M591" s="1333"/>
      <c r="N591" s="1333"/>
      <c r="O591" s="1333"/>
      <c r="P591" s="1562"/>
      <c r="Q591" s="1562"/>
      <c r="R591" s="1562"/>
      <c r="S591" s="1563"/>
      <c r="T591" s="1564"/>
      <c r="U591" s="1284"/>
      <c r="V591" s="1284"/>
      <c r="W591" s="1333"/>
      <c r="X591" s="1333"/>
      <c r="Y591" s="1333"/>
      <c r="Z591" s="1333"/>
      <c r="AA591" s="1333"/>
      <c r="AB591" s="1333"/>
      <c r="AC591" s="1333"/>
      <c r="AD591" s="1333"/>
      <c r="AE591" s="1333"/>
      <c r="AF591" s="1333"/>
      <c r="AG591" s="1333"/>
      <c r="AH591" s="1333"/>
      <c r="AI591" s="1333"/>
      <c r="AJ591" s="1333"/>
      <c r="AX591" s="17"/>
      <c r="AY591" s="17"/>
    </row>
    <row r="592" spans="1:51" ht="15" hidden="1" customHeight="1" x14ac:dyDescent="0.3">
      <c r="A592" s="1331"/>
      <c r="B592" s="1284"/>
      <c r="C592" s="2062"/>
      <c r="D592" s="2062"/>
      <c r="E592" s="2062"/>
      <c r="F592" s="1297"/>
      <c r="G592" s="1418" t="s">
        <v>899</v>
      </c>
      <c r="H592" s="1284"/>
      <c r="I592" s="1333"/>
      <c r="J592" s="1333"/>
      <c r="K592" s="1550"/>
      <c r="L592" s="1333"/>
      <c r="M592" s="1333"/>
      <c r="N592" s="1333"/>
      <c r="O592" s="1333"/>
      <c r="P592" s="1562"/>
      <c r="Q592" s="1562"/>
      <c r="R592" s="1562"/>
      <c r="S592" s="1563"/>
      <c r="T592" s="1564"/>
      <c r="U592" s="1284"/>
      <c r="V592" s="1284"/>
      <c r="W592" s="1333"/>
      <c r="X592" s="1333"/>
      <c r="Y592" s="1333"/>
      <c r="Z592" s="1333"/>
      <c r="AA592" s="1333"/>
      <c r="AB592" s="1333"/>
      <c r="AC592" s="1333"/>
      <c r="AD592" s="1333"/>
      <c r="AE592" s="1333"/>
      <c r="AF592" s="1333"/>
      <c r="AG592" s="1333"/>
      <c r="AH592" s="1333"/>
      <c r="AI592" s="1333"/>
      <c r="AJ592" s="1333"/>
      <c r="AX592" s="17"/>
      <c r="AY592" s="17"/>
    </row>
    <row r="593" spans="1:51" ht="15" hidden="1" customHeight="1" x14ac:dyDescent="0.3">
      <c r="A593" s="1331"/>
      <c r="B593" s="1284"/>
      <c r="C593" s="1291"/>
      <c r="D593" s="1284"/>
      <c r="E593" s="1291"/>
      <c r="F593" s="1284"/>
      <c r="G593" s="1291"/>
      <c r="H593" s="1284"/>
      <c r="I593" s="1333"/>
      <c r="J593" s="1333"/>
      <c r="K593" s="1550"/>
      <c r="L593" s="1333"/>
      <c r="M593" s="1333"/>
      <c r="N593" s="1333"/>
      <c r="O593" s="1333"/>
      <c r="P593" s="1562"/>
      <c r="Q593" s="1562"/>
      <c r="R593" s="1562"/>
      <c r="S593" s="1563"/>
      <c r="T593" s="1564"/>
      <c r="U593" s="1489"/>
      <c r="V593" s="1284"/>
      <c r="W593" s="1333"/>
      <c r="X593" s="1333"/>
      <c r="Y593" s="1333"/>
      <c r="Z593" s="1333"/>
      <c r="AA593" s="1333"/>
      <c r="AB593" s="1333"/>
      <c r="AC593" s="1333"/>
      <c r="AD593" s="1333"/>
      <c r="AE593" s="1333"/>
      <c r="AF593" s="1333"/>
      <c r="AG593" s="1333"/>
      <c r="AH593" s="1333"/>
      <c r="AI593" s="1333"/>
      <c r="AJ593" s="1333"/>
      <c r="AX593" s="17"/>
      <c r="AY593" s="17"/>
    </row>
    <row r="594" spans="1:51" ht="15" hidden="1" customHeight="1" x14ac:dyDescent="0.3">
      <c r="A594" s="1331"/>
      <c r="B594" s="1284"/>
      <c r="C594" s="2062">
        <v>42947</v>
      </c>
      <c r="D594" s="2062"/>
      <c r="E594" s="2062"/>
      <c r="F594" s="1297"/>
      <c r="G594" s="1132" t="s">
        <v>962</v>
      </c>
      <c r="H594" s="1284"/>
      <c r="I594" s="1333"/>
      <c r="J594" s="1333"/>
      <c r="K594" s="1550"/>
      <c r="L594" s="1333"/>
      <c r="M594" s="1333"/>
      <c r="N594" s="1333"/>
      <c r="O594" s="1333"/>
      <c r="P594" s="1562"/>
      <c r="Q594" s="1562"/>
      <c r="R594" s="1562"/>
      <c r="S594" s="1563"/>
      <c r="T594" s="1564"/>
      <c r="U594" s="1284"/>
      <c r="V594" s="1284"/>
      <c r="W594" s="1333"/>
      <c r="X594" s="1333"/>
      <c r="Y594" s="1333"/>
      <c r="Z594" s="1333"/>
      <c r="AA594" s="1333"/>
      <c r="AB594" s="1333"/>
      <c r="AC594" s="1333"/>
      <c r="AD594" s="1333"/>
      <c r="AE594" s="1333"/>
      <c r="AF594" s="1333"/>
      <c r="AG594" s="1333"/>
      <c r="AH594" s="1333"/>
      <c r="AI594" s="1333"/>
      <c r="AJ594" s="1333"/>
      <c r="AX594" s="17"/>
      <c r="AY594" s="17"/>
    </row>
    <row r="595" spans="1:51" ht="15" hidden="1" customHeight="1" x14ac:dyDescent="0.3">
      <c r="A595" s="1331"/>
      <c r="B595" s="1284"/>
      <c r="C595" s="1291"/>
      <c r="D595" s="1284"/>
      <c r="E595" s="1291"/>
      <c r="F595" s="1284"/>
      <c r="G595" s="1297" t="s">
        <v>1021</v>
      </c>
      <c r="H595" s="1284"/>
      <c r="I595" s="1333"/>
      <c r="J595" s="1333"/>
      <c r="K595" s="1550"/>
      <c r="L595" s="1333"/>
      <c r="M595" s="1333"/>
      <c r="N595" s="1333"/>
      <c r="O595" s="1333"/>
      <c r="P595" s="1562"/>
      <c r="Q595" s="1562"/>
      <c r="R595" s="1562"/>
      <c r="S595" s="1563"/>
      <c r="T595" s="1564"/>
      <c r="U595" s="1284"/>
      <c r="V595" s="1284"/>
      <c r="W595" s="1333"/>
      <c r="X595" s="1333"/>
      <c r="Y595" s="1333"/>
      <c r="Z595" s="1333"/>
      <c r="AA595" s="1333"/>
      <c r="AB595" s="1333"/>
      <c r="AC595" s="1333"/>
      <c r="AD595" s="1333"/>
      <c r="AE595" s="1333"/>
      <c r="AF595" s="1333"/>
      <c r="AG595" s="1333"/>
      <c r="AH595" s="1333"/>
      <c r="AI595" s="1333"/>
      <c r="AJ595" s="1333"/>
      <c r="AX595" s="17"/>
      <c r="AY595" s="17"/>
    </row>
    <row r="596" spans="1:51" ht="15" hidden="1" customHeight="1" x14ac:dyDescent="0.3">
      <c r="A596" s="1331"/>
      <c r="B596" s="1284"/>
      <c r="C596" s="1291"/>
      <c r="D596" s="1284"/>
      <c r="E596" s="1291"/>
      <c r="F596" s="1284"/>
      <c r="G596" s="1418" t="s">
        <v>1015</v>
      </c>
      <c r="H596" s="1284"/>
      <c r="I596" s="1333"/>
      <c r="J596" s="1333"/>
      <c r="K596" s="1550"/>
      <c r="L596" s="1333"/>
      <c r="M596" s="1333"/>
      <c r="N596" s="1333"/>
      <c r="O596" s="1333"/>
      <c r="P596" s="1562"/>
      <c r="Q596" s="1562"/>
      <c r="R596" s="1562"/>
      <c r="S596" s="1563"/>
      <c r="T596" s="1564"/>
      <c r="U596" s="1284"/>
      <c r="V596" s="1284"/>
      <c r="W596" s="1333"/>
      <c r="X596" s="1333"/>
      <c r="Y596" s="1333"/>
      <c r="Z596" s="1333"/>
      <c r="AA596" s="1333"/>
      <c r="AB596" s="1333"/>
      <c r="AC596" s="1333"/>
      <c r="AD596" s="1333"/>
      <c r="AE596" s="1333"/>
      <c r="AF596" s="1333"/>
      <c r="AG596" s="1333"/>
      <c r="AH596" s="1333"/>
      <c r="AI596" s="1333"/>
      <c r="AJ596" s="1333"/>
      <c r="AX596" s="17"/>
      <c r="AY596" s="17"/>
    </row>
    <row r="597" spans="1:51" ht="15" hidden="1" customHeight="1" x14ac:dyDescent="0.3">
      <c r="A597" s="1331"/>
      <c r="B597" s="1284"/>
      <c r="C597" s="1291"/>
      <c r="D597" s="1284"/>
      <c r="E597" s="1291"/>
      <c r="F597" s="1284"/>
      <c r="G597" s="1418" t="s">
        <v>1012</v>
      </c>
      <c r="H597" s="1284"/>
      <c r="I597" s="1333"/>
      <c r="J597" s="1333"/>
      <c r="K597" s="1550"/>
      <c r="L597" s="1333"/>
      <c r="M597" s="1333"/>
      <c r="N597" s="1333"/>
      <c r="O597" s="1333"/>
      <c r="P597" s="1562"/>
      <c r="Q597" s="1562"/>
      <c r="R597" s="1562"/>
      <c r="S597" s="1563"/>
      <c r="T597" s="1564"/>
      <c r="U597" s="1284"/>
      <c r="V597" s="1284"/>
      <c r="W597" s="1333"/>
      <c r="X597" s="1333"/>
      <c r="Y597" s="1333"/>
      <c r="Z597" s="1333"/>
      <c r="AA597" s="1333"/>
      <c r="AB597" s="1333"/>
      <c r="AC597" s="1333"/>
      <c r="AD597" s="1333"/>
      <c r="AE597" s="1333"/>
      <c r="AF597" s="1333"/>
      <c r="AG597" s="1333"/>
      <c r="AH597" s="1333"/>
      <c r="AI597" s="1333"/>
      <c r="AJ597" s="1333"/>
      <c r="AX597" s="17"/>
      <c r="AY597" s="17"/>
    </row>
    <row r="598" spans="1:51" ht="15" hidden="1" customHeight="1" x14ac:dyDescent="0.3">
      <c r="A598" s="1331"/>
      <c r="B598" s="1284"/>
      <c r="C598" s="1291"/>
      <c r="D598" s="1284"/>
      <c r="E598" s="1291"/>
      <c r="F598" s="1284"/>
      <c r="G598" s="1660" t="s">
        <v>1013</v>
      </c>
      <c r="H598" s="1284"/>
      <c r="I598" s="1333"/>
      <c r="J598" s="1333"/>
      <c r="K598" s="1550"/>
      <c r="L598" s="1333"/>
      <c r="M598" s="1333"/>
      <c r="N598" s="1333"/>
      <c r="O598" s="1333"/>
      <c r="P598" s="1562"/>
      <c r="Q598" s="1562"/>
      <c r="R598" s="1562"/>
      <c r="S598" s="1563"/>
      <c r="T598" s="1564"/>
      <c r="U598" s="1284"/>
      <c r="V598" s="1284"/>
      <c r="W598" s="1333"/>
      <c r="X598" s="1333"/>
      <c r="Y598" s="1333"/>
      <c r="Z598" s="1333"/>
      <c r="AA598" s="1333"/>
      <c r="AB598" s="1333"/>
      <c r="AC598" s="1333"/>
      <c r="AD598" s="1333"/>
      <c r="AE598" s="1333"/>
      <c r="AF598" s="1333"/>
      <c r="AG598" s="1333"/>
      <c r="AH598" s="1333"/>
      <c r="AI598" s="1333"/>
      <c r="AJ598" s="1333"/>
      <c r="AX598" s="17"/>
      <c r="AY598" s="17"/>
    </row>
    <row r="599" spans="1:51" ht="15" hidden="1" customHeight="1" x14ac:dyDescent="0.3">
      <c r="A599" s="1331"/>
      <c r="B599" s="1284"/>
      <c r="C599" s="1291"/>
      <c r="D599" s="1284"/>
      <c r="E599" s="1291"/>
      <c r="F599" s="1284"/>
      <c r="G599" s="1660" t="s">
        <v>1014</v>
      </c>
      <c r="H599" s="1284"/>
      <c r="I599" s="1333"/>
      <c r="J599" s="1333"/>
      <c r="K599" s="1550"/>
      <c r="L599" s="1333"/>
      <c r="M599" s="1333"/>
      <c r="N599" s="1333"/>
      <c r="O599" s="1333"/>
      <c r="P599" s="1562"/>
      <c r="Q599" s="1562"/>
      <c r="R599" s="1562"/>
      <c r="S599" s="1563"/>
      <c r="T599" s="1564"/>
      <c r="U599" s="1284"/>
      <c r="V599" s="1284"/>
      <c r="W599" s="1333"/>
      <c r="X599" s="1333"/>
      <c r="Y599" s="1333"/>
      <c r="Z599" s="1333"/>
      <c r="AA599" s="1333"/>
      <c r="AB599" s="1333"/>
      <c r="AC599" s="1333"/>
      <c r="AD599" s="1333"/>
      <c r="AE599" s="1333"/>
      <c r="AF599" s="1333"/>
      <c r="AG599" s="1333"/>
      <c r="AH599" s="1333"/>
      <c r="AI599" s="1333"/>
      <c r="AJ599" s="1333"/>
      <c r="AX599" s="17"/>
      <c r="AY599" s="17"/>
    </row>
    <row r="600" spans="1:51" ht="15" hidden="1" customHeight="1" x14ac:dyDescent="0.3">
      <c r="A600" s="1331"/>
      <c r="B600" s="1284"/>
      <c r="C600" s="1291"/>
      <c r="D600" s="1284"/>
      <c r="E600" s="1291"/>
      <c r="F600" s="1284"/>
      <c r="G600" s="1132" t="s">
        <v>1044</v>
      </c>
      <c r="H600" s="1284"/>
      <c r="I600" s="1333"/>
      <c r="J600" s="1333"/>
      <c r="K600" s="1550"/>
      <c r="L600" s="1333"/>
      <c r="M600" s="1333"/>
      <c r="N600" s="1333"/>
      <c r="O600" s="1333"/>
      <c r="P600" s="1562"/>
      <c r="Q600" s="1562"/>
      <c r="R600" s="1562"/>
      <c r="S600" s="1563"/>
      <c r="T600" s="1564"/>
      <c r="U600" s="1489"/>
      <c r="V600" s="1284"/>
      <c r="W600" s="1333"/>
      <c r="X600" s="1333"/>
      <c r="Y600" s="1333"/>
      <c r="Z600" s="1333"/>
      <c r="AA600" s="1333"/>
      <c r="AB600" s="1333"/>
      <c r="AC600" s="1333"/>
      <c r="AD600" s="1333"/>
      <c r="AE600" s="1333"/>
      <c r="AF600" s="1333"/>
      <c r="AG600" s="1333"/>
      <c r="AH600" s="1333"/>
      <c r="AI600" s="1333"/>
      <c r="AJ600" s="1333"/>
      <c r="AX600" s="17"/>
      <c r="AY600" s="17"/>
    </row>
    <row r="601" spans="1:51" ht="15" hidden="1" customHeight="1" x14ac:dyDescent="0.3">
      <c r="A601" s="1331"/>
      <c r="B601" s="1284"/>
      <c r="C601" s="1291"/>
      <c r="D601" s="1284"/>
      <c r="E601" s="1291"/>
      <c r="F601" s="1284"/>
      <c r="G601" s="1291"/>
      <c r="H601" s="1284"/>
      <c r="I601" s="1333"/>
      <c r="J601" s="1333"/>
      <c r="K601" s="1550"/>
      <c r="L601" s="1333"/>
      <c r="M601" s="1333"/>
      <c r="N601" s="1333"/>
      <c r="O601" s="1333"/>
      <c r="P601" s="1562"/>
      <c r="Q601" s="1562"/>
      <c r="R601" s="1562"/>
      <c r="S601" s="1563"/>
      <c r="T601" s="1564"/>
      <c r="U601" s="1284"/>
      <c r="V601" s="1284"/>
      <c r="W601" s="1333"/>
      <c r="X601" s="1333"/>
      <c r="Y601" s="1333"/>
      <c r="Z601" s="1333"/>
      <c r="AA601" s="1333"/>
      <c r="AB601" s="1333"/>
      <c r="AC601" s="1333"/>
      <c r="AD601" s="1333"/>
      <c r="AE601" s="1333"/>
      <c r="AF601" s="1333"/>
      <c r="AG601" s="1333"/>
      <c r="AH601" s="1333"/>
      <c r="AI601" s="1333"/>
      <c r="AJ601" s="1333"/>
      <c r="AX601" s="17"/>
      <c r="AY601" s="17"/>
    </row>
    <row r="602" spans="1:51" ht="15" hidden="1" customHeight="1" x14ac:dyDescent="0.3">
      <c r="A602" s="1331"/>
      <c r="B602" s="1284"/>
      <c r="C602" s="2062">
        <v>42958</v>
      </c>
      <c r="D602" s="2062"/>
      <c r="E602" s="2062"/>
      <c r="F602" s="1284"/>
      <c r="G602" s="1132" t="s">
        <v>1050</v>
      </c>
      <c r="H602" s="1284"/>
      <c r="I602" s="1333"/>
      <c r="J602" s="1333"/>
      <c r="K602" s="1550"/>
      <c r="L602" s="1333"/>
      <c r="M602" s="1333"/>
      <c r="N602" s="1333"/>
      <c r="O602" s="1333"/>
      <c r="P602" s="1562"/>
      <c r="Q602" s="1562"/>
      <c r="R602" s="1562"/>
      <c r="S602" s="1563"/>
      <c r="T602" s="1564"/>
      <c r="U602" s="1284"/>
      <c r="V602" s="1284"/>
      <c r="W602" s="1333"/>
      <c r="X602" s="1333"/>
      <c r="Y602" s="1333"/>
      <c r="Z602" s="1333"/>
      <c r="AA602" s="1333"/>
      <c r="AB602" s="1333"/>
      <c r="AC602" s="1333"/>
      <c r="AD602" s="1333"/>
      <c r="AE602" s="1333"/>
      <c r="AF602" s="1333"/>
      <c r="AG602" s="1333"/>
      <c r="AH602" s="1333"/>
      <c r="AI602" s="1333"/>
      <c r="AJ602" s="1333"/>
      <c r="AX602" s="17"/>
      <c r="AY602" s="17"/>
    </row>
    <row r="603" spans="1:51" ht="15" hidden="1" customHeight="1" x14ac:dyDescent="0.3">
      <c r="A603" s="1331"/>
      <c r="B603" s="1284"/>
      <c r="C603" s="1291"/>
      <c r="D603" s="1284"/>
      <c r="E603" s="1291"/>
      <c r="F603" s="1284"/>
      <c r="G603" s="1291"/>
      <c r="H603" s="1284"/>
      <c r="I603" s="1333"/>
      <c r="J603" s="1333"/>
      <c r="K603" s="1550"/>
      <c r="L603" s="1333"/>
      <c r="M603" s="1333"/>
      <c r="N603" s="1333"/>
      <c r="O603" s="1333"/>
      <c r="P603" s="1562"/>
      <c r="Q603" s="1562"/>
      <c r="R603" s="1562"/>
      <c r="S603" s="1563"/>
      <c r="T603" s="1564"/>
      <c r="U603" s="1284"/>
      <c r="V603" s="1284"/>
      <c r="W603" s="1333"/>
      <c r="X603" s="1333"/>
      <c r="Y603" s="1333"/>
      <c r="Z603" s="1333"/>
      <c r="AA603" s="1333"/>
      <c r="AB603" s="1333"/>
      <c r="AC603" s="1333"/>
      <c r="AD603" s="1333"/>
      <c r="AE603" s="1333"/>
      <c r="AF603" s="1333"/>
      <c r="AG603" s="1333"/>
      <c r="AH603" s="1333"/>
      <c r="AI603" s="1333"/>
      <c r="AJ603" s="1333"/>
      <c r="AX603" s="17"/>
      <c r="AY603" s="17"/>
    </row>
    <row r="604" spans="1:51" ht="15" hidden="1" customHeight="1" x14ac:dyDescent="0.3">
      <c r="A604" s="1331"/>
      <c r="B604" s="1284"/>
      <c r="C604" s="2062">
        <v>42993</v>
      </c>
      <c r="D604" s="2062"/>
      <c r="E604" s="2062"/>
      <c r="F604" s="1297"/>
      <c r="G604" s="1297" t="s">
        <v>1084</v>
      </c>
      <c r="H604" s="1284"/>
      <c r="I604" s="1333"/>
      <c r="J604" s="1333"/>
      <c r="K604" s="1550"/>
      <c r="L604" s="1333"/>
      <c r="M604" s="1333"/>
      <c r="N604" s="1333"/>
      <c r="O604" s="1333"/>
      <c r="P604" s="1562"/>
      <c r="Q604" s="1562"/>
      <c r="R604" s="1562"/>
      <c r="S604" s="1563"/>
      <c r="T604" s="1564"/>
      <c r="U604" s="1284"/>
      <c r="V604" s="1284"/>
      <c r="W604" s="1333"/>
      <c r="X604" s="1333"/>
      <c r="Y604" s="1333"/>
      <c r="Z604" s="1333"/>
      <c r="AA604" s="1333"/>
      <c r="AB604" s="1333"/>
      <c r="AC604" s="1333"/>
      <c r="AD604" s="1333"/>
      <c r="AE604" s="1333"/>
      <c r="AF604" s="1333"/>
      <c r="AG604" s="1333"/>
      <c r="AH604" s="1333"/>
      <c r="AI604" s="1333"/>
      <c r="AJ604" s="1333"/>
      <c r="AX604" s="17"/>
      <c r="AY604" s="17"/>
    </row>
    <row r="605" spans="1:51" s="542" customFormat="1" ht="15" hidden="1" customHeight="1" x14ac:dyDescent="0.3">
      <c r="A605" s="1331"/>
      <c r="B605" s="1284"/>
      <c r="C605" s="2062"/>
      <c r="D605" s="2062"/>
      <c r="E605" s="2062"/>
      <c r="F605" s="1297"/>
      <c r="G605" s="1297"/>
      <c r="H605" s="1284"/>
      <c r="I605" s="1333"/>
      <c r="J605" s="1333"/>
      <c r="K605" s="1550"/>
      <c r="L605" s="1333"/>
      <c r="M605" s="1333"/>
      <c r="N605" s="1333"/>
      <c r="O605" s="1333"/>
      <c r="P605" s="1562"/>
      <c r="Q605" s="1562"/>
      <c r="R605" s="1562"/>
      <c r="S605" s="1563"/>
      <c r="T605" s="1564"/>
      <c r="U605" s="1284"/>
      <c r="V605" s="1284"/>
      <c r="W605" s="1333"/>
      <c r="X605" s="1333"/>
      <c r="Y605" s="1333"/>
      <c r="Z605" s="1333"/>
      <c r="AA605" s="1333"/>
      <c r="AB605" s="1333"/>
      <c r="AC605" s="1333"/>
      <c r="AD605" s="1333"/>
      <c r="AE605" s="1333"/>
      <c r="AF605" s="1333"/>
      <c r="AG605" s="1333"/>
      <c r="AH605" s="1333"/>
      <c r="AI605" s="1333"/>
      <c r="AJ605" s="1333"/>
      <c r="AK605" s="17"/>
      <c r="AL605" s="17"/>
      <c r="AM605" s="17"/>
      <c r="AN605" s="17"/>
      <c r="AO605" s="17"/>
      <c r="AP605" s="17"/>
      <c r="AQ605" s="17"/>
      <c r="AR605" s="17"/>
      <c r="AS605" s="17"/>
      <c r="AT605" s="17"/>
      <c r="AU605" s="17"/>
      <c r="AV605" s="17"/>
      <c r="AW605" s="17"/>
      <c r="AX605" s="17"/>
      <c r="AY605" s="17"/>
    </row>
    <row r="606" spans="1:51" s="542" customFormat="1" ht="15" hidden="1" customHeight="1" x14ac:dyDescent="0.3">
      <c r="A606" s="1331"/>
      <c r="B606" s="1284"/>
      <c r="C606" s="2062">
        <v>43084</v>
      </c>
      <c r="D606" s="2062"/>
      <c r="E606" s="2062"/>
      <c r="F606" s="1297"/>
      <c r="G606" s="1297" t="s">
        <v>1127</v>
      </c>
      <c r="H606" s="1284"/>
      <c r="I606" s="1333"/>
      <c r="J606" s="1333"/>
      <c r="K606" s="1550"/>
      <c r="L606" s="1333"/>
      <c r="M606" s="1333"/>
      <c r="N606" s="1333"/>
      <c r="O606" s="1333"/>
      <c r="P606" s="1562"/>
      <c r="Q606" s="1562"/>
      <c r="R606" s="1562"/>
      <c r="S606" s="1563"/>
      <c r="T606" s="1564"/>
      <c r="U606" s="1284"/>
      <c r="V606" s="1284"/>
      <c r="W606" s="1333"/>
      <c r="X606" s="1333"/>
      <c r="Y606" s="1333"/>
      <c r="Z606" s="1333"/>
      <c r="AA606" s="1333"/>
      <c r="AB606" s="1333"/>
      <c r="AC606" s="1333"/>
      <c r="AD606" s="1333"/>
      <c r="AE606" s="1333"/>
      <c r="AF606" s="1333"/>
      <c r="AG606" s="1333"/>
      <c r="AH606" s="1333"/>
      <c r="AI606" s="1333"/>
      <c r="AJ606" s="1333"/>
      <c r="AK606" s="17"/>
      <c r="AL606" s="17"/>
      <c r="AM606" s="17"/>
      <c r="AN606" s="17"/>
      <c r="AO606" s="17"/>
      <c r="AP606" s="17"/>
      <c r="AQ606" s="17"/>
      <c r="AR606" s="17"/>
      <c r="AS606" s="17"/>
      <c r="AT606" s="17"/>
      <c r="AU606" s="17"/>
      <c r="AV606" s="17"/>
      <c r="AW606" s="17"/>
      <c r="AX606" s="17"/>
      <c r="AY606" s="17"/>
    </row>
    <row r="607" spans="1:51" s="542" customFormat="1" ht="15" hidden="1" customHeight="1" x14ac:dyDescent="0.3">
      <c r="A607" s="1331"/>
      <c r="B607" s="1284"/>
      <c r="C607" s="2062"/>
      <c r="D607" s="2062"/>
      <c r="E607" s="2062"/>
      <c r="F607" s="1297"/>
      <c r="G607" s="1297"/>
      <c r="H607" s="1284"/>
      <c r="I607" s="1333"/>
      <c r="J607" s="1333"/>
      <c r="K607" s="1550"/>
      <c r="L607" s="1333"/>
      <c r="M607" s="1333"/>
      <c r="N607" s="1333"/>
      <c r="O607" s="1333"/>
      <c r="P607" s="1562"/>
      <c r="Q607" s="1562"/>
      <c r="R607" s="1562"/>
      <c r="S607" s="1563"/>
      <c r="T607" s="1564"/>
      <c r="U607" s="1284"/>
      <c r="V607" s="1284"/>
      <c r="W607" s="1333"/>
      <c r="X607" s="1333"/>
      <c r="Y607" s="1333"/>
      <c r="Z607" s="1333"/>
      <c r="AA607" s="1333"/>
      <c r="AB607" s="1333"/>
      <c r="AC607" s="1333"/>
      <c r="AD607" s="1333"/>
      <c r="AE607" s="1333"/>
      <c r="AF607" s="1333"/>
      <c r="AG607" s="1333"/>
      <c r="AH607" s="1333"/>
      <c r="AI607" s="1333"/>
      <c r="AJ607" s="1333"/>
      <c r="AK607" s="17"/>
      <c r="AL607" s="17"/>
      <c r="AM607" s="17"/>
      <c r="AN607" s="17"/>
      <c r="AO607" s="17"/>
      <c r="AP607" s="17"/>
      <c r="AQ607" s="17"/>
      <c r="AR607" s="17"/>
      <c r="AS607" s="17"/>
      <c r="AT607" s="17"/>
      <c r="AU607" s="17"/>
      <c r="AV607" s="17"/>
      <c r="AW607" s="17"/>
      <c r="AX607" s="17"/>
      <c r="AY607" s="17"/>
    </row>
    <row r="608" spans="1:51" s="542" customFormat="1" ht="15" customHeight="1" x14ac:dyDescent="0.3">
      <c r="A608" s="1331"/>
      <c r="B608" s="1284"/>
      <c r="C608" s="2062"/>
      <c r="D608" s="2062"/>
      <c r="E608" s="2062"/>
      <c r="F608" s="1297"/>
      <c r="G608" s="1297"/>
      <c r="H608" s="1284"/>
      <c r="I608" s="1333"/>
      <c r="J608" s="1333"/>
      <c r="K608" s="1550"/>
      <c r="L608" s="1333"/>
      <c r="M608" s="1333"/>
      <c r="N608" s="1333"/>
      <c r="O608" s="1333"/>
      <c r="P608" s="1562"/>
      <c r="Q608" s="1562"/>
      <c r="R608" s="1562"/>
      <c r="S608" s="1563"/>
      <c r="T608" s="1564"/>
      <c r="U608" s="1284"/>
      <c r="V608" s="1284"/>
      <c r="W608" s="1333"/>
      <c r="X608" s="1333"/>
      <c r="Y608" s="1333"/>
      <c r="Z608" s="1333"/>
      <c r="AA608" s="1333"/>
      <c r="AB608" s="1333"/>
      <c r="AC608" s="1333"/>
      <c r="AD608" s="1333"/>
      <c r="AE608" s="1333"/>
      <c r="AF608" s="1333"/>
      <c r="AG608" s="1333"/>
      <c r="AH608" s="1333"/>
      <c r="AI608" s="1333"/>
      <c r="AJ608" s="1333"/>
      <c r="AK608" s="17"/>
      <c r="AL608" s="17"/>
      <c r="AM608" s="17"/>
      <c r="AN608" s="17"/>
      <c r="AO608" s="17"/>
      <c r="AP608" s="17"/>
      <c r="AQ608" s="17"/>
      <c r="AR608" s="17"/>
      <c r="AS608" s="17"/>
      <c r="AT608" s="17"/>
      <c r="AU608" s="17"/>
      <c r="AV608" s="17"/>
      <c r="AW608" s="17"/>
      <c r="AX608" s="17"/>
      <c r="AY608" s="17"/>
    </row>
    <row r="609" spans="1:51" s="542" customFormat="1" ht="15" customHeight="1" x14ac:dyDescent="0.3">
      <c r="A609" s="1331"/>
      <c r="B609" s="1284"/>
      <c r="C609" s="2062"/>
      <c r="D609" s="2062"/>
      <c r="E609" s="2062"/>
      <c r="F609" s="1297"/>
      <c r="G609" s="1297"/>
      <c r="H609" s="1284"/>
      <c r="I609" s="1333"/>
      <c r="J609" s="1333"/>
      <c r="K609" s="1550"/>
      <c r="L609" s="1333"/>
      <c r="M609" s="1333"/>
      <c r="N609" s="1333"/>
      <c r="O609" s="1333"/>
      <c r="P609" s="1562"/>
      <c r="Q609" s="1562"/>
      <c r="R609" s="1562"/>
      <c r="S609" s="1563"/>
      <c r="T609" s="1564"/>
      <c r="U609" s="1284"/>
      <c r="V609" s="1284"/>
      <c r="W609" s="1333"/>
      <c r="X609" s="1333"/>
      <c r="Y609" s="1333"/>
      <c r="Z609" s="1333"/>
      <c r="AA609" s="1333"/>
      <c r="AB609" s="1333"/>
      <c r="AC609" s="1333"/>
      <c r="AD609" s="1333"/>
      <c r="AE609" s="1333"/>
      <c r="AF609" s="1333"/>
      <c r="AG609" s="1333"/>
      <c r="AH609" s="1333"/>
      <c r="AI609" s="1333"/>
      <c r="AJ609" s="1333"/>
      <c r="AK609" s="17"/>
      <c r="AL609" s="17"/>
      <c r="AM609" s="17"/>
      <c r="AN609" s="17"/>
      <c r="AO609" s="17"/>
      <c r="AP609" s="17"/>
      <c r="AQ609" s="17"/>
      <c r="AR609" s="17"/>
      <c r="AS609" s="17"/>
      <c r="AT609" s="17"/>
      <c r="AU609" s="17"/>
      <c r="AV609" s="17"/>
      <c r="AW609" s="17"/>
      <c r="AX609" s="17"/>
      <c r="AY609" s="17"/>
    </row>
    <row r="610" spans="1:51" s="542" customFormat="1" ht="15" customHeight="1" x14ac:dyDescent="0.3">
      <c r="A610" s="1331"/>
      <c r="B610" s="1284"/>
      <c r="C610" s="2062"/>
      <c r="D610" s="2062"/>
      <c r="E610" s="2062"/>
      <c r="F610" s="1297"/>
      <c r="G610" s="1297"/>
      <c r="H610" s="1284"/>
      <c r="I610" s="1333"/>
      <c r="J610" s="1333"/>
      <c r="K610" s="1550"/>
      <c r="L610" s="1333"/>
      <c r="M610" s="1333"/>
      <c r="N610" s="1333"/>
      <c r="O610" s="1333"/>
      <c r="P610" s="1562"/>
      <c r="Q610" s="1562"/>
      <c r="R610" s="1562"/>
      <c r="S610" s="1563"/>
      <c r="T610" s="1564"/>
      <c r="U610" s="1284"/>
      <c r="V610" s="1284"/>
      <c r="W610" s="1333"/>
      <c r="X610" s="1333"/>
      <c r="Y610" s="1333"/>
      <c r="Z610" s="1333"/>
      <c r="AA610" s="1333"/>
      <c r="AB610" s="1333"/>
      <c r="AC610" s="1333"/>
      <c r="AD610" s="1333"/>
      <c r="AE610" s="1333"/>
      <c r="AF610" s="1333"/>
      <c r="AG610" s="1333"/>
      <c r="AH610" s="1333"/>
      <c r="AI610" s="1333"/>
      <c r="AJ610" s="1333"/>
      <c r="AK610" s="17"/>
      <c r="AL610" s="17"/>
      <c r="AM610" s="17"/>
      <c r="AN610" s="17"/>
      <c r="AO610" s="17"/>
      <c r="AP610" s="17"/>
      <c r="AQ610" s="17"/>
      <c r="AR610" s="17"/>
      <c r="AS610" s="17"/>
      <c r="AT610" s="17"/>
      <c r="AU610" s="17"/>
      <c r="AV610" s="17"/>
      <c r="AW610" s="17"/>
      <c r="AX610" s="17"/>
      <c r="AY610" s="17"/>
    </row>
    <row r="611" spans="1:51" s="542" customFormat="1" ht="15" customHeight="1" x14ac:dyDescent="0.3">
      <c r="A611" s="1331"/>
      <c r="B611" s="1284"/>
      <c r="C611" s="2062"/>
      <c r="D611" s="2062"/>
      <c r="E611" s="2062"/>
      <c r="F611" s="1297"/>
      <c r="G611" s="1297"/>
      <c r="H611" s="1284"/>
      <c r="I611" s="1333"/>
      <c r="J611" s="1333"/>
      <c r="K611" s="1550"/>
      <c r="L611" s="1333"/>
      <c r="M611" s="1333"/>
      <c r="N611" s="1333"/>
      <c r="O611" s="1333"/>
      <c r="P611" s="1562"/>
      <c r="Q611" s="1562"/>
      <c r="R611" s="1562"/>
      <c r="S611" s="1563"/>
      <c r="T611" s="1564"/>
      <c r="U611" s="1284"/>
      <c r="V611" s="1284"/>
      <c r="W611" s="1333"/>
      <c r="X611" s="1333"/>
      <c r="Y611" s="1333"/>
      <c r="Z611" s="1333"/>
      <c r="AA611" s="1333"/>
      <c r="AB611" s="1333"/>
      <c r="AC611" s="1333"/>
      <c r="AD611" s="1333"/>
      <c r="AE611" s="1333"/>
      <c r="AF611" s="1333"/>
      <c r="AG611" s="1333"/>
      <c r="AH611" s="1333"/>
      <c r="AI611" s="1333"/>
      <c r="AJ611" s="1333"/>
      <c r="AK611" s="17"/>
      <c r="AL611" s="17"/>
      <c r="AM611" s="17"/>
      <c r="AN611" s="17"/>
      <c r="AO611" s="17"/>
      <c r="AP611" s="17"/>
      <c r="AQ611" s="17"/>
      <c r="AR611" s="17"/>
      <c r="AS611" s="17"/>
      <c r="AT611" s="17"/>
      <c r="AU611" s="17"/>
      <c r="AV611" s="17"/>
      <c r="AW611" s="17"/>
      <c r="AX611" s="17"/>
      <c r="AY611" s="17"/>
    </row>
    <row r="612" spans="1:51" s="542" customFormat="1" ht="15" customHeight="1" x14ac:dyDescent="0.3">
      <c r="A612" s="1331"/>
      <c r="B612" s="1284"/>
      <c r="C612" s="2062"/>
      <c r="D612" s="2062"/>
      <c r="E612" s="2062"/>
      <c r="F612" s="1297"/>
      <c r="G612" s="1297"/>
      <c r="H612" s="1284"/>
      <c r="I612" s="1333"/>
      <c r="J612" s="1333"/>
      <c r="K612" s="1550"/>
      <c r="L612" s="1333"/>
      <c r="M612" s="1333"/>
      <c r="N612" s="1333"/>
      <c r="O612" s="1333"/>
      <c r="P612" s="1562"/>
      <c r="Q612" s="1562"/>
      <c r="R612" s="1562"/>
      <c r="S612" s="1563"/>
      <c r="T612" s="1564"/>
      <c r="U612" s="1284"/>
      <c r="V612" s="1284"/>
      <c r="W612" s="1333"/>
      <c r="X612" s="1333"/>
      <c r="Y612" s="1333"/>
      <c r="Z612" s="1333"/>
      <c r="AA612" s="1333"/>
      <c r="AB612" s="1333"/>
      <c r="AC612" s="1333"/>
      <c r="AD612" s="1333"/>
      <c r="AE612" s="1333"/>
      <c r="AF612" s="1333"/>
      <c r="AG612" s="1333"/>
      <c r="AH612" s="1333"/>
      <c r="AI612" s="1333"/>
      <c r="AJ612" s="1333"/>
      <c r="AK612" s="17"/>
      <c r="AL612" s="17"/>
      <c r="AM612" s="17"/>
      <c r="AN612" s="17"/>
      <c r="AO612" s="17"/>
      <c r="AP612" s="17"/>
      <c r="AQ612" s="17"/>
      <c r="AR612" s="17"/>
      <c r="AS612" s="17"/>
      <c r="AT612" s="17"/>
      <c r="AU612" s="17"/>
      <c r="AV612" s="17"/>
      <c r="AW612" s="17"/>
      <c r="AX612" s="17"/>
      <c r="AY612" s="17"/>
    </row>
    <row r="613" spans="1:51" s="542" customFormat="1" ht="15" customHeight="1" x14ac:dyDescent="0.3">
      <c r="A613" s="1331"/>
      <c r="B613" s="1284"/>
      <c r="C613" s="2062"/>
      <c r="D613" s="2062"/>
      <c r="E613" s="2062"/>
      <c r="F613" s="1297"/>
      <c r="G613" s="1297"/>
      <c r="H613" s="1284"/>
      <c r="I613" s="1333"/>
      <c r="J613" s="1333"/>
      <c r="K613" s="1550"/>
      <c r="L613" s="1333"/>
      <c r="M613" s="1333"/>
      <c r="N613" s="1333"/>
      <c r="O613" s="1333"/>
      <c r="P613" s="1562"/>
      <c r="Q613" s="1562"/>
      <c r="R613" s="1562"/>
      <c r="S613" s="1563"/>
      <c r="T613" s="1564"/>
      <c r="U613" s="1284"/>
      <c r="V613" s="1284"/>
      <c r="W613" s="1333"/>
      <c r="X613" s="1333"/>
      <c r="Y613" s="1333"/>
      <c r="Z613" s="1333"/>
      <c r="AA613" s="1333"/>
      <c r="AB613" s="1333"/>
      <c r="AC613" s="1333"/>
      <c r="AD613" s="1333"/>
      <c r="AE613" s="1333"/>
      <c r="AF613" s="1333"/>
      <c r="AG613" s="1333"/>
      <c r="AH613" s="1333"/>
      <c r="AI613" s="1333"/>
      <c r="AJ613" s="1333"/>
      <c r="AK613" s="17"/>
      <c r="AL613" s="17"/>
      <c r="AM613" s="17"/>
      <c r="AN613" s="17"/>
      <c r="AO613" s="17"/>
      <c r="AP613" s="17"/>
      <c r="AQ613" s="17"/>
      <c r="AR613" s="17"/>
      <c r="AS613" s="17"/>
      <c r="AT613" s="17"/>
      <c r="AU613" s="17"/>
      <c r="AV613" s="17"/>
      <c r="AW613" s="17"/>
      <c r="AX613" s="17"/>
      <c r="AY613" s="17"/>
    </row>
    <row r="614" spans="1:51" s="542" customFormat="1" ht="15" customHeight="1" x14ac:dyDescent="0.3">
      <c r="A614" s="1331"/>
      <c r="B614" s="1284"/>
      <c r="C614" s="2062"/>
      <c r="D614" s="2062"/>
      <c r="E614" s="2062"/>
      <c r="F614" s="1297"/>
      <c r="G614" s="1297"/>
      <c r="H614" s="1284"/>
      <c r="I614" s="1333"/>
      <c r="J614" s="1333"/>
      <c r="K614" s="1550"/>
      <c r="L614" s="1333"/>
      <c r="M614" s="1333"/>
      <c r="N614" s="1333"/>
      <c r="O614" s="1333"/>
      <c r="P614" s="1562"/>
      <c r="Q614" s="1562"/>
      <c r="R614" s="1562"/>
      <c r="S614" s="1563"/>
      <c r="T614" s="1564"/>
      <c r="U614" s="1284"/>
      <c r="V614" s="1284"/>
      <c r="W614" s="1333"/>
      <c r="X614" s="1333"/>
      <c r="Y614" s="1333"/>
      <c r="Z614" s="1333"/>
      <c r="AA614" s="1333"/>
      <c r="AB614" s="1333"/>
      <c r="AC614" s="1333"/>
      <c r="AD614" s="1333"/>
      <c r="AE614" s="1333"/>
      <c r="AF614" s="1333"/>
      <c r="AG614" s="1333"/>
      <c r="AH614" s="1333"/>
      <c r="AI614" s="1333"/>
      <c r="AJ614" s="1333"/>
      <c r="AK614" s="17"/>
      <c r="AL614" s="17"/>
      <c r="AM614" s="17"/>
      <c r="AN614" s="17"/>
      <c r="AO614" s="17"/>
      <c r="AP614" s="17"/>
      <c r="AQ614" s="17"/>
      <c r="AR614" s="17"/>
      <c r="AS614" s="17"/>
      <c r="AT614" s="17"/>
      <c r="AU614" s="17"/>
      <c r="AV614" s="17"/>
      <c r="AW614" s="17"/>
      <c r="AX614" s="17"/>
      <c r="AY614" s="17"/>
    </row>
    <row r="615" spans="1:51" s="542" customFormat="1" ht="15" customHeight="1" x14ac:dyDescent="0.3">
      <c r="A615" s="1331"/>
      <c r="B615" s="1284"/>
      <c r="C615" s="2062"/>
      <c r="D615" s="2062"/>
      <c r="E615" s="2062"/>
      <c r="F615" s="1297"/>
      <c r="G615" s="1297"/>
      <c r="H615" s="1284"/>
      <c r="I615" s="1333"/>
      <c r="J615" s="1333"/>
      <c r="K615" s="1550"/>
      <c r="L615" s="1333"/>
      <c r="M615" s="1333"/>
      <c r="N615" s="1333"/>
      <c r="O615" s="1333"/>
      <c r="P615" s="1562"/>
      <c r="Q615" s="1562"/>
      <c r="R615" s="1562"/>
      <c r="S615" s="1563"/>
      <c r="T615" s="1564"/>
      <c r="U615" s="1284"/>
      <c r="V615" s="1284"/>
      <c r="W615" s="1333"/>
      <c r="X615" s="1333"/>
      <c r="Y615" s="1333"/>
      <c r="Z615" s="1333"/>
      <c r="AA615" s="1333"/>
      <c r="AB615" s="1333"/>
      <c r="AC615" s="1333"/>
      <c r="AD615" s="1333"/>
      <c r="AE615" s="1333"/>
      <c r="AF615" s="1333"/>
      <c r="AG615" s="1333"/>
      <c r="AH615" s="1333"/>
      <c r="AI615" s="1333"/>
      <c r="AJ615" s="1333"/>
      <c r="AK615" s="17"/>
      <c r="AL615" s="17"/>
      <c r="AM615" s="17"/>
      <c r="AN615" s="17"/>
      <c r="AO615" s="17"/>
      <c r="AP615" s="17"/>
      <c r="AQ615" s="17"/>
      <c r="AR615" s="17"/>
      <c r="AS615" s="17"/>
      <c r="AT615" s="17"/>
      <c r="AU615" s="17"/>
      <c r="AV615" s="17"/>
      <c r="AW615" s="17"/>
      <c r="AX615" s="17"/>
      <c r="AY615" s="17"/>
    </row>
    <row r="616" spans="1:51" s="542" customFormat="1" ht="15" customHeight="1" x14ac:dyDescent="0.3">
      <c r="A616" s="1331"/>
      <c r="B616" s="1284"/>
      <c r="C616" s="2062"/>
      <c r="D616" s="2062"/>
      <c r="E616" s="2062"/>
      <c r="F616" s="1297"/>
      <c r="G616" s="1297"/>
      <c r="H616" s="1284"/>
      <c r="I616" s="1333"/>
      <c r="J616" s="1333"/>
      <c r="K616" s="1550"/>
      <c r="L616" s="1333"/>
      <c r="M616" s="1333"/>
      <c r="N616" s="1333"/>
      <c r="O616" s="1333"/>
      <c r="P616" s="1562"/>
      <c r="Q616" s="1562"/>
      <c r="R616" s="1562"/>
      <c r="S616" s="1563"/>
      <c r="T616" s="1564"/>
      <c r="U616" s="1284"/>
      <c r="V616" s="1284"/>
      <c r="W616" s="1333"/>
      <c r="X616" s="1333"/>
      <c r="Y616" s="1333"/>
      <c r="Z616" s="1333"/>
      <c r="AA616" s="1333"/>
      <c r="AB616" s="1333"/>
      <c r="AC616" s="1333"/>
      <c r="AD616" s="1333"/>
      <c r="AE616" s="1333"/>
      <c r="AF616" s="1333"/>
      <c r="AG616" s="1333"/>
      <c r="AH616" s="1333"/>
      <c r="AI616" s="1333"/>
      <c r="AJ616" s="1333"/>
      <c r="AK616" s="17"/>
      <c r="AL616" s="17"/>
      <c r="AM616" s="17"/>
      <c r="AN616" s="17"/>
      <c r="AO616" s="17"/>
      <c r="AP616" s="17"/>
      <c r="AQ616" s="17"/>
      <c r="AR616" s="17"/>
      <c r="AS616" s="17"/>
      <c r="AT616" s="17"/>
      <c r="AU616" s="17"/>
      <c r="AV616" s="17"/>
      <c r="AW616" s="17"/>
      <c r="AX616" s="17"/>
      <c r="AY616" s="17"/>
    </row>
    <row r="617" spans="1:51" s="542" customFormat="1" ht="15" customHeight="1" x14ac:dyDescent="0.3">
      <c r="A617" s="1331"/>
      <c r="B617" s="1284"/>
      <c r="C617" s="2062"/>
      <c r="D617" s="2062"/>
      <c r="E617" s="2062"/>
      <c r="F617" s="1297"/>
      <c r="G617" s="1297"/>
      <c r="H617" s="1284"/>
      <c r="I617" s="1333"/>
      <c r="J617" s="1333"/>
      <c r="K617" s="1550"/>
      <c r="L617" s="1333"/>
      <c r="M617" s="1333"/>
      <c r="N617" s="1333"/>
      <c r="O617" s="1333"/>
      <c r="P617" s="1562"/>
      <c r="Q617" s="1562"/>
      <c r="R617" s="1562"/>
      <c r="S617" s="1563"/>
      <c r="T617" s="1564"/>
      <c r="U617" s="1284"/>
      <c r="V617" s="1284"/>
      <c r="W617" s="1333"/>
      <c r="X617" s="1333"/>
      <c r="Y617" s="1333"/>
      <c r="Z617" s="1333"/>
      <c r="AA617" s="1333"/>
      <c r="AB617" s="1333"/>
      <c r="AC617" s="1333"/>
      <c r="AD617" s="1333"/>
      <c r="AE617" s="1333"/>
      <c r="AF617" s="1333"/>
      <c r="AG617" s="1333"/>
      <c r="AH617" s="1333"/>
      <c r="AI617" s="1333"/>
      <c r="AJ617" s="1333"/>
      <c r="AK617" s="17"/>
      <c r="AL617" s="17"/>
      <c r="AM617" s="17"/>
      <c r="AN617" s="17"/>
      <c r="AO617" s="17"/>
      <c r="AP617" s="17"/>
      <c r="AQ617" s="17"/>
      <c r="AR617" s="17"/>
      <c r="AS617" s="17"/>
      <c r="AT617" s="17"/>
      <c r="AU617" s="17"/>
      <c r="AV617" s="17"/>
      <c r="AW617" s="17"/>
      <c r="AX617" s="17"/>
      <c r="AY617" s="17"/>
    </row>
    <row r="618" spans="1:51" s="542" customFormat="1" ht="15" customHeight="1" x14ac:dyDescent="0.3">
      <c r="A618" s="1331"/>
      <c r="B618" s="1284"/>
      <c r="C618" s="2062"/>
      <c r="D618" s="2062"/>
      <c r="E618" s="2062"/>
      <c r="F618" s="1297"/>
      <c r="G618" s="1297"/>
      <c r="H618" s="1284"/>
      <c r="I618" s="1333"/>
      <c r="J618" s="1333"/>
      <c r="K618" s="1550"/>
      <c r="L618" s="1333"/>
      <c r="M618" s="1333"/>
      <c r="N618" s="1333"/>
      <c r="O618" s="1333"/>
      <c r="P618" s="1562"/>
      <c r="Q618" s="1562"/>
      <c r="R618" s="1562"/>
      <c r="S618" s="1563"/>
      <c r="T618" s="1564"/>
      <c r="U618" s="1284"/>
      <c r="V618" s="1284"/>
      <c r="W618" s="1333"/>
      <c r="X618" s="1333"/>
      <c r="Y618" s="1333"/>
      <c r="Z618" s="1333"/>
      <c r="AA618" s="1333"/>
      <c r="AB618" s="1333"/>
      <c r="AC618" s="1333"/>
      <c r="AD618" s="1333"/>
      <c r="AE618" s="1333"/>
      <c r="AF618" s="1333"/>
      <c r="AG618" s="1333"/>
      <c r="AH618" s="1333"/>
      <c r="AI618" s="1333"/>
      <c r="AJ618" s="1333"/>
      <c r="AK618" s="17"/>
      <c r="AL618" s="17"/>
      <c r="AM618" s="17"/>
      <c r="AN618" s="17"/>
      <c r="AO618" s="17"/>
      <c r="AP618" s="17"/>
      <c r="AQ618" s="17"/>
      <c r="AR618" s="17"/>
      <c r="AS618" s="17"/>
      <c r="AT618" s="17"/>
      <c r="AU618" s="17"/>
      <c r="AV618" s="17"/>
      <c r="AW618" s="17"/>
      <c r="AX618" s="17"/>
      <c r="AY618" s="17"/>
    </row>
    <row r="619" spans="1:51" ht="15" customHeight="1" x14ac:dyDescent="0.3">
      <c r="A619" s="1331"/>
      <c r="B619" s="1284"/>
      <c r="C619" s="1284"/>
      <c r="D619" s="1364"/>
      <c r="E619" s="1364"/>
      <c r="F619" s="1364"/>
      <c r="G619" s="1365"/>
      <c r="H619" s="1333"/>
      <c r="I619" s="1333"/>
      <c r="J619" s="1333"/>
      <c r="K619" s="1550"/>
      <c r="L619" s="1333"/>
      <c r="M619" s="1333"/>
      <c r="N619" s="1333"/>
      <c r="O619" s="1333"/>
      <c r="P619" s="1567"/>
      <c r="Q619" s="1567"/>
      <c r="R619" s="1567"/>
      <c r="S619" s="1568"/>
      <c r="T619" s="1569"/>
      <c r="U619" s="1489"/>
      <c r="V619" s="1284"/>
      <c r="W619" s="1333"/>
      <c r="X619" s="1333"/>
      <c r="Y619" s="1333"/>
      <c r="Z619" s="1333"/>
      <c r="AA619" s="1333"/>
      <c r="AB619" s="1333"/>
      <c r="AC619" s="1333"/>
      <c r="AD619" s="1333"/>
      <c r="AE619" s="1333"/>
      <c r="AF619" s="1333"/>
      <c r="AG619" s="1333"/>
      <c r="AH619" s="1333"/>
      <c r="AI619" s="1333"/>
      <c r="AJ619" s="1333"/>
      <c r="AX619" s="17"/>
      <c r="AY619" s="17"/>
    </row>
    <row r="620" spans="1:51" ht="15" customHeight="1" x14ac:dyDescent="0.3">
      <c r="A620" s="1331"/>
      <c r="B620" s="1284"/>
      <c r="C620" s="1284"/>
      <c r="D620" s="1364"/>
      <c r="E620" s="1364"/>
      <c r="F620" s="1364"/>
      <c r="G620" s="1365"/>
      <c r="H620" s="1333"/>
      <c r="I620" s="1333"/>
      <c r="J620" s="1333"/>
      <c r="K620" s="1550"/>
      <c r="L620" s="1333"/>
      <c r="M620" s="1333"/>
      <c r="N620" s="1333"/>
      <c r="O620" s="1333"/>
      <c r="P620" s="1533"/>
      <c r="Q620" s="1533"/>
      <c r="R620" s="1533"/>
      <c r="S620" s="1541"/>
      <c r="T620" s="1535"/>
      <c r="U620" s="1284"/>
      <c r="V620" s="1284"/>
      <c r="W620" s="1333"/>
      <c r="X620" s="1333"/>
      <c r="Y620" s="1333"/>
      <c r="Z620" s="1333"/>
      <c r="AA620" s="1333"/>
      <c r="AB620" s="1333"/>
      <c r="AC620" s="1333"/>
      <c r="AD620" s="1333"/>
      <c r="AE620" s="1333"/>
      <c r="AF620" s="1333"/>
      <c r="AG620" s="1333"/>
      <c r="AH620" s="1333"/>
      <c r="AI620" s="1333"/>
      <c r="AJ620" s="1333"/>
      <c r="AX620" s="17"/>
      <c r="AY620" s="17"/>
    </row>
    <row r="621" spans="1:51" ht="15" customHeight="1" x14ac:dyDescent="0.3">
      <c r="A621" s="1331"/>
      <c r="B621" s="1284"/>
      <c r="C621" s="1284"/>
      <c r="D621" s="1364"/>
      <c r="E621" s="1364"/>
      <c r="F621" s="1364"/>
      <c r="G621" s="1365"/>
      <c r="H621" s="1333"/>
      <c r="I621" s="1333"/>
      <c r="J621" s="1333"/>
      <c r="K621" s="1550"/>
      <c r="L621" s="1333"/>
      <c r="M621" s="1333"/>
      <c r="N621" s="1333"/>
      <c r="O621" s="1333"/>
      <c r="P621" s="1562"/>
      <c r="Q621" s="1562"/>
      <c r="R621" s="1562"/>
      <c r="S621" s="1563"/>
      <c r="T621" s="1570"/>
      <c r="U621" s="1284"/>
      <c r="V621" s="1284"/>
      <c r="W621" s="1333"/>
      <c r="X621" s="1333"/>
      <c r="Y621" s="1333"/>
      <c r="Z621" s="1333"/>
      <c r="AA621" s="1333"/>
      <c r="AB621" s="1333"/>
      <c r="AC621" s="1333"/>
      <c r="AD621" s="1333"/>
      <c r="AE621" s="1333"/>
      <c r="AF621" s="1333"/>
      <c r="AG621" s="1333"/>
      <c r="AH621" s="1333"/>
      <c r="AI621" s="1333"/>
      <c r="AJ621" s="1333"/>
      <c r="AX621" s="17"/>
      <c r="AY621" s="17"/>
    </row>
    <row r="622" spans="1:51" ht="15" customHeight="1" x14ac:dyDescent="0.3">
      <c r="A622" s="1331"/>
      <c r="B622" s="1284"/>
      <c r="C622" s="1284"/>
      <c r="D622" s="1364"/>
      <c r="E622" s="1364"/>
      <c r="F622" s="1364"/>
      <c r="G622" s="1365"/>
      <c r="H622" s="1333"/>
      <c r="I622" s="1333"/>
      <c r="J622" s="1333"/>
      <c r="K622" s="1550"/>
      <c r="L622" s="1333"/>
      <c r="M622" s="1333"/>
      <c r="N622" s="1333"/>
      <c r="O622" s="1333"/>
      <c r="P622" s="1571"/>
      <c r="Q622" s="1571"/>
      <c r="R622" s="1571"/>
      <c r="S622" s="1572"/>
      <c r="T622" s="1274"/>
      <c r="U622" s="1284"/>
      <c r="V622" s="1284"/>
      <c r="W622" s="1333"/>
      <c r="X622" s="1333"/>
      <c r="Y622" s="1333"/>
      <c r="Z622" s="1333"/>
      <c r="AA622" s="1333"/>
      <c r="AB622" s="1333"/>
      <c r="AC622" s="1333"/>
      <c r="AD622" s="1333"/>
      <c r="AE622" s="1333"/>
      <c r="AF622" s="1333"/>
      <c r="AG622" s="1333"/>
      <c r="AH622" s="1333"/>
      <c r="AI622" s="1333"/>
      <c r="AJ622" s="1333"/>
      <c r="AX622" s="17"/>
      <c r="AY622" s="17"/>
    </row>
    <row r="623" spans="1:51" ht="15" customHeight="1" x14ac:dyDescent="0.3">
      <c r="A623" s="1331"/>
      <c r="B623" s="1284"/>
      <c r="C623" s="1284"/>
      <c r="D623" s="1364"/>
      <c r="E623" s="1364"/>
      <c r="F623" s="1364"/>
      <c r="G623" s="1365"/>
      <c r="H623" s="1333"/>
      <c r="I623" s="1333"/>
      <c r="J623" s="1333"/>
      <c r="K623" s="1550"/>
      <c r="L623" s="1333"/>
      <c r="M623" s="1333"/>
      <c r="N623" s="1333"/>
      <c r="O623" s="1333"/>
      <c r="P623" s="1573"/>
      <c r="Q623" s="1573"/>
      <c r="R623" s="1573"/>
      <c r="S623" s="1573"/>
      <c r="T623" s="1274"/>
      <c r="U623" s="1489"/>
      <c r="V623" s="1284"/>
      <c r="W623" s="1333"/>
      <c r="X623" s="1333"/>
      <c r="Y623" s="1333"/>
      <c r="Z623" s="1333"/>
      <c r="AA623" s="1333"/>
      <c r="AB623" s="1333"/>
      <c r="AC623" s="1333"/>
      <c r="AD623" s="1333"/>
      <c r="AE623" s="1333"/>
      <c r="AF623" s="1333"/>
      <c r="AG623" s="1333"/>
      <c r="AH623" s="1333"/>
      <c r="AI623" s="1333"/>
      <c r="AJ623" s="1333"/>
      <c r="AX623" s="17"/>
      <c r="AY623" s="17"/>
    </row>
    <row r="624" spans="1:51" ht="15" customHeight="1" x14ac:dyDescent="0.25">
      <c r="A624" s="1331"/>
      <c r="B624" s="1284"/>
      <c r="C624" s="1284"/>
      <c r="D624" s="1364"/>
      <c r="E624" s="1364"/>
      <c r="F624" s="1364"/>
      <c r="G624" s="1365"/>
      <c r="H624" s="1333"/>
      <c r="I624" s="1333"/>
      <c r="J624" s="1333"/>
      <c r="K624" s="1576" t="str">
        <f>CONCATENATE('04 - 95% CD'!D515,'04 - 95% CD'!E515,,'04 - 95% CD'!F515,)</f>
        <v/>
      </c>
      <c r="L624" s="1333"/>
      <c r="M624" s="1333"/>
      <c r="N624" s="1333"/>
      <c r="O624" s="1333"/>
      <c r="P624" s="1562"/>
      <c r="Q624" s="1562"/>
      <c r="R624" s="1562"/>
      <c r="S624" s="1566"/>
      <c r="T624" s="1492"/>
      <c r="U624" s="1284"/>
      <c r="V624" s="1284"/>
      <c r="W624" s="1333"/>
      <c r="X624" s="1333"/>
      <c r="Y624" s="1333"/>
      <c r="Z624" s="1333"/>
      <c r="AA624" s="1333"/>
      <c r="AB624" s="1333"/>
      <c r="AC624" s="1333"/>
      <c r="AD624" s="1333"/>
      <c r="AE624" s="1333"/>
      <c r="AF624" s="1333"/>
      <c r="AG624" s="1333"/>
      <c r="AH624" s="1333"/>
      <c r="AI624" s="1333"/>
      <c r="AJ624" s="1333"/>
      <c r="AX624" s="17"/>
      <c r="AY624" s="17"/>
    </row>
    <row r="625" spans="1:51" ht="15" customHeight="1" x14ac:dyDescent="0.25">
      <c r="A625" s="1331"/>
      <c r="B625" s="1284"/>
      <c r="C625" s="1284"/>
      <c r="D625" s="1364"/>
      <c r="E625" s="1364"/>
      <c r="F625" s="1364"/>
      <c r="G625" s="1365"/>
      <c r="H625" s="1333"/>
      <c r="I625" s="1333"/>
      <c r="J625" s="1333"/>
      <c r="K625" s="1576" t="str">
        <f>CONCATENATE('04 - 95% CD'!D516,'04 - 95% CD'!E516,,'04 - 95% CD'!F516,)</f>
        <v/>
      </c>
      <c r="L625" s="1333"/>
      <c r="M625" s="1333"/>
      <c r="N625" s="1333"/>
      <c r="O625" s="1333"/>
      <c r="P625" s="1562"/>
      <c r="Q625" s="1562"/>
      <c r="R625" s="1562"/>
      <c r="S625" s="1566"/>
      <c r="T625" s="1492"/>
      <c r="U625" s="1284"/>
      <c r="V625" s="1284"/>
      <c r="W625" s="1333"/>
      <c r="X625" s="1333"/>
      <c r="Y625" s="1333"/>
      <c r="Z625" s="1333"/>
      <c r="AA625" s="1333"/>
      <c r="AB625" s="1333"/>
      <c r="AC625" s="1333"/>
      <c r="AD625" s="1333"/>
      <c r="AE625" s="1333"/>
      <c r="AF625" s="1333"/>
      <c r="AG625" s="1333"/>
      <c r="AH625" s="1333"/>
      <c r="AI625" s="1333"/>
      <c r="AJ625" s="1333"/>
      <c r="AX625" s="17"/>
      <c r="AY625" s="17"/>
    </row>
    <row r="626" spans="1:51" ht="15" customHeight="1" x14ac:dyDescent="0.25">
      <c r="A626" s="1331"/>
      <c r="B626" s="1284"/>
      <c r="C626" s="1284"/>
      <c r="D626" s="1364"/>
      <c r="E626" s="1364"/>
      <c r="F626" s="1364"/>
      <c r="G626" s="1365"/>
      <c r="H626" s="1333"/>
      <c r="I626" s="1333"/>
      <c r="J626" s="1333"/>
      <c r="K626" s="1576" t="str">
        <f>CONCATENATE('04 - 95% CD'!D517,'04 - 95% CD'!E517,,'04 - 95% CD'!F517,)</f>
        <v/>
      </c>
      <c r="L626" s="1333"/>
      <c r="M626" s="1333"/>
      <c r="N626" s="1333"/>
      <c r="O626" s="1333"/>
      <c r="P626" s="1562"/>
      <c r="Q626" s="1565"/>
      <c r="R626" s="1492"/>
      <c r="S626" s="1364"/>
      <c r="T626" s="1284"/>
      <c r="U626" s="1333"/>
      <c r="V626" s="1333"/>
      <c r="W626" s="1333"/>
      <c r="X626" s="1333"/>
      <c r="Y626" s="1333"/>
      <c r="Z626" s="1333"/>
      <c r="AA626" s="1333"/>
      <c r="AB626" s="1333"/>
      <c r="AC626" s="1333"/>
      <c r="AD626" s="1333"/>
      <c r="AE626" s="1333"/>
      <c r="AF626" s="1333"/>
      <c r="AG626" s="1333"/>
      <c r="AH626" s="1333"/>
      <c r="AI626" s="1333"/>
      <c r="AJ626" s="1333"/>
    </row>
    <row r="627" spans="1:51" ht="15" customHeight="1" x14ac:dyDescent="0.25">
      <c r="A627" s="1331"/>
      <c r="B627" s="1284"/>
      <c r="C627" s="1284"/>
      <c r="D627" s="1364"/>
      <c r="E627" s="1364"/>
      <c r="F627" s="1364"/>
      <c r="G627" s="1365"/>
      <c r="H627" s="1333"/>
      <c r="I627" s="1333"/>
      <c r="J627" s="1333"/>
      <c r="K627" s="1576" t="str">
        <f>CONCATENATE('04 - 95% CD'!D518,'04 - 95% CD'!E518,,'04 - 95% CD'!F518,)</f>
        <v/>
      </c>
      <c r="L627" s="1333"/>
      <c r="M627" s="1333"/>
      <c r="N627" s="1333"/>
      <c r="O627" s="1333"/>
      <c r="P627" s="1562"/>
      <c r="Q627" s="1565"/>
      <c r="R627" s="1492"/>
      <c r="S627" s="1364"/>
      <c r="T627" s="1284"/>
      <c r="U627" s="1333"/>
      <c r="V627" s="1333"/>
      <c r="W627" s="1333"/>
      <c r="X627" s="1333"/>
      <c r="Y627" s="1333"/>
      <c r="Z627" s="1333"/>
      <c r="AA627" s="1333"/>
      <c r="AB627" s="1333"/>
      <c r="AC627" s="1333"/>
      <c r="AD627" s="1333"/>
      <c r="AE627" s="1333"/>
      <c r="AF627" s="1333"/>
      <c r="AG627" s="1333"/>
      <c r="AH627" s="1333"/>
      <c r="AI627" s="1333"/>
      <c r="AJ627" s="1333"/>
    </row>
    <row r="628" spans="1:51" ht="15" customHeight="1" x14ac:dyDescent="0.25">
      <c r="A628" s="1331"/>
      <c r="B628" s="1284"/>
      <c r="C628" s="1284"/>
      <c r="D628" s="1364"/>
      <c r="E628" s="1364"/>
      <c r="F628" s="1364"/>
      <c r="G628" s="1365"/>
      <c r="H628" s="1333"/>
      <c r="I628" s="1333"/>
      <c r="J628" s="1333"/>
      <c r="K628" s="1576" t="str">
        <f>CONCATENATE('04 - 95% CD'!D519,'04 - 95% CD'!E519,,'04 - 95% CD'!F519,)</f>
        <v/>
      </c>
      <c r="L628" s="1333"/>
      <c r="M628" s="1333"/>
      <c r="N628" s="1333"/>
      <c r="O628" s="1333"/>
      <c r="P628" s="1333"/>
      <c r="Q628" s="1333"/>
      <c r="R628" s="1453"/>
      <c r="S628" s="1364"/>
      <c r="T628" s="1284"/>
      <c r="U628" s="1333"/>
      <c r="V628" s="1333"/>
      <c r="W628" s="1333"/>
      <c r="X628" s="1333"/>
      <c r="Y628" s="1333"/>
      <c r="Z628" s="1333"/>
      <c r="AA628" s="1333"/>
      <c r="AB628" s="1333"/>
      <c r="AC628" s="1333"/>
      <c r="AD628" s="1333"/>
      <c r="AE628" s="1333"/>
      <c r="AF628" s="1333"/>
      <c r="AG628" s="1333"/>
      <c r="AH628" s="1333"/>
      <c r="AI628" s="1333"/>
      <c r="AJ628" s="1333"/>
    </row>
    <row r="629" spans="1:51" ht="15" customHeight="1" x14ac:dyDescent="0.25">
      <c r="A629" s="1331"/>
      <c r="B629" s="1284"/>
      <c r="C629" s="1284"/>
      <c r="D629" s="1364"/>
      <c r="E629" s="1364"/>
      <c r="F629" s="1364"/>
      <c r="G629" s="1365"/>
      <c r="H629" s="1333"/>
      <c r="I629" s="1333"/>
      <c r="J629" s="1333"/>
      <c r="K629" s="1576" t="str">
        <f>CONCATENATE('04 - 95% CD'!D520,'04 - 95% CD'!E520,,'04 - 95% CD'!F520,)</f>
        <v/>
      </c>
      <c r="L629" s="1333"/>
      <c r="M629" s="1333"/>
      <c r="N629" s="1333"/>
      <c r="O629" s="1333"/>
      <c r="P629" s="1333"/>
      <c r="Q629" s="1333"/>
      <c r="R629" s="1453"/>
      <c r="S629" s="1364"/>
      <c r="T629" s="1284"/>
      <c r="U629" s="1333"/>
      <c r="V629" s="1333"/>
      <c r="W629" s="1333"/>
      <c r="X629" s="1333"/>
      <c r="Y629" s="1333"/>
      <c r="Z629" s="1333"/>
      <c r="AA629" s="1333"/>
      <c r="AB629" s="1333"/>
      <c r="AC629" s="1333"/>
      <c r="AD629" s="1333"/>
      <c r="AE629" s="1333"/>
      <c r="AF629" s="1333"/>
      <c r="AG629" s="1333"/>
      <c r="AH629" s="1333"/>
      <c r="AI629" s="1333"/>
      <c r="AJ629" s="1333"/>
    </row>
    <row r="630" spans="1:51" ht="15" customHeight="1" x14ac:dyDescent="0.25">
      <c r="A630" s="1331"/>
      <c r="B630" s="1284"/>
      <c r="C630" s="1284"/>
      <c r="D630" s="1364"/>
      <c r="E630" s="1364"/>
      <c r="F630" s="1364"/>
      <c r="G630" s="1365"/>
      <c r="H630" s="1333"/>
      <c r="I630" s="1333"/>
      <c r="J630" s="1333"/>
      <c r="K630" s="1576" t="str">
        <f>CONCATENATE('04 - 95% CD'!D521,'04 - 95% CD'!E521,,'04 - 95% CD'!F521,)</f>
        <v/>
      </c>
      <c r="L630" s="1333"/>
      <c r="M630" s="1333"/>
      <c r="N630" s="1333"/>
      <c r="O630" s="1333"/>
      <c r="P630" s="1333"/>
      <c r="Q630" s="1333"/>
      <c r="R630" s="1453"/>
      <c r="S630" s="1364"/>
      <c r="T630" s="1284"/>
      <c r="U630" s="1333"/>
      <c r="V630" s="1333"/>
      <c r="W630" s="1333"/>
      <c r="X630" s="1333"/>
      <c r="Y630" s="1333"/>
      <c r="Z630" s="1333"/>
      <c r="AA630" s="1333"/>
      <c r="AB630" s="1333"/>
      <c r="AC630" s="1333"/>
      <c r="AD630" s="1333"/>
      <c r="AE630" s="1333"/>
      <c r="AF630" s="1333"/>
      <c r="AG630" s="1333"/>
      <c r="AH630" s="1333"/>
      <c r="AI630" s="1333"/>
      <c r="AJ630" s="1333"/>
    </row>
    <row r="631" spans="1:51" ht="15" customHeight="1" x14ac:dyDescent="0.25">
      <c r="A631" s="1331"/>
      <c r="B631" s="1284"/>
      <c r="C631" s="1284"/>
      <c r="D631" s="1364"/>
      <c r="E631" s="1364"/>
      <c r="F631" s="1364"/>
      <c r="G631" s="1365"/>
      <c r="H631" s="1333"/>
      <c r="I631" s="1333"/>
      <c r="J631" s="1333"/>
      <c r="K631" s="1576" t="str">
        <f>CONCATENATE('04 - 95% CD'!D522,'04 - 95% CD'!E522,,'04 - 95% CD'!F522,)</f>
        <v/>
      </c>
      <c r="L631" s="1333"/>
      <c r="M631" s="1333"/>
      <c r="N631" s="1333"/>
      <c r="O631" s="1333"/>
      <c r="P631" s="1333"/>
      <c r="Q631" s="1333"/>
      <c r="R631" s="1454"/>
      <c r="S631" s="1364"/>
      <c r="T631" s="1284"/>
      <c r="U631" s="1333"/>
      <c r="V631" s="1333"/>
      <c r="W631" s="1333"/>
      <c r="X631" s="1333"/>
      <c r="Y631" s="1333"/>
      <c r="Z631" s="1333"/>
      <c r="AA631" s="1333"/>
      <c r="AB631" s="1333"/>
      <c r="AC631" s="1333"/>
      <c r="AD631" s="1333"/>
      <c r="AE631" s="1333"/>
      <c r="AF631" s="1333"/>
      <c r="AG631" s="1333"/>
      <c r="AH631" s="1333"/>
      <c r="AI631" s="1333"/>
      <c r="AJ631" s="1333"/>
    </row>
    <row r="632" spans="1:51" ht="15" customHeight="1" x14ac:dyDescent="0.25">
      <c r="A632" s="1331"/>
      <c r="B632" s="1284"/>
      <c r="C632" s="1284"/>
      <c r="D632" s="1364"/>
      <c r="E632" s="1364"/>
      <c r="F632" s="1364"/>
      <c r="G632" s="1365"/>
      <c r="H632" s="1333"/>
      <c r="I632" s="1333"/>
      <c r="J632" s="1333"/>
      <c r="K632" s="1576" t="str">
        <f>CONCATENATE('04 - 95% CD'!D523,'04 - 95% CD'!E523,,'04 - 95% CD'!F523,)</f>
        <v/>
      </c>
      <c r="L632" s="1333"/>
      <c r="M632" s="1333"/>
      <c r="N632" s="1333"/>
      <c r="O632" s="1333"/>
      <c r="P632" s="1333"/>
      <c r="Q632" s="1333"/>
      <c r="R632" s="1454"/>
      <c r="S632" s="1364"/>
      <c r="T632" s="1284"/>
      <c r="U632" s="1333"/>
      <c r="V632" s="1333"/>
      <c r="W632" s="1333"/>
      <c r="X632" s="1333"/>
      <c r="Y632" s="1333"/>
      <c r="Z632" s="1333"/>
      <c r="AA632" s="1333"/>
      <c r="AB632" s="1333"/>
      <c r="AC632" s="1333"/>
      <c r="AD632" s="1333"/>
      <c r="AE632" s="1333"/>
      <c r="AF632" s="1333"/>
      <c r="AG632" s="1333"/>
      <c r="AH632" s="1333"/>
      <c r="AI632" s="1333"/>
      <c r="AJ632" s="1333"/>
    </row>
    <row r="633" spans="1:51" ht="15" customHeight="1" x14ac:dyDescent="0.25">
      <c r="A633" s="1331"/>
      <c r="B633" s="1284"/>
      <c r="C633" s="1284"/>
      <c r="D633" s="1364"/>
      <c r="E633" s="1364"/>
      <c r="F633" s="1364"/>
      <c r="G633" s="1365"/>
      <c r="H633" s="1333"/>
      <c r="I633" s="1333"/>
      <c r="J633" s="1333"/>
      <c r="K633" s="1576" t="str">
        <f>CONCATENATE('04 - 95% CD'!D524,'04 - 95% CD'!E524,,'04 - 95% CD'!F524,)</f>
        <v/>
      </c>
      <c r="L633" s="1333"/>
      <c r="M633" s="1333"/>
      <c r="N633" s="1333"/>
      <c r="O633" s="1333"/>
      <c r="P633" s="1333"/>
      <c r="Q633" s="1333"/>
      <c r="R633" s="1454"/>
      <c r="S633" s="1364"/>
      <c r="T633" s="1284"/>
      <c r="U633" s="1333"/>
      <c r="V633" s="1333"/>
      <c r="W633" s="1333"/>
      <c r="X633" s="1333"/>
      <c r="Y633" s="1333"/>
      <c r="Z633" s="1333"/>
      <c r="AA633" s="1333"/>
      <c r="AB633" s="1333"/>
      <c r="AC633" s="1333"/>
      <c r="AD633" s="1333"/>
      <c r="AE633" s="1333"/>
      <c r="AF633" s="1333"/>
      <c r="AG633" s="1333"/>
      <c r="AH633" s="1333"/>
      <c r="AI633" s="1333"/>
      <c r="AJ633" s="1333"/>
    </row>
    <row r="634" spans="1:51" ht="15" customHeight="1" x14ac:dyDescent="0.25">
      <c r="A634" s="1331"/>
      <c r="B634" s="1284"/>
      <c r="C634" s="1284"/>
      <c r="D634" s="1364"/>
      <c r="E634" s="1364"/>
      <c r="F634" s="1364"/>
      <c r="G634" s="1365"/>
      <c r="H634" s="1333"/>
      <c r="I634" s="1333"/>
      <c r="J634" s="1333"/>
      <c r="K634" s="1333"/>
      <c r="L634" s="1333"/>
      <c r="M634" s="1333"/>
      <c r="N634" s="1333"/>
      <c r="O634" s="1333"/>
      <c r="P634" s="1333"/>
      <c r="Q634" s="1333"/>
      <c r="R634" s="1454"/>
      <c r="S634" s="1364"/>
      <c r="T634" s="1284"/>
      <c r="U634" s="1333"/>
      <c r="V634" s="1333"/>
      <c r="W634" s="1333"/>
      <c r="X634" s="1333"/>
      <c r="Y634" s="1333"/>
      <c r="Z634" s="1333"/>
      <c r="AA634" s="1333"/>
      <c r="AB634" s="1333"/>
      <c r="AC634" s="1333"/>
      <c r="AD634" s="1333"/>
      <c r="AE634" s="1333"/>
      <c r="AF634" s="1333"/>
      <c r="AG634" s="1333"/>
      <c r="AH634" s="1333"/>
      <c r="AI634" s="1333"/>
      <c r="AJ634" s="1333"/>
    </row>
    <row r="635" spans="1:51" ht="15" customHeight="1" x14ac:dyDescent="0.25">
      <c r="A635" s="1331"/>
      <c r="B635" s="1284"/>
      <c r="C635" s="1284"/>
      <c r="D635" s="1364"/>
      <c r="E635" s="1364"/>
      <c r="F635" s="1364"/>
      <c r="G635" s="1365"/>
      <c r="H635" s="1333"/>
      <c r="I635" s="1333"/>
      <c r="J635" s="1333"/>
      <c r="K635" s="1333"/>
      <c r="L635" s="1333"/>
      <c r="M635" s="1333"/>
      <c r="N635" s="1333"/>
      <c r="O635" s="1333"/>
      <c r="P635" s="1333"/>
      <c r="Q635" s="1333"/>
      <c r="R635" s="1454"/>
      <c r="S635" s="1364"/>
      <c r="T635" s="1284"/>
      <c r="U635" s="1333"/>
      <c r="V635" s="1333"/>
      <c r="W635" s="1333"/>
      <c r="X635" s="1333"/>
      <c r="Y635" s="1333"/>
      <c r="Z635" s="1333"/>
      <c r="AA635" s="1333"/>
      <c r="AB635" s="1333"/>
      <c r="AC635" s="1333"/>
      <c r="AD635" s="1333"/>
      <c r="AE635" s="1333"/>
      <c r="AF635" s="1333"/>
      <c r="AG635" s="1333"/>
      <c r="AH635" s="1333"/>
      <c r="AI635" s="1333"/>
      <c r="AJ635" s="1333"/>
    </row>
    <row r="636" spans="1:51" ht="15" customHeight="1" x14ac:dyDescent="0.25">
      <c r="A636" s="1331"/>
      <c r="B636" s="1284"/>
      <c r="C636" s="1284"/>
      <c r="D636" s="1364"/>
      <c r="E636" s="1364"/>
      <c r="F636" s="1364"/>
      <c r="G636" s="1365"/>
      <c r="H636" s="1333"/>
      <c r="I636" s="1333"/>
      <c r="J636" s="1333"/>
      <c r="K636" s="1333"/>
      <c r="L636" s="1333"/>
      <c r="M636" s="1333"/>
      <c r="N636" s="1333"/>
      <c r="O636" s="1333"/>
      <c r="P636" s="1333"/>
      <c r="Q636" s="1333"/>
      <c r="R636" s="1454"/>
      <c r="S636" s="1364"/>
      <c r="T636" s="1284"/>
      <c r="U636" s="1333"/>
      <c r="V636" s="1333"/>
      <c r="W636" s="1333"/>
      <c r="X636" s="1333"/>
      <c r="Y636" s="1333"/>
      <c r="Z636" s="1333"/>
      <c r="AA636" s="1333"/>
      <c r="AB636" s="1333"/>
      <c r="AC636" s="1333"/>
      <c r="AD636" s="1333"/>
      <c r="AE636" s="1333"/>
      <c r="AF636" s="1333"/>
      <c r="AG636" s="1333"/>
      <c r="AH636" s="1333"/>
      <c r="AI636" s="1333"/>
      <c r="AJ636" s="1333"/>
    </row>
    <row r="637" spans="1:51" ht="15" customHeight="1" x14ac:dyDescent="0.25">
      <c r="A637" s="1331"/>
      <c r="B637" s="1284"/>
      <c r="C637" s="1284"/>
      <c r="D637" s="1364"/>
      <c r="E637" s="1364"/>
      <c r="F637" s="1364"/>
      <c r="G637" s="1365"/>
      <c r="H637" s="1333"/>
      <c r="I637" s="1333"/>
      <c r="J637" s="1333"/>
      <c r="K637" s="1333"/>
      <c r="L637" s="1333"/>
      <c r="M637" s="1333"/>
      <c r="N637" s="1333"/>
      <c r="O637" s="1333"/>
      <c r="P637" s="1333"/>
      <c r="Q637" s="1333"/>
      <c r="R637" s="1454"/>
      <c r="S637" s="1364"/>
      <c r="T637" s="1284"/>
      <c r="U637" s="1333"/>
      <c r="V637" s="1333"/>
      <c r="W637" s="1333"/>
      <c r="X637" s="1333"/>
      <c r="Y637" s="1333"/>
      <c r="Z637" s="1333"/>
      <c r="AA637" s="1333"/>
      <c r="AB637" s="1333"/>
      <c r="AC637" s="1333"/>
      <c r="AD637" s="1333"/>
      <c r="AE637" s="1333"/>
      <c r="AF637" s="1333"/>
      <c r="AG637" s="1333"/>
      <c r="AH637" s="1333"/>
      <c r="AI637" s="1333"/>
      <c r="AJ637" s="1333"/>
    </row>
    <row r="638" spans="1:51" ht="15" customHeight="1" x14ac:dyDescent="0.25">
      <c r="A638" s="1331"/>
      <c r="B638" s="1284"/>
      <c r="C638" s="1284"/>
      <c r="D638" s="1364"/>
      <c r="E638" s="1364"/>
      <c r="F638" s="1364"/>
      <c r="G638" s="1365"/>
      <c r="H638" s="1333"/>
      <c r="I638" s="1333"/>
      <c r="J638" s="1333"/>
      <c r="K638" s="1333"/>
      <c r="L638" s="1333"/>
      <c r="M638" s="1333"/>
      <c r="N638" s="1333"/>
      <c r="O638" s="1333"/>
      <c r="P638" s="1333"/>
      <c r="Q638" s="1333"/>
      <c r="R638" s="1453"/>
      <c r="S638" s="1364"/>
      <c r="T638" s="1284"/>
      <c r="U638" s="1333"/>
      <c r="V638" s="1333"/>
      <c r="W638" s="1333"/>
      <c r="X638" s="1333"/>
      <c r="Y638" s="1333"/>
      <c r="Z638" s="1333"/>
      <c r="AA638" s="1333"/>
      <c r="AB638" s="1333"/>
      <c r="AC638" s="1333"/>
      <c r="AD638" s="1333"/>
      <c r="AE638" s="1333"/>
      <c r="AF638" s="1333"/>
      <c r="AG638" s="1333"/>
      <c r="AH638" s="1333"/>
      <c r="AI638" s="1333"/>
      <c r="AJ638" s="1333"/>
    </row>
    <row r="639" spans="1:51" ht="15" customHeight="1" x14ac:dyDescent="0.25">
      <c r="A639" s="1331"/>
      <c r="B639" s="1284"/>
      <c r="C639" s="1284"/>
      <c r="D639" s="1364"/>
      <c r="E639" s="1364"/>
      <c r="F639" s="1364"/>
      <c r="G639" s="1365"/>
      <c r="H639" s="1333"/>
      <c r="I639" s="1333"/>
      <c r="J639" s="1333"/>
      <c r="K639" s="1333"/>
      <c r="L639" s="1333"/>
      <c r="M639" s="1333"/>
      <c r="N639" s="1333"/>
      <c r="O639" s="1333"/>
      <c r="P639" s="1333"/>
      <c r="Q639" s="1333"/>
      <c r="R639" s="1284"/>
      <c r="S639" s="1513"/>
      <c r="T639" s="1284"/>
      <c r="U639" s="1333"/>
      <c r="V639" s="1333"/>
      <c r="W639" s="1333"/>
      <c r="X639" s="1333"/>
      <c r="Y639" s="1333"/>
      <c r="Z639" s="1333"/>
      <c r="AA639" s="1333"/>
      <c r="AB639" s="1333"/>
      <c r="AC639" s="1333"/>
      <c r="AD639" s="1333"/>
      <c r="AE639" s="1333"/>
      <c r="AF639" s="1333"/>
      <c r="AG639" s="1333"/>
      <c r="AH639" s="1333"/>
      <c r="AI639" s="1333"/>
      <c r="AJ639" s="1333"/>
    </row>
    <row r="640" spans="1:51" ht="15" customHeight="1" x14ac:dyDescent="0.25">
      <c r="A640" s="1331"/>
      <c r="B640" s="1284"/>
      <c r="C640" s="1284"/>
      <c r="D640" s="1364"/>
      <c r="E640" s="1364"/>
      <c r="F640" s="1364"/>
      <c r="G640" s="1365"/>
      <c r="H640" s="1333"/>
      <c r="I640" s="1333"/>
      <c r="J640" s="1333"/>
      <c r="K640" s="1333"/>
      <c r="L640" s="1333"/>
      <c r="M640" s="1333"/>
      <c r="N640" s="1333"/>
      <c r="O640" s="1333"/>
      <c r="P640" s="1333"/>
      <c r="Q640" s="1333"/>
      <c r="R640" s="1453"/>
      <c r="S640" s="1364"/>
      <c r="T640" s="1284"/>
      <c r="U640" s="1333"/>
      <c r="V640" s="1333"/>
      <c r="W640" s="1333"/>
      <c r="X640" s="1333"/>
      <c r="Y640" s="1333"/>
      <c r="Z640" s="1333"/>
      <c r="AA640" s="1333"/>
      <c r="AB640" s="1333"/>
      <c r="AC640" s="1333"/>
      <c r="AD640" s="1333"/>
      <c r="AE640" s="1333"/>
      <c r="AF640" s="1333"/>
      <c r="AG640" s="1333"/>
      <c r="AH640" s="1333"/>
      <c r="AI640" s="1333"/>
      <c r="AJ640" s="1333"/>
    </row>
    <row r="641" spans="1:36" ht="15" customHeight="1" x14ac:dyDescent="0.25">
      <c r="A641" s="1331"/>
      <c r="B641" s="1284"/>
      <c r="C641" s="1284"/>
      <c r="D641" s="1364"/>
      <c r="E641" s="1364"/>
      <c r="F641" s="1364"/>
      <c r="G641" s="1365"/>
      <c r="H641" s="1333"/>
      <c r="I641" s="1333"/>
      <c r="J641" s="1333"/>
      <c r="K641" s="1333"/>
      <c r="L641" s="1333"/>
      <c r="M641" s="1333"/>
      <c r="N641" s="1333"/>
      <c r="O641" s="1333"/>
      <c r="P641" s="1333"/>
      <c r="Q641" s="1333"/>
      <c r="R641" s="1453"/>
      <c r="S641" s="1364"/>
      <c r="T641" s="1284"/>
      <c r="U641" s="1333"/>
      <c r="V641" s="1333"/>
      <c r="W641" s="1333"/>
      <c r="X641" s="1333"/>
      <c r="Y641" s="1333"/>
      <c r="Z641" s="1333"/>
      <c r="AA641" s="1333"/>
      <c r="AB641" s="1333"/>
      <c r="AC641" s="1333"/>
      <c r="AD641" s="1333"/>
      <c r="AE641" s="1333"/>
      <c r="AF641" s="1333"/>
      <c r="AG641" s="1333"/>
      <c r="AH641" s="1333"/>
      <c r="AI641" s="1333"/>
      <c r="AJ641" s="1333"/>
    </row>
    <row r="642" spans="1:36" ht="15" customHeight="1" x14ac:dyDescent="0.25">
      <c r="A642" s="1331"/>
      <c r="B642" s="1284"/>
      <c r="C642" s="1284"/>
      <c r="D642" s="1364"/>
      <c r="E642" s="1364"/>
      <c r="F642" s="1364"/>
      <c r="G642" s="1365"/>
      <c r="H642" s="1333"/>
      <c r="I642" s="1333"/>
      <c r="J642" s="1333"/>
      <c r="K642" s="1333"/>
      <c r="L642" s="1333"/>
      <c r="M642" s="1333"/>
      <c r="N642" s="1333"/>
      <c r="O642" s="1333"/>
      <c r="P642" s="1333"/>
      <c r="Q642" s="1333"/>
      <c r="R642" s="1453"/>
      <c r="S642" s="1364"/>
      <c r="T642" s="1284"/>
      <c r="U642" s="1333"/>
      <c r="V642" s="1333"/>
      <c r="W642" s="1333"/>
      <c r="X642" s="1333"/>
      <c r="Y642" s="1333"/>
      <c r="Z642" s="1333"/>
      <c r="AA642" s="1333"/>
      <c r="AB642" s="1333"/>
      <c r="AC642" s="1333"/>
      <c r="AD642" s="1333"/>
      <c r="AE642" s="1333"/>
      <c r="AF642" s="1333"/>
      <c r="AG642" s="1333"/>
      <c r="AH642" s="1333"/>
      <c r="AI642" s="1333"/>
      <c r="AJ642" s="1333"/>
    </row>
    <row r="643" spans="1:36" ht="15" customHeight="1" x14ac:dyDescent="0.25">
      <c r="A643" s="1331"/>
      <c r="B643" s="1284"/>
      <c r="C643" s="1284"/>
      <c r="D643" s="1364"/>
      <c r="E643" s="1364"/>
      <c r="F643" s="1364"/>
      <c r="G643" s="1365"/>
      <c r="H643" s="1333"/>
      <c r="I643" s="1333"/>
      <c r="J643" s="1333"/>
      <c r="K643" s="1333"/>
      <c r="L643" s="1333"/>
      <c r="M643" s="1333"/>
      <c r="N643" s="1333"/>
      <c r="O643" s="1333"/>
      <c r="P643" s="1333"/>
      <c r="Q643" s="1333"/>
      <c r="R643" s="1284"/>
      <c r="S643" s="1513"/>
      <c r="T643" s="1284"/>
      <c r="U643" s="1333"/>
      <c r="V643" s="1333"/>
      <c r="W643" s="1333"/>
      <c r="X643" s="1333"/>
      <c r="Y643" s="1333"/>
      <c r="Z643" s="1333"/>
      <c r="AA643" s="1333"/>
      <c r="AB643" s="1333"/>
      <c r="AC643" s="1333"/>
      <c r="AD643" s="1333"/>
      <c r="AE643" s="1333"/>
      <c r="AF643" s="1333"/>
      <c r="AG643" s="1333"/>
      <c r="AH643" s="1333"/>
      <c r="AI643" s="1333"/>
      <c r="AJ643" s="1333"/>
    </row>
    <row r="644" spans="1:36" ht="15" customHeight="1" x14ac:dyDescent="0.25">
      <c r="A644" s="1331"/>
      <c r="B644" s="1284"/>
      <c r="C644" s="1284"/>
      <c r="D644" s="1364"/>
      <c r="E644" s="1364"/>
      <c r="F644" s="1364"/>
      <c r="G644" s="1365"/>
      <c r="H644" s="1333"/>
      <c r="I644" s="1333"/>
      <c r="J644" s="1333"/>
      <c r="K644" s="1333"/>
      <c r="L644" s="1333"/>
      <c r="M644" s="1333"/>
      <c r="N644" s="1333"/>
      <c r="O644" s="1333"/>
      <c r="P644" s="1333"/>
      <c r="Q644" s="1333"/>
      <c r="R644" s="1453"/>
      <c r="S644" s="1364"/>
      <c r="T644" s="1284"/>
      <c r="U644" s="1333"/>
      <c r="V644" s="1333"/>
      <c r="W644" s="1333"/>
      <c r="X644" s="1333"/>
      <c r="Y644" s="1333"/>
      <c r="Z644" s="1333"/>
      <c r="AA644" s="1333"/>
      <c r="AB644" s="1333"/>
      <c r="AC644" s="1333"/>
      <c r="AD644" s="1333"/>
      <c r="AE644" s="1333"/>
      <c r="AF644" s="1333"/>
      <c r="AG644" s="1333"/>
      <c r="AH644" s="1333"/>
      <c r="AI644" s="1333"/>
      <c r="AJ644" s="1333"/>
    </row>
    <row r="645" spans="1:36" ht="15" customHeight="1" x14ac:dyDescent="0.25">
      <c r="A645" s="1331"/>
      <c r="B645" s="1284"/>
      <c r="C645" s="1284"/>
      <c r="D645" s="1364"/>
      <c r="E645" s="1364"/>
      <c r="F645" s="1364"/>
      <c r="G645" s="1365"/>
      <c r="H645" s="1333"/>
      <c r="I645" s="1333"/>
      <c r="J645" s="1333"/>
      <c r="K645" s="1333"/>
      <c r="L645" s="1333"/>
      <c r="M645" s="1333"/>
      <c r="N645" s="1333"/>
      <c r="O645" s="1333"/>
      <c r="P645" s="1333"/>
      <c r="Q645" s="1333"/>
      <c r="R645" s="1453"/>
      <c r="S645" s="1364"/>
      <c r="T645" s="1284"/>
      <c r="U645" s="1333"/>
      <c r="V645" s="1333"/>
      <c r="W645" s="1333"/>
      <c r="X645" s="1333"/>
      <c r="Y645" s="1333"/>
      <c r="Z645" s="1333"/>
      <c r="AA645" s="1333"/>
      <c r="AB645" s="1333"/>
      <c r="AC645" s="1333"/>
      <c r="AD645" s="1333"/>
      <c r="AE645" s="1333"/>
      <c r="AF645" s="1333"/>
      <c r="AG645" s="1333"/>
      <c r="AH645" s="1333"/>
      <c r="AI645" s="1333"/>
      <c r="AJ645" s="1333"/>
    </row>
    <row r="646" spans="1:36" ht="15" customHeight="1" x14ac:dyDescent="0.25">
      <c r="A646" s="1331"/>
      <c r="B646" s="1284"/>
      <c r="C646" s="1284"/>
      <c r="D646" s="1364"/>
      <c r="E646" s="1364"/>
      <c r="F646" s="1364"/>
      <c r="G646" s="1365"/>
      <c r="H646" s="1333"/>
      <c r="I646" s="1333"/>
      <c r="J646" s="1333"/>
      <c r="K646" s="1333"/>
      <c r="L646" s="1333"/>
      <c r="M646" s="1333"/>
      <c r="N646" s="1333"/>
      <c r="O646" s="1333"/>
      <c r="P646" s="1333"/>
      <c r="Q646" s="1333"/>
      <c r="R646" s="1333"/>
      <c r="S646" s="1449"/>
      <c r="T646" s="1284"/>
      <c r="U646" s="1333"/>
      <c r="V646" s="1333"/>
      <c r="W646" s="1333"/>
      <c r="X646" s="1333"/>
      <c r="Y646" s="1333"/>
      <c r="Z646" s="1333"/>
      <c r="AA646" s="1333"/>
      <c r="AB646" s="1333"/>
      <c r="AC646" s="1333"/>
      <c r="AD646" s="1333"/>
      <c r="AE646" s="1333"/>
      <c r="AF646" s="1333"/>
      <c r="AG646" s="1333"/>
      <c r="AH646" s="1333"/>
      <c r="AI646" s="1333"/>
      <c r="AJ646" s="1333"/>
    </row>
    <row r="647" spans="1:36" ht="15" customHeight="1" x14ac:dyDescent="0.25">
      <c r="A647" s="1331"/>
      <c r="B647" s="1284"/>
      <c r="C647" s="1284"/>
      <c r="D647" s="1364"/>
      <c r="E647" s="1364"/>
      <c r="F647" s="1364"/>
      <c r="G647" s="1365"/>
      <c r="H647" s="1333"/>
      <c r="I647" s="1333"/>
      <c r="J647" s="1333"/>
      <c r="K647" s="1333"/>
      <c r="L647" s="1333"/>
      <c r="M647" s="1333"/>
      <c r="N647" s="1333"/>
      <c r="O647" s="1333"/>
      <c r="P647" s="1333"/>
      <c r="Q647" s="1333"/>
      <c r="R647" s="1333"/>
      <c r="S647" s="1449"/>
      <c r="T647" s="1284"/>
      <c r="U647" s="1333"/>
      <c r="V647" s="1333"/>
      <c r="W647" s="1333"/>
      <c r="X647" s="1333"/>
      <c r="Y647" s="1333"/>
      <c r="Z647" s="1333"/>
      <c r="AA647" s="1333"/>
      <c r="AB647" s="1333"/>
      <c r="AC647" s="1333"/>
      <c r="AD647" s="1333"/>
      <c r="AE647" s="1333"/>
      <c r="AF647" s="1333"/>
      <c r="AG647" s="1333"/>
      <c r="AH647" s="1333"/>
      <c r="AI647" s="1333"/>
      <c r="AJ647" s="1333"/>
    </row>
    <row r="648" spans="1:36" ht="15" customHeight="1" x14ac:dyDescent="0.25">
      <c r="A648" s="1331"/>
      <c r="B648" s="1284"/>
      <c r="C648" s="1284"/>
      <c r="D648" s="1364"/>
      <c r="E648" s="1364"/>
      <c r="F648" s="1364"/>
      <c r="G648" s="1365"/>
      <c r="H648" s="1333"/>
      <c r="I648" s="1333"/>
      <c r="J648" s="1333"/>
      <c r="K648" s="1333"/>
      <c r="L648" s="1333"/>
      <c r="M648" s="1333"/>
      <c r="N648" s="1333"/>
      <c r="O648" s="1333"/>
      <c r="P648" s="1333"/>
      <c r="Q648" s="1333"/>
      <c r="R648" s="1333"/>
      <c r="S648" s="1449"/>
      <c r="T648" s="1284"/>
      <c r="U648" s="1333"/>
      <c r="V648" s="1333"/>
      <c r="W648" s="1333"/>
      <c r="X648" s="1333"/>
      <c r="Y648" s="1333"/>
      <c r="Z648" s="1333"/>
      <c r="AA648" s="1333"/>
      <c r="AB648" s="1333"/>
      <c r="AC648" s="1333"/>
      <c r="AD648" s="1333"/>
      <c r="AE648" s="1333"/>
      <c r="AF648" s="1333"/>
      <c r="AG648" s="1333"/>
      <c r="AH648" s="1333"/>
      <c r="AI648" s="1333"/>
      <c r="AJ648" s="1333"/>
    </row>
    <row r="649" spans="1:36" ht="15" customHeight="1" x14ac:dyDescent="0.25">
      <c r="A649" s="1331"/>
      <c r="B649" s="1284"/>
      <c r="C649" s="1284"/>
      <c r="D649" s="1364"/>
      <c r="E649" s="1364"/>
      <c r="F649" s="1364"/>
      <c r="G649" s="1365"/>
      <c r="H649" s="1333"/>
      <c r="I649" s="1333"/>
      <c r="J649" s="1333"/>
      <c r="K649" s="1333"/>
      <c r="L649" s="1333"/>
      <c r="M649" s="1333"/>
      <c r="N649" s="1333"/>
      <c r="O649" s="1333"/>
      <c r="P649" s="1333"/>
      <c r="Q649" s="1333"/>
      <c r="R649" s="1333"/>
      <c r="S649" s="1449"/>
      <c r="T649" s="1284"/>
      <c r="U649" s="1333"/>
      <c r="V649" s="1333"/>
      <c r="W649" s="1333"/>
      <c r="X649" s="1333"/>
      <c r="Y649" s="1333"/>
      <c r="Z649" s="1333"/>
      <c r="AA649" s="1333"/>
      <c r="AB649" s="1333"/>
      <c r="AC649" s="1333"/>
      <c r="AD649" s="1333"/>
      <c r="AE649" s="1333"/>
      <c r="AF649" s="1333"/>
      <c r="AG649" s="1333"/>
      <c r="AH649" s="1333"/>
      <c r="AI649" s="1333"/>
      <c r="AJ649" s="1333"/>
    </row>
    <row r="650" spans="1:36" ht="15" customHeight="1" x14ac:dyDescent="0.25">
      <c r="A650" s="1331"/>
      <c r="B650" s="1284"/>
      <c r="C650" s="1284"/>
      <c r="D650" s="1364"/>
      <c r="E650" s="1364"/>
      <c r="F650" s="1364"/>
      <c r="G650" s="1365"/>
      <c r="H650" s="1333"/>
      <c r="I650" s="1333"/>
      <c r="J650" s="1333"/>
      <c r="K650" s="1333"/>
      <c r="L650" s="1333"/>
      <c r="M650" s="1333"/>
      <c r="N650" s="1333"/>
      <c r="O650" s="1333"/>
      <c r="P650" s="1333"/>
      <c r="Q650" s="1333"/>
      <c r="R650" s="1333"/>
      <c r="S650" s="1449"/>
      <c r="T650" s="1284"/>
      <c r="U650" s="1333"/>
      <c r="V650" s="1333"/>
      <c r="W650" s="1333"/>
      <c r="X650" s="1333"/>
      <c r="Y650" s="1333"/>
      <c r="Z650" s="1333"/>
      <c r="AA650" s="1333"/>
      <c r="AB650" s="1333"/>
      <c r="AC650" s="1333"/>
      <c r="AD650" s="1333"/>
      <c r="AE650" s="1333"/>
      <c r="AF650" s="1333"/>
      <c r="AG650" s="1333"/>
      <c r="AH650" s="1333"/>
      <c r="AI650" s="1333"/>
      <c r="AJ650" s="1333"/>
    </row>
    <row r="651" spans="1:36" ht="15" customHeight="1" x14ac:dyDescent="0.25">
      <c r="A651" s="1331"/>
      <c r="B651" s="1284"/>
      <c r="C651" s="1284"/>
      <c r="D651" s="1364"/>
      <c r="E651" s="1364"/>
      <c r="F651" s="1364"/>
      <c r="G651" s="1365"/>
      <c r="H651" s="1333"/>
      <c r="I651" s="1333"/>
      <c r="J651" s="1333"/>
      <c r="K651" s="1333"/>
      <c r="L651" s="1333"/>
      <c r="M651" s="1333"/>
      <c r="N651" s="1333"/>
      <c r="O651" s="1333"/>
      <c r="P651" s="1333"/>
      <c r="Q651" s="1333"/>
      <c r="R651" s="1333"/>
      <c r="S651" s="1449"/>
      <c r="T651" s="1284"/>
      <c r="U651" s="1333"/>
      <c r="V651" s="1333"/>
      <c r="W651" s="1333"/>
      <c r="X651" s="1333"/>
      <c r="Y651" s="1333"/>
      <c r="Z651" s="1333"/>
      <c r="AA651" s="1333"/>
      <c r="AB651" s="1333"/>
      <c r="AC651" s="1333"/>
      <c r="AD651" s="1333"/>
      <c r="AE651" s="1333"/>
      <c r="AF651" s="1333"/>
      <c r="AG651" s="1333"/>
      <c r="AH651" s="1333"/>
      <c r="AI651" s="1333"/>
      <c r="AJ651" s="1333"/>
    </row>
    <row r="652" spans="1:36" ht="15" customHeight="1" x14ac:dyDescent="0.25">
      <c r="A652" s="1331"/>
      <c r="B652" s="1284"/>
      <c r="C652" s="1284"/>
      <c r="D652" s="1364"/>
      <c r="E652" s="1364"/>
      <c r="F652" s="1364"/>
      <c r="G652" s="1365"/>
      <c r="H652" s="1333"/>
      <c r="I652" s="1333"/>
      <c r="J652" s="1333"/>
      <c r="K652" s="1333"/>
      <c r="L652" s="1333"/>
      <c r="M652" s="1333"/>
      <c r="N652" s="1333"/>
      <c r="O652" s="1333"/>
      <c r="P652" s="1333"/>
      <c r="Q652" s="1333"/>
      <c r="R652" s="1333"/>
      <c r="S652" s="1449"/>
      <c r="T652" s="1284"/>
      <c r="U652" s="1333"/>
      <c r="V652" s="1333"/>
      <c r="W652" s="1333"/>
      <c r="X652" s="1333"/>
      <c r="Y652" s="1333"/>
      <c r="Z652" s="1333"/>
      <c r="AA652" s="1333"/>
      <c r="AB652" s="1333"/>
      <c r="AC652" s="1333"/>
      <c r="AD652" s="1333"/>
      <c r="AE652" s="1333"/>
      <c r="AF652" s="1333"/>
      <c r="AG652" s="1333"/>
      <c r="AH652" s="1333"/>
      <c r="AI652" s="1333"/>
      <c r="AJ652" s="1333"/>
    </row>
    <row r="653" spans="1:36" ht="15" customHeight="1" x14ac:dyDescent="0.25">
      <c r="A653" s="1331"/>
      <c r="B653" s="1284"/>
      <c r="C653" s="1284"/>
      <c r="D653" s="1364"/>
      <c r="E653" s="1364"/>
      <c r="F653" s="1364"/>
      <c r="G653" s="1365"/>
      <c r="H653" s="1333"/>
      <c r="I653" s="1333"/>
      <c r="J653" s="1333"/>
      <c r="K653" s="1333"/>
      <c r="L653" s="1333"/>
      <c r="M653" s="1333"/>
      <c r="N653" s="1333"/>
      <c r="O653" s="1333"/>
      <c r="P653" s="1333"/>
      <c r="Q653" s="1333"/>
      <c r="R653" s="1333"/>
      <c r="S653" s="1449"/>
      <c r="T653" s="1284"/>
      <c r="U653" s="1333"/>
      <c r="V653" s="1333"/>
      <c r="W653" s="1333"/>
      <c r="X653" s="1333"/>
      <c r="Y653" s="1333"/>
      <c r="Z653" s="1333"/>
      <c r="AA653" s="1333"/>
      <c r="AB653" s="1333"/>
      <c r="AC653" s="1333"/>
      <c r="AD653" s="1333"/>
      <c r="AE653" s="1333"/>
      <c r="AF653" s="1333"/>
      <c r="AG653" s="1333"/>
      <c r="AH653" s="1333"/>
      <c r="AI653" s="1333"/>
      <c r="AJ653" s="1333"/>
    </row>
    <row r="654" spans="1:36" ht="15" customHeight="1" x14ac:dyDescent="0.25">
      <c r="A654" s="1331"/>
      <c r="B654" s="1284"/>
      <c r="C654" s="1284"/>
      <c r="D654" s="1364"/>
      <c r="E654" s="1364"/>
      <c r="F654" s="1364"/>
      <c r="G654" s="1365"/>
      <c r="H654" s="1333"/>
      <c r="I654" s="1333"/>
      <c r="J654" s="1333"/>
      <c r="K654" s="1333"/>
      <c r="L654" s="1333"/>
      <c r="M654" s="1333"/>
      <c r="N654" s="1333"/>
      <c r="O654" s="1333"/>
      <c r="P654" s="1333"/>
      <c r="Q654" s="1333"/>
      <c r="R654" s="1333"/>
      <c r="S654" s="1449"/>
      <c r="T654" s="1284"/>
      <c r="U654" s="1333"/>
      <c r="V654" s="1333"/>
      <c r="W654" s="1333"/>
      <c r="X654" s="1333"/>
      <c r="Y654" s="1333"/>
      <c r="Z654" s="1333"/>
      <c r="AA654" s="1333"/>
      <c r="AB654" s="1333"/>
      <c r="AC654" s="1333"/>
      <c r="AD654" s="1333"/>
      <c r="AE654" s="1333"/>
      <c r="AF654" s="1333"/>
      <c r="AG654" s="1333"/>
      <c r="AH654" s="1333"/>
      <c r="AI654" s="1333"/>
      <c r="AJ654" s="1333"/>
    </row>
    <row r="655" spans="1:36" ht="15" customHeight="1" x14ac:dyDescent="0.25">
      <c r="A655" s="1331"/>
      <c r="B655" s="1284"/>
      <c r="C655" s="1284"/>
      <c r="D655" s="1364"/>
      <c r="E655" s="1364"/>
      <c r="F655" s="1364"/>
      <c r="G655" s="1365"/>
      <c r="H655" s="1333"/>
      <c r="I655" s="1333"/>
      <c r="J655" s="1333"/>
      <c r="K655" s="1333"/>
      <c r="L655" s="1333"/>
      <c r="M655" s="1333"/>
      <c r="N655" s="1333"/>
      <c r="O655" s="1333"/>
      <c r="P655" s="1333"/>
      <c r="Q655" s="1333"/>
      <c r="R655" s="1333"/>
      <c r="S655" s="1449"/>
      <c r="T655" s="1284"/>
      <c r="U655" s="1333"/>
      <c r="V655" s="1333"/>
      <c r="W655" s="1333"/>
      <c r="X655" s="1333"/>
      <c r="Y655" s="1333"/>
      <c r="Z655" s="1333"/>
      <c r="AA655" s="1333"/>
      <c r="AB655" s="1333"/>
      <c r="AC655" s="1333"/>
      <c r="AD655" s="1333"/>
      <c r="AE655" s="1333"/>
      <c r="AF655" s="1333"/>
      <c r="AG655" s="1333"/>
      <c r="AH655" s="1333"/>
      <c r="AI655" s="1333"/>
      <c r="AJ655" s="1333"/>
    </row>
    <row r="656" spans="1:36" ht="15" customHeight="1" x14ac:dyDescent="0.25">
      <c r="A656" s="1331"/>
      <c r="B656" s="1284"/>
      <c r="C656" s="1284"/>
      <c r="D656" s="1364"/>
      <c r="E656" s="1364"/>
      <c r="F656" s="1364"/>
      <c r="G656" s="1365"/>
      <c r="H656" s="1333"/>
      <c r="I656" s="1333"/>
      <c r="J656" s="1333"/>
      <c r="K656" s="1333"/>
      <c r="L656" s="1333"/>
      <c r="M656" s="1333"/>
      <c r="N656" s="1333"/>
      <c r="O656" s="1333"/>
      <c r="P656" s="1333"/>
      <c r="Q656" s="1333"/>
      <c r="R656" s="1333"/>
      <c r="S656" s="1449"/>
      <c r="T656" s="1284"/>
      <c r="U656" s="1333"/>
      <c r="V656" s="1333"/>
      <c r="W656" s="1333"/>
      <c r="X656" s="1333"/>
      <c r="Y656" s="1333"/>
      <c r="Z656" s="1333"/>
      <c r="AA656" s="1333"/>
      <c r="AB656" s="1333"/>
      <c r="AC656" s="1333"/>
      <c r="AD656" s="1333"/>
      <c r="AE656" s="1333"/>
      <c r="AF656" s="1333"/>
      <c r="AG656" s="1333"/>
      <c r="AH656" s="1333"/>
      <c r="AI656" s="1333"/>
      <c r="AJ656" s="1333"/>
    </row>
    <row r="657" spans="1:36" ht="15" customHeight="1" x14ac:dyDescent="0.25">
      <c r="A657" s="1331"/>
      <c r="B657" s="1284"/>
      <c r="C657" s="1284"/>
      <c r="D657" s="1364"/>
      <c r="E657" s="1364"/>
      <c r="F657" s="1364"/>
      <c r="G657" s="1365"/>
      <c r="H657" s="1333"/>
      <c r="I657" s="1333"/>
      <c r="J657" s="1333"/>
      <c r="K657" s="1333"/>
      <c r="L657" s="1333"/>
      <c r="M657" s="1333"/>
      <c r="N657" s="1333"/>
      <c r="O657" s="1333"/>
      <c r="P657" s="1333"/>
      <c r="Q657" s="1333"/>
      <c r="R657" s="1333"/>
      <c r="S657" s="1449"/>
      <c r="T657" s="1284"/>
      <c r="U657" s="1333"/>
      <c r="V657" s="1333"/>
      <c r="W657" s="1333"/>
      <c r="X657" s="1333"/>
      <c r="Y657" s="1333"/>
      <c r="Z657" s="1333"/>
      <c r="AA657" s="1333"/>
      <c r="AB657" s="1333"/>
      <c r="AC657" s="1333"/>
      <c r="AD657" s="1333"/>
      <c r="AE657" s="1333"/>
      <c r="AF657" s="1333"/>
      <c r="AG657" s="1333"/>
      <c r="AH657" s="1333"/>
      <c r="AI657" s="1333"/>
      <c r="AJ657" s="1333"/>
    </row>
    <row r="658" spans="1:36" ht="15" customHeight="1" x14ac:dyDescent="0.25">
      <c r="A658" s="1331"/>
      <c r="B658" s="1284"/>
      <c r="C658" s="1284"/>
      <c r="D658" s="1364"/>
      <c r="E658" s="1364"/>
      <c r="F658" s="1364"/>
      <c r="G658" s="1365"/>
      <c r="H658" s="1333"/>
      <c r="I658" s="1333"/>
      <c r="J658" s="1333"/>
      <c r="K658" s="1333"/>
      <c r="L658" s="1333"/>
      <c r="M658" s="1333"/>
      <c r="N658" s="1333"/>
      <c r="O658" s="1333"/>
      <c r="P658" s="1333"/>
      <c r="Q658" s="1333"/>
      <c r="R658" s="1333"/>
      <c r="S658" s="1449"/>
      <c r="T658" s="1284"/>
      <c r="U658" s="1333"/>
      <c r="V658" s="1333"/>
      <c r="W658" s="1333"/>
      <c r="X658" s="1333"/>
      <c r="Y658" s="1333"/>
      <c r="Z658" s="1333"/>
      <c r="AA658" s="1333"/>
      <c r="AB658" s="1333"/>
      <c r="AC658" s="1333"/>
      <c r="AD658" s="1333"/>
      <c r="AE658" s="1333"/>
      <c r="AF658" s="1333"/>
      <c r="AG658" s="1333"/>
      <c r="AH658" s="1333"/>
      <c r="AI658" s="1333"/>
      <c r="AJ658" s="1333"/>
    </row>
    <row r="659" spans="1:36" ht="15" customHeight="1" x14ac:dyDescent="0.25">
      <c r="A659" s="1331"/>
      <c r="B659" s="1284"/>
      <c r="C659" s="1284"/>
      <c r="D659" s="1364"/>
      <c r="E659" s="1364"/>
      <c r="F659" s="1364"/>
      <c r="G659" s="1365"/>
      <c r="H659" s="1333"/>
      <c r="I659" s="1333"/>
      <c r="J659" s="1333"/>
      <c r="K659" s="1333"/>
      <c r="L659" s="1333"/>
      <c r="M659" s="1333"/>
      <c r="N659" s="1333"/>
      <c r="O659" s="1333"/>
      <c r="P659" s="1333"/>
      <c r="Q659" s="1333"/>
      <c r="R659" s="1333"/>
      <c r="S659" s="1449"/>
      <c r="T659" s="1284"/>
      <c r="U659" s="1333"/>
      <c r="V659" s="1333"/>
      <c r="W659" s="1333"/>
      <c r="X659" s="1333"/>
      <c r="Y659" s="1333"/>
      <c r="Z659" s="1333"/>
      <c r="AA659" s="1333"/>
      <c r="AB659" s="1333"/>
      <c r="AC659" s="1333"/>
      <c r="AD659" s="1333"/>
      <c r="AE659" s="1333"/>
      <c r="AF659" s="1333"/>
      <c r="AG659" s="1333"/>
      <c r="AH659" s="1333"/>
      <c r="AI659" s="1333"/>
      <c r="AJ659" s="1333"/>
    </row>
    <row r="660" spans="1:36" ht="15" customHeight="1" x14ac:dyDescent="0.25">
      <c r="A660" s="1331"/>
      <c r="B660" s="1284"/>
      <c r="C660" s="1284"/>
      <c r="D660" s="1364"/>
      <c r="E660" s="1364"/>
      <c r="F660" s="1364"/>
      <c r="G660" s="1365"/>
      <c r="H660" s="1333"/>
      <c r="I660" s="1333"/>
      <c r="J660" s="1333"/>
      <c r="K660" s="1333"/>
      <c r="L660" s="1333"/>
      <c r="M660" s="1333"/>
      <c r="N660" s="1333"/>
      <c r="O660" s="1333"/>
      <c r="P660" s="1333"/>
      <c r="Q660" s="1333"/>
      <c r="R660" s="1333"/>
      <c r="S660" s="1449"/>
      <c r="T660" s="1284"/>
      <c r="U660" s="1333"/>
      <c r="V660" s="1333"/>
      <c r="W660" s="1333"/>
      <c r="X660" s="1333"/>
      <c r="Y660" s="1333"/>
      <c r="Z660" s="1333"/>
      <c r="AA660" s="1333"/>
      <c r="AB660" s="1333"/>
      <c r="AC660" s="1333"/>
      <c r="AD660" s="1333"/>
      <c r="AE660" s="1333"/>
      <c r="AF660" s="1333"/>
      <c r="AG660" s="1333"/>
      <c r="AH660" s="1333"/>
      <c r="AI660" s="1333"/>
      <c r="AJ660" s="1333"/>
    </row>
    <row r="661" spans="1:36" ht="15" customHeight="1" x14ac:dyDescent="0.25">
      <c r="A661" s="1331"/>
      <c r="B661" s="1284"/>
      <c r="C661" s="1284"/>
      <c r="D661" s="1364"/>
      <c r="E661" s="1364"/>
      <c r="F661" s="1364"/>
      <c r="G661" s="1365"/>
      <c r="H661" s="1333"/>
      <c r="I661" s="1333"/>
      <c r="J661" s="1333"/>
      <c r="K661" s="1333"/>
      <c r="L661" s="1333"/>
      <c r="M661" s="1333"/>
      <c r="N661" s="1333"/>
      <c r="O661" s="1333"/>
      <c r="P661" s="1333"/>
      <c r="Q661" s="1333"/>
      <c r="R661" s="1333"/>
      <c r="S661" s="1449"/>
      <c r="T661" s="1284"/>
      <c r="U661" s="1333"/>
      <c r="V661" s="1333"/>
      <c r="W661" s="1333"/>
      <c r="X661" s="1333"/>
      <c r="Y661" s="1333"/>
      <c r="Z661" s="1333"/>
      <c r="AA661" s="1333"/>
      <c r="AB661" s="1333"/>
      <c r="AC661" s="1333"/>
      <c r="AD661" s="1333"/>
      <c r="AE661" s="1333"/>
      <c r="AF661" s="1333"/>
      <c r="AG661" s="1333"/>
      <c r="AH661" s="1333"/>
      <c r="AI661" s="1333"/>
      <c r="AJ661" s="1333"/>
    </row>
    <row r="662" spans="1:36" ht="15" customHeight="1" x14ac:dyDescent="0.25">
      <c r="A662" s="1331"/>
      <c r="B662" s="1284"/>
      <c r="C662" s="1284"/>
      <c r="D662" s="1364"/>
      <c r="E662" s="1364"/>
      <c r="F662" s="1364"/>
      <c r="G662" s="1365"/>
      <c r="H662" s="1333"/>
      <c r="I662" s="1333"/>
      <c r="J662" s="1333"/>
      <c r="K662" s="1333"/>
      <c r="L662" s="1333"/>
      <c r="M662" s="1333"/>
      <c r="N662" s="1333"/>
      <c r="O662" s="1333"/>
      <c r="P662" s="1333"/>
      <c r="Q662" s="1333"/>
      <c r="R662" s="1333"/>
      <c r="S662" s="1449"/>
      <c r="T662" s="1284"/>
      <c r="U662" s="1333"/>
      <c r="V662" s="1333"/>
      <c r="W662" s="1333"/>
      <c r="X662" s="1333"/>
      <c r="Y662" s="1333"/>
      <c r="Z662" s="1333"/>
      <c r="AA662" s="1333"/>
      <c r="AB662" s="1333"/>
      <c r="AC662" s="1333"/>
      <c r="AD662" s="1333"/>
      <c r="AE662" s="1333"/>
      <c r="AF662" s="1333"/>
      <c r="AG662" s="1333"/>
      <c r="AH662" s="1333"/>
      <c r="AI662" s="1333"/>
      <c r="AJ662" s="1333"/>
    </row>
    <row r="663" spans="1:36" ht="15" customHeight="1" x14ac:dyDescent="0.25">
      <c r="A663" s="1331"/>
      <c r="B663" s="1284"/>
      <c r="C663" s="1284"/>
      <c r="D663" s="1364"/>
      <c r="E663" s="1364"/>
      <c r="F663" s="1364"/>
      <c r="G663" s="1365"/>
      <c r="H663" s="1333"/>
      <c r="I663" s="1333"/>
      <c r="J663" s="1333"/>
      <c r="K663" s="1333"/>
      <c r="L663" s="1333"/>
      <c r="M663" s="1333"/>
      <c r="N663" s="1333"/>
      <c r="O663" s="1333"/>
      <c r="P663" s="1333"/>
      <c r="Q663" s="1333"/>
      <c r="R663" s="1333"/>
      <c r="S663" s="1449"/>
      <c r="T663" s="1284"/>
      <c r="U663" s="1333"/>
      <c r="V663" s="1333"/>
      <c r="W663" s="1333"/>
      <c r="X663" s="1333"/>
      <c r="Y663" s="1333"/>
      <c r="Z663" s="1333"/>
      <c r="AA663" s="1333"/>
      <c r="AB663" s="1333"/>
      <c r="AC663" s="1333"/>
      <c r="AD663" s="1333"/>
      <c r="AE663" s="1333"/>
      <c r="AF663" s="1333"/>
      <c r="AG663" s="1333"/>
      <c r="AH663" s="1333"/>
      <c r="AI663" s="1333"/>
      <c r="AJ663" s="1333"/>
    </row>
    <row r="664" spans="1:36" ht="15" customHeight="1" x14ac:dyDescent="0.25">
      <c r="A664" s="1331"/>
      <c r="B664" s="1284"/>
      <c r="C664" s="1284"/>
      <c r="D664" s="1364"/>
      <c r="E664" s="1364"/>
      <c r="F664" s="1364"/>
      <c r="G664" s="1365"/>
      <c r="H664" s="1333"/>
      <c r="I664" s="1333"/>
      <c r="J664" s="1333"/>
      <c r="K664" s="1333"/>
      <c r="L664" s="1333"/>
      <c r="M664" s="1333"/>
      <c r="N664" s="1333"/>
      <c r="O664" s="1333"/>
      <c r="P664" s="1333"/>
      <c r="Q664" s="1333"/>
      <c r="R664" s="1333"/>
      <c r="S664" s="1449"/>
      <c r="T664" s="1284"/>
      <c r="U664" s="1333"/>
      <c r="V664" s="1333"/>
      <c r="W664" s="1333"/>
      <c r="X664" s="1333"/>
      <c r="Y664" s="1333"/>
      <c r="Z664" s="1333"/>
      <c r="AA664" s="1333"/>
      <c r="AB664" s="1333"/>
      <c r="AC664" s="1333"/>
      <c r="AD664" s="1333"/>
      <c r="AE664" s="1333"/>
      <c r="AF664" s="1333"/>
      <c r="AG664" s="1333"/>
      <c r="AH664" s="1333"/>
      <c r="AI664" s="1333"/>
      <c r="AJ664" s="1333"/>
    </row>
    <row r="665" spans="1:36" ht="15" customHeight="1" x14ac:dyDescent="0.25">
      <c r="A665" s="1331"/>
      <c r="B665" s="1284"/>
      <c r="C665" s="1284"/>
      <c r="D665" s="1364"/>
      <c r="E665" s="1364"/>
      <c r="F665" s="1364"/>
      <c r="G665" s="1365"/>
      <c r="H665" s="1333"/>
      <c r="I665" s="1333"/>
      <c r="J665" s="1333"/>
      <c r="K665" s="1333"/>
      <c r="L665" s="1333"/>
      <c r="M665" s="1333"/>
      <c r="N665" s="1333"/>
      <c r="O665" s="1333"/>
      <c r="P665" s="1333"/>
      <c r="Q665" s="1333"/>
      <c r="R665" s="1333"/>
      <c r="S665" s="1449"/>
      <c r="T665" s="1284"/>
      <c r="U665" s="1333"/>
      <c r="V665" s="1333"/>
      <c r="W665" s="1333"/>
      <c r="X665" s="1333"/>
      <c r="Y665" s="1333"/>
      <c r="Z665" s="1333"/>
      <c r="AA665" s="1333"/>
      <c r="AB665" s="1333"/>
      <c r="AC665" s="1333"/>
      <c r="AD665" s="1333"/>
      <c r="AE665" s="1333"/>
      <c r="AF665" s="1333"/>
      <c r="AG665" s="1333"/>
      <c r="AH665" s="1333"/>
      <c r="AI665" s="1333"/>
      <c r="AJ665" s="1333"/>
    </row>
    <row r="666" spans="1:36" ht="15" customHeight="1" x14ac:dyDescent="0.25">
      <c r="A666" s="1331"/>
      <c r="B666" s="1284"/>
      <c r="C666" s="1284"/>
      <c r="D666" s="1364"/>
      <c r="E666" s="1364"/>
      <c r="F666" s="1364"/>
      <c r="G666" s="1365"/>
      <c r="H666" s="1333"/>
      <c r="I666" s="1333"/>
      <c r="J666" s="1333"/>
      <c r="K666" s="1333"/>
      <c r="L666" s="1333"/>
      <c r="M666" s="1333"/>
      <c r="N666" s="1333"/>
      <c r="O666" s="1333"/>
      <c r="P666" s="1333"/>
      <c r="Q666" s="1333"/>
      <c r="R666" s="1333"/>
      <c r="S666" s="1449"/>
      <c r="T666" s="1284"/>
      <c r="U666" s="1333"/>
      <c r="V666" s="1333"/>
      <c r="W666" s="1333"/>
      <c r="X666" s="1333"/>
      <c r="Y666" s="1333"/>
      <c r="Z666" s="1333"/>
      <c r="AA666" s="1333"/>
      <c r="AB666" s="1333"/>
      <c r="AC666" s="1333"/>
      <c r="AD666" s="1333"/>
      <c r="AE666" s="1333"/>
      <c r="AF666" s="1333"/>
      <c r="AG666" s="1333"/>
      <c r="AH666" s="1333"/>
      <c r="AI666" s="1333"/>
      <c r="AJ666" s="1333"/>
    </row>
    <row r="667" spans="1:36" ht="15" customHeight="1" x14ac:dyDescent="0.25">
      <c r="A667" s="1331"/>
      <c r="B667" s="1284"/>
      <c r="C667" s="1284"/>
      <c r="D667" s="1364"/>
      <c r="E667" s="1364"/>
      <c r="F667" s="1364"/>
      <c r="G667" s="1365"/>
      <c r="H667" s="1333"/>
      <c r="I667" s="1333"/>
      <c r="J667" s="1333"/>
      <c r="K667" s="1333"/>
      <c r="L667" s="1333"/>
      <c r="M667" s="1333"/>
      <c r="N667" s="1333"/>
      <c r="O667" s="1333"/>
      <c r="P667" s="1333"/>
      <c r="Q667" s="1333"/>
      <c r="R667" s="1333"/>
      <c r="S667" s="1449"/>
      <c r="T667" s="1284"/>
      <c r="U667" s="1333"/>
      <c r="V667" s="1333"/>
      <c r="W667" s="1333"/>
      <c r="X667" s="1333"/>
      <c r="Y667" s="1333"/>
      <c r="Z667" s="1333"/>
      <c r="AA667" s="1333"/>
      <c r="AB667" s="1333"/>
      <c r="AC667" s="1333"/>
      <c r="AD667" s="1333"/>
      <c r="AE667" s="1333"/>
      <c r="AF667" s="1333"/>
      <c r="AG667" s="1333"/>
      <c r="AH667" s="1333"/>
      <c r="AI667" s="1333"/>
      <c r="AJ667" s="1333"/>
    </row>
    <row r="668" spans="1:36" ht="15" customHeight="1" x14ac:dyDescent="0.25">
      <c r="A668" s="1331"/>
      <c r="B668" s="1284"/>
      <c r="C668" s="1284"/>
      <c r="D668" s="1364"/>
      <c r="E668" s="1364"/>
      <c r="F668" s="1364"/>
      <c r="G668" s="1365"/>
      <c r="H668" s="1333"/>
      <c r="I668" s="1333"/>
      <c r="J668" s="1333"/>
      <c r="K668" s="1333"/>
      <c r="L668" s="1333"/>
      <c r="M668" s="1333"/>
      <c r="N668" s="1333"/>
      <c r="O668" s="1333"/>
      <c r="P668" s="1333"/>
      <c r="Q668" s="1333"/>
      <c r="R668" s="1333"/>
      <c r="S668" s="1449"/>
      <c r="T668" s="1284"/>
      <c r="U668" s="1333"/>
      <c r="V668" s="1333"/>
      <c r="W668" s="1333"/>
      <c r="X668" s="1333"/>
      <c r="Y668" s="1333"/>
      <c r="Z668" s="1333"/>
      <c r="AA668" s="1333"/>
      <c r="AB668" s="1333"/>
      <c r="AC668" s="1333"/>
      <c r="AD668" s="1333"/>
      <c r="AE668" s="1333"/>
      <c r="AF668" s="1333"/>
      <c r="AG668" s="1333"/>
      <c r="AH668" s="1333"/>
      <c r="AI668" s="1333"/>
      <c r="AJ668" s="1333"/>
    </row>
    <row r="669" spans="1:36" ht="15" customHeight="1" x14ac:dyDescent="0.25">
      <c r="A669" s="1331"/>
      <c r="B669" s="1284"/>
      <c r="C669" s="1284"/>
      <c r="D669" s="1364"/>
      <c r="E669" s="1364"/>
      <c r="F669" s="1364"/>
      <c r="G669" s="1365"/>
      <c r="H669" s="1333"/>
      <c r="I669" s="1333"/>
      <c r="J669" s="1333"/>
      <c r="K669" s="1333"/>
      <c r="L669" s="1333"/>
      <c r="M669" s="1333"/>
      <c r="N669" s="1333"/>
      <c r="O669" s="1333"/>
      <c r="P669" s="1333"/>
      <c r="Q669" s="1333"/>
      <c r="R669" s="1333"/>
      <c r="S669" s="1449"/>
      <c r="T669" s="1284"/>
      <c r="U669" s="1333"/>
      <c r="V669" s="1333"/>
      <c r="W669" s="1333"/>
      <c r="X669" s="1333"/>
      <c r="Y669" s="1333"/>
      <c r="Z669" s="1333"/>
      <c r="AA669" s="1333"/>
      <c r="AB669" s="1333"/>
      <c r="AC669" s="1333"/>
      <c r="AD669" s="1333"/>
      <c r="AE669" s="1333"/>
      <c r="AF669" s="1333"/>
      <c r="AG669" s="1333"/>
      <c r="AH669" s="1333"/>
      <c r="AI669" s="1333"/>
      <c r="AJ669" s="1333"/>
    </row>
    <row r="670" spans="1:36" ht="15" customHeight="1" x14ac:dyDescent="0.25">
      <c r="A670" s="1331"/>
      <c r="B670" s="1284"/>
      <c r="C670" s="1284"/>
      <c r="D670" s="1364"/>
      <c r="E670" s="1364"/>
      <c r="F670" s="1364"/>
      <c r="G670" s="1365"/>
      <c r="H670" s="1333"/>
      <c r="I670" s="1333"/>
      <c r="J670" s="1333"/>
      <c r="K670" s="1333"/>
      <c r="L670" s="1333"/>
      <c r="M670" s="1333"/>
      <c r="N670" s="1333"/>
      <c r="O670" s="1333"/>
      <c r="P670" s="1333"/>
      <c r="Q670" s="1333"/>
      <c r="R670" s="1333"/>
      <c r="S670" s="1449"/>
      <c r="T670" s="1284"/>
      <c r="U670" s="1333"/>
      <c r="V670" s="1333"/>
      <c r="W670" s="1333"/>
      <c r="X670" s="1333"/>
      <c r="Y670" s="1333"/>
      <c r="Z670" s="1333"/>
      <c r="AA670" s="1333"/>
      <c r="AB670" s="1333"/>
      <c r="AC670" s="1333"/>
      <c r="AD670" s="1333"/>
      <c r="AE670" s="1333"/>
      <c r="AF670" s="1333"/>
      <c r="AG670" s="1333"/>
      <c r="AH670" s="1333"/>
      <c r="AI670" s="1333"/>
      <c r="AJ670" s="1333"/>
    </row>
    <row r="671" spans="1:36" ht="15" customHeight="1" x14ac:dyDescent="0.25">
      <c r="A671" s="1331"/>
      <c r="B671" s="1284"/>
      <c r="C671" s="1284"/>
      <c r="D671" s="1364"/>
      <c r="E671" s="1364"/>
      <c r="F671" s="1364"/>
      <c r="G671" s="1365"/>
      <c r="H671" s="1333"/>
      <c r="I671" s="1333"/>
      <c r="J671" s="1333"/>
      <c r="K671" s="1333"/>
      <c r="L671" s="1333"/>
      <c r="M671" s="1333"/>
      <c r="N671" s="1333"/>
      <c r="O671" s="1333"/>
      <c r="P671" s="1333"/>
      <c r="Q671" s="1333"/>
      <c r="R671" s="1333"/>
      <c r="S671" s="1449"/>
      <c r="T671" s="1284"/>
      <c r="U671" s="1333"/>
      <c r="V671" s="1333"/>
      <c r="W671" s="1333"/>
      <c r="X671" s="1333"/>
      <c r="Y671" s="1333"/>
      <c r="Z671" s="1333"/>
      <c r="AA671" s="1333"/>
      <c r="AB671" s="1333"/>
      <c r="AC671" s="1333"/>
      <c r="AD671" s="1333"/>
      <c r="AE671" s="1333"/>
      <c r="AF671" s="1333"/>
      <c r="AG671" s="1333"/>
      <c r="AH671" s="1333"/>
      <c r="AI671" s="1333"/>
      <c r="AJ671" s="1333"/>
    </row>
    <row r="672" spans="1:36" ht="15" customHeight="1" x14ac:dyDescent="0.25">
      <c r="A672" s="1331"/>
      <c r="B672" s="1284"/>
      <c r="C672" s="1284"/>
      <c r="D672" s="1364"/>
      <c r="E672" s="1364"/>
      <c r="F672" s="1364"/>
      <c r="G672" s="1365"/>
      <c r="H672" s="1333"/>
      <c r="I672" s="1333"/>
      <c r="J672" s="1333"/>
      <c r="K672" s="1333"/>
      <c r="L672" s="1333"/>
      <c r="M672" s="1333"/>
      <c r="N672" s="1333"/>
      <c r="O672" s="1333"/>
      <c r="P672" s="1333"/>
      <c r="Q672" s="1333"/>
      <c r="R672" s="1333"/>
      <c r="S672" s="1449"/>
      <c r="T672" s="1284"/>
      <c r="U672" s="1333"/>
      <c r="V672" s="1333"/>
      <c r="W672" s="1333"/>
      <c r="X672" s="1333"/>
      <c r="Y672" s="1333"/>
      <c r="Z672" s="1333"/>
      <c r="AA672" s="1333"/>
      <c r="AB672" s="1333"/>
      <c r="AC672" s="1333"/>
      <c r="AD672" s="1333"/>
      <c r="AE672" s="1333"/>
      <c r="AF672" s="1333"/>
      <c r="AG672" s="1333"/>
      <c r="AH672" s="1333"/>
      <c r="AI672" s="1333"/>
      <c r="AJ672" s="1333"/>
    </row>
    <row r="673" spans="1:36" ht="15" customHeight="1" x14ac:dyDescent="0.25">
      <c r="A673" s="1331"/>
      <c r="B673" s="1284"/>
      <c r="C673" s="1284"/>
      <c r="D673" s="1364"/>
      <c r="E673" s="1364"/>
      <c r="F673" s="1364"/>
      <c r="G673" s="1365"/>
      <c r="H673" s="1333"/>
      <c r="I673" s="1333"/>
      <c r="J673" s="1333"/>
      <c r="K673" s="1333"/>
      <c r="L673" s="1333"/>
      <c r="M673" s="1333"/>
      <c r="N673" s="1333"/>
      <c r="O673" s="1333"/>
      <c r="P673" s="1333"/>
      <c r="Q673" s="1333"/>
      <c r="R673" s="1333"/>
      <c r="S673" s="1449"/>
      <c r="T673" s="1284"/>
      <c r="U673" s="1333"/>
      <c r="V673" s="1333"/>
      <c r="W673" s="1333"/>
      <c r="X673" s="1333"/>
      <c r="Y673" s="1333"/>
      <c r="Z673" s="1333"/>
      <c r="AA673" s="1333"/>
      <c r="AB673" s="1333"/>
      <c r="AC673" s="1333"/>
      <c r="AD673" s="1333"/>
      <c r="AE673" s="1333"/>
      <c r="AF673" s="1333"/>
      <c r="AG673" s="1333"/>
      <c r="AH673" s="1333"/>
      <c r="AI673" s="1333"/>
      <c r="AJ673" s="1333"/>
    </row>
    <row r="674" spans="1:36" ht="15" customHeight="1" x14ac:dyDescent="0.25">
      <c r="A674" s="1331"/>
      <c r="B674" s="1284"/>
      <c r="C674" s="1284"/>
      <c r="D674" s="1364"/>
      <c r="E674" s="1364"/>
      <c r="F674" s="1364"/>
      <c r="G674" s="1365"/>
      <c r="H674" s="1333"/>
      <c r="I674" s="1333"/>
      <c r="J674" s="1333"/>
      <c r="K674" s="1333"/>
      <c r="L674" s="1333"/>
      <c r="M674" s="1333"/>
      <c r="N674" s="1333"/>
      <c r="O674" s="1333"/>
      <c r="P674" s="1333"/>
      <c r="Q674" s="1333"/>
      <c r="R674" s="1333"/>
      <c r="S674" s="1449"/>
      <c r="T674" s="1284"/>
      <c r="U674" s="1333"/>
      <c r="V674" s="1333"/>
      <c r="W674" s="1333"/>
      <c r="X674" s="1333"/>
      <c r="Y674" s="1333"/>
      <c r="Z674" s="1333"/>
      <c r="AA674" s="1333"/>
      <c r="AB674" s="1333"/>
      <c r="AC674" s="1333"/>
      <c r="AD674" s="1333"/>
      <c r="AE674" s="1333"/>
      <c r="AF674" s="1333"/>
      <c r="AG674" s="1333"/>
      <c r="AH674" s="1333"/>
      <c r="AI674" s="1333"/>
      <c r="AJ674" s="1333"/>
    </row>
    <row r="675" spans="1:36" ht="15" customHeight="1" x14ac:dyDescent="0.25">
      <c r="A675" s="1331"/>
      <c r="B675" s="1284"/>
      <c r="C675" s="1284"/>
      <c r="D675" s="1364"/>
      <c r="E675" s="1364"/>
      <c r="F675" s="1364"/>
      <c r="G675" s="1365"/>
      <c r="H675" s="1333"/>
      <c r="I675" s="1333"/>
      <c r="J675" s="1333"/>
      <c r="K675" s="1333"/>
      <c r="L675" s="1333"/>
      <c r="M675" s="1333"/>
      <c r="N675" s="1333"/>
      <c r="O675" s="1333"/>
      <c r="P675" s="1333"/>
      <c r="Q675" s="1333"/>
      <c r="R675" s="1333"/>
      <c r="S675" s="1449"/>
      <c r="T675" s="1284"/>
      <c r="U675" s="1333"/>
      <c r="V675" s="1333"/>
      <c r="W675" s="1333"/>
      <c r="X675" s="1333"/>
      <c r="Y675" s="1333"/>
      <c r="Z675" s="1333"/>
      <c r="AA675" s="1333"/>
      <c r="AB675" s="1333"/>
      <c r="AC675" s="1333"/>
      <c r="AD675" s="1333"/>
      <c r="AE675" s="1333"/>
      <c r="AF675" s="1333"/>
      <c r="AG675" s="1333"/>
      <c r="AH675" s="1333"/>
      <c r="AI675" s="1333"/>
      <c r="AJ675" s="1333"/>
    </row>
    <row r="676" spans="1:36" ht="15" customHeight="1" x14ac:dyDescent="0.25">
      <c r="A676" s="1331"/>
      <c r="B676" s="1284"/>
      <c r="C676" s="1284"/>
      <c r="D676" s="1364"/>
      <c r="E676" s="1364"/>
      <c r="F676" s="1364"/>
      <c r="G676" s="1365"/>
      <c r="H676" s="1333"/>
      <c r="I676" s="1333"/>
      <c r="J676" s="1333"/>
      <c r="K676" s="1333"/>
      <c r="L676" s="1333"/>
      <c r="M676" s="1333"/>
      <c r="N676" s="1333"/>
      <c r="O676" s="1333"/>
      <c r="P676" s="1333"/>
      <c r="Q676" s="1333"/>
      <c r="R676" s="1333"/>
      <c r="S676" s="1449"/>
      <c r="T676" s="1284"/>
      <c r="U676" s="1333"/>
      <c r="V676" s="1333"/>
      <c r="W676" s="1333"/>
      <c r="X676" s="1333"/>
      <c r="Y676" s="1333"/>
      <c r="Z676" s="1333"/>
      <c r="AA676" s="1333"/>
      <c r="AB676" s="1333"/>
      <c r="AC676" s="1333"/>
      <c r="AD676" s="1333"/>
      <c r="AE676" s="1333"/>
      <c r="AF676" s="1333"/>
      <c r="AG676" s="1333"/>
      <c r="AH676" s="1333"/>
      <c r="AI676" s="1333"/>
      <c r="AJ676" s="1333"/>
    </row>
    <row r="677" spans="1:36" x14ac:dyDescent="0.25">
      <c r="A677" s="1331"/>
      <c r="B677" s="1284"/>
      <c r="C677" s="1284"/>
      <c r="D677" s="1364"/>
      <c r="E677" s="1364"/>
      <c r="F677" s="1364"/>
      <c r="G677" s="1365"/>
      <c r="H677" s="1333"/>
      <c r="I677" s="1333"/>
      <c r="J677" s="1333"/>
      <c r="K677" s="1333"/>
      <c r="L677" s="1333"/>
      <c r="M677" s="1333"/>
      <c r="N677" s="1333"/>
      <c r="O677" s="1333"/>
      <c r="P677" s="1333"/>
      <c r="Q677" s="1333"/>
      <c r="R677" s="1333"/>
      <c r="S677" s="1449"/>
      <c r="T677" s="1284"/>
      <c r="U677" s="1333"/>
      <c r="V677" s="1333"/>
      <c r="W677" s="1333"/>
      <c r="X677" s="1333"/>
      <c r="Y677" s="1333"/>
      <c r="Z677" s="1333"/>
      <c r="AA677" s="1333"/>
      <c r="AB677" s="1333"/>
      <c r="AC677" s="1333"/>
      <c r="AD677" s="1333"/>
      <c r="AE677" s="1333"/>
      <c r="AF677" s="1333"/>
      <c r="AG677" s="1333"/>
      <c r="AH677" s="1333"/>
      <c r="AI677" s="1333"/>
      <c r="AJ677" s="1333"/>
    </row>
    <row r="678" spans="1:36" x14ac:dyDescent="0.25">
      <c r="A678" s="1331"/>
      <c r="B678" s="1284"/>
      <c r="C678" s="1284"/>
      <c r="D678" s="1364"/>
      <c r="E678" s="1364"/>
      <c r="F678" s="1364"/>
      <c r="G678" s="1365"/>
      <c r="H678" s="1333"/>
      <c r="I678" s="1333"/>
      <c r="J678" s="1333"/>
      <c r="K678" s="1333"/>
      <c r="L678" s="1333"/>
      <c r="M678" s="1333"/>
      <c r="N678" s="1333"/>
      <c r="O678" s="1333"/>
      <c r="P678" s="1333"/>
      <c r="Q678" s="1333"/>
      <c r="R678" s="1333"/>
      <c r="S678" s="1449"/>
      <c r="T678" s="1284"/>
      <c r="U678" s="1333"/>
      <c r="V678" s="1333"/>
      <c r="W678" s="1333"/>
      <c r="X678" s="1333"/>
      <c r="Y678" s="1333"/>
      <c r="Z678" s="1333"/>
      <c r="AA678" s="1333"/>
      <c r="AB678" s="1333"/>
      <c r="AC678" s="1333"/>
      <c r="AD678" s="1333"/>
      <c r="AE678" s="1333"/>
      <c r="AF678" s="1333"/>
      <c r="AG678" s="1333"/>
      <c r="AH678" s="1333"/>
      <c r="AI678" s="1333"/>
      <c r="AJ678" s="1333"/>
    </row>
    <row r="679" spans="1:36" x14ac:dyDescent="0.25">
      <c r="A679" s="1331"/>
      <c r="B679" s="1284"/>
      <c r="C679" s="1284"/>
      <c r="D679" s="1364"/>
      <c r="E679" s="1364"/>
      <c r="F679" s="1364"/>
      <c r="G679" s="1365"/>
      <c r="H679" s="1333"/>
      <c r="I679" s="1333"/>
      <c r="J679" s="1333"/>
      <c r="K679" s="1333"/>
      <c r="L679" s="1333"/>
      <c r="M679" s="1333"/>
      <c r="N679" s="1333"/>
      <c r="O679" s="1333"/>
      <c r="P679" s="1333"/>
      <c r="Q679" s="1333"/>
      <c r="R679" s="1333"/>
      <c r="S679" s="1449"/>
      <c r="T679" s="1284"/>
      <c r="U679" s="1333"/>
      <c r="V679" s="1333"/>
      <c r="W679" s="1333"/>
      <c r="X679" s="1333"/>
      <c r="Y679" s="1333"/>
      <c r="Z679" s="1333"/>
      <c r="AA679" s="1333"/>
      <c r="AB679" s="1333"/>
      <c r="AC679" s="1333"/>
      <c r="AD679" s="1333"/>
      <c r="AE679" s="1333"/>
      <c r="AF679" s="1333"/>
      <c r="AG679" s="1333"/>
      <c r="AH679" s="1333"/>
      <c r="AI679" s="1333"/>
      <c r="AJ679" s="1333"/>
    </row>
    <row r="680" spans="1:36" x14ac:dyDescent="0.25">
      <c r="A680" s="1331"/>
      <c r="B680" s="1284"/>
      <c r="C680" s="1284"/>
      <c r="D680" s="1364"/>
      <c r="E680" s="1364"/>
      <c r="F680" s="1364"/>
      <c r="G680" s="1365"/>
      <c r="H680" s="1333"/>
      <c r="I680" s="1333"/>
      <c r="J680" s="1333"/>
      <c r="K680" s="1333"/>
      <c r="L680" s="1333"/>
      <c r="M680" s="1333"/>
      <c r="N680" s="1333"/>
      <c r="O680" s="1333"/>
      <c r="P680" s="1333"/>
      <c r="Q680" s="1333"/>
      <c r="R680" s="1333"/>
      <c r="S680" s="1449"/>
      <c r="T680" s="1284"/>
      <c r="U680" s="1333"/>
      <c r="V680" s="1333"/>
      <c r="W680" s="1333"/>
      <c r="X680" s="1333"/>
      <c r="Y680" s="1333"/>
      <c r="Z680" s="1333"/>
      <c r="AA680" s="1333"/>
      <c r="AB680" s="1333"/>
      <c r="AC680" s="1333"/>
      <c r="AD680" s="1333"/>
      <c r="AE680" s="1333"/>
      <c r="AF680" s="1333"/>
      <c r="AG680" s="1333"/>
      <c r="AH680" s="1333"/>
      <c r="AI680" s="1333"/>
      <c r="AJ680" s="1333"/>
    </row>
    <row r="681" spans="1:36" x14ac:dyDescent="0.25">
      <c r="A681" s="1331"/>
      <c r="B681" s="1284"/>
      <c r="C681" s="1284"/>
      <c r="D681" s="1364"/>
      <c r="E681" s="1364"/>
      <c r="F681" s="1364"/>
      <c r="G681" s="1365"/>
      <c r="H681" s="1333"/>
      <c r="I681" s="1333"/>
      <c r="J681" s="1333"/>
      <c r="K681" s="1333"/>
      <c r="L681" s="1333"/>
      <c r="M681" s="1333"/>
      <c r="N681" s="1333"/>
      <c r="O681" s="1333"/>
      <c r="P681" s="1333"/>
      <c r="Q681" s="1333"/>
      <c r="R681" s="1333"/>
      <c r="S681" s="1449"/>
      <c r="T681" s="1284"/>
      <c r="U681" s="1333"/>
      <c r="V681" s="1333"/>
      <c r="W681" s="1333"/>
      <c r="X681" s="1333"/>
      <c r="Y681" s="1333"/>
      <c r="Z681" s="1333"/>
      <c r="AA681" s="1333"/>
      <c r="AB681" s="1333"/>
      <c r="AC681" s="1333"/>
      <c r="AD681" s="1333"/>
      <c r="AE681" s="1333"/>
      <c r="AF681" s="1333"/>
      <c r="AG681" s="1333"/>
      <c r="AH681" s="1333"/>
      <c r="AI681" s="1333"/>
      <c r="AJ681" s="1333"/>
    </row>
    <row r="682" spans="1:36" x14ac:dyDescent="0.25">
      <c r="A682" s="1331"/>
      <c r="B682" s="1284"/>
      <c r="C682" s="1284"/>
      <c r="D682" s="1364"/>
      <c r="E682" s="1364"/>
      <c r="F682" s="1364"/>
      <c r="G682" s="1365"/>
      <c r="H682" s="1333"/>
      <c r="I682" s="1333"/>
      <c r="J682" s="1333"/>
      <c r="K682" s="1333"/>
      <c r="L682" s="1333"/>
      <c r="M682" s="1333"/>
      <c r="N682" s="1333"/>
      <c r="O682" s="1333"/>
      <c r="P682" s="1333"/>
      <c r="Q682" s="1333"/>
      <c r="R682" s="1333"/>
      <c r="S682" s="1449"/>
      <c r="T682" s="1284"/>
      <c r="U682" s="1333"/>
      <c r="V682" s="1333"/>
      <c r="W682" s="1333"/>
      <c r="X682" s="1333"/>
      <c r="Y682" s="1333"/>
      <c r="Z682" s="1333"/>
      <c r="AA682" s="1333"/>
      <c r="AB682" s="1333"/>
      <c r="AC682" s="1333"/>
      <c r="AD682" s="1333"/>
      <c r="AE682" s="1333"/>
      <c r="AF682" s="1333"/>
      <c r="AG682" s="1333"/>
      <c r="AH682" s="1333"/>
      <c r="AI682" s="1333"/>
      <c r="AJ682" s="1333"/>
    </row>
    <row r="683" spans="1:36" x14ac:dyDescent="0.25">
      <c r="A683" s="1331"/>
      <c r="B683" s="1284"/>
      <c r="C683" s="1284"/>
      <c r="D683" s="1364"/>
      <c r="E683" s="1364"/>
      <c r="F683" s="1364"/>
      <c r="G683" s="1365"/>
      <c r="H683" s="1333"/>
      <c r="I683" s="1333"/>
      <c r="J683" s="1333"/>
      <c r="K683" s="1333"/>
      <c r="L683" s="1333"/>
      <c r="M683" s="1333"/>
      <c r="N683" s="1333"/>
      <c r="O683" s="1333"/>
      <c r="P683" s="1333"/>
      <c r="Q683" s="1333"/>
      <c r="R683" s="1333"/>
      <c r="S683" s="1449"/>
      <c r="T683" s="1284"/>
      <c r="U683" s="1333"/>
      <c r="V683" s="1333"/>
      <c r="W683" s="1333"/>
      <c r="X683" s="1333"/>
      <c r="Y683" s="1333"/>
      <c r="Z683" s="1333"/>
      <c r="AA683" s="1333"/>
      <c r="AB683" s="1333"/>
      <c r="AC683" s="1333"/>
      <c r="AD683" s="1333"/>
      <c r="AE683" s="1333"/>
      <c r="AF683" s="1333"/>
      <c r="AG683" s="1333"/>
      <c r="AH683" s="1333"/>
      <c r="AI683" s="1333"/>
      <c r="AJ683" s="1333"/>
    </row>
    <row r="684" spans="1:36" x14ac:dyDescent="0.25">
      <c r="A684" s="1331"/>
      <c r="B684" s="1284"/>
      <c r="C684" s="1284"/>
      <c r="D684" s="1364"/>
      <c r="E684" s="1364"/>
      <c r="F684" s="1364"/>
      <c r="G684" s="1365"/>
      <c r="H684" s="1333"/>
      <c r="I684" s="1333"/>
      <c r="J684" s="1333"/>
      <c r="K684" s="1333"/>
      <c r="L684" s="1333"/>
      <c r="M684" s="1333"/>
      <c r="N684" s="1333"/>
      <c r="O684" s="1333"/>
      <c r="P684" s="1333"/>
      <c r="Q684" s="1333"/>
      <c r="R684" s="1333"/>
      <c r="S684" s="1449"/>
      <c r="T684" s="1284"/>
      <c r="U684" s="1333"/>
      <c r="V684" s="1333"/>
      <c r="W684" s="1333"/>
      <c r="X684" s="1333"/>
      <c r="Y684" s="1333"/>
      <c r="Z684" s="1333"/>
      <c r="AA684" s="1333"/>
      <c r="AB684" s="1333"/>
      <c r="AC684" s="1333"/>
      <c r="AD684" s="1333"/>
      <c r="AE684" s="1333"/>
      <c r="AF684" s="1333"/>
      <c r="AG684" s="1333"/>
      <c r="AH684" s="1333"/>
      <c r="AI684" s="1333"/>
      <c r="AJ684" s="1333"/>
    </row>
    <row r="685" spans="1:36" x14ac:dyDescent="0.25">
      <c r="A685" s="1331"/>
      <c r="B685" s="1284"/>
      <c r="C685" s="1284"/>
      <c r="D685" s="1364"/>
      <c r="E685" s="1364"/>
      <c r="F685" s="1364"/>
      <c r="G685" s="1365"/>
      <c r="H685" s="1333"/>
      <c r="I685" s="1333"/>
      <c r="J685" s="1333"/>
      <c r="K685" s="1333"/>
      <c r="L685" s="1333"/>
      <c r="M685" s="1333"/>
      <c r="N685" s="1333"/>
      <c r="O685" s="1333"/>
      <c r="P685" s="1333"/>
      <c r="Q685" s="1333"/>
      <c r="R685" s="1333"/>
      <c r="S685" s="1449"/>
      <c r="T685" s="1284"/>
      <c r="U685" s="1333"/>
      <c r="V685" s="1333"/>
      <c r="W685" s="1333"/>
      <c r="X685" s="1333"/>
      <c r="Y685" s="1333"/>
      <c r="Z685" s="1333"/>
      <c r="AA685" s="1333"/>
      <c r="AB685" s="1333"/>
      <c r="AC685" s="1333"/>
      <c r="AD685" s="1333"/>
      <c r="AE685" s="1333"/>
      <c r="AF685" s="1333"/>
      <c r="AG685" s="1333"/>
      <c r="AH685" s="1333"/>
      <c r="AI685" s="1333"/>
      <c r="AJ685" s="1333"/>
    </row>
    <row r="686" spans="1:36" x14ac:dyDescent="0.25">
      <c r="A686" s="1331"/>
      <c r="B686" s="1284"/>
      <c r="C686" s="1284"/>
      <c r="D686" s="1364"/>
      <c r="E686" s="1364"/>
      <c r="F686" s="1364"/>
      <c r="G686" s="1365"/>
      <c r="H686" s="1333"/>
      <c r="I686" s="1333"/>
      <c r="J686" s="1333"/>
      <c r="K686" s="1333"/>
      <c r="L686" s="1333"/>
      <c r="M686" s="1333"/>
      <c r="N686" s="1333"/>
      <c r="O686" s="1333"/>
      <c r="P686" s="1333"/>
      <c r="Q686" s="1333"/>
      <c r="R686" s="1333"/>
      <c r="S686" s="1449"/>
      <c r="T686" s="1284"/>
      <c r="U686" s="1333"/>
      <c r="V686" s="1333"/>
      <c r="W686" s="1333"/>
      <c r="X686" s="1333"/>
      <c r="Y686" s="1333"/>
      <c r="Z686" s="1333"/>
      <c r="AA686" s="1333"/>
      <c r="AB686" s="1333"/>
      <c r="AC686" s="1333"/>
      <c r="AD686" s="1333"/>
      <c r="AE686" s="1333"/>
      <c r="AF686" s="1333"/>
      <c r="AG686" s="1333"/>
      <c r="AH686" s="1333"/>
      <c r="AI686" s="1333"/>
      <c r="AJ686" s="1333"/>
    </row>
    <row r="687" spans="1:36" x14ac:dyDescent="0.25">
      <c r="A687" s="1331"/>
      <c r="B687" s="1284"/>
      <c r="C687" s="1284"/>
      <c r="D687" s="1364"/>
      <c r="E687" s="1364"/>
      <c r="F687" s="1364"/>
      <c r="G687" s="1365"/>
      <c r="H687" s="1333"/>
      <c r="I687" s="1333"/>
      <c r="J687" s="1333"/>
      <c r="K687" s="1333"/>
      <c r="L687" s="1333"/>
      <c r="M687" s="1333"/>
      <c r="N687" s="1333"/>
      <c r="O687" s="1333"/>
      <c r="P687" s="1333"/>
      <c r="Q687" s="1333"/>
      <c r="R687" s="1333"/>
      <c r="S687" s="1449"/>
      <c r="T687" s="1284"/>
      <c r="U687" s="1333"/>
      <c r="V687" s="1333"/>
      <c r="W687" s="1333"/>
      <c r="X687" s="1333"/>
      <c r="Y687" s="1333"/>
      <c r="Z687" s="1333"/>
      <c r="AA687" s="1333"/>
      <c r="AB687" s="1333"/>
      <c r="AC687" s="1333"/>
      <c r="AD687" s="1333"/>
      <c r="AE687" s="1333"/>
      <c r="AF687" s="1333"/>
      <c r="AG687" s="1333"/>
      <c r="AH687" s="1333"/>
      <c r="AI687" s="1333"/>
      <c r="AJ687" s="1333"/>
    </row>
    <row r="688" spans="1:36" x14ac:dyDescent="0.25">
      <c r="A688" s="1331"/>
      <c r="B688" s="1284"/>
      <c r="C688" s="1284"/>
      <c r="D688" s="1364"/>
      <c r="E688" s="1364"/>
      <c r="F688" s="1364"/>
      <c r="G688" s="1365"/>
      <c r="H688" s="1333"/>
      <c r="I688" s="1333"/>
      <c r="J688" s="1333"/>
      <c r="K688" s="1333"/>
      <c r="L688" s="1333"/>
      <c r="M688" s="1333"/>
      <c r="N688" s="1333"/>
      <c r="O688" s="1333"/>
      <c r="P688" s="1333"/>
      <c r="Q688" s="1333"/>
      <c r="R688" s="1333"/>
      <c r="S688" s="1449"/>
      <c r="T688" s="1284"/>
      <c r="U688" s="1333"/>
      <c r="V688" s="1333"/>
      <c r="W688" s="1333"/>
      <c r="X688" s="1333"/>
      <c r="Y688" s="1333"/>
      <c r="Z688" s="1333"/>
      <c r="AA688" s="1333"/>
      <c r="AB688" s="1333"/>
      <c r="AC688" s="1333"/>
      <c r="AD688" s="1333"/>
      <c r="AE688" s="1333"/>
      <c r="AF688" s="1333"/>
      <c r="AG688" s="1333"/>
      <c r="AH688" s="1333"/>
      <c r="AI688" s="1333"/>
      <c r="AJ688" s="1333"/>
    </row>
    <row r="689" spans="1:36" x14ac:dyDescent="0.25">
      <c r="A689" s="1331"/>
      <c r="B689" s="1284"/>
      <c r="C689" s="1284"/>
      <c r="D689" s="1364"/>
      <c r="E689" s="1364"/>
      <c r="F689" s="1364"/>
      <c r="G689" s="1365"/>
      <c r="H689" s="1333"/>
      <c r="I689" s="1333"/>
      <c r="J689" s="1333"/>
      <c r="K689" s="1333"/>
      <c r="L689" s="1333"/>
      <c r="M689" s="1333"/>
      <c r="N689" s="1333"/>
      <c r="O689" s="1333"/>
      <c r="P689" s="1333"/>
      <c r="Q689" s="1333"/>
      <c r="R689" s="1333"/>
      <c r="S689" s="1449"/>
      <c r="T689" s="1284"/>
      <c r="U689" s="1333"/>
      <c r="V689" s="1333"/>
      <c r="W689" s="1333"/>
      <c r="X689" s="1333"/>
      <c r="Y689" s="1333"/>
      <c r="Z689" s="1333"/>
      <c r="AA689" s="1333"/>
      <c r="AB689" s="1333"/>
      <c r="AC689" s="1333"/>
      <c r="AD689" s="1333"/>
      <c r="AE689" s="1333"/>
      <c r="AF689" s="1333"/>
      <c r="AG689" s="1333"/>
      <c r="AH689" s="1333"/>
      <c r="AI689" s="1333"/>
      <c r="AJ689" s="1333"/>
    </row>
    <row r="690" spans="1:36" x14ac:dyDescent="0.25">
      <c r="A690" s="1331"/>
      <c r="B690" s="1284"/>
      <c r="C690" s="1284"/>
      <c r="D690" s="1364"/>
      <c r="E690" s="1364"/>
      <c r="F690" s="1364"/>
      <c r="G690" s="1365"/>
      <c r="H690" s="1333"/>
      <c r="I690" s="1333"/>
      <c r="J690" s="1333"/>
      <c r="K690" s="1333"/>
      <c r="L690" s="1333"/>
      <c r="M690" s="1333"/>
      <c r="N690" s="1333"/>
      <c r="O690" s="1333"/>
      <c r="P690" s="1333"/>
      <c r="Q690" s="1333"/>
      <c r="R690" s="1333"/>
      <c r="S690" s="1449"/>
      <c r="T690" s="1284"/>
      <c r="U690" s="1333"/>
      <c r="V690" s="1333"/>
      <c r="W690" s="1333"/>
      <c r="X690" s="1333"/>
      <c r="Y690" s="1333"/>
      <c r="Z690" s="1333"/>
      <c r="AA690" s="1333"/>
      <c r="AB690" s="1333"/>
      <c r="AC690" s="1333"/>
      <c r="AD690" s="1333"/>
      <c r="AE690" s="1333"/>
      <c r="AF690" s="1333"/>
      <c r="AG690" s="1333"/>
      <c r="AH690" s="1333"/>
      <c r="AI690" s="1333"/>
      <c r="AJ690" s="1333"/>
    </row>
    <row r="691" spans="1:36" x14ac:dyDescent="0.25">
      <c r="A691" s="1331"/>
      <c r="B691" s="1284"/>
      <c r="C691" s="1284"/>
      <c r="D691" s="1364"/>
      <c r="E691" s="1364"/>
      <c r="F691" s="1364"/>
      <c r="G691" s="1365"/>
      <c r="H691" s="1333"/>
      <c r="I691" s="1333"/>
      <c r="J691" s="1333"/>
      <c r="K691" s="1333"/>
      <c r="L691" s="1333"/>
      <c r="M691" s="1333"/>
      <c r="N691" s="1333"/>
      <c r="O691" s="1333"/>
      <c r="P691" s="1333"/>
      <c r="Q691" s="1333"/>
      <c r="R691" s="1333"/>
      <c r="S691" s="1449"/>
      <c r="T691" s="1284"/>
      <c r="U691" s="1333"/>
      <c r="V691" s="1333"/>
      <c r="W691" s="1333"/>
      <c r="X691" s="1333"/>
      <c r="Y691" s="1333"/>
      <c r="Z691" s="1333"/>
      <c r="AA691" s="1333"/>
      <c r="AB691" s="1333"/>
      <c r="AC691" s="1333"/>
      <c r="AD691" s="1333"/>
      <c r="AE691" s="1333"/>
      <c r="AF691" s="1333"/>
      <c r="AG691" s="1333"/>
      <c r="AH691" s="1333"/>
      <c r="AI691" s="1333"/>
      <c r="AJ691" s="1333"/>
    </row>
    <row r="692" spans="1:36" x14ac:dyDescent="0.25">
      <c r="A692" s="1331"/>
      <c r="B692" s="1284"/>
      <c r="C692" s="1284"/>
      <c r="D692" s="1364"/>
      <c r="E692" s="1364"/>
      <c r="F692" s="1364"/>
      <c r="G692" s="1365"/>
      <c r="H692" s="1333"/>
      <c r="I692" s="1333"/>
      <c r="J692" s="1333"/>
      <c r="K692" s="1333"/>
      <c r="L692" s="1333"/>
      <c r="M692" s="1333"/>
      <c r="N692" s="1333"/>
      <c r="O692" s="1333"/>
      <c r="P692" s="1333"/>
      <c r="Q692" s="1333"/>
      <c r="R692" s="1333"/>
      <c r="S692" s="1449"/>
      <c r="T692" s="1284"/>
      <c r="U692" s="1333"/>
      <c r="V692" s="1333"/>
      <c r="W692" s="1333"/>
      <c r="X692" s="1333"/>
      <c r="Y692" s="1333"/>
      <c r="Z692" s="1333"/>
      <c r="AA692" s="1333"/>
      <c r="AB692" s="1333"/>
      <c r="AC692" s="1333"/>
      <c r="AD692" s="1333"/>
      <c r="AE692" s="1333"/>
      <c r="AF692" s="1333"/>
      <c r="AG692" s="1333"/>
      <c r="AH692" s="1333"/>
      <c r="AI692" s="1333"/>
      <c r="AJ692" s="1333"/>
    </row>
    <row r="693" spans="1:36" x14ac:dyDescent="0.25">
      <c r="A693" s="1331"/>
      <c r="B693" s="1284"/>
      <c r="C693" s="1284"/>
      <c r="D693" s="1364"/>
      <c r="E693" s="1364"/>
      <c r="F693" s="1364"/>
      <c r="G693" s="1365"/>
      <c r="H693" s="1333"/>
      <c r="I693" s="1333"/>
      <c r="J693" s="1333"/>
      <c r="K693" s="1333"/>
      <c r="L693" s="1333"/>
      <c r="M693" s="1333"/>
      <c r="N693" s="1333"/>
      <c r="O693" s="1333"/>
      <c r="P693" s="1333"/>
      <c r="Q693" s="1333"/>
      <c r="R693" s="1333"/>
      <c r="S693" s="1449"/>
      <c r="T693" s="1284"/>
      <c r="U693" s="1333"/>
      <c r="V693" s="1333"/>
      <c r="W693" s="1333"/>
      <c r="X693" s="1333"/>
      <c r="Y693" s="1333"/>
      <c r="Z693" s="1333"/>
      <c r="AA693" s="1333"/>
      <c r="AB693" s="1333"/>
      <c r="AC693" s="1333"/>
      <c r="AD693" s="1333"/>
      <c r="AE693" s="1333"/>
      <c r="AF693" s="1333"/>
      <c r="AG693" s="1333"/>
      <c r="AH693" s="1333"/>
      <c r="AI693" s="1333"/>
      <c r="AJ693" s="1333"/>
    </row>
    <row r="694" spans="1:36" x14ac:dyDescent="0.25">
      <c r="A694" s="1331"/>
      <c r="B694" s="1284"/>
      <c r="C694" s="1284"/>
      <c r="D694" s="1364"/>
      <c r="E694" s="1364"/>
      <c r="F694" s="1364"/>
      <c r="G694" s="1365"/>
      <c r="H694" s="1333"/>
      <c r="I694" s="1333"/>
      <c r="J694" s="1333"/>
      <c r="K694" s="1333"/>
      <c r="L694" s="1333"/>
      <c r="M694" s="1333"/>
      <c r="N694" s="1333"/>
      <c r="O694" s="1333"/>
      <c r="P694" s="1333"/>
      <c r="Q694" s="1333"/>
      <c r="R694" s="1333"/>
      <c r="S694" s="1449"/>
      <c r="T694" s="1284"/>
      <c r="U694" s="1333"/>
      <c r="V694" s="1333"/>
      <c r="W694" s="1333"/>
      <c r="X694" s="1333"/>
      <c r="Y694" s="1333"/>
      <c r="Z694" s="1333"/>
      <c r="AA694" s="1333"/>
      <c r="AB694" s="1333"/>
      <c r="AC694" s="1333"/>
      <c r="AD694" s="1333"/>
      <c r="AE694" s="1333"/>
      <c r="AF694" s="1333"/>
      <c r="AG694" s="1333"/>
      <c r="AH694" s="1333"/>
      <c r="AI694" s="1333"/>
      <c r="AJ694" s="1333"/>
    </row>
    <row r="695" spans="1:36" x14ac:dyDescent="0.25">
      <c r="A695" s="1331"/>
      <c r="B695" s="1284"/>
      <c r="C695" s="1284"/>
      <c r="D695" s="1364"/>
      <c r="E695" s="1364"/>
      <c r="F695" s="1364"/>
      <c r="G695" s="1365"/>
      <c r="H695" s="1333"/>
      <c r="I695" s="1333"/>
      <c r="J695" s="1333"/>
      <c r="K695" s="1333"/>
      <c r="L695" s="1333"/>
      <c r="M695" s="1333"/>
      <c r="N695" s="1333"/>
      <c r="O695" s="1333"/>
      <c r="P695" s="1333"/>
      <c r="Q695" s="1333"/>
      <c r="R695" s="1333"/>
      <c r="S695" s="1449"/>
      <c r="T695" s="1284"/>
      <c r="U695" s="1333"/>
      <c r="V695" s="1333"/>
      <c r="W695" s="1333"/>
      <c r="X695" s="1333"/>
      <c r="Y695" s="1333"/>
      <c r="Z695" s="1333"/>
      <c r="AA695" s="1333"/>
      <c r="AB695" s="1333"/>
      <c r="AC695" s="1333"/>
      <c r="AD695" s="1333"/>
      <c r="AE695" s="1333"/>
      <c r="AF695" s="1333"/>
      <c r="AG695" s="1333"/>
      <c r="AH695" s="1333"/>
      <c r="AI695" s="1333"/>
      <c r="AJ695" s="1333"/>
    </row>
    <row r="696" spans="1:36" x14ac:dyDescent="0.25">
      <c r="A696" s="1331"/>
      <c r="B696" s="1284"/>
      <c r="C696" s="1284"/>
      <c r="D696" s="1364"/>
      <c r="E696" s="1364"/>
      <c r="F696" s="1364"/>
      <c r="G696" s="1365"/>
      <c r="H696" s="1333"/>
      <c r="I696" s="1333"/>
      <c r="J696" s="1333"/>
      <c r="K696" s="1333"/>
      <c r="L696" s="1333"/>
      <c r="M696" s="1333"/>
      <c r="N696" s="1333"/>
      <c r="O696" s="1333"/>
      <c r="P696" s="1333"/>
      <c r="Q696" s="1333"/>
      <c r="R696" s="1333"/>
      <c r="S696" s="1449"/>
      <c r="T696" s="1284"/>
      <c r="U696" s="1333"/>
      <c r="V696" s="1333"/>
      <c r="W696" s="1333"/>
      <c r="X696" s="1333"/>
      <c r="Y696" s="1333"/>
      <c r="Z696" s="1333"/>
      <c r="AA696" s="1333"/>
      <c r="AB696" s="1333"/>
      <c r="AC696" s="1333"/>
      <c r="AD696" s="1333"/>
      <c r="AE696" s="1333"/>
      <c r="AF696" s="1333"/>
      <c r="AG696" s="1333"/>
      <c r="AH696" s="1333"/>
      <c r="AI696" s="1333"/>
      <c r="AJ696" s="1333"/>
    </row>
    <row r="697" spans="1:36" x14ac:dyDescent="0.25">
      <c r="A697" s="1331"/>
      <c r="B697" s="1284"/>
      <c r="C697" s="1284"/>
      <c r="D697" s="1364"/>
      <c r="E697" s="1364"/>
      <c r="F697" s="1364"/>
      <c r="G697" s="1365"/>
      <c r="H697" s="1333"/>
      <c r="I697" s="1333"/>
      <c r="J697" s="1333"/>
      <c r="K697" s="1333"/>
      <c r="L697" s="1333"/>
      <c r="M697" s="1333"/>
      <c r="N697" s="1333"/>
      <c r="O697" s="1333"/>
      <c r="P697" s="1333"/>
      <c r="Q697" s="1333"/>
      <c r="R697" s="1333"/>
      <c r="S697" s="1449"/>
      <c r="T697" s="1284"/>
      <c r="U697" s="1333"/>
      <c r="V697" s="1333"/>
      <c r="W697" s="1333"/>
      <c r="X697" s="1333"/>
      <c r="Y697" s="1333"/>
      <c r="Z697" s="1333"/>
      <c r="AA697" s="1333"/>
      <c r="AB697" s="1333"/>
      <c r="AC697" s="1333"/>
      <c r="AD697" s="1333"/>
      <c r="AE697" s="1333"/>
      <c r="AF697" s="1333"/>
      <c r="AG697" s="1333"/>
      <c r="AH697" s="1333"/>
      <c r="AI697" s="1333"/>
      <c r="AJ697" s="1333"/>
    </row>
    <row r="698" spans="1:36" x14ac:dyDescent="0.25">
      <c r="A698" s="1331"/>
      <c r="B698" s="1284"/>
      <c r="C698" s="1284"/>
      <c r="D698" s="1364"/>
      <c r="E698" s="1364"/>
      <c r="F698" s="1364"/>
      <c r="G698" s="1365"/>
      <c r="H698" s="1333"/>
      <c r="I698" s="1333"/>
      <c r="J698" s="1333"/>
      <c r="K698" s="1333"/>
      <c r="L698" s="1333"/>
      <c r="M698" s="1333"/>
      <c r="N698" s="1333"/>
      <c r="O698" s="1333"/>
      <c r="P698" s="1333"/>
      <c r="Q698" s="1333"/>
      <c r="R698" s="1333"/>
      <c r="S698" s="1449"/>
      <c r="T698" s="1284"/>
      <c r="U698" s="1333"/>
      <c r="V698" s="1333"/>
      <c r="W698" s="1333"/>
      <c r="X698" s="1333"/>
      <c r="Y698" s="1333"/>
      <c r="Z698" s="1333"/>
      <c r="AA698" s="1333"/>
      <c r="AB698" s="1333"/>
      <c r="AC698" s="1333"/>
      <c r="AD698" s="1333"/>
      <c r="AE698" s="1333"/>
      <c r="AF698" s="1333"/>
      <c r="AG698" s="1333"/>
      <c r="AH698" s="1333"/>
      <c r="AI698" s="1333"/>
      <c r="AJ698" s="1333"/>
    </row>
    <row r="699" spans="1:36" x14ac:dyDescent="0.25">
      <c r="A699" s="1331"/>
      <c r="B699" s="1284"/>
      <c r="C699" s="1284"/>
      <c r="D699" s="1364"/>
      <c r="E699" s="1364"/>
      <c r="F699" s="1364"/>
      <c r="G699" s="1365"/>
      <c r="H699" s="1333"/>
      <c r="I699" s="1333"/>
      <c r="J699" s="1333"/>
      <c r="K699" s="1333"/>
      <c r="L699" s="1333"/>
      <c r="M699" s="1333"/>
      <c r="N699" s="1333"/>
      <c r="O699" s="1333"/>
      <c r="P699" s="1333"/>
      <c r="Q699" s="1333"/>
      <c r="R699" s="1333"/>
      <c r="S699" s="1449"/>
      <c r="T699" s="1284"/>
      <c r="U699" s="1333"/>
      <c r="V699" s="1333"/>
      <c r="W699" s="1333"/>
      <c r="X699" s="1333"/>
      <c r="Y699" s="1333"/>
      <c r="Z699" s="1333"/>
      <c r="AA699" s="1333"/>
      <c r="AB699" s="1333"/>
      <c r="AC699" s="1333"/>
      <c r="AD699" s="1333"/>
      <c r="AE699" s="1333"/>
      <c r="AF699" s="1333"/>
      <c r="AG699" s="1333"/>
      <c r="AH699" s="1333"/>
      <c r="AI699" s="1333"/>
      <c r="AJ699" s="1333"/>
    </row>
    <row r="700" spans="1:36" x14ac:dyDescent="0.25">
      <c r="A700" s="1331"/>
      <c r="B700" s="1284"/>
      <c r="C700" s="1284"/>
      <c r="D700" s="1364"/>
      <c r="E700" s="1364"/>
      <c r="F700" s="1364"/>
      <c r="G700" s="1365"/>
      <c r="H700" s="1333"/>
      <c r="I700" s="1333"/>
      <c r="J700" s="1333"/>
      <c r="K700" s="1333"/>
      <c r="L700" s="1333"/>
      <c r="M700" s="1333"/>
      <c r="N700" s="1333"/>
      <c r="O700" s="1333"/>
      <c r="P700" s="1333"/>
      <c r="Q700" s="1333"/>
      <c r="R700" s="1333"/>
      <c r="S700" s="1449"/>
      <c r="T700" s="1284"/>
      <c r="U700" s="1333"/>
      <c r="V700" s="1333"/>
      <c r="W700" s="1333"/>
      <c r="X700" s="1333"/>
      <c r="Y700" s="1333"/>
      <c r="Z700" s="1333"/>
      <c r="AA700" s="1333"/>
      <c r="AB700" s="1333"/>
      <c r="AC700" s="1333"/>
      <c r="AD700" s="1333"/>
      <c r="AE700" s="1333"/>
      <c r="AF700" s="1333"/>
      <c r="AG700" s="1333"/>
      <c r="AH700" s="1333"/>
      <c r="AI700" s="1333"/>
      <c r="AJ700" s="1333"/>
    </row>
    <row r="701" spans="1:36" x14ac:dyDescent="0.25">
      <c r="A701" s="1331"/>
      <c r="B701" s="1284"/>
      <c r="C701" s="1284"/>
      <c r="D701" s="1364"/>
      <c r="E701" s="1364"/>
      <c r="F701" s="1364"/>
      <c r="G701" s="1365"/>
      <c r="H701" s="1333"/>
      <c r="I701" s="1333"/>
      <c r="J701" s="1333"/>
      <c r="K701" s="1333"/>
      <c r="L701" s="1333"/>
      <c r="M701" s="1333"/>
      <c r="N701" s="1333"/>
      <c r="O701" s="1333"/>
      <c r="P701" s="1333"/>
      <c r="Q701" s="1333"/>
      <c r="R701" s="1333"/>
      <c r="S701" s="1449"/>
      <c r="T701" s="1333"/>
      <c r="U701" s="1333"/>
      <c r="V701" s="1333"/>
      <c r="W701" s="1333"/>
      <c r="X701" s="1333"/>
      <c r="Y701" s="1333"/>
      <c r="Z701" s="1333"/>
      <c r="AA701" s="1333"/>
      <c r="AB701" s="1333"/>
      <c r="AC701" s="1333"/>
      <c r="AD701" s="1333"/>
      <c r="AE701" s="1333"/>
      <c r="AF701" s="1333"/>
      <c r="AG701" s="1333"/>
      <c r="AH701" s="1333"/>
      <c r="AI701" s="1333"/>
      <c r="AJ701" s="1333"/>
    </row>
    <row r="702" spans="1:36" x14ac:dyDescent="0.25">
      <c r="A702" s="1331"/>
      <c r="B702" s="1284"/>
      <c r="C702" s="1284"/>
      <c r="D702" s="1364"/>
      <c r="E702" s="1364"/>
      <c r="F702" s="1364"/>
      <c r="G702" s="1365"/>
      <c r="H702" s="1333"/>
      <c r="I702" s="1333"/>
      <c r="J702" s="1333"/>
      <c r="K702" s="1333"/>
      <c r="L702" s="1333"/>
      <c r="M702" s="1333"/>
      <c r="N702" s="1333"/>
      <c r="O702" s="1333"/>
      <c r="P702" s="1333"/>
      <c r="Q702" s="1333"/>
      <c r="R702" s="1333"/>
      <c r="S702" s="1449"/>
      <c r="T702" s="1333"/>
      <c r="U702" s="1333"/>
      <c r="V702" s="1333"/>
      <c r="W702" s="1333"/>
      <c r="X702" s="1333"/>
      <c r="Y702" s="1333"/>
      <c r="Z702" s="1333"/>
      <c r="AA702" s="1333"/>
      <c r="AB702" s="1333"/>
      <c r="AC702" s="1333"/>
      <c r="AD702" s="1333"/>
      <c r="AE702" s="1333"/>
      <c r="AF702" s="1333"/>
      <c r="AG702" s="1333"/>
      <c r="AH702" s="1333"/>
      <c r="AI702" s="1333"/>
      <c r="AJ702" s="1333"/>
    </row>
    <row r="703" spans="1:36" x14ac:dyDescent="0.25">
      <c r="A703" s="1331"/>
      <c r="B703" s="1284"/>
      <c r="C703" s="1284"/>
      <c r="D703" s="1364"/>
      <c r="E703" s="1364"/>
      <c r="F703" s="1364"/>
      <c r="G703" s="1365"/>
      <c r="H703" s="1333"/>
      <c r="I703" s="1333"/>
      <c r="J703" s="1333"/>
      <c r="K703" s="1333"/>
      <c r="L703" s="1333"/>
      <c r="M703" s="1333"/>
      <c r="N703" s="1333"/>
      <c r="O703" s="1333"/>
      <c r="P703" s="1333"/>
      <c r="Q703" s="1333"/>
      <c r="R703" s="1333"/>
      <c r="S703" s="1449"/>
      <c r="T703" s="1333"/>
      <c r="U703" s="1333"/>
      <c r="V703" s="1333"/>
      <c r="W703" s="1333"/>
      <c r="X703" s="1333"/>
      <c r="Y703" s="1333"/>
      <c r="Z703" s="1333"/>
      <c r="AA703" s="1333"/>
      <c r="AB703" s="1333"/>
      <c r="AC703" s="1333"/>
      <c r="AD703" s="1333"/>
      <c r="AE703" s="1333"/>
      <c r="AF703" s="1333"/>
      <c r="AG703" s="1333"/>
      <c r="AH703" s="1333"/>
      <c r="AI703" s="1333"/>
      <c r="AJ703" s="1333"/>
    </row>
    <row r="704" spans="1:36" x14ac:dyDescent="0.25">
      <c r="A704" s="1331"/>
      <c r="B704" s="1284"/>
      <c r="C704" s="1284"/>
      <c r="D704" s="1364"/>
      <c r="E704" s="1364"/>
      <c r="F704" s="1364"/>
      <c r="G704" s="1365"/>
      <c r="H704" s="1333"/>
      <c r="I704" s="1333"/>
      <c r="J704" s="1333"/>
      <c r="K704" s="1333"/>
      <c r="L704" s="1333"/>
      <c r="M704" s="1333"/>
      <c r="N704" s="1333"/>
      <c r="O704" s="1333"/>
      <c r="P704" s="1333"/>
      <c r="Q704" s="1333"/>
      <c r="R704" s="1333"/>
      <c r="S704" s="1449"/>
      <c r="T704" s="1333"/>
      <c r="U704" s="1333"/>
      <c r="V704" s="1333"/>
      <c r="W704" s="1333"/>
      <c r="X704" s="1333"/>
      <c r="Y704" s="1333"/>
      <c r="Z704" s="1333"/>
      <c r="AA704" s="1333"/>
      <c r="AB704" s="1333"/>
      <c r="AC704" s="1333"/>
      <c r="AD704" s="1333"/>
      <c r="AE704" s="1333"/>
      <c r="AF704" s="1333"/>
      <c r="AG704" s="1333"/>
      <c r="AH704" s="1333"/>
      <c r="AI704" s="1333"/>
      <c r="AJ704" s="1333"/>
    </row>
    <row r="705" spans="1:36" x14ac:dyDescent="0.25">
      <c r="A705" s="1331"/>
      <c r="B705" s="1284"/>
      <c r="C705" s="1284"/>
      <c r="D705" s="1364"/>
      <c r="E705" s="1364"/>
      <c r="F705" s="1364"/>
      <c r="G705" s="1365"/>
      <c r="H705" s="1333"/>
      <c r="I705" s="1333"/>
      <c r="J705" s="1333"/>
      <c r="K705" s="1333"/>
      <c r="L705" s="1333"/>
      <c r="M705" s="1333"/>
      <c r="N705" s="1333"/>
      <c r="O705" s="1333"/>
      <c r="P705" s="1333"/>
      <c r="Q705" s="1333"/>
      <c r="R705" s="1333"/>
      <c r="S705" s="1449"/>
      <c r="T705" s="1333"/>
      <c r="U705" s="1333"/>
      <c r="V705" s="1333"/>
      <c r="W705" s="1333"/>
      <c r="X705" s="1333"/>
      <c r="Y705" s="1333"/>
      <c r="Z705" s="1333"/>
      <c r="AA705" s="1333"/>
      <c r="AB705" s="1333"/>
      <c r="AC705" s="1333"/>
      <c r="AD705" s="1333"/>
      <c r="AE705" s="1333"/>
      <c r="AF705" s="1333"/>
      <c r="AG705" s="1333"/>
      <c r="AH705" s="1333"/>
      <c r="AI705" s="1333"/>
      <c r="AJ705" s="1333"/>
    </row>
    <row r="706" spans="1:36" x14ac:dyDescent="0.25">
      <c r="A706" s="1331"/>
      <c r="B706" s="1284"/>
      <c r="C706" s="1284"/>
      <c r="D706" s="1364"/>
      <c r="E706" s="1364"/>
      <c r="F706" s="1364"/>
      <c r="G706" s="1365"/>
      <c r="H706" s="1333"/>
      <c r="I706" s="1333"/>
      <c r="J706" s="1333"/>
      <c r="K706" s="1333"/>
      <c r="L706" s="1333"/>
      <c r="M706" s="1333"/>
      <c r="N706" s="1333"/>
      <c r="O706" s="1333"/>
      <c r="P706" s="1333"/>
      <c r="Q706" s="1333"/>
      <c r="R706" s="1333"/>
      <c r="S706" s="1449"/>
      <c r="T706" s="1333"/>
      <c r="U706" s="1333"/>
      <c r="V706" s="1333"/>
      <c r="W706" s="1333"/>
      <c r="X706" s="1333"/>
      <c r="Y706" s="1333"/>
      <c r="Z706" s="1333"/>
      <c r="AA706" s="1333"/>
      <c r="AB706" s="1333"/>
      <c r="AC706" s="1333"/>
      <c r="AD706" s="1333"/>
      <c r="AE706" s="1333"/>
      <c r="AF706" s="1333"/>
      <c r="AG706" s="1333"/>
      <c r="AH706" s="1333"/>
      <c r="AI706" s="1333"/>
      <c r="AJ706" s="1333"/>
    </row>
    <row r="707" spans="1:36" x14ac:dyDescent="0.25">
      <c r="A707" s="1331"/>
      <c r="B707" s="1284"/>
      <c r="C707" s="1284"/>
      <c r="D707" s="1364"/>
      <c r="E707" s="1364"/>
      <c r="F707" s="1364"/>
      <c r="G707" s="1365"/>
      <c r="H707" s="1333"/>
      <c r="I707" s="1333"/>
      <c r="J707" s="1333"/>
      <c r="K707" s="1333"/>
      <c r="L707" s="1333"/>
      <c r="M707" s="1333"/>
      <c r="N707" s="1333"/>
      <c r="O707" s="1333"/>
      <c r="P707" s="1333"/>
      <c r="Q707" s="1333"/>
      <c r="R707" s="1333"/>
      <c r="S707" s="1449"/>
      <c r="T707" s="1333"/>
      <c r="U707" s="1333"/>
      <c r="V707" s="1333"/>
      <c r="W707" s="1333"/>
      <c r="X707" s="1333"/>
      <c r="Y707" s="1333"/>
      <c r="Z707" s="1333"/>
      <c r="AA707" s="1333"/>
      <c r="AB707" s="1333"/>
      <c r="AC707" s="1333"/>
      <c r="AD707" s="1333"/>
      <c r="AE707" s="1333"/>
      <c r="AF707" s="1333"/>
      <c r="AG707" s="1333"/>
      <c r="AH707" s="1333"/>
      <c r="AI707" s="1333"/>
      <c r="AJ707" s="1333"/>
    </row>
    <row r="708" spans="1:36" x14ac:dyDescent="0.25">
      <c r="A708" s="1331"/>
      <c r="B708" s="1284"/>
      <c r="C708" s="1284"/>
      <c r="D708" s="1364"/>
      <c r="E708" s="1364"/>
      <c r="F708" s="1364"/>
      <c r="G708" s="1365"/>
      <c r="H708" s="1333"/>
      <c r="I708" s="1333"/>
      <c r="J708" s="1333"/>
      <c r="K708" s="1333"/>
      <c r="L708" s="1333"/>
      <c r="M708" s="1333"/>
      <c r="N708" s="1333"/>
      <c r="O708" s="1333"/>
      <c r="P708" s="1333"/>
      <c r="Q708" s="1333"/>
      <c r="R708" s="1333"/>
      <c r="S708" s="1449"/>
      <c r="T708" s="1333"/>
      <c r="U708" s="1333"/>
      <c r="V708" s="1333"/>
      <c r="W708" s="1333"/>
      <c r="X708" s="1333"/>
      <c r="Y708" s="1333"/>
      <c r="Z708" s="1333"/>
      <c r="AA708" s="1333"/>
      <c r="AB708" s="1333"/>
      <c r="AC708" s="1333"/>
      <c r="AD708" s="1333"/>
      <c r="AE708" s="1333"/>
      <c r="AF708" s="1333"/>
      <c r="AG708" s="1333"/>
      <c r="AH708" s="1333"/>
      <c r="AI708" s="1333"/>
      <c r="AJ708" s="1333"/>
    </row>
    <row r="709" spans="1:36" x14ac:dyDescent="0.25">
      <c r="A709" s="1331"/>
      <c r="B709" s="1284"/>
      <c r="C709" s="1284"/>
      <c r="D709" s="1364"/>
      <c r="E709" s="1364"/>
      <c r="F709" s="1364"/>
      <c r="G709" s="1365"/>
      <c r="H709" s="1333"/>
      <c r="I709" s="1333"/>
      <c r="J709" s="1333"/>
      <c r="K709" s="1333"/>
      <c r="L709" s="1333"/>
      <c r="M709" s="1333"/>
      <c r="N709" s="1333"/>
      <c r="O709" s="1333"/>
      <c r="P709" s="1333"/>
      <c r="Q709" s="1333"/>
      <c r="R709" s="1333"/>
      <c r="S709" s="1449"/>
      <c r="T709" s="1333"/>
      <c r="U709" s="1333"/>
      <c r="V709" s="1333"/>
      <c r="W709" s="1333"/>
      <c r="X709" s="1333"/>
      <c r="Y709" s="1333"/>
      <c r="Z709" s="1333"/>
      <c r="AA709" s="1333"/>
      <c r="AB709" s="1333"/>
      <c r="AC709" s="1333"/>
      <c r="AD709" s="1333"/>
      <c r="AE709" s="1333"/>
      <c r="AF709" s="1333"/>
      <c r="AG709" s="1333"/>
      <c r="AH709" s="1333"/>
      <c r="AI709" s="1333"/>
      <c r="AJ709" s="1333"/>
    </row>
    <row r="710" spans="1:36" x14ac:dyDescent="0.25">
      <c r="A710" s="1331"/>
      <c r="B710" s="1284"/>
      <c r="C710" s="1284"/>
      <c r="D710" s="1364"/>
      <c r="E710" s="1364"/>
      <c r="F710" s="1364"/>
      <c r="G710" s="1365"/>
      <c r="H710" s="1333"/>
      <c r="I710" s="1333"/>
      <c r="J710" s="1333"/>
      <c r="K710" s="1333"/>
      <c r="L710" s="1333"/>
      <c r="M710" s="1333"/>
      <c r="N710" s="1333"/>
      <c r="O710" s="1333"/>
      <c r="P710" s="1333"/>
      <c r="Q710" s="1333"/>
      <c r="R710" s="1333"/>
      <c r="S710" s="1449"/>
      <c r="T710" s="1333"/>
      <c r="U710" s="1333"/>
      <c r="V710" s="1333"/>
      <c r="W710" s="1333"/>
      <c r="X710" s="1333"/>
      <c r="Y710" s="1333"/>
      <c r="Z710" s="1333"/>
      <c r="AA710" s="1333"/>
      <c r="AB710" s="1333"/>
      <c r="AC710" s="1333"/>
      <c r="AD710" s="1333"/>
      <c r="AE710" s="1333"/>
      <c r="AF710" s="1333"/>
      <c r="AG710" s="1333"/>
      <c r="AH710" s="1333"/>
      <c r="AI710" s="1333"/>
      <c r="AJ710" s="1333"/>
    </row>
    <row r="711" spans="1:36" x14ac:dyDescent="0.25">
      <c r="A711" s="1331"/>
      <c r="B711" s="1284"/>
      <c r="C711" s="1284"/>
      <c r="D711" s="1364"/>
      <c r="E711" s="1364"/>
      <c r="F711" s="1364"/>
      <c r="G711" s="1365"/>
      <c r="H711" s="1333"/>
      <c r="I711" s="1333"/>
      <c r="J711" s="1333"/>
      <c r="K711" s="1333"/>
      <c r="L711" s="1333"/>
      <c r="M711" s="1333"/>
      <c r="N711" s="1333"/>
      <c r="O711" s="1333"/>
      <c r="P711" s="1333"/>
      <c r="Q711" s="1333"/>
      <c r="R711" s="1333"/>
      <c r="S711" s="1449"/>
      <c r="T711" s="1333"/>
      <c r="U711" s="1333"/>
      <c r="V711" s="1333"/>
      <c r="W711" s="1333"/>
      <c r="X711" s="1333"/>
      <c r="Y711" s="1333"/>
      <c r="Z711" s="1333"/>
      <c r="AA711" s="1333"/>
      <c r="AB711" s="1333"/>
      <c r="AC711" s="1333"/>
      <c r="AD711" s="1333"/>
      <c r="AE711" s="1333"/>
      <c r="AF711" s="1333"/>
      <c r="AG711" s="1333"/>
      <c r="AH711" s="1333"/>
      <c r="AI711" s="1333"/>
      <c r="AJ711" s="1333"/>
    </row>
    <row r="712" spans="1:36" x14ac:dyDescent="0.25">
      <c r="A712" s="1331"/>
      <c r="B712" s="1284"/>
      <c r="C712" s="1284"/>
      <c r="D712" s="1364"/>
      <c r="E712" s="1364"/>
      <c r="F712" s="1364"/>
      <c r="G712" s="1365"/>
      <c r="H712" s="1333"/>
      <c r="I712" s="1333"/>
      <c r="J712" s="1333"/>
      <c r="K712" s="1333"/>
      <c r="L712" s="1333"/>
      <c r="M712" s="1333"/>
      <c r="N712" s="1333"/>
      <c r="O712" s="1333"/>
      <c r="P712" s="1333"/>
      <c r="Q712" s="1333"/>
      <c r="R712" s="1333"/>
      <c r="S712" s="1449"/>
      <c r="T712" s="1333"/>
      <c r="U712" s="1333"/>
      <c r="V712" s="1333"/>
      <c r="W712" s="1333"/>
      <c r="X712" s="1333"/>
      <c r="Y712" s="1333"/>
      <c r="Z712" s="1333"/>
      <c r="AA712" s="1333"/>
      <c r="AB712" s="1333"/>
      <c r="AC712" s="1333"/>
      <c r="AD712" s="1333"/>
      <c r="AE712" s="1333"/>
      <c r="AF712" s="1333"/>
      <c r="AG712" s="1333"/>
      <c r="AH712" s="1333"/>
      <c r="AI712" s="1333"/>
      <c r="AJ712" s="1333"/>
    </row>
    <row r="713" spans="1:36" x14ac:dyDescent="0.25">
      <c r="A713" s="1331"/>
      <c r="B713" s="1284"/>
      <c r="C713" s="1284"/>
      <c r="D713" s="1364"/>
      <c r="E713" s="1364"/>
      <c r="F713" s="1364"/>
      <c r="G713" s="1365"/>
      <c r="H713" s="1333"/>
      <c r="I713" s="1333"/>
      <c r="J713" s="1333"/>
      <c r="K713" s="1333"/>
      <c r="L713" s="1333"/>
      <c r="M713" s="1333"/>
      <c r="N713" s="1333"/>
      <c r="O713" s="1333"/>
      <c r="P713" s="1333"/>
      <c r="Q713" s="1333"/>
      <c r="R713" s="1333"/>
      <c r="S713" s="1449"/>
      <c r="T713" s="1333"/>
      <c r="U713" s="1333"/>
      <c r="V713" s="1333"/>
      <c r="W713" s="1333"/>
      <c r="X713" s="1333"/>
      <c r="Y713" s="1333"/>
      <c r="Z713" s="1333"/>
      <c r="AA713" s="1333"/>
      <c r="AB713" s="1333"/>
      <c r="AC713" s="1333"/>
      <c r="AD713" s="1333"/>
      <c r="AE713" s="1333"/>
      <c r="AF713" s="1333"/>
      <c r="AG713" s="1333"/>
      <c r="AH713" s="1333"/>
      <c r="AI713" s="1333"/>
      <c r="AJ713" s="1333"/>
    </row>
    <row r="714" spans="1:36" x14ac:dyDescent="0.25">
      <c r="A714" s="1331"/>
      <c r="B714" s="1284"/>
      <c r="C714" s="1284"/>
      <c r="D714" s="1364"/>
      <c r="E714" s="1364"/>
      <c r="F714" s="1364"/>
      <c r="G714" s="1365"/>
      <c r="H714" s="1333"/>
      <c r="I714" s="1333"/>
      <c r="J714" s="1333"/>
      <c r="K714" s="1333"/>
      <c r="L714" s="1333"/>
      <c r="M714" s="1333"/>
      <c r="N714" s="1333"/>
      <c r="O714" s="1333"/>
      <c r="P714" s="1333"/>
      <c r="Q714" s="1333"/>
      <c r="R714" s="1333"/>
      <c r="S714" s="1449"/>
      <c r="T714" s="1333"/>
      <c r="U714" s="1333"/>
      <c r="V714" s="1333"/>
      <c r="W714" s="1333"/>
      <c r="X714" s="1333"/>
      <c r="Y714" s="1333"/>
      <c r="Z714" s="1333"/>
      <c r="AA714" s="1333"/>
      <c r="AB714" s="1333"/>
      <c r="AC714" s="1333"/>
      <c r="AD714" s="1333"/>
      <c r="AE714" s="1333"/>
      <c r="AF714" s="1333"/>
      <c r="AG714" s="1333"/>
      <c r="AH714" s="1333"/>
      <c r="AI714" s="1333"/>
      <c r="AJ714" s="1333"/>
    </row>
    <row r="715" spans="1:36" x14ac:dyDescent="0.25">
      <c r="A715" s="1331"/>
      <c r="B715" s="1284"/>
      <c r="C715" s="1284"/>
      <c r="D715" s="1364"/>
      <c r="E715" s="1364"/>
      <c r="F715" s="1364"/>
      <c r="G715" s="1365"/>
      <c r="H715" s="1333"/>
      <c r="I715" s="1333"/>
      <c r="J715" s="1333"/>
      <c r="K715" s="1333"/>
      <c r="L715" s="1333"/>
      <c r="M715" s="1333"/>
      <c r="N715" s="1333"/>
      <c r="O715" s="1333"/>
      <c r="P715" s="1333"/>
      <c r="Q715" s="1333"/>
      <c r="R715" s="1333"/>
      <c r="S715" s="1449"/>
      <c r="T715" s="1333"/>
      <c r="U715" s="1333"/>
      <c r="V715" s="1333"/>
      <c r="W715" s="1333"/>
      <c r="X715" s="1333"/>
      <c r="Y715" s="1333"/>
      <c r="Z715" s="1333"/>
      <c r="AA715" s="1333"/>
      <c r="AB715" s="1333"/>
      <c r="AC715" s="1333"/>
      <c r="AD715" s="1333"/>
      <c r="AE715" s="1333"/>
      <c r="AF715" s="1333"/>
      <c r="AG715" s="1333"/>
      <c r="AH715" s="1333"/>
      <c r="AI715" s="1333"/>
      <c r="AJ715" s="1333"/>
    </row>
    <row r="716" spans="1:36" x14ac:dyDescent="0.25">
      <c r="A716" s="1331"/>
      <c r="B716" s="1284"/>
      <c r="C716" s="1284"/>
      <c r="D716" s="1364"/>
      <c r="E716" s="1364"/>
      <c r="F716" s="1364"/>
      <c r="G716" s="1365"/>
      <c r="H716" s="1333"/>
      <c r="I716" s="1333"/>
      <c r="J716" s="1333"/>
      <c r="K716" s="1333"/>
      <c r="L716" s="1333"/>
      <c r="M716" s="1333"/>
      <c r="N716" s="1333"/>
      <c r="O716" s="1333"/>
      <c r="P716" s="1333"/>
      <c r="Q716" s="1333"/>
      <c r="R716" s="1333"/>
      <c r="S716" s="1449"/>
      <c r="T716" s="1333"/>
      <c r="U716" s="1333"/>
      <c r="V716" s="1333"/>
      <c r="W716" s="1333"/>
      <c r="X716" s="1333"/>
      <c r="Y716" s="1333"/>
      <c r="Z716" s="1333"/>
      <c r="AA716" s="1333"/>
      <c r="AB716" s="1333"/>
      <c r="AC716" s="1333"/>
      <c r="AD716" s="1333"/>
      <c r="AE716" s="1333"/>
      <c r="AF716" s="1333"/>
      <c r="AG716" s="1333"/>
      <c r="AH716" s="1333"/>
      <c r="AI716" s="1333"/>
      <c r="AJ716" s="1333"/>
    </row>
    <row r="717" spans="1:36" x14ac:dyDescent="0.25">
      <c r="A717" s="1331"/>
      <c r="B717" s="1284"/>
      <c r="C717" s="1284"/>
      <c r="D717" s="1364"/>
      <c r="E717" s="1364"/>
      <c r="F717" s="1364"/>
      <c r="G717" s="1365"/>
      <c r="H717" s="1333"/>
      <c r="I717" s="1333"/>
      <c r="J717" s="1333"/>
      <c r="K717" s="1333"/>
      <c r="L717" s="1333"/>
      <c r="M717" s="1333"/>
      <c r="N717" s="1333"/>
      <c r="O717" s="1333"/>
      <c r="P717" s="1333"/>
      <c r="Q717" s="1333"/>
      <c r="R717" s="1333"/>
      <c r="S717" s="1449"/>
      <c r="T717" s="1333"/>
      <c r="U717" s="1333"/>
      <c r="V717" s="1333"/>
      <c r="W717" s="1333"/>
      <c r="X717" s="1333"/>
      <c r="Y717" s="1333"/>
      <c r="Z717" s="1333"/>
      <c r="AA717" s="1333"/>
      <c r="AB717" s="1333"/>
      <c r="AC717" s="1333"/>
      <c r="AD717" s="1333"/>
      <c r="AE717" s="1333"/>
      <c r="AF717" s="1333"/>
      <c r="AG717" s="1333"/>
      <c r="AH717" s="1333"/>
      <c r="AI717" s="1333"/>
      <c r="AJ717" s="1333"/>
    </row>
    <row r="718" spans="1:36" x14ac:dyDescent="0.25">
      <c r="A718" s="1331"/>
      <c r="B718" s="1284"/>
      <c r="C718" s="1284"/>
      <c r="D718" s="1364"/>
      <c r="E718" s="1364"/>
      <c r="F718" s="1364"/>
      <c r="G718" s="1365"/>
      <c r="H718" s="1333"/>
      <c r="I718" s="1333"/>
      <c r="J718" s="1333"/>
      <c r="K718" s="1333"/>
      <c r="L718" s="1333"/>
      <c r="M718" s="1333"/>
      <c r="N718" s="1333"/>
      <c r="O718" s="1333"/>
      <c r="P718" s="1333"/>
      <c r="Q718" s="1333"/>
      <c r="R718" s="1333"/>
      <c r="S718" s="1449"/>
      <c r="T718" s="1333"/>
      <c r="U718" s="1333"/>
      <c r="V718" s="1333"/>
      <c r="W718" s="1333"/>
      <c r="X718" s="1333"/>
      <c r="Y718" s="1333"/>
      <c r="Z718" s="1333"/>
      <c r="AA718" s="1333"/>
      <c r="AB718" s="1333"/>
      <c r="AC718" s="1333"/>
      <c r="AD718" s="1333"/>
      <c r="AE718" s="1333"/>
      <c r="AF718" s="1333"/>
      <c r="AG718" s="1333"/>
      <c r="AH718" s="1333"/>
      <c r="AI718" s="1333"/>
      <c r="AJ718" s="1333"/>
    </row>
    <row r="719" spans="1:36" x14ac:dyDescent="0.25">
      <c r="A719" s="1331"/>
      <c r="B719" s="1284"/>
      <c r="C719" s="1284"/>
      <c r="D719" s="1364"/>
      <c r="E719" s="1364"/>
      <c r="F719" s="1364"/>
      <c r="G719" s="1365"/>
      <c r="H719" s="1333"/>
      <c r="I719" s="1333"/>
      <c r="J719" s="1333"/>
      <c r="K719" s="1333"/>
      <c r="L719" s="1333"/>
      <c r="M719" s="1333"/>
      <c r="N719" s="1333"/>
      <c r="O719" s="1333"/>
      <c r="P719" s="1333"/>
      <c r="Q719" s="1333"/>
      <c r="R719" s="1333"/>
      <c r="S719" s="1449"/>
      <c r="T719" s="1333"/>
      <c r="U719" s="1333"/>
      <c r="V719" s="1333"/>
      <c r="W719" s="1333"/>
      <c r="X719" s="1333"/>
      <c r="Y719" s="1333"/>
      <c r="Z719" s="1333"/>
      <c r="AA719" s="1333"/>
      <c r="AB719" s="1333"/>
      <c r="AC719" s="1333"/>
      <c r="AD719" s="1333"/>
      <c r="AE719" s="1333"/>
      <c r="AF719" s="1333"/>
      <c r="AG719" s="1333"/>
      <c r="AH719" s="1333"/>
      <c r="AI719" s="1333"/>
      <c r="AJ719" s="1333"/>
    </row>
    <row r="720" spans="1:36" x14ac:dyDescent="0.25">
      <c r="A720" s="1331"/>
      <c r="B720" s="1284"/>
      <c r="C720" s="1284"/>
      <c r="D720" s="1364"/>
      <c r="E720" s="1364"/>
      <c r="F720" s="1364"/>
      <c r="G720" s="1365"/>
      <c r="H720" s="1333"/>
      <c r="I720" s="1333"/>
      <c r="J720" s="1333"/>
      <c r="K720" s="1333"/>
      <c r="L720" s="1333"/>
      <c r="M720" s="1333"/>
      <c r="N720" s="1333"/>
      <c r="O720" s="1333"/>
      <c r="P720" s="1333"/>
      <c r="Q720" s="1333"/>
      <c r="R720" s="1333"/>
      <c r="S720" s="1449"/>
      <c r="T720" s="1333"/>
      <c r="U720" s="1333"/>
      <c r="V720" s="1333"/>
      <c r="W720" s="1333"/>
      <c r="X720" s="1333"/>
      <c r="Y720" s="1333"/>
      <c r="Z720" s="1333"/>
      <c r="AA720" s="1333"/>
      <c r="AB720" s="1333"/>
      <c r="AC720" s="1333"/>
      <c r="AD720" s="1333"/>
      <c r="AE720" s="1333"/>
      <c r="AF720" s="1333"/>
      <c r="AG720" s="1333"/>
      <c r="AH720" s="1333"/>
      <c r="AI720" s="1333"/>
      <c r="AJ720" s="1333"/>
    </row>
    <row r="721" spans="1:36" x14ac:dyDescent="0.25">
      <c r="A721" s="1331"/>
      <c r="B721" s="1284"/>
      <c r="C721" s="1284"/>
      <c r="D721" s="1364"/>
      <c r="E721" s="1364"/>
      <c r="F721" s="1364"/>
      <c r="G721" s="1365"/>
      <c r="H721" s="1333"/>
      <c r="I721" s="1333"/>
      <c r="J721" s="1333"/>
      <c r="K721" s="1333"/>
      <c r="L721" s="1333"/>
      <c r="M721" s="1333"/>
      <c r="N721" s="1333"/>
      <c r="O721" s="1333"/>
      <c r="P721" s="1333"/>
      <c r="Q721" s="1333"/>
      <c r="R721" s="1333"/>
      <c r="S721" s="1449"/>
      <c r="T721" s="1333"/>
      <c r="U721" s="1333"/>
      <c r="V721" s="1333"/>
      <c r="W721" s="1333"/>
      <c r="X721" s="1333"/>
      <c r="Y721" s="1333"/>
      <c r="Z721" s="1333"/>
      <c r="AA721" s="1333"/>
      <c r="AB721" s="1333"/>
      <c r="AC721" s="1333"/>
      <c r="AD721" s="1333"/>
      <c r="AE721" s="1333"/>
      <c r="AF721" s="1333"/>
      <c r="AG721" s="1333"/>
      <c r="AH721" s="1333"/>
      <c r="AI721" s="1333"/>
      <c r="AJ721" s="1333"/>
    </row>
    <row r="722" spans="1:36" x14ac:dyDescent="0.25">
      <c r="A722" s="1331"/>
      <c r="B722" s="1284"/>
      <c r="C722" s="1284"/>
      <c r="D722" s="1364"/>
      <c r="E722" s="1364"/>
      <c r="F722" s="1364"/>
      <c r="G722" s="1365"/>
      <c r="H722" s="1333"/>
      <c r="I722" s="1333"/>
      <c r="J722" s="1333"/>
      <c r="K722" s="1333"/>
      <c r="L722" s="1333"/>
      <c r="M722" s="1333"/>
      <c r="N722" s="1333"/>
      <c r="O722" s="1333"/>
      <c r="P722" s="1333"/>
      <c r="Q722" s="1333"/>
      <c r="R722" s="1333"/>
      <c r="S722" s="1449"/>
      <c r="T722" s="1333"/>
      <c r="U722" s="1333"/>
      <c r="V722" s="1333"/>
      <c r="W722" s="1333"/>
      <c r="X722" s="1333"/>
      <c r="Y722" s="1333"/>
      <c r="Z722" s="1333"/>
      <c r="AA722" s="1333"/>
      <c r="AB722" s="1333"/>
      <c r="AC722" s="1333"/>
      <c r="AD722" s="1333"/>
      <c r="AE722" s="1333"/>
      <c r="AF722" s="1333"/>
      <c r="AG722" s="1333"/>
      <c r="AH722" s="1333"/>
      <c r="AI722" s="1333"/>
      <c r="AJ722" s="1333"/>
    </row>
    <row r="723" spans="1:36" x14ac:dyDescent="0.25">
      <c r="A723" s="1331"/>
      <c r="B723" s="1284"/>
      <c r="C723" s="1284"/>
      <c r="D723" s="1364"/>
      <c r="E723" s="1364"/>
      <c r="F723" s="1364"/>
      <c r="G723" s="1365"/>
      <c r="H723" s="1333"/>
      <c r="I723" s="1333"/>
      <c r="J723" s="1333"/>
      <c r="K723" s="1333"/>
      <c r="L723" s="1333"/>
      <c r="M723" s="1333"/>
      <c r="N723" s="1333"/>
      <c r="O723" s="1333"/>
      <c r="P723" s="1333"/>
      <c r="Q723" s="1333"/>
      <c r="R723" s="1333"/>
      <c r="S723" s="1449"/>
      <c r="T723" s="1333"/>
      <c r="U723" s="1333"/>
      <c r="V723" s="1333"/>
      <c r="W723" s="1333"/>
      <c r="X723" s="1333"/>
      <c r="Y723" s="1333"/>
      <c r="Z723" s="1333"/>
      <c r="AA723" s="1333"/>
      <c r="AB723" s="1333"/>
      <c r="AC723" s="1333"/>
      <c r="AD723" s="1333"/>
      <c r="AE723" s="1333"/>
      <c r="AF723" s="1333"/>
      <c r="AG723" s="1333"/>
      <c r="AH723" s="1333"/>
      <c r="AI723" s="1333"/>
      <c r="AJ723" s="1333"/>
    </row>
    <row r="724" spans="1:36" x14ac:dyDescent="0.25">
      <c r="A724" s="1331"/>
      <c r="B724" s="1284"/>
      <c r="C724" s="1284"/>
      <c r="D724" s="1364"/>
      <c r="E724" s="1364"/>
      <c r="F724" s="1364"/>
      <c r="G724" s="1365"/>
      <c r="H724" s="1333"/>
      <c r="I724" s="1333"/>
      <c r="J724" s="1333"/>
      <c r="K724" s="1333"/>
      <c r="L724" s="1333"/>
      <c r="M724" s="1333"/>
      <c r="N724" s="1333"/>
      <c r="O724" s="1333"/>
      <c r="P724" s="1333"/>
      <c r="Q724" s="1333"/>
      <c r="R724" s="1333"/>
      <c r="S724" s="1449"/>
      <c r="T724" s="1333"/>
      <c r="U724" s="1333"/>
      <c r="V724" s="1333"/>
      <c r="W724" s="1333"/>
      <c r="X724" s="1333"/>
      <c r="Y724" s="1333"/>
      <c r="Z724" s="1333"/>
      <c r="AA724" s="1333"/>
      <c r="AB724" s="1333"/>
      <c r="AC724" s="1333"/>
      <c r="AD724" s="1333"/>
      <c r="AE724" s="1333"/>
      <c r="AF724" s="1333"/>
      <c r="AG724" s="1333"/>
      <c r="AH724" s="1333"/>
      <c r="AI724" s="1333"/>
      <c r="AJ724" s="1333"/>
    </row>
    <row r="725" spans="1:36" x14ac:dyDescent="0.25">
      <c r="A725" s="1331"/>
      <c r="B725" s="1284"/>
      <c r="C725" s="1284"/>
      <c r="D725" s="1364"/>
      <c r="E725" s="1364"/>
      <c r="F725" s="1364"/>
      <c r="G725" s="1365"/>
      <c r="H725" s="1333"/>
      <c r="I725" s="1333"/>
      <c r="J725" s="1333"/>
      <c r="K725" s="1333"/>
      <c r="L725" s="1333"/>
      <c r="M725" s="1333"/>
      <c r="N725" s="1333"/>
      <c r="O725" s="1333"/>
      <c r="P725" s="1333"/>
      <c r="Q725" s="1333"/>
      <c r="R725" s="1333"/>
      <c r="S725" s="1449"/>
      <c r="T725" s="1333"/>
      <c r="U725" s="1333"/>
      <c r="V725" s="1333"/>
      <c r="W725" s="1333"/>
      <c r="X725" s="1333"/>
      <c r="Y725" s="1333"/>
      <c r="Z725" s="1333"/>
      <c r="AA725" s="1333"/>
      <c r="AB725" s="1333"/>
      <c r="AC725" s="1333"/>
      <c r="AD725" s="1333"/>
      <c r="AE725" s="1333"/>
      <c r="AF725" s="1333"/>
      <c r="AG725" s="1333"/>
      <c r="AH725" s="1333"/>
      <c r="AI725" s="1333"/>
      <c r="AJ725" s="1333"/>
    </row>
    <row r="726" spans="1:36" x14ac:dyDescent="0.25">
      <c r="A726" s="1331"/>
      <c r="B726" s="1284"/>
      <c r="C726" s="1284"/>
      <c r="D726" s="1364"/>
      <c r="E726" s="1364"/>
      <c r="F726" s="1364"/>
      <c r="G726" s="1365"/>
      <c r="H726" s="1333"/>
      <c r="I726" s="1333"/>
      <c r="J726" s="1333"/>
      <c r="K726" s="1333"/>
      <c r="L726" s="1333"/>
      <c r="M726" s="1333"/>
      <c r="N726" s="1333"/>
      <c r="O726" s="1333"/>
      <c r="P726" s="1333"/>
      <c r="Q726" s="1333"/>
      <c r="R726" s="1333"/>
      <c r="S726" s="1449"/>
      <c r="T726" s="1333"/>
      <c r="U726" s="1333"/>
      <c r="V726" s="1333"/>
      <c r="W726" s="1333"/>
      <c r="X726" s="1333"/>
      <c r="Y726" s="1333"/>
      <c r="Z726" s="1333"/>
      <c r="AA726" s="1333"/>
      <c r="AB726" s="1333"/>
      <c r="AC726" s="1333"/>
      <c r="AD726" s="1333"/>
      <c r="AE726" s="1333"/>
      <c r="AF726" s="1333"/>
      <c r="AG726" s="1333"/>
      <c r="AH726" s="1333"/>
      <c r="AI726" s="1333"/>
      <c r="AJ726" s="1333"/>
    </row>
    <row r="727" spans="1:36" x14ac:dyDescent="0.25">
      <c r="A727" s="1331"/>
      <c r="B727" s="1284"/>
      <c r="C727" s="1284"/>
      <c r="D727" s="1364"/>
      <c r="E727" s="1364"/>
      <c r="F727" s="1364"/>
      <c r="G727" s="1365"/>
      <c r="H727" s="1333"/>
      <c r="I727" s="1333"/>
      <c r="J727" s="1333"/>
      <c r="K727" s="1333"/>
      <c r="L727" s="1333"/>
      <c r="M727" s="1333"/>
      <c r="N727" s="1333"/>
      <c r="O727" s="1333"/>
      <c r="P727" s="1333"/>
      <c r="Q727" s="1333"/>
      <c r="R727" s="1333"/>
      <c r="S727" s="1449"/>
      <c r="T727" s="1333"/>
      <c r="U727" s="1333"/>
      <c r="V727" s="1333"/>
      <c r="W727" s="1333"/>
      <c r="X727" s="1333"/>
      <c r="Y727" s="1333"/>
      <c r="Z727" s="1333"/>
      <c r="AA727" s="1333"/>
      <c r="AB727" s="1333"/>
      <c r="AC727" s="1333"/>
      <c r="AD727" s="1333"/>
      <c r="AE727" s="1333"/>
      <c r="AF727" s="1333"/>
      <c r="AG727" s="1333"/>
      <c r="AH727" s="1333"/>
      <c r="AI727" s="1333"/>
      <c r="AJ727" s="1333"/>
    </row>
    <row r="728" spans="1:36" x14ac:dyDescent="0.25">
      <c r="A728" s="1331"/>
      <c r="B728" s="1284"/>
      <c r="C728" s="1284"/>
      <c r="D728" s="1364"/>
      <c r="E728" s="1364"/>
      <c r="F728" s="1364"/>
      <c r="G728" s="1365"/>
      <c r="H728" s="1333"/>
      <c r="I728" s="1333"/>
      <c r="J728" s="1333"/>
      <c r="K728" s="1333"/>
      <c r="L728" s="1333"/>
      <c r="M728" s="1333"/>
      <c r="N728" s="1333"/>
      <c r="O728" s="1333"/>
      <c r="P728" s="1333"/>
      <c r="Q728" s="1333"/>
      <c r="R728" s="1333"/>
      <c r="S728" s="1449"/>
      <c r="T728" s="1333"/>
      <c r="U728" s="1333"/>
      <c r="V728" s="1333"/>
      <c r="W728" s="1333"/>
      <c r="X728" s="1333"/>
      <c r="Y728" s="1333"/>
      <c r="Z728" s="1333"/>
      <c r="AA728" s="1333"/>
      <c r="AB728" s="1333"/>
      <c r="AC728" s="1333"/>
      <c r="AD728" s="1333"/>
      <c r="AE728" s="1333"/>
      <c r="AF728" s="1333"/>
      <c r="AG728" s="1333"/>
      <c r="AH728" s="1333"/>
      <c r="AI728" s="1333"/>
      <c r="AJ728" s="1333"/>
    </row>
    <row r="729" spans="1:36" x14ac:dyDescent="0.25">
      <c r="A729" s="1331"/>
      <c r="B729" s="1284"/>
      <c r="C729" s="1284"/>
      <c r="D729" s="1364"/>
      <c r="E729" s="1364"/>
      <c r="F729" s="1364"/>
      <c r="G729" s="1365"/>
      <c r="H729" s="1333"/>
      <c r="I729" s="1333"/>
      <c r="J729" s="1333"/>
      <c r="K729" s="1333"/>
      <c r="L729" s="1333"/>
      <c r="M729" s="1333"/>
      <c r="N729" s="1333"/>
      <c r="O729" s="1333"/>
      <c r="P729" s="1333"/>
      <c r="Q729" s="1333"/>
      <c r="R729" s="1333"/>
      <c r="S729" s="1449"/>
      <c r="T729" s="1333"/>
      <c r="U729" s="1333"/>
      <c r="V729" s="1333"/>
      <c r="W729" s="1333"/>
      <c r="X729" s="1333"/>
      <c r="Y729" s="1333"/>
      <c r="Z729" s="1333"/>
      <c r="AA729" s="1333"/>
      <c r="AB729" s="1333"/>
      <c r="AC729" s="1333"/>
      <c r="AD729" s="1333"/>
      <c r="AE729" s="1333"/>
      <c r="AF729" s="1333"/>
      <c r="AG729" s="1333"/>
      <c r="AH729" s="1333"/>
      <c r="AI729" s="1333"/>
      <c r="AJ729" s="1333"/>
    </row>
    <row r="730" spans="1:36" x14ac:dyDescent="0.25">
      <c r="A730" s="1331"/>
      <c r="B730" s="1284"/>
      <c r="C730" s="1284"/>
      <c r="D730" s="1364"/>
      <c r="E730" s="1364"/>
      <c r="F730" s="1364"/>
      <c r="G730" s="1365"/>
      <c r="H730" s="1333"/>
      <c r="I730" s="1333"/>
      <c r="J730" s="1333"/>
      <c r="K730" s="1333"/>
      <c r="L730" s="1333"/>
      <c r="M730" s="1333"/>
      <c r="N730" s="1333"/>
      <c r="O730" s="1333"/>
      <c r="P730" s="1333"/>
      <c r="Q730" s="1333"/>
      <c r="R730" s="1333"/>
      <c r="S730" s="1449"/>
      <c r="T730" s="1333"/>
      <c r="U730" s="1333"/>
      <c r="V730" s="1333"/>
      <c r="W730" s="1333"/>
      <c r="X730" s="1333"/>
      <c r="Y730" s="1333"/>
      <c r="Z730" s="1333"/>
      <c r="AA730" s="1333"/>
      <c r="AB730" s="1333"/>
      <c r="AC730" s="1333"/>
      <c r="AD730" s="1333"/>
      <c r="AE730" s="1333"/>
      <c r="AF730" s="1333"/>
      <c r="AG730" s="1333"/>
      <c r="AH730" s="1333"/>
      <c r="AI730" s="1333"/>
      <c r="AJ730" s="1333"/>
    </row>
    <row r="731" spans="1:36" x14ac:dyDescent="0.25">
      <c r="A731" s="1331"/>
      <c r="B731" s="1284"/>
      <c r="C731" s="1284"/>
      <c r="D731" s="1364"/>
      <c r="E731" s="1364"/>
      <c r="F731" s="1364"/>
      <c r="G731" s="1365"/>
      <c r="H731" s="1333"/>
      <c r="I731" s="1333"/>
      <c r="J731" s="1333"/>
      <c r="K731" s="1333"/>
      <c r="L731" s="1333"/>
      <c r="M731" s="1333"/>
      <c r="N731" s="1333"/>
      <c r="O731" s="1333"/>
      <c r="P731" s="1333"/>
      <c r="Q731" s="1333"/>
      <c r="R731" s="1333"/>
      <c r="S731" s="1449"/>
      <c r="T731" s="1333"/>
      <c r="U731" s="1333"/>
      <c r="V731" s="1333"/>
      <c r="W731" s="1333"/>
      <c r="X731" s="1333"/>
      <c r="Y731" s="1333"/>
      <c r="Z731" s="1333"/>
      <c r="AA731" s="1333"/>
      <c r="AB731" s="1333"/>
      <c r="AC731" s="1333"/>
      <c r="AD731" s="1333"/>
      <c r="AE731" s="1333"/>
      <c r="AF731" s="1333"/>
      <c r="AG731" s="1333"/>
      <c r="AH731" s="1333"/>
      <c r="AI731" s="1333"/>
      <c r="AJ731" s="1333"/>
    </row>
    <row r="732" spans="1:36" x14ac:dyDescent="0.25">
      <c r="A732" s="1331"/>
      <c r="B732" s="1284"/>
      <c r="C732" s="1284"/>
      <c r="D732" s="1364"/>
      <c r="E732" s="1364"/>
      <c r="F732" s="1364"/>
      <c r="G732" s="1365"/>
      <c r="H732" s="1333"/>
      <c r="I732" s="1333"/>
      <c r="J732" s="1333"/>
      <c r="K732" s="1333"/>
      <c r="L732" s="1333"/>
      <c r="M732" s="1333"/>
      <c r="N732" s="1333"/>
      <c r="O732" s="1333"/>
      <c r="P732" s="1333"/>
      <c r="Q732" s="1333"/>
      <c r="R732" s="1333"/>
      <c r="S732" s="1449"/>
      <c r="T732" s="1333"/>
      <c r="U732" s="1333"/>
      <c r="V732" s="1333"/>
      <c r="W732" s="1333"/>
      <c r="X732" s="1333"/>
      <c r="Y732" s="1333"/>
      <c r="Z732" s="1333"/>
      <c r="AA732" s="1333"/>
      <c r="AB732" s="1333"/>
      <c r="AC732" s="1333"/>
      <c r="AD732" s="1333"/>
      <c r="AE732" s="1333"/>
      <c r="AF732" s="1333"/>
      <c r="AG732" s="1333"/>
      <c r="AH732" s="1333"/>
      <c r="AI732" s="1333"/>
      <c r="AJ732" s="1333"/>
    </row>
    <row r="733" spans="1:36" x14ac:dyDescent="0.25">
      <c r="A733" s="1331"/>
      <c r="B733" s="1284"/>
      <c r="C733" s="1284"/>
      <c r="D733" s="1364"/>
      <c r="E733" s="1364"/>
      <c r="F733" s="1364"/>
      <c r="G733" s="1365"/>
      <c r="H733" s="1333"/>
      <c r="I733" s="1333"/>
      <c r="J733" s="1333"/>
      <c r="K733" s="1333"/>
      <c r="L733" s="1333"/>
      <c r="M733" s="1333"/>
      <c r="N733" s="1333"/>
      <c r="O733" s="1333"/>
      <c r="P733" s="1333"/>
      <c r="Q733" s="1333"/>
      <c r="R733" s="1333"/>
      <c r="S733" s="1449"/>
      <c r="T733" s="1333"/>
      <c r="U733" s="1333"/>
      <c r="V733" s="1333"/>
      <c r="W733" s="1333"/>
      <c r="X733" s="1333"/>
      <c r="Y733" s="1333"/>
      <c r="Z733" s="1333"/>
      <c r="AA733" s="1333"/>
      <c r="AB733" s="1333"/>
      <c r="AC733" s="1333"/>
      <c r="AD733" s="1333"/>
      <c r="AE733" s="1333"/>
      <c r="AF733" s="1333"/>
      <c r="AG733" s="1333"/>
      <c r="AH733" s="1333"/>
      <c r="AI733" s="1333"/>
      <c r="AJ733" s="1333"/>
    </row>
    <row r="734" spans="1:36" x14ac:dyDescent="0.25">
      <c r="A734" s="1331"/>
      <c r="B734" s="1284"/>
      <c r="C734" s="1284"/>
      <c r="D734" s="1364"/>
      <c r="E734" s="1364"/>
      <c r="F734" s="1364"/>
      <c r="G734" s="1365"/>
      <c r="H734" s="1333"/>
      <c r="I734" s="1333"/>
      <c r="J734" s="1333"/>
      <c r="K734" s="1333"/>
      <c r="L734" s="1333"/>
      <c r="M734" s="1333"/>
      <c r="N734" s="1333"/>
      <c r="O734" s="1333"/>
      <c r="P734" s="1333"/>
      <c r="Q734" s="1333"/>
      <c r="R734" s="1333"/>
      <c r="S734" s="1449"/>
      <c r="T734" s="1333"/>
      <c r="U734" s="1333"/>
      <c r="V734" s="1333"/>
      <c r="W734" s="1333"/>
      <c r="X734" s="1333"/>
      <c r="Y734" s="1333"/>
      <c r="Z734" s="1333"/>
      <c r="AA734" s="1333"/>
      <c r="AB734" s="1333"/>
      <c r="AC734" s="1333"/>
      <c r="AD734" s="1333"/>
      <c r="AE734" s="1333"/>
      <c r="AF734" s="1333"/>
      <c r="AG734" s="1333"/>
      <c r="AH734" s="1333"/>
      <c r="AI734" s="1333"/>
      <c r="AJ734" s="1333"/>
    </row>
    <row r="735" spans="1:36" x14ac:dyDescent="0.25">
      <c r="A735" s="1331"/>
      <c r="B735" s="1284"/>
      <c r="C735" s="1284"/>
      <c r="D735" s="1364"/>
      <c r="E735" s="1364"/>
      <c r="F735" s="1364"/>
      <c r="G735" s="1365"/>
      <c r="H735" s="1333"/>
      <c r="I735" s="1333"/>
      <c r="J735" s="1333"/>
      <c r="K735" s="1333"/>
      <c r="L735" s="1333"/>
      <c r="M735" s="1333"/>
      <c r="N735" s="1333"/>
      <c r="O735" s="1333"/>
      <c r="P735" s="1333"/>
      <c r="Q735" s="1333"/>
      <c r="R735" s="1333"/>
      <c r="S735" s="1449"/>
      <c r="T735" s="1333"/>
      <c r="U735" s="1333"/>
      <c r="V735" s="1333"/>
      <c r="W735" s="1333"/>
      <c r="X735" s="1333"/>
      <c r="Y735" s="1333"/>
      <c r="Z735" s="1333"/>
      <c r="AA735" s="1333"/>
      <c r="AB735" s="1333"/>
      <c r="AC735" s="1333"/>
      <c r="AD735" s="1333"/>
      <c r="AE735" s="1333"/>
      <c r="AF735" s="1333"/>
      <c r="AG735" s="1333"/>
      <c r="AH735" s="1333"/>
      <c r="AI735" s="1333"/>
      <c r="AJ735" s="1333"/>
    </row>
    <row r="736" spans="1:36" x14ac:dyDescent="0.25">
      <c r="A736" s="1331"/>
      <c r="B736" s="1284"/>
      <c r="C736" s="1284"/>
      <c r="D736" s="1364"/>
      <c r="E736" s="1364"/>
      <c r="F736" s="1364"/>
      <c r="G736" s="1365"/>
      <c r="H736" s="1333"/>
      <c r="I736" s="1333"/>
      <c r="J736" s="1333"/>
      <c r="K736" s="1333"/>
      <c r="L736" s="1333"/>
      <c r="M736" s="1333"/>
      <c r="N736" s="1333"/>
      <c r="O736" s="1333"/>
      <c r="P736" s="1333"/>
      <c r="Q736" s="1333"/>
      <c r="R736" s="1333"/>
      <c r="S736" s="1449"/>
      <c r="T736" s="1333"/>
      <c r="U736" s="1333"/>
      <c r="V736" s="1333"/>
      <c r="W736" s="1333"/>
      <c r="X736" s="1333"/>
      <c r="Y736" s="1333"/>
      <c r="Z736" s="1333"/>
      <c r="AA736" s="1333"/>
      <c r="AB736" s="1333"/>
      <c r="AC736" s="1333"/>
      <c r="AD736" s="1333"/>
      <c r="AE736" s="1333"/>
      <c r="AF736" s="1333"/>
      <c r="AG736" s="1333"/>
      <c r="AH736" s="1333"/>
      <c r="AI736" s="1333"/>
      <c r="AJ736" s="1333"/>
    </row>
    <row r="737" spans="1:36" x14ac:dyDescent="0.25">
      <c r="A737" s="1331"/>
      <c r="B737" s="1284"/>
      <c r="C737" s="1284"/>
      <c r="D737" s="1364"/>
      <c r="E737" s="1364"/>
      <c r="F737" s="1364"/>
      <c r="G737" s="1365"/>
      <c r="H737" s="1333"/>
      <c r="I737" s="1333"/>
      <c r="J737" s="1333"/>
      <c r="K737" s="1333"/>
      <c r="L737" s="1333"/>
      <c r="M737" s="1333"/>
      <c r="N737" s="1333"/>
      <c r="O737" s="1333"/>
      <c r="P737" s="1333"/>
      <c r="Q737" s="1333"/>
      <c r="R737" s="1333"/>
      <c r="S737" s="1449"/>
      <c r="T737" s="1333"/>
      <c r="U737" s="1333"/>
      <c r="V737" s="1333"/>
      <c r="W737" s="1333"/>
      <c r="X737" s="1333"/>
      <c r="Y737" s="1333"/>
      <c r="Z737" s="1333"/>
      <c r="AA737" s="1333"/>
      <c r="AB737" s="1333"/>
      <c r="AC737" s="1333"/>
      <c r="AD737" s="1333"/>
      <c r="AE737" s="1333"/>
      <c r="AF737" s="1333"/>
      <c r="AG737" s="1333"/>
      <c r="AH737" s="1333"/>
      <c r="AI737" s="1333"/>
      <c r="AJ737" s="1333"/>
    </row>
    <row r="738" spans="1:36" x14ac:dyDescent="0.25">
      <c r="A738" s="1331"/>
      <c r="B738" s="1284"/>
      <c r="C738" s="1284"/>
      <c r="D738" s="1364"/>
      <c r="E738" s="1364"/>
      <c r="F738" s="1364"/>
      <c r="G738" s="1365"/>
      <c r="H738" s="1333"/>
      <c r="I738" s="1333"/>
      <c r="J738" s="1333"/>
      <c r="K738" s="1333"/>
      <c r="L738" s="1333"/>
      <c r="M738" s="1333"/>
      <c r="N738" s="1333"/>
      <c r="O738" s="1333"/>
      <c r="P738" s="1333"/>
      <c r="Q738" s="1333"/>
      <c r="R738" s="1333"/>
      <c r="S738" s="1449"/>
      <c r="T738" s="1333"/>
      <c r="U738" s="1333"/>
      <c r="V738" s="1333"/>
      <c r="W738" s="1333"/>
      <c r="X738" s="1333"/>
      <c r="Y738" s="1333"/>
      <c r="Z738" s="1333"/>
      <c r="AA738" s="1333"/>
      <c r="AB738" s="1333"/>
      <c r="AC738" s="1333"/>
      <c r="AD738" s="1333"/>
      <c r="AE738" s="1333"/>
      <c r="AF738" s="1333"/>
      <c r="AG738" s="1333"/>
      <c r="AH738" s="1333"/>
      <c r="AI738" s="1333"/>
      <c r="AJ738" s="1333"/>
    </row>
    <row r="739" spans="1:36" x14ac:dyDescent="0.25">
      <c r="A739" s="1331"/>
      <c r="B739" s="1284"/>
      <c r="C739" s="1284"/>
      <c r="D739" s="1364"/>
      <c r="E739" s="1364"/>
      <c r="F739" s="1364"/>
      <c r="G739" s="1365"/>
      <c r="H739" s="1333"/>
      <c r="I739" s="1333"/>
      <c r="J739" s="1333"/>
      <c r="K739" s="1333"/>
      <c r="L739" s="1333"/>
      <c r="M739" s="1333"/>
      <c r="N739" s="1333"/>
      <c r="O739" s="1333"/>
      <c r="P739" s="1333"/>
      <c r="Q739" s="1333"/>
      <c r="R739" s="1333"/>
      <c r="S739" s="1449"/>
      <c r="T739" s="1333"/>
      <c r="U739" s="1333"/>
      <c r="V739" s="1333"/>
      <c r="W739" s="1333"/>
      <c r="X739" s="1333"/>
      <c r="Y739" s="1333"/>
      <c r="Z739" s="1333"/>
      <c r="AA739" s="1333"/>
      <c r="AB739" s="1333"/>
      <c r="AC739" s="1333"/>
      <c r="AD739" s="1333"/>
      <c r="AE739" s="1333"/>
      <c r="AF739" s="1333"/>
      <c r="AG739" s="1333"/>
      <c r="AH739" s="1333"/>
      <c r="AI739" s="1333"/>
      <c r="AJ739" s="1333"/>
    </row>
    <row r="740" spans="1:36" x14ac:dyDescent="0.25">
      <c r="A740" s="1331"/>
      <c r="B740" s="1284"/>
      <c r="C740" s="1284"/>
      <c r="D740" s="1364"/>
      <c r="E740" s="1364"/>
      <c r="F740" s="1364"/>
      <c r="G740" s="1365"/>
      <c r="H740" s="1333"/>
      <c r="I740" s="1333"/>
      <c r="J740" s="1333"/>
      <c r="K740" s="1333"/>
      <c r="L740" s="1333"/>
      <c r="M740" s="1333"/>
      <c r="N740" s="1333"/>
      <c r="O740" s="1333"/>
      <c r="P740" s="1333"/>
      <c r="Q740" s="1333"/>
      <c r="R740" s="1333"/>
      <c r="S740" s="1449"/>
      <c r="T740" s="1333"/>
      <c r="U740" s="1333"/>
      <c r="V740" s="1333"/>
      <c r="W740" s="1333"/>
      <c r="X740" s="1333"/>
      <c r="Y740" s="1333"/>
      <c r="Z740" s="1333"/>
      <c r="AA740" s="1333"/>
      <c r="AB740" s="1333"/>
      <c r="AC740" s="1333"/>
      <c r="AD740" s="1333"/>
      <c r="AE740" s="1333"/>
      <c r="AF740" s="1333"/>
      <c r="AG740" s="1333"/>
      <c r="AH740" s="1333"/>
      <c r="AI740" s="1333"/>
      <c r="AJ740" s="1333"/>
    </row>
    <row r="741" spans="1:36" x14ac:dyDescent="0.25">
      <c r="A741" s="1331"/>
      <c r="B741" s="1284"/>
      <c r="C741" s="1284"/>
      <c r="D741" s="1364"/>
      <c r="E741" s="1364"/>
      <c r="F741" s="1364"/>
      <c r="G741" s="1365"/>
      <c r="H741" s="1333"/>
      <c r="I741" s="1333"/>
      <c r="J741" s="1333"/>
      <c r="K741" s="1333"/>
      <c r="L741" s="1333"/>
      <c r="M741" s="1333"/>
      <c r="N741" s="1333"/>
      <c r="O741" s="1333"/>
      <c r="P741" s="1333"/>
      <c r="Q741" s="1333"/>
      <c r="R741" s="1333"/>
      <c r="S741" s="1449"/>
      <c r="T741" s="1333"/>
      <c r="U741" s="1333"/>
      <c r="V741" s="1333"/>
      <c r="W741" s="1333"/>
      <c r="X741" s="1333"/>
      <c r="Y741" s="1333"/>
      <c r="Z741" s="1333"/>
      <c r="AA741" s="1333"/>
      <c r="AB741" s="1333"/>
      <c r="AC741" s="1333"/>
      <c r="AD741" s="1333"/>
      <c r="AE741" s="1333"/>
      <c r="AF741" s="1333"/>
      <c r="AG741" s="1333"/>
      <c r="AH741" s="1333"/>
      <c r="AI741" s="1333"/>
      <c r="AJ741" s="1333"/>
    </row>
    <row r="742" spans="1:36" x14ac:dyDescent="0.25">
      <c r="A742" s="1331"/>
      <c r="B742" s="1284"/>
      <c r="C742" s="1284"/>
      <c r="D742" s="1364"/>
      <c r="E742" s="1364"/>
      <c r="F742" s="1364"/>
      <c r="G742" s="1365"/>
      <c r="H742" s="1333"/>
      <c r="I742" s="1333"/>
      <c r="J742" s="1333"/>
      <c r="K742" s="1333"/>
      <c r="L742" s="1333"/>
      <c r="M742" s="1333"/>
      <c r="N742" s="1333"/>
      <c r="O742" s="1333"/>
      <c r="P742" s="1333"/>
      <c r="Q742" s="1333"/>
      <c r="R742" s="1333"/>
      <c r="S742" s="1449"/>
      <c r="T742" s="1333"/>
      <c r="U742" s="1333"/>
      <c r="V742" s="1333"/>
      <c r="W742" s="1333"/>
      <c r="X742" s="1333"/>
      <c r="Y742" s="1333"/>
      <c r="Z742" s="1333"/>
      <c r="AA742" s="1333"/>
      <c r="AB742" s="1333"/>
      <c r="AC742" s="1333"/>
      <c r="AD742" s="1333"/>
      <c r="AE742" s="1333"/>
      <c r="AF742" s="1333"/>
      <c r="AG742" s="1333"/>
      <c r="AH742" s="1333"/>
      <c r="AI742" s="1333"/>
      <c r="AJ742" s="1333"/>
    </row>
    <row r="743" spans="1:36" x14ac:dyDescent="0.25">
      <c r="A743" s="1331"/>
      <c r="B743" s="1284"/>
      <c r="C743" s="1284"/>
      <c r="D743" s="1364"/>
      <c r="E743" s="1364"/>
      <c r="F743" s="1364"/>
      <c r="G743" s="1365"/>
      <c r="H743" s="1333"/>
      <c r="I743" s="1333"/>
      <c r="J743" s="1333"/>
      <c r="K743" s="1333"/>
      <c r="L743" s="1333"/>
      <c r="M743" s="1333"/>
      <c r="N743" s="1333"/>
      <c r="O743" s="1333"/>
      <c r="P743" s="1333"/>
      <c r="Q743" s="1333"/>
      <c r="R743" s="1333"/>
      <c r="S743" s="1449"/>
      <c r="T743" s="1333"/>
      <c r="U743" s="1333"/>
      <c r="V743" s="1333"/>
      <c r="W743" s="1333"/>
      <c r="X743" s="1333"/>
      <c r="Y743" s="1333"/>
      <c r="Z743" s="1333"/>
      <c r="AA743" s="1333"/>
      <c r="AB743" s="1333"/>
      <c r="AC743" s="1333"/>
      <c r="AD743" s="1333"/>
      <c r="AE743" s="1333"/>
      <c r="AF743" s="1333"/>
      <c r="AG743" s="1333"/>
      <c r="AH743" s="1333"/>
      <c r="AI743" s="1333"/>
      <c r="AJ743" s="1333"/>
    </row>
    <row r="744" spans="1:36" x14ac:dyDescent="0.25">
      <c r="A744" s="1331"/>
      <c r="B744" s="1284"/>
      <c r="C744" s="1284"/>
      <c r="D744" s="1364"/>
      <c r="E744" s="1364"/>
      <c r="F744" s="1364"/>
      <c r="G744" s="1365"/>
      <c r="H744" s="1333"/>
      <c r="I744" s="1333"/>
      <c r="J744" s="1333"/>
      <c r="K744" s="1333"/>
      <c r="L744" s="1333"/>
      <c r="M744" s="1333"/>
      <c r="N744" s="1333"/>
      <c r="O744" s="1333"/>
      <c r="P744" s="1333"/>
      <c r="Q744" s="1333"/>
      <c r="R744" s="1333"/>
      <c r="S744" s="1449"/>
      <c r="T744" s="1333"/>
      <c r="U744" s="1333"/>
      <c r="V744" s="1333"/>
      <c r="W744" s="1333"/>
      <c r="X744" s="1333"/>
      <c r="Y744" s="1333"/>
      <c r="Z744" s="1333"/>
      <c r="AA744" s="1333"/>
      <c r="AB744" s="1333"/>
      <c r="AC744" s="1333"/>
      <c r="AD744" s="1333"/>
      <c r="AE744" s="1333"/>
      <c r="AF744" s="1333"/>
      <c r="AG744" s="1333"/>
      <c r="AH744" s="1333"/>
      <c r="AI744" s="1333"/>
      <c r="AJ744" s="1333"/>
    </row>
    <row r="745" spans="1:36" x14ac:dyDescent="0.25">
      <c r="A745" s="1331"/>
      <c r="B745" s="1284"/>
      <c r="C745" s="1284"/>
      <c r="D745" s="1364"/>
      <c r="E745" s="1364"/>
      <c r="F745" s="1364"/>
      <c r="G745" s="1365"/>
      <c r="H745" s="1333"/>
      <c r="I745" s="1333"/>
      <c r="J745" s="1333"/>
      <c r="K745" s="1333"/>
      <c r="L745" s="1333"/>
      <c r="M745" s="1333"/>
      <c r="N745" s="1333"/>
      <c r="O745" s="1333"/>
      <c r="P745" s="1333"/>
      <c r="Q745" s="1333"/>
      <c r="R745" s="1333"/>
      <c r="S745" s="1449"/>
      <c r="T745" s="1333"/>
      <c r="U745" s="1333"/>
      <c r="V745" s="1333"/>
      <c r="W745" s="1333"/>
      <c r="X745" s="1333"/>
      <c r="Y745" s="1333"/>
      <c r="Z745" s="1333"/>
      <c r="AA745" s="1333"/>
      <c r="AB745" s="1333"/>
      <c r="AC745" s="1333"/>
      <c r="AD745" s="1333"/>
      <c r="AE745" s="1333"/>
      <c r="AF745" s="1333"/>
      <c r="AG745" s="1333"/>
      <c r="AH745" s="1333"/>
      <c r="AI745" s="1333"/>
      <c r="AJ745" s="1333"/>
    </row>
    <row r="746" spans="1:36" x14ac:dyDescent="0.25">
      <c r="A746" s="1331"/>
      <c r="B746" s="1284"/>
      <c r="C746" s="1284"/>
      <c r="D746" s="1364"/>
      <c r="E746" s="1364"/>
      <c r="F746" s="1364"/>
      <c r="G746" s="1365"/>
      <c r="H746" s="1333"/>
      <c r="I746" s="1333"/>
      <c r="J746" s="1333"/>
      <c r="K746" s="1333"/>
      <c r="L746" s="1333"/>
      <c r="M746" s="1333"/>
      <c r="N746" s="1333"/>
      <c r="O746" s="1333"/>
      <c r="P746" s="1333"/>
      <c r="Q746" s="1333"/>
      <c r="R746" s="1333"/>
      <c r="S746" s="1449"/>
      <c r="T746" s="1333"/>
      <c r="U746" s="1333"/>
      <c r="V746" s="1333"/>
      <c r="W746" s="1333"/>
      <c r="X746" s="1333"/>
      <c r="Y746" s="1333"/>
      <c r="Z746" s="1333"/>
      <c r="AA746" s="1333"/>
      <c r="AB746" s="1333"/>
      <c r="AC746" s="1333"/>
      <c r="AD746" s="1333"/>
      <c r="AE746" s="1333"/>
      <c r="AF746" s="1333"/>
      <c r="AG746" s="1333"/>
      <c r="AH746" s="1333"/>
      <c r="AI746" s="1333"/>
      <c r="AJ746" s="1333"/>
    </row>
    <row r="747" spans="1:36" x14ac:dyDescent="0.25">
      <c r="A747" s="1331"/>
      <c r="B747" s="1284"/>
      <c r="C747" s="1284"/>
      <c r="D747" s="1364"/>
      <c r="E747" s="1364"/>
      <c r="F747" s="1364"/>
      <c r="G747" s="1365"/>
      <c r="H747" s="1333"/>
      <c r="I747" s="1333"/>
      <c r="J747" s="1333"/>
      <c r="K747" s="1333"/>
      <c r="L747" s="1333"/>
      <c r="M747" s="1333"/>
      <c r="N747" s="1333"/>
      <c r="O747" s="1333"/>
      <c r="P747" s="1333"/>
      <c r="Q747" s="1333"/>
      <c r="R747" s="1333"/>
      <c r="S747" s="1449"/>
      <c r="T747" s="1333"/>
      <c r="U747" s="1333"/>
      <c r="V747" s="1333"/>
      <c r="W747" s="1333"/>
      <c r="X747" s="1333"/>
      <c r="Y747" s="1333"/>
      <c r="Z747" s="1333"/>
      <c r="AA747" s="1333"/>
      <c r="AB747" s="1333"/>
      <c r="AC747" s="1333"/>
      <c r="AD747" s="1333"/>
      <c r="AE747" s="1333"/>
      <c r="AF747" s="1333"/>
      <c r="AG747" s="1333"/>
      <c r="AH747" s="1333"/>
      <c r="AI747" s="1333"/>
      <c r="AJ747" s="1333"/>
    </row>
    <row r="748" spans="1:36" x14ac:dyDescent="0.25">
      <c r="A748" s="1331"/>
      <c r="B748" s="1284"/>
      <c r="C748" s="1284"/>
      <c r="D748" s="1364"/>
      <c r="E748" s="1364"/>
      <c r="F748" s="1364"/>
      <c r="G748" s="1365"/>
      <c r="H748" s="1333"/>
      <c r="I748" s="1333"/>
      <c r="J748" s="1333"/>
      <c r="K748" s="1333"/>
      <c r="L748" s="1333"/>
      <c r="M748" s="1333"/>
      <c r="N748" s="1333"/>
      <c r="O748" s="1333"/>
      <c r="P748" s="1333"/>
      <c r="Q748" s="1333"/>
      <c r="R748" s="1333"/>
      <c r="S748" s="1449"/>
      <c r="T748" s="1333"/>
      <c r="U748" s="1333"/>
      <c r="V748" s="1333"/>
      <c r="W748" s="1333"/>
      <c r="X748" s="1333"/>
      <c r="Y748" s="1333"/>
      <c r="Z748" s="1333"/>
      <c r="AA748" s="1333"/>
      <c r="AB748" s="1333"/>
      <c r="AC748" s="1333"/>
      <c r="AD748" s="1333"/>
      <c r="AE748" s="1333"/>
      <c r="AF748" s="1333"/>
      <c r="AG748" s="1333"/>
      <c r="AH748" s="1333"/>
      <c r="AI748" s="1333"/>
      <c r="AJ748" s="1333"/>
    </row>
    <row r="749" spans="1:36" x14ac:dyDescent="0.25">
      <c r="A749" s="1331"/>
      <c r="B749" s="1284"/>
      <c r="C749" s="1284"/>
      <c r="D749" s="1364"/>
      <c r="E749" s="1364"/>
      <c r="F749" s="1364"/>
      <c r="G749" s="1365"/>
      <c r="H749" s="1333"/>
      <c r="I749" s="1333"/>
      <c r="J749" s="1333"/>
      <c r="K749" s="1333"/>
      <c r="L749" s="1333"/>
      <c r="M749" s="1333"/>
      <c r="N749" s="1333"/>
      <c r="O749" s="1333"/>
      <c r="P749" s="1333"/>
      <c r="Q749" s="1333"/>
      <c r="R749" s="1333"/>
      <c r="S749" s="1449"/>
      <c r="T749" s="1333"/>
      <c r="U749" s="1333"/>
      <c r="V749" s="1333"/>
      <c r="W749" s="1333"/>
      <c r="X749" s="1333"/>
      <c r="Y749" s="1333"/>
      <c r="Z749" s="1333"/>
      <c r="AA749" s="1333"/>
      <c r="AB749" s="1333"/>
      <c r="AC749" s="1333"/>
      <c r="AD749" s="1333"/>
      <c r="AE749" s="1333"/>
      <c r="AF749" s="1333"/>
      <c r="AG749" s="1333"/>
      <c r="AH749" s="1333"/>
      <c r="AI749" s="1333"/>
      <c r="AJ749" s="1333"/>
    </row>
    <row r="750" spans="1:36" x14ac:dyDescent="0.25">
      <c r="A750" s="1331"/>
      <c r="B750" s="1284"/>
      <c r="C750" s="1284"/>
      <c r="D750" s="1364"/>
      <c r="E750" s="1364"/>
      <c r="F750" s="1364"/>
      <c r="G750" s="1365"/>
      <c r="H750" s="1333"/>
      <c r="I750" s="1333"/>
      <c r="J750" s="1333"/>
      <c r="K750" s="1333"/>
      <c r="L750" s="1333"/>
      <c r="M750" s="1333"/>
      <c r="N750" s="1333"/>
      <c r="O750" s="1333"/>
      <c r="P750" s="1333"/>
      <c r="Q750" s="1333"/>
      <c r="R750" s="1333"/>
      <c r="S750" s="1449"/>
      <c r="T750" s="1333"/>
      <c r="U750" s="1333"/>
      <c r="V750" s="1333"/>
      <c r="W750" s="1333"/>
      <c r="X750" s="1333"/>
      <c r="Y750" s="1333"/>
      <c r="Z750" s="1333"/>
      <c r="AA750" s="1333"/>
      <c r="AB750" s="1333"/>
      <c r="AC750" s="1333"/>
      <c r="AD750" s="1333"/>
      <c r="AE750" s="1333"/>
      <c r="AF750" s="1333"/>
      <c r="AG750" s="1333"/>
      <c r="AH750" s="1333"/>
      <c r="AI750" s="1333"/>
      <c r="AJ750" s="1333"/>
    </row>
    <row r="751" spans="1:36" x14ac:dyDescent="0.25">
      <c r="A751" s="1331"/>
      <c r="B751" s="1284"/>
      <c r="C751" s="1284"/>
      <c r="D751" s="1364"/>
      <c r="E751" s="1364"/>
      <c r="F751" s="1364"/>
      <c r="G751" s="1365"/>
      <c r="H751" s="1333"/>
      <c r="I751" s="1333"/>
      <c r="J751" s="1333"/>
      <c r="K751" s="1333"/>
      <c r="L751" s="1333"/>
      <c r="M751" s="1333"/>
      <c r="N751" s="1333"/>
      <c r="O751" s="1333"/>
      <c r="P751" s="1333"/>
      <c r="Q751" s="1333"/>
      <c r="R751" s="1333"/>
      <c r="S751" s="1449"/>
      <c r="T751" s="1333"/>
      <c r="U751" s="1333"/>
      <c r="V751" s="1333"/>
      <c r="W751" s="1333"/>
      <c r="X751" s="1333"/>
      <c r="Y751" s="1333"/>
      <c r="Z751" s="1333"/>
      <c r="AA751" s="1333"/>
      <c r="AB751" s="1333"/>
      <c r="AC751" s="1333"/>
      <c r="AD751" s="1333"/>
      <c r="AE751" s="1333"/>
      <c r="AF751" s="1333"/>
      <c r="AG751" s="1333"/>
      <c r="AH751" s="1333"/>
      <c r="AI751" s="1333"/>
      <c r="AJ751" s="1333"/>
    </row>
    <row r="752" spans="1:36" x14ac:dyDescent="0.25">
      <c r="A752" s="1331"/>
      <c r="B752" s="1284"/>
      <c r="C752" s="1284"/>
      <c r="D752" s="1364"/>
      <c r="E752" s="1364"/>
      <c r="F752" s="1364"/>
      <c r="G752" s="1365"/>
      <c r="H752" s="1333"/>
      <c r="I752" s="1333"/>
      <c r="J752" s="1333"/>
      <c r="K752" s="1333"/>
      <c r="L752" s="1333"/>
      <c r="M752" s="1333"/>
      <c r="N752" s="1333"/>
      <c r="O752" s="1333"/>
      <c r="P752" s="1333"/>
      <c r="Q752" s="1333"/>
      <c r="R752" s="1333"/>
      <c r="S752" s="1449"/>
      <c r="T752" s="1333"/>
      <c r="U752" s="1333"/>
      <c r="V752" s="1333"/>
      <c r="W752" s="1333"/>
      <c r="X752" s="1333"/>
      <c r="Y752" s="1333"/>
      <c r="Z752" s="1333"/>
      <c r="AA752" s="1333"/>
      <c r="AB752" s="1333"/>
      <c r="AC752" s="1333"/>
      <c r="AD752" s="1333"/>
      <c r="AE752" s="1333"/>
      <c r="AF752" s="1333"/>
      <c r="AG752" s="1333"/>
      <c r="AH752" s="1333"/>
      <c r="AI752" s="1333"/>
      <c r="AJ752" s="1333"/>
    </row>
    <row r="753" spans="1:36" x14ac:dyDescent="0.25">
      <c r="A753" s="1331"/>
      <c r="B753" s="1284"/>
      <c r="C753" s="1284"/>
      <c r="D753" s="1364"/>
      <c r="E753" s="1364"/>
      <c r="F753" s="1364"/>
      <c r="G753" s="1365"/>
      <c r="H753" s="1333"/>
      <c r="I753" s="1333"/>
      <c r="J753" s="1333"/>
      <c r="K753" s="1333"/>
      <c r="L753" s="1333"/>
      <c r="M753" s="1333"/>
      <c r="N753" s="1333"/>
      <c r="O753" s="1333"/>
      <c r="P753" s="1333"/>
      <c r="Q753" s="1333"/>
      <c r="R753" s="1333"/>
      <c r="S753" s="1449"/>
      <c r="T753" s="1333"/>
      <c r="U753" s="1333"/>
      <c r="V753" s="1333"/>
      <c r="W753" s="1333"/>
      <c r="X753" s="1333"/>
      <c r="Y753" s="1333"/>
      <c r="Z753" s="1333"/>
      <c r="AA753" s="1333"/>
      <c r="AB753" s="1333"/>
      <c r="AC753" s="1333"/>
      <c r="AD753" s="1333"/>
      <c r="AE753" s="1333"/>
      <c r="AF753" s="1333"/>
      <c r="AG753" s="1333"/>
      <c r="AH753" s="1333"/>
      <c r="AI753" s="1333"/>
      <c r="AJ753" s="1333"/>
    </row>
    <row r="754" spans="1:36" x14ac:dyDescent="0.25">
      <c r="A754" s="1331"/>
      <c r="B754" s="1284"/>
      <c r="C754" s="1284"/>
      <c r="D754" s="1364"/>
      <c r="E754" s="1364"/>
      <c r="F754" s="1364"/>
      <c r="G754" s="1365"/>
      <c r="H754" s="1333"/>
      <c r="I754" s="1333"/>
      <c r="J754" s="1333"/>
      <c r="K754" s="1333"/>
      <c r="L754" s="1333"/>
      <c r="M754" s="1333"/>
      <c r="N754" s="1333"/>
      <c r="O754" s="1333"/>
      <c r="P754" s="1333"/>
      <c r="Q754" s="1333"/>
      <c r="R754" s="1333"/>
      <c r="S754" s="1449"/>
      <c r="T754" s="1333"/>
      <c r="U754" s="1333"/>
      <c r="V754" s="1333"/>
      <c r="W754" s="1333"/>
      <c r="X754" s="1333"/>
      <c r="Y754" s="1333"/>
      <c r="Z754" s="1333"/>
      <c r="AA754" s="1333"/>
      <c r="AB754" s="1333"/>
      <c r="AC754" s="1333"/>
      <c r="AD754" s="1333"/>
      <c r="AE754" s="1333"/>
      <c r="AF754" s="1333"/>
      <c r="AG754" s="1333"/>
      <c r="AH754" s="1333"/>
      <c r="AI754" s="1333"/>
      <c r="AJ754" s="1333"/>
    </row>
    <row r="755" spans="1:36" x14ac:dyDescent="0.25">
      <c r="A755" s="1331"/>
      <c r="B755" s="1284"/>
      <c r="C755" s="1284"/>
      <c r="D755" s="1364"/>
      <c r="E755" s="1364"/>
      <c r="F755" s="1364"/>
      <c r="G755" s="1365"/>
      <c r="H755" s="1333"/>
      <c r="I755" s="1333"/>
      <c r="J755" s="1333"/>
      <c r="K755" s="1333"/>
      <c r="L755" s="1333"/>
      <c r="M755" s="1333"/>
      <c r="N755" s="1333"/>
      <c r="O755" s="1333"/>
      <c r="P755" s="1333"/>
      <c r="Q755" s="1333"/>
      <c r="R755" s="1333"/>
      <c r="S755" s="1449"/>
      <c r="T755" s="1333"/>
      <c r="U755" s="1333"/>
      <c r="V755" s="1333"/>
      <c r="W755" s="1333"/>
      <c r="X755" s="1333"/>
      <c r="Y755" s="1333"/>
      <c r="Z755" s="1333"/>
      <c r="AA755" s="1333"/>
      <c r="AB755" s="1333"/>
      <c r="AC755" s="1333"/>
      <c r="AD755" s="1333"/>
      <c r="AE755" s="1333"/>
      <c r="AF755" s="1333"/>
      <c r="AG755" s="1333"/>
      <c r="AH755" s="1333"/>
      <c r="AI755" s="1333"/>
      <c r="AJ755" s="1333"/>
    </row>
    <row r="756" spans="1:36" x14ac:dyDescent="0.25">
      <c r="A756" s="1331"/>
      <c r="B756" s="1284"/>
      <c r="C756" s="1284"/>
      <c r="D756" s="1364"/>
      <c r="E756" s="1364"/>
      <c r="F756" s="1364"/>
      <c r="G756" s="1365"/>
      <c r="H756" s="1333"/>
      <c r="I756" s="1333"/>
      <c r="J756" s="1333"/>
      <c r="K756" s="1333"/>
      <c r="L756" s="1333"/>
      <c r="M756" s="1333"/>
      <c r="N756" s="1333"/>
      <c r="O756" s="1333"/>
      <c r="P756" s="1333"/>
      <c r="Q756" s="1333"/>
      <c r="R756" s="1333"/>
      <c r="S756" s="1449"/>
      <c r="T756" s="1333"/>
      <c r="U756" s="1333"/>
      <c r="V756" s="1333"/>
      <c r="W756" s="1333"/>
      <c r="X756" s="1333"/>
      <c r="Y756" s="1333"/>
      <c r="Z756" s="1333"/>
      <c r="AA756" s="1333"/>
      <c r="AB756" s="1333"/>
      <c r="AC756" s="1333"/>
      <c r="AD756" s="1333"/>
      <c r="AE756" s="1333"/>
      <c r="AF756" s="1333"/>
      <c r="AG756" s="1333"/>
      <c r="AH756" s="1333"/>
      <c r="AI756" s="1333"/>
      <c r="AJ756" s="1333"/>
    </row>
    <row r="757" spans="1:36" x14ac:dyDescent="0.25">
      <c r="A757" s="1331"/>
      <c r="B757" s="1284"/>
      <c r="C757" s="1284"/>
      <c r="D757" s="1364"/>
      <c r="E757" s="1364"/>
      <c r="F757" s="1364"/>
      <c r="G757" s="1365"/>
      <c r="H757" s="1333"/>
      <c r="I757" s="1333"/>
      <c r="J757" s="1333"/>
      <c r="K757" s="1333"/>
      <c r="L757" s="1333"/>
      <c r="M757" s="1333"/>
      <c r="N757" s="1333"/>
      <c r="O757" s="1333"/>
      <c r="P757" s="1333"/>
      <c r="Q757" s="1333"/>
      <c r="R757" s="1333"/>
      <c r="S757" s="1449"/>
      <c r="T757" s="1333"/>
      <c r="U757" s="1333"/>
      <c r="V757" s="1333"/>
      <c r="W757" s="1333"/>
      <c r="X757" s="1333"/>
      <c r="Y757" s="1333"/>
      <c r="Z757" s="1333"/>
      <c r="AA757" s="1333"/>
      <c r="AB757" s="1333"/>
      <c r="AC757" s="1333"/>
      <c r="AD757" s="1333"/>
      <c r="AE757" s="1333"/>
      <c r="AF757" s="1333"/>
      <c r="AG757" s="1333"/>
      <c r="AH757" s="1333"/>
      <c r="AI757" s="1333"/>
      <c r="AJ757" s="1333"/>
    </row>
    <row r="758" spans="1:36" x14ac:dyDescent="0.25">
      <c r="A758" s="1331"/>
      <c r="B758" s="1284"/>
      <c r="C758" s="1284"/>
      <c r="D758" s="1364"/>
      <c r="E758" s="1364"/>
      <c r="F758" s="1364"/>
      <c r="G758" s="1365"/>
      <c r="H758" s="1333"/>
      <c r="I758" s="1333"/>
      <c r="J758" s="1333"/>
      <c r="K758" s="1333"/>
      <c r="L758" s="1333"/>
      <c r="M758" s="1333"/>
      <c r="N758" s="1333"/>
      <c r="O758" s="1333"/>
      <c r="P758" s="1333"/>
      <c r="Q758" s="1333"/>
      <c r="R758" s="1333"/>
      <c r="S758" s="1449"/>
      <c r="T758" s="1333"/>
      <c r="U758" s="1333"/>
      <c r="V758" s="1333"/>
      <c r="W758" s="1333"/>
      <c r="X758" s="1333"/>
      <c r="Y758" s="1333"/>
      <c r="Z758" s="1333"/>
      <c r="AA758" s="1333"/>
      <c r="AB758" s="1333"/>
      <c r="AC758" s="1333"/>
      <c r="AD758" s="1333"/>
      <c r="AE758" s="1333"/>
      <c r="AF758" s="1333"/>
      <c r="AG758" s="1333"/>
      <c r="AH758" s="1333"/>
      <c r="AI758" s="1333"/>
      <c r="AJ758" s="1333"/>
    </row>
    <row r="759" spans="1:36" x14ac:dyDescent="0.25">
      <c r="A759" s="1331"/>
      <c r="B759" s="1284"/>
      <c r="C759" s="1284"/>
      <c r="D759" s="1364"/>
      <c r="E759" s="1364"/>
      <c r="F759" s="1364"/>
      <c r="G759" s="1365"/>
      <c r="H759" s="1333"/>
      <c r="I759" s="1333"/>
      <c r="J759" s="1333"/>
      <c r="K759" s="1333"/>
      <c r="L759" s="1333"/>
      <c r="M759" s="1333"/>
      <c r="N759" s="1333"/>
      <c r="O759" s="1333"/>
      <c r="P759" s="1333"/>
      <c r="Q759" s="1333"/>
      <c r="R759" s="1333"/>
      <c r="S759" s="1449"/>
      <c r="T759" s="1333"/>
      <c r="U759" s="1333"/>
      <c r="V759" s="1333"/>
      <c r="W759" s="1333"/>
      <c r="X759" s="1333"/>
      <c r="Y759" s="1333"/>
      <c r="Z759" s="1333"/>
      <c r="AA759" s="1333"/>
      <c r="AB759" s="1333"/>
      <c r="AC759" s="1333"/>
      <c r="AD759" s="1333"/>
      <c r="AE759" s="1333"/>
      <c r="AF759" s="1333"/>
      <c r="AG759" s="1333"/>
      <c r="AH759" s="1333"/>
      <c r="AI759" s="1333"/>
      <c r="AJ759" s="1333"/>
    </row>
    <row r="760" spans="1:36" x14ac:dyDescent="0.25">
      <c r="A760" s="1331"/>
      <c r="B760" s="1284"/>
      <c r="C760" s="1284"/>
      <c r="D760" s="1364"/>
      <c r="E760" s="1364"/>
      <c r="F760" s="1364"/>
      <c r="G760" s="1365"/>
      <c r="H760" s="1333"/>
      <c r="I760" s="1333"/>
      <c r="J760" s="1333"/>
      <c r="K760" s="1333"/>
      <c r="L760" s="1333"/>
      <c r="M760" s="1333"/>
      <c r="N760" s="1333"/>
      <c r="O760" s="1333"/>
      <c r="P760" s="1333"/>
      <c r="Q760" s="1333"/>
      <c r="R760" s="1333"/>
      <c r="S760" s="1449"/>
      <c r="T760" s="1333"/>
      <c r="U760" s="1333"/>
      <c r="V760" s="1333"/>
      <c r="W760" s="1333"/>
      <c r="X760" s="1333"/>
      <c r="Y760" s="1333"/>
      <c r="Z760" s="1333"/>
      <c r="AA760" s="1333"/>
      <c r="AB760" s="1333"/>
      <c r="AC760" s="1333"/>
      <c r="AD760" s="1333"/>
      <c r="AE760" s="1333"/>
      <c r="AF760" s="1333"/>
      <c r="AG760" s="1333"/>
      <c r="AH760" s="1333"/>
      <c r="AI760" s="1333"/>
      <c r="AJ760" s="1333"/>
    </row>
    <row r="761" spans="1:36" x14ac:dyDescent="0.25">
      <c r="A761" s="1331"/>
      <c r="B761" s="1284"/>
      <c r="C761" s="1284"/>
      <c r="D761" s="1364"/>
      <c r="E761" s="1364"/>
      <c r="F761" s="1364"/>
      <c r="G761" s="1365"/>
      <c r="H761" s="1333"/>
      <c r="I761" s="1333"/>
      <c r="J761" s="1333"/>
      <c r="K761" s="1333"/>
      <c r="L761" s="1333"/>
      <c r="M761" s="1333"/>
      <c r="N761" s="1333"/>
      <c r="O761" s="1333"/>
      <c r="P761" s="1333"/>
      <c r="Q761" s="1333"/>
      <c r="R761" s="1333"/>
      <c r="S761" s="1449"/>
      <c r="T761" s="1333"/>
      <c r="U761" s="1333"/>
      <c r="V761" s="1333"/>
      <c r="W761" s="1333"/>
      <c r="X761" s="1333"/>
      <c r="Y761" s="1333"/>
      <c r="Z761" s="1333"/>
      <c r="AA761" s="1333"/>
      <c r="AB761" s="1333"/>
      <c r="AC761" s="1333"/>
      <c r="AD761" s="1333"/>
      <c r="AE761" s="1333"/>
      <c r="AF761" s="1333"/>
      <c r="AG761" s="1333"/>
      <c r="AH761" s="1333"/>
      <c r="AI761" s="1333"/>
      <c r="AJ761" s="1333"/>
    </row>
    <row r="762" spans="1:36" x14ac:dyDescent="0.25">
      <c r="A762" s="1331"/>
      <c r="B762" s="1284"/>
      <c r="C762" s="1284"/>
      <c r="D762" s="1364"/>
      <c r="E762" s="1364"/>
      <c r="F762" s="1364"/>
      <c r="G762" s="1365"/>
      <c r="H762" s="1333"/>
      <c r="I762" s="1333"/>
      <c r="J762" s="1333"/>
      <c r="K762" s="1333"/>
      <c r="L762" s="1333"/>
      <c r="M762" s="1333"/>
      <c r="N762" s="1333"/>
      <c r="O762" s="1333"/>
      <c r="P762" s="1333"/>
      <c r="Q762" s="1333"/>
      <c r="R762" s="1333"/>
      <c r="S762" s="1449"/>
      <c r="T762" s="1333"/>
      <c r="U762" s="1333"/>
      <c r="V762" s="1333"/>
      <c r="W762" s="1333"/>
      <c r="X762" s="1333"/>
      <c r="Y762" s="1333"/>
      <c r="Z762" s="1333"/>
      <c r="AA762" s="1333"/>
      <c r="AB762" s="1333"/>
      <c r="AC762" s="1333"/>
      <c r="AD762" s="1333"/>
      <c r="AE762" s="1333"/>
      <c r="AF762" s="1333"/>
      <c r="AG762" s="1333"/>
      <c r="AH762" s="1333"/>
      <c r="AI762" s="1333"/>
      <c r="AJ762" s="1333"/>
    </row>
    <row r="763" spans="1:36" x14ac:dyDescent="0.25">
      <c r="A763" s="1331"/>
      <c r="B763" s="1284"/>
      <c r="C763" s="1284"/>
      <c r="D763" s="1364"/>
      <c r="E763" s="1364"/>
      <c r="F763" s="1364"/>
      <c r="G763" s="1365"/>
      <c r="H763" s="1333"/>
      <c r="I763" s="1333"/>
      <c r="J763" s="1333"/>
      <c r="K763" s="1333"/>
      <c r="L763" s="1333"/>
      <c r="M763" s="1333"/>
      <c r="N763" s="1333"/>
      <c r="O763" s="1333"/>
      <c r="P763" s="1333"/>
      <c r="Q763" s="1333"/>
      <c r="R763" s="1333"/>
      <c r="S763" s="1449"/>
      <c r="T763" s="1333"/>
      <c r="U763" s="1333"/>
      <c r="V763" s="1333"/>
      <c r="W763" s="1333"/>
      <c r="X763" s="1333"/>
      <c r="Y763" s="1333"/>
      <c r="Z763" s="1333"/>
      <c r="AA763" s="1333"/>
      <c r="AB763" s="1333"/>
      <c r="AC763" s="1333"/>
      <c r="AD763" s="1333"/>
      <c r="AE763" s="1333"/>
      <c r="AF763" s="1333"/>
      <c r="AG763" s="1333"/>
      <c r="AH763" s="1333"/>
      <c r="AI763" s="1333"/>
      <c r="AJ763" s="1333"/>
    </row>
    <row r="764" spans="1:36" x14ac:dyDescent="0.25">
      <c r="A764" s="1331"/>
      <c r="B764" s="1284"/>
      <c r="C764" s="1284"/>
      <c r="D764" s="1364"/>
      <c r="E764" s="1364"/>
      <c r="F764" s="1364"/>
      <c r="G764" s="1365"/>
      <c r="H764" s="1333"/>
      <c r="I764" s="1333"/>
      <c r="J764" s="1333"/>
      <c r="K764" s="1333"/>
      <c r="L764" s="1333"/>
      <c r="M764" s="1333"/>
      <c r="N764" s="1333"/>
      <c r="O764" s="1333"/>
      <c r="P764" s="1333"/>
      <c r="Q764" s="1333"/>
      <c r="R764" s="1333"/>
      <c r="S764" s="1449"/>
      <c r="T764" s="1333"/>
      <c r="U764" s="1333"/>
      <c r="V764" s="1333"/>
      <c r="W764" s="1333"/>
      <c r="X764" s="1333"/>
      <c r="Y764" s="1333"/>
      <c r="Z764" s="1333"/>
      <c r="AA764" s="1333"/>
      <c r="AB764" s="1333"/>
      <c r="AC764" s="1333"/>
      <c r="AD764" s="1333"/>
      <c r="AE764" s="1333"/>
      <c r="AF764" s="1333"/>
      <c r="AG764" s="1333"/>
      <c r="AH764" s="1333"/>
      <c r="AI764" s="1333"/>
      <c r="AJ764" s="1333"/>
    </row>
    <row r="765" spans="1:36" x14ac:dyDescent="0.25">
      <c r="A765" s="1331"/>
      <c r="B765" s="1284"/>
      <c r="C765" s="1284"/>
      <c r="D765" s="1364"/>
      <c r="E765" s="1364"/>
      <c r="F765" s="1364"/>
      <c r="G765" s="1365"/>
      <c r="H765" s="1333"/>
      <c r="I765" s="1333"/>
      <c r="J765" s="1333"/>
      <c r="K765" s="1333"/>
      <c r="L765" s="1333"/>
      <c r="M765" s="1333"/>
      <c r="N765" s="1333"/>
      <c r="O765" s="1333"/>
      <c r="P765" s="1333"/>
      <c r="Q765" s="1333"/>
      <c r="R765" s="1333"/>
      <c r="S765" s="1449"/>
      <c r="T765" s="1333"/>
      <c r="U765" s="1333"/>
      <c r="V765" s="1333"/>
      <c r="W765" s="1333"/>
      <c r="X765" s="1333"/>
      <c r="Y765" s="1333"/>
      <c r="Z765" s="1333"/>
      <c r="AA765" s="1333"/>
      <c r="AB765" s="1333"/>
      <c r="AC765" s="1333"/>
      <c r="AD765" s="1333"/>
      <c r="AE765" s="1333"/>
      <c r="AF765" s="1333"/>
      <c r="AG765" s="1333"/>
      <c r="AH765" s="1333"/>
      <c r="AI765" s="1333"/>
      <c r="AJ765" s="1333"/>
    </row>
    <row r="766" spans="1:36" x14ac:dyDescent="0.25">
      <c r="A766" s="1331"/>
      <c r="B766" s="1284"/>
      <c r="C766" s="1284"/>
      <c r="D766" s="1364"/>
      <c r="E766" s="1364"/>
      <c r="F766" s="1364"/>
      <c r="G766" s="1365"/>
      <c r="H766" s="1333"/>
      <c r="I766" s="1333"/>
      <c r="J766" s="1333"/>
      <c r="K766" s="1333"/>
      <c r="L766" s="1333"/>
      <c r="M766" s="1333"/>
      <c r="N766" s="1333"/>
      <c r="O766" s="1333"/>
      <c r="P766" s="1333"/>
      <c r="Q766" s="1333"/>
      <c r="R766" s="1333"/>
      <c r="S766" s="1449"/>
      <c r="T766" s="1333"/>
      <c r="U766" s="1333"/>
      <c r="V766" s="1333"/>
      <c r="W766" s="1333"/>
      <c r="X766" s="1333"/>
      <c r="Y766" s="1333"/>
      <c r="Z766" s="1333"/>
      <c r="AA766" s="1333"/>
      <c r="AB766" s="1333"/>
      <c r="AC766" s="1333"/>
      <c r="AD766" s="1333"/>
      <c r="AE766" s="1333"/>
      <c r="AF766" s="1333"/>
      <c r="AG766" s="1333"/>
      <c r="AH766" s="1333"/>
      <c r="AI766" s="1333"/>
      <c r="AJ766" s="1333"/>
    </row>
    <row r="767" spans="1:36" x14ac:dyDescent="0.25">
      <c r="A767" s="1331"/>
      <c r="B767" s="1284"/>
      <c r="C767" s="1284"/>
      <c r="D767" s="1364"/>
      <c r="E767" s="1364"/>
      <c r="F767" s="1364"/>
      <c r="G767" s="1365"/>
      <c r="H767" s="1333"/>
      <c r="I767" s="1333"/>
      <c r="J767" s="1333"/>
      <c r="K767" s="1333"/>
      <c r="L767" s="1333"/>
      <c r="M767" s="1333"/>
      <c r="N767" s="1333"/>
      <c r="O767" s="1333"/>
      <c r="P767" s="1333"/>
      <c r="Q767" s="1333"/>
      <c r="R767" s="1333"/>
      <c r="S767" s="1449"/>
      <c r="T767" s="1333"/>
      <c r="U767" s="1333"/>
      <c r="V767" s="1333"/>
      <c r="W767" s="1333"/>
      <c r="X767" s="1333"/>
      <c r="Y767" s="1333"/>
      <c r="Z767" s="1333"/>
      <c r="AA767" s="1333"/>
      <c r="AB767" s="1333"/>
      <c r="AC767" s="1333"/>
      <c r="AD767" s="1333"/>
      <c r="AE767" s="1333"/>
      <c r="AF767" s="1333"/>
      <c r="AG767" s="1333"/>
      <c r="AH767" s="1333"/>
      <c r="AI767" s="1333"/>
      <c r="AJ767" s="1333"/>
    </row>
    <row r="768" spans="1:36" x14ac:dyDescent="0.25">
      <c r="A768" s="1331"/>
      <c r="B768" s="1284"/>
      <c r="C768" s="1284"/>
      <c r="D768" s="1364"/>
      <c r="E768" s="1364"/>
      <c r="F768" s="1364"/>
      <c r="G768" s="1365"/>
      <c r="H768" s="1333"/>
      <c r="I768" s="1333"/>
      <c r="J768" s="1333"/>
      <c r="K768" s="1333"/>
      <c r="L768" s="1333"/>
      <c r="M768" s="1333"/>
      <c r="N768" s="1333"/>
      <c r="O768" s="1333"/>
      <c r="P768" s="1333"/>
      <c r="Q768" s="1333"/>
      <c r="R768" s="1333"/>
      <c r="S768" s="1449"/>
      <c r="T768" s="1333"/>
      <c r="U768" s="1333"/>
      <c r="V768" s="1333"/>
      <c r="W768" s="1333"/>
      <c r="X768" s="1333"/>
      <c r="Y768" s="1333"/>
      <c r="Z768" s="1333"/>
      <c r="AA768" s="1333"/>
      <c r="AB768" s="1333"/>
      <c r="AC768" s="1333"/>
      <c r="AD768" s="1333"/>
      <c r="AE768" s="1333"/>
      <c r="AF768" s="1333"/>
      <c r="AG768" s="1333"/>
      <c r="AH768" s="1333"/>
      <c r="AI768" s="1333"/>
      <c r="AJ768" s="1333"/>
    </row>
    <row r="769" spans="1:36" x14ac:dyDescent="0.25">
      <c r="A769" s="1331"/>
      <c r="B769" s="1284"/>
      <c r="C769" s="1284"/>
      <c r="D769" s="1364"/>
      <c r="E769" s="1364"/>
      <c r="F769" s="1364"/>
      <c r="G769" s="1365"/>
      <c r="H769" s="1333"/>
      <c r="I769" s="1333"/>
      <c r="J769" s="1333"/>
      <c r="K769" s="1333"/>
      <c r="L769" s="1333"/>
      <c r="M769" s="1333"/>
      <c r="N769" s="1333"/>
      <c r="O769" s="1333"/>
      <c r="P769" s="1333"/>
      <c r="Q769" s="1333"/>
      <c r="R769" s="1333"/>
      <c r="S769" s="1449"/>
      <c r="T769" s="1333"/>
      <c r="U769" s="1333"/>
      <c r="V769" s="1333"/>
      <c r="W769" s="1333"/>
      <c r="X769" s="1333"/>
      <c r="Y769" s="1333"/>
      <c r="Z769" s="1333"/>
      <c r="AA769" s="1333"/>
      <c r="AB769" s="1333"/>
      <c r="AC769" s="1333"/>
      <c r="AD769" s="1333"/>
      <c r="AE769" s="1333"/>
      <c r="AF769" s="1333"/>
      <c r="AG769" s="1333"/>
      <c r="AH769" s="1333"/>
      <c r="AI769" s="1333"/>
      <c r="AJ769" s="1333"/>
    </row>
    <row r="770" spans="1:36" x14ac:dyDescent="0.25">
      <c r="A770" s="1331"/>
      <c r="B770" s="1284"/>
      <c r="C770" s="1284"/>
      <c r="D770" s="1364"/>
      <c r="E770" s="1364"/>
      <c r="F770" s="1364"/>
      <c r="G770" s="1365"/>
      <c r="H770" s="1333"/>
      <c r="I770" s="1333"/>
      <c r="J770" s="1333"/>
      <c r="K770" s="1333"/>
      <c r="L770" s="1333"/>
      <c r="M770" s="1333"/>
      <c r="N770" s="1333"/>
      <c r="O770" s="1333"/>
      <c r="P770" s="1333"/>
      <c r="Q770" s="1333"/>
      <c r="R770" s="1333"/>
      <c r="S770" s="1449"/>
      <c r="T770" s="1333"/>
      <c r="U770" s="1333"/>
      <c r="V770" s="1333"/>
      <c r="W770" s="1333"/>
      <c r="X770" s="1333"/>
      <c r="Y770" s="1333"/>
      <c r="Z770" s="1333"/>
      <c r="AA770" s="1333"/>
      <c r="AB770" s="1333"/>
      <c r="AC770" s="1333"/>
      <c r="AD770" s="1333"/>
      <c r="AE770" s="1333"/>
      <c r="AF770" s="1333"/>
      <c r="AG770" s="1333"/>
      <c r="AH770" s="1333"/>
      <c r="AI770" s="1333"/>
      <c r="AJ770" s="1333"/>
    </row>
    <row r="771" spans="1:36" x14ac:dyDescent="0.25">
      <c r="A771" s="1331"/>
      <c r="B771" s="1284"/>
      <c r="C771" s="1284"/>
      <c r="D771" s="1364"/>
      <c r="E771" s="1364"/>
      <c r="F771" s="1364"/>
      <c r="G771" s="1365"/>
      <c r="H771" s="1333"/>
      <c r="I771" s="1333"/>
      <c r="J771" s="1333"/>
      <c r="K771" s="1333"/>
      <c r="L771" s="1333"/>
      <c r="M771" s="1333"/>
      <c r="N771" s="1333"/>
      <c r="O771" s="1333"/>
      <c r="P771" s="1333"/>
      <c r="Q771" s="1333"/>
      <c r="R771" s="1333"/>
      <c r="S771" s="1449"/>
      <c r="T771" s="1333"/>
      <c r="U771" s="1333"/>
      <c r="V771" s="1333"/>
      <c r="W771" s="1333"/>
      <c r="X771" s="1333"/>
      <c r="Y771" s="1333"/>
      <c r="Z771" s="1333"/>
      <c r="AA771" s="1333"/>
      <c r="AB771" s="1333"/>
      <c r="AC771" s="1333"/>
      <c r="AD771" s="1333"/>
      <c r="AE771" s="1333"/>
      <c r="AF771" s="1333"/>
      <c r="AG771" s="1333"/>
      <c r="AH771" s="1333"/>
      <c r="AI771" s="1333"/>
      <c r="AJ771" s="1333"/>
    </row>
    <row r="772" spans="1:36" x14ac:dyDescent="0.25">
      <c r="A772" s="1331"/>
      <c r="B772" s="1284"/>
      <c r="C772" s="1284"/>
      <c r="D772" s="1364"/>
      <c r="E772" s="1364"/>
      <c r="F772" s="1364"/>
      <c r="G772" s="1365"/>
      <c r="H772" s="1333"/>
      <c r="I772" s="1333"/>
      <c r="J772" s="1333"/>
      <c r="K772" s="1333"/>
      <c r="L772" s="1333"/>
      <c r="M772" s="1333"/>
      <c r="N772" s="1333"/>
      <c r="O772" s="1333"/>
      <c r="P772" s="1333"/>
      <c r="Q772" s="1333"/>
      <c r="R772" s="1333"/>
      <c r="S772" s="1449"/>
      <c r="T772" s="1333"/>
      <c r="U772" s="1333"/>
      <c r="V772" s="1333"/>
      <c r="W772" s="1333"/>
      <c r="X772" s="1333"/>
      <c r="Y772" s="1333"/>
      <c r="Z772" s="1333"/>
      <c r="AA772" s="1333"/>
      <c r="AB772" s="1333"/>
      <c r="AC772" s="1333"/>
      <c r="AD772" s="1333"/>
      <c r="AE772" s="1333"/>
      <c r="AF772" s="1333"/>
      <c r="AG772" s="1333"/>
      <c r="AH772" s="1333"/>
      <c r="AI772" s="1333"/>
      <c r="AJ772" s="1333"/>
    </row>
    <row r="773" spans="1:36" x14ac:dyDescent="0.25">
      <c r="A773" s="1331"/>
      <c r="B773" s="1284"/>
      <c r="C773" s="1284"/>
      <c r="D773" s="1364"/>
      <c r="E773" s="1364"/>
      <c r="F773" s="1364"/>
      <c r="G773" s="1365"/>
      <c r="H773" s="1333"/>
      <c r="I773" s="1333"/>
      <c r="J773" s="1333"/>
      <c r="K773" s="1333"/>
      <c r="L773" s="1333"/>
      <c r="M773" s="1333"/>
      <c r="N773" s="1333"/>
      <c r="O773" s="1333"/>
      <c r="P773" s="1333"/>
      <c r="Q773" s="1333"/>
      <c r="R773" s="1333"/>
      <c r="S773" s="1449"/>
      <c r="T773" s="1333"/>
      <c r="U773" s="1333"/>
      <c r="V773" s="1333"/>
      <c r="W773" s="1333"/>
      <c r="X773" s="1333"/>
      <c r="Y773" s="1333"/>
      <c r="Z773" s="1333"/>
      <c r="AA773" s="1333"/>
      <c r="AB773" s="1333"/>
      <c r="AC773" s="1333"/>
      <c r="AD773" s="1333"/>
      <c r="AE773" s="1333"/>
      <c r="AF773" s="1333"/>
      <c r="AG773" s="1333"/>
      <c r="AH773" s="1333"/>
      <c r="AI773" s="1333"/>
      <c r="AJ773" s="1333"/>
    </row>
    <row r="774" spans="1:36" x14ac:dyDescent="0.25">
      <c r="A774" s="1331"/>
      <c r="B774" s="1284"/>
      <c r="C774" s="1284"/>
      <c r="D774" s="1364"/>
      <c r="E774" s="1364"/>
      <c r="F774" s="1364"/>
      <c r="G774" s="1365"/>
      <c r="H774" s="1333"/>
      <c r="I774" s="1333"/>
      <c r="J774" s="1333"/>
      <c r="K774" s="1333"/>
      <c r="L774" s="1333"/>
      <c r="M774" s="1333"/>
      <c r="N774" s="1333"/>
      <c r="O774" s="1333"/>
      <c r="P774" s="1333"/>
      <c r="Q774" s="1333"/>
      <c r="R774" s="1333"/>
      <c r="S774" s="1449"/>
      <c r="T774" s="1333"/>
      <c r="U774" s="1333"/>
      <c r="V774" s="1333"/>
      <c r="W774" s="1333"/>
      <c r="X774" s="1333"/>
      <c r="Y774" s="1333"/>
      <c r="Z774" s="1333"/>
      <c r="AA774" s="1333"/>
      <c r="AB774" s="1333"/>
      <c r="AC774" s="1333"/>
      <c r="AD774" s="1333"/>
      <c r="AE774" s="1333"/>
      <c r="AF774" s="1333"/>
      <c r="AG774" s="1333"/>
      <c r="AH774" s="1333"/>
      <c r="AI774" s="1333"/>
      <c r="AJ774" s="1333"/>
    </row>
    <row r="775" spans="1:36" x14ac:dyDescent="0.25">
      <c r="A775" s="1331"/>
      <c r="B775" s="1284"/>
      <c r="C775" s="1284"/>
      <c r="D775" s="1364"/>
      <c r="E775" s="1364"/>
      <c r="F775" s="1364"/>
      <c r="G775" s="1365"/>
      <c r="H775" s="1333"/>
      <c r="I775" s="1333"/>
      <c r="J775" s="1333"/>
      <c r="K775" s="1333"/>
      <c r="L775" s="1333"/>
      <c r="M775" s="1333"/>
      <c r="N775" s="1333"/>
      <c r="O775" s="1333"/>
      <c r="P775" s="1333"/>
      <c r="Q775" s="1333"/>
      <c r="R775" s="1333"/>
      <c r="S775" s="1449"/>
      <c r="T775" s="1333"/>
      <c r="U775" s="1333"/>
      <c r="V775" s="1333"/>
      <c r="W775" s="1333"/>
      <c r="X775" s="1333"/>
      <c r="Y775" s="1333"/>
      <c r="Z775" s="1333"/>
      <c r="AA775" s="1333"/>
      <c r="AB775" s="1333"/>
      <c r="AC775" s="1333"/>
      <c r="AD775" s="1333"/>
      <c r="AE775" s="1333"/>
      <c r="AF775" s="1333"/>
      <c r="AG775" s="1333"/>
      <c r="AH775" s="1333"/>
      <c r="AI775" s="1333"/>
      <c r="AJ775" s="1333"/>
    </row>
    <row r="776" spans="1:36" x14ac:dyDescent="0.25">
      <c r="A776" s="1331"/>
      <c r="B776" s="1284"/>
      <c r="C776" s="1284"/>
      <c r="D776" s="1364"/>
      <c r="E776" s="1364"/>
      <c r="F776" s="1364"/>
      <c r="G776" s="1365"/>
      <c r="H776" s="1333"/>
      <c r="I776" s="1333"/>
      <c r="J776" s="1333"/>
      <c r="K776" s="1333"/>
      <c r="L776" s="1333"/>
      <c r="M776" s="1333"/>
      <c r="N776" s="1333"/>
      <c r="O776" s="1333"/>
      <c r="P776" s="1333"/>
      <c r="Q776" s="1333"/>
      <c r="R776" s="1333"/>
      <c r="S776" s="1449"/>
      <c r="T776" s="1333"/>
      <c r="U776" s="1333"/>
      <c r="V776" s="1333"/>
      <c r="W776" s="1333"/>
      <c r="X776" s="1333"/>
      <c r="Y776" s="1333"/>
      <c r="Z776" s="1333"/>
      <c r="AA776" s="1333"/>
      <c r="AB776" s="1333"/>
      <c r="AC776" s="1333"/>
      <c r="AD776" s="1333"/>
      <c r="AE776" s="1333"/>
      <c r="AF776" s="1333"/>
      <c r="AG776" s="1333"/>
      <c r="AH776" s="1333"/>
      <c r="AI776" s="1333"/>
      <c r="AJ776" s="1333"/>
    </row>
    <row r="777" spans="1:36" x14ac:dyDescent="0.25">
      <c r="A777" s="1331"/>
      <c r="B777" s="1284"/>
      <c r="C777" s="1284"/>
      <c r="D777" s="1364"/>
      <c r="E777" s="1364"/>
      <c r="F777" s="1364"/>
      <c r="G777" s="1365"/>
      <c r="H777" s="1333"/>
      <c r="I777" s="1333"/>
      <c r="J777" s="1333"/>
      <c r="K777" s="1333"/>
      <c r="L777" s="1333"/>
      <c r="M777" s="1333"/>
      <c r="N777" s="1333"/>
      <c r="O777" s="1333"/>
      <c r="P777" s="1333"/>
      <c r="Q777" s="1333"/>
      <c r="R777" s="1333"/>
      <c r="S777" s="1449"/>
      <c r="T777" s="1333"/>
      <c r="U777" s="1333"/>
      <c r="V777" s="1333"/>
      <c r="W777" s="1333"/>
      <c r="X777" s="1333"/>
      <c r="Y777" s="1333"/>
      <c r="Z777" s="1333"/>
      <c r="AA777" s="1333"/>
      <c r="AB777" s="1333"/>
      <c r="AC777" s="1333"/>
      <c r="AD777" s="1333"/>
      <c r="AE777" s="1333"/>
      <c r="AF777" s="1333"/>
      <c r="AG777" s="1333"/>
      <c r="AH777" s="1333"/>
      <c r="AI777" s="1333"/>
      <c r="AJ777" s="1333"/>
    </row>
    <row r="778" spans="1:36" x14ac:dyDescent="0.25">
      <c r="A778" s="1331"/>
      <c r="B778" s="1284"/>
      <c r="C778" s="1284"/>
      <c r="D778" s="1364"/>
      <c r="E778" s="1364"/>
      <c r="F778" s="1364"/>
      <c r="G778" s="1365"/>
      <c r="H778" s="1333"/>
      <c r="I778" s="1333"/>
      <c r="J778" s="1333"/>
      <c r="K778" s="1333"/>
      <c r="L778" s="1333"/>
      <c r="M778" s="1333"/>
      <c r="N778" s="1333"/>
      <c r="O778" s="1333"/>
      <c r="P778" s="1333"/>
      <c r="Q778" s="1333"/>
      <c r="R778" s="1333"/>
      <c r="S778" s="1449"/>
      <c r="T778" s="1333"/>
      <c r="U778" s="1333"/>
      <c r="V778" s="1333"/>
      <c r="W778" s="1333"/>
      <c r="X778" s="1333"/>
      <c r="Y778" s="1333"/>
      <c r="Z778" s="1333"/>
      <c r="AA778" s="1333"/>
      <c r="AB778" s="1333"/>
      <c r="AC778" s="1333"/>
      <c r="AD778" s="1333"/>
      <c r="AE778" s="1333"/>
      <c r="AF778" s="1333"/>
      <c r="AG778" s="1333"/>
      <c r="AH778" s="1333"/>
      <c r="AI778" s="1333"/>
      <c r="AJ778" s="1333"/>
    </row>
    <row r="779" spans="1:36" x14ac:dyDescent="0.25">
      <c r="A779" s="1331"/>
      <c r="B779" s="1284"/>
      <c r="C779" s="1284"/>
      <c r="D779" s="1364"/>
      <c r="E779" s="1364"/>
      <c r="F779" s="1364"/>
      <c r="G779" s="1365"/>
      <c r="H779" s="1333"/>
      <c r="I779" s="1333"/>
      <c r="J779" s="1333"/>
      <c r="K779" s="1333"/>
      <c r="L779" s="1333"/>
      <c r="M779" s="1333"/>
      <c r="N779" s="1333"/>
      <c r="O779" s="1333"/>
      <c r="P779" s="1333"/>
      <c r="Q779" s="1333"/>
      <c r="R779" s="1333"/>
      <c r="S779" s="1449"/>
      <c r="T779" s="1333"/>
      <c r="U779" s="1333"/>
      <c r="V779" s="1333"/>
      <c r="W779" s="1333"/>
      <c r="X779" s="1333"/>
      <c r="Y779" s="1333"/>
      <c r="Z779" s="1333"/>
      <c r="AA779" s="1333"/>
      <c r="AB779" s="1333"/>
      <c r="AC779" s="1333"/>
      <c r="AD779" s="1333"/>
      <c r="AE779" s="1333"/>
      <c r="AF779" s="1333"/>
      <c r="AG779" s="1333"/>
      <c r="AH779" s="1333"/>
      <c r="AI779" s="1333"/>
      <c r="AJ779" s="1333"/>
    </row>
    <row r="780" spans="1:36" x14ac:dyDescent="0.25">
      <c r="A780" s="1331"/>
      <c r="B780" s="1284"/>
      <c r="C780" s="1284"/>
      <c r="D780" s="1364"/>
      <c r="E780" s="1364"/>
      <c r="F780" s="1364"/>
      <c r="G780" s="1365"/>
      <c r="H780" s="1333"/>
      <c r="I780" s="1333"/>
      <c r="J780" s="1333"/>
      <c r="K780" s="1333"/>
      <c r="L780" s="1333"/>
      <c r="M780" s="1333"/>
      <c r="N780" s="1333"/>
      <c r="O780" s="1333"/>
      <c r="P780" s="1333"/>
      <c r="Q780" s="1333"/>
      <c r="R780" s="1333"/>
      <c r="S780" s="1449"/>
      <c r="T780" s="1333"/>
      <c r="U780" s="1333"/>
      <c r="V780" s="1333"/>
      <c r="W780" s="1333"/>
      <c r="X780" s="1333"/>
      <c r="Y780" s="1333"/>
      <c r="Z780" s="1333"/>
      <c r="AA780" s="1333"/>
      <c r="AB780" s="1333"/>
      <c r="AC780" s="1333"/>
      <c r="AD780" s="1333"/>
      <c r="AE780" s="1333"/>
      <c r="AF780" s="1333"/>
      <c r="AG780" s="1333"/>
      <c r="AH780" s="1333"/>
      <c r="AI780" s="1333"/>
      <c r="AJ780" s="1333"/>
    </row>
    <row r="781" spans="1:36" x14ac:dyDescent="0.25">
      <c r="A781" s="1331"/>
      <c r="B781" s="1284"/>
      <c r="C781" s="1284"/>
      <c r="D781" s="1364"/>
      <c r="E781" s="1364"/>
      <c r="F781" s="1364"/>
      <c r="G781" s="1365"/>
      <c r="H781" s="1333"/>
      <c r="I781" s="1333"/>
      <c r="J781" s="1333"/>
      <c r="K781" s="1333"/>
      <c r="L781" s="1333"/>
      <c r="M781" s="1333"/>
      <c r="N781" s="1333"/>
      <c r="O781" s="1333"/>
      <c r="P781" s="1333"/>
      <c r="Q781" s="1333"/>
      <c r="R781" s="1333"/>
      <c r="S781" s="1449"/>
      <c r="T781" s="1333"/>
      <c r="U781" s="1333"/>
      <c r="V781" s="1333"/>
      <c r="W781" s="1333"/>
      <c r="X781" s="1333"/>
      <c r="Y781" s="1333"/>
      <c r="Z781" s="1333"/>
      <c r="AA781" s="1333"/>
      <c r="AB781" s="1333"/>
      <c r="AC781" s="1333"/>
      <c r="AD781" s="1333"/>
      <c r="AE781" s="1333"/>
      <c r="AF781" s="1333"/>
      <c r="AG781" s="1333"/>
      <c r="AH781" s="1333"/>
      <c r="AI781" s="1333"/>
      <c r="AJ781" s="1333"/>
    </row>
    <row r="782" spans="1:36" x14ac:dyDescent="0.25">
      <c r="A782" s="1331"/>
      <c r="B782" s="1284"/>
      <c r="C782" s="1284"/>
      <c r="D782" s="1364"/>
      <c r="E782" s="1364"/>
      <c r="F782" s="1364"/>
      <c r="G782" s="1365"/>
      <c r="H782" s="1333"/>
      <c r="I782" s="1333"/>
      <c r="J782" s="1333"/>
      <c r="K782" s="1333"/>
      <c r="L782" s="1333"/>
      <c r="M782" s="1333"/>
      <c r="N782" s="1333"/>
      <c r="O782" s="1333"/>
      <c r="P782" s="1333"/>
      <c r="Q782" s="1333"/>
      <c r="R782" s="1333"/>
      <c r="S782" s="1449"/>
      <c r="T782" s="1333"/>
      <c r="U782" s="1333"/>
      <c r="V782" s="1333"/>
      <c r="W782" s="1333"/>
      <c r="X782" s="1333"/>
      <c r="Y782" s="1333"/>
      <c r="Z782" s="1333"/>
      <c r="AA782" s="1333"/>
      <c r="AB782" s="1333"/>
      <c r="AC782" s="1333"/>
      <c r="AD782" s="1333"/>
      <c r="AE782" s="1333"/>
      <c r="AF782" s="1333"/>
      <c r="AG782" s="1333"/>
      <c r="AH782" s="1333"/>
      <c r="AI782" s="1333"/>
      <c r="AJ782" s="1333"/>
    </row>
    <row r="783" spans="1:36" x14ac:dyDescent="0.25">
      <c r="A783" s="1331"/>
      <c r="B783" s="1284"/>
      <c r="C783" s="1284"/>
      <c r="D783" s="1364"/>
      <c r="E783" s="1364"/>
      <c r="F783" s="1364"/>
      <c r="G783" s="1365"/>
      <c r="H783" s="1333"/>
      <c r="I783" s="1333"/>
      <c r="J783" s="1333"/>
      <c r="K783" s="1333"/>
      <c r="L783" s="1333"/>
      <c r="M783" s="1333"/>
      <c r="N783" s="1333"/>
      <c r="O783" s="1333"/>
      <c r="P783" s="1333"/>
      <c r="Q783" s="1333"/>
      <c r="R783" s="1333"/>
      <c r="S783" s="1449"/>
      <c r="T783" s="1333"/>
      <c r="U783" s="1333"/>
      <c r="V783" s="1333"/>
      <c r="W783" s="1333"/>
      <c r="X783" s="1333"/>
      <c r="Y783" s="1333"/>
      <c r="Z783" s="1333"/>
      <c r="AA783" s="1333"/>
      <c r="AB783" s="1333"/>
      <c r="AC783" s="1333"/>
      <c r="AD783" s="1333"/>
      <c r="AE783" s="1333"/>
      <c r="AF783" s="1333"/>
      <c r="AG783" s="1333"/>
      <c r="AH783" s="1333"/>
      <c r="AI783" s="1333"/>
      <c r="AJ783" s="1333"/>
    </row>
    <row r="784" spans="1:36" x14ac:dyDescent="0.25">
      <c r="A784" s="1331"/>
      <c r="B784" s="1284"/>
      <c r="C784" s="1284"/>
      <c r="D784" s="1364"/>
      <c r="E784" s="1364"/>
      <c r="F784" s="1364"/>
      <c r="G784" s="1365"/>
      <c r="H784" s="1333"/>
      <c r="I784" s="1333"/>
      <c r="J784" s="1333"/>
      <c r="K784" s="1333"/>
      <c r="L784" s="1333"/>
      <c r="M784" s="1333"/>
      <c r="N784" s="1333"/>
      <c r="O784" s="1333"/>
      <c r="P784" s="1333"/>
      <c r="Q784" s="1333"/>
      <c r="R784" s="1333"/>
      <c r="S784" s="1449"/>
      <c r="T784" s="1333"/>
      <c r="U784" s="1333"/>
      <c r="V784" s="1333"/>
      <c r="W784" s="1333"/>
      <c r="X784" s="1333"/>
      <c r="Y784" s="1333"/>
      <c r="Z784" s="1333"/>
      <c r="AA784" s="1333"/>
      <c r="AB784" s="1333"/>
      <c r="AC784" s="1333"/>
      <c r="AD784" s="1333"/>
      <c r="AE784" s="1333"/>
      <c r="AF784" s="1333"/>
      <c r="AG784" s="1333"/>
      <c r="AH784" s="1333"/>
      <c r="AI784" s="1333"/>
      <c r="AJ784" s="1333"/>
    </row>
    <row r="785" spans="1:36" x14ac:dyDescent="0.25">
      <c r="A785" s="1331"/>
      <c r="B785" s="1284"/>
      <c r="C785" s="1284"/>
      <c r="D785" s="1364"/>
      <c r="E785" s="1364"/>
      <c r="F785" s="1364"/>
      <c r="G785" s="1365"/>
      <c r="H785" s="1333"/>
      <c r="I785" s="1333"/>
      <c r="J785" s="1333"/>
      <c r="K785" s="1333"/>
      <c r="L785" s="1333"/>
      <c r="M785" s="1333"/>
      <c r="N785" s="1333"/>
      <c r="O785" s="1333"/>
      <c r="P785" s="1333"/>
      <c r="Q785" s="1333"/>
      <c r="R785" s="1333"/>
      <c r="S785" s="1449"/>
      <c r="T785" s="1333"/>
      <c r="U785" s="1333"/>
      <c r="V785" s="1333"/>
      <c r="W785" s="1333"/>
      <c r="X785" s="1333"/>
      <c r="Y785" s="1333"/>
      <c r="Z785" s="1333"/>
      <c r="AA785" s="1333"/>
      <c r="AB785" s="1333"/>
      <c r="AC785" s="1333"/>
      <c r="AD785" s="1333"/>
      <c r="AE785" s="1333"/>
      <c r="AF785" s="1333"/>
      <c r="AG785" s="1333"/>
      <c r="AH785" s="1333"/>
      <c r="AI785" s="1333"/>
      <c r="AJ785" s="1333"/>
    </row>
    <row r="786" spans="1:36" x14ac:dyDescent="0.25">
      <c r="A786" s="1331"/>
      <c r="B786" s="1284"/>
      <c r="C786" s="1284"/>
      <c r="D786" s="1364"/>
      <c r="E786" s="1364"/>
      <c r="F786" s="1364"/>
      <c r="G786" s="1365"/>
      <c r="H786" s="1333"/>
      <c r="I786" s="1333"/>
      <c r="J786" s="1333"/>
      <c r="K786" s="1333"/>
      <c r="L786" s="1333"/>
      <c r="M786" s="1333"/>
      <c r="N786" s="1333"/>
      <c r="O786" s="1333"/>
      <c r="P786" s="1333"/>
      <c r="Q786" s="1333"/>
      <c r="R786" s="1333"/>
      <c r="S786" s="1449"/>
      <c r="T786" s="1333"/>
      <c r="U786" s="1333"/>
      <c r="V786" s="1333"/>
      <c r="W786" s="1333"/>
      <c r="X786" s="1333"/>
      <c r="Y786" s="1333"/>
      <c r="Z786" s="1333"/>
      <c r="AA786" s="1333"/>
      <c r="AB786" s="1333"/>
      <c r="AC786" s="1333"/>
      <c r="AD786" s="1333"/>
      <c r="AE786" s="1333"/>
      <c r="AF786" s="1333"/>
      <c r="AG786" s="1333"/>
      <c r="AH786" s="1333"/>
      <c r="AI786" s="1333"/>
      <c r="AJ786" s="1333"/>
    </row>
    <row r="787" spans="1:36" x14ac:dyDescent="0.25">
      <c r="A787" s="1331"/>
      <c r="B787" s="1284"/>
      <c r="C787" s="1284"/>
      <c r="D787" s="1364"/>
      <c r="E787" s="1364"/>
      <c r="F787" s="1364"/>
      <c r="G787" s="1365"/>
      <c r="H787" s="1333"/>
      <c r="I787" s="1333"/>
      <c r="J787" s="1333"/>
      <c r="K787" s="1333"/>
      <c r="L787" s="1333"/>
      <c r="M787" s="1333"/>
      <c r="N787" s="1333"/>
      <c r="O787" s="1333"/>
      <c r="P787" s="1333"/>
      <c r="Q787" s="1333"/>
      <c r="R787" s="1333"/>
      <c r="S787" s="1449"/>
      <c r="T787" s="1333"/>
      <c r="U787" s="1333"/>
      <c r="V787" s="1333"/>
      <c r="W787" s="1333"/>
      <c r="X787" s="1333"/>
      <c r="Y787" s="1333"/>
      <c r="Z787" s="1333"/>
      <c r="AA787" s="1333"/>
      <c r="AB787" s="1333"/>
      <c r="AC787" s="1333"/>
      <c r="AD787" s="1333"/>
      <c r="AE787" s="1333"/>
      <c r="AF787" s="1333"/>
      <c r="AG787" s="1333"/>
      <c r="AH787" s="1333"/>
      <c r="AI787" s="1333"/>
      <c r="AJ787" s="1333"/>
    </row>
  </sheetData>
  <sheetProtection formatColumns="0" formatRows="0" selectLockedCells="1"/>
  <mergeCells count="45">
    <mergeCell ref="A457:A469"/>
    <mergeCell ref="A555:A564"/>
    <mergeCell ref="C582:E582"/>
    <mergeCell ref="A527:A554"/>
    <mergeCell ref="A15:A23"/>
    <mergeCell ref="C15:H15"/>
    <mergeCell ref="C16:H16"/>
    <mergeCell ref="C18:H18"/>
    <mergeCell ref="D23:F23"/>
    <mergeCell ref="G23:H23"/>
    <mergeCell ref="C19:H19"/>
    <mergeCell ref="C21:D21"/>
    <mergeCell ref="F21:G21"/>
    <mergeCell ref="C22:D22"/>
    <mergeCell ref="F22:G22"/>
    <mergeCell ref="C604:E604"/>
    <mergeCell ref="A470:A524"/>
    <mergeCell ref="F3:H3"/>
    <mergeCell ref="C594:E594"/>
    <mergeCell ref="K15:K23"/>
    <mergeCell ref="C573:E573"/>
    <mergeCell ref="C574:E574"/>
    <mergeCell ref="C580:E580"/>
    <mergeCell ref="C576:E576"/>
    <mergeCell ref="C585:E585"/>
    <mergeCell ref="C591:E591"/>
    <mergeCell ref="C592:E592"/>
    <mergeCell ref="C589:E589"/>
    <mergeCell ref="C587:E587"/>
    <mergeCell ref="C584:E584"/>
    <mergeCell ref="C602:E602"/>
    <mergeCell ref="C605:E605"/>
    <mergeCell ref="C606:E606"/>
    <mergeCell ref="C607:E607"/>
    <mergeCell ref="C608:E608"/>
    <mergeCell ref="C609:E609"/>
    <mergeCell ref="C615:E615"/>
    <mergeCell ref="C616:E616"/>
    <mergeCell ref="C617:E617"/>
    <mergeCell ref="C618:E618"/>
    <mergeCell ref="C610:E610"/>
    <mergeCell ref="C611:E611"/>
    <mergeCell ref="C612:E612"/>
    <mergeCell ref="C613:E613"/>
    <mergeCell ref="C614:E614"/>
  </mergeCells>
  <conditionalFormatting sqref="E37:I37">
    <cfRule type="expression" dxfId="379" priority="471">
      <formula>$D$37="N"</formula>
    </cfRule>
  </conditionalFormatting>
  <conditionalFormatting sqref="E32:I32">
    <cfRule type="expression" dxfId="378" priority="469">
      <formula>$D$32="N"</formula>
    </cfRule>
  </conditionalFormatting>
  <conditionalFormatting sqref="D4">
    <cfRule type="cellIs" dxfId="377" priority="895" operator="equal">
      <formula>"?"</formula>
    </cfRule>
    <cfRule type="cellIs" dxfId="376" priority="896" operator="equal">
      <formula>"Y"</formula>
    </cfRule>
  </conditionalFormatting>
  <conditionalFormatting sqref="E5">
    <cfRule type="cellIs" dxfId="375" priority="893" operator="equal">
      <formula>"?"</formula>
    </cfRule>
    <cfRule type="cellIs" dxfId="374" priority="894" operator="equal">
      <formula>"Y"</formula>
    </cfRule>
  </conditionalFormatting>
  <conditionalFormatting sqref="F6">
    <cfRule type="cellIs" dxfId="373" priority="891" operator="equal">
      <formula>"?"</formula>
    </cfRule>
    <cfRule type="cellIs" dxfId="372" priority="892" operator="equal">
      <formula>"Y"</formula>
    </cfRule>
  </conditionalFormatting>
  <conditionalFormatting sqref="F218:H230">
    <cfRule type="expression" dxfId="371" priority="487">
      <formula>$E$218="N"</formula>
    </cfRule>
  </conditionalFormatting>
  <conditionalFormatting sqref="F231:H254">
    <cfRule type="expression" dxfId="370" priority="488">
      <formula>$E$231="N"</formula>
    </cfRule>
  </conditionalFormatting>
  <conditionalFormatting sqref="F270:H278">
    <cfRule type="expression" dxfId="369" priority="777">
      <formula>$E$270="N"</formula>
    </cfRule>
  </conditionalFormatting>
  <conditionalFormatting sqref="F289:H298">
    <cfRule type="expression" dxfId="368" priority="779">
      <formula>$E$289="N"</formula>
    </cfRule>
  </conditionalFormatting>
  <conditionalFormatting sqref="F299:H308">
    <cfRule type="expression" dxfId="367" priority="780">
      <formula>$E$299="N"</formula>
    </cfRule>
  </conditionalFormatting>
  <conditionalFormatting sqref="F316:H331">
    <cfRule type="expression" dxfId="366" priority="782">
      <formula>$E$316="N"</formula>
    </cfRule>
  </conditionalFormatting>
  <conditionalFormatting sqref="F340:H349">
    <cfRule type="expression" dxfId="365" priority="784">
      <formula>$E$340="N"</formula>
    </cfRule>
  </conditionalFormatting>
  <conditionalFormatting sqref="F279:H288">
    <cfRule type="expression" dxfId="364" priority="778">
      <formula>$E$279="N"</formula>
    </cfRule>
  </conditionalFormatting>
  <conditionalFormatting sqref="E206:H381">
    <cfRule type="expression" dxfId="363" priority="484">
      <formula>$D$206="N"</formula>
    </cfRule>
  </conditionalFormatting>
  <conditionalFormatting sqref="E168:I168">
    <cfRule type="expression" dxfId="362" priority="477">
      <formula>$D$168="N"</formula>
    </cfRule>
  </conditionalFormatting>
  <conditionalFormatting sqref="I4 K4">
    <cfRule type="expression" dxfId="361" priority="877">
      <formula>$C4="N"</formula>
    </cfRule>
  </conditionalFormatting>
  <conditionalFormatting sqref="H5 K5:K6">
    <cfRule type="expression" dxfId="360" priority="876">
      <formula>$C$180="N"</formula>
    </cfRule>
  </conditionalFormatting>
  <conditionalFormatting sqref="H6">
    <cfRule type="expression" dxfId="359" priority="874">
      <formula>$C$180="N"</formula>
    </cfRule>
  </conditionalFormatting>
  <conditionalFormatting sqref="F332:H339">
    <cfRule type="expression" dxfId="358" priority="783">
      <formula>$E$332="N"</formula>
    </cfRule>
  </conditionalFormatting>
  <conditionalFormatting sqref="F350:H357">
    <cfRule type="expression" dxfId="357" priority="785">
      <formula>$E$350="N"</formula>
    </cfRule>
  </conditionalFormatting>
  <conditionalFormatting sqref="F255:H269">
    <cfRule type="expression" dxfId="356" priority="489">
      <formula>$E$255="N"</formula>
    </cfRule>
  </conditionalFormatting>
  <conditionalFormatting sqref="E180:H205">
    <cfRule type="expression" dxfId="355" priority="482">
      <formula>$D$180="N"</formula>
    </cfRule>
  </conditionalFormatting>
  <conditionalFormatting sqref="E27:I27">
    <cfRule type="expression" dxfId="354" priority="466">
      <formula>$D$27="N"</formula>
    </cfRule>
  </conditionalFormatting>
  <conditionalFormatting sqref="E126:H126">
    <cfRule type="expression" dxfId="353" priority="475">
      <formula>$D$126="N"</formula>
    </cfRule>
  </conditionalFormatting>
  <conditionalFormatting sqref="E39:H39">
    <cfRule type="expression" dxfId="352" priority="472">
      <formula>$D$39="N"</formula>
    </cfRule>
  </conditionalFormatting>
  <conditionalFormatting sqref="I269">
    <cfRule type="expression" dxfId="351" priority="862">
      <formula>$E$255="N"</formula>
    </cfRule>
  </conditionalFormatting>
  <conditionalFormatting sqref="I269">
    <cfRule type="expression" dxfId="350" priority="861">
      <formula>$D$206="N"</formula>
    </cfRule>
  </conditionalFormatting>
  <conditionalFormatting sqref="E25:I25">
    <cfRule type="expression" dxfId="349" priority="468">
      <formula>$D$25="N"</formula>
    </cfRule>
  </conditionalFormatting>
  <conditionalFormatting sqref="E180:H180">
    <cfRule type="expression" dxfId="348" priority="481">
      <formula>$D$180="N"</formula>
    </cfRule>
  </conditionalFormatting>
  <conditionalFormatting sqref="E206:H206">
    <cfRule type="expression" dxfId="347" priority="483">
      <formula>$D$206="N"</formula>
    </cfRule>
  </conditionalFormatting>
  <conditionalFormatting sqref="F358:H366">
    <cfRule type="expression" dxfId="346" priority="786">
      <formula>$E$358="N"</formula>
    </cfRule>
  </conditionalFormatting>
  <conditionalFormatting sqref="E385:H440">
    <cfRule type="expression" dxfId="345" priority="792">
      <formula>$D$385="N"</formula>
    </cfRule>
  </conditionalFormatting>
  <conditionalFormatting sqref="E385:H385">
    <cfRule type="expression" dxfId="344" priority="791">
      <formula>$D$385="N"</formula>
    </cfRule>
  </conditionalFormatting>
  <conditionalFormatting sqref="E443:H443">
    <cfRule type="expression" dxfId="343" priority="793">
      <formula>$D$443="N"</formula>
    </cfRule>
  </conditionalFormatting>
  <conditionalFormatting sqref="E39:H125">
    <cfRule type="expression" dxfId="342" priority="473">
      <formula>$D$39="N"</formula>
    </cfRule>
  </conditionalFormatting>
  <conditionalFormatting sqref="E126:H167">
    <cfRule type="expression" dxfId="341" priority="476">
      <formula>$D$126="N"</formula>
    </cfRule>
  </conditionalFormatting>
  <conditionalFormatting sqref="E382:H382">
    <cfRule type="expression" dxfId="340" priority="790">
      <formula>$D$382="N"</formula>
    </cfRule>
  </conditionalFormatting>
  <conditionalFormatting sqref="K624:K633">
    <cfRule type="expression" dxfId="339" priority="837">
      <formula>$D$25="N"</formula>
    </cfRule>
  </conditionalFormatting>
  <conditionalFormatting sqref="E25:H564">
    <cfRule type="expression" dxfId="338" priority="219">
      <formula>$D25="N"</formula>
    </cfRule>
    <cfRule type="expression" dxfId="337" priority="317">
      <formula>$E25="N"</formula>
    </cfRule>
  </conditionalFormatting>
  <conditionalFormatting sqref="E444:H455">
    <cfRule type="expression" dxfId="336" priority="794">
      <formula>$D$443="N"</formula>
    </cfRule>
  </conditionalFormatting>
  <conditionalFormatting sqref="E461:H461">
    <cfRule type="expression" dxfId="335" priority="796">
      <formula>$D$461="N"</formula>
    </cfRule>
  </conditionalFormatting>
  <conditionalFormatting sqref="E463:H463">
    <cfRule type="expression" dxfId="334" priority="798">
      <formula>$D$463="N"</formula>
    </cfRule>
  </conditionalFormatting>
  <conditionalFormatting sqref="E463:H467">
    <cfRule type="expression" dxfId="333" priority="797">
      <formula>$D$463="N"</formula>
    </cfRule>
  </conditionalFormatting>
  <conditionalFormatting sqref="E468:H468">
    <cfRule type="expression" dxfId="332" priority="799">
      <formula>$D$468="N"</formula>
    </cfRule>
  </conditionalFormatting>
  <conditionalFormatting sqref="K456">
    <cfRule type="cellIs" dxfId="331" priority="775" operator="equal">
      <formula>"BID DOES NOT APPLY"</formula>
    </cfRule>
    <cfRule type="cellIs" dxfId="330" priority="776" operator="equal">
      <formula>"NO CONSTRUCTION - BID DOES NOT APPLY"</formula>
    </cfRule>
  </conditionalFormatting>
  <conditionalFormatting sqref="K569:K571">
    <cfRule type="cellIs" dxfId="329" priority="728" operator="equal">
      <formula>"BID DOES NOT APPLY"</formula>
    </cfRule>
    <cfRule type="cellIs" dxfId="328" priority="729" operator="equal">
      <formula>"NO CONSTRUCTION - BID DOES NOT APPLY"</formula>
    </cfRule>
  </conditionalFormatting>
  <conditionalFormatting sqref="I5">
    <cfRule type="expression" dxfId="327" priority="727">
      <formula>$C$180="N"</formula>
    </cfRule>
  </conditionalFormatting>
  <conditionalFormatting sqref="I6">
    <cfRule type="expression" dxfId="326" priority="726">
      <formula>$C$180="N"</formula>
    </cfRule>
  </conditionalFormatting>
  <conditionalFormatting sqref="E174:H179">
    <cfRule type="expression" dxfId="325" priority="480">
      <formula>$D$174="N"</formula>
    </cfRule>
  </conditionalFormatting>
  <conditionalFormatting sqref="E174:H174">
    <cfRule type="expression" dxfId="324" priority="479">
      <formula>$D$174="N"</formula>
    </cfRule>
  </conditionalFormatting>
  <conditionalFormatting sqref="E459:H459">
    <cfRule type="expression" dxfId="323" priority="795">
      <formula>$D$459="N"</formula>
    </cfRule>
  </conditionalFormatting>
  <conditionalFormatting sqref="E472:H472">
    <cfRule type="expression" dxfId="322" priority="838">
      <formula>$D$472="N"</formula>
    </cfRule>
  </conditionalFormatting>
  <conditionalFormatting sqref="E472:H478">
    <cfRule type="expression" dxfId="321" priority="839">
      <formula>$D$472="N"</formula>
    </cfRule>
  </conditionalFormatting>
  <conditionalFormatting sqref="E480:H480">
    <cfRule type="expression" dxfId="320" priority="840">
      <formula>$D$480="N"</formula>
    </cfRule>
  </conditionalFormatting>
  <conditionalFormatting sqref="E485:H485">
    <cfRule type="expression" dxfId="319" priority="842">
      <formula>$D$485="N"</formula>
    </cfRule>
  </conditionalFormatting>
  <conditionalFormatting sqref="E487:H487">
    <cfRule type="expression" dxfId="318" priority="843">
      <formula>$D$487="N"</formula>
    </cfRule>
  </conditionalFormatting>
  <conditionalFormatting sqref="E487:H494">
    <cfRule type="expression" dxfId="317" priority="845">
      <formula>$D$487="N"</formula>
    </cfRule>
  </conditionalFormatting>
  <conditionalFormatting sqref="E495:H501">
    <cfRule type="expression" dxfId="316" priority="851">
      <formula>$D$495="N"</formula>
    </cfRule>
  </conditionalFormatting>
  <conditionalFormatting sqref="E495:H495">
    <cfRule type="expression" dxfId="315" priority="850">
      <formula>$D$495="N"</formula>
    </cfRule>
  </conditionalFormatting>
  <conditionalFormatting sqref="E502:H502">
    <cfRule type="expression" dxfId="314" priority="852">
      <formula>$D$502="N"</formula>
    </cfRule>
  </conditionalFormatting>
  <conditionalFormatting sqref="E502:H518">
    <cfRule type="expression" dxfId="313" priority="853">
      <formula>$D$502="N"</formula>
    </cfRule>
  </conditionalFormatting>
  <conditionalFormatting sqref="E519:H519">
    <cfRule type="expression" dxfId="312" priority="854">
      <formula>$D$519="N"</formula>
    </cfRule>
  </conditionalFormatting>
  <conditionalFormatting sqref="E521:H521">
    <cfRule type="expression" dxfId="311" priority="855">
      <formula>$D$521="N"</formula>
    </cfRule>
  </conditionalFormatting>
  <conditionalFormatting sqref="E523:H523">
    <cfRule type="expression" dxfId="310" priority="856">
      <formula>$D$523="N"</formula>
    </cfRule>
  </conditionalFormatting>
  <conditionalFormatting sqref="E527:H527">
    <cfRule type="expression" dxfId="309" priority="857">
      <formula>$D$527="N"</formula>
    </cfRule>
  </conditionalFormatting>
  <conditionalFormatting sqref="E527:H545">
    <cfRule type="expression" dxfId="308" priority="858">
      <formula>$D$527="N"</formula>
    </cfRule>
  </conditionalFormatting>
  <conditionalFormatting sqref="E546:H546">
    <cfRule type="expression" dxfId="307" priority="859">
      <formula>$D$546="N"</formula>
    </cfRule>
  </conditionalFormatting>
  <conditionalFormatting sqref="E546:H550">
    <cfRule type="expression" dxfId="306" priority="860">
      <formula>$D$546="N"</formula>
    </cfRule>
  </conditionalFormatting>
  <conditionalFormatting sqref="E551:H551">
    <cfRule type="expression" dxfId="305" priority="863">
      <formula>$D$551="N"</formula>
    </cfRule>
  </conditionalFormatting>
  <conditionalFormatting sqref="E557:H557">
    <cfRule type="expression" dxfId="304" priority="868">
      <formula>$D$557="N"</formula>
    </cfRule>
  </conditionalFormatting>
  <conditionalFormatting sqref="E559:H559">
    <cfRule type="expression" dxfId="303" priority="869">
      <formula>$D$559="N"</formula>
    </cfRule>
  </conditionalFormatting>
  <conditionalFormatting sqref="E561:H561">
    <cfRule type="expression" dxfId="302" priority="1711">
      <formula>$D$561="N"</formula>
    </cfRule>
  </conditionalFormatting>
  <conditionalFormatting sqref="E563:H563">
    <cfRule type="expression" dxfId="301" priority="1802">
      <formula>$D$563="N"</formula>
    </cfRule>
  </conditionalFormatting>
  <conditionalFormatting sqref="S459">
    <cfRule type="expression" dxfId="300" priority="462">
      <formula>$D459="Y"</formula>
    </cfRule>
  </conditionalFormatting>
  <conditionalFormatting sqref="L525">
    <cfRule type="cellIs" dxfId="299" priority="438" operator="equal">
      <formula>"&lt;----(NOT AT THIS PHASE) Use DROP DOWN to chose it Deliverable/Master Item Applies"</formula>
    </cfRule>
  </conditionalFormatting>
  <conditionalFormatting sqref="K25 K355:K357 K363:K367 K340 K109:K110 K237:K255 K227 K224 K112:K114 K116:K117 K119:K120 K122:K133 K370:K456 K145:K168 K229:K231 K182:K210">
    <cfRule type="cellIs" dxfId="298" priority="432" operator="equal">
      <formula>"no 95% match"</formula>
    </cfRule>
  </conditionalFormatting>
  <conditionalFormatting sqref="A316:A319 A25:A59 A61:A65 A67:A82 A84:A90 A92:A95 A97:A100 A102:A110 A112:A114 A116:A117 A119:A120 A122:A133 A222:A227 A235 A237:A257 A260:A273 A275:A282 A284:A292 A294:A302 A304:A308 A321:A334 A337:A342 A345:A352 A355:A360 A363:A367 A370:A456 A229:A233 A135:A220">
    <cfRule type="expression" dxfId="297" priority="431">
      <formula>$K25="no 95% match"</formula>
    </cfRule>
  </conditionalFormatting>
  <conditionalFormatting sqref="C16">
    <cfRule type="cellIs" dxfId="296" priority="318" operator="equal">
      <formula>"CLOSE OUT DOES NOT APPLY"</formula>
    </cfRule>
    <cfRule type="cellIs" dxfId="295" priority="351" operator="equal">
      <formula>"NO CONSTRUCTION - CLOSE OUT DOES NOT APPLY"</formula>
    </cfRule>
  </conditionalFormatting>
  <conditionalFormatting sqref="G25:H564">
    <cfRule type="expression" dxfId="294" priority="464">
      <formula>$F25="N"</formula>
    </cfRule>
  </conditionalFormatting>
  <conditionalFormatting sqref="F367:H380">
    <cfRule type="expression" dxfId="293" priority="787">
      <formula>$E$367="N"</formula>
    </cfRule>
  </conditionalFormatting>
  <conditionalFormatting sqref="G372:H380">
    <cfRule type="expression" dxfId="292" priority="788">
      <formula>$F$372="N"</formula>
    </cfRule>
  </conditionalFormatting>
  <conditionalFormatting sqref="E480:H484">
    <cfRule type="expression" dxfId="291" priority="841">
      <formula>$D$480="N"</formula>
    </cfRule>
  </conditionalFormatting>
  <conditionalFormatting sqref="L525">
    <cfRule type="containsText" dxfId="290" priority="352" operator="containsText" text="HIDE">
      <formula>NOT(ISERROR(SEARCH("HIDE",L525)))</formula>
    </cfRule>
  </conditionalFormatting>
  <conditionalFormatting sqref="K26:K27 K223 K260:K270 K273 K282 K292 K302 K319 K337:K339 K345:K348 K350 K173:K181 K218 K135:K144 K316 K358 K61:K65 K67:K82 K84:K90 K92:K95 K97:K100 K102:K108 K275:K279 K284:K289 K294:K299 K304:K308 K321:K332 K36:K59 K31:K32">
    <cfRule type="cellIs" dxfId="289" priority="320" operator="equal">
      <formula>"no 95% match"</formula>
    </cfRule>
  </conditionalFormatting>
  <conditionalFormatting sqref="F56:H125">
    <cfRule type="expression" dxfId="288" priority="474">
      <formula>$E$56="N"</formula>
    </cfRule>
  </conditionalFormatting>
  <conditionalFormatting sqref="E553:H553">
    <cfRule type="expression" dxfId="287" priority="864">
      <formula>$D$553="N"</formula>
    </cfRule>
  </conditionalFormatting>
  <conditionalFormatting sqref="L572:L573">
    <cfRule type="expression" dxfId="286" priority="306">
      <formula>$K572="no 95% match"</formula>
    </cfRule>
  </conditionalFormatting>
  <conditionalFormatting sqref="L572:L573">
    <cfRule type="containsText" dxfId="285" priority="302" operator="containsText" text="HIDE">
      <formula>NOT(ISERROR(SEARCH("HIDE",L572)))</formula>
    </cfRule>
  </conditionalFormatting>
  <conditionalFormatting sqref="K572:K573">
    <cfRule type="cellIs" dxfId="284" priority="301" operator="equal">
      <formula>"no 95% match"</formula>
    </cfRule>
  </conditionalFormatting>
  <conditionalFormatting sqref="K222">
    <cfRule type="cellIs" dxfId="283" priority="295" operator="equal">
      <formula>"no 95% match"</formula>
    </cfRule>
  </conditionalFormatting>
  <conditionalFormatting sqref="K225:K226">
    <cfRule type="cellIs" dxfId="282" priority="291" operator="equal">
      <formula>"no 95% match"</formula>
    </cfRule>
  </conditionalFormatting>
  <conditionalFormatting sqref="K219:K220">
    <cfRule type="cellIs" dxfId="281" priority="287" operator="equal">
      <formula>"no 95% match"</formula>
    </cfRule>
  </conditionalFormatting>
  <conditionalFormatting sqref="K232:K233">
    <cfRule type="cellIs" dxfId="280" priority="283" operator="equal">
      <formula>"no 95% match"</formula>
    </cfRule>
  </conditionalFormatting>
  <conditionalFormatting sqref="K256:K257">
    <cfRule type="cellIs" dxfId="279" priority="279" operator="equal">
      <formula>"no 95% match"</formula>
    </cfRule>
  </conditionalFormatting>
  <conditionalFormatting sqref="K271:K272">
    <cfRule type="cellIs" dxfId="278" priority="275" operator="equal">
      <formula>"no 95% match"</formula>
    </cfRule>
  </conditionalFormatting>
  <conditionalFormatting sqref="K280:K281">
    <cfRule type="cellIs" dxfId="277" priority="271" operator="equal">
      <formula>"no 95% match"</formula>
    </cfRule>
  </conditionalFormatting>
  <conditionalFormatting sqref="K290:K291">
    <cfRule type="cellIs" dxfId="276" priority="267" operator="equal">
      <formula>"no 95% match"</formula>
    </cfRule>
  </conditionalFormatting>
  <conditionalFormatting sqref="K300:K301">
    <cfRule type="cellIs" dxfId="275" priority="263" operator="equal">
      <formula>"no 95% match"</formula>
    </cfRule>
  </conditionalFormatting>
  <conditionalFormatting sqref="K317:K318">
    <cfRule type="cellIs" dxfId="274" priority="259" operator="equal">
      <formula>"no 95% match"</formula>
    </cfRule>
  </conditionalFormatting>
  <conditionalFormatting sqref="K333:K334">
    <cfRule type="cellIs" dxfId="273" priority="255" operator="equal">
      <formula>"no 95% match"</formula>
    </cfRule>
  </conditionalFormatting>
  <conditionalFormatting sqref="K359:K360">
    <cfRule type="cellIs" dxfId="272" priority="251" operator="equal">
      <formula>"no 95% match"</formula>
    </cfRule>
  </conditionalFormatting>
  <conditionalFormatting sqref="K341:K342">
    <cfRule type="cellIs" dxfId="271" priority="247" operator="equal">
      <formula>"no 95% match"</formula>
    </cfRule>
  </conditionalFormatting>
  <conditionalFormatting sqref="K349">
    <cfRule type="cellIs" dxfId="270" priority="243" operator="equal">
      <formula>"no 95% match"</formula>
    </cfRule>
  </conditionalFormatting>
  <conditionalFormatting sqref="K351:K352">
    <cfRule type="cellIs" dxfId="269" priority="239" operator="equal">
      <formula>"no 95% match"</formula>
    </cfRule>
  </conditionalFormatting>
  <conditionalFormatting sqref="K235">
    <cfRule type="cellIs" dxfId="268" priority="235" operator="equal">
      <formula>"no 95% match"</formula>
    </cfRule>
  </conditionalFormatting>
  <conditionalFormatting sqref="E168:H173">
    <cfRule type="expression" dxfId="267" priority="478">
      <formula>$D$168="N"</formula>
    </cfRule>
  </conditionalFormatting>
  <conditionalFormatting sqref="C15:H16 C18:H18">
    <cfRule type="containsText" dxfId="266" priority="189" operator="containsText" text="##">
      <formula>NOT(ISERROR(SEARCH("##",C15)))</formula>
    </cfRule>
    <cfRule type="containsText" dxfId="265" priority="190" operator="containsText" text="Insert">
      <formula>NOT(ISERROR(SEARCH("Insert",C15)))</formula>
    </cfRule>
    <cfRule type="containsText" dxfId="264" priority="201" operator="containsText" text="Choose">
      <formula>NOT(ISERROR(SEARCH("Choose",C15)))</formula>
    </cfRule>
  </conditionalFormatting>
  <conditionalFormatting sqref="F211:H217">
    <cfRule type="expression" dxfId="263" priority="485">
      <formula>$E$211="N"</formula>
    </cfRule>
  </conditionalFormatting>
  <conditionalFormatting sqref="K134">
    <cfRule type="cellIs" dxfId="262" priority="152" operator="equal">
      <formula>"no 95% match"</formula>
    </cfRule>
  </conditionalFormatting>
  <conditionalFormatting sqref="K312 K309 K314:K315">
    <cfRule type="cellIs" dxfId="261" priority="135" operator="equal">
      <formula>"no 95% match"</formula>
    </cfRule>
  </conditionalFormatting>
  <conditionalFormatting sqref="K310:K311">
    <cfRule type="cellIs" dxfId="260" priority="132" operator="equal">
      <formula>"no 95% match"</formula>
    </cfRule>
  </conditionalFormatting>
  <conditionalFormatting sqref="F309:H315">
    <cfRule type="expression" dxfId="259" priority="781">
      <formula>$E$309="N"</formula>
    </cfRule>
  </conditionalFormatting>
  <conditionalFormatting sqref="S459">
    <cfRule type="expression" dxfId="258" priority="35985">
      <formula>$A459="no 50% match"</formula>
    </cfRule>
  </conditionalFormatting>
  <conditionalFormatting sqref="S459">
    <cfRule type="expression" dxfId="257" priority="35986">
      <formula>$A459="no DD match"</formula>
    </cfRule>
  </conditionalFormatting>
  <conditionalFormatting sqref="L15:L21">
    <cfRule type="containsText" dxfId="256" priority="92" operator="containsText" text="Enter/Update">
      <formula>NOT(ISERROR(SEARCH("Enter/Update",L15)))</formula>
    </cfRule>
    <cfRule type="containsText" dxfId="255" priority="93" operator="containsText" text="&lt;----Fill in information">
      <formula>NOT(ISERROR(SEARCH("&lt;----Fill in information",L15)))</formula>
    </cfRule>
  </conditionalFormatting>
  <conditionalFormatting sqref="A66">
    <cfRule type="expression" dxfId="254" priority="85">
      <formula>$K66="no 95% match"</formula>
    </cfRule>
  </conditionalFormatting>
  <conditionalFormatting sqref="A83">
    <cfRule type="expression" dxfId="253" priority="74">
      <formula>$K83="no 95% match"</formula>
    </cfRule>
  </conditionalFormatting>
  <conditionalFormatting sqref="A91">
    <cfRule type="expression" dxfId="252" priority="73">
      <formula>$K91="no 95% match"</formula>
    </cfRule>
  </conditionalFormatting>
  <conditionalFormatting sqref="A96">
    <cfRule type="expression" dxfId="251" priority="72">
      <formula>$K96="no 95% match"</formula>
    </cfRule>
  </conditionalFormatting>
  <conditionalFormatting sqref="A101">
    <cfRule type="expression" dxfId="250" priority="71">
      <formula>$K101="no 95% match"</formula>
    </cfRule>
  </conditionalFormatting>
  <conditionalFormatting sqref="A111">
    <cfRule type="expression" dxfId="249" priority="70">
      <formula>$K111="no 95% match"</formula>
    </cfRule>
  </conditionalFormatting>
  <conditionalFormatting sqref="A115">
    <cfRule type="expression" dxfId="248" priority="69">
      <formula>$K115="no 95% match"</formula>
    </cfRule>
  </conditionalFormatting>
  <conditionalFormatting sqref="A118">
    <cfRule type="expression" dxfId="247" priority="68">
      <formula>$K118="no 95% match"</formula>
    </cfRule>
  </conditionalFormatting>
  <conditionalFormatting sqref="A121">
    <cfRule type="expression" dxfId="246" priority="67">
      <formula>$K121="no 95% match"</formula>
    </cfRule>
  </conditionalFormatting>
  <conditionalFormatting sqref="A221">
    <cfRule type="expression" dxfId="245" priority="59">
      <formula>$K221="no 95% match"</formula>
    </cfRule>
  </conditionalFormatting>
  <conditionalFormatting sqref="A234">
    <cfRule type="expression" dxfId="244" priority="48">
      <formula>$K234="no 95% match"</formula>
    </cfRule>
  </conditionalFormatting>
  <conditionalFormatting sqref="A236">
    <cfRule type="expression" dxfId="243" priority="47">
      <formula>$K236="no 95% match"</formula>
    </cfRule>
  </conditionalFormatting>
  <conditionalFormatting sqref="A258:A259">
    <cfRule type="expression" dxfId="242" priority="46">
      <formula>$K258="no 95% match"</formula>
    </cfRule>
  </conditionalFormatting>
  <conditionalFormatting sqref="A274">
    <cfRule type="expression" dxfId="241" priority="45">
      <formula>$K274="no 95% match"</formula>
    </cfRule>
  </conditionalFormatting>
  <conditionalFormatting sqref="A283">
    <cfRule type="expression" dxfId="240" priority="44">
      <formula>$K283="no 95% match"</formula>
    </cfRule>
  </conditionalFormatting>
  <conditionalFormatting sqref="A293">
    <cfRule type="expression" dxfId="239" priority="43">
      <formula>$K293="no 95% match"</formula>
    </cfRule>
  </conditionalFormatting>
  <conditionalFormatting sqref="A303">
    <cfRule type="expression" dxfId="238" priority="42">
      <formula>$K303="no 95% match"</formula>
    </cfRule>
  </conditionalFormatting>
  <conditionalFormatting sqref="A313">
    <cfRule type="expression" dxfId="237" priority="41">
      <formula>$K313="no 95% match"</formula>
    </cfRule>
  </conditionalFormatting>
  <conditionalFormatting sqref="A320">
    <cfRule type="expression" dxfId="236" priority="40">
      <formula>$K320="no 95% match"</formula>
    </cfRule>
  </conditionalFormatting>
  <conditionalFormatting sqref="A335:A336">
    <cfRule type="expression" dxfId="235" priority="39">
      <formula>$K335="no 95% match"</formula>
    </cfRule>
  </conditionalFormatting>
  <conditionalFormatting sqref="A343:A344">
    <cfRule type="expression" dxfId="234" priority="38">
      <formula>$K343="no 95% match"</formula>
    </cfRule>
  </conditionalFormatting>
  <conditionalFormatting sqref="A353:A354">
    <cfRule type="expression" dxfId="233" priority="37">
      <formula>$K353="no 95% match"</formula>
    </cfRule>
  </conditionalFormatting>
  <conditionalFormatting sqref="A361:A362">
    <cfRule type="expression" dxfId="232" priority="36">
      <formula>$K361="no 95% match"</formula>
    </cfRule>
  </conditionalFormatting>
  <conditionalFormatting sqref="A368:A369">
    <cfRule type="expression" dxfId="231" priority="35">
      <formula>$K368="no 95% match"</formula>
    </cfRule>
  </conditionalFormatting>
  <conditionalFormatting sqref="K33:K35">
    <cfRule type="cellIs" dxfId="230" priority="24" operator="equal">
      <formula>"no 95% match"</formula>
    </cfRule>
  </conditionalFormatting>
  <conditionalFormatting sqref="K28:K30">
    <cfRule type="cellIs" dxfId="229" priority="8" operator="equal">
      <formula>"no 95% match"</formula>
    </cfRule>
  </conditionalFormatting>
  <conditionalFormatting sqref="C18:H564">
    <cfRule type="expression" dxfId="228" priority="1">
      <formula>$C$16="cLOSE OUT DOES NOT APPLY"</formula>
    </cfRule>
    <cfRule type="expression" dxfId="227" priority="2">
      <formula>$C$16="NO CONSTRUCTION - CLOSEOUT DOES NOT APPLY"</formula>
    </cfRule>
  </conditionalFormatting>
  <conditionalFormatting sqref="H25:H564">
    <cfRule type="containsText" dxfId="226" priority="128" operator="containsText" text="PLACEHOLDER">
      <formula>NOT(ISERROR(SEARCH("PLACEHOLDER",H25)))</formula>
    </cfRule>
    <cfRule type="expression" dxfId="225" priority="465">
      <formula>$G25="N"</formula>
    </cfRule>
  </conditionalFormatting>
  <conditionalFormatting sqref="D25:G564">
    <cfRule type="cellIs" dxfId="224" priority="165" operator="equal">
      <formula>"Y"</formula>
    </cfRule>
    <cfRule type="cellIs" dxfId="223" priority="188" operator="equal">
      <formula>"?"</formula>
    </cfRule>
  </conditionalFormatting>
  <conditionalFormatting sqref="C25:C564">
    <cfRule type="expression" dxfId="222" priority="354">
      <formula>$D25="Y"</formula>
    </cfRule>
    <cfRule type="expression" dxfId="221" priority="355">
      <formula>$E25="Y"</formula>
    </cfRule>
    <cfRule type="expression" dxfId="220" priority="356">
      <formula>$F25="Y"</formula>
    </cfRule>
    <cfRule type="expression" dxfId="219" priority="357">
      <formula>$G25="Y"</formula>
    </cfRule>
  </conditionalFormatting>
  <conditionalFormatting sqref="D28:H30">
    <cfRule type="expression" dxfId="218" priority="467">
      <formula>$D$27="N"</formula>
    </cfRule>
  </conditionalFormatting>
  <conditionalFormatting sqref="D33:H35">
    <cfRule type="expression" dxfId="217" priority="470">
      <formula>$D$32="N"</formula>
    </cfRule>
  </conditionalFormatting>
  <dataValidations count="3">
    <dataValidation type="list" allowBlank="1" showInputMessage="1" showErrorMessage="1" sqref="C23">
      <formula1>$C$8:$C$11</formula1>
    </dataValidation>
    <dataValidation type="list" allowBlank="1" showInputMessage="1" showErrorMessage="1" sqref="E5 D4 F6">
      <formula1>$D$8:$D$11</formula1>
    </dataValidation>
    <dataValidation allowBlank="1" showInputMessage="1" showErrorMessage="1" promptTitle="NO INPUTS IN THESE CELLS" prompt="Changes are only made in TAB C." sqref="C21:D21 F21:H21 D25:H565"/>
  </dataValidations>
  <hyperlinks>
    <hyperlink ref="H528" r:id="rId1"/>
    <hyperlink ref="H503" r:id="rId2" display="http://www.fs.illinois.edu/docs/default-source/facility-standards/technical-sections/division-01---administrative/01-33-23---shop-drawings-product-data-and-samples.docx?sfvrsn=2"/>
  </hyperlinks>
  <printOptions horizontalCentered="1"/>
  <pageMargins left="0.45" right="0.45" top="0.5" bottom="0.65" header="0.3" footer="0.3"/>
  <pageSetup scale="82" fitToHeight="9" orientation="portrait" r:id="rId3"/>
  <headerFooter>
    <oddFooter>&amp;L&amp;"-,Bold"&amp;10TAB &amp;A&amp;C&amp;8&amp;P of &amp;N&amp;R&amp;G</oddFooter>
  </headerFooter>
  <rowBreaks count="1" manualBreakCount="1">
    <brk id="545" min="2" max="7" man="1"/>
  </rowBreaks>
  <legacyDrawing r:id="rId4"/>
  <legacyDrawingHF r:id="rId5"/>
  <extLst>
    <ext xmlns:x14="http://schemas.microsoft.com/office/spreadsheetml/2009/9/main" uri="{78C0D931-6437-407d-A8EE-F0AAD7539E65}">
      <x14:conditionalFormattings>
        <x14:conditionalFormatting xmlns:xm="http://schemas.microsoft.com/office/excel/2006/main">
          <x14:cfRule type="expression" priority="427" id="{CAE36557-F39B-4DFD-9BE2-F369A7213AF8}">
            <xm:f>'00 - Concept.'!$F553="N"</xm:f>
            <x14:dxf>
              <font>
                <strike/>
              </font>
            </x14:dxf>
          </x14:cfRule>
          <xm:sqref>I567</xm:sqref>
        </x14:conditionalFormatting>
        <x14:conditionalFormatting xmlns:xm="http://schemas.microsoft.com/office/excel/2006/main">
          <x14:cfRule type="expression" priority="426" id="{2C46949E-8B20-4072-B656-21A582E66926}">
            <xm:f>'00 - Concept.'!$E552="N"</xm:f>
            <x14:dxf>
              <font>
                <strike/>
              </font>
            </x14:dxf>
          </x14:cfRule>
          <xm:sqref>I566</xm:sqref>
        </x14:conditionalFormatting>
        <x14:conditionalFormatting xmlns:xm="http://schemas.microsoft.com/office/excel/2006/main">
          <x14:cfRule type="expression" priority="376" id="{CDB8C5F7-F296-46BF-84E1-C555CDF2A702}">
            <xm:f>'00 - Concept.'!$F182="N"</xm:f>
            <x14:dxf>
              <font>
                <strike/>
              </font>
            </x14:dxf>
          </x14:cfRule>
          <xm:sqref>I572:I573 I193</xm:sqref>
        </x14:conditionalFormatting>
        <x14:conditionalFormatting xmlns:xm="http://schemas.microsoft.com/office/excel/2006/main">
          <x14:cfRule type="expression" priority="6442" id="{2C46949E-8B20-4072-B656-21A582E66926}">
            <xm:f>'00 - Concept.'!#REF!="N"</xm:f>
            <x14:dxf>
              <font>
                <strike/>
              </font>
            </x14:dxf>
          </x14:cfRule>
          <xm:sqref>I127:I128</xm:sqref>
        </x14:conditionalFormatting>
        <x14:conditionalFormatting xmlns:xm="http://schemas.microsoft.com/office/excel/2006/main">
          <x14:cfRule type="expression" priority="14251" id="{2C46949E-8B20-4072-B656-21A582E66926}">
            <xm:f>'00 - Concept.'!$E376="N"</xm:f>
            <x14:dxf>
              <font>
                <strike/>
              </font>
            </x14:dxf>
          </x14:cfRule>
          <xm:sqref>I367</xm:sqref>
        </x14:conditionalFormatting>
        <x14:conditionalFormatting xmlns:xm="http://schemas.microsoft.com/office/excel/2006/main">
          <x14:cfRule type="expression" priority="15058" id="{2C46949E-8B20-4072-B656-21A582E66926}">
            <xm:f>'00 - Concept.'!#REF!="N"</xm:f>
            <x14:dxf>
              <font>
                <strike/>
              </font>
            </x14:dxf>
          </x14:cfRule>
          <xm:sqref>I165:I166</xm:sqref>
        </x14:conditionalFormatting>
        <x14:conditionalFormatting xmlns:xm="http://schemas.microsoft.com/office/excel/2006/main">
          <x14:cfRule type="expression" priority="15194" id="{CDB8C5F7-F296-46BF-84E1-C555CDF2A702}">
            <xm:f>'00 - Concept.'!#REF!="N"</xm:f>
            <x14:dxf>
              <font>
                <strike/>
              </font>
            </x14:dxf>
          </x14:cfRule>
          <xm:sqref>I201</xm:sqref>
        </x14:conditionalFormatting>
        <x14:conditionalFormatting xmlns:xm="http://schemas.microsoft.com/office/excel/2006/main">
          <x14:cfRule type="expression" priority="341" id="{AFC75A4F-FDE1-4256-ADE7-49ABA5CEE6D7}">
            <xm:f>'00 - Concept.'!#REF!="N"</xm:f>
            <x14:dxf>
              <font>
                <strike/>
              </font>
            </x14:dxf>
          </x14:cfRule>
          <xm:sqref>I178</xm:sqref>
        </x14:conditionalFormatting>
        <x14:conditionalFormatting xmlns:xm="http://schemas.microsoft.com/office/excel/2006/main">
          <x14:cfRule type="expression" priority="338" id="{BC40D285-D0A9-4EED-A089-74DC1332B895}">
            <xm:f>'00 - Concept.'!#REF!="N"</xm:f>
            <x14:dxf>
              <font>
                <strike/>
              </font>
            </x14:dxf>
          </x14:cfRule>
          <xm:sqref>I123:I124 I113:I114 I116</xm:sqref>
        </x14:conditionalFormatting>
        <x14:conditionalFormatting xmlns:xm="http://schemas.microsoft.com/office/excel/2006/main">
          <x14:cfRule type="expression" priority="21205" id="{F9A75B30-BB08-4FC9-9BCA-DF92C8817C63}">
            <xm:f>'00 - Concept.'!$D4="N"</xm:f>
            <x14:dxf>
              <font>
                <strike/>
              </font>
            </x14:dxf>
          </x14:cfRule>
          <xm:sqref>G4</xm:sqref>
        </x14:conditionalFormatting>
        <x14:conditionalFormatting xmlns:xm="http://schemas.microsoft.com/office/excel/2006/main">
          <x14:cfRule type="expression" priority="21216" id="{CAE36557-F39B-4DFD-9BE2-F369A7213AF8}">
            <xm:f>'00 - Concept.'!$F319="N"</xm:f>
            <x14:dxf>
              <font>
                <strike/>
              </font>
            </x14:dxf>
          </x14:cfRule>
          <xm:sqref>I290:I291 I280</xm:sqref>
        </x14:conditionalFormatting>
        <x14:conditionalFormatting xmlns:xm="http://schemas.microsoft.com/office/excel/2006/main">
          <x14:cfRule type="expression" priority="298" id="{5DB9019D-BFC5-4350-A036-CE8C050B9660}">
            <xm:f>'00 - Concept.'!$F371="N"</xm:f>
            <x14:dxf>
              <font>
                <strike/>
              </font>
            </x14:dxf>
          </x14:cfRule>
          <xm:sqref>I349 I351:I352 I317:I318</xm:sqref>
        </x14:conditionalFormatting>
        <x14:conditionalFormatting xmlns:xm="http://schemas.microsoft.com/office/excel/2006/main">
          <x14:cfRule type="expression" priority="21560" id="{CAE36557-F39B-4DFD-9BE2-F369A7213AF8}">
            <xm:f>'00 - Concept.'!$F257="N"</xm:f>
            <x14:dxf>
              <font>
                <strike/>
              </font>
            </x14:dxf>
          </x14:cfRule>
          <xm:sqref>I229</xm:sqref>
        </x14:conditionalFormatting>
        <x14:conditionalFormatting xmlns:xm="http://schemas.microsoft.com/office/excel/2006/main">
          <x14:cfRule type="expression" priority="21731" id="{CAE36557-F39B-4DFD-9BE2-F369A7213AF8}">
            <xm:f>'00 - Concept.'!$F268="N"</xm:f>
            <x14:dxf>
              <font>
                <strike/>
              </font>
            </x14:dxf>
          </x14:cfRule>
          <xm:sqref>I243:I245 I357</xm:sqref>
        </x14:conditionalFormatting>
        <x14:conditionalFormatting xmlns:xm="http://schemas.microsoft.com/office/excel/2006/main">
          <x14:cfRule type="expression" priority="22085" id="{CAE36557-F39B-4DFD-9BE2-F369A7213AF8}">
            <xm:f>'00 - Concept.'!$F268="N"</xm:f>
            <x14:dxf>
              <font>
                <strike/>
              </font>
            </x14:dxf>
          </x14:cfRule>
          <xm:sqref>I331 I256:I257 I235 I271:I272</xm:sqref>
        </x14:conditionalFormatting>
        <x14:conditionalFormatting xmlns:xm="http://schemas.microsoft.com/office/excel/2006/main">
          <x14:cfRule type="expression" priority="28583" id="{CDB8C5F7-F296-46BF-84E1-C555CDF2A702}">
            <xm:f>'00 - Concept.'!$F355="N"</xm:f>
            <x14:dxf>
              <font>
                <strike/>
              </font>
            </x14:dxf>
          </x14:cfRule>
          <xm:sqref>I359:I360</xm:sqref>
        </x14:conditionalFormatting>
        <x14:conditionalFormatting xmlns:xm="http://schemas.microsoft.com/office/excel/2006/main">
          <x14:cfRule type="expression" priority="29594" id="{CDB8C5F7-F296-46BF-84E1-C555CDF2A702}">
            <xm:f>'00 - Concept.'!$F352="N"</xm:f>
            <x14:dxf>
              <font>
                <strike/>
              </font>
            </x14:dxf>
          </x14:cfRule>
          <xm:sqref>I347</xm:sqref>
        </x14:conditionalFormatting>
        <x14:conditionalFormatting xmlns:xm="http://schemas.microsoft.com/office/excel/2006/main">
          <x14:cfRule type="expression" priority="32909" id="{5DB9019D-BFC5-4350-A036-CE8C050B9660}">
            <xm:f>'00 - Concept.'!$F347="N"</xm:f>
            <x14:dxf>
              <font>
                <strike/>
              </font>
            </x14:dxf>
          </x14:cfRule>
          <xm:sqref>I333:I334</xm:sqref>
        </x14:conditionalFormatting>
        <x14:conditionalFormatting xmlns:xm="http://schemas.microsoft.com/office/excel/2006/main">
          <x14:cfRule type="expression" priority="42653" id="{CAE36557-F39B-4DFD-9BE2-F369A7213AF8}">
            <xm:f>'00 - Concept.'!$F253="N"</xm:f>
            <x14:dxf>
              <font>
                <strike/>
              </font>
            </x14:dxf>
          </x14:cfRule>
          <xm:sqref>I222</xm:sqref>
        </x14:conditionalFormatting>
        <x14:conditionalFormatting xmlns:xm="http://schemas.microsoft.com/office/excel/2006/main">
          <x14:cfRule type="expression" priority="43524" id="{5DB9019D-BFC5-4350-A036-CE8C050B9660}">
            <xm:f>'00 - Concept.'!$F363="N"</xm:f>
            <x14:dxf>
              <font>
                <strike/>
              </font>
            </x14:dxf>
          </x14:cfRule>
          <xm:sqref>I310:I311</xm:sqref>
        </x14:conditionalFormatting>
        <x14:conditionalFormatting xmlns:xm="http://schemas.microsoft.com/office/excel/2006/main">
          <x14:cfRule type="expression" priority="44142" id="{2C46949E-8B20-4072-B656-21A582E66926}">
            <xm:f>'00 - Concept.'!$E165="N"</xm:f>
            <x14:dxf>
              <font>
                <strike/>
              </font>
            </x14:dxf>
          </x14:cfRule>
          <xm:sqref>I163:I164</xm:sqref>
        </x14:conditionalFormatting>
        <x14:conditionalFormatting xmlns:xm="http://schemas.microsoft.com/office/excel/2006/main">
          <x14:cfRule type="expression" priority="47131" id="{2C46949E-8B20-4072-B656-21A582E66926}">
            <xm:f>'00 - Concept.'!$E136="N"</xm:f>
            <x14:dxf>
              <font>
                <strike/>
              </font>
            </x14:dxf>
          </x14:cfRule>
          <xm:sqref>I132:I134</xm:sqref>
        </x14:conditionalFormatting>
        <x14:conditionalFormatting xmlns:xm="http://schemas.microsoft.com/office/excel/2006/main">
          <x14:cfRule type="expression" priority="47134" id="{CAE36557-F39B-4DFD-9BE2-F369A7213AF8}">
            <xm:f>'00 - Concept.'!$F263="N"</xm:f>
            <x14:dxf>
              <font>
                <strike/>
              </font>
            </x14:dxf>
          </x14:cfRule>
          <xm:sqref>I219:I220</xm:sqref>
        </x14:conditionalFormatting>
        <x14:conditionalFormatting xmlns:xm="http://schemas.microsoft.com/office/excel/2006/main">
          <x14:cfRule type="expression" priority="47309" id="{CAE36557-F39B-4DFD-9BE2-F369A7213AF8}">
            <xm:f>'00 - Concept.'!$F250="N"</xm:f>
            <x14:dxf>
              <font>
                <strike/>
              </font>
            </x14:dxf>
          </x14:cfRule>
          <xm:sqref>I208:I210</xm:sqref>
        </x14:conditionalFormatting>
        <x14:conditionalFormatting xmlns:xm="http://schemas.microsoft.com/office/excel/2006/main">
          <x14:cfRule type="expression" priority="47478" id="{CAE36557-F39B-4DFD-9BE2-F369A7213AF8}">
            <xm:f>'00 - Concept.'!$F321="N"</xm:f>
            <x14:dxf>
              <font>
                <strike/>
              </font>
            </x14:dxf>
          </x14:cfRule>
          <xm:sqref>I281</xm:sqref>
        </x14:conditionalFormatting>
        <x14:conditionalFormatting xmlns:xm="http://schemas.microsoft.com/office/excel/2006/main">
          <x14:cfRule type="expression" priority="47652" id="{5DB9019D-BFC5-4350-A036-CE8C050B9660}">
            <xm:f>'00 - Concept.'!$F199="N"</xm:f>
            <x14:dxf>
              <font>
                <strike/>
              </font>
            </x14:dxf>
          </x14:cfRule>
          <xm:sqref>I182</xm:sqref>
        </x14:conditionalFormatting>
        <x14:conditionalFormatting xmlns:xm="http://schemas.microsoft.com/office/excel/2006/main">
          <x14:cfRule type="expression" priority="47828" id="{CDB8C5F7-F296-46BF-84E1-C555CDF2A702}">
            <xm:f>'00 - Concept.'!$F202="N"</xm:f>
            <x14:dxf>
              <font>
                <strike/>
              </font>
            </x14:dxf>
          </x14:cfRule>
          <xm:sqref>I198:I199</xm:sqref>
        </x14:conditionalFormatting>
        <x14:conditionalFormatting xmlns:xm="http://schemas.microsoft.com/office/excel/2006/main">
          <x14:cfRule type="expression" priority="48001" id="{CAE36557-F39B-4DFD-9BE2-F369A7213AF8}">
            <xm:f>'00 - Concept.'!$F266="N"</xm:f>
            <x14:dxf>
              <font>
                <strike/>
              </font>
            </x14:dxf>
          </x14:cfRule>
          <xm:sqref>I232:I233</xm:sqref>
        </x14:conditionalFormatting>
        <x14:conditionalFormatting xmlns:xm="http://schemas.microsoft.com/office/excel/2006/main">
          <x14:cfRule type="expression" priority="48168" id="{2C46949E-8B20-4072-B656-21A582E66926}">
            <xm:f>'00 - Concept.'!$E125="N"</xm:f>
            <x14:dxf>
              <font>
                <strike/>
              </font>
            </x14:dxf>
          </x14:cfRule>
          <xm:sqref>I129:I131</xm:sqref>
        </x14:conditionalFormatting>
        <x14:conditionalFormatting xmlns:xm="http://schemas.microsoft.com/office/excel/2006/main">
          <x14:cfRule type="expression" priority="48174" id="{5DB9019D-BFC5-4350-A036-CE8C050B9660}">
            <xm:f>'00 - Concept.'!$F358="N"</xm:f>
            <x14:dxf>
              <font>
                <strike/>
              </font>
            </x14:dxf>
          </x14:cfRule>
          <xm:sqref>I300:I301</xm:sqref>
        </x14:conditionalFormatting>
        <x14:conditionalFormatting xmlns:xm="http://schemas.microsoft.com/office/excel/2006/main">
          <x14:cfRule type="expression" priority="48340" id="{2C46949E-8B20-4072-B656-21A582E66926}">
            <xm:f>'00 - Concept.'!$E19="N"</xm:f>
            <x14:dxf>
              <font>
                <strike/>
              </font>
            </x14:dxf>
          </x14:cfRule>
          <xm:sqref>I40:I41 I33:I35 I28:I30</xm:sqref>
        </x14:conditionalFormatting>
        <x14:conditionalFormatting xmlns:xm="http://schemas.microsoft.com/office/excel/2006/main">
          <x14:cfRule type="expression" priority="48344" id="{5DB9019D-BFC5-4350-A036-CE8C050B9660}">
            <xm:f>'00 - Concept.'!$F397="N"</xm:f>
            <x14:dxf>
              <font>
                <strike/>
              </font>
            </x14:dxf>
          </x14:cfRule>
          <xm:sqref>I341:I342</xm:sqref>
        </x14:conditionalFormatting>
        <x14:conditionalFormatting xmlns:xm="http://schemas.microsoft.com/office/excel/2006/main">
          <x14:cfRule type="expression" priority="48352" id="{CAE36557-F39B-4DFD-9BE2-F369A7213AF8}">
            <xm:f>'00 - Concept.'!$F255="N"</xm:f>
            <x14:dxf>
              <font>
                <strike/>
              </font>
            </x14:dxf>
          </x14:cfRule>
          <xm:sqref>I225:I226</xm:sqref>
        </x14:conditionalFormatting>
        <x14:conditionalFormatting xmlns:xm="http://schemas.microsoft.com/office/excel/2006/main">
          <x14:cfRule type="expression" priority="52976" id="{2C46949E-8B20-4072-B656-21A582E66926}">
            <xm:f>'00 - Concept.'!$E138="N"</xm:f>
            <x14:dxf>
              <font>
                <strike/>
              </font>
            </x14:dxf>
          </x14:cfRule>
          <xm:sqref>I135</xm:sqref>
        </x14:conditionalFormatting>
        <x14:conditionalFormatting xmlns:xm="http://schemas.microsoft.com/office/excel/2006/main">
          <x14:cfRule type="expression" priority="53629" id="{CDB8C5F7-F296-46BF-84E1-C555CDF2A702}">
            <xm:f>'00 - Concept.'!$F195="N"</xm:f>
            <x14:dxf>
              <font>
                <strike/>
              </font>
            </x14:dxf>
          </x14:cfRule>
          <xm:sqref>I197</xm:sqref>
        </x14:conditionalFormatting>
        <x14:conditionalFormatting xmlns:xm="http://schemas.microsoft.com/office/excel/2006/main">
          <x14:cfRule type="expression" priority="54493" id="{CDB8C5F7-F296-46BF-84E1-C555CDF2A702}">
            <xm:f>'00 - Concept.'!$F197="N"</xm:f>
            <x14:dxf>
              <font>
                <strike/>
              </font>
            </x14:dxf>
          </x14:cfRule>
          <xm:sqref>I195</xm:sqref>
        </x14:conditionalFormatting>
        <x14:conditionalFormatting xmlns:xm="http://schemas.microsoft.com/office/excel/2006/main">
          <x14:cfRule type="expression" priority="55364" id="{2C46949E-8B20-4072-B656-21A582E66926}">
            <xm:f>'00 - Concept.'!$E36="N"</xm:f>
            <x14:dxf>
              <font>
                <strike/>
              </font>
            </x14:dxf>
          </x14:cfRule>
          <xm:sqref>I42:I44</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499984740745262"/>
    <pageSetUpPr fitToPage="1"/>
  </sheetPr>
  <dimension ref="A1:AY787"/>
  <sheetViews>
    <sheetView showGridLines="0" view="pageBreakPreview" topLeftCell="B1" zoomScaleNormal="100" zoomScaleSheetLayoutView="100" workbookViewId="0">
      <pane ySplit="23" topLeftCell="A24" activePane="bottomLeft" state="frozen"/>
      <selection pane="bottomLeft" activeCell="H39" sqref="H39"/>
    </sheetView>
  </sheetViews>
  <sheetFormatPr defaultRowHeight="15" x14ac:dyDescent="0.25"/>
  <cols>
    <col min="1" max="1" width="5.7109375" style="91" hidden="1" customWidth="1"/>
    <col min="2" max="2" width="0.85546875" customWidth="1"/>
    <col min="3" max="3" width="9.28515625" customWidth="1"/>
    <col min="4" max="6" width="3.28515625" style="16" customWidth="1"/>
    <col min="7" max="7" width="8" style="19" customWidth="1"/>
    <col min="8" max="8" width="87.85546875" style="17" customWidth="1"/>
    <col min="9" max="9" width="0.85546875" style="17" customWidth="1"/>
    <col min="10" max="10" width="13.5703125" style="17" customWidth="1"/>
    <col min="11" max="11" width="11.28515625" style="17" customWidth="1"/>
    <col min="12" max="12" width="9.140625" style="17"/>
    <col min="13" max="17" width="9.140625" style="17" customWidth="1"/>
    <col min="18" max="18" width="9.140625" style="17"/>
    <col min="19" max="19" width="9.140625" style="255"/>
    <col min="20" max="49" width="9.140625" style="17"/>
  </cols>
  <sheetData>
    <row r="1" spans="1:49" s="542" customFormat="1" hidden="1" x14ac:dyDescent="0.25">
      <c r="A1" s="1331"/>
      <c r="D1" s="543"/>
      <c r="E1" s="543"/>
      <c r="F1" s="543"/>
      <c r="G1" s="19"/>
      <c r="H1" s="17"/>
      <c r="I1" s="17"/>
      <c r="J1" s="17"/>
      <c r="K1" s="17"/>
      <c r="L1" s="17"/>
      <c r="M1" s="17"/>
      <c r="N1" s="17"/>
      <c r="O1" s="17"/>
      <c r="P1" s="17"/>
      <c r="Q1" s="17"/>
      <c r="R1" s="17"/>
      <c r="S1" s="255"/>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row>
    <row r="2" spans="1:49" s="542" customFormat="1" hidden="1" x14ac:dyDescent="0.25">
      <c r="A2" s="1331"/>
      <c r="D2" s="543"/>
      <c r="E2" s="543"/>
      <c r="F2" s="543"/>
      <c r="G2" s="19"/>
      <c r="H2" s="17"/>
      <c r="I2" s="17"/>
      <c r="J2" s="17"/>
      <c r="K2" s="17"/>
      <c r="L2" s="17"/>
      <c r="M2" s="17"/>
      <c r="N2" s="17"/>
      <c r="O2" s="17"/>
      <c r="P2" s="17"/>
      <c r="Q2" s="17"/>
      <c r="R2" s="17"/>
      <c r="S2" s="255"/>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row>
    <row r="3" spans="1:49" ht="29.25" customHeight="1" x14ac:dyDescent="0.25">
      <c r="A3" s="1331"/>
      <c r="B3" s="542"/>
      <c r="C3" s="1577" t="s">
        <v>46</v>
      </c>
      <c r="D3" s="1421"/>
      <c r="E3" s="1421"/>
      <c r="F3" s="2270" t="str">
        <f ca="1">CONCATENATE("READ DIRECTIONS FILE FIRST.  PSC should print &amp; use at POST CONST. submittals. PM/ Planner only should hide non-applicable rows.  Choices for applicability are in the tab [",MID(CELL("filename",Date_edited_TAB_C),FIND("]",CELL("filename",Date_edited_TAB_C))+1,255),"]")</f>
        <v>READ DIRECTIONS FILE FIRST.  PSC should print &amp; use at POST CONST. submittals. PM/ Planner only should hide non-applicable rows.  Choices for applicability are in the tab [C-Design&amp;Const]</v>
      </c>
      <c r="G3" s="2270"/>
      <c r="H3" s="2270"/>
      <c r="I3" s="572"/>
      <c r="K3" s="62"/>
      <c r="L3" s="1333"/>
      <c r="M3" s="1333"/>
      <c r="N3" s="1333"/>
      <c r="O3" s="1333"/>
      <c r="P3" s="1333"/>
      <c r="Q3" s="1333"/>
      <c r="R3" s="1333"/>
      <c r="S3" s="1449"/>
      <c r="T3" s="1333"/>
      <c r="U3" s="1333"/>
      <c r="V3" s="1333"/>
      <c r="W3" s="1333"/>
      <c r="X3" s="1333"/>
      <c r="Y3" s="1333"/>
      <c r="Z3" s="1333"/>
      <c r="AA3" s="1333"/>
      <c r="AB3" s="1333"/>
      <c r="AC3" s="1333"/>
      <c r="AD3" s="1333"/>
      <c r="AE3" s="1333"/>
      <c r="AF3" s="1333"/>
      <c r="AG3" s="1333"/>
      <c r="AH3" s="1333"/>
      <c r="AI3" s="1333"/>
      <c r="AJ3" s="1333"/>
      <c r="AW3"/>
    </row>
    <row r="4" spans="1:49" ht="16.5" hidden="1" customHeight="1" thickTop="1" x14ac:dyDescent="0.25">
      <c r="A4" s="1331"/>
      <c r="C4" s="34"/>
      <c r="D4" s="35" t="s">
        <v>37</v>
      </c>
      <c r="E4" s="36"/>
      <c r="F4" s="28"/>
      <c r="G4" s="1801" t="s">
        <v>39</v>
      </c>
      <c r="H4" s="1803" t="s">
        <v>219</v>
      </c>
      <c r="I4" s="63"/>
      <c r="K4" s="63"/>
      <c r="L4" s="1341" t="s">
        <v>142</v>
      </c>
      <c r="M4" s="1341"/>
      <c r="N4" s="1333"/>
      <c r="O4" s="1333"/>
      <c r="P4" s="1333"/>
      <c r="Q4" s="1333"/>
      <c r="R4" s="1333"/>
      <c r="S4" s="1449"/>
      <c r="T4" s="1333"/>
      <c r="U4" s="1333"/>
      <c r="V4" s="1333"/>
      <c r="W4" s="1333"/>
      <c r="X4" s="1333"/>
      <c r="Y4" s="1333"/>
      <c r="Z4" s="1333"/>
      <c r="AA4" s="1333"/>
      <c r="AB4" s="1333"/>
      <c r="AC4" s="1333"/>
      <c r="AD4" s="1333"/>
      <c r="AE4" s="1333"/>
      <c r="AF4" s="1333"/>
      <c r="AG4" s="1333"/>
      <c r="AH4" s="1333"/>
      <c r="AI4" s="1333"/>
      <c r="AJ4" s="1333"/>
      <c r="AW4"/>
    </row>
    <row r="5" spans="1:49" ht="15" hidden="1" customHeight="1" x14ac:dyDescent="0.25">
      <c r="A5" s="1342"/>
      <c r="C5" s="39"/>
      <c r="D5" s="21"/>
      <c r="E5" s="29" t="s">
        <v>37</v>
      </c>
      <c r="F5" s="22"/>
      <c r="G5" s="33"/>
      <c r="H5" s="40" t="s">
        <v>50</v>
      </c>
      <c r="I5" s="299"/>
      <c r="J5" s="62"/>
      <c r="K5" s="302"/>
      <c r="L5" s="1521" t="s">
        <v>49</v>
      </c>
      <c r="M5" s="1521"/>
      <c r="N5" s="1351"/>
      <c r="O5" s="1333"/>
      <c r="P5" s="1333"/>
      <c r="Q5" s="1333"/>
      <c r="R5" s="1333"/>
      <c r="S5" s="1449"/>
      <c r="T5" s="1333"/>
      <c r="U5" s="1333"/>
      <c r="V5" s="1333"/>
      <c r="W5" s="1333"/>
      <c r="X5" s="1333"/>
      <c r="Y5" s="1333"/>
      <c r="Z5" s="1333"/>
      <c r="AA5" s="1333"/>
      <c r="AB5" s="1333"/>
      <c r="AC5" s="1333"/>
      <c r="AD5" s="1333"/>
      <c r="AE5" s="1333"/>
      <c r="AF5" s="1333"/>
      <c r="AG5" s="1333"/>
      <c r="AH5" s="1333"/>
      <c r="AI5" s="1333"/>
      <c r="AJ5" s="1333"/>
      <c r="AW5"/>
    </row>
    <row r="6" spans="1:49" ht="15.75" hidden="1" customHeight="1" thickBot="1" x14ac:dyDescent="0.3">
      <c r="A6" s="1342"/>
      <c r="C6" s="41"/>
      <c r="D6" s="42"/>
      <c r="E6" s="42"/>
      <c r="F6" s="43" t="s">
        <v>37</v>
      </c>
      <c r="G6" s="44"/>
      <c r="H6" s="45" t="s">
        <v>51</v>
      </c>
      <c r="I6" s="300"/>
      <c r="J6" s="62"/>
      <c r="K6" s="303"/>
      <c r="L6" s="1351"/>
      <c r="M6" s="1351"/>
      <c r="N6" s="1351"/>
      <c r="O6" s="1333"/>
      <c r="P6" s="1333"/>
      <c r="Q6" s="1333"/>
      <c r="R6" s="1333"/>
      <c r="S6" s="1449"/>
      <c r="T6" s="1333"/>
      <c r="U6" s="1333"/>
      <c r="V6" s="1333"/>
      <c r="W6" s="1333"/>
      <c r="X6" s="1333"/>
      <c r="Y6" s="1333"/>
      <c r="Z6" s="1333"/>
      <c r="AA6" s="1333"/>
      <c r="AB6" s="1333"/>
      <c r="AC6" s="1333"/>
      <c r="AD6" s="1333"/>
      <c r="AE6" s="1333"/>
      <c r="AF6" s="1333"/>
      <c r="AG6" s="1333"/>
      <c r="AH6" s="1333"/>
      <c r="AI6" s="1333"/>
      <c r="AJ6" s="1333"/>
      <c r="AW6"/>
    </row>
    <row r="7" spans="1:49" ht="15" hidden="1" customHeight="1" x14ac:dyDescent="0.25">
      <c r="A7" s="1342"/>
      <c r="C7" s="47" t="s">
        <v>71</v>
      </c>
      <c r="D7" s="47" t="s">
        <v>45</v>
      </c>
      <c r="E7" s="47"/>
      <c r="F7" s="47"/>
      <c r="G7" s="48"/>
      <c r="H7" s="96" t="s">
        <v>107</v>
      </c>
      <c r="I7" s="301"/>
      <c r="J7" s="62"/>
      <c r="K7" s="304"/>
      <c r="L7" s="1351"/>
      <c r="M7" s="1351"/>
      <c r="N7" s="1351"/>
      <c r="O7" s="1333"/>
      <c r="P7" s="1333"/>
      <c r="Q7" s="1333"/>
      <c r="R7" s="1333"/>
      <c r="S7" s="1449"/>
      <c r="T7" s="1333"/>
      <c r="U7" s="1333"/>
      <c r="V7" s="1333"/>
      <c r="W7" s="1333"/>
      <c r="X7" s="1333"/>
      <c r="Y7" s="1333"/>
      <c r="Z7" s="1333"/>
      <c r="AA7" s="1333"/>
      <c r="AB7" s="1333"/>
      <c r="AC7" s="1333"/>
      <c r="AD7" s="1333"/>
      <c r="AE7" s="1333"/>
      <c r="AF7" s="1333"/>
      <c r="AG7" s="1333"/>
      <c r="AH7" s="1333"/>
      <c r="AI7" s="1333"/>
      <c r="AJ7" s="1333"/>
    </row>
    <row r="8" spans="1:49" ht="15" hidden="1" customHeight="1" x14ac:dyDescent="0.25">
      <c r="A8" s="1342"/>
      <c r="C8" s="20" t="s">
        <v>100</v>
      </c>
      <c r="D8" s="20" t="s">
        <v>37</v>
      </c>
      <c r="E8" s="46" t="s">
        <v>47</v>
      </c>
      <c r="F8" s="543"/>
      <c r="H8" s="97" t="s">
        <v>268</v>
      </c>
      <c r="I8" s="264"/>
      <c r="J8" s="62"/>
      <c r="K8" s="141"/>
      <c r="L8" s="1351"/>
      <c r="M8" s="1351"/>
      <c r="N8" s="1351"/>
      <c r="O8" s="1333"/>
      <c r="P8" s="1333"/>
      <c r="Q8" s="1333"/>
      <c r="R8" s="1333"/>
      <c r="S8" s="1449"/>
      <c r="T8" s="1333"/>
      <c r="U8" s="1333"/>
      <c r="V8" s="1333"/>
      <c r="W8" s="1333"/>
      <c r="X8" s="1333"/>
      <c r="Y8" s="1333"/>
      <c r="Z8" s="1333"/>
      <c r="AA8" s="1333"/>
      <c r="AB8" s="1333"/>
      <c r="AC8" s="1333"/>
      <c r="AD8" s="1333"/>
      <c r="AE8" s="1333"/>
      <c r="AF8" s="1333"/>
      <c r="AG8" s="1333"/>
      <c r="AH8" s="1333"/>
      <c r="AI8" s="1333"/>
      <c r="AJ8" s="1333"/>
    </row>
    <row r="9" spans="1:49" ht="15" hidden="1" customHeight="1" x14ac:dyDescent="0.25">
      <c r="A9" s="1342"/>
      <c r="C9" s="20" t="s">
        <v>72</v>
      </c>
      <c r="D9" s="20" t="s">
        <v>38</v>
      </c>
      <c r="E9" s="46" t="s">
        <v>47</v>
      </c>
      <c r="F9" s="543"/>
      <c r="H9" s="97" t="s">
        <v>53</v>
      </c>
      <c r="I9" s="264"/>
      <c r="J9" s="62"/>
      <c r="K9" s="141"/>
      <c r="L9" s="1351"/>
      <c r="M9" s="1351"/>
      <c r="N9" s="1351"/>
      <c r="O9" s="1333"/>
      <c r="P9" s="1333"/>
      <c r="Q9" s="1333"/>
      <c r="R9" s="1333"/>
      <c r="S9" s="1449"/>
      <c r="T9" s="1333"/>
      <c r="U9" s="1333"/>
      <c r="V9" s="1333"/>
      <c r="W9" s="1333"/>
      <c r="X9" s="1333"/>
      <c r="Y9" s="1333"/>
      <c r="Z9" s="1333"/>
      <c r="AA9" s="1333"/>
      <c r="AB9" s="1333"/>
      <c r="AC9" s="1333"/>
      <c r="AD9" s="1333"/>
      <c r="AE9" s="1333"/>
      <c r="AF9" s="1333"/>
      <c r="AG9" s="1333"/>
      <c r="AH9" s="1333"/>
      <c r="AI9" s="1333"/>
      <c r="AJ9" s="1333"/>
    </row>
    <row r="10" spans="1:49" ht="15" hidden="1" customHeight="1" x14ac:dyDescent="0.25">
      <c r="A10" s="1342"/>
      <c r="C10" s="20"/>
      <c r="D10" s="20" t="s">
        <v>21</v>
      </c>
      <c r="E10" s="46" t="s">
        <v>47</v>
      </c>
      <c r="F10" s="543"/>
      <c r="H10" s="98" t="s">
        <v>109</v>
      </c>
      <c r="I10" s="264"/>
      <c r="J10" s="62"/>
      <c r="K10" s="141"/>
      <c r="L10" s="1351"/>
      <c r="M10" s="1351"/>
      <c r="N10" s="1351"/>
      <c r="O10" s="1333"/>
      <c r="P10" s="1333"/>
      <c r="Q10" s="1333"/>
      <c r="R10" s="1333"/>
      <c r="S10" s="1449"/>
      <c r="T10" s="1333"/>
      <c r="U10" s="1333"/>
      <c r="V10" s="1333"/>
      <c r="W10" s="1333"/>
      <c r="X10" s="1333"/>
      <c r="Y10" s="1333"/>
      <c r="Z10" s="1333"/>
      <c r="AA10" s="1333"/>
      <c r="AB10" s="1333"/>
      <c r="AC10" s="1333"/>
      <c r="AD10" s="1333"/>
      <c r="AE10" s="1333"/>
      <c r="AF10" s="1333"/>
      <c r="AG10" s="1333"/>
      <c r="AH10" s="1333"/>
      <c r="AI10" s="1333"/>
      <c r="AJ10" s="1333"/>
    </row>
    <row r="11" spans="1:49" ht="3" hidden="1" customHeight="1" thickTop="1" x14ac:dyDescent="0.25">
      <c r="A11" s="1342"/>
      <c r="C11" s="20"/>
      <c r="D11" s="20"/>
      <c r="F11" s="543"/>
      <c r="I11" s="264"/>
      <c r="J11" s="62"/>
      <c r="K11" s="141"/>
      <c r="L11" s="1351"/>
      <c r="M11" s="1351"/>
      <c r="N11" s="1351"/>
      <c r="O11" s="1333"/>
      <c r="P11" s="1333"/>
      <c r="Q11" s="1333"/>
      <c r="R11" s="1333"/>
      <c r="S11" s="1449"/>
      <c r="T11" s="1333"/>
      <c r="U11" s="1333"/>
      <c r="V11" s="1333"/>
      <c r="W11" s="1333"/>
      <c r="X11" s="1333"/>
      <c r="Y11" s="1333"/>
      <c r="Z11" s="1333"/>
      <c r="AA11" s="1333"/>
      <c r="AB11" s="1333"/>
      <c r="AC11" s="1333"/>
      <c r="AD11" s="1333"/>
      <c r="AE11" s="1333"/>
      <c r="AF11" s="1333"/>
      <c r="AG11" s="1333"/>
      <c r="AH11" s="1333"/>
      <c r="AI11" s="1333"/>
      <c r="AJ11" s="1333"/>
    </row>
    <row r="12" spans="1:49" ht="11.25" hidden="1" customHeight="1" x14ac:dyDescent="0.25">
      <c r="A12" s="1342"/>
      <c r="F12" s="543"/>
      <c r="I12" s="264"/>
      <c r="J12" s="62"/>
      <c r="K12" s="141"/>
      <c r="L12" s="1351"/>
      <c r="M12" s="1351"/>
      <c r="N12" s="1351"/>
      <c r="O12" s="1333"/>
      <c r="P12" s="1333"/>
      <c r="Q12" s="1333"/>
      <c r="R12" s="1333"/>
      <c r="S12" s="1449"/>
      <c r="T12" s="1333"/>
      <c r="U12" s="1333"/>
      <c r="V12" s="1333"/>
      <c r="W12" s="1333"/>
      <c r="X12" s="1333"/>
      <c r="Y12" s="1333"/>
      <c r="Z12" s="1333"/>
      <c r="AA12" s="1333"/>
      <c r="AB12" s="1333"/>
      <c r="AC12" s="1333"/>
      <c r="AD12" s="1333"/>
      <c r="AE12" s="1333"/>
      <c r="AF12" s="1333"/>
      <c r="AG12" s="1333"/>
      <c r="AH12" s="1333"/>
      <c r="AI12" s="1333"/>
      <c r="AJ12" s="1333"/>
    </row>
    <row r="13" spans="1:49" ht="6" customHeight="1" x14ac:dyDescent="0.25">
      <c r="A13" s="1367"/>
      <c r="F13" s="543"/>
      <c r="I13" s="264"/>
      <c r="J13" s="140"/>
      <c r="K13" s="143"/>
      <c r="L13" s="1369"/>
      <c r="M13" s="1369"/>
      <c r="N13" s="1369"/>
      <c r="O13" s="1333"/>
      <c r="P13" s="1333"/>
      <c r="Q13" s="1333"/>
      <c r="R13" s="1333"/>
      <c r="S13" s="1449"/>
      <c r="T13" s="1333"/>
      <c r="U13" s="1333"/>
      <c r="V13" s="1333"/>
      <c r="W13" s="1333"/>
      <c r="X13" s="1333"/>
      <c r="Y13" s="1333"/>
      <c r="Z13" s="1333"/>
      <c r="AA13" s="1333"/>
      <c r="AB13" s="1333"/>
      <c r="AC13" s="1333"/>
      <c r="AD13" s="1333"/>
      <c r="AE13" s="1333"/>
      <c r="AF13" s="1333"/>
      <c r="AG13" s="1333"/>
      <c r="AH13" s="1333"/>
      <c r="AI13" s="1333"/>
      <c r="AJ13" s="1333"/>
    </row>
    <row r="14" spans="1:49" ht="6" customHeight="1" x14ac:dyDescent="0.25">
      <c r="A14" s="1331"/>
      <c r="B14" s="119"/>
      <c r="C14" s="120"/>
      <c r="D14" s="121"/>
      <c r="E14" s="121"/>
      <c r="F14" s="121"/>
      <c r="G14" s="122"/>
      <c r="H14" s="123"/>
      <c r="I14" s="124"/>
      <c r="K14" s="62"/>
      <c r="L14" s="1333"/>
      <c r="M14" s="1333"/>
      <c r="N14" s="1333"/>
      <c r="O14" s="1333"/>
      <c r="P14" s="1333"/>
      <c r="Q14" s="1333"/>
      <c r="R14" s="1333"/>
      <c r="S14" s="1449"/>
      <c r="T14" s="1333"/>
      <c r="U14" s="1333"/>
      <c r="V14" s="1333"/>
      <c r="W14" s="1333"/>
      <c r="X14" s="1333"/>
      <c r="Y14" s="1333"/>
      <c r="Z14" s="1333"/>
      <c r="AA14" s="1333"/>
      <c r="AB14" s="1333"/>
      <c r="AC14" s="1333"/>
      <c r="AD14" s="1333"/>
      <c r="AE14" s="1333"/>
      <c r="AF14" s="1333"/>
      <c r="AG14" s="1333"/>
      <c r="AH14" s="1333"/>
      <c r="AI14" s="1333"/>
      <c r="AJ14" s="1333"/>
    </row>
    <row r="15" spans="1:49" ht="18.75" x14ac:dyDescent="0.3">
      <c r="A15" s="2291" t="s">
        <v>179</v>
      </c>
      <c r="B15" s="125"/>
      <c r="C15" s="2342" t="str">
        <f>CONCATENATE(Project_No," - ",Project_Name)</f>
        <v>U12345 - Davenport Hall Addition &amp; Remodel - Example</v>
      </c>
      <c r="D15" s="2342"/>
      <c r="E15" s="2342"/>
      <c r="F15" s="2342"/>
      <c r="G15" s="2342"/>
      <c r="H15" s="2342"/>
      <c r="I15" s="126"/>
      <c r="K15" s="224"/>
      <c r="L15" s="1378" t="str">
        <f ca="1">CONCATENATE(IF(ISNUMBER(SEARCH("INSERT",C15))=TRUE,"&lt;----Fill in information in tab [","&lt;----ECHOED from Tab ["),MID(CELL("filename",'A-Info, Phases, Recip.'!D4),FIND("]",CELL("filename",'A-Info, Phases, Recip.'!D4))+1,255),"]")</f>
        <v>&lt;----ECHOED from Tab [A-Info, Phases, Recip.]</v>
      </c>
      <c r="M15" s="1333"/>
      <c r="N15" s="1333"/>
      <c r="O15" s="1333"/>
      <c r="P15" s="1333"/>
      <c r="Q15" s="1333"/>
      <c r="R15" s="1333"/>
      <c r="S15" s="1449"/>
      <c r="T15" s="1333"/>
      <c r="U15" s="1333"/>
      <c r="V15" s="1333"/>
      <c r="W15" s="1333"/>
      <c r="X15" s="1333"/>
      <c r="Y15" s="1333"/>
      <c r="Z15" s="1333"/>
      <c r="AA15" s="1333"/>
      <c r="AB15" s="1333"/>
      <c r="AC15" s="1333"/>
      <c r="AD15" s="1333"/>
      <c r="AE15" s="1333"/>
      <c r="AF15" s="1333"/>
      <c r="AG15" s="1333"/>
      <c r="AH15" s="1333"/>
      <c r="AI15" s="1333"/>
      <c r="AJ15" s="1333"/>
    </row>
    <row r="16" spans="1:49" ht="18.75" x14ac:dyDescent="0.3">
      <c r="A16" s="2291"/>
      <c r="B16" s="125"/>
      <c r="C16" s="2054" t="str">
        <f>IF(OR(Construction="Construction does not apply",Feasibility_Concept="Conceptualization Only",Feasibility_Concept="Feasibility Study"),"NO CONSTRUCTION - POST CONST. DOES NOT APPLY",IF(Post_Const_Apply="NO","POST CONSTRUCTION DOES NOT APPLY",CONCATENATE(VLOOKUP(Post_Const_placeholder,'A-Info, Phases, Recip.'!E$126:F$146,2,FALSE)," - PSC Minimum List of Deliverables")))</f>
        <v>Post Construction - PSC Minimum List of Deliverables</v>
      </c>
      <c r="D16" s="2054"/>
      <c r="E16" s="2054"/>
      <c r="F16" s="2054"/>
      <c r="G16" s="2054"/>
      <c r="H16" s="2054"/>
      <c r="I16" s="126"/>
      <c r="K16" s="224"/>
      <c r="L16" s="1442" t="str">
        <f ca="1">CONCATENATE("&lt;----Phase Applicability chosen in Tab [",MID(CELL("filename",'A-Info, Phases, Recip.'!D4),FIND("]",CELL("filename",'A-Info, Phases, Recip.'!D4))+1,255),"]")</f>
        <v>&lt;----Phase Applicability chosen in Tab [A-Info, Phases, Recip.]</v>
      </c>
      <c r="M16" s="1333"/>
      <c r="N16" s="1333"/>
      <c r="O16" s="1333"/>
      <c r="P16" s="1333"/>
      <c r="Q16" s="1333"/>
      <c r="R16" s="1333"/>
      <c r="S16" s="1449"/>
      <c r="T16" s="1333"/>
      <c r="U16" s="1333"/>
      <c r="V16" s="1333"/>
      <c r="W16" s="1333"/>
      <c r="X16" s="1333"/>
      <c r="Y16" s="1333"/>
      <c r="Z16" s="1333"/>
      <c r="AA16" s="1333"/>
      <c r="AB16" s="1333"/>
      <c r="AC16" s="1333"/>
      <c r="AD16" s="1333"/>
      <c r="AE16" s="1333"/>
      <c r="AF16" s="1333"/>
      <c r="AG16" s="1333"/>
      <c r="AH16" s="1333"/>
      <c r="AI16" s="1333"/>
      <c r="AJ16" s="1333"/>
    </row>
    <row r="17" spans="1:49" s="542" customFormat="1" ht="7.5" customHeight="1" x14ac:dyDescent="0.3">
      <c r="A17" s="2291"/>
      <c r="B17" s="125"/>
      <c r="C17" s="1047"/>
      <c r="D17" s="1047"/>
      <c r="E17" s="1047"/>
      <c r="F17" s="1047"/>
      <c r="G17" s="1047"/>
      <c r="H17" s="1047"/>
      <c r="I17" s="126"/>
      <c r="J17" s="17"/>
      <c r="K17" s="224"/>
      <c r="L17" s="1442"/>
      <c r="M17" s="1333"/>
      <c r="N17" s="1333"/>
      <c r="O17" s="1333"/>
      <c r="P17" s="1333"/>
      <c r="Q17" s="1333"/>
      <c r="R17" s="1333"/>
      <c r="S17" s="1449"/>
      <c r="T17" s="1333"/>
      <c r="U17" s="1333"/>
      <c r="V17" s="1333"/>
      <c r="W17" s="1333"/>
      <c r="X17" s="1333"/>
      <c r="Y17" s="1333"/>
      <c r="Z17" s="1333"/>
      <c r="AA17" s="1333"/>
      <c r="AB17" s="1333"/>
      <c r="AC17" s="1333"/>
      <c r="AD17" s="1333"/>
      <c r="AE17" s="1333"/>
      <c r="AF17" s="1333"/>
      <c r="AG17" s="1333"/>
      <c r="AH17" s="1333"/>
      <c r="AI17" s="1333"/>
      <c r="AJ17" s="1333"/>
      <c r="AK17" s="17"/>
      <c r="AL17" s="17"/>
      <c r="AM17" s="17"/>
      <c r="AN17" s="17"/>
      <c r="AO17" s="17"/>
      <c r="AP17" s="17"/>
      <c r="AQ17" s="17"/>
      <c r="AR17" s="17"/>
      <c r="AS17" s="17"/>
      <c r="AT17" s="17"/>
      <c r="AU17" s="17"/>
      <c r="AV17" s="17"/>
      <c r="AW17" s="17"/>
    </row>
    <row r="18" spans="1:49" ht="13.5" customHeight="1" x14ac:dyDescent="0.3">
      <c r="A18" s="2291"/>
      <c r="B18" s="125"/>
      <c r="C18" s="2055" t="str">
        <f>CONCATENATE("Const. Delivery = ",Const_Delivery_Method," ; Const. Type = ",Const_Type,"; LEED Goal = ",IF(LEED_Goal="none","N/A",LEED_Goal),"; Bldg, lot, or Utility: ",Bldg_No_or_Utility)</f>
        <v>Const. Delivery = BID ; Const. Type = Remodeling/Addition; LEED Goal = Silver - Certified; Bldg, lot, or Utility: 0001</v>
      </c>
      <c r="D18" s="2056"/>
      <c r="E18" s="2056"/>
      <c r="F18" s="2056"/>
      <c r="G18" s="2056"/>
      <c r="H18" s="2056"/>
      <c r="I18" s="127"/>
      <c r="K18" s="224"/>
      <c r="L18" s="1378" t="str">
        <f ca="1">CONCATENATE(IF(OR(ISNUMBER(SEARCH("Select",C18))=TRUE,ISNUMBER(SEARCH("Choose",D18))=TRUE,ISNUMBER(SEARCH("####",C18))=TRUE),"&lt;----Fill in information in tab [","&lt;----ECHOED from Tab ["),MID(CELL("filename",'A-Info, Phases, Recip.'!D6),FIND("]",CELL("filename",'A-Info, Phases, Recip.'!D6))+1,255),"]")</f>
        <v>&lt;----ECHOED from Tab [A-Info, Phases, Recip.]</v>
      </c>
      <c r="M18" s="1333"/>
      <c r="N18" s="1333"/>
      <c r="O18" s="1333"/>
      <c r="P18" s="1333"/>
      <c r="Q18" s="1333"/>
      <c r="R18" s="1333"/>
      <c r="S18" s="1449"/>
      <c r="T18" s="1333"/>
      <c r="U18" s="1333"/>
      <c r="V18" s="1333"/>
      <c r="W18" s="1333"/>
      <c r="X18" s="1333"/>
      <c r="Y18" s="1333"/>
      <c r="Z18" s="1333"/>
      <c r="AA18" s="1333"/>
      <c r="AB18" s="1333"/>
      <c r="AC18" s="1333"/>
      <c r="AD18" s="1333"/>
      <c r="AE18" s="1333"/>
      <c r="AF18" s="1333"/>
      <c r="AG18" s="1333"/>
      <c r="AH18" s="1333"/>
      <c r="AI18" s="1333"/>
      <c r="AJ18" s="1333"/>
    </row>
    <row r="19" spans="1:49" ht="11.1" customHeight="1" x14ac:dyDescent="0.3">
      <c r="A19" s="2291"/>
      <c r="B19" s="125"/>
      <c r="C19" s="2057" t="str">
        <f>CONCATENATE("Master Template last updated on: ",TEXT(Form_Update,"MM/DD/YYYY"),".  Struck out text is not required.")</f>
        <v>Master Template last updated on: 08/31/2020.  Struck out text is not required.</v>
      </c>
      <c r="D19" s="2057"/>
      <c r="E19" s="2057"/>
      <c r="F19" s="2057"/>
      <c r="G19" s="2057"/>
      <c r="H19" s="2057"/>
      <c r="I19" s="128"/>
      <c r="K19" s="224"/>
      <c r="L19" s="1333"/>
      <c r="M19" s="1333"/>
      <c r="N19" s="1333"/>
      <c r="O19" s="1333"/>
      <c r="P19" s="1333"/>
      <c r="Q19" s="1333"/>
      <c r="R19" s="1333"/>
      <c r="S19" s="1449"/>
      <c r="T19" s="1333"/>
      <c r="U19" s="1333"/>
      <c r="V19" s="1333"/>
      <c r="W19" s="1333"/>
      <c r="X19" s="1333"/>
      <c r="Y19" s="1333"/>
      <c r="Z19" s="1333"/>
      <c r="AA19" s="1333"/>
      <c r="AB19" s="1333"/>
      <c r="AC19" s="1333"/>
      <c r="AD19" s="1333"/>
      <c r="AE19" s="1333"/>
      <c r="AF19" s="1333"/>
      <c r="AG19" s="1333"/>
      <c r="AH19" s="1333"/>
      <c r="AI19" s="1333"/>
      <c r="AJ19" s="1333"/>
      <c r="AV19"/>
      <c r="AW19"/>
    </row>
    <row r="20" spans="1:49" ht="9" customHeight="1" x14ac:dyDescent="0.3">
      <c r="A20" s="2291"/>
      <c r="B20" s="125"/>
      <c r="C20" s="18"/>
      <c r="D20" s="21"/>
      <c r="E20" s="21"/>
      <c r="F20" s="21"/>
      <c r="G20" s="129"/>
      <c r="H20" s="62"/>
      <c r="I20" s="130"/>
      <c r="K20" s="224"/>
      <c r="L20" s="1333"/>
      <c r="M20" s="1333"/>
      <c r="N20" s="1333"/>
      <c r="O20" s="1333"/>
      <c r="P20" s="1333"/>
      <c r="Q20" s="1333"/>
      <c r="R20" s="1333"/>
      <c r="S20" s="1449"/>
      <c r="T20" s="1333"/>
      <c r="U20" s="1333"/>
      <c r="V20" s="1333"/>
      <c r="W20" s="1333"/>
      <c r="X20" s="1333"/>
      <c r="Y20" s="1333"/>
      <c r="Z20" s="1333"/>
      <c r="AA20" s="1333"/>
      <c r="AB20" s="1333"/>
      <c r="AC20" s="1333"/>
      <c r="AD20" s="1333"/>
      <c r="AE20" s="1333"/>
      <c r="AF20" s="1333"/>
      <c r="AG20" s="1333"/>
      <c r="AH20" s="1333"/>
      <c r="AI20" s="1333"/>
      <c r="AJ20" s="1333"/>
    </row>
    <row r="21" spans="1:49" ht="12.75" customHeight="1" x14ac:dyDescent="0.3">
      <c r="A21" s="2291"/>
      <c r="B21" s="125"/>
      <c r="C21" s="2276">
        <f>IF(Date_edited_TAB_C="","",Date_edited_TAB_C)</f>
        <v>44069</v>
      </c>
      <c r="D21" s="2276"/>
      <c r="E21" s="610"/>
      <c r="F21" s="2277" t="str">
        <f>IF(Edit_by_Entity_TAB_C="","",Edit_by_Entity_TAB_C)</f>
        <v>PM</v>
      </c>
      <c r="G21" s="2277"/>
      <c r="H21" s="99" t="str">
        <f>IF(Editor_Name_TAB_C="","",Editor_Name_TAB_C)</f>
        <v>Smith</v>
      </c>
      <c r="I21" s="128"/>
      <c r="K21" s="224"/>
      <c r="L21" s="1443" t="str">
        <f ca="1">CONCATENATE("&lt;----Enter/Update ''EDIT DATE'' / ''ENTITY'' / ''EDITOR NAME'' in TAB [",MID(CELL("filename",Date_edited_TAB_C),FIND("]",CELL("filename",Date_edited_TAB_C))+1,255),"]")</f>
        <v>&lt;----Enter/Update ''EDIT DATE'' / ''ENTITY'' / ''EDITOR NAME'' in TAB [C-Design&amp;Const]</v>
      </c>
      <c r="M21" s="1333"/>
      <c r="N21" s="1333"/>
      <c r="O21" s="1333"/>
      <c r="P21" s="1333"/>
      <c r="Q21" s="1333"/>
      <c r="R21" s="1333"/>
      <c r="S21" s="1449"/>
      <c r="T21" s="1333"/>
      <c r="U21" s="1333"/>
      <c r="V21" s="1333"/>
      <c r="W21" s="1333"/>
      <c r="X21" s="1333"/>
      <c r="Y21" s="1333"/>
      <c r="Z21" s="1333"/>
      <c r="AA21" s="1333"/>
      <c r="AB21" s="1333"/>
      <c r="AC21" s="1333"/>
      <c r="AD21" s="1333"/>
      <c r="AE21" s="1333"/>
      <c r="AF21" s="1333"/>
      <c r="AG21" s="1333"/>
      <c r="AH21" s="1333"/>
      <c r="AI21" s="1333"/>
      <c r="AJ21" s="1333"/>
    </row>
    <row r="22" spans="1:49" ht="15" customHeight="1" x14ac:dyDescent="0.3">
      <c r="A22" s="2291"/>
      <c r="B22" s="125"/>
      <c r="C22" s="2060" t="s">
        <v>106</v>
      </c>
      <c r="D22" s="2060"/>
      <c r="E22" s="21"/>
      <c r="F22" s="2060" t="s">
        <v>267</v>
      </c>
      <c r="G22" s="2060"/>
      <c r="H22" s="316" t="s">
        <v>110</v>
      </c>
      <c r="I22" s="128"/>
      <c r="K22" s="224"/>
      <c r="L22" s="1333"/>
      <c r="M22" s="1333"/>
      <c r="N22" s="1333"/>
      <c r="O22" s="1333"/>
      <c r="P22" s="1333"/>
      <c r="Q22" s="1333"/>
      <c r="R22" s="1333"/>
      <c r="S22" s="1449"/>
      <c r="T22" s="1333"/>
      <c r="U22" s="1333"/>
      <c r="V22" s="1333"/>
      <c r="W22" s="1333"/>
      <c r="X22" s="1333"/>
      <c r="Y22" s="1333"/>
      <c r="Z22" s="1333"/>
      <c r="AA22" s="1333"/>
      <c r="AB22" s="1333"/>
      <c r="AC22" s="1333"/>
      <c r="AD22" s="1333"/>
      <c r="AE22" s="1333"/>
      <c r="AF22" s="1333"/>
      <c r="AG22" s="1333"/>
      <c r="AH22" s="1333"/>
      <c r="AI22" s="1333"/>
      <c r="AJ22" s="1333"/>
    </row>
    <row r="23" spans="1:49" ht="27" customHeight="1" thickBot="1" x14ac:dyDescent="0.35">
      <c r="A23" s="2291"/>
      <c r="B23" s="125"/>
      <c r="C23" s="270" t="s">
        <v>100</v>
      </c>
      <c r="D23" s="2343" t="s">
        <v>36</v>
      </c>
      <c r="E23" s="2343"/>
      <c r="F23" s="2343"/>
      <c r="G23" s="2344" t="s">
        <v>40</v>
      </c>
      <c r="H23" s="2345"/>
      <c r="I23" s="131"/>
      <c r="J23" s="419"/>
      <c r="K23" s="224"/>
      <c r="L23" s="1379" t="s">
        <v>48</v>
      </c>
      <c r="M23" s="1379"/>
      <c r="N23" s="1379"/>
      <c r="O23" s="1379"/>
      <c r="P23" s="1379"/>
      <c r="Q23" s="1333"/>
      <c r="R23" s="1333"/>
      <c r="S23" s="1449"/>
      <c r="T23" s="1333"/>
      <c r="U23" s="1333"/>
      <c r="V23" s="1333"/>
      <c r="W23" s="1333"/>
      <c r="X23" s="1333"/>
      <c r="Y23" s="1333"/>
      <c r="Z23" s="1333"/>
      <c r="AA23" s="1333"/>
      <c r="AB23" s="1333"/>
      <c r="AC23" s="1333"/>
      <c r="AD23" s="1333"/>
      <c r="AE23" s="1333"/>
      <c r="AF23" s="1333"/>
      <c r="AG23" s="1333"/>
      <c r="AH23" s="1333"/>
      <c r="AI23" s="1333"/>
      <c r="AJ23" s="1333"/>
    </row>
    <row r="24" spans="1:49" s="1" customFormat="1" ht="6.75" customHeight="1" thickTop="1" x14ac:dyDescent="0.3">
      <c r="A24" s="1331" t="str">
        <f>IF(COUNTIF('04 - 95% CD'!D24:G24,"Y")&gt;0,"Y","")</f>
        <v/>
      </c>
      <c r="B24" s="67"/>
      <c r="C24" s="25"/>
      <c r="D24" s="26"/>
      <c r="E24" s="26"/>
      <c r="F24" s="26"/>
      <c r="G24" s="27"/>
      <c r="H24" s="27"/>
      <c r="I24" s="132"/>
      <c r="J24" s="17"/>
      <c r="K24" s="224"/>
      <c r="L24" s="1333"/>
      <c r="M24" s="1333"/>
      <c r="N24" s="1333"/>
      <c r="O24" s="1333"/>
      <c r="P24" s="1333"/>
      <c r="Q24" s="1333"/>
      <c r="R24" s="1333"/>
      <c r="S24" s="1449"/>
      <c r="T24" s="1333"/>
      <c r="U24" s="1333"/>
      <c r="V24" s="1333"/>
      <c r="W24" s="1333"/>
      <c r="X24" s="1333"/>
      <c r="Y24" s="1333"/>
      <c r="Z24" s="1333"/>
      <c r="AA24" s="1333"/>
      <c r="AB24" s="1333"/>
      <c r="AC24" s="1333"/>
      <c r="AD24" s="1333"/>
      <c r="AE24" s="1333"/>
      <c r="AF24" s="1333"/>
      <c r="AG24" s="1333"/>
      <c r="AH24" s="1333"/>
      <c r="AI24" s="1333"/>
      <c r="AJ24" s="1333"/>
      <c r="AK24" s="13"/>
      <c r="AL24" s="13"/>
      <c r="AM24" s="13"/>
      <c r="AN24" s="13"/>
      <c r="AO24" s="13"/>
      <c r="AP24" s="13"/>
      <c r="AQ24" s="13"/>
      <c r="AR24" s="13"/>
      <c r="AS24" s="13"/>
      <c r="AT24" s="13"/>
      <c r="AU24" s="13"/>
      <c r="AV24" s="13"/>
      <c r="AW24" s="13"/>
    </row>
    <row r="25" spans="1:49" s="17" customFormat="1" ht="18.75" x14ac:dyDescent="0.25">
      <c r="A25" s="1501" t="str">
        <f>IF(COUNTIF('04 - 95% CD'!D25:G25,"Y")&gt;0,"Y",IF(COUNTIF('04 - 95% CD'!D25:G25,"N"),"N",""))</f>
        <v>Y</v>
      </c>
      <c r="B25" s="141"/>
      <c r="C25" s="944"/>
      <c r="D25" s="559" t="str">
        <f>IF('C-Design&amp;Const'!$W25="","",'C-Design&amp;Const'!$W25)</f>
        <v>Y</v>
      </c>
      <c r="E25" s="234"/>
      <c r="F25" s="444"/>
      <c r="G25" s="173" t="str">
        <f>IF('C-Design&amp;Const'!Y25="","",'C-Design&amp;Const'!Y25)</f>
        <v>00. *</v>
      </c>
      <c r="H25" s="115" t="str">
        <f>CONCATENATE('C-Design&amp;Const'!Z25,IF(D25="N"," Not Used In This Construction Phase",J25))</f>
        <v>Minimum List of Deliverables</v>
      </c>
      <c r="I25" s="133"/>
      <c r="K25" s="285" t="str">
        <f>IF((COUNTIF(D25:F25,"Y")=COUNTIF(A25,"Y")),"match","no 95% match")</f>
        <v>match</v>
      </c>
      <c r="L25" s="1410" t="str">
        <f t="shared" ref="L25:L99" si="0">CONCATENATE(IF(ISNUMBER(SEARCH("Placeholder",H25))=TRUE,"&lt;---PM/Planner may hide PLACEHOLDER ROW",""))</f>
        <v/>
      </c>
      <c r="M25" s="1333"/>
      <c r="N25" s="1333"/>
      <c r="O25" s="1333"/>
      <c r="P25" s="1333"/>
      <c r="Q25" s="1333"/>
      <c r="R25" s="1444"/>
      <c r="S25" s="1448"/>
      <c r="T25" s="1284"/>
      <c r="U25" s="1333"/>
      <c r="V25" s="1333"/>
      <c r="W25" s="1333"/>
      <c r="X25" s="1333"/>
      <c r="Y25" s="1333"/>
      <c r="Z25" s="1333"/>
      <c r="AA25" s="1333"/>
      <c r="AB25" s="1333"/>
      <c r="AC25" s="1333"/>
      <c r="AD25" s="1333"/>
      <c r="AE25" s="1333"/>
      <c r="AF25" s="1333"/>
      <c r="AG25" s="1333"/>
      <c r="AH25" s="1333"/>
      <c r="AI25" s="1333"/>
      <c r="AJ25" s="1333"/>
    </row>
    <row r="26" spans="1:49" s="17" customFormat="1" ht="17.25" customHeight="1" x14ac:dyDescent="0.25">
      <c r="A26" s="1516" t="str">
        <f>IF(COUNTIF('04 - 95% CD'!D26:G26,"Y")&gt;0,"Y",IF(COUNTIF('04 - 95% CD'!D26:G26,"N"),"N",""))</f>
        <v/>
      </c>
      <c r="B26" s="141"/>
      <c r="C26" s="944"/>
      <c r="D26" s="411"/>
      <c r="E26" s="411"/>
      <c r="F26" s="321"/>
      <c r="G26" s="294"/>
      <c r="H26" s="519"/>
      <c r="I26" s="130"/>
      <c r="K26" s="285" t="str">
        <f t="shared" ref="K26:K100" si="1">IF((COUNTIF(D26:F26,"Y")=COUNTIF(A26,"Y")),"match","no 95% match")</f>
        <v>match</v>
      </c>
      <c r="L26" s="1410" t="str">
        <f t="shared" si="0"/>
        <v/>
      </c>
      <c r="M26" s="1333"/>
      <c r="N26" s="1333"/>
      <c r="O26" s="1333"/>
      <c r="P26" s="1333"/>
      <c r="Q26" s="1333"/>
      <c r="R26" s="1446"/>
      <c r="S26" s="1364"/>
      <c r="T26" s="1284"/>
      <c r="U26" s="1333"/>
      <c r="V26" s="1333"/>
      <c r="W26" s="1333"/>
      <c r="X26" s="1333"/>
      <c r="Y26" s="1333"/>
      <c r="Z26" s="1333"/>
      <c r="AA26" s="1333"/>
      <c r="AB26" s="1333"/>
      <c r="AC26" s="1333"/>
      <c r="AD26" s="1333"/>
      <c r="AE26" s="1333"/>
      <c r="AF26" s="1333"/>
      <c r="AG26" s="1333"/>
      <c r="AH26" s="1333"/>
      <c r="AI26" s="1333"/>
      <c r="AJ26" s="1333"/>
    </row>
    <row r="27" spans="1:49" s="17" customFormat="1" ht="18.75" x14ac:dyDescent="0.25">
      <c r="A27" s="1501" t="str">
        <f>IF(COUNTIF('04 - 95% CD'!D27:G27,"Y")&gt;0,"Y",IF(COUNTIF('04 - 95% CD'!D27:G27,"N"),"N",""))</f>
        <v>Y</v>
      </c>
      <c r="B27" s="141"/>
      <c r="C27" s="944"/>
      <c r="D27" s="559" t="str">
        <f>IF('C-Design&amp;Const'!$W27="","",'C-Design&amp;Const'!$W27)</f>
        <v>N</v>
      </c>
      <c r="E27" s="234"/>
      <c r="F27" s="444"/>
      <c r="G27" s="173" t="str">
        <f>IF('C-Design&amp;Const'!Y27="","",'C-Design&amp;Const'!Y27)</f>
        <v>01.</v>
      </c>
      <c r="H27" s="115" t="str">
        <f>CONCATENATE('C-Design&amp;Const'!Z27,IF(D27="N"," Not Used In This Construction Phase",J27))</f>
        <v>Construction Cost Estimate Not Used In This Construction Phase</v>
      </c>
      <c r="I27" s="133"/>
      <c r="K27" s="285" t="str">
        <f t="shared" si="1"/>
        <v>no 95% match</v>
      </c>
      <c r="L27" s="1410" t="str">
        <f t="shared" si="0"/>
        <v/>
      </c>
      <c r="M27" s="1333"/>
      <c r="N27" s="1333"/>
      <c r="O27" s="1333"/>
      <c r="P27" s="1333"/>
      <c r="Q27" s="1333"/>
      <c r="R27" s="1444"/>
      <c r="S27" s="1448"/>
      <c r="T27" s="1284"/>
      <c r="U27" s="1333"/>
      <c r="V27" s="1333"/>
      <c r="W27" s="1333"/>
      <c r="X27" s="1333"/>
      <c r="Y27" s="1333"/>
      <c r="Z27" s="1333"/>
      <c r="AA27" s="1333"/>
      <c r="AB27" s="1333"/>
      <c r="AC27" s="1333"/>
      <c r="AD27" s="1333"/>
      <c r="AE27" s="1333"/>
      <c r="AF27" s="1333"/>
      <c r="AG27" s="1333"/>
      <c r="AH27" s="1333"/>
      <c r="AI27" s="1333"/>
      <c r="AJ27" s="1333"/>
    </row>
    <row r="28" spans="1:49" s="17" customFormat="1" ht="15" customHeight="1" x14ac:dyDescent="0.25">
      <c r="A28" s="1501"/>
      <c r="B28" s="141"/>
      <c r="C28" s="944"/>
      <c r="D28" s="463"/>
      <c r="E28" s="359" t="str">
        <f>IF('C-Design&amp;Const'!$W28="","",'C-Design&amp;Const'!$W28)</f>
        <v>N</v>
      </c>
      <c r="F28" s="235"/>
      <c r="G28" s="291"/>
      <c r="H28" s="340" t="str">
        <f>CONCATENATE(IF(ISNUMBER(SEARCH("Placeholder",'C-Design&amp;Const'!Z28))=TRUE,"",IF(E28="N","PLACEHOLDER ROW - ","")),'C-Design&amp;Const'!Z28,IF(E28="N","",J28))</f>
        <v>PLACEHOLDER ROW - Construction Cost Estimate</v>
      </c>
      <c r="I28" s="552"/>
      <c r="J28" s="551"/>
      <c r="K28" s="230" t="str">
        <f t="shared" ref="K28:K30" si="2">IF((COUNTIF(D28:F28,"Y")=COUNTIF(A28,"Y")),"match","no 95% match")</f>
        <v>match</v>
      </c>
      <c r="L28" s="1410"/>
      <c r="M28" s="1333"/>
      <c r="N28" s="1333"/>
      <c r="O28" s="1333"/>
      <c r="P28" s="1333"/>
      <c r="Q28" s="1333"/>
      <c r="R28" s="1444"/>
      <c r="S28" s="1448"/>
      <c r="T28" s="1284"/>
      <c r="U28" s="1333"/>
      <c r="V28" s="1333"/>
      <c r="W28" s="1333"/>
      <c r="X28" s="1333"/>
      <c r="Y28" s="1333"/>
      <c r="Z28" s="1333"/>
      <c r="AA28" s="1333"/>
      <c r="AB28" s="1333"/>
      <c r="AC28" s="1333"/>
      <c r="AD28" s="1333"/>
      <c r="AE28" s="1333"/>
      <c r="AF28" s="1333"/>
      <c r="AG28" s="1333"/>
      <c r="AH28" s="1333"/>
      <c r="AI28" s="1333"/>
      <c r="AJ28" s="1333"/>
    </row>
    <row r="29" spans="1:49" s="17" customFormat="1" ht="15" customHeight="1" x14ac:dyDescent="0.25">
      <c r="A29" s="1501"/>
      <c r="B29" s="141"/>
      <c r="C29" s="944"/>
      <c r="D29" s="463"/>
      <c r="E29" s="359" t="str">
        <f>IF('C-Design&amp;Const'!$W29="","",'C-Design&amp;Const'!$W29)</f>
        <v>N</v>
      </c>
      <c r="F29" s="235"/>
      <c r="G29" s="291"/>
      <c r="H29" s="340" t="str">
        <f>CONCATENATE(IF(ISNUMBER(SEARCH("Placeholder",'C-Design&amp;Const'!Z29))=TRUE,"",IF(E29="N","PLACEHOLDER ROW - ","")),'C-Design&amp;Const'!Z29,IF(E29="N","",J29))</f>
        <v>PLACEHOLDER ROW - Reconciliation with Owner's 3rd party estimater</v>
      </c>
      <c r="I29" s="552"/>
      <c r="J29" s="551"/>
      <c r="K29" s="230" t="str">
        <f t="shared" si="2"/>
        <v>match</v>
      </c>
      <c r="L29" s="1410"/>
      <c r="M29" s="1333"/>
      <c r="N29" s="1333"/>
      <c r="O29" s="1333"/>
      <c r="P29" s="1333"/>
      <c r="Q29" s="1333"/>
      <c r="R29" s="1444"/>
      <c r="S29" s="1448"/>
      <c r="T29" s="1284"/>
      <c r="U29" s="1333"/>
      <c r="V29" s="1333"/>
      <c r="W29" s="1333"/>
      <c r="X29" s="1333"/>
      <c r="Y29" s="1333"/>
      <c r="Z29" s="1333"/>
      <c r="AA29" s="1333"/>
      <c r="AB29" s="1333"/>
      <c r="AC29" s="1333"/>
      <c r="AD29" s="1333"/>
      <c r="AE29" s="1333"/>
      <c r="AF29" s="1333"/>
      <c r="AG29" s="1333"/>
      <c r="AH29" s="1333"/>
      <c r="AI29" s="1333"/>
      <c r="AJ29" s="1333"/>
    </row>
    <row r="30" spans="1:49" s="17" customFormat="1" ht="15" customHeight="1" x14ac:dyDescent="0.25">
      <c r="A30" s="1501"/>
      <c r="B30" s="141"/>
      <c r="C30" s="944"/>
      <c r="D30" s="463"/>
      <c r="E30" s="359" t="str">
        <f>IF('C-Design&amp;Const'!$W30="","",'C-Design&amp;Const'!$W30)</f>
        <v>N</v>
      </c>
      <c r="F30" s="235"/>
      <c r="G30" s="291"/>
      <c r="H30" s="340" t="str">
        <f>CONCATENATE(IF(ISNUMBER(SEARCH("Placeholder",'C-Design&amp;Const'!Z30))=TRUE,"",IF(E30="N","PLACEHOLDER ROW - ","")),'C-Design&amp;Const'!Z30,IF(E30="N","",J30))</f>
        <v>PLACEHOLDER ROW - CUSTOM ROW - OPTIONAL CLIENT ITEM</v>
      </c>
      <c r="I30" s="552"/>
      <c r="J30" s="551"/>
      <c r="K30" s="230" t="str">
        <f t="shared" si="2"/>
        <v>match</v>
      </c>
      <c r="L30" s="1410"/>
      <c r="M30" s="1333"/>
      <c r="N30" s="1333"/>
      <c r="O30" s="1333"/>
      <c r="P30" s="1333"/>
      <c r="Q30" s="1333"/>
      <c r="R30" s="1444"/>
      <c r="S30" s="1448"/>
      <c r="T30" s="1284"/>
      <c r="U30" s="1333"/>
      <c r="V30" s="1333"/>
      <c r="W30" s="1333"/>
      <c r="X30" s="1333"/>
      <c r="Y30" s="1333"/>
      <c r="Z30" s="1333"/>
      <c r="AA30" s="1333"/>
      <c r="AB30" s="1333"/>
      <c r="AC30" s="1333"/>
      <c r="AD30" s="1333"/>
      <c r="AE30" s="1333"/>
      <c r="AF30" s="1333"/>
      <c r="AG30" s="1333"/>
      <c r="AH30" s="1333"/>
      <c r="AI30" s="1333"/>
      <c r="AJ30" s="1333"/>
    </row>
    <row r="31" spans="1:49" s="17" customFormat="1" ht="18.75" customHeight="1" x14ac:dyDescent="0.25">
      <c r="A31" s="1516" t="str">
        <f>IF(COUNTIF('04 - 95% CD'!D31:G31,"Y")&gt;0,"Y",IF(COUNTIF('04 - 95% CD'!D31:G31,"N"),"N",""))</f>
        <v/>
      </c>
      <c r="B31" s="141"/>
      <c r="C31" s="944"/>
      <c r="D31" s="411"/>
      <c r="E31" s="411"/>
      <c r="F31" s="321"/>
      <c r="G31" s="294"/>
      <c r="H31" s="519" t="str">
        <f>IF(D27="N","",IF('C-Design&amp;Const'!Z31="","",'C-Design&amp;Const'!Z31))</f>
        <v/>
      </c>
      <c r="I31" s="130"/>
      <c r="K31" s="285" t="str">
        <f t="shared" si="1"/>
        <v>match</v>
      </c>
      <c r="L31" s="1410" t="str">
        <f t="shared" si="0"/>
        <v/>
      </c>
      <c r="M31" s="1333"/>
      <c r="N31" s="1333"/>
      <c r="O31" s="1333"/>
      <c r="P31" s="1333"/>
      <c r="Q31" s="1333"/>
      <c r="R31" s="1446"/>
      <c r="S31" s="1364"/>
      <c r="T31" s="1284"/>
      <c r="U31" s="1333"/>
      <c r="V31" s="1333"/>
      <c r="W31" s="1333"/>
      <c r="X31" s="1333"/>
      <c r="Y31" s="1333"/>
      <c r="Z31" s="1333"/>
      <c r="AA31" s="1333"/>
      <c r="AB31" s="1333"/>
      <c r="AC31" s="1333"/>
      <c r="AD31" s="1333"/>
      <c r="AE31" s="1333"/>
      <c r="AF31" s="1333"/>
      <c r="AG31" s="1333"/>
      <c r="AH31" s="1333"/>
      <c r="AI31" s="1333"/>
      <c r="AJ31" s="1333"/>
    </row>
    <row r="32" spans="1:49" s="17" customFormat="1" ht="18.75" x14ac:dyDescent="0.25">
      <c r="A32" s="1501" t="str">
        <f>IF(COUNTIF('04 - 95% CD'!D32:G32,"Y")&gt;0,"Y",IF(COUNTIF('04 - 95% CD'!D32:G32,"N"),"N",""))</f>
        <v>Y</v>
      </c>
      <c r="B32" s="141"/>
      <c r="C32" s="944"/>
      <c r="D32" s="559" t="str">
        <f>IF('C-Design&amp;Const'!$W32="","",'C-Design&amp;Const'!$W32)</f>
        <v>N</v>
      </c>
      <c r="E32" s="234"/>
      <c r="F32" s="444"/>
      <c r="G32" s="173" t="str">
        <f>IF('C-Design&amp;Const'!Y32="","",'C-Design&amp;Const'!Y32)</f>
        <v>02. *</v>
      </c>
      <c r="H32" s="115" t="str">
        <f>CONCATENATE('C-Design&amp;Const'!Z32,IF(D32="N"," Not Used In This Construction Phase",J32))</f>
        <v>Project Schedule Not Used In This Construction Phase</v>
      </c>
      <c r="I32" s="133"/>
      <c r="K32" s="285" t="str">
        <f t="shared" si="1"/>
        <v>no 95% match</v>
      </c>
      <c r="L32" s="1410" t="str">
        <f t="shared" si="0"/>
        <v/>
      </c>
      <c r="M32" s="1333"/>
      <c r="N32" s="1333"/>
      <c r="O32" s="1333"/>
      <c r="P32" s="1333"/>
      <c r="Q32" s="1333"/>
      <c r="R32" s="1444"/>
      <c r="S32" s="1448"/>
      <c r="T32" s="1284"/>
      <c r="U32" s="1333"/>
      <c r="V32" s="1333"/>
      <c r="W32" s="1333"/>
      <c r="X32" s="1333"/>
      <c r="Y32" s="1333"/>
      <c r="Z32" s="1333"/>
      <c r="AA32" s="1333"/>
      <c r="AB32" s="1333"/>
      <c r="AC32" s="1333"/>
      <c r="AD32" s="1333"/>
      <c r="AE32" s="1333"/>
      <c r="AF32" s="1333"/>
      <c r="AG32" s="1333"/>
      <c r="AH32" s="1333"/>
      <c r="AI32" s="1333"/>
      <c r="AJ32" s="1333"/>
    </row>
    <row r="33" spans="1:50" s="17" customFormat="1" ht="15" customHeight="1" x14ac:dyDescent="0.25">
      <c r="A33" s="1501"/>
      <c r="B33" s="141"/>
      <c r="C33" s="944"/>
      <c r="D33" s="463"/>
      <c r="E33" s="359" t="str">
        <f>IF('C-Design&amp;Const'!$W33="","",'C-Design&amp;Const'!$W33)</f>
        <v>N</v>
      </c>
      <c r="F33" s="235"/>
      <c r="G33" s="291"/>
      <c r="H33" s="340" t="str">
        <f>CONCATENATE(IF(ISNUMBER(SEARCH("Placeholder",'C-Design&amp;Const'!Z33))=TRUE,"",IF(E33="N","PLACEHOLDER ROW - ","")),'C-Design&amp;Const'!Z33,IF(E33="N","",J33))</f>
        <v>PLACEHOLDER ROW - Project Schedule</v>
      </c>
      <c r="I33" s="552"/>
      <c r="J33" s="551"/>
      <c r="K33" s="230" t="str">
        <f t="shared" ref="K33:K35" si="3">IF((COUNTIF(D33:F33,"Y")=COUNTIF(A33,"Y")),"match","no 95% match")</f>
        <v>match</v>
      </c>
      <c r="L33" s="1410"/>
      <c r="M33" s="1333"/>
      <c r="N33" s="1333"/>
      <c r="O33" s="1333"/>
      <c r="P33" s="1333"/>
      <c r="Q33" s="1333"/>
      <c r="R33" s="1444"/>
      <c r="S33" s="1448"/>
      <c r="T33" s="1284"/>
      <c r="U33" s="1333"/>
      <c r="V33" s="1333"/>
      <c r="W33" s="1333"/>
      <c r="X33" s="1333"/>
      <c r="Y33" s="1333"/>
      <c r="Z33" s="1333"/>
      <c r="AA33" s="1333"/>
      <c r="AB33" s="1333"/>
      <c r="AC33" s="1333"/>
      <c r="AD33" s="1333"/>
      <c r="AE33" s="1333"/>
      <c r="AF33" s="1333"/>
      <c r="AG33" s="1333"/>
      <c r="AH33" s="1333"/>
      <c r="AI33" s="1333"/>
      <c r="AJ33" s="1333"/>
    </row>
    <row r="34" spans="1:50" s="17" customFormat="1" ht="15" customHeight="1" x14ac:dyDescent="0.25">
      <c r="A34" s="1501"/>
      <c r="B34" s="141"/>
      <c r="C34" s="944"/>
      <c r="D34" s="463"/>
      <c r="E34" s="359" t="str">
        <f>IF('C-Design&amp;Const'!$W34="","",'C-Design&amp;Const'!$W34)</f>
        <v>N</v>
      </c>
      <c r="F34" s="235"/>
      <c r="G34" s="291"/>
      <c r="H34" s="340" t="str">
        <f>CONCATENATE(IF(ISNUMBER(SEARCH("Placeholder",'C-Design&amp;Const'!Z34))=TRUE,"",IF(E34="N","PLACEHOLDER ROW - ","")),'C-Design&amp;Const'!Z34,IF(E34="N","",J34))</f>
        <v>PLACEHOLDER ROW - Summary of Coordination with Owner's 3rd party scheduler</v>
      </c>
      <c r="I34" s="552"/>
      <c r="J34" s="551"/>
      <c r="K34" s="230" t="str">
        <f t="shared" si="3"/>
        <v>match</v>
      </c>
      <c r="L34" s="1410"/>
      <c r="M34" s="1333"/>
      <c r="N34" s="1333"/>
      <c r="O34" s="1333"/>
      <c r="P34" s="1333"/>
      <c r="Q34" s="1333"/>
      <c r="R34" s="1444"/>
      <c r="S34" s="1448"/>
      <c r="T34" s="1284"/>
      <c r="U34" s="1333"/>
      <c r="V34" s="1333"/>
      <c r="W34" s="1333"/>
      <c r="X34" s="1333"/>
      <c r="Y34" s="1333"/>
      <c r="Z34" s="1333"/>
      <c r="AA34" s="1333"/>
      <c r="AB34" s="1333"/>
      <c r="AC34" s="1333"/>
      <c r="AD34" s="1333"/>
      <c r="AE34" s="1333"/>
      <c r="AF34" s="1333"/>
      <c r="AG34" s="1333"/>
      <c r="AH34" s="1333"/>
      <c r="AI34" s="1333"/>
      <c r="AJ34" s="1333"/>
    </row>
    <row r="35" spans="1:50" s="17" customFormat="1" ht="15" customHeight="1" x14ac:dyDescent="0.25">
      <c r="A35" s="1501"/>
      <c r="B35" s="141"/>
      <c r="C35" s="944"/>
      <c r="D35" s="463"/>
      <c r="E35" s="359" t="str">
        <f>IF('C-Design&amp;Const'!$W35="","",'C-Design&amp;Const'!$W35)</f>
        <v>N</v>
      </c>
      <c r="F35" s="235"/>
      <c r="G35" s="291"/>
      <c r="H35" s="340" t="str">
        <f>CONCATENATE(IF(ISNUMBER(SEARCH("Placeholder",'C-Design&amp;Const'!Z35))=TRUE,"",IF(E35="N","PLACEHOLDER ROW - ","")),'C-Design&amp;Const'!Z35,IF(E35="N","",J35))</f>
        <v>PLACEHOLDER ROW - Reconciliation with Owner's 3rd party scheduler</v>
      </c>
      <c r="I35" s="552"/>
      <c r="J35" s="551"/>
      <c r="K35" s="230" t="str">
        <f t="shared" si="3"/>
        <v>match</v>
      </c>
      <c r="L35" s="1410"/>
      <c r="M35" s="1333"/>
      <c r="N35" s="1333"/>
      <c r="O35" s="1333"/>
      <c r="P35" s="1333"/>
      <c r="Q35" s="1333"/>
      <c r="R35" s="1444"/>
      <c r="S35" s="1448"/>
      <c r="T35" s="1284"/>
      <c r="U35" s="1333"/>
      <c r="V35" s="1333"/>
      <c r="W35" s="1333"/>
      <c r="X35" s="1333"/>
      <c r="Y35" s="1333"/>
      <c r="Z35" s="1333"/>
      <c r="AA35" s="1333"/>
      <c r="AB35" s="1333"/>
      <c r="AC35" s="1333"/>
      <c r="AD35" s="1333"/>
      <c r="AE35" s="1333"/>
      <c r="AF35" s="1333"/>
      <c r="AG35" s="1333"/>
      <c r="AH35" s="1333"/>
      <c r="AI35" s="1333"/>
      <c r="AJ35" s="1333"/>
    </row>
    <row r="36" spans="1:50" s="17" customFormat="1" x14ac:dyDescent="0.25">
      <c r="A36" s="1516" t="str">
        <f>IF(COUNTIF('04 - 95% CD'!D36:G36,"Y")&gt;0,"Y",IF(COUNTIF('04 - 95% CD'!D36:G36,"N"),"N",""))</f>
        <v/>
      </c>
      <c r="B36" s="141"/>
      <c r="C36" s="944"/>
      <c r="D36" s="411"/>
      <c r="E36" s="411"/>
      <c r="F36" s="321"/>
      <c r="G36" s="294"/>
      <c r="H36" s="296"/>
      <c r="I36" s="130"/>
      <c r="K36" s="285" t="str">
        <f t="shared" si="1"/>
        <v>match</v>
      </c>
      <c r="L36" s="1410" t="str">
        <f t="shared" si="0"/>
        <v/>
      </c>
      <c r="M36" s="1333"/>
      <c r="N36" s="1333"/>
      <c r="O36" s="1333"/>
      <c r="P36" s="1333"/>
      <c r="Q36" s="1333"/>
      <c r="R36" s="1446"/>
      <c r="S36" s="1364"/>
      <c r="T36" s="1284"/>
      <c r="U36" s="1333"/>
      <c r="V36" s="1333"/>
      <c r="W36" s="1333"/>
      <c r="X36" s="1333"/>
      <c r="Y36" s="1333"/>
      <c r="Z36" s="1333"/>
      <c r="AA36" s="1333"/>
      <c r="AB36" s="1333"/>
      <c r="AC36" s="1333"/>
      <c r="AD36" s="1333"/>
      <c r="AE36" s="1333"/>
      <c r="AF36" s="1333"/>
      <c r="AG36" s="1333"/>
      <c r="AH36" s="1333"/>
      <c r="AI36" s="1333"/>
      <c r="AJ36" s="1333"/>
    </row>
    <row r="37" spans="1:50" s="17" customFormat="1" ht="18.75" x14ac:dyDescent="0.25">
      <c r="A37" s="1501" t="str">
        <f>IF(COUNTIF('04 - 95% CD'!D37:G37,"Y")&gt;0,"Y",IF(COUNTIF('04 - 95% CD'!D37:G37,"N"),"N",""))</f>
        <v>Y</v>
      </c>
      <c r="B37" s="141"/>
      <c r="C37" s="948"/>
      <c r="D37" s="559" t="str">
        <f>IF('C-Design&amp;Const'!$W37="","",'C-Design&amp;Const'!$W37)</f>
        <v>N</v>
      </c>
      <c r="E37" s="234"/>
      <c r="F37" s="444"/>
      <c r="G37" s="173" t="str">
        <f>IF('C-Design&amp;Const'!Y37="","",'C-Design&amp;Const'!Y37)</f>
        <v>03.</v>
      </c>
      <c r="H37" s="239" t="str">
        <f>CONCATENATE('C-Design&amp;Const'!Z37,IF(D37="N"," Not Used In This Construction Phase",J37))</f>
        <v>Written Response to Comments Not Used In This Construction Phase</v>
      </c>
      <c r="I37" s="133"/>
      <c r="K37" s="285" t="str">
        <f t="shared" si="1"/>
        <v>no 95% match</v>
      </c>
      <c r="L37" s="1410" t="str">
        <f t="shared" si="0"/>
        <v/>
      </c>
      <c r="M37" s="1333"/>
      <c r="N37" s="1333"/>
      <c r="O37" s="1333"/>
      <c r="P37" s="1333"/>
      <c r="Q37" s="1333"/>
      <c r="R37" s="1444"/>
      <c r="S37" s="1448"/>
      <c r="T37" s="1284"/>
      <c r="U37" s="1333"/>
      <c r="V37" s="1333"/>
      <c r="W37" s="1333"/>
      <c r="X37" s="1333"/>
      <c r="Y37" s="1333"/>
      <c r="Z37" s="1333"/>
      <c r="AA37" s="1333"/>
      <c r="AB37" s="1333"/>
      <c r="AC37" s="1333"/>
      <c r="AD37" s="1333"/>
      <c r="AE37" s="1333"/>
      <c r="AF37" s="1333"/>
      <c r="AG37" s="1333"/>
      <c r="AH37" s="1333"/>
      <c r="AI37" s="1333"/>
      <c r="AJ37" s="1333"/>
    </row>
    <row r="38" spans="1:50" s="17" customFormat="1" x14ac:dyDescent="0.25">
      <c r="A38" s="1516" t="str">
        <f>IF(COUNTIF('04 - 95% CD'!D38:G38,"Y")&gt;0,"Y",IF(COUNTIF('04 - 95% CD'!D38:G38,"N"),"N",""))</f>
        <v/>
      </c>
      <c r="B38" s="141"/>
      <c r="C38" s="944"/>
      <c r="D38" s="411"/>
      <c r="E38" s="411"/>
      <c r="F38" s="321"/>
      <c r="G38" s="294"/>
      <c r="H38" s="296"/>
      <c r="I38" s="130"/>
      <c r="K38" s="285" t="str">
        <f t="shared" si="1"/>
        <v>match</v>
      </c>
      <c r="L38" s="1410" t="str">
        <f t="shared" si="0"/>
        <v/>
      </c>
      <c r="M38" s="1333"/>
      <c r="N38" s="1333"/>
      <c r="O38" s="1333"/>
      <c r="P38" s="1333"/>
      <c r="Q38" s="1333"/>
      <c r="R38" s="1445"/>
      <c r="S38" s="1364"/>
      <c r="T38" s="1284"/>
      <c r="U38" s="1333"/>
      <c r="V38" s="1333"/>
      <c r="W38" s="1333"/>
      <c r="X38" s="1333"/>
      <c r="Y38" s="1333"/>
      <c r="Z38" s="1333"/>
      <c r="AA38" s="1333"/>
      <c r="AB38" s="1333"/>
      <c r="AC38" s="1333"/>
      <c r="AD38" s="1333"/>
      <c r="AE38" s="1333"/>
      <c r="AF38" s="1333"/>
      <c r="AG38" s="1333"/>
      <c r="AH38" s="1333"/>
      <c r="AI38" s="1333"/>
      <c r="AJ38" s="1333"/>
    </row>
    <row r="39" spans="1:50" s="181" customFormat="1" ht="25.5" customHeight="1" x14ac:dyDescent="0.25">
      <c r="A39" s="1501" t="str">
        <f>IF(COUNTIF('04 - 95% CD'!D39:G39,"Y")&gt;0,"Y",IF(COUNTIF('04 - 95% CD'!D39:G39,"N"),"N",""))</f>
        <v>Y</v>
      </c>
      <c r="B39" s="177"/>
      <c r="C39" s="944"/>
      <c r="D39" s="559" t="str">
        <f>IF('C-Design&amp;Const'!$W39="","",'C-Design&amp;Const'!$W39)</f>
        <v>N</v>
      </c>
      <c r="E39" s="234"/>
      <c r="F39" s="235"/>
      <c r="G39" s="291" t="str">
        <f>IF('C-Design&amp;Const'!Y39="","",'C-Design&amp;Const'!Y39)</f>
        <v>04a. *</v>
      </c>
      <c r="H39" s="290" t="str">
        <f>CONCATENATE('C-Design&amp;Const'!Z39,IF(D39="N"," Not Used In This Construction Phase",J39))</f>
        <v>Basis of Design (BOD) Not Used In This Construction Phase</v>
      </c>
      <c r="I39" s="180"/>
      <c r="K39" s="285" t="str">
        <f t="shared" si="1"/>
        <v>no 95% match</v>
      </c>
      <c r="L39" s="1410" t="str">
        <f t="shared" si="0"/>
        <v/>
      </c>
      <c r="M39" s="1333"/>
      <c r="N39" s="1382"/>
      <c r="O39" s="1382"/>
      <c r="P39" s="1382"/>
      <c r="Q39" s="1382"/>
      <c r="R39" s="1447"/>
      <c r="S39" s="1448"/>
      <c r="T39" s="1382"/>
      <c r="U39" s="1382"/>
      <c r="V39" s="1382"/>
      <c r="W39" s="1382"/>
      <c r="X39" s="1382"/>
      <c r="Y39" s="1382"/>
      <c r="Z39" s="1382"/>
      <c r="AA39" s="1382"/>
      <c r="AB39" s="1382"/>
      <c r="AC39" s="1382"/>
      <c r="AD39" s="1382"/>
      <c r="AE39" s="1382"/>
      <c r="AF39" s="1382"/>
      <c r="AG39" s="1382"/>
      <c r="AH39" s="1382"/>
      <c r="AI39" s="1382"/>
      <c r="AJ39" s="1382"/>
      <c r="AX39" s="30"/>
    </row>
    <row r="40" spans="1:50" s="30" customFormat="1" ht="25.5" x14ac:dyDescent="0.25">
      <c r="A40" s="1407" t="str">
        <f>IF(COUNTIF('04 - 95% CD'!D40:G40,"Y")&gt;0,"Y",IF(COUNTIF('04 - 95% CD'!D40:G40,"N"),"N",""))</f>
        <v>Y</v>
      </c>
      <c r="B40" s="191"/>
      <c r="C40" s="944"/>
      <c r="D40" s="463"/>
      <c r="E40" s="359" t="str">
        <f>IF('C-Design&amp;Const'!$W40="","",'C-Design&amp;Const'!$W40)</f>
        <v>N</v>
      </c>
      <c r="F40" s="235"/>
      <c r="G40" s="291"/>
      <c r="H40" s="340" t="str">
        <f>CONCATENATE(IF(ISNUMBER(SEARCH("Placeholder",'C-Design&amp;Const'!Z40))=TRUE,"",IF(E40="N","PLACEHOLDER ROW - ","")),'C-Design&amp;Const'!Z40,IF(E40="N","",J40))</f>
        <v xml:space="preserve">PLACEHOLDER ROW - Project Description </v>
      </c>
      <c r="I40" s="184"/>
      <c r="J40" s="181"/>
      <c r="K40" s="230" t="str">
        <f t="shared" si="1"/>
        <v>no 95% match</v>
      </c>
      <c r="L40" s="1410" t="str">
        <f t="shared" si="0"/>
        <v>&lt;---PM/Planner may hide PLACEHOLDER ROW</v>
      </c>
      <c r="M40" s="1333"/>
      <c r="N40" s="1382"/>
      <c r="O40" s="1382"/>
      <c r="P40" s="1382"/>
      <c r="Q40" s="1382"/>
      <c r="R40" s="1382"/>
      <c r="S40" s="1382"/>
      <c r="T40" s="1382"/>
      <c r="U40" s="1382"/>
      <c r="V40" s="1382"/>
      <c r="W40" s="1382"/>
      <c r="X40" s="1382"/>
      <c r="Y40" s="1382"/>
      <c r="Z40" s="1382"/>
      <c r="AA40" s="1382"/>
      <c r="AB40" s="1382"/>
      <c r="AC40" s="1382"/>
      <c r="AD40" s="1382"/>
      <c r="AE40" s="1382"/>
      <c r="AF40" s="1382"/>
      <c r="AG40" s="1382"/>
      <c r="AH40" s="1382"/>
      <c r="AI40" s="1382"/>
      <c r="AJ40" s="1382"/>
      <c r="AK40" s="181"/>
      <c r="AL40" s="181"/>
      <c r="AM40" s="181"/>
      <c r="AN40" s="181"/>
      <c r="AO40" s="181"/>
      <c r="AP40" s="181"/>
      <c r="AQ40" s="181"/>
      <c r="AR40" s="181"/>
      <c r="AS40" s="181"/>
      <c r="AT40" s="181"/>
      <c r="AU40" s="181"/>
      <c r="AV40" s="181"/>
      <c r="AW40" s="181"/>
    </row>
    <row r="41" spans="1:50" s="30" customFormat="1" ht="18.75" x14ac:dyDescent="0.25">
      <c r="A41" s="1407" t="str">
        <f>IF(COUNTIF('04 - 95% CD'!D41:G41,"Y")&gt;0,"Y",IF(COUNTIF('04 - 95% CD'!D41:G41,"N"),"N",""))</f>
        <v>N</v>
      </c>
      <c r="B41" s="191"/>
      <c r="C41" s="944"/>
      <c r="D41" s="463"/>
      <c r="E41" s="359" t="str">
        <f>IF('C-Design&amp;Const'!$W41="","",'C-Design&amp;Const'!$W41)</f>
        <v>N</v>
      </c>
      <c r="F41" s="235"/>
      <c r="G41" s="291"/>
      <c r="H41" s="358" t="str">
        <f>CONCATENATE(IF(ISNUMBER(SEARCH("Placeholder",'C-Design&amp;Const'!Z41))=TRUE,"",IF(E41="N","PLACEHOLDER ROW - ","")),'C-Design&amp;Const'!Z41,IF(E41="N","",J41))</f>
        <v xml:space="preserve">PLACEHOLDER ROW - Program Needs Assessment </v>
      </c>
      <c r="I41" s="184"/>
      <c r="J41" s="181"/>
      <c r="K41" s="230" t="str">
        <f t="shared" si="1"/>
        <v>match</v>
      </c>
      <c r="L41" s="1410" t="str">
        <f t="shared" si="0"/>
        <v>&lt;---PM/Planner may hide PLACEHOLDER ROW</v>
      </c>
      <c r="M41" s="1333"/>
      <c r="N41" s="1382"/>
      <c r="O41" s="1382"/>
      <c r="P41" s="1382"/>
      <c r="Q41" s="1382"/>
      <c r="R41" s="1382"/>
      <c r="S41" s="1382"/>
      <c r="T41" s="1382"/>
      <c r="U41" s="1382"/>
      <c r="V41" s="1382"/>
      <c r="W41" s="1382"/>
      <c r="X41" s="1382"/>
      <c r="Y41" s="1382"/>
      <c r="Z41" s="1382"/>
      <c r="AA41" s="1382"/>
      <c r="AB41" s="1382"/>
      <c r="AC41" s="1382"/>
      <c r="AD41" s="1382"/>
      <c r="AE41" s="1382"/>
      <c r="AF41" s="1382"/>
      <c r="AG41" s="1382"/>
      <c r="AH41" s="1382"/>
      <c r="AI41" s="1382"/>
      <c r="AJ41" s="1382"/>
      <c r="AK41" s="181"/>
      <c r="AL41" s="181"/>
      <c r="AM41" s="181"/>
      <c r="AN41" s="181"/>
      <c r="AO41" s="181"/>
      <c r="AP41" s="181"/>
      <c r="AQ41" s="181"/>
      <c r="AR41" s="181"/>
      <c r="AS41" s="181"/>
      <c r="AT41" s="181"/>
      <c r="AU41" s="181"/>
      <c r="AV41" s="181"/>
      <c r="AW41" s="181"/>
    </row>
    <row r="42" spans="1:50" s="30" customFormat="1" ht="18.75" x14ac:dyDescent="0.25">
      <c r="A42" s="1407" t="str">
        <f>IF(COUNTIF('04 - 95% CD'!D42:G42,"Y")&gt;0,"Y",IF(COUNTIF('04 - 95% CD'!D42:G42,"N"),"N",""))</f>
        <v>N</v>
      </c>
      <c r="B42" s="191"/>
      <c r="C42" s="944"/>
      <c r="D42" s="463"/>
      <c r="E42" s="359" t="str">
        <f>IF('C-Design&amp;Const'!$W42="","",'C-Design&amp;Const'!$W42)</f>
        <v>N</v>
      </c>
      <c r="F42" s="235"/>
      <c r="G42" s="291"/>
      <c r="H42" s="358" t="str">
        <f>CONCATENATE(IF(ISNUMBER(SEARCH("Placeholder",'C-Design&amp;Const'!Z42))=TRUE,"",IF(E42="N","PLACEHOLDER ROW - ","")),'C-Design&amp;Const'!Z42,IF(E42="N","",J42))</f>
        <v xml:space="preserve">PLACEHOLDER ROW - Program Summary / Analysis </v>
      </c>
      <c r="I42" s="184"/>
      <c r="J42" s="181"/>
      <c r="K42" s="230" t="str">
        <f t="shared" si="1"/>
        <v>match</v>
      </c>
      <c r="L42" s="1410" t="str">
        <f t="shared" si="0"/>
        <v>&lt;---PM/Planner may hide PLACEHOLDER ROW</v>
      </c>
      <c r="M42" s="1333"/>
      <c r="N42" s="1382"/>
      <c r="O42" s="1382"/>
      <c r="P42" s="1382"/>
      <c r="Q42" s="1382"/>
      <c r="R42" s="1382"/>
      <c r="S42" s="1382"/>
      <c r="T42" s="1382"/>
      <c r="U42" s="1382"/>
      <c r="V42" s="1382"/>
      <c r="W42" s="1382"/>
      <c r="X42" s="1382"/>
      <c r="Y42" s="1382"/>
      <c r="Z42" s="1382"/>
      <c r="AA42" s="1382"/>
      <c r="AB42" s="1382"/>
      <c r="AC42" s="1382"/>
      <c r="AD42" s="1382"/>
      <c r="AE42" s="1382"/>
      <c r="AF42" s="1382"/>
      <c r="AG42" s="1382"/>
      <c r="AH42" s="1382"/>
      <c r="AI42" s="1382"/>
      <c r="AJ42" s="1382"/>
      <c r="AK42" s="181"/>
      <c r="AL42" s="181"/>
      <c r="AM42" s="181"/>
      <c r="AN42" s="181"/>
      <c r="AO42" s="181"/>
      <c r="AP42" s="181"/>
      <c r="AQ42" s="181"/>
      <c r="AR42" s="181"/>
      <c r="AS42" s="181"/>
      <c r="AT42" s="181"/>
      <c r="AU42" s="181"/>
      <c r="AV42" s="181"/>
      <c r="AW42" s="181"/>
    </row>
    <row r="43" spans="1:50" s="30" customFormat="1" ht="18.75" x14ac:dyDescent="0.25">
      <c r="A43" s="1407" t="str">
        <f>IF(COUNTIF('04 - 95% CD'!D43:G43,"Y")&gt;0,"Y",IF(COUNTIF('04 - 95% CD'!D43:G43,"N"),"N",""))</f>
        <v>N</v>
      </c>
      <c r="B43" s="191"/>
      <c r="C43" s="944"/>
      <c r="D43" s="463"/>
      <c r="E43" s="359" t="str">
        <f>IF('C-Design&amp;Const'!$W43="","",'C-Design&amp;Const'!$W43)</f>
        <v>N</v>
      </c>
      <c r="F43" s="235"/>
      <c r="G43" s="291"/>
      <c r="H43" s="358" t="str">
        <f>CONCATENATE(IF(ISNUMBER(SEARCH("Placeholder",'C-Design&amp;Const'!Z43))=TRUE,"",IF(E43="N","PLACEHOLDER ROW - ","")),'C-Design&amp;Const'!Z43,IF(E43="N","",J43))</f>
        <v>PLACEHOLDER - Program Study</v>
      </c>
      <c r="I43" s="184"/>
      <c r="J43" s="181"/>
      <c r="K43" s="230" t="str">
        <f t="shared" si="1"/>
        <v>match</v>
      </c>
      <c r="L43" s="1410" t="str">
        <f t="shared" si="0"/>
        <v>&lt;---PM/Planner may hide PLACEHOLDER ROW</v>
      </c>
      <c r="M43" s="1333"/>
      <c r="N43" s="1382"/>
      <c r="O43" s="1382"/>
      <c r="P43" s="1382"/>
      <c r="Q43" s="1382"/>
      <c r="R43" s="1382"/>
      <c r="S43" s="1382"/>
      <c r="T43" s="1382"/>
      <c r="U43" s="1382"/>
      <c r="V43" s="1382"/>
      <c r="W43" s="1382"/>
      <c r="X43" s="1382"/>
      <c r="Y43" s="1382"/>
      <c r="Z43" s="1382"/>
      <c r="AA43" s="1382"/>
      <c r="AB43" s="1382"/>
      <c r="AC43" s="1382"/>
      <c r="AD43" s="1382"/>
      <c r="AE43" s="1382"/>
      <c r="AF43" s="1382"/>
      <c r="AG43" s="1382"/>
      <c r="AH43" s="1382"/>
      <c r="AI43" s="1382"/>
      <c r="AJ43" s="1382"/>
      <c r="AK43" s="181"/>
      <c r="AL43" s="181"/>
      <c r="AM43" s="181"/>
      <c r="AN43" s="181"/>
      <c r="AO43" s="181"/>
      <c r="AP43" s="181"/>
      <c r="AQ43" s="181"/>
      <c r="AR43" s="181"/>
      <c r="AS43" s="181"/>
      <c r="AT43" s="181"/>
      <c r="AU43" s="181"/>
      <c r="AV43" s="181"/>
      <c r="AW43" s="181"/>
    </row>
    <row r="44" spans="1:50" s="30" customFormat="1" ht="18.75" x14ac:dyDescent="0.25">
      <c r="A44" s="1407" t="str">
        <f>IF(COUNTIF('04 - 95% CD'!D44:G44,"Y")&gt;0,"Y",IF(COUNTIF('04 - 95% CD'!D44:G44,"N"),"N",""))</f>
        <v>N</v>
      </c>
      <c r="B44" s="191"/>
      <c r="C44" s="944"/>
      <c r="D44" s="463"/>
      <c r="E44" s="359" t="str">
        <f>IF('C-Design&amp;Const'!$W44="","",'C-Design&amp;Const'!$W44)</f>
        <v>N</v>
      </c>
      <c r="F44" s="235"/>
      <c r="G44" s="291"/>
      <c r="H44" s="340" t="str">
        <f>CONCATENATE(IF(ISNUMBER(SEARCH("Placeholder",'C-Design&amp;Const'!Z44))=TRUE,"",IF(E44="N","PLACEHOLDER ROW - ","")),'C-Design&amp;Const'!Z44,IF(E44="N","",J44))</f>
        <v xml:space="preserve">PLACEHOLDER ROW - Major Project Goals; Objectives; and Design Requirements </v>
      </c>
      <c r="I44" s="184"/>
      <c r="J44" s="181"/>
      <c r="K44" s="230" t="str">
        <f t="shared" si="1"/>
        <v>match</v>
      </c>
      <c r="L44" s="1410" t="str">
        <f t="shared" si="0"/>
        <v>&lt;---PM/Planner may hide PLACEHOLDER ROW</v>
      </c>
      <c r="M44" s="1333"/>
      <c r="N44" s="1382"/>
      <c r="O44" s="1382"/>
      <c r="P44" s="1382"/>
      <c r="Q44" s="1382"/>
      <c r="R44" s="1382"/>
      <c r="S44" s="1382"/>
      <c r="T44" s="1382"/>
      <c r="U44" s="1382"/>
      <c r="V44" s="1382"/>
      <c r="W44" s="1382"/>
      <c r="X44" s="1382"/>
      <c r="Y44" s="1382"/>
      <c r="Z44" s="1382"/>
      <c r="AA44" s="1382"/>
      <c r="AB44" s="1382"/>
      <c r="AC44" s="1382"/>
      <c r="AD44" s="1382"/>
      <c r="AE44" s="1382"/>
      <c r="AF44" s="1382"/>
      <c r="AG44" s="1382"/>
      <c r="AH44" s="1382"/>
      <c r="AI44" s="1382"/>
      <c r="AJ44" s="1382"/>
      <c r="AK44" s="181"/>
      <c r="AL44" s="181"/>
      <c r="AM44" s="181"/>
      <c r="AN44" s="181"/>
      <c r="AO44" s="181"/>
      <c r="AP44" s="181"/>
      <c r="AQ44" s="181"/>
      <c r="AR44" s="181"/>
      <c r="AS44" s="181"/>
      <c r="AT44" s="181"/>
      <c r="AU44" s="181"/>
      <c r="AV44" s="181"/>
      <c r="AW44" s="181"/>
    </row>
    <row r="45" spans="1:50" s="30" customFormat="1" x14ac:dyDescent="0.25">
      <c r="A45" s="1407" t="str">
        <f>IF(COUNTIF('04 - 95% CD'!D45:G45,"Y")&gt;0,"Y",IF(COUNTIF('04 - 95% CD'!D45:G45,"N"),"N",""))</f>
        <v>Y</v>
      </c>
      <c r="B45" s="191"/>
      <c r="C45" s="944"/>
      <c r="D45" s="321"/>
      <c r="E45" s="559" t="str">
        <f>IF('C-Design&amp;Const'!$W45="","",'C-Design&amp;Const'!$W45)</f>
        <v>N</v>
      </c>
      <c r="F45" s="560"/>
      <c r="G45" s="558"/>
      <c r="H45" s="238" t="str">
        <f>CONCATENATE(IF(ISNUMBER(SEARCH("Placeholder",'C-Design&amp;Const'!Z45))=TRUE,"",IF(E45="N","PLACEHOLDER ROW - ","")),'C-Design&amp;Const'!Z45,IF(E45="N","",J45))</f>
        <v xml:space="preserve">PLACEHOLDER ROW - Special Considerations </v>
      </c>
      <c r="I45" s="186"/>
      <c r="J45" s="181"/>
      <c r="K45" s="285" t="str">
        <f t="shared" si="1"/>
        <v>no 95% match</v>
      </c>
      <c r="L45" s="1410" t="str">
        <f t="shared" si="0"/>
        <v>&lt;---PM/Planner may hide PLACEHOLDER ROW</v>
      </c>
      <c r="M45" s="1333"/>
      <c r="N45" s="1382"/>
      <c r="O45" s="1382"/>
      <c r="P45" s="1382"/>
      <c r="Q45" s="1382"/>
      <c r="R45" s="1490"/>
      <c r="S45" s="1274"/>
      <c r="T45" s="1274"/>
      <c r="U45" s="1382"/>
      <c r="V45" s="1382"/>
      <c r="W45" s="1382"/>
      <c r="X45" s="1382"/>
      <c r="Y45" s="1382"/>
      <c r="Z45" s="1382"/>
      <c r="AA45" s="1382"/>
      <c r="AB45" s="1382"/>
      <c r="AC45" s="1382"/>
      <c r="AD45" s="1382"/>
      <c r="AE45" s="1382"/>
      <c r="AF45" s="1382"/>
      <c r="AG45" s="1382"/>
      <c r="AH45" s="1382"/>
      <c r="AI45" s="1382"/>
      <c r="AJ45" s="1382"/>
      <c r="AK45" s="181"/>
      <c r="AL45" s="181"/>
      <c r="AM45" s="181"/>
      <c r="AN45" s="181"/>
      <c r="AO45" s="181"/>
      <c r="AP45" s="181"/>
      <c r="AQ45" s="181"/>
      <c r="AR45" s="181"/>
      <c r="AS45" s="181"/>
      <c r="AT45" s="181"/>
      <c r="AU45" s="181"/>
      <c r="AV45" s="181"/>
      <c r="AW45" s="181"/>
    </row>
    <row r="46" spans="1:50" s="30" customFormat="1" x14ac:dyDescent="0.25">
      <c r="A46" s="1407" t="str">
        <f>IF(COUNTIF('04 - 95% CD'!D46:G46,"Y")&gt;0,"Y",IF(COUNTIF('04 - 95% CD'!D46:G46,"N"),"N",""))</f>
        <v>Y</v>
      </c>
      <c r="B46" s="191"/>
      <c r="C46" s="944"/>
      <c r="D46" s="321"/>
      <c r="E46" s="559" t="str">
        <f>IF('C-Design&amp;Const'!$W46="","",'C-Design&amp;Const'!$W46)</f>
        <v>N</v>
      </c>
      <c r="F46" s="560"/>
      <c r="G46" s="558"/>
      <c r="H46" s="238" t="str">
        <f>CONCATENATE(IF(ISNUMBER(SEARCH("Placeholder",'C-Design&amp;Const'!Z46))=TRUE,"",IF(E46="N","PLACEHOLDER ROW - ","")),'C-Design&amp;Const'!Z46,IF(E46="N","",J46))</f>
        <v xml:space="preserve">PLACEHOLDER ROW - Code Analysis - As Applicable </v>
      </c>
      <c r="I46" s="186"/>
      <c r="J46" s="181"/>
      <c r="K46" s="285" t="str">
        <f t="shared" si="1"/>
        <v>no 95% match</v>
      </c>
      <c r="L46" s="1410" t="str">
        <f t="shared" si="0"/>
        <v>&lt;---PM/Planner may hide PLACEHOLDER ROW</v>
      </c>
      <c r="M46" s="1333"/>
      <c r="N46" s="1382"/>
      <c r="O46" s="1382"/>
      <c r="P46" s="1382"/>
      <c r="Q46" s="1382"/>
      <c r="R46" s="1490"/>
      <c r="S46" s="1274"/>
      <c r="T46" s="1274"/>
      <c r="U46" s="1382"/>
      <c r="V46" s="1382"/>
      <c r="W46" s="1382"/>
      <c r="X46" s="1382"/>
      <c r="Y46" s="1382"/>
      <c r="Z46" s="1382"/>
      <c r="AA46" s="1382"/>
      <c r="AB46" s="1382"/>
      <c r="AC46" s="1382"/>
      <c r="AD46" s="1382"/>
      <c r="AE46" s="1382"/>
      <c r="AF46" s="1382"/>
      <c r="AG46" s="1382"/>
      <c r="AH46" s="1382"/>
      <c r="AI46" s="1382"/>
      <c r="AJ46" s="1382"/>
      <c r="AK46" s="181"/>
      <c r="AL46" s="181"/>
      <c r="AM46" s="181"/>
      <c r="AN46" s="181"/>
      <c r="AO46" s="181"/>
      <c r="AP46" s="181"/>
      <c r="AQ46" s="181"/>
      <c r="AR46" s="181"/>
      <c r="AS46" s="181"/>
      <c r="AT46" s="181"/>
      <c r="AU46" s="181"/>
      <c r="AV46" s="181"/>
      <c r="AW46" s="181"/>
    </row>
    <row r="47" spans="1:50" s="30" customFormat="1" x14ac:dyDescent="0.25">
      <c r="A47" s="1407" t="str">
        <f>IF(COUNTIF('04 - 95% CD'!D47:G47,"Y")&gt;0,"Y",IF(COUNTIF('04 - 95% CD'!D47:G47,"N"),"N",""))</f>
        <v>Y</v>
      </c>
      <c r="B47" s="191"/>
      <c r="C47" s="944"/>
      <c r="D47" s="321"/>
      <c r="E47" s="559" t="str">
        <f>IF('C-Design&amp;Const'!$W47="","",'C-Design&amp;Const'!$W47)</f>
        <v>N</v>
      </c>
      <c r="F47" s="560"/>
      <c r="G47" s="558"/>
      <c r="H47" s="238" t="str">
        <f>CONCATENATE(IF(ISNUMBER(SEARCH("Placeholder",'C-Design&amp;Const'!Z47))=TRUE,"",IF(E47="N","PLACEHOLDER ROW - ","")),'C-Design&amp;Const'!Z47,IF(E47="N","",J47))</f>
        <v xml:space="preserve">PLACEHOLDER ROW - Permit Analysis  - As Applicable </v>
      </c>
      <c r="I47" s="186"/>
      <c r="J47" s="181"/>
      <c r="K47" s="285" t="str">
        <f t="shared" si="1"/>
        <v>no 95% match</v>
      </c>
      <c r="L47" s="1410" t="str">
        <f t="shared" si="0"/>
        <v>&lt;---PM/Planner may hide PLACEHOLDER ROW</v>
      </c>
      <c r="M47" s="1333"/>
      <c r="N47" s="1382"/>
      <c r="O47" s="1382"/>
      <c r="P47" s="1382"/>
      <c r="Q47" s="1382"/>
      <c r="R47" s="1490"/>
      <c r="S47" s="1274"/>
      <c r="T47" s="1274"/>
      <c r="U47" s="1382"/>
      <c r="V47" s="1382"/>
      <c r="W47" s="1382"/>
      <c r="X47" s="1382"/>
      <c r="Y47" s="1382"/>
      <c r="Z47" s="1382"/>
      <c r="AA47" s="1382"/>
      <c r="AB47" s="1382"/>
      <c r="AC47" s="1382"/>
      <c r="AD47" s="1382"/>
      <c r="AE47" s="1382"/>
      <c r="AF47" s="1382"/>
      <c r="AG47" s="1382"/>
      <c r="AH47" s="1382"/>
      <c r="AI47" s="1382"/>
      <c r="AJ47" s="1382"/>
      <c r="AK47" s="181"/>
      <c r="AL47" s="181"/>
      <c r="AM47" s="181"/>
      <c r="AN47" s="181"/>
      <c r="AO47" s="181"/>
      <c r="AP47" s="181"/>
      <c r="AQ47" s="181"/>
      <c r="AR47" s="181"/>
      <c r="AS47" s="181"/>
      <c r="AT47" s="181"/>
      <c r="AU47" s="181"/>
      <c r="AV47" s="181"/>
      <c r="AW47" s="181"/>
    </row>
    <row r="48" spans="1:50" s="30" customFormat="1" x14ac:dyDescent="0.25">
      <c r="A48" s="1407" t="str">
        <f>IF(COUNTIF('04 - 95% CD'!D48:G48,"Y")&gt;0,"Y",IF(COUNTIF('04 - 95% CD'!D48:G48,"N"),"N",""))</f>
        <v>Y</v>
      </c>
      <c r="B48" s="191"/>
      <c r="C48" s="944"/>
      <c r="D48" s="321"/>
      <c r="E48" s="559" t="str">
        <f>IF('C-Design&amp;Const'!$W48="","",'C-Design&amp;Const'!$W48)</f>
        <v>N</v>
      </c>
      <c r="F48" s="560"/>
      <c r="G48" s="558"/>
      <c r="H48" s="238" t="str">
        <f>CONCATENATE(IF(ISNUMBER(SEARCH("Placeholder",'C-Design&amp;Const'!Z48))=TRUE,"",IF(E48="N","PLACEHOLDER ROW - ","")),'C-Design&amp;Const'!Z48,IF(E48="N","",J48))</f>
        <v xml:space="preserve">PLACEHOLDER ROW - Variances - As Applicable </v>
      </c>
      <c r="I48" s="186"/>
      <c r="J48" s="181"/>
      <c r="K48" s="285" t="str">
        <f t="shared" si="1"/>
        <v>no 95% match</v>
      </c>
      <c r="L48" s="1410" t="str">
        <f t="shared" si="0"/>
        <v>&lt;---PM/Planner may hide PLACEHOLDER ROW</v>
      </c>
      <c r="M48" s="1333"/>
      <c r="N48" s="1382"/>
      <c r="O48" s="1382"/>
      <c r="P48" s="1382"/>
      <c r="Q48" s="1382"/>
      <c r="R48" s="1490"/>
      <c r="S48" s="1274"/>
      <c r="T48" s="1274"/>
      <c r="U48" s="1382"/>
      <c r="V48" s="1382"/>
      <c r="W48" s="1382"/>
      <c r="X48" s="1382"/>
      <c r="Y48" s="1382"/>
      <c r="Z48" s="1382"/>
      <c r="AA48" s="1382"/>
      <c r="AB48" s="1382"/>
      <c r="AC48" s="1382"/>
      <c r="AD48" s="1382"/>
      <c r="AE48" s="1382"/>
      <c r="AF48" s="1382"/>
      <c r="AG48" s="1382"/>
      <c r="AH48" s="1382"/>
      <c r="AI48" s="1382"/>
      <c r="AJ48" s="1382"/>
      <c r="AK48" s="181"/>
      <c r="AL48" s="181"/>
      <c r="AM48" s="181"/>
      <c r="AN48" s="181"/>
      <c r="AO48" s="181"/>
      <c r="AP48" s="181"/>
      <c r="AQ48" s="181"/>
      <c r="AR48" s="181"/>
      <c r="AS48" s="181"/>
      <c r="AT48" s="181"/>
      <c r="AU48" s="181"/>
      <c r="AV48" s="181"/>
      <c r="AW48" s="181"/>
    </row>
    <row r="49" spans="1:49" s="30" customFormat="1" ht="28.5" x14ac:dyDescent="0.25">
      <c r="A49" s="1407" t="str">
        <f>IF(COUNTIF('04 - 95% CD'!D49:G49,"Y")&gt;0,"Y",IF(COUNTIF('04 - 95% CD'!D49:G49,"N"),"N",""))</f>
        <v>N</v>
      </c>
      <c r="B49" s="191"/>
      <c r="C49" s="944"/>
      <c r="D49" s="321"/>
      <c r="E49" s="559" t="str">
        <f>IF('C-Design&amp;Const'!$W49="","",'C-Design&amp;Const'!$W49)</f>
        <v>N</v>
      </c>
      <c r="F49" s="560"/>
      <c r="G49" s="558"/>
      <c r="H49" s="410" t="str">
        <f>CONCATENATE(IF(ISNUMBER(SEARCH("Placeholder",'C-Design&amp;Const'!Z49))=TRUE,"",IF(E49="N","PLACEHOLDER ROW - ","")),'C-Design&amp;Const'!Z49,IF(E49="N","",J49))</f>
        <v xml:space="preserve">PLACEHOLDER ROW - Results of itemized Area Analysis Comparing the Net-to-Gross Square Feet  - Per Floor; Per Assembly Space; and Per Building as applicable </v>
      </c>
      <c r="I49" s="186"/>
      <c r="J49" s="181"/>
      <c r="K49" s="285" t="str">
        <f t="shared" si="1"/>
        <v>match</v>
      </c>
      <c r="L49" s="1410" t="str">
        <f t="shared" si="0"/>
        <v>&lt;---PM/Planner may hide PLACEHOLDER ROW</v>
      </c>
      <c r="M49" s="1333"/>
      <c r="N49" s="1382"/>
      <c r="O49" s="1382"/>
      <c r="P49" s="1382"/>
      <c r="Q49" s="1382"/>
      <c r="R49" s="1490"/>
      <c r="S49" s="1274"/>
      <c r="T49" s="1274"/>
      <c r="U49" s="1382"/>
      <c r="V49" s="1382"/>
      <c r="W49" s="1382"/>
      <c r="X49" s="1382"/>
      <c r="Y49" s="1382"/>
      <c r="Z49" s="1382"/>
      <c r="AA49" s="1382"/>
      <c r="AB49" s="1382"/>
      <c r="AC49" s="1382"/>
      <c r="AD49" s="1382"/>
      <c r="AE49" s="1382"/>
      <c r="AF49" s="1382"/>
      <c r="AG49" s="1382"/>
      <c r="AH49" s="1382"/>
      <c r="AI49" s="1382"/>
      <c r="AJ49" s="1382"/>
      <c r="AK49" s="181"/>
      <c r="AL49" s="181"/>
      <c r="AM49" s="181"/>
      <c r="AN49" s="181"/>
      <c r="AO49" s="181"/>
      <c r="AP49" s="181"/>
      <c r="AQ49" s="181"/>
      <c r="AR49" s="181"/>
      <c r="AS49" s="181"/>
      <c r="AT49" s="181"/>
      <c r="AU49" s="181"/>
      <c r="AV49" s="181"/>
      <c r="AW49" s="181"/>
    </row>
    <row r="50" spans="1:49" s="30" customFormat="1" x14ac:dyDescent="0.25">
      <c r="A50" s="1407" t="str">
        <f>IF(COUNTIF('04 - 95% CD'!D50:G50,"Y")&gt;0,"Y",IF(COUNTIF('04 - 95% CD'!D50:G50,"N"),"N",""))</f>
        <v>N</v>
      </c>
      <c r="B50" s="191"/>
      <c r="C50" s="944"/>
      <c r="D50" s="321"/>
      <c r="E50" s="559" t="str">
        <f>IF('C-Design&amp;Const'!$W50="","",'C-Design&amp;Const'!$W50)</f>
        <v>N</v>
      </c>
      <c r="F50" s="560"/>
      <c r="G50" s="558"/>
      <c r="H50" s="410" t="str">
        <f>CONCATENATE(IF(ISNUMBER(SEARCH("Placeholder",'C-Design&amp;Const'!Z50))=TRUE,"",IF(E50="N","PLACEHOLDER ROW - ","")),'C-Design&amp;Const'!Z50,IF(E50="N","",J50))</f>
        <v xml:space="preserve">PLACEHOLDER ROW - Room Type Alternative Concepts </v>
      </c>
      <c r="I50" s="186"/>
      <c r="J50" s="181"/>
      <c r="K50" s="285" t="str">
        <f t="shared" si="1"/>
        <v>match</v>
      </c>
      <c r="L50" s="1410" t="str">
        <f t="shared" si="0"/>
        <v>&lt;---PM/Planner may hide PLACEHOLDER ROW</v>
      </c>
      <c r="M50" s="1333"/>
      <c r="N50" s="1382"/>
      <c r="O50" s="1382"/>
      <c r="P50" s="1382"/>
      <c r="Q50" s="1382"/>
      <c r="R50" s="1490"/>
      <c r="S50" s="1274"/>
      <c r="T50" s="1274"/>
      <c r="U50" s="1382"/>
      <c r="V50" s="1382"/>
      <c r="W50" s="1382"/>
      <c r="X50" s="1382"/>
      <c r="Y50" s="1382"/>
      <c r="Z50" s="1382"/>
      <c r="AA50" s="1382"/>
      <c r="AB50" s="1382"/>
      <c r="AC50" s="1382"/>
      <c r="AD50" s="1382"/>
      <c r="AE50" s="1382"/>
      <c r="AF50" s="1382"/>
      <c r="AG50" s="1382"/>
      <c r="AH50" s="1382"/>
      <c r="AI50" s="1382"/>
      <c r="AJ50" s="1382"/>
      <c r="AK50" s="181"/>
      <c r="AL50" s="181"/>
      <c r="AM50" s="181"/>
      <c r="AN50" s="181"/>
      <c r="AO50" s="181"/>
      <c r="AP50" s="181"/>
      <c r="AQ50" s="181"/>
      <c r="AR50" s="181"/>
      <c r="AS50" s="181"/>
      <c r="AT50" s="181"/>
      <c r="AU50" s="181"/>
      <c r="AV50" s="181"/>
      <c r="AW50" s="181"/>
    </row>
    <row r="51" spans="1:49" s="30" customFormat="1" x14ac:dyDescent="0.25">
      <c r="A51" s="1407" t="str">
        <f>IF(COUNTIF('04 - 95% CD'!D51:G51,"Y")&gt;0,"Y",IF(COUNTIF('04 - 95% CD'!D51:G51,"N"),"N",""))</f>
        <v>N</v>
      </c>
      <c r="B51" s="191"/>
      <c r="C51" s="944"/>
      <c r="D51" s="321"/>
      <c r="E51" s="559" t="str">
        <f>IF('C-Design&amp;Const'!$W51="","",'C-Design&amp;Const'!$W51)</f>
        <v>N</v>
      </c>
      <c r="F51" s="560"/>
      <c r="G51" s="558"/>
      <c r="H51" s="410" t="str">
        <f>CONCATENATE(IF(ISNUMBER(SEARCH("Placeholder",'C-Design&amp;Const'!Z51))=TRUE,"",IF(E51="N","PLACEHOLDER ROW - ","")),'C-Design&amp;Const'!Z51,IF(E51="N","",J51))</f>
        <v xml:space="preserve">PLACEHOLDER ROW - Design Concept(s) </v>
      </c>
      <c r="I51" s="186"/>
      <c r="J51" s="181"/>
      <c r="K51" s="285" t="str">
        <f t="shared" si="1"/>
        <v>match</v>
      </c>
      <c r="L51" s="1410" t="str">
        <f t="shared" si="0"/>
        <v>&lt;---PM/Planner may hide PLACEHOLDER ROW</v>
      </c>
      <c r="M51" s="1333"/>
      <c r="N51" s="1382"/>
      <c r="O51" s="1382"/>
      <c r="P51" s="1382"/>
      <c r="Q51" s="1382"/>
      <c r="R51" s="1490"/>
      <c r="S51" s="1274"/>
      <c r="T51" s="1274"/>
      <c r="U51" s="1382"/>
      <c r="V51" s="1382"/>
      <c r="W51" s="1382"/>
      <c r="X51" s="1382"/>
      <c r="Y51" s="1382"/>
      <c r="Z51" s="1382"/>
      <c r="AA51" s="1382"/>
      <c r="AB51" s="1382"/>
      <c r="AC51" s="1382"/>
      <c r="AD51" s="1382"/>
      <c r="AE51" s="1382"/>
      <c r="AF51" s="1382"/>
      <c r="AG51" s="1382"/>
      <c r="AH51" s="1382"/>
      <c r="AI51" s="1382"/>
      <c r="AJ51" s="1382"/>
      <c r="AK51" s="181"/>
      <c r="AL51" s="181"/>
      <c r="AM51" s="181"/>
      <c r="AN51" s="181"/>
      <c r="AO51" s="181"/>
      <c r="AP51" s="181"/>
      <c r="AQ51" s="181"/>
      <c r="AR51" s="181"/>
      <c r="AS51" s="181"/>
      <c r="AT51" s="181"/>
      <c r="AU51" s="181"/>
      <c r="AV51" s="181"/>
      <c r="AW51" s="181"/>
    </row>
    <row r="52" spans="1:49" s="30" customFormat="1" x14ac:dyDescent="0.25">
      <c r="A52" s="1407" t="str">
        <f>IF(COUNTIF('04 - 95% CD'!D52:G52,"Y")&gt;0,"Y",IF(COUNTIF('04 - 95% CD'!D52:G52,"N"),"N",""))</f>
        <v>N</v>
      </c>
      <c r="B52" s="191"/>
      <c r="C52" s="944"/>
      <c r="D52" s="321"/>
      <c r="E52" s="559" t="str">
        <f>IF('C-Design&amp;Const'!$W52="","",'C-Design&amp;Const'!$W52)</f>
        <v>N</v>
      </c>
      <c r="F52" s="560"/>
      <c r="G52" s="558"/>
      <c r="H52" s="410" t="str">
        <f>CONCATENATE(IF(ISNUMBER(SEARCH("Placeholder",'C-Design&amp;Const'!Z52))=TRUE,"",IF(E52="N","PLACEHOLDER ROW - ","")),'C-Design&amp;Const'!Z52,IF(E52="N","",J52))</f>
        <v xml:space="preserve">PLACEHOLDER ROW - Master Plan Impact and Options </v>
      </c>
      <c r="I52" s="186"/>
      <c r="J52" s="181"/>
      <c r="K52" s="285" t="str">
        <f t="shared" si="1"/>
        <v>match</v>
      </c>
      <c r="L52" s="1410" t="str">
        <f t="shared" si="0"/>
        <v>&lt;---PM/Planner may hide PLACEHOLDER ROW</v>
      </c>
      <c r="M52" s="1333"/>
      <c r="N52" s="1382"/>
      <c r="O52" s="1382"/>
      <c r="P52" s="1382"/>
      <c r="Q52" s="1382"/>
      <c r="R52" s="1490"/>
      <c r="S52" s="1274"/>
      <c r="T52" s="1274"/>
      <c r="U52" s="1382"/>
      <c r="V52" s="1382"/>
      <c r="W52" s="1382"/>
      <c r="X52" s="1382"/>
      <c r="Y52" s="1382"/>
      <c r="Z52" s="1382"/>
      <c r="AA52" s="1382"/>
      <c r="AB52" s="1382"/>
      <c r="AC52" s="1382"/>
      <c r="AD52" s="1382"/>
      <c r="AE52" s="1382"/>
      <c r="AF52" s="1382"/>
      <c r="AG52" s="1382"/>
      <c r="AH52" s="1382"/>
      <c r="AI52" s="1382"/>
      <c r="AJ52" s="1382"/>
      <c r="AK52" s="181"/>
      <c r="AL52" s="181"/>
      <c r="AM52" s="181"/>
      <c r="AN52" s="181"/>
      <c r="AO52" s="181"/>
      <c r="AP52" s="181"/>
      <c r="AQ52" s="181"/>
      <c r="AR52" s="181"/>
      <c r="AS52" s="181"/>
      <c r="AT52" s="181"/>
      <c r="AU52" s="181"/>
      <c r="AV52" s="181"/>
      <c r="AW52" s="181"/>
    </row>
    <row r="53" spans="1:49" s="30" customFormat="1" x14ac:dyDescent="0.25">
      <c r="A53" s="1407" t="str">
        <f>IF(COUNTIF('04 - 95% CD'!D53:G53,"Y")&gt;0,"Y",IF(COUNTIF('04 - 95% CD'!D53:G53,"N"),"N",""))</f>
        <v>N</v>
      </c>
      <c r="B53" s="191"/>
      <c r="C53" s="944"/>
      <c r="D53" s="321"/>
      <c r="E53" s="559" t="str">
        <f>IF('C-Design&amp;Const'!$W53="","",'C-Design&amp;Const'!$W53)</f>
        <v>N</v>
      </c>
      <c r="F53" s="560"/>
      <c r="G53" s="558"/>
      <c r="H53" s="410" t="str">
        <f>CONCATENATE(IF(ISNUMBER(SEARCH("Placeholder",'C-Design&amp;Const'!Z53))=TRUE,"",IF(E53="N","PLACEHOLDER ROW - ","")),'C-Design&amp;Const'!Z53,IF(E53="N","",J53))</f>
        <v>PLACEHOLDER ROW - Required adjacent property acquisitions</v>
      </c>
      <c r="I53" s="186"/>
      <c r="J53" s="181"/>
      <c r="K53" s="285" t="str">
        <f t="shared" si="1"/>
        <v>match</v>
      </c>
      <c r="L53" s="1410" t="str">
        <f t="shared" si="0"/>
        <v>&lt;---PM/Planner may hide PLACEHOLDER ROW</v>
      </c>
      <c r="M53" s="1333"/>
      <c r="N53" s="1382"/>
      <c r="O53" s="1382"/>
      <c r="P53" s="1382"/>
      <c r="Q53" s="1382"/>
      <c r="R53" s="1490"/>
      <c r="S53" s="1274"/>
      <c r="T53" s="1274"/>
      <c r="U53" s="1382"/>
      <c r="V53" s="1382"/>
      <c r="W53" s="1382"/>
      <c r="X53" s="1382"/>
      <c r="Y53" s="1382"/>
      <c r="Z53" s="1382"/>
      <c r="AA53" s="1382"/>
      <c r="AB53" s="1382"/>
      <c r="AC53" s="1382"/>
      <c r="AD53" s="1382"/>
      <c r="AE53" s="1382"/>
      <c r="AF53" s="1382"/>
      <c r="AG53" s="1382"/>
      <c r="AH53" s="1382"/>
      <c r="AI53" s="1382"/>
      <c r="AJ53" s="1382"/>
      <c r="AK53" s="181"/>
      <c r="AL53" s="181"/>
      <c r="AM53" s="181"/>
      <c r="AN53" s="181"/>
      <c r="AO53" s="181"/>
      <c r="AP53" s="181"/>
      <c r="AQ53" s="181"/>
      <c r="AR53" s="181"/>
      <c r="AS53" s="181"/>
      <c r="AT53" s="181"/>
      <c r="AU53" s="181"/>
      <c r="AV53" s="181"/>
      <c r="AW53" s="181"/>
    </row>
    <row r="54" spans="1:49" s="30" customFormat="1" x14ac:dyDescent="0.25">
      <c r="A54" s="1407" t="str">
        <f>IF(COUNTIF('04 - 95% CD'!D54:G54,"Y")&gt;0,"Y",IF(COUNTIF('04 - 95% CD'!D54:G54,"N"),"N",""))</f>
        <v>N</v>
      </c>
      <c r="B54" s="191"/>
      <c r="C54" s="944"/>
      <c r="D54" s="321"/>
      <c r="E54" s="559" t="str">
        <f>IF('C-Design&amp;Const'!$W54="","",'C-Design&amp;Const'!$W54)</f>
        <v>N</v>
      </c>
      <c r="F54" s="560"/>
      <c r="G54" s="558"/>
      <c r="H54" s="410" t="str">
        <f>CONCATENATE(IF(ISNUMBER(SEARCH("Placeholder",'C-Design&amp;Const'!Z54))=TRUE,"",IF(E54="N","PLACEHOLDER ROW - ","")),'C-Design&amp;Const'!Z54,IF(E54="N","",J54))</f>
        <v>PLACEHOLDER ROW - CUSTOM ROW - OPTIONAL CLIENT ITEM</v>
      </c>
      <c r="I54" s="186"/>
      <c r="J54" s="181"/>
      <c r="K54" s="285" t="str">
        <f t="shared" si="1"/>
        <v>match</v>
      </c>
      <c r="L54" s="1410" t="str">
        <f t="shared" si="0"/>
        <v>&lt;---PM/Planner may hide PLACEHOLDER ROW</v>
      </c>
      <c r="M54" s="1333"/>
      <c r="N54" s="1382"/>
      <c r="O54" s="1382"/>
      <c r="P54" s="1382"/>
      <c r="Q54" s="1382"/>
      <c r="R54" s="1490"/>
      <c r="S54" s="1274"/>
      <c r="T54" s="1274"/>
      <c r="U54" s="1382"/>
      <c r="V54" s="1382"/>
      <c r="W54" s="1382"/>
      <c r="X54" s="1382"/>
      <c r="Y54" s="1382"/>
      <c r="Z54" s="1382"/>
      <c r="AA54" s="1382"/>
      <c r="AB54" s="1382"/>
      <c r="AC54" s="1382"/>
      <c r="AD54" s="1382"/>
      <c r="AE54" s="1382"/>
      <c r="AF54" s="1382"/>
      <c r="AG54" s="1382"/>
      <c r="AH54" s="1382"/>
      <c r="AI54" s="1382"/>
      <c r="AJ54" s="1382"/>
      <c r="AK54" s="181"/>
      <c r="AL54" s="181"/>
      <c r="AM54" s="181"/>
      <c r="AN54" s="181"/>
      <c r="AO54" s="181"/>
      <c r="AP54" s="181"/>
      <c r="AQ54" s="181"/>
      <c r="AR54" s="181"/>
      <c r="AS54" s="181"/>
      <c r="AT54" s="181"/>
      <c r="AU54" s="181"/>
      <c r="AV54" s="181"/>
      <c r="AW54" s="181"/>
    </row>
    <row r="55" spans="1:49" s="30" customFormat="1" x14ac:dyDescent="0.25">
      <c r="A55" s="1407" t="str">
        <f>IF(COUNTIF('04 - 95% CD'!D55:G55,"Y")&gt;0,"Y",IF(COUNTIF('04 - 95% CD'!D55:G55,"N"),"N",""))</f>
        <v>N</v>
      </c>
      <c r="B55" s="191"/>
      <c r="C55" s="944"/>
      <c r="D55" s="321"/>
      <c r="E55" s="559" t="str">
        <f>IF('C-Design&amp;Const'!$W55="","",'C-Design&amp;Const'!$W55)</f>
        <v>N</v>
      </c>
      <c r="F55" s="560"/>
      <c r="G55" s="558"/>
      <c r="H55" s="410" t="str">
        <f>CONCATENATE(IF(ISNUMBER(SEARCH("Placeholder",'C-Design&amp;Const'!Z55))=TRUE,"",IF(E55="N","PLACEHOLDER ROW - ","")),'C-Design&amp;Const'!Z55,IF(E55="N","",J55))</f>
        <v>PLACEHOLDER ROW - CUSTOM ROW - OPTIONAL CLIENT ITEM</v>
      </c>
      <c r="I55" s="186"/>
      <c r="J55" s="181"/>
      <c r="K55" s="285" t="str">
        <f t="shared" si="1"/>
        <v>match</v>
      </c>
      <c r="L55" s="1410" t="str">
        <f t="shared" si="0"/>
        <v>&lt;---PM/Planner may hide PLACEHOLDER ROW</v>
      </c>
      <c r="M55" s="1333"/>
      <c r="N55" s="1382"/>
      <c r="O55" s="1382"/>
      <c r="P55" s="1382"/>
      <c r="Q55" s="1382"/>
      <c r="R55" s="1490"/>
      <c r="S55" s="1274"/>
      <c r="T55" s="1274"/>
      <c r="U55" s="1382"/>
      <c r="V55" s="1382"/>
      <c r="W55" s="1382"/>
      <c r="X55" s="1382"/>
      <c r="Y55" s="1382"/>
      <c r="Z55" s="1382"/>
      <c r="AA55" s="1382"/>
      <c r="AB55" s="1382"/>
      <c r="AC55" s="1382"/>
      <c r="AD55" s="1382"/>
      <c r="AE55" s="1382"/>
      <c r="AF55" s="1382"/>
      <c r="AG55" s="1382"/>
      <c r="AH55" s="1382"/>
      <c r="AI55" s="1382"/>
      <c r="AJ55" s="1382"/>
      <c r="AK55" s="181"/>
      <c r="AL55" s="181"/>
      <c r="AM55" s="181"/>
      <c r="AN55" s="181"/>
      <c r="AO55" s="181"/>
      <c r="AP55" s="181"/>
      <c r="AQ55" s="181"/>
      <c r="AR55" s="181"/>
      <c r="AS55" s="181"/>
      <c r="AT55" s="181"/>
      <c r="AU55" s="181"/>
      <c r="AV55" s="181"/>
      <c r="AW55" s="181"/>
    </row>
    <row r="56" spans="1:49" s="30" customFormat="1" ht="15.75" x14ac:dyDescent="0.25">
      <c r="A56" s="1407" t="str">
        <f>IF(COUNTIF('04 - 95% CD'!D56:G56,"Y")&gt;0,"Y",IF(COUNTIF('04 - 95% CD'!D56:G56,"N"),"N",""))</f>
        <v>Y</v>
      </c>
      <c r="B56" s="191"/>
      <c r="C56" s="944"/>
      <c r="D56" s="321"/>
      <c r="E56" s="559" t="str">
        <f>IF('C-Design&amp;Const'!$W56="","",'C-Design&amp;Const'!$W56)</f>
        <v>N</v>
      </c>
      <c r="F56" s="560"/>
      <c r="G56" s="558"/>
      <c r="H56" s="1041" t="str">
        <f>CONCATENATE(IF(ISNUMBER(SEARCH("Placeholder",'C-Design&amp;Const'!Z56))=TRUE,"",IF(E56="N","PLACEHOLDER ROW - ","")),'C-Design&amp;Const'!Z56,IF(E56="N","",J56))</f>
        <v>PLACEHOLDER ROW - Building &amp; Site Systems Narratives</v>
      </c>
      <c r="I56" s="186"/>
      <c r="J56" s="181"/>
      <c r="K56" s="285" t="str">
        <f t="shared" si="1"/>
        <v>no 95% match</v>
      </c>
      <c r="L56" s="1410" t="str">
        <f t="shared" si="0"/>
        <v>&lt;---PM/Planner may hide PLACEHOLDER ROW</v>
      </c>
      <c r="M56" s="1333"/>
      <c r="N56" s="1382"/>
      <c r="O56" s="1382"/>
      <c r="P56" s="1382"/>
      <c r="Q56" s="1382"/>
      <c r="R56" s="1490"/>
      <c r="S56" s="1274"/>
      <c r="T56" s="1274"/>
      <c r="U56" s="1382"/>
      <c r="V56" s="1382"/>
      <c r="W56" s="1382"/>
      <c r="X56" s="1382"/>
      <c r="Y56" s="1382"/>
      <c r="Z56" s="1382"/>
      <c r="AA56" s="1382"/>
      <c r="AB56" s="1382"/>
      <c r="AC56" s="1382"/>
      <c r="AD56" s="1382"/>
      <c r="AE56" s="1382"/>
      <c r="AF56" s="1382"/>
      <c r="AG56" s="1382"/>
      <c r="AH56" s="1382"/>
      <c r="AI56" s="1382"/>
      <c r="AJ56" s="1382"/>
      <c r="AK56" s="181"/>
      <c r="AL56" s="181"/>
      <c r="AM56" s="181"/>
      <c r="AN56" s="181"/>
      <c r="AO56" s="181"/>
      <c r="AP56" s="181"/>
      <c r="AQ56" s="181"/>
      <c r="AR56" s="181"/>
      <c r="AS56" s="181"/>
      <c r="AT56" s="181"/>
      <c r="AU56" s="181"/>
      <c r="AV56" s="181"/>
      <c r="AW56" s="181"/>
    </row>
    <row r="57" spans="1:49" s="30" customFormat="1" ht="28.5" x14ac:dyDescent="0.25">
      <c r="A57" s="1407" t="str">
        <f>IF(COUNTIF('04 - 95% CD'!D57:G57,"Y")&gt;0,"Y",IF(COUNTIF('04 - 95% CD'!D57:G57,"N"),"N",""))</f>
        <v/>
      </c>
      <c r="B57" s="191"/>
      <c r="C57" s="944"/>
      <c r="D57" s="321"/>
      <c r="E57" s="520"/>
      <c r="F57" s="541"/>
      <c r="G57" s="558"/>
      <c r="H57" s="1032" t="str">
        <f>'04 - 95% CD'!H57</f>
        <v>Under separate bound cover, any detailed results, reports, surveys, tests, etc… for existing systems verification.</v>
      </c>
      <c r="I57" s="186"/>
      <c r="J57" s="181"/>
      <c r="K57" s="285"/>
      <c r="L57" s="1410" t="str">
        <f t="shared" si="0"/>
        <v/>
      </c>
      <c r="M57" s="1333"/>
      <c r="N57" s="1382"/>
      <c r="O57" s="1382"/>
      <c r="P57" s="1382"/>
      <c r="Q57" s="1382"/>
      <c r="R57" s="1490"/>
      <c r="S57" s="1274"/>
      <c r="T57" s="1274"/>
      <c r="U57" s="1382"/>
      <c r="V57" s="1382"/>
      <c r="W57" s="1382"/>
      <c r="X57" s="1382"/>
      <c r="Y57" s="1382"/>
      <c r="Z57" s="1382"/>
      <c r="AA57" s="1382"/>
      <c r="AB57" s="1382"/>
      <c r="AC57" s="1382"/>
      <c r="AD57" s="1382"/>
      <c r="AE57" s="1382"/>
      <c r="AF57" s="1382"/>
      <c r="AG57" s="1382"/>
      <c r="AH57" s="1382"/>
      <c r="AI57" s="1382"/>
      <c r="AJ57" s="1382"/>
      <c r="AK57" s="181"/>
      <c r="AL57" s="181"/>
      <c r="AM57" s="181"/>
      <c r="AN57" s="181"/>
      <c r="AO57" s="181"/>
      <c r="AP57" s="181"/>
      <c r="AQ57" s="181"/>
      <c r="AR57" s="181"/>
      <c r="AS57" s="181"/>
      <c r="AT57" s="181"/>
      <c r="AU57" s="181"/>
      <c r="AV57" s="181"/>
      <c r="AW57" s="181"/>
    </row>
    <row r="58" spans="1:49" s="30" customFormat="1" ht="42.75" x14ac:dyDescent="0.25">
      <c r="A58" s="1407" t="str">
        <f>IF(COUNTIF('04 - 95% CD'!D58:G58,"Y")&gt;0,"Y",IF(COUNTIF('04 - 95% CD'!D58:G58,"N"),"N",""))</f>
        <v>Y</v>
      </c>
      <c r="B58" s="191"/>
      <c r="C58" s="944"/>
      <c r="D58" s="321"/>
      <c r="E58" s="466"/>
      <c r="F58" s="559" t="str">
        <f>IF('C-Design&amp;Const'!$W58="","",'C-Design&amp;Const'!$W58)</f>
        <v>N</v>
      </c>
      <c r="G58" s="558"/>
      <c r="H58" s="504" t="str">
        <f>CONCATENATE(IF(ISNUMBER(SEARCH("Placeholder",'C-Design&amp;Const'!Z58))=TRUE,"",IF(F58="N","PLACEHOLDER ROW - ","")),'C-Design&amp;Const'!Z58,IF(F58="N","",J58))</f>
        <v>PLACEHOLDER ROW - Site / Civil / Landscape - Storm Water Management for changes in impervious area **(List assumptions for mitigation.  Verify existing system.  Any outlet into field tiles must be verified for size, location, and condition)</v>
      </c>
      <c r="I58" s="186"/>
      <c r="J58" s="181"/>
      <c r="K58" s="285" t="str">
        <f t="shared" si="1"/>
        <v>no 95% match</v>
      </c>
      <c r="L58" s="1410" t="str">
        <f t="shared" si="0"/>
        <v>&lt;---PM/Planner may hide PLACEHOLDER ROW</v>
      </c>
      <c r="M58" s="1333"/>
      <c r="N58" s="1382"/>
      <c r="O58" s="1382"/>
      <c r="P58" s="1382"/>
      <c r="Q58" s="1382"/>
      <c r="R58" s="1490"/>
      <c r="S58" s="1274"/>
      <c r="T58" s="1274"/>
      <c r="U58" s="1382"/>
      <c r="V58" s="1382"/>
      <c r="W58" s="1382"/>
      <c r="X58" s="1382"/>
      <c r="Y58" s="1382"/>
      <c r="Z58" s="1382"/>
      <c r="AA58" s="1382"/>
      <c r="AB58" s="1382"/>
      <c r="AC58" s="1382"/>
      <c r="AD58" s="1382"/>
      <c r="AE58" s="1382"/>
      <c r="AF58" s="1382"/>
      <c r="AG58" s="1382"/>
      <c r="AH58" s="1382"/>
      <c r="AI58" s="1382"/>
      <c r="AJ58" s="1382"/>
      <c r="AK58" s="181"/>
      <c r="AL58" s="181"/>
      <c r="AM58" s="181"/>
      <c r="AN58" s="181"/>
      <c r="AO58" s="181"/>
      <c r="AP58" s="181"/>
      <c r="AQ58" s="181"/>
      <c r="AR58" s="181"/>
      <c r="AS58" s="181"/>
      <c r="AT58" s="181"/>
      <c r="AU58" s="181"/>
      <c r="AV58" s="181"/>
      <c r="AW58" s="181"/>
    </row>
    <row r="59" spans="1:49" s="30" customFormat="1" ht="28.5" x14ac:dyDescent="0.25">
      <c r="A59" s="1407" t="str">
        <f>IF(COUNTIF('04 - 95% CD'!D59:G59,"Y")&gt;0,"Y",IF(COUNTIF('04 - 95% CD'!D59:G59,"N"),"N",""))</f>
        <v>Y</v>
      </c>
      <c r="B59" s="191"/>
      <c r="C59" s="944"/>
      <c r="D59" s="321"/>
      <c r="E59" s="466"/>
      <c r="F59" s="559" t="str">
        <f>IF('C-Design&amp;Const'!$W59="","",'C-Design&amp;Const'!$W59)</f>
        <v>N</v>
      </c>
      <c r="G59" s="558"/>
      <c r="H59" s="504" t="str">
        <f>CONCATENATE(IF(ISNUMBER(SEARCH("Placeholder",'C-Design&amp;Const'!Z59))=TRUE,"",IF(F59="N","PLACEHOLDER ROW - ","")),'C-Design&amp;Const'!Z59,IF(F59="N","",J59))</f>
        <v>PLACEHOLDER ROW - Site / Civil / Landscape - Bike Parking, Vehicle Parking,  Driveways, Multimodal Transporation</v>
      </c>
      <c r="I59" s="186"/>
      <c r="J59" s="181"/>
      <c r="K59" s="285" t="str">
        <f t="shared" si="1"/>
        <v>no 95% match</v>
      </c>
      <c r="L59" s="1410" t="str">
        <f t="shared" si="0"/>
        <v>&lt;---PM/Planner may hide PLACEHOLDER ROW</v>
      </c>
      <c r="M59" s="1333"/>
      <c r="N59" s="1382"/>
      <c r="O59" s="1382"/>
      <c r="P59" s="1382"/>
      <c r="Q59" s="1382"/>
      <c r="R59" s="1490"/>
      <c r="S59" s="1274"/>
      <c r="T59" s="1274"/>
      <c r="U59" s="1382"/>
      <c r="V59" s="1382"/>
      <c r="W59" s="1382"/>
      <c r="X59" s="1382"/>
      <c r="Y59" s="1382"/>
      <c r="Z59" s="1382"/>
      <c r="AA59" s="1382"/>
      <c r="AB59" s="1382"/>
      <c r="AC59" s="1382"/>
      <c r="AD59" s="1382"/>
      <c r="AE59" s="1382"/>
      <c r="AF59" s="1382"/>
      <c r="AG59" s="1382"/>
      <c r="AH59" s="1382"/>
      <c r="AI59" s="1382"/>
      <c r="AJ59" s="1382"/>
      <c r="AK59" s="181"/>
      <c r="AL59" s="181"/>
      <c r="AM59" s="181"/>
      <c r="AN59" s="181"/>
      <c r="AO59" s="181"/>
      <c r="AP59" s="181"/>
      <c r="AQ59" s="181"/>
      <c r="AR59" s="181"/>
      <c r="AS59" s="181"/>
      <c r="AT59" s="181"/>
      <c r="AU59" s="181"/>
      <c r="AV59" s="181"/>
      <c r="AW59" s="181"/>
    </row>
    <row r="60" spans="1:49" s="1055" customFormat="1" ht="28.5" x14ac:dyDescent="0.25">
      <c r="A60" s="1407" t="str">
        <f>IF(COUNTIF('04 - 95% CD'!D60:G60,"Y")&gt;0,"Y",IF(COUNTIF('04 - 95% CD'!D60:G60,"N"),"N",""))</f>
        <v>Y</v>
      </c>
      <c r="B60" s="1050"/>
      <c r="C60" s="944"/>
      <c r="D60" s="321"/>
      <c r="E60" s="466"/>
      <c r="F60" s="559" t="str">
        <f>IF('C-Design&amp;Const'!$W60="","",'C-Design&amp;Const'!$W60)</f>
        <v>N</v>
      </c>
      <c r="G60" s="558"/>
      <c r="H60" s="361" t="str">
        <f>CONCATENATE(IF(ISNUMBER(SEARCH("Placeholder",'C-Design&amp;Const'!Z60))=TRUE,"",IF(F60="N","PLACEHOLDER ROW - ","")),'C-Design&amp;Const'!Z60,IF(F60="N","",J60))</f>
        <v>PLACEHOLDER ROW - Site / Civil / Landscape - Waste &amp; Recycling Hauling, Service Access, &amp; Loading Zones</v>
      </c>
      <c r="I60" s="1051"/>
      <c r="J60" s="1054"/>
      <c r="K60" s="1053" t="str">
        <f t="shared" ref="K60" si="4">IF((COUNTIF(D60:F60,"Y")=COUNTIF(A60,"Y")),"match","no 95% match")</f>
        <v>no 95% match</v>
      </c>
      <c r="L60" s="1410" t="str">
        <f t="shared" ref="L60" si="5">CONCATENATE(IF(ISNUMBER(SEARCH("Placeholder",H60))=TRUE,"&lt;---PM/Planner may hide PLACEHOLDER ROW",""))</f>
        <v>&lt;---PM/Planner may hide PLACEHOLDER ROW</v>
      </c>
      <c r="M60" s="1333"/>
      <c r="N60" s="1382"/>
      <c r="O60" s="1382"/>
      <c r="P60" s="1382"/>
      <c r="Q60" s="1382"/>
      <c r="R60" s="1490"/>
      <c r="S60" s="1274"/>
      <c r="T60" s="1274"/>
      <c r="U60" s="1382"/>
      <c r="V60" s="1382"/>
      <c r="W60" s="1382"/>
      <c r="X60" s="1382"/>
      <c r="Y60" s="1382"/>
      <c r="Z60" s="1382"/>
      <c r="AA60" s="1382"/>
      <c r="AB60" s="1382"/>
      <c r="AC60" s="1382"/>
      <c r="AD60" s="1382"/>
      <c r="AE60" s="1382"/>
      <c r="AF60" s="1382"/>
      <c r="AG60" s="1382"/>
      <c r="AH60" s="1382"/>
      <c r="AI60" s="1382"/>
      <c r="AJ60" s="1382"/>
      <c r="AK60" s="1054"/>
      <c r="AL60" s="1054"/>
      <c r="AM60" s="1054"/>
      <c r="AN60" s="1054"/>
      <c r="AO60" s="1054"/>
      <c r="AP60" s="1054"/>
      <c r="AQ60" s="1054"/>
      <c r="AR60" s="1054"/>
      <c r="AS60" s="1054"/>
      <c r="AT60" s="1054"/>
      <c r="AU60" s="1054"/>
      <c r="AV60" s="1054"/>
      <c r="AW60" s="1054"/>
    </row>
    <row r="61" spans="1:49" s="30" customFormat="1" x14ac:dyDescent="0.25">
      <c r="A61" s="1407" t="str">
        <f>IF(COUNTIF('04 - 95% CD'!D61:G61,"Y")&gt;0,"Y",IF(COUNTIF('04 - 95% CD'!D61:G61,"N"),"N",""))</f>
        <v>Y</v>
      </c>
      <c r="B61" s="191"/>
      <c r="C61" s="944"/>
      <c r="D61" s="321"/>
      <c r="E61" s="466"/>
      <c r="F61" s="559" t="str">
        <f>IF('C-Design&amp;Const'!$W61="","",'C-Design&amp;Const'!$W61)</f>
        <v>N</v>
      </c>
      <c r="G61" s="558"/>
      <c r="H61" s="504" t="str">
        <f>CONCATENATE(IF(ISNUMBER(SEARCH("Placeholder",'C-Design&amp;Const'!Z61))=TRUE,"",IF(F61="N","PLACEHOLDER ROW - ","")),'C-Design&amp;Const'!Z61,IF(F61="N","",J61))</f>
        <v>PLACEHOLDER ROW - Site / Civil / Landscape - Sidewalks, Plazas, Landscape</v>
      </c>
      <c r="I61" s="186"/>
      <c r="J61" s="181"/>
      <c r="K61" s="285" t="str">
        <f t="shared" si="1"/>
        <v>no 95% match</v>
      </c>
      <c r="L61" s="1410" t="str">
        <f t="shared" si="0"/>
        <v>&lt;---PM/Planner may hide PLACEHOLDER ROW</v>
      </c>
      <c r="M61" s="1333"/>
      <c r="N61" s="1382"/>
      <c r="O61" s="1382"/>
      <c r="P61" s="1382"/>
      <c r="Q61" s="1382"/>
      <c r="R61" s="1490"/>
      <c r="S61" s="1274"/>
      <c r="T61" s="1274"/>
      <c r="U61" s="1382"/>
      <c r="V61" s="1382"/>
      <c r="W61" s="1382"/>
      <c r="X61" s="1382"/>
      <c r="Y61" s="1382"/>
      <c r="Z61" s="1382"/>
      <c r="AA61" s="1382"/>
      <c r="AB61" s="1382"/>
      <c r="AC61" s="1382"/>
      <c r="AD61" s="1382"/>
      <c r="AE61" s="1382"/>
      <c r="AF61" s="1382"/>
      <c r="AG61" s="1382"/>
      <c r="AH61" s="1382"/>
      <c r="AI61" s="1382"/>
      <c r="AJ61" s="1382"/>
      <c r="AK61" s="181"/>
      <c r="AL61" s="181"/>
      <c r="AM61" s="181"/>
      <c r="AN61" s="181"/>
      <c r="AO61" s="181"/>
      <c r="AP61" s="181"/>
      <c r="AQ61" s="181"/>
      <c r="AR61" s="181"/>
      <c r="AS61" s="181"/>
      <c r="AT61" s="181"/>
      <c r="AU61" s="181"/>
      <c r="AV61" s="181"/>
      <c r="AW61" s="181"/>
    </row>
    <row r="62" spans="1:49" s="30" customFormat="1" x14ac:dyDescent="0.25">
      <c r="A62" s="1407" t="str">
        <f>IF(COUNTIF('04 - 95% CD'!D62:G62,"Y")&gt;0,"Y",IF(COUNTIF('04 - 95% CD'!D62:G62,"N"),"N",""))</f>
        <v>Y</v>
      </c>
      <c r="B62" s="191"/>
      <c r="C62" s="944"/>
      <c r="D62" s="321"/>
      <c r="E62" s="466"/>
      <c r="F62" s="559" t="str">
        <f>IF('C-Design&amp;Const'!$W62="","",'C-Design&amp;Const'!$W62)</f>
        <v>N</v>
      </c>
      <c r="G62" s="558"/>
      <c r="H62" s="504" t="str">
        <f>CONCATENATE(IF(ISNUMBER(SEARCH("Placeholder",'C-Design&amp;Const'!Z62))=TRUE,"",IF(F62="N","PLACEHOLDER ROW - ","")),'C-Design&amp;Const'!Z62,IF(F62="N","",J62))</f>
        <v>PLACEHOLDER ROW - Site / Civil / Landscape - Demolition &amp; Site Clearing</v>
      </c>
      <c r="I62" s="186"/>
      <c r="J62" s="181"/>
      <c r="K62" s="285" t="str">
        <f t="shared" si="1"/>
        <v>no 95% match</v>
      </c>
      <c r="L62" s="1410" t="str">
        <f t="shared" si="0"/>
        <v>&lt;---PM/Planner may hide PLACEHOLDER ROW</v>
      </c>
      <c r="M62" s="1333"/>
      <c r="N62" s="1382"/>
      <c r="O62" s="1382"/>
      <c r="P62" s="1382"/>
      <c r="Q62" s="1382"/>
      <c r="R62" s="1490"/>
      <c r="S62" s="1274"/>
      <c r="T62" s="1274"/>
      <c r="U62" s="1382"/>
      <c r="V62" s="1382"/>
      <c r="W62" s="1382"/>
      <c r="X62" s="1382"/>
      <c r="Y62" s="1382"/>
      <c r="Z62" s="1382"/>
      <c r="AA62" s="1382"/>
      <c r="AB62" s="1382"/>
      <c r="AC62" s="1382"/>
      <c r="AD62" s="1382"/>
      <c r="AE62" s="1382"/>
      <c r="AF62" s="1382"/>
      <c r="AG62" s="1382"/>
      <c r="AH62" s="1382"/>
      <c r="AI62" s="1382"/>
      <c r="AJ62" s="1382"/>
      <c r="AK62" s="181"/>
      <c r="AL62" s="181"/>
      <c r="AM62" s="181"/>
      <c r="AN62" s="181"/>
      <c r="AO62" s="181"/>
      <c r="AP62" s="181"/>
      <c r="AQ62" s="181"/>
      <c r="AR62" s="181"/>
      <c r="AS62" s="181"/>
      <c r="AT62" s="181"/>
      <c r="AU62" s="181"/>
      <c r="AV62" s="181"/>
      <c r="AW62" s="181"/>
    </row>
    <row r="63" spans="1:49" s="30" customFormat="1" x14ac:dyDescent="0.25">
      <c r="A63" s="1407" t="str">
        <f>IF(COUNTIF('04 - 95% CD'!D63:G63,"Y")&gt;0,"Y",IF(COUNTIF('04 - 95% CD'!D63:G63,"N"),"N",""))</f>
        <v>Y</v>
      </c>
      <c r="B63" s="191"/>
      <c r="C63" s="944"/>
      <c r="D63" s="321"/>
      <c r="E63" s="466"/>
      <c r="F63" s="559" t="str">
        <f>IF('C-Design&amp;Const'!$W63="","",'C-Design&amp;Const'!$W63)</f>
        <v>N</v>
      </c>
      <c r="G63" s="558"/>
      <c r="H63" s="504" t="str">
        <f>CONCATENATE(IF(ISNUMBER(SEARCH("Placeholder",'C-Design&amp;Const'!Z63))=TRUE,"",IF(F63="N","PLACEHOLDER ROW - ","")),'C-Design&amp;Const'!Z63,IF(F63="N","",J63))</f>
        <v>PLACEHOLDER ROW - Site / Civil / Landscape - Utility Relocations</v>
      </c>
      <c r="I63" s="186"/>
      <c r="J63" s="181"/>
      <c r="K63" s="285" t="str">
        <f t="shared" si="1"/>
        <v>no 95% match</v>
      </c>
      <c r="L63" s="1410" t="str">
        <f t="shared" si="0"/>
        <v>&lt;---PM/Planner may hide PLACEHOLDER ROW</v>
      </c>
      <c r="M63" s="1333"/>
      <c r="N63" s="1382"/>
      <c r="O63" s="1382"/>
      <c r="P63" s="1382"/>
      <c r="Q63" s="1382"/>
      <c r="R63" s="1490"/>
      <c r="S63" s="1274"/>
      <c r="T63" s="1274"/>
      <c r="U63" s="1382"/>
      <c r="V63" s="1382"/>
      <c r="W63" s="1382"/>
      <c r="X63" s="1382"/>
      <c r="Y63" s="1382"/>
      <c r="Z63" s="1382"/>
      <c r="AA63" s="1382"/>
      <c r="AB63" s="1382"/>
      <c r="AC63" s="1382"/>
      <c r="AD63" s="1382"/>
      <c r="AE63" s="1382"/>
      <c r="AF63" s="1382"/>
      <c r="AG63" s="1382"/>
      <c r="AH63" s="1382"/>
      <c r="AI63" s="1382"/>
      <c r="AJ63" s="1382"/>
      <c r="AK63" s="181"/>
      <c r="AL63" s="181"/>
      <c r="AM63" s="181"/>
      <c r="AN63" s="181"/>
      <c r="AO63" s="181"/>
      <c r="AP63" s="181"/>
      <c r="AQ63" s="181"/>
      <c r="AR63" s="181"/>
      <c r="AS63" s="181"/>
      <c r="AT63" s="181"/>
      <c r="AU63" s="181"/>
      <c r="AV63" s="181"/>
      <c r="AW63" s="181"/>
    </row>
    <row r="64" spans="1:49" s="30" customFormat="1" x14ac:dyDescent="0.25">
      <c r="A64" s="1407" t="str">
        <f>IF(COUNTIF('04 - 95% CD'!D64:G64,"Y")&gt;0,"Y",IF(COUNTIF('04 - 95% CD'!D64:G64,"N"),"N",""))</f>
        <v>Y</v>
      </c>
      <c r="B64" s="191"/>
      <c r="C64" s="944"/>
      <c r="D64" s="321"/>
      <c r="E64" s="466"/>
      <c r="F64" s="559" t="str">
        <f>IF('C-Design&amp;Const'!$W64="","",'C-Design&amp;Const'!$W64)</f>
        <v>N</v>
      </c>
      <c r="G64" s="558"/>
      <c r="H64" s="504" t="str">
        <f>CONCATENATE(IF(ISNUMBER(SEARCH("Placeholder",'C-Design&amp;Const'!Z64))=TRUE,"",IF(F64="N","PLACEHOLDER ROW - ","")),'C-Design&amp;Const'!Z64,IF(F64="N","",J64))</f>
        <v>PLACEHOLDER ROW - Site / Civil / Landscape - Utility Abandonments</v>
      </c>
      <c r="I64" s="186"/>
      <c r="J64" s="181"/>
      <c r="K64" s="285" t="str">
        <f t="shared" si="1"/>
        <v>no 95% match</v>
      </c>
      <c r="L64" s="1410" t="str">
        <f t="shared" si="0"/>
        <v>&lt;---PM/Planner may hide PLACEHOLDER ROW</v>
      </c>
      <c r="M64" s="1333"/>
      <c r="N64" s="1382"/>
      <c r="O64" s="1382"/>
      <c r="P64" s="1382"/>
      <c r="Q64" s="1382"/>
      <c r="R64" s="1490"/>
      <c r="S64" s="1274"/>
      <c r="T64" s="1274"/>
      <c r="U64" s="1382"/>
      <c r="V64" s="1382"/>
      <c r="W64" s="1382"/>
      <c r="X64" s="1382"/>
      <c r="Y64" s="1382"/>
      <c r="Z64" s="1382"/>
      <c r="AA64" s="1382"/>
      <c r="AB64" s="1382"/>
      <c r="AC64" s="1382"/>
      <c r="AD64" s="1382"/>
      <c r="AE64" s="1382"/>
      <c r="AF64" s="1382"/>
      <c r="AG64" s="1382"/>
      <c r="AH64" s="1382"/>
      <c r="AI64" s="1382"/>
      <c r="AJ64" s="1382"/>
      <c r="AK64" s="181"/>
      <c r="AL64" s="181"/>
      <c r="AM64" s="181"/>
      <c r="AN64" s="181"/>
      <c r="AO64" s="181"/>
      <c r="AP64" s="181"/>
      <c r="AQ64" s="181"/>
      <c r="AR64" s="181"/>
      <c r="AS64" s="181"/>
      <c r="AT64" s="181"/>
      <c r="AU64" s="181"/>
      <c r="AV64" s="181"/>
      <c r="AW64" s="181"/>
    </row>
    <row r="65" spans="1:49" s="30" customFormat="1" x14ac:dyDescent="0.25">
      <c r="A65" s="1407" t="str">
        <f>IF(COUNTIF('04 - 95% CD'!D65:G65,"Y")&gt;0,"Y",IF(COUNTIF('04 - 95% CD'!D65:G65,"N"),"N",""))</f>
        <v>N</v>
      </c>
      <c r="B65" s="191"/>
      <c r="C65" s="944"/>
      <c r="D65" s="321"/>
      <c r="E65" s="466"/>
      <c r="F65" s="559" t="str">
        <f>IF('C-Design&amp;Const'!$W65="","",'C-Design&amp;Const'!$W65)</f>
        <v>N</v>
      </c>
      <c r="G65" s="558"/>
      <c r="H65" s="504" t="str">
        <f>CONCATENATE(IF(ISNUMBER(SEARCH("Placeholder",'C-Design&amp;Const'!Z65))=TRUE,"",IF(F65="N","PLACEHOLDER ROW - ","")),'C-Design&amp;Const'!Z65,IF(F65="N","",J65))</f>
        <v>PLACEHOLDER ROW - Site / Civil / Landscape - CUSTOM</v>
      </c>
      <c r="I65" s="186"/>
      <c r="J65" s="181"/>
      <c r="K65" s="285" t="str">
        <f t="shared" si="1"/>
        <v>match</v>
      </c>
      <c r="L65" s="1410" t="str">
        <f t="shared" si="0"/>
        <v>&lt;---PM/Planner may hide PLACEHOLDER ROW</v>
      </c>
      <c r="M65" s="1333"/>
      <c r="N65" s="1382"/>
      <c r="O65" s="1382"/>
      <c r="P65" s="1382"/>
      <c r="Q65" s="1382"/>
      <c r="R65" s="1490"/>
      <c r="S65" s="1274"/>
      <c r="T65" s="1274"/>
      <c r="U65" s="1382"/>
      <c r="V65" s="1382"/>
      <c r="W65" s="1382"/>
      <c r="X65" s="1382"/>
      <c r="Y65" s="1382"/>
      <c r="Z65" s="1382"/>
      <c r="AA65" s="1382"/>
      <c r="AB65" s="1382"/>
      <c r="AC65" s="1382"/>
      <c r="AD65" s="1382"/>
      <c r="AE65" s="1382"/>
      <c r="AF65" s="1382"/>
      <c r="AG65" s="1382"/>
      <c r="AH65" s="1382"/>
      <c r="AI65" s="1382"/>
      <c r="AJ65" s="1382"/>
      <c r="AK65" s="181"/>
      <c r="AL65" s="181"/>
      <c r="AM65" s="181"/>
      <c r="AN65" s="181"/>
      <c r="AO65" s="181"/>
      <c r="AP65" s="181"/>
      <c r="AQ65" s="181"/>
      <c r="AR65" s="181"/>
      <c r="AS65" s="181"/>
      <c r="AT65" s="181"/>
      <c r="AU65" s="181"/>
      <c r="AV65" s="181"/>
      <c r="AW65" s="181"/>
    </row>
    <row r="66" spans="1:49" s="545" customFormat="1" x14ac:dyDescent="0.25">
      <c r="A66" s="1407" t="str">
        <f>IF(COUNTIF('04 - 95% CD'!D66:G66,"Y")&gt;0,"Y",IF(COUNTIF('04 - 95% CD'!D66:G66,"N"),"N",""))</f>
        <v>Y</v>
      </c>
      <c r="B66" s="554"/>
      <c r="C66" s="944"/>
      <c r="D66" s="321"/>
      <c r="E66" s="466"/>
      <c r="F66" s="559" t="str">
        <f>IF('C-Design&amp;Const'!$W66="","",'C-Design&amp;Const'!$W66)</f>
        <v>N</v>
      </c>
      <c r="G66" s="558"/>
      <c r="H66" s="504" t="str">
        <f>CONCATENATE(IF(ISNUMBER(SEARCH("Placeholder",'C-Design&amp;Const'!Z66))=TRUE,"",IF(F66="N","PLACEHOLDER ROW - ","")),'C-Design&amp;Const'!Z66,IF(F66="N","",J66))</f>
        <v>PLACEHOLDER ROW - Architectural - Demolition(s)</v>
      </c>
      <c r="I66" s="186"/>
      <c r="J66" s="551"/>
      <c r="K66" s="285" t="str">
        <f t="shared" ref="K66" si="6">IF((COUNTIF(D66:F66,"Y")=COUNTIF(A66,"Y")),"match","no 95% match")</f>
        <v>no 95% match</v>
      </c>
      <c r="L66" s="1410" t="str">
        <f t="shared" ref="L66" si="7">CONCATENATE(IF(ISNUMBER(SEARCH("Placeholder",H66))=TRUE,"&lt;---PM/Planner may hide PLACEHOLDER ROW",""))</f>
        <v>&lt;---PM/Planner may hide PLACEHOLDER ROW</v>
      </c>
      <c r="M66" s="1333"/>
      <c r="N66" s="1382"/>
      <c r="O66" s="1382"/>
      <c r="P66" s="1382"/>
      <c r="Q66" s="1382"/>
      <c r="R66" s="1490"/>
      <c r="S66" s="1274"/>
      <c r="T66" s="1274"/>
      <c r="U66" s="1382"/>
      <c r="V66" s="1382"/>
      <c r="W66" s="1382"/>
      <c r="X66" s="1382"/>
      <c r="Y66" s="1382"/>
      <c r="Z66" s="1382"/>
      <c r="AA66" s="1382"/>
      <c r="AB66" s="1382"/>
      <c r="AC66" s="1382"/>
      <c r="AD66" s="1382"/>
      <c r="AE66" s="1382"/>
      <c r="AF66" s="1382"/>
      <c r="AG66" s="1382"/>
      <c r="AH66" s="1382"/>
      <c r="AI66" s="1382"/>
      <c r="AJ66" s="1382"/>
      <c r="AK66" s="551"/>
      <c r="AL66" s="551"/>
      <c r="AM66" s="551"/>
      <c r="AN66" s="551"/>
      <c r="AO66" s="551"/>
      <c r="AP66" s="551"/>
      <c r="AQ66" s="551"/>
      <c r="AR66" s="551"/>
      <c r="AS66" s="551"/>
      <c r="AT66" s="551"/>
      <c r="AU66" s="551"/>
      <c r="AV66" s="551"/>
      <c r="AW66" s="551"/>
    </row>
    <row r="67" spans="1:49" s="30" customFormat="1" x14ac:dyDescent="0.25">
      <c r="A67" s="1407" t="str">
        <f>IF(COUNTIF('04 - 95% CD'!D67:G67,"Y")&gt;0,"Y",IF(COUNTIF('04 - 95% CD'!D67:G67,"N"),"N",""))</f>
        <v>Y</v>
      </c>
      <c r="B67" s="191"/>
      <c r="C67" s="944"/>
      <c r="D67" s="321"/>
      <c r="E67" s="466"/>
      <c r="F67" s="559" t="str">
        <f>IF('C-Design&amp;Const'!$W67="","",'C-Design&amp;Const'!$W67)</f>
        <v>N</v>
      </c>
      <c r="G67" s="558"/>
      <c r="H67" s="504" t="str">
        <f>CONCATENATE(IF(ISNUMBER(SEARCH("Placeholder",'C-Design&amp;Const'!Z67))=TRUE,"",IF(F67="N","PLACEHOLDER ROW - ","")),'C-Design&amp;Const'!Z67,IF(F67="N","",J67))</f>
        <v>PLACEHOLDER ROW - Architectural - Space Use</v>
      </c>
      <c r="I67" s="186"/>
      <c r="J67" s="181"/>
      <c r="K67" s="285" t="str">
        <f t="shared" si="1"/>
        <v>no 95% match</v>
      </c>
      <c r="L67" s="1410" t="str">
        <f t="shared" si="0"/>
        <v>&lt;---PM/Planner may hide PLACEHOLDER ROW</v>
      </c>
      <c r="M67" s="1333"/>
      <c r="N67" s="1382"/>
      <c r="O67" s="1382"/>
      <c r="P67" s="1382"/>
      <c r="Q67" s="1382"/>
      <c r="R67" s="1490"/>
      <c r="S67" s="1274"/>
      <c r="T67" s="1274"/>
      <c r="U67" s="1382"/>
      <c r="V67" s="1382"/>
      <c r="W67" s="1382"/>
      <c r="X67" s="1382"/>
      <c r="Y67" s="1382"/>
      <c r="Z67" s="1382"/>
      <c r="AA67" s="1382"/>
      <c r="AB67" s="1382"/>
      <c r="AC67" s="1382"/>
      <c r="AD67" s="1382"/>
      <c r="AE67" s="1382"/>
      <c r="AF67" s="1382"/>
      <c r="AG67" s="1382"/>
      <c r="AH67" s="1382"/>
      <c r="AI67" s="1382"/>
      <c r="AJ67" s="1382"/>
      <c r="AK67" s="181"/>
      <c r="AL67" s="181"/>
      <c r="AM67" s="181"/>
      <c r="AN67" s="181"/>
      <c r="AO67" s="181"/>
      <c r="AP67" s="181"/>
      <c r="AQ67" s="181"/>
      <c r="AR67" s="181"/>
      <c r="AS67" s="181"/>
      <c r="AT67" s="181"/>
      <c r="AU67" s="181"/>
      <c r="AV67" s="181"/>
      <c r="AW67" s="181"/>
    </row>
    <row r="68" spans="1:49" s="30" customFormat="1" x14ac:dyDescent="0.25">
      <c r="A68" s="1407" t="str">
        <f>IF(COUNTIF('04 - 95% CD'!D68:G68,"Y")&gt;0,"Y",IF(COUNTIF('04 - 95% CD'!D68:G68,"N"),"N",""))</f>
        <v>Y</v>
      </c>
      <c r="B68" s="191"/>
      <c r="C68" s="944"/>
      <c r="D68" s="321"/>
      <c r="E68" s="466"/>
      <c r="F68" s="559" t="str">
        <f>IF('C-Design&amp;Const'!$W68="","",'C-Design&amp;Const'!$W68)</f>
        <v>N</v>
      </c>
      <c r="G68" s="558"/>
      <c r="H68" s="504" t="str">
        <f>CONCATENATE(IF(ISNUMBER(SEARCH("Placeholder",'C-Design&amp;Const'!Z68))=TRUE,"",IF(F68="N","PLACEHOLDER ROW - ","")),'C-Design&amp;Const'!Z68,IF(F68="N","",J68))</f>
        <v>PLACEHOLDER ROW - Architectural - Historical Preservation</v>
      </c>
      <c r="I68" s="186"/>
      <c r="J68" s="181"/>
      <c r="K68" s="285" t="str">
        <f t="shared" si="1"/>
        <v>no 95% match</v>
      </c>
      <c r="L68" s="1410" t="str">
        <f t="shared" si="0"/>
        <v>&lt;---PM/Planner may hide PLACEHOLDER ROW</v>
      </c>
      <c r="M68" s="1333"/>
      <c r="N68" s="1382"/>
      <c r="O68" s="1382"/>
      <c r="P68" s="1382"/>
      <c r="Q68" s="1382"/>
      <c r="R68" s="1490"/>
      <c r="S68" s="1274"/>
      <c r="T68" s="1274"/>
      <c r="U68" s="1382"/>
      <c r="V68" s="1382"/>
      <c r="W68" s="1382"/>
      <c r="X68" s="1382"/>
      <c r="Y68" s="1382"/>
      <c r="Z68" s="1382"/>
      <c r="AA68" s="1382"/>
      <c r="AB68" s="1382"/>
      <c r="AC68" s="1382"/>
      <c r="AD68" s="1382"/>
      <c r="AE68" s="1382"/>
      <c r="AF68" s="1382"/>
      <c r="AG68" s="1382"/>
      <c r="AH68" s="1382"/>
      <c r="AI68" s="1382"/>
      <c r="AJ68" s="1382"/>
      <c r="AK68" s="181"/>
      <c r="AL68" s="181"/>
      <c r="AM68" s="181"/>
      <c r="AN68" s="181"/>
      <c r="AO68" s="181"/>
      <c r="AP68" s="181"/>
      <c r="AQ68" s="181"/>
      <c r="AR68" s="181"/>
      <c r="AS68" s="181"/>
      <c r="AT68" s="181"/>
      <c r="AU68" s="181"/>
      <c r="AV68" s="181"/>
      <c r="AW68" s="181"/>
    </row>
    <row r="69" spans="1:49" s="30" customFormat="1" ht="28.5" x14ac:dyDescent="0.25">
      <c r="A69" s="1407" t="str">
        <f>IF(COUNTIF('04 - 95% CD'!D69:G69,"Y")&gt;0,"Y",IF(COUNTIF('04 - 95% CD'!D69:G69,"N"),"N",""))</f>
        <v>Y</v>
      </c>
      <c r="B69" s="191"/>
      <c r="C69" s="944"/>
      <c r="D69" s="321"/>
      <c r="E69" s="466"/>
      <c r="F69" s="559" t="str">
        <f>IF('C-Design&amp;Const'!$W69="","",'C-Design&amp;Const'!$W69)</f>
        <v>N</v>
      </c>
      <c r="G69" s="558"/>
      <c r="H69" s="504" t="str">
        <f>CONCATENATE(IF(ISNUMBER(SEARCH("Placeholder",'C-Design&amp;Const'!Z69))=TRUE,"",IF(F69="N","PLACEHOLDER ROW - ","")),'C-Design&amp;Const'!Z69,IF(F69="N","",J69))</f>
        <v>PLACEHOLDER ROW - Architectural - Building Envelope **(existing systems verification recommended on renovations)</v>
      </c>
      <c r="I69" s="186"/>
      <c r="J69" s="181"/>
      <c r="K69" s="285" t="str">
        <f t="shared" si="1"/>
        <v>no 95% match</v>
      </c>
      <c r="L69" s="1410" t="str">
        <f t="shared" si="0"/>
        <v>&lt;---PM/Planner may hide PLACEHOLDER ROW</v>
      </c>
      <c r="M69" s="1333"/>
      <c r="N69" s="1382"/>
      <c r="O69" s="1382"/>
      <c r="P69" s="1382"/>
      <c r="Q69" s="1382"/>
      <c r="R69" s="1490"/>
      <c r="S69" s="1274"/>
      <c r="T69" s="1274"/>
      <c r="U69" s="1382"/>
      <c r="V69" s="1382"/>
      <c r="W69" s="1382"/>
      <c r="X69" s="1382"/>
      <c r="Y69" s="1382"/>
      <c r="Z69" s="1382"/>
      <c r="AA69" s="1382"/>
      <c r="AB69" s="1382"/>
      <c r="AC69" s="1382"/>
      <c r="AD69" s="1382"/>
      <c r="AE69" s="1382"/>
      <c r="AF69" s="1382"/>
      <c r="AG69" s="1382"/>
      <c r="AH69" s="1382"/>
      <c r="AI69" s="1382"/>
      <c r="AJ69" s="1382"/>
      <c r="AK69" s="181"/>
      <c r="AL69" s="181"/>
      <c r="AM69" s="181"/>
      <c r="AN69" s="181"/>
      <c r="AO69" s="181"/>
      <c r="AP69" s="181"/>
      <c r="AQ69" s="181"/>
      <c r="AR69" s="181"/>
      <c r="AS69" s="181"/>
      <c r="AT69" s="181"/>
      <c r="AU69" s="181"/>
      <c r="AV69" s="181"/>
      <c r="AW69" s="181"/>
    </row>
    <row r="70" spans="1:49" s="30" customFormat="1" x14ac:dyDescent="0.25">
      <c r="A70" s="1407" t="str">
        <f>IF(COUNTIF('04 - 95% CD'!D70:G70,"Y")&gt;0,"Y",IF(COUNTIF('04 - 95% CD'!D70:G70,"N"),"N",""))</f>
        <v>Y</v>
      </c>
      <c r="B70" s="191"/>
      <c r="C70" s="944"/>
      <c r="D70" s="321"/>
      <c r="E70" s="466"/>
      <c r="F70" s="559" t="str">
        <f>IF('C-Design&amp;Const'!$W70="","",'C-Design&amp;Const'!$W70)</f>
        <v>N</v>
      </c>
      <c r="G70" s="558"/>
      <c r="H70" s="504" t="str">
        <f>CONCATENATE(IF(ISNUMBER(SEARCH("Placeholder",'C-Design&amp;Const'!Z70))=TRUE,"",IF(F70="N","PLACEHOLDER ROW - ","")),'C-Design&amp;Const'!Z70,IF(F70="N","",J70))</f>
        <v>PLACEHOLDER ROW - Architectural - Interiors</v>
      </c>
      <c r="I70" s="186"/>
      <c r="J70" s="181"/>
      <c r="K70" s="285" t="str">
        <f t="shared" si="1"/>
        <v>no 95% match</v>
      </c>
      <c r="L70" s="1410" t="str">
        <f t="shared" si="0"/>
        <v>&lt;---PM/Planner may hide PLACEHOLDER ROW</v>
      </c>
      <c r="M70" s="1333"/>
      <c r="N70" s="1382"/>
      <c r="O70" s="1382"/>
      <c r="P70" s="1382"/>
      <c r="Q70" s="1382"/>
      <c r="R70" s="1490"/>
      <c r="S70" s="1274"/>
      <c r="T70" s="1274"/>
      <c r="U70" s="1382"/>
      <c r="V70" s="1382"/>
      <c r="W70" s="1382"/>
      <c r="X70" s="1382"/>
      <c r="Y70" s="1382"/>
      <c r="Z70" s="1382"/>
      <c r="AA70" s="1382"/>
      <c r="AB70" s="1382"/>
      <c r="AC70" s="1382"/>
      <c r="AD70" s="1382"/>
      <c r="AE70" s="1382"/>
      <c r="AF70" s="1382"/>
      <c r="AG70" s="1382"/>
      <c r="AH70" s="1382"/>
      <c r="AI70" s="1382"/>
      <c r="AJ70" s="1382"/>
      <c r="AK70" s="181"/>
      <c r="AL70" s="181"/>
      <c r="AM70" s="181"/>
      <c r="AN70" s="181"/>
      <c r="AO70" s="181"/>
      <c r="AP70" s="181"/>
      <c r="AQ70" s="181"/>
      <c r="AR70" s="181"/>
      <c r="AS70" s="181"/>
      <c r="AT70" s="181"/>
      <c r="AU70" s="181"/>
      <c r="AV70" s="181"/>
      <c r="AW70" s="181"/>
    </row>
    <row r="71" spans="1:49" s="30" customFormat="1" x14ac:dyDescent="0.25">
      <c r="A71" s="1407" t="str">
        <f>IF(COUNTIF('04 - 95% CD'!D71:G71,"Y")&gt;0,"Y",IF(COUNTIF('04 - 95% CD'!D71:G71,"N"),"N",""))</f>
        <v>Y</v>
      </c>
      <c r="B71" s="191"/>
      <c r="C71" s="944"/>
      <c r="D71" s="321"/>
      <c r="E71" s="466"/>
      <c r="F71" s="559" t="str">
        <f>IF('C-Design&amp;Const'!$W71="","",'C-Design&amp;Const'!$W71)</f>
        <v>N</v>
      </c>
      <c r="G71" s="558"/>
      <c r="H71" s="504" t="str">
        <f>CONCATENATE(IF(ISNUMBER(SEARCH("Placeholder",'C-Design&amp;Const'!Z71))=TRUE,"",IF(F71="N","PLACEHOLDER ROW - ","")),'C-Design&amp;Const'!Z71,IF(F71="N","",J71))</f>
        <v xml:space="preserve">PLACEHOLDER ROW - Architectural - Interior and Exterior Signage </v>
      </c>
      <c r="I71" s="186"/>
      <c r="J71" s="181"/>
      <c r="K71" s="285" t="str">
        <f t="shared" si="1"/>
        <v>no 95% match</v>
      </c>
      <c r="L71" s="1410" t="str">
        <f t="shared" si="0"/>
        <v>&lt;---PM/Planner may hide PLACEHOLDER ROW</v>
      </c>
      <c r="M71" s="1333"/>
      <c r="N71" s="1382"/>
      <c r="O71" s="1382"/>
      <c r="P71" s="1382"/>
      <c r="Q71" s="1382"/>
      <c r="R71" s="1490"/>
      <c r="S71" s="1274"/>
      <c r="T71" s="1274"/>
      <c r="U71" s="1382"/>
      <c r="V71" s="1382"/>
      <c r="W71" s="1382"/>
      <c r="X71" s="1382"/>
      <c r="Y71" s="1382"/>
      <c r="Z71" s="1382"/>
      <c r="AA71" s="1382"/>
      <c r="AB71" s="1382"/>
      <c r="AC71" s="1382"/>
      <c r="AD71" s="1382"/>
      <c r="AE71" s="1382"/>
      <c r="AF71" s="1382"/>
      <c r="AG71" s="1382"/>
      <c r="AH71" s="1382"/>
      <c r="AI71" s="1382"/>
      <c r="AJ71" s="1382"/>
      <c r="AK71" s="181"/>
      <c r="AL71" s="181"/>
      <c r="AM71" s="181"/>
      <c r="AN71" s="181"/>
      <c r="AO71" s="181"/>
      <c r="AP71" s="181"/>
      <c r="AQ71" s="181"/>
      <c r="AR71" s="181"/>
      <c r="AS71" s="181"/>
      <c r="AT71" s="181"/>
      <c r="AU71" s="181"/>
      <c r="AV71" s="181"/>
      <c r="AW71" s="181"/>
    </row>
    <row r="72" spans="1:49" s="30" customFormat="1" ht="28.5" x14ac:dyDescent="0.25">
      <c r="A72" s="1407" t="str">
        <f>IF(COUNTIF('04 - 95% CD'!D72:G72,"Y")&gt;0,"Y",IF(COUNTIF('04 - 95% CD'!D72:G72,"N"),"N",""))</f>
        <v>Y</v>
      </c>
      <c r="B72" s="191"/>
      <c r="C72" s="944"/>
      <c r="D72" s="321"/>
      <c r="E72" s="466"/>
      <c r="F72" s="559" t="str">
        <f>IF('C-Design&amp;Const'!$W72="","",'C-Design&amp;Const'!$W72)</f>
        <v>N</v>
      </c>
      <c r="G72" s="558"/>
      <c r="H72" s="504" t="str">
        <f>CONCATENATE(IF(ISNUMBER(SEARCH("Placeholder",'C-Design&amp;Const'!Z72))=TRUE,"",IF(F72="N","PLACEHOLDER ROW - ","")),'C-Design&amp;Const'!Z72,IF(F72="N","",J72))</f>
        <v>PLACEHOLDER ROW - Architectural - Elevators  **(existing systems verification recommended on renovations)</v>
      </c>
      <c r="I72" s="186"/>
      <c r="J72" s="181"/>
      <c r="K72" s="285" t="str">
        <f t="shared" si="1"/>
        <v>no 95% match</v>
      </c>
      <c r="L72" s="1410" t="str">
        <f t="shared" si="0"/>
        <v>&lt;---PM/Planner may hide PLACEHOLDER ROW</v>
      </c>
      <c r="M72" s="1333"/>
      <c r="N72" s="1382"/>
      <c r="O72" s="1382"/>
      <c r="P72" s="1382"/>
      <c r="Q72" s="1382"/>
      <c r="R72" s="1490"/>
      <c r="S72" s="1274"/>
      <c r="T72" s="1274"/>
      <c r="U72" s="1382"/>
      <c r="V72" s="1382"/>
      <c r="W72" s="1382"/>
      <c r="X72" s="1382"/>
      <c r="Y72" s="1382"/>
      <c r="Z72" s="1382"/>
      <c r="AA72" s="1382"/>
      <c r="AB72" s="1382"/>
      <c r="AC72" s="1382"/>
      <c r="AD72" s="1382"/>
      <c r="AE72" s="1382"/>
      <c r="AF72" s="1382"/>
      <c r="AG72" s="1382"/>
      <c r="AH72" s="1382"/>
      <c r="AI72" s="1382"/>
      <c r="AJ72" s="1382"/>
      <c r="AK72" s="181"/>
      <c r="AL72" s="181"/>
      <c r="AM72" s="181"/>
      <c r="AN72" s="181"/>
      <c r="AO72" s="181"/>
      <c r="AP72" s="181"/>
      <c r="AQ72" s="181"/>
      <c r="AR72" s="181"/>
      <c r="AS72" s="181"/>
      <c r="AT72" s="181"/>
      <c r="AU72" s="181"/>
      <c r="AV72" s="181"/>
      <c r="AW72" s="181"/>
    </row>
    <row r="73" spans="1:49" s="30" customFormat="1" x14ac:dyDescent="0.25">
      <c r="A73" s="1407" t="str">
        <f>IF(COUNTIF('04 - 95% CD'!D73:G73,"Y")&gt;0,"Y",IF(COUNTIF('04 - 95% CD'!D73:G73,"N"),"N",""))</f>
        <v>N</v>
      </c>
      <c r="B73" s="191"/>
      <c r="C73" s="944"/>
      <c r="D73" s="321"/>
      <c r="E73" s="466"/>
      <c r="F73" s="559" t="str">
        <f>IF('C-Design&amp;Const'!$W73="","",'C-Design&amp;Const'!$W73)</f>
        <v>N</v>
      </c>
      <c r="G73" s="558"/>
      <c r="H73" s="504" t="str">
        <f>CONCATENATE(IF(ISNUMBER(SEARCH("Placeholder",'C-Design&amp;Const'!Z73))=TRUE,"",IF(F73="N","PLACEHOLDER ROW - ","")),'C-Design&amp;Const'!Z73,IF(F73="N","",J73))</f>
        <v>PLACEHOLDER ROW - Architectural - CUSTOM</v>
      </c>
      <c r="I73" s="186"/>
      <c r="J73" s="181"/>
      <c r="K73" s="285" t="str">
        <f t="shared" si="1"/>
        <v>match</v>
      </c>
      <c r="L73" s="1410" t="str">
        <f t="shared" si="0"/>
        <v>&lt;---PM/Planner may hide PLACEHOLDER ROW</v>
      </c>
      <c r="M73" s="1333"/>
      <c r="N73" s="1382"/>
      <c r="O73" s="1382"/>
      <c r="P73" s="1382"/>
      <c r="Q73" s="1382"/>
      <c r="R73" s="1490"/>
      <c r="S73" s="1274"/>
      <c r="T73" s="1274"/>
      <c r="U73" s="1382"/>
      <c r="V73" s="1382"/>
      <c r="W73" s="1382"/>
      <c r="X73" s="1382"/>
      <c r="Y73" s="1382"/>
      <c r="Z73" s="1382"/>
      <c r="AA73" s="1382"/>
      <c r="AB73" s="1382"/>
      <c r="AC73" s="1382"/>
      <c r="AD73" s="1382"/>
      <c r="AE73" s="1382"/>
      <c r="AF73" s="1382"/>
      <c r="AG73" s="1382"/>
      <c r="AH73" s="1382"/>
      <c r="AI73" s="1382"/>
      <c r="AJ73" s="1382"/>
      <c r="AK73" s="181"/>
      <c r="AL73" s="181"/>
      <c r="AM73" s="181"/>
      <c r="AN73" s="181"/>
      <c r="AO73" s="181"/>
      <c r="AP73" s="181"/>
      <c r="AQ73" s="181"/>
      <c r="AR73" s="181"/>
      <c r="AS73" s="181"/>
      <c r="AT73" s="181"/>
      <c r="AU73" s="181"/>
      <c r="AV73" s="181"/>
      <c r="AW73" s="181"/>
    </row>
    <row r="74" spans="1:49" s="30" customFormat="1" x14ac:dyDescent="0.25">
      <c r="A74" s="1407" t="str">
        <f>IF(COUNTIF('04 - 95% CD'!D74:G74,"Y")&gt;0,"Y",IF(COUNTIF('04 - 95% CD'!D74:G74,"N"),"N",""))</f>
        <v>N</v>
      </c>
      <c r="B74" s="191"/>
      <c r="C74" s="944"/>
      <c r="D74" s="321"/>
      <c r="E74" s="466"/>
      <c r="F74" s="559" t="str">
        <f>IF('C-Design&amp;Const'!$W74="","",'C-Design&amp;Const'!$W74)</f>
        <v>N</v>
      </c>
      <c r="G74" s="558"/>
      <c r="H74" s="504" t="str">
        <f>CONCATENATE(IF(ISNUMBER(SEARCH("Placeholder",'C-Design&amp;Const'!Z74))=TRUE,"",IF(F74="N","PLACEHOLDER ROW - ","")),'C-Design&amp;Const'!Z74,IF(F74="N","",J74))</f>
        <v>PLACEHOLDER ROW - Architectural - CUSTOM</v>
      </c>
      <c r="I74" s="186"/>
      <c r="J74" s="181"/>
      <c r="K74" s="285" t="str">
        <f t="shared" si="1"/>
        <v>match</v>
      </c>
      <c r="L74" s="1410" t="str">
        <f t="shared" si="0"/>
        <v>&lt;---PM/Planner may hide PLACEHOLDER ROW</v>
      </c>
      <c r="M74" s="1333"/>
      <c r="N74" s="1382"/>
      <c r="O74" s="1382"/>
      <c r="P74" s="1382"/>
      <c r="Q74" s="1382"/>
      <c r="R74" s="1490"/>
      <c r="S74" s="1274"/>
      <c r="T74" s="1274"/>
      <c r="U74" s="1382"/>
      <c r="V74" s="1382"/>
      <c r="W74" s="1382"/>
      <c r="X74" s="1382"/>
      <c r="Y74" s="1382"/>
      <c r="Z74" s="1382"/>
      <c r="AA74" s="1382"/>
      <c r="AB74" s="1382"/>
      <c r="AC74" s="1382"/>
      <c r="AD74" s="1382"/>
      <c r="AE74" s="1382"/>
      <c r="AF74" s="1382"/>
      <c r="AG74" s="1382"/>
      <c r="AH74" s="1382"/>
      <c r="AI74" s="1382"/>
      <c r="AJ74" s="1382"/>
      <c r="AK74" s="181"/>
      <c r="AL74" s="181"/>
      <c r="AM74" s="181"/>
      <c r="AN74" s="181"/>
      <c r="AO74" s="181"/>
      <c r="AP74" s="181"/>
      <c r="AQ74" s="181"/>
      <c r="AR74" s="181"/>
      <c r="AS74" s="181"/>
      <c r="AT74" s="181"/>
      <c r="AU74" s="181"/>
      <c r="AV74" s="181"/>
      <c r="AW74" s="181"/>
    </row>
    <row r="75" spans="1:49" s="30" customFormat="1" x14ac:dyDescent="0.25">
      <c r="A75" s="1407" t="str">
        <f>IF(COUNTIF('04 - 95% CD'!D75:G75,"Y")&gt;0,"Y",IF(COUNTIF('04 - 95% CD'!D75:G75,"N"),"N",""))</f>
        <v>Y</v>
      </c>
      <c r="B75" s="191"/>
      <c r="C75" s="944"/>
      <c r="D75" s="321"/>
      <c r="E75" s="466"/>
      <c r="F75" s="559" t="str">
        <f>IF('C-Design&amp;Const'!$W75="","",'C-Design&amp;Const'!$W75)</f>
        <v>N</v>
      </c>
      <c r="G75" s="558"/>
      <c r="H75" s="504" t="str">
        <f>CONCATENATE(IF(ISNUMBER(SEARCH("Placeholder",'C-Design&amp;Const'!Z75))=TRUE,"",IF(F75="N","PLACEHOLDER ROW - ","")),'C-Design&amp;Const'!Z75,IF(F75="N","",J75))</f>
        <v>PLACEHOLDER ROW - Structural - Demolition(s)</v>
      </c>
      <c r="I75" s="186"/>
      <c r="J75" s="181"/>
      <c r="K75" s="285" t="str">
        <f t="shared" si="1"/>
        <v>no 95% match</v>
      </c>
      <c r="L75" s="1410" t="str">
        <f t="shared" si="0"/>
        <v>&lt;---PM/Planner may hide PLACEHOLDER ROW</v>
      </c>
      <c r="M75" s="1333"/>
      <c r="N75" s="1382"/>
      <c r="O75" s="1382"/>
      <c r="P75" s="1382"/>
      <c r="Q75" s="1382"/>
      <c r="R75" s="1490"/>
      <c r="S75" s="1274"/>
      <c r="T75" s="1274"/>
      <c r="U75" s="1382"/>
      <c r="V75" s="1382"/>
      <c r="W75" s="1382"/>
      <c r="X75" s="1382"/>
      <c r="Y75" s="1382"/>
      <c r="Z75" s="1382"/>
      <c r="AA75" s="1382"/>
      <c r="AB75" s="1382"/>
      <c r="AC75" s="1382"/>
      <c r="AD75" s="1382"/>
      <c r="AE75" s="1382"/>
      <c r="AF75" s="1382"/>
      <c r="AG75" s="1382"/>
      <c r="AH75" s="1382"/>
      <c r="AI75" s="1382"/>
      <c r="AJ75" s="1382"/>
      <c r="AK75" s="181"/>
      <c r="AL75" s="181"/>
      <c r="AM75" s="181"/>
      <c r="AN75" s="181"/>
      <c r="AO75" s="181"/>
      <c r="AP75" s="181"/>
      <c r="AQ75" s="181"/>
      <c r="AR75" s="181"/>
      <c r="AS75" s="181"/>
      <c r="AT75" s="181"/>
      <c r="AU75" s="181"/>
      <c r="AV75" s="181"/>
      <c r="AW75" s="181"/>
    </row>
    <row r="76" spans="1:49" s="30" customFormat="1" x14ac:dyDescent="0.25">
      <c r="A76" s="1407" t="str">
        <f>IF(COUNTIF('04 - 95% CD'!D76:G76,"Y")&gt;0,"Y",IF(COUNTIF('04 - 95% CD'!D76:G76,"N"),"N",""))</f>
        <v>Y</v>
      </c>
      <c r="B76" s="191"/>
      <c r="C76" s="944"/>
      <c r="D76" s="321"/>
      <c r="E76" s="466"/>
      <c r="F76" s="559" t="str">
        <f>IF('C-Design&amp;Const'!$W76="","",'C-Design&amp;Const'!$W76)</f>
        <v>N</v>
      </c>
      <c r="G76" s="558"/>
      <c r="H76" s="504" t="str">
        <f>CONCATENATE(IF(ISNUMBER(SEARCH("Placeholder",'C-Design&amp;Const'!Z76))=TRUE,"",IF(F76="N","PLACEHOLDER ROW - ","")),'C-Design&amp;Const'!Z76,IF(F76="N","",J76))</f>
        <v>PLACEHOLDER ROW - Structural - Gravity Loads</v>
      </c>
      <c r="I76" s="186"/>
      <c r="J76" s="181"/>
      <c r="K76" s="285" t="str">
        <f t="shared" si="1"/>
        <v>no 95% match</v>
      </c>
      <c r="L76" s="1410" t="str">
        <f t="shared" si="0"/>
        <v>&lt;---PM/Planner may hide PLACEHOLDER ROW</v>
      </c>
      <c r="M76" s="1333"/>
      <c r="N76" s="1382"/>
      <c r="O76" s="1382"/>
      <c r="P76" s="1382"/>
      <c r="Q76" s="1382"/>
      <c r="R76" s="1490"/>
      <c r="S76" s="1274"/>
      <c r="T76" s="1274"/>
      <c r="U76" s="1382"/>
      <c r="V76" s="1382"/>
      <c r="W76" s="1382"/>
      <c r="X76" s="1382"/>
      <c r="Y76" s="1382"/>
      <c r="Z76" s="1382"/>
      <c r="AA76" s="1382"/>
      <c r="AB76" s="1382"/>
      <c r="AC76" s="1382"/>
      <c r="AD76" s="1382"/>
      <c r="AE76" s="1382"/>
      <c r="AF76" s="1382"/>
      <c r="AG76" s="1382"/>
      <c r="AH76" s="1382"/>
      <c r="AI76" s="1382"/>
      <c r="AJ76" s="1382"/>
      <c r="AK76" s="181"/>
      <c r="AL76" s="181"/>
      <c r="AM76" s="181"/>
      <c r="AN76" s="181"/>
      <c r="AO76" s="181"/>
      <c r="AP76" s="181"/>
      <c r="AQ76" s="181"/>
      <c r="AR76" s="181"/>
      <c r="AS76" s="181"/>
      <c r="AT76" s="181"/>
      <c r="AU76" s="181"/>
      <c r="AV76" s="181"/>
      <c r="AW76" s="181"/>
    </row>
    <row r="77" spans="1:49" s="30" customFormat="1" x14ac:dyDescent="0.25">
      <c r="A77" s="1407" t="str">
        <f>IF(COUNTIF('04 - 95% CD'!D77:G77,"Y")&gt;0,"Y",IF(COUNTIF('04 - 95% CD'!D77:G77,"N"),"N",""))</f>
        <v>Y</v>
      </c>
      <c r="B77" s="191"/>
      <c r="C77" s="944"/>
      <c r="D77" s="321"/>
      <c r="E77" s="466"/>
      <c r="F77" s="559" t="str">
        <f>IF('C-Design&amp;Const'!$W77="","",'C-Design&amp;Const'!$W77)</f>
        <v>N</v>
      </c>
      <c r="G77" s="558"/>
      <c r="H77" s="504" t="str">
        <f>CONCATENATE(IF(ISNUMBER(SEARCH("Placeholder",'C-Design&amp;Const'!Z77))=TRUE,"",IF(F77="N","PLACEHOLDER ROW - ","")),'C-Design&amp;Const'!Z77,IF(F77="N","",J77))</f>
        <v>PLACEHOLDER ROW - Structural - Lateral loads and force resisting systems</v>
      </c>
      <c r="I77" s="186"/>
      <c r="J77" s="181"/>
      <c r="K77" s="285" t="str">
        <f t="shared" si="1"/>
        <v>no 95% match</v>
      </c>
      <c r="L77" s="1410" t="str">
        <f t="shared" si="0"/>
        <v>&lt;---PM/Planner may hide PLACEHOLDER ROW</v>
      </c>
      <c r="M77" s="1333"/>
      <c r="N77" s="1382"/>
      <c r="O77" s="1382"/>
      <c r="P77" s="1382"/>
      <c r="Q77" s="1382"/>
      <c r="R77" s="1490"/>
      <c r="S77" s="1274"/>
      <c r="T77" s="1274"/>
      <c r="U77" s="1382"/>
      <c r="V77" s="1382"/>
      <c r="W77" s="1382"/>
      <c r="X77" s="1382"/>
      <c r="Y77" s="1382"/>
      <c r="Z77" s="1382"/>
      <c r="AA77" s="1382"/>
      <c r="AB77" s="1382"/>
      <c r="AC77" s="1382"/>
      <c r="AD77" s="1382"/>
      <c r="AE77" s="1382"/>
      <c r="AF77" s="1382"/>
      <c r="AG77" s="1382"/>
      <c r="AH77" s="1382"/>
      <c r="AI77" s="1382"/>
      <c r="AJ77" s="1382"/>
      <c r="AK77" s="181"/>
      <c r="AL77" s="181"/>
      <c r="AM77" s="181"/>
      <c r="AN77" s="181"/>
      <c r="AO77" s="181"/>
      <c r="AP77" s="181"/>
      <c r="AQ77" s="181"/>
      <c r="AR77" s="181"/>
      <c r="AS77" s="181"/>
      <c r="AT77" s="181"/>
      <c r="AU77" s="181"/>
      <c r="AV77" s="181"/>
      <c r="AW77" s="181"/>
    </row>
    <row r="78" spans="1:49" s="30" customFormat="1" x14ac:dyDescent="0.25">
      <c r="A78" s="1407" t="str">
        <f>IF(COUNTIF('04 - 95% CD'!D78:G78,"Y")&gt;0,"Y",IF(COUNTIF('04 - 95% CD'!D78:G78,"N"),"N",""))</f>
        <v>Y</v>
      </c>
      <c r="B78" s="191"/>
      <c r="C78" s="944"/>
      <c r="D78" s="321"/>
      <c r="E78" s="466"/>
      <c r="F78" s="559" t="str">
        <f>IF('C-Design&amp;Const'!$W78="","",'C-Design&amp;Const'!$W78)</f>
        <v>N</v>
      </c>
      <c r="G78" s="558"/>
      <c r="H78" s="504" t="str">
        <f>CONCATENATE(IF(ISNUMBER(SEARCH("Placeholder",'C-Design&amp;Const'!Z78))=TRUE,"",IF(F78="N","PLACEHOLDER ROW - ","")),'C-Design&amp;Const'!Z78,IF(F78="N","",J78))</f>
        <v>PLACEHOLDER ROW - Structural - Foundation Systems</v>
      </c>
      <c r="I78" s="186"/>
      <c r="J78" s="181"/>
      <c r="K78" s="285" t="str">
        <f t="shared" si="1"/>
        <v>no 95% match</v>
      </c>
      <c r="L78" s="1410" t="str">
        <f t="shared" si="0"/>
        <v>&lt;---PM/Planner may hide PLACEHOLDER ROW</v>
      </c>
      <c r="M78" s="1333"/>
      <c r="N78" s="1382"/>
      <c r="O78" s="1382"/>
      <c r="P78" s="1382"/>
      <c r="Q78" s="1382"/>
      <c r="R78" s="1490"/>
      <c r="S78" s="1274"/>
      <c r="T78" s="1274"/>
      <c r="U78" s="1382"/>
      <c r="V78" s="1382"/>
      <c r="W78" s="1382"/>
      <c r="X78" s="1382"/>
      <c r="Y78" s="1382"/>
      <c r="Z78" s="1382"/>
      <c r="AA78" s="1382"/>
      <c r="AB78" s="1382"/>
      <c r="AC78" s="1382"/>
      <c r="AD78" s="1382"/>
      <c r="AE78" s="1382"/>
      <c r="AF78" s="1382"/>
      <c r="AG78" s="1382"/>
      <c r="AH78" s="1382"/>
      <c r="AI78" s="1382"/>
      <c r="AJ78" s="1382"/>
      <c r="AK78" s="181"/>
      <c r="AL78" s="181"/>
      <c r="AM78" s="181"/>
      <c r="AN78" s="181"/>
      <c r="AO78" s="181"/>
      <c r="AP78" s="181"/>
      <c r="AQ78" s="181"/>
      <c r="AR78" s="181"/>
      <c r="AS78" s="181"/>
      <c r="AT78" s="181"/>
      <c r="AU78" s="181"/>
      <c r="AV78" s="181"/>
      <c r="AW78" s="181"/>
    </row>
    <row r="79" spans="1:49" s="30" customFormat="1" ht="28.5" x14ac:dyDescent="0.25">
      <c r="A79" s="1407" t="str">
        <f>IF(COUNTIF('04 - 95% CD'!D79:G79,"Y")&gt;0,"Y",IF(COUNTIF('04 - 95% CD'!D79:G79,"N"),"N",""))</f>
        <v>Y</v>
      </c>
      <c r="B79" s="191"/>
      <c r="C79" s="944"/>
      <c r="D79" s="321"/>
      <c r="E79" s="466"/>
      <c r="F79" s="559" t="str">
        <f>IF('C-Design&amp;Const'!$W79="","",'C-Design&amp;Const'!$W79)</f>
        <v>N</v>
      </c>
      <c r="G79" s="558"/>
      <c r="H79" s="504" t="str">
        <f>CONCATENATE(IF(ISNUMBER(SEARCH("Placeholder",'C-Design&amp;Const'!Z79))=TRUE,"",IF(F79="N","PLACEHOLDER ROW - ","")),'C-Design&amp;Const'!Z79,IF(F79="N","",J79))</f>
        <v>PLACEHOLDER ROW - Structural - Block, concrete, &amp; steel  **(existing systems verification recommended on renovations)</v>
      </c>
      <c r="I79" s="186"/>
      <c r="J79" s="181"/>
      <c r="K79" s="285" t="str">
        <f t="shared" si="1"/>
        <v>no 95% match</v>
      </c>
      <c r="L79" s="1410" t="str">
        <f t="shared" si="0"/>
        <v>&lt;---PM/Planner may hide PLACEHOLDER ROW</v>
      </c>
      <c r="M79" s="1333"/>
      <c r="N79" s="1382"/>
      <c r="O79" s="1382"/>
      <c r="P79" s="1382"/>
      <c r="Q79" s="1382"/>
      <c r="R79" s="1490"/>
      <c r="S79" s="1274"/>
      <c r="T79" s="1274"/>
      <c r="U79" s="1382"/>
      <c r="V79" s="1382"/>
      <c r="W79" s="1382"/>
      <c r="X79" s="1382"/>
      <c r="Y79" s="1382"/>
      <c r="Z79" s="1382"/>
      <c r="AA79" s="1382"/>
      <c r="AB79" s="1382"/>
      <c r="AC79" s="1382"/>
      <c r="AD79" s="1382"/>
      <c r="AE79" s="1382"/>
      <c r="AF79" s="1382"/>
      <c r="AG79" s="1382"/>
      <c r="AH79" s="1382"/>
      <c r="AI79" s="1382"/>
      <c r="AJ79" s="1382"/>
      <c r="AK79" s="181"/>
      <c r="AL79" s="181"/>
      <c r="AM79" s="181"/>
      <c r="AN79" s="181"/>
      <c r="AO79" s="181"/>
      <c r="AP79" s="181"/>
      <c r="AQ79" s="181"/>
      <c r="AR79" s="181"/>
      <c r="AS79" s="181"/>
      <c r="AT79" s="181"/>
      <c r="AU79" s="181"/>
      <c r="AV79" s="181"/>
      <c r="AW79" s="181"/>
    </row>
    <row r="80" spans="1:49" s="30" customFormat="1" x14ac:dyDescent="0.25">
      <c r="A80" s="1407" t="str">
        <f>IF(COUNTIF('04 - 95% CD'!D80:G80,"Y")&gt;0,"Y",IF(COUNTIF('04 - 95% CD'!D80:G80,"N"),"N",""))</f>
        <v>N</v>
      </c>
      <c r="B80" s="191"/>
      <c r="C80" s="944"/>
      <c r="D80" s="321"/>
      <c r="E80" s="466"/>
      <c r="F80" s="559" t="str">
        <f>IF('C-Design&amp;Const'!$W80="","",'C-Design&amp;Const'!$W80)</f>
        <v>N</v>
      </c>
      <c r="G80" s="558"/>
      <c r="H80" s="504" t="str">
        <f>CONCATENATE(IF(ISNUMBER(SEARCH("Placeholder",'C-Design&amp;Const'!Z80))=TRUE,"",IF(F80="N","PLACEHOLDER ROW - ","")),'C-Design&amp;Const'!Z80,IF(F80="N","",J80))</f>
        <v>PLACEHOLDER ROW - Structural - CUSTOM</v>
      </c>
      <c r="I80" s="186"/>
      <c r="J80" s="181"/>
      <c r="K80" s="285" t="str">
        <f t="shared" si="1"/>
        <v>match</v>
      </c>
      <c r="L80" s="1410" t="str">
        <f t="shared" si="0"/>
        <v>&lt;---PM/Planner may hide PLACEHOLDER ROW</v>
      </c>
      <c r="M80" s="1333"/>
      <c r="N80" s="1382"/>
      <c r="O80" s="1382"/>
      <c r="P80" s="1382"/>
      <c r="Q80" s="1382"/>
      <c r="R80" s="1490"/>
      <c r="S80" s="1274"/>
      <c r="T80" s="1274"/>
      <c r="U80" s="1382"/>
      <c r="V80" s="1382"/>
      <c r="W80" s="1382"/>
      <c r="X80" s="1382"/>
      <c r="Y80" s="1382"/>
      <c r="Z80" s="1382"/>
      <c r="AA80" s="1382"/>
      <c r="AB80" s="1382"/>
      <c r="AC80" s="1382"/>
      <c r="AD80" s="1382"/>
      <c r="AE80" s="1382"/>
      <c r="AF80" s="1382"/>
      <c r="AG80" s="1382"/>
      <c r="AH80" s="1382"/>
      <c r="AI80" s="1382"/>
      <c r="AJ80" s="1382"/>
      <c r="AK80" s="181"/>
      <c r="AL80" s="181"/>
      <c r="AM80" s="181"/>
      <c r="AN80" s="181"/>
      <c r="AO80" s="181"/>
      <c r="AP80" s="181"/>
      <c r="AQ80" s="181"/>
      <c r="AR80" s="181"/>
      <c r="AS80" s="181"/>
      <c r="AT80" s="181"/>
      <c r="AU80" s="181"/>
      <c r="AV80" s="181"/>
      <c r="AW80" s="181"/>
    </row>
    <row r="81" spans="1:49" s="30" customFormat="1" x14ac:dyDescent="0.25">
      <c r="A81" s="1407" t="str">
        <f>IF(COUNTIF('04 - 95% CD'!D81:G81,"Y")&gt;0,"Y",IF(COUNTIF('04 - 95% CD'!D81:G81,"N"),"N",""))</f>
        <v>N</v>
      </c>
      <c r="B81" s="191"/>
      <c r="C81" s="944"/>
      <c r="D81" s="321"/>
      <c r="E81" s="466"/>
      <c r="F81" s="559" t="str">
        <f>IF('C-Design&amp;Const'!$W81="","",'C-Design&amp;Const'!$W81)</f>
        <v>N</v>
      </c>
      <c r="G81" s="558"/>
      <c r="H81" s="504" t="str">
        <f>CONCATENATE(IF(ISNUMBER(SEARCH("Placeholder",'C-Design&amp;Const'!Z81))=TRUE,"",IF(F81="N","PLACEHOLDER ROW - ","")),'C-Design&amp;Const'!Z81,IF(F81="N","",J81))</f>
        <v>PLACEHOLDER ROW - Structural - CUSTOM</v>
      </c>
      <c r="I81" s="186"/>
      <c r="J81" s="181"/>
      <c r="K81" s="285" t="str">
        <f t="shared" si="1"/>
        <v>match</v>
      </c>
      <c r="L81" s="1410" t="str">
        <f t="shared" si="0"/>
        <v>&lt;---PM/Planner may hide PLACEHOLDER ROW</v>
      </c>
      <c r="M81" s="1333"/>
      <c r="N81" s="1382"/>
      <c r="O81" s="1382"/>
      <c r="P81" s="1382"/>
      <c r="Q81" s="1382"/>
      <c r="R81" s="1490"/>
      <c r="S81" s="1274"/>
      <c r="T81" s="1274"/>
      <c r="U81" s="1382"/>
      <c r="V81" s="1382"/>
      <c r="W81" s="1382"/>
      <c r="X81" s="1382"/>
      <c r="Y81" s="1382"/>
      <c r="Z81" s="1382"/>
      <c r="AA81" s="1382"/>
      <c r="AB81" s="1382"/>
      <c r="AC81" s="1382"/>
      <c r="AD81" s="1382"/>
      <c r="AE81" s="1382"/>
      <c r="AF81" s="1382"/>
      <c r="AG81" s="1382"/>
      <c r="AH81" s="1382"/>
      <c r="AI81" s="1382"/>
      <c r="AJ81" s="1382"/>
      <c r="AK81" s="181"/>
      <c r="AL81" s="181"/>
      <c r="AM81" s="181"/>
      <c r="AN81" s="181"/>
      <c r="AO81" s="181"/>
      <c r="AP81" s="181"/>
      <c r="AQ81" s="181"/>
      <c r="AR81" s="181"/>
      <c r="AS81" s="181"/>
      <c r="AT81" s="181"/>
      <c r="AU81" s="181"/>
      <c r="AV81" s="181"/>
      <c r="AW81" s="181"/>
    </row>
    <row r="82" spans="1:49" s="30" customFormat="1" x14ac:dyDescent="0.25">
      <c r="A82" s="1407" t="str">
        <f>IF(COUNTIF('04 - 95% CD'!D82:G82,"Y")&gt;0,"Y",IF(COUNTIF('04 - 95% CD'!D82:G82,"N"),"N",""))</f>
        <v>Y</v>
      </c>
      <c r="B82" s="191"/>
      <c r="C82" s="944"/>
      <c r="D82" s="321"/>
      <c r="E82" s="466"/>
      <c r="F82" s="559" t="str">
        <f>IF('C-Design&amp;Const'!$W82="","",'C-Design&amp;Const'!$W82)</f>
        <v>N</v>
      </c>
      <c r="G82" s="558"/>
      <c r="H82" s="504" t="str">
        <f>CONCATENATE(IF(ISNUMBER(SEARCH("Placeholder",'C-Design&amp;Const'!Z82))=TRUE,"",IF(F82="N","PLACEHOLDER ROW - ","")),'C-Design&amp;Const'!Z82,IF(F82="N","",J82))</f>
        <v>PLACEHOLDER ROW - Plumbing  - General System(s) - **(verify existing system for renovations)</v>
      </c>
      <c r="I82" s="186"/>
      <c r="J82" s="181"/>
      <c r="K82" s="285" t="str">
        <f t="shared" si="1"/>
        <v>no 95% match</v>
      </c>
      <c r="L82" s="1410" t="str">
        <f t="shared" si="0"/>
        <v>&lt;---PM/Planner may hide PLACEHOLDER ROW</v>
      </c>
      <c r="M82" s="1333"/>
      <c r="N82" s="1382"/>
      <c r="O82" s="1382"/>
      <c r="P82" s="1382"/>
      <c r="Q82" s="1382"/>
      <c r="R82" s="1490"/>
      <c r="S82" s="1274"/>
      <c r="T82" s="1274"/>
      <c r="U82" s="1382"/>
      <c r="V82" s="1382"/>
      <c r="W82" s="1382"/>
      <c r="X82" s="1382"/>
      <c r="Y82" s="1382"/>
      <c r="Z82" s="1382"/>
      <c r="AA82" s="1382"/>
      <c r="AB82" s="1382"/>
      <c r="AC82" s="1382"/>
      <c r="AD82" s="1382"/>
      <c r="AE82" s="1382"/>
      <c r="AF82" s="1382"/>
      <c r="AG82" s="1382"/>
      <c r="AH82" s="1382"/>
      <c r="AI82" s="1382"/>
      <c r="AJ82" s="1382"/>
      <c r="AK82" s="181"/>
      <c r="AL82" s="181"/>
      <c r="AM82" s="181"/>
      <c r="AN82" s="181"/>
      <c r="AO82" s="181"/>
      <c r="AP82" s="181"/>
      <c r="AQ82" s="181"/>
      <c r="AR82" s="181"/>
      <c r="AS82" s="181"/>
      <c r="AT82" s="181"/>
      <c r="AU82" s="181"/>
      <c r="AV82" s="181"/>
      <c r="AW82" s="181"/>
    </row>
    <row r="83" spans="1:49" s="545" customFormat="1" x14ac:dyDescent="0.25">
      <c r="A83" s="1407" t="str">
        <f>IF(COUNTIF('04 - 95% CD'!D83:G83,"Y")&gt;0,"Y",IF(COUNTIF('04 - 95% CD'!D83:G83,"N"),"N",""))</f>
        <v>Y</v>
      </c>
      <c r="B83" s="554"/>
      <c r="C83" s="944"/>
      <c r="D83" s="321"/>
      <c r="E83" s="466"/>
      <c r="F83" s="559" t="str">
        <f>IF('C-Design&amp;Const'!$W83="","",'C-Design&amp;Const'!$W83)</f>
        <v>N</v>
      </c>
      <c r="G83" s="558"/>
      <c r="H83" s="504" t="str">
        <f>CONCATENATE(IF(ISNUMBER(SEARCH("Placeholder",'C-Design&amp;Const'!Z83))=TRUE,"",IF(F83="N","PLACEHOLDER ROW - ","")),'C-Design&amp;Const'!Z83,IF(F83="N","",J83))</f>
        <v>PLACEHOLDER ROW - Plumbing - Demolition(s)</v>
      </c>
      <c r="I83" s="186"/>
      <c r="J83" s="551"/>
      <c r="K83" s="285" t="str">
        <f t="shared" si="1"/>
        <v>no 95% match</v>
      </c>
      <c r="L83" s="1410" t="str">
        <f t="shared" si="0"/>
        <v>&lt;---PM/Planner may hide PLACEHOLDER ROW</v>
      </c>
      <c r="M83" s="1333"/>
      <c r="N83" s="1382"/>
      <c r="O83" s="1382"/>
      <c r="P83" s="1382"/>
      <c r="Q83" s="1382"/>
      <c r="R83" s="1490"/>
      <c r="S83" s="1274"/>
      <c r="T83" s="1274"/>
      <c r="U83" s="1382"/>
      <c r="V83" s="1382"/>
      <c r="W83" s="1382"/>
      <c r="X83" s="1382"/>
      <c r="Y83" s="1382"/>
      <c r="Z83" s="1382"/>
      <c r="AA83" s="1382"/>
      <c r="AB83" s="1382"/>
      <c r="AC83" s="1382"/>
      <c r="AD83" s="1382"/>
      <c r="AE83" s="1382"/>
      <c r="AF83" s="1382"/>
      <c r="AG83" s="1382"/>
      <c r="AH83" s="1382"/>
      <c r="AI83" s="1382"/>
      <c r="AJ83" s="1382"/>
      <c r="AK83" s="551"/>
      <c r="AL83" s="551"/>
      <c r="AM83" s="551"/>
      <c r="AN83" s="551"/>
      <c r="AO83" s="551"/>
      <c r="AP83" s="551"/>
      <c r="AQ83" s="551"/>
      <c r="AR83" s="551"/>
      <c r="AS83" s="551"/>
      <c r="AT83" s="551"/>
      <c r="AU83" s="551"/>
      <c r="AV83" s="551"/>
      <c r="AW83" s="551"/>
    </row>
    <row r="84" spans="1:49" s="30" customFormat="1" ht="28.5" x14ac:dyDescent="0.25">
      <c r="A84" s="1407" t="str">
        <f>IF(COUNTIF('04 - 95% CD'!D84:G84,"Y")&gt;0,"Y",IF(COUNTIF('04 - 95% CD'!D84:G84,"N"),"N",""))</f>
        <v>Y</v>
      </c>
      <c r="B84" s="191"/>
      <c r="C84" s="944"/>
      <c r="D84" s="321"/>
      <c r="E84" s="466"/>
      <c r="F84" s="559" t="str">
        <f>IF('C-Design&amp;Const'!$W84="","",'C-Design&amp;Const'!$W84)</f>
        <v>N</v>
      </c>
      <c r="G84" s="558"/>
      <c r="H84" s="504" t="str">
        <f>CONCATENATE(IF(ISNUMBER(SEARCH("Placeholder",'C-Design&amp;Const'!Z84))=TRUE,"",IF(F84="N","PLACEHOLDER ROW - ","")),'C-Design&amp;Const'!Z84,IF(F84="N","",J84))</f>
        <v>PLACEHOLDER ROW - Plumbing - Fixtures  **(Fixture Unit Analysis as verification of existing systems on renovations)</v>
      </c>
      <c r="I84" s="186"/>
      <c r="J84" s="181"/>
      <c r="K84" s="285" t="str">
        <f t="shared" si="1"/>
        <v>no 95% match</v>
      </c>
      <c r="L84" s="1410" t="str">
        <f t="shared" si="0"/>
        <v>&lt;---PM/Planner may hide PLACEHOLDER ROW</v>
      </c>
      <c r="M84" s="1333"/>
      <c r="N84" s="1382"/>
      <c r="O84" s="1382"/>
      <c r="P84" s="1382"/>
      <c r="Q84" s="1382"/>
      <c r="R84" s="1490"/>
      <c r="S84" s="1274"/>
      <c r="T84" s="1274"/>
      <c r="U84" s="1382"/>
      <c r="V84" s="1382"/>
      <c r="W84" s="1382"/>
      <c r="X84" s="1382"/>
      <c r="Y84" s="1382"/>
      <c r="Z84" s="1382"/>
      <c r="AA84" s="1382"/>
      <c r="AB84" s="1382"/>
      <c r="AC84" s="1382"/>
      <c r="AD84" s="1382"/>
      <c r="AE84" s="1382"/>
      <c r="AF84" s="1382"/>
      <c r="AG84" s="1382"/>
      <c r="AH84" s="1382"/>
      <c r="AI84" s="1382"/>
      <c r="AJ84" s="1382"/>
      <c r="AK84" s="181"/>
      <c r="AL84" s="181"/>
      <c r="AM84" s="181"/>
      <c r="AN84" s="181"/>
      <c r="AO84" s="181"/>
      <c r="AP84" s="181"/>
      <c r="AQ84" s="181"/>
      <c r="AR84" s="181"/>
      <c r="AS84" s="181"/>
      <c r="AT84" s="181"/>
      <c r="AU84" s="181"/>
      <c r="AV84" s="181"/>
      <c r="AW84" s="181"/>
    </row>
    <row r="85" spans="1:49" s="30" customFormat="1" x14ac:dyDescent="0.25">
      <c r="A85" s="1407" t="str">
        <f>IF(COUNTIF('04 - 95% CD'!D85:G85,"Y")&gt;0,"Y",IF(COUNTIF('04 - 95% CD'!D85:G85,"N"),"N",""))</f>
        <v>Y</v>
      </c>
      <c r="B85" s="191"/>
      <c r="C85" s="944"/>
      <c r="D85" s="321"/>
      <c r="E85" s="466"/>
      <c r="F85" s="559" t="str">
        <f>IF('C-Design&amp;Const'!$W85="","",'C-Design&amp;Const'!$W85)</f>
        <v>N</v>
      </c>
      <c r="G85" s="558"/>
      <c r="H85" s="504" t="str">
        <f>CONCATENATE(IF(ISNUMBER(SEARCH("Placeholder",'C-Design&amp;Const'!Z85))=TRUE,"",IF(F85="N","PLACEHOLDER ROW - ","")),'C-Design&amp;Const'!Z85,IF(F85="N","",J85))</f>
        <v>PLACEHOLDER ROW - Plumbing - Air/Gas  **(verify existing system for renovations)</v>
      </c>
      <c r="I85" s="186"/>
      <c r="J85" s="181"/>
      <c r="K85" s="285" t="str">
        <f t="shared" si="1"/>
        <v>no 95% match</v>
      </c>
      <c r="L85" s="1410" t="str">
        <f t="shared" si="0"/>
        <v>&lt;---PM/Planner may hide PLACEHOLDER ROW</v>
      </c>
      <c r="M85" s="1333"/>
      <c r="N85" s="1382"/>
      <c r="O85" s="1382"/>
      <c r="P85" s="1382"/>
      <c r="Q85" s="1382"/>
      <c r="R85" s="1490"/>
      <c r="S85" s="1274"/>
      <c r="T85" s="1274"/>
      <c r="U85" s="1382"/>
      <c r="V85" s="1382"/>
      <c r="W85" s="1382"/>
      <c r="X85" s="1382"/>
      <c r="Y85" s="1382"/>
      <c r="Z85" s="1382"/>
      <c r="AA85" s="1382"/>
      <c r="AB85" s="1382"/>
      <c r="AC85" s="1382"/>
      <c r="AD85" s="1382"/>
      <c r="AE85" s="1382"/>
      <c r="AF85" s="1382"/>
      <c r="AG85" s="1382"/>
      <c r="AH85" s="1382"/>
      <c r="AI85" s="1382"/>
      <c r="AJ85" s="1382"/>
      <c r="AK85" s="181"/>
      <c r="AL85" s="181"/>
      <c r="AM85" s="181"/>
      <c r="AN85" s="181"/>
      <c r="AO85" s="181"/>
      <c r="AP85" s="181"/>
      <c r="AQ85" s="181"/>
      <c r="AR85" s="181"/>
      <c r="AS85" s="181"/>
      <c r="AT85" s="181"/>
      <c r="AU85" s="181"/>
      <c r="AV85" s="181"/>
      <c r="AW85" s="181"/>
    </row>
    <row r="86" spans="1:49" s="30" customFormat="1" x14ac:dyDescent="0.25">
      <c r="A86" s="1407" t="str">
        <f>IF(COUNTIF('04 - 95% CD'!D86:G86,"Y")&gt;0,"Y",IF(COUNTIF('04 - 95% CD'!D86:G86,"N"),"N",""))</f>
        <v>Y</v>
      </c>
      <c r="B86" s="191"/>
      <c r="C86" s="944"/>
      <c r="D86" s="321"/>
      <c r="E86" s="466"/>
      <c r="F86" s="559" t="str">
        <f>IF('C-Design&amp;Const'!$W86="","",'C-Design&amp;Const'!$W86)</f>
        <v>N</v>
      </c>
      <c r="G86" s="558"/>
      <c r="H86" s="504" t="str">
        <f>CONCATENATE(IF(ISNUMBER(SEARCH("Placeholder",'C-Design&amp;Const'!Z86))=TRUE,"",IF(F86="N","PLACEHOLDER ROW - ","")),'C-Design&amp;Const'!Z86,IF(F86="N","",J86))</f>
        <v>PLACEHOLDER ROW - Plumbing - Water  **(verify existing system for renovations)</v>
      </c>
      <c r="I86" s="186"/>
      <c r="J86" s="181"/>
      <c r="K86" s="285" t="str">
        <f t="shared" si="1"/>
        <v>no 95% match</v>
      </c>
      <c r="L86" s="1410" t="str">
        <f t="shared" si="0"/>
        <v>&lt;---PM/Planner may hide PLACEHOLDER ROW</v>
      </c>
      <c r="M86" s="1333"/>
      <c r="N86" s="1382"/>
      <c r="O86" s="1382"/>
      <c r="P86" s="1382"/>
      <c r="Q86" s="1382"/>
      <c r="R86" s="1490"/>
      <c r="S86" s="1274"/>
      <c r="T86" s="1274"/>
      <c r="U86" s="1382"/>
      <c r="V86" s="1382"/>
      <c r="W86" s="1382"/>
      <c r="X86" s="1382"/>
      <c r="Y86" s="1382"/>
      <c r="Z86" s="1382"/>
      <c r="AA86" s="1382"/>
      <c r="AB86" s="1382"/>
      <c r="AC86" s="1382"/>
      <c r="AD86" s="1382"/>
      <c r="AE86" s="1382"/>
      <c r="AF86" s="1382"/>
      <c r="AG86" s="1382"/>
      <c r="AH86" s="1382"/>
      <c r="AI86" s="1382"/>
      <c r="AJ86" s="1382"/>
      <c r="AK86" s="181"/>
      <c r="AL86" s="181"/>
      <c r="AM86" s="181"/>
      <c r="AN86" s="181"/>
      <c r="AO86" s="181"/>
      <c r="AP86" s="181"/>
      <c r="AQ86" s="181"/>
      <c r="AR86" s="181"/>
      <c r="AS86" s="181"/>
      <c r="AT86" s="181"/>
      <c r="AU86" s="181"/>
      <c r="AV86" s="181"/>
      <c r="AW86" s="181"/>
    </row>
    <row r="87" spans="1:49" s="30" customFormat="1" x14ac:dyDescent="0.25">
      <c r="A87" s="1407" t="str">
        <f>IF(COUNTIF('04 - 95% CD'!D87:G87,"Y")&gt;0,"Y",IF(COUNTIF('04 - 95% CD'!D87:G87,"N"),"N",""))</f>
        <v>Y</v>
      </c>
      <c r="B87" s="191"/>
      <c r="C87" s="944"/>
      <c r="D87" s="321"/>
      <c r="E87" s="466"/>
      <c r="F87" s="559" t="str">
        <f>IF('C-Design&amp;Const'!$W87="","",'C-Design&amp;Const'!$W87)</f>
        <v>N</v>
      </c>
      <c r="G87" s="558"/>
      <c r="H87" s="504" t="str">
        <f>CONCATENATE(IF(ISNUMBER(SEARCH("Placeholder",'C-Design&amp;Const'!Z87))=TRUE,"",IF(F87="N","PLACEHOLDER ROW - ","")),'C-Design&amp;Const'!Z87,IF(F87="N","",J87))</f>
        <v>PLACEHOLDER ROW - Plumbing - Sanitary **(verify existing system for renovations)</v>
      </c>
      <c r="I87" s="186"/>
      <c r="J87" s="181"/>
      <c r="K87" s="285" t="str">
        <f t="shared" si="1"/>
        <v>no 95% match</v>
      </c>
      <c r="L87" s="1410" t="str">
        <f t="shared" si="0"/>
        <v>&lt;---PM/Planner may hide PLACEHOLDER ROW</v>
      </c>
      <c r="M87" s="1333"/>
      <c r="N87" s="1382"/>
      <c r="O87" s="1382"/>
      <c r="P87" s="1382"/>
      <c r="Q87" s="1382"/>
      <c r="R87" s="1490"/>
      <c r="S87" s="1274"/>
      <c r="T87" s="1274"/>
      <c r="U87" s="1382"/>
      <c r="V87" s="1382"/>
      <c r="W87" s="1382"/>
      <c r="X87" s="1382"/>
      <c r="Y87" s="1382"/>
      <c r="Z87" s="1382"/>
      <c r="AA87" s="1382"/>
      <c r="AB87" s="1382"/>
      <c r="AC87" s="1382"/>
      <c r="AD87" s="1382"/>
      <c r="AE87" s="1382"/>
      <c r="AF87" s="1382"/>
      <c r="AG87" s="1382"/>
      <c r="AH87" s="1382"/>
      <c r="AI87" s="1382"/>
      <c r="AJ87" s="1382"/>
      <c r="AK87" s="181"/>
      <c r="AL87" s="181"/>
      <c r="AM87" s="181"/>
      <c r="AN87" s="181"/>
      <c r="AO87" s="181"/>
      <c r="AP87" s="181"/>
      <c r="AQ87" s="181"/>
      <c r="AR87" s="181"/>
      <c r="AS87" s="181"/>
      <c r="AT87" s="181"/>
      <c r="AU87" s="181"/>
      <c r="AV87" s="181"/>
      <c r="AW87" s="181"/>
    </row>
    <row r="88" spans="1:49" s="30" customFormat="1" x14ac:dyDescent="0.25">
      <c r="A88" s="1407" t="str">
        <f>IF(COUNTIF('04 - 95% CD'!D88:G88,"Y")&gt;0,"Y",IF(COUNTIF('04 - 95% CD'!D88:G88,"N"),"N",""))</f>
        <v>N</v>
      </c>
      <c r="B88" s="191"/>
      <c r="C88" s="944"/>
      <c r="D88" s="321"/>
      <c r="E88" s="466"/>
      <c r="F88" s="559" t="str">
        <f>IF('C-Design&amp;Const'!$W88="","",'C-Design&amp;Const'!$W88)</f>
        <v>N</v>
      </c>
      <c r="G88" s="558"/>
      <c r="H88" s="504" t="str">
        <f>CONCATENATE(IF(ISNUMBER(SEARCH("Placeholder",'C-Design&amp;Const'!Z88))=TRUE,"",IF(F88="N","PLACEHOLDER ROW - ","")),'C-Design&amp;Const'!Z88,IF(F88="N","",J88))</f>
        <v>PLACEHOLDER ROW - Plumbing - Cut Sheets or Product Data Sheets on Plumbing Fixtures</v>
      </c>
      <c r="I88" s="186"/>
      <c r="J88" s="181"/>
      <c r="K88" s="285" t="str">
        <f t="shared" si="1"/>
        <v>match</v>
      </c>
      <c r="L88" s="1410" t="str">
        <f t="shared" si="0"/>
        <v>&lt;---PM/Planner may hide PLACEHOLDER ROW</v>
      </c>
      <c r="M88" s="1333"/>
      <c r="N88" s="1382"/>
      <c r="O88" s="1382"/>
      <c r="P88" s="1382"/>
      <c r="Q88" s="1382"/>
      <c r="R88" s="1490"/>
      <c r="S88" s="1274"/>
      <c r="T88" s="1274"/>
      <c r="U88" s="1382"/>
      <c r="V88" s="1382"/>
      <c r="W88" s="1382"/>
      <c r="X88" s="1382"/>
      <c r="Y88" s="1382"/>
      <c r="Z88" s="1382"/>
      <c r="AA88" s="1382"/>
      <c r="AB88" s="1382"/>
      <c r="AC88" s="1382"/>
      <c r="AD88" s="1382"/>
      <c r="AE88" s="1382"/>
      <c r="AF88" s="1382"/>
      <c r="AG88" s="1382"/>
      <c r="AH88" s="1382"/>
      <c r="AI88" s="1382"/>
      <c r="AJ88" s="1382"/>
      <c r="AK88" s="181"/>
      <c r="AL88" s="181"/>
      <c r="AM88" s="181"/>
      <c r="AN88" s="181"/>
      <c r="AO88" s="181"/>
      <c r="AP88" s="181"/>
      <c r="AQ88" s="181"/>
      <c r="AR88" s="181"/>
      <c r="AS88" s="181"/>
      <c r="AT88" s="181"/>
      <c r="AU88" s="181"/>
      <c r="AV88" s="181"/>
      <c r="AW88" s="181"/>
    </row>
    <row r="89" spans="1:49" s="30" customFormat="1" x14ac:dyDescent="0.25">
      <c r="A89" s="1407" t="str">
        <f>IF(COUNTIF('04 - 95% CD'!D89:G89,"Y")&gt;0,"Y",IF(COUNTIF('04 - 95% CD'!D89:G89,"N"),"N",""))</f>
        <v>Y</v>
      </c>
      <c r="B89" s="191"/>
      <c r="C89" s="944"/>
      <c r="D89" s="321"/>
      <c r="E89" s="466"/>
      <c r="F89" s="559" t="str">
        <f>IF('C-Design&amp;Const'!$W89="","",'C-Design&amp;Const'!$W89)</f>
        <v>N</v>
      </c>
      <c r="G89" s="558"/>
      <c r="H89" s="504" t="str">
        <f>CONCATENATE(IF(ISNUMBER(SEARCH("Placeholder",'C-Design&amp;Const'!Z89))=TRUE,"",IF(F89="N","PLACEHOLDER ROW - ","")),'C-Design&amp;Const'!Z89,IF(F89="N","",J89))</f>
        <v>PLACEHOLDER ROW - Fire Suppression System(s) **(verify existing system for renovations)</v>
      </c>
      <c r="I89" s="186"/>
      <c r="J89" s="181"/>
      <c r="K89" s="285" t="str">
        <f t="shared" si="1"/>
        <v>no 95% match</v>
      </c>
      <c r="L89" s="1410" t="str">
        <f t="shared" si="0"/>
        <v>&lt;---PM/Planner may hide PLACEHOLDER ROW</v>
      </c>
      <c r="M89" s="1333"/>
      <c r="N89" s="1382"/>
      <c r="O89" s="1382"/>
      <c r="P89" s="1382"/>
      <c r="Q89" s="1382"/>
      <c r="R89" s="1490"/>
      <c r="S89" s="1274"/>
      <c r="T89" s="1274"/>
      <c r="U89" s="1382"/>
      <c r="V89" s="1382"/>
      <c r="W89" s="1382"/>
      <c r="X89" s="1382"/>
      <c r="Y89" s="1382"/>
      <c r="Z89" s="1382"/>
      <c r="AA89" s="1382"/>
      <c r="AB89" s="1382"/>
      <c r="AC89" s="1382"/>
      <c r="AD89" s="1382"/>
      <c r="AE89" s="1382"/>
      <c r="AF89" s="1382"/>
      <c r="AG89" s="1382"/>
      <c r="AH89" s="1382"/>
      <c r="AI89" s="1382"/>
      <c r="AJ89" s="1382"/>
      <c r="AK89" s="181"/>
      <c r="AL89" s="181"/>
      <c r="AM89" s="181"/>
      <c r="AN89" s="181"/>
      <c r="AO89" s="181"/>
      <c r="AP89" s="181"/>
      <c r="AQ89" s="181"/>
      <c r="AR89" s="181"/>
      <c r="AS89" s="181"/>
      <c r="AT89" s="181"/>
      <c r="AU89" s="181"/>
      <c r="AV89" s="181"/>
      <c r="AW89" s="181"/>
    </row>
    <row r="90" spans="1:49" s="30" customFormat="1" x14ac:dyDescent="0.25">
      <c r="A90" s="1407" t="str">
        <f>IF(COUNTIF('04 - 95% CD'!D90:G90,"Y")&gt;0,"Y",IF(COUNTIF('04 - 95% CD'!D90:G90,"N"),"N",""))</f>
        <v>Y</v>
      </c>
      <c r="B90" s="191"/>
      <c r="C90" s="944"/>
      <c r="D90" s="321"/>
      <c r="E90" s="466"/>
      <c r="F90" s="559" t="str">
        <f>IF('C-Design&amp;Const'!$W90="","",'C-Design&amp;Const'!$W90)</f>
        <v>N</v>
      </c>
      <c r="G90" s="558"/>
      <c r="H90" s="504" t="str">
        <f>CONCATENATE(IF(ISNUMBER(SEARCH("Placeholder",'C-Design&amp;Const'!Z90))=TRUE,"",IF(F90="N","PLACEHOLDER ROW - ","")),'C-Design&amp;Const'!Z90,IF(F90="N","",J90))</f>
        <v>PLACEHOLDER ROW - Heating - General System(s) **(verify existing system for renovations)</v>
      </c>
      <c r="I90" s="186"/>
      <c r="J90" s="181"/>
      <c r="K90" s="285" t="str">
        <f t="shared" si="1"/>
        <v>no 95% match</v>
      </c>
      <c r="L90" s="1410" t="str">
        <f t="shared" si="0"/>
        <v>&lt;---PM/Planner may hide PLACEHOLDER ROW</v>
      </c>
      <c r="M90" s="1333"/>
      <c r="N90" s="1382"/>
      <c r="O90" s="1382"/>
      <c r="P90" s="1382"/>
      <c r="Q90" s="1382"/>
      <c r="R90" s="1490"/>
      <c r="S90" s="1274"/>
      <c r="T90" s="1274"/>
      <c r="U90" s="1382"/>
      <c r="V90" s="1382"/>
      <c r="W90" s="1382"/>
      <c r="X90" s="1382"/>
      <c r="Y90" s="1382"/>
      <c r="Z90" s="1382"/>
      <c r="AA90" s="1382"/>
      <c r="AB90" s="1382"/>
      <c r="AC90" s="1382"/>
      <c r="AD90" s="1382"/>
      <c r="AE90" s="1382"/>
      <c r="AF90" s="1382"/>
      <c r="AG90" s="1382"/>
      <c r="AH90" s="1382"/>
      <c r="AI90" s="1382"/>
      <c r="AJ90" s="1382"/>
      <c r="AK90" s="181"/>
      <c r="AL90" s="181"/>
      <c r="AM90" s="181"/>
      <c r="AN90" s="181"/>
      <c r="AO90" s="181"/>
      <c r="AP90" s="181"/>
      <c r="AQ90" s="181"/>
      <c r="AR90" s="181"/>
      <c r="AS90" s="181"/>
      <c r="AT90" s="181"/>
      <c r="AU90" s="181"/>
      <c r="AV90" s="181"/>
      <c r="AW90" s="181"/>
    </row>
    <row r="91" spans="1:49" s="545" customFormat="1" x14ac:dyDescent="0.25">
      <c r="A91" s="1407" t="str">
        <f>IF(COUNTIF('04 - 95% CD'!D91:G91,"Y")&gt;0,"Y",IF(COUNTIF('04 - 95% CD'!D91:G91,"N"),"N",""))</f>
        <v>Y</v>
      </c>
      <c r="B91" s="554"/>
      <c r="C91" s="944"/>
      <c r="D91" s="321"/>
      <c r="E91" s="466"/>
      <c r="F91" s="559" t="str">
        <f>IF('C-Design&amp;Const'!$W91="","",'C-Design&amp;Const'!$W91)</f>
        <v>N</v>
      </c>
      <c r="G91" s="558"/>
      <c r="H91" s="504" t="str">
        <f>CONCATENATE(IF(ISNUMBER(SEARCH("Placeholder",'C-Design&amp;Const'!Z91))=TRUE,"",IF(F91="N","PLACEHOLDER ROW - ","")),'C-Design&amp;Const'!Z91,IF(F91="N","",J91))</f>
        <v>PLACEHOLDER ROW - Heating - Demolition(s)</v>
      </c>
      <c r="I91" s="186"/>
      <c r="J91" s="551"/>
      <c r="K91" s="285" t="str">
        <f t="shared" ref="K91" si="8">IF((COUNTIF(D91:F91,"Y")=COUNTIF(A91,"Y")),"match","no 95% match")</f>
        <v>no 95% match</v>
      </c>
      <c r="L91" s="1410" t="str">
        <f t="shared" ref="L91" si="9">CONCATENATE(IF(ISNUMBER(SEARCH("Placeholder",H91))=TRUE,"&lt;---PM/Planner may hide PLACEHOLDER ROW",""))</f>
        <v>&lt;---PM/Planner may hide PLACEHOLDER ROW</v>
      </c>
      <c r="M91" s="1333"/>
      <c r="N91" s="1382"/>
      <c r="O91" s="1382"/>
      <c r="P91" s="1382"/>
      <c r="Q91" s="1382"/>
      <c r="R91" s="1490"/>
      <c r="S91" s="1274"/>
      <c r="T91" s="1274"/>
      <c r="U91" s="1382"/>
      <c r="V91" s="1382"/>
      <c r="W91" s="1382"/>
      <c r="X91" s="1382"/>
      <c r="Y91" s="1382"/>
      <c r="Z91" s="1382"/>
      <c r="AA91" s="1382"/>
      <c r="AB91" s="1382"/>
      <c r="AC91" s="1382"/>
      <c r="AD91" s="1382"/>
      <c r="AE91" s="1382"/>
      <c r="AF91" s="1382"/>
      <c r="AG91" s="1382"/>
      <c r="AH91" s="1382"/>
      <c r="AI91" s="1382"/>
      <c r="AJ91" s="1382"/>
      <c r="AK91" s="551"/>
      <c r="AL91" s="551"/>
      <c r="AM91" s="551"/>
      <c r="AN91" s="551"/>
      <c r="AO91" s="551"/>
      <c r="AP91" s="551"/>
      <c r="AQ91" s="551"/>
      <c r="AR91" s="551"/>
      <c r="AS91" s="551"/>
      <c r="AT91" s="551"/>
      <c r="AU91" s="551"/>
      <c r="AV91" s="551"/>
      <c r="AW91" s="551"/>
    </row>
    <row r="92" spans="1:49" s="30" customFormat="1" x14ac:dyDescent="0.25">
      <c r="A92" s="1407" t="str">
        <f>IF(COUNTIF('04 - 95% CD'!D92:G92,"Y")&gt;0,"Y",IF(COUNTIF('04 - 95% CD'!D92:G92,"N"),"N",""))</f>
        <v>Y</v>
      </c>
      <c r="B92" s="191"/>
      <c r="C92" s="944"/>
      <c r="D92" s="321"/>
      <c r="E92" s="466"/>
      <c r="F92" s="559" t="str">
        <f>IF('C-Design&amp;Const'!$W92="","",'C-Design&amp;Const'!$W92)</f>
        <v>N</v>
      </c>
      <c r="G92" s="558"/>
      <c r="H92" s="504" t="str">
        <f>CONCATENATE(IF(ISNUMBER(SEARCH("Placeholder",'C-Design&amp;Const'!Z92))=TRUE,"",IF(F92="N","PLACEHOLDER ROW - ","")),'C-Design&amp;Const'!Z92,IF(F92="N","",J92))</f>
        <v>PLACEHOLDER ROW - Heating - Gas (and verify existing system for renovations)*</v>
      </c>
      <c r="I92" s="186"/>
      <c r="J92" s="181"/>
      <c r="K92" s="285" t="str">
        <f t="shared" si="1"/>
        <v>no 95% match</v>
      </c>
      <c r="L92" s="1410" t="str">
        <f t="shared" si="0"/>
        <v>&lt;---PM/Planner may hide PLACEHOLDER ROW</v>
      </c>
      <c r="M92" s="1333"/>
      <c r="N92" s="1382"/>
      <c r="O92" s="1382"/>
      <c r="P92" s="1382"/>
      <c r="Q92" s="1382"/>
      <c r="R92" s="1490"/>
      <c r="S92" s="1274"/>
      <c r="T92" s="1274"/>
      <c r="U92" s="1382"/>
      <c r="V92" s="1382"/>
      <c r="W92" s="1382"/>
      <c r="X92" s="1382"/>
      <c r="Y92" s="1382"/>
      <c r="Z92" s="1382"/>
      <c r="AA92" s="1382"/>
      <c r="AB92" s="1382"/>
      <c r="AC92" s="1382"/>
      <c r="AD92" s="1382"/>
      <c r="AE92" s="1382"/>
      <c r="AF92" s="1382"/>
      <c r="AG92" s="1382"/>
      <c r="AH92" s="1382"/>
      <c r="AI92" s="1382"/>
      <c r="AJ92" s="1382"/>
      <c r="AK92" s="181"/>
      <c r="AL92" s="181"/>
      <c r="AM92" s="181"/>
      <c r="AN92" s="181"/>
      <c r="AO92" s="181"/>
      <c r="AP92" s="181"/>
      <c r="AQ92" s="181"/>
      <c r="AR92" s="181"/>
      <c r="AS92" s="181"/>
      <c r="AT92" s="181"/>
      <c r="AU92" s="181"/>
      <c r="AV92" s="181"/>
      <c r="AW92" s="181"/>
    </row>
    <row r="93" spans="1:49" s="30" customFormat="1" x14ac:dyDescent="0.25">
      <c r="A93" s="1407" t="str">
        <f>IF(COUNTIF('04 - 95% CD'!D93:G93,"Y")&gt;0,"Y",IF(COUNTIF('04 - 95% CD'!D93:G93,"N"),"N",""))</f>
        <v>Y</v>
      </c>
      <c r="B93" s="191"/>
      <c r="C93" s="944"/>
      <c r="D93" s="321"/>
      <c r="E93" s="466"/>
      <c r="F93" s="559" t="str">
        <f>IF('C-Design&amp;Const'!$W93="","",'C-Design&amp;Const'!$W93)</f>
        <v>N</v>
      </c>
      <c r="G93" s="558"/>
      <c r="H93" s="504" t="str">
        <f>CONCATENATE(IF(ISNUMBER(SEARCH("Placeholder",'C-Design&amp;Const'!Z93))=TRUE,"",IF(F93="N","PLACEHOLDER ROW - ","")),'C-Design&amp;Const'!Z93,IF(F93="N","",J93))</f>
        <v>PLACEHOLDER ROW - Heating -  Steam  (and verify existing system for renovations)*</v>
      </c>
      <c r="I93" s="186"/>
      <c r="J93" s="181"/>
      <c r="K93" s="285" t="str">
        <f t="shared" si="1"/>
        <v>no 95% match</v>
      </c>
      <c r="L93" s="1410" t="str">
        <f t="shared" si="0"/>
        <v>&lt;---PM/Planner may hide PLACEHOLDER ROW</v>
      </c>
      <c r="M93" s="1333"/>
      <c r="N93" s="1382"/>
      <c r="O93" s="1382"/>
      <c r="P93" s="1382"/>
      <c r="Q93" s="1382"/>
      <c r="R93" s="1490"/>
      <c r="S93" s="1274"/>
      <c r="T93" s="1274"/>
      <c r="U93" s="1382"/>
      <c r="V93" s="1382"/>
      <c r="W93" s="1382"/>
      <c r="X93" s="1382"/>
      <c r="Y93" s="1382"/>
      <c r="Z93" s="1382"/>
      <c r="AA93" s="1382"/>
      <c r="AB93" s="1382"/>
      <c r="AC93" s="1382"/>
      <c r="AD93" s="1382"/>
      <c r="AE93" s="1382"/>
      <c r="AF93" s="1382"/>
      <c r="AG93" s="1382"/>
      <c r="AH93" s="1382"/>
      <c r="AI93" s="1382"/>
      <c r="AJ93" s="1382"/>
      <c r="AK93" s="181"/>
      <c r="AL93" s="181"/>
      <c r="AM93" s="181"/>
      <c r="AN93" s="181"/>
      <c r="AO93" s="181"/>
      <c r="AP93" s="181"/>
      <c r="AQ93" s="181"/>
      <c r="AR93" s="181"/>
      <c r="AS93" s="181"/>
      <c r="AT93" s="181"/>
      <c r="AU93" s="181"/>
      <c r="AV93" s="181"/>
      <c r="AW93" s="181"/>
    </row>
    <row r="94" spans="1:49" s="30" customFormat="1" x14ac:dyDescent="0.25">
      <c r="A94" s="1407" t="str">
        <f>IF(COUNTIF('04 - 95% CD'!D94:G94,"Y")&gt;0,"Y",IF(COUNTIF('04 - 95% CD'!D94:G94,"N"),"N",""))</f>
        <v>N</v>
      </c>
      <c r="B94" s="191"/>
      <c r="C94" s="944"/>
      <c r="D94" s="321"/>
      <c r="E94" s="466"/>
      <c r="F94" s="559" t="str">
        <f>IF('C-Design&amp;Const'!$W94="","",'C-Design&amp;Const'!$W94)</f>
        <v>N</v>
      </c>
      <c r="G94" s="558"/>
      <c r="H94" s="504" t="str">
        <f>CONCATENATE(IF(ISNUMBER(SEARCH("Placeholder",'C-Design&amp;Const'!Z94))=TRUE,"",IF(F94="N","PLACEHOLDER ROW - ","")),'C-Design&amp;Const'!Z94,IF(F94="N","",J94))</f>
        <v>PLACEHOLDER ROW - Heating - CUSTOM</v>
      </c>
      <c r="I94" s="186"/>
      <c r="J94" s="181"/>
      <c r="K94" s="285" t="str">
        <f t="shared" si="1"/>
        <v>match</v>
      </c>
      <c r="L94" s="1410" t="str">
        <f t="shared" si="0"/>
        <v>&lt;---PM/Planner may hide PLACEHOLDER ROW</v>
      </c>
      <c r="M94" s="1333"/>
      <c r="N94" s="1382"/>
      <c r="O94" s="1382"/>
      <c r="P94" s="1382"/>
      <c r="Q94" s="1382"/>
      <c r="R94" s="1490"/>
      <c r="S94" s="1274"/>
      <c r="T94" s="1274"/>
      <c r="U94" s="1382"/>
      <c r="V94" s="1382"/>
      <c r="W94" s="1382"/>
      <c r="X94" s="1382"/>
      <c r="Y94" s="1382"/>
      <c r="Z94" s="1382"/>
      <c r="AA94" s="1382"/>
      <c r="AB94" s="1382"/>
      <c r="AC94" s="1382"/>
      <c r="AD94" s="1382"/>
      <c r="AE94" s="1382"/>
      <c r="AF94" s="1382"/>
      <c r="AG94" s="1382"/>
      <c r="AH94" s="1382"/>
      <c r="AI94" s="1382"/>
      <c r="AJ94" s="1382"/>
      <c r="AK94" s="181"/>
      <c r="AL94" s="181"/>
      <c r="AM94" s="181"/>
      <c r="AN94" s="181"/>
      <c r="AO94" s="181"/>
      <c r="AP94" s="181"/>
      <c r="AQ94" s="181"/>
      <c r="AR94" s="181"/>
      <c r="AS94" s="181"/>
      <c r="AT94" s="181"/>
      <c r="AU94" s="181"/>
      <c r="AV94" s="181"/>
      <c r="AW94" s="181"/>
    </row>
    <row r="95" spans="1:49" s="30" customFormat="1" x14ac:dyDescent="0.25">
      <c r="A95" s="1407" t="str">
        <f>IF(COUNTIF('04 - 95% CD'!D95:G95,"Y")&gt;0,"Y",IF(COUNTIF('04 - 95% CD'!D95:G95,"N"),"N",""))</f>
        <v>Y</v>
      </c>
      <c r="B95" s="191"/>
      <c r="C95" s="944"/>
      <c r="D95" s="321"/>
      <c r="E95" s="466"/>
      <c r="F95" s="559" t="str">
        <f>IF('C-Design&amp;Const'!$W95="","",'C-Design&amp;Const'!$W95)</f>
        <v>N</v>
      </c>
      <c r="G95" s="558"/>
      <c r="H95" s="504" t="str">
        <f>CONCATENATE(IF(ISNUMBER(SEARCH("Placeholder",'C-Design&amp;Const'!Z95))=TRUE,"",IF(F95="N","PLACEHOLDER ROW - ","")),'C-Design&amp;Const'!Z95,IF(F95="N","",J95))</f>
        <v>PLACEHOLDER ROW - Ventilation - General System(s)  **(verify existing system for renovations)</v>
      </c>
      <c r="I95" s="186"/>
      <c r="J95" s="181"/>
      <c r="K95" s="285" t="str">
        <f t="shared" si="1"/>
        <v>no 95% match</v>
      </c>
      <c r="L95" s="1410" t="str">
        <f t="shared" si="0"/>
        <v>&lt;---PM/Planner may hide PLACEHOLDER ROW</v>
      </c>
      <c r="M95" s="1333"/>
      <c r="N95" s="1382"/>
      <c r="O95" s="1382"/>
      <c r="P95" s="1382"/>
      <c r="Q95" s="1382"/>
      <c r="R95" s="1490"/>
      <c r="S95" s="1274"/>
      <c r="T95" s="1274"/>
      <c r="U95" s="1382"/>
      <c r="V95" s="1382"/>
      <c r="W95" s="1382"/>
      <c r="X95" s="1382"/>
      <c r="Y95" s="1382"/>
      <c r="Z95" s="1382"/>
      <c r="AA95" s="1382"/>
      <c r="AB95" s="1382"/>
      <c r="AC95" s="1382"/>
      <c r="AD95" s="1382"/>
      <c r="AE95" s="1382"/>
      <c r="AF95" s="1382"/>
      <c r="AG95" s="1382"/>
      <c r="AH95" s="1382"/>
      <c r="AI95" s="1382"/>
      <c r="AJ95" s="1382"/>
      <c r="AK95" s="181"/>
      <c r="AL95" s="181"/>
      <c r="AM95" s="181"/>
      <c r="AN95" s="181"/>
      <c r="AO95" s="181"/>
      <c r="AP95" s="181"/>
      <c r="AQ95" s="181"/>
      <c r="AR95" s="181"/>
      <c r="AS95" s="181"/>
      <c r="AT95" s="181"/>
      <c r="AU95" s="181"/>
      <c r="AV95" s="181"/>
      <c r="AW95" s="181"/>
    </row>
    <row r="96" spans="1:49" s="545" customFormat="1" x14ac:dyDescent="0.25">
      <c r="A96" s="1407" t="str">
        <f>IF(COUNTIF('04 - 95% CD'!D96:G96,"Y")&gt;0,"Y",IF(COUNTIF('04 - 95% CD'!D96:G96,"N"),"N",""))</f>
        <v>Y</v>
      </c>
      <c r="B96" s="554"/>
      <c r="C96" s="944"/>
      <c r="D96" s="321"/>
      <c r="E96" s="466"/>
      <c r="F96" s="559" t="str">
        <f>IF('C-Design&amp;Const'!$W96="","",'C-Design&amp;Const'!$W96)</f>
        <v>N</v>
      </c>
      <c r="G96" s="558"/>
      <c r="H96" s="504" t="str">
        <f>CONCATENATE(IF(ISNUMBER(SEARCH("Placeholder",'C-Design&amp;Const'!Z96))=TRUE,"",IF(F96="N","PLACEHOLDER ROW - ","")),'C-Design&amp;Const'!Z96,IF(F96="N","",J96))</f>
        <v>PLACEHOLDER ROW - Ventilation - Demolition(s)</v>
      </c>
      <c r="I96" s="186"/>
      <c r="J96" s="551"/>
      <c r="K96" s="285" t="str">
        <f t="shared" si="1"/>
        <v>no 95% match</v>
      </c>
      <c r="L96" s="1410" t="str">
        <f t="shared" si="0"/>
        <v>&lt;---PM/Planner may hide PLACEHOLDER ROW</v>
      </c>
      <c r="M96" s="1333"/>
      <c r="N96" s="1382"/>
      <c r="O96" s="1382"/>
      <c r="P96" s="1382"/>
      <c r="Q96" s="1382"/>
      <c r="R96" s="1490"/>
      <c r="S96" s="1274"/>
      <c r="T96" s="1274"/>
      <c r="U96" s="1382"/>
      <c r="V96" s="1382"/>
      <c r="W96" s="1382"/>
      <c r="X96" s="1382"/>
      <c r="Y96" s="1382"/>
      <c r="Z96" s="1382"/>
      <c r="AA96" s="1382"/>
      <c r="AB96" s="1382"/>
      <c r="AC96" s="1382"/>
      <c r="AD96" s="1382"/>
      <c r="AE96" s="1382"/>
      <c r="AF96" s="1382"/>
      <c r="AG96" s="1382"/>
      <c r="AH96" s="1382"/>
      <c r="AI96" s="1382"/>
      <c r="AJ96" s="1382"/>
      <c r="AK96" s="551"/>
      <c r="AL96" s="551"/>
      <c r="AM96" s="551"/>
      <c r="AN96" s="551"/>
      <c r="AO96" s="551"/>
      <c r="AP96" s="551"/>
      <c r="AQ96" s="551"/>
      <c r="AR96" s="551"/>
      <c r="AS96" s="551"/>
      <c r="AT96" s="551"/>
      <c r="AU96" s="551"/>
      <c r="AV96" s="551"/>
      <c r="AW96" s="551"/>
    </row>
    <row r="97" spans="1:49" s="30" customFormat="1" x14ac:dyDescent="0.25">
      <c r="A97" s="1407" t="str">
        <f>IF(COUNTIF('04 - 95% CD'!D97:G97,"Y")&gt;0,"Y",IF(COUNTIF('04 - 95% CD'!D97:G97,"N"),"N",""))</f>
        <v>Y</v>
      </c>
      <c r="B97" s="191"/>
      <c r="C97" s="944"/>
      <c r="D97" s="321"/>
      <c r="E97" s="466"/>
      <c r="F97" s="559" t="str">
        <f>IF('C-Design&amp;Const'!$W97="","",'C-Design&amp;Const'!$W97)</f>
        <v>N</v>
      </c>
      <c r="G97" s="558"/>
      <c r="H97" s="504" t="str">
        <f>CONCATENATE(IF(ISNUMBER(SEARCH("Placeholder",'C-Design&amp;Const'!Z97))=TRUE,"",IF(F97="N","PLACEHOLDER ROW - ","")),'C-Design&amp;Const'!Z97,IF(F97="N","",J97))</f>
        <v>PLACEHOLDER ROW - Ventilation - Refrigeration Systems **(verify existing system for renovations)</v>
      </c>
      <c r="I97" s="186"/>
      <c r="J97" s="181"/>
      <c r="K97" s="285" t="str">
        <f t="shared" si="1"/>
        <v>no 95% match</v>
      </c>
      <c r="L97" s="1410" t="str">
        <f t="shared" si="0"/>
        <v>&lt;---PM/Planner may hide PLACEHOLDER ROW</v>
      </c>
      <c r="M97" s="1333"/>
      <c r="N97" s="1382"/>
      <c r="O97" s="1382"/>
      <c r="P97" s="1382"/>
      <c r="Q97" s="1382"/>
      <c r="R97" s="1490"/>
      <c r="S97" s="1274"/>
      <c r="T97" s="1274"/>
      <c r="U97" s="1382"/>
      <c r="V97" s="1382"/>
      <c r="W97" s="1382"/>
      <c r="X97" s="1382"/>
      <c r="Y97" s="1382"/>
      <c r="Z97" s="1382"/>
      <c r="AA97" s="1382"/>
      <c r="AB97" s="1382"/>
      <c r="AC97" s="1382"/>
      <c r="AD97" s="1382"/>
      <c r="AE97" s="1382"/>
      <c r="AF97" s="1382"/>
      <c r="AG97" s="1382"/>
      <c r="AH97" s="1382"/>
      <c r="AI97" s="1382"/>
      <c r="AJ97" s="1382"/>
      <c r="AK97" s="181"/>
      <c r="AL97" s="181"/>
      <c r="AM97" s="181"/>
      <c r="AN97" s="181"/>
      <c r="AO97" s="181"/>
      <c r="AP97" s="181"/>
      <c r="AQ97" s="181"/>
      <c r="AR97" s="181"/>
      <c r="AS97" s="181"/>
      <c r="AT97" s="181"/>
      <c r="AU97" s="181"/>
      <c r="AV97" s="181"/>
      <c r="AW97" s="181"/>
    </row>
    <row r="98" spans="1:49" s="30" customFormat="1" x14ac:dyDescent="0.25">
      <c r="A98" s="1407" t="str">
        <f>IF(COUNTIF('04 - 95% CD'!D98:G98,"Y")&gt;0,"Y",IF(COUNTIF('04 - 95% CD'!D98:G98,"N"),"N",""))</f>
        <v>Y</v>
      </c>
      <c r="B98" s="191"/>
      <c r="C98" s="944"/>
      <c r="D98" s="321"/>
      <c r="E98" s="466"/>
      <c r="F98" s="559" t="str">
        <f>IF('C-Design&amp;Const'!$W98="","",'C-Design&amp;Const'!$W98)</f>
        <v>N</v>
      </c>
      <c r="G98" s="558"/>
      <c r="H98" s="504" t="str">
        <f>CONCATENATE(IF(ISNUMBER(SEARCH("Placeholder",'C-Design&amp;Const'!Z98))=TRUE,"",IF(F98="N","PLACEHOLDER ROW - ","")),'C-Design&amp;Const'!Z98,IF(F98="N","",J98))</f>
        <v>PLACEHOLDER ROW - Ventilation - Chilled Water  **(verify existing system for renovations)</v>
      </c>
      <c r="I98" s="186"/>
      <c r="J98" s="181"/>
      <c r="K98" s="285" t="str">
        <f t="shared" si="1"/>
        <v>no 95% match</v>
      </c>
      <c r="L98" s="1410" t="str">
        <f t="shared" si="0"/>
        <v>&lt;---PM/Planner may hide PLACEHOLDER ROW</v>
      </c>
      <c r="M98" s="1333"/>
      <c r="N98" s="1382"/>
      <c r="O98" s="1382"/>
      <c r="P98" s="1382"/>
      <c r="Q98" s="1382"/>
      <c r="R98" s="1490"/>
      <c r="S98" s="1274"/>
      <c r="T98" s="1274"/>
      <c r="U98" s="1382"/>
      <c r="V98" s="1382"/>
      <c r="W98" s="1382"/>
      <c r="X98" s="1382"/>
      <c r="Y98" s="1382"/>
      <c r="Z98" s="1382"/>
      <c r="AA98" s="1382"/>
      <c r="AB98" s="1382"/>
      <c r="AC98" s="1382"/>
      <c r="AD98" s="1382"/>
      <c r="AE98" s="1382"/>
      <c r="AF98" s="1382"/>
      <c r="AG98" s="1382"/>
      <c r="AH98" s="1382"/>
      <c r="AI98" s="1382"/>
      <c r="AJ98" s="1382"/>
      <c r="AK98" s="181"/>
      <c r="AL98" s="181"/>
      <c r="AM98" s="181"/>
      <c r="AN98" s="181"/>
      <c r="AO98" s="181"/>
      <c r="AP98" s="181"/>
      <c r="AQ98" s="181"/>
      <c r="AR98" s="181"/>
      <c r="AS98" s="181"/>
      <c r="AT98" s="181"/>
      <c r="AU98" s="181"/>
      <c r="AV98" s="181"/>
      <c r="AW98" s="181"/>
    </row>
    <row r="99" spans="1:49" s="30" customFormat="1" x14ac:dyDescent="0.25">
      <c r="A99" s="1407" t="str">
        <f>IF(COUNTIF('04 - 95% CD'!D99:G99,"Y")&gt;0,"Y",IF(COUNTIF('04 - 95% CD'!D99:G99,"N"),"N",""))</f>
        <v>N</v>
      </c>
      <c r="B99" s="191"/>
      <c r="C99" s="944"/>
      <c r="D99" s="321"/>
      <c r="E99" s="466"/>
      <c r="F99" s="559" t="str">
        <f>IF('C-Design&amp;Const'!$W99="","",'C-Design&amp;Const'!$W99)</f>
        <v>N</v>
      </c>
      <c r="G99" s="558"/>
      <c r="H99" s="504" t="str">
        <f>CONCATENATE(IF(ISNUMBER(SEARCH("Placeholder",'C-Design&amp;Const'!Z99))=TRUE,"",IF(F99="N","PLACEHOLDER ROW - ","")),'C-Design&amp;Const'!Z99,IF(F99="N","",J99))</f>
        <v>PLACEHOLDER ROW - Ventilation - CUSTOM</v>
      </c>
      <c r="I99" s="186"/>
      <c r="J99" s="181"/>
      <c r="K99" s="285" t="str">
        <f t="shared" si="1"/>
        <v>match</v>
      </c>
      <c r="L99" s="1410" t="str">
        <f t="shared" si="0"/>
        <v>&lt;---PM/Planner may hide PLACEHOLDER ROW</v>
      </c>
      <c r="M99" s="1333"/>
      <c r="N99" s="1382"/>
      <c r="O99" s="1382"/>
      <c r="P99" s="1382"/>
      <c r="Q99" s="1382"/>
      <c r="R99" s="1490"/>
      <c r="S99" s="1274"/>
      <c r="T99" s="1274"/>
      <c r="U99" s="1382"/>
      <c r="V99" s="1382"/>
      <c r="W99" s="1382"/>
      <c r="X99" s="1382"/>
      <c r="Y99" s="1382"/>
      <c r="Z99" s="1382"/>
      <c r="AA99" s="1382"/>
      <c r="AB99" s="1382"/>
      <c r="AC99" s="1382"/>
      <c r="AD99" s="1382"/>
      <c r="AE99" s="1382"/>
      <c r="AF99" s="1382"/>
      <c r="AG99" s="1382"/>
      <c r="AH99" s="1382"/>
      <c r="AI99" s="1382"/>
      <c r="AJ99" s="1382"/>
      <c r="AK99" s="181"/>
      <c r="AL99" s="181"/>
      <c r="AM99" s="181"/>
      <c r="AN99" s="181"/>
      <c r="AO99" s="181"/>
      <c r="AP99" s="181"/>
      <c r="AQ99" s="181"/>
      <c r="AR99" s="181"/>
      <c r="AS99" s="181"/>
      <c r="AT99" s="181"/>
      <c r="AU99" s="181"/>
      <c r="AV99" s="181"/>
      <c r="AW99" s="181"/>
    </row>
    <row r="100" spans="1:49" s="30" customFormat="1" x14ac:dyDescent="0.25">
      <c r="A100" s="1407" t="str">
        <f>IF(COUNTIF('04 - 95% CD'!D100:G100,"Y")&gt;0,"Y",IF(COUNTIF('04 - 95% CD'!D100:G100,"N"),"N",""))</f>
        <v>Y</v>
      </c>
      <c r="B100" s="191"/>
      <c r="C100" s="944"/>
      <c r="D100" s="321"/>
      <c r="E100" s="466"/>
      <c r="F100" s="559" t="str">
        <f>IF('C-Design&amp;Const'!$W100="","",'C-Design&amp;Const'!$W100)</f>
        <v>N</v>
      </c>
      <c r="G100" s="558"/>
      <c r="H100" s="504" t="str">
        <f>CONCATENATE(IF(ISNUMBER(SEARCH("Placeholder",'C-Design&amp;Const'!Z100))=TRUE,"",IF(F100="N","PLACEHOLDER ROW - ","")),'C-Design&amp;Const'!Z100,IF(F100="N","",J100))</f>
        <v>PLACEHOLDER ROW - Electrical - General System(s) - **(verify existing system for renovations)</v>
      </c>
      <c r="I100" s="186"/>
      <c r="J100" s="181"/>
      <c r="K100" s="285" t="str">
        <f t="shared" si="1"/>
        <v>no 95% match</v>
      </c>
      <c r="L100" s="1410" t="str">
        <f t="shared" ref="L100:L173" si="10">CONCATENATE(IF(ISNUMBER(SEARCH("Placeholder",H100))=TRUE,"&lt;---PM/Planner may hide PLACEHOLDER ROW",""))</f>
        <v>&lt;---PM/Planner may hide PLACEHOLDER ROW</v>
      </c>
      <c r="M100" s="1333"/>
      <c r="N100" s="1382"/>
      <c r="O100" s="1382"/>
      <c r="P100" s="1382"/>
      <c r="Q100" s="1382"/>
      <c r="R100" s="1490"/>
      <c r="S100" s="1274"/>
      <c r="T100" s="1274"/>
      <c r="U100" s="1382"/>
      <c r="V100" s="1382"/>
      <c r="W100" s="1382"/>
      <c r="X100" s="1382"/>
      <c r="Y100" s="1382"/>
      <c r="Z100" s="1382"/>
      <c r="AA100" s="1382"/>
      <c r="AB100" s="1382"/>
      <c r="AC100" s="1382"/>
      <c r="AD100" s="1382"/>
      <c r="AE100" s="1382"/>
      <c r="AF100" s="1382"/>
      <c r="AG100" s="1382"/>
      <c r="AH100" s="1382"/>
      <c r="AI100" s="1382"/>
      <c r="AJ100" s="1382"/>
      <c r="AK100" s="181"/>
      <c r="AL100" s="181"/>
      <c r="AM100" s="181"/>
      <c r="AN100" s="181"/>
      <c r="AO100" s="181"/>
      <c r="AP100" s="181"/>
      <c r="AQ100" s="181"/>
      <c r="AR100" s="181"/>
      <c r="AS100" s="181"/>
      <c r="AT100" s="181"/>
      <c r="AU100" s="181"/>
      <c r="AV100" s="181"/>
      <c r="AW100" s="181"/>
    </row>
    <row r="101" spans="1:49" s="545" customFormat="1" x14ac:dyDescent="0.25">
      <c r="A101" s="1407" t="str">
        <f>IF(COUNTIF('04 - 95% CD'!D101:G101,"Y")&gt;0,"Y",IF(COUNTIF('04 - 95% CD'!D101:G101,"N"),"N",""))</f>
        <v>Y</v>
      </c>
      <c r="B101" s="554"/>
      <c r="C101" s="944"/>
      <c r="D101" s="321"/>
      <c r="E101" s="466"/>
      <c r="F101" s="559" t="str">
        <f>IF('C-Design&amp;Const'!$W101="","",'C-Design&amp;Const'!$W101)</f>
        <v>N</v>
      </c>
      <c r="G101" s="558"/>
      <c r="H101" s="504" t="str">
        <f>CONCATENATE(IF(ISNUMBER(SEARCH("Placeholder",'C-Design&amp;Const'!Z101))=TRUE,"",IF(F101="N","PLACEHOLDER ROW - ","")),'C-Design&amp;Const'!Z101,IF(F101="N","",J101))</f>
        <v>PLACEHOLDER ROW - Electrical - Demolition(s)</v>
      </c>
      <c r="I101" s="186"/>
      <c r="J101" s="551"/>
      <c r="K101" s="285" t="str">
        <f t="shared" ref="K101" si="11">IF((COUNTIF(D101:F101,"Y")=COUNTIF(A101,"Y")),"match","no 95% match")</f>
        <v>no 95% match</v>
      </c>
      <c r="L101" s="1410" t="str">
        <f t="shared" si="10"/>
        <v>&lt;---PM/Planner may hide PLACEHOLDER ROW</v>
      </c>
      <c r="M101" s="1333"/>
      <c r="N101" s="1382"/>
      <c r="O101" s="1382"/>
      <c r="P101" s="1382"/>
      <c r="Q101" s="1382"/>
      <c r="R101" s="1490"/>
      <c r="S101" s="1274"/>
      <c r="T101" s="1274"/>
      <c r="U101" s="1382"/>
      <c r="V101" s="1382"/>
      <c r="W101" s="1382"/>
      <c r="X101" s="1382"/>
      <c r="Y101" s="1382"/>
      <c r="Z101" s="1382"/>
      <c r="AA101" s="1382"/>
      <c r="AB101" s="1382"/>
      <c r="AC101" s="1382"/>
      <c r="AD101" s="1382"/>
      <c r="AE101" s="1382"/>
      <c r="AF101" s="1382"/>
      <c r="AG101" s="1382"/>
      <c r="AH101" s="1382"/>
      <c r="AI101" s="1382"/>
      <c r="AJ101" s="1382"/>
      <c r="AK101" s="551"/>
      <c r="AL101" s="551"/>
      <c r="AM101" s="551"/>
      <c r="AN101" s="551"/>
      <c r="AO101" s="551"/>
      <c r="AP101" s="551"/>
      <c r="AQ101" s="551"/>
      <c r="AR101" s="551"/>
      <c r="AS101" s="551"/>
      <c r="AT101" s="551"/>
      <c r="AU101" s="551"/>
      <c r="AV101" s="551"/>
      <c r="AW101" s="551"/>
    </row>
    <row r="102" spans="1:49" s="30" customFormat="1" x14ac:dyDescent="0.25">
      <c r="A102" s="1407" t="str">
        <f>IF(COUNTIF('04 - 95% CD'!D102:G102,"Y")&gt;0,"Y",IF(COUNTIF('04 - 95% CD'!D102:G102,"N"),"N",""))</f>
        <v>Y</v>
      </c>
      <c r="B102" s="191"/>
      <c r="C102" s="944"/>
      <c r="D102" s="321"/>
      <c r="E102" s="466"/>
      <c r="F102" s="559" t="str">
        <f>IF('C-Design&amp;Const'!$W102="","",'C-Design&amp;Const'!$W102)</f>
        <v>N</v>
      </c>
      <c r="G102" s="558"/>
      <c r="H102" s="504" t="str">
        <f>CONCATENATE(IF(ISNUMBER(SEARCH("Placeholder",'C-Design&amp;Const'!Z102))=TRUE,"",IF(F102="N","PLACEHOLDER ROW - ","")),'C-Design&amp;Const'!Z102,IF(F102="N","",J102))</f>
        <v>PLACEHOLDER ROW - Electrical - Lighting **(verify existing system for renovations)</v>
      </c>
      <c r="I102" s="186"/>
      <c r="J102" s="181"/>
      <c r="K102" s="285" t="str">
        <f t="shared" ref="K102:K174" si="12">IF((COUNTIF(D102:F102,"Y")=COUNTIF(A102,"Y")),"match","no 95% match")</f>
        <v>no 95% match</v>
      </c>
      <c r="L102" s="1410" t="str">
        <f t="shared" si="10"/>
        <v>&lt;---PM/Planner may hide PLACEHOLDER ROW</v>
      </c>
      <c r="M102" s="1333"/>
      <c r="N102" s="1382"/>
      <c r="O102" s="1382"/>
      <c r="P102" s="1382"/>
      <c r="Q102" s="1382"/>
      <c r="R102" s="1490"/>
      <c r="S102" s="1274"/>
      <c r="T102" s="1274"/>
      <c r="U102" s="1382"/>
      <c r="V102" s="1382"/>
      <c r="W102" s="1382"/>
      <c r="X102" s="1382"/>
      <c r="Y102" s="1382"/>
      <c r="Z102" s="1382"/>
      <c r="AA102" s="1382"/>
      <c r="AB102" s="1382"/>
      <c r="AC102" s="1382"/>
      <c r="AD102" s="1382"/>
      <c r="AE102" s="1382"/>
      <c r="AF102" s="1382"/>
      <c r="AG102" s="1382"/>
      <c r="AH102" s="1382"/>
      <c r="AI102" s="1382"/>
      <c r="AJ102" s="1382"/>
      <c r="AK102" s="181"/>
      <c r="AL102" s="181"/>
      <c r="AM102" s="181"/>
      <c r="AN102" s="181"/>
      <c r="AO102" s="181"/>
      <c r="AP102" s="181"/>
      <c r="AQ102" s="181"/>
      <c r="AR102" s="181"/>
      <c r="AS102" s="181"/>
      <c r="AT102" s="181"/>
      <c r="AU102" s="181"/>
      <c r="AV102" s="181"/>
      <c r="AW102" s="181"/>
    </row>
    <row r="103" spans="1:49" s="30" customFormat="1" x14ac:dyDescent="0.25">
      <c r="A103" s="1407" t="str">
        <f>IF(COUNTIF('04 - 95% CD'!D103:G103,"Y")&gt;0,"Y",IF(COUNTIF('04 - 95% CD'!D103:G103,"N"),"N",""))</f>
        <v>Y</v>
      </c>
      <c r="B103" s="191"/>
      <c r="C103" s="944"/>
      <c r="D103" s="321"/>
      <c r="E103" s="466"/>
      <c r="F103" s="559" t="str">
        <f>IF('C-Design&amp;Const'!$W103="","",'C-Design&amp;Const'!$W103)</f>
        <v>N</v>
      </c>
      <c r="G103" s="558"/>
      <c r="H103" s="504" t="str">
        <f>CONCATENATE(IF(ISNUMBER(SEARCH("Placeholder",'C-Design&amp;Const'!Z103))=TRUE,"",IF(F103="N","PLACEHOLDER ROW - ","")),'C-Design&amp;Const'!Z103,IF(F103="N","",J103))</f>
        <v>PLACEHOLDER ROW - Electrical - Elevators **(verify existing system for renovations)</v>
      </c>
      <c r="I103" s="186"/>
      <c r="J103" s="181"/>
      <c r="K103" s="285" t="str">
        <f t="shared" si="12"/>
        <v>no 95% match</v>
      </c>
      <c r="L103" s="1410" t="str">
        <f t="shared" si="10"/>
        <v>&lt;---PM/Planner may hide PLACEHOLDER ROW</v>
      </c>
      <c r="M103" s="1333"/>
      <c r="N103" s="1382"/>
      <c r="O103" s="1382"/>
      <c r="P103" s="1382"/>
      <c r="Q103" s="1382"/>
      <c r="R103" s="1490"/>
      <c r="S103" s="1274"/>
      <c r="T103" s="1274"/>
      <c r="U103" s="1382"/>
      <c r="V103" s="1382"/>
      <c r="W103" s="1382"/>
      <c r="X103" s="1382"/>
      <c r="Y103" s="1382"/>
      <c r="Z103" s="1382"/>
      <c r="AA103" s="1382"/>
      <c r="AB103" s="1382"/>
      <c r="AC103" s="1382"/>
      <c r="AD103" s="1382"/>
      <c r="AE103" s="1382"/>
      <c r="AF103" s="1382"/>
      <c r="AG103" s="1382"/>
      <c r="AH103" s="1382"/>
      <c r="AI103" s="1382"/>
      <c r="AJ103" s="1382"/>
      <c r="AK103" s="181"/>
      <c r="AL103" s="181"/>
      <c r="AM103" s="181"/>
      <c r="AN103" s="181"/>
      <c r="AO103" s="181"/>
      <c r="AP103" s="181"/>
      <c r="AQ103" s="181"/>
      <c r="AR103" s="181"/>
      <c r="AS103" s="181"/>
      <c r="AT103" s="181"/>
      <c r="AU103" s="181"/>
      <c r="AV103" s="181"/>
      <c r="AW103" s="181"/>
    </row>
    <row r="104" spans="1:49" s="30" customFormat="1" ht="28.5" x14ac:dyDescent="0.25">
      <c r="A104" s="1407" t="str">
        <f>IF(COUNTIF('04 - 95% CD'!D104:G104,"Y")&gt;0,"Y",IF(COUNTIF('04 - 95% CD'!D104:G104,"N"),"N",""))</f>
        <v>Y</v>
      </c>
      <c r="B104" s="191"/>
      <c r="C104" s="944"/>
      <c r="D104" s="321"/>
      <c r="E104" s="466"/>
      <c r="F104" s="559" t="str">
        <f>IF('C-Design&amp;Const'!$W104="","",'C-Design&amp;Const'!$W104)</f>
        <v>N</v>
      </c>
      <c r="G104" s="558"/>
      <c r="H104" s="504" t="str">
        <f>CONCATENATE(IF(ISNUMBER(SEARCH("Placeholder",'C-Design&amp;Const'!Z104))=TRUE,"",IF(F104="N","PLACEHOLDER ROW - ","")),'C-Design&amp;Const'!Z104,IF(F104="N","",J104))</f>
        <v>PLACEHOLDER ROW - Electrical - Lightning Protection System(s) **(verify existing system for renovations)</v>
      </c>
      <c r="I104" s="186"/>
      <c r="J104" s="181"/>
      <c r="K104" s="285" t="str">
        <f t="shared" si="12"/>
        <v>no 95% match</v>
      </c>
      <c r="L104" s="1410" t="str">
        <f t="shared" si="10"/>
        <v>&lt;---PM/Planner may hide PLACEHOLDER ROW</v>
      </c>
      <c r="M104" s="1333"/>
      <c r="N104" s="1382"/>
      <c r="O104" s="1382"/>
      <c r="P104" s="1382"/>
      <c r="Q104" s="1382"/>
      <c r="R104" s="1490"/>
      <c r="S104" s="1274"/>
      <c r="T104" s="1274"/>
      <c r="U104" s="1382"/>
      <c r="V104" s="1382"/>
      <c r="W104" s="1382"/>
      <c r="X104" s="1382"/>
      <c r="Y104" s="1382"/>
      <c r="Z104" s="1382"/>
      <c r="AA104" s="1382"/>
      <c r="AB104" s="1382"/>
      <c r="AC104" s="1382"/>
      <c r="AD104" s="1382"/>
      <c r="AE104" s="1382"/>
      <c r="AF104" s="1382"/>
      <c r="AG104" s="1382"/>
      <c r="AH104" s="1382"/>
      <c r="AI104" s="1382"/>
      <c r="AJ104" s="1382"/>
      <c r="AK104" s="181"/>
      <c r="AL104" s="181"/>
      <c r="AM104" s="181"/>
      <c r="AN104" s="181"/>
      <c r="AO104" s="181"/>
      <c r="AP104" s="181"/>
      <c r="AQ104" s="181"/>
      <c r="AR104" s="181"/>
      <c r="AS104" s="181"/>
      <c r="AT104" s="181"/>
      <c r="AU104" s="181"/>
      <c r="AV104" s="181"/>
      <c r="AW104" s="181"/>
    </row>
    <row r="105" spans="1:49" s="30" customFormat="1" x14ac:dyDescent="0.25">
      <c r="A105" s="1407" t="str">
        <f>IF(COUNTIF('04 - 95% CD'!D105:G105,"Y")&gt;0,"Y",IF(COUNTIF('04 - 95% CD'!D105:G105,"N"),"N",""))</f>
        <v>Y</v>
      </c>
      <c r="B105" s="191"/>
      <c r="C105" s="944"/>
      <c r="D105" s="321"/>
      <c r="E105" s="466"/>
      <c r="F105" s="559" t="str">
        <f>IF('C-Design&amp;Const'!$W105="","",'C-Design&amp;Const'!$W105)</f>
        <v>N</v>
      </c>
      <c r="G105" s="558"/>
      <c r="H105" s="504" t="str">
        <f>CONCATENATE(IF(ISNUMBER(SEARCH("Placeholder",'C-Design&amp;Const'!Z105))=TRUE,"",IF(F105="N","PLACEHOLDER ROW - ","")),'C-Design&amp;Const'!Z105,IF(F105="N","",J105))</f>
        <v>PLACEHOLDER ROW - Electrical - Fire Alarm System(s) **(verify existing system for renovations)</v>
      </c>
      <c r="I105" s="186"/>
      <c r="J105" s="181"/>
      <c r="K105" s="285" t="str">
        <f t="shared" si="12"/>
        <v>no 95% match</v>
      </c>
      <c r="L105" s="1410" t="str">
        <f t="shared" si="10"/>
        <v>&lt;---PM/Planner may hide PLACEHOLDER ROW</v>
      </c>
      <c r="M105" s="1333"/>
      <c r="N105" s="1382"/>
      <c r="O105" s="1382"/>
      <c r="P105" s="1382"/>
      <c r="Q105" s="1382"/>
      <c r="R105" s="1490"/>
      <c r="S105" s="1274"/>
      <c r="T105" s="1274"/>
      <c r="U105" s="1382"/>
      <c r="V105" s="1382"/>
      <c r="W105" s="1382"/>
      <c r="X105" s="1382"/>
      <c r="Y105" s="1382"/>
      <c r="Z105" s="1382"/>
      <c r="AA105" s="1382"/>
      <c r="AB105" s="1382"/>
      <c r="AC105" s="1382"/>
      <c r="AD105" s="1382"/>
      <c r="AE105" s="1382"/>
      <c r="AF105" s="1382"/>
      <c r="AG105" s="1382"/>
      <c r="AH105" s="1382"/>
      <c r="AI105" s="1382"/>
      <c r="AJ105" s="1382"/>
      <c r="AK105" s="181"/>
      <c r="AL105" s="181"/>
      <c r="AM105" s="181"/>
      <c r="AN105" s="181"/>
      <c r="AO105" s="181"/>
      <c r="AP105" s="181"/>
      <c r="AQ105" s="181"/>
      <c r="AR105" s="181"/>
      <c r="AS105" s="181"/>
      <c r="AT105" s="181"/>
      <c r="AU105" s="181"/>
      <c r="AV105" s="181"/>
      <c r="AW105" s="181"/>
    </row>
    <row r="106" spans="1:49" s="30" customFormat="1" ht="28.5" x14ac:dyDescent="0.25">
      <c r="A106" s="1407" t="str">
        <f>IF(COUNTIF('04 - 95% CD'!D106:G106,"Y")&gt;0,"Y",IF(COUNTIF('04 - 95% CD'!D106:G106,"N"),"N",""))</f>
        <v>Y</v>
      </c>
      <c r="B106" s="191"/>
      <c r="C106" s="944"/>
      <c r="D106" s="321"/>
      <c r="E106" s="466"/>
      <c r="F106" s="559" t="str">
        <f>IF('C-Design&amp;Const'!$W106="","",'C-Design&amp;Const'!$W106)</f>
        <v>N</v>
      </c>
      <c r="G106" s="558"/>
      <c r="H106" s="504" t="str">
        <f>CONCATENATE(IF(ISNUMBER(SEARCH("Placeholder",'C-Design&amp;Const'!Z106))=TRUE,"",IF(F106="N","PLACEHOLDER ROW - ","")),'C-Design&amp;Const'!Z106,IF(F106="N","",J106))</f>
        <v>PLACEHOLDER ROW - Electrical - Emergency Generator systems to support **(verify existing systems for renovations)</v>
      </c>
      <c r="I106" s="186"/>
      <c r="J106" s="181"/>
      <c r="K106" s="285" t="str">
        <f t="shared" si="12"/>
        <v>no 95% match</v>
      </c>
      <c r="L106" s="1410" t="str">
        <f t="shared" si="10"/>
        <v>&lt;---PM/Planner may hide PLACEHOLDER ROW</v>
      </c>
      <c r="M106" s="1333"/>
      <c r="N106" s="1382"/>
      <c r="O106" s="1382"/>
      <c r="P106" s="1382"/>
      <c r="Q106" s="1382"/>
      <c r="R106" s="1490"/>
      <c r="S106" s="1274"/>
      <c r="T106" s="1274"/>
      <c r="U106" s="1382"/>
      <c r="V106" s="1382"/>
      <c r="W106" s="1382"/>
      <c r="X106" s="1382"/>
      <c r="Y106" s="1382"/>
      <c r="Z106" s="1382"/>
      <c r="AA106" s="1382"/>
      <c r="AB106" s="1382"/>
      <c r="AC106" s="1382"/>
      <c r="AD106" s="1382"/>
      <c r="AE106" s="1382"/>
      <c r="AF106" s="1382"/>
      <c r="AG106" s="1382"/>
      <c r="AH106" s="1382"/>
      <c r="AI106" s="1382"/>
      <c r="AJ106" s="1382"/>
      <c r="AK106" s="181"/>
      <c r="AL106" s="181"/>
      <c r="AM106" s="181"/>
      <c r="AN106" s="181"/>
      <c r="AO106" s="181"/>
      <c r="AP106" s="181"/>
      <c r="AQ106" s="181"/>
      <c r="AR106" s="181"/>
      <c r="AS106" s="181"/>
      <c r="AT106" s="181"/>
      <c r="AU106" s="181"/>
      <c r="AV106" s="181"/>
      <c r="AW106" s="181"/>
    </row>
    <row r="107" spans="1:49" s="30" customFormat="1" x14ac:dyDescent="0.25">
      <c r="A107" s="1407" t="str">
        <f>IF(COUNTIF('04 - 95% CD'!D107:G107,"Y")&gt;0,"Y",IF(COUNTIF('04 - 95% CD'!D107:G107,"N"),"N",""))</f>
        <v>N</v>
      </c>
      <c r="B107" s="191"/>
      <c r="C107" s="944"/>
      <c r="D107" s="321"/>
      <c r="E107" s="466"/>
      <c r="F107" s="559" t="str">
        <f>IF('C-Design&amp;Const'!$W107="","",'C-Design&amp;Const'!$W107)</f>
        <v>N</v>
      </c>
      <c r="G107" s="558"/>
      <c r="H107" s="504" t="str">
        <f>CONCATENATE(IF(ISNUMBER(SEARCH("Placeholder",'C-Design&amp;Const'!Z107))=TRUE,"",IF(F107="N","PLACEHOLDER ROW - ","")),'C-Design&amp;Const'!Z107,IF(F107="N","",J107))</f>
        <v>PLACEHOLDER ROW - Electrical - Cut Sheets or Product Sheets on Lighting fixtures</v>
      </c>
      <c r="I107" s="186"/>
      <c r="J107" s="181"/>
      <c r="K107" s="285" t="str">
        <f t="shared" si="12"/>
        <v>match</v>
      </c>
      <c r="L107" s="1410" t="str">
        <f t="shared" si="10"/>
        <v>&lt;---PM/Planner may hide PLACEHOLDER ROW</v>
      </c>
      <c r="M107" s="1333"/>
      <c r="N107" s="1382"/>
      <c r="O107" s="1382"/>
      <c r="P107" s="1382"/>
      <c r="Q107" s="1382"/>
      <c r="R107" s="1490"/>
      <c r="S107" s="1274"/>
      <c r="T107" s="1274"/>
      <c r="U107" s="1382"/>
      <c r="V107" s="1382"/>
      <c r="W107" s="1382"/>
      <c r="X107" s="1382"/>
      <c r="Y107" s="1382"/>
      <c r="Z107" s="1382"/>
      <c r="AA107" s="1382"/>
      <c r="AB107" s="1382"/>
      <c r="AC107" s="1382"/>
      <c r="AD107" s="1382"/>
      <c r="AE107" s="1382"/>
      <c r="AF107" s="1382"/>
      <c r="AG107" s="1382"/>
      <c r="AH107" s="1382"/>
      <c r="AI107" s="1382"/>
      <c r="AJ107" s="1382"/>
      <c r="AK107" s="181"/>
      <c r="AL107" s="181"/>
      <c r="AM107" s="181"/>
      <c r="AN107" s="181"/>
      <c r="AO107" s="181"/>
      <c r="AP107" s="181"/>
      <c r="AQ107" s="181"/>
      <c r="AR107" s="181"/>
      <c r="AS107" s="181"/>
      <c r="AT107" s="181"/>
      <c r="AU107" s="181"/>
      <c r="AV107" s="181"/>
      <c r="AW107" s="181"/>
    </row>
    <row r="108" spans="1:49" s="30" customFormat="1" x14ac:dyDescent="0.25">
      <c r="A108" s="1407" t="str">
        <f>IF(COUNTIF('04 - 95% CD'!D108:G108,"Y")&gt;0,"Y",IF(COUNTIF('04 - 95% CD'!D108:G108,"N"),"N",""))</f>
        <v>N</v>
      </c>
      <c r="B108" s="191"/>
      <c r="C108" s="944"/>
      <c r="D108" s="321"/>
      <c r="E108" s="466"/>
      <c r="F108" s="559" t="str">
        <f>IF('C-Design&amp;Const'!$W108="","",'C-Design&amp;Const'!$W108)</f>
        <v>N</v>
      </c>
      <c r="G108" s="558"/>
      <c r="H108" s="504" t="str">
        <f>CONCATENATE(IF(ISNUMBER(SEARCH("Placeholder",'C-Design&amp;Const'!Z108))=TRUE,"",IF(F108="N","PLACEHOLDER ROW - ","")),'C-Design&amp;Const'!Z108,IF(F108="N","",J108))</f>
        <v>PLACEHOLDER ROW - Electrical - CUSTOM</v>
      </c>
      <c r="I108" s="186"/>
      <c r="J108" s="181"/>
      <c r="K108" s="285" t="str">
        <f t="shared" si="12"/>
        <v>match</v>
      </c>
      <c r="L108" s="1410" t="str">
        <f t="shared" si="10"/>
        <v>&lt;---PM/Planner may hide PLACEHOLDER ROW</v>
      </c>
      <c r="M108" s="1333"/>
      <c r="N108" s="1382"/>
      <c r="O108" s="1382"/>
      <c r="P108" s="1382"/>
      <c r="Q108" s="1382"/>
      <c r="R108" s="1490"/>
      <c r="S108" s="1274"/>
      <c r="T108" s="1274"/>
      <c r="U108" s="1382"/>
      <c r="V108" s="1382"/>
      <c r="W108" s="1382"/>
      <c r="X108" s="1382"/>
      <c r="Y108" s="1382"/>
      <c r="Z108" s="1382"/>
      <c r="AA108" s="1382"/>
      <c r="AB108" s="1382"/>
      <c r="AC108" s="1382"/>
      <c r="AD108" s="1382"/>
      <c r="AE108" s="1382"/>
      <c r="AF108" s="1382"/>
      <c r="AG108" s="1382"/>
      <c r="AH108" s="1382"/>
      <c r="AI108" s="1382"/>
      <c r="AJ108" s="1382"/>
      <c r="AK108" s="181"/>
      <c r="AL108" s="181"/>
      <c r="AM108" s="181"/>
      <c r="AN108" s="181"/>
      <c r="AO108" s="181"/>
      <c r="AP108" s="181"/>
      <c r="AQ108" s="181"/>
      <c r="AR108" s="181"/>
      <c r="AS108" s="181"/>
      <c r="AT108" s="181"/>
      <c r="AU108" s="181"/>
      <c r="AV108" s="181"/>
      <c r="AW108" s="181"/>
    </row>
    <row r="109" spans="1:49" s="30" customFormat="1" ht="28.5" x14ac:dyDescent="0.25">
      <c r="A109" s="1407" t="str">
        <f>IF(COUNTIF('04 - 95% CD'!D109:G109,"Y")&gt;0,"Y",IF(COUNTIF('04 - 95% CD'!D109:G109,"N"),"N",""))</f>
        <v>Y</v>
      </c>
      <c r="B109" s="191"/>
      <c r="C109" s="944"/>
      <c r="D109" s="321"/>
      <c r="E109" s="466"/>
      <c r="F109" s="559" t="str">
        <f>IF('C-Design&amp;Const'!$W109="","",'C-Design&amp;Const'!$W109)</f>
        <v>N</v>
      </c>
      <c r="G109" s="558"/>
      <c r="H109" s="504" t="str">
        <f>CONCATENATE(IF(ISNUMBER(SEARCH("Placeholder",'C-Design&amp;Const'!Z109))=TRUE,"",IF(F109="N","PLACEHOLDER ROW - ","")),'C-Design&amp;Const'!Z109,IF(F109="N","",J109))</f>
        <v>PLACEHOLDER ROW - Building Automation Systems- General - **(verify existing system for renovations)</v>
      </c>
      <c r="I109" s="186"/>
      <c r="J109" s="181"/>
      <c r="K109" s="285" t="str">
        <f t="shared" ref="K109:K114" si="13">IF((COUNTIF(D109:F109,"Y")=COUNTIF(A109,"Y")),"match","no 95% match")</f>
        <v>no 95% match</v>
      </c>
      <c r="L109" s="1410" t="str">
        <f t="shared" ref="L109:L114" si="14">CONCATENATE(IF(ISNUMBER(SEARCH("Placeholder",H109))=TRUE,"&lt;---PM/Planner may hide PLACEHOLDER ROW",""))</f>
        <v>&lt;---PM/Planner may hide PLACEHOLDER ROW</v>
      </c>
      <c r="M109" s="1333"/>
      <c r="N109" s="1382"/>
      <c r="O109" s="1382"/>
      <c r="P109" s="1382"/>
      <c r="Q109" s="1382"/>
      <c r="R109" s="1490"/>
      <c r="S109" s="1274"/>
      <c r="T109" s="1274"/>
      <c r="U109" s="1382"/>
      <c r="V109" s="1382"/>
      <c r="W109" s="1382"/>
      <c r="X109" s="1382"/>
      <c r="Y109" s="1382"/>
      <c r="Z109" s="1382"/>
      <c r="AA109" s="1382"/>
      <c r="AB109" s="1382"/>
      <c r="AC109" s="1382"/>
      <c r="AD109" s="1382"/>
      <c r="AE109" s="1382"/>
      <c r="AF109" s="1382"/>
      <c r="AG109" s="1382"/>
      <c r="AH109" s="1382"/>
      <c r="AI109" s="1382"/>
      <c r="AJ109" s="1382"/>
      <c r="AK109" s="181"/>
      <c r="AL109" s="181"/>
      <c r="AM109" s="181"/>
      <c r="AN109" s="181"/>
      <c r="AO109" s="181"/>
      <c r="AP109" s="181"/>
      <c r="AQ109" s="181"/>
      <c r="AR109" s="181"/>
      <c r="AS109" s="181"/>
      <c r="AT109" s="181"/>
      <c r="AU109" s="181"/>
      <c r="AV109" s="181"/>
      <c r="AW109" s="181"/>
    </row>
    <row r="110" spans="1:49" s="545" customFormat="1" x14ac:dyDescent="0.25">
      <c r="A110" s="1407" t="str">
        <f>IF(COUNTIF('04 - 95% CD'!D110:G110,"Y")&gt;0,"Y",IF(COUNTIF('04 - 95% CD'!D110:G110,"N"),"N",""))</f>
        <v>Y</v>
      </c>
      <c r="B110" s="554"/>
      <c r="C110" s="944"/>
      <c r="D110" s="321"/>
      <c r="E110" s="466"/>
      <c r="F110" s="559" t="str">
        <f>IF('C-Design&amp;Const'!$W110="","",'C-Design&amp;Const'!$W110)</f>
        <v>N</v>
      </c>
      <c r="G110" s="558"/>
      <c r="H110" s="504" t="str">
        <f>CONCATENATE(IF(ISNUMBER(SEARCH("Placeholder",'C-Design&amp;Const'!Z110))=TRUE,"",IF(F110="N","PLACEHOLDER ROW - ","")),'C-Design&amp;Const'!Z110,IF(F110="N","",J110))</f>
        <v>PLACEHOLDER ROW - Building Automation Systems - Demolition(s)</v>
      </c>
      <c r="I110" s="186"/>
      <c r="J110" s="551"/>
      <c r="K110" s="285" t="str">
        <f t="shared" si="13"/>
        <v>no 95% match</v>
      </c>
      <c r="L110" s="1410" t="str">
        <f t="shared" si="14"/>
        <v>&lt;---PM/Planner may hide PLACEHOLDER ROW</v>
      </c>
      <c r="M110" s="1333"/>
      <c r="N110" s="1382"/>
      <c r="O110" s="1382"/>
      <c r="P110" s="1382"/>
      <c r="Q110" s="1382"/>
      <c r="R110" s="1490"/>
      <c r="S110" s="1274"/>
      <c r="T110" s="1274"/>
      <c r="U110" s="1382"/>
      <c r="V110" s="1382"/>
      <c r="W110" s="1382"/>
      <c r="X110" s="1382"/>
      <c r="Y110" s="1382"/>
      <c r="Z110" s="1382"/>
      <c r="AA110" s="1382"/>
      <c r="AB110" s="1382"/>
      <c r="AC110" s="1382"/>
      <c r="AD110" s="1382"/>
      <c r="AE110" s="1382"/>
      <c r="AF110" s="1382"/>
      <c r="AG110" s="1382"/>
      <c r="AH110" s="1382"/>
      <c r="AI110" s="1382"/>
      <c r="AJ110" s="1382"/>
      <c r="AK110" s="551"/>
      <c r="AL110" s="551"/>
      <c r="AM110" s="551"/>
      <c r="AN110" s="551"/>
      <c r="AO110" s="551"/>
      <c r="AP110" s="551"/>
      <c r="AQ110" s="551"/>
      <c r="AR110" s="551"/>
      <c r="AS110" s="551"/>
      <c r="AT110" s="551"/>
      <c r="AU110" s="551"/>
      <c r="AV110" s="551"/>
      <c r="AW110" s="551"/>
    </row>
    <row r="111" spans="1:49" s="30" customFormat="1" x14ac:dyDescent="0.25">
      <c r="A111" s="1407" t="str">
        <f>IF(COUNTIF('04 - 95% CD'!D111:G111,"Y")&gt;0,"Y",IF(COUNTIF('04 - 95% CD'!D111:G111,"N"),"N",""))</f>
        <v>Y</v>
      </c>
      <c r="B111" s="191"/>
      <c r="C111" s="944"/>
      <c r="D111" s="321"/>
      <c r="E111" s="466"/>
      <c r="F111" s="559" t="str">
        <f>IF('C-Design&amp;Const'!$W111="","",'C-Design&amp;Const'!$W111)</f>
        <v>N</v>
      </c>
      <c r="G111" s="558"/>
      <c r="H111" s="504" t="str">
        <f>CONCATENATE(IF(ISNUMBER(SEARCH("Placeholder",'C-Design&amp;Const'!Z111))=TRUE,"",IF(F111="N","PLACEHOLDER ROW - ","")),'C-Design&amp;Const'!Z111,IF(F111="N","",J111))</f>
        <v>PLACEHOLDER ROW - Building Automation Systems - Systems Network Architecture</v>
      </c>
      <c r="I111" s="186"/>
      <c r="J111" s="181"/>
      <c r="K111" s="285" t="str">
        <f t="shared" si="13"/>
        <v>no 95% match</v>
      </c>
      <c r="L111" s="1410" t="str">
        <f t="shared" si="14"/>
        <v>&lt;---PM/Planner may hide PLACEHOLDER ROW</v>
      </c>
      <c r="M111" s="1333"/>
      <c r="N111" s="1382"/>
      <c r="O111" s="1382"/>
      <c r="P111" s="1382"/>
      <c r="Q111" s="1382"/>
      <c r="R111" s="1490"/>
      <c r="S111" s="1274"/>
      <c r="T111" s="1274"/>
      <c r="U111" s="1382"/>
      <c r="V111" s="1382"/>
      <c r="W111" s="1382"/>
      <c r="X111" s="1382"/>
      <c r="Y111" s="1382"/>
      <c r="Z111" s="1382"/>
      <c r="AA111" s="1382"/>
      <c r="AB111" s="1382"/>
      <c r="AC111" s="1382"/>
      <c r="AD111" s="1382"/>
      <c r="AE111" s="1382"/>
      <c r="AF111" s="1382"/>
      <c r="AG111" s="1382"/>
      <c r="AH111" s="1382"/>
      <c r="AI111" s="1382"/>
      <c r="AJ111" s="1382"/>
      <c r="AK111" s="181"/>
      <c r="AL111" s="181"/>
      <c r="AM111" s="181"/>
      <c r="AN111" s="181"/>
      <c r="AO111" s="181"/>
      <c r="AP111" s="181"/>
      <c r="AQ111" s="181"/>
      <c r="AR111" s="181"/>
      <c r="AS111" s="181"/>
      <c r="AT111" s="181"/>
      <c r="AU111" s="181"/>
      <c r="AV111" s="181"/>
      <c r="AW111" s="181"/>
    </row>
    <row r="112" spans="1:49" s="30" customFormat="1" x14ac:dyDescent="0.25">
      <c r="A112" s="1407" t="str">
        <f>IF(COUNTIF('04 - 95% CD'!D112:G112,"Y")&gt;0,"Y",IF(COUNTIF('04 - 95% CD'!D112:G112,"N"),"N",""))</f>
        <v>Y</v>
      </c>
      <c r="B112" s="191"/>
      <c r="C112" s="944"/>
      <c r="D112" s="321"/>
      <c r="E112" s="466"/>
      <c r="F112" s="559" t="str">
        <f>IF('C-Design&amp;Const'!$W112="","",'C-Design&amp;Const'!$W112)</f>
        <v>N</v>
      </c>
      <c r="G112" s="558"/>
      <c r="H112" s="504" t="str">
        <f>CONCATENATE(IF(ISNUMBER(SEARCH("Placeholder",'C-Design&amp;Const'!Z112))=TRUE,"",IF(F112="N","PLACEHOLDER ROW - ","")),'C-Design&amp;Const'!Z112,IF(F112="N","",J112))</f>
        <v>PLACEHOLDER ROW - Building Automation Systems - HVAC Temperature Controls System(s)</v>
      </c>
      <c r="I112" s="186"/>
      <c r="J112" s="181"/>
      <c r="K112" s="285" t="str">
        <f t="shared" si="13"/>
        <v>no 95% match</v>
      </c>
      <c r="L112" s="1410" t="str">
        <f t="shared" si="14"/>
        <v>&lt;---PM/Planner may hide PLACEHOLDER ROW</v>
      </c>
      <c r="M112" s="1333"/>
      <c r="N112" s="1382"/>
      <c r="O112" s="1382"/>
      <c r="P112" s="1382"/>
      <c r="Q112" s="1382"/>
      <c r="R112" s="1490"/>
      <c r="S112" s="1274"/>
      <c r="T112" s="1274"/>
      <c r="U112" s="1382"/>
      <c r="V112" s="1382"/>
      <c r="W112" s="1382"/>
      <c r="X112" s="1382"/>
      <c r="Y112" s="1382"/>
      <c r="Z112" s="1382"/>
      <c r="AA112" s="1382"/>
      <c r="AB112" s="1382"/>
      <c r="AC112" s="1382"/>
      <c r="AD112" s="1382"/>
      <c r="AE112" s="1382"/>
      <c r="AF112" s="1382"/>
      <c r="AG112" s="1382"/>
      <c r="AH112" s="1382"/>
      <c r="AI112" s="1382"/>
      <c r="AJ112" s="1382"/>
      <c r="AK112" s="181"/>
      <c r="AL112" s="181"/>
      <c r="AM112" s="181"/>
      <c r="AN112" s="181"/>
      <c r="AO112" s="181"/>
      <c r="AP112" s="181"/>
      <c r="AQ112" s="181"/>
      <c r="AR112" s="181"/>
      <c r="AS112" s="181"/>
      <c r="AT112" s="181"/>
      <c r="AU112" s="181"/>
      <c r="AV112" s="181"/>
      <c r="AW112" s="181"/>
    </row>
    <row r="113" spans="1:50" s="30" customFormat="1" ht="18.75" x14ac:dyDescent="0.25">
      <c r="A113" s="1407" t="str">
        <f>IF(COUNTIF('04 - 95% CD'!D113:G113,"Y")&gt;0,"Y",IF(COUNTIF('04 - 95% CD'!D113:G113,"N"),"N",""))</f>
        <v>N</v>
      </c>
      <c r="B113" s="191"/>
      <c r="C113" s="944"/>
      <c r="D113" s="463"/>
      <c r="E113" s="467"/>
      <c r="F113" s="559" t="str">
        <f>IF('C-Design&amp;Const'!$W113="","",'C-Design&amp;Const'!$W113)</f>
        <v>N</v>
      </c>
      <c r="G113" s="291"/>
      <c r="H113" s="361" t="str">
        <f>CONCATENATE(IF(ISNUMBER(SEARCH("Placeholder",'C-Design&amp;Const'!Z113))=TRUE,"",IF(F113="N","PLACEHOLDER ROW - ","")),'C-Design&amp;Const'!Z113,IF(F113="N","",J113))</f>
        <v>PLACEHOLDER ROW - Building Automation Systems - CUSTOM</v>
      </c>
      <c r="I113" s="184"/>
      <c r="J113" s="181"/>
      <c r="K113" s="230" t="str">
        <f t="shared" si="13"/>
        <v>match</v>
      </c>
      <c r="L113" s="1410" t="str">
        <f t="shared" si="14"/>
        <v>&lt;---PM/Planner may hide PLACEHOLDER ROW</v>
      </c>
      <c r="M113" s="1333"/>
      <c r="N113" s="1382"/>
      <c r="O113" s="1382"/>
      <c r="P113" s="1382"/>
      <c r="Q113" s="1382"/>
      <c r="R113" s="1382"/>
      <c r="S113" s="1382"/>
      <c r="T113" s="1382"/>
      <c r="U113" s="1382"/>
      <c r="V113" s="1382"/>
      <c r="W113" s="1382"/>
      <c r="X113" s="1382"/>
      <c r="Y113" s="1382"/>
      <c r="Z113" s="1382"/>
      <c r="AA113" s="1382"/>
      <c r="AB113" s="1382"/>
      <c r="AC113" s="1382"/>
      <c r="AD113" s="1382"/>
      <c r="AE113" s="1382"/>
      <c r="AF113" s="1382"/>
      <c r="AG113" s="1382"/>
      <c r="AH113" s="1382"/>
      <c r="AI113" s="1382"/>
      <c r="AJ113" s="1382"/>
      <c r="AK113" s="181"/>
      <c r="AL113" s="181"/>
      <c r="AM113" s="181"/>
      <c r="AN113" s="181"/>
      <c r="AO113" s="181"/>
      <c r="AP113" s="181"/>
      <c r="AQ113" s="181"/>
      <c r="AR113" s="181"/>
      <c r="AS113" s="181"/>
      <c r="AT113" s="181"/>
      <c r="AU113" s="181"/>
      <c r="AV113" s="181"/>
      <c r="AW113" s="181"/>
    </row>
    <row r="114" spans="1:50" s="30" customFormat="1" ht="25.5" x14ac:dyDescent="0.25">
      <c r="A114" s="1407" t="str">
        <f>IF(COUNTIF('04 - 95% CD'!D114:G114,"Y")&gt;0,"Y",IF(COUNTIF('04 - 95% CD'!D114:G114,"N"),"N",""))</f>
        <v>Y</v>
      </c>
      <c r="B114" s="191"/>
      <c r="C114" s="944"/>
      <c r="D114" s="463"/>
      <c r="E114" s="467"/>
      <c r="F114" s="559" t="str">
        <f>IF('C-Design&amp;Const'!$W114="","",'C-Design&amp;Const'!$W114)</f>
        <v>N</v>
      </c>
      <c r="G114" s="291"/>
      <c r="H114" s="361" t="str">
        <f>CONCATENATE(IF(ISNUMBER(SEARCH("Placeholder",'C-Design&amp;Const'!Z114))=TRUE,"",IF(F114="N","PLACEHOLDER ROW - ","")),'C-Design&amp;Const'!Z114,IF(F114="N","",J114))</f>
        <v>PLACEHOLDER ROW - Access Controls - General Systems</v>
      </c>
      <c r="I114" s="184"/>
      <c r="J114" s="181"/>
      <c r="K114" s="230" t="str">
        <f t="shared" si="13"/>
        <v>no 95% match</v>
      </c>
      <c r="L114" s="1410" t="str">
        <f t="shared" si="14"/>
        <v>&lt;---PM/Planner may hide PLACEHOLDER ROW</v>
      </c>
      <c r="M114" s="1333"/>
      <c r="N114" s="1382"/>
      <c r="O114" s="1382"/>
      <c r="P114" s="1382"/>
      <c r="Q114" s="1382"/>
      <c r="R114" s="1382"/>
      <c r="S114" s="1382"/>
      <c r="T114" s="1382"/>
      <c r="U114" s="1382"/>
      <c r="V114" s="1382"/>
      <c r="W114" s="1382"/>
      <c r="X114" s="1382"/>
      <c r="Y114" s="1382"/>
      <c r="Z114" s="1382"/>
      <c r="AA114" s="1382"/>
      <c r="AB114" s="1382"/>
      <c r="AC114" s="1382"/>
      <c r="AD114" s="1382"/>
      <c r="AE114" s="1382"/>
      <c r="AF114" s="1382"/>
      <c r="AG114" s="1382"/>
      <c r="AH114" s="1382"/>
      <c r="AI114" s="1382"/>
      <c r="AJ114" s="1382"/>
      <c r="AK114" s="181"/>
      <c r="AL114" s="181"/>
      <c r="AM114" s="181"/>
      <c r="AN114" s="181"/>
      <c r="AO114" s="181"/>
      <c r="AP114" s="181"/>
      <c r="AQ114" s="181"/>
      <c r="AR114" s="181"/>
      <c r="AS114" s="181"/>
      <c r="AT114" s="181"/>
      <c r="AU114" s="181"/>
      <c r="AV114" s="181"/>
      <c r="AW114" s="181"/>
    </row>
    <row r="115" spans="1:50" s="545" customFormat="1" x14ac:dyDescent="0.25">
      <c r="A115" s="1407" t="str">
        <f>IF(COUNTIF('04 - 95% CD'!D115:G115,"Y")&gt;0,"Y",IF(COUNTIF('04 - 95% CD'!D115:G115,"N"),"N",""))</f>
        <v>Y</v>
      </c>
      <c r="B115" s="554"/>
      <c r="C115" s="944"/>
      <c r="D115" s="321"/>
      <c r="E115" s="466"/>
      <c r="F115" s="559" t="str">
        <f>IF('C-Design&amp;Const'!$W115="","",'C-Design&amp;Const'!$W115)</f>
        <v>N</v>
      </c>
      <c r="G115" s="558"/>
      <c r="H115" s="504" t="str">
        <f>CONCATENATE(IF(ISNUMBER(SEARCH("Placeholder",'C-Design&amp;Const'!Z115))=TRUE,"",IF(F115="N","PLACEHOLDER ROW - ","")),'C-Design&amp;Const'!Z115,IF(F115="N","",J115))</f>
        <v>PLACEHOLDER ROW - Access Controls - Demolition(s)</v>
      </c>
      <c r="I115" s="186"/>
      <c r="J115" s="551"/>
      <c r="K115" s="285" t="str">
        <f t="shared" ref="K115" si="15">IF((COUNTIF(D115:F115,"Y")=COUNTIF(A115,"Y")),"match","no 95% match")</f>
        <v>no 95% match</v>
      </c>
      <c r="L115" s="1410" t="str">
        <f t="shared" ref="L115" si="16">CONCATENATE(IF(ISNUMBER(SEARCH("Placeholder",H115))=TRUE,"&lt;---PM/Planner may hide PLACEHOLDER ROW",""))</f>
        <v>&lt;---PM/Planner may hide PLACEHOLDER ROW</v>
      </c>
      <c r="M115" s="1333"/>
      <c r="N115" s="1382"/>
      <c r="O115" s="1382"/>
      <c r="P115" s="1382"/>
      <c r="Q115" s="1382"/>
      <c r="R115" s="1490"/>
      <c r="S115" s="1274"/>
      <c r="T115" s="1274"/>
      <c r="U115" s="1382"/>
      <c r="V115" s="1382"/>
      <c r="W115" s="1382"/>
      <c r="X115" s="1382"/>
      <c r="Y115" s="1382"/>
      <c r="Z115" s="1382"/>
      <c r="AA115" s="1382"/>
      <c r="AB115" s="1382"/>
      <c r="AC115" s="1382"/>
      <c r="AD115" s="1382"/>
      <c r="AE115" s="1382"/>
      <c r="AF115" s="1382"/>
      <c r="AG115" s="1382"/>
      <c r="AH115" s="1382"/>
      <c r="AI115" s="1382"/>
      <c r="AJ115" s="1382"/>
      <c r="AK115" s="551"/>
      <c r="AL115" s="551"/>
      <c r="AM115" s="551"/>
      <c r="AN115" s="551"/>
      <c r="AO115" s="551"/>
      <c r="AP115" s="551"/>
      <c r="AQ115" s="551"/>
      <c r="AR115" s="551"/>
      <c r="AS115" s="551"/>
      <c r="AT115" s="551"/>
      <c r="AU115" s="551"/>
      <c r="AV115" s="551"/>
      <c r="AW115" s="551"/>
    </row>
    <row r="116" spans="1:50" s="30" customFormat="1" x14ac:dyDescent="0.25">
      <c r="A116" s="1407" t="str">
        <f>IF(COUNTIF('04 - 95% CD'!D116:G116,"Y")&gt;0,"Y",IF(COUNTIF('04 - 95% CD'!D116:G116,"N"),"N",""))</f>
        <v>N</v>
      </c>
      <c r="B116" s="191"/>
      <c r="C116" s="944"/>
      <c r="D116" s="321"/>
      <c r="E116" s="466"/>
      <c r="F116" s="559" t="str">
        <f>IF('C-Design&amp;Const'!$W117="","",'C-Design&amp;Const'!$W117)</f>
        <v>N</v>
      </c>
      <c r="G116" s="558"/>
      <c r="H116" s="504" t="str">
        <f>CONCATENATE(IF(ISNUMBER(SEARCH("Placeholder",'C-Design&amp;Const'!Z116))=TRUE,"",IF(F116="N","PLACEHOLDER ROW - ","")),'C-Design&amp;Const'!Z116,IF(F116="N","",J116))</f>
        <v>PLACEHOLDER ROW - Access Controls - CUSTOM</v>
      </c>
      <c r="I116" s="186"/>
      <c r="J116" s="181"/>
      <c r="K116" s="285" t="str">
        <f t="shared" si="12"/>
        <v>match</v>
      </c>
      <c r="L116" s="1410" t="str">
        <f t="shared" si="10"/>
        <v>&lt;---PM/Planner may hide PLACEHOLDER ROW</v>
      </c>
      <c r="M116" s="1333"/>
      <c r="N116" s="1382"/>
      <c r="O116" s="1382"/>
      <c r="P116" s="1382"/>
      <c r="Q116" s="1382"/>
      <c r="R116" s="1490"/>
      <c r="S116" s="1274"/>
      <c r="T116" s="1274"/>
      <c r="U116" s="1382"/>
      <c r="V116" s="1382"/>
      <c r="W116" s="1382"/>
      <c r="X116" s="1382"/>
      <c r="Y116" s="1382"/>
      <c r="Z116" s="1382"/>
      <c r="AA116" s="1382"/>
      <c r="AB116" s="1382"/>
      <c r="AC116" s="1382"/>
      <c r="AD116" s="1382"/>
      <c r="AE116" s="1382"/>
      <c r="AF116" s="1382"/>
      <c r="AG116" s="1382"/>
      <c r="AH116" s="1382"/>
      <c r="AI116" s="1382"/>
      <c r="AJ116" s="1382"/>
      <c r="AK116" s="181"/>
      <c r="AL116" s="181"/>
      <c r="AM116" s="181"/>
      <c r="AN116" s="181"/>
      <c r="AO116" s="181"/>
      <c r="AP116" s="181"/>
      <c r="AQ116" s="181"/>
      <c r="AR116" s="181"/>
      <c r="AS116" s="181"/>
      <c r="AT116" s="181"/>
      <c r="AU116" s="181"/>
      <c r="AV116" s="181"/>
      <c r="AW116" s="181"/>
    </row>
    <row r="117" spans="1:50" s="30" customFormat="1" x14ac:dyDescent="0.25">
      <c r="A117" s="1407" t="str">
        <f>IF(COUNTIF('04 - 95% CD'!D117:G117,"Y")&gt;0,"Y",IF(COUNTIF('04 - 95% CD'!D117:G117,"N"),"N",""))</f>
        <v>Y</v>
      </c>
      <c r="B117" s="191"/>
      <c r="C117" s="944"/>
      <c r="D117" s="321"/>
      <c r="E117" s="466"/>
      <c r="F117" s="559" t="str">
        <f>IF('C-Design&amp;Const'!$W119="","",'C-Design&amp;Const'!$W119)</f>
        <v>N</v>
      </c>
      <c r="G117" s="558"/>
      <c r="H117" s="504" t="str">
        <f>CONCATENATE(IF(ISNUMBER(SEARCH("Placeholder",'C-Design&amp;Const'!Z117))=TRUE,"",IF(F117="N","PLACEHOLDER ROW - ","")),'C-Design&amp;Const'!Z117,IF(F117="N","",J117))</f>
        <v xml:space="preserve">PLACEHOLDER ROW - Telecom - General Systems </v>
      </c>
      <c r="I117" s="186"/>
      <c r="J117" s="181"/>
      <c r="K117" s="285" t="str">
        <f t="shared" si="12"/>
        <v>no 95% match</v>
      </c>
      <c r="L117" s="1410" t="str">
        <f t="shared" si="10"/>
        <v>&lt;---PM/Planner may hide PLACEHOLDER ROW</v>
      </c>
      <c r="M117" s="1333"/>
      <c r="N117" s="1382"/>
      <c r="O117" s="1382"/>
      <c r="P117" s="1382"/>
      <c r="Q117" s="1382"/>
      <c r="R117" s="1490"/>
      <c r="S117" s="1274"/>
      <c r="T117" s="1274"/>
      <c r="U117" s="1382"/>
      <c r="V117" s="1382"/>
      <c r="W117" s="1382"/>
      <c r="X117" s="1382"/>
      <c r="Y117" s="1382"/>
      <c r="Z117" s="1382"/>
      <c r="AA117" s="1382"/>
      <c r="AB117" s="1382"/>
      <c r="AC117" s="1382"/>
      <c r="AD117" s="1382"/>
      <c r="AE117" s="1382"/>
      <c r="AF117" s="1382"/>
      <c r="AG117" s="1382"/>
      <c r="AH117" s="1382"/>
      <c r="AI117" s="1382"/>
      <c r="AJ117" s="1382"/>
      <c r="AK117" s="181"/>
      <c r="AL117" s="181"/>
      <c r="AM117" s="181"/>
      <c r="AN117" s="181"/>
      <c r="AO117" s="181"/>
      <c r="AP117" s="181"/>
      <c r="AQ117" s="181"/>
      <c r="AR117" s="181"/>
      <c r="AS117" s="181"/>
      <c r="AT117" s="181"/>
      <c r="AU117" s="181"/>
      <c r="AV117" s="181"/>
      <c r="AW117" s="181"/>
    </row>
    <row r="118" spans="1:50" s="545" customFormat="1" x14ac:dyDescent="0.25">
      <c r="A118" s="1407" t="str">
        <f>IF(COUNTIF('04 - 95% CD'!D118:G118,"Y")&gt;0,"Y",IF(COUNTIF('04 - 95% CD'!D118:G118,"N"),"N",""))</f>
        <v>Y</v>
      </c>
      <c r="B118" s="554"/>
      <c r="C118" s="944"/>
      <c r="D118" s="321"/>
      <c r="E118" s="466"/>
      <c r="F118" s="559" t="str">
        <f>IF('C-Design&amp;Const'!$W118="","",'C-Design&amp;Const'!$W118)</f>
        <v>N</v>
      </c>
      <c r="G118" s="558"/>
      <c r="H118" s="504" t="str">
        <f>CONCATENATE(IF(ISNUMBER(SEARCH("Placeholder",'C-Design&amp;Const'!Z118))=TRUE,"",IF(F118="N","PLACEHOLDER ROW - ","")),'C-Design&amp;Const'!Z118,IF(F118="N","",J118))</f>
        <v>PLACEHOLDER ROW - Telecom - Demolition(s)</v>
      </c>
      <c r="I118" s="186"/>
      <c r="J118" s="551"/>
      <c r="K118" s="285" t="str">
        <f t="shared" si="12"/>
        <v>no 95% match</v>
      </c>
      <c r="L118" s="1410" t="str">
        <f t="shared" si="10"/>
        <v>&lt;---PM/Planner may hide PLACEHOLDER ROW</v>
      </c>
      <c r="M118" s="1333"/>
      <c r="N118" s="1382"/>
      <c r="O118" s="1382"/>
      <c r="P118" s="1382"/>
      <c r="Q118" s="1382"/>
      <c r="R118" s="1490"/>
      <c r="S118" s="1274"/>
      <c r="T118" s="1274"/>
      <c r="U118" s="1382"/>
      <c r="V118" s="1382"/>
      <c r="W118" s="1382"/>
      <c r="X118" s="1382"/>
      <c r="Y118" s="1382"/>
      <c r="Z118" s="1382"/>
      <c r="AA118" s="1382"/>
      <c r="AB118" s="1382"/>
      <c r="AC118" s="1382"/>
      <c r="AD118" s="1382"/>
      <c r="AE118" s="1382"/>
      <c r="AF118" s="1382"/>
      <c r="AG118" s="1382"/>
      <c r="AH118" s="1382"/>
      <c r="AI118" s="1382"/>
      <c r="AJ118" s="1382"/>
      <c r="AK118" s="551"/>
      <c r="AL118" s="551"/>
      <c r="AM118" s="551"/>
      <c r="AN118" s="551"/>
      <c r="AO118" s="551"/>
      <c r="AP118" s="551"/>
      <c r="AQ118" s="551"/>
      <c r="AR118" s="551"/>
      <c r="AS118" s="551"/>
      <c r="AT118" s="551"/>
      <c r="AU118" s="551"/>
      <c r="AV118" s="551"/>
      <c r="AW118" s="551"/>
    </row>
    <row r="119" spans="1:50" s="30" customFormat="1" x14ac:dyDescent="0.25">
      <c r="A119" s="1407" t="str">
        <f>IF(COUNTIF('04 - 95% CD'!D119:G119,"Y")&gt;0,"Y",IF(COUNTIF('04 - 95% CD'!D119:G119,"N"),"N",""))</f>
        <v>N</v>
      </c>
      <c r="B119" s="191"/>
      <c r="C119" s="944"/>
      <c r="D119" s="321"/>
      <c r="E119" s="466"/>
      <c r="F119" s="559" t="str">
        <f>IF('C-Design&amp;Const'!$W120="","",'C-Design&amp;Const'!$W120)</f>
        <v>N</v>
      </c>
      <c r="G119" s="558"/>
      <c r="H119" s="504" t="str">
        <f>CONCATENATE(IF(ISNUMBER(SEARCH("Placeholder",'C-Design&amp;Const'!Z119))=TRUE,"",IF(F119="N","PLACEHOLDER ROW - ","")),'C-Design&amp;Const'!Z119,IF(F119="N","",J119))</f>
        <v>PLACEHOLDER ROW - Telecom - CUSTOM</v>
      </c>
      <c r="I119" s="186"/>
      <c r="J119" s="181"/>
      <c r="K119" s="285" t="str">
        <f t="shared" si="12"/>
        <v>match</v>
      </c>
      <c r="L119" s="1410" t="str">
        <f t="shared" si="10"/>
        <v>&lt;---PM/Planner may hide PLACEHOLDER ROW</v>
      </c>
      <c r="M119" s="1333"/>
      <c r="N119" s="1382"/>
      <c r="O119" s="1382"/>
      <c r="P119" s="1382"/>
      <c r="Q119" s="1382"/>
      <c r="R119" s="1490"/>
      <c r="S119" s="1274"/>
      <c r="T119" s="1274"/>
      <c r="U119" s="1382"/>
      <c r="V119" s="1382"/>
      <c r="W119" s="1382"/>
      <c r="X119" s="1382"/>
      <c r="Y119" s="1382"/>
      <c r="Z119" s="1382"/>
      <c r="AA119" s="1382"/>
      <c r="AB119" s="1382"/>
      <c r="AC119" s="1382"/>
      <c r="AD119" s="1382"/>
      <c r="AE119" s="1382"/>
      <c r="AF119" s="1382"/>
      <c r="AG119" s="1382"/>
      <c r="AH119" s="1382"/>
      <c r="AI119" s="1382"/>
      <c r="AJ119" s="1382"/>
      <c r="AK119" s="181"/>
      <c r="AL119" s="181"/>
      <c r="AM119" s="181"/>
      <c r="AN119" s="181"/>
      <c r="AO119" s="181"/>
      <c r="AP119" s="181"/>
      <c r="AQ119" s="181"/>
      <c r="AR119" s="181"/>
      <c r="AS119" s="181"/>
      <c r="AT119" s="181"/>
      <c r="AU119" s="181"/>
      <c r="AV119" s="181"/>
      <c r="AW119" s="181"/>
    </row>
    <row r="120" spans="1:50" s="30" customFormat="1" x14ac:dyDescent="0.25">
      <c r="A120" s="1407" t="str">
        <f>IF(COUNTIF('04 - 95% CD'!D120:G120,"Y")&gt;0,"Y",IF(COUNTIF('04 - 95% CD'!D120:G120,"N"),"N",""))</f>
        <v>Y</v>
      </c>
      <c r="B120" s="191"/>
      <c r="C120" s="944"/>
      <c r="D120" s="321"/>
      <c r="E120" s="466"/>
      <c r="F120" s="559" t="str">
        <f>IF('C-Design&amp;Const'!$W122="","",'C-Design&amp;Const'!$W122)</f>
        <v>N</v>
      </c>
      <c r="G120" s="558"/>
      <c r="H120" s="504" t="str">
        <f>CONCATENATE(IF(ISNUMBER(SEARCH("Placeholder",'C-Design&amp;Const'!Z120))=TRUE,"",IF(F120="N","PLACEHOLDER ROW - ","")),'C-Design&amp;Const'!Z120,IF(F120="N","",J120))</f>
        <v>PLACEHOLDER ROW - Audio Visual - General Systems</v>
      </c>
      <c r="I120" s="186"/>
      <c r="J120" s="181"/>
      <c r="K120" s="285" t="str">
        <f t="shared" si="12"/>
        <v>no 95% match</v>
      </c>
      <c r="L120" s="1410" t="str">
        <f t="shared" si="10"/>
        <v>&lt;---PM/Planner may hide PLACEHOLDER ROW</v>
      </c>
      <c r="M120" s="1333"/>
      <c r="N120" s="1382"/>
      <c r="O120" s="1382"/>
      <c r="P120" s="1382"/>
      <c r="Q120" s="1382"/>
      <c r="R120" s="1490"/>
      <c r="S120" s="1274"/>
      <c r="T120" s="1274"/>
      <c r="U120" s="1382"/>
      <c r="V120" s="1382"/>
      <c r="W120" s="1382"/>
      <c r="X120" s="1382"/>
      <c r="Y120" s="1382"/>
      <c r="Z120" s="1382"/>
      <c r="AA120" s="1382"/>
      <c r="AB120" s="1382"/>
      <c r="AC120" s="1382"/>
      <c r="AD120" s="1382"/>
      <c r="AE120" s="1382"/>
      <c r="AF120" s="1382"/>
      <c r="AG120" s="1382"/>
      <c r="AH120" s="1382"/>
      <c r="AI120" s="1382"/>
      <c r="AJ120" s="1382"/>
      <c r="AK120" s="181"/>
      <c r="AL120" s="181"/>
      <c r="AM120" s="181"/>
      <c r="AN120" s="181"/>
      <c r="AO120" s="181"/>
      <c r="AP120" s="181"/>
      <c r="AQ120" s="181"/>
      <c r="AR120" s="181"/>
      <c r="AS120" s="181"/>
      <c r="AT120" s="181"/>
      <c r="AU120" s="181"/>
      <c r="AV120" s="181"/>
      <c r="AW120" s="181"/>
    </row>
    <row r="121" spans="1:50" s="545" customFormat="1" x14ac:dyDescent="0.25">
      <c r="A121" s="1407" t="str">
        <f>IF(COUNTIF('04 - 95% CD'!D121:G121,"Y")&gt;0,"Y",IF(COUNTIF('04 - 95% CD'!D121:G121,"N"),"N",""))</f>
        <v>Y</v>
      </c>
      <c r="B121" s="554"/>
      <c r="C121" s="944"/>
      <c r="D121" s="321"/>
      <c r="E121" s="466"/>
      <c r="F121" s="559" t="str">
        <f>IF('C-Design&amp;Const'!$W121="","",'C-Design&amp;Const'!$W121)</f>
        <v>N</v>
      </c>
      <c r="G121" s="558"/>
      <c r="H121" s="504" t="str">
        <f>CONCATENATE(IF(ISNUMBER(SEARCH("Placeholder",'C-Design&amp;Const'!Z121))=TRUE,"",IF(F121="N","PLACEHOLDER ROW - ","")),'C-Design&amp;Const'!Z121,IF(F121="N","",J121))</f>
        <v>PLACEHOLDER ROW - Audio Visual - Demolition(s)</v>
      </c>
      <c r="I121" s="186"/>
      <c r="J121" s="551"/>
      <c r="K121" s="285" t="str">
        <f t="shared" ref="K121" si="17">IF((COUNTIF(D121:F121,"Y")=COUNTIF(A121,"Y")),"match","no 95% match")</f>
        <v>no 95% match</v>
      </c>
      <c r="L121" s="1410" t="str">
        <f t="shared" ref="L121" si="18">CONCATENATE(IF(ISNUMBER(SEARCH("Placeholder",H121))=TRUE,"&lt;---PM/Planner may hide PLACEHOLDER ROW",""))</f>
        <v>&lt;---PM/Planner may hide PLACEHOLDER ROW</v>
      </c>
      <c r="M121" s="1333"/>
      <c r="N121" s="1382"/>
      <c r="O121" s="1382"/>
      <c r="P121" s="1382"/>
      <c r="Q121" s="1382"/>
      <c r="R121" s="1490"/>
      <c r="S121" s="1274"/>
      <c r="T121" s="1274"/>
      <c r="U121" s="1382"/>
      <c r="V121" s="1382"/>
      <c r="W121" s="1382"/>
      <c r="X121" s="1382"/>
      <c r="Y121" s="1382"/>
      <c r="Z121" s="1382"/>
      <c r="AA121" s="1382"/>
      <c r="AB121" s="1382"/>
      <c r="AC121" s="1382"/>
      <c r="AD121" s="1382"/>
      <c r="AE121" s="1382"/>
      <c r="AF121" s="1382"/>
      <c r="AG121" s="1382"/>
      <c r="AH121" s="1382"/>
      <c r="AI121" s="1382"/>
      <c r="AJ121" s="1382"/>
      <c r="AK121" s="551"/>
      <c r="AL121" s="551"/>
      <c r="AM121" s="551"/>
      <c r="AN121" s="551"/>
      <c r="AO121" s="551"/>
      <c r="AP121" s="551"/>
      <c r="AQ121" s="551"/>
      <c r="AR121" s="551"/>
      <c r="AS121" s="551"/>
      <c r="AT121" s="551"/>
      <c r="AU121" s="551"/>
      <c r="AV121" s="551"/>
      <c r="AW121" s="551"/>
    </row>
    <row r="122" spans="1:50" s="30" customFormat="1" ht="18.75" x14ac:dyDescent="0.25">
      <c r="A122" s="1407" t="str">
        <f>IF(COUNTIF('04 - 95% CD'!D122:G122,"Y")&gt;0,"Y",IF(COUNTIF('04 - 95% CD'!D122:G122,"N"),"N",""))</f>
        <v>N</v>
      </c>
      <c r="B122" s="191"/>
      <c r="C122" s="944"/>
      <c r="D122" s="463"/>
      <c r="E122" s="467"/>
      <c r="F122" s="559" t="str">
        <f>IF('C-Design&amp;Const'!$W116="","",'C-Design&amp;Const'!$W116)</f>
        <v>N</v>
      </c>
      <c r="G122" s="291"/>
      <c r="H122" s="361" t="str">
        <f>CONCATENATE(IF(ISNUMBER(SEARCH("Placeholder",'C-Design&amp;Const'!Z122))=TRUE,"",IF(F122="N","PLACEHOLDER ROW - ","")),'C-Design&amp;Const'!Z122,IF(F122="N","",J122))</f>
        <v>PLACEHOLDER ROW - Audio Visual - CUSTOM</v>
      </c>
      <c r="I122" s="184"/>
      <c r="J122" s="181"/>
      <c r="K122" s="230" t="str">
        <f>IF((COUNTIF(D122:F122,"Y")=COUNTIF(A122,"Y")),"match","no 95% match")</f>
        <v>match</v>
      </c>
      <c r="L122" s="1410" t="str">
        <f>CONCATENATE(IF(ISNUMBER(SEARCH("Placeholder",H122))=TRUE,"&lt;---PM/Planner may hide PLACEHOLDER ROW",""))</f>
        <v>&lt;---PM/Planner may hide PLACEHOLDER ROW</v>
      </c>
      <c r="M122" s="1333"/>
      <c r="N122" s="1382"/>
      <c r="O122" s="1382"/>
      <c r="P122" s="1382"/>
      <c r="Q122" s="1382"/>
      <c r="R122" s="1382"/>
      <c r="S122" s="1382"/>
      <c r="T122" s="1382"/>
      <c r="U122" s="1382"/>
      <c r="V122" s="1382"/>
      <c r="W122" s="1382"/>
      <c r="X122" s="1382"/>
      <c r="Y122" s="1382"/>
      <c r="Z122" s="1382"/>
      <c r="AA122" s="1382"/>
      <c r="AB122" s="1382"/>
      <c r="AC122" s="1382"/>
      <c r="AD122" s="1382"/>
      <c r="AE122" s="1382"/>
      <c r="AF122" s="1382"/>
      <c r="AG122" s="1382"/>
      <c r="AH122" s="1382"/>
      <c r="AI122" s="1382"/>
      <c r="AJ122" s="1382"/>
      <c r="AK122" s="181"/>
      <c r="AL122" s="181"/>
      <c r="AM122" s="181"/>
      <c r="AN122" s="181"/>
      <c r="AO122" s="181"/>
      <c r="AP122" s="181"/>
      <c r="AQ122" s="181"/>
      <c r="AR122" s="181"/>
      <c r="AS122" s="181"/>
      <c r="AT122" s="181"/>
      <c r="AU122" s="181"/>
      <c r="AV122" s="181"/>
      <c r="AW122" s="181"/>
    </row>
    <row r="123" spans="1:50" s="30" customFormat="1" ht="18.75" x14ac:dyDescent="0.25">
      <c r="A123" s="1407" t="str">
        <f>IF(COUNTIF('04 - 95% CD'!D123:G123,"Y")&gt;0,"Y",IF(COUNTIF('04 - 95% CD'!D123:G123,"N"),"N",""))</f>
        <v>N</v>
      </c>
      <c r="B123" s="191"/>
      <c r="C123" s="944"/>
      <c r="D123" s="463"/>
      <c r="E123" s="467"/>
      <c r="F123" s="559" t="str">
        <f>IF('C-Design&amp;Const'!$W123="","",'C-Design&amp;Const'!$W123)</f>
        <v>N</v>
      </c>
      <c r="G123" s="291"/>
      <c r="H123" s="361" t="str">
        <f>CONCATENATE(IF(ISNUMBER(SEARCH("Placeholder",'C-Design&amp;Const'!Z123))=TRUE,"",IF(F123="N","PLACEHOLDER ROW - ","")),'C-Design&amp;Const'!Z123,IF(F123="N","",J123))</f>
        <v>PLACEHOLDER ROW - CUSTOM ROW - OPTIONAL CLIENT ITEM</v>
      </c>
      <c r="I123" s="184"/>
      <c r="J123" s="181"/>
      <c r="K123" s="230" t="str">
        <f t="shared" si="12"/>
        <v>match</v>
      </c>
      <c r="L123" s="1410" t="str">
        <f t="shared" si="10"/>
        <v>&lt;---PM/Planner may hide PLACEHOLDER ROW</v>
      </c>
      <c r="M123" s="1333"/>
      <c r="N123" s="1382"/>
      <c r="O123" s="1382"/>
      <c r="P123" s="1382"/>
      <c r="Q123" s="1382"/>
      <c r="R123" s="1382"/>
      <c r="S123" s="1382"/>
      <c r="T123" s="1382"/>
      <c r="U123" s="1382"/>
      <c r="V123" s="1382"/>
      <c r="W123" s="1382"/>
      <c r="X123" s="1382"/>
      <c r="Y123" s="1382"/>
      <c r="Z123" s="1382"/>
      <c r="AA123" s="1382"/>
      <c r="AB123" s="1382"/>
      <c r="AC123" s="1382"/>
      <c r="AD123" s="1382"/>
      <c r="AE123" s="1382"/>
      <c r="AF123" s="1382"/>
      <c r="AG123" s="1382"/>
      <c r="AH123" s="1382"/>
      <c r="AI123" s="1382"/>
      <c r="AJ123" s="1382"/>
      <c r="AK123" s="181"/>
      <c r="AL123" s="181"/>
      <c r="AM123" s="181"/>
      <c r="AN123" s="181"/>
      <c r="AO123" s="181"/>
      <c r="AP123" s="181"/>
      <c r="AQ123" s="181"/>
      <c r="AR123" s="181"/>
      <c r="AS123" s="181"/>
      <c r="AT123" s="181"/>
      <c r="AU123" s="181"/>
      <c r="AV123" s="181"/>
      <c r="AW123" s="181"/>
    </row>
    <row r="124" spans="1:50" s="30" customFormat="1" ht="18.75" x14ac:dyDescent="0.25">
      <c r="A124" s="1407" t="str">
        <f>IF(COUNTIF('04 - 95% CD'!D124:G124,"Y")&gt;0,"Y",IF(COUNTIF('04 - 95% CD'!D124:G124,"N"),"N",""))</f>
        <v>N</v>
      </c>
      <c r="B124" s="191"/>
      <c r="C124" s="944"/>
      <c r="D124" s="463"/>
      <c r="E124" s="467"/>
      <c r="F124" s="559" t="str">
        <f>IF('C-Design&amp;Const'!$W124="","",'C-Design&amp;Const'!$W124)</f>
        <v>N</v>
      </c>
      <c r="G124" s="291"/>
      <c r="H124" s="361" t="str">
        <f>CONCATENATE(IF(ISNUMBER(SEARCH("Placeholder",'C-Design&amp;Const'!Z124))=TRUE,"",IF(F124="N","PLACEHOLDER ROW - ","")),'C-Design&amp;Const'!Z124,IF(F124="N","",J124))</f>
        <v>PLACEHOLDER ROW - CUSTOM ROW - OPTIONAL CLIENT ITEM</v>
      </c>
      <c r="I124" s="184"/>
      <c r="J124" s="181"/>
      <c r="K124" s="230" t="str">
        <f t="shared" si="12"/>
        <v>match</v>
      </c>
      <c r="L124" s="1410" t="str">
        <f t="shared" si="10"/>
        <v>&lt;---PM/Planner may hide PLACEHOLDER ROW</v>
      </c>
      <c r="M124" s="1333"/>
      <c r="N124" s="1382"/>
      <c r="O124" s="1382"/>
      <c r="P124" s="1382"/>
      <c r="Q124" s="1382"/>
      <c r="R124" s="1382"/>
      <c r="S124" s="1382"/>
      <c r="T124" s="1382"/>
      <c r="U124" s="1382"/>
      <c r="V124" s="1382"/>
      <c r="W124" s="1382"/>
      <c r="X124" s="1382"/>
      <c r="Y124" s="1382"/>
      <c r="Z124" s="1382"/>
      <c r="AA124" s="1382"/>
      <c r="AB124" s="1382"/>
      <c r="AC124" s="1382"/>
      <c r="AD124" s="1382"/>
      <c r="AE124" s="1382"/>
      <c r="AF124" s="1382"/>
      <c r="AG124" s="1382"/>
      <c r="AH124" s="1382"/>
      <c r="AI124" s="1382"/>
      <c r="AJ124" s="1382"/>
      <c r="AK124" s="181"/>
      <c r="AL124" s="181"/>
      <c r="AM124" s="181"/>
      <c r="AN124" s="181"/>
      <c r="AO124" s="181"/>
      <c r="AP124" s="181"/>
      <c r="AQ124" s="181"/>
      <c r="AR124" s="181"/>
      <c r="AS124" s="181"/>
      <c r="AT124" s="181"/>
      <c r="AU124" s="181"/>
      <c r="AV124" s="181"/>
      <c r="AW124" s="181"/>
    </row>
    <row r="125" spans="1:50" s="17" customFormat="1" x14ac:dyDescent="0.25">
      <c r="A125" s="1516" t="str">
        <f>IF(COUNTIF('04 - 95% CD'!D125:G125,"Y")&gt;0,"Y",IF(COUNTIF('04 - 95% CD'!D125:G125,"N"),"N",""))</f>
        <v/>
      </c>
      <c r="B125" s="141"/>
      <c r="C125" s="944"/>
      <c r="D125" s="411"/>
      <c r="E125" s="411"/>
      <c r="F125" s="321"/>
      <c r="G125" s="294"/>
      <c r="H125" s="296"/>
      <c r="I125" s="130"/>
      <c r="K125" s="285" t="str">
        <f t="shared" si="12"/>
        <v>match</v>
      </c>
      <c r="L125" s="1410" t="str">
        <f t="shared" si="10"/>
        <v/>
      </c>
      <c r="M125" s="1333"/>
      <c r="N125" s="1333"/>
      <c r="O125" s="1333"/>
      <c r="P125" s="1333"/>
      <c r="Q125" s="1333"/>
      <c r="R125" s="1446"/>
      <c r="S125" s="1364"/>
      <c r="T125" s="1333"/>
      <c r="U125" s="1333"/>
      <c r="V125" s="1333"/>
      <c r="W125" s="1333"/>
      <c r="X125" s="1333"/>
      <c r="Y125" s="1333"/>
      <c r="Z125" s="1333"/>
      <c r="AA125" s="1333"/>
      <c r="AB125" s="1333"/>
      <c r="AC125" s="1333"/>
      <c r="AD125" s="1333"/>
      <c r="AE125" s="1333"/>
      <c r="AF125" s="1333"/>
      <c r="AG125" s="1333"/>
      <c r="AH125" s="1333"/>
      <c r="AI125" s="1333"/>
      <c r="AJ125" s="1333"/>
    </row>
    <row r="126" spans="1:50" s="181" customFormat="1" ht="34.5" customHeight="1" x14ac:dyDescent="0.25">
      <c r="A126" s="1501" t="str">
        <f>IF(COUNTIF('04 - 95% CD'!D126:G126,"Y")&gt;0,"Y",IF(COUNTIF('04 - 95% CD'!D126:G126,"N"),"N",""))</f>
        <v>Y</v>
      </c>
      <c r="B126" s="177"/>
      <c r="C126" s="944"/>
      <c r="D126" s="559" t="str">
        <f>IF('C-Design&amp;Const'!$W126="","",'C-Design&amp;Const'!$W126)</f>
        <v>N</v>
      </c>
      <c r="E126" s="234"/>
      <c r="F126" s="235"/>
      <c r="G126" s="291" t="str">
        <f>IF('C-Design&amp;Const'!Y126="","",'C-Design&amp;Const'!Y126)</f>
        <v>04b.</v>
      </c>
      <c r="H126" s="290" t="str">
        <f>CONCATENATE('C-Design&amp;Const'!Z126,IF(D126="N"," Not Used In This Construction Phase",J126))</f>
        <v>Project Applicable Information / Calculations Not Used In This Construction Phase</v>
      </c>
      <c r="I126" s="180"/>
      <c r="K126" s="285" t="str">
        <f t="shared" si="12"/>
        <v>no 95% match</v>
      </c>
      <c r="L126" s="1410" t="str">
        <f t="shared" si="10"/>
        <v/>
      </c>
      <c r="M126" s="1333"/>
      <c r="N126" s="1382"/>
      <c r="O126" s="1382"/>
      <c r="P126" s="1382"/>
      <c r="Q126" s="1382"/>
      <c r="R126" s="1447"/>
      <c r="S126" s="1448"/>
      <c r="T126" s="1470"/>
      <c r="U126" s="1382"/>
      <c r="V126" s="1382"/>
      <c r="W126" s="1382"/>
      <c r="X126" s="1382"/>
      <c r="Y126" s="1382"/>
      <c r="Z126" s="1382"/>
      <c r="AA126" s="1382"/>
      <c r="AB126" s="1382"/>
      <c r="AC126" s="1382"/>
      <c r="AD126" s="1382"/>
      <c r="AE126" s="1382"/>
      <c r="AF126" s="1382"/>
      <c r="AG126" s="1382"/>
      <c r="AH126" s="1382"/>
      <c r="AI126" s="1382"/>
      <c r="AJ126" s="1382"/>
      <c r="AX126" s="30"/>
    </row>
    <row r="127" spans="1:50" s="30" customFormat="1" ht="15" hidden="1" customHeight="1" x14ac:dyDescent="0.25">
      <c r="A127" s="1407" t="str">
        <f>IF(COUNTIF('04 - 95% CD'!D127:G127,"Y")&gt;0,"Y",IF(COUNTIF('04 - 95% CD'!D127:G127,"N"),"N",""))</f>
        <v>Y</v>
      </c>
      <c r="B127" s="191"/>
      <c r="C127" s="944"/>
      <c r="D127" s="463"/>
      <c r="E127" s="359" t="str">
        <f>IF('C-Design&amp;Const'!$W127="","",'C-Design&amp;Const'!$W127)</f>
        <v>N</v>
      </c>
      <c r="F127" s="235"/>
      <c r="G127" s="291"/>
      <c r="H127" s="340" t="str">
        <f>CONCATENATE(IF(ISNUMBER(SEARCH("Placeholder",'C-Design&amp;Const'!Z127))=TRUE,"",IF(E127="N","PLACEHOLDER ROW - ","")),'C-Design&amp;Const'!Z127,IF(E127="N","",J127))</f>
        <v>PLACEHOLDER ROW - Occupancy calculations between existing and proposed; breaking down the FTE</v>
      </c>
      <c r="I127" s="184"/>
      <c r="J127" s="181"/>
      <c r="K127" s="285" t="str">
        <f t="shared" si="12"/>
        <v>no 95% match</v>
      </c>
      <c r="L127" s="1410" t="str">
        <f t="shared" si="10"/>
        <v>&lt;---PM/Planner may hide PLACEHOLDER ROW</v>
      </c>
      <c r="M127" s="1333"/>
      <c r="N127" s="1382"/>
      <c r="O127" s="1382"/>
      <c r="P127" s="1382"/>
      <c r="Q127" s="1382"/>
      <c r="R127" s="1382"/>
      <c r="S127" s="1382"/>
      <c r="T127" s="1382"/>
      <c r="U127" s="1382"/>
      <c r="V127" s="1382"/>
      <c r="W127" s="1382"/>
      <c r="X127" s="1382"/>
      <c r="Y127" s="1382"/>
      <c r="Z127" s="1382"/>
      <c r="AA127" s="1382"/>
      <c r="AB127" s="1382"/>
      <c r="AC127" s="1382"/>
      <c r="AD127" s="1382"/>
      <c r="AE127" s="1382"/>
      <c r="AF127" s="1382"/>
      <c r="AG127" s="1382"/>
      <c r="AH127" s="1382"/>
      <c r="AI127" s="1382"/>
      <c r="AJ127" s="1382"/>
      <c r="AK127" s="181"/>
      <c r="AL127" s="181"/>
      <c r="AM127" s="181"/>
      <c r="AN127" s="181"/>
      <c r="AO127" s="181"/>
      <c r="AP127" s="181"/>
      <c r="AQ127" s="181"/>
      <c r="AR127" s="181"/>
      <c r="AS127" s="181"/>
      <c r="AT127" s="181"/>
      <c r="AU127" s="181"/>
      <c r="AV127" s="181"/>
      <c r="AW127" s="181"/>
    </row>
    <row r="128" spans="1:50" s="30" customFormat="1" ht="15" hidden="1" customHeight="1" x14ac:dyDescent="0.25">
      <c r="A128" s="1407" t="str">
        <f>IF(COUNTIF('04 - 95% CD'!D128:G128,"Y")&gt;0,"Y",IF(COUNTIF('04 - 95% CD'!D128:G128,"N"),"N",""))</f>
        <v>N</v>
      </c>
      <c r="B128" s="191"/>
      <c r="C128" s="944"/>
      <c r="D128" s="463"/>
      <c r="E128" s="359" t="str">
        <f>IF('C-Design&amp;Const'!$W128="","",'C-Design&amp;Const'!$W128)</f>
        <v>N</v>
      </c>
      <c r="F128" s="235"/>
      <c r="G128" s="291"/>
      <c r="H128" s="358" t="str">
        <f>CONCATENATE(IF(ISNUMBER(SEARCH("Placeholder",'C-Design&amp;Const'!Z128))=TRUE,"",IF(E128="N","PLACEHOLDER ROW - ","")),'C-Design&amp;Const'!Z128,IF(E128="N","",J128))</f>
        <v>PLACEHOLDER ROW - Soil Borings and Soils Report</v>
      </c>
      <c r="I128" s="184"/>
      <c r="J128" s="181"/>
      <c r="K128" s="285" t="str">
        <f t="shared" si="12"/>
        <v>match</v>
      </c>
      <c r="L128" s="1410" t="str">
        <f t="shared" si="10"/>
        <v>&lt;---PM/Planner may hide PLACEHOLDER ROW</v>
      </c>
      <c r="M128" s="1333"/>
      <c r="N128" s="1382"/>
      <c r="O128" s="1382"/>
      <c r="P128" s="1382"/>
      <c r="Q128" s="1382"/>
      <c r="R128" s="1382"/>
      <c r="S128" s="1382"/>
      <c r="T128" s="1382"/>
      <c r="U128" s="1382"/>
      <c r="V128" s="1382"/>
      <c r="W128" s="1382"/>
      <c r="X128" s="1382"/>
      <c r="Y128" s="1382"/>
      <c r="Z128" s="1382"/>
      <c r="AA128" s="1382"/>
      <c r="AB128" s="1382"/>
      <c r="AC128" s="1382"/>
      <c r="AD128" s="1382"/>
      <c r="AE128" s="1382"/>
      <c r="AF128" s="1382"/>
      <c r="AG128" s="1382"/>
      <c r="AH128" s="1382"/>
      <c r="AI128" s="1382"/>
      <c r="AJ128" s="1382"/>
      <c r="AK128" s="181"/>
      <c r="AL128" s="181"/>
      <c r="AM128" s="181"/>
      <c r="AN128" s="181"/>
      <c r="AO128" s="181"/>
      <c r="AP128" s="181"/>
      <c r="AQ128" s="181"/>
      <c r="AR128" s="181"/>
      <c r="AS128" s="181"/>
      <c r="AT128" s="181"/>
      <c r="AU128" s="181"/>
      <c r="AV128" s="181"/>
      <c r="AW128" s="181"/>
    </row>
    <row r="129" spans="1:49" s="30" customFormat="1" ht="15" hidden="1" customHeight="1" x14ac:dyDescent="0.25">
      <c r="A129" s="1407" t="str">
        <f>IF(COUNTIF('04 - 95% CD'!D129:G129,"Y")&gt;0,"Y",IF(COUNTIF('04 - 95% CD'!D129:G129,"N"),"N",""))</f>
        <v>Y</v>
      </c>
      <c r="B129" s="191"/>
      <c r="C129" s="944"/>
      <c r="D129" s="463"/>
      <c r="E129" s="359" t="str">
        <f>IF('C-Design&amp;Const'!$W129="","",'C-Design&amp;Const'!$W129)</f>
        <v>N</v>
      </c>
      <c r="F129" s="235"/>
      <c r="G129" s="291"/>
      <c r="H129" s="340" t="str">
        <f>CONCATENATE(IF(ISNUMBER(SEARCH("Placeholder",'C-Design&amp;Const'!Z129))=TRUE,"",IF(E129="N","PLACEHOLDER ROW - ","")),'C-Design&amp;Const'!Z129,IF(E129="N","",J129))</f>
        <v>PLACEHOLDER ROW - Stormwater Runoff Rate Calculation/Model Results and Water Detention</v>
      </c>
      <c r="I129" s="184"/>
      <c r="J129" s="181"/>
      <c r="K129" s="285" t="str">
        <f t="shared" si="12"/>
        <v>no 95% match</v>
      </c>
      <c r="L129" s="1410" t="str">
        <f t="shared" si="10"/>
        <v>&lt;---PM/Planner may hide PLACEHOLDER ROW</v>
      </c>
      <c r="M129" s="1333"/>
      <c r="N129" s="1382"/>
      <c r="O129" s="1382"/>
      <c r="P129" s="1382"/>
      <c r="Q129" s="1382"/>
      <c r="R129" s="1382"/>
      <c r="S129" s="1382"/>
      <c r="T129" s="1382"/>
      <c r="U129" s="1382"/>
      <c r="V129" s="1382"/>
      <c r="W129" s="1382"/>
      <c r="X129" s="1382"/>
      <c r="Y129" s="1382"/>
      <c r="Z129" s="1382"/>
      <c r="AA129" s="1382"/>
      <c r="AB129" s="1382"/>
      <c r="AC129" s="1382"/>
      <c r="AD129" s="1382"/>
      <c r="AE129" s="1382"/>
      <c r="AF129" s="1382"/>
      <c r="AG129" s="1382"/>
      <c r="AH129" s="1382"/>
      <c r="AI129" s="1382"/>
      <c r="AJ129" s="1382"/>
      <c r="AK129" s="181"/>
      <c r="AL129" s="181"/>
      <c r="AM129" s="181"/>
      <c r="AN129" s="181"/>
      <c r="AO129" s="181"/>
      <c r="AP129" s="181"/>
      <c r="AQ129" s="181"/>
      <c r="AR129" s="181"/>
      <c r="AS129" s="181"/>
      <c r="AT129" s="181"/>
      <c r="AU129" s="181"/>
      <c r="AV129" s="181"/>
      <c r="AW129" s="181"/>
    </row>
    <row r="130" spans="1:49" s="30" customFormat="1" ht="15" hidden="1" customHeight="1" x14ac:dyDescent="0.25">
      <c r="A130" s="1407" t="str">
        <f>IF(COUNTIF('04 - 95% CD'!D130:G130,"Y")&gt;0,"Y",IF(COUNTIF('04 - 95% CD'!D130:G130,"N"),"N",""))</f>
        <v>Y</v>
      </c>
      <c r="B130" s="191"/>
      <c r="C130" s="944"/>
      <c r="D130" s="463"/>
      <c r="E130" s="359" t="str">
        <f>IF('C-Design&amp;Const'!$W130="","",'C-Design&amp;Const'!$W130)</f>
        <v>N</v>
      </c>
      <c r="F130" s="235"/>
      <c r="G130" s="291"/>
      <c r="H130" s="340" t="str">
        <f>CONCATENATE(IF(ISNUMBER(SEARCH("Placeholder",'C-Design&amp;Const'!Z130))=TRUE,"",IF(E130="N","PLACEHOLDER ROW - ","")),'C-Design&amp;Const'!Z130,IF(E130="N","",J130))</f>
        <v>PLACEHOLDER ROW - Asbestos and Lead Survey and Recommendations</v>
      </c>
      <c r="I130" s="184"/>
      <c r="J130" s="181"/>
      <c r="K130" s="285" t="str">
        <f t="shared" si="12"/>
        <v>no 95% match</v>
      </c>
      <c r="L130" s="1410" t="str">
        <f t="shared" si="10"/>
        <v>&lt;---PM/Planner may hide PLACEHOLDER ROW</v>
      </c>
      <c r="M130" s="1333"/>
      <c r="N130" s="1382"/>
      <c r="O130" s="1382"/>
      <c r="P130" s="1382"/>
      <c r="Q130" s="1382"/>
      <c r="R130" s="1382"/>
      <c r="S130" s="1382"/>
      <c r="T130" s="1382"/>
      <c r="U130" s="1382"/>
      <c r="V130" s="1382"/>
      <c r="W130" s="1382"/>
      <c r="X130" s="1382"/>
      <c r="Y130" s="1382"/>
      <c r="Z130" s="1382"/>
      <c r="AA130" s="1382"/>
      <c r="AB130" s="1382"/>
      <c r="AC130" s="1382"/>
      <c r="AD130" s="1382"/>
      <c r="AE130" s="1382"/>
      <c r="AF130" s="1382"/>
      <c r="AG130" s="1382"/>
      <c r="AH130" s="1382"/>
      <c r="AI130" s="1382"/>
      <c r="AJ130" s="1382"/>
      <c r="AK130" s="181"/>
      <c r="AL130" s="181"/>
      <c r="AM130" s="181"/>
      <c r="AN130" s="181"/>
      <c r="AO130" s="181"/>
      <c r="AP130" s="181"/>
      <c r="AQ130" s="181"/>
      <c r="AR130" s="181"/>
      <c r="AS130" s="181"/>
      <c r="AT130" s="181"/>
      <c r="AU130" s="181"/>
      <c r="AV130" s="181"/>
      <c r="AW130" s="181"/>
    </row>
    <row r="131" spans="1:49" s="30" customFormat="1" ht="15" hidden="1" customHeight="1" x14ac:dyDescent="0.25">
      <c r="A131" s="1407" t="str">
        <f>IF(COUNTIF('04 - 95% CD'!D131:G131,"Y")&gt;0,"Y",IF(COUNTIF('04 - 95% CD'!D131:G131,"N"),"N",""))</f>
        <v>N</v>
      </c>
      <c r="B131" s="191"/>
      <c r="C131" s="944"/>
      <c r="D131" s="463"/>
      <c r="E131" s="359" t="str">
        <f>IF('C-Design&amp;Const'!$W131="","",'C-Design&amp;Const'!$W131)</f>
        <v>N</v>
      </c>
      <c r="F131" s="235"/>
      <c r="G131" s="291"/>
      <c r="H131" s="358" t="str">
        <f>CONCATENATE(IF(ISNUMBER(SEARCH("Placeholder",'C-Design&amp;Const'!Z131))=TRUE,"",IF(E131="N","PLACEHOLDER ROW - ","")),'C-Design&amp;Const'!Z131,IF(E131="N","",J131))</f>
        <v>PLACEHOLDER ROW - Results of Hazardous Materials Testing and Hazardous Materials Mediation Plan</v>
      </c>
      <c r="I131" s="184"/>
      <c r="J131" s="181"/>
      <c r="K131" s="285" t="str">
        <f t="shared" si="12"/>
        <v>match</v>
      </c>
      <c r="L131" s="1410" t="str">
        <f t="shared" si="10"/>
        <v>&lt;---PM/Planner may hide PLACEHOLDER ROW</v>
      </c>
      <c r="M131" s="1333"/>
      <c r="N131" s="1382"/>
      <c r="O131" s="1382"/>
      <c r="P131" s="1382"/>
      <c r="Q131" s="1382"/>
      <c r="R131" s="1382"/>
      <c r="S131" s="1382"/>
      <c r="T131" s="1382"/>
      <c r="U131" s="1382"/>
      <c r="V131" s="1382"/>
      <c r="W131" s="1382"/>
      <c r="X131" s="1382"/>
      <c r="Y131" s="1382"/>
      <c r="Z131" s="1382"/>
      <c r="AA131" s="1382"/>
      <c r="AB131" s="1382"/>
      <c r="AC131" s="1382"/>
      <c r="AD131" s="1382"/>
      <c r="AE131" s="1382"/>
      <c r="AF131" s="1382"/>
      <c r="AG131" s="1382"/>
      <c r="AH131" s="1382"/>
      <c r="AI131" s="1382"/>
      <c r="AJ131" s="1382"/>
      <c r="AK131" s="181"/>
      <c r="AL131" s="181"/>
      <c r="AM131" s="181"/>
      <c r="AN131" s="181"/>
      <c r="AO131" s="181"/>
      <c r="AP131" s="181"/>
      <c r="AQ131" s="181"/>
      <c r="AR131" s="181"/>
      <c r="AS131" s="181"/>
      <c r="AT131" s="181"/>
      <c r="AU131" s="181"/>
      <c r="AV131" s="181"/>
      <c r="AW131" s="181"/>
    </row>
    <row r="132" spans="1:49" s="30" customFormat="1" ht="15" hidden="1" customHeight="1" x14ac:dyDescent="0.25">
      <c r="A132" s="1407" t="str">
        <f>IF(COUNTIF('04 - 95% CD'!D132:G132,"Y")&gt;0,"Y",IF(COUNTIF('04 - 95% CD'!D132:G132,"N"),"N",""))</f>
        <v>N</v>
      </c>
      <c r="B132" s="191"/>
      <c r="C132" s="944"/>
      <c r="D132" s="463"/>
      <c r="E132" s="359" t="str">
        <f>IF('C-Design&amp;Const'!$W132="","",'C-Design&amp;Const'!$W132)</f>
        <v>N</v>
      </c>
      <c r="F132" s="235"/>
      <c r="G132" s="291"/>
      <c r="H132" s="358" t="str">
        <f>CONCATENATE(IF(ISNUMBER(SEARCH("Placeholder",'C-Design&amp;Const'!Z132))=TRUE,"",IF(E132="N","PLACEHOLDER ROW - ","")),'C-Design&amp;Const'!Z132,IF(E132="N","",J132))</f>
        <v>PLACEHOLDER ROW - EPA &amp; State Permits (including but not limited to SWPPP)</v>
      </c>
      <c r="I132" s="184"/>
      <c r="J132" s="181"/>
      <c r="K132" s="285" t="str">
        <f t="shared" si="12"/>
        <v>match</v>
      </c>
      <c r="L132" s="1410" t="str">
        <f t="shared" si="10"/>
        <v>&lt;---PM/Planner may hide PLACEHOLDER ROW</v>
      </c>
      <c r="M132" s="1333"/>
      <c r="N132" s="1382"/>
      <c r="O132" s="1382"/>
      <c r="P132" s="1382"/>
      <c r="Q132" s="1382"/>
      <c r="R132" s="1382"/>
      <c r="S132" s="1382"/>
      <c r="T132" s="1382"/>
      <c r="U132" s="1382"/>
      <c r="V132" s="1382"/>
      <c r="W132" s="1382"/>
      <c r="X132" s="1382"/>
      <c r="Y132" s="1382"/>
      <c r="Z132" s="1382"/>
      <c r="AA132" s="1382"/>
      <c r="AB132" s="1382"/>
      <c r="AC132" s="1382"/>
      <c r="AD132" s="1382"/>
      <c r="AE132" s="1382"/>
      <c r="AF132" s="1382"/>
      <c r="AG132" s="1382"/>
      <c r="AH132" s="1382"/>
      <c r="AI132" s="1382"/>
      <c r="AJ132" s="1382"/>
      <c r="AK132" s="181"/>
      <c r="AL132" s="181"/>
      <c r="AM132" s="181"/>
      <c r="AN132" s="181"/>
      <c r="AO132" s="181"/>
      <c r="AP132" s="181"/>
      <c r="AQ132" s="181"/>
      <c r="AR132" s="181"/>
      <c r="AS132" s="181"/>
      <c r="AT132" s="181"/>
      <c r="AU132" s="181"/>
      <c r="AV132" s="181"/>
      <c r="AW132" s="181"/>
    </row>
    <row r="133" spans="1:49" s="30" customFormat="1" ht="15" hidden="1" customHeight="1" x14ac:dyDescent="0.25">
      <c r="A133" s="1407" t="str">
        <f>IF(COUNTIF('04 - 95% CD'!D133:G133,"Y")&gt;0,"Y",IF(COUNTIF('04 - 95% CD'!D133:G133,"N"),"N",""))</f>
        <v>Y</v>
      </c>
      <c r="B133" s="191"/>
      <c r="C133" s="944"/>
      <c r="D133" s="463"/>
      <c r="E133" s="359" t="str">
        <f>IF('C-Design&amp;Const'!$W133="","",'C-Design&amp;Const'!$W133)</f>
        <v>N</v>
      </c>
      <c r="F133" s="235"/>
      <c r="G133" s="291"/>
      <c r="H133" s="340" t="str">
        <f>CONCATENATE(IF(ISNUMBER(SEARCH("Placeholder",'C-Design&amp;Const'!Z133))=TRUE,"",IF(E133="N","PLACEHOLDER ROW - ","")),'C-Design&amp;Const'!Z133,IF(E133="N","",J133))</f>
        <v xml:space="preserve">PLACEHOLDER ROW - Saftey &amp; Compliance / Environmental - Checklist   </v>
      </c>
      <c r="I133" s="184"/>
      <c r="J133" s="181"/>
      <c r="K133" s="285" t="str">
        <f t="shared" si="12"/>
        <v>no 95% match</v>
      </c>
      <c r="L133" s="1410" t="str">
        <f t="shared" si="10"/>
        <v>&lt;---PM/Planner may hide PLACEHOLDER ROW</v>
      </c>
      <c r="M133" s="1333"/>
      <c r="N133" s="1382"/>
      <c r="O133" s="1382"/>
      <c r="P133" s="1382"/>
      <c r="Q133" s="1382"/>
      <c r="R133" s="1382"/>
      <c r="S133" s="1382"/>
      <c r="T133" s="1382"/>
      <c r="U133" s="1382"/>
      <c r="V133" s="1382"/>
      <c r="W133" s="1382"/>
      <c r="X133" s="1382"/>
      <c r="Y133" s="1382"/>
      <c r="Z133" s="1382"/>
      <c r="AA133" s="1382"/>
      <c r="AB133" s="1382"/>
      <c r="AC133" s="1382"/>
      <c r="AD133" s="1382"/>
      <c r="AE133" s="1382"/>
      <c r="AF133" s="1382"/>
      <c r="AG133" s="1382"/>
      <c r="AH133" s="1382"/>
      <c r="AI133" s="1382"/>
      <c r="AJ133" s="1382"/>
      <c r="AK133" s="181"/>
      <c r="AL133" s="181"/>
      <c r="AM133" s="181"/>
      <c r="AN133" s="181"/>
      <c r="AO133" s="181"/>
      <c r="AP133" s="181"/>
      <c r="AQ133" s="181"/>
      <c r="AR133" s="181"/>
      <c r="AS133" s="181"/>
      <c r="AT133" s="181"/>
      <c r="AU133" s="181"/>
      <c r="AV133" s="181"/>
      <c r="AW133" s="181"/>
    </row>
    <row r="134" spans="1:49" s="545" customFormat="1" ht="15" hidden="1" customHeight="1" x14ac:dyDescent="0.25">
      <c r="A134" s="1407" t="str">
        <f>IF(COUNTIF('04 - 95% CD'!D134:G134,"Y")&gt;0,"Y",IF(COUNTIF('04 - 95% CD'!D134:G134,"N"),"N",""))</f>
        <v>Y</v>
      </c>
      <c r="B134" s="554"/>
      <c r="C134" s="944"/>
      <c r="D134" s="463"/>
      <c r="E134" s="359" t="str">
        <f>IF('C-Design&amp;Const'!$W134="","",'C-Design&amp;Const'!$W134)</f>
        <v>N</v>
      </c>
      <c r="F134" s="235"/>
      <c r="G134" s="291"/>
      <c r="H134" s="340" t="str">
        <f>CONCATENATE(IF(ISNUMBER(SEARCH("Placeholder",'C-Design&amp;Const'!Z134))=TRUE,"",IF(E134="N","PLACEHOLDER ROW - ","")),'C-Design&amp;Const'!Z134,IF(E134="N","",J134))</f>
        <v>PLACEHOLDER ROW - Excel files of all equipment schedules for all disciplines.</v>
      </c>
      <c r="I134" s="552"/>
      <c r="J134" s="551"/>
      <c r="K134" s="285" t="str">
        <f t="shared" ref="K134" si="19">IF((COUNTIF(D134:F134,"Y")=COUNTIF(A134,"Y")),"match","no 95% match")</f>
        <v>no 95% match</v>
      </c>
      <c r="L134" s="1410" t="str">
        <f t="shared" ref="L134" si="20">CONCATENATE(IF(ISNUMBER(SEARCH("Placeholder",H134))=TRUE,"&lt;---PM/Planner may hide PLACEHOLDER ROW",""))</f>
        <v>&lt;---PM/Planner may hide PLACEHOLDER ROW</v>
      </c>
      <c r="M134" s="1333"/>
      <c r="N134" s="1382"/>
      <c r="O134" s="1382"/>
      <c r="P134" s="1382"/>
      <c r="Q134" s="1382"/>
      <c r="R134" s="1382"/>
      <c r="S134" s="1382"/>
      <c r="T134" s="1382"/>
      <c r="U134" s="1382"/>
      <c r="V134" s="1382"/>
      <c r="W134" s="1382"/>
      <c r="X134" s="1382"/>
      <c r="Y134" s="1382"/>
      <c r="Z134" s="1382"/>
      <c r="AA134" s="1382"/>
      <c r="AB134" s="1382"/>
      <c r="AC134" s="1382"/>
      <c r="AD134" s="1382"/>
      <c r="AE134" s="1382"/>
      <c r="AF134" s="1382"/>
      <c r="AG134" s="1382"/>
      <c r="AH134" s="1382"/>
      <c r="AI134" s="1382"/>
      <c r="AJ134" s="1382"/>
      <c r="AK134" s="551"/>
      <c r="AL134" s="551"/>
      <c r="AM134" s="551"/>
      <c r="AN134" s="551"/>
      <c r="AO134" s="551"/>
      <c r="AP134" s="551"/>
      <c r="AQ134" s="551"/>
      <c r="AR134" s="551"/>
      <c r="AS134" s="551"/>
      <c r="AT134" s="551"/>
      <c r="AU134" s="551"/>
      <c r="AV134" s="551"/>
      <c r="AW134" s="551"/>
    </row>
    <row r="135" spans="1:49" s="30" customFormat="1" ht="25.5" hidden="1" customHeight="1" x14ac:dyDescent="0.25">
      <c r="A135" s="1407" t="str">
        <f>IF(COUNTIF('04 - 95% CD'!D135:G135,"Y")&gt;0,"Y",IF(COUNTIF('04 - 95% CD'!D135:G135,"N"),"N",""))</f>
        <v>N</v>
      </c>
      <c r="B135" s="191"/>
      <c r="C135" s="944"/>
      <c r="D135" s="463"/>
      <c r="E135" s="359" t="str">
        <f>IF('C-Design&amp;Const'!$W135="","",'C-Design&amp;Const'!$W135)</f>
        <v>N</v>
      </c>
      <c r="F135" s="235"/>
      <c r="G135" s="291"/>
      <c r="H135" s="340" t="str">
        <f>CONCATENATE(IF(ISNUMBER(SEARCH("Placeholder",'C-Design&amp;Const'!Z135))=TRUE,"",IF(E135="N","PLACEHOLDER ROW - ","")),'C-Design&amp;Const'!Z135,IF(E135="N","",J135))</f>
        <v>PLACEHOLDER ROW - Results of existing exterior envelope material tests or strengths (i.e. brick and mortar tests, pull tests of existing mechanical fasteners, etc…)</v>
      </c>
      <c r="I135" s="184"/>
      <c r="J135" s="181"/>
      <c r="K135" s="285" t="str">
        <f t="shared" si="12"/>
        <v>match</v>
      </c>
      <c r="L135" s="1410" t="str">
        <f t="shared" si="10"/>
        <v>&lt;---PM/Planner may hide PLACEHOLDER ROW</v>
      </c>
      <c r="M135" s="1333"/>
      <c r="N135" s="1382"/>
      <c r="O135" s="1382"/>
      <c r="P135" s="1382"/>
      <c r="Q135" s="1382"/>
      <c r="R135" s="1382"/>
      <c r="S135" s="1382"/>
      <c r="T135" s="1382"/>
      <c r="U135" s="1382"/>
      <c r="V135" s="1382"/>
      <c r="W135" s="1382"/>
      <c r="X135" s="1382"/>
      <c r="Y135" s="1382"/>
      <c r="Z135" s="1382"/>
      <c r="AA135" s="1382"/>
      <c r="AB135" s="1382"/>
      <c r="AC135" s="1382"/>
      <c r="AD135" s="1382"/>
      <c r="AE135" s="1382"/>
      <c r="AF135" s="1382"/>
      <c r="AG135" s="1382"/>
      <c r="AH135" s="1382"/>
      <c r="AI135" s="1382"/>
      <c r="AJ135" s="1382"/>
      <c r="AK135" s="181"/>
      <c r="AL135" s="181"/>
      <c r="AM135" s="181"/>
      <c r="AN135" s="181"/>
      <c r="AO135" s="181"/>
      <c r="AP135" s="181"/>
      <c r="AQ135" s="181"/>
      <c r="AR135" s="181"/>
      <c r="AS135" s="181"/>
      <c r="AT135" s="181"/>
      <c r="AU135" s="181"/>
      <c r="AV135" s="181"/>
      <c r="AW135" s="181"/>
    </row>
    <row r="136" spans="1:49" s="30" customFormat="1" ht="28.5" hidden="1" x14ac:dyDescent="0.25">
      <c r="A136" s="1407" t="str">
        <f>IF(COUNTIF('04 - 95% CD'!D136:G136,"Y")&gt;0,"Y",IF(COUNTIF('04 - 95% CD'!D136:G136,"N"),"N",""))</f>
        <v>N</v>
      </c>
      <c r="B136" s="191"/>
      <c r="C136" s="944"/>
      <c r="D136" s="321"/>
      <c r="E136" s="559" t="str">
        <f>IF('C-Design&amp;Const'!$W136="","",'C-Design&amp;Const'!$W136)</f>
        <v>N</v>
      </c>
      <c r="F136" s="560"/>
      <c r="G136" s="558"/>
      <c r="H136" s="238" t="str">
        <f>CONCATENATE(IF(ISNUMBER(SEARCH("Placeholder",'C-Design&amp;Const'!Z136))=TRUE,"",IF(E136="N","PLACEHOLDER ROW - ","")),'C-Design&amp;Const'!Z136,IF(E136="N","",J136))</f>
        <v>PLACEHOLDER ROW - Results of any existing structural materials tests or verification / scans of structure layout.</v>
      </c>
      <c r="I136" s="186"/>
      <c r="J136" s="181"/>
      <c r="K136" s="285" t="str">
        <f t="shared" si="12"/>
        <v>match</v>
      </c>
      <c r="L136" s="1410" t="str">
        <f t="shared" si="10"/>
        <v>&lt;---PM/Planner may hide PLACEHOLDER ROW</v>
      </c>
      <c r="M136" s="1333"/>
      <c r="N136" s="1382"/>
      <c r="O136" s="1382"/>
      <c r="P136" s="1382"/>
      <c r="Q136" s="1382"/>
      <c r="R136" s="1490"/>
      <c r="S136" s="1274"/>
      <c r="T136" s="1274"/>
      <c r="U136" s="1382"/>
      <c r="V136" s="1382"/>
      <c r="W136" s="1382"/>
      <c r="X136" s="1382"/>
      <c r="Y136" s="1382"/>
      <c r="Z136" s="1382"/>
      <c r="AA136" s="1382"/>
      <c r="AB136" s="1382"/>
      <c r="AC136" s="1382"/>
      <c r="AD136" s="1382"/>
      <c r="AE136" s="1382"/>
      <c r="AF136" s="1382"/>
      <c r="AG136" s="1382"/>
      <c r="AH136" s="1382"/>
      <c r="AI136" s="1382"/>
      <c r="AJ136" s="1382"/>
      <c r="AK136" s="181"/>
      <c r="AL136" s="181"/>
      <c r="AM136" s="181"/>
      <c r="AN136" s="181"/>
      <c r="AO136" s="181"/>
      <c r="AP136" s="181"/>
      <c r="AQ136" s="181"/>
      <c r="AR136" s="181"/>
      <c r="AS136" s="181"/>
      <c r="AT136" s="181"/>
      <c r="AU136" s="181"/>
      <c r="AV136" s="181"/>
      <c r="AW136" s="181"/>
    </row>
    <row r="137" spans="1:49" s="30" customFormat="1" ht="28.5" hidden="1" x14ac:dyDescent="0.25">
      <c r="A137" s="1407" t="str">
        <f>IF(COUNTIF('04 - 95% CD'!D137:G137,"Y")&gt;0,"Y",IF(COUNTIF('04 - 95% CD'!D137:G137,"N"),"N",""))</f>
        <v>Y</v>
      </c>
      <c r="B137" s="191"/>
      <c r="C137" s="944"/>
      <c r="D137" s="321"/>
      <c r="E137" s="559" t="str">
        <f>IF('C-Design&amp;Const'!$W137="","",'C-Design&amp;Const'!$W137)</f>
        <v>N</v>
      </c>
      <c r="F137" s="560"/>
      <c r="G137" s="558"/>
      <c r="H137" s="238" t="str">
        <f>CONCATENATE(IF(ISNUMBER(SEARCH("Placeholder",'C-Design&amp;Const'!Z137))=TRUE,"",IF(E137="N","PLACEHOLDER ROW - ","")),'C-Design&amp;Const'!Z137,IF(E137="N","",J137))</f>
        <v>PLACEHOLDER ROW - Summary of floor analysis for required strengthening (for new walls, materials, mechanical equipment change in use).</v>
      </c>
      <c r="I137" s="186"/>
      <c r="J137" s="181"/>
      <c r="K137" s="285" t="str">
        <f t="shared" si="12"/>
        <v>no 95% match</v>
      </c>
      <c r="L137" s="1410" t="str">
        <f t="shared" si="10"/>
        <v>&lt;---PM/Planner may hide PLACEHOLDER ROW</v>
      </c>
      <c r="M137" s="1333"/>
      <c r="N137" s="1382"/>
      <c r="O137" s="1382"/>
      <c r="P137" s="1382"/>
      <c r="Q137" s="1382"/>
      <c r="R137" s="1490"/>
      <c r="S137" s="1274"/>
      <c r="T137" s="1274"/>
      <c r="U137" s="1382"/>
      <c r="V137" s="1382"/>
      <c r="W137" s="1382"/>
      <c r="X137" s="1382"/>
      <c r="Y137" s="1382"/>
      <c r="Z137" s="1382"/>
      <c r="AA137" s="1382"/>
      <c r="AB137" s="1382"/>
      <c r="AC137" s="1382"/>
      <c r="AD137" s="1382"/>
      <c r="AE137" s="1382"/>
      <c r="AF137" s="1382"/>
      <c r="AG137" s="1382"/>
      <c r="AH137" s="1382"/>
      <c r="AI137" s="1382"/>
      <c r="AJ137" s="1382"/>
      <c r="AK137" s="181"/>
      <c r="AL137" s="181"/>
      <c r="AM137" s="181"/>
      <c r="AN137" s="181"/>
      <c r="AO137" s="181"/>
      <c r="AP137" s="181"/>
      <c r="AQ137" s="181"/>
      <c r="AR137" s="181"/>
      <c r="AS137" s="181"/>
      <c r="AT137" s="181"/>
      <c r="AU137" s="181"/>
      <c r="AV137" s="181"/>
      <c r="AW137" s="181"/>
    </row>
    <row r="138" spans="1:49" s="30" customFormat="1" ht="28.5" hidden="1" x14ac:dyDescent="0.25">
      <c r="A138" s="1407" t="str">
        <f>IF(COUNTIF('04 - 95% CD'!D138:G138,"Y")&gt;0,"Y",IF(COUNTIF('04 - 95% CD'!D138:G138,"N"),"N",""))</f>
        <v>Y</v>
      </c>
      <c r="B138" s="191"/>
      <c r="C138" s="944"/>
      <c r="D138" s="321"/>
      <c r="E138" s="559" t="str">
        <f>IF('C-Design&amp;Const'!$W138="","",'C-Design&amp;Const'!$W138)</f>
        <v>N</v>
      </c>
      <c r="F138" s="560"/>
      <c r="G138" s="558"/>
      <c r="H138" s="238" t="str">
        <f>CONCATENATE(IF(ISNUMBER(SEARCH("Placeholder",'C-Design&amp;Const'!Z138))=TRUE,"",IF(E138="N","PLACEHOLDER ROW - ","")),'C-Design&amp;Const'!Z138,IF(E138="N","",J138))</f>
        <v>PLACEHOLDER ROW - Summary of lateral force resisting systems (for new tributary load or compromising of existing system).</v>
      </c>
      <c r="I138" s="186"/>
      <c r="J138" s="181"/>
      <c r="K138" s="285" t="str">
        <f t="shared" si="12"/>
        <v>no 95% match</v>
      </c>
      <c r="L138" s="1410" t="str">
        <f t="shared" si="10"/>
        <v>&lt;---PM/Planner may hide PLACEHOLDER ROW</v>
      </c>
      <c r="M138" s="1333"/>
      <c r="N138" s="1382"/>
      <c r="O138" s="1382"/>
      <c r="P138" s="1382"/>
      <c r="Q138" s="1382"/>
      <c r="R138" s="1490"/>
      <c r="S138" s="1274"/>
      <c r="T138" s="1274"/>
      <c r="U138" s="1382"/>
      <c r="V138" s="1382"/>
      <c r="W138" s="1382"/>
      <c r="X138" s="1382"/>
      <c r="Y138" s="1382"/>
      <c r="Z138" s="1382"/>
      <c r="AA138" s="1382"/>
      <c r="AB138" s="1382"/>
      <c r="AC138" s="1382"/>
      <c r="AD138" s="1382"/>
      <c r="AE138" s="1382"/>
      <c r="AF138" s="1382"/>
      <c r="AG138" s="1382"/>
      <c r="AH138" s="1382"/>
      <c r="AI138" s="1382"/>
      <c r="AJ138" s="1382"/>
      <c r="AK138" s="181"/>
      <c r="AL138" s="181"/>
      <c r="AM138" s="181"/>
      <c r="AN138" s="181"/>
      <c r="AO138" s="181"/>
      <c r="AP138" s="181"/>
      <c r="AQ138" s="181"/>
      <c r="AR138" s="181"/>
      <c r="AS138" s="181"/>
      <c r="AT138" s="181"/>
      <c r="AU138" s="181"/>
      <c r="AV138" s="181"/>
      <c r="AW138" s="181"/>
    </row>
    <row r="139" spans="1:49" s="30" customFormat="1" hidden="1" x14ac:dyDescent="0.25">
      <c r="A139" s="1407" t="str">
        <f>IF(COUNTIF('04 - 95% CD'!D139:G139,"Y")&gt;0,"Y",IF(COUNTIF('04 - 95% CD'!D139:G139,"N"),"N",""))</f>
        <v>Y</v>
      </c>
      <c r="B139" s="191"/>
      <c r="C139" s="944"/>
      <c r="D139" s="321"/>
      <c r="E139" s="559" t="str">
        <f>IF('C-Design&amp;Const'!$W139="","",'C-Design&amp;Const'!$W139)</f>
        <v>N</v>
      </c>
      <c r="F139" s="560"/>
      <c r="G139" s="558"/>
      <c r="H139" s="238" t="str">
        <f>CONCATENATE(IF(ISNUMBER(SEARCH("Placeholder",'C-Design&amp;Const'!Z139))=TRUE,"",IF(E139="N","PLACEHOLDER ROW - ","")),'C-Design&amp;Const'!Z139,IF(E139="N","",J139))</f>
        <v>PLACEHOLDER ROW - LEED Version (v4) Prerequisites Narrative</v>
      </c>
      <c r="I139" s="186"/>
      <c r="J139" s="181"/>
      <c r="K139" s="285" t="str">
        <f t="shared" si="12"/>
        <v>no 95% match</v>
      </c>
      <c r="L139" s="1410" t="str">
        <f t="shared" si="10"/>
        <v>&lt;---PM/Planner may hide PLACEHOLDER ROW</v>
      </c>
      <c r="M139" s="1333"/>
      <c r="N139" s="1382"/>
      <c r="O139" s="1382"/>
      <c r="P139" s="1382"/>
      <c r="Q139" s="1382"/>
      <c r="R139" s="1490"/>
      <c r="S139" s="1274"/>
      <c r="T139" s="1274"/>
      <c r="U139" s="1382"/>
      <c r="V139" s="1382"/>
      <c r="W139" s="1382"/>
      <c r="X139" s="1382"/>
      <c r="Y139" s="1382"/>
      <c r="Z139" s="1382"/>
      <c r="AA139" s="1382"/>
      <c r="AB139" s="1382"/>
      <c r="AC139" s="1382"/>
      <c r="AD139" s="1382"/>
      <c r="AE139" s="1382"/>
      <c r="AF139" s="1382"/>
      <c r="AG139" s="1382"/>
      <c r="AH139" s="1382"/>
      <c r="AI139" s="1382"/>
      <c r="AJ139" s="1382"/>
      <c r="AK139" s="181"/>
      <c r="AL139" s="181"/>
      <c r="AM139" s="181"/>
      <c r="AN139" s="181"/>
      <c r="AO139" s="181"/>
      <c r="AP139" s="181"/>
      <c r="AQ139" s="181"/>
      <c r="AR139" s="181"/>
      <c r="AS139" s="181"/>
      <c r="AT139" s="181"/>
      <c r="AU139" s="181"/>
      <c r="AV139" s="181"/>
      <c r="AW139" s="181"/>
    </row>
    <row r="140" spans="1:49" s="30" customFormat="1" ht="28.5" hidden="1" x14ac:dyDescent="0.25">
      <c r="A140" s="1407" t="str">
        <f>IF(COUNTIF('04 - 95% CD'!D140:G140,"Y")&gt;0,"Y",IF(COUNTIF('04 - 95% CD'!D140:G140,"N"),"N",""))</f>
        <v>Y</v>
      </c>
      <c r="B140" s="191"/>
      <c r="C140" s="944"/>
      <c r="D140" s="321"/>
      <c r="E140" s="559" t="str">
        <f>IF('C-Design&amp;Const'!$W140="","",'C-Design&amp;Const'!$W140)</f>
        <v>N</v>
      </c>
      <c r="F140" s="560"/>
      <c r="G140" s="558"/>
      <c r="H140" s="238" t="str">
        <f>CONCATENATE(IF(ISNUMBER(SEARCH("Placeholder",'C-Design&amp;Const'!Z140))=TRUE,"",IF(E140="N","PLACEHOLDER ROW - ","")),'C-Design&amp;Const'!Z140,IF(E140="N","",J140))</f>
        <v>PLACEHOLDER ROW - LEED Minimum Silver or better Registration (&gt;10,000 sqft and/or Capital Projects &gt;= $5million; Major renovations or New Construction)</v>
      </c>
      <c r="I140" s="186"/>
      <c r="J140" s="181"/>
      <c r="K140" s="285" t="str">
        <f t="shared" si="12"/>
        <v>no 95% match</v>
      </c>
      <c r="L140" s="1410" t="str">
        <f t="shared" si="10"/>
        <v>&lt;---PM/Planner may hide PLACEHOLDER ROW</v>
      </c>
      <c r="M140" s="1333"/>
      <c r="N140" s="1382"/>
      <c r="O140" s="1382"/>
      <c r="P140" s="1382"/>
      <c r="Q140" s="1382"/>
      <c r="R140" s="1490"/>
      <c r="S140" s="1274"/>
      <c r="T140" s="1274"/>
      <c r="U140" s="1382"/>
      <c r="V140" s="1382"/>
      <c r="W140" s="1382"/>
      <c r="X140" s="1382"/>
      <c r="Y140" s="1382"/>
      <c r="Z140" s="1382"/>
      <c r="AA140" s="1382"/>
      <c r="AB140" s="1382"/>
      <c r="AC140" s="1382"/>
      <c r="AD140" s="1382"/>
      <c r="AE140" s="1382"/>
      <c r="AF140" s="1382"/>
      <c r="AG140" s="1382"/>
      <c r="AH140" s="1382"/>
      <c r="AI140" s="1382"/>
      <c r="AJ140" s="1382"/>
      <c r="AK140" s="181"/>
      <c r="AL140" s="181"/>
      <c r="AM140" s="181"/>
      <c r="AN140" s="181"/>
      <c r="AO140" s="181"/>
      <c r="AP140" s="181"/>
      <c r="AQ140" s="181"/>
      <c r="AR140" s="181"/>
      <c r="AS140" s="181"/>
      <c r="AT140" s="181"/>
      <c r="AU140" s="181"/>
      <c r="AV140" s="181"/>
      <c r="AW140" s="181"/>
    </row>
    <row r="141" spans="1:49" s="30" customFormat="1" hidden="1" x14ac:dyDescent="0.25">
      <c r="A141" s="1407" t="str">
        <f>IF(COUNTIF('04 - 95% CD'!D141:G141,"Y")&gt;0,"Y",IF(COUNTIF('04 - 95% CD'!D141:G141,"N"),"N",""))</f>
        <v>Y</v>
      </c>
      <c r="B141" s="191"/>
      <c r="C141" s="944"/>
      <c r="D141" s="321"/>
      <c r="E141" s="559" t="str">
        <f>IF('C-Design&amp;Const'!$W141="","",'C-Design&amp;Const'!$W141)</f>
        <v>N</v>
      </c>
      <c r="F141" s="560"/>
      <c r="G141" s="558"/>
      <c r="H141" s="238" t="str">
        <f>CONCATENATE(IF(ISNUMBER(SEARCH("Placeholder",'C-Design&amp;Const'!Z141))=TRUE,"",IF(E141="N","PLACEHOLDER ROW - ","")),'C-Design&amp;Const'!Z141,IF(E141="N","",J141))</f>
        <v xml:space="preserve">PLACEHOLDER ROW - LEED Project Checklist - (previously referred to as LEED Scorecard) </v>
      </c>
      <c r="I141" s="186"/>
      <c r="J141" s="181"/>
      <c r="K141" s="285" t="str">
        <f t="shared" si="12"/>
        <v>no 95% match</v>
      </c>
      <c r="L141" s="1410" t="str">
        <f t="shared" si="10"/>
        <v>&lt;---PM/Planner may hide PLACEHOLDER ROW</v>
      </c>
      <c r="M141" s="1333"/>
      <c r="N141" s="1382"/>
      <c r="O141" s="1382"/>
      <c r="P141" s="1382"/>
      <c r="Q141" s="1382"/>
      <c r="R141" s="1490"/>
      <c r="S141" s="1274"/>
      <c r="T141" s="1274"/>
      <c r="U141" s="1382"/>
      <c r="V141" s="1382"/>
      <c r="W141" s="1382"/>
      <c r="X141" s="1382"/>
      <c r="Y141" s="1382"/>
      <c r="Z141" s="1382"/>
      <c r="AA141" s="1382"/>
      <c r="AB141" s="1382"/>
      <c r="AC141" s="1382"/>
      <c r="AD141" s="1382"/>
      <c r="AE141" s="1382"/>
      <c r="AF141" s="1382"/>
      <c r="AG141" s="1382"/>
      <c r="AH141" s="1382"/>
      <c r="AI141" s="1382"/>
      <c r="AJ141" s="1382"/>
      <c r="AK141" s="181"/>
      <c r="AL141" s="181"/>
      <c r="AM141" s="181"/>
      <c r="AN141" s="181"/>
      <c r="AO141" s="181"/>
      <c r="AP141" s="181"/>
      <c r="AQ141" s="181"/>
      <c r="AR141" s="181"/>
      <c r="AS141" s="181"/>
      <c r="AT141" s="181"/>
      <c r="AU141" s="181"/>
      <c r="AV141" s="181"/>
      <c r="AW141" s="181"/>
    </row>
    <row r="142" spans="1:49" s="30" customFormat="1" hidden="1" x14ac:dyDescent="0.25">
      <c r="A142" s="1407" t="str">
        <f>IF(COUNTIF('04 - 95% CD'!D142:G142,"Y")&gt;0,"Y",IF(COUNTIF('04 - 95% CD'!D142:G142,"N"),"N",""))</f>
        <v>Y</v>
      </c>
      <c r="B142" s="191"/>
      <c r="C142" s="944"/>
      <c r="D142" s="321"/>
      <c r="E142" s="559" t="str">
        <f>IF('C-Design&amp;Const'!$W142="","",'C-Design&amp;Const'!$W142)</f>
        <v>N</v>
      </c>
      <c r="F142" s="560"/>
      <c r="G142" s="558"/>
      <c r="H142" s="238" t="str">
        <f>CONCATENATE(IF(ISNUMBER(SEARCH("Placeholder",'C-Design&amp;Const'!Z142))=TRUE,"",IF(E142="N","PLACEHOLDER ROW - ","")),'C-Design&amp;Const'!Z142,IF(E142="N","",J142))</f>
        <v xml:space="preserve">PLACEHOLDER ROW - Energy Model (per ASHRAE 90.1, version from 2013  ) </v>
      </c>
      <c r="I142" s="186"/>
      <c r="J142" s="181"/>
      <c r="K142" s="285" t="str">
        <f t="shared" si="12"/>
        <v>no 95% match</v>
      </c>
      <c r="L142" s="1410" t="str">
        <f t="shared" si="10"/>
        <v>&lt;---PM/Planner may hide PLACEHOLDER ROW</v>
      </c>
      <c r="M142" s="1333"/>
      <c r="N142" s="1382"/>
      <c r="O142" s="1382"/>
      <c r="P142" s="1382"/>
      <c r="Q142" s="1382"/>
      <c r="R142" s="1490"/>
      <c r="S142" s="1274"/>
      <c r="T142" s="1274"/>
      <c r="U142" s="1382"/>
      <c r="V142" s="1382"/>
      <c r="W142" s="1382"/>
      <c r="X142" s="1382"/>
      <c r="Y142" s="1382"/>
      <c r="Z142" s="1382"/>
      <c r="AA142" s="1382"/>
      <c r="AB142" s="1382"/>
      <c r="AC142" s="1382"/>
      <c r="AD142" s="1382"/>
      <c r="AE142" s="1382"/>
      <c r="AF142" s="1382"/>
      <c r="AG142" s="1382"/>
      <c r="AH142" s="1382"/>
      <c r="AI142" s="1382"/>
      <c r="AJ142" s="1382"/>
      <c r="AK142" s="181"/>
      <c r="AL142" s="181"/>
      <c r="AM142" s="181"/>
      <c r="AN142" s="181"/>
      <c r="AO142" s="181"/>
      <c r="AP142" s="181"/>
      <c r="AQ142" s="181"/>
      <c r="AR142" s="181"/>
      <c r="AS142" s="181"/>
      <c r="AT142" s="181"/>
      <c r="AU142" s="181"/>
      <c r="AV142" s="181"/>
      <c r="AW142" s="181"/>
    </row>
    <row r="143" spans="1:49" s="30" customFormat="1" hidden="1" x14ac:dyDescent="0.25">
      <c r="A143" s="1407" t="str">
        <f>IF(COUNTIF('04 - 95% CD'!D143:G143,"Y")&gt;0,"Y",IF(COUNTIF('04 - 95% CD'!D143:G143,"N"),"N",""))</f>
        <v>Y</v>
      </c>
      <c r="B143" s="191"/>
      <c r="C143" s="944"/>
      <c r="D143" s="321"/>
      <c r="E143" s="559" t="str">
        <f>IF('C-Design&amp;Const'!$W143="","",'C-Design&amp;Const'!$W143)</f>
        <v>N</v>
      </c>
      <c r="F143" s="560"/>
      <c r="G143" s="558"/>
      <c r="H143" s="238" t="str">
        <f>CONCATENATE(IF(ISNUMBER(SEARCH("Placeholder",'C-Design&amp;Const'!Z143))=TRUE,"",IF(E143="N","PLACEHOLDER ROW - ","")),'C-Design&amp;Const'!Z143,IF(E143="N","",J143))</f>
        <v>PLACEHOLDER ROW - Life Cycle Cost Analysis for selected systems (for projects exceeding 25,000 SF)</v>
      </c>
      <c r="I143" s="186"/>
      <c r="J143" s="181"/>
      <c r="K143" s="285" t="str">
        <f t="shared" si="12"/>
        <v>no 95% match</v>
      </c>
      <c r="L143" s="1410" t="str">
        <f t="shared" si="10"/>
        <v>&lt;---PM/Planner may hide PLACEHOLDER ROW</v>
      </c>
      <c r="M143" s="1333"/>
      <c r="N143" s="1382"/>
      <c r="O143" s="1382"/>
      <c r="P143" s="1382"/>
      <c r="Q143" s="1382"/>
      <c r="R143" s="1490"/>
      <c r="S143" s="1274"/>
      <c r="T143" s="1274"/>
      <c r="U143" s="1382"/>
      <c r="V143" s="1382"/>
      <c r="W143" s="1382"/>
      <c r="X143" s="1382"/>
      <c r="Y143" s="1382"/>
      <c r="Z143" s="1382"/>
      <c r="AA143" s="1382"/>
      <c r="AB143" s="1382"/>
      <c r="AC143" s="1382"/>
      <c r="AD143" s="1382"/>
      <c r="AE143" s="1382"/>
      <c r="AF143" s="1382"/>
      <c r="AG143" s="1382"/>
      <c r="AH143" s="1382"/>
      <c r="AI143" s="1382"/>
      <c r="AJ143" s="1382"/>
      <c r="AK143" s="181"/>
      <c r="AL143" s="181"/>
      <c r="AM143" s="181"/>
      <c r="AN143" s="181"/>
      <c r="AO143" s="181"/>
      <c r="AP143" s="181"/>
      <c r="AQ143" s="181"/>
      <c r="AR143" s="181"/>
      <c r="AS143" s="181"/>
      <c r="AT143" s="181"/>
      <c r="AU143" s="181"/>
      <c r="AV143" s="181"/>
      <c r="AW143" s="181"/>
    </row>
    <row r="144" spans="1:49" s="30" customFormat="1" hidden="1" x14ac:dyDescent="0.25">
      <c r="A144" s="1407" t="str">
        <f>IF(COUNTIF('04 - 95% CD'!D144:G144,"Y")&gt;0,"Y",IF(COUNTIF('04 - 95% CD'!D144:G144,"N"),"N",""))</f>
        <v>Y</v>
      </c>
      <c r="B144" s="191"/>
      <c r="C144" s="944"/>
      <c r="D144" s="321"/>
      <c r="E144" s="559" t="str">
        <f>IF('C-Design&amp;Const'!$W144="","",'C-Design&amp;Const'!$W144)</f>
        <v>N</v>
      </c>
      <c r="F144" s="560"/>
      <c r="G144" s="558"/>
      <c r="H144" s="238" t="str">
        <f>CONCATENATE(IF(ISNUMBER(SEARCH("Placeholder",'C-Design&amp;Const'!Z144))=TRUE,"",IF(E144="N","PLACEHOLDER ROW - ","")),'C-Design&amp;Const'!Z144,IF(E144="N","",J144))</f>
        <v xml:space="preserve">PLACEHOLDER ROW - Energy Budget </v>
      </c>
      <c r="I144" s="186"/>
      <c r="J144" s="181"/>
      <c r="K144" s="285" t="str">
        <f t="shared" si="12"/>
        <v>no 95% match</v>
      </c>
      <c r="L144" s="1410" t="str">
        <f t="shared" si="10"/>
        <v>&lt;---PM/Planner may hide PLACEHOLDER ROW</v>
      </c>
      <c r="M144" s="1333"/>
      <c r="N144" s="1382"/>
      <c r="O144" s="1382"/>
      <c r="P144" s="1382"/>
      <c r="Q144" s="1382"/>
      <c r="R144" s="1490"/>
      <c r="S144" s="1274"/>
      <c r="T144" s="1274"/>
      <c r="U144" s="1382"/>
      <c r="V144" s="1382"/>
      <c r="W144" s="1382"/>
      <c r="X144" s="1382"/>
      <c r="Y144" s="1382"/>
      <c r="Z144" s="1382"/>
      <c r="AA144" s="1382"/>
      <c r="AB144" s="1382"/>
      <c r="AC144" s="1382"/>
      <c r="AD144" s="1382"/>
      <c r="AE144" s="1382"/>
      <c r="AF144" s="1382"/>
      <c r="AG144" s="1382"/>
      <c r="AH144" s="1382"/>
      <c r="AI144" s="1382"/>
      <c r="AJ144" s="1382"/>
      <c r="AK144" s="181"/>
      <c r="AL144" s="181"/>
      <c r="AM144" s="181"/>
      <c r="AN144" s="181"/>
      <c r="AO144" s="181"/>
      <c r="AP144" s="181"/>
      <c r="AQ144" s="181"/>
      <c r="AR144" s="181"/>
      <c r="AS144" s="181"/>
      <c r="AT144" s="181"/>
      <c r="AU144" s="181"/>
      <c r="AV144" s="181"/>
      <c r="AW144" s="181"/>
    </row>
    <row r="145" spans="1:49" s="30" customFormat="1" hidden="1" x14ac:dyDescent="0.25">
      <c r="A145" s="1407" t="str">
        <f>IF(COUNTIF('04 - 95% CD'!D145:G145,"Y")&gt;0,"Y",IF(COUNTIF('04 - 95% CD'!D145:G145,"N"),"N",""))</f>
        <v>N</v>
      </c>
      <c r="B145" s="191"/>
      <c r="C145" s="944"/>
      <c r="D145" s="321"/>
      <c r="E145" s="559" t="str">
        <f>IF('C-Design&amp;Const'!$W146="","",'C-Design&amp;Const'!$W146)</f>
        <v>N</v>
      </c>
      <c r="F145" s="560"/>
      <c r="G145" s="558"/>
      <c r="H145" s="410" t="str">
        <f>CONCATENATE(IF(ISNUMBER(SEARCH("Placeholder",'C-Design&amp;Const'!Z146))=TRUE,"",IF(E145="N","PLACEHOLDER ROW - ","")),'C-Design&amp;Const'!Z146,IF(E145="N","",J145))</f>
        <v xml:space="preserve">PLACEHOLDER ROW - Chilled Water Capacity Charge form </v>
      </c>
      <c r="I145" s="186"/>
      <c r="J145" s="181"/>
      <c r="K145" s="285" t="str">
        <f>IF((COUNTIF(D145:F145,"Y")=COUNTIF(A145,"Y")),"match","no 95% match")</f>
        <v>match</v>
      </c>
      <c r="L145" s="1410" t="str">
        <f>CONCATENATE(IF(ISNUMBER(SEARCH("Placeholder",H145))=TRUE,"&lt;---PM/Planner may hide PLACEHOLDER ROW",""))</f>
        <v>&lt;---PM/Planner may hide PLACEHOLDER ROW</v>
      </c>
      <c r="M145" s="1333"/>
      <c r="N145" s="1382"/>
      <c r="O145" s="1382"/>
      <c r="P145" s="1382"/>
      <c r="Q145" s="1382"/>
      <c r="R145" s="1490"/>
      <c r="S145" s="1274"/>
      <c r="T145" s="1274"/>
      <c r="U145" s="1382"/>
      <c r="V145" s="1382"/>
      <c r="W145" s="1382"/>
      <c r="X145" s="1382"/>
      <c r="Y145" s="1382"/>
      <c r="Z145" s="1382"/>
      <c r="AA145" s="1382"/>
      <c r="AB145" s="1382"/>
      <c r="AC145" s="1382"/>
      <c r="AD145" s="1382"/>
      <c r="AE145" s="1382"/>
      <c r="AF145" s="1382"/>
      <c r="AG145" s="1382"/>
      <c r="AH145" s="1382"/>
      <c r="AI145" s="1382"/>
      <c r="AJ145" s="1382"/>
      <c r="AK145" s="181"/>
      <c r="AL145" s="181"/>
      <c r="AM145" s="181"/>
      <c r="AN145" s="181"/>
      <c r="AO145" s="181"/>
      <c r="AP145" s="181"/>
      <c r="AQ145" s="181"/>
      <c r="AR145" s="181"/>
      <c r="AS145" s="181"/>
      <c r="AT145" s="181"/>
      <c r="AU145" s="181"/>
      <c r="AV145" s="181"/>
      <c r="AW145" s="181"/>
    </row>
    <row r="146" spans="1:49" s="30" customFormat="1" hidden="1" x14ac:dyDescent="0.25">
      <c r="A146" s="1407" t="str">
        <f>IF(COUNTIF('04 - 95% CD'!D146:G146,"Y")&gt;0,"Y",IF(COUNTIF('04 - 95% CD'!D146:G146,"N"),"N",""))</f>
        <v>Y</v>
      </c>
      <c r="B146" s="191"/>
      <c r="C146" s="944"/>
      <c r="D146" s="321"/>
      <c r="E146" s="559" t="str">
        <f>IF('C-Design&amp;Const'!$W145="","",'C-Design&amp;Const'!$W145)</f>
        <v>N</v>
      </c>
      <c r="F146" s="560"/>
      <c r="G146" s="558"/>
      <c r="H146" s="238" t="str">
        <f>CONCATENATE(IF(ISNUMBER(SEARCH("Placeholder",'C-Design&amp;Const'!Z145))=TRUE,"",IF(E146="N","PLACEHOLDER ROW - ","")),'C-Design&amp;Const'!Z145,IF(E146="N","",J146))</f>
        <v>PLACEHOLDER ROW - Utilities Peak Load Estimates</v>
      </c>
      <c r="I146" s="186"/>
      <c r="J146" s="181"/>
      <c r="K146" s="285" t="str">
        <f t="shared" si="12"/>
        <v>no 95% match</v>
      </c>
      <c r="L146" s="1410" t="str">
        <f t="shared" si="10"/>
        <v>&lt;---PM/Planner may hide PLACEHOLDER ROW</v>
      </c>
      <c r="M146" s="1333"/>
      <c r="N146" s="1382"/>
      <c r="O146" s="1382"/>
      <c r="P146" s="1382"/>
      <c r="Q146" s="1382"/>
      <c r="R146" s="1490"/>
      <c r="S146" s="1274"/>
      <c r="T146" s="1274"/>
      <c r="U146" s="1382"/>
      <c r="V146" s="1382"/>
      <c r="W146" s="1382"/>
      <c r="X146" s="1382"/>
      <c r="Y146" s="1382"/>
      <c r="Z146" s="1382"/>
      <c r="AA146" s="1382"/>
      <c r="AB146" s="1382"/>
      <c r="AC146" s="1382"/>
      <c r="AD146" s="1382"/>
      <c r="AE146" s="1382"/>
      <c r="AF146" s="1382"/>
      <c r="AG146" s="1382"/>
      <c r="AH146" s="1382"/>
      <c r="AI146" s="1382"/>
      <c r="AJ146" s="1382"/>
      <c r="AK146" s="181"/>
      <c r="AL146" s="181"/>
      <c r="AM146" s="181"/>
      <c r="AN146" s="181"/>
      <c r="AO146" s="181"/>
      <c r="AP146" s="181"/>
      <c r="AQ146" s="181"/>
      <c r="AR146" s="181"/>
      <c r="AS146" s="181"/>
      <c r="AT146" s="181"/>
      <c r="AU146" s="181"/>
      <c r="AV146" s="181"/>
      <c r="AW146" s="181"/>
    </row>
    <row r="147" spans="1:49" s="30" customFormat="1" hidden="1" x14ac:dyDescent="0.25">
      <c r="A147" s="1407" t="str">
        <f>IF(COUNTIF('04 - 95% CD'!D147:G147,"Y")&gt;0,"Y",IF(COUNTIF('04 - 95% CD'!D147:G147,"N"),"N",""))</f>
        <v>Y</v>
      </c>
      <c r="B147" s="191"/>
      <c r="C147" s="944"/>
      <c r="D147" s="321"/>
      <c r="E147" s="559" t="str">
        <f>IF('C-Design&amp;Const'!$W147="","",'C-Design&amp;Const'!$W147)</f>
        <v>N</v>
      </c>
      <c r="F147" s="560"/>
      <c r="G147" s="558"/>
      <c r="H147" s="238" t="str">
        <f>CONCATENATE(IF(ISNUMBER(SEARCH("Placeholder",'C-Design&amp;Const'!Z147))=TRUE,"",IF(E147="N","PLACEHOLDER ROW - ","")),'C-Design&amp;Const'!Z147,IF(E147="N","",J147))</f>
        <v xml:space="preserve">PLACEHOLDER ROW - Energy Standards – proof of compliance </v>
      </c>
      <c r="I147" s="186"/>
      <c r="J147" s="181"/>
      <c r="K147" s="285" t="str">
        <f t="shared" si="12"/>
        <v>no 95% match</v>
      </c>
      <c r="L147" s="1410" t="str">
        <f t="shared" si="10"/>
        <v>&lt;---PM/Planner may hide PLACEHOLDER ROW</v>
      </c>
      <c r="M147" s="1333"/>
      <c r="N147" s="1382"/>
      <c r="O147" s="1382"/>
      <c r="P147" s="1382"/>
      <c r="Q147" s="1382"/>
      <c r="R147" s="1490"/>
      <c r="S147" s="1274"/>
      <c r="T147" s="1274"/>
      <c r="U147" s="1382"/>
      <c r="V147" s="1382"/>
      <c r="W147" s="1382"/>
      <c r="X147" s="1382"/>
      <c r="Y147" s="1382"/>
      <c r="Z147" s="1382"/>
      <c r="AA147" s="1382"/>
      <c r="AB147" s="1382"/>
      <c r="AC147" s="1382"/>
      <c r="AD147" s="1382"/>
      <c r="AE147" s="1382"/>
      <c r="AF147" s="1382"/>
      <c r="AG147" s="1382"/>
      <c r="AH147" s="1382"/>
      <c r="AI147" s="1382"/>
      <c r="AJ147" s="1382"/>
      <c r="AK147" s="181"/>
      <c r="AL147" s="181"/>
      <c r="AM147" s="181"/>
      <c r="AN147" s="181"/>
      <c r="AO147" s="181"/>
      <c r="AP147" s="181"/>
      <c r="AQ147" s="181"/>
      <c r="AR147" s="181"/>
      <c r="AS147" s="181"/>
      <c r="AT147" s="181"/>
      <c r="AU147" s="181"/>
      <c r="AV147" s="181"/>
      <c r="AW147" s="181"/>
    </row>
    <row r="148" spans="1:49" s="30" customFormat="1" hidden="1" x14ac:dyDescent="0.25">
      <c r="A148" s="1407" t="str">
        <f>IF(COUNTIF('04 - 95% CD'!D148:G148,"Y")&gt;0,"Y",IF(COUNTIF('04 - 95% CD'!D148:G148,"N"),"N",""))</f>
        <v>Y</v>
      </c>
      <c r="B148" s="191"/>
      <c r="C148" s="944"/>
      <c r="D148" s="321"/>
      <c r="E148" s="559" t="str">
        <f>IF('C-Design&amp;Const'!$W148="","",'C-Design&amp;Const'!$W148)</f>
        <v>N</v>
      </c>
      <c r="F148" s="560"/>
      <c r="G148" s="558"/>
      <c r="H148" s="410" t="str">
        <f>CONCATENATE(IF(ISNUMBER(SEARCH("Placeholder",'C-Design&amp;Const'!Z148))=TRUE,"",IF(E148="N","PLACEHOLDER ROW - ","")),'C-Design&amp;Const'!Z148,IF(E148="N","",J148))</f>
        <v xml:space="preserve">PLACEHOLDER ROW - Hydraulic Analysis for water and waste - ** calculations available upon request </v>
      </c>
      <c r="I148" s="186"/>
      <c r="J148" s="181"/>
      <c r="K148" s="285" t="str">
        <f t="shared" si="12"/>
        <v>no 95% match</v>
      </c>
      <c r="L148" s="1410" t="str">
        <f t="shared" si="10"/>
        <v>&lt;---PM/Planner may hide PLACEHOLDER ROW</v>
      </c>
      <c r="M148" s="1333"/>
      <c r="N148" s="1382"/>
      <c r="O148" s="1382"/>
      <c r="P148" s="1382"/>
      <c r="Q148" s="1382"/>
      <c r="R148" s="1490"/>
      <c r="S148" s="1274"/>
      <c r="T148" s="1274"/>
      <c r="U148" s="1382"/>
      <c r="V148" s="1382"/>
      <c r="W148" s="1382"/>
      <c r="X148" s="1382"/>
      <c r="Y148" s="1382"/>
      <c r="Z148" s="1382"/>
      <c r="AA148" s="1382"/>
      <c r="AB148" s="1382"/>
      <c r="AC148" s="1382"/>
      <c r="AD148" s="1382"/>
      <c r="AE148" s="1382"/>
      <c r="AF148" s="1382"/>
      <c r="AG148" s="1382"/>
      <c r="AH148" s="1382"/>
      <c r="AI148" s="1382"/>
      <c r="AJ148" s="1382"/>
      <c r="AK148" s="181"/>
      <c r="AL148" s="181"/>
      <c r="AM148" s="181"/>
      <c r="AN148" s="181"/>
      <c r="AO148" s="181"/>
      <c r="AP148" s="181"/>
      <c r="AQ148" s="181"/>
      <c r="AR148" s="181"/>
      <c r="AS148" s="181"/>
      <c r="AT148" s="181"/>
      <c r="AU148" s="181"/>
      <c r="AV148" s="181"/>
      <c r="AW148" s="181"/>
    </row>
    <row r="149" spans="1:49" s="30" customFormat="1" hidden="1" x14ac:dyDescent="0.25">
      <c r="A149" s="1407" t="str">
        <f>IF(COUNTIF('04 - 95% CD'!D149:G149,"Y")&gt;0,"Y",IF(COUNTIF('04 - 95% CD'!D149:G149,"N"),"N",""))</f>
        <v>Y</v>
      </c>
      <c r="B149" s="191"/>
      <c r="C149" s="944"/>
      <c r="D149" s="321"/>
      <c r="E149" s="559" t="str">
        <f>IF('C-Design&amp;Const'!$W149="","",'C-Design&amp;Const'!$W149)</f>
        <v>N</v>
      </c>
      <c r="F149" s="560"/>
      <c r="G149" s="558"/>
      <c r="H149" s="238" t="str">
        <f>CONCATENATE(IF(ISNUMBER(SEARCH("Placeholder",'C-Design&amp;Const'!Z149))=TRUE,"",IF(E149="N","PLACEHOLDER ROW - ","")),'C-Design&amp;Const'!Z149,IF(E149="N","",J149))</f>
        <v xml:space="preserve">PLACEHOLDER ROW - Hydraulic Analysis for fire protection - ** calculations available upon request </v>
      </c>
      <c r="I149" s="186"/>
      <c r="J149" s="181"/>
      <c r="K149" s="285" t="str">
        <f t="shared" si="12"/>
        <v>no 95% match</v>
      </c>
      <c r="L149" s="1410" t="str">
        <f t="shared" si="10"/>
        <v>&lt;---PM/Planner may hide PLACEHOLDER ROW</v>
      </c>
      <c r="M149" s="1333"/>
      <c r="N149" s="1382"/>
      <c r="O149" s="1382"/>
      <c r="P149" s="1382"/>
      <c r="Q149" s="1382"/>
      <c r="R149" s="1490"/>
      <c r="S149" s="1274"/>
      <c r="T149" s="1274"/>
      <c r="U149" s="1382"/>
      <c r="V149" s="1382"/>
      <c r="W149" s="1382"/>
      <c r="X149" s="1382"/>
      <c r="Y149" s="1382"/>
      <c r="Z149" s="1382"/>
      <c r="AA149" s="1382"/>
      <c r="AB149" s="1382"/>
      <c r="AC149" s="1382"/>
      <c r="AD149" s="1382"/>
      <c r="AE149" s="1382"/>
      <c r="AF149" s="1382"/>
      <c r="AG149" s="1382"/>
      <c r="AH149" s="1382"/>
      <c r="AI149" s="1382"/>
      <c r="AJ149" s="1382"/>
      <c r="AK149" s="181"/>
      <c r="AL149" s="181"/>
      <c r="AM149" s="181"/>
      <c r="AN149" s="181"/>
      <c r="AO149" s="181"/>
      <c r="AP149" s="181"/>
      <c r="AQ149" s="181"/>
      <c r="AR149" s="181"/>
      <c r="AS149" s="181"/>
      <c r="AT149" s="181"/>
      <c r="AU149" s="181"/>
      <c r="AV149" s="181"/>
      <c r="AW149" s="181"/>
    </row>
    <row r="150" spans="1:49" s="30" customFormat="1" hidden="1" x14ac:dyDescent="0.25">
      <c r="A150" s="1407" t="str">
        <f>IF(COUNTIF('04 - 95% CD'!D150:G150,"Y")&gt;0,"Y",IF(COUNTIF('04 - 95% CD'!D150:G150,"N"),"N",""))</f>
        <v>N</v>
      </c>
      <c r="B150" s="191"/>
      <c r="C150" s="944"/>
      <c r="D150" s="321"/>
      <c r="E150" s="559" t="str">
        <f>IF('C-Design&amp;Const'!$W150="","",'C-Design&amp;Const'!$W150)</f>
        <v>N</v>
      </c>
      <c r="F150" s="560"/>
      <c r="G150" s="558"/>
      <c r="H150" s="238" t="str">
        <f>CONCATENATE(IF(ISNUMBER(SEARCH("Placeholder",'C-Design&amp;Const'!Z150))=TRUE,"",IF(E150="N","PLACEHOLDER ROW - ","")),'C-Design&amp;Const'!Z150,IF(E150="N","",J150))</f>
        <v>PLACEHOLDER ROW - Harmonic Analysis Report for VFDs (N/A till construction)</v>
      </c>
      <c r="I150" s="186"/>
      <c r="J150" s="181"/>
      <c r="K150" s="285" t="str">
        <f t="shared" si="12"/>
        <v>match</v>
      </c>
      <c r="L150" s="1410" t="str">
        <f t="shared" si="10"/>
        <v>&lt;---PM/Planner may hide PLACEHOLDER ROW</v>
      </c>
      <c r="M150" s="1333"/>
      <c r="N150" s="1382"/>
      <c r="O150" s="1382"/>
      <c r="P150" s="1382"/>
      <c r="Q150" s="1382"/>
      <c r="R150" s="1490"/>
      <c r="S150" s="1274"/>
      <c r="T150" s="1274"/>
      <c r="U150" s="1382"/>
      <c r="V150" s="1382"/>
      <c r="W150" s="1382"/>
      <c r="X150" s="1382"/>
      <c r="Y150" s="1382"/>
      <c r="Z150" s="1382"/>
      <c r="AA150" s="1382"/>
      <c r="AB150" s="1382"/>
      <c r="AC150" s="1382"/>
      <c r="AD150" s="1382"/>
      <c r="AE150" s="1382"/>
      <c r="AF150" s="1382"/>
      <c r="AG150" s="1382"/>
      <c r="AH150" s="1382"/>
      <c r="AI150" s="1382"/>
      <c r="AJ150" s="1382"/>
      <c r="AK150" s="181"/>
      <c r="AL150" s="181"/>
      <c r="AM150" s="181"/>
      <c r="AN150" s="181"/>
      <c r="AO150" s="181"/>
      <c r="AP150" s="181"/>
      <c r="AQ150" s="181"/>
      <c r="AR150" s="181"/>
      <c r="AS150" s="181"/>
      <c r="AT150" s="181"/>
      <c r="AU150" s="181"/>
      <c r="AV150" s="181"/>
      <c r="AW150" s="181"/>
    </row>
    <row r="151" spans="1:49" s="30" customFormat="1" ht="28.5" hidden="1" x14ac:dyDescent="0.25">
      <c r="A151" s="1407" t="str">
        <f>IF(COUNTIF('04 - 95% CD'!D151:G151,"Y")&gt;0,"Y",IF(COUNTIF('04 - 95% CD'!D151:G151,"N"),"N",""))</f>
        <v>Y</v>
      </c>
      <c r="B151" s="191"/>
      <c r="C151" s="944"/>
      <c r="D151" s="321"/>
      <c r="E151" s="559" t="str">
        <f>IF('C-Design&amp;Const'!$W151="","",'C-Design&amp;Const'!$W151)</f>
        <v>N</v>
      </c>
      <c r="F151" s="560"/>
      <c r="G151" s="558"/>
      <c r="H151" s="238" t="str">
        <f>CONCATENATE(IF(ISNUMBER(SEARCH("Placeholder",'C-Design&amp;Const'!Z151))=TRUE,"",IF(E151="N","PLACEHOLDER ROW - ","")),'C-Design&amp;Const'!Z151,IF(E151="N","",J151))</f>
        <v xml:space="preserve">PLACEHOLDER ROW - Results of Emergency Generator Load Calculation - ** calculations available upon request </v>
      </c>
      <c r="I151" s="186"/>
      <c r="J151" s="181"/>
      <c r="K151" s="285" t="str">
        <f t="shared" si="12"/>
        <v>no 95% match</v>
      </c>
      <c r="L151" s="1410" t="str">
        <f t="shared" si="10"/>
        <v>&lt;---PM/Planner may hide PLACEHOLDER ROW</v>
      </c>
      <c r="M151" s="1333"/>
      <c r="N151" s="1382"/>
      <c r="O151" s="1382"/>
      <c r="P151" s="1382"/>
      <c r="Q151" s="1382"/>
      <c r="R151" s="1490"/>
      <c r="S151" s="1274"/>
      <c r="T151" s="1274"/>
      <c r="U151" s="1382"/>
      <c r="V151" s="1382"/>
      <c r="W151" s="1382"/>
      <c r="X151" s="1382"/>
      <c r="Y151" s="1382"/>
      <c r="Z151" s="1382"/>
      <c r="AA151" s="1382"/>
      <c r="AB151" s="1382"/>
      <c r="AC151" s="1382"/>
      <c r="AD151" s="1382"/>
      <c r="AE151" s="1382"/>
      <c r="AF151" s="1382"/>
      <c r="AG151" s="1382"/>
      <c r="AH151" s="1382"/>
      <c r="AI151" s="1382"/>
      <c r="AJ151" s="1382"/>
      <c r="AK151" s="181"/>
      <c r="AL151" s="181"/>
      <c r="AM151" s="181"/>
      <c r="AN151" s="181"/>
      <c r="AO151" s="181"/>
      <c r="AP151" s="181"/>
      <c r="AQ151" s="181"/>
      <c r="AR151" s="181"/>
      <c r="AS151" s="181"/>
      <c r="AT151" s="181"/>
      <c r="AU151" s="181"/>
      <c r="AV151" s="181"/>
      <c r="AW151" s="181"/>
    </row>
    <row r="152" spans="1:49" s="30" customFormat="1" hidden="1" x14ac:dyDescent="0.25">
      <c r="A152" s="1407" t="str">
        <f>IF(COUNTIF('04 - 95% CD'!D152:G152,"Y")&gt;0,"Y",IF(COUNTIF('04 - 95% CD'!D152:G152,"N"),"N",""))</f>
        <v>N</v>
      </c>
      <c r="B152" s="191"/>
      <c r="C152" s="944"/>
      <c r="D152" s="321"/>
      <c r="E152" s="559" t="str">
        <f>IF('C-Design&amp;Const'!$W152="","",'C-Design&amp;Const'!$W152)</f>
        <v>N</v>
      </c>
      <c r="F152" s="560"/>
      <c r="G152" s="558"/>
      <c r="H152" s="238" t="str">
        <f>CONCATENATE(IF(ISNUMBER(SEARCH("Placeholder",'C-Design&amp;Const'!Z152))=TRUE,"",IF(E152="N","PLACEHOLDER ROW - ","")),'C-Design&amp;Const'!Z152,IF(E152="N","",J152))</f>
        <v>PLACEHOLDER ROW - CUSTOM ROW - OPTIONAL CLIENT ITEM</v>
      </c>
      <c r="I152" s="186"/>
      <c r="J152" s="181"/>
      <c r="K152" s="285" t="str">
        <f t="shared" si="12"/>
        <v>match</v>
      </c>
      <c r="L152" s="1410" t="str">
        <f t="shared" si="10"/>
        <v>&lt;---PM/Planner may hide PLACEHOLDER ROW</v>
      </c>
      <c r="M152" s="1333"/>
      <c r="N152" s="1382"/>
      <c r="O152" s="1382"/>
      <c r="P152" s="1382"/>
      <c r="Q152" s="1382"/>
      <c r="R152" s="1490"/>
      <c r="S152" s="1274"/>
      <c r="T152" s="1274"/>
      <c r="U152" s="1382"/>
      <c r="V152" s="1382"/>
      <c r="W152" s="1382"/>
      <c r="X152" s="1382"/>
      <c r="Y152" s="1382"/>
      <c r="Z152" s="1382"/>
      <c r="AA152" s="1382"/>
      <c r="AB152" s="1382"/>
      <c r="AC152" s="1382"/>
      <c r="AD152" s="1382"/>
      <c r="AE152" s="1382"/>
      <c r="AF152" s="1382"/>
      <c r="AG152" s="1382"/>
      <c r="AH152" s="1382"/>
      <c r="AI152" s="1382"/>
      <c r="AJ152" s="1382"/>
      <c r="AK152" s="181"/>
      <c r="AL152" s="181"/>
      <c r="AM152" s="181"/>
      <c r="AN152" s="181"/>
      <c r="AO152" s="181"/>
      <c r="AP152" s="181"/>
      <c r="AQ152" s="181"/>
      <c r="AR152" s="181"/>
      <c r="AS152" s="181"/>
      <c r="AT152" s="181"/>
      <c r="AU152" s="181"/>
      <c r="AV152" s="181"/>
      <c r="AW152" s="181"/>
    </row>
    <row r="153" spans="1:49" s="30" customFormat="1" hidden="1" x14ac:dyDescent="0.25">
      <c r="A153" s="1407" t="str">
        <f>IF(COUNTIF('04 - 95% CD'!D153:G153,"Y")&gt;0,"Y",IF(COUNTIF('04 - 95% CD'!D153:G153,"N"),"N",""))</f>
        <v>Y</v>
      </c>
      <c r="B153" s="191"/>
      <c r="C153" s="944"/>
      <c r="D153" s="321"/>
      <c r="E153" s="559" t="str">
        <f>IF('C-Design&amp;Const'!$W153="","",'C-Design&amp;Const'!$W153)</f>
        <v>N</v>
      </c>
      <c r="F153" s="560"/>
      <c r="G153" s="558"/>
      <c r="H153" s="238" t="str">
        <f>CONCATENATE(IF(ISNUMBER(SEARCH("Placeholder",'C-Design&amp;Const'!Z153))=TRUE,"",IF(E153="N","PLACEHOLDER ROW - ","")),'C-Design&amp;Const'!Z153,IF(E153="N","",J153))</f>
        <v xml:space="preserve">PLACEHOLDER ROW - Results of Transformer Load Calculation -** calculations available upon request </v>
      </c>
      <c r="I153" s="186"/>
      <c r="J153" s="181"/>
      <c r="K153" s="285" t="str">
        <f t="shared" si="12"/>
        <v>no 95% match</v>
      </c>
      <c r="L153" s="1410" t="str">
        <f t="shared" si="10"/>
        <v>&lt;---PM/Planner may hide PLACEHOLDER ROW</v>
      </c>
      <c r="M153" s="1333"/>
      <c r="N153" s="1382"/>
      <c r="O153" s="1382"/>
      <c r="P153" s="1382"/>
      <c r="Q153" s="1382"/>
      <c r="R153" s="1490"/>
      <c r="S153" s="1274"/>
      <c r="T153" s="1274"/>
      <c r="U153" s="1382"/>
      <c r="V153" s="1382"/>
      <c r="W153" s="1382"/>
      <c r="X153" s="1382"/>
      <c r="Y153" s="1382"/>
      <c r="Z153" s="1382"/>
      <c r="AA153" s="1382"/>
      <c r="AB153" s="1382"/>
      <c r="AC153" s="1382"/>
      <c r="AD153" s="1382"/>
      <c r="AE153" s="1382"/>
      <c r="AF153" s="1382"/>
      <c r="AG153" s="1382"/>
      <c r="AH153" s="1382"/>
      <c r="AI153" s="1382"/>
      <c r="AJ153" s="1382"/>
      <c r="AK153" s="181"/>
      <c r="AL153" s="181"/>
      <c r="AM153" s="181"/>
      <c r="AN153" s="181"/>
      <c r="AO153" s="181"/>
      <c r="AP153" s="181"/>
      <c r="AQ153" s="181"/>
      <c r="AR153" s="181"/>
      <c r="AS153" s="181"/>
      <c r="AT153" s="181"/>
      <c r="AU153" s="181"/>
      <c r="AV153" s="181"/>
      <c r="AW153" s="181"/>
    </row>
    <row r="154" spans="1:49" s="30" customFormat="1" ht="28.5" hidden="1" x14ac:dyDescent="0.25">
      <c r="A154" s="1407" t="str">
        <f>IF(COUNTIF('04 - 95% CD'!D154:G154,"Y")&gt;0,"Y",IF(COUNTIF('04 - 95% CD'!D154:G154,"N"),"N",""))</f>
        <v>Y</v>
      </c>
      <c r="B154" s="191"/>
      <c r="C154" s="944"/>
      <c r="D154" s="321"/>
      <c r="E154" s="559" t="str">
        <f>IF('C-Design&amp;Const'!$W154="","",'C-Design&amp;Const'!$W154)</f>
        <v>N</v>
      </c>
      <c r="F154" s="560"/>
      <c r="G154" s="558"/>
      <c r="H154" s="238" t="str">
        <f>CONCATENATE(IF(ISNUMBER(SEARCH("Placeholder",'C-Design&amp;Const'!Z154))=TRUE,"",IF(E154="N","PLACEHOLDER ROW - ","")),'C-Design&amp;Const'!Z154,IF(E154="N","",J154))</f>
        <v xml:space="preserve">PLACEHOLDER ROW - Results of Short-Circuit (Fault) Analysis of Building Electrical System- ** calculations available upon request </v>
      </c>
      <c r="I154" s="186"/>
      <c r="J154" s="181"/>
      <c r="K154" s="285" t="str">
        <f t="shared" si="12"/>
        <v>no 95% match</v>
      </c>
      <c r="L154" s="1410" t="str">
        <f t="shared" si="10"/>
        <v>&lt;---PM/Planner may hide PLACEHOLDER ROW</v>
      </c>
      <c r="M154" s="1333"/>
      <c r="N154" s="1382"/>
      <c r="O154" s="1382"/>
      <c r="P154" s="1382"/>
      <c r="Q154" s="1382"/>
      <c r="R154" s="1490"/>
      <c r="S154" s="1274"/>
      <c r="T154" s="1274"/>
      <c r="U154" s="1382"/>
      <c r="V154" s="1382"/>
      <c r="W154" s="1382"/>
      <c r="X154" s="1382"/>
      <c r="Y154" s="1382"/>
      <c r="Z154" s="1382"/>
      <c r="AA154" s="1382"/>
      <c r="AB154" s="1382"/>
      <c r="AC154" s="1382"/>
      <c r="AD154" s="1382"/>
      <c r="AE154" s="1382"/>
      <c r="AF154" s="1382"/>
      <c r="AG154" s="1382"/>
      <c r="AH154" s="1382"/>
      <c r="AI154" s="1382"/>
      <c r="AJ154" s="1382"/>
      <c r="AK154" s="181"/>
      <c r="AL154" s="181"/>
      <c r="AM154" s="181"/>
      <c r="AN154" s="181"/>
      <c r="AO154" s="181"/>
      <c r="AP154" s="181"/>
      <c r="AQ154" s="181"/>
      <c r="AR154" s="181"/>
      <c r="AS154" s="181"/>
      <c r="AT154" s="181"/>
      <c r="AU154" s="181"/>
      <c r="AV154" s="181"/>
      <c r="AW154" s="181"/>
    </row>
    <row r="155" spans="1:49" s="30" customFormat="1" ht="28.5" hidden="1" x14ac:dyDescent="0.25">
      <c r="A155" s="1407" t="str">
        <f>IF(COUNTIF('04 - 95% CD'!D155:G155,"Y")&gt;0,"Y",IF(COUNTIF('04 - 95% CD'!D155:G155,"N"),"N",""))</f>
        <v>Y</v>
      </c>
      <c r="B155" s="191"/>
      <c r="C155" s="944"/>
      <c r="D155" s="321"/>
      <c r="E155" s="559" t="str">
        <f>IF('C-Design&amp;Const'!$W155="","",'C-Design&amp;Const'!$W155)</f>
        <v>N</v>
      </c>
      <c r="F155" s="560"/>
      <c r="G155" s="558"/>
      <c r="H155" s="410" t="str">
        <f>CONCATENATE(IF(ISNUMBER(SEARCH("Placeholder",'C-Design&amp;Const'!Z155))=TRUE,"",IF(E155="N","PLACEHOLDER ROW - ","")),'C-Design&amp;Const'!Z155,IF(E155="N","",J155))</f>
        <v xml:space="preserve">PLACEHOLDER ROW - Extensions of Primary Electrical Distribution-** calculations available upon request </v>
      </c>
      <c r="I155" s="186"/>
      <c r="J155" s="181"/>
      <c r="K155" s="285" t="str">
        <f t="shared" si="12"/>
        <v>no 95% match</v>
      </c>
      <c r="L155" s="1410" t="str">
        <f t="shared" si="10"/>
        <v>&lt;---PM/Planner may hide PLACEHOLDER ROW</v>
      </c>
      <c r="M155" s="1333"/>
      <c r="N155" s="1382"/>
      <c r="O155" s="1382"/>
      <c r="P155" s="1382"/>
      <c r="Q155" s="1382"/>
      <c r="R155" s="1490"/>
      <c r="S155" s="1274"/>
      <c r="T155" s="1274"/>
      <c r="U155" s="1382"/>
      <c r="V155" s="1382"/>
      <c r="W155" s="1382"/>
      <c r="X155" s="1382"/>
      <c r="Y155" s="1382"/>
      <c r="Z155" s="1382"/>
      <c r="AA155" s="1382"/>
      <c r="AB155" s="1382"/>
      <c r="AC155" s="1382"/>
      <c r="AD155" s="1382"/>
      <c r="AE155" s="1382"/>
      <c r="AF155" s="1382"/>
      <c r="AG155" s="1382"/>
      <c r="AH155" s="1382"/>
      <c r="AI155" s="1382"/>
      <c r="AJ155" s="1382"/>
      <c r="AK155" s="181"/>
      <c r="AL155" s="181"/>
      <c r="AM155" s="181"/>
      <c r="AN155" s="181"/>
      <c r="AO155" s="181"/>
      <c r="AP155" s="181"/>
      <c r="AQ155" s="181"/>
      <c r="AR155" s="181"/>
      <c r="AS155" s="181"/>
      <c r="AT155" s="181"/>
      <c r="AU155" s="181"/>
      <c r="AV155" s="181"/>
      <c r="AW155" s="181"/>
    </row>
    <row r="156" spans="1:49" s="30" customFormat="1" ht="42.75" hidden="1" x14ac:dyDescent="0.25">
      <c r="A156" s="1407" t="str">
        <f>IF(COUNTIF('04 - 95% CD'!D156:G156,"Y")&gt;0,"Y",IF(COUNTIF('04 - 95% CD'!D156:G156,"N"),"N",""))</f>
        <v>Y</v>
      </c>
      <c r="B156" s="191"/>
      <c r="C156" s="944"/>
      <c r="D156" s="321"/>
      <c r="E156" s="559" t="str">
        <f>IF('C-Design&amp;Const'!$W156="","",'C-Design&amp;Const'!$W156)</f>
        <v>N</v>
      </c>
      <c r="F156" s="560"/>
      <c r="G156" s="558"/>
      <c r="H156" s="410" t="str">
        <f>CONCATENATE(IF(ISNUMBER(SEARCH("Placeholder",'C-Design&amp;Const'!Z156))=TRUE,"",IF(E156="N","PLACEHOLDER ROW - ","")),'C-Design&amp;Const'!Z156,IF(E156="N","",J156))</f>
        <v xml:space="preserve">PLACEHOLDER ROW - Results of Proposed Lighting Power Density Calculation (output from COMcheck software or similar) showing Compliance with Energy Codes and Standards -** calculations available upon request </v>
      </c>
      <c r="I156" s="186"/>
      <c r="J156" s="181"/>
      <c r="K156" s="285" t="str">
        <f t="shared" si="12"/>
        <v>no 95% match</v>
      </c>
      <c r="L156" s="1410" t="str">
        <f t="shared" si="10"/>
        <v>&lt;---PM/Planner may hide PLACEHOLDER ROW</v>
      </c>
      <c r="M156" s="1333"/>
      <c r="N156" s="1382"/>
      <c r="O156" s="1382"/>
      <c r="P156" s="1382"/>
      <c r="Q156" s="1382"/>
      <c r="R156" s="1490"/>
      <c r="S156" s="1274"/>
      <c r="T156" s="1274"/>
      <c r="U156" s="1382"/>
      <c r="V156" s="1382"/>
      <c r="W156" s="1382"/>
      <c r="X156" s="1382"/>
      <c r="Y156" s="1382"/>
      <c r="Z156" s="1382"/>
      <c r="AA156" s="1382"/>
      <c r="AB156" s="1382"/>
      <c r="AC156" s="1382"/>
      <c r="AD156" s="1382"/>
      <c r="AE156" s="1382"/>
      <c r="AF156" s="1382"/>
      <c r="AG156" s="1382"/>
      <c r="AH156" s="1382"/>
      <c r="AI156" s="1382"/>
      <c r="AJ156" s="1382"/>
      <c r="AK156" s="181"/>
      <c r="AL156" s="181"/>
      <c r="AM156" s="181"/>
      <c r="AN156" s="181"/>
      <c r="AO156" s="181"/>
      <c r="AP156" s="181"/>
      <c r="AQ156" s="181"/>
      <c r="AR156" s="181"/>
      <c r="AS156" s="181"/>
      <c r="AT156" s="181"/>
      <c r="AU156" s="181"/>
      <c r="AV156" s="181"/>
      <c r="AW156" s="181"/>
    </row>
    <row r="157" spans="1:49" s="30" customFormat="1" ht="28.5" hidden="1" x14ac:dyDescent="0.25">
      <c r="A157" s="1407" t="str">
        <f>IF(COUNTIF('04 - 95% CD'!D157:G157,"Y")&gt;0,"Y",IF(COUNTIF('04 - 95% CD'!D157:G157,"N"),"N",""))</f>
        <v>Y</v>
      </c>
      <c r="B157" s="191"/>
      <c r="C157" s="944"/>
      <c r="D157" s="321"/>
      <c r="E157" s="559" t="str">
        <f>IF('C-Design&amp;Const'!$W157="","",'C-Design&amp;Const'!$W157)</f>
        <v>N</v>
      </c>
      <c r="F157" s="560"/>
      <c r="G157" s="558"/>
      <c r="H157" s="238" t="str">
        <f>CONCATENATE(IF(ISNUMBER(SEARCH("Placeholder",'C-Design&amp;Const'!Z157))=TRUE,"",IF(E157="N","PLACEHOLDER ROW - ","")),'C-Design&amp;Const'!Z157,IF(E157="N","",J157))</f>
        <v>PLACEHOLDER ROW - Results of Point-by-Point Exterior Lighting Calculations Showing Compliance with IESNA Recommendations</v>
      </c>
      <c r="I157" s="186"/>
      <c r="J157" s="181"/>
      <c r="K157" s="285" t="str">
        <f t="shared" si="12"/>
        <v>no 95% match</v>
      </c>
      <c r="L157" s="1410" t="str">
        <f t="shared" si="10"/>
        <v>&lt;---PM/Planner may hide PLACEHOLDER ROW</v>
      </c>
      <c r="M157" s="1333"/>
      <c r="N157" s="1382"/>
      <c r="O157" s="1382"/>
      <c r="P157" s="1382"/>
      <c r="Q157" s="1382"/>
      <c r="R157" s="1490"/>
      <c r="S157" s="1274"/>
      <c r="T157" s="1274"/>
      <c r="U157" s="1382"/>
      <c r="V157" s="1382"/>
      <c r="W157" s="1382"/>
      <c r="X157" s="1382"/>
      <c r="Y157" s="1382"/>
      <c r="Z157" s="1382"/>
      <c r="AA157" s="1382"/>
      <c r="AB157" s="1382"/>
      <c r="AC157" s="1382"/>
      <c r="AD157" s="1382"/>
      <c r="AE157" s="1382"/>
      <c r="AF157" s="1382"/>
      <c r="AG157" s="1382"/>
      <c r="AH157" s="1382"/>
      <c r="AI157" s="1382"/>
      <c r="AJ157" s="1382"/>
      <c r="AK157" s="181"/>
      <c r="AL157" s="181"/>
      <c r="AM157" s="181"/>
      <c r="AN157" s="181"/>
      <c r="AO157" s="181"/>
      <c r="AP157" s="181"/>
      <c r="AQ157" s="181"/>
      <c r="AR157" s="181"/>
      <c r="AS157" s="181"/>
      <c r="AT157" s="181"/>
      <c r="AU157" s="181"/>
      <c r="AV157" s="181"/>
      <c r="AW157" s="181"/>
    </row>
    <row r="158" spans="1:49" s="30" customFormat="1" hidden="1" x14ac:dyDescent="0.25">
      <c r="A158" s="1407" t="str">
        <f>IF(COUNTIF('04 - 95% CD'!D158:G158,"Y")&gt;0,"Y",IF(COUNTIF('04 - 95% CD'!D158:G158,"N"),"N",""))</f>
        <v>Y</v>
      </c>
      <c r="B158" s="191"/>
      <c r="C158" s="944"/>
      <c r="D158" s="321"/>
      <c r="E158" s="559" t="str">
        <f>IF('C-Design&amp;Const'!$W158="","",'C-Design&amp;Const'!$W158)</f>
        <v>N</v>
      </c>
      <c r="F158" s="560"/>
      <c r="G158" s="558"/>
      <c r="H158" s="410" t="str">
        <f>CONCATENATE(IF(ISNUMBER(SEARCH("Placeholder",'C-Design&amp;Const'!Z158))=TRUE,"",IF(E158="N","PLACEHOLDER ROW - ","")),'C-Design&amp;Const'!Z158,IF(E158="N","",J158))</f>
        <v>PLACEHOLDER ROW - Results of Point-by-Point Interior Lighting Calculations for Each Typical Space</v>
      </c>
      <c r="I158" s="186"/>
      <c r="J158" s="181"/>
      <c r="K158" s="285" t="str">
        <f t="shared" si="12"/>
        <v>no 95% match</v>
      </c>
      <c r="L158" s="1410" t="str">
        <f t="shared" si="10"/>
        <v>&lt;---PM/Planner may hide PLACEHOLDER ROW</v>
      </c>
      <c r="M158" s="1333"/>
      <c r="N158" s="1382"/>
      <c r="O158" s="1382"/>
      <c r="P158" s="1382"/>
      <c r="Q158" s="1382"/>
      <c r="R158" s="1490"/>
      <c r="S158" s="1274"/>
      <c r="T158" s="1274"/>
      <c r="U158" s="1382"/>
      <c r="V158" s="1382"/>
      <c r="W158" s="1382"/>
      <c r="X158" s="1382"/>
      <c r="Y158" s="1382"/>
      <c r="Z158" s="1382"/>
      <c r="AA158" s="1382"/>
      <c r="AB158" s="1382"/>
      <c r="AC158" s="1382"/>
      <c r="AD158" s="1382"/>
      <c r="AE158" s="1382"/>
      <c r="AF158" s="1382"/>
      <c r="AG158" s="1382"/>
      <c r="AH158" s="1382"/>
      <c r="AI158" s="1382"/>
      <c r="AJ158" s="1382"/>
      <c r="AK158" s="181"/>
      <c r="AL158" s="181"/>
      <c r="AM158" s="181"/>
      <c r="AN158" s="181"/>
      <c r="AO158" s="181"/>
      <c r="AP158" s="181"/>
      <c r="AQ158" s="181"/>
      <c r="AR158" s="181"/>
      <c r="AS158" s="181"/>
      <c r="AT158" s="181"/>
      <c r="AU158" s="181"/>
      <c r="AV158" s="181"/>
      <c r="AW158" s="181"/>
    </row>
    <row r="159" spans="1:49" s="30" customFormat="1" hidden="1" x14ac:dyDescent="0.25">
      <c r="A159" s="1407" t="str">
        <f>IF(COUNTIF('04 - 95% CD'!D159:G159,"Y")&gt;0,"Y",IF(COUNTIF('04 - 95% CD'!D159:G159,"N"),"N",""))</f>
        <v>Y</v>
      </c>
      <c r="B159" s="191"/>
      <c r="C159" s="944"/>
      <c r="D159" s="321"/>
      <c r="E159" s="559" t="str">
        <f>IF('C-Design&amp;Const'!$W159="","",'C-Design&amp;Const'!$W159)</f>
        <v>N</v>
      </c>
      <c r="F159" s="560"/>
      <c r="G159" s="558"/>
      <c r="H159" s="410" t="str">
        <f>CONCATENATE(IF(ISNUMBER(SEARCH("Placeholder",'C-Design&amp;Const'!Z159))=TRUE,"",IF(E159="N","PLACEHOLDER ROW - ","")),'C-Design&amp;Const'!Z159,IF(E159="N","",J159))</f>
        <v xml:space="preserve">PLACEHOLDER ROW - Extensions of Primary Building Automation Systems </v>
      </c>
      <c r="I159" s="186"/>
      <c r="J159" s="181"/>
      <c r="K159" s="285" t="str">
        <f t="shared" si="12"/>
        <v>no 95% match</v>
      </c>
      <c r="L159" s="1410" t="str">
        <f t="shared" si="10"/>
        <v>&lt;---PM/Planner may hide PLACEHOLDER ROW</v>
      </c>
      <c r="M159" s="1333"/>
      <c r="N159" s="1382"/>
      <c r="O159" s="1382"/>
      <c r="P159" s="1382"/>
      <c r="Q159" s="1382"/>
      <c r="R159" s="1490"/>
      <c r="S159" s="1274"/>
      <c r="T159" s="1274"/>
      <c r="U159" s="1382"/>
      <c r="V159" s="1382"/>
      <c r="W159" s="1382"/>
      <c r="X159" s="1382"/>
      <c r="Y159" s="1382"/>
      <c r="Z159" s="1382"/>
      <c r="AA159" s="1382"/>
      <c r="AB159" s="1382"/>
      <c r="AC159" s="1382"/>
      <c r="AD159" s="1382"/>
      <c r="AE159" s="1382"/>
      <c r="AF159" s="1382"/>
      <c r="AG159" s="1382"/>
      <c r="AH159" s="1382"/>
      <c r="AI159" s="1382"/>
      <c r="AJ159" s="1382"/>
      <c r="AK159" s="181"/>
      <c r="AL159" s="181"/>
      <c r="AM159" s="181"/>
      <c r="AN159" s="181"/>
      <c r="AO159" s="181"/>
      <c r="AP159" s="181"/>
      <c r="AQ159" s="181"/>
      <c r="AR159" s="181"/>
      <c r="AS159" s="181"/>
      <c r="AT159" s="181"/>
      <c r="AU159" s="181"/>
      <c r="AV159" s="181"/>
      <c r="AW159" s="181"/>
    </row>
    <row r="160" spans="1:49" s="30" customFormat="1" hidden="1" x14ac:dyDescent="0.25">
      <c r="A160" s="1407" t="str">
        <f>IF(COUNTIF('04 - 95% CD'!D160:G160,"Y")&gt;0,"Y",IF(COUNTIF('04 - 95% CD'!D160:G160,"N"),"N",""))</f>
        <v>N</v>
      </c>
      <c r="B160" s="191"/>
      <c r="C160" s="944"/>
      <c r="D160" s="321"/>
      <c r="E160" s="559" t="str">
        <f>IF('C-Design&amp;Const'!$W160="","",'C-Design&amp;Const'!$W160)</f>
        <v>N</v>
      </c>
      <c r="F160" s="560"/>
      <c r="G160" s="558"/>
      <c r="H160" s="410" t="str">
        <f>CONCATENATE(IF(ISNUMBER(SEARCH("Placeholder",'C-Design&amp;Const'!Z160))=TRUE,"",IF(E160="N","PLACEHOLDER ROW - ","")),'C-Design&amp;Const'!Z160,IF(E160="N","",J160))</f>
        <v>PLACEHOLDER ROW - IDNR Consultation (EcoCAT and results)</v>
      </c>
      <c r="I160" s="186"/>
      <c r="J160" s="181"/>
      <c r="K160" s="285" t="str">
        <f t="shared" si="12"/>
        <v>match</v>
      </c>
      <c r="L160" s="1410" t="str">
        <f t="shared" si="10"/>
        <v>&lt;---PM/Planner may hide PLACEHOLDER ROW</v>
      </c>
      <c r="M160" s="1333"/>
      <c r="N160" s="1382"/>
      <c r="O160" s="1382"/>
      <c r="P160" s="1382"/>
      <c r="Q160" s="1382"/>
      <c r="R160" s="1490"/>
      <c r="S160" s="1274"/>
      <c r="T160" s="1274"/>
      <c r="U160" s="1382"/>
      <c r="V160" s="1382"/>
      <c r="W160" s="1382"/>
      <c r="X160" s="1382"/>
      <c r="Y160" s="1382"/>
      <c r="Z160" s="1382"/>
      <c r="AA160" s="1382"/>
      <c r="AB160" s="1382"/>
      <c r="AC160" s="1382"/>
      <c r="AD160" s="1382"/>
      <c r="AE160" s="1382"/>
      <c r="AF160" s="1382"/>
      <c r="AG160" s="1382"/>
      <c r="AH160" s="1382"/>
      <c r="AI160" s="1382"/>
      <c r="AJ160" s="1382"/>
      <c r="AK160" s="181"/>
      <c r="AL160" s="181"/>
      <c r="AM160" s="181"/>
      <c r="AN160" s="181"/>
      <c r="AO160" s="181"/>
      <c r="AP160" s="181"/>
      <c r="AQ160" s="181"/>
      <c r="AR160" s="181"/>
      <c r="AS160" s="181"/>
      <c r="AT160" s="181"/>
      <c r="AU160" s="181"/>
      <c r="AV160" s="181"/>
      <c r="AW160" s="181"/>
    </row>
    <row r="161" spans="1:50" s="30" customFormat="1" hidden="1" x14ac:dyDescent="0.25">
      <c r="A161" s="1407" t="str">
        <f>IF(COUNTIF('04 - 95% CD'!D161:G161,"Y")&gt;0,"Y",IF(COUNTIF('04 - 95% CD'!D161:G161,"N"),"N",""))</f>
        <v>N</v>
      </c>
      <c r="B161" s="191"/>
      <c r="C161" s="944"/>
      <c r="D161" s="321"/>
      <c r="E161" s="559" t="str">
        <f>IF('C-Design&amp;Const'!$W161="","",'C-Design&amp;Const'!$W161)</f>
        <v>N</v>
      </c>
      <c r="F161" s="560"/>
      <c r="G161" s="558"/>
      <c r="H161" s="410" t="str">
        <f>CONCATENATE(IF(ISNUMBER(SEARCH("Placeholder",'C-Design&amp;Const'!Z161))=TRUE,"",IF(E161="N","PLACEHOLDER ROW - ","")),'C-Design&amp;Const'!Z161,IF(E161="N","",J161))</f>
        <v>PLACEHOLDER ROW - Results of Environmental Impact Assessments or Statements</v>
      </c>
      <c r="I161" s="186"/>
      <c r="J161" s="181"/>
      <c r="K161" s="285" t="str">
        <f t="shared" si="12"/>
        <v>match</v>
      </c>
      <c r="L161" s="1410" t="str">
        <f t="shared" si="10"/>
        <v>&lt;---PM/Planner may hide PLACEHOLDER ROW</v>
      </c>
      <c r="M161" s="1333"/>
      <c r="N161" s="1382"/>
      <c r="O161" s="1382"/>
      <c r="P161" s="1382"/>
      <c r="Q161" s="1382"/>
      <c r="R161" s="1490"/>
      <c r="S161" s="1274"/>
      <c r="T161" s="1274"/>
      <c r="U161" s="1382"/>
      <c r="V161" s="1382"/>
      <c r="W161" s="1382"/>
      <c r="X161" s="1382"/>
      <c r="Y161" s="1382"/>
      <c r="Z161" s="1382"/>
      <c r="AA161" s="1382"/>
      <c r="AB161" s="1382"/>
      <c r="AC161" s="1382"/>
      <c r="AD161" s="1382"/>
      <c r="AE161" s="1382"/>
      <c r="AF161" s="1382"/>
      <c r="AG161" s="1382"/>
      <c r="AH161" s="1382"/>
      <c r="AI161" s="1382"/>
      <c r="AJ161" s="1382"/>
      <c r="AK161" s="181"/>
      <c r="AL161" s="181"/>
      <c r="AM161" s="181"/>
      <c r="AN161" s="181"/>
      <c r="AO161" s="181"/>
      <c r="AP161" s="181"/>
      <c r="AQ161" s="181"/>
      <c r="AR161" s="181"/>
      <c r="AS161" s="181"/>
      <c r="AT161" s="181"/>
      <c r="AU161" s="181"/>
      <c r="AV161" s="181"/>
      <c r="AW161" s="181"/>
    </row>
    <row r="162" spans="1:50" s="30" customFormat="1" hidden="1" x14ac:dyDescent="0.25">
      <c r="A162" s="1407" t="str">
        <f>IF(COUNTIF('04 - 95% CD'!D162:G162,"Y")&gt;0,"Y",IF(COUNTIF('04 - 95% CD'!D162:G162,"N"),"N",""))</f>
        <v>N</v>
      </c>
      <c r="B162" s="191"/>
      <c r="C162" s="944"/>
      <c r="D162" s="321"/>
      <c r="E162" s="559" t="str">
        <f>IF('C-Design&amp;Const'!$W162="","",'C-Design&amp;Const'!$W162)</f>
        <v>N</v>
      </c>
      <c r="F162" s="560"/>
      <c r="G162" s="558"/>
      <c r="H162" s="410" t="str">
        <f>CONCATENATE(IF(ISNUMBER(SEARCH("Placeholder",'C-Design&amp;Const'!Z162))=TRUE,"",IF(E162="N","PLACEHOLDER ROW - ","")),'C-Design&amp;Const'!Z162,IF(E162="N","",J162))</f>
        <v>PLACEHOLDER ROW - Results of Archealogical Field Reports or Assessments</v>
      </c>
      <c r="I162" s="186"/>
      <c r="J162" s="181"/>
      <c r="K162" s="285" t="str">
        <f t="shared" si="12"/>
        <v>match</v>
      </c>
      <c r="L162" s="1410" t="str">
        <f t="shared" si="10"/>
        <v>&lt;---PM/Planner may hide PLACEHOLDER ROW</v>
      </c>
      <c r="M162" s="1333"/>
      <c r="N162" s="1382"/>
      <c r="O162" s="1382"/>
      <c r="P162" s="1382"/>
      <c r="Q162" s="1382"/>
      <c r="R162" s="1490"/>
      <c r="S162" s="1274"/>
      <c r="T162" s="1274"/>
      <c r="U162" s="1382"/>
      <c r="V162" s="1382"/>
      <c r="W162" s="1382"/>
      <c r="X162" s="1382"/>
      <c r="Y162" s="1382"/>
      <c r="Z162" s="1382"/>
      <c r="AA162" s="1382"/>
      <c r="AB162" s="1382"/>
      <c r="AC162" s="1382"/>
      <c r="AD162" s="1382"/>
      <c r="AE162" s="1382"/>
      <c r="AF162" s="1382"/>
      <c r="AG162" s="1382"/>
      <c r="AH162" s="1382"/>
      <c r="AI162" s="1382"/>
      <c r="AJ162" s="1382"/>
      <c r="AK162" s="181"/>
      <c r="AL162" s="181"/>
      <c r="AM162" s="181"/>
      <c r="AN162" s="181"/>
      <c r="AO162" s="181"/>
      <c r="AP162" s="181"/>
      <c r="AQ162" s="181"/>
      <c r="AR162" s="181"/>
      <c r="AS162" s="181"/>
      <c r="AT162" s="181"/>
      <c r="AU162" s="181"/>
      <c r="AV162" s="181"/>
      <c r="AW162" s="181"/>
    </row>
    <row r="163" spans="1:50" s="30" customFormat="1" ht="15" hidden="1" customHeight="1" x14ac:dyDescent="0.25">
      <c r="A163" s="1407" t="str">
        <f>IF(COUNTIF('04 - 95% CD'!D163:G163,"Y")&gt;0,"Y",IF(COUNTIF('04 - 95% CD'!D163:G163,"N"),"N",""))</f>
        <v>N</v>
      </c>
      <c r="B163" s="191"/>
      <c r="C163" s="944"/>
      <c r="D163" s="463"/>
      <c r="E163" s="359" t="str">
        <f>IF('C-Design&amp;Const'!$W163="","",'C-Design&amp;Const'!$W163)</f>
        <v>N</v>
      </c>
      <c r="F163" s="235"/>
      <c r="G163" s="291"/>
      <c r="H163" s="358" t="str">
        <f>CONCATENATE(IF(ISNUMBER(SEARCH("Placeholder",'C-Design&amp;Const'!Z163))=TRUE,"",IF(E163="N","PLACEHOLDER ROW - ","")),'C-Design&amp;Const'!Z163,IF(E163="N","",J163))</f>
        <v>PLACEHOLDER ROW - CUSTOM ROW - OPTIONAL CLIENT ITEM</v>
      </c>
      <c r="I163" s="184"/>
      <c r="J163" s="181"/>
      <c r="K163" s="230" t="str">
        <f t="shared" si="12"/>
        <v>match</v>
      </c>
      <c r="L163" s="1410" t="str">
        <f t="shared" si="10"/>
        <v>&lt;---PM/Planner may hide PLACEHOLDER ROW</v>
      </c>
      <c r="M163" s="1333"/>
      <c r="N163" s="1382"/>
      <c r="O163" s="1382"/>
      <c r="P163" s="1382"/>
      <c r="Q163" s="1382"/>
      <c r="R163" s="1382"/>
      <c r="S163" s="1382"/>
      <c r="T163" s="1382"/>
      <c r="U163" s="1382"/>
      <c r="V163" s="1382"/>
      <c r="W163" s="1382"/>
      <c r="X163" s="1382"/>
      <c r="Y163" s="1382"/>
      <c r="Z163" s="1382"/>
      <c r="AA163" s="1382"/>
      <c r="AB163" s="1382"/>
      <c r="AC163" s="1382"/>
      <c r="AD163" s="1382"/>
      <c r="AE163" s="1382"/>
      <c r="AF163" s="1382"/>
      <c r="AG163" s="1382"/>
      <c r="AH163" s="1382"/>
      <c r="AI163" s="1382"/>
      <c r="AJ163" s="1382"/>
      <c r="AK163" s="181"/>
      <c r="AL163" s="181"/>
      <c r="AM163" s="181"/>
      <c r="AN163" s="181"/>
      <c r="AO163" s="181"/>
      <c r="AP163" s="181"/>
      <c r="AQ163" s="181"/>
      <c r="AR163" s="181"/>
      <c r="AS163" s="181"/>
      <c r="AT163" s="181"/>
      <c r="AU163" s="181"/>
      <c r="AV163" s="181"/>
      <c r="AW163" s="181"/>
    </row>
    <row r="164" spans="1:50" s="30" customFormat="1" ht="15" hidden="1" customHeight="1" x14ac:dyDescent="0.25">
      <c r="A164" s="1407" t="str">
        <f>IF(COUNTIF('04 - 95% CD'!D164:G164,"Y")&gt;0,"Y",IF(COUNTIF('04 - 95% CD'!D164:G164,"N"),"N",""))</f>
        <v>N</v>
      </c>
      <c r="B164" s="191"/>
      <c r="C164" s="944"/>
      <c r="D164" s="463"/>
      <c r="E164" s="359" t="str">
        <f>IF('C-Design&amp;Const'!$W164="","",'C-Design&amp;Const'!$W164)</f>
        <v>N</v>
      </c>
      <c r="F164" s="235"/>
      <c r="G164" s="291"/>
      <c r="H164" s="358" t="str">
        <f>CONCATENATE(IF(ISNUMBER(SEARCH("Placeholder",'C-Design&amp;Const'!Z164))=TRUE,"",IF(E164="N","PLACEHOLDER ROW - ","")),'C-Design&amp;Const'!Z164,IF(E164="N","",J164))</f>
        <v>PLACEHOLDER ROW - CUSTOM ROW - OPTIONAL CLIENT ITEM</v>
      </c>
      <c r="I164" s="184"/>
      <c r="J164" s="181"/>
      <c r="K164" s="230" t="str">
        <f t="shared" si="12"/>
        <v>match</v>
      </c>
      <c r="L164" s="1410" t="str">
        <f t="shared" si="10"/>
        <v>&lt;---PM/Planner may hide PLACEHOLDER ROW</v>
      </c>
      <c r="M164" s="1333"/>
      <c r="N164" s="1382"/>
      <c r="O164" s="1382"/>
      <c r="P164" s="1382"/>
      <c r="Q164" s="1382"/>
      <c r="R164" s="1382"/>
      <c r="S164" s="1382"/>
      <c r="T164" s="1382"/>
      <c r="U164" s="1382"/>
      <c r="V164" s="1382"/>
      <c r="W164" s="1382"/>
      <c r="X164" s="1382"/>
      <c r="Y164" s="1382"/>
      <c r="Z164" s="1382"/>
      <c r="AA164" s="1382"/>
      <c r="AB164" s="1382"/>
      <c r="AC164" s="1382"/>
      <c r="AD164" s="1382"/>
      <c r="AE164" s="1382"/>
      <c r="AF164" s="1382"/>
      <c r="AG164" s="1382"/>
      <c r="AH164" s="1382"/>
      <c r="AI164" s="1382"/>
      <c r="AJ164" s="1382"/>
      <c r="AK164" s="181"/>
      <c r="AL164" s="181"/>
      <c r="AM164" s="181"/>
      <c r="AN164" s="181"/>
      <c r="AO164" s="181"/>
      <c r="AP164" s="181"/>
      <c r="AQ164" s="181"/>
      <c r="AR164" s="181"/>
      <c r="AS164" s="181"/>
      <c r="AT164" s="181"/>
      <c r="AU164" s="181"/>
      <c r="AV164" s="181"/>
      <c r="AW164" s="181"/>
    </row>
    <row r="165" spans="1:50" s="30" customFormat="1" ht="15" hidden="1" customHeight="1" x14ac:dyDescent="0.25">
      <c r="A165" s="1407" t="str">
        <f>IF(COUNTIF('04 - 95% CD'!D165:G165,"Y")&gt;0,"Y",IF(COUNTIF('04 - 95% CD'!D165:G165,"N"),"N",""))</f>
        <v>N</v>
      </c>
      <c r="B165" s="191"/>
      <c r="C165" s="944"/>
      <c r="D165" s="463"/>
      <c r="E165" s="359" t="str">
        <f>IF('C-Design&amp;Const'!$W165="","",'C-Design&amp;Const'!$W165)</f>
        <v>N</v>
      </c>
      <c r="F165" s="235"/>
      <c r="G165" s="291"/>
      <c r="H165" s="358" t="str">
        <f>CONCATENATE(IF(ISNUMBER(SEARCH("Placeholder",'C-Design&amp;Const'!Z165))=TRUE,"",IF(E165="N","PLACEHOLDER ROW - ","")),'C-Design&amp;Const'!Z165,IF(E165="N","",J165))</f>
        <v>PLACEHOLDER ROW - CUSTOM ROW - OPTIONAL CLIENT ITEM</v>
      </c>
      <c r="I165" s="184"/>
      <c r="J165" s="181"/>
      <c r="K165" s="230" t="str">
        <f t="shared" si="12"/>
        <v>match</v>
      </c>
      <c r="L165" s="1410" t="str">
        <f t="shared" si="10"/>
        <v>&lt;---PM/Planner may hide PLACEHOLDER ROW</v>
      </c>
      <c r="M165" s="1333"/>
      <c r="N165" s="1382"/>
      <c r="O165" s="1382"/>
      <c r="P165" s="1382"/>
      <c r="Q165" s="1382"/>
      <c r="R165" s="1382"/>
      <c r="S165" s="1382"/>
      <c r="T165" s="1382"/>
      <c r="U165" s="1382"/>
      <c r="V165" s="1382"/>
      <c r="W165" s="1382"/>
      <c r="X165" s="1382"/>
      <c r="Y165" s="1382"/>
      <c r="Z165" s="1382"/>
      <c r="AA165" s="1382"/>
      <c r="AB165" s="1382"/>
      <c r="AC165" s="1382"/>
      <c r="AD165" s="1382"/>
      <c r="AE165" s="1382"/>
      <c r="AF165" s="1382"/>
      <c r="AG165" s="1382"/>
      <c r="AH165" s="1382"/>
      <c r="AI165" s="1382"/>
      <c r="AJ165" s="1382"/>
      <c r="AK165" s="181"/>
      <c r="AL165" s="181"/>
      <c r="AM165" s="181"/>
      <c r="AN165" s="181"/>
      <c r="AO165" s="181"/>
      <c r="AP165" s="181"/>
      <c r="AQ165" s="181"/>
      <c r="AR165" s="181"/>
      <c r="AS165" s="181"/>
      <c r="AT165" s="181"/>
      <c r="AU165" s="181"/>
      <c r="AV165" s="181"/>
      <c r="AW165" s="181"/>
    </row>
    <row r="166" spans="1:50" s="30" customFormat="1" ht="15" hidden="1" customHeight="1" x14ac:dyDescent="0.25">
      <c r="A166" s="1407" t="str">
        <f>IF(COUNTIF('04 - 95% CD'!D166:G166,"Y")&gt;0,"Y",IF(COUNTIF('04 - 95% CD'!D166:G166,"N"),"N",""))</f>
        <v>N</v>
      </c>
      <c r="B166" s="191"/>
      <c r="C166" s="944"/>
      <c r="D166" s="463"/>
      <c r="E166" s="359" t="str">
        <f>IF('C-Design&amp;Const'!$W166="","",'C-Design&amp;Const'!$W166)</f>
        <v>N</v>
      </c>
      <c r="F166" s="235"/>
      <c r="G166" s="291"/>
      <c r="H166" s="358" t="str">
        <f>CONCATENATE(IF(ISNUMBER(SEARCH("Placeholder",'C-Design&amp;Const'!Z166))=TRUE,"",IF(E166="N","PLACEHOLDER ROW - ","")),'C-Design&amp;Const'!Z166,IF(E166="N","",J166))</f>
        <v>PLACEHOLDER ROW - CUSTOM ROW - OPTIONAL CLIENT ITEM</v>
      </c>
      <c r="I166" s="184"/>
      <c r="J166" s="181"/>
      <c r="K166" s="230" t="str">
        <f t="shared" si="12"/>
        <v>match</v>
      </c>
      <c r="L166" s="1410" t="str">
        <f t="shared" si="10"/>
        <v>&lt;---PM/Planner may hide PLACEHOLDER ROW</v>
      </c>
      <c r="M166" s="1333"/>
      <c r="N166" s="1382"/>
      <c r="O166" s="1382"/>
      <c r="P166" s="1382"/>
      <c r="Q166" s="1382"/>
      <c r="R166" s="1382"/>
      <c r="S166" s="1382"/>
      <c r="T166" s="1382"/>
      <c r="U166" s="1382"/>
      <c r="V166" s="1382"/>
      <c r="W166" s="1382"/>
      <c r="X166" s="1382"/>
      <c r="Y166" s="1382"/>
      <c r="Z166" s="1382"/>
      <c r="AA166" s="1382"/>
      <c r="AB166" s="1382"/>
      <c r="AC166" s="1382"/>
      <c r="AD166" s="1382"/>
      <c r="AE166" s="1382"/>
      <c r="AF166" s="1382"/>
      <c r="AG166" s="1382"/>
      <c r="AH166" s="1382"/>
      <c r="AI166" s="1382"/>
      <c r="AJ166" s="1382"/>
      <c r="AK166" s="181"/>
      <c r="AL166" s="181"/>
      <c r="AM166" s="181"/>
      <c r="AN166" s="181"/>
      <c r="AO166" s="181"/>
      <c r="AP166" s="181"/>
      <c r="AQ166" s="181"/>
      <c r="AR166" s="181"/>
      <c r="AS166" s="181"/>
      <c r="AT166" s="181"/>
      <c r="AU166" s="181"/>
      <c r="AV166" s="181"/>
      <c r="AW166" s="181"/>
    </row>
    <row r="167" spans="1:50" s="17" customFormat="1" x14ac:dyDescent="0.25">
      <c r="A167" s="1407" t="str">
        <f>IF(COUNTIF('04 - 95% CD'!D167:G167,"Y")&gt;0,"Y",IF(COUNTIF('04 - 95% CD'!D167:G167,"N"),"N",""))</f>
        <v/>
      </c>
      <c r="B167" s="141"/>
      <c r="C167" s="944"/>
      <c r="D167" s="411"/>
      <c r="E167" s="411"/>
      <c r="F167" s="321"/>
      <c r="G167" s="294"/>
      <c r="H167" s="296"/>
      <c r="I167" s="130"/>
      <c r="K167" s="285" t="str">
        <f t="shared" si="12"/>
        <v>match</v>
      </c>
      <c r="L167" s="1410" t="str">
        <f t="shared" si="10"/>
        <v/>
      </c>
      <c r="M167" s="1333"/>
      <c r="N167" s="1333"/>
      <c r="O167" s="1333"/>
      <c r="P167" s="1333"/>
      <c r="Q167" s="1333"/>
      <c r="R167" s="1446"/>
      <c r="S167" s="1364"/>
      <c r="T167" s="1333"/>
      <c r="U167" s="1333"/>
      <c r="V167" s="1333"/>
      <c r="W167" s="1333"/>
      <c r="X167" s="1333"/>
      <c r="Y167" s="1333"/>
      <c r="Z167" s="1333"/>
      <c r="AA167" s="1333"/>
      <c r="AB167" s="1333"/>
      <c r="AC167" s="1333"/>
      <c r="AD167" s="1333"/>
      <c r="AE167" s="1333"/>
      <c r="AF167" s="1333"/>
      <c r="AG167" s="1333"/>
      <c r="AH167" s="1333"/>
      <c r="AI167" s="1333"/>
      <c r="AJ167" s="1333"/>
    </row>
    <row r="168" spans="1:50" s="181" customFormat="1" ht="34.5" customHeight="1" x14ac:dyDescent="0.25">
      <c r="A168" s="1501" t="str">
        <f>IF(COUNTIF('04 - 95% CD'!D168:G168,"Y")&gt;0,"Y",IF(COUNTIF('04 - 95% CD'!D168:G168,"N"),"N",""))</f>
        <v>Y</v>
      </c>
      <c r="B168" s="177"/>
      <c r="C168" s="948"/>
      <c r="D168" s="559" t="str">
        <f>IF('C-Design&amp;Const'!$W168="","",'C-Design&amp;Const'!$W168)</f>
        <v>N</v>
      </c>
      <c r="E168" s="234"/>
      <c r="F168" s="235"/>
      <c r="G168" s="291" t="str">
        <f>IF('C-Design&amp;Const'!Y168="","",'C-Design&amp;Const'!Y168)</f>
        <v>05a.</v>
      </c>
      <c r="H168" s="290" t="str">
        <f>CONCATENATE('C-Design&amp;Const'!Z168,IF(D168="N"," Not Used In This Construction Phase",J168))</f>
        <v>Ext. &amp; Int. Finishes Binder(s)/Finishes Board(s)  Not Used In This Construction Phase</v>
      </c>
      <c r="I168" s="185"/>
      <c r="K168" s="285" t="str">
        <f t="shared" si="12"/>
        <v>no 95% match</v>
      </c>
      <c r="L168" s="1410" t="str">
        <f t="shared" si="10"/>
        <v/>
      </c>
      <c r="M168" s="1333"/>
      <c r="N168" s="1382"/>
      <c r="O168" s="1382"/>
      <c r="P168" s="1382"/>
      <c r="Q168" s="1382"/>
      <c r="R168" s="1447"/>
      <c r="S168" s="1448"/>
      <c r="T168" s="1382"/>
      <c r="U168" s="1382"/>
      <c r="V168" s="1382"/>
      <c r="W168" s="1382"/>
      <c r="X168" s="1382"/>
      <c r="Y168" s="1382"/>
      <c r="Z168" s="1382"/>
      <c r="AA168" s="1382"/>
      <c r="AB168" s="1382"/>
      <c r="AC168" s="1382"/>
      <c r="AD168" s="1382"/>
      <c r="AE168" s="1382"/>
      <c r="AF168" s="1382"/>
      <c r="AG168" s="1382"/>
      <c r="AH168" s="1382"/>
      <c r="AI168" s="1382"/>
      <c r="AJ168" s="1382"/>
    </row>
    <row r="169" spans="1:50" s="17" customFormat="1" ht="28.5" hidden="1" x14ac:dyDescent="0.25">
      <c r="A169" s="1510" t="str">
        <f>IF(COUNTIF('04 - 95% CD'!D169:G169,"Y")&gt;0,"Y",IF(COUNTIF('04 - 95% CD'!D169:G169,"N"),"N",""))</f>
        <v>Y</v>
      </c>
      <c r="B169" s="141"/>
      <c r="C169" s="944"/>
      <c r="D169" s="321"/>
      <c r="E169" s="559" t="str">
        <f>IF('C-Design&amp;Const'!$W169="","",'C-Design&amp;Const'!$W169)</f>
        <v>N</v>
      </c>
      <c r="F169" s="560"/>
      <c r="G169" s="558"/>
      <c r="H169" s="238" t="str">
        <f>'04 - 95% CD'!H169</f>
        <v xml:space="preserve">(Complete) Product Samples of Floor Coverings, Wall Covering, Window Treatment, Ceiling Tile, etc... </v>
      </c>
      <c r="I169" s="136"/>
      <c r="K169" s="285" t="str">
        <f t="shared" si="12"/>
        <v>no 95% match</v>
      </c>
      <c r="L169" s="1410" t="str">
        <f t="shared" si="10"/>
        <v/>
      </c>
      <c r="M169" s="1333"/>
      <c r="N169" s="1333"/>
      <c r="O169" s="1333"/>
      <c r="P169" s="1333"/>
      <c r="Q169" s="1333"/>
      <c r="R169" s="1453"/>
      <c r="S169" s="1364"/>
      <c r="T169" s="1333"/>
      <c r="U169" s="1333"/>
      <c r="V169" s="1333"/>
      <c r="W169" s="1333"/>
      <c r="X169" s="1333"/>
      <c r="Y169" s="1333"/>
      <c r="Z169" s="1333"/>
      <c r="AA169" s="1333"/>
      <c r="AB169" s="1333"/>
      <c r="AC169" s="1333"/>
      <c r="AD169" s="1333"/>
      <c r="AE169" s="1333"/>
      <c r="AF169" s="1333"/>
      <c r="AG169" s="1333"/>
      <c r="AH169" s="1333"/>
      <c r="AI169" s="1333"/>
      <c r="AJ169" s="1333"/>
      <c r="AX169" s="542"/>
    </row>
    <row r="170" spans="1:50" s="17" customFormat="1" hidden="1" x14ac:dyDescent="0.25">
      <c r="A170" s="1510" t="str">
        <f>IF(COUNTIF('04 - 95% CD'!D170:G170,"Y")&gt;0,"Y",IF(COUNTIF('04 - 95% CD'!D170:G170,"N"),"N",""))</f>
        <v>Y</v>
      </c>
      <c r="B170" s="141"/>
      <c r="C170" s="944"/>
      <c r="D170" s="321"/>
      <c r="E170" s="559" t="str">
        <f>IF('C-Design&amp;Const'!$W170="","",'C-Design&amp;Const'!$W170)</f>
        <v>N</v>
      </c>
      <c r="F170" s="478"/>
      <c r="G170" s="485"/>
      <c r="H170" s="238" t="str">
        <f>'04 - 95% CD'!H170</f>
        <v>(Complete) Paint selections and combinations</v>
      </c>
      <c r="I170" s="136"/>
      <c r="K170" s="285" t="str">
        <f t="shared" si="12"/>
        <v>no 95% match</v>
      </c>
      <c r="L170" s="1410" t="str">
        <f t="shared" si="10"/>
        <v/>
      </c>
      <c r="M170" s="1333"/>
      <c r="N170" s="1333"/>
      <c r="O170" s="1333"/>
      <c r="P170" s="1333"/>
      <c r="Q170" s="1333"/>
      <c r="R170" s="1453"/>
      <c r="S170" s="1364"/>
      <c r="T170" s="1333"/>
      <c r="U170" s="1333"/>
      <c r="V170" s="1333"/>
      <c r="W170" s="1333"/>
      <c r="X170" s="1333"/>
      <c r="Y170" s="1333"/>
      <c r="Z170" s="1333"/>
      <c r="AA170" s="1333"/>
      <c r="AB170" s="1333"/>
      <c r="AC170" s="1333"/>
      <c r="AD170" s="1333"/>
      <c r="AE170" s="1333"/>
      <c r="AF170" s="1333"/>
      <c r="AG170" s="1333"/>
      <c r="AH170" s="1333"/>
      <c r="AI170" s="1333"/>
      <c r="AJ170" s="1333"/>
      <c r="AX170" s="542"/>
    </row>
    <row r="171" spans="1:50" s="17" customFormat="1" ht="15" hidden="1" customHeight="1" x14ac:dyDescent="0.25">
      <c r="A171" s="1510" t="str">
        <f>IF(COUNTIF('04 - 95% CD'!D171:G171,"Y")&gt;0,"Y",IF(COUNTIF('04 - 95% CD'!D171:G171,"N"),"N",""))</f>
        <v>Y</v>
      </c>
      <c r="B171" s="141"/>
      <c r="C171" s="944"/>
      <c r="D171" s="296"/>
      <c r="E171" s="559" t="str">
        <f>IF('C-Design&amp;Const'!$W171="","",'C-Design&amp;Const'!$W171)</f>
        <v>N</v>
      </c>
      <c r="F171" s="444"/>
      <c r="G171" s="94"/>
      <c r="H171" s="340" t="str">
        <f>'04 - 95% CD'!H171</f>
        <v>(revisions to) PSC contracted mock-ups to match existing brick</v>
      </c>
      <c r="I171" s="145"/>
      <c r="K171" s="285" t="str">
        <f t="shared" si="12"/>
        <v>no 95% match</v>
      </c>
      <c r="L171" s="1410" t="str">
        <f t="shared" si="10"/>
        <v/>
      </c>
      <c r="M171" s="1333"/>
      <c r="N171" s="1333"/>
      <c r="O171" s="1333"/>
      <c r="P171" s="1333"/>
      <c r="Q171" s="1333"/>
      <c r="R171" s="1444"/>
      <c r="S171" s="1448"/>
      <c r="T171" s="1333"/>
      <c r="U171" s="1333"/>
      <c r="V171" s="1333"/>
      <c r="W171" s="1333"/>
      <c r="X171" s="1333"/>
      <c r="Y171" s="1333"/>
      <c r="Z171" s="1333"/>
      <c r="AA171" s="1333"/>
      <c r="AB171" s="1333"/>
      <c r="AC171" s="1333"/>
      <c r="AD171" s="1333"/>
      <c r="AE171" s="1333"/>
      <c r="AF171" s="1333"/>
      <c r="AG171" s="1333"/>
      <c r="AH171" s="1333"/>
      <c r="AI171" s="1333"/>
      <c r="AJ171" s="1333"/>
      <c r="AX171" s="542"/>
    </row>
    <row r="172" spans="1:50" s="545" customFormat="1" ht="15" hidden="1" customHeight="1" x14ac:dyDescent="0.25">
      <c r="A172" s="1407" t="str">
        <f>IF(COUNTIF('04 - 95% CD'!D172:G172,"Y")&gt;0,"Y",IF(COUNTIF('04 - 95% CD'!D172:G172,"N"),"N",""))</f>
        <v>N</v>
      </c>
      <c r="B172" s="554"/>
      <c r="C172" s="944"/>
      <c r="D172" s="463"/>
      <c r="E172" s="559" t="str">
        <f>IF('C-Design&amp;Const'!$W172="","",'C-Design&amp;Const'!$W172)</f>
        <v>N</v>
      </c>
      <c r="F172" s="235"/>
      <c r="G172" s="291"/>
      <c r="H172" s="340" t="str">
        <f>'04 - 95% CD'!H172</f>
        <v>PLACEHOLDER ROW - CUSTOM ROW - OPTIONAL CLIENT ITEM</v>
      </c>
      <c r="I172" s="552"/>
      <c r="J172" s="551"/>
      <c r="K172" s="230" t="str">
        <f t="shared" si="12"/>
        <v>match</v>
      </c>
      <c r="L172" s="1410" t="str">
        <f t="shared" si="10"/>
        <v>&lt;---PM/Planner may hide PLACEHOLDER ROW</v>
      </c>
      <c r="M172" s="1333"/>
      <c r="N172" s="1382"/>
      <c r="O172" s="1382"/>
      <c r="P172" s="1382"/>
      <c r="Q172" s="1382"/>
      <c r="R172" s="1382"/>
      <c r="S172" s="1382"/>
      <c r="T172" s="1382"/>
      <c r="U172" s="1382"/>
      <c r="V172" s="1382"/>
      <c r="W172" s="1382"/>
      <c r="X172" s="1382"/>
      <c r="Y172" s="1382"/>
      <c r="Z172" s="1382"/>
      <c r="AA172" s="1382"/>
      <c r="AB172" s="1382"/>
      <c r="AC172" s="1382"/>
      <c r="AD172" s="1382"/>
      <c r="AE172" s="1382"/>
      <c r="AF172" s="1382"/>
      <c r="AG172" s="1382"/>
      <c r="AH172" s="1382"/>
      <c r="AI172" s="1382"/>
      <c r="AJ172" s="1382"/>
      <c r="AK172" s="551"/>
      <c r="AL172" s="551"/>
      <c r="AM172" s="551"/>
      <c r="AN172" s="551"/>
      <c r="AO172" s="551"/>
      <c r="AP172" s="551"/>
      <c r="AQ172" s="551"/>
      <c r="AR172" s="551"/>
      <c r="AS172" s="551"/>
      <c r="AT172" s="551"/>
      <c r="AU172" s="551"/>
      <c r="AV172" s="551"/>
      <c r="AW172" s="551"/>
    </row>
    <row r="173" spans="1:50" s="17" customFormat="1" x14ac:dyDescent="0.25">
      <c r="A173" s="1516" t="str">
        <f>IF(COUNTIF('04 - 95% CD'!D173:G173,"Y")&gt;0,"Y",IF(COUNTIF('04 - 95% CD'!D173:G173,"N"),"N",""))</f>
        <v/>
      </c>
      <c r="B173" s="141"/>
      <c r="C173" s="944"/>
      <c r="D173" s="411"/>
      <c r="E173" s="411"/>
      <c r="F173" s="321"/>
      <c r="G173" s="294"/>
      <c r="H173" s="296"/>
      <c r="I173" s="130"/>
      <c r="K173" s="285" t="str">
        <f t="shared" si="12"/>
        <v>match</v>
      </c>
      <c r="L173" s="1410" t="str">
        <f t="shared" si="10"/>
        <v/>
      </c>
      <c r="M173" s="1333"/>
      <c r="N173" s="1333"/>
      <c r="O173" s="1333"/>
      <c r="P173" s="1333"/>
      <c r="Q173" s="1333"/>
      <c r="R173" s="1446"/>
      <c r="S173" s="1364"/>
      <c r="T173" s="1333"/>
      <c r="U173" s="1333"/>
      <c r="V173" s="1333"/>
      <c r="W173" s="1333"/>
      <c r="X173" s="1333"/>
      <c r="Y173" s="1333"/>
      <c r="Z173" s="1333"/>
      <c r="AA173" s="1333"/>
      <c r="AB173" s="1333"/>
      <c r="AC173" s="1333"/>
      <c r="AD173" s="1333"/>
      <c r="AE173" s="1333"/>
      <c r="AF173" s="1333"/>
      <c r="AG173" s="1333"/>
      <c r="AH173" s="1333"/>
      <c r="AI173" s="1333"/>
      <c r="AJ173" s="1333"/>
    </row>
    <row r="174" spans="1:50" s="181" customFormat="1" ht="34.5" customHeight="1" x14ac:dyDescent="0.3">
      <c r="A174" s="1501" t="str">
        <f>IF(COUNTIF('04 - 95% CD'!D174:G174,"Y")&gt;0,"Y",IF(COUNTIF('04 - 95% CD'!D174:G174,"N"),"N",""))</f>
        <v>Y</v>
      </c>
      <c r="B174" s="177"/>
      <c r="C174" s="948"/>
      <c r="D174" s="559" t="str">
        <f>IF('C-Design&amp;Const'!$W174="","",'C-Design&amp;Const'!$W174)</f>
        <v>N</v>
      </c>
      <c r="E174" s="234"/>
      <c r="F174" s="235"/>
      <c r="G174" s="291" t="str">
        <f>IF('C-Design&amp;Const'!Y174="","",'C-Design&amp;Const'!Y174)</f>
        <v>05b.</v>
      </c>
      <c r="H174" s="298" t="str">
        <f>CONCATENATE('C-Design&amp;Const'!Z174,IF(D174="N"," Not Used In This Construction Phase",J174))</f>
        <v>Furnitures, Fixtures, and Equipment Binder(s) Not Used In This Construction Phase</v>
      </c>
      <c r="I174" s="185"/>
      <c r="K174" s="285" t="str">
        <f t="shared" si="12"/>
        <v>no 95% match</v>
      </c>
      <c r="L174" s="1410" t="str">
        <f t="shared" ref="L174:L248" si="21">CONCATENATE(IF(ISNUMBER(SEARCH("Placeholder",H174))=TRUE,"&lt;---PM/Planner may hide PLACEHOLDER ROW",""))</f>
        <v/>
      </c>
      <c r="M174" s="1333"/>
      <c r="N174" s="1382"/>
      <c r="O174" s="1382"/>
      <c r="P174" s="1382"/>
      <c r="Q174" s="1382"/>
      <c r="R174" s="1447"/>
      <c r="S174" s="1448"/>
      <c r="T174" s="1382"/>
      <c r="U174" s="1382"/>
      <c r="V174" s="1382"/>
      <c r="W174" s="1382"/>
      <c r="X174" s="1382"/>
      <c r="Y174" s="1382"/>
      <c r="Z174" s="1382"/>
      <c r="AA174" s="1382"/>
      <c r="AB174" s="1382"/>
      <c r="AC174" s="1382"/>
      <c r="AD174" s="1382"/>
      <c r="AE174" s="1382"/>
      <c r="AF174" s="1382"/>
      <c r="AG174" s="1382"/>
      <c r="AH174" s="1382"/>
      <c r="AI174" s="1382"/>
      <c r="AJ174" s="1382"/>
    </row>
    <row r="175" spans="1:50" s="17" customFormat="1" hidden="1" x14ac:dyDescent="0.25">
      <c r="A175" s="1510" t="str">
        <f>IF(COUNTIF('04 - 95% CD'!D175:G175,"Y")&gt;0,"Y",IF(COUNTIF('04 - 95% CD'!D175:G175,"N"),"N",""))</f>
        <v>Y</v>
      </c>
      <c r="B175" s="141"/>
      <c r="C175" s="944"/>
      <c r="D175" s="321"/>
      <c r="E175" s="559" t="str">
        <f>IF('C-Design&amp;Const'!$W175="","",'C-Design&amp;Const'!$W175)</f>
        <v>N</v>
      </c>
      <c r="F175" s="560"/>
      <c r="G175" s="558"/>
      <c r="H175" s="238" t="str">
        <f>'04 - 95% CD'!H175</f>
        <v>(Complete) Cut Sheets</v>
      </c>
      <c r="I175" s="136"/>
      <c r="K175" s="285" t="str">
        <f t="shared" ref="K175:K261" si="22">IF((COUNTIF(D175:F175,"Y")=COUNTIF(A175,"Y")),"match","no 95% match")</f>
        <v>no 95% match</v>
      </c>
      <c r="L175" s="1410" t="str">
        <f t="shared" si="21"/>
        <v/>
      </c>
      <c r="M175" s="1333"/>
      <c r="N175" s="1333"/>
      <c r="O175" s="1333"/>
      <c r="P175" s="1333"/>
      <c r="Q175" s="1333"/>
      <c r="R175" s="1453"/>
      <c r="S175" s="1364"/>
      <c r="T175" s="1333"/>
      <c r="U175" s="1333"/>
      <c r="V175" s="1333"/>
      <c r="W175" s="1333"/>
      <c r="X175" s="1333"/>
      <c r="Y175" s="1333"/>
      <c r="Z175" s="1333"/>
      <c r="AA175" s="1333"/>
      <c r="AB175" s="1333"/>
      <c r="AC175" s="1333"/>
      <c r="AD175" s="1333"/>
      <c r="AE175" s="1333"/>
      <c r="AF175" s="1333"/>
      <c r="AG175" s="1333"/>
      <c r="AH175" s="1333"/>
      <c r="AI175" s="1333"/>
      <c r="AJ175" s="1333"/>
      <c r="AX175"/>
    </row>
    <row r="176" spans="1:50" s="17" customFormat="1" hidden="1" x14ac:dyDescent="0.25">
      <c r="A176" s="1510" t="str">
        <f>IF(COUNTIF('04 - 95% CD'!D176:G176,"Y")&gt;0,"Y",IF(COUNTIF('04 - 95% CD'!D176:G176,"N"),"N",""))</f>
        <v>Y</v>
      </c>
      <c r="B176" s="141"/>
      <c r="C176" s="944"/>
      <c r="D176" s="321"/>
      <c r="E176" s="559" t="str">
        <f>IF('C-Design&amp;Const'!$W176="","",'C-Design&amp;Const'!$W176)</f>
        <v>N</v>
      </c>
      <c r="F176" s="478"/>
      <c r="G176" s="485"/>
      <c r="H176" s="238" t="str">
        <f>'04 - 95% CD'!H176</f>
        <v>(Complete) Product Samples</v>
      </c>
      <c r="I176" s="136"/>
      <c r="K176" s="285" t="str">
        <f t="shared" si="22"/>
        <v>no 95% match</v>
      </c>
      <c r="L176" s="1410" t="str">
        <f t="shared" si="21"/>
        <v/>
      </c>
      <c r="M176" s="1333"/>
      <c r="N176" s="1333"/>
      <c r="O176" s="1333"/>
      <c r="P176" s="1333"/>
      <c r="Q176" s="1333"/>
      <c r="R176" s="1453"/>
      <c r="S176" s="1364"/>
      <c r="T176" s="1333"/>
      <c r="U176" s="1333"/>
      <c r="V176" s="1333"/>
      <c r="W176" s="1333"/>
      <c r="X176" s="1333"/>
      <c r="Y176" s="1333"/>
      <c r="Z176" s="1333"/>
      <c r="AA176" s="1333"/>
      <c r="AB176" s="1333"/>
      <c r="AC176" s="1333"/>
      <c r="AD176" s="1333"/>
      <c r="AE176" s="1333"/>
      <c r="AF176" s="1333"/>
      <c r="AG176" s="1333"/>
      <c r="AH176" s="1333"/>
      <c r="AI176" s="1333"/>
      <c r="AJ176" s="1333"/>
      <c r="AX176"/>
    </row>
    <row r="177" spans="1:50" s="17" customFormat="1" ht="15" hidden="1" customHeight="1" x14ac:dyDescent="0.25">
      <c r="A177" s="1510" t="str">
        <f>IF(COUNTIF('04 - 95% CD'!D177:G177,"Y")&gt;0,"Y",IF(COUNTIF('04 - 95% CD'!D177:G177,"N"),"N",""))</f>
        <v>Y</v>
      </c>
      <c r="B177" s="141"/>
      <c r="C177" s="944"/>
      <c r="D177" s="296"/>
      <c r="E177" s="559" t="str">
        <f>IF('C-Design&amp;Const'!$W177="","",'C-Design&amp;Const'!$W177)</f>
        <v>N</v>
      </c>
      <c r="F177" s="444"/>
      <c r="G177" s="94"/>
      <c r="H177" s="340" t="str">
        <f>'04 - 95% CD'!H177</f>
        <v>(Complete) "Furniture Information Form" (electronic)</v>
      </c>
      <c r="I177" s="145"/>
      <c r="K177" s="285" t="str">
        <f t="shared" si="22"/>
        <v>no 95% match</v>
      </c>
      <c r="L177" s="1410" t="str">
        <f t="shared" si="21"/>
        <v/>
      </c>
      <c r="M177" s="1333"/>
      <c r="N177" s="1333"/>
      <c r="O177" s="1333"/>
      <c r="P177" s="1333"/>
      <c r="Q177" s="1333"/>
      <c r="R177" s="1444"/>
      <c r="S177" s="1448"/>
      <c r="T177" s="1333"/>
      <c r="U177" s="1333"/>
      <c r="V177" s="1333"/>
      <c r="W177" s="1333"/>
      <c r="X177" s="1333"/>
      <c r="Y177" s="1333"/>
      <c r="Z177" s="1333"/>
      <c r="AA177" s="1333"/>
      <c r="AB177" s="1333"/>
      <c r="AC177" s="1333"/>
      <c r="AD177" s="1333"/>
      <c r="AE177" s="1333"/>
      <c r="AF177" s="1333"/>
      <c r="AG177" s="1333"/>
      <c r="AH177" s="1333"/>
      <c r="AI177" s="1333"/>
      <c r="AJ177" s="1333"/>
      <c r="AX177"/>
    </row>
    <row r="178" spans="1:50" s="30" customFormat="1" ht="15" hidden="1" customHeight="1" x14ac:dyDescent="0.25">
      <c r="A178" s="1407" t="str">
        <f>IF(COUNTIF('04 - 95% CD'!D178:G178,"Y")&gt;0,"Y",IF(COUNTIF('04 - 95% CD'!D178:G178,"N"),"N",""))</f>
        <v>N</v>
      </c>
      <c r="B178" s="191"/>
      <c r="C178" s="944"/>
      <c r="D178" s="463"/>
      <c r="E178" s="559" t="str">
        <f>IF('C-Design&amp;Const'!$W178="","",'C-Design&amp;Const'!$W178)</f>
        <v>N</v>
      </c>
      <c r="F178" s="235"/>
      <c r="G178" s="291"/>
      <c r="H178" s="340" t="str">
        <f>'04 - 95% CD'!H178</f>
        <v>PLACEHOLDER ROW - CUSTOM ROW - OPTIONAL CLIENT ITEM</v>
      </c>
      <c r="I178" s="184"/>
      <c r="J178" s="181"/>
      <c r="K178" s="230" t="str">
        <f t="shared" si="22"/>
        <v>match</v>
      </c>
      <c r="L178" s="1410" t="str">
        <f t="shared" si="21"/>
        <v>&lt;---PM/Planner may hide PLACEHOLDER ROW</v>
      </c>
      <c r="M178" s="1333"/>
      <c r="N178" s="1382"/>
      <c r="O178" s="1382"/>
      <c r="P178" s="1382"/>
      <c r="Q178" s="1382"/>
      <c r="R178" s="1382"/>
      <c r="S178" s="1382"/>
      <c r="T178" s="1382"/>
      <c r="U178" s="1382"/>
      <c r="V178" s="1382"/>
      <c r="W178" s="1382"/>
      <c r="X178" s="1382"/>
      <c r="Y178" s="1382"/>
      <c r="Z178" s="1382"/>
      <c r="AA178" s="1382"/>
      <c r="AB178" s="1382"/>
      <c r="AC178" s="1382"/>
      <c r="AD178" s="1382"/>
      <c r="AE178" s="1382"/>
      <c r="AF178" s="1382"/>
      <c r="AG178" s="1382"/>
      <c r="AH178" s="1382"/>
      <c r="AI178" s="1382"/>
      <c r="AJ178" s="1382"/>
      <c r="AK178" s="181"/>
      <c r="AL178" s="181"/>
      <c r="AM178" s="181"/>
      <c r="AN178" s="181"/>
      <c r="AO178" s="181"/>
      <c r="AP178" s="181"/>
      <c r="AQ178" s="181"/>
      <c r="AR178" s="181"/>
      <c r="AS178" s="181"/>
      <c r="AT178" s="181"/>
      <c r="AU178" s="181"/>
      <c r="AV178" s="181"/>
      <c r="AW178" s="181"/>
    </row>
    <row r="179" spans="1:50" s="17" customFormat="1" x14ac:dyDescent="0.25">
      <c r="A179" s="1510" t="str">
        <f>IF(COUNTIF('04 - 95% CD'!D179:G179,"Y")&gt;0,"Y",IF(COUNTIF('04 - 95% CD'!D179:G179,"N"),"N",""))</f>
        <v/>
      </c>
      <c r="B179" s="141"/>
      <c r="C179" s="944"/>
      <c r="D179" s="411"/>
      <c r="E179" s="411"/>
      <c r="F179" s="321"/>
      <c r="G179" s="294"/>
      <c r="H179" s="296"/>
      <c r="I179" s="130"/>
      <c r="K179" s="285" t="str">
        <f t="shared" si="22"/>
        <v>match</v>
      </c>
      <c r="L179" s="1410" t="str">
        <f t="shared" si="21"/>
        <v/>
      </c>
      <c r="M179" s="1333"/>
      <c r="N179" s="1333"/>
      <c r="O179" s="1333"/>
      <c r="P179" s="1333"/>
      <c r="Q179" s="1333"/>
      <c r="R179" s="1445"/>
      <c r="S179" s="1364"/>
      <c r="T179" s="1333"/>
      <c r="U179" s="1333"/>
      <c r="V179" s="1333"/>
      <c r="W179" s="1333"/>
      <c r="X179" s="1333"/>
      <c r="Y179" s="1333"/>
      <c r="Z179" s="1333"/>
      <c r="AA179" s="1333"/>
      <c r="AB179" s="1333"/>
      <c r="AC179" s="1333"/>
      <c r="AD179" s="1333"/>
      <c r="AE179" s="1333"/>
      <c r="AF179" s="1333"/>
      <c r="AG179" s="1333"/>
      <c r="AH179" s="1333"/>
      <c r="AI179" s="1333"/>
      <c r="AJ179" s="1333"/>
    </row>
    <row r="180" spans="1:50" s="181" customFormat="1" ht="20.25" customHeight="1" x14ac:dyDescent="0.25">
      <c r="A180" s="1501" t="str">
        <f>IF(COUNTIF('04 - 95% CD'!D180:G180,"Y")&gt;0,"Y",IF(COUNTIF('04 - 95% CD'!D180:G180,"N"),"N",""))</f>
        <v>Y</v>
      </c>
      <c r="B180" s="177"/>
      <c r="C180" s="944"/>
      <c r="D180" s="559" t="str">
        <f>IF('C-Design&amp;Const'!$W180="","",'C-Design&amp;Const'!$W180)</f>
        <v>N</v>
      </c>
      <c r="E180" s="234"/>
      <c r="F180" s="235"/>
      <c r="G180" s="291" t="str">
        <f>IF('C-Design&amp;Const'!Y180="","",'C-Design&amp;Const'!Y180)</f>
        <v>06.</v>
      </c>
      <c r="H180" s="290" t="str">
        <f>CONCATENATE('C-Design&amp;Const'!Z180,IF(D180="N"," Not Used In This Construction Phase",J180))</f>
        <v>Project Manual  Not Used In This Construction Phase</v>
      </c>
      <c r="I180" s="552"/>
      <c r="K180" s="285" t="str">
        <f t="shared" si="22"/>
        <v>no 95% match</v>
      </c>
      <c r="L180" s="1410" t="str">
        <f t="shared" si="21"/>
        <v/>
      </c>
      <c r="M180" s="1333"/>
      <c r="N180" s="1382"/>
      <c r="O180" s="1382"/>
      <c r="P180" s="1382"/>
      <c r="Q180" s="1382"/>
      <c r="R180" s="1447"/>
      <c r="S180" s="1448"/>
      <c r="T180" s="1382"/>
      <c r="U180" s="1382"/>
      <c r="V180" s="1382"/>
      <c r="W180" s="1382"/>
      <c r="X180" s="1382"/>
      <c r="Y180" s="1382"/>
      <c r="Z180" s="1382"/>
      <c r="AA180" s="1382"/>
      <c r="AB180" s="1382"/>
      <c r="AC180" s="1382"/>
      <c r="AD180" s="1382"/>
      <c r="AE180" s="1382"/>
      <c r="AF180" s="1382"/>
      <c r="AG180" s="1382"/>
      <c r="AH180" s="1382"/>
      <c r="AI180" s="1382"/>
      <c r="AJ180" s="1382"/>
      <c r="AX180" s="30"/>
    </row>
    <row r="181" spans="1:50" s="17" customFormat="1" ht="23.25" hidden="1" customHeight="1" x14ac:dyDescent="0.25">
      <c r="A181" s="1510" t="str">
        <f>IF(COUNTIF('04 - 95% CD'!D181:G181,"Y")&gt;0,"Y",IF(COUNTIF('04 - 95% CD'!D181:G181,"N"),"N",""))</f>
        <v>Y</v>
      </c>
      <c r="B181" s="141"/>
      <c r="C181" s="944"/>
      <c r="D181" s="321"/>
      <c r="E181" s="559" t="str">
        <f>IF('C-Design&amp;Const'!$W181="","",'C-Design&amp;Const'!$W181)</f>
        <v>N</v>
      </c>
      <c r="F181" s="560"/>
      <c r="G181" s="558"/>
      <c r="H181" s="238" t="str">
        <f>'04 - 95% CD'!H181</f>
        <v>Summary of Changes by Discipline (beyond corrections from comments) - UNDER SEPARATE COVER &amp; NOT BOUND WITH MANUAL.</v>
      </c>
      <c r="I181" s="552"/>
      <c r="K181" s="285" t="str">
        <f t="shared" si="22"/>
        <v>no 95% match</v>
      </c>
      <c r="L181" s="1410" t="str">
        <f t="shared" si="21"/>
        <v/>
      </c>
      <c r="M181" s="1333"/>
      <c r="N181" s="1333"/>
      <c r="O181" s="1333"/>
      <c r="P181" s="1333"/>
      <c r="Q181" s="1333"/>
      <c r="R181" s="1453"/>
      <c r="S181" s="1364"/>
      <c r="T181" s="1333"/>
      <c r="U181" s="1333"/>
      <c r="V181" s="1333"/>
      <c r="W181" s="1333"/>
      <c r="X181" s="1333"/>
      <c r="Y181" s="1333"/>
      <c r="Z181" s="1333"/>
      <c r="AA181" s="1333"/>
      <c r="AB181" s="1333"/>
      <c r="AC181" s="1333"/>
      <c r="AD181" s="1333"/>
      <c r="AE181" s="1333"/>
      <c r="AF181" s="1333"/>
      <c r="AG181" s="1333"/>
      <c r="AH181" s="1333"/>
      <c r="AI181" s="1333"/>
      <c r="AJ181" s="1333"/>
      <c r="AX181"/>
    </row>
    <row r="182" spans="1:50" s="17" customFormat="1" ht="18.75" hidden="1" x14ac:dyDescent="0.25">
      <c r="A182" s="1510" t="str">
        <f>IF(COUNTIF('04 - 95% CD'!D183:G183,"Y")&gt;0,"Y",IF(COUNTIF('04 - 95% CD'!D183:G183,"N"),"N",""))</f>
        <v>Y</v>
      </c>
      <c r="B182" s="141"/>
      <c r="C182" s="944"/>
      <c r="D182" s="321"/>
      <c r="E182" s="559" t="str">
        <f>IF('C-Design&amp;Const'!$W183="","",'C-Design&amp;Const'!$W183)</f>
        <v>N</v>
      </c>
      <c r="F182" s="478"/>
      <c r="G182" s="558"/>
      <c r="H182" s="238" t="str">
        <f>'04 - 95% CD'!H183</f>
        <v xml:space="preserve">Front End Documents  [Div 00] </v>
      </c>
      <c r="I182" s="552"/>
      <c r="K182" s="285" t="str">
        <f t="shared" si="22"/>
        <v>no 95% match</v>
      </c>
      <c r="L182" s="1410" t="str">
        <f t="shared" si="21"/>
        <v/>
      </c>
      <c r="M182" s="1333"/>
      <c r="N182" s="1333"/>
      <c r="O182" s="1333"/>
      <c r="P182" s="1333"/>
      <c r="Q182" s="1333"/>
      <c r="R182" s="1452"/>
      <c r="S182" s="1364"/>
      <c r="T182" s="1333"/>
      <c r="U182" s="1333"/>
      <c r="V182" s="1333"/>
      <c r="W182" s="1333"/>
      <c r="X182" s="1333"/>
      <c r="Y182" s="1333"/>
      <c r="Z182" s="1333"/>
      <c r="AA182" s="1333"/>
      <c r="AB182" s="1333"/>
      <c r="AC182" s="1333"/>
      <c r="AD182" s="1333"/>
      <c r="AE182" s="1333"/>
      <c r="AF182" s="1333"/>
      <c r="AG182" s="1333"/>
      <c r="AH182" s="1333"/>
      <c r="AI182" s="1333"/>
      <c r="AJ182" s="1333"/>
      <c r="AX182"/>
    </row>
    <row r="183" spans="1:50" s="17" customFormat="1" ht="18.75" hidden="1" x14ac:dyDescent="0.25">
      <c r="A183" s="1510" t="str">
        <f>IF(COUNTIF('04 - 95% CD'!D184:G184,"Y")&gt;0,"Y",IF(COUNTIF('04 - 95% CD'!D184:G184,"N"),"N",""))</f>
        <v>N</v>
      </c>
      <c r="B183" s="141"/>
      <c r="C183" s="944"/>
      <c r="D183" s="321"/>
      <c r="E183" s="559" t="str">
        <f>IF('C-Design&amp;Const'!$W184="","",'C-Design&amp;Const'!$W184)</f>
        <v>N</v>
      </c>
      <c r="F183" s="478"/>
      <c r="G183" s="485"/>
      <c r="H183" s="410" t="str">
        <f>'04 - 95% CD'!H184</f>
        <v>PLACEHOLDER ROW - Outline Specifications (CSI Format)</v>
      </c>
      <c r="I183" s="552"/>
      <c r="K183" s="285" t="str">
        <f t="shared" si="22"/>
        <v>match</v>
      </c>
      <c r="L183" s="1410" t="str">
        <f t="shared" si="21"/>
        <v>&lt;---PM/Planner may hide PLACEHOLDER ROW</v>
      </c>
      <c r="M183" s="1333"/>
      <c r="N183" s="1333"/>
      <c r="O183" s="1333"/>
      <c r="P183" s="1333"/>
      <c r="Q183" s="1333"/>
      <c r="R183" s="1453"/>
      <c r="S183" s="1364"/>
      <c r="T183" s="1333"/>
      <c r="U183" s="1333"/>
      <c r="V183" s="1333"/>
      <c r="W183" s="1333"/>
      <c r="X183" s="1333"/>
      <c r="Y183" s="1333"/>
      <c r="Z183" s="1333"/>
      <c r="AA183" s="1333"/>
      <c r="AB183" s="1333"/>
      <c r="AC183" s="1333"/>
      <c r="AD183" s="1333"/>
      <c r="AE183" s="1333"/>
      <c r="AF183" s="1333"/>
      <c r="AG183" s="1333"/>
      <c r="AH183" s="1333"/>
      <c r="AI183" s="1333"/>
      <c r="AJ183" s="1333"/>
      <c r="AX183"/>
    </row>
    <row r="184" spans="1:50" s="17" customFormat="1" ht="18.75" hidden="1" x14ac:dyDescent="0.25">
      <c r="A184" s="1510" t="str">
        <f>IF(COUNTIF('04 - 95% CD'!D185:G185,"Y")&gt;0,"Y",IF(COUNTIF('04 - 95% CD'!D185:G185,"N"),"N",""))</f>
        <v>Y</v>
      </c>
      <c r="B184" s="141"/>
      <c r="C184" s="944"/>
      <c r="D184" s="321"/>
      <c r="E184" s="559" t="str">
        <f>IF('C-Design&amp;Const'!$W185="","",'C-Design&amp;Const'!$W185)</f>
        <v>N</v>
      </c>
      <c r="F184" s="478"/>
      <c r="G184" s="485"/>
      <c r="H184" s="238" t="str">
        <f>'04 - 95% CD'!H185</f>
        <v xml:space="preserve">Technical Specifications  [Div 01 and after](Complete) </v>
      </c>
      <c r="I184" s="552"/>
      <c r="K184" s="285" t="str">
        <f t="shared" si="22"/>
        <v>no 95% match</v>
      </c>
      <c r="L184" s="1410" t="str">
        <f t="shared" si="21"/>
        <v/>
      </c>
      <c r="M184" s="1333"/>
      <c r="N184" s="1333"/>
      <c r="O184" s="1333"/>
      <c r="P184" s="1333"/>
      <c r="Q184" s="1333"/>
      <c r="R184" s="1453"/>
      <c r="S184" s="1364"/>
      <c r="T184" s="1333"/>
      <c r="U184" s="1333"/>
      <c r="V184" s="1333"/>
      <c r="W184" s="1333"/>
      <c r="X184" s="1333"/>
      <c r="Y184" s="1333"/>
      <c r="Z184" s="1333"/>
      <c r="AA184" s="1333"/>
      <c r="AB184" s="1333"/>
      <c r="AC184" s="1333"/>
      <c r="AD184" s="1333"/>
      <c r="AE184" s="1333"/>
      <c r="AF184" s="1333"/>
      <c r="AG184" s="1333"/>
      <c r="AH184" s="1333"/>
      <c r="AI184" s="1333"/>
      <c r="AJ184" s="1333"/>
      <c r="AX184"/>
    </row>
    <row r="185" spans="1:50" s="17" customFormat="1" ht="18.75" hidden="1" x14ac:dyDescent="0.25">
      <c r="A185" s="1510" t="str">
        <f>IF(COUNTIF('04 - 95% CD'!D186:G186,"Y")&gt;0,"Y",IF(COUNTIF('04 - 95% CD'!D186:G186,"N"),"N",""))</f>
        <v>Y</v>
      </c>
      <c r="B185" s="141"/>
      <c r="C185" s="944"/>
      <c r="D185" s="296"/>
      <c r="E185" s="559" t="str">
        <f>IF('C-Design&amp;Const'!$W186="","",'C-Design&amp;Const'!$W186)</f>
        <v>N</v>
      </c>
      <c r="F185" s="444"/>
      <c r="G185" s="94"/>
      <c r="H185" s="340" t="str">
        <f>'04 - 95% CD'!H186</f>
        <v xml:space="preserve">FF&amp;E Outline Specification for at least 2 competitor packages (Complete) </v>
      </c>
      <c r="I185" s="552"/>
      <c r="K185" s="285" t="str">
        <f t="shared" si="22"/>
        <v>no 95% match</v>
      </c>
      <c r="L185" s="1410" t="str">
        <f t="shared" si="21"/>
        <v/>
      </c>
      <c r="M185" s="1333"/>
      <c r="N185" s="1333"/>
      <c r="O185" s="1333"/>
      <c r="P185" s="1333"/>
      <c r="Q185" s="1333"/>
      <c r="R185" s="1444"/>
      <c r="S185" s="1448"/>
      <c r="T185" s="1333"/>
      <c r="U185" s="1333"/>
      <c r="V185" s="1333"/>
      <c r="W185" s="1333"/>
      <c r="X185" s="1333"/>
      <c r="Y185" s="1333"/>
      <c r="Z185" s="1333"/>
      <c r="AA185" s="1333"/>
      <c r="AB185" s="1333"/>
      <c r="AC185" s="1333"/>
      <c r="AD185" s="1333"/>
      <c r="AE185" s="1333"/>
      <c r="AF185" s="1333"/>
      <c r="AG185" s="1333"/>
      <c r="AH185" s="1333"/>
      <c r="AI185" s="1333"/>
      <c r="AJ185" s="1333"/>
      <c r="AX185"/>
    </row>
    <row r="186" spans="1:50" s="17" customFormat="1" ht="12.75" hidden="1" customHeight="1" x14ac:dyDescent="0.25">
      <c r="A186" s="1518" t="str">
        <f>IF(COUNTIF('04 - 95% CD'!D187:G187,"Y")&gt;0,"Y",IF(COUNTIF('04 - 95% CD'!D187:G187,"N"),"N",""))</f>
        <v>Y</v>
      </c>
      <c r="B186" s="141"/>
      <c r="C186" s="944"/>
      <c r="D186" s="321"/>
      <c r="E186" s="559" t="str">
        <f>IF('C-Design&amp;Const'!$W187="","",'C-Design&amp;Const'!$W187)</f>
        <v>N</v>
      </c>
      <c r="F186" s="460"/>
      <c r="G186" s="485"/>
      <c r="H186" s="410" t="str">
        <f>'04 - 95% CD'!H187</f>
        <v xml:space="preserve">Furniture Information Form (FIF)(Complete) </v>
      </c>
      <c r="I186" s="552"/>
      <c r="K186" s="285" t="str">
        <f>IF((COUNTIF(D186:F186,"Y")=COUNTIF(A186,"Y")),"match","no 95% match")</f>
        <v>no 95% match</v>
      </c>
      <c r="L186" s="1410" t="str">
        <f>CONCATENATE(IF(ISNUMBER(SEARCH("Placeholder",H186))=TRUE,"&lt;---PM/Planner may hide PLACEHOLDER ROW",""))</f>
        <v/>
      </c>
      <c r="M186" s="1333"/>
      <c r="N186" s="1333"/>
      <c r="O186" s="1333"/>
      <c r="P186" s="1333"/>
      <c r="Q186" s="1333"/>
      <c r="R186" s="1453"/>
      <c r="S186" s="1364"/>
      <c r="T186" s="1333"/>
      <c r="U186" s="1333"/>
      <c r="V186" s="1333"/>
      <c r="W186" s="1333"/>
      <c r="X186" s="1333"/>
      <c r="Y186" s="1333"/>
      <c r="Z186" s="1333"/>
      <c r="AA186" s="1333"/>
      <c r="AB186" s="1333"/>
      <c r="AC186" s="1333"/>
      <c r="AD186" s="1333"/>
      <c r="AE186" s="1333"/>
      <c r="AF186" s="1333"/>
      <c r="AG186" s="1333"/>
      <c r="AH186" s="1333"/>
      <c r="AI186" s="1333"/>
      <c r="AJ186" s="1333"/>
      <c r="AX186"/>
    </row>
    <row r="187" spans="1:50" s="17" customFormat="1" ht="18.75" hidden="1" x14ac:dyDescent="0.25">
      <c r="A187" s="1518" t="str">
        <f>IF(COUNTIF('04 - 95% CD'!D188:G188,"Y")&gt;0,"Y",IF(COUNTIF('04 - 95% CD'!D188:G188,"N"),"N",""))</f>
        <v>Y</v>
      </c>
      <c r="B187" s="141"/>
      <c r="C187" s="944"/>
      <c r="D187" s="321"/>
      <c r="E187" s="559" t="str">
        <f>IF('C-Design&amp;Const'!$W188="","",'C-Design&amp;Const'!$W188)</f>
        <v>N</v>
      </c>
      <c r="F187" s="460"/>
      <c r="G187" s="485"/>
      <c r="H187" s="238" t="str">
        <f>'04 - 95% CD'!H188</f>
        <v xml:space="preserve">Voice/Data Communications System Requirements (Complete) </v>
      </c>
      <c r="I187" s="552"/>
      <c r="K187" s="285" t="str">
        <f t="shared" si="22"/>
        <v>no 95% match</v>
      </c>
      <c r="L187" s="1410" t="str">
        <f t="shared" si="21"/>
        <v/>
      </c>
      <c r="M187" s="1333"/>
      <c r="N187" s="1333"/>
      <c r="O187" s="1333"/>
      <c r="P187" s="1333"/>
      <c r="Q187" s="1333"/>
      <c r="R187" s="1453"/>
      <c r="S187" s="1364"/>
      <c r="T187" s="1333"/>
      <c r="U187" s="1333"/>
      <c r="V187" s="1333"/>
      <c r="W187" s="1333"/>
      <c r="X187" s="1333"/>
      <c r="Y187" s="1333"/>
      <c r="Z187" s="1333"/>
      <c r="AA187" s="1333"/>
      <c r="AB187" s="1333"/>
      <c r="AC187" s="1333"/>
      <c r="AD187" s="1333"/>
      <c r="AE187" s="1333"/>
      <c r="AF187" s="1333"/>
      <c r="AG187" s="1333"/>
      <c r="AH187" s="1333"/>
      <c r="AI187" s="1333"/>
      <c r="AJ187" s="1333"/>
      <c r="AX187"/>
    </row>
    <row r="188" spans="1:50" s="17" customFormat="1" ht="42.75" hidden="1" x14ac:dyDescent="0.25">
      <c r="A188" s="1518" t="str">
        <f>IF(COUNTIF('04 - 95% CD'!D189:G189,"Y")&gt;0,"Y",IF(COUNTIF('04 - 95% CD'!D189:G189,"N"),"N",""))</f>
        <v>Y</v>
      </c>
      <c r="B188" s="141"/>
      <c r="C188" s="944"/>
      <c r="D188" s="321"/>
      <c r="E188" s="559" t="str">
        <f>IF('C-Design&amp;Const'!$W189="","",'C-Design&amp;Const'!$W189)</f>
        <v>N</v>
      </c>
      <c r="F188" s="460"/>
      <c r="G188" s="485"/>
      <c r="H188" s="238" t="str">
        <f>'04 - 95% CD'!H189</f>
        <v xml:space="preserve">AV Systems Requirements, including Millwork, Associated Cooling, Power, Grounding, Data / Telecomm, Acoustics &amp; Noise Control, and Lighting System. Cables Identified by Manufacturer/Model Number. (Complete) </v>
      </c>
      <c r="I188" s="552"/>
      <c r="K188" s="285" t="str">
        <f t="shared" si="22"/>
        <v>no 95% match</v>
      </c>
      <c r="L188" s="1410" t="str">
        <f t="shared" si="21"/>
        <v/>
      </c>
      <c r="M188" s="1333"/>
      <c r="N188" s="1333"/>
      <c r="O188" s="1333"/>
      <c r="P188" s="1333"/>
      <c r="Q188" s="1333"/>
      <c r="R188" s="1453"/>
      <c r="S188" s="1364"/>
      <c r="T188" s="1333"/>
      <c r="U188" s="1333"/>
      <c r="V188" s="1333"/>
      <c r="W188" s="1333"/>
      <c r="X188" s="1333"/>
      <c r="Y188" s="1333"/>
      <c r="Z188" s="1333"/>
      <c r="AA188" s="1333"/>
      <c r="AB188" s="1333"/>
      <c r="AC188" s="1333"/>
      <c r="AD188" s="1333"/>
      <c r="AE188" s="1333"/>
      <c r="AF188" s="1333"/>
      <c r="AG188" s="1333"/>
      <c r="AH188" s="1333"/>
      <c r="AI188" s="1333"/>
      <c r="AJ188" s="1333"/>
      <c r="AX188"/>
    </row>
    <row r="189" spans="1:50" s="17" customFormat="1" ht="12.75" hidden="1" customHeight="1" x14ac:dyDescent="0.25">
      <c r="A189" s="1518" t="str">
        <f>IF(COUNTIF('04 - 95% CD'!D190:G190,"Y")&gt;0,"Y",IF(COUNTIF('04 - 95% CD'!D190:G190,"N"),"N",""))</f>
        <v>Y</v>
      </c>
      <c r="B189" s="141"/>
      <c r="C189" s="944"/>
      <c r="D189" s="321"/>
      <c r="E189" s="559" t="str">
        <f>IF('C-Design&amp;Const'!$W190="","",'C-Design&amp;Const'!$W190)</f>
        <v>N</v>
      </c>
      <c r="F189" s="460"/>
      <c r="G189" s="485"/>
      <c r="H189" s="410" t="str">
        <f>'04 - 95% CD'!H190</f>
        <v xml:space="preserve">Audio / Visual Basis of Material (AV BOM)(Complete) </v>
      </c>
      <c r="I189" s="552"/>
      <c r="K189" s="285" t="str">
        <f>IF((COUNTIF(D189:F189,"Y")=COUNTIF(A189,"Y")),"match","no 95% match")</f>
        <v>no 95% match</v>
      </c>
      <c r="L189" s="1410" t="str">
        <f>CONCATENATE(IF(ISNUMBER(SEARCH("Placeholder",H189))=TRUE,"&lt;---PM/Planner may hide PLACEHOLDER ROW",""))</f>
        <v/>
      </c>
      <c r="M189" s="1333"/>
      <c r="N189" s="1333"/>
      <c r="O189" s="1333"/>
      <c r="P189" s="1333"/>
      <c r="Q189" s="1333"/>
      <c r="R189" s="1453"/>
      <c r="S189" s="1364"/>
      <c r="T189" s="1333"/>
      <c r="U189" s="1333"/>
      <c r="V189" s="1333"/>
      <c r="W189" s="1333"/>
      <c r="X189" s="1333"/>
      <c r="Y189" s="1333"/>
      <c r="Z189" s="1333"/>
      <c r="AA189" s="1333"/>
      <c r="AB189" s="1333"/>
      <c r="AC189" s="1333"/>
      <c r="AD189" s="1333"/>
      <c r="AE189" s="1333"/>
      <c r="AF189" s="1333"/>
      <c r="AG189" s="1333"/>
      <c r="AH189" s="1333"/>
      <c r="AI189" s="1333"/>
      <c r="AJ189" s="1333"/>
      <c r="AX189"/>
    </row>
    <row r="190" spans="1:50" s="17" customFormat="1" ht="18.75" hidden="1" x14ac:dyDescent="0.25">
      <c r="A190" s="1518" t="str">
        <f>IF(COUNTIF('04 - 95% CD'!D191:G191,"Y")&gt;0,"Y",IF(COUNTIF('04 - 95% CD'!D191:G191,"N"),"N",""))</f>
        <v>Y</v>
      </c>
      <c r="B190" s="141"/>
      <c r="C190" s="944"/>
      <c r="D190" s="321"/>
      <c r="E190" s="559" t="str">
        <f>IF('C-Design&amp;Const'!$W191="","",'C-Design&amp;Const'!$W191)</f>
        <v>N</v>
      </c>
      <c r="F190" s="460"/>
      <c r="G190" s="485"/>
      <c r="H190" s="410" t="str">
        <f>'04 - 95% CD'!H191</f>
        <v>Soil Borings and Soils Report (With Applicable Section)</v>
      </c>
      <c r="I190" s="552"/>
      <c r="K190" s="285" t="str">
        <f t="shared" si="22"/>
        <v>no 95% match</v>
      </c>
      <c r="L190" s="1410" t="str">
        <f t="shared" si="21"/>
        <v/>
      </c>
      <c r="M190" s="1333"/>
      <c r="N190" s="1333"/>
      <c r="O190" s="1333"/>
      <c r="P190" s="1333"/>
      <c r="Q190" s="1333"/>
      <c r="R190" s="1410"/>
      <c r="S190" s="1364"/>
      <c r="T190" s="1333"/>
      <c r="U190" s="1333"/>
      <c r="V190" s="1333"/>
      <c r="W190" s="1333"/>
      <c r="X190" s="1333"/>
      <c r="Y190" s="1333"/>
      <c r="Z190" s="1333"/>
      <c r="AA190" s="1333"/>
      <c r="AB190" s="1333"/>
      <c r="AC190" s="1333"/>
      <c r="AD190" s="1333"/>
      <c r="AE190" s="1333"/>
      <c r="AF190" s="1333"/>
      <c r="AG190" s="1333"/>
      <c r="AH190" s="1333"/>
      <c r="AI190" s="1333"/>
      <c r="AJ190" s="1333"/>
      <c r="AX190"/>
    </row>
    <row r="191" spans="1:50" s="17" customFormat="1" ht="28.5" hidden="1" x14ac:dyDescent="0.25">
      <c r="A191" s="1518" t="str">
        <f>IF(COUNTIF('04 - 95% CD'!D192:G192,"Y")&gt;0,"Y",IF(COUNTIF('04 - 95% CD'!D192:G192,"N"),"N",""))</f>
        <v>Y</v>
      </c>
      <c r="B191" s="141"/>
      <c r="C191" s="944"/>
      <c r="D191" s="321"/>
      <c r="E191" s="559" t="str">
        <f>IF('C-Design&amp;Const'!$W192="","",'C-Design&amp;Const'!$W192)</f>
        <v>N</v>
      </c>
      <c r="F191" s="460"/>
      <c r="G191" s="485"/>
      <c r="H191" s="410" t="str">
        <f>'04 - 95% CD'!H192</f>
        <v>Results of Hazardous Materials Testing and Hazardous Materials Mediation Plan (With Applicable Section)</v>
      </c>
      <c r="I191" s="552"/>
      <c r="K191" s="285" t="str">
        <f t="shared" si="22"/>
        <v>no 95% match</v>
      </c>
      <c r="L191" s="1410" t="str">
        <f t="shared" si="21"/>
        <v/>
      </c>
      <c r="M191" s="1333"/>
      <c r="N191" s="1333"/>
      <c r="O191" s="1333"/>
      <c r="P191" s="1333"/>
      <c r="Q191" s="1333"/>
      <c r="R191" s="1453"/>
      <c r="S191" s="1364"/>
      <c r="T191" s="1333"/>
      <c r="U191" s="1333"/>
      <c r="V191" s="1333"/>
      <c r="W191" s="1333"/>
      <c r="X191" s="1333"/>
      <c r="Y191" s="1333"/>
      <c r="Z191" s="1333"/>
      <c r="AA191" s="1333"/>
      <c r="AB191" s="1333"/>
      <c r="AC191" s="1333"/>
      <c r="AD191" s="1333"/>
      <c r="AE191" s="1333"/>
      <c r="AF191" s="1333"/>
      <c r="AG191" s="1333"/>
      <c r="AH191" s="1333"/>
      <c r="AI191" s="1333"/>
      <c r="AJ191" s="1333"/>
      <c r="AX191"/>
    </row>
    <row r="192" spans="1:50" s="30" customFormat="1" ht="14.25" hidden="1" customHeight="1" x14ac:dyDescent="0.25">
      <c r="A192" s="1518" t="str">
        <f>IF(COUNTIF('04 - 95% CD'!D193:G193,"Y")&gt;0,"Y",IF(COUNTIF('04 - 95% CD'!D193:G193,"N"),"N",""))</f>
        <v>Y</v>
      </c>
      <c r="B192" s="191"/>
      <c r="C192" s="944"/>
      <c r="D192" s="463"/>
      <c r="E192" s="559" t="str">
        <f>IF('C-Design&amp;Const'!$W193="","",'C-Design&amp;Const'!$W193)</f>
        <v>N</v>
      </c>
      <c r="F192" s="461"/>
      <c r="G192" s="291"/>
      <c r="H192" s="1048" t="str">
        <f>'04 - 95% CD'!H193</f>
        <v xml:space="preserve">EPA &amp; State Permits (With Applicable Section)(All received) </v>
      </c>
      <c r="I192" s="552"/>
      <c r="J192" s="181"/>
      <c r="K192" s="285" t="str">
        <f t="shared" si="22"/>
        <v>no 95% match</v>
      </c>
      <c r="L192" s="1410" t="str">
        <f t="shared" si="21"/>
        <v/>
      </c>
      <c r="M192" s="1333"/>
      <c r="N192" s="1382"/>
      <c r="O192" s="1382"/>
      <c r="P192" s="1382"/>
      <c r="Q192" s="1382"/>
      <c r="R192" s="1382"/>
      <c r="S192" s="1382"/>
      <c r="T192" s="1382"/>
      <c r="U192" s="1382"/>
      <c r="V192" s="1382"/>
      <c r="W192" s="1382"/>
      <c r="X192" s="1382"/>
      <c r="Y192" s="1382"/>
      <c r="Z192" s="1382"/>
      <c r="AA192" s="1382"/>
      <c r="AB192" s="1382"/>
      <c r="AC192" s="1382"/>
      <c r="AD192" s="1382"/>
      <c r="AE192" s="1382"/>
      <c r="AF192" s="1382"/>
      <c r="AG192" s="1382"/>
      <c r="AH192" s="1382"/>
      <c r="AI192" s="1382"/>
      <c r="AJ192" s="1382"/>
      <c r="AK192" s="181"/>
      <c r="AL192" s="181"/>
      <c r="AM192" s="181"/>
      <c r="AN192" s="181"/>
      <c r="AO192" s="181"/>
      <c r="AP192" s="181"/>
      <c r="AQ192" s="181"/>
      <c r="AR192" s="181"/>
      <c r="AS192" s="181"/>
      <c r="AT192" s="181"/>
      <c r="AU192" s="181"/>
      <c r="AV192" s="181"/>
      <c r="AW192" s="181"/>
    </row>
    <row r="193" spans="1:50" s="17" customFormat="1" ht="14.25" hidden="1" customHeight="1" x14ac:dyDescent="0.25">
      <c r="A193" s="1518" t="str">
        <f>IF(COUNTIF('04 - 95% CD'!D194:G194,"Y")&gt;0,"Y",IF(COUNTIF('04 - 95% CD'!D194:G194,"N"),"N",""))</f>
        <v>Y</v>
      </c>
      <c r="B193" s="141"/>
      <c r="C193" s="944"/>
      <c r="D193" s="321"/>
      <c r="E193" s="559" t="str">
        <f>IF('C-Design&amp;Const'!$W194="","",'C-Design&amp;Const'!$W194)</f>
        <v>N</v>
      </c>
      <c r="F193" s="460"/>
      <c r="G193" s="485"/>
      <c r="H193" s="410" t="str">
        <f>'04 - 95% CD'!H194</f>
        <v>Results of flow testing (With Applicable Section)</v>
      </c>
      <c r="I193" s="552"/>
      <c r="K193" s="285" t="str">
        <f t="shared" si="22"/>
        <v>no 95% match</v>
      </c>
      <c r="L193" s="1410" t="str">
        <f t="shared" si="21"/>
        <v/>
      </c>
      <c r="M193" s="1333"/>
      <c r="N193" s="1333"/>
      <c r="O193" s="1333"/>
      <c r="P193" s="1333"/>
      <c r="Q193" s="1333"/>
      <c r="R193" s="1453"/>
      <c r="S193" s="1364"/>
      <c r="T193" s="1333"/>
      <c r="U193" s="1333"/>
      <c r="V193" s="1333"/>
      <c r="W193" s="1333"/>
      <c r="X193" s="1333"/>
      <c r="Y193" s="1333"/>
      <c r="Z193" s="1333"/>
      <c r="AA193" s="1333"/>
      <c r="AB193" s="1333"/>
      <c r="AC193" s="1333"/>
      <c r="AD193" s="1333"/>
      <c r="AE193" s="1333"/>
      <c r="AF193" s="1333"/>
      <c r="AG193" s="1333"/>
      <c r="AH193" s="1333"/>
      <c r="AI193" s="1333"/>
      <c r="AJ193" s="1333"/>
      <c r="AX193"/>
    </row>
    <row r="194" spans="1:50" s="30" customFormat="1" ht="14.25" hidden="1" customHeight="1" x14ac:dyDescent="0.25">
      <c r="A194" s="1518" t="str">
        <f>IF(COUNTIF('04 - 95% CD'!D195:G195,"Y")&gt;0,"Y",IF(COUNTIF('04 - 95% CD'!D195:G195,"N"),"N",""))</f>
        <v>Y</v>
      </c>
      <c r="B194" s="191"/>
      <c r="C194" s="944"/>
      <c r="D194" s="463"/>
      <c r="E194" s="559" t="str">
        <f>IF('C-Design&amp;Const'!$W195="","",'C-Design&amp;Const'!$W195)</f>
        <v>N</v>
      </c>
      <c r="F194" s="461"/>
      <c r="G194" s="291"/>
      <c r="H194" s="1048" t="str">
        <f>'04 - 95% CD'!H195</f>
        <v>Results of existing exterior envelope material tests or strengths (With Applicable section)</v>
      </c>
      <c r="I194" s="552"/>
      <c r="J194" s="181"/>
      <c r="K194" s="285" t="str">
        <f t="shared" si="22"/>
        <v>no 95% match</v>
      </c>
      <c r="L194" s="1410" t="str">
        <f t="shared" si="21"/>
        <v/>
      </c>
      <c r="M194" s="1333"/>
      <c r="N194" s="1382"/>
      <c r="O194" s="1382"/>
      <c r="P194" s="1382"/>
      <c r="Q194" s="1382"/>
      <c r="R194" s="1382"/>
      <c r="S194" s="1382"/>
      <c r="T194" s="1382"/>
      <c r="U194" s="1382"/>
      <c r="V194" s="1382"/>
      <c r="W194" s="1382"/>
      <c r="X194" s="1382"/>
      <c r="Y194" s="1382"/>
      <c r="Z194" s="1382"/>
      <c r="AA194" s="1382"/>
      <c r="AB194" s="1382"/>
      <c r="AC194" s="1382"/>
      <c r="AD194" s="1382"/>
      <c r="AE194" s="1382"/>
      <c r="AF194" s="1382"/>
      <c r="AG194" s="1382"/>
      <c r="AH194" s="1382"/>
      <c r="AI194" s="1382"/>
      <c r="AJ194" s="1382"/>
      <c r="AK194" s="181"/>
      <c r="AL194" s="181"/>
      <c r="AM194" s="181"/>
      <c r="AN194" s="181"/>
      <c r="AO194" s="181"/>
      <c r="AP194" s="181"/>
      <c r="AQ194" s="181"/>
      <c r="AR194" s="181"/>
      <c r="AS194" s="181"/>
      <c r="AT194" s="181"/>
      <c r="AU194" s="181"/>
      <c r="AV194" s="181"/>
      <c r="AW194" s="181"/>
    </row>
    <row r="195" spans="1:50" s="17" customFormat="1" ht="28.5" hidden="1" x14ac:dyDescent="0.25">
      <c r="A195" s="1518" t="str">
        <f>IF(COUNTIF('04 - 95% CD'!D196:G196,"Y")&gt;0,"Y",IF(COUNTIF('04 - 95% CD'!D196:G196,"N"),"N",""))</f>
        <v>Y</v>
      </c>
      <c r="B195" s="141"/>
      <c r="C195" s="944"/>
      <c r="D195" s="321"/>
      <c r="E195" s="559" t="str">
        <f>IF('C-Design&amp;Const'!$W196="","",'C-Design&amp;Const'!$W196)</f>
        <v>N</v>
      </c>
      <c r="F195" s="460"/>
      <c r="G195" s="485"/>
      <c r="H195" s="410" t="str">
        <f>'04 - 95% CD'!H196</f>
        <v>Results of any existing structural materials tests or verification / scans of structure layout. (With Applicable section)</v>
      </c>
      <c r="I195" s="552"/>
      <c r="K195" s="285" t="str">
        <f t="shared" si="22"/>
        <v>no 95% match</v>
      </c>
      <c r="L195" s="1410" t="str">
        <f t="shared" si="21"/>
        <v/>
      </c>
      <c r="M195" s="1333"/>
      <c r="N195" s="1333"/>
      <c r="O195" s="1333"/>
      <c r="P195" s="1333"/>
      <c r="Q195" s="1333"/>
      <c r="R195" s="1453"/>
      <c r="S195" s="1364"/>
      <c r="T195" s="1333"/>
      <c r="U195" s="1333"/>
      <c r="V195" s="1333"/>
      <c r="W195" s="1333"/>
      <c r="X195" s="1333"/>
      <c r="Y195" s="1333"/>
      <c r="Z195" s="1333"/>
      <c r="AA195" s="1333"/>
      <c r="AB195" s="1333"/>
      <c r="AC195" s="1333"/>
      <c r="AD195" s="1333"/>
      <c r="AE195" s="1333"/>
      <c r="AF195" s="1333"/>
      <c r="AG195" s="1333"/>
      <c r="AH195" s="1333"/>
      <c r="AI195" s="1333"/>
      <c r="AJ195" s="1333"/>
      <c r="AX195"/>
    </row>
    <row r="196" spans="1:50" s="30" customFormat="1" ht="28.5" hidden="1" customHeight="1" x14ac:dyDescent="0.25">
      <c r="A196" s="1518" t="str">
        <f>IF(COUNTIF('04 - 95% CD'!D182:G182,"Y")&gt;0,"Y",IF(COUNTIF('04 - 95% CD'!D182:G182,"N"),"N",""))</f>
        <v>Y</v>
      </c>
      <c r="B196" s="191"/>
      <c r="C196" s="944"/>
      <c r="D196" s="463"/>
      <c r="E196" s="559" t="str">
        <f>IF('C-Design&amp;Const'!$W182="","",'C-Design&amp;Const'!$W182)</f>
        <v>N</v>
      </c>
      <c r="F196" s="461"/>
      <c r="G196" s="291"/>
      <c r="H196" s="410" t="str">
        <f>'04 - 95% CD'!H182</f>
        <v>Checklist for specification sections with submittals required (materials, shop drawings, calcs, etc…) - UNDER SEPARATE COVER &amp; NOT BOUND WITH MANUAL.</v>
      </c>
      <c r="I196" s="552"/>
      <c r="J196" s="181"/>
      <c r="K196" s="285" t="str">
        <f t="shared" si="22"/>
        <v>no 95% match</v>
      </c>
      <c r="L196" s="1410" t="str">
        <f t="shared" si="21"/>
        <v/>
      </c>
      <c r="M196" s="1333"/>
      <c r="N196" s="1382"/>
      <c r="O196" s="1382"/>
      <c r="P196" s="1382"/>
      <c r="Q196" s="1382"/>
      <c r="R196" s="1382"/>
      <c r="S196" s="1382"/>
      <c r="T196" s="1382"/>
      <c r="U196" s="1382"/>
      <c r="V196" s="1382"/>
      <c r="W196" s="1382"/>
      <c r="X196" s="1382"/>
      <c r="Y196" s="1382"/>
      <c r="Z196" s="1382"/>
      <c r="AA196" s="1382"/>
      <c r="AB196" s="1382"/>
      <c r="AC196" s="1382"/>
      <c r="AD196" s="1382"/>
      <c r="AE196" s="1382"/>
      <c r="AF196" s="1382"/>
      <c r="AG196" s="1382"/>
      <c r="AH196" s="1382"/>
      <c r="AI196" s="1382"/>
      <c r="AJ196" s="1382"/>
      <c r="AK196" s="181"/>
      <c r="AL196" s="181"/>
      <c r="AM196" s="181"/>
      <c r="AN196" s="181"/>
      <c r="AO196" s="181"/>
      <c r="AP196" s="181"/>
      <c r="AQ196" s="181"/>
      <c r="AR196" s="181"/>
      <c r="AS196" s="181"/>
      <c r="AT196" s="181"/>
      <c r="AU196" s="181"/>
      <c r="AV196" s="181"/>
      <c r="AW196" s="181"/>
    </row>
    <row r="197" spans="1:50" s="30" customFormat="1" ht="15" hidden="1" customHeight="1" x14ac:dyDescent="0.25">
      <c r="A197" s="1518" t="str">
        <f>IF(COUNTIF('04 - 95% CD'!D197:G197,"Y")&gt;0,"Y",IF(COUNTIF('04 - 95% CD'!D197:G197,"N"),"N",""))</f>
        <v>N</v>
      </c>
      <c r="B197" s="191"/>
      <c r="C197" s="944"/>
      <c r="D197" s="463"/>
      <c r="E197" s="559" t="str">
        <f>IF('C-Design&amp;Const'!$W197="","",'C-Design&amp;Const'!$W197)</f>
        <v>N</v>
      </c>
      <c r="F197" s="461"/>
      <c r="G197" s="291"/>
      <c r="H197" s="410" t="str">
        <f>'04 - 95% CD'!H197</f>
        <v>PLACEHOLDER ROW - CUSTOM ROW - OPTIONAL CLIENT ITEM</v>
      </c>
      <c r="I197" s="552"/>
      <c r="J197" s="181"/>
      <c r="K197" s="285" t="str">
        <f t="shared" si="22"/>
        <v>match</v>
      </c>
      <c r="L197" s="1410" t="str">
        <f t="shared" si="21"/>
        <v>&lt;---PM/Planner may hide PLACEHOLDER ROW</v>
      </c>
      <c r="M197" s="1333"/>
      <c r="N197" s="1382"/>
      <c r="O197" s="1382"/>
      <c r="P197" s="1382"/>
      <c r="Q197" s="1382"/>
      <c r="R197" s="1382"/>
      <c r="S197" s="1382"/>
      <c r="T197" s="1382"/>
      <c r="U197" s="1382"/>
      <c r="V197" s="1382"/>
      <c r="W197" s="1382"/>
      <c r="X197" s="1382"/>
      <c r="Y197" s="1382"/>
      <c r="Z197" s="1382"/>
      <c r="AA197" s="1382"/>
      <c r="AB197" s="1382"/>
      <c r="AC197" s="1382"/>
      <c r="AD197" s="1382"/>
      <c r="AE197" s="1382"/>
      <c r="AF197" s="1382"/>
      <c r="AG197" s="1382"/>
      <c r="AH197" s="1382"/>
      <c r="AI197" s="1382"/>
      <c r="AJ197" s="1382"/>
      <c r="AK197" s="181"/>
      <c r="AL197" s="181"/>
      <c r="AM197" s="181"/>
      <c r="AN197" s="181"/>
      <c r="AO197" s="181"/>
      <c r="AP197" s="181"/>
      <c r="AQ197" s="181"/>
      <c r="AR197" s="181"/>
      <c r="AS197" s="181"/>
      <c r="AT197" s="181"/>
      <c r="AU197" s="181"/>
      <c r="AV197" s="181"/>
      <c r="AW197" s="181"/>
    </row>
    <row r="198" spans="1:50" s="30" customFormat="1" ht="15" hidden="1" customHeight="1" x14ac:dyDescent="0.25">
      <c r="A198" s="1518" t="str">
        <f>IF(COUNTIF('04 - 95% CD'!D198:G198,"Y")&gt;0,"Y",IF(COUNTIF('04 - 95% CD'!D198:G198,"N"),"N",""))</f>
        <v>N</v>
      </c>
      <c r="B198" s="191"/>
      <c r="C198" s="944"/>
      <c r="D198" s="463"/>
      <c r="E198" s="559" t="str">
        <f>IF('C-Design&amp;Const'!$W198="","",'C-Design&amp;Const'!$W198)</f>
        <v>N</v>
      </c>
      <c r="F198" s="461"/>
      <c r="G198" s="291"/>
      <c r="H198" s="410" t="str">
        <f>'04 - 95% CD'!H198</f>
        <v>PLACEHOLDER ROW - CUSTOM ROW - OPTIONAL CLIENT ITEM</v>
      </c>
      <c r="I198" s="552"/>
      <c r="J198" s="181"/>
      <c r="K198" s="285" t="str">
        <f t="shared" si="22"/>
        <v>match</v>
      </c>
      <c r="L198" s="1410" t="str">
        <f t="shared" si="21"/>
        <v>&lt;---PM/Planner may hide PLACEHOLDER ROW</v>
      </c>
      <c r="M198" s="1333"/>
      <c r="N198" s="1382"/>
      <c r="O198" s="1382"/>
      <c r="P198" s="1382"/>
      <c r="Q198" s="1382"/>
      <c r="R198" s="1382"/>
      <c r="S198" s="1382"/>
      <c r="T198" s="1382"/>
      <c r="U198" s="1382"/>
      <c r="V198" s="1382"/>
      <c r="W198" s="1382"/>
      <c r="X198" s="1382"/>
      <c r="Y198" s="1382"/>
      <c r="Z198" s="1382"/>
      <c r="AA198" s="1382"/>
      <c r="AB198" s="1382"/>
      <c r="AC198" s="1382"/>
      <c r="AD198" s="1382"/>
      <c r="AE198" s="1382"/>
      <c r="AF198" s="1382"/>
      <c r="AG198" s="1382"/>
      <c r="AH198" s="1382"/>
      <c r="AI198" s="1382"/>
      <c r="AJ198" s="1382"/>
      <c r="AK198" s="181"/>
      <c r="AL198" s="181"/>
      <c r="AM198" s="181"/>
      <c r="AN198" s="181"/>
      <c r="AO198" s="181"/>
      <c r="AP198" s="181"/>
      <c r="AQ198" s="181"/>
      <c r="AR198" s="181"/>
      <c r="AS198" s="181"/>
      <c r="AT198" s="181"/>
      <c r="AU198" s="181"/>
      <c r="AV198" s="181"/>
      <c r="AW198" s="181"/>
    </row>
    <row r="199" spans="1:50" s="30" customFormat="1" ht="15" hidden="1" customHeight="1" x14ac:dyDescent="0.25">
      <c r="A199" s="1518" t="str">
        <f>IF(COUNTIF('04 - 95% CD'!D199:G199,"Y")&gt;0,"Y",IF(COUNTIF('04 - 95% CD'!D199:G199,"N"),"N",""))</f>
        <v>N</v>
      </c>
      <c r="B199" s="191"/>
      <c r="C199" s="944"/>
      <c r="D199" s="463"/>
      <c r="E199" s="559" t="str">
        <f>IF('C-Design&amp;Const'!$W199="","",'C-Design&amp;Const'!$W199)</f>
        <v>N</v>
      </c>
      <c r="F199" s="461"/>
      <c r="G199" s="291"/>
      <c r="H199" s="410" t="str">
        <f>'04 - 95% CD'!H199</f>
        <v>PLACEHOLDER ROW - CUSTOM ROW - OPTIONAL CLIENT ITEM</v>
      </c>
      <c r="I199" s="552"/>
      <c r="J199" s="181"/>
      <c r="K199" s="285" t="str">
        <f t="shared" si="22"/>
        <v>match</v>
      </c>
      <c r="L199" s="1410" t="str">
        <f t="shared" si="21"/>
        <v>&lt;---PM/Planner may hide PLACEHOLDER ROW</v>
      </c>
      <c r="M199" s="1333"/>
      <c r="N199" s="1382"/>
      <c r="O199" s="1382"/>
      <c r="P199" s="1382"/>
      <c r="Q199" s="1382"/>
      <c r="R199" s="1382"/>
      <c r="S199" s="1382"/>
      <c r="T199" s="1382"/>
      <c r="U199" s="1382"/>
      <c r="V199" s="1382"/>
      <c r="W199" s="1382"/>
      <c r="X199" s="1382"/>
      <c r="Y199" s="1382"/>
      <c r="Z199" s="1382"/>
      <c r="AA199" s="1382"/>
      <c r="AB199" s="1382"/>
      <c r="AC199" s="1382"/>
      <c r="AD199" s="1382"/>
      <c r="AE199" s="1382"/>
      <c r="AF199" s="1382"/>
      <c r="AG199" s="1382"/>
      <c r="AH199" s="1382"/>
      <c r="AI199" s="1382"/>
      <c r="AJ199" s="1382"/>
      <c r="AK199" s="181"/>
      <c r="AL199" s="181"/>
      <c r="AM199" s="181"/>
      <c r="AN199" s="181"/>
      <c r="AO199" s="181"/>
      <c r="AP199" s="181"/>
      <c r="AQ199" s="181"/>
      <c r="AR199" s="181"/>
      <c r="AS199" s="181"/>
      <c r="AT199" s="181"/>
      <c r="AU199" s="181"/>
      <c r="AV199" s="181"/>
      <c r="AW199" s="181"/>
    </row>
    <row r="200" spans="1:50" s="17" customFormat="1" ht="15" hidden="1" customHeight="1" x14ac:dyDescent="0.25">
      <c r="A200" s="1518" t="str">
        <f>IF(COUNTIF('04 - 95% CD'!D200:G200,"Y")&gt;0,"Y",IF(COUNTIF('04 - 95% CD'!D200:G200,"N"),"N",""))</f>
        <v>N</v>
      </c>
      <c r="B200" s="141"/>
      <c r="C200" s="944"/>
      <c r="D200" s="321"/>
      <c r="E200" s="559" t="str">
        <f>IF('C-Design&amp;Const'!$W200="","",'C-Design&amp;Const'!$W200)</f>
        <v>N</v>
      </c>
      <c r="F200" s="460"/>
      <c r="G200" s="485"/>
      <c r="H200" s="410" t="str">
        <f>'04 - 95% CD'!H200</f>
        <v>PLACEHOLDER ROW - CUSTOM ROW - OPTIONAL CLIENT ITEM</v>
      </c>
      <c r="I200" s="552"/>
      <c r="K200" s="285" t="str">
        <f t="shared" si="22"/>
        <v>match</v>
      </c>
      <c r="L200" s="1410" t="str">
        <f t="shared" si="21"/>
        <v>&lt;---PM/Planner may hide PLACEHOLDER ROW</v>
      </c>
      <c r="M200" s="1333"/>
      <c r="N200" s="1333"/>
      <c r="O200" s="1333"/>
      <c r="P200" s="1333"/>
      <c r="Q200" s="1333"/>
      <c r="R200" s="1453"/>
      <c r="S200" s="1364"/>
      <c r="T200" s="1333"/>
      <c r="U200" s="1333"/>
      <c r="V200" s="1333"/>
      <c r="W200" s="1333"/>
      <c r="X200" s="1333"/>
      <c r="Y200" s="1333"/>
      <c r="Z200" s="1333"/>
      <c r="AA200" s="1333"/>
      <c r="AB200" s="1333"/>
      <c r="AC200" s="1333"/>
      <c r="AD200" s="1333"/>
      <c r="AE200" s="1333"/>
      <c r="AF200" s="1333"/>
      <c r="AG200" s="1333"/>
      <c r="AH200" s="1333"/>
      <c r="AI200" s="1333"/>
      <c r="AJ200" s="1333"/>
      <c r="AX200"/>
    </row>
    <row r="201" spans="1:50" s="30" customFormat="1" ht="15" hidden="1" customHeight="1" x14ac:dyDescent="0.25">
      <c r="A201" s="1518" t="str">
        <f>IF(COUNTIF('04 - 95% CD'!D201:G201,"Y")&gt;0,"Y",IF(COUNTIF('04 - 95% CD'!D201:G201,"N"),"N",""))</f>
        <v>N</v>
      </c>
      <c r="B201" s="191"/>
      <c r="C201" s="944"/>
      <c r="D201" s="463"/>
      <c r="E201" s="559" t="str">
        <f>IF('C-Design&amp;Const'!$W201="","",'C-Design&amp;Const'!$W201)</f>
        <v>N</v>
      </c>
      <c r="F201" s="461"/>
      <c r="G201" s="291"/>
      <c r="H201" s="410" t="str">
        <f>'04 - 95% CD'!H201</f>
        <v>PLACEHOLDER ROW - CUSTOM ROW - OPTIONAL CLIENT ITEM</v>
      </c>
      <c r="I201" s="552"/>
      <c r="J201" s="181"/>
      <c r="K201" s="285" t="str">
        <f t="shared" si="22"/>
        <v>match</v>
      </c>
      <c r="L201" s="1410" t="str">
        <f t="shared" si="21"/>
        <v>&lt;---PM/Planner may hide PLACEHOLDER ROW</v>
      </c>
      <c r="M201" s="1333"/>
      <c r="N201" s="1382"/>
      <c r="O201" s="1382"/>
      <c r="P201" s="1382"/>
      <c r="Q201" s="1382"/>
      <c r="R201" s="1382"/>
      <c r="S201" s="1382"/>
      <c r="T201" s="1382"/>
      <c r="U201" s="1382"/>
      <c r="V201" s="1382"/>
      <c r="W201" s="1382"/>
      <c r="X201" s="1382"/>
      <c r="Y201" s="1382"/>
      <c r="Z201" s="1382"/>
      <c r="AA201" s="1382"/>
      <c r="AB201" s="1382"/>
      <c r="AC201" s="1382"/>
      <c r="AD201" s="1382"/>
      <c r="AE201" s="1382"/>
      <c r="AF201" s="1382"/>
      <c r="AG201" s="1382"/>
      <c r="AH201" s="1382"/>
      <c r="AI201" s="1382"/>
      <c r="AJ201" s="1382"/>
      <c r="AK201" s="181"/>
      <c r="AL201" s="181"/>
      <c r="AM201" s="181"/>
      <c r="AN201" s="181"/>
      <c r="AO201" s="181"/>
      <c r="AP201" s="181"/>
      <c r="AQ201" s="181"/>
      <c r="AR201" s="181"/>
      <c r="AS201" s="181"/>
      <c r="AT201" s="181"/>
      <c r="AU201" s="181"/>
      <c r="AV201" s="181"/>
      <c r="AW201" s="181"/>
    </row>
    <row r="202" spans="1:50" s="17" customFormat="1" ht="15" hidden="1" customHeight="1" x14ac:dyDescent="0.25">
      <c r="A202" s="1518" t="str">
        <f>IF(COUNTIF('04 - 95% CD'!D202:G202,"Y")&gt;0,"Y",IF(COUNTIF('04 - 95% CD'!D202:G202,"N"),"N",""))</f>
        <v>N</v>
      </c>
      <c r="B202" s="141"/>
      <c r="C202" s="944"/>
      <c r="D202" s="321"/>
      <c r="E202" s="559" t="str">
        <f>IF('C-Design&amp;Const'!$W202="","",'C-Design&amp;Const'!$W202)</f>
        <v>N</v>
      </c>
      <c r="F202" s="460"/>
      <c r="G202" s="485"/>
      <c r="H202" s="410" t="str">
        <f>'04 - 95% CD'!H202</f>
        <v>PLACEHOLDER ROW - CUSTOM ROW - OPTIONAL CLIENT ITEM</v>
      </c>
      <c r="I202" s="552"/>
      <c r="K202" s="285" t="str">
        <f t="shared" si="22"/>
        <v>match</v>
      </c>
      <c r="L202" s="1410" t="str">
        <f t="shared" si="21"/>
        <v>&lt;---PM/Planner may hide PLACEHOLDER ROW</v>
      </c>
      <c r="M202" s="1333"/>
      <c r="N202" s="1333"/>
      <c r="O202" s="1333"/>
      <c r="P202" s="1333"/>
      <c r="Q202" s="1333"/>
      <c r="R202" s="1453"/>
      <c r="S202" s="1364"/>
      <c r="T202" s="1333"/>
      <c r="U202" s="1333"/>
      <c r="V202" s="1333"/>
      <c r="W202" s="1333"/>
      <c r="X202" s="1333"/>
      <c r="Y202" s="1333"/>
      <c r="Z202" s="1333"/>
      <c r="AA202" s="1333"/>
      <c r="AB202" s="1333"/>
      <c r="AC202" s="1333"/>
      <c r="AD202" s="1333"/>
      <c r="AE202" s="1333"/>
      <c r="AF202" s="1333"/>
      <c r="AG202" s="1333"/>
      <c r="AH202" s="1333"/>
      <c r="AI202" s="1333"/>
      <c r="AJ202" s="1333"/>
      <c r="AX202"/>
    </row>
    <row r="203" spans="1:50" s="17" customFormat="1" ht="15" hidden="1" customHeight="1" x14ac:dyDescent="0.25">
      <c r="A203" s="1518" t="str">
        <f>IF(COUNTIF('04 - 95% CD'!D203:G203,"Y")&gt;0,"Y",IF(COUNTIF('04 - 95% CD'!D203:G203,"N"),"N",""))</f>
        <v>N</v>
      </c>
      <c r="B203" s="141"/>
      <c r="C203" s="944"/>
      <c r="D203" s="321"/>
      <c r="E203" s="559" t="str">
        <f>IF('C-Design&amp;Const'!$W203="","",'C-Design&amp;Const'!$W203)</f>
        <v>N</v>
      </c>
      <c r="F203" s="460"/>
      <c r="G203" s="485"/>
      <c r="H203" s="410" t="str">
        <f>'04 - 95% CD'!H203</f>
        <v>PLACEHOLDER ROW - CUSTOM ROW - OPTIONAL CLIENT ITEM</v>
      </c>
      <c r="I203" s="552"/>
      <c r="K203" s="285" t="str">
        <f t="shared" si="22"/>
        <v>match</v>
      </c>
      <c r="L203" s="1410" t="str">
        <f t="shared" si="21"/>
        <v>&lt;---PM/Planner may hide PLACEHOLDER ROW</v>
      </c>
      <c r="M203" s="1333"/>
      <c r="N203" s="1333"/>
      <c r="O203" s="1333"/>
      <c r="P203" s="1333"/>
      <c r="Q203" s="1333"/>
      <c r="R203" s="1453"/>
      <c r="S203" s="1364"/>
      <c r="T203" s="1333"/>
      <c r="U203" s="1333"/>
      <c r="V203" s="1333"/>
      <c r="W203" s="1333"/>
      <c r="X203" s="1333"/>
      <c r="Y203" s="1333"/>
      <c r="Z203" s="1333"/>
      <c r="AA203" s="1333"/>
      <c r="AB203" s="1333"/>
      <c r="AC203" s="1333"/>
      <c r="AD203" s="1333"/>
      <c r="AE203" s="1333"/>
      <c r="AF203" s="1333"/>
      <c r="AG203" s="1333"/>
      <c r="AH203" s="1333"/>
      <c r="AI203" s="1333"/>
      <c r="AJ203" s="1333"/>
      <c r="AX203"/>
    </row>
    <row r="204" spans="1:50" s="17" customFormat="1" ht="15" hidden="1" customHeight="1" x14ac:dyDescent="0.25">
      <c r="A204" s="1518" t="str">
        <f>IF(COUNTIF('04 - 95% CD'!D204:G204,"Y")&gt;0,"Y",IF(COUNTIF('04 - 95% CD'!D204:G204,"N"),"N",""))</f>
        <v>N</v>
      </c>
      <c r="B204" s="141"/>
      <c r="C204" s="944"/>
      <c r="D204" s="321"/>
      <c r="E204" s="559" t="str">
        <f>IF('C-Design&amp;Const'!$W204="","",'C-Design&amp;Const'!$W204)</f>
        <v>N</v>
      </c>
      <c r="F204" s="460"/>
      <c r="G204" s="485"/>
      <c r="H204" s="410" t="str">
        <f>'04 - 95% CD'!H204</f>
        <v>PLACEHOLDER ROW - CUSTOM ROW - OPTIONAL CLIENT ITEM</v>
      </c>
      <c r="I204" s="552"/>
      <c r="K204" s="285" t="str">
        <f t="shared" si="22"/>
        <v>match</v>
      </c>
      <c r="L204" s="1410" t="str">
        <f t="shared" si="21"/>
        <v>&lt;---PM/Planner may hide PLACEHOLDER ROW</v>
      </c>
      <c r="M204" s="1333"/>
      <c r="N204" s="1333"/>
      <c r="O204" s="1333"/>
      <c r="P204" s="1333"/>
      <c r="Q204" s="1333"/>
      <c r="R204" s="1453"/>
      <c r="S204" s="1364"/>
      <c r="T204" s="1333"/>
      <c r="U204" s="1333"/>
      <c r="V204" s="1333"/>
      <c r="W204" s="1333"/>
      <c r="X204" s="1333"/>
      <c r="Y204" s="1333"/>
      <c r="Z204" s="1333"/>
      <c r="AA204" s="1333"/>
      <c r="AB204" s="1333"/>
      <c r="AC204" s="1333"/>
      <c r="AD204" s="1333"/>
      <c r="AE204" s="1333"/>
      <c r="AF204" s="1333"/>
      <c r="AG204" s="1333"/>
      <c r="AH204" s="1333"/>
      <c r="AI204" s="1333"/>
      <c r="AJ204" s="1333"/>
      <c r="AX204"/>
    </row>
    <row r="205" spans="1:50" s="17" customFormat="1" ht="18.75" x14ac:dyDescent="0.25">
      <c r="A205" s="1510" t="str">
        <f>IF(COUNTIF('04 - 95% CD'!D205:G205,"Y")&gt;0,"Y",IF(COUNTIF('04 - 95% CD'!D205:G205,"N"),"N",""))</f>
        <v/>
      </c>
      <c r="B205" s="141"/>
      <c r="C205" s="944"/>
      <c r="D205" s="411"/>
      <c r="E205" s="411"/>
      <c r="F205" s="321"/>
      <c r="G205" s="294"/>
      <c r="H205" s="296"/>
      <c r="I205" s="552"/>
      <c r="K205" s="285" t="str">
        <f t="shared" si="22"/>
        <v>match</v>
      </c>
      <c r="L205" s="1410" t="str">
        <f t="shared" si="21"/>
        <v/>
      </c>
      <c r="M205" s="1333"/>
      <c r="N205" s="1333"/>
      <c r="O205" s="1333"/>
      <c r="P205" s="1333"/>
      <c r="Q205" s="1333"/>
      <c r="R205" s="1453"/>
      <c r="S205" s="1364"/>
      <c r="T205" s="1404"/>
      <c r="U205" s="1333"/>
      <c r="V205" s="1333"/>
      <c r="W205" s="1333"/>
      <c r="X205" s="1333"/>
      <c r="Y205" s="1333"/>
      <c r="Z205" s="1333"/>
      <c r="AA205" s="1333"/>
      <c r="AB205" s="1333"/>
      <c r="AC205" s="1333"/>
      <c r="AD205" s="1333"/>
      <c r="AE205" s="1333"/>
      <c r="AF205" s="1333"/>
      <c r="AG205" s="1333"/>
      <c r="AH205" s="1333"/>
      <c r="AI205" s="1333"/>
      <c r="AJ205" s="1333"/>
    </row>
    <row r="206" spans="1:50" s="181" customFormat="1" ht="18.75" x14ac:dyDescent="0.25">
      <c r="A206" s="1501" t="str">
        <f>IF(COUNTIF('04 - 95% CD'!D206:G206,"Y")&gt;0,"Y",IF(COUNTIF('04 - 95% CD'!D206:G206,"N"),"N",""))</f>
        <v>Y</v>
      </c>
      <c r="B206" s="177"/>
      <c r="C206" s="948"/>
      <c r="D206" s="359" t="str">
        <f>IF('C-Design&amp;Const'!$W206="","",'C-Design&amp;Const'!$W206)</f>
        <v>N</v>
      </c>
      <c r="E206" s="234"/>
      <c r="F206" s="235"/>
      <c r="G206" s="291" t="str">
        <f>IF('C-Design&amp;Const'!Y206="","",'C-Design&amp;Const'!Y206)</f>
        <v>07a.</v>
      </c>
      <c r="H206" s="290" t="str">
        <f>CONCATENATE('C-Design&amp;Const'!Z206,IF(D206="N"," Not Used In This Construction Phase",J206))</f>
        <v>Drawing Set Not Used In This Construction Phase</v>
      </c>
      <c r="I206" s="552"/>
      <c r="K206" s="285" t="str">
        <f t="shared" si="22"/>
        <v>no 95% match</v>
      </c>
      <c r="L206" s="1410" t="str">
        <f t="shared" si="21"/>
        <v/>
      </c>
      <c r="M206" s="1333"/>
      <c r="N206" s="1382"/>
      <c r="O206" s="1382"/>
      <c r="P206" s="1382"/>
      <c r="Q206" s="1382"/>
      <c r="R206" s="1447"/>
      <c r="S206" s="1448"/>
      <c r="T206" s="1404"/>
      <c r="U206" s="1382"/>
      <c r="V206" s="1382"/>
      <c r="W206" s="1382"/>
      <c r="X206" s="1382"/>
      <c r="Y206" s="1382"/>
      <c r="Z206" s="1382"/>
      <c r="AA206" s="1382"/>
      <c r="AB206" s="1382"/>
      <c r="AC206" s="1382"/>
      <c r="AD206" s="1382"/>
      <c r="AE206" s="1382"/>
      <c r="AF206" s="1382"/>
      <c r="AG206" s="1382"/>
      <c r="AH206" s="1382"/>
      <c r="AI206" s="1382"/>
      <c r="AJ206" s="1382"/>
    </row>
    <row r="207" spans="1:50" s="17" customFormat="1" ht="16.5" hidden="1" customHeight="1" x14ac:dyDescent="0.25">
      <c r="A207" s="1517" t="str">
        <f>IF(COUNTIF('04 - 95% CD'!D207:G207,"Y")&gt;0,"Y",IF(COUNTIF('04 - 95% CD'!D207:G207,"N"),"N",""))</f>
        <v>Y</v>
      </c>
      <c r="B207" s="141"/>
      <c r="C207" s="944"/>
      <c r="D207" s="411"/>
      <c r="E207" s="321"/>
      <c r="F207" s="559" t="str">
        <f>IF('C-Design&amp;Const'!$W207="","",'C-Design&amp;Const'!$W207)</f>
        <v>N</v>
      </c>
      <c r="G207" s="485"/>
      <c r="H207" s="243" t="str">
        <f>CONCATENATE(IF(ISNUMBER(SEARCH("Placeholder",'C-Design&amp;Const'!Z207))=TRUE,"",IF(F207="N","PLACEHOLDER ROW - ","")),'C-Design&amp;Const'!Z207,IF(F207="N","",J207))</f>
        <v xml:space="preserve">PLACEHOLDER ROW - Title Sheet </v>
      </c>
      <c r="I207" s="552"/>
      <c r="K207" s="285" t="str">
        <f t="shared" si="22"/>
        <v>no 95% match</v>
      </c>
      <c r="L207" s="1410" t="str">
        <f t="shared" si="21"/>
        <v>&lt;---PM/Planner may hide PLACEHOLDER ROW</v>
      </c>
      <c r="M207" s="1333"/>
      <c r="N207" s="1333"/>
      <c r="O207" s="1333"/>
      <c r="P207" s="1333"/>
      <c r="Q207" s="1333"/>
      <c r="R207" s="1453"/>
      <c r="S207" s="1364"/>
      <c r="T207" s="1404"/>
      <c r="U207" s="1333"/>
      <c r="V207" s="1333"/>
      <c r="W207" s="1333"/>
      <c r="X207" s="1333"/>
      <c r="Y207" s="1333"/>
      <c r="Z207" s="1333"/>
      <c r="AA207" s="1333"/>
      <c r="AB207" s="1333"/>
      <c r="AC207" s="1333"/>
      <c r="AD207" s="1333"/>
      <c r="AE207" s="1333"/>
      <c r="AF207" s="1333"/>
      <c r="AG207" s="1333"/>
      <c r="AH207" s="1333"/>
      <c r="AI207" s="1333"/>
      <c r="AJ207" s="1333"/>
    </row>
    <row r="208" spans="1:50" s="30" customFormat="1" ht="15" hidden="1" customHeight="1" x14ac:dyDescent="0.25">
      <c r="A208" s="1517" t="str">
        <f>IF(COUNTIF('04 - 95% CD'!D208:G208,"Y")&gt;0,"Y",IF(COUNTIF('04 - 95% CD'!D208:G208,"N"),"N",""))</f>
        <v>Y</v>
      </c>
      <c r="B208" s="191"/>
      <c r="C208" s="944"/>
      <c r="D208" s="463"/>
      <c r="E208" s="463"/>
      <c r="F208" s="359" t="str">
        <f>IF('C-Design&amp;Const'!$W208="","",'C-Design&amp;Const'!$W208)</f>
        <v>N</v>
      </c>
      <c r="G208" s="291"/>
      <c r="H208" s="469" t="str">
        <f>CONCATENATE(IF(ISNUMBER(SEARCH("Placeholder",'C-Design&amp;Const'!Z208))=TRUE,"",IF(F208="N","PLACEHOLDER ROW - ","")),'C-Design&amp;Const'!Z208,IF(F208="N","",J208))</f>
        <v xml:space="preserve">PLACEHOLDER ROW - Code Compliance </v>
      </c>
      <c r="I208" s="552"/>
      <c r="J208" s="181"/>
      <c r="K208" s="285" t="str">
        <f t="shared" si="22"/>
        <v>no 95% match</v>
      </c>
      <c r="L208" s="1410" t="str">
        <f t="shared" si="21"/>
        <v>&lt;---PM/Planner may hide PLACEHOLDER ROW</v>
      </c>
      <c r="M208" s="1333"/>
      <c r="N208" s="1382"/>
      <c r="O208" s="1382"/>
      <c r="P208" s="1382"/>
      <c r="Q208" s="1382"/>
      <c r="R208" s="1382"/>
      <c r="S208" s="1382"/>
      <c r="T208" s="1382"/>
      <c r="U208" s="1382"/>
      <c r="V208" s="1382"/>
      <c r="W208" s="1382"/>
      <c r="X208" s="1382"/>
      <c r="Y208" s="1382"/>
      <c r="Z208" s="1382"/>
      <c r="AA208" s="1382"/>
      <c r="AB208" s="1382"/>
      <c r="AC208" s="1382"/>
      <c r="AD208" s="1382"/>
      <c r="AE208" s="1382"/>
      <c r="AF208" s="1382"/>
      <c r="AG208" s="1382"/>
      <c r="AH208" s="1382"/>
      <c r="AI208" s="1382"/>
      <c r="AJ208" s="1382"/>
      <c r="AK208" s="181"/>
      <c r="AL208" s="181"/>
      <c r="AM208" s="181"/>
      <c r="AN208" s="181"/>
      <c r="AO208" s="181"/>
      <c r="AP208" s="181"/>
      <c r="AQ208" s="181"/>
      <c r="AR208" s="181"/>
      <c r="AS208" s="181"/>
      <c r="AT208" s="181"/>
      <c r="AU208" s="181"/>
      <c r="AV208" s="181"/>
      <c r="AW208" s="181"/>
    </row>
    <row r="209" spans="1:49" s="30" customFormat="1" ht="15" hidden="1" customHeight="1" x14ac:dyDescent="0.25">
      <c r="A209" s="1517" t="str">
        <f>IF(COUNTIF('04 - 95% CD'!D209:G209,"Y")&gt;0,"Y",IF(COUNTIF('04 - 95% CD'!D209:G209,"N"),"N",""))</f>
        <v>Y</v>
      </c>
      <c r="B209" s="191"/>
      <c r="C209" s="944"/>
      <c r="D209" s="463"/>
      <c r="E209" s="463"/>
      <c r="F209" s="359" t="str">
        <f>IF('C-Design&amp;Const'!$W209="","",'C-Design&amp;Const'!$W209)</f>
        <v>N</v>
      </c>
      <c r="G209" s="291"/>
      <c r="H209" s="469" t="str">
        <f>CONCATENATE(IF(ISNUMBER(SEARCH("Placeholder",'C-Design&amp;Const'!Z209))=TRUE,"",IF(F209="N","PLACEHOLDER ROW - ","")),'C-Design&amp;Const'!Z209,IF(F209="N","",J209))</f>
        <v xml:space="preserve">PLACEHOLDER ROW - Life Safety </v>
      </c>
      <c r="I209" s="552"/>
      <c r="J209" s="181"/>
      <c r="K209" s="285" t="str">
        <f t="shared" si="22"/>
        <v>no 95% match</v>
      </c>
      <c r="L209" s="1410" t="str">
        <f t="shared" si="21"/>
        <v>&lt;---PM/Planner may hide PLACEHOLDER ROW</v>
      </c>
      <c r="M209" s="1333"/>
      <c r="N209" s="1382"/>
      <c r="O209" s="1382"/>
      <c r="P209" s="1382"/>
      <c r="Q209" s="1382"/>
      <c r="R209" s="1382"/>
      <c r="S209" s="1382"/>
      <c r="T209" s="1382"/>
      <c r="U209" s="1382"/>
      <c r="V209" s="1382"/>
      <c r="W209" s="1382"/>
      <c r="X209" s="1382"/>
      <c r="Y209" s="1382"/>
      <c r="Z209" s="1382"/>
      <c r="AA209" s="1382"/>
      <c r="AB209" s="1382"/>
      <c r="AC209" s="1382"/>
      <c r="AD209" s="1382"/>
      <c r="AE209" s="1382"/>
      <c r="AF209" s="1382"/>
      <c r="AG209" s="1382"/>
      <c r="AH209" s="1382"/>
      <c r="AI209" s="1382"/>
      <c r="AJ209" s="1382"/>
      <c r="AK209" s="181"/>
      <c r="AL209" s="181"/>
      <c r="AM209" s="181"/>
      <c r="AN209" s="181"/>
      <c r="AO209" s="181"/>
      <c r="AP209" s="181"/>
      <c r="AQ209" s="181"/>
      <c r="AR209" s="181"/>
      <c r="AS209" s="181"/>
      <c r="AT209" s="181"/>
      <c r="AU209" s="181"/>
      <c r="AV209" s="181"/>
      <c r="AW209" s="181"/>
    </row>
    <row r="210" spans="1:49" s="30" customFormat="1" ht="15" hidden="1" customHeight="1" x14ac:dyDescent="0.25">
      <c r="A210" s="1517" t="str">
        <f>IF(COUNTIF('04 - 95% CD'!D210:G210,"Y")&gt;0,"Y",IF(COUNTIF('04 - 95% CD'!D210:G210,"N"),"N",""))</f>
        <v>Y</v>
      </c>
      <c r="B210" s="191"/>
      <c r="C210" s="944"/>
      <c r="D210" s="463"/>
      <c r="E210" s="463"/>
      <c r="F210" s="359" t="str">
        <f>IF('C-Design&amp;Const'!$W210="","",'C-Design&amp;Const'!$W210)</f>
        <v>N</v>
      </c>
      <c r="G210" s="291"/>
      <c r="H210" s="469" t="str">
        <f>CONCATENATE(IF(ISNUMBER(SEARCH("Placeholder",'C-Design&amp;Const'!Z210))=TRUE,"",IF(F210="N","PLACEHOLDER ROW - ","")),'C-Design&amp;Const'!Z210,IF(F210="N","",J210))</f>
        <v xml:space="preserve">PLACEHOLDER ROW - General Project Info </v>
      </c>
      <c r="I210" s="552"/>
      <c r="J210" s="181"/>
      <c r="K210" s="285" t="str">
        <f t="shared" si="22"/>
        <v>no 95% match</v>
      </c>
      <c r="L210" s="1410" t="str">
        <f t="shared" si="21"/>
        <v>&lt;---PM/Planner may hide PLACEHOLDER ROW</v>
      </c>
      <c r="M210" s="1333"/>
      <c r="N210" s="1382"/>
      <c r="O210" s="1382"/>
      <c r="P210" s="1382"/>
      <c r="Q210" s="1382"/>
      <c r="R210" s="1382"/>
      <c r="S210" s="1382"/>
      <c r="T210" s="1382"/>
      <c r="U210" s="1382"/>
      <c r="V210" s="1382"/>
      <c r="W210" s="1382"/>
      <c r="X210" s="1382"/>
      <c r="Y210" s="1382"/>
      <c r="Z210" s="1382"/>
      <c r="AA210" s="1382"/>
      <c r="AB210" s="1382"/>
      <c r="AC210" s="1382"/>
      <c r="AD210" s="1382"/>
      <c r="AE210" s="1382"/>
      <c r="AF210" s="1382"/>
      <c r="AG210" s="1382"/>
      <c r="AH210" s="1382"/>
      <c r="AI210" s="1382"/>
      <c r="AJ210" s="1382"/>
      <c r="AK210" s="181"/>
      <c r="AL210" s="181"/>
      <c r="AM210" s="181"/>
      <c r="AN210" s="181"/>
      <c r="AO210" s="181"/>
      <c r="AP210" s="181"/>
      <c r="AQ210" s="181"/>
      <c r="AR210" s="181"/>
      <c r="AS210" s="181"/>
      <c r="AT210" s="181"/>
      <c r="AU210" s="181"/>
      <c r="AV210" s="181"/>
      <c r="AW210" s="181"/>
    </row>
    <row r="211" spans="1:49" s="17" customFormat="1" ht="18.75" hidden="1" x14ac:dyDescent="0.25">
      <c r="A211" s="1510" t="str">
        <f>IF(COUNTIF('04 - 95% CD'!D211:G211,"Y")&gt;0,"Y",IF(COUNTIF('04 - 95% CD'!D211:G211,"N"),"N",""))</f>
        <v>Y</v>
      </c>
      <c r="B211" s="141"/>
      <c r="C211" s="944"/>
      <c r="D211" s="411"/>
      <c r="E211" s="559" t="str">
        <f>IF('C-Design&amp;Const'!$W211="","",'C-Design&amp;Const'!$W211)</f>
        <v>N</v>
      </c>
      <c r="F211" s="478"/>
      <c r="G211" s="485"/>
      <c r="H211" s="244" t="str">
        <f>CONCATENATE(IF(ISNUMBER(SEARCH("Placeholder",'C-Design&amp;Const'!Z211))=TRUE,"",IF(E211="N","PLACEHOLDER ROW - ","")),'C-Design&amp;Const'!Z211,IF(E211="N","",J211))</f>
        <v>PLACEHOLDER ROW - Asbestos, Lead Based Paint, &amp; Hazardous Materials Drawings</v>
      </c>
      <c r="I211" s="552"/>
      <c r="K211" s="285" t="str">
        <f t="shared" ref="K211:K212" si="23">IF((COUNTIF(D211:F211,"Y")=COUNTIF(A211,"Y")),"match","no 95% match")</f>
        <v>no 95% match</v>
      </c>
      <c r="L211" s="1410" t="str">
        <f t="shared" ref="L211" si="24">CONCATENATE(IF(ISNUMBER(SEARCH("Placeholder",H211))=TRUE,"&lt;---PM/Planner may hide PLACEHOLDER ROW",""))</f>
        <v>&lt;---PM/Planner may hide PLACEHOLDER ROW</v>
      </c>
      <c r="M211" s="1333"/>
      <c r="N211" s="1333"/>
      <c r="O211" s="1333"/>
      <c r="P211" s="1333"/>
      <c r="Q211" s="1333"/>
      <c r="R211" s="1284"/>
      <c r="S211" s="1488"/>
      <c r="T211" s="1404"/>
      <c r="U211" s="1333"/>
      <c r="V211" s="1333"/>
      <c r="W211" s="1333"/>
      <c r="X211" s="1333"/>
      <c r="Y211" s="1333"/>
      <c r="Z211" s="1333"/>
      <c r="AA211" s="1333"/>
      <c r="AB211" s="1333"/>
      <c r="AC211" s="1333"/>
      <c r="AD211" s="1333"/>
      <c r="AE211" s="1333"/>
      <c r="AF211" s="1333"/>
      <c r="AG211" s="1333"/>
      <c r="AH211" s="1333"/>
      <c r="AI211" s="1333"/>
      <c r="AJ211" s="1333"/>
    </row>
    <row r="212" spans="1:49" s="545" customFormat="1" ht="15" hidden="1" customHeight="1" x14ac:dyDescent="0.25">
      <c r="A212" s="1517" t="str">
        <f>IF(COUNTIF('04 - 95% CD'!D212:G212,"Y")&gt;0,"Y",IF(COUNTIF('04 - 95% CD'!D212:G212,"N"),"N",""))</f>
        <v>N</v>
      </c>
      <c r="B212" s="554"/>
      <c r="C212" s="944"/>
      <c r="D212" s="463"/>
      <c r="E212" s="463"/>
      <c r="F212" s="359" t="str">
        <f>IF('C-Design&amp;Const'!$W212="","",'C-Design&amp;Const'!$W212)</f>
        <v>N</v>
      </c>
      <c r="G212" s="291"/>
      <c r="H212" s="469" t="str">
        <f>CONCATENATE(IF(ISNUMBER(SEARCH("Placeholder",'C-Design&amp;Const'!Z212))=TRUE,"",IF(F212="N","PLACEHOLDER ROW - ","")),'C-Design&amp;Const'!Z212,IF(F212="N","",J212))</f>
        <v>PLACEHOLDER ROW - CUSTOM - Asbestos</v>
      </c>
      <c r="I212" s="552"/>
      <c r="J212" s="551"/>
      <c r="K212" s="285" t="str">
        <f t="shared" si="23"/>
        <v>match</v>
      </c>
      <c r="L212" s="1410" t="str">
        <f>CONCATENATE(IF(ISNUMBER(SEARCH("Placeholder",H212))=TRUE,"&lt;---PM/Planner may hide PLACEHOLDER ROW",""))</f>
        <v>&lt;---PM/Planner may hide PLACEHOLDER ROW</v>
      </c>
      <c r="M212" s="1333"/>
      <c r="N212" s="1382"/>
      <c r="O212" s="1382"/>
      <c r="P212" s="1382"/>
      <c r="Q212" s="1382"/>
      <c r="R212" s="1382"/>
      <c r="S212" s="1382"/>
      <c r="T212" s="1382"/>
      <c r="U212" s="1382"/>
      <c r="V212" s="1382"/>
      <c r="W212" s="1382"/>
      <c r="X212" s="1382"/>
      <c r="Y212" s="1382"/>
      <c r="Z212" s="1382"/>
      <c r="AA212" s="1382"/>
      <c r="AB212" s="1382"/>
      <c r="AC212" s="1382"/>
      <c r="AD212" s="1382"/>
      <c r="AE212" s="1382"/>
      <c r="AF212" s="1382"/>
      <c r="AG212" s="1382"/>
      <c r="AH212" s="1382"/>
      <c r="AI212" s="1382"/>
      <c r="AJ212" s="1382"/>
      <c r="AK212" s="551"/>
      <c r="AL212" s="551"/>
      <c r="AM212" s="551"/>
      <c r="AN212" s="551"/>
      <c r="AO212" s="551"/>
      <c r="AP212" s="551"/>
      <c r="AQ212" s="551"/>
      <c r="AR212" s="551"/>
      <c r="AS212" s="551"/>
      <c r="AT212" s="551"/>
      <c r="AU212" s="551"/>
      <c r="AV212" s="551"/>
      <c r="AW212" s="551"/>
    </row>
    <row r="213" spans="1:49" s="545" customFormat="1" ht="15" hidden="1" customHeight="1" x14ac:dyDescent="0.25">
      <c r="A213" s="1517" t="str">
        <f>IF(COUNTIF('04 - 95% CD'!D213:G213,"Y")&gt;0,"Y",IF(COUNTIF('04 - 95% CD'!D213:G213,"N"),"N",""))</f>
        <v>Y</v>
      </c>
      <c r="B213" s="554"/>
      <c r="C213" s="944"/>
      <c r="D213" s="463"/>
      <c r="E213" s="463"/>
      <c r="F213" s="359" t="str">
        <f>IF('C-Design&amp;Const'!$W213="","",'C-Design&amp;Const'!$W213)</f>
        <v>N</v>
      </c>
      <c r="G213" s="291"/>
      <c r="H213" s="469" t="str">
        <f>CONCATENATE(IF(ISNUMBER(SEARCH("Placeholder",'C-Design&amp;Const'!Z213))=TRUE,"",IF(F213="N","PLACEHOLDER ROW - ","")),'C-Design&amp;Const'!Z213,IF(F213="N","",J213))</f>
        <v xml:space="preserve">PLACEHOLDER ROW - Asbestos Removal, Remediation, Containment </v>
      </c>
      <c r="I213" s="552"/>
      <c r="J213" s="551"/>
      <c r="K213" s="285" t="str">
        <f>IF((COUNTIF(D213:F213,"Y")=COUNTIF(A213,"Y")),"match","no 95% match")</f>
        <v>no 95% match</v>
      </c>
      <c r="L213" s="1410" t="str">
        <f>CONCATENATE(IF(ISNUMBER(SEARCH("Placeholder",H213))=TRUE,"&lt;---PM/Planner may hide PLACEHOLDER ROW",""))</f>
        <v>&lt;---PM/Planner may hide PLACEHOLDER ROW</v>
      </c>
      <c r="M213" s="1333"/>
      <c r="N213" s="1382"/>
      <c r="O213" s="1382"/>
      <c r="P213" s="1382"/>
      <c r="Q213" s="1382"/>
      <c r="R213" s="1382"/>
      <c r="S213" s="1382"/>
      <c r="T213" s="1382"/>
      <c r="U213" s="1382"/>
      <c r="V213" s="1382"/>
      <c r="W213" s="1382"/>
      <c r="X213" s="1382"/>
      <c r="Y213" s="1382"/>
      <c r="Z213" s="1382"/>
      <c r="AA213" s="1382"/>
      <c r="AB213" s="1382"/>
      <c r="AC213" s="1382"/>
      <c r="AD213" s="1382"/>
      <c r="AE213" s="1382"/>
      <c r="AF213" s="1382"/>
      <c r="AG213" s="1382"/>
      <c r="AH213" s="1382"/>
      <c r="AI213" s="1382"/>
      <c r="AJ213" s="1382"/>
      <c r="AK213" s="551"/>
      <c r="AL213" s="551"/>
      <c r="AM213" s="551"/>
      <c r="AN213" s="551"/>
      <c r="AO213" s="551"/>
      <c r="AP213" s="551"/>
      <c r="AQ213" s="551"/>
      <c r="AR213" s="551"/>
      <c r="AS213" s="551"/>
      <c r="AT213" s="551"/>
      <c r="AU213" s="551"/>
      <c r="AV213" s="551"/>
      <c r="AW213" s="551"/>
    </row>
    <row r="214" spans="1:49" s="545" customFormat="1" ht="15" hidden="1" customHeight="1" x14ac:dyDescent="0.25">
      <c r="A214" s="1517" t="str">
        <f>IF(COUNTIF('04 - 95% CD'!D214:G214,"Y")&gt;0,"Y",IF(COUNTIF('04 - 95% CD'!D214:G214,"N"),"N",""))</f>
        <v>N</v>
      </c>
      <c r="B214" s="554"/>
      <c r="C214" s="944"/>
      <c r="D214" s="463"/>
      <c r="E214" s="463"/>
      <c r="F214" s="359" t="str">
        <f>IF('C-Design&amp;Const'!$W214="","",'C-Design&amp;Const'!$W214)</f>
        <v>N</v>
      </c>
      <c r="G214" s="291"/>
      <c r="H214" s="469" t="str">
        <f>CONCATENATE(IF(ISNUMBER(SEARCH("Placeholder",'C-Design&amp;Const'!Z214))=TRUE,"",IF(F214="N","PLACEHOLDER ROW - ","")),'C-Design&amp;Const'!Z214,IF(F214="N","",J214))</f>
        <v>PLACEHOLDER ROW - CUSTOM - Lead Based Paint</v>
      </c>
      <c r="I214" s="552"/>
      <c r="J214" s="551"/>
      <c r="K214" s="285" t="str">
        <f t="shared" ref="K214:K217" si="25">IF((COUNTIF(D214:F214,"Y")=COUNTIF(A214,"Y")),"match","no 95% match")</f>
        <v>match</v>
      </c>
      <c r="L214" s="1410" t="str">
        <f t="shared" ref="L214:L217" si="26">CONCATENATE(IF(ISNUMBER(SEARCH("Placeholder",H214))=TRUE,"&lt;---PM/Planner may hide PLACEHOLDER ROW",""))</f>
        <v>&lt;---PM/Planner may hide PLACEHOLDER ROW</v>
      </c>
      <c r="M214" s="1333"/>
      <c r="N214" s="1382"/>
      <c r="O214" s="1382"/>
      <c r="P214" s="1382"/>
      <c r="Q214" s="1382"/>
      <c r="R214" s="1382"/>
      <c r="S214" s="1382"/>
      <c r="T214" s="1382"/>
      <c r="U214" s="1382"/>
      <c r="V214" s="1382"/>
      <c r="W214" s="1382"/>
      <c r="X214" s="1382"/>
      <c r="Y214" s="1382"/>
      <c r="Z214" s="1382"/>
      <c r="AA214" s="1382"/>
      <c r="AB214" s="1382"/>
      <c r="AC214" s="1382"/>
      <c r="AD214" s="1382"/>
      <c r="AE214" s="1382"/>
      <c r="AF214" s="1382"/>
      <c r="AG214" s="1382"/>
      <c r="AH214" s="1382"/>
      <c r="AI214" s="1382"/>
      <c r="AJ214" s="1382"/>
      <c r="AK214" s="551"/>
      <c r="AL214" s="551"/>
      <c r="AM214" s="551"/>
      <c r="AN214" s="551"/>
      <c r="AO214" s="551"/>
      <c r="AP214" s="551"/>
      <c r="AQ214" s="551"/>
      <c r="AR214" s="551"/>
      <c r="AS214" s="551"/>
      <c r="AT214" s="551"/>
      <c r="AU214" s="551"/>
      <c r="AV214" s="551"/>
      <c r="AW214" s="551"/>
    </row>
    <row r="215" spans="1:49" s="17" customFormat="1" ht="15.75" hidden="1" customHeight="1" x14ac:dyDescent="0.25">
      <c r="A215" s="1517" t="str">
        <f>IF(COUNTIF('04 - 95% CD'!D215:G215,"Y")&gt;0,"Y",IF(COUNTIF('04 - 95% CD'!D215:G215,"N"),"N",""))</f>
        <v>Y</v>
      </c>
      <c r="B215" s="141"/>
      <c r="C215" s="944"/>
      <c r="D215" s="411"/>
      <c r="E215" s="321"/>
      <c r="F215" s="559" t="str">
        <f>IF('C-Design&amp;Const'!$W215="","",'C-Design&amp;Const'!$W215)</f>
        <v>N</v>
      </c>
      <c r="G215" s="485"/>
      <c r="H215" s="469" t="str">
        <f>CONCATENATE(IF(ISNUMBER(SEARCH("Placeholder",'C-Design&amp;Const'!Z215))=TRUE,"",IF(F215="N","PLACEHOLDER ROW - ","")),'C-Design&amp;Const'!Z215,IF(F215="N","",J215))</f>
        <v xml:space="preserve">PLACEHOLDER ROW - Lead Based Paint Removal, Remediation, Containment </v>
      </c>
      <c r="I215" s="552"/>
      <c r="K215" s="285" t="str">
        <f t="shared" si="25"/>
        <v>no 95% match</v>
      </c>
      <c r="L215" s="1410" t="str">
        <f t="shared" si="26"/>
        <v>&lt;---PM/Planner may hide PLACEHOLDER ROW</v>
      </c>
      <c r="M215" s="1333"/>
      <c r="N215" s="1333"/>
      <c r="O215" s="1333"/>
      <c r="P215" s="1333"/>
      <c r="Q215" s="1333"/>
      <c r="R215" s="1453"/>
      <c r="S215" s="1364"/>
      <c r="T215" s="1404"/>
      <c r="U215" s="1333"/>
      <c r="V215" s="1333"/>
      <c r="W215" s="1333"/>
      <c r="X215" s="1333"/>
      <c r="Y215" s="1333"/>
      <c r="Z215" s="1333"/>
      <c r="AA215" s="1333"/>
      <c r="AB215" s="1333"/>
      <c r="AC215" s="1333"/>
      <c r="AD215" s="1333"/>
      <c r="AE215" s="1333"/>
      <c r="AF215" s="1333"/>
      <c r="AG215" s="1333"/>
      <c r="AH215" s="1333"/>
      <c r="AI215" s="1333"/>
      <c r="AJ215" s="1333"/>
    </row>
    <row r="216" spans="1:49" s="545" customFormat="1" ht="15.75" hidden="1" customHeight="1" x14ac:dyDescent="0.25">
      <c r="A216" s="1517" t="str">
        <f>IF(COUNTIF('04 - 95% CD'!D216:G216,"Y")&gt;0,"Y",IF(COUNTIF('04 - 95% CD'!D216:G216,"N"),"N",""))</f>
        <v>N</v>
      </c>
      <c r="B216" s="554"/>
      <c r="C216" s="944"/>
      <c r="D216" s="463"/>
      <c r="E216" s="463"/>
      <c r="F216" s="359" t="str">
        <f>IF('C-Design&amp;Const'!$W216="","",'C-Design&amp;Const'!$W216)</f>
        <v>N</v>
      </c>
      <c r="G216" s="291"/>
      <c r="H216" s="469" t="str">
        <f>CONCATENATE(IF(ISNUMBER(SEARCH("Placeholder",'C-Design&amp;Const'!Z216))=TRUE,"",IF(F216="N","PLACEHOLDER ROW - ","")),'C-Design&amp;Const'!Z216,IF(F216="N","",J216))</f>
        <v>PLACEHOLDER ROW - CUSTOM - Hazardous Materials</v>
      </c>
      <c r="I216" s="552"/>
      <c r="J216" s="551"/>
      <c r="K216" s="285" t="str">
        <f t="shared" si="25"/>
        <v>match</v>
      </c>
      <c r="L216" s="1410" t="str">
        <f t="shared" si="26"/>
        <v>&lt;---PM/Planner may hide PLACEHOLDER ROW</v>
      </c>
      <c r="M216" s="1333"/>
      <c r="N216" s="1382"/>
      <c r="O216" s="1382"/>
      <c r="P216" s="1382"/>
      <c r="Q216" s="1382"/>
      <c r="R216" s="1382"/>
      <c r="S216" s="1382"/>
      <c r="T216" s="1382"/>
      <c r="U216" s="1382"/>
      <c r="V216" s="1382"/>
      <c r="W216" s="1382"/>
      <c r="X216" s="1382"/>
      <c r="Y216" s="1382"/>
      <c r="Z216" s="1382"/>
      <c r="AA216" s="1382"/>
      <c r="AB216" s="1382"/>
      <c r="AC216" s="1382"/>
      <c r="AD216" s="1382"/>
      <c r="AE216" s="1382"/>
      <c r="AF216" s="1382"/>
      <c r="AG216" s="1382"/>
      <c r="AH216" s="1382"/>
      <c r="AI216" s="1382"/>
      <c r="AJ216" s="1382"/>
      <c r="AK216" s="551"/>
      <c r="AL216" s="551"/>
      <c r="AM216" s="551"/>
      <c r="AN216" s="551"/>
      <c r="AO216" s="551"/>
      <c r="AP216" s="551"/>
      <c r="AQ216" s="551"/>
      <c r="AR216" s="551"/>
      <c r="AS216" s="551"/>
      <c r="AT216" s="551"/>
      <c r="AU216" s="551"/>
      <c r="AV216" s="551"/>
      <c r="AW216" s="551"/>
    </row>
    <row r="217" spans="1:49" s="545" customFormat="1" ht="15.75" hidden="1" customHeight="1" x14ac:dyDescent="0.25">
      <c r="A217" s="1517" t="str">
        <f>IF(COUNTIF('04 - 95% CD'!D217:G217,"Y")&gt;0,"Y",IF(COUNTIF('04 - 95% CD'!D217:G217,"N"),"N",""))</f>
        <v>Y</v>
      </c>
      <c r="B217" s="554"/>
      <c r="C217" s="944"/>
      <c r="D217" s="463"/>
      <c r="E217" s="463"/>
      <c r="F217" s="359" t="str">
        <f>IF('C-Design&amp;Const'!$W217="","",'C-Design&amp;Const'!$W217)</f>
        <v>N</v>
      </c>
      <c r="G217" s="291"/>
      <c r="H217" s="469" t="str">
        <f>CONCATENATE(IF(ISNUMBER(SEARCH("Placeholder",'C-Design&amp;Const'!Z217))=TRUE,"",IF(F217="N","PLACEHOLDER ROW - ","")),'C-Design&amp;Const'!Z217,IF(F217="N","",J217))</f>
        <v xml:space="preserve">PLACEHOLDER ROW - Other Hazardous Materials Removal, Remediation, Containment </v>
      </c>
      <c r="I217" s="552"/>
      <c r="J217" s="551"/>
      <c r="K217" s="285" t="str">
        <f t="shared" si="25"/>
        <v>no 95% match</v>
      </c>
      <c r="L217" s="1410" t="str">
        <f t="shared" si="26"/>
        <v>&lt;---PM/Planner may hide PLACEHOLDER ROW</v>
      </c>
      <c r="M217" s="1333"/>
      <c r="N217" s="1382"/>
      <c r="O217" s="1382"/>
      <c r="P217" s="1382"/>
      <c r="Q217" s="1382"/>
      <c r="R217" s="1382"/>
      <c r="S217" s="1382"/>
      <c r="T217" s="1382"/>
      <c r="U217" s="1382"/>
      <c r="V217" s="1382"/>
      <c r="W217" s="1382"/>
      <c r="X217" s="1382"/>
      <c r="Y217" s="1382"/>
      <c r="Z217" s="1382"/>
      <c r="AA217" s="1382"/>
      <c r="AB217" s="1382"/>
      <c r="AC217" s="1382"/>
      <c r="AD217" s="1382"/>
      <c r="AE217" s="1382"/>
      <c r="AF217" s="1382"/>
      <c r="AG217" s="1382"/>
      <c r="AH217" s="1382"/>
      <c r="AI217" s="1382"/>
      <c r="AJ217" s="1382"/>
      <c r="AK217" s="551"/>
      <c r="AL217" s="551"/>
      <c r="AM217" s="551"/>
      <c r="AN217" s="551"/>
      <c r="AO217" s="551"/>
      <c r="AP217" s="551"/>
      <c r="AQ217" s="551"/>
      <c r="AR217" s="551"/>
      <c r="AS217" s="551"/>
      <c r="AT217" s="551"/>
      <c r="AU217" s="551"/>
      <c r="AV217" s="551"/>
      <c r="AW217" s="551"/>
    </row>
    <row r="218" spans="1:49" s="17" customFormat="1" ht="18.75" hidden="1" x14ac:dyDescent="0.25">
      <c r="A218" s="1510" t="str">
        <f>IF(COUNTIF('04 - 95% CD'!D218:G218,"Y")&gt;0,"Y",IF(COUNTIF('04 - 95% CD'!D218:G218,"N"),"N",""))</f>
        <v>Y</v>
      </c>
      <c r="B218" s="141"/>
      <c r="C218" s="944"/>
      <c r="D218" s="411"/>
      <c r="E218" s="559" t="str">
        <f>IF('C-Design&amp;Const'!$W218="","",'C-Design&amp;Const'!$W218)</f>
        <v>N</v>
      </c>
      <c r="F218" s="478"/>
      <c r="G218" s="485"/>
      <c r="H218" s="244" t="str">
        <f>CONCATENATE(IF(ISNUMBER(SEARCH("Placeholder",'C-Design&amp;Const'!Z218))=TRUE,"",IF(E218="N","PLACEHOLDER ROW - ","")),'C-Design&amp;Const'!Z218,IF(E218="N","",J218))</f>
        <v>PLACEHOLDER ROW - Site, Civil, &amp; Landscape Drawings</v>
      </c>
      <c r="I218" s="552"/>
      <c r="K218" s="285" t="str">
        <f t="shared" si="22"/>
        <v>no 95% match</v>
      </c>
      <c r="L218" s="1410" t="str">
        <f t="shared" si="21"/>
        <v>&lt;---PM/Planner may hide PLACEHOLDER ROW</v>
      </c>
      <c r="M218" s="1333"/>
      <c r="N218" s="1333"/>
      <c r="O218" s="1333"/>
      <c r="P218" s="1333"/>
      <c r="Q218" s="1333"/>
      <c r="R218" s="1284"/>
      <c r="S218" s="1488"/>
      <c r="T218" s="1404"/>
      <c r="U218" s="1333"/>
      <c r="V218" s="1333"/>
      <c r="W218" s="1333"/>
      <c r="X218" s="1333"/>
      <c r="Y218" s="1333"/>
      <c r="Z218" s="1333"/>
      <c r="AA218" s="1333"/>
      <c r="AB218" s="1333"/>
      <c r="AC218" s="1333"/>
      <c r="AD218" s="1333"/>
      <c r="AE218" s="1333"/>
      <c r="AF218" s="1333"/>
      <c r="AG218" s="1333"/>
      <c r="AH218" s="1333"/>
      <c r="AI218" s="1333"/>
      <c r="AJ218" s="1333"/>
    </row>
    <row r="219" spans="1:49" s="30" customFormat="1" ht="15" hidden="1" customHeight="1" x14ac:dyDescent="0.25">
      <c r="A219" s="1517" t="str">
        <f>IF(COUNTIF('04 - 95% CD'!D219:G219,"Y")&gt;0,"Y",IF(COUNTIF('04 - 95% CD'!D219:G219,"N"),"N",""))</f>
        <v>N</v>
      </c>
      <c r="B219" s="191"/>
      <c r="C219" s="944"/>
      <c r="D219" s="463"/>
      <c r="E219" s="463"/>
      <c r="F219" s="359" t="str">
        <f>IF('C-Design&amp;Const'!$W219="","",'C-Design&amp;Const'!$W219)</f>
        <v>N</v>
      </c>
      <c r="G219" s="291"/>
      <c r="H219" s="469" t="str">
        <f>CONCATENATE(IF(ISNUMBER(SEARCH("Placeholder",'C-Design&amp;Const'!Z219))=TRUE,"",IF(F219="N","PLACEHOLDER ROW - ","")),'C-Design&amp;Const'!Z219,IF(F219="N","",J219))</f>
        <v>PLACEHOLDER ROW - CUSTOM - Site / Civil / Landscape</v>
      </c>
      <c r="I219" s="552"/>
      <c r="J219" s="181"/>
      <c r="K219" s="285" t="str">
        <f t="shared" ref="K219" si="27">IF((COUNTIF(D219:F219,"Y")=COUNTIF(A219,"Y")),"match","no 95% match")</f>
        <v>match</v>
      </c>
      <c r="L219" s="1410" t="str">
        <f>CONCATENATE(IF(ISNUMBER(SEARCH("Placeholder",H219))=TRUE,"&lt;---PM/Planner may hide PLACEHOLDER ROW",""))</f>
        <v>&lt;---PM/Planner may hide PLACEHOLDER ROW</v>
      </c>
      <c r="M219" s="1333"/>
      <c r="N219" s="1382"/>
      <c r="O219" s="1382"/>
      <c r="P219" s="1382"/>
      <c r="Q219" s="1382"/>
      <c r="R219" s="1382"/>
      <c r="S219" s="1382"/>
      <c r="T219" s="1382"/>
      <c r="U219" s="1382"/>
      <c r="V219" s="1382"/>
      <c r="W219" s="1382"/>
      <c r="X219" s="1382"/>
      <c r="Y219" s="1382"/>
      <c r="Z219" s="1382"/>
      <c r="AA219" s="1382"/>
      <c r="AB219" s="1382"/>
      <c r="AC219" s="1382"/>
      <c r="AD219" s="1382"/>
      <c r="AE219" s="1382"/>
      <c r="AF219" s="1382"/>
      <c r="AG219" s="1382"/>
      <c r="AH219" s="1382"/>
      <c r="AI219" s="1382"/>
      <c r="AJ219" s="1382"/>
      <c r="AK219" s="181"/>
      <c r="AL219" s="181"/>
      <c r="AM219" s="181"/>
      <c r="AN219" s="181"/>
      <c r="AO219" s="181"/>
      <c r="AP219" s="181"/>
      <c r="AQ219" s="181"/>
      <c r="AR219" s="181"/>
      <c r="AS219" s="181"/>
      <c r="AT219" s="181"/>
      <c r="AU219" s="181"/>
      <c r="AV219" s="181"/>
      <c r="AW219" s="181"/>
    </row>
    <row r="220" spans="1:49" s="30" customFormat="1" ht="15" hidden="1" customHeight="1" x14ac:dyDescent="0.25">
      <c r="A220" s="1517" t="str">
        <f>IF(COUNTIF('04 - 95% CD'!D220:G220,"Y")&gt;0,"Y",IF(COUNTIF('04 - 95% CD'!D220:G220,"N"),"N",""))</f>
        <v>N</v>
      </c>
      <c r="B220" s="191"/>
      <c r="C220" s="944"/>
      <c r="D220" s="463"/>
      <c r="E220" s="463"/>
      <c r="F220" s="359" t="str">
        <f>IF('C-Design&amp;Const'!$W220="","",'C-Design&amp;Const'!$W220)</f>
        <v>N</v>
      </c>
      <c r="G220" s="291"/>
      <c r="H220" s="469" t="str">
        <f>CONCATENATE(IF(ISNUMBER(SEARCH("Placeholder",'C-Design&amp;Const'!Z220))=TRUE,"",IF(F220="N","PLACEHOLDER ROW - ","")),'C-Design&amp;Const'!Z220,IF(F220="N","",J220))</f>
        <v>PLACEHOLDER ROW - CUSTOM - Site / Civil / Landscape</v>
      </c>
      <c r="I220" s="552"/>
      <c r="J220" s="181"/>
      <c r="K220" s="285" t="str">
        <f>IF((COUNTIF(D220:F220,"Y")=COUNTIF(A220,"Y")),"match","no 95% match")</f>
        <v>match</v>
      </c>
      <c r="L220" s="1410" t="str">
        <f>CONCATENATE(IF(ISNUMBER(SEARCH("Placeholder",H220))=TRUE,"&lt;---PM/Planner may hide PLACEHOLDER ROW",""))</f>
        <v>&lt;---PM/Planner may hide PLACEHOLDER ROW</v>
      </c>
      <c r="M220" s="1333"/>
      <c r="N220" s="1382"/>
      <c r="O220" s="1382"/>
      <c r="P220" s="1382"/>
      <c r="Q220" s="1382"/>
      <c r="R220" s="1382"/>
      <c r="S220" s="1382"/>
      <c r="T220" s="1382"/>
      <c r="U220" s="1382"/>
      <c r="V220" s="1382"/>
      <c r="W220" s="1382"/>
      <c r="X220" s="1382"/>
      <c r="Y220" s="1382"/>
      <c r="Z220" s="1382"/>
      <c r="AA220" s="1382"/>
      <c r="AB220" s="1382"/>
      <c r="AC220" s="1382"/>
      <c r="AD220" s="1382"/>
      <c r="AE220" s="1382"/>
      <c r="AF220" s="1382"/>
      <c r="AG220" s="1382"/>
      <c r="AH220" s="1382"/>
      <c r="AI220" s="1382"/>
      <c r="AJ220" s="1382"/>
      <c r="AK220" s="181"/>
      <c r="AL220" s="181"/>
      <c r="AM220" s="181"/>
      <c r="AN220" s="181"/>
      <c r="AO220" s="181"/>
      <c r="AP220" s="181"/>
      <c r="AQ220" s="181"/>
      <c r="AR220" s="181"/>
      <c r="AS220" s="181"/>
      <c r="AT220" s="181"/>
      <c r="AU220" s="181"/>
      <c r="AV220" s="181"/>
      <c r="AW220" s="181"/>
    </row>
    <row r="221" spans="1:49" s="545" customFormat="1" ht="15" hidden="1" customHeight="1" x14ac:dyDescent="0.25">
      <c r="A221" s="1517" t="str">
        <f>IF(COUNTIF('04 - 95% CD'!D221:G221,"Y")&gt;0,"Y",IF(COUNTIF('04 - 95% CD'!D221:G221,"N"),"N",""))</f>
        <v>Y</v>
      </c>
      <c r="B221" s="554"/>
      <c r="C221" s="944"/>
      <c r="D221" s="463"/>
      <c r="E221" s="463"/>
      <c r="F221" s="359" t="str">
        <f>IF('C-Design&amp;Const'!$W221="","",'C-Design&amp;Const'!$W221)</f>
        <v>N</v>
      </c>
      <c r="G221" s="291"/>
      <c r="H221" s="469" t="str">
        <f>CONCATENATE(IF(ISNUMBER(SEARCH("Placeholder",'C-Design&amp;Const'!Z221))=TRUE,"",IF(F221="N","PLACEHOLDER ROW - ","")),'C-Design&amp;Const'!Z221,IF(F221="N","",J221))</f>
        <v xml:space="preserve">PLACEHOLDER ROW - Civil, Site, Landscape Symbols, Abbreviations, and General Notes </v>
      </c>
      <c r="I221" s="552"/>
      <c r="J221" s="551"/>
      <c r="K221" s="285" t="str">
        <f>IF((COUNTIF(D221:F221,"Y")=COUNTIF(A221,"Y")),"match","no 95% match")</f>
        <v>no 95% match</v>
      </c>
      <c r="L221" s="1410" t="str">
        <f>CONCATENATE(IF(ISNUMBER(SEARCH("Placeholder",H221))=TRUE,"&lt;---PM/Planner may hide PLACEHOLDER ROW",""))</f>
        <v>&lt;---PM/Planner may hide PLACEHOLDER ROW</v>
      </c>
      <c r="M221" s="1333"/>
      <c r="N221" s="1382"/>
      <c r="O221" s="1382"/>
      <c r="P221" s="1382"/>
      <c r="Q221" s="1382"/>
      <c r="R221" s="1382"/>
      <c r="S221" s="1382"/>
      <c r="T221" s="1382"/>
      <c r="U221" s="1382"/>
      <c r="V221" s="1382"/>
      <c r="W221" s="1382"/>
      <c r="X221" s="1382"/>
      <c r="Y221" s="1382"/>
      <c r="Z221" s="1382"/>
      <c r="AA221" s="1382"/>
      <c r="AB221" s="1382"/>
      <c r="AC221" s="1382"/>
      <c r="AD221" s="1382"/>
      <c r="AE221" s="1382"/>
      <c r="AF221" s="1382"/>
      <c r="AG221" s="1382"/>
      <c r="AH221" s="1382"/>
      <c r="AI221" s="1382"/>
      <c r="AJ221" s="1382"/>
      <c r="AK221" s="551"/>
      <c r="AL221" s="551"/>
      <c r="AM221" s="551"/>
      <c r="AN221" s="551"/>
      <c r="AO221" s="551"/>
      <c r="AP221" s="551"/>
      <c r="AQ221" s="551"/>
      <c r="AR221" s="551"/>
      <c r="AS221" s="551"/>
      <c r="AT221" s="551"/>
      <c r="AU221" s="551"/>
      <c r="AV221" s="551"/>
      <c r="AW221" s="551"/>
    </row>
    <row r="222" spans="1:49" s="30" customFormat="1" ht="15" hidden="1" customHeight="1" x14ac:dyDescent="0.25">
      <c r="A222" s="1517" t="str">
        <f>IF(COUNTIF('04 - 95% CD'!D222:G222,"Y")&gt;0,"Y",IF(COUNTIF('04 - 95% CD'!D222:G222,"N"),"N",""))</f>
        <v>Y</v>
      </c>
      <c r="B222" s="191"/>
      <c r="C222" s="944"/>
      <c r="D222" s="463"/>
      <c r="E222" s="463"/>
      <c r="F222" s="359" t="str">
        <f>IF('C-Design&amp;Const'!$W222="","",'C-Design&amp;Const'!$W222)</f>
        <v>N</v>
      </c>
      <c r="G222" s="291"/>
      <c r="H222" s="469" t="str">
        <f>CONCATENATE(IF(ISNUMBER(SEARCH("Placeholder",'C-Design&amp;Const'!Z222))=TRUE,"",IF(F222="N","PLACEHOLDER ROW - ","")),'C-Design&amp;Const'!Z222,IF(F222="N","",J222))</f>
        <v xml:space="preserve">PLACEHOLDER ROW - Site Clearing, Demolitions, &amp; Abandonments </v>
      </c>
      <c r="I222" s="552"/>
      <c r="J222" s="181"/>
      <c r="K222" s="285" t="str">
        <f t="shared" si="22"/>
        <v>no 95% match</v>
      </c>
      <c r="L222" s="1410" t="str">
        <f t="shared" si="21"/>
        <v>&lt;---PM/Planner may hide PLACEHOLDER ROW</v>
      </c>
      <c r="M222" s="1333"/>
      <c r="N222" s="1382"/>
      <c r="O222" s="1382"/>
      <c r="P222" s="1382"/>
      <c r="Q222" s="1382"/>
      <c r="R222" s="1382"/>
      <c r="S222" s="1382"/>
      <c r="T222" s="1382"/>
      <c r="U222" s="1382"/>
      <c r="V222" s="1382"/>
      <c r="W222" s="1382"/>
      <c r="X222" s="1382"/>
      <c r="Y222" s="1382"/>
      <c r="Z222" s="1382"/>
      <c r="AA222" s="1382"/>
      <c r="AB222" s="1382"/>
      <c r="AC222" s="1382"/>
      <c r="AD222" s="1382"/>
      <c r="AE222" s="1382"/>
      <c r="AF222" s="1382"/>
      <c r="AG222" s="1382"/>
      <c r="AH222" s="1382"/>
      <c r="AI222" s="1382"/>
      <c r="AJ222" s="1382"/>
      <c r="AK222" s="181"/>
      <c r="AL222" s="181"/>
      <c r="AM222" s="181"/>
      <c r="AN222" s="181"/>
      <c r="AO222" s="181"/>
      <c r="AP222" s="181"/>
      <c r="AQ222" s="181"/>
      <c r="AR222" s="181"/>
      <c r="AS222" s="181"/>
      <c r="AT222" s="181"/>
      <c r="AU222" s="181"/>
      <c r="AV222" s="181"/>
      <c r="AW222" s="181"/>
    </row>
    <row r="223" spans="1:49" s="17" customFormat="1" ht="15.75" hidden="1" customHeight="1" x14ac:dyDescent="0.25">
      <c r="A223" s="1517" t="str">
        <f>IF(COUNTIF('04 - 95% CD'!D223:G223,"Y")&gt;0,"Y",IF(COUNTIF('04 - 95% CD'!D223:G223,"N"),"N",""))</f>
        <v>Y</v>
      </c>
      <c r="B223" s="141"/>
      <c r="C223" s="944"/>
      <c r="D223" s="411"/>
      <c r="E223" s="321"/>
      <c r="F223" s="559" t="str">
        <f>IF('C-Design&amp;Const'!$W223="","",'C-Design&amp;Const'!$W223)</f>
        <v>N</v>
      </c>
      <c r="G223" s="485"/>
      <c r="H223" s="469" t="str">
        <f>CONCATENATE(IF(ISNUMBER(SEARCH("Placeholder",'C-Design&amp;Const'!Z223))=TRUE,"",IF(F223="N","PLACEHOLDER ROW - ","")),'C-Design&amp;Const'!Z223,IF(F223="N","",J223))</f>
        <v>PLACEHOLDER ROW - Site Plan (show tree protection if not yet shown in laydown plan)</v>
      </c>
      <c r="I223" s="552"/>
      <c r="K223" s="285" t="str">
        <f t="shared" si="22"/>
        <v>no 95% match</v>
      </c>
      <c r="L223" s="1410" t="str">
        <f t="shared" si="21"/>
        <v>&lt;---PM/Planner may hide PLACEHOLDER ROW</v>
      </c>
      <c r="M223" s="1333"/>
      <c r="N223" s="1333"/>
      <c r="O223" s="1333"/>
      <c r="P223" s="1333"/>
      <c r="Q223" s="1333"/>
      <c r="R223" s="1453"/>
      <c r="S223" s="1364"/>
      <c r="T223" s="1404"/>
      <c r="U223" s="1333"/>
      <c r="V223" s="1333"/>
      <c r="W223" s="1333"/>
      <c r="X223" s="1333"/>
      <c r="Y223" s="1333"/>
      <c r="Z223" s="1333"/>
      <c r="AA223" s="1333"/>
      <c r="AB223" s="1333"/>
      <c r="AC223" s="1333"/>
      <c r="AD223" s="1333"/>
      <c r="AE223" s="1333"/>
      <c r="AF223" s="1333"/>
      <c r="AG223" s="1333"/>
      <c r="AH223" s="1333"/>
      <c r="AI223" s="1333"/>
      <c r="AJ223" s="1333"/>
    </row>
    <row r="224" spans="1:49" s="17" customFormat="1" ht="15.75" hidden="1" customHeight="1" x14ac:dyDescent="0.25">
      <c r="A224" s="1517" t="str">
        <f>IF(COUNTIF('04 - 95% CD'!D224:G224,"Y")&gt;0,"Y",IF(COUNTIF('04 - 95% CD'!D224:G224,"N"),"N",""))</f>
        <v>Y</v>
      </c>
      <c r="B224" s="141"/>
      <c r="C224" s="944"/>
      <c r="D224" s="411"/>
      <c r="E224" s="321"/>
      <c r="F224" s="559" t="str">
        <f>IF('C-Design&amp;Const'!$W224="","",'C-Design&amp;Const'!$W224)</f>
        <v>N</v>
      </c>
      <c r="G224" s="485"/>
      <c r="H224" s="469" t="str">
        <f>CONCATENATE(IF(ISNUMBER(SEARCH("Placeholder",'C-Design&amp;Const'!Z224))=TRUE,"",IF(F224="N","PLACEHOLDER ROW - ","")),'C-Design&amp;Const'!Z224,IF(F224="N","",J224))</f>
        <v xml:space="preserve">PLACEHOLDER ROW - Storm Water Detention Plan </v>
      </c>
      <c r="I224" s="552"/>
      <c r="K224" s="285" t="str">
        <f>IF((COUNTIF(D224:F224,"Y")=COUNTIF(A224,"Y")),"match","no 95% match")</f>
        <v>no 95% match</v>
      </c>
      <c r="L224" s="1410" t="str">
        <f>CONCATENATE(IF(ISNUMBER(SEARCH("Placeholder",H224))=TRUE,"&lt;---PM/Planner may hide PLACEHOLDER ROW",""))</f>
        <v>&lt;---PM/Planner may hide PLACEHOLDER ROW</v>
      </c>
      <c r="M224" s="1333"/>
      <c r="N224" s="1333"/>
      <c r="O224" s="1333"/>
      <c r="P224" s="1333"/>
      <c r="Q224" s="1333"/>
      <c r="R224" s="1453"/>
      <c r="S224" s="1364"/>
      <c r="T224" s="1404"/>
      <c r="U224" s="1333"/>
      <c r="V224" s="1333"/>
      <c r="W224" s="1333"/>
      <c r="X224" s="1333"/>
      <c r="Y224" s="1333"/>
      <c r="Z224" s="1333"/>
      <c r="AA224" s="1333"/>
      <c r="AB224" s="1333"/>
      <c r="AC224" s="1333"/>
      <c r="AD224" s="1333"/>
      <c r="AE224" s="1333"/>
      <c r="AF224" s="1333"/>
      <c r="AG224" s="1333"/>
      <c r="AH224" s="1333"/>
      <c r="AI224" s="1333"/>
      <c r="AJ224" s="1333"/>
    </row>
    <row r="225" spans="1:49" s="30" customFormat="1" ht="15.75" hidden="1" customHeight="1" x14ac:dyDescent="0.25">
      <c r="A225" s="1517" t="str">
        <f>IF(COUNTIF('04 - 95% CD'!D225:G225,"Y")&gt;0,"Y",IF(COUNTIF('04 - 95% CD'!D225:G225,"N"),"N",""))</f>
        <v>Y</v>
      </c>
      <c r="B225" s="191"/>
      <c r="C225" s="944"/>
      <c r="D225" s="463"/>
      <c r="E225" s="463"/>
      <c r="F225" s="359" t="str">
        <f>IF('C-Design&amp;Const'!$W225="","",'C-Design&amp;Const'!$W225)</f>
        <v>N</v>
      </c>
      <c r="G225" s="291"/>
      <c r="H225" s="469" t="str">
        <f>CONCATENATE(IF(ISNUMBER(SEARCH("Placeholder",'C-Design&amp;Const'!Z225))=TRUE,"",IF(F225="N","PLACEHOLDER ROW - ","")),'C-Design&amp;Const'!Z225,IF(F225="N","",J225))</f>
        <v xml:space="preserve">PLACEHOLDER ROW - Pavement, Sidewalks, and/or Utility Sections </v>
      </c>
      <c r="I225" s="552"/>
      <c r="J225" s="181"/>
      <c r="K225" s="285" t="str">
        <f t="shared" ref="K225:K226" si="28">IF((COUNTIF(D225:F225,"Y")=COUNTIF(A225,"Y")),"match","no 95% match")</f>
        <v>no 95% match</v>
      </c>
      <c r="L225" s="1410" t="str">
        <f t="shared" si="21"/>
        <v>&lt;---PM/Planner may hide PLACEHOLDER ROW</v>
      </c>
      <c r="M225" s="1333"/>
      <c r="N225" s="1382"/>
      <c r="O225" s="1382"/>
      <c r="P225" s="1382"/>
      <c r="Q225" s="1382"/>
      <c r="R225" s="1382"/>
      <c r="S225" s="1382"/>
      <c r="T225" s="1382"/>
      <c r="U225" s="1382"/>
      <c r="V225" s="1382"/>
      <c r="W225" s="1382"/>
      <c r="X225" s="1382"/>
      <c r="Y225" s="1382"/>
      <c r="Z225" s="1382"/>
      <c r="AA225" s="1382"/>
      <c r="AB225" s="1382"/>
      <c r="AC225" s="1382"/>
      <c r="AD225" s="1382"/>
      <c r="AE225" s="1382"/>
      <c r="AF225" s="1382"/>
      <c r="AG225" s="1382"/>
      <c r="AH225" s="1382"/>
      <c r="AI225" s="1382"/>
      <c r="AJ225" s="1382"/>
      <c r="AK225" s="181"/>
      <c r="AL225" s="181"/>
      <c r="AM225" s="181"/>
      <c r="AN225" s="181"/>
      <c r="AO225" s="181"/>
      <c r="AP225" s="181"/>
      <c r="AQ225" s="181"/>
      <c r="AR225" s="181"/>
      <c r="AS225" s="181"/>
      <c r="AT225" s="181"/>
      <c r="AU225" s="181"/>
      <c r="AV225" s="181"/>
      <c r="AW225" s="181"/>
    </row>
    <row r="226" spans="1:49" s="30" customFormat="1" ht="15.75" hidden="1" customHeight="1" x14ac:dyDescent="0.25">
      <c r="A226" s="1517" t="str">
        <f>IF(COUNTIF('04 - 95% CD'!D226:G226,"Y")&gt;0,"Y",IF(COUNTIF('04 - 95% CD'!D226:G226,"N"),"N",""))</f>
        <v>Y</v>
      </c>
      <c r="B226" s="191"/>
      <c r="C226" s="944"/>
      <c r="D226" s="463"/>
      <c r="E226" s="463"/>
      <c r="F226" s="359" t="str">
        <f>IF('C-Design&amp;Const'!$W226="","",'C-Design&amp;Const'!$W226)</f>
        <v>N</v>
      </c>
      <c r="G226" s="291"/>
      <c r="H226" s="469" t="str">
        <f>CONCATENATE(IF(ISNUMBER(SEARCH("Placeholder",'C-Design&amp;Const'!Z226))=TRUE,"",IF(F226="N","PLACEHOLDER ROW - ","")),'C-Design&amp;Const'!Z226,IF(F226="N","",J226))</f>
        <v xml:space="preserve">PLACEHOLDER ROW - Utility Relocations </v>
      </c>
      <c r="I226" s="552"/>
      <c r="J226" s="181"/>
      <c r="K226" s="285" t="str">
        <f t="shared" si="28"/>
        <v>no 95% match</v>
      </c>
      <c r="L226" s="1410" t="str">
        <f t="shared" si="21"/>
        <v>&lt;---PM/Planner may hide PLACEHOLDER ROW</v>
      </c>
      <c r="M226" s="1333"/>
      <c r="N226" s="1382"/>
      <c r="O226" s="1382"/>
      <c r="P226" s="1382"/>
      <c r="Q226" s="1382"/>
      <c r="R226" s="1382"/>
      <c r="S226" s="1382"/>
      <c r="T226" s="1382"/>
      <c r="U226" s="1382"/>
      <c r="V226" s="1382"/>
      <c r="W226" s="1382"/>
      <c r="X226" s="1382"/>
      <c r="Y226" s="1382"/>
      <c r="Z226" s="1382"/>
      <c r="AA226" s="1382"/>
      <c r="AB226" s="1382"/>
      <c r="AC226" s="1382"/>
      <c r="AD226" s="1382"/>
      <c r="AE226" s="1382"/>
      <c r="AF226" s="1382"/>
      <c r="AG226" s="1382"/>
      <c r="AH226" s="1382"/>
      <c r="AI226" s="1382"/>
      <c r="AJ226" s="1382"/>
      <c r="AK226" s="181"/>
      <c r="AL226" s="181"/>
      <c r="AM226" s="181"/>
      <c r="AN226" s="181"/>
      <c r="AO226" s="181"/>
      <c r="AP226" s="181"/>
      <c r="AQ226" s="181"/>
      <c r="AR226" s="181"/>
      <c r="AS226" s="181"/>
      <c r="AT226" s="181"/>
      <c r="AU226" s="181"/>
      <c r="AV226" s="181"/>
      <c r="AW226" s="181"/>
    </row>
    <row r="227" spans="1:49" s="17" customFormat="1" ht="15.75" hidden="1" customHeight="1" x14ac:dyDescent="0.25">
      <c r="A227" s="1517" t="str">
        <f>IF(COUNTIF('04 - 95% CD'!D227:G227,"Y")&gt;0,"Y",IF(COUNTIF('04 - 95% CD'!D227:G227,"N"),"N",""))</f>
        <v>Y</v>
      </c>
      <c r="B227" s="141"/>
      <c r="C227" s="944"/>
      <c r="D227" s="411"/>
      <c r="E227" s="321"/>
      <c r="F227" s="559" t="str">
        <f>IF('C-Design&amp;Const'!$W227="","",'C-Design&amp;Const'!$W227)</f>
        <v>N</v>
      </c>
      <c r="G227" s="485"/>
      <c r="H227" s="469" t="str">
        <f>CONCATENATE(IF(ISNUMBER(SEARCH("Placeholder",'C-Design&amp;Const'!Z227))=TRUE,"",IF(F227="N","PLACEHOLDER ROW - ","")),'C-Design&amp;Const'!Z227,IF(F227="N","",J227))</f>
        <v xml:space="preserve">PLACEHOLDER ROW - Utility Site Plan and Details </v>
      </c>
      <c r="I227" s="552"/>
      <c r="K227" s="285" t="str">
        <f t="shared" si="22"/>
        <v>no 95% match</v>
      </c>
      <c r="L227" s="1410" t="str">
        <f t="shared" si="21"/>
        <v>&lt;---PM/Planner may hide PLACEHOLDER ROW</v>
      </c>
      <c r="M227" s="1333"/>
      <c r="N227" s="1333"/>
      <c r="O227" s="1333"/>
      <c r="P227" s="1333"/>
      <c r="Q227" s="1333"/>
      <c r="R227" s="1453"/>
      <c r="S227" s="1364"/>
      <c r="T227" s="1404"/>
      <c r="U227" s="1333"/>
      <c r="V227" s="1333"/>
      <c r="W227" s="1333"/>
      <c r="X227" s="1333"/>
      <c r="Y227" s="1333"/>
      <c r="Z227" s="1333"/>
      <c r="AA227" s="1333"/>
      <c r="AB227" s="1333"/>
      <c r="AC227" s="1333"/>
      <c r="AD227" s="1333"/>
      <c r="AE227" s="1333"/>
      <c r="AF227" s="1333"/>
      <c r="AG227" s="1333"/>
      <c r="AH227" s="1333"/>
      <c r="AI227" s="1333"/>
      <c r="AJ227" s="1333"/>
    </row>
    <row r="228" spans="1:49" s="17" customFormat="1" ht="15.75" hidden="1" customHeight="1" x14ac:dyDescent="0.25">
      <c r="A228" s="1517"/>
      <c r="B228" s="141"/>
      <c r="C228" s="944"/>
      <c r="D228" s="411"/>
      <c r="E228" s="321"/>
      <c r="F228" s="559" t="str">
        <f>IF('C-Design&amp;Const'!$W228="","",'C-Design&amp;Const'!$W228)</f>
        <v>N</v>
      </c>
      <c r="G228" s="558"/>
      <c r="H228" s="469" t="str">
        <f>CONCATENATE(IF(ISNUMBER(SEARCH("Placeholder",'C-Design&amp;Const'!Z228))=TRUE,"",IF(F228="N","PLACEHOLDER ROW - ","")),'C-Design&amp;Const'!Z228,IF(F228="N","",J228))</f>
        <v xml:space="preserve">PLACEHOLDER ROW - Traffic Control Plans - Vehicular &amp; Pedestrian </v>
      </c>
      <c r="I228" s="552"/>
      <c r="K228" s="285" t="str">
        <f t="shared" ref="K228" si="29">IF((COUNTIF(D228:F228,"Y")=COUNTIF(A228,"Y")),"match","no 95% match")</f>
        <v>match</v>
      </c>
      <c r="L228" s="1410" t="str">
        <f t="shared" ref="L228" si="30">CONCATENATE(IF(ISNUMBER(SEARCH("Placeholder",H228))=TRUE,"&lt;---PM/Planner may hide PLACEHOLDER ROW",""))</f>
        <v>&lt;---PM/Planner may hide PLACEHOLDER ROW</v>
      </c>
      <c r="M228" s="1333"/>
      <c r="N228" s="1333"/>
      <c r="O228" s="1333"/>
      <c r="P228" s="1333"/>
      <c r="Q228" s="1333"/>
      <c r="R228" s="1453"/>
      <c r="S228" s="1364"/>
      <c r="T228" s="1404"/>
      <c r="U228" s="1333"/>
      <c r="V228" s="1333"/>
      <c r="W228" s="1333"/>
      <c r="X228" s="1333"/>
      <c r="Y228" s="1333"/>
      <c r="Z228" s="1333"/>
      <c r="AA228" s="1333"/>
      <c r="AB228" s="1333"/>
      <c r="AC228" s="1333"/>
      <c r="AD228" s="1333"/>
      <c r="AE228" s="1333"/>
      <c r="AF228" s="1333"/>
      <c r="AG228" s="1333"/>
      <c r="AH228" s="1333"/>
      <c r="AI228" s="1333"/>
      <c r="AJ228" s="1333"/>
    </row>
    <row r="229" spans="1:49" s="30" customFormat="1" ht="15.75" hidden="1" customHeight="1" x14ac:dyDescent="0.25">
      <c r="A229" s="1517" t="str">
        <f>IF(COUNTIF('04 - 95% CD'!D229:G229,"Y")&gt;0,"Y",IF(COUNTIF('04 - 95% CD'!D229:G229,"N"),"N",""))</f>
        <v>Y</v>
      </c>
      <c r="B229" s="191"/>
      <c r="C229" s="944"/>
      <c r="D229" s="463"/>
      <c r="E229" s="463"/>
      <c r="F229" s="359" t="str">
        <f>IF('C-Design&amp;Const'!$W229="","",'C-Design&amp;Const'!$W229)</f>
        <v>N</v>
      </c>
      <c r="G229" s="291"/>
      <c r="H229" s="469" t="str">
        <f>CONCATENATE(IF(ISNUMBER(SEARCH("Placeholder",'C-Design&amp;Const'!Z229))=TRUE,"",IF(F229="N","PLACEHOLDER ROW - ","")),'C-Design&amp;Const'!Z229,IF(F229="N","",J229))</f>
        <v>PLACEHOLDER ROW - Construction Layout/Laydown Plan with tree protection</v>
      </c>
      <c r="I229" s="552"/>
      <c r="J229" s="181"/>
      <c r="K229" s="285" t="str">
        <f t="shared" si="22"/>
        <v>no 95% match</v>
      </c>
      <c r="L229" s="1410" t="str">
        <f t="shared" si="21"/>
        <v>&lt;---PM/Planner may hide PLACEHOLDER ROW</v>
      </c>
      <c r="M229" s="1333"/>
      <c r="N229" s="1382"/>
      <c r="O229" s="1382"/>
      <c r="P229" s="1382"/>
      <c r="Q229" s="1382"/>
      <c r="R229" s="1382"/>
      <c r="S229" s="1382"/>
      <c r="T229" s="1382"/>
      <c r="U229" s="1382"/>
      <c r="V229" s="1382"/>
      <c r="W229" s="1382"/>
      <c r="X229" s="1382"/>
      <c r="Y229" s="1382"/>
      <c r="Z229" s="1382"/>
      <c r="AA229" s="1382"/>
      <c r="AB229" s="1382"/>
      <c r="AC229" s="1382"/>
      <c r="AD229" s="1382"/>
      <c r="AE229" s="1382"/>
      <c r="AF229" s="1382"/>
      <c r="AG229" s="1382"/>
      <c r="AH229" s="1382"/>
      <c r="AI229" s="1382"/>
      <c r="AJ229" s="1382"/>
      <c r="AK229" s="181"/>
      <c r="AL229" s="181"/>
      <c r="AM229" s="181"/>
      <c r="AN229" s="181"/>
      <c r="AO229" s="181"/>
      <c r="AP229" s="181"/>
      <c r="AQ229" s="181"/>
      <c r="AR229" s="181"/>
      <c r="AS229" s="181"/>
      <c r="AT229" s="181"/>
      <c r="AU229" s="181"/>
      <c r="AV229" s="181"/>
      <c r="AW229" s="181"/>
    </row>
    <row r="230" spans="1:49" s="17" customFormat="1" ht="15.75" hidden="1" customHeight="1" x14ac:dyDescent="0.25">
      <c r="A230" s="1517" t="str">
        <f>IF(COUNTIF('04 - 95% CD'!D230:G230,"Y")&gt;0,"Y",IF(COUNTIF('04 - 95% CD'!D230:G230,"N"),"N",""))</f>
        <v>Y</v>
      </c>
      <c r="B230" s="141"/>
      <c r="C230" s="944"/>
      <c r="D230" s="411"/>
      <c r="E230" s="321"/>
      <c r="F230" s="559" t="str">
        <f>IF('C-Design&amp;Const'!$W230="","",'C-Design&amp;Const'!$W230)</f>
        <v>N</v>
      </c>
      <c r="G230" s="485"/>
      <c r="H230" s="469" t="str">
        <f>CONCATENATE(IF(ISNUMBER(SEARCH("Placeholder",'C-Design&amp;Const'!Z230))=TRUE,"",IF(F230="N","PLACEHOLDER ROW - ","")),'C-Design&amp;Const'!Z230,IF(F230="N","",J230))</f>
        <v xml:space="preserve">PLACEHOLDER ROW - Landscape Plan </v>
      </c>
      <c r="I230" s="552"/>
      <c r="K230" s="285" t="str">
        <f t="shared" si="22"/>
        <v>no 95% match</v>
      </c>
      <c r="L230" s="1410" t="str">
        <f t="shared" si="21"/>
        <v>&lt;---PM/Planner may hide PLACEHOLDER ROW</v>
      </c>
      <c r="M230" s="1333"/>
      <c r="N230" s="1333"/>
      <c r="O230" s="1333"/>
      <c r="P230" s="1333"/>
      <c r="Q230" s="1333"/>
      <c r="R230" s="1453"/>
      <c r="S230" s="1364"/>
      <c r="T230" s="1404"/>
      <c r="U230" s="1333"/>
      <c r="V230" s="1333"/>
      <c r="W230" s="1333"/>
      <c r="X230" s="1333"/>
      <c r="Y230" s="1333"/>
      <c r="Z230" s="1333"/>
      <c r="AA230" s="1333"/>
      <c r="AB230" s="1333"/>
      <c r="AC230" s="1333"/>
      <c r="AD230" s="1333"/>
      <c r="AE230" s="1333"/>
      <c r="AF230" s="1333"/>
      <c r="AG230" s="1333"/>
      <c r="AH230" s="1333"/>
      <c r="AI230" s="1333"/>
      <c r="AJ230" s="1333"/>
    </row>
    <row r="231" spans="1:49" s="17" customFormat="1" ht="18.75" hidden="1" x14ac:dyDescent="0.25">
      <c r="A231" s="1510" t="str">
        <f>IF(COUNTIF('04 - 95% CD'!D231:G231,"Y")&gt;0,"Y",IF(COUNTIF('04 - 95% CD'!D231:G231,"N"),"N",""))</f>
        <v>Y</v>
      </c>
      <c r="B231" s="141"/>
      <c r="C231" s="944"/>
      <c r="D231" s="411"/>
      <c r="E231" s="559" t="str">
        <f>IF('C-Design&amp;Const'!$W231="","",'C-Design&amp;Const'!$W231)</f>
        <v>N</v>
      </c>
      <c r="F231" s="478"/>
      <c r="G231" s="485"/>
      <c r="H231" s="244" t="str">
        <f>CONCATENATE(IF(ISNUMBER(SEARCH("Placeholder",'C-Design&amp;Const'!Z231))=TRUE,"",IF(E231="N","PLACEHOLDER ROW - ","")),'C-Design&amp;Const'!Z231,IF(E231="N","",J231))</f>
        <v>PLACEHOLDER ROW - Architectural Drawings</v>
      </c>
      <c r="I231" s="552"/>
      <c r="K231" s="285" t="str">
        <f t="shared" si="22"/>
        <v>no 95% match</v>
      </c>
      <c r="L231" s="1410" t="str">
        <f t="shared" si="21"/>
        <v>&lt;---PM/Planner may hide PLACEHOLDER ROW</v>
      </c>
      <c r="M231" s="1333"/>
      <c r="N231" s="1333"/>
      <c r="O231" s="1333"/>
      <c r="P231" s="1333"/>
      <c r="Q231" s="1333"/>
      <c r="R231" s="1284"/>
      <c r="S231" s="1513"/>
      <c r="T231" s="1404"/>
      <c r="U231" s="1333"/>
      <c r="V231" s="1333"/>
      <c r="W231" s="1333"/>
      <c r="X231" s="1333"/>
      <c r="Y231" s="1333"/>
      <c r="Z231" s="1333"/>
      <c r="AA231" s="1333"/>
      <c r="AB231" s="1333"/>
      <c r="AC231" s="1333"/>
      <c r="AD231" s="1333"/>
      <c r="AE231" s="1333"/>
      <c r="AF231" s="1333"/>
      <c r="AG231" s="1333"/>
      <c r="AH231" s="1333"/>
      <c r="AI231" s="1333"/>
      <c r="AJ231" s="1333"/>
    </row>
    <row r="232" spans="1:49" s="30" customFormat="1" ht="18.75" hidden="1" x14ac:dyDescent="0.25">
      <c r="A232" s="1517" t="str">
        <f>IF(COUNTIF('04 - 95% CD'!D233:G233,"Y")&gt;0,"Y",IF(COUNTIF('04 - 95% CD'!D233:G233,"N"),"N",""))</f>
        <v/>
      </c>
      <c r="B232" s="191"/>
      <c r="C232" s="944"/>
      <c r="D232" s="463"/>
      <c r="E232" s="463"/>
      <c r="F232" s="359" t="str">
        <f>IF('C-Design&amp;Const'!$W232="","",'C-Design&amp;Const'!$W232)</f>
        <v>N</v>
      </c>
      <c r="G232" s="291"/>
      <c r="H232" s="469" t="str">
        <f>CONCATENATE(IF(ISNUMBER(SEARCH("Placeholder",'C-Design&amp;Const'!Z232))=TRUE,"",IF(F232="N","PLACEHOLDER ROW - ","")),'C-Design&amp;Const'!Z232,IF(F232="N","",J232))</f>
        <v xml:space="preserve">PLACEHOLDER ROW - CUSTOM - Architectural  </v>
      </c>
      <c r="I232" s="552"/>
      <c r="J232" s="181"/>
      <c r="K232" s="285" t="str">
        <f t="shared" si="22"/>
        <v>match</v>
      </c>
      <c r="L232" s="1410" t="str">
        <f t="shared" si="21"/>
        <v>&lt;---PM/Planner may hide PLACEHOLDER ROW</v>
      </c>
      <c r="M232" s="1333"/>
      <c r="N232" s="1382"/>
      <c r="O232" s="1382"/>
      <c r="P232" s="1382"/>
      <c r="Q232" s="1382"/>
      <c r="R232" s="1382"/>
      <c r="S232" s="1382"/>
      <c r="T232" s="1382"/>
      <c r="U232" s="1382"/>
      <c r="V232" s="1382"/>
      <c r="W232" s="1382"/>
      <c r="X232" s="1382"/>
      <c r="Y232" s="1382"/>
      <c r="Z232" s="1382"/>
      <c r="AA232" s="1382"/>
      <c r="AB232" s="1382"/>
      <c r="AC232" s="1382"/>
      <c r="AD232" s="1382"/>
      <c r="AE232" s="1382"/>
      <c r="AF232" s="1382"/>
      <c r="AG232" s="1382"/>
      <c r="AH232" s="1382"/>
      <c r="AI232" s="1382"/>
      <c r="AJ232" s="1382"/>
      <c r="AK232" s="181"/>
      <c r="AL232" s="181"/>
      <c r="AM232" s="181"/>
      <c r="AN232" s="181"/>
      <c r="AO232" s="181"/>
      <c r="AP232" s="181"/>
      <c r="AQ232" s="181"/>
      <c r="AR232" s="181"/>
      <c r="AS232" s="181"/>
      <c r="AT232" s="181"/>
      <c r="AU232" s="181"/>
      <c r="AV232" s="181"/>
      <c r="AW232" s="181"/>
    </row>
    <row r="233" spans="1:49" s="30" customFormat="1" ht="18.75" hidden="1" x14ac:dyDescent="0.25">
      <c r="A233" s="1517" t="str">
        <f>IF(COUNTIF('04 - 95% CD'!D238:G238,"Y")&gt;0,"Y",IF(COUNTIF('04 - 95% CD'!D238:G238,"N"),"N",""))</f>
        <v>Y</v>
      </c>
      <c r="B233" s="191"/>
      <c r="C233" s="944"/>
      <c r="D233" s="463"/>
      <c r="E233" s="463"/>
      <c r="F233" s="359" t="str">
        <f>IF('C-Design&amp;Const'!$W233="","",'C-Design&amp;Const'!$W233)</f>
        <v>N</v>
      </c>
      <c r="G233" s="291"/>
      <c r="H233" s="469" t="str">
        <f>CONCATENATE(IF(ISNUMBER(SEARCH("Placeholder",'C-Design&amp;Const'!Z233))=TRUE,"",IF(F233="N","PLACEHOLDER ROW - ","")),'C-Design&amp;Const'!Z233,IF(F233="N","",J233))</f>
        <v xml:space="preserve">PLACEHOLDER ROW - CUSTOM - Architectural  </v>
      </c>
      <c r="I233" s="552"/>
      <c r="J233" s="181"/>
      <c r="K233" s="285" t="str">
        <f t="shared" ref="K233" si="31">IF((COUNTIF(D233:F233,"Y")=COUNTIF(A233,"Y")),"match","no 95% match")</f>
        <v>no 95% match</v>
      </c>
      <c r="L233" s="1410" t="str">
        <f t="shared" si="21"/>
        <v>&lt;---PM/Planner may hide PLACEHOLDER ROW</v>
      </c>
      <c r="M233" s="1333"/>
      <c r="N233" s="1382"/>
      <c r="O233" s="1382"/>
      <c r="P233" s="1382"/>
      <c r="Q233" s="1382"/>
      <c r="R233" s="1382"/>
      <c r="S233" s="1382"/>
      <c r="T233" s="1382"/>
      <c r="U233" s="1382"/>
      <c r="V233" s="1382"/>
      <c r="W233" s="1382"/>
      <c r="X233" s="1382"/>
      <c r="Y233" s="1382"/>
      <c r="Z233" s="1382"/>
      <c r="AA233" s="1382"/>
      <c r="AB233" s="1382"/>
      <c r="AC233" s="1382"/>
      <c r="AD233" s="1382"/>
      <c r="AE233" s="1382"/>
      <c r="AF233" s="1382"/>
      <c r="AG233" s="1382"/>
      <c r="AH233" s="1382"/>
      <c r="AI233" s="1382"/>
      <c r="AJ233" s="1382"/>
      <c r="AK233" s="181"/>
      <c r="AL233" s="181"/>
      <c r="AM233" s="181"/>
      <c r="AN233" s="181"/>
      <c r="AO233" s="181"/>
      <c r="AP233" s="181"/>
      <c r="AQ233" s="181"/>
      <c r="AR233" s="181"/>
      <c r="AS233" s="181"/>
      <c r="AT233" s="181"/>
      <c r="AU233" s="181"/>
      <c r="AV233" s="181"/>
      <c r="AW233" s="181"/>
    </row>
    <row r="234" spans="1:49" s="545" customFormat="1" ht="15" hidden="1" customHeight="1" x14ac:dyDescent="0.25">
      <c r="A234" s="1517" t="str">
        <f>IF(COUNTIF('04 - 95% CD'!D234:G234,"Y")&gt;0,"Y",IF(COUNTIF('04 - 95% CD'!D234:G234,"N"),"N",""))</f>
        <v>Y</v>
      </c>
      <c r="B234" s="554"/>
      <c r="C234" s="944"/>
      <c r="D234" s="463"/>
      <c r="E234" s="463"/>
      <c r="F234" s="359" t="str">
        <f>IF('C-Design&amp;Const'!$W234="","",'C-Design&amp;Const'!$W234)</f>
        <v>N</v>
      </c>
      <c r="G234" s="291"/>
      <c r="H234" s="469" t="str">
        <f>CONCATENATE(IF(ISNUMBER(SEARCH("Placeholder",'C-Design&amp;Const'!Z234))=TRUE,"",IF(F234="N","PLACEHOLDER ROW - ","")),'C-Design&amp;Const'!Z234,IF(F234="N","",J234))</f>
        <v xml:space="preserve">PLACEHOLDER ROW - Architectural Symbols, Abbreviations, and General Notes </v>
      </c>
      <c r="I234" s="552"/>
      <c r="J234" s="551"/>
      <c r="K234" s="285" t="str">
        <f>IF((COUNTIF(D234:F234,"Y")=COUNTIF(A234,"Y")),"match","no 95% match")</f>
        <v>no 95% match</v>
      </c>
      <c r="L234" s="1410" t="str">
        <f>CONCATENATE(IF(ISNUMBER(SEARCH("Placeholder",H234))=TRUE,"&lt;---PM/Planner may hide PLACEHOLDER ROW",""))</f>
        <v>&lt;---PM/Planner may hide PLACEHOLDER ROW</v>
      </c>
      <c r="M234" s="1333"/>
      <c r="N234" s="1382"/>
      <c r="O234" s="1382"/>
      <c r="P234" s="1382"/>
      <c r="Q234" s="1382"/>
      <c r="R234" s="1382"/>
      <c r="S234" s="1382"/>
      <c r="T234" s="1382"/>
      <c r="U234" s="1382"/>
      <c r="V234" s="1382"/>
      <c r="W234" s="1382"/>
      <c r="X234" s="1382"/>
      <c r="Y234" s="1382"/>
      <c r="Z234" s="1382"/>
      <c r="AA234" s="1382"/>
      <c r="AB234" s="1382"/>
      <c r="AC234" s="1382"/>
      <c r="AD234" s="1382"/>
      <c r="AE234" s="1382"/>
      <c r="AF234" s="1382"/>
      <c r="AG234" s="1382"/>
      <c r="AH234" s="1382"/>
      <c r="AI234" s="1382"/>
      <c r="AJ234" s="1382"/>
      <c r="AK234" s="551"/>
      <c r="AL234" s="551"/>
      <c r="AM234" s="551"/>
      <c r="AN234" s="551"/>
      <c r="AO234" s="551"/>
      <c r="AP234" s="551"/>
      <c r="AQ234" s="551"/>
      <c r="AR234" s="551"/>
      <c r="AS234" s="551"/>
      <c r="AT234" s="551"/>
      <c r="AU234" s="551"/>
      <c r="AV234" s="551"/>
      <c r="AW234" s="551"/>
    </row>
    <row r="235" spans="1:49" s="30" customFormat="1" ht="18.75" hidden="1" x14ac:dyDescent="0.25">
      <c r="A235" s="1517" t="str">
        <f>IF(COUNTIF('04 - 95% CD'!D239:G239,"Y")&gt;0,"Y",IF(COUNTIF('04 - 95% CD'!D239:G239,"N"),"N",""))</f>
        <v>Y</v>
      </c>
      <c r="B235" s="191"/>
      <c r="C235" s="944"/>
      <c r="D235" s="463"/>
      <c r="E235" s="463"/>
      <c r="F235" s="359" t="str">
        <f>IF('C-Design&amp;Const'!$W235="","",'C-Design&amp;Const'!$W235)</f>
        <v>N</v>
      </c>
      <c r="G235" s="291"/>
      <c r="H235" s="469" t="str">
        <f>CONCATENATE(IF(ISNUMBER(SEARCH("Placeholder",'C-Design&amp;Const'!Z235))=TRUE,"",IF(F235="N","PLACEHOLDER ROW - ","")),'C-Design&amp;Const'!Z235,IF(F235="N","",J235))</f>
        <v xml:space="preserve">PLACEHOLDER ROW - Renderings </v>
      </c>
      <c r="I235" s="552"/>
      <c r="J235" s="181"/>
      <c r="K235" s="285" t="str">
        <f t="shared" ref="K235" si="32">IF((COUNTIF(D235:F235,"Y")=COUNTIF(A235,"Y")),"match","no 95% match")</f>
        <v>no 95% match</v>
      </c>
      <c r="L235" s="1410" t="str">
        <f t="shared" si="21"/>
        <v>&lt;---PM/Planner may hide PLACEHOLDER ROW</v>
      </c>
      <c r="M235" s="1333"/>
      <c r="N235" s="1382"/>
      <c r="O235" s="1382"/>
      <c r="P235" s="1382"/>
      <c r="Q235" s="1382"/>
      <c r="R235" s="1382"/>
      <c r="S235" s="1382"/>
      <c r="T235" s="1382"/>
      <c r="U235" s="1382"/>
      <c r="V235" s="1382"/>
      <c r="W235" s="1382"/>
      <c r="X235" s="1382"/>
      <c r="Y235" s="1382"/>
      <c r="Z235" s="1382"/>
      <c r="AA235" s="1382"/>
      <c r="AB235" s="1382"/>
      <c r="AC235" s="1382"/>
      <c r="AD235" s="1382"/>
      <c r="AE235" s="1382"/>
      <c r="AF235" s="1382"/>
      <c r="AG235" s="1382"/>
      <c r="AH235" s="1382"/>
      <c r="AI235" s="1382"/>
      <c r="AJ235" s="1382"/>
      <c r="AK235" s="181"/>
      <c r="AL235" s="181"/>
      <c r="AM235" s="181"/>
      <c r="AN235" s="181"/>
      <c r="AO235" s="181"/>
      <c r="AP235" s="181"/>
      <c r="AQ235" s="181"/>
      <c r="AR235" s="181"/>
      <c r="AS235" s="181"/>
      <c r="AT235" s="181"/>
      <c r="AU235" s="181"/>
      <c r="AV235" s="181"/>
      <c r="AW235" s="181"/>
    </row>
    <row r="236" spans="1:49" s="545" customFormat="1" ht="15" hidden="1" customHeight="1" x14ac:dyDescent="0.25">
      <c r="A236" s="1517" t="str">
        <f>IF(COUNTIF('04 - 95% CD'!D236:G236,"Y")&gt;0,"Y",IF(COUNTIF('04 - 95% CD'!D236:G236,"N"),"N",""))</f>
        <v>Y</v>
      </c>
      <c r="B236" s="554"/>
      <c r="C236" s="944"/>
      <c r="D236" s="463"/>
      <c r="E236" s="463"/>
      <c r="F236" s="359" t="str">
        <f>IF('C-Design&amp;Const'!$W236="","",'C-Design&amp;Const'!$W236)</f>
        <v>N</v>
      </c>
      <c r="G236" s="291"/>
      <c r="H236" s="469" t="str">
        <f>CONCATENATE(IF(ISNUMBER(SEARCH("Placeholder",'C-Design&amp;Const'!Z236))=TRUE,"",IF(F236="N","PLACEHOLDER ROW - ","")),'C-Design&amp;Const'!Z236,IF(F236="N","",J236))</f>
        <v xml:space="preserve">PLACEHOLDER ROW - Demolition(s) </v>
      </c>
      <c r="I236" s="552"/>
      <c r="J236" s="551"/>
      <c r="K236" s="285" t="str">
        <f>IF((COUNTIF(D236:F236,"Y")=COUNTIF(A236,"Y")),"match","no 95% match")</f>
        <v>no 95% match</v>
      </c>
      <c r="L236" s="1410" t="str">
        <f>CONCATENATE(IF(ISNUMBER(SEARCH("Placeholder",H236))=TRUE,"&lt;---PM/Planner may hide PLACEHOLDER ROW",""))</f>
        <v>&lt;---PM/Planner may hide PLACEHOLDER ROW</v>
      </c>
      <c r="M236" s="1333"/>
      <c r="N236" s="1382"/>
      <c r="O236" s="1382"/>
      <c r="P236" s="1382"/>
      <c r="Q236" s="1382"/>
      <c r="R236" s="1382"/>
      <c r="S236" s="1382"/>
      <c r="T236" s="1382"/>
      <c r="U236" s="1382"/>
      <c r="V236" s="1382"/>
      <c r="W236" s="1382"/>
      <c r="X236" s="1382"/>
      <c r="Y236" s="1382"/>
      <c r="Z236" s="1382"/>
      <c r="AA236" s="1382"/>
      <c r="AB236" s="1382"/>
      <c r="AC236" s="1382"/>
      <c r="AD236" s="1382"/>
      <c r="AE236" s="1382"/>
      <c r="AF236" s="1382"/>
      <c r="AG236" s="1382"/>
      <c r="AH236" s="1382"/>
      <c r="AI236" s="1382"/>
      <c r="AJ236" s="1382"/>
      <c r="AK236" s="551"/>
      <c r="AL236" s="551"/>
      <c r="AM236" s="551"/>
      <c r="AN236" s="551"/>
      <c r="AO236" s="551"/>
      <c r="AP236" s="551"/>
      <c r="AQ236" s="551"/>
      <c r="AR236" s="551"/>
      <c r="AS236" s="551"/>
      <c r="AT236" s="551"/>
      <c r="AU236" s="551"/>
      <c r="AV236" s="551"/>
      <c r="AW236" s="551"/>
    </row>
    <row r="237" spans="1:49" s="17" customFormat="1" ht="18.75" hidden="1" x14ac:dyDescent="0.25">
      <c r="A237" s="1517" t="str">
        <f>IF(COUNTIF('04 - 95% CD'!D237:G237,"Y")&gt;0,"Y",IF(COUNTIF('04 - 95% CD'!D237:G237,"N"),"N",""))</f>
        <v>Y</v>
      </c>
      <c r="B237" s="141"/>
      <c r="C237" s="944"/>
      <c r="D237" s="411"/>
      <c r="E237" s="321"/>
      <c r="F237" s="559" t="str">
        <f>IF('C-Design&amp;Const'!$W237="","",'C-Design&amp;Const'!$W237)</f>
        <v>N</v>
      </c>
      <c r="G237" s="485"/>
      <c r="H237" s="243" t="str">
        <f>CONCATENATE(IF(ISNUMBER(SEARCH("Placeholder",'C-Design&amp;Const'!Z237))=TRUE,"",IF(F237="N","PLACEHOLDER ROW - ","")),'C-Design&amp;Const'!Z237,IF(F237="N","",J237))</f>
        <v xml:space="preserve">PLACEHOLDER ROW - Floor Plans - Large Scale </v>
      </c>
      <c r="I237" s="552"/>
      <c r="K237" s="285" t="str">
        <f>IF((COUNTIF(D237:F237,"Y")=COUNTIF(A237,"Y")),"match","no 95% match")</f>
        <v>no 95% match</v>
      </c>
      <c r="L237" s="1410" t="str">
        <f>CONCATENATE(IF(ISNUMBER(SEARCH("Placeholder",H237))=TRUE,"&lt;---PM/Planner may hide PLACEHOLDER ROW",""))</f>
        <v>&lt;---PM/Planner may hide PLACEHOLDER ROW</v>
      </c>
      <c r="M237" s="1333"/>
      <c r="N237" s="1333"/>
      <c r="O237" s="1333"/>
      <c r="P237" s="1333"/>
      <c r="Q237" s="1333"/>
      <c r="R237" s="1453"/>
      <c r="S237" s="1364"/>
      <c r="T237" s="1404"/>
      <c r="U237" s="1333"/>
      <c r="V237" s="1333"/>
      <c r="W237" s="1333"/>
      <c r="X237" s="1333"/>
      <c r="Y237" s="1333"/>
      <c r="Z237" s="1333"/>
      <c r="AA237" s="1333"/>
      <c r="AB237" s="1333"/>
      <c r="AC237" s="1333"/>
      <c r="AD237" s="1333"/>
      <c r="AE237" s="1333"/>
      <c r="AF237" s="1333"/>
      <c r="AG237" s="1333"/>
      <c r="AH237" s="1333"/>
      <c r="AI237" s="1333"/>
      <c r="AJ237" s="1333"/>
    </row>
    <row r="238" spans="1:49" s="17" customFormat="1" ht="18.75" hidden="1" x14ac:dyDescent="0.25">
      <c r="A238" s="1517" t="str">
        <f>IF(COUNTIF('04 - 95% CD'!D238:G238,"Y")&gt;0,"Y",IF(COUNTIF('04 - 95% CD'!D238:G238,"N"),"N",""))</f>
        <v>Y</v>
      </c>
      <c r="B238" s="141"/>
      <c r="C238" s="944"/>
      <c r="D238" s="411"/>
      <c r="E238" s="321"/>
      <c r="F238" s="559" t="str">
        <f>IF('C-Design&amp;Const'!$W238="","",'C-Design&amp;Const'!$W238)</f>
        <v>N</v>
      </c>
      <c r="G238" s="485"/>
      <c r="H238" s="243" t="str">
        <f>CONCATENATE(IF(ISNUMBER(SEARCH("Placeholder",'C-Design&amp;Const'!Z238))=TRUE,"",IF(F238="N","PLACEHOLDER ROW - ","")),'C-Design&amp;Const'!Z238,IF(F238="N","",J238))</f>
        <v xml:space="preserve">PLACEHOLDER ROW - Floor Plans </v>
      </c>
      <c r="I238" s="552"/>
      <c r="K238" s="285" t="str">
        <f t="shared" si="22"/>
        <v>no 95% match</v>
      </c>
      <c r="L238" s="1410" t="str">
        <f t="shared" si="21"/>
        <v>&lt;---PM/Planner may hide PLACEHOLDER ROW</v>
      </c>
      <c r="M238" s="1333"/>
      <c r="N238" s="1333"/>
      <c r="O238" s="1333"/>
      <c r="P238" s="1333"/>
      <c r="Q238" s="1333"/>
      <c r="R238" s="1453"/>
      <c r="S238" s="1364"/>
      <c r="T238" s="1404"/>
      <c r="U238" s="1333"/>
      <c r="V238" s="1333"/>
      <c r="W238" s="1333"/>
      <c r="X238" s="1333"/>
      <c r="Y238" s="1333"/>
      <c r="Z238" s="1333"/>
      <c r="AA238" s="1333"/>
      <c r="AB238" s="1333"/>
      <c r="AC238" s="1333"/>
      <c r="AD238" s="1333"/>
      <c r="AE238" s="1333"/>
      <c r="AF238" s="1333"/>
      <c r="AG238" s="1333"/>
      <c r="AH238" s="1333"/>
      <c r="AI238" s="1333"/>
      <c r="AJ238" s="1333"/>
    </row>
    <row r="239" spans="1:49" s="17" customFormat="1" ht="18.75" hidden="1" x14ac:dyDescent="0.25">
      <c r="A239" s="1517" t="str">
        <f>IF(COUNTIF('04 - 95% CD'!D239:G239,"Y")&gt;0,"Y",IF(COUNTIF('04 - 95% CD'!D239:G239,"N"),"N",""))</f>
        <v>Y</v>
      </c>
      <c r="B239" s="141"/>
      <c r="C239" s="944"/>
      <c r="D239" s="411"/>
      <c r="E239" s="321"/>
      <c r="F239" s="559" t="str">
        <f>IF('C-Design&amp;Const'!$W239="","",'C-Design&amp;Const'!$W239)</f>
        <v>N</v>
      </c>
      <c r="G239" s="485"/>
      <c r="H239" s="243" t="str">
        <f>CONCATENATE(IF(ISNUMBER(SEARCH("Placeholder",'C-Design&amp;Const'!Z239))=TRUE,"",IF(F239="N","PLACEHOLDER ROW - ","")),'C-Design&amp;Const'!Z239,IF(F239="N","",J239))</f>
        <v xml:space="preserve">PLACEHOLDER ROW - Roof Plan </v>
      </c>
      <c r="I239" s="552"/>
      <c r="K239" s="285" t="str">
        <f t="shared" si="22"/>
        <v>no 95% match</v>
      </c>
      <c r="L239" s="1410" t="str">
        <f t="shared" si="21"/>
        <v>&lt;---PM/Planner may hide PLACEHOLDER ROW</v>
      </c>
      <c r="M239" s="1333"/>
      <c r="N239" s="1333"/>
      <c r="O239" s="1333"/>
      <c r="P239" s="1333"/>
      <c r="Q239" s="1333"/>
      <c r="R239" s="1453"/>
      <c r="S239" s="1364"/>
      <c r="T239" s="1404"/>
      <c r="U239" s="1333"/>
      <c r="V239" s="1333"/>
      <c r="W239" s="1333"/>
      <c r="X239" s="1333"/>
      <c r="Y239" s="1333"/>
      <c r="Z239" s="1333"/>
      <c r="AA239" s="1333"/>
      <c r="AB239" s="1333"/>
      <c r="AC239" s="1333"/>
      <c r="AD239" s="1333"/>
      <c r="AE239" s="1333"/>
      <c r="AF239" s="1333"/>
      <c r="AG239" s="1333"/>
      <c r="AH239" s="1333"/>
      <c r="AI239" s="1333"/>
      <c r="AJ239" s="1333"/>
    </row>
    <row r="240" spans="1:49" s="17" customFormat="1" ht="18.75" hidden="1" x14ac:dyDescent="0.25">
      <c r="A240" s="1517" t="str">
        <f>IF(COUNTIF('04 - 95% CD'!D240:G240,"Y")&gt;0,"Y",IF(COUNTIF('04 - 95% CD'!D240:G240,"N"),"N",""))</f>
        <v>Y</v>
      </c>
      <c r="B240" s="141"/>
      <c r="C240" s="944"/>
      <c r="D240" s="411"/>
      <c r="E240" s="321"/>
      <c r="F240" s="559" t="str">
        <f>IF('C-Design&amp;Const'!$W240="","",'C-Design&amp;Const'!$W240)</f>
        <v>N</v>
      </c>
      <c r="G240" s="485"/>
      <c r="H240" s="243" t="str">
        <f>CONCATENATE(IF(ISNUMBER(SEARCH("Placeholder",'C-Design&amp;Const'!Z240))=TRUE,"",IF(F240="N","PLACEHOLDER ROW - ","")),'C-Design&amp;Const'!Z240,IF(F240="N","",J240))</f>
        <v xml:space="preserve">PLACEHOLDER ROW - Building Elevations - Exterior </v>
      </c>
      <c r="I240" s="552"/>
      <c r="K240" s="285" t="str">
        <f t="shared" si="22"/>
        <v>no 95% match</v>
      </c>
      <c r="L240" s="1410" t="str">
        <f t="shared" si="21"/>
        <v>&lt;---PM/Planner may hide PLACEHOLDER ROW</v>
      </c>
      <c r="M240" s="1333"/>
      <c r="N240" s="1333"/>
      <c r="O240" s="1333"/>
      <c r="P240" s="1333"/>
      <c r="Q240" s="1333"/>
      <c r="R240" s="1453"/>
      <c r="S240" s="1364"/>
      <c r="T240" s="1404"/>
      <c r="U240" s="1333"/>
      <c r="V240" s="1333"/>
      <c r="W240" s="1333"/>
      <c r="X240" s="1333"/>
      <c r="Y240" s="1333"/>
      <c r="Z240" s="1333"/>
      <c r="AA240" s="1333"/>
      <c r="AB240" s="1333"/>
      <c r="AC240" s="1333"/>
      <c r="AD240" s="1333"/>
      <c r="AE240" s="1333"/>
      <c r="AF240" s="1333"/>
      <c r="AG240" s="1333"/>
      <c r="AH240" s="1333"/>
      <c r="AI240" s="1333"/>
      <c r="AJ240" s="1333"/>
    </row>
    <row r="241" spans="1:49" s="17" customFormat="1" ht="18.75" hidden="1" x14ac:dyDescent="0.25">
      <c r="A241" s="1517" t="str">
        <f>IF(COUNTIF('04 - 95% CD'!D241:G241,"Y")&gt;0,"Y",IF(COUNTIF('04 - 95% CD'!D241:G241,"N"),"N",""))</f>
        <v>Y</v>
      </c>
      <c r="B241" s="141"/>
      <c r="C241" s="944"/>
      <c r="D241" s="411"/>
      <c r="E241" s="321"/>
      <c r="F241" s="559" t="str">
        <f>IF('C-Design&amp;Const'!$W241="","",'C-Design&amp;Const'!$W241)</f>
        <v>N</v>
      </c>
      <c r="G241" s="485"/>
      <c r="H241" s="243" t="str">
        <f>CONCATENATE(IF(ISNUMBER(SEARCH("Placeholder",'C-Design&amp;Const'!Z241))=TRUE,"",IF(F241="N","PLACEHOLDER ROW - ","")),'C-Design&amp;Const'!Z241,IF(F241="N","",J241))</f>
        <v xml:space="preserve">PLACEHOLDER ROW - Transverse and Longitudinal Sections </v>
      </c>
      <c r="I241" s="552"/>
      <c r="K241" s="285" t="str">
        <f t="shared" si="22"/>
        <v>no 95% match</v>
      </c>
      <c r="L241" s="1410" t="str">
        <f t="shared" si="21"/>
        <v>&lt;---PM/Planner may hide PLACEHOLDER ROW</v>
      </c>
      <c r="M241" s="1333"/>
      <c r="N241" s="1333"/>
      <c r="O241" s="1333"/>
      <c r="P241" s="1333"/>
      <c r="Q241" s="1333"/>
      <c r="R241" s="1453"/>
      <c r="S241" s="1364"/>
      <c r="T241" s="1404"/>
      <c r="U241" s="1333"/>
      <c r="V241" s="1333"/>
      <c r="W241" s="1333"/>
      <c r="X241" s="1333"/>
      <c r="Y241" s="1333"/>
      <c r="Z241" s="1333"/>
      <c r="AA241" s="1333"/>
      <c r="AB241" s="1333"/>
      <c r="AC241" s="1333"/>
      <c r="AD241" s="1333"/>
      <c r="AE241" s="1333"/>
      <c r="AF241" s="1333"/>
      <c r="AG241" s="1333"/>
      <c r="AH241" s="1333"/>
      <c r="AI241" s="1333"/>
      <c r="AJ241" s="1333"/>
    </row>
    <row r="242" spans="1:49" s="17" customFormat="1" ht="18.75" hidden="1" x14ac:dyDescent="0.25">
      <c r="A242" s="1517" t="str">
        <f>IF(COUNTIF('04 - 95% CD'!D242:G242,"Y")&gt;0,"Y",IF(COUNTIF('04 - 95% CD'!D242:G242,"N"),"N",""))</f>
        <v>Y</v>
      </c>
      <c r="B242" s="141"/>
      <c r="C242" s="944"/>
      <c r="D242" s="411"/>
      <c r="E242" s="321"/>
      <c r="F242" s="559" t="str">
        <f>IF('C-Design&amp;Const'!$W242="","",'C-Design&amp;Const'!$W242)</f>
        <v>N</v>
      </c>
      <c r="G242" s="485"/>
      <c r="H242" s="243" t="str">
        <f>CONCATENATE(IF(ISNUMBER(SEARCH("Placeholder",'C-Design&amp;Const'!Z242))=TRUE,"",IF(F242="N","PLACEHOLDER ROW - ","")),'C-Design&amp;Const'!Z242,IF(F242="N","",J242))</f>
        <v xml:space="preserve">PLACEHOLDER ROW - Wall Sections - All Major Exterior </v>
      </c>
      <c r="I242" s="552"/>
      <c r="K242" s="285" t="str">
        <f t="shared" si="22"/>
        <v>no 95% match</v>
      </c>
      <c r="L242" s="1410" t="str">
        <f t="shared" si="21"/>
        <v>&lt;---PM/Planner may hide PLACEHOLDER ROW</v>
      </c>
      <c r="M242" s="1333"/>
      <c r="N242" s="1333"/>
      <c r="O242" s="1333"/>
      <c r="P242" s="1333"/>
      <c r="Q242" s="1333"/>
      <c r="R242" s="1453"/>
      <c r="S242" s="1364"/>
      <c r="T242" s="1404"/>
      <c r="U242" s="1333"/>
      <c r="V242" s="1333"/>
      <c r="W242" s="1333"/>
      <c r="X242" s="1333"/>
      <c r="Y242" s="1333"/>
      <c r="Z242" s="1333"/>
      <c r="AA242" s="1333"/>
      <c r="AB242" s="1333"/>
      <c r="AC242" s="1333"/>
      <c r="AD242" s="1333"/>
      <c r="AE242" s="1333"/>
      <c r="AF242" s="1333"/>
      <c r="AG242" s="1333"/>
      <c r="AH242" s="1333"/>
      <c r="AI242" s="1333"/>
      <c r="AJ242" s="1333"/>
    </row>
    <row r="243" spans="1:49" s="30" customFormat="1" ht="18.75" hidden="1" x14ac:dyDescent="0.25">
      <c r="A243" s="1517" t="str">
        <f>IF(COUNTIF('04 - 95% CD'!D243:G243,"Y")&gt;0,"Y",IF(COUNTIF('04 - 95% CD'!D243:G243,"N"),"N",""))</f>
        <v>Y</v>
      </c>
      <c r="B243" s="191"/>
      <c r="C243" s="944"/>
      <c r="D243" s="463"/>
      <c r="E243" s="463"/>
      <c r="F243" s="359" t="str">
        <f>IF('C-Design&amp;Const'!$W243="","",'C-Design&amp;Const'!$W243)</f>
        <v>N</v>
      </c>
      <c r="G243" s="291"/>
      <c r="H243" s="469" t="str">
        <f>CONCATENATE(IF(ISNUMBER(SEARCH("Placeholder",'C-Design&amp;Const'!Z243))=TRUE,"",IF(F243="N","PLACEHOLDER ROW - ","")),'C-Design&amp;Const'!Z243,IF(F243="N","",J243))</f>
        <v xml:space="preserve">PLACEHOLDER ROW - Partial Sections and Details </v>
      </c>
      <c r="I243" s="552"/>
      <c r="J243" s="181"/>
      <c r="K243" s="285" t="str">
        <f t="shared" si="22"/>
        <v>no 95% match</v>
      </c>
      <c r="L243" s="1410" t="str">
        <f t="shared" si="21"/>
        <v>&lt;---PM/Planner may hide PLACEHOLDER ROW</v>
      </c>
      <c r="M243" s="1333"/>
      <c r="N243" s="1382"/>
      <c r="O243" s="1382"/>
      <c r="P243" s="1382"/>
      <c r="Q243" s="1382"/>
      <c r="R243" s="1382"/>
      <c r="S243" s="1382"/>
      <c r="T243" s="1382"/>
      <c r="U243" s="1382"/>
      <c r="V243" s="1382"/>
      <c r="W243" s="1382"/>
      <c r="X243" s="1382"/>
      <c r="Y243" s="1382"/>
      <c r="Z243" s="1382"/>
      <c r="AA243" s="1382"/>
      <c r="AB243" s="1382"/>
      <c r="AC243" s="1382"/>
      <c r="AD243" s="1382"/>
      <c r="AE243" s="1382"/>
      <c r="AF243" s="1382"/>
      <c r="AG243" s="1382"/>
      <c r="AH243" s="1382"/>
      <c r="AI243" s="1382"/>
      <c r="AJ243" s="1382"/>
      <c r="AK243" s="181"/>
      <c r="AL243" s="181"/>
      <c r="AM243" s="181"/>
      <c r="AN243" s="181"/>
      <c r="AO243" s="181"/>
      <c r="AP243" s="181"/>
      <c r="AQ243" s="181"/>
      <c r="AR243" s="181"/>
      <c r="AS243" s="181"/>
      <c r="AT243" s="181"/>
      <c r="AU243" s="181"/>
      <c r="AV243" s="181"/>
      <c r="AW243" s="181"/>
    </row>
    <row r="244" spans="1:49" s="30" customFormat="1" ht="18.75" hidden="1" x14ac:dyDescent="0.25">
      <c r="A244" s="1517" t="str">
        <f>IF(COUNTIF('04 - 95% CD'!D244:G244,"Y")&gt;0,"Y",IF(COUNTIF('04 - 95% CD'!D244:G244,"N"),"N",""))</f>
        <v>Y</v>
      </c>
      <c r="B244" s="191"/>
      <c r="C244" s="944"/>
      <c r="D244" s="463"/>
      <c r="E244" s="463"/>
      <c r="F244" s="359" t="str">
        <f>IF('C-Design&amp;Const'!$W244="","",'C-Design&amp;Const'!$W244)</f>
        <v>N</v>
      </c>
      <c r="G244" s="291"/>
      <c r="H244" s="469" t="str">
        <f>CONCATENATE(IF(ISNUMBER(SEARCH("Placeholder",'C-Design&amp;Const'!Z244))=TRUE,"",IF(F244="N","PLACEHOLDER ROW - ","")),'C-Design&amp;Const'!Z244,IF(F244="N","",J244))</f>
        <v xml:space="preserve">PLACEHOLDER ROW - Wall / Window Details </v>
      </c>
      <c r="I244" s="552"/>
      <c r="J244" s="181"/>
      <c r="K244" s="285" t="str">
        <f t="shared" si="22"/>
        <v>no 95% match</v>
      </c>
      <c r="L244" s="1410" t="str">
        <f t="shared" si="21"/>
        <v>&lt;---PM/Planner may hide PLACEHOLDER ROW</v>
      </c>
      <c r="M244" s="1333"/>
      <c r="N244" s="1382"/>
      <c r="O244" s="1382"/>
      <c r="P244" s="1382"/>
      <c r="Q244" s="1382"/>
      <c r="R244" s="1382"/>
      <c r="S244" s="1382"/>
      <c r="T244" s="1382"/>
      <c r="U244" s="1382"/>
      <c r="V244" s="1382"/>
      <c r="W244" s="1382"/>
      <c r="X244" s="1382"/>
      <c r="Y244" s="1382"/>
      <c r="Z244" s="1382"/>
      <c r="AA244" s="1382"/>
      <c r="AB244" s="1382"/>
      <c r="AC244" s="1382"/>
      <c r="AD244" s="1382"/>
      <c r="AE244" s="1382"/>
      <c r="AF244" s="1382"/>
      <c r="AG244" s="1382"/>
      <c r="AH244" s="1382"/>
      <c r="AI244" s="1382"/>
      <c r="AJ244" s="1382"/>
      <c r="AK244" s="181"/>
      <c r="AL244" s="181"/>
      <c r="AM244" s="181"/>
      <c r="AN244" s="181"/>
      <c r="AO244" s="181"/>
      <c r="AP244" s="181"/>
      <c r="AQ244" s="181"/>
      <c r="AR244" s="181"/>
      <c r="AS244" s="181"/>
      <c r="AT244" s="181"/>
      <c r="AU244" s="181"/>
      <c r="AV244" s="181"/>
      <c r="AW244" s="181"/>
    </row>
    <row r="245" spans="1:49" s="30" customFormat="1" ht="18.75" hidden="1" x14ac:dyDescent="0.25">
      <c r="A245" s="1517" t="str">
        <f>IF(COUNTIF('04 - 95% CD'!D245:G245,"Y")&gt;0,"Y",IF(COUNTIF('04 - 95% CD'!D245:G245,"N"),"N",""))</f>
        <v>Y</v>
      </c>
      <c r="B245" s="191"/>
      <c r="C245" s="944"/>
      <c r="D245" s="463"/>
      <c r="E245" s="463"/>
      <c r="F245" s="359" t="str">
        <f>IF('C-Design&amp;Const'!$W245="","",'C-Design&amp;Const'!$W245)</f>
        <v>N</v>
      </c>
      <c r="G245" s="291"/>
      <c r="H245" s="469" t="str">
        <f>CONCATENATE(IF(ISNUMBER(SEARCH("Placeholder",'C-Design&amp;Const'!Z245))=TRUE,"",IF(F245="N","PLACEHOLDER ROW - ","")),'C-Design&amp;Const'!Z245,IF(F245="N","",J245))</f>
        <v xml:space="preserve">PLACEHOLDER ROW - Sections through Elevators </v>
      </c>
      <c r="I245" s="552"/>
      <c r="J245" s="181"/>
      <c r="K245" s="285" t="str">
        <f t="shared" si="22"/>
        <v>no 95% match</v>
      </c>
      <c r="L245" s="1410" t="str">
        <f t="shared" si="21"/>
        <v>&lt;---PM/Planner may hide PLACEHOLDER ROW</v>
      </c>
      <c r="M245" s="1333"/>
      <c r="N245" s="1382"/>
      <c r="O245" s="1382"/>
      <c r="P245" s="1382"/>
      <c r="Q245" s="1382"/>
      <c r="R245" s="1382"/>
      <c r="S245" s="1382"/>
      <c r="T245" s="1382"/>
      <c r="U245" s="1382"/>
      <c r="V245" s="1382"/>
      <c r="W245" s="1382"/>
      <c r="X245" s="1382"/>
      <c r="Y245" s="1382"/>
      <c r="Z245" s="1382"/>
      <c r="AA245" s="1382"/>
      <c r="AB245" s="1382"/>
      <c r="AC245" s="1382"/>
      <c r="AD245" s="1382"/>
      <c r="AE245" s="1382"/>
      <c r="AF245" s="1382"/>
      <c r="AG245" s="1382"/>
      <c r="AH245" s="1382"/>
      <c r="AI245" s="1382"/>
      <c r="AJ245" s="1382"/>
      <c r="AK245" s="181"/>
      <c r="AL245" s="181"/>
      <c r="AM245" s="181"/>
      <c r="AN245" s="181"/>
      <c r="AO245" s="181"/>
      <c r="AP245" s="181"/>
      <c r="AQ245" s="181"/>
      <c r="AR245" s="181"/>
      <c r="AS245" s="181"/>
      <c r="AT245" s="181"/>
      <c r="AU245" s="181"/>
      <c r="AV245" s="181"/>
      <c r="AW245" s="181"/>
    </row>
    <row r="246" spans="1:49" s="17" customFormat="1" ht="18.75" hidden="1" x14ac:dyDescent="0.25">
      <c r="A246" s="1517" t="str">
        <f>IF(COUNTIF('04 - 95% CD'!D246:G246,"Y")&gt;0,"Y",IF(COUNTIF('04 - 95% CD'!D246:G246,"N"),"N",""))</f>
        <v>Y</v>
      </c>
      <c r="B246" s="141"/>
      <c r="C246" s="944"/>
      <c r="D246" s="411"/>
      <c r="E246" s="321"/>
      <c r="F246" s="559" t="str">
        <f>IF('C-Design&amp;Const'!$W246="","",'C-Design&amp;Const'!$W246)</f>
        <v>N</v>
      </c>
      <c r="G246" s="485"/>
      <c r="H246" s="243" t="str">
        <f>CONCATENATE(IF(ISNUMBER(SEARCH("Placeholder",'C-Design&amp;Const'!Z246))=TRUE,"",IF(F246="N","PLACEHOLDER ROW - ","")),'C-Design&amp;Const'!Z246,IF(F246="N","",J246))</f>
        <v xml:space="preserve">PLACEHOLDER ROW - Exterior Wall and Roof Details </v>
      </c>
      <c r="I246" s="552"/>
      <c r="K246" s="285" t="str">
        <f t="shared" si="22"/>
        <v>no 95% match</v>
      </c>
      <c r="L246" s="1410" t="str">
        <f t="shared" si="21"/>
        <v>&lt;---PM/Planner may hide PLACEHOLDER ROW</v>
      </c>
      <c r="M246" s="1333"/>
      <c r="N246" s="1333"/>
      <c r="O246" s="1333"/>
      <c r="P246" s="1333"/>
      <c r="Q246" s="1333"/>
      <c r="R246" s="1453"/>
      <c r="S246" s="1364"/>
      <c r="T246" s="1404"/>
      <c r="U246" s="1333"/>
      <c r="V246" s="1333"/>
      <c r="W246" s="1333"/>
      <c r="X246" s="1333"/>
      <c r="Y246" s="1333"/>
      <c r="Z246" s="1333"/>
      <c r="AA246" s="1333"/>
      <c r="AB246" s="1333"/>
      <c r="AC246" s="1333"/>
      <c r="AD246" s="1333"/>
      <c r="AE246" s="1333"/>
      <c r="AF246" s="1333"/>
      <c r="AG246" s="1333"/>
      <c r="AH246" s="1333"/>
      <c r="AI246" s="1333"/>
      <c r="AJ246" s="1333"/>
    </row>
    <row r="247" spans="1:49" s="17" customFormat="1" ht="18.75" hidden="1" x14ac:dyDescent="0.25">
      <c r="A247" s="1517" t="str">
        <f>IF(COUNTIF('04 - 95% CD'!D247:G247,"Y")&gt;0,"Y",IF(COUNTIF('04 - 95% CD'!D247:G247,"N"),"N",""))</f>
        <v>Y</v>
      </c>
      <c r="B247" s="141"/>
      <c r="C247" s="944"/>
      <c r="D247" s="411"/>
      <c r="E247" s="321"/>
      <c r="F247" s="559" t="str">
        <f>IF('C-Design&amp;Const'!$W247="","",'C-Design&amp;Const'!$W247)</f>
        <v>N</v>
      </c>
      <c r="G247" s="485"/>
      <c r="H247" s="243" t="str">
        <f>CONCATENATE(IF(ISNUMBER(SEARCH("Placeholder",'C-Design&amp;Const'!Z247))=TRUE,"",IF(F247="N","PLACEHOLDER ROW - ","")),'C-Design&amp;Const'!Z247,IF(F247="N","",J247))</f>
        <v xml:space="preserve">PLACEHOLDER ROW - Reflected Ceiling Plan </v>
      </c>
      <c r="I247" s="552"/>
      <c r="K247" s="285" t="str">
        <f t="shared" si="22"/>
        <v>no 95% match</v>
      </c>
      <c r="L247" s="1410" t="str">
        <f t="shared" si="21"/>
        <v>&lt;---PM/Planner may hide PLACEHOLDER ROW</v>
      </c>
      <c r="M247" s="1333"/>
      <c r="N247" s="1333"/>
      <c r="O247" s="1333"/>
      <c r="P247" s="1333"/>
      <c r="Q247" s="1333"/>
      <c r="R247" s="1453"/>
      <c r="S247" s="1364"/>
      <c r="T247" s="1404"/>
      <c r="U247" s="1333"/>
      <c r="V247" s="1333"/>
      <c r="W247" s="1333"/>
      <c r="X247" s="1333"/>
      <c r="Y247" s="1333"/>
      <c r="Z247" s="1333"/>
      <c r="AA247" s="1333"/>
      <c r="AB247" s="1333"/>
      <c r="AC247" s="1333"/>
      <c r="AD247" s="1333"/>
      <c r="AE247" s="1333"/>
      <c r="AF247" s="1333"/>
      <c r="AG247" s="1333"/>
      <c r="AH247" s="1333"/>
      <c r="AI247" s="1333"/>
      <c r="AJ247" s="1333"/>
    </row>
    <row r="248" spans="1:49" s="17" customFormat="1" ht="18.75" hidden="1" x14ac:dyDescent="0.25">
      <c r="A248" s="1517" t="str">
        <f>IF(COUNTIF('04 - 95% CD'!D248:G248,"Y")&gt;0,"Y",IF(COUNTIF('04 - 95% CD'!D248:G248,"N"),"N",""))</f>
        <v>Y</v>
      </c>
      <c r="B248" s="141"/>
      <c r="C248" s="944"/>
      <c r="D248" s="411"/>
      <c r="E248" s="321"/>
      <c r="F248" s="559" t="str">
        <f>IF('C-Design&amp;Const'!$W248="","",'C-Design&amp;Const'!$W248)</f>
        <v>N</v>
      </c>
      <c r="G248" s="485"/>
      <c r="H248" s="243" t="str">
        <f>CONCATENATE(IF(ISNUMBER(SEARCH("Placeholder",'C-Design&amp;Const'!Z248))=TRUE,"",IF(F248="N","PLACEHOLDER ROW - ","")),'C-Design&amp;Const'!Z248,IF(F248="N","",J248))</f>
        <v>PLACEHOLDER ROW - Interior Elevations and Details</v>
      </c>
      <c r="I248" s="552"/>
      <c r="K248" s="285" t="str">
        <f t="shared" si="22"/>
        <v>no 95% match</v>
      </c>
      <c r="L248" s="1410" t="str">
        <f t="shared" si="21"/>
        <v>&lt;---PM/Planner may hide PLACEHOLDER ROW</v>
      </c>
      <c r="M248" s="1333"/>
      <c r="N248" s="1333"/>
      <c r="O248" s="1333"/>
      <c r="P248" s="1333"/>
      <c r="Q248" s="1333"/>
      <c r="R248" s="1453"/>
      <c r="S248" s="1364"/>
      <c r="T248" s="1404"/>
      <c r="U248" s="1333"/>
      <c r="V248" s="1333"/>
      <c r="W248" s="1333"/>
      <c r="X248" s="1333"/>
      <c r="Y248" s="1333"/>
      <c r="Z248" s="1333"/>
      <c r="AA248" s="1333"/>
      <c r="AB248" s="1333"/>
      <c r="AC248" s="1333"/>
      <c r="AD248" s="1333"/>
      <c r="AE248" s="1333"/>
      <c r="AF248" s="1333"/>
      <c r="AG248" s="1333"/>
      <c r="AH248" s="1333"/>
      <c r="AI248" s="1333"/>
      <c r="AJ248" s="1333"/>
    </row>
    <row r="249" spans="1:49" ht="18.75" hidden="1" x14ac:dyDescent="0.25">
      <c r="A249" s="1520" t="str">
        <f>IF(COUNTIF('04 - 95% CD'!D249:G249,"Y")&gt;0,"Y",IF(COUNTIF('04 - 95% CD'!D249:G249,"N"),"N",""))</f>
        <v>Y</v>
      </c>
      <c r="B249" s="125"/>
      <c r="C249" s="944"/>
      <c r="D249" s="411"/>
      <c r="E249" s="321"/>
      <c r="F249" s="559" t="str">
        <f>IF('C-Design&amp;Const'!$W249="","",'C-Design&amp;Const'!$W249)</f>
        <v>N</v>
      </c>
      <c r="G249" s="485"/>
      <c r="H249" s="243" t="str">
        <f>CONCATENATE(IF(ISNUMBER(SEARCH("Placeholder",'C-Design&amp;Const'!Z249))=TRUE,"",IF(F249="N","PLACEHOLDER ROW - ","")),'C-Design&amp;Const'!Z249,IF(F249="N","",J249))</f>
        <v xml:space="preserve">PLACEHOLDER ROW - Door/Hardware; Room Finish; Window; and Equipment Schedules </v>
      </c>
      <c r="I249" s="552"/>
      <c r="K249" s="285" t="str">
        <f t="shared" si="22"/>
        <v>no 95% match</v>
      </c>
      <c r="L249" s="1410" t="str">
        <f t="shared" ref="L249:L326" si="33">CONCATENATE(IF(ISNUMBER(SEARCH("Placeholder",H249))=TRUE,"&lt;---PM/Planner may hide PLACEHOLDER ROW",""))</f>
        <v>&lt;---PM/Planner may hide PLACEHOLDER ROW</v>
      </c>
      <c r="M249" s="1333"/>
      <c r="N249" s="1333"/>
      <c r="O249" s="1333"/>
      <c r="P249" s="1333"/>
      <c r="Q249" s="1333"/>
      <c r="R249" s="1453"/>
      <c r="S249" s="1364"/>
      <c r="T249" s="1404"/>
      <c r="U249" s="1333"/>
      <c r="V249" s="1333"/>
      <c r="W249" s="1333"/>
      <c r="X249" s="1333"/>
      <c r="Y249" s="1333"/>
      <c r="Z249" s="1333"/>
      <c r="AA249" s="1333"/>
      <c r="AB249" s="1333"/>
      <c r="AC249" s="1333"/>
      <c r="AD249" s="1333"/>
      <c r="AE249" s="1333"/>
      <c r="AF249" s="1333"/>
      <c r="AG249" s="1333"/>
      <c r="AH249" s="1333"/>
      <c r="AI249" s="1333"/>
      <c r="AJ249" s="1333"/>
    </row>
    <row r="250" spans="1:49" ht="18.75" hidden="1" x14ac:dyDescent="0.25">
      <c r="A250" s="1520" t="str">
        <f>IF(COUNTIF('04 - 95% CD'!D250:G250,"Y")&gt;0,"Y",IF(COUNTIF('04 - 95% CD'!D250:G250,"N"),"N",""))</f>
        <v>Y</v>
      </c>
      <c r="B250" s="125"/>
      <c r="C250" s="944"/>
      <c r="D250" s="411"/>
      <c r="E250" s="321"/>
      <c r="F250" s="559" t="str">
        <f>IF('C-Design&amp;Const'!$W250="","",'C-Design&amp;Const'!$W250)</f>
        <v>N</v>
      </c>
      <c r="G250" s="485"/>
      <c r="H250" s="243" t="str">
        <f>CONCATENATE(IF(ISNUMBER(SEARCH("Placeholder",'C-Design&amp;Const'!Z250))=TRUE,"",IF(F250="N","PLACEHOLDER ROW - ","")),'C-Design&amp;Const'!Z250,IF(F250="N","",J250))</f>
        <v xml:space="preserve">PLACEHOLDER ROW - Interior Partition Types; Door and Window Details </v>
      </c>
      <c r="I250" s="552"/>
      <c r="K250" s="285" t="str">
        <f t="shared" si="22"/>
        <v>no 95% match</v>
      </c>
      <c r="L250" s="1410" t="str">
        <f t="shared" si="33"/>
        <v>&lt;---PM/Planner may hide PLACEHOLDER ROW</v>
      </c>
      <c r="M250" s="1333"/>
      <c r="N250" s="1333"/>
      <c r="O250" s="1333"/>
      <c r="P250" s="1333"/>
      <c r="Q250" s="1333"/>
      <c r="R250" s="1453"/>
      <c r="S250" s="1364"/>
      <c r="T250" s="1404"/>
      <c r="U250" s="1333"/>
      <c r="V250" s="1333"/>
      <c r="W250" s="1333"/>
      <c r="X250" s="1333"/>
      <c r="Y250" s="1333"/>
      <c r="Z250" s="1333"/>
      <c r="AA250" s="1333"/>
      <c r="AB250" s="1333"/>
      <c r="AC250" s="1333"/>
      <c r="AD250" s="1333"/>
      <c r="AE250" s="1333"/>
      <c r="AF250" s="1333"/>
      <c r="AG250" s="1333"/>
      <c r="AH250" s="1333"/>
      <c r="AI250" s="1333"/>
      <c r="AJ250" s="1333"/>
    </row>
    <row r="251" spans="1:49" ht="18.75" hidden="1" x14ac:dyDescent="0.25">
      <c r="A251" s="1520" t="str">
        <f>IF(COUNTIF('04 - 95% CD'!D251:G251,"Y")&gt;0,"Y",IF(COUNTIF('04 - 95% CD'!D251:G251,"N"),"N",""))</f>
        <v>Y</v>
      </c>
      <c r="B251" s="125"/>
      <c r="C251" s="944"/>
      <c r="D251" s="411"/>
      <c r="E251" s="321"/>
      <c r="F251" s="559" t="str">
        <f>IF('C-Design&amp;Const'!$W251="","",'C-Design&amp;Const'!$W251)</f>
        <v>N</v>
      </c>
      <c r="G251" s="485"/>
      <c r="H251" s="243" t="str">
        <f>CONCATENATE(IF(ISNUMBER(SEARCH("Placeholder",'C-Design&amp;Const'!Z251))=TRUE,"",IF(F251="N","PLACEHOLDER ROW - ","")),'C-Design&amp;Const'!Z251,IF(F251="N","",J251))</f>
        <v xml:space="preserve">PLACEHOLDER ROW - Interior Signage </v>
      </c>
      <c r="I251" s="552"/>
      <c r="K251" s="285" t="str">
        <f t="shared" si="22"/>
        <v>no 95% match</v>
      </c>
      <c r="L251" s="1410" t="str">
        <f t="shared" si="33"/>
        <v>&lt;---PM/Planner may hide PLACEHOLDER ROW</v>
      </c>
      <c r="M251" s="1333"/>
      <c r="N251" s="1333"/>
      <c r="O251" s="1333"/>
      <c r="P251" s="1333"/>
      <c r="Q251" s="1333"/>
      <c r="R251" s="1453"/>
      <c r="S251" s="1364"/>
      <c r="T251" s="1404"/>
      <c r="U251" s="1333"/>
      <c r="V251" s="1333"/>
      <c r="W251" s="1333"/>
      <c r="X251" s="1333"/>
      <c r="Y251" s="1333"/>
      <c r="Z251" s="1333"/>
      <c r="AA251" s="1333"/>
      <c r="AB251" s="1333"/>
      <c r="AC251" s="1333"/>
      <c r="AD251" s="1333"/>
      <c r="AE251" s="1333"/>
      <c r="AF251" s="1333"/>
      <c r="AG251" s="1333"/>
      <c r="AH251" s="1333"/>
      <c r="AI251" s="1333"/>
      <c r="AJ251" s="1333"/>
    </row>
    <row r="252" spans="1:49" ht="18.75" hidden="1" x14ac:dyDescent="0.25">
      <c r="A252" s="1520" t="str">
        <f>IF(COUNTIF('04 - 95% CD'!D252:G252,"Y")&gt;0,"Y",IF(COUNTIF('04 - 95% CD'!D252:G252,"N"),"N",""))</f>
        <v>Y</v>
      </c>
      <c r="B252" s="125"/>
      <c r="C252" s="944"/>
      <c r="D252" s="411"/>
      <c r="E252" s="321"/>
      <c r="F252" s="559" t="str">
        <f>IF('C-Design&amp;Const'!$W252="","",'C-Design&amp;Const'!$W252)</f>
        <v>N</v>
      </c>
      <c r="G252" s="485"/>
      <c r="H252" s="243" t="str">
        <f>CONCATENATE(IF(ISNUMBER(SEARCH("Placeholder",'C-Design&amp;Const'!Z252))=TRUE,"",IF(F252="N","PLACEHOLDER ROW - ","")),'C-Design&amp;Const'!Z252,IF(F252="N","",J252))</f>
        <v xml:space="preserve">PLACEHOLDER ROW - Fixed Equipment; Casework; and Millwork </v>
      </c>
      <c r="I252" s="552"/>
      <c r="K252" s="285" t="str">
        <f t="shared" si="22"/>
        <v>no 95% match</v>
      </c>
      <c r="L252" s="1410" t="str">
        <f t="shared" si="33"/>
        <v>&lt;---PM/Planner may hide PLACEHOLDER ROW</v>
      </c>
      <c r="M252" s="1333"/>
      <c r="N252" s="1333"/>
      <c r="O252" s="1333"/>
      <c r="P252" s="1333"/>
      <c r="Q252" s="1333"/>
      <c r="R252" s="1453"/>
      <c r="S252" s="1364"/>
      <c r="T252" s="1404"/>
      <c r="U252" s="1333"/>
      <c r="V252" s="1333"/>
      <c r="W252" s="1333"/>
      <c r="X252" s="1333"/>
      <c r="Y252" s="1333"/>
      <c r="Z252" s="1333"/>
      <c r="AA252" s="1333"/>
      <c r="AB252" s="1333"/>
      <c r="AC252" s="1333"/>
      <c r="AD252" s="1333"/>
      <c r="AE252" s="1333"/>
      <c r="AF252" s="1333"/>
      <c r="AG252" s="1333"/>
      <c r="AH252" s="1333"/>
      <c r="AI252" s="1333"/>
      <c r="AJ252" s="1333"/>
    </row>
    <row r="253" spans="1:49" ht="18.75" hidden="1" x14ac:dyDescent="0.25">
      <c r="A253" s="1520" t="str">
        <f>IF(COUNTIF('04 - 95% CD'!D253:G253,"Y")&gt;0,"Y",IF(COUNTIF('04 - 95% CD'!D253:G253,"N"),"N",""))</f>
        <v>Y</v>
      </c>
      <c r="B253" s="125"/>
      <c r="C253" s="944"/>
      <c r="D253" s="411"/>
      <c r="E253" s="321"/>
      <c r="F253" s="559" t="str">
        <f>IF('C-Design&amp;Const'!$W253="","",'C-Design&amp;Const'!$W253)</f>
        <v>N</v>
      </c>
      <c r="G253" s="485"/>
      <c r="H253" s="243" t="str">
        <f>CONCATENATE(IF(ISNUMBER(SEARCH("Placeholder",'C-Design&amp;Const'!Z253))=TRUE,"",IF(F253="N","PLACEHOLDER ROW - ","")),'C-Design&amp;Const'!Z253,IF(F253="N","",J253))</f>
        <v xml:space="preserve">PLACEHOLDER ROW - FF&amp;E Plans </v>
      </c>
      <c r="I253" s="552"/>
      <c r="K253" s="285" t="str">
        <f t="shared" si="22"/>
        <v>no 95% match</v>
      </c>
      <c r="L253" s="1410" t="str">
        <f t="shared" si="33"/>
        <v>&lt;---PM/Planner may hide PLACEHOLDER ROW</v>
      </c>
      <c r="M253" s="1333"/>
      <c r="N253" s="1333"/>
      <c r="O253" s="1333"/>
      <c r="P253" s="1333"/>
      <c r="Q253" s="1333"/>
      <c r="R253" s="1284"/>
      <c r="S253" s="1488"/>
      <c r="T253" s="1404"/>
      <c r="U253" s="1333"/>
      <c r="V253" s="1333"/>
      <c r="W253" s="1333"/>
      <c r="X253" s="1333"/>
      <c r="Y253" s="1333"/>
      <c r="Z253" s="1333"/>
      <c r="AA253" s="1333"/>
      <c r="AB253" s="1333"/>
      <c r="AC253" s="1333"/>
      <c r="AD253" s="1333"/>
      <c r="AE253" s="1333"/>
      <c r="AF253" s="1333"/>
      <c r="AG253" s="1333"/>
      <c r="AH253" s="1333"/>
      <c r="AI253" s="1333"/>
      <c r="AJ253" s="1333"/>
    </row>
    <row r="254" spans="1:49" ht="18.75" hidden="1" x14ac:dyDescent="0.25">
      <c r="A254" s="1520" t="str">
        <f>IF(COUNTIF('04 - 95% CD'!D254:G254,"Y")&gt;0,"Y",IF(COUNTIF('04 - 95% CD'!D254:G254,"N"),"N",""))</f>
        <v>N</v>
      </c>
      <c r="B254" s="125"/>
      <c r="C254" s="944"/>
      <c r="D254" s="411"/>
      <c r="E254" s="321"/>
      <c r="F254" s="559" t="str">
        <f>IF('C-Design&amp;Const'!$W254="","",'C-Design&amp;Const'!$W254)</f>
        <v>N</v>
      </c>
      <c r="G254" s="485"/>
      <c r="H254" s="243" t="str">
        <f>CONCATENATE(IF(ISNUMBER(SEARCH("Placeholder",'C-Design&amp;Const'!Z254))=TRUE,"",IF(F254="N","PLACEHOLDER ROW - ","")),'C-Design&amp;Const'!Z254,IF(F254="N","",J254))</f>
        <v xml:space="preserve">PLACEHOLDER ROW - CUSTOM - Architectural  </v>
      </c>
      <c r="I254" s="552"/>
      <c r="K254" s="285" t="str">
        <f t="shared" si="22"/>
        <v>match</v>
      </c>
      <c r="L254" s="1410" t="str">
        <f t="shared" si="33"/>
        <v>&lt;---PM/Planner may hide PLACEHOLDER ROW</v>
      </c>
      <c r="M254" s="1333"/>
      <c r="N254" s="1333"/>
      <c r="O254" s="1333"/>
      <c r="P254" s="1333"/>
      <c r="Q254" s="1333"/>
      <c r="R254" s="1453"/>
      <c r="S254" s="1364"/>
      <c r="T254" s="1404"/>
      <c r="U254" s="1333"/>
      <c r="V254" s="1333"/>
      <c r="W254" s="1333"/>
      <c r="X254" s="1333"/>
      <c r="Y254" s="1333"/>
      <c r="Z254" s="1333"/>
      <c r="AA254" s="1333"/>
      <c r="AB254" s="1333"/>
      <c r="AC254" s="1333"/>
      <c r="AD254" s="1333"/>
      <c r="AE254" s="1333"/>
      <c r="AF254" s="1333"/>
      <c r="AG254" s="1333"/>
      <c r="AH254" s="1333"/>
      <c r="AI254" s="1333"/>
      <c r="AJ254" s="1333"/>
    </row>
    <row r="255" spans="1:49" ht="18.75" hidden="1" x14ac:dyDescent="0.25">
      <c r="A255" s="1407" t="str">
        <f>IF(COUNTIF('04 - 95% CD'!D255:G255,"Y")&gt;0,"Y",IF(COUNTIF('04 - 95% CD'!D255:G255,"N"),"N",""))</f>
        <v>Y</v>
      </c>
      <c r="B255" s="125"/>
      <c r="C255" s="944"/>
      <c r="D255" s="411"/>
      <c r="E255" s="559" t="s">
        <v>38</v>
      </c>
      <c r="F255" s="478" t="str">
        <f>IF('C-Design&amp;Const'!$W255="","",'C-Design&amp;Const'!$W255)</f>
        <v>N</v>
      </c>
      <c r="G255" s="485"/>
      <c r="H255" s="244" t="str">
        <f>CONCATENATE(IF(ISNUMBER(SEARCH("Placeholder",'C-Design&amp;Const'!Z255))=TRUE,"",IF(E255="N","PLACEHOLDER ROW - ","")),'C-Design&amp;Const'!Z255,IF(E255="N","",J255))</f>
        <v>PLACEHOLDER ROW - Structural Drawings</v>
      </c>
      <c r="I255" s="552"/>
      <c r="K255" s="285" t="str">
        <f t="shared" si="22"/>
        <v>no 95% match</v>
      </c>
      <c r="L255" s="1410" t="str">
        <f t="shared" si="33"/>
        <v>&lt;---PM/Planner may hide PLACEHOLDER ROW</v>
      </c>
      <c r="M255" s="1333"/>
      <c r="N255" s="1333"/>
      <c r="O255" s="1333"/>
      <c r="P255" s="1333"/>
      <c r="Q255" s="1333"/>
      <c r="R255" s="1453"/>
      <c r="S255" s="1364"/>
      <c r="T255" s="1404"/>
      <c r="U255" s="1333"/>
      <c r="V255" s="1333"/>
      <c r="W255" s="1333"/>
      <c r="X255" s="1333"/>
      <c r="Y255" s="1333"/>
      <c r="Z255" s="1333"/>
      <c r="AA255" s="1333"/>
      <c r="AB255" s="1333"/>
      <c r="AC255" s="1333"/>
      <c r="AD255" s="1333"/>
      <c r="AE255" s="1333"/>
      <c r="AF255" s="1333"/>
      <c r="AG255" s="1333"/>
      <c r="AH255" s="1333"/>
      <c r="AI255" s="1333"/>
      <c r="AJ255" s="1333"/>
    </row>
    <row r="256" spans="1:49" s="30" customFormat="1" ht="18.75" hidden="1" x14ac:dyDescent="0.25">
      <c r="A256" s="1517" t="str">
        <f>IF(COUNTIF('04 - 95% CD'!D257:G257,"Y")&gt;0,"Y",IF(COUNTIF('04 - 95% CD'!D257:G257,"N"),"N",""))</f>
        <v>N</v>
      </c>
      <c r="B256" s="191"/>
      <c r="C256" s="944"/>
      <c r="D256" s="463"/>
      <c r="E256" s="463"/>
      <c r="F256" s="359" t="str">
        <f>IF('C-Design&amp;Const'!$W256="","",'C-Design&amp;Const'!$W256)</f>
        <v>N</v>
      </c>
      <c r="G256" s="291"/>
      <c r="H256" s="469" t="str">
        <f>CONCATENATE(IF(ISNUMBER(SEARCH("Placeholder",'C-Design&amp;Const'!Z256))=TRUE,"",IF(F256="N","PLACEHOLDER ROW - ","")),'C-Design&amp;Const'!Z256,IF(F256="N","",J256))</f>
        <v xml:space="preserve">PLACEHOLDER ROW - CUSTOM - Structural  </v>
      </c>
      <c r="I256" s="552"/>
      <c r="J256" s="181"/>
      <c r="K256" s="285" t="str">
        <f t="shared" ref="K256:K259" si="34">IF((COUNTIF(D256:F256,"Y")=COUNTIF(A256,"Y")),"match","no 95% match")</f>
        <v>match</v>
      </c>
      <c r="L256" s="1410" t="str">
        <f t="shared" si="33"/>
        <v>&lt;---PM/Planner may hide PLACEHOLDER ROW</v>
      </c>
      <c r="M256" s="1333"/>
      <c r="N256" s="1382"/>
      <c r="O256" s="1382"/>
      <c r="P256" s="1382"/>
      <c r="Q256" s="1382"/>
      <c r="R256" s="1382"/>
      <c r="S256" s="1382"/>
      <c r="T256" s="1382"/>
      <c r="U256" s="1382"/>
      <c r="V256" s="1382"/>
      <c r="W256" s="1382"/>
      <c r="X256" s="1382"/>
      <c r="Y256" s="1382"/>
      <c r="Z256" s="1382"/>
      <c r="AA256" s="1382"/>
      <c r="AB256" s="1382"/>
      <c r="AC256" s="1382"/>
      <c r="AD256" s="1382"/>
      <c r="AE256" s="1382"/>
      <c r="AF256" s="1382"/>
      <c r="AG256" s="1382"/>
      <c r="AH256" s="1382"/>
      <c r="AI256" s="1382"/>
      <c r="AJ256" s="1382"/>
      <c r="AK256" s="181"/>
      <c r="AL256" s="181"/>
      <c r="AM256" s="181"/>
      <c r="AN256" s="181"/>
      <c r="AO256" s="181"/>
      <c r="AP256" s="181"/>
      <c r="AQ256" s="181"/>
      <c r="AR256" s="181"/>
      <c r="AS256" s="181"/>
      <c r="AT256" s="181"/>
      <c r="AU256" s="181"/>
      <c r="AV256" s="181"/>
      <c r="AW256" s="181"/>
    </row>
    <row r="257" spans="1:49" s="30" customFormat="1" ht="18.75" hidden="1" x14ac:dyDescent="0.25">
      <c r="A257" s="1517" t="str">
        <f>IF(COUNTIF('04 - 95% CD'!D260:G260,"Y")&gt;0,"Y",IF(COUNTIF('04 - 95% CD'!D260:G260,"N"),"N",""))</f>
        <v>Y</v>
      </c>
      <c r="B257" s="191"/>
      <c r="C257" s="944"/>
      <c r="D257" s="463"/>
      <c r="E257" s="463"/>
      <c r="F257" s="359" t="str">
        <f>IF('C-Design&amp;Const'!$W257="","",'C-Design&amp;Const'!$W257)</f>
        <v>N</v>
      </c>
      <c r="G257" s="291"/>
      <c r="H257" s="469" t="str">
        <f>CONCATENATE(IF(ISNUMBER(SEARCH("Placeholder",'C-Design&amp;Const'!Z257))=TRUE,"",IF(F257="N","PLACEHOLDER ROW - ","")),'C-Design&amp;Const'!Z257,IF(F257="N","",J257))</f>
        <v xml:space="preserve">PLACEHOLDER ROW - CUSTOM - Structural  </v>
      </c>
      <c r="I257" s="552"/>
      <c r="J257" s="181"/>
      <c r="K257" s="285" t="str">
        <f t="shared" si="34"/>
        <v>no 95% match</v>
      </c>
      <c r="L257" s="1410" t="str">
        <f t="shared" si="33"/>
        <v>&lt;---PM/Planner may hide PLACEHOLDER ROW</v>
      </c>
      <c r="M257" s="1333"/>
      <c r="N257" s="1382"/>
      <c r="O257" s="1382"/>
      <c r="P257" s="1382"/>
      <c r="Q257" s="1382"/>
      <c r="R257" s="1382"/>
      <c r="S257" s="1382"/>
      <c r="T257" s="1382"/>
      <c r="U257" s="1382"/>
      <c r="V257" s="1382"/>
      <c r="W257" s="1382"/>
      <c r="X257" s="1382"/>
      <c r="Y257" s="1382"/>
      <c r="Z257" s="1382"/>
      <c r="AA257" s="1382"/>
      <c r="AB257" s="1382"/>
      <c r="AC257" s="1382"/>
      <c r="AD257" s="1382"/>
      <c r="AE257" s="1382"/>
      <c r="AF257" s="1382"/>
      <c r="AG257" s="1382"/>
      <c r="AH257" s="1382"/>
      <c r="AI257" s="1382"/>
      <c r="AJ257" s="1382"/>
      <c r="AK257" s="181"/>
      <c r="AL257" s="181"/>
      <c r="AM257" s="181"/>
      <c r="AN257" s="181"/>
      <c r="AO257" s="181"/>
      <c r="AP257" s="181"/>
      <c r="AQ257" s="181"/>
      <c r="AR257" s="181"/>
      <c r="AS257" s="181"/>
      <c r="AT257" s="181"/>
      <c r="AU257" s="181"/>
      <c r="AV257" s="181"/>
      <c r="AW257" s="181"/>
    </row>
    <row r="258" spans="1:49" s="545" customFormat="1" ht="15" hidden="1" customHeight="1" x14ac:dyDescent="0.25">
      <c r="A258" s="1517" t="str">
        <f>IF(COUNTIF('04 - 95% CD'!D258:G258,"Y")&gt;0,"Y",IF(COUNTIF('04 - 95% CD'!D258:G258,"N"),"N",""))</f>
        <v>Y</v>
      </c>
      <c r="B258" s="554"/>
      <c r="C258" s="944"/>
      <c r="D258" s="463"/>
      <c r="E258" s="463"/>
      <c r="F258" s="359" t="str">
        <f>IF('C-Design&amp;Const'!$W258="","",'C-Design&amp;Const'!$W258)</f>
        <v>N</v>
      </c>
      <c r="G258" s="291"/>
      <c r="H258" s="469" t="str">
        <f>CONCATENATE(IF(ISNUMBER(SEARCH("Placeholder",'C-Design&amp;Const'!Z258))=TRUE,"",IF(F258="N","PLACEHOLDER ROW - ","")),'C-Design&amp;Const'!Z258,IF(F258="N","",J258))</f>
        <v xml:space="preserve">PLACEHOLDER ROW - Structural Symbols, Abbreviations, and General Notes </v>
      </c>
      <c r="I258" s="552"/>
      <c r="J258" s="551"/>
      <c r="K258" s="285" t="str">
        <f t="shared" si="34"/>
        <v>no 95% match</v>
      </c>
      <c r="L258" s="1410" t="str">
        <f t="shared" si="33"/>
        <v>&lt;---PM/Planner may hide PLACEHOLDER ROW</v>
      </c>
      <c r="M258" s="1333"/>
      <c r="N258" s="1382"/>
      <c r="O258" s="1382"/>
      <c r="P258" s="1382"/>
      <c r="Q258" s="1382"/>
      <c r="R258" s="1382"/>
      <c r="S258" s="1382"/>
      <c r="T258" s="1382"/>
      <c r="U258" s="1382"/>
      <c r="V258" s="1382"/>
      <c r="W258" s="1382"/>
      <c r="X258" s="1382"/>
      <c r="Y258" s="1382"/>
      <c r="Z258" s="1382"/>
      <c r="AA258" s="1382"/>
      <c r="AB258" s="1382"/>
      <c r="AC258" s="1382"/>
      <c r="AD258" s="1382"/>
      <c r="AE258" s="1382"/>
      <c r="AF258" s="1382"/>
      <c r="AG258" s="1382"/>
      <c r="AH258" s="1382"/>
      <c r="AI258" s="1382"/>
      <c r="AJ258" s="1382"/>
      <c r="AK258" s="551"/>
      <c r="AL258" s="551"/>
      <c r="AM258" s="551"/>
      <c r="AN258" s="551"/>
      <c r="AO258" s="551"/>
      <c r="AP258" s="551"/>
      <c r="AQ258" s="551"/>
      <c r="AR258" s="551"/>
      <c r="AS258" s="551"/>
      <c r="AT258" s="551"/>
      <c r="AU258" s="551"/>
      <c r="AV258" s="551"/>
      <c r="AW258" s="551"/>
    </row>
    <row r="259" spans="1:49" s="545" customFormat="1" ht="15" hidden="1" customHeight="1" x14ac:dyDescent="0.25">
      <c r="A259" s="1517" t="str">
        <f>IF(COUNTIF('04 - 95% CD'!D259:G259,"Y")&gt;0,"Y",IF(COUNTIF('04 - 95% CD'!D259:G259,"N"),"N",""))</f>
        <v>Y</v>
      </c>
      <c r="B259" s="554"/>
      <c r="C259" s="944"/>
      <c r="D259" s="463"/>
      <c r="E259" s="463"/>
      <c r="F259" s="359" t="str">
        <f>IF('C-Design&amp;Const'!$W259="","",'C-Design&amp;Const'!$W259)</f>
        <v>N</v>
      </c>
      <c r="G259" s="291"/>
      <c r="H259" s="469" t="str">
        <f>CONCATENATE(IF(ISNUMBER(SEARCH("Placeholder",'C-Design&amp;Const'!Z259))=TRUE,"",IF(F259="N","PLACEHOLDER ROW - ","")),'C-Design&amp;Const'!Z259,IF(F259="N","",J259))</f>
        <v xml:space="preserve">PLACEHOLDER ROW - Structural Demolition(s) </v>
      </c>
      <c r="I259" s="552"/>
      <c r="J259" s="551"/>
      <c r="K259" s="285" t="str">
        <f t="shared" si="34"/>
        <v>no 95% match</v>
      </c>
      <c r="L259" s="1410" t="str">
        <f t="shared" si="33"/>
        <v>&lt;---PM/Planner may hide PLACEHOLDER ROW</v>
      </c>
      <c r="M259" s="1333"/>
      <c r="N259" s="1382"/>
      <c r="O259" s="1382"/>
      <c r="P259" s="1382"/>
      <c r="Q259" s="1382"/>
      <c r="R259" s="1382"/>
      <c r="S259" s="1382"/>
      <c r="T259" s="1382"/>
      <c r="U259" s="1382"/>
      <c r="V259" s="1382"/>
      <c r="W259" s="1382"/>
      <c r="X259" s="1382"/>
      <c r="Y259" s="1382"/>
      <c r="Z259" s="1382"/>
      <c r="AA259" s="1382"/>
      <c r="AB259" s="1382"/>
      <c r="AC259" s="1382"/>
      <c r="AD259" s="1382"/>
      <c r="AE259" s="1382"/>
      <c r="AF259" s="1382"/>
      <c r="AG259" s="1382"/>
      <c r="AH259" s="1382"/>
      <c r="AI259" s="1382"/>
      <c r="AJ259" s="1382"/>
      <c r="AK259" s="551"/>
      <c r="AL259" s="551"/>
      <c r="AM259" s="551"/>
      <c r="AN259" s="551"/>
      <c r="AO259" s="551"/>
      <c r="AP259" s="551"/>
      <c r="AQ259" s="551"/>
      <c r="AR259" s="551"/>
      <c r="AS259" s="551"/>
      <c r="AT259" s="551"/>
      <c r="AU259" s="551"/>
      <c r="AV259" s="551"/>
      <c r="AW259" s="551"/>
    </row>
    <row r="260" spans="1:49" ht="18.75" hidden="1" x14ac:dyDescent="0.25">
      <c r="A260" s="1520" t="str">
        <f>IF(COUNTIF('04 - 95% CD'!D260:G260,"Y")&gt;0,"Y",IF(COUNTIF('04 - 95% CD'!D260:G260,"N"),"N",""))</f>
        <v>Y</v>
      </c>
      <c r="B260" s="125"/>
      <c r="C260" s="944"/>
      <c r="D260" s="411"/>
      <c r="E260" s="321"/>
      <c r="F260" s="559" t="str">
        <f>IF('C-Design&amp;Const'!$W260="","",'C-Design&amp;Const'!$W260)</f>
        <v>N</v>
      </c>
      <c r="G260" s="485"/>
      <c r="H260" s="243" t="str">
        <f>CONCATENATE(IF(ISNUMBER(SEARCH("Placeholder",'C-Design&amp;Const'!Z260))=TRUE,"",IF(F260="N","PLACEHOLDER ROW - ","")),'C-Design&amp;Const'!Z260,IF(F260="N","",J260))</f>
        <v xml:space="preserve">PLACEHOLDER ROW - Foundation Plan </v>
      </c>
      <c r="I260" s="552"/>
      <c r="K260" s="285" t="str">
        <f t="shared" si="22"/>
        <v>no 95% match</v>
      </c>
      <c r="L260" s="1410" t="str">
        <f t="shared" si="33"/>
        <v>&lt;---PM/Planner may hide PLACEHOLDER ROW</v>
      </c>
      <c r="M260" s="1333"/>
      <c r="N260" s="1333"/>
      <c r="O260" s="1333"/>
      <c r="P260" s="1333"/>
      <c r="Q260" s="1333"/>
      <c r="R260" s="1284"/>
      <c r="S260" s="1513"/>
      <c r="T260" s="1404"/>
      <c r="U260" s="1333"/>
      <c r="V260" s="1333"/>
      <c r="W260" s="1333"/>
      <c r="X260" s="1333"/>
      <c r="Y260" s="1333"/>
      <c r="Z260" s="1333"/>
      <c r="AA260" s="1333"/>
      <c r="AB260" s="1333"/>
      <c r="AC260" s="1333"/>
      <c r="AD260" s="1333"/>
      <c r="AE260" s="1333"/>
      <c r="AF260" s="1333"/>
      <c r="AG260" s="1333"/>
      <c r="AH260" s="1333"/>
      <c r="AI260" s="1333"/>
      <c r="AJ260" s="1333"/>
    </row>
    <row r="261" spans="1:49" s="1" customFormat="1" ht="18.75" hidden="1" x14ac:dyDescent="0.25">
      <c r="A261" s="1520" t="str">
        <f>IF(COUNTIF('04 - 95% CD'!D261:G261,"Y")&gt;0,"Y",IF(COUNTIF('04 - 95% CD'!D261:G261,"N"),"N",""))</f>
        <v>Y</v>
      </c>
      <c r="B261" s="67"/>
      <c r="C261" s="944"/>
      <c r="D261" s="411"/>
      <c r="E261" s="321"/>
      <c r="F261" s="559" t="str">
        <f>IF('C-Design&amp;Const'!$W261="","",'C-Design&amp;Const'!$W261)</f>
        <v>N</v>
      </c>
      <c r="G261" s="485"/>
      <c r="H261" s="243" t="str">
        <f>CONCATENATE(IF(ISNUMBER(SEARCH("Placeholder",'C-Design&amp;Const'!Z261))=TRUE,"",IF(F261="N","PLACEHOLDER ROW - ","")),'C-Design&amp;Const'!Z261,IF(F261="N","",J261))</f>
        <v xml:space="preserve">PLACEHOLDER ROW - Foundation to wall connections (bolted/reinforcing bar dowels) </v>
      </c>
      <c r="I261" s="552"/>
      <c r="J261" s="13"/>
      <c r="K261" s="285" t="str">
        <f t="shared" si="22"/>
        <v>no 95% match</v>
      </c>
      <c r="L261" s="1410" t="str">
        <f t="shared" si="33"/>
        <v>&lt;---PM/Planner may hide PLACEHOLDER ROW</v>
      </c>
      <c r="M261" s="1333"/>
      <c r="N261" s="1333"/>
      <c r="O261" s="1333"/>
      <c r="P261" s="1333"/>
      <c r="Q261" s="1333"/>
      <c r="R261" s="1284"/>
      <c r="S261" s="1513"/>
      <c r="T261" s="1404"/>
      <c r="U261" s="1333"/>
      <c r="V261" s="1333"/>
      <c r="W261" s="1333"/>
      <c r="X261" s="1333"/>
      <c r="Y261" s="1333"/>
      <c r="Z261" s="1333"/>
      <c r="AA261" s="1333"/>
      <c r="AB261" s="1333"/>
      <c r="AC261" s="1333"/>
      <c r="AD261" s="1333"/>
      <c r="AE261" s="1333"/>
      <c r="AF261" s="1333"/>
      <c r="AG261" s="1333"/>
      <c r="AH261" s="1333"/>
      <c r="AI261" s="1333"/>
      <c r="AJ261" s="1333"/>
      <c r="AK261" s="13"/>
      <c r="AL261" s="13"/>
      <c r="AM261" s="13"/>
      <c r="AN261" s="13"/>
      <c r="AO261" s="13"/>
      <c r="AP261" s="13"/>
      <c r="AQ261" s="13"/>
      <c r="AR261" s="13"/>
      <c r="AS261" s="13"/>
      <c r="AT261" s="13"/>
      <c r="AU261" s="13"/>
      <c r="AV261" s="13"/>
      <c r="AW261" s="13"/>
    </row>
    <row r="262" spans="1:49" s="1" customFormat="1" ht="18.75" hidden="1" x14ac:dyDescent="0.25">
      <c r="A262" s="1520" t="str">
        <f>IF(COUNTIF('04 - 95% CD'!D262:G262,"Y")&gt;0,"Y",IF(COUNTIF('04 - 95% CD'!D262:G262,"N"),"N",""))</f>
        <v>Y</v>
      </c>
      <c r="B262" s="67"/>
      <c r="C262" s="944"/>
      <c r="D262" s="411"/>
      <c r="E262" s="321"/>
      <c r="F262" s="559" t="str">
        <f>IF('C-Design&amp;Const'!$W262="","",'C-Design&amp;Const'!$W262)</f>
        <v>N</v>
      </c>
      <c r="G262" s="485"/>
      <c r="H262" s="243" t="str">
        <f>CONCATENATE(IF(ISNUMBER(SEARCH("Placeholder",'C-Design&amp;Const'!Z262))=TRUE,"",IF(F262="N","PLACEHOLDER ROW - ","")),'C-Design&amp;Const'!Z262,IF(F262="N","",J262))</f>
        <v xml:space="preserve">PLACEHOLDER ROW - Column and Base Plate Schedule </v>
      </c>
      <c r="I262" s="552"/>
      <c r="J262" s="13"/>
      <c r="K262" s="285" t="str">
        <f t="shared" ref="K262:K375" si="35">IF((COUNTIF(D262:F262,"Y")=COUNTIF(A262,"Y")),"match","no 95% match")</f>
        <v>no 95% match</v>
      </c>
      <c r="L262" s="1410" t="str">
        <f t="shared" si="33"/>
        <v>&lt;---PM/Planner may hide PLACEHOLDER ROW</v>
      </c>
      <c r="M262" s="1333"/>
      <c r="N262" s="1333"/>
      <c r="O262" s="1333"/>
      <c r="P262" s="1333"/>
      <c r="Q262" s="1333"/>
      <c r="R262" s="1284"/>
      <c r="S262" s="1513"/>
      <c r="T262" s="1404"/>
      <c r="U262" s="1333"/>
      <c r="V262" s="1333"/>
      <c r="W262" s="1333"/>
      <c r="X262" s="1333"/>
      <c r="Y262" s="1333"/>
      <c r="Z262" s="1333"/>
      <c r="AA262" s="1333"/>
      <c r="AB262" s="1333"/>
      <c r="AC262" s="1333"/>
      <c r="AD262" s="1333"/>
      <c r="AE262" s="1333"/>
      <c r="AF262" s="1333"/>
      <c r="AG262" s="1333"/>
      <c r="AH262" s="1333"/>
      <c r="AI262" s="1333"/>
      <c r="AJ262" s="1333"/>
      <c r="AK262" s="13"/>
      <c r="AL262" s="13"/>
      <c r="AM262" s="13"/>
      <c r="AN262" s="13"/>
      <c r="AO262" s="13"/>
      <c r="AP262" s="13"/>
      <c r="AQ262" s="13"/>
      <c r="AR262" s="13"/>
      <c r="AS262" s="13"/>
      <c r="AT262" s="13"/>
      <c r="AU262" s="13"/>
      <c r="AV262" s="13"/>
      <c r="AW262" s="13"/>
    </row>
    <row r="263" spans="1:49" s="1" customFormat="1" ht="18.75" hidden="1" x14ac:dyDescent="0.25">
      <c r="A263" s="1520" t="str">
        <f>IF(COUNTIF('04 - 95% CD'!D263:G263,"Y")&gt;0,"Y",IF(COUNTIF('04 - 95% CD'!D263:G263,"N"),"N",""))</f>
        <v>Y</v>
      </c>
      <c r="B263" s="67"/>
      <c r="C263" s="944"/>
      <c r="D263" s="411"/>
      <c r="E263" s="321"/>
      <c r="F263" s="559" t="str">
        <f>IF('C-Design&amp;Const'!$W263="","",'C-Design&amp;Const'!$W263)</f>
        <v>N</v>
      </c>
      <c r="G263" s="485"/>
      <c r="H263" s="243" t="str">
        <f>CONCATENATE(IF(ISNUMBER(SEARCH("Placeholder",'C-Design&amp;Const'!Z263))=TRUE,"",IF(F263="N","PLACEHOLDER ROW - ","")),'C-Design&amp;Const'!Z263,IF(F263="N","",J263))</f>
        <v xml:space="preserve">PLACEHOLDER ROW - Foundation Individual Details </v>
      </c>
      <c r="I263" s="552"/>
      <c r="J263" s="13"/>
      <c r="K263" s="285" t="str">
        <f t="shared" si="35"/>
        <v>no 95% match</v>
      </c>
      <c r="L263" s="1410" t="str">
        <f t="shared" si="33"/>
        <v>&lt;---PM/Planner may hide PLACEHOLDER ROW</v>
      </c>
      <c r="M263" s="1333"/>
      <c r="N263" s="1333"/>
      <c r="O263" s="1333"/>
      <c r="P263" s="1333"/>
      <c r="Q263" s="1333"/>
      <c r="R263" s="1284"/>
      <c r="S263" s="1513"/>
      <c r="T263" s="1404"/>
      <c r="U263" s="1333"/>
      <c r="V263" s="1333"/>
      <c r="W263" s="1333"/>
      <c r="X263" s="1333"/>
      <c r="Y263" s="1333"/>
      <c r="Z263" s="1333"/>
      <c r="AA263" s="1333"/>
      <c r="AB263" s="1333"/>
      <c r="AC263" s="1333"/>
      <c r="AD263" s="1333"/>
      <c r="AE263" s="1333"/>
      <c r="AF263" s="1333"/>
      <c r="AG263" s="1333"/>
      <c r="AH263" s="1333"/>
      <c r="AI263" s="1333"/>
      <c r="AJ263" s="1333"/>
      <c r="AK263" s="13"/>
      <c r="AL263" s="13"/>
      <c r="AM263" s="13"/>
      <c r="AN263" s="13"/>
      <c r="AO263" s="13"/>
      <c r="AP263" s="13"/>
      <c r="AQ263" s="13"/>
      <c r="AR263" s="13"/>
      <c r="AS263" s="13"/>
      <c r="AT263" s="13"/>
      <c r="AU263" s="13"/>
      <c r="AV263" s="13"/>
      <c r="AW263" s="13"/>
    </row>
    <row r="264" spans="1:49" s="1" customFormat="1" ht="18.75" hidden="1" x14ac:dyDescent="0.25">
      <c r="A264" s="1520" t="str">
        <f>IF(COUNTIF('04 - 95% CD'!D264:G264,"Y")&gt;0,"Y",IF(COUNTIF('04 - 95% CD'!D264:G264,"N"),"N",""))</f>
        <v>Y</v>
      </c>
      <c r="B264" s="67"/>
      <c r="C264" s="944"/>
      <c r="D264" s="411"/>
      <c r="E264" s="321"/>
      <c r="F264" s="559" t="str">
        <f>IF('C-Design&amp;Const'!$W264="","",'C-Design&amp;Const'!$W264)</f>
        <v>N</v>
      </c>
      <c r="G264" s="485"/>
      <c r="H264" s="243" t="str">
        <f>CONCATENATE(IF(ISNUMBER(SEARCH("Placeholder",'C-Design&amp;Const'!Z264))=TRUE,"",IF(F264="N","PLACEHOLDER ROW - ","")),'C-Design&amp;Const'!Z264,IF(F264="N","",J264))</f>
        <v xml:space="preserve">PLACEHOLDER ROW - Structural Masonry Wall Plan </v>
      </c>
      <c r="I264" s="552"/>
      <c r="J264" s="13"/>
      <c r="K264" s="285" t="str">
        <f t="shared" si="35"/>
        <v>no 95% match</v>
      </c>
      <c r="L264" s="1410" t="str">
        <f t="shared" si="33"/>
        <v>&lt;---PM/Planner may hide PLACEHOLDER ROW</v>
      </c>
      <c r="M264" s="1333"/>
      <c r="N264" s="1333"/>
      <c r="O264" s="1333"/>
      <c r="P264" s="1333"/>
      <c r="Q264" s="1333"/>
      <c r="R264" s="1284"/>
      <c r="S264" s="1513"/>
      <c r="T264" s="1404"/>
      <c r="U264" s="1333"/>
      <c r="V264" s="1333"/>
      <c r="W264" s="1333"/>
      <c r="X264" s="1333"/>
      <c r="Y264" s="1333"/>
      <c r="Z264" s="1333"/>
      <c r="AA264" s="1333"/>
      <c r="AB264" s="1333"/>
      <c r="AC264" s="1333"/>
      <c r="AD264" s="1333"/>
      <c r="AE264" s="1333"/>
      <c r="AF264" s="1333"/>
      <c r="AG264" s="1333"/>
      <c r="AH264" s="1333"/>
      <c r="AI264" s="1333"/>
      <c r="AJ264" s="1333"/>
      <c r="AK264" s="13"/>
      <c r="AL264" s="13"/>
      <c r="AM264" s="13"/>
      <c r="AN264" s="13"/>
      <c r="AO264" s="13"/>
      <c r="AP264" s="13"/>
      <c r="AQ264" s="13"/>
      <c r="AR264" s="13"/>
      <c r="AS264" s="13"/>
      <c r="AT264" s="13"/>
      <c r="AU264" s="13"/>
      <c r="AV264" s="13"/>
      <c r="AW264" s="13"/>
    </row>
    <row r="265" spans="1:49" s="1" customFormat="1" ht="18.75" hidden="1" x14ac:dyDescent="0.25">
      <c r="A265" s="1520" t="str">
        <f>IF(COUNTIF('04 - 95% CD'!D265:G265,"Y")&gt;0,"Y",IF(COUNTIF('04 - 95% CD'!D265:G265,"N"),"N",""))</f>
        <v>Y</v>
      </c>
      <c r="B265" s="67"/>
      <c r="C265" s="944"/>
      <c r="D265" s="411"/>
      <c r="E265" s="321"/>
      <c r="F265" s="559" t="str">
        <f>IF('C-Design&amp;Const'!$W265="","",'C-Design&amp;Const'!$W265)</f>
        <v>N</v>
      </c>
      <c r="G265" s="485"/>
      <c r="H265" s="243" t="str">
        <f>CONCATENATE(IF(ISNUMBER(SEARCH("Placeholder",'C-Design&amp;Const'!Z265))=TRUE,"",IF(F265="N","PLACEHOLDER ROW - ","")),'C-Design&amp;Const'!Z265,IF(F265="N","",J265))</f>
        <v xml:space="preserve">PLACEHOLDER ROW - Structural Masonry Details </v>
      </c>
      <c r="I265" s="552"/>
      <c r="J265" s="13"/>
      <c r="K265" s="285" t="str">
        <f t="shared" si="35"/>
        <v>no 95% match</v>
      </c>
      <c r="L265" s="1410" t="str">
        <f t="shared" si="33"/>
        <v>&lt;---PM/Planner may hide PLACEHOLDER ROW</v>
      </c>
      <c r="M265" s="1333"/>
      <c r="N265" s="1333"/>
      <c r="O265" s="1333"/>
      <c r="P265" s="1333"/>
      <c r="Q265" s="1333"/>
      <c r="R265" s="1284"/>
      <c r="S265" s="1513"/>
      <c r="T265" s="1404"/>
      <c r="U265" s="1333"/>
      <c r="V265" s="1333"/>
      <c r="W265" s="1333"/>
      <c r="X265" s="1333"/>
      <c r="Y265" s="1333"/>
      <c r="Z265" s="1333"/>
      <c r="AA265" s="1333"/>
      <c r="AB265" s="1333"/>
      <c r="AC265" s="1333"/>
      <c r="AD265" s="1333"/>
      <c r="AE265" s="1333"/>
      <c r="AF265" s="1333"/>
      <c r="AG265" s="1333"/>
      <c r="AH265" s="1333"/>
      <c r="AI265" s="1333"/>
      <c r="AJ265" s="1333"/>
      <c r="AK265" s="13"/>
      <c r="AL265" s="13"/>
      <c r="AM265" s="13"/>
      <c r="AN265" s="13"/>
      <c r="AO265" s="13"/>
      <c r="AP265" s="13"/>
      <c r="AQ265" s="13"/>
      <c r="AR265" s="13"/>
      <c r="AS265" s="13"/>
      <c r="AT265" s="13"/>
      <c r="AU265" s="13"/>
      <c r="AV265" s="13"/>
      <c r="AW265" s="13"/>
    </row>
    <row r="266" spans="1:49" s="1" customFormat="1" ht="18.75" hidden="1" x14ac:dyDescent="0.25">
      <c r="A266" s="1520" t="str">
        <f>IF(COUNTIF('04 - 95% CD'!D266:G266,"Y")&gt;0,"Y",IF(COUNTIF('04 - 95% CD'!D266:G266,"N"),"N",""))</f>
        <v>Y</v>
      </c>
      <c r="B266" s="67"/>
      <c r="C266" s="944"/>
      <c r="D266" s="411"/>
      <c r="E266" s="321"/>
      <c r="F266" s="559" t="str">
        <f>IF('C-Design&amp;Const'!$W266="","",'C-Design&amp;Const'!$W266)</f>
        <v>N</v>
      </c>
      <c r="G266" s="485"/>
      <c r="H266" s="243" t="str">
        <f>CONCATENATE(IF(ISNUMBER(SEARCH("Placeholder",'C-Design&amp;Const'!Z266))=TRUE,"",IF(F266="N","PLACEHOLDER ROW - ","")),'C-Design&amp;Const'!Z266,IF(F266="N","",J266))</f>
        <v xml:space="preserve">PLACEHOLDER ROW - Lintel Details </v>
      </c>
      <c r="I266" s="552"/>
      <c r="J266" s="13"/>
      <c r="K266" s="285" t="str">
        <f t="shared" si="35"/>
        <v>no 95% match</v>
      </c>
      <c r="L266" s="1410" t="str">
        <f t="shared" si="33"/>
        <v>&lt;---PM/Planner may hide PLACEHOLDER ROW</v>
      </c>
      <c r="M266" s="1333"/>
      <c r="N266" s="1333"/>
      <c r="O266" s="1333"/>
      <c r="P266" s="1333"/>
      <c r="Q266" s="1333"/>
      <c r="R266" s="1284"/>
      <c r="S266" s="1513"/>
      <c r="T266" s="1404"/>
      <c r="U266" s="1333"/>
      <c r="V266" s="1333"/>
      <c r="W266" s="1333"/>
      <c r="X266" s="1333"/>
      <c r="Y266" s="1333"/>
      <c r="Z266" s="1333"/>
      <c r="AA266" s="1333"/>
      <c r="AB266" s="1333"/>
      <c r="AC266" s="1333"/>
      <c r="AD266" s="1333"/>
      <c r="AE266" s="1333"/>
      <c r="AF266" s="1333"/>
      <c r="AG266" s="1333"/>
      <c r="AH266" s="1333"/>
      <c r="AI266" s="1333"/>
      <c r="AJ266" s="1333"/>
      <c r="AK266" s="13"/>
      <c r="AL266" s="13"/>
      <c r="AM266" s="13"/>
      <c r="AN266" s="13"/>
      <c r="AO266" s="13"/>
      <c r="AP266" s="13"/>
      <c r="AQ266" s="13"/>
      <c r="AR266" s="13"/>
      <c r="AS266" s="13"/>
      <c r="AT266" s="13"/>
      <c r="AU266" s="13"/>
      <c r="AV266" s="13"/>
      <c r="AW266" s="13"/>
    </row>
    <row r="267" spans="1:49" s="1" customFormat="1" ht="18.75" hidden="1" x14ac:dyDescent="0.25">
      <c r="A267" s="1520" t="str">
        <f>IF(COUNTIF('04 - 95% CD'!D267:G267,"Y")&gt;0,"Y",IF(COUNTIF('04 - 95% CD'!D267:G267,"N"),"N",""))</f>
        <v>Y</v>
      </c>
      <c r="B267" s="67"/>
      <c r="C267" s="944"/>
      <c r="D267" s="411"/>
      <c r="E267" s="321"/>
      <c r="F267" s="559" t="str">
        <f>IF('C-Design&amp;Const'!$W267="","",'C-Design&amp;Const'!$W267)</f>
        <v>N</v>
      </c>
      <c r="G267" s="485"/>
      <c r="H267" s="243" t="str">
        <f>CONCATENATE(IF(ISNUMBER(SEARCH("Placeholder",'C-Design&amp;Const'!Z267))=TRUE,"",IF(F267="N","PLACEHOLDER ROW - ","")),'C-Design&amp;Const'!Z267,IF(F267="N","",J267))</f>
        <v xml:space="preserve">PLACEHOLDER ROW - Lateral Force Resisting System Plan and Details </v>
      </c>
      <c r="I267" s="552"/>
      <c r="J267" s="13"/>
      <c r="K267" s="285" t="str">
        <f t="shared" si="35"/>
        <v>no 95% match</v>
      </c>
      <c r="L267" s="1410" t="str">
        <f t="shared" si="33"/>
        <v>&lt;---PM/Planner may hide PLACEHOLDER ROW</v>
      </c>
      <c r="M267" s="1333"/>
      <c r="N267" s="1333"/>
      <c r="O267" s="1333"/>
      <c r="P267" s="1333"/>
      <c r="Q267" s="1333"/>
      <c r="R267" s="1284"/>
      <c r="S267" s="1513"/>
      <c r="T267" s="1404"/>
      <c r="U267" s="1333"/>
      <c r="V267" s="1333"/>
      <c r="W267" s="1333"/>
      <c r="X267" s="1333"/>
      <c r="Y267" s="1333"/>
      <c r="Z267" s="1333"/>
      <c r="AA267" s="1333"/>
      <c r="AB267" s="1333"/>
      <c r="AC267" s="1333"/>
      <c r="AD267" s="1333"/>
      <c r="AE267" s="1333"/>
      <c r="AF267" s="1333"/>
      <c r="AG267" s="1333"/>
      <c r="AH267" s="1333"/>
      <c r="AI267" s="1333"/>
      <c r="AJ267" s="1333"/>
      <c r="AK267" s="13"/>
      <c r="AL267" s="13"/>
      <c r="AM267" s="13"/>
      <c r="AN267" s="13"/>
      <c r="AO267" s="13"/>
      <c r="AP267" s="13"/>
      <c r="AQ267" s="13"/>
      <c r="AR267" s="13"/>
      <c r="AS267" s="13"/>
      <c r="AT267" s="13"/>
      <c r="AU267" s="13"/>
      <c r="AV267" s="13"/>
      <c r="AW267" s="13"/>
    </row>
    <row r="268" spans="1:49" ht="18.75" hidden="1" x14ac:dyDescent="0.25">
      <c r="A268" s="1520" t="str">
        <f>IF(COUNTIF('04 - 95% CD'!D268:G268,"Y")&gt;0,"Y",IF(COUNTIF('04 - 95% CD'!D268:G268,"N"),"N",""))</f>
        <v>Y</v>
      </c>
      <c r="B268" s="125"/>
      <c r="C268" s="944"/>
      <c r="D268" s="411"/>
      <c r="E268" s="321"/>
      <c r="F268" s="559" t="str">
        <f>IF('C-Design&amp;Const'!$W268="","",'C-Design&amp;Const'!$W268)</f>
        <v>N</v>
      </c>
      <c r="G268" s="485"/>
      <c r="H268" s="243" t="str">
        <f>CONCATENATE(IF(ISNUMBER(SEARCH("Placeholder",'C-Design&amp;Const'!Z268))=TRUE,"",IF(F268="N","PLACEHOLDER ROW - ","")),'C-Design&amp;Const'!Z268,IF(F268="N","",J268))</f>
        <v xml:space="preserve">PLACEHOLDER ROW - Floor Framing Plans </v>
      </c>
      <c r="I268" s="552"/>
      <c r="K268" s="285" t="str">
        <f t="shared" si="35"/>
        <v>no 95% match</v>
      </c>
      <c r="L268" s="1410" t="str">
        <f t="shared" si="33"/>
        <v>&lt;---PM/Planner may hide PLACEHOLDER ROW</v>
      </c>
      <c r="M268" s="1333"/>
      <c r="N268" s="1333"/>
      <c r="O268" s="1333"/>
      <c r="P268" s="1333"/>
      <c r="Q268" s="1333"/>
      <c r="R268" s="1453"/>
      <c r="S268" s="1364"/>
      <c r="T268" s="1404"/>
      <c r="U268" s="1333"/>
      <c r="V268" s="1333"/>
      <c r="W268" s="1333"/>
      <c r="X268" s="1333"/>
      <c r="Y268" s="1333"/>
      <c r="Z268" s="1333"/>
      <c r="AA268" s="1333"/>
      <c r="AB268" s="1333"/>
      <c r="AC268" s="1333"/>
      <c r="AD268" s="1333"/>
      <c r="AE268" s="1333"/>
      <c r="AF268" s="1333"/>
      <c r="AG268" s="1333"/>
      <c r="AH268" s="1333"/>
      <c r="AI268" s="1333"/>
      <c r="AJ268" s="1333"/>
    </row>
    <row r="269" spans="1:49" ht="18.75" hidden="1" x14ac:dyDescent="0.25">
      <c r="A269" s="1520" t="str">
        <f>IF(COUNTIF('04 - 95% CD'!D269:G269,"Y")&gt;0,"Y",IF(COUNTIF('04 - 95% CD'!D269:G269,"N"),"N",""))</f>
        <v>Y</v>
      </c>
      <c r="B269" s="125"/>
      <c r="C269" s="944"/>
      <c r="D269" s="411"/>
      <c r="E269" s="321"/>
      <c r="F269" s="559" t="str">
        <f>IF('C-Design&amp;Const'!$W269="","",'C-Design&amp;Const'!$W269)</f>
        <v>N</v>
      </c>
      <c r="G269" s="485"/>
      <c r="H269" s="243" t="str">
        <f>CONCATENATE(IF(ISNUMBER(SEARCH("Placeholder",'C-Design&amp;Const'!Z269))=TRUE,"",IF(F269="N","PLACEHOLDER ROW - ","")),'C-Design&amp;Const'!Z269,IF(F269="N","",J269))</f>
        <v xml:space="preserve">PLACEHOLDER ROW - Roof Framing Details </v>
      </c>
      <c r="I269" s="552"/>
      <c r="K269" s="285" t="str">
        <f t="shared" si="35"/>
        <v>no 95% match</v>
      </c>
      <c r="L269" s="1410" t="str">
        <f t="shared" si="33"/>
        <v>&lt;---PM/Planner may hide PLACEHOLDER ROW</v>
      </c>
      <c r="M269" s="1333"/>
      <c r="N269" s="1333"/>
      <c r="O269" s="1333"/>
      <c r="P269" s="1333"/>
      <c r="Q269" s="1333"/>
      <c r="R269" s="1453"/>
      <c r="S269" s="1364"/>
      <c r="T269" s="1404"/>
      <c r="U269" s="1333"/>
      <c r="V269" s="1333"/>
      <c r="W269" s="1333"/>
      <c r="X269" s="1333"/>
      <c r="Y269" s="1333"/>
      <c r="Z269" s="1333"/>
      <c r="AA269" s="1333"/>
      <c r="AB269" s="1333"/>
      <c r="AC269" s="1333"/>
      <c r="AD269" s="1333"/>
      <c r="AE269" s="1333"/>
      <c r="AF269" s="1333"/>
      <c r="AG269" s="1333"/>
      <c r="AH269" s="1333"/>
      <c r="AI269" s="1333"/>
      <c r="AJ269" s="1333"/>
    </row>
    <row r="270" spans="1:49" ht="18.75" hidden="1" x14ac:dyDescent="0.25">
      <c r="A270" s="1407" t="str">
        <f>IF(COUNTIF('04 - 95% CD'!D270:G270,"Y")&gt;0,"Y",IF(COUNTIF('04 - 95% CD'!D270:G270,"N"),"N",""))</f>
        <v>Y</v>
      </c>
      <c r="B270" s="125"/>
      <c r="C270" s="944"/>
      <c r="D270" s="411"/>
      <c r="E270" s="559" t="str">
        <f>IF('C-Design&amp;Const'!$W270="","",'C-Design&amp;Const'!$W270)</f>
        <v>N</v>
      </c>
      <c r="F270" s="478"/>
      <c r="G270" s="485"/>
      <c r="H270" s="244" t="str">
        <f>CONCATENATE(IF(ISNUMBER(SEARCH("Placeholder",'C-Design&amp;Const'!Z270))=TRUE,"",IF(E270="N","PLACEHOLDER ROW - ","")),'C-Design&amp;Const'!Z270,IF(E270="N","",J270))</f>
        <v>PLACEHOLDER ROW - Plumbing Drawings</v>
      </c>
      <c r="I270" s="552"/>
      <c r="K270" s="285" t="str">
        <f t="shared" si="35"/>
        <v>no 95% match</v>
      </c>
      <c r="L270" s="1410" t="str">
        <f t="shared" si="33"/>
        <v>&lt;---PM/Planner may hide PLACEHOLDER ROW</v>
      </c>
      <c r="M270" s="1333"/>
      <c r="N270" s="1333"/>
      <c r="O270" s="1333"/>
      <c r="P270" s="1333"/>
      <c r="Q270" s="1333"/>
      <c r="R270" s="1453"/>
      <c r="S270" s="1364"/>
      <c r="T270" s="1404"/>
      <c r="U270" s="1333"/>
      <c r="V270" s="1333"/>
      <c r="W270" s="1333"/>
      <c r="X270" s="1333"/>
      <c r="Y270" s="1333"/>
      <c r="Z270" s="1333"/>
      <c r="AA270" s="1333"/>
      <c r="AB270" s="1333"/>
      <c r="AC270" s="1333"/>
      <c r="AD270" s="1333"/>
      <c r="AE270" s="1333"/>
      <c r="AF270" s="1333"/>
      <c r="AG270" s="1333"/>
      <c r="AH270" s="1333"/>
      <c r="AI270" s="1333"/>
      <c r="AJ270" s="1333"/>
    </row>
    <row r="271" spans="1:49" s="30" customFormat="1" ht="18.75" hidden="1" x14ac:dyDescent="0.25">
      <c r="A271" s="1517" t="str">
        <f>IF(COUNTIF('04 - 95% CD'!D272:G272,"Y")&gt;0,"Y",IF(COUNTIF('04 - 95% CD'!D272:G272,"N"),"N",""))</f>
        <v>N</v>
      </c>
      <c r="B271" s="191"/>
      <c r="C271" s="944"/>
      <c r="D271" s="463"/>
      <c r="E271" s="463"/>
      <c r="F271" s="359" t="str">
        <f>IF('C-Design&amp;Const'!$W271="","",'C-Design&amp;Const'!$W271)</f>
        <v>N</v>
      </c>
      <c r="G271" s="291"/>
      <c r="H271" s="469" t="str">
        <f>CONCATENATE(IF(ISNUMBER(SEARCH("Placeholder",'C-Design&amp;Const'!Z271))=TRUE,"",IF(F271="N","PLACEHOLDER ROW - ","")),'C-Design&amp;Const'!Z271,IF(F271="N","",J271))</f>
        <v xml:space="preserve">PLACEHOLDER ROW - CUSTOM - Plumbing  </v>
      </c>
      <c r="I271" s="552"/>
      <c r="J271" s="181"/>
      <c r="K271" s="285" t="str">
        <f t="shared" si="35"/>
        <v>match</v>
      </c>
      <c r="L271" s="1410" t="str">
        <f t="shared" si="33"/>
        <v>&lt;---PM/Planner may hide PLACEHOLDER ROW</v>
      </c>
      <c r="M271" s="1333"/>
      <c r="N271" s="1382"/>
      <c r="O271" s="1382"/>
      <c r="P271" s="1382"/>
      <c r="Q271" s="1382"/>
      <c r="R271" s="1382"/>
      <c r="S271" s="1382"/>
      <c r="T271" s="1382"/>
      <c r="U271" s="1382"/>
      <c r="V271" s="1382"/>
      <c r="W271" s="1382"/>
      <c r="X271" s="1382"/>
      <c r="Y271" s="1382"/>
      <c r="Z271" s="1382"/>
      <c r="AA271" s="1382"/>
      <c r="AB271" s="1382"/>
      <c r="AC271" s="1382"/>
      <c r="AD271" s="1382"/>
      <c r="AE271" s="1382"/>
      <c r="AF271" s="1382"/>
      <c r="AG271" s="1382"/>
      <c r="AH271" s="1382"/>
      <c r="AI271" s="1382"/>
      <c r="AJ271" s="1382"/>
      <c r="AK271" s="181"/>
      <c r="AL271" s="181"/>
      <c r="AM271" s="181"/>
      <c r="AN271" s="181"/>
      <c r="AO271" s="181"/>
      <c r="AP271" s="181"/>
      <c r="AQ271" s="181"/>
      <c r="AR271" s="181"/>
      <c r="AS271" s="181"/>
      <c r="AT271" s="181"/>
      <c r="AU271" s="181"/>
      <c r="AV271" s="181"/>
      <c r="AW271" s="181"/>
    </row>
    <row r="272" spans="1:49" s="30" customFormat="1" ht="18.75" hidden="1" x14ac:dyDescent="0.25">
      <c r="A272" s="1517" t="str">
        <f>IF(COUNTIF('04 - 95% CD'!D273:G273,"Y")&gt;0,"Y",IF(COUNTIF('04 - 95% CD'!D273:G273,"N"),"N",""))</f>
        <v>Y</v>
      </c>
      <c r="B272" s="191"/>
      <c r="C272" s="944"/>
      <c r="D272" s="463"/>
      <c r="E272" s="463"/>
      <c r="F272" s="359" t="str">
        <f>IF('C-Design&amp;Const'!$W272="","",'C-Design&amp;Const'!$W272)</f>
        <v>N</v>
      </c>
      <c r="G272" s="291"/>
      <c r="H272" s="469" t="str">
        <f>CONCATENATE(IF(ISNUMBER(SEARCH("Placeholder",'C-Design&amp;Const'!Z272))=TRUE,"",IF(F272="N","PLACEHOLDER ROW - ","")),'C-Design&amp;Const'!Z272,IF(F272="N","",J272))</f>
        <v xml:space="preserve">PLACEHOLDER ROW - CUSTOM - Plumbing  </v>
      </c>
      <c r="I272" s="552"/>
      <c r="J272" s="181"/>
      <c r="K272" s="285" t="str">
        <f t="shared" si="35"/>
        <v>no 95% match</v>
      </c>
      <c r="L272" s="1410" t="str">
        <f t="shared" si="33"/>
        <v>&lt;---PM/Planner may hide PLACEHOLDER ROW</v>
      </c>
      <c r="M272" s="1333"/>
      <c r="N272" s="1382"/>
      <c r="O272" s="1382"/>
      <c r="P272" s="1382"/>
      <c r="Q272" s="1382"/>
      <c r="R272" s="1382"/>
      <c r="S272" s="1382"/>
      <c r="T272" s="1382"/>
      <c r="U272" s="1382"/>
      <c r="V272" s="1382"/>
      <c r="W272" s="1382"/>
      <c r="X272" s="1382"/>
      <c r="Y272" s="1382"/>
      <c r="Z272" s="1382"/>
      <c r="AA272" s="1382"/>
      <c r="AB272" s="1382"/>
      <c r="AC272" s="1382"/>
      <c r="AD272" s="1382"/>
      <c r="AE272" s="1382"/>
      <c r="AF272" s="1382"/>
      <c r="AG272" s="1382"/>
      <c r="AH272" s="1382"/>
      <c r="AI272" s="1382"/>
      <c r="AJ272" s="1382"/>
      <c r="AK272" s="181"/>
      <c r="AL272" s="181"/>
      <c r="AM272" s="181"/>
      <c r="AN272" s="181"/>
      <c r="AO272" s="181"/>
      <c r="AP272" s="181"/>
      <c r="AQ272" s="181"/>
      <c r="AR272" s="181"/>
      <c r="AS272" s="181"/>
      <c r="AT272" s="181"/>
      <c r="AU272" s="181"/>
      <c r="AV272" s="181"/>
      <c r="AW272" s="181"/>
    </row>
    <row r="273" spans="1:49" s="545" customFormat="1" ht="15" hidden="1" customHeight="1" x14ac:dyDescent="0.25">
      <c r="A273" s="1517" t="str">
        <f>IF(COUNTIF('04 - 95% CD'!D273:G273,"Y")&gt;0,"Y",IF(COUNTIF('04 - 95% CD'!D273:G273,"N"),"N",""))</f>
        <v>Y</v>
      </c>
      <c r="B273" s="554"/>
      <c r="C273" s="944"/>
      <c r="D273" s="463"/>
      <c r="E273" s="463"/>
      <c r="F273" s="359" t="str">
        <f>IF('C-Design&amp;Const'!$W273="","",'C-Design&amp;Const'!$W273)</f>
        <v>N</v>
      </c>
      <c r="G273" s="291"/>
      <c r="H273" s="469" t="str">
        <f>CONCATENATE(IF(ISNUMBER(SEARCH("Placeholder",'C-Design&amp;Const'!Z273))=TRUE,"",IF(F273="N","PLACEHOLDER ROW - ","")),'C-Design&amp;Const'!Z273,IF(F273="N","",J273))</f>
        <v xml:space="preserve">PLACEHOLDER ROW - Plumbing Symbols, Abbreviations, and General Notes </v>
      </c>
      <c r="I273" s="552"/>
      <c r="J273" s="551"/>
      <c r="K273" s="285" t="str">
        <f t="shared" si="35"/>
        <v>no 95% match</v>
      </c>
      <c r="L273" s="1410" t="str">
        <f t="shared" ref="L273:L274" si="36">CONCATENATE(IF(ISNUMBER(SEARCH("Placeholder",H273))=TRUE,"&lt;---PM/Planner may hide PLACEHOLDER ROW",""))</f>
        <v>&lt;---PM/Planner may hide PLACEHOLDER ROW</v>
      </c>
      <c r="M273" s="1333"/>
      <c r="N273" s="1382"/>
      <c r="O273" s="1382"/>
      <c r="P273" s="1382"/>
      <c r="Q273" s="1382"/>
      <c r="R273" s="1382"/>
      <c r="S273" s="1382"/>
      <c r="T273" s="1382"/>
      <c r="U273" s="1382"/>
      <c r="V273" s="1382"/>
      <c r="W273" s="1382"/>
      <c r="X273" s="1382"/>
      <c r="Y273" s="1382"/>
      <c r="Z273" s="1382"/>
      <c r="AA273" s="1382"/>
      <c r="AB273" s="1382"/>
      <c r="AC273" s="1382"/>
      <c r="AD273" s="1382"/>
      <c r="AE273" s="1382"/>
      <c r="AF273" s="1382"/>
      <c r="AG273" s="1382"/>
      <c r="AH273" s="1382"/>
      <c r="AI273" s="1382"/>
      <c r="AJ273" s="1382"/>
      <c r="AK273" s="551"/>
      <c r="AL273" s="551"/>
      <c r="AM273" s="551"/>
      <c r="AN273" s="551"/>
      <c r="AO273" s="551"/>
      <c r="AP273" s="551"/>
      <c r="AQ273" s="551"/>
      <c r="AR273" s="551"/>
      <c r="AS273" s="551"/>
      <c r="AT273" s="551"/>
      <c r="AU273" s="551"/>
      <c r="AV273" s="551"/>
      <c r="AW273" s="551"/>
    </row>
    <row r="274" spans="1:49" s="545" customFormat="1" ht="15" hidden="1" customHeight="1" x14ac:dyDescent="0.25">
      <c r="A274" s="1517" t="str">
        <f>IF(COUNTIF('04 - 95% CD'!D274:G274,"Y")&gt;0,"Y",IF(COUNTIF('04 - 95% CD'!D274:G274,"N"),"N",""))</f>
        <v>Y</v>
      </c>
      <c r="B274" s="554"/>
      <c r="C274" s="944"/>
      <c r="D274" s="463"/>
      <c r="E274" s="463"/>
      <c r="F274" s="359" t="str">
        <f>IF('C-Design&amp;Const'!$W274="","",'C-Design&amp;Const'!$W274)</f>
        <v>N</v>
      </c>
      <c r="G274" s="291"/>
      <c r="H274" s="469" t="str">
        <f>CONCATENATE(IF(ISNUMBER(SEARCH("Placeholder",'C-Design&amp;Const'!Z274))=TRUE,"",IF(F274="N","PLACEHOLDER ROW - ","")),'C-Design&amp;Const'!Z274,IF(F274="N","",J274))</f>
        <v xml:space="preserve">PLACEHOLDER ROW - Plumbing Demolition(s) </v>
      </c>
      <c r="I274" s="552"/>
      <c r="J274" s="551"/>
      <c r="K274" s="285" t="str">
        <f t="shared" si="35"/>
        <v>no 95% match</v>
      </c>
      <c r="L274" s="1410" t="str">
        <f t="shared" si="36"/>
        <v>&lt;---PM/Planner may hide PLACEHOLDER ROW</v>
      </c>
      <c r="M274" s="1333"/>
      <c r="N274" s="1382"/>
      <c r="O274" s="1382"/>
      <c r="P274" s="1382"/>
      <c r="Q274" s="1382"/>
      <c r="R274" s="1382"/>
      <c r="S274" s="1382"/>
      <c r="T274" s="1382"/>
      <c r="U274" s="1382"/>
      <c r="V274" s="1382"/>
      <c r="W274" s="1382"/>
      <c r="X274" s="1382"/>
      <c r="Y274" s="1382"/>
      <c r="Z274" s="1382"/>
      <c r="AA274" s="1382"/>
      <c r="AB274" s="1382"/>
      <c r="AC274" s="1382"/>
      <c r="AD274" s="1382"/>
      <c r="AE274" s="1382"/>
      <c r="AF274" s="1382"/>
      <c r="AG274" s="1382"/>
      <c r="AH274" s="1382"/>
      <c r="AI274" s="1382"/>
      <c r="AJ274" s="1382"/>
      <c r="AK274" s="551"/>
      <c r="AL274" s="551"/>
      <c r="AM274" s="551"/>
      <c r="AN274" s="551"/>
      <c r="AO274" s="551"/>
      <c r="AP274" s="551"/>
      <c r="AQ274" s="551"/>
      <c r="AR274" s="551"/>
      <c r="AS274" s="551"/>
      <c r="AT274" s="551"/>
      <c r="AU274" s="551"/>
      <c r="AV274" s="551"/>
      <c r="AW274" s="551"/>
    </row>
    <row r="275" spans="1:49" ht="18.75" hidden="1" x14ac:dyDescent="0.25">
      <c r="A275" s="1520" t="str">
        <f>IF(COUNTIF('04 - 95% CD'!D275:G275,"Y")&gt;0,"Y",IF(COUNTIF('04 - 95% CD'!D275:G275,"N"),"N",""))</f>
        <v>Y</v>
      </c>
      <c r="B275" s="125"/>
      <c r="C275" s="944"/>
      <c r="D275" s="411"/>
      <c r="E275" s="321"/>
      <c r="F275" s="559" t="str">
        <f>IF('C-Design&amp;Const'!$W275="","",'C-Design&amp;Const'!$W275)</f>
        <v>N</v>
      </c>
      <c r="G275" s="485"/>
      <c r="H275" s="243" t="str">
        <f>CONCATENATE(IF(ISNUMBER(SEARCH("Placeholder",'C-Design&amp;Const'!Z275))=TRUE,"",IF(F275="N","PLACEHOLDER ROW - ","")),'C-Design&amp;Const'!Z275,IF(F275="N","",J275))</f>
        <v xml:space="preserve">PLACEHOLDER ROW - Plumbing Floor Plans and Roof Plan </v>
      </c>
      <c r="I275" s="552"/>
      <c r="K275" s="285" t="str">
        <f t="shared" si="35"/>
        <v>no 95% match</v>
      </c>
      <c r="L275" s="1410" t="str">
        <f t="shared" si="33"/>
        <v>&lt;---PM/Planner may hide PLACEHOLDER ROW</v>
      </c>
      <c r="M275" s="1333"/>
      <c r="N275" s="1333"/>
      <c r="O275" s="1333"/>
      <c r="P275" s="1333"/>
      <c r="Q275" s="1333"/>
      <c r="R275" s="1453"/>
      <c r="S275" s="1364"/>
      <c r="T275" s="1404"/>
      <c r="U275" s="1333"/>
      <c r="V275" s="1333"/>
      <c r="W275" s="1333"/>
      <c r="X275" s="1333"/>
      <c r="Y275" s="1333"/>
      <c r="Z275" s="1333"/>
      <c r="AA275" s="1333"/>
      <c r="AB275" s="1333"/>
      <c r="AC275" s="1333"/>
      <c r="AD275" s="1333"/>
      <c r="AE275" s="1333"/>
      <c r="AF275" s="1333"/>
      <c r="AG275" s="1333"/>
      <c r="AH275" s="1333"/>
      <c r="AI275" s="1333"/>
      <c r="AJ275" s="1333"/>
    </row>
    <row r="276" spans="1:49" ht="18.75" hidden="1" x14ac:dyDescent="0.25">
      <c r="A276" s="1520" t="str">
        <f>IF(COUNTIF('04 - 95% CD'!D276:G276,"Y")&gt;0,"Y",IF(COUNTIF('04 - 95% CD'!D276:G276,"N"),"N",""))</f>
        <v>Y</v>
      </c>
      <c r="B276" s="125"/>
      <c r="C276" s="944"/>
      <c r="D276" s="411"/>
      <c r="E276" s="321"/>
      <c r="F276" s="559" t="str">
        <f>IF('C-Design&amp;Const'!$W276="","",'C-Design&amp;Const'!$W276)</f>
        <v>N</v>
      </c>
      <c r="G276" s="485"/>
      <c r="H276" s="243" t="str">
        <f>CONCATENATE(IF(ISNUMBER(SEARCH("Placeholder",'C-Design&amp;Const'!Z276))=TRUE,"",IF(F276="N","PLACEHOLDER ROW - ","")),'C-Design&amp;Const'!Z276,IF(F276="N","",J276))</f>
        <v xml:space="preserve">PLACEHOLDER ROW - Plumbing Sanitary, Vent, Storm, Water Riser Diagram </v>
      </c>
      <c r="I276" s="552"/>
      <c r="K276" s="285" t="str">
        <f t="shared" si="35"/>
        <v>no 95% match</v>
      </c>
      <c r="L276" s="1410" t="str">
        <f t="shared" si="33"/>
        <v>&lt;---PM/Planner may hide PLACEHOLDER ROW</v>
      </c>
      <c r="M276" s="1333"/>
      <c r="N276" s="1333"/>
      <c r="O276" s="1333"/>
      <c r="P276" s="1333"/>
      <c r="Q276" s="1333"/>
      <c r="R276" s="1453"/>
      <c r="S276" s="1364"/>
      <c r="T276" s="1404"/>
      <c r="U276" s="1333"/>
      <c r="V276" s="1333"/>
      <c r="W276" s="1333"/>
      <c r="X276" s="1333"/>
      <c r="Y276" s="1333"/>
      <c r="Z276" s="1333"/>
      <c r="AA276" s="1333"/>
      <c r="AB276" s="1333"/>
      <c r="AC276" s="1333"/>
      <c r="AD276" s="1333"/>
      <c r="AE276" s="1333"/>
      <c r="AF276" s="1333"/>
      <c r="AG276" s="1333"/>
      <c r="AH276" s="1333"/>
      <c r="AI276" s="1333"/>
      <c r="AJ276" s="1333"/>
    </row>
    <row r="277" spans="1:49" ht="18.75" hidden="1" x14ac:dyDescent="0.25">
      <c r="A277" s="1520" t="str">
        <f>IF(COUNTIF('04 - 95% CD'!D277:G277,"Y")&gt;0,"Y",IF(COUNTIF('04 - 95% CD'!D277:G277,"N"),"N",""))</f>
        <v>Y</v>
      </c>
      <c r="B277" s="125"/>
      <c r="C277" s="944"/>
      <c r="D277" s="411"/>
      <c r="E277" s="321"/>
      <c r="F277" s="559" t="str">
        <f>IF('C-Design&amp;Const'!$W277="","",'C-Design&amp;Const'!$W277)</f>
        <v>N</v>
      </c>
      <c r="G277" s="485"/>
      <c r="H277" s="243" t="str">
        <f>CONCATENATE(IF(ISNUMBER(SEARCH("Placeholder",'C-Design&amp;Const'!Z277))=TRUE,"",IF(F277="N","PLACEHOLDER ROW - ","")),'C-Design&amp;Const'!Z277,IF(F277="N","",J277))</f>
        <v xml:space="preserve">PLACEHOLDER ROW - Plumbing Details and Sections </v>
      </c>
      <c r="I277" s="552"/>
      <c r="K277" s="285" t="str">
        <f t="shared" si="35"/>
        <v>no 95% match</v>
      </c>
      <c r="L277" s="1410" t="str">
        <f t="shared" si="33"/>
        <v>&lt;---PM/Planner may hide PLACEHOLDER ROW</v>
      </c>
      <c r="M277" s="1333"/>
      <c r="N277" s="1333"/>
      <c r="O277" s="1333"/>
      <c r="P277" s="1333"/>
      <c r="Q277" s="1333"/>
      <c r="R277" s="1284"/>
      <c r="S277" s="1513"/>
      <c r="T277" s="1404"/>
      <c r="U277" s="1333"/>
      <c r="V277" s="1333"/>
      <c r="W277" s="1333"/>
      <c r="X277" s="1333"/>
      <c r="Y277" s="1333"/>
      <c r="Z277" s="1333"/>
      <c r="AA277" s="1333"/>
      <c r="AB277" s="1333"/>
      <c r="AC277" s="1333"/>
      <c r="AD277" s="1333"/>
      <c r="AE277" s="1333"/>
      <c r="AF277" s="1333"/>
      <c r="AG277" s="1333"/>
      <c r="AH277" s="1333"/>
      <c r="AI277" s="1333"/>
      <c r="AJ277" s="1333"/>
    </row>
    <row r="278" spans="1:49" ht="18.75" hidden="1" x14ac:dyDescent="0.25">
      <c r="A278" s="1520" t="str">
        <f>IF(COUNTIF('04 - 95% CD'!D278:G278,"Y")&gt;0,"Y",IF(COUNTIF('04 - 95% CD'!D278:G278,"N"),"N",""))</f>
        <v>Y</v>
      </c>
      <c r="B278" s="125"/>
      <c r="C278" s="944"/>
      <c r="D278" s="411"/>
      <c r="E278" s="321"/>
      <c r="F278" s="559" t="str">
        <f>IF('C-Design&amp;Const'!$W278="","",'C-Design&amp;Const'!$W278)</f>
        <v>N</v>
      </c>
      <c r="G278" s="485"/>
      <c r="H278" s="243" t="str">
        <f>CONCATENATE(IF(ISNUMBER(SEARCH("Placeholder",'C-Design&amp;Const'!Z278))=TRUE,"",IF(F278="N","PLACEHOLDER ROW - ","")),'C-Design&amp;Const'!Z278,IF(F278="N","",J278))</f>
        <v xml:space="preserve">PLACEHOLDER ROW - Plumbing Fixture Schedule </v>
      </c>
      <c r="I278" s="552"/>
      <c r="K278" s="285" t="str">
        <f t="shared" si="35"/>
        <v>no 95% match</v>
      </c>
      <c r="L278" s="1410" t="str">
        <f t="shared" si="33"/>
        <v>&lt;---PM/Planner may hide PLACEHOLDER ROW</v>
      </c>
      <c r="M278" s="1333"/>
      <c r="N278" s="1333"/>
      <c r="O278" s="1333"/>
      <c r="P278" s="1333"/>
      <c r="Q278" s="1333"/>
      <c r="R278" s="1453"/>
      <c r="S278" s="1449"/>
      <c r="T278" s="1404"/>
      <c r="U278" s="1333"/>
      <c r="V278" s="1333"/>
      <c r="W278" s="1333"/>
      <c r="X278" s="1333"/>
      <c r="Y278" s="1333"/>
      <c r="Z278" s="1333"/>
      <c r="AA278" s="1333"/>
      <c r="AB278" s="1333"/>
      <c r="AC278" s="1333"/>
      <c r="AD278" s="1333"/>
      <c r="AE278" s="1333"/>
      <c r="AF278" s="1333"/>
      <c r="AG278" s="1333"/>
      <c r="AH278" s="1333"/>
      <c r="AI278" s="1333"/>
      <c r="AJ278" s="1333"/>
    </row>
    <row r="279" spans="1:49" ht="18.75" hidden="1" x14ac:dyDescent="0.25">
      <c r="A279" s="1407" t="str">
        <f>IF(COUNTIF('04 - 95% CD'!D279:G279,"Y")&gt;0,"Y",IF(COUNTIF('04 - 95% CD'!D279:G279,"N"),"N",""))</f>
        <v>Y</v>
      </c>
      <c r="B279" s="125"/>
      <c r="C279" s="944"/>
      <c r="D279" s="411"/>
      <c r="E279" s="559" t="str">
        <f>IF('C-Design&amp;Const'!$W279="","",'C-Design&amp;Const'!$W279)</f>
        <v>N</v>
      </c>
      <c r="F279" s="478"/>
      <c r="G279" s="485"/>
      <c r="H279" s="244" t="str">
        <f>CONCATENATE(IF(ISNUMBER(SEARCH("Placeholder",'C-Design&amp;Const'!Z279))=TRUE,"",IF(E279="N","PLACEHOLDER ROW - ","")),'C-Design&amp;Const'!Z279,IF(E279="N","",J279))</f>
        <v>PLACEHOLDER ROW - Fire Protection / Fire Suppression Drawings</v>
      </c>
      <c r="I279" s="552"/>
      <c r="K279" s="285" t="str">
        <f t="shared" si="35"/>
        <v>no 95% match</v>
      </c>
      <c r="L279" s="1410" t="str">
        <f t="shared" si="33"/>
        <v>&lt;---PM/Planner may hide PLACEHOLDER ROW</v>
      </c>
      <c r="M279" s="1333"/>
      <c r="N279" s="1333"/>
      <c r="O279" s="1333"/>
      <c r="P279" s="1333"/>
      <c r="Q279" s="1333"/>
      <c r="R279" s="1453"/>
      <c r="S279" s="1449"/>
      <c r="T279" s="1404"/>
      <c r="U279" s="1333"/>
      <c r="V279" s="1333"/>
      <c r="W279" s="1333"/>
      <c r="X279" s="1333"/>
      <c r="Y279" s="1333"/>
      <c r="Z279" s="1333"/>
      <c r="AA279" s="1333"/>
      <c r="AB279" s="1333"/>
      <c r="AC279" s="1333"/>
      <c r="AD279" s="1333"/>
      <c r="AE279" s="1333"/>
      <c r="AF279" s="1333"/>
      <c r="AG279" s="1333"/>
      <c r="AH279" s="1333"/>
      <c r="AI279" s="1333"/>
      <c r="AJ279" s="1333"/>
    </row>
    <row r="280" spans="1:49" s="30" customFormat="1" ht="18.75" hidden="1" x14ac:dyDescent="0.25">
      <c r="A280" s="1517" t="str">
        <f>IF(COUNTIF('04 - 95% CD'!D281:G281,"Y")&gt;0,"Y",IF(COUNTIF('04 - 95% CD'!D281:G281,"N"),"N",""))</f>
        <v>N</v>
      </c>
      <c r="B280" s="191"/>
      <c r="C280" s="944"/>
      <c r="D280" s="463"/>
      <c r="E280" s="463"/>
      <c r="F280" s="359" t="str">
        <f>IF('C-Design&amp;Const'!$W280="","",'C-Design&amp;Const'!$W280)</f>
        <v>N</v>
      </c>
      <c r="G280" s="291"/>
      <c r="H280" s="469" t="str">
        <f>CONCATENATE(IF(ISNUMBER(SEARCH("Placeholder",'C-Design&amp;Const'!Z280))=TRUE,"",IF(F280="N","PLACEHOLDER ROW - ","")),'C-Design&amp;Const'!Z280,IF(F280="N","",J280))</f>
        <v xml:space="preserve">PLACEHOLDER ROW - CUSTOM - Fire Suppression  </v>
      </c>
      <c r="I280" s="552"/>
      <c r="J280" s="181"/>
      <c r="K280" s="285" t="str">
        <f t="shared" ref="K280:K281" si="37">IF((COUNTIF(D280:F280,"Y")=COUNTIF(A280,"Y")),"match","no 95% match")</f>
        <v>match</v>
      </c>
      <c r="L280" s="1410" t="str">
        <f t="shared" si="33"/>
        <v>&lt;---PM/Planner may hide PLACEHOLDER ROW</v>
      </c>
      <c r="M280" s="1333"/>
      <c r="N280" s="1382"/>
      <c r="O280" s="1382"/>
      <c r="P280" s="1382"/>
      <c r="Q280" s="1382"/>
      <c r="R280" s="1382"/>
      <c r="S280" s="1382"/>
      <c r="T280" s="1382"/>
      <c r="U280" s="1382"/>
      <c r="V280" s="1382"/>
      <c r="W280" s="1382"/>
      <c r="X280" s="1382"/>
      <c r="Y280" s="1382"/>
      <c r="Z280" s="1382"/>
      <c r="AA280" s="1382"/>
      <c r="AB280" s="1382"/>
      <c r="AC280" s="1382"/>
      <c r="AD280" s="1382"/>
      <c r="AE280" s="1382"/>
      <c r="AF280" s="1382"/>
      <c r="AG280" s="1382"/>
      <c r="AH280" s="1382"/>
      <c r="AI280" s="1382"/>
      <c r="AJ280" s="1382"/>
      <c r="AK280" s="181"/>
      <c r="AL280" s="181"/>
      <c r="AM280" s="181"/>
      <c r="AN280" s="181"/>
      <c r="AO280" s="181"/>
      <c r="AP280" s="181"/>
      <c r="AQ280" s="181"/>
      <c r="AR280" s="181"/>
      <c r="AS280" s="181"/>
      <c r="AT280" s="181"/>
      <c r="AU280" s="181"/>
      <c r="AV280" s="181"/>
      <c r="AW280" s="181"/>
    </row>
    <row r="281" spans="1:49" s="30" customFormat="1" ht="18.75" hidden="1" x14ac:dyDescent="0.25">
      <c r="A281" s="1517" t="str">
        <f>IF(COUNTIF('04 - 95% CD'!D282:G282,"Y")&gt;0,"Y",IF(COUNTIF('04 - 95% CD'!D282:G282,"N"),"N",""))</f>
        <v>Y</v>
      </c>
      <c r="B281" s="191"/>
      <c r="C281" s="944"/>
      <c r="D281" s="463"/>
      <c r="E281" s="463"/>
      <c r="F281" s="359" t="str">
        <f>IF('C-Design&amp;Const'!$W281="","",'C-Design&amp;Const'!$W281)</f>
        <v>N</v>
      </c>
      <c r="G281" s="291"/>
      <c r="H281" s="469" t="str">
        <f>CONCATENATE(IF(ISNUMBER(SEARCH("Placeholder",'C-Design&amp;Const'!Z281))=TRUE,"",IF(F281="N","PLACEHOLDER ROW - ","")),'C-Design&amp;Const'!Z281,IF(F281="N","",J281))</f>
        <v xml:space="preserve">PLACEHOLDER ROW - CUSTOM - Fire Suppression  </v>
      </c>
      <c r="I281" s="552"/>
      <c r="J281" s="181"/>
      <c r="K281" s="285" t="str">
        <f t="shared" si="37"/>
        <v>no 95% match</v>
      </c>
      <c r="L281" s="1410" t="str">
        <f t="shared" si="33"/>
        <v>&lt;---PM/Planner may hide PLACEHOLDER ROW</v>
      </c>
      <c r="M281" s="1333"/>
      <c r="N281" s="1382"/>
      <c r="O281" s="1382"/>
      <c r="P281" s="1382"/>
      <c r="Q281" s="1382"/>
      <c r="R281" s="1382"/>
      <c r="S281" s="1382"/>
      <c r="T281" s="1382"/>
      <c r="U281" s="1382"/>
      <c r="V281" s="1382"/>
      <c r="W281" s="1382"/>
      <c r="X281" s="1382"/>
      <c r="Y281" s="1382"/>
      <c r="Z281" s="1382"/>
      <c r="AA281" s="1382"/>
      <c r="AB281" s="1382"/>
      <c r="AC281" s="1382"/>
      <c r="AD281" s="1382"/>
      <c r="AE281" s="1382"/>
      <c r="AF281" s="1382"/>
      <c r="AG281" s="1382"/>
      <c r="AH281" s="1382"/>
      <c r="AI281" s="1382"/>
      <c r="AJ281" s="1382"/>
      <c r="AK281" s="181"/>
      <c r="AL281" s="181"/>
      <c r="AM281" s="181"/>
      <c r="AN281" s="181"/>
      <c r="AO281" s="181"/>
      <c r="AP281" s="181"/>
      <c r="AQ281" s="181"/>
      <c r="AR281" s="181"/>
      <c r="AS281" s="181"/>
      <c r="AT281" s="181"/>
      <c r="AU281" s="181"/>
      <c r="AV281" s="181"/>
      <c r="AW281" s="181"/>
    </row>
    <row r="282" spans="1:49" ht="18.75" hidden="1" x14ac:dyDescent="0.25">
      <c r="A282" s="1520" t="str">
        <f>IF(COUNTIF('04 - 95% CD'!D282:G282,"Y")&gt;0,"Y",IF(COUNTIF('04 - 95% CD'!D282:G282,"N"),"N",""))</f>
        <v>Y</v>
      </c>
      <c r="B282" s="125"/>
      <c r="C282" s="944"/>
      <c r="D282" s="411"/>
      <c r="E282" s="321"/>
      <c r="F282" s="559" t="str">
        <f>IF('C-Design&amp;Const'!$W282="","",'C-Design&amp;Const'!$W282)</f>
        <v>N</v>
      </c>
      <c r="G282" s="485"/>
      <c r="H282" s="243" t="str">
        <f>CONCATENATE(IF(ISNUMBER(SEARCH("Placeholder",'C-Design&amp;Const'!Z282))=TRUE,"",IF(F282="N","PLACEHOLDER ROW - ","")),'C-Design&amp;Const'!Z282,IF(F282="N","",J282))</f>
        <v xml:space="preserve">PLACEHOLDER ROW - Sprinkler System Symbols, Abbreviations, and General Notes </v>
      </c>
      <c r="I282" s="552"/>
      <c r="K282" s="285" t="str">
        <f t="shared" si="35"/>
        <v>no 95% match</v>
      </c>
      <c r="L282" s="1410" t="str">
        <f t="shared" si="33"/>
        <v>&lt;---PM/Planner may hide PLACEHOLDER ROW</v>
      </c>
      <c r="M282" s="1333"/>
      <c r="N282" s="1333"/>
      <c r="O282" s="1333"/>
      <c r="P282" s="1333"/>
      <c r="Q282" s="1333"/>
      <c r="R282" s="1453"/>
      <c r="S282" s="1449"/>
      <c r="T282" s="1404"/>
      <c r="U282" s="1333"/>
      <c r="V282" s="1333"/>
      <c r="W282" s="1333"/>
      <c r="X282" s="1333"/>
      <c r="Y282" s="1333"/>
      <c r="Z282" s="1333"/>
      <c r="AA282" s="1333"/>
      <c r="AB282" s="1333"/>
      <c r="AC282" s="1333"/>
      <c r="AD282" s="1333"/>
      <c r="AE282" s="1333"/>
      <c r="AF282" s="1333"/>
      <c r="AG282" s="1333"/>
      <c r="AH282" s="1333"/>
      <c r="AI282" s="1333"/>
      <c r="AJ282" s="1333"/>
    </row>
    <row r="283" spans="1:49" s="545" customFormat="1" ht="15" hidden="1" customHeight="1" x14ac:dyDescent="0.25">
      <c r="A283" s="1517" t="str">
        <f>IF(COUNTIF('04 - 95% CD'!D283:G283,"Y")&gt;0,"Y",IF(COUNTIF('04 - 95% CD'!D283:G283,"N"),"N",""))</f>
        <v>Y</v>
      </c>
      <c r="B283" s="554"/>
      <c r="C283" s="944"/>
      <c r="D283" s="463"/>
      <c r="E283" s="463"/>
      <c r="F283" s="359" t="str">
        <f>IF('C-Design&amp;Const'!$W283="","",'C-Design&amp;Const'!$W283)</f>
        <v>N</v>
      </c>
      <c r="G283" s="291"/>
      <c r="H283" s="469" t="str">
        <f>CONCATENATE(IF(ISNUMBER(SEARCH("Placeholder",'C-Design&amp;Const'!Z283))=TRUE,"",IF(F283="N","PLACEHOLDER ROW - ","")),'C-Design&amp;Const'!Z283,IF(F283="N","",J283))</f>
        <v xml:space="preserve">PLACEHOLDER ROW - Sprinkler System Demolition(s) </v>
      </c>
      <c r="I283" s="552"/>
      <c r="J283" s="551"/>
      <c r="K283" s="285" t="str">
        <f t="shared" ref="K283" si="38">IF((COUNTIF(D283:F283,"Y")=COUNTIF(A283,"Y")),"match","no 95% match")</f>
        <v>no 95% match</v>
      </c>
      <c r="L283" s="1410" t="str">
        <f t="shared" si="33"/>
        <v>&lt;---PM/Planner may hide PLACEHOLDER ROW</v>
      </c>
      <c r="M283" s="1333"/>
      <c r="N283" s="1382"/>
      <c r="O283" s="1382"/>
      <c r="P283" s="1382"/>
      <c r="Q283" s="1382"/>
      <c r="R283" s="1382"/>
      <c r="S283" s="1382"/>
      <c r="T283" s="1382"/>
      <c r="U283" s="1382"/>
      <c r="V283" s="1382"/>
      <c r="W283" s="1382"/>
      <c r="X283" s="1382"/>
      <c r="Y283" s="1382"/>
      <c r="Z283" s="1382"/>
      <c r="AA283" s="1382"/>
      <c r="AB283" s="1382"/>
      <c r="AC283" s="1382"/>
      <c r="AD283" s="1382"/>
      <c r="AE283" s="1382"/>
      <c r="AF283" s="1382"/>
      <c r="AG283" s="1382"/>
      <c r="AH283" s="1382"/>
      <c r="AI283" s="1382"/>
      <c r="AJ283" s="1382"/>
      <c r="AK283" s="551"/>
      <c r="AL283" s="551"/>
      <c r="AM283" s="551"/>
      <c r="AN283" s="551"/>
      <c r="AO283" s="551"/>
      <c r="AP283" s="551"/>
      <c r="AQ283" s="551"/>
      <c r="AR283" s="551"/>
      <c r="AS283" s="551"/>
      <c r="AT283" s="551"/>
      <c r="AU283" s="551"/>
      <c r="AV283" s="551"/>
      <c r="AW283" s="551"/>
    </row>
    <row r="284" spans="1:49" ht="18.75" hidden="1" x14ac:dyDescent="0.25">
      <c r="A284" s="1520" t="str">
        <f>IF(COUNTIF('04 - 95% CD'!D284:G284,"Y")&gt;0,"Y",IF(COUNTIF('04 - 95% CD'!D284:G284,"N"),"N",""))</f>
        <v>Y</v>
      </c>
      <c r="B284" s="125"/>
      <c r="C284" s="944"/>
      <c r="D284" s="411"/>
      <c r="E284" s="321"/>
      <c r="F284" s="559" t="str">
        <f>IF('C-Design&amp;Const'!$W284="","",'C-Design&amp;Const'!$W284)</f>
        <v>N</v>
      </c>
      <c r="G284" s="485"/>
      <c r="H284" s="243" t="str">
        <f>CONCATENATE(IF(ISNUMBER(SEARCH("Placeholder",'C-Design&amp;Const'!Z284))=TRUE,"",IF(F284="N","PLACEHOLDER ROW - ","")),'C-Design&amp;Const'!Z284,IF(F284="N","",J284))</f>
        <v xml:space="preserve">PLACEHOLDER ROW - Sprinkler System Floor Plans </v>
      </c>
      <c r="I284" s="552"/>
      <c r="K284" s="285" t="str">
        <f t="shared" si="35"/>
        <v>no 95% match</v>
      </c>
      <c r="L284" s="1410" t="str">
        <f t="shared" si="33"/>
        <v>&lt;---PM/Planner may hide PLACEHOLDER ROW</v>
      </c>
      <c r="M284" s="1333"/>
      <c r="N284" s="1333"/>
      <c r="O284" s="1333"/>
      <c r="P284" s="1333"/>
      <c r="Q284" s="1333"/>
      <c r="R284" s="1453"/>
      <c r="S284" s="1449"/>
      <c r="T284" s="1404"/>
      <c r="U284" s="1333"/>
      <c r="V284" s="1333"/>
      <c r="W284" s="1333"/>
      <c r="X284" s="1333"/>
      <c r="Y284" s="1333"/>
      <c r="Z284" s="1333"/>
      <c r="AA284" s="1333"/>
      <c r="AB284" s="1333"/>
      <c r="AC284" s="1333"/>
      <c r="AD284" s="1333"/>
      <c r="AE284" s="1333"/>
      <c r="AF284" s="1333"/>
      <c r="AG284" s="1333"/>
      <c r="AH284" s="1333"/>
      <c r="AI284" s="1333"/>
      <c r="AJ284" s="1333"/>
    </row>
    <row r="285" spans="1:49" ht="18.75" hidden="1" x14ac:dyDescent="0.25">
      <c r="A285" s="1520" t="str">
        <f>IF(COUNTIF('04 - 95% CD'!D285:G285,"Y")&gt;0,"Y",IF(COUNTIF('04 - 95% CD'!D285:G285,"N"),"N",""))</f>
        <v>Y</v>
      </c>
      <c r="B285" s="125"/>
      <c r="C285" s="944"/>
      <c r="D285" s="411"/>
      <c r="E285" s="321"/>
      <c r="F285" s="559" t="str">
        <f>IF('C-Design&amp;Const'!$W285="","",'C-Design&amp;Const'!$W285)</f>
        <v>N</v>
      </c>
      <c r="G285" s="485"/>
      <c r="H285" s="243" t="str">
        <f>CONCATENATE(IF(ISNUMBER(SEARCH("Placeholder",'C-Design&amp;Const'!Z285))=TRUE,"",IF(F285="N","PLACEHOLDER ROW - ","")),'C-Design&amp;Const'!Z285,IF(F285="N","",J285))</f>
        <v xml:space="preserve">PLACEHOLDER ROW - Sprinkler System Flow and Riser Diagrams </v>
      </c>
      <c r="I285" s="552"/>
      <c r="K285" s="285" t="str">
        <f t="shared" si="35"/>
        <v>no 95% match</v>
      </c>
      <c r="L285" s="1410" t="str">
        <f t="shared" si="33"/>
        <v>&lt;---PM/Planner may hide PLACEHOLDER ROW</v>
      </c>
      <c r="M285" s="1333"/>
      <c r="N285" s="1333"/>
      <c r="O285" s="1333"/>
      <c r="P285" s="1333"/>
      <c r="Q285" s="1333"/>
      <c r="R285" s="1284"/>
      <c r="S285" s="1513"/>
      <c r="T285" s="1404"/>
      <c r="U285" s="1333"/>
      <c r="V285" s="1333"/>
      <c r="W285" s="1333"/>
      <c r="X285" s="1333"/>
      <c r="Y285" s="1333"/>
      <c r="Z285" s="1333"/>
      <c r="AA285" s="1333"/>
      <c r="AB285" s="1333"/>
      <c r="AC285" s="1333"/>
      <c r="AD285" s="1333"/>
      <c r="AE285" s="1333"/>
      <c r="AF285" s="1333"/>
      <c r="AG285" s="1333"/>
      <c r="AH285" s="1333"/>
      <c r="AI285" s="1333"/>
      <c r="AJ285" s="1333"/>
    </row>
    <row r="286" spans="1:49" ht="18.75" hidden="1" x14ac:dyDescent="0.25">
      <c r="A286" s="1520" t="str">
        <f>IF(COUNTIF('04 - 95% CD'!D286:G286,"Y")&gt;0,"Y",IF(COUNTIF('04 - 95% CD'!D286:G286,"N"),"N",""))</f>
        <v>Y</v>
      </c>
      <c r="B286" s="125"/>
      <c r="C286" s="944"/>
      <c r="D286" s="411"/>
      <c r="E286" s="321"/>
      <c r="F286" s="559" t="str">
        <f>IF('C-Design&amp;Const'!$W286="","",'C-Design&amp;Const'!$W286)</f>
        <v>N</v>
      </c>
      <c r="G286" s="485"/>
      <c r="H286" s="243" t="str">
        <f>CONCATENATE(IF(ISNUMBER(SEARCH("Placeholder",'C-Design&amp;Const'!Z286))=TRUE,"",IF(F286="N","PLACEHOLDER ROW - ","")),'C-Design&amp;Const'!Z286,IF(F286="N","",J286))</f>
        <v xml:space="preserve">PLACEHOLDER ROW - Sprinkler/Fire Pump Room Large Scale Plan </v>
      </c>
      <c r="I286" s="552"/>
      <c r="K286" s="285" t="str">
        <f t="shared" si="35"/>
        <v>no 95% match</v>
      </c>
      <c r="L286" s="1410" t="str">
        <f t="shared" si="33"/>
        <v>&lt;---PM/Planner may hide PLACEHOLDER ROW</v>
      </c>
      <c r="M286" s="1333"/>
      <c r="N286" s="1333"/>
      <c r="O286" s="1333"/>
      <c r="P286" s="1333"/>
      <c r="Q286" s="1333"/>
      <c r="R286" s="1453"/>
      <c r="S286" s="1364"/>
      <c r="T286" s="1404"/>
      <c r="U286" s="1333"/>
      <c r="V286" s="1333"/>
      <c r="W286" s="1333"/>
      <c r="X286" s="1333"/>
      <c r="Y286" s="1333"/>
      <c r="Z286" s="1333"/>
      <c r="AA286" s="1333"/>
      <c r="AB286" s="1333"/>
      <c r="AC286" s="1333"/>
      <c r="AD286" s="1333"/>
      <c r="AE286" s="1333"/>
      <c r="AF286" s="1333"/>
      <c r="AG286" s="1333"/>
      <c r="AH286" s="1333"/>
      <c r="AI286" s="1333"/>
      <c r="AJ286" s="1333"/>
    </row>
    <row r="287" spans="1:49" ht="18.75" hidden="1" x14ac:dyDescent="0.25">
      <c r="A287" s="1520" t="str">
        <f>IF(COUNTIF('04 - 95% CD'!D287:G287,"Y")&gt;0,"Y",IF(COUNTIF('04 - 95% CD'!D287:G287,"N"),"N",""))</f>
        <v>Y</v>
      </c>
      <c r="B287" s="125"/>
      <c r="C287" s="944"/>
      <c r="D287" s="411"/>
      <c r="E287" s="321"/>
      <c r="F287" s="559" t="str">
        <f>IF('C-Design&amp;Const'!$W287="","",'C-Design&amp;Const'!$W287)</f>
        <v>N</v>
      </c>
      <c r="G287" s="485"/>
      <c r="H287" s="243" t="str">
        <f>CONCATENATE(IF(ISNUMBER(SEARCH("Placeholder",'C-Design&amp;Const'!Z287))=TRUE,"",IF(F287="N","PLACEHOLDER ROW - ","")),'C-Design&amp;Const'!Z287,IF(F287="N","",J287))</f>
        <v xml:space="preserve">PLACEHOLDER ROW - Sprinkler System Equipment Schedule </v>
      </c>
      <c r="I287" s="552"/>
      <c r="K287" s="285" t="str">
        <f t="shared" si="35"/>
        <v>no 95% match</v>
      </c>
      <c r="L287" s="1410" t="str">
        <f t="shared" si="33"/>
        <v>&lt;---PM/Planner may hide PLACEHOLDER ROW</v>
      </c>
      <c r="M287" s="1333"/>
      <c r="N287" s="1333"/>
      <c r="O287" s="1333"/>
      <c r="P287" s="1333"/>
      <c r="Q287" s="1333"/>
      <c r="R287" s="1453"/>
      <c r="S287" s="1364"/>
      <c r="T287" s="1404"/>
      <c r="U287" s="1333"/>
      <c r="V287" s="1333"/>
      <c r="W287" s="1333"/>
      <c r="X287" s="1333"/>
      <c r="Y287" s="1333"/>
      <c r="Z287" s="1333"/>
      <c r="AA287" s="1333"/>
      <c r="AB287" s="1333"/>
      <c r="AC287" s="1333"/>
      <c r="AD287" s="1333"/>
      <c r="AE287" s="1333"/>
      <c r="AF287" s="1333"/>
      <c r="AG287" s="1333"/>
      <c r="AH287" s="1333"/>
      <c r="AI287" s="1333"/>
      <c r="AJ287" s="1333"/>
    </row>
    <row r="288" spans="1:49" ht="18.75" hidden="1" x14ac:dyDescent="0.25">
      <c r="A288" s="1520" t="str">
        <f>IF(COUNTIF('04 - 95% CD'!D288:G288,"Y")&gt;0,"Y",IF(COUNTIF('04 - 95% CD'!D288:G288,"N"),"N",""))</f>
        <v>Y</v>
      </c>
      <c r="B288" s="125"/>
      <c r="C288" s="944"/>
      <c r="D288" s="411"/>
      <c r="E288" s="321"/>
      <c r="F288" s="559" t="str">
        <f>IF('C-Design&amp;Const'!$W288="","",'C-Design&amp;Const'!$W288)</f>
        <v>N</v>
      </c>
      <c r="G288" s="485"/>
      <c r="H288" s="243" t="str">
        <f>CONCATENATE(IF(ISNUMBER(SEARCH("Placeholder",'C-Design&amp;Const'!Z288))=TRUE,"",IF(F288="N","PLACEHOLDER ROW - ","")),'C-Design&amp;Const'!Z288,IF(F288="N","",J288))</f>
        <v xml:space="preserve">PLACEHOLDER ROW - Sprinkler System Details and Sections </v>
      </c>
      <c r="I288" s="552"/>
      <c r="K288" s="285" t="str">
        <f t="shared" si="35"/>
        <v>no 95% match</v>
      </c>
      <c r="L288" s="1410" t="str">
        <f t="shared" si="33"/>
        <v>&lt;---PM/Planner may hide PLACEHOLDER ROW</v>
      </c>
      <c r="M288" s="1333"/>
      <c r="N288" s="1333"/>
      <c r="O288" s="1333"/>
      <c r="P288" s="1333"/>
      <c r="Q288" s="1333"/>
      <c r="R288" s="1453"/>
      <c r="S288" s="1364"/>
      <c r="T288" s="1404"/>
      <c r="U288" s="1333"/>
      <c r="V288" s="1333"/>
      <c r="W288" s="1333"/>
      <c r="X288" s="1333"/>
      <c r="Y288" s="1333"/>
      <c r="Z288" s="1333"/>
      <c r="AA288" s="1333"/>
      <c r="AB288" s="1333"/>
      <c r="AC288" s="1333"/>
      <c r="AD288" s="1333"/>
      <c r="AE288" s="1333"/>
      <c r="AF288" s="1333"/>
      <c r="AG288" s="1333"/>
      <c r="AH288" s="1333"/>
      <c r="AI288" s="1333"/>
      <c r="AJ288" s="1333"/>
    </row>
    <row r="289" spans="1:49" ht="18.75" hidden="1" x14ac:dyDescent="0.25">
      <c r="A289" s="1407" t="str">
        <f>IF(COUNTIF('04 - 95% CD'!D289:G289,"Y")&gt;0,"Y",IF(COUNTIF('04 - 95% CD'!D289:G289,"N"),"N",""))</f>
        <v>Y</v>
      </c>
      <c r="B289" s="125"/>
      <c r="C289" s="944"/>
      <c r="D289" s="411"/>
      <c r="E289" s="559" t="str">
        <f>IF('C-Design&amp;Const'!$W289="","",'C-Design&amp;Const'!$W289)</f>
        <v>N</v>
      </c>
      <c r="F289" s="478"/>
      <c r="G289" s="485"/>
      <c r="H289" s="244" t="str">
        <f>CONCATENATE(IF(ISNUMBER(SEARCH("Placeholder",'C-Design&amp;Const'!Z289))=TRUE,"",IF(E289="N","PLACEHOLDER ROW - ","")),'C-Design&amp;Const'!Z289,IF(E289="N","",J289))</f>
        <v>PLACEHOLDER ROW - Heating Drawings</v>
      </c>
      <c r="I289" s="552"/>
      <c r="K289" s="285" t="str">
        <f t="shared" si="35"/>
        <v>no 95% match</v>
      </c>
      <c r="L289" s="1410" t="str">
        <f t="shared" si="33"/>
        <v>&lt;---PM/Planner may hide PLACEHOLDER ROW</v>
      </c>
      <c r="M289" s="1333"/>
      <c r="N289" s="1333"/>
      <c r="O289" s="1333"/>
      <c r="P289" s="1333"/>
      <c r="Q289" s="1333"/>
      <c r="R289" s="1453"/>
      <c r="S289" s="1364"/>
      <c r="T289" s="1404"/>
      <c r="U289" s="1333"/>
      <c r="V289" s="1333"/>
      <c r="W289" s="1333"/>
      <c r="X289" s="1333"/>
      <c r="Y289" s="1333"/>
      <c r="Z289" s="1333"/>
      <c r="AA289" s="1333"/>
      <c r="AB289" s="1333"/>
      <c r="AC289" s="1333"/>
      <c r="AD289" s="1333"/>
      <c r="AE289" s="1333"/>
      <c r="AF289" s="1333"/>
      <c r="AG289" s="1333"/>
      <c r="AH289" s="1333"/>
      <c r="AI289" s="1333"/>
      <c r="AJ289" s="1333"/>
    </row>
    <row r="290" spans="1:49" s="30" customFormat="1" ht="18.75" hidden="1" x14ac:dyDescent="0.25">
      <c r="A290" s="1517" t="str">
        <f>IF(COUNTIF('04 - 95% CD'!D291:G291,"Y")&gt;0,"Y",IF(COUNTIF('04 - 95% CD'!D291:G291,"N"),"N",""))</f>
        <v>N</v>
      </c>
      <c r="B290" s="191"/>
      <c r="C290" s="944"/>
      <c r="D290" s="463"/>
      <c r="E290" s="463"/>
      <c r="F290" s="359" t="str">
        <f>IF('C-Design&amp;Const'!$W290="","",'C-Design&amp;Const'!$W290)</f>
        <v>N</v>
      </c>
      <c r="G290" s="291"/>
      <c r="H290" s="469" t="str">
        <f>CONCATENATE(IF(ISNUMBER(SEARCH("Placeholder",'C-Design&amp;Const'!Z290))=TRUE,"",IF(F290="N","PLACEHOLDER ROW - ","")),'C-Design&amp;Const'!Z290,IF(F290="N","",J290))</f>
        <v xml:space="preserve">PLACEHOLDER ROW - CUSTOM - Heating  </v>
      </c>
      <c r="I290" s="552"/>
      <c r="J290" s="181"/>
      <c r="K290" s="285" t="str">
        <f t="shared" si="35"/>
        <v>match</v>
      </c>
      <c r="L290" s="1410" t="str">
        <f t="shared" si="33"/>
        <v>&lt;---PM/Planner may hide PLACEHOLDER ROW</v>
      </c>
      <c r="M290" s="1333"/>
      <c r="N290" s="1382"/>
      <c r="O290" s="1382"/>
      <c r="P290" s="1382"/>
      <c r="Q290" s="1382"/>
      <c r="R290" s="1382"/>
      <c r="S290" s="1382"/>
      <c r="T290" s="1382"/>
      <c r="U290" s="1382"/>
      <c r="V290" s="1382"/>
      <c r="W290" s="1382"/>
      <c r="X290" s="1382"/>
      <c r="Y290" s="1382"/>
      <c r="Z290" s="1382"/>
      <c r="AA290" s="1382"/>
      <c r="AB290" s="1382"/>
      <c r="AC290" s="1382"/>
      <c r="AD290" s="1382"/>
      <c r="AE290" s="1382"/>
      <c r="AF290" s="1382"/>
      <c r="AG290" s="1382"/>
      <c r="AH290" s="1382"/>
      <c r="AI290" s="1382"/>
      <c r="AJ290" s="1382"/>
      <c r="AK290" s="181"/>
      <c r="AL290" s="181"/>
      <c r="AM290" s="181"/>
      <c r="AN290" s="181"/>
      <c r="AO290" s="181"/>
      <c r="AP290" s="181"/>
      <c r="AQ290" s="181"/>
      <c r="AR290" s="181"/>
      <c r="AS290" s="181"/>
      <c r="AT290" s="181"/>
      <c r="AU290" s="181"/>
      <c r="AV290" s="181"/>
      <c r="AW290" s="181"/>
    </row>
    <row r="291" spans="1:49" s="30" customFormat="1" ht="15" hidden="1" customHeight="1" x14ac:dyDescent="0.25">
      <c r="A291" s="1517" t="str">
        <f>IF(COUNTIF('04 - 95% CD'!D292:G292,"Y")&gt;0,"Y",IF(COUNTIF('04 - 95% CD'!D292:G292,"N"),"N",""))</f>
        <v>Y</v>
      </c>
      <c r="B291" s="191"/>
      <c r="C291" s="944"/>
      <c r="D291" s="463"/>
      <c r="E291" s="463"/>
      <c r="F291" s="359" t="str">
        <f>IF('C-Design&amp;Const'!$W291="","",'C-Design&amp;Const'!$W291)</f>
        <v>N</v>
      </c>
      <c r="G291" s="291"/>
      <c r="H291" s="469" t="str">
        <f>CONCATENATE(IF(ISNUMBER(SEARCH("Placeholder",'C-Design&amp;Const'!Z291))=TRUE,"",IF(F291="N","PLACEHOLDER ROW - ","")),'C-Design&amp;Const'!Z291,IF(F291="N","",J291))</f>
        <v xml:space="preserve">PLACEHOLDER ROW - CUSTOM - Heating  </v>
      </c>
      <c r="I291" s="552"/>
      <c r="J291" s="181"/>
      <c r="K291" s="285" t="str">
        <f t="shared" si="35"/>
        <v>no 95% match</v>
      </c>
      <c r="L291" s="1410" t="str">
        <f t="shared" si="33"/>
        <v>&lt;---PM/Planner may hide PLACEHOLDER ROW</v>
      </c>
      <c r="M291" s="1333"/>
      <c r="N291" s="1382"/>
      <c r="O291" s="1382"/>
      <c r="P291" s="1382"/>
      <c r="Q291" s="1382"/>
      <c r="R291" s="1382"/>
      <c r="S291" s="1382"/>
      <c r="T291" s="1382"/>
      <c r="U291" s="1382"/>
      <c r="V291" s="1382"/>
      <c r="W291" s="1382"/>
      <c r="X291" s="1382"/>
      <c r="Y291" s="1382"/>
      <c r="Z291" s="1382"/>
      <c r="AA291" s="1382"/>
      <c r="AB291" s="1382"/>
      <c r="AC291" s="1382"/>
      <c r="AD291" s="1382"/>
      <c r="AE291" s="1382"/>
      <c r="AF291" s="1382"/>
      <c r="AG291" s="1382"/>
      <c r="AH291" s="1382"/>
      <c r="AI291" s="1382"/>
      <c r="AJ291" s="1382"/>
      <c r="AK291" s="181"/>
      <c r="AL291" s="181"/>
      <c r="AM291" s="181"/>
      <c r="AN291" s="181"/>
      <c r="AO291" s="181"/>
      <c r="AP291" s="181"/>
      <c r="AQ291" s="181"/>
      <c r="AR291" s="181"/>
      <c r="AS291" s="181"/>
      <c r="AT291" s="181"/>
      <c r="AU291" s="181"/>
      <c r="AV291" s="181"/>
      <c r="AW291" s="181"/>
    </row>
    <row r="292" spans="1:49" ht="18.75" hidden="1" x14ac:dyDescent="0.25">
      <c r="A292" s="1520" t="str">
        <f>IF(COUNTIF('04 - 95% CD'!D292:G292,"Y")&gt;0,"Y",IF(COUNTIF('04 - 95% CD'!D292:G292,"N"),"N",""))</f>
        <v>Y</v>
      </c>
      <c r="B292" s="125"/>
      <c r="C292" s="944"/>
      <c r="D292" s="411"/>
      <c r="E292" s="321"/>
      <c r="F292" s="559" t="str">
        <f>IF('C-Design&amp;Const'!$W292="","",'C-Design&amp;Const'!$W292)</f>
        <v>N</v>
      </c>
      <c r="G292" s="485"/>
      <c r="H292" s="243" t="str">
        <f>CONCATENATE(IF(ISNUMBER(SEARCH("Placeholder",'C-Design&amp;Const'!Z292))=TRUE,"",IF(F292="N","PLACEHOLDER ROW - ","")),'C-Design&amp;Const'!Z292,IF(F292="N","",J292))</f>
        <v xml:space="preserve">PLACEHOLDER ROW - Heating and A/C Symbols, Abbreviations, and General Notes </v>
      </c>
      <c r="I292" s="552"/>
      <c r="K292" s="285" t="str">
        <f t="shared" si="35"/>
        <v>no 95% match</v>
      </c>
      <c r="L292" s="1410" t="str">
        <f t="shared" si="33"/>
        <v>&lt;---PM/Planner may hide PLACEHOLDER ROW</v>
      </c>
      <c r="M292" s="1333"/>
      <c r="N292" s="1333"/>
      <c r="O292" s="1333"/>
      <c r="P292" s="1333"/>
      <c r="Q292" s="1333"/>
      <c r="R292" s="1453"/>
      <c r="S292" s="1364"/>
      <c r="T292" s="1404"/>
      <c r="U292" s="1333"/>
      <c r="V292" s="1333"/>
      <c r="W292" s="1333"/>
      <c r="X292" s="1333"/>
      <c r="Y292" s="1333"/>
      <c r="Z292" s="1333"/>
      <c r="AA292" s="1333"/>
      <c r="AB292" s="1333"/>
      <c r="AC292" s="1333"/>
      <c r="AD292" s="1333"/>
      <c r="AE292" s="1333"/>
      <c r="AF292" s="1333"/>
      <c r="AG292" s="1333"/>
      <c r="AH292" s="1333"/>
      <c r="AI292" s="1333"/>
      <c r="AJ292" s="1333"/>
    </row>
    <row r="293" spans="1:49" s="545" customFormat="1" ht="15" hidden="1" customHeight="1" x14ac:dyDescent="0.25">
      <c r="A293" s="1517" t="str">
        <f>IF(COUNTIF('04 - 95% CD'!D293:G293,"Y")&gt;0,"Y",IF(COUNTIF('04 - 95% CD'!D293:G293,"N"),"N",""))</f>
        <v>Y</v>
      </c>
      <c r="B293" s="554"/>
      <c r="C293" s="944"/>
      <c r="D293" s="463"/>
      <c r="E293" s="463"/>
      <c r="F293" s="359" t="str">
        <f>IF('C-Design&amp;Const'!$W293="","",'C-Design&amp;Const'!$W293)</f>
        <v>N</v>
      </c>
      <c r="G293" s="291"/>
      <c r="H293" s="469" t="str">
        <f>CONCATENATE(IF(ISNUMBER(SEARCH("Placeholder",'C-Design&amp;Const'!Z293))=TRUE,"",IF(F293="N","PLACEHOLDER ROW - ","")),'C-Design&amp;Const'!Z293,IF(F293="N","",J293))</f>
        <v xml:space="preserve">PLACEHOLDER ROW - Heating and A/C Demolition(s) </v>
      </c>
      <c r="I293" s="552"/>
      <c r="J293" s="551"/>
      <c r="K293" s="285" t="str">
        <f t="shared" si="35"/>
        <v>no 95% match</v>
      </c>
      <c r="L293" s="1410" t="str">
        <f t="shared" ref="L293" si="39">CONCATENATE(IF(ISNUMBER(SEARCH("Placeholder",H293))=TRUE,"&lt;---PM/Planner may hide PLACEHOLDER ROW",""))</f>
        <v>&lt;---PM/Planner may hide PLACEHOLDER ROW</v>
      </c>
      <c r="M293" s="1333"/>
      <c r="N293" s="1382"/>
      <c r="O293" s="1382"/>
      <c r="P293" s="1382"/>
      <c r="Q293" s="1382"/>
      <c r="R293" s="1382"/>
      <c r="S293" s="1382"/>
      <c r="T293" s="1382"/>
      <c r="U293" s="1382"/>
      <c r="V293" s="1382"/>
      <c r="W293" s="1382"/>
      <c r="X293" s="1382"/>
      <c r="Y293" s="1382"/>
      <c r="Z293" s="1382"/>
      <c r="AA293" s="1382"/>
      <c r="AB293" s="1382"/>
      <c r="AC293" s="1382"/>
      <c r="AD293" s="1382"/>
      <c r="AE293" s="1382"/>
      <c r="AF293" s="1382"/>
      <c r="AG293" s="1382"/>
      <c r="AH293" s="1382"/>
      <c r="AI293" s="1382"/>
      <c r="AJ293" s="1382"/>
      <c r="AK293" s="551"/>
      <c r="AL293" s="551"/>
      <c r="AM293" s="551"/>
      <c r="AN293" s="551"/>
      <c r="AO293" s="551"/>
      <c r="AP293" s="551"/>
      <c r="AQ293" s="551"/>
      <c r="AR293" s="551"/>
      <c r="AS293" s="551"/>
      <c r="AT293" s="551"/>
      <c r="AU293" s="551"/>
      <c r="AV293" s="551"/>
      <c r="AW293" s="551"/>
    </row>
    <row r="294" spans="1:49" ht="18.75" hidden="1" x14ac:dyDescent="0.25">
      <c r="A294" s="1520" t="str">
        <f>IF(COUNTIF('04 - 95% CD'!D294:G294,"Y")&gt;0,"Y",IF(COUNTIF('04 - 95% CD'!D294:G294,"N"),"N",""))</f>
        <v>Y</v>
      </c>
      <c r="B294" s="125"/>
      <c r="C294" s="944"/>
      <c r="D294" s="411"/>
      <c r="E294" s="321"/>
      <c r="F294" s="559" t="str">
        <f>IF('C-Design&amp;Const'!$W294="","",'C-Design&amp;Const'!$W294)</f>
        <v>N</v>
      </c>
      <c r="G294" s="485"/>
      <c r="H294" s="243" t="str">
        <f>CONCATENATE(IF(ISNUMBER(SEARCH("Placeholder",'C-Design&amp;Const'!Z294))=TRUE,"",IF(F294="N","PLACEHOLDER ROW - ","")),'C-Design&amp;Const'!Z294,IF(F294="N","",J294))</f>
        <v xml:space="preserve">PLACEHOLDER ROW - Heating and A/C Floor Plans </v>
      </c>
      <c r="I294" s="552"/>
      <c r="K294" s="285" t="str">
        <f t="shared" si="35"/>
        <v>no 95% match</v>
      </c>
      <c r="L294" s="1410" t="str">
        <f t="shared" si="33"/>
        <v>&lt;---PM/Planner may hide PLACEHOLDER ROW</v>
      </c>
      <c r="M294" s="1333"/>
      <c r="N294" s="1333"/>
      <c r="O294" s="1333"/>
      <c r="P294" s="1333"/>
      <c r="Q294" s="1333"/>
      <c r="R294" s="1284"/>
      <c r="S294" s="1513"/>
      <c r="T294" s="1404"/>
      <c r="U294" s="1333"/>
      <c r="V294" s="1333"/>
      <c r="W294" s="1333"/>
      <c r="X294" s="1333"/>
      <c r="Y294" s="1333"/>
      <c r="Z294" s="1333"/>
      <c r="AA294" s="1333"/>
      <c r="AB294" s="1333"/>
      <c r="AC294" s="1333"/>
      <c r="AD294" s="1333"/>
      <c r="AE294" s="1333"/>
      <c r="AF294" s="1333"/>
      <c r="AG294" s="1333"/>
      <c r="AH294" s="1333"/>
      <c r="AI294" s="1333"/>
      <c r="AJ294" s="1333"/>
    </row>
    <row r="295" spans="1:49" ht="18.75" hidden="1" x14ac:dyDescent="0.25">
      <c r="A295" s="1520" t="str">
        <f>IF(COUNTIF('04 - 95% CD'!D295:G295,"Y")&gt;0,"Y",IF(COUNTIF('04 - 95% CD'!D295:G295,"N"),"N",""))</f>
        <v>Y</v>
      </c>
      <c r="B295" s="125"/>
      <c r="C295" s="944"/>
      <c r="D295" s="411"/>
      <c r="E295" s="321"/>
      <c r="F295" s="559" t="str">
        <f>IF('C-Design&amp;Const'!$W295="","",'C-Design&amp;Const'!$W295)</f>
        <v>N</v>
      </c>
      <c r="G295" s="485"/>
      <c r="H295" s="243" t="str">
        <f>CONCATENATE(IF(ISNUMBER(SEARCH("Placeholder",'C-Design&amp;Const'!Z295))=TRUE,"",IF(F295="N","PLACEHOLDER ROW - ","")),'C-Design&amp;Const'!Z295,IF(F295="N","",J295))</f>
        <v xml:space="preserve">PLACEHOLDER ROW - Heating and Cooling Piping Isometrics/Flow Diagrams </v>
      </c>
      <c r="I295" s="552"/>
      <c r="K295" s="285" t="str">
        <f t="shared" si="35"/>
        <v>no 95% match</v>
      </c>
      <c r="L295" s="1410" t="str">
        <f t="shared" si="33"/>
        <v>&lt;---PM/Planner may hide PLACEHOLDER ROW</v>
      </c>
      <c r="M295" s="1333"/>
      <c r="N295" s="1333"/>
      <c r="O295" s="1333"/>
      <c r="P295" s="1333"/>
      <c r="Q295" s="1333"/>
      <c r="R295" s="1453"/>
      <c r="S295" s="1364"/>
      <c r="T295" s="1404"/>
      <c r="U295" s="1333"/>
      <c r="V295" s="1333"/>
      <c r="W295" s="1333"/>
      <c r="X295" s="1333"/>
      <c r="Y295" s="1333"/>
      <c r="Z295" s="1333"/>
      <c r="AA295" s="1333"/>
      <c r="AB295" s="1333"/>
      <c r="AC295" s="1333"/>
      <c r="AD295" s="1333"/>
      <c r="AE295" s="1333"/>
      <c r="AF295" s="1333"/>
      <c r="AG295" s="1333"/>
      <c r="AH295" s="1333"/>
      <c r="AI295" s="1333"/>
      <c r="AJ295" s="1333"/>
    </row>
    <row r="296" spans="1:49" ht="18.75" hidden="1" x14ac:dyDescent="0.25">
      <c r="A296" s="1520" t="str">
        <f>IF(COUNTIF('04 - 95% CD'!D296:G296,"Y")&gt;0,"Y",IF(COUNTIF('04 - 95% CD'!D296:G296,"N"),"N",""))</f>
        <v>Y</v>
      </c>
      <c r="B296" s="125"/>
      <c r="C296" s="944"/>
      <c r="D296" s="411"/>
      <c r="E296" s="321"/>
      <c r="F296" s="559" t="str">
        <f>IF('C-Design&amp;Const'!$W296="","",'C-Design&amp;Const'!$W296)</f>
        <v>N</v>
      </c>
      <c r="G296" s="485"/>
      <c r="H296" s="243" t="str">
        <f>CONCATENATE(IF(ISNUMBER(SEARCH("Placeholder",'C-Design&amp;Const'!Z296))=TRUE,"",IF(F296="N","PLACEHOLDER ROW - ","")),'C-Design&amp;Const'!Z296,IF(F296="N","",J296))</f>
        <v xml:space="preserve">PLACEHOLDER ROW - Heating and A/C Large Scale Mechanical Room Plans </v>
      </c>
      <c r="I296" s="552"/>
      <c r="K296" s="285" t="str">
        <f t="shared" si="35"/>
        <v>no 95% match</v>
      </c>
      <c r="L296" s="1410" t="str">
        <f t="shared" si="33"/>
        <v>&lt;---PM/Planner may hide PLACEHOLDER ROW</v>
      </c>
      <c r="M296" s="1333"/>
      <c r="N296" s="1333"/>
      <c r="O296" s="1333"/>
      <c r="P296" s="1333"/>
      <c r="Q296" s="1333"/>
      <c r="R296" s="1453"/>
      <c r="S296" s="1364"/>
      <c r="T296" s="1404"/>
      <c r="U296" s="1333"/>
      <c r="V296" s="1333"/>
      <c r="W296" s="1333"/>
      <c r="X296" s="1333"/>
      <c r="Y296" s="1333"/>
      <c r="Z296" s="1333"/>
      <c r="AA296" s="1333"/>
      <c r="AB296" s="1333"/>
      <c r="AC296" s="1333"/>
      <c r="AD296" s="1333"/>
      <c r="AE296" s="1333"/>
      <c r="AF296" s="1333"/>
      <c r="AG296" s="1333"/>
      <c r="AH296" s="1333"/>
      <c r="AI296" s="1333"/>
      <c r="AJ296" s="1333"/>
    </row>
    <row r="297" spans="1:49" ht="18.75" hidden="1" x14ac:dyDescent="0.25">
      <c r="A297" s="1520" t="str">
        <f>IF(COUNTIF('04 - 95% CD'!D297:G297,"Y")&gt;0,"Y",IF(COUNTIF('04 - 95% CD'!D297:G297,"N"),"N",""))</f>
        <v>Y</v>
      </c>
      <c r="B297" s="125"/>
      <c r="C297" s="944"/>
      <c r="D297" s="411"/>
      <c r="E297" s="321"/>
      <c r="F297" s="559" t="str">
        <f>IF('C-Design&amp;Const'!$W297="","",'C-Design&amp;Const'!$W297)</f>
        <v>N</v>
      </c>
      <c r="G297" s="485"/>
      <c r="H297" s="243" t="str">
        <f>CONCATENATE(IF(ISNUMBER(SEARCH("Placeholder",'C-Design&amp;Const'!Z297))=TRUE,"",IF(F297="N","PLACEHOLDER ROW - ","")),'C-Design&amp;Const'!Z297,IF(F297="N","",J297))</f>
        <v xml:space="preserve">PLACEHOLDER ROW - Heating and A/C Equipment Schedule </v>
      </c>
      <c r="I297" s="552"/>
      <c r="K297" s="285" t="str">
        <f t="shared" si="35"/>
        <v>no 95% match</v>
      </c>
      <c r="L297" s="1410" t="str">
        <f t="shared" si="33"/>
        <v>&lt;---PM/Planner may hide PLACEHOLDER ROW</v>
      </c>
      <c r="M297" s="1333"/>
      <c r="N297" s="1333"/>
      <c r="O297" s="1333"/>
      <c r="P297" s="1333"/>
      <c r="Q297" s="1333"/>
      <c r="R297" s="1453"/>
      <c r="S297" s="1364"/>
      <c r="T297" s="1404"/>
      <c r="U297" s="1333"/>
      <c r="V297" s="1333"/>
      <c r="W297" s="1333"/>
      <c r="X297" s="1333"/>
      <c r="Y297" s="1333"/>
      <c r="Z297" s="1333"/>
      <c r="AA297" s="1333"/>
      <c r="AB297" s="1333"/>
      <c r="AC297" s="1333"/>
      <c r="AD297" s="1333"/>
      <c r="AE297" s="1333"/>
      <c r="AF297" s="1333"/>
      <c r="AG297" s="1333"/>
      <c r="AH297" s="1333"/>
      <c r="AI297" s="1333"/>
      <c r="AJ297" s="1333"/>
    </row>
    <row r="298" spans="1:49" ht="18.75" hidden="1" x14ac:dyDescent="0.25">
      <c r="A298" s="1520" t="str">
        <f>IF(COUNTIF('04 - 95% CD'!D298:G298,"Y")&gt;0,"Y",IF(COUNTIF('04 - 95% CD'!D298:G298,"N"),"N",""))</f>
        <v>Y</v>
      </c>
      <c r="B298" s="125"/>
      <c r="C298" s="944"/>
      <c r="D298" s="411"/>
      <c r="E298" s="321"/>
      <c r="F298" s="559" t="str">
        <f>IF('C-Design&amp;Const'!$W298="","",'C-Design&amp;Const'!$W298)</f>
        <v>N</v>
      </c>
      <c r="G298" s="521"/>
      <c r="H298" s="1030" t="str">
        <f>CONCATENATE(IF(ISNUMBER(SEARCH("Placeholder",'C-Design&amp;Const'!Z298))=TRUE,"",IF(F298="N","PLACEHOLDER ROW - ","")),'C-Design&amp;Const'!Z298,IF(F298="N","",J298))</f>
        <v xml:space="preserve">PLACEHOLDER ROW - Heating and A/C Details and Sections </v>
      </c>
      <c r="I298" s="552"/>
      <c r="K298" s="285" t="str">
        <f t="shared" si="35"/>
        <v>no 95% match</v>
      </c>
      <c r="L298" s="1410" t="str">
        <f t="shared" si="33"/>
        <v>&lt;---PM/Planner may hide PLACEHOLDER ROW</v>
      </c>
      <c r="M298" s="1333"/>
      <c r="N298" s="1333"/>
      <c r="O298" s="1333"/>
      <c r="P298" s="1333"/>
      <c r="Q298" s="1333"/>
      <c r="R298" s="1453"/>
      <c r="S298" s="1364"/>
      <c r="T298" s="1404"/>
      <c r="U298" s="1333"/>
      <c r="V298" s="1333"/>
      <c r="W298" s="1333"/>
      <c r="X298" s="1333"/>
      <c r="Y298" s="1333"/>
      <c r="Z298" s="1333"/>
      <c r="AA298" s="1333"/>
      <c r="AB298" s="1333"/>
      <c r="AC298" s="1333"/>
      <c r="AD298" s="1333"/>
      <c r="AE298" s="1333"/>
      <c r="AF298" s="1333"/>
      <c r="AG298" s="1333"/>
      <c r="AH298" s="1333"/>
      <c r="AI298" s="1333"/>
      <c r="AJ298" s="1333"/>
    </row>
    <row r="299" spans="1:49" ht="18.75" hidden="1" x14ac:dyDescent="0.25">
      <c r="A299" s="1407" t="str">
        <f>IF(COUNTIF('04 - 95% CD'!D299:G299,"Y")&gt;0,"Y",IF(COUNTIF('04 - 95% CD'!D299:G299,"N"),"N",""))</f>
        <v>Y</v>
      </c>
      <c r="B299" s="125"/>
      <c r="C299" s="944"/>
      <c r="D299" s="411"/>
      <c r="E299" s="559" t="str">
        <f>IF('C-Design&amp;Const'!$W299="","",'C-Design&amp;Const'!$W299)</f>
        <v>N</v>
      </c>
      <c r="F299" s="560"/>
      <c r="G299" s="558"/>
      <c r="H299" s="244" t="str">
        <f>CONCATENATE(IF(ISNUMBER(SEARCH("Placeholder",'C-Design&amp;Const'!Z299))=TRUE,"",IF(E299="N","PLACEHOLDER ROW - ","")),'C-Design&amp;Const'!Z299,IF(E299="N","",J299))</f>
        <v>PLACEHOLDER ROW - Ventilation Drawings</v>
      </c>
      <c r="I299" s="552"/>
      <c r="K299" s="285" t="str">
        <f t="shared" si="35"/>
        <v>no 95% match</v>
      </c>
      <c r="L299" s="1410" t="str">
        <f t="shared" si="33"/>
        <v>&lt;---PM/Planner may hide PLACEHOLDER ROW</v>
      </c>
      <c r="M299" s="1333"/>
      <c r="N299" s="1333"/>
      <c r="O299" s="1333"/>
      <c r="P299" s="1333"/>
      <c r="Q299" s="1333"/>
      <c r="R299" s="1453"/>
      <c r="S299" s="1364"/>
      <c r="T299" s="1404"/>
      <c r="U299" s="1333"/>
      <c r="V299" s="1333"/>
      <c r="W299" s="1333"/>
      <c r="X299" s="1333"/>
      <c r="Y299" s="1333"/>
      <c r="Z299" s="1333"/>
      <c r="AA299" s="1333"/>
      <c r="AB299" s="1333"/>
      <c r="AC299" s="1333"/>
      <c r="AD299" s="1333"/>
      <c r="AE299" s="1333"/>
      <c r="AF299" s="1333"/>
      <c r="AG299" s="1333"/>
      <c r="AH299" s="1333"/>
      <c r="AI299" s="1333"/>
      <c r="AJ299" s="1333"/>
    </row>
    <row r="300" spans="1:49" s="30" customFormat="1" ht="15" hidden="1" customHeight="1" x14ac:dyDescent="0.25">
      <c r="A300" s="1517" t="str">
        <f>IF(COUNTIF('04 - 95% CD'!D301:G301,"Y")&gt;0,"Y",IF(COUNTIF('04 - 95% CD'!D301:G301,"N"),"N",""))</f>
        <v>N</v>
      </c>
      <c r="B300" s="191"/>
      <c r="C300" s="944"/>
      <c r="D300" s="463"/>
      <c r="E300" s="463"/>
      <c r="F300" s="359" t="str">
        <f>IF('C-Design&amp;Const'!$W300="","",'C-Design&amp;Const'!$W300)</f>
        <v>N</v>
      </c>
      <c r="G300" s="291"/>
      <c r="H300" s="469" t="str">
        <f>CONCATENATE(IF(ISNUMBER(SEARCH("Placeholder",'C-Design&amp;Const'!Z300))=TRUE,"",IF(F300="N","PLACEHOLDER ROW - ","")),'C-Design&amp;Const'!Z300,IF(F300="N","",J300))</f>
        <v xml:space="preserve">PLACEHOLDER ROW - CUSTOM - Ventilation  </v>
      </c>
      <c r="I300" s="552"/>
      <c r="J300" s="181"/>
      <c r="K300" s="285" t="str">
        <f t="shared" ref="K300:K301" si="40">IF((COUNTIF(D300:F300,"Y")=COUNTIF(A300,"Y")),"match","no 95% match")</f>
        <v>match</v>
      </c>
      <c r="L300" s="1410" t="str">
        <f t="shared" si="33"/>
        <v>&lt;---PM/Planner may hide PLACEHOLDER ROW</v>
      </c>
      <c r="M300" s="1333"/>
      <c r="N300" s="1382"/>
      <c r="O300" s="1382"/>
      <c r="P300" s="1382"/>
      <c r="Q300" s="1382"/>
      <c r="R300" s="1382"/>
      <c r="S300" s="1382"/>
      <c r="T300" s="1382"/>
      <c r="U300" s="1382"/>
      <c r="V300" s="1382"/>
      <c r="W300" s="1382"/>
      <c r="X300" s="1382"/>
      <c r="Y300" s="1382"/>
      <c r="Z300" s="1382"/>
      <c r="AA300" s="1382"/>
      <c r="AB300" s="1382"/>
      <c r="AC300" s="1382"/>
      <c r="AD300" s="1382"/>
      <c r="AE300" s="1382"/>
      <c r="AF300" s="1382"/>
      <c r="AG300" s="1382"/>
      <c r="AH300" s="1382"/>
      <c r="AI300" s="1382"/>
      <c r="AJ300" s="1382"/>
      <c r="AK300" s="181"/>
      <c r="AL300" s="181"/>
      <c r="AM300" s="181"/>
      <c r="AN300" s="181"/>
      <c r="AO300" s="181"/>
      <c r="AP300" s="181"/>
      <c r="AQ300" s="181"/>
      <c r="AR300" s="181"/>
      <c r="AS300" s="181"/>
      <c r="AT300" s="181"/>
      <c r="AU300" s="181"/>
      <c r="AV300" s="181"/>
      <c r="AW300" s="181"/>
    </row>
    <row r="301" spans="1:49" s="30" customFormat="1" ht="15" hidden="1" customHeight="1" x14ac:dyDescent="0.25">
      <c r="A301" s="1517" t="str">
        <f>IF(COUNTIF('04 - 95% CD'!D302:G302,"Y")&gt;0,"Y",IF(COUNTIF('04 - 95% CD'!D302:G302,"N"),"N",""))</f>
        <v>Y</v>
      </c>
      <c r="B301" s="191"/>
      <c r="C301" s="944"/>
      <c r="D301" s="463"/>
      <c r="E301" s="463"/>
      <c r="F301" s="359" t="str">
        <f>IF('C-Design&amp;Const'!$W301="","",'C-Design&amp;Const'!$W301)</f>
        <v>N</v>
      </c>
      <c r="G301" s="291"/>
      <c r="H301" s="469" t="str">
        <f>CONCATENATE(IF(ISNUMBER(SEARCH("Placeholder",'C-Design&amp;Const'!Z301))=TRUE,"",IF(F301="N","PLACEHOLDER ROW - ","")),'C-Design&amp;Const'!Z301,IF(F301="N","",J301))</f>
        <v xml:space="preserve">PLACEHOLDER ROW - CUSTOM - Ventilation  </v>
      </c>
      <c r="I301" s="552"/>
      <c r="J301" s="181"/>
      <c r="K301" s="285" t="str">
        <f t="shared" si="40"/>
        <v>no 95% match</v>
      </c>
      <c r="L301" s="1410" t="str">
        <f t="shared" si="33"/>
        <v>&lt;---PM/Planner may hide PLACEHOLDER ROW</v>
      </c>
      <c r="M301" s="1333"/>
      <c r="N301" s="1382"/>
      <c r="O301" s="1382"/>
      <c r="P301" s="1382"/>
      <c r="Q301" s="1382"/>
      <c r="R301" s="1382"/>
      <c r="S301" s="1382"/>
      <c r="T301" s="1382"/>
      <c r="U301" s="1382"/>
      <c r="V301" s="1382"/>
      <c r="W301" s="1382"/>
      <c r="X301" s="1382"/>
      <c r="Y301" s="1382"/>
      <c r="Z301" s="1382"/>
      <c r="AA301" s="1382"/>
      <c r="AB301" s="1382"/>
      <c r="AC301" s="1382"/>
      <c r="AD301" s="1382"/>
      <c r="AE301" s="1382"/>
      <c r="AF301" s="1382"/>
      <c r="AG301" s="1382"/>
      <c r="AH301" s="1382"/>
      <c r="AI301" s="1382"/>
      <c r="AJ301" s="1382"/>
      <c r="AK301" s="181"/>
      <c r="AL301" s="181"/>
      <c r="AM301" s="181"/>
      <c r="AN301" s="181"/>
      <c r="AO301" s="181"/>
      <c r="AP301" s="181"/>
      <c r="AQ301" s="181"/>
      <c r="AR301" s="181"/>
      <c r="AS301" s="181"/>
      <c r="AT301" s="181"/>
      <c r="AU301" s="181"/>
      <c r="AV301" s="181"/>
      <c r="AW301" s="181"/>
    </row>
    <row r="302" spans="1:49" ht="18.75" hidden="1" x14ac:dyDescent="0.25">
      <c r="A302" s="1520" t="str">
        <f>IF(COUNTIF('04 - 95% CD'!D302:G302,"Y")&gt;0,"Y",IF(COUNTIF('04 - 95% CD'!D302:G302,"N"),"N",""))</f>
        <v>Y</v>
      </c>
      <c r="B302" s="125"/>
      <c r="C302" s="944"/>
      <c r="D302" s="411"/>
      <c r="E302" s="321"/>
      <c r="F302" s="559" t="str">
        <f>IF('C-Design&amp;Const'!$W302="","",'C-Design&amp;Const'!$W302)</f>
        <v>N</v>
      </c>
      <c r="G302" s="485"/>
      <c r="H302" s="243" t="str">
        <f>CONCATENATE(IF(ISNUMBER(SEARCH("Placeholder",'C-Design&amp;Const'!Z302))=TRUE,"",IF(F302="N","PLACEHOLDER ROW - ","")),'C-Design&amp;Const'!Z302,IF(F302="N","",J302))</f>
        <v xml:space="preserve">PLACEHOLDER ROW - Ventilation Symbols, Abbreviations, and General Notes </v>
      </c>
      <c r="I302" s="552"/>
      <c r="K302" s="285" t="str">
        <f t="shared" si="35"/>
        <v>no 95% match</v>
      </c>
      <c r="L302" s="1410" t="str">
        <f t="shared" si="33"/>
        <v>&lt;---PM/Planner may hide PLACEHOLDER ROW</v>
      </c>
      <c r="M302" s="1333"/>
      <c r="N302" s="1333"/>
      <c r="O302" s="1333"/>
      <c r="P302" s="1333"/>
      <c r="Q302" s="1333"/>
      <c r="R302" s="1284"/>
      <c r="S302" s="1513"/>
      <c r="T302" s="1404"/>
      <c r="U302" s="1333"/>
      <c r="V302" s="1333"/>
      <c r="W302" s="1333"/>
      <c r="X302" s="1333"/>
      <c r="Y302" s="1333"/>
      <c r="Z302" s="1333"/>
      <c r="AA302" s="1333"/>
      <c r="AB302" s="1333"/>
      <c r="AC302" s="1333"/>
      <c r="AD302" s="1333"/>
      <c r="AE302" s="1333"/>
      <c r="AF302" s="1333"/>
      <c r="AG302" s="1333"/>
      <c r="AH302" s="1333"/>
      <c r="AI302" s="1333"/>
      <c r="AJ302" s="1333"/>
    </row>
    <row r="303" spans="1:49" s="545" customFormat="1" ht="15" hidden="1" customHeight="1" x14ac:dyDescent="0.25">
      <c r="A303" s="1517" t="str">
        <f>IF(COUNTIF('04 - 95% CD'!D303:G303,"Y")&gt;0,"Y",IF(COUNTIF('04 - 95% CD'!D303:G303,"N"),"N",""))</f>
        <v>Y</v>
      </c>
      <c r="B303" s="554"/>
      <c r="C303" s="944"/>
      <c r="D303" s="463"/>
      <c r="E303" s="463"/>
      <c r="F303" s="359" t="str">
        <f>IF('C-Design&amp;Const'!$W303="","",'C-Design&amp;Const'!$W303)</f>
        <v>N</v>
      </c>
      <c r="G303" s="291"/>
      <c r="H303" s="469" t="str">
        <f>CONCATENATE(IF(ISNUMBER(SEARCH("Placeholder",'C-Design&amp;Const'!Z303))=TRUE,"",IF(F303="N","PLACEHOLDER ROW - ","")),'C-Design&amp;Const'!Z303,IF(F303="N","",J303))</f>
        <v xml:space="preserve">PLACEHOLDER ROW - Ventilation Demolition(s) </v>
      </c>
      <c r="I303" s="552"/>
      <c r="J303" s="551"/>
      <c r="K303" s="285" t="str">
        <f t="shared" ref="K303" si="41">IF((COUNTIF(D303:F303,"Y")=COUNTIF(A303,"Y")),"match","no 95% match")</f>
        <v>no 95% match</v>
      </c>
      <c r="L303" s="1410" t="str">
        <f t="shared" si="33"/>
        <v>&lt;---PM/Planner may hide PLACEHOLDER ROW</v>
      </c>
      <c r="M303" s="1333"/>
      <c r="N303" s="1382"/>
      <c r="O303" s="1382"/>
      <c r="P303" s="1382"/>
      <c r="Q303" s="1382"/>
      <c r="R303" s="1382"/>
      <c r="S303" s="1382"/>
      <c r="T303" s="1382"/>
      <c r="U303" s="1382"/>
      <c r="V303" s="1382"/>
      <c r="W303" s="1382"/>
      <c r="X303" s="1382"/>
      <c r="Y303" s="1382"/>
      <c r="Z303" s="1382"/>
      <c r="AA303" s="1382"/>
      <c r="AB303" s="1382"/>
      <c r="AC303" s="1382"/>
      <c r="AD303" s="1382"/>
      <c r="AE303" s="1382"/>
      <c r="AF303" s="1382"/>
      <c r="AG303" s="1382"/>
      <c r="AH303" s="1382"/>
      <c r="AI303" s="1382"/>
      <c r="AJ303" s="1382"/>
      <c r="AK303" s="551"/>
      <c r="AL303" s="551"/>
      <c r="AM303" s="551"/>
      <c r="AN303" s="551"/>
      <c r="AO303" s="551"/>
      <c r="AP303" s="551"/>
      <c r="AQ303" s="551"/>
      <c r="AR303" s="551"/>
      <c r="AS303" s="551"/>
      <c r="AT303" s="551"/>
      <c r="AU303" s="551"/>
      <c r="AV303" s="551"/>
      <c r="AW303" s="551"/>
    </row>
    <row r="304" spans="1:49" ht="18.75" hidden="1" x14ac:dyDescent="0.25">
      <c r="A304" s="1520" t="str">
        <f>IF(COUNTIF('04 - 95% CD'!D304:G304,"Y")&gt;0,"Y",IF(COUNTIF('04 - 95% CD'!D304:G304,"N"),"N",""))</f>
        <v>Y</v>
      </c>
      <c r="B304" s="125"/>
      <c r="C304" s="944"/>
      <c r="D304" s="411"/>
      <c r="E304" s="321"/>
      <c r="F304" s="559" t="str">
        <f>IF('C-Design&amp;Const'!$W304="","",'C-Design&amp;Const'!$W304)</f>
        <v>N</v>
      </c>
      <c r="G304" s="485"/>
      <c r="H304" s="243" t="str">
        <f>CONCATENATE(IF(ISNUMBER(SEARCH("Placeholder",'C-Design&amp;Const'!Z304))=TRUE,"",IF(F304="N","PLACEHOLDER ROW - ","")),'C-Design&amp;Const'!Z304,IF(F304="N","",J304))</f>
        <v xml:space="preserve">PLACEHOLDER ROW - Ventilation Floor Plans </v>
      </c>
      <c r="I304" s="552"/>
      <c r="K304" s="285" t="str">
        <f t="shared" si="35"/>
        <v>no 95% match</v>
      </c>
      <c r="L304" s="1410" t="str">
        <f t="shared" si="33"/>
        <v>&lt;---PM/Planner may hide PLACEHOLDER ROW</v>
      </c>
      <c r="M304" s="1333"/>
      <c r="N304" s="1333"/>
      <c r="O304" s="1333"/>
      <c r="P304" s="1333"/>
      <c r="Q304" s="1333"/>
      <c r="R304" s="1453"/>
      <c r="S304" s="1364"/>
      <c r="T304" s="1404"/>
      <c r="U304" s="1333"/>
      <c r="V304" s="1333"/>
      <c r="W304" s="1333"/>
      <c r="X304" s="1333"/>
      <c r="Y304" s="1333"/>
      <c r="Z304" s="1333"/>
      <c r="AA304" s="1333"/>
      <c r="AB304" s="1333"/>
      <c r="AC304" s="1333"/>
      <c r="AD304" s="1333"/>
      <c r="AE304" s="1333"/>
      <c r="AF304" s="1333"/>
      <c r="AG304" s="1333"/>
      <c r="AH304" s="1333"/>
      <c r="AI304" s="1333"/>
      <c r="AJ304" s="1333"/>
    </row>
    <row r="305" spans="1:49" ht="18.75" hidden="1" x14ac:dyDescent="0.25">
      <c r="A305" s="1520" t="str">
        <f>IF(COUNTIF('04 - 95% CD'!D305:G305,"Y")&gt;0,"Y",IF(COUNTIF('04 - 95% CD'!D305:G305,"N"),"N",""))</f>
        <v>Y</v>
      </c>
      <c r="B305" s="125"/>
      <c r="C305" s="944"/>
      <c r="D305" s="411"/>
      <c r="E305" s="321"/>
      <c r="F305" s="559" t="str">
        <f>IF('C-Design&amp;Const'!$W305="","",'C-Design&amp;Const'!$W305)</f>
        <v>N</v>
      </c>
      <c r="G305" s="485"/>
      <c r="H305" s="243" t="str">
        <f>CONCATENATE(IF(ISNUMBER(SEARCH("Placeholder",'C-Design&amp;Const'!Z305))=TRUE,"",IF(F305="N","PLACEHOLDER ROW - ","")),'C-Design&amp;Const'!Z305,IF(F305="N","",J305))</f>
        <v xml:space="preserve">PLACEHOLDER ROW - Ventilation Air Flow Diagrams </v>
      </c>
      <c r="I305" s="552"/>
      <c r="K305" s="285" t="str">
        <f t="shared" si="35"/>
        <v>no 95% match</v>
      </c>
      <c r="L305" s="1410" t="str">
        <f t="shared" si="33"/>
        <v>&lt;---PM/Planner may hide PLACEHOLDER ROW</v>
      </c>
      <c r="M305" s="1333"/>
      <c r="N305" s="1333"/>
      <c r="O305" s="1333"/>
      <c r="P305" s="1333"/>
      <c r="Q305" s="1333"/>
      <c r="R305" s="1453"/>
      <c r="S305" s="1364"/>
      <c r="T305" s="1404"/>
      <c r="U305" s="1333"/>
      <c r="V305" s="1333"/>
      <c r="W305" s="1333"/>
      <c r="X305" s="1333"/>
      <c r="Y305" s="1333"/>
      <c r="Z305" s="1333"/>
      <c r="AA305" s="1333"/>
      <c r="AB305" s="1333"/>
      <c r="AC305" s="1333"/>
      <c r="AD305" s="1333"/>
      <c r="AE305" s="1333"/>
      <c r="AF305" s="1333"/>
      <c r="AG305" s="1333"/>
      <c r="AH305" s="1333"/>
      <c r="AI305" s="1333"/>
      <c r="AJ305" s="1333"/>
    </row>
    <row r="306" spans="1:49" ht="18.75" hidden="1" x14ac:dyDescent="0.25">
      <c r="A306" s="1520" t="str">
        <f>IF(COUNTIF('04 - 95% CD'!D306:G306,"Y")&gt;0,"Y",IF(COUNTIF('04 - 95% CD'!D306:G306,"N"),"N",""))</f>
        <v>Y</v>
      </c>
      <c r="B306" s="125"/>
      <c r="C306" s="944"/>
      <c r="D306" s="411"/>
      <c r="E306" s="321"/>
      <c r="F306" s="559" t="str">
        <f>IF('C-Design&amp;Const'!$W306="","",'C-Design&amp;Const'!$W306)</f>
        <v>N</v>
      </c>
      <c r="G306" s="485"/>
      <c r="H306" s="243" t="str">
        <f>CONCATENATE(IF(ISNUMBER(SEARCH("Placeholder",'C-Design&amp;Const'!Z306))=TRUE,"",IF(F306="N","PLACEHOLDER ROW - ","")),'C-Design&amp;Const'!Z306,IF(F306="N","",J306))</f>
        <v xml:space="preserve">PLACEHOLDER ROW - Ventilation Large Scale Mechanical Room Plans </v>
      </c>
      <c r="I306" s="552"/>
      <c r="K306" s="285" t="str">
        <f t="shared" si="35"/>
        <v>no 95% match</v>
      </c>
      <c r="L306" s="1410" t="str">
        <f t="shared" si="33"/>
        <v>&lt;---PM/Planner may hide PLACEHOLDER ROW</v>
      </c>
      <c r="M306" s="1333"/>
      <c r="N306" s="1333"/>
      <c r="O306" s="1333"/>
      <c r="P306" s="1333"/>
      <c r="Q306" s="1333"/>
      <c r="R306" s="1453"/>
      <c r="S306" s="1364"/>
      <c r="T306" s="1404"/>
      <c r="U306" s="1333"/>
      <c r="V306" s="1333"/>
      <c r="W306" s="1333"/>
      <c r="X306" s="1333"/>
      <c r="Y306" s="1333"/>
      <c r="Z306" s="1333"/>
      <c r="AA306" s="1333"/>
      <c r="AB306" s="1333"/>
      <c r="AC306" s="1333"/>
      <c r="AD306" s="1333"/>
      <c r="AE306" s="1333"/>
      <c r="AF306" s="1333"/>
      <c r="AG306" s="1333"/>
      <c r="AH306" s="1333"/>
      <c r="AI306" s="1333"/>
      <c r="AJ306" s="1333"/>
    </row>
    <row r="307" spans="1:49" ht="18.75" hidden="1" x14ac:dyDescent="0.25">
      <c r="A307" s="1520" t="str">
        <f>IF(COUNTIF('04 - 95% CD'!D307:G307,"Y")&gt;0,"Y",IF(COUNTIF('04 - 95% CD'!D307:G307,"N"),"N",""))</f>
        <v>Y</v>
      </c>
      <c r="B307" s="125"/>
      <c r="C307" s="944"/>
      <c r="D307" s="411"/>
      <c r="E307" s="321"/>
      <c r="F307" s="559" t="str">
        <f>IF('C-Design&amp;Const'!$W307="","",'C-Design&amp;Const'!$W307)</f>
        <v>N</v>
      </c>
      <c r="G307" s="485"/>
      <c r="H307" s="243" t="str">
        <f>CONCATENATE(IF(ISNUMBER(SEARCH("Placeholder",'C-Design&amp;Const'!Z307))=TRUE,"",IF(F307="N","PLACEHOLDER ROW - ","")),'C-Design&amp;Const'!Z307,IF(F307="N","",J307))</f>
        <v xml:space="preserve">PLACEHOLDER ROW - Ventilation Details and Sections </v>
      </c>
      <c r="I307" s="552"/>
      <c r="K307" s="285" t="str">
        <f t="shared" si="35"/>
        <v>no 95% match</v>
      </c>
      <c r="L307" s="1410" t="str">
        <f t="shared" si="33"/>
        <v>&lt;---PM/Planner may hide PLACEHOLDER ROW</v>
      </c>
      <c r="M307" s="1333"/>
      <c r="N307" s="1333"/>
      <c r="O307" s="1333"/>
      <c r="P307" s="1333"/>
      <c r="Q307" s="1333"/>
      <c r="R307" s="1453"/>
      <c r="S307" s="1364"/>
      <c r="T307" s="1404"/>
      <c r="U307" s="1333"/>
      <c r="V307" s="1333"/>
      <c r="W307" s="1333"/>
      <c r="X307" s="1333"/>
      <c r="Y307" s="1333"/>
      <c r="Z307" s="1333"/>
      <c r="AA307" s="1333"/>
      <c r="AB307" s="1333"/>
      <c r="AC307" s="1333"/>
      <c r="AD307" s="1333"/>
      <c r="AE307" s="1333"/>
      <c r="AF307" s="1333"/>
      <c r="AG307" s="1333"/>
      <c r="AH307" s="1333"/>
      <c r="AI307" s="1333"/>
      <c r="AJ307" s="1333"/>
    </row>
    <row r="308" spans="1:49" ht="18.75" hidden="1" x14ac:dyDescent="0.25">
      <c r="A308" s="1520" t="str">
        <f>IF(COUNTIF('04 - 95% CD'!D308:G308,"Y")&gt;0,"Y",IF(COUNTIF('04 - 95% CD'!D308:G308,"N"),"N",""))</f>
        <v>Y</v>
      </c>
      <c r="B308" s="125"/>
      <c r="C308" s="944"/>
      <c r="D308" s="411"/>
      <c r="E308" s="321"/>
      <c r="F308" s="559" t="str">
        <f>IF('C-Design&amp;Const'!$W308="","",'C-Design&amp;Const'!$W308)</f>
        <v>N</v>
      </c>
      <c r="G308" s="485"/>
      <c r="H308" s="243" t="str">
        <f>CONCATENATE(IF(ISNUMBER(SEARCH("Placeholder",'C-Design&amp;Const'!Z308))=TRUE,"",IF(F308="N","PLACEHOLDER ROW - ","")),'C-Design&amp;Const'!Z308,IF(F308="N","",J308))</f>
        <v xml:space="preserve">PLACEHOLDER ROW - Ventilation Equipment Schedule </v>
      </c>
      <c r="I308" s="552"/>
      <c r="K308" s="285" t="str">
        <f t="shared" si="35"/>
        <v>no 95% match</v>
      </c>
      <c r="L308" s="1410" t="str">
        <f t="shared" si="33"/>
        <v>&lt;---PM/Planner may hide PLACEHOLDER ROW</v>
      </c>
      <c r="M308" s="1333"/>
      <c r="N308" s="1333"/>
      <c r="O308" s="1333"/>
      <c r="P308" s="1333"/>
      <c r="Q308" s="1333"/>
      <c r="R308" s="1453"/>
      <c r="S308" s="1364"/>
      <c r="T308" s="1404"/>
      <c r="U308" s="1333"/>
      <c r="V308" s="1333"/>
      <c r="W308" s="1333"/>
      <c r="X308" s="1333"/>
      <c r="Y308" s="1333"/>
      <c r="Z308" s="1333"/>
      <c r="AA308" s="1333"/>
      <c r="AB308" s="1333"/>
      <c r="AC308" s="1333"/>
      <c r="AD308" s="1333"/>
      <c r="AE308" s="1333"/>
      <c r="AF308" s="1333"/>
      <c r="AG308" s="1333"/>
      <c r="AH308" s="1333"/>
      <c r="AI308" s="1333"/>
      <c r="AJ308" s="1333"/>
    </row>
    <row r="309" spans="1:49" s="542" customFormat="1" ht="18.75" hidden="1" x14ac:dyDescent="0.25">
      <c r="A309" s="1407" t="str">
        <f>IF(COUNTIF('04 - 95% CD'!D309:G309,"Y")&gt;0,"Y",IF(COUNTIF('04 - 95% CD'!D309:G309,"N"),"N",""))</f>
        <v>Y</v>
      </c>
      <c r="B309" s="125"/>
      <c r="C309" s="944"/>
      <c r="D309" s="411"/>
      <c r="E309" s="559" t="str">
        <f>IF('C-Design&amp;Const'!$W309="","",'C-Design&amp;Const'!$W309)</f>
        <v>N</v>
      </c>
      <c r="F309" s="478"/>
      <c r="G309" s="485"/>
      <c r="H309" s="244" t="str">
        <f>CONCATENATE(IF(ISNUMBER(SEARCH("Placeholder",'C-Design&amp;Const'!Z309))=TRUE,"",IF(E309="N","PLACEHOLDER ROW - ","")),'C-Design&amp;Const'!Z309,IF(E309="N","",J309))</f>
        <v>PLACEHOLDER ROW - Temperature Control Drawings</v>
      </c>
      <c r="I309" s="552"/>
      <c r="J309" s="17"/>
      <c r="K309" s="285" t="str">
        <f t="shared" ref="K309:K315" si="42">IF((COUNTIF(D309:F309,"Y")=COUNTIF(A309,"Y")),"match","no 95% match")</f>
        <v>no 95% match</v>
      </c>
      <c r="L309" s="1410" t="str">
        <f t="shared" ref="L309:L315" si="43">CONCATENATE(IF(ISNUMBER(SEARCH("Placeholder",H309))=TRUE,"&lt;---PM/Planner may hide PLACEHOLDER ROW",""))</f>
        <v>&lt;---PM/Planner may hide PLACEHOLDER ROW</v>
      </c>
      <c r="M309" s="1333"/>
      <c r="N309" s="1333"/>
      <c r="O309" s="1333"/>
      <c r="P309" s="1333"/>
      <c r="Q309" s="1333"/>
      <c r="R309" s="1453"/>
      <c r="S309" s="1364"/>
      <c r="T309" s="1404"/>
      <c r="U309" s="1333"/>
      <c r="V309" s="1333"/>
      <c r="W309" s="1333"/>
      <c r="X309" s="1333"/>
      <c r="Y309" s="1333"/>
      <c r="Z309" s="1333"/>
      <c r="AA309" s="1333"/>
      <c r="AB309" s="1333"/>
      <c r="AC309" s="1333"/>
      <c r="AD309" s="1333"/>
      <c r="AE309" s="1333"/>
      <c r="AF309" s="1333"/>
      <c r="AG309" s="1333"/>
      <c r="AH309" s="1333"/>
      <c r="AI309" s="1333"/>
      <c r="AJ309" s="1333"/>
      <c r="AK309" s="17"/>
      <c r="AL309" s="17"/>
      <c r="AM309" s="17"/>
      <c r="AN309" s="17"/>
      <c r="AO309" s="17"/>
      <c r="AP309" s="17"/>
      <c r="AQ309" s="17"/>
      <c r="AR309" s="17"/>
      <c r="AS309" s="17"/>
      <c r="AT309" s="17"/>
      <c r="AU309" s="17"/>
      <c r="AV309" s="17"/>
      <c r="AW309" s="17"/>
    </row>
    <row r="310" spans="1:49" s="545" customFormat="1" ht="15" hidden="1" customHeight="1" x14ac:dyDescent="0.25">
      <c r="A310" s="1517" t="str">
        <f>IF(COUNTIF('04 - 95% CD'!D311:G311,"Y")&gt;0,"Y",IF(COUNTIF('04 - 95% CD'!D311:G311,"N"),"N",""))</f>
        <v>N</v>
      </c>
      <c r="B310" s="554"/>
      <c r="C310" s="944"/>
      <c r="D310" s="463"/>
      <c r="E310" s="463"/>
      <c r="F310" s="359" t="str">
        <f>IF('C-Design&amp;Const'!$W310="","",'C-Design&amp;Const'!$W310)</f>
        <v>N</v>
      </c>
      <c r="G310" s="291"/>
      <c r="H310" s="469" t="str">
        <f>CONCATENATE(IF(ISNUMBER(SEARCH("Placeholder",'C-Design&amp;Const'!Z310))=TRUE,"",IF(F310="N","PLACEHOLDER ROW - ","")),'C-Design&amp;Const'!Z310,IF(F310="N","",J310))</f>
        <v>PLACEHOLDER ROW - CUSTOM - Temperature Control</v>
      </c>
      <c r="I310" s="552"/>
      <c r="J310" s="551"/>
      <c r="K310" s="285" t="str">
        <f t="shared" si="42"/>
        <v>match</v>
      </c>
      <c r="L310" s="1410" t="str">
        <f t="shared" si="43"/>
        <v>&lt;---PM/Planner may hide PLACEHOLDER ROW</v>
      </c>
      <c r="M310" s="1333"/>
      <c r="N310" s="1382"/>
      <c r="O310" s="1382"/>
      <c r="P310" s="1382"/>
      <c r="Q310" s="1382"/>
      <c r="R310" s="1382"/>
      <c r="S310" s="1382"/>
      <c r="T310" s="1382"/>
      <c r="U310" s="1382"/>
      <c r="V310" s="1382"/>
      <c r="W310" s="1382"/>
      <c r="X310" s="1382"/>
      <c r="Y310" s="1382"/>
      <c r="Z310" s="1382"/>
      <c r="AA310" s="1382"/>
      <c r="AB310" s="1382"/>
      <c r="AC310" s="1382"/>
      <c r="AD310" s="1382"/>
      <c r="AE310" s="1382"/>
      <c r="AF310" s="1382"/>
      <c r="AG310" s="1382"/>
      <c r="AH310" s="1382"/>
      <c r="AI310" s="1382"/>
      <c r="AJ310" s="1382"/>
      <c r="AK310" s="551"/>
      <c r="AL310" s="551"/>
      <c r="AM310" s="551"/>
      <c r="AN310" s="551"/>
      <c r="AO310" s="551"/>
      <c r="AP310" s="551"/>
      <c r="AQ310" s="551"/>
      <c r="AR310" s="551"/>
      <c r="AS310" s="551"/>
      <c r="AT310" s="551"/>
      <c r="AU310" s="551"/>
      <c r="AV310" s="551"/>
      <c r="AW310" s="551"/>
    </row>
    <row r="311" spans="1:49" s="545" customFormat="1" ht="15" hidden="1" customHeight="1" x14ac:dyDescent="0.25">
      <c r="A311" s="1517" t="str">
        <f>IF(COUNTIF('04 - 95% CD'!D312:G312,"Y")&gt;0,"Y",IF(COUNTIF('04 - 95% CD'!D312:G312,"N"),"N",""))</f>
        <v>Y</v>
      </c>
      <c r="B311" s="554"/>
      <c r="C311" s="944"/>
      <c r="D311" s="463"/>
      <c r="E311" s="463"/>
      <c r="F311" s="359" t="str">
        <f>IF('C-Design&amp;Const'!$W311="","",'C-Design&amp;Const'!$W311)</f>
        <v>N</v>
      </c>
      <c r="G311" s="291"/>
      <c r="H311" s="469" t="str">
        <f>CONCATENATE(IF(ISNUMBER(SEARCH("Placeholder",'C-Design&amp;Const'!Z311))=TRUE,"",IF(F311="N","PLACEHOLDER ROW - ","")),'C-Design&amp;Const'!Z311,IF(F311="N","",J311))</f>
        <v>PLACEHOLDER ROW - CUSTOM - Temperature Control</v>
      </c>
      <c r="I311" s="552"/>
      <c r="J311" s="551"/>
      <c r="K311" s="285" t="str">
        <f t="shared" si="42"/>
        <v>no 95% match</v>
      </c>
      <c r="L311" s="1410" t="str">
        <f t="shared" si="43"/>
        <v>&lt;---PM/Planner may hide PLACEHOLDER ROW</v>
      </c>
      <c r="M311" s="1333"/>
      <c r="N311" s="1382"/>
      <c r="O311" s="1382"/>
      <c r="P311" s="1382"/>
      <c r="Q311" s="1382"/>
      <c r="R311" s="1382"/>
      <c r="S311" s="1382"/>
      <c r="T311" s="1382"/>
      <c r="U311" s="1382"/>
      <c r="V311" s="1382"/>
      <c r="W311" s="1382"/>
      <c r="X311" s="1382"/>
      <c r="Y311" s="1382"/>
      <c r="Z311" s="1382"/>
      <c r="AA311" s="1382"/>
      <c r="AB311" s="1382"/>
      <c r="AC311" s="1382"/>
      <c r="AD311" s="1382"/>
      <c r="AE311" s="1382"/>
      <c r="AF311" s="1382"/>
      <c r="AG311" s="1382"/>
      <c r="AH311" s="1382"/>
      <c r="AI311" s="1382"/>
      <c r="AJ311" s="1382"/>
      <c r="AK311" s="551"/>
      <c r="AL311" s="551"/>
      <c r="AM311" s="551"/>
      <c r="AN311" s="551"/>
      <c r="AO311" s="551"/>
      <c r="AP311" s="551"/>
      <c r="AQ311" s="551"/>
      <c r="AR311" s="551"/>
      <c r="AS311" s="551"/>
      <c r="AT311" s="551"/>
      <c r="AU311" s="551"/>
      <c r="AV311" s="551"/>
      <c r="AW311" s="551"/>
    </row>
    <row r="312" spans="1:49" s="542" customFormat="1" ht="18.75" hidden="1" x14ac:dyDescent="0.25">
      <c r="A312" s="1520" t="str">
        <f>IF(COUNTIF('04 - 95% CD'!D312:G312,"Y")&gt;0,"Y",IF(COUNTIF('04 - 95% CD'!D312:G312,"N"),"N",""))</f>
        <v>Y</v>
      </c>
      <c r="B312" s="125"/>
      <c r="C312" s="944"/>
      <c r="D312" s="411"/>
      <c r="E312" s="321"/>
      <c r="F312" s="559" t="str">
        <f>IF('C-Design&amp;Const'!$W312="","",'C-Design&amp;Const'!$W312)</f>
        <v>N</v>
      </c>
      <c r="G312" s="485"/>
      <c r="H312" s="243" t="str">
        <f>CONCATENATE(IF(ISNUMBER(SEARCH("Placeholder",'C-Design&amp;Const'!Z312))=TRUE,"",IF(F312="N","PLACEHOLDER ROW - ","")),'C-Design&amp;Const'!Z312,IF(F312="N","",J312))</f>
        <v xml:space="preserve">PLACEHOLDER ROW - Temperature Control Symbols, Abbreviations, and General Notes </v>
      </c>
      <c r="I312" s="552"/>
      <c r="J312" s="17"/>
      <c r="K312" s="285" t="str">
        <f t="shared" si="42"/>
        <v>no 95% match</v>
      </c>
      <c r="L312" s="1410" t="str">
        <f t="shared" si="43"/>
        <v>&lt;---PM/Planner may hide PLACEHOLDER ROW</v>
      </c>
      <c r="M312" s="1333"/>
      <c r="N312" s="1333"/>
      <c r="O312" s="1333"/>
      <c r="P312" s="1333"/>
      <c r="Q312" s="1333"/>
      <c r="R312" s="1453"/>
      <c r="S312" s="1364"/>
      <c r="T312" s="1404"/>
      <c r="U312" s="1333"/>
      <c r="V312" s="1333"/>
      <c r="W312" s="1333"/>
      <c r="X312" s="1333"/>
      <c r="Y312" s="1333"/>
      <c r="Z312" s="1333"/>
      <c r="AA312" s="1333"/>
      <c r="AB312" s="1333"/>
      <c r="AC312" s="1333"/>
      <c r="AD312" s="1333"/>
      <c r="AE312" s="1333"/>
      <c r="AF312" s="1333"/>
      <c r="AG312" s="1333"/>
      <c r="AH312" s="1333"/>
      <c r="AI312" s="1333"/>
      <c r="AJ312" s="1333"/>
      <c r="AK312" s="17"/>
      <c r="AL312" s="17"/>
      <c r="AM312" s="17"/>
      <c r="AN312" s="17"/>
      <c r="AO312" s="17"/>
      <c r="AP312" s="17"/>
      <c r="AQ312" s="17"/>
      <c r="AR312" s="17"/>
      <c r="AS312" s="17"/>
      <c r="AT312" s="17"/>
      <c r="AU312" s="17"/>
      <c r="AV312" s="17"/>
      <c r="AW312" s="17"/>
    </row>
    <row r="313" spans="1:49" s="545" customFormat="1" ht="15" hidden="1" customHeight="1" x14ac:dyDescent="0.25">
      <c r="A313" s="1517" t="str">
        <f>IF(COUNTIF('04 - 95% CD'!D313:G313,"Y")&gt;0,"Y",IF(COUNTIF('04 - 95% CD'!D313:G313,"N"),"N",""))</f>
        <v>Y</v>
      </c>
      <c r="B313" s="554"/>
      <c r="C313" s="944"/>
      <c r="D313" s="463"/>
      <c r="E313" s="463"/>
      <c r="F313" s="359" t="str">
        <f>IF('C-Design&amp;Const'!$W313="","",'C-Design&amp;Const'!$W313)</f>
        <v>N</v>
      </c>
      <c r="G313" s="291"/>
      <c r="H313" s="469" t="str">
        <f>CONCATENATE(IF(ISNUMBER(SEARCH("Placeholder",'C-Design&amp;Const'!Z313))=TRUE,"",IF(F313="N","PLACEHOLDER ROW - ","")),'C-Design&amp;Const'!Z313,IF(F313="N","",J313))</f>
        <v xml:space="preserve">PLACEHOLDER ROW - Temperature Control Demolition(s) </v>
      </c>
      <c r="I313" s="552"/>
      <c r="J313" s="551"/>
      <c r="K313" s="285" t="str">
        <f>IF((COUNTIF(D313:F313,"Y")=COUNTIF(A313,"Y")),"match","no 95% match")</f>
        <v>no 95% match</v>
      </c>
      <c r="L313" s="1410" t="str">
        <f>CONCATENATE(IF(ISNUMBER(SEARCH("Placeholder",H313))=TRUE,"&lt;---PM/Planner may hide PLACEHOLDER ROW",""))</f>
        <v>&lt;---PM/Planner may hide PLACEHOLDER ROW</v>
      </c>
      <c r="M313" s="1333"/>
      <c r="N313" s="1382"/>
      <c r="O313" s="1382"/>
      <c r="P313" s="1382"/>
      <c r="Q313" s="1382"/>
      <c r="R313" s="1382"/>
      <c r="S313" s="1382"/>
      <c r="T313" s="1382"/>
      <c r="U313" s="1382"/>
      <c r="V313" s="1382"/>
      <c r="W313" s="1382"/>
      <c r="X313" s="1382"/>
      <c r="Y313" s="1382"/>
      <c r="Z313" s="1382"/>
      <c r="AA313" s="1382"/>
      <c r="AB313" s="1382"/>
      <c r="AC313" s="1382"/>
      <c r="AD313" s="1382"/>
      <c r="AE313" s="1382"/>
      <c r="AF313" s="1382"/>
      <c r="AG313" s="1382"/>
      <c r="AH313" s="1382"/>
      <c r="AI313" s="1382"/>
      <c r="AJ313" s="1382"/>
      <c r="AK313" s="551"/>
      <c r="AL313" s="551"/>
      <c r="AM313" s="551"/>
      <c r="AN313" s="551"/>
      <c r="AO313" s="551"/>
      <c r="AP313" s="551"/>
      <c r="AQ313" s="551"/>
      <c r="AR313" s="551"/>
      <c r="AS313" s="551"/>
      <c r="AT313" s="551"/>
      <c r="AU313" s="551"/>
      <c r="AV313" s="551"/>
      <c r="AW313" s="551"/>
    </row>
    <row r="314" spans="1:49" s="542" customFormat="1" ht="18.75" hidden="1" x14ac:dyDescent="0.25">
      <c r="A314" s="1520" t="str">
        <f>IF(COUNTIF('04 - 95% CD'!D314:G314,"Y")&gt;0,"Y",IF(COUNTIF('04 - 95% CD'!D314:G314,"N"),"N",""))</f>
        <v>Y</v>
      </c>
      <c r="B314" s="125"/>
      <c r="C314" s="944"/>
      <c r="D314" s="411"/>
      <c r="E314" s="321"/>
      <c r="F314" s="559" t="str">
        <f>IF('C-Design&amp;Const'!$W314="","",'C-Design&amp;Const'!$W314)</f>
        <v>N</v>
      </c>
      <c r="G314" s="485"/>
      <c r="H314" s="243" t="str">
        <f>CONCATENATE(IF(ISNUMBER(SEARCH("Placeholder",'C-Design&amp;Const'!Z314))=TRUE,"",IF(F314="N","PLACEHOLDER ROW - ","")),'C-Design&amp;Const'!Z314,IF(F314="N","",J314))</f>
        <v xml:space="preserve">PLACEHOLDER ROW - Temperature Control Floor Plans </v>
      </c>
      <c r="I314" s="552"/>
      <c r="J314" s="17"/>
      <c r="K314" s="285" t="str">
        <f t="shared" si="42"/>
        <v>no 95% match</v>
      </c>
      <c r="L314" s="1410" t="str">
        <f t="shared" si="43"/>
        <v>&lt;---PM/Planner may hide PLACEHOLDER ROW</v>
      </c>
      <c r="M314" s="1333"/>
      <c r="N314" s="1333"/>
      <c r="O314" s="1333"/>
      <c r="P314" s="1333"/>
      <c r="Q314" s="1333"/>
      <c r="R314" s="1453"/>
      <c r="S314" s="1364"/>
      <c r="T314" s="1404"/>
      <c r="U314" s="1333"/>
      <c r="V314" s="1333"/>
      <c r="W314" s="1333"/>
      <c r="X314" s="1333"/>
      <c r="Y314" s="1333"/>
      <c r="Z314" s="1333"/>
      <c r="AA314" s="1333"/>
      <c r="AB314" s="1333"/>
      <c r="AC314" s="1333"/>
      <c r="AD314" s="1333"/>
      <c r="AE314" s="1333"/>
      <c r="AF314" s="1333"/>
      <c r="AG314" s="1333"/>
      <c r="AH314" s="1333"/>
      <c r="AI314" s="1333"/>
      <c r="AJ314" s="1333"/>
      <c r="AK314" s="17"/>
      <c r="AL314" s="17"/>
      <c r="AM314" s="17"/>
      <c r="AN314" s="17"/>
      <c r="AO314" s="17"/>
      <c r="AP314" s="17"/>
      <c r="AQ314" s="17"/>
      <c r="AR314" s="17"/>
      <c r="AS314" s="17"/>
      <c r="AT314" s="17"/>
      <c r="AU314" s="17"/>
      <c r="AV314" s="17"/>
      <c r="AW314" s="17"/>
    </row>
    <row r="315" spans="1:49" s="542" customFormat="1" ht="18.75" hidden="1" x14ac:dyDescent="0.25">
      <c r="A315" s="1520" t="str">
        <f>IF(COUNTIF('04 - 95% CD'!D315:G315,"Y")&gt;0,"Y",IF(COUNTIF('04 - 95% CD'!D315:G315,"N"),"N",""))</f>
        <v>Y</v>
      </c>
      <c r="B315" s="125"/>
      <c r="C315" s="944"/>
      <c r="D315" s="411"/>
      <c r="E315" s="321"/>
      <c r="F315" s="559" t="str">
        <f>IF('C-Design&amp;Const'!$W315="","",'C-Design&amp;Const'!$W315)</f>
        <v>N</v>
      </c>
      <c r="G315" s="485"/>
      <c r="H315" s="243" t="str">
        <f>CONCATENATE(IF(ISNUMBER(SEARCH("Placeholder",'C-Design&amp;Const'!Z315))=TRUE,"",IF(F315="N","PLACEHOLDER ROW - ","")),'C-Design&amp;Const'!Z315,IF(F315="N","",J315))</f>
        <v>PLACEHOLDER ROW - Temperature Control Sequences, Schedules, and Diagrams</v>
      </c>
      <c r="I315" s="552"/>
      <c r="J315" s="17"/>
      <c r="K315" s="285" t="str">
        <f t="shared" si="42"/>
        <v>no 95% match</v>
      </c>
      <c r="L315" s="1410" t="str">
        <f t="shared" si="43"/>
        <v>&lt;---PM/Planner may hide PLACEHOLDER ROW</v>
      </c>
      <c r="M315" s="1333"/>
      <c r="N315" s="1333"/>
      <c r="O315" s="1333"/>
      <c r="P315" s="1333"/>
      <c r="Q315" s="1333"/>
      <c r="R315" s="1453"/>
      <c r="S315" s="1364"/>
      <c r="T315" s="1404"/>
      <c r="U315" s="1333"/>
      <c r="V315" s="1333"/>
      <c r="W315" s="1333"/>
      <c r="X315" s="1333"/>
      <c r="Y315" s="1333"/>
      <c r="Z315" s="1333"/>
      <c r="AA315" s="1333"/>
      <c r="AB315" s="1333"/>
      <c r="AC315" s="1333"/>
      <c r="AD315" s="1333"/>
      <c r="AE315" s="1333"/>
      <c r="AF315" s="1333"/>
      <c r="AG315" s="1333"/>
      <c r="AH315" s="1333"/>
      <c r="AI315" s="1333"/>
      <c r="AJ315" s="1333"/>
      <c r="AK315" s="17"/>
      <c r="AL315" s="17"/>
      <c r="AM315" s="17"/>
      <c r="AN315" s="17"/>
      <c r="AO315" s="17"/>
      <c r="AP315" s="17"/>
      <c r="AQ315" s="17"/>
      <c r="AR315" s="17"/>
      <c r="AS315" s="17"/>
      <c r="AT315" s="17"/>
      <c r="AU315" s="17"/>
      <c r="AV315" s="17"/>
      <c r="AW315" s="17"/>
    </row>
    <row r="316" spans="1:49" ht="18.75" hidden="1" x14ac:dyDescent="0.25">
      <c r="A316" s="1407" t="str">
        <f>IF(COUNTIF('04 - 95% CD'!D316:G316,"Y")&gt;0,"Y",IF(COUNTIF('04 - 95% CD'!D316:G316,"N"),"N",""))</f>
        <v>Y</v>
      </c>
      <c r="B316" s="125"/>
      <c r="C316" s="944"/>
      <c r="D316" s="411"/>
      <c r="E316" s="559" t="str">
        <f>IF('C-Design&amp;Const'!$W316="","",'C-Design&amp;Const'!$W316)</f>
        <v>N</v>
      </c>
      <c r="F316" s="478"/>
      <c r="G316" s="485"/>
      <c r="H316" s="244" t="str">
        <f>CONCATENATE(IF(ISNUMBER(SEARCH("Placeholder",'C-Design&amp;Const'!Z316))=TRUE,"",IF(E316="N","PLACEHOLDER ROW - ","")),'C-Design&amp;Const'!Z316,IF(E316="N","",J316))</f>
        <v>PLACEHOLDER ROW - Electrical Drawings</v>
      </c>
      <c r="I316" s="552"/>
      <c r="K316" s="285" t="str">
        <f t="shared" si="35"/>
        <v>no 95% match</v>
      </c>
      <c r="L316" s="1410" t="str">
        <f t="shared" si="33"/>
        <v>&lt;---PM/Planner may hide PLACEHOLDER ROW</v>
      </c>
      <c r="M316" s="1333"/>
      <c r="N316" s="1333"/>
      <c r="O316" s="1333"/>
      <c r="P316" s="1333"/>
      <c r="Q316" s="1333"/>
      <c r="R316" s="1453"/>
      <c r="S316" s="1364"/>
      <c r="T316" s="1404"/>
      <c r="U316" s="1333"/>
      <c r="V316" s="1333"/>
      <c r="W316" s="1333"/>
      <c r="X316" s="1333"/>
      <c r="Y316" s="1333"/>
      <c r="Z316" s="1333"/>
      <c r="AA316" s="1333"/>
      <c r="AB316" s="1333"/>
      <c r="AC316" s="1333"/>
      <c r="AD316" s="1333"/>
      <c r="AE316" s="1333"/>
      <c r="AF316" s="1333"/>
      <c r="AG316" s="1333"/>
      <c r="AH316" s="1333"/>
      <c r="AI316" s="1333"/>
      <c r="AJ316" s="1333"/>
    </row>
    <row r="317" spans="1:49" s="545" customFormat="1" ht="15" hidden="1" customHeight="1" x14ac:dyDescent="0.25">
      <c r="A317" s="1517" t="str">
        <f>IF(COUNTIF('04 - 95% CD'!D318:G318,"Y")&gt;0,"Y",IF(COUNTIF('04 - 95% CD'!D318:G318,"N"),"N",""))</f>
        <v>N</v>
      </c>
      <c r="B317" s="554"/>
      <c r="C317" s="944"/>
      <c r="D317" s="463"/>
      <c r="E317" s="463"/>
      <c r="F317" s="359" t="str">
        <f>IF('C-Design&amp;Const'!$W317="","",'C-Design&amp;Const'!$W317)</f>
        <v>N</v>
      </c>
      <c r="G317" s="291"/>
      <c r="H317" s="469" t="str">
        <f>CONCATENATE(IF(ISNUMBER(SEARCH("Placeholder",'C-Design&amp;Const'!Z317))=TRUE,"",IF(F317="N","PLACEHOLDER ROW - ","")),'C-Design&amp;Const'!Z317,IF(F317="N","",J317))</f>
        <v xml:space="preserve">PLACEHOLDER ROW - CUSTOM - Electrical  </v>
      </c>
      <c r="I317" s="552"/>
      <c r="J317" s="551"/>
      <c r="K317" s="285" t="str">
        <f t="shared" si="35"/>
        <v>match</v>
      </c>
      <c r="L317" s="1410" t="str">
        <f t="shared" si="33"/>
        <v>&lt;---PM/Planner may hide PLACEHOLDER ROW</v>
      </c>
      <c r="M317" s="1333"/>
      <c r="N317" s="1382"/>
      <c r="O317" s="1382"/>
      <c r="P317" s="1382"/>
      <c r="Q317" s="1382"/>
      <c r="R317" s="1382"/>
      <c r="S317" s="1382"/>
      <c r="T317" s="1382"/>
      <c r="U317" s="1382"/>
      <c r="V317" s="1382"/>
      <c r="W317" s="1382"/>
      <c r="X317" s="1382"/>
      <c r="Y317" s="1382"/>
      <c r="Z317" s="1382"/>
      <c r="AA317" s="1382"/>
      <c r="AB317" s="1382"/>
      <c r="AC317" s="1382"/>
      <c r="AD317" s="1382"/>
      <c r="AE317" s="1382"/>
      <c r="AF317" s="1382"/>
      <c r="AG317" s="1382"/>
      <c r="AH317" s="1382"/>
      <c r="AI317" s="1382"/>
      <c r="AJ317" s="1382"/>
      <c r="AK317" s="551"/>
      <c r="AL317" s="551"/>
      <c r="AM317" s="551"/>
      <c r="AN317" s="551"/>
      <c r="AO317" s="551"/>
      <c r="AP317" s="551"/>
      <c r="AQ317" s="551"/>
      <c r="AR317" s="551"/>
      <c r="AS317" s="551"/>
      <c r="AT317" s="551"/>
      <c r="AU317" s="551"/>
      <c r="AV317" s="551"/>
      <c r="AW317" s="551"/>
    </row>
    <row r="318" spans="1:49" s="545" customFormat="1" ht="15" hidden="1" customHeight="1" x14ac:dyDescent="0.25">
      <c r="A318" s="1517" t="str">
        <f>IF(COUNTIF('04 - 95% CD'!D319:G319,"Y")&gt;0,"Y",IF(COUNTIF('04 - 95% CD'!D319:G319,"N"),"N",""))</f>
        <v>Y</v>
      </c>
      <c r="B318" s="554"/>
      <c r="C318" s="944"/>
      <c r="D318" s="463"/>
      <c r="E318" s="463"/>
      <c r="F318" s="359" t="str">
        <f>IF('C-Design&amp;Const'!$W318="","",'C-Design&amp;Const'!$W318)</f>
        <v>N</v>
      </c>
      <c r="G318" s="291"/>
      <c r="H318" s="469" t="str">
        <f>CONCATENATE(IF(ISNUMBER(SEARCH("Placeholder",'C-Design&amp;Const'!Z318))=TRUE,"",IF(F318="N","PLACEHOLDER ROW - ","")),'C-Design&amp;Const'!Z318,IF(F318="N","",J318))</f>
        <v xml:space="preserve">PLACEHOLDER ROW - CUSTOM - Electrical  </v>
      </c>
      <c r="I318" s="552"/>
      <c r="J318" s="551"/>
      <c r="K318" s="285" t="str">
        <f t="shared" si="35"/>
        <v>no 95% match</v>
      </c>
      <c r="L318" s="1410" t="str">
        <f t="shared" si="33"/>
        <v>&lt;---PM/Planner may hide PLACEHOLDER ROW</v>
      </c>
      <c r="M318" s="1333"/>
      <c r="N318" s="1382"/>
      <c r="O318" s="1382"/>
      <c r="P318" s="1382"/>
      <c r="Q318" s="1382"/>
      <c r="R318" s="1382"/>
      <c r="S318" s="1382"/>
      <c r="T318" s="1382"/>
      <c r="U318" s="1382"/>
      <c r="V318" s="1382"/>
      <c r="W318" s="1382"/>
      <c r="X318" s="1382"/>
      <c r="Y318" s="1382"/>
      <c r="Z318" s="1382"/>
      <c r="AA318" s="1382"/>
      <c r="AB318" s="1382"/>
      <c r="AC318" s="1382"/>
      <c r="AD318" s="1382"/>
      <c r="AE318" s="1382"/>
      <c r="AF318" s="1382"/>
      <c r="AG318" s="1382"/>
      <c r="AH318" s="1382"/>
      <c r="AI318" s="1382"/>
      <c r="AJ318" s="1382"/>
      <c r="AK318" s="551"/>
      <c r="AL318" s="551"/>
      <c r="AM318" s="551"/>
      <c r="AN318" s="551"/>
      <c r="AO318" s="551"/>
      <c r="AP318" s="551"/>
      <c r="AQ318" s="551"/>
      <c r="AR318" s="551"/>
      <c r="AS318" s="551"/>
      <c r="AT318" s="551"/>
      <c r="AU318" s="551"/>
      <c r="AV318" s="551"/>
      <c r="AW318" s="551"/>
    </row>
    <row r="319" spans="1:49" s="542" customFormat="1" ht="18.75" hidden="1" x14ac:dyDescent="0.25">
      <c r="A319" s="1520" t="str">
        <f>IF(COUNTIF('04 - 95% CD'!D319:G319,"Y")&gt;0,"Y",IF(COUNTIF('04 - 95% CD'!D319:G319,"N"),"N",""))</f>
        <v>Y</v>
      </c>
      <c r="B319" s="125"/>
      <c r="C319" s="944"/>
      <c r="D319" s="411"/>
      <c r="E319" s="321"/>
      <c r="F319" s="559" t="str">
        <f>IF('C-Design&amp;Const'!$W319="","",'C-Design&amp;Const'!$W319)</f>
        <v>N</v>
      </c>
      <c r="G319" s="485"/>
      <c r="H319" s="243" t="str">
        <f>CONCATENATE(IF(ISNUMBER(SEARCH("Placeholder",'C-Design&amp;Const'!Z319))=TRUE,"",IF(F319="N","PLACEHOLDER ROW - ","")),'C-Design&amp;Const'!Z319,IF(F319="N","",J319))</f>
        <v xml:space="preserve">PLACEHOLDER ROW - Electrical Symbols, Abbreviations, and General Notes </v>
      </c>
      <c r="I319" s="552"/>
      <c r="J319" s="17"/>
      <c r="K319" s="285" t="str">
        <f t="shared" si="35"/>
        <v>no 95% match</v>
      </c>
      <c r="L319" s="1410" t="str">
        <f t="shared" si="33"/>
        <v>&lt;---PM/Planner may hide PLACEHOLDER ROW</v>
      </c>
      <c r="M319" s="1333"/>
      <c r="N319" s="1333"/>
      <c r="O319" s="1333"/>
      <c r="P319" s="1333"/>
      <c r="Q319" s="1333"/>
      <c r="R319" s="1453"/>
      <c r="S319" s="1364"/>
      <c r="T319" s="1404"/>
      <c r="U319" s="1333"/>
      <c r="V319" s="1333"/>
      <c r="W319" s="1333"/>
      <c r="X319" s="1333"/>
      <c r="Y319" s="1333"/>
      <c r="Z319" s="1333"/>
      <c r="AA319" s="1333"/>
      <c r="AB319" s="1333"/>
      <c r="AC319" s="1333"/>
      <c r="AD319" s="1333"/>
      <c r="AE319" s="1333"/>
      <c r="AF319" s="1333"/>
      <c r="AG319" s="1333"/>
      <c r="AH319" s="1333"/>
      <c r="AI319" s="1333"/>
      <c r="AJ319" s="1333"/>
      <c r="AK319" s="17"/>
      <c r="AL319" s="17"/>
      <c r="AM319" s="17"/>
      <c r="AN319" s="17"/>
      <c r="AO319" s="17"/>
      <c r="AP319" s="17"/>
      <c r="AQ319" s="17"/>
      <c r="AR319" s="17"/>
      <c r="AS319" s="17"/>
      <c r="AT319" s="17"/>
      <c r="AU319" s="17"/>
      <c r="AV319" s="17"/>
      <c r="AW319" s="17"/>
    </row>
    <row r="320" spans="1:49" s="545" customFormat="1" ht="15" hidden="1" customHeight="1" x14ac:dyDescent="0.25">
      <c r="A320" s="1517" t="str">
        <f>IF(COUNTIF('04 - 95% CD'!D320:G320,"Y")&gt;0,"Y",IF(COUNTIF('04 - 95% CD'!D320:G320,"N"),"N",""))</f>
        <v>Y</v>
      </c>
      <c r="B320" s="554"/>
      <c r="C320" s="944"/>
      <c r="D320" s="463"/>
      <c r="E320" s="463"/>
      <c r="F320" s="359" t="str">
        <f>IF('C-Design&amp;Const'!$W320="","",'C-Design&amp;Const'!$W320)</f>
        <v>N</v>
      </c>
      <c r="G320" s="291"/>
      <c r="H320" s="469" t="str">
        <f>CONCATENATE(IF(ISNUMBER(SEARCH("Placeholder",'C-Design&amp;Const'!Z320))=TRUE,"",IF(F320="N","PLACEHOLDER ROW - ","")),'C-Design&amp;Const'!Z320,IF(F320="N","",J320))</f>
        <v xml:space="preserve">PLACEHOLDER ROW - Electrical Demolition(s) </v>
      </c>
      <c r="I320" s="552"/>
      <c r="J320" s="551"/>
      <c r="K320" s="285" t="str">
        <f>IF((COUNTIF(D320:F320,"Y")=COUNTIF(A320,"Y")),"match","no 95% match")</f>
        <v>no 95% match</v>
      </c>
      <c r="L320" s="1410" t="str">
        <f>CONCATENATE(IF(ISNUMBER(SEARCH("Placeholder",H320))=TRUE,"&lt;---PM/Planner may hide PLACEHOLDER ROW",""))</f>
        <v>&lt;---PM/Planner may hide PLACEHOLDER ROW</v>
      </c>
      <c r="M320" s="1333"/>
      <c r="N320" s="1382"/>
      <c r="O320" s="1382"/>
      <c r="P320" s="1382"/>
      <c r="Q320" s="1382"/>
      <c r="R320" s="1382"/>
      <c r="S320" s="1382"/>
      <c r="T320" s="1382"/>
      <c r="U320" s="1382"/>
      <c r="V320" s="1382"/>
      <c r="W320" s="1382"/>
      <c r="X320" s="1382"/>
      <c r="Y320" s="1382"/>
      <c r="Z320" s="1382"/>
      <c r="AA320" s="1382"/>
      <c r="AB320" s="1382"/>
      <c r="AC320" s="1382"/>
      <c r="AD320" s="1382"/>
      <c r="AE320" s="1382"/>
      <c r="AF320" s="1382"/>
      <c r="AG320" s="1382"/>
      <c r="AH320" s="1382"/>
      <c r="AI320" s="1382"/>
      <c r="AJ320" s="1382"/>
      <c r="AK320" s="551"/>
      <c r="AL320" s="551"/>
      <c r="AM320" s="551"/>
      <c r="AN320" s="551"/>
      <c r="AO320" s="551"/>
      <c r="AP320" s="551"/>
      <c r="AQ320" s="551"/>
      <c r="AR320" s="551"/>
      <c r="AS320" s="551"/>
      <c r="AT320" s="551"/>
      <c r="AU320" s="551"/>
      <c r="AV320" s="551"/>
      <c r="AW320" s="551"/>
    </row>
    <row r="321" spans="1:49" s="542" customFormat="1" ht="18.75" hidden="1" x14ac:dyDescent="0.25">
      <c r="A321" s="1520" t="str">
        <f>IF(COUNTIF('04 - 95% CD'!D321:G321,"Y")&gt;0,"Y",IF(COUNTIF('04 - 95% CD'!D321:G321,"N"),"N",""))</f>
        <v>Y</v>
      </c>
      <c r="B321" s="125"/>
      <c r="C321" s="944"/>
      <c r="D321" s="411"/>
      <c r="E321" s="321"/>
      <c r="F321" s="559" t="str">
        <f>IF('C-Design&amp;Const'!$W321="","",'C-Design&amp;Const'!$W321)</f>
        <v>N</v>
      </c>
      <c r="G321" s="485"/>
      <c r="H321" s="243" t="str">
        <f>CONCATENATE(IF(ISNUMBER(SEARCH("Placeholder",'C-Design&amp;Const'!Z321))=TRUE,"",IF(F321="N","PLACEHOLDER ROW - ","")),'C-Design&amp;Const'!Z321,IF(F321="N","",J321))</f>
        <v xml:space="preserve">PLACEHOLDER ROW - Electrical Floor Plans w/ Devices for Power </v>
      </c>
      <c r="I321" s="552"/>
      <c r="J321" s="17"/>
      <c r="K321" s="285" t="str">
        <f t="shared" si="35"/>
        <v>no 95% match</v>
      </c>
      <c r="L321" s="1410" t="str">
        <f t="shared" si="33"/>
        <v>&lt;---PM/Planner may hide PLACEHOLDER ROW</v>
      </c>
      <c r="M321" s="1333"/>
      <c r="N321" s="1333"/>
      <c r="O321" s="1333"/>
      <c r="P321" s="1333"/>
      <c r="Q321" s="1333"/>
      <c r="R321" s="1453"/>
      <c r="S321" s="1364"/>
      <c r="T321" s="1404"/>
      <c r="U321" s="1333"/>
      <c r="V321" s="1333"/>
      <c r="W321" s="1333"/>
      <c r="X321" s="1333"/>
      <c r="Y321" s="1333"/>
      <c r="Z321" s="1333"/>
      <c r="AA321" s="1333"/>
      <c r="AB321" s="1333"/>
      <c r="AC321" s="1333"/>
      <c r="AD321" s="1333"/>
      <c r="AE321" s="1333"/>
      <c r="AF321" s="1333"/>
      <c r="AG321" s="1333"/>
      <c r="AH321" s="1333"/>
      <c r="AI321" s="1333"/>
      <c r="AJ321" s="1333"/>
      <c r="AK321" s="17"/>
      <c r="AL321" s="17"/>
      <c r="AM321" s="17"/>
      <c r="AN321" s="17"/>
      <c r="AO321" s="17"/>
      <c r="AP321" s="17"/>
      <c r="AQ321" s="17"/>
      <c r="AR321" s="17"/>
      <c r="AS321" s="17"/>
      <c r="AT321" s="17"/>
      <c r="AU321" s="17"/>
      <c r="AV321" s="17"/>
      <c r="AW321" s="17"/>
    </row>
    <row r="322" spans="1:49" s="542" customFormat="1" ht="18.75" hidden="1" x14ac:dyDescent="0.25">
      <c r="A322" s="1520" t="str">
        <f>IF(COUNTIF('04 - 95% CD'!D322:G322,"Y")&gt;0,"Y",IF(COUNTIF('04 - 95% CD'!D322:G322,"N"),"N",""))</f>
        <v>Y</v>
      </c>
      <c r="B322" s="125"/>
      <c r="C322" s="944"/>
      <c r="D322" s="411"/>
      <c r="E322" s="321"/>
      <c r="F322" s="559" t="str">
        <f>IF('C-Design&amp;Const'!$W322="","",'C-Design&amp;Const'!$W322)</f>
        <v>N</v>
      </c>
      <c r="G322" s="485"/>
      <c r="H322" s="243" t="str">
        <f>CONCATENATE(IF(ISNUMBER(SEARCH("Placeholder",'C-Design&amp;Const'!Z322))=TRUE,"",IF(F322="N","PLACEHOLDER ROW - ","")),'C-Design&amp;Const'!Z322,IF(F322="N","",J322))</f>
        <v xml:space="preserve">PLACEHOLDER ROW - Electrical Lighting Plans; Power Plans </v>
      </c>
      <c r="I322" s="552"/>
      <c r="J322" s="17"/>
      <c r="K322" s="285" t="str">
        <f t="shared" si="35"/>
        <v>no 95% match</v>
      </c>
      <c r="L322" s="1410" t="str">
        <f t="shared" si="33"/>
        <v>&lt;---PM/Planner may hide PLACEHOLDER ROW</v>
      </c>
      <c r="M322" s="1333"/>
      <c r="N322" s="1333"/>
      <c r="O322" s="1333"/>
      <c r="P322" s="1333"/>
      <c r="Q322" s="1333"/>
      <c r="R322" s="1453"/>
      <c r="S322" s="1364"/>
      <c r="T322" s="1404"/>
      <c r="U322" s="1333"/>
      <c r="V322" s="1333"/>
      <c r="W322" s="1333"/>
      <c r="X322" s="1333"/>
      <c r="Y322" s="1333"/>
      <c r="Z322" s="1333"/>
      <c r="AA322" s="1333"/>
      <c r="AB322" s="1333"/>
      <c r="AC322" s="1333"/>
      <c r="AD322" s="1333"/>
      <c r="AE322" s="1333"/>
      <c r="AF322" s="1333"/>
      <c r="AG322" s="1333"/>
      <c r="AH322" s="1333"/>
      <c r="AI322" s="1333"/>
      <c r="AJ322" s="1333"/>
      <c r="AK322" s="17"/>
      <c r="AL322" s="17"/>
      <c r="AM322" s="17"/>
      <c r="AN322" s="17"/>
      <c r="AO322" s="17"/>
      <c r="AP322" s="17"/>
      <c r="AQ322" s="17"/>
      <c r="AR322" s="17"/>
      <c r="AS322" s="17"/>
      <c r="AT322" s="17"/>
      <c r="AU322" s="17"/>
      <c r="AV322" s="17"/>
      <c r="AW322" s="17"/>
    </row>
    <row r="323" spans="1:49" s="542" customFormat="1" ht="18.75" hidden="1" x14ac:dyDescent="0.25">
      <c r="A323" s="1520" t="str">
        <f>IF(COUNTIF('04 - 95% CD'!D323:G323,"Y")&gt;0,"Y",IF(COUNTIF('04 - 95% CD'!D323:G323,"N"),"N",""))</f>
        <v>Y</v>
      </c>
      <c r="B323" s="125"/>
      <c r="C323" s="944"/>
      <c r="D323" s="411"/>
      <c r="E323" s="321"/>
      <c r="F323" s="559" t="str">
        <f>IF('C-Design&amp;Const'!$W323="","",'C-Design&amp;Const'!$W323)</f>
        <v>N</v>
      </c>
      <c r="G323" s="485"/>
      <c r="H323" s="243" t="str">
        <f>CONCATENATE(IF(ISNUMBER(SEARCH("Placeholder",'C-Design&amp;Const'!Z323))=TRUE,"",IF(F323="N","PLACEHOLDER ROW - ","")),'C-Design&amp;Const'!Z323,IF(F323="N","",J323))</f>
        <v xml:space="preserve">PLACEHOLDER ROW - Electrical Primary Feed Diagrams </v>
      </c>
      <c r="I323" s="552"/>
      <c r="J323" s="17"/>
      <c r="K323" s="285" t="str">
        <f t="shared" si="35"/>
        <v>no 95% match</v>
      </c>
      <c r="L323" s="1410" t="str">
        <f t="shared" si="33"/>
        <v>&lt;---PM/Planner may hide PLACEHOLDER ROW</v>
      </c>
      <c r="M323" s="1333"/>
      <c r="N323" s="1333"/>
      <c r="O323" s="1333"/>
      <c r="P323" s="1333"/>
      <c r="Q323" s="1333"/>
      <c r="R323" s="1453"/>
      <c r="S323" s="1364"/>
      <c r="T323" s="1404"/>
      <c r="U323" s="1333"/>
      <c r="V323" s="1333"/>
      <c r="W323" s="1333"/>
      <c r="X323" s="1333"/>
      <c r="Y323" s="1333"/>
      <c r="Z323" s="1333"/>
      <c r="AA323" s="1333"/>
      <c r="AB323" s="1333"/>
      <c r="AC323" s="1333"/>
      <c r="AD323" s="1333"/>
      <c r="AE323" s="1333"/>
      <c r="AF323" s="1333"/>
      <c r="AG323" s="1333"/>
      <c r="AH323" s="1333"/>
      <c r="AI323" s="1333"/>
      <c r="AJ323" s="1333"/>
      <c r="AK323" s="17"/>
      <c r="AL323" s="17"/>
      <c r="AM323" s="17"/>
      <c r="AN323" s="17"/>
      <c r="AO323" s="17"/>
      <c r="AP323" s="17"/>
      <c r="AQ323" s="17"/>
      <c r="AR323" s="17"/>
      <c r="AS323" s="17"/>
      <c r="AT323" s="17"/>
      <c r="AU323" s="17"/>
      <c r="AV323" s="17"/>
      <c r="AW323" s="17"/>
    </row>
    <row r="324" spans="1:49" s="542" customFormat="1" ht="18.75" hidden="1" x14ac:dyDescent="0.25">
      <c r="A324" s="1520" t="str">
        <f>IF(COUNTIF('04 - 95% CD'!D324:G324,"Y")&gt;0,"Y",IF(COUNTIF('04 - 95% CD'!D324:G324,"N"),"N",""))</f>
        <v>Y</v>
      </c>
      <c r="B324" s="125"/>
      <c r="C324" s="944"/>
      <c r="D324" s="411"/>
      <c r="E324" s="321"/>
      <c r="F324" s="559" t="str">
        <f>IF('C-Design&amp;Const'!$W324="","",'C-Design&amp;Const'!$W324)</f>
        <v>N</v>
      </c>
      <c r="G324" s="485"/>
      <c r="H324" s="243" t="str">
        <f>CONCATENATE(IF(ISNUMBER(SEARCH("Placeholder",'C-Design&amp;Const'!Z324))=TRUE,"",IF(F324="N","PLACEHOLDER ROW - ","")),'C-Design&amp;Const'!Z324,IF(F324="N","",J324))</f>
        <v xml:space="preserve">PLACEHOLDER ROW - Electrical Feeder Schedule </v>
      </c>
      <c r="I324" s="552"/>
      <c r="J324" s="17"/>
      <c r="K324" s="285" t="str">
        <f t="shared" si="35"/>
        <v>no 95% match</v>
      </c>
      <c r="L324" s="1410" t="str">
        <f t="shared" si="33"/>
        <v>&lt;---PM/Planner may hide PLACEHOLDER ROW</v>
      </c>
      <c r="M324" s="1333"/>
      <c r="N324" s="1333"/>
      <c r="O324" s="1333"/>
      <c r="P324" s="1333"/>
      <c r="Q324" s="1333"/>
      <c r="R324" s="1453"/>
      <c r="S324" s="1364"/>
      <c r="T324" s="1404"/>
      <c r="U324" s="1333"/>
      <c r="V324" s="1333"/>
      <c r="W324" s="1333"/>
      <c r="X324" s="1333"/>
      <c r="Y324" s="1333"/>
      <c r="Z324" s="1333"/>
      <c r="AA324" s="1333"/>
      <c r="AB324" s="1333"/>
      <c r="AC324" s="1333"/>
      <c r="AD324" s="1333"/>
      <c r="AE324" s="1333"/>
      <c r="AF324" s="1333"/>
      <c r="AG324" s="1333"/>
      <c r="AH324" s="1333"/>
      <c r="AI324" s="1333"/>
      <c r="AJ324" s="1333"/>
      <c r="AK324" s="17"/>
      <c r="AL324" s="17"/>
      <c r="AM324" s="17"/>
      <c r="AN324" s="17"/>
      <c r="AO324" s="17"/>
      <c r="AP324" s="17"/>
      <c r="AQ324" s="17"/>
      <c r="AR324" s="17"/>
      <c r="AS324" s="17"/>
      <c r="AT324" s="17"/>
      <c r="AU324" s="17"/>
      <c r="AV324" s="17"/>
      <c r="AW324" s="17"/>
    </row>
    <row r="325" spans="1:49" s="542" customFormat="1" ht="18.75" hidden="1" x14ac:dyDescent="0.25">
      <c r="A325" s="1520" t="str">
        <f>IF(COUNTIF('04 - 95% CD'!D325:G325,"Y")&gt;0,"Y",IF(COUNTIF('04 - 95% CD'!D325:G325,"N"),"N",""))</f>
        <v>Y</v>
      </c>
      <c r="B325" s="125"/>
      <c r="C325" s="944"/>
      <c r="D325" s="411"/>
      <c r="E325" s="321"/>
      <c r="F325" s="559" t="str">
        <f>IF('C-Design&amp;Const'!$W325="","",'C-Design&amp;Const'!$W325)</f>
        <v>N</v>
      </c>
      <c r="G325" s="485"/>
      <c r="H325" s="243" t="str">
        <f>CONCATENATE(IF(ISNUMBER(SEARCH("Placeholder",'C-Design&amp;Const'!Z325))=TRUE,"",IF(F325="N","PLACEHOLDER ROW - ","")),'C-Design&amp;Const'!Z325,IF(F325="N","",J325))</f>
        <v xml:space="preserve">PLACEHOLDER ROW - Electrical Secondary Riser Diagrams </v>
      </c>
      <c r="I325" s="552"/>
      <c r="J325" s="17"/>
      <c r="K325" s="285" t="str">
        <f t="shared" si="35"/>
        <v>no 95% match</v>
      </c>
      <c r="L325" s="1410" t="str">
        <f t="shared" si="33"/>
        <v>&lt;---PM/Planner may hide PLACEHOLDER ROW</v>
      </c>
      <c r="M325" s="1333"/>
      <c r="N325" s="1333"/>
      <c r="O325" s="1333"/>
      <c r="P325" s="1333"/>
      <c r="Q325" s="1333"/>
      <c r="R325" s="1284"/>
      <c r="S325" s="1513"/>
      <c r="T325" s="1404"/>
      <c r="U325" s="1333"/>
      <c r="V325" s="1333"/>
      <c r="W325" s="1333"/>
      <c r="X325" s="1333"/>
      <c r="Y325" s="1333"/>
      <c r="Z325" s="1333"/>
      <c r="AA325" s="1333"/>
      <c r="AB325" s="1333"/>
      <c r="AC325" s="1333"/>
      <c r="AD325" s="1333"/>
      <c r="AE325" s="1333"/>
      <c r="AF325" s="1333"/>
      <c r="AG325" s="1333"/>
      <c r="AH325" s="1333"/>
      <c r="AI325" s="1333"/>
      <c r="AJ325" s="1333"/>
      <c r="AK325" s="17"/>
      <c r="AL325" s="17"/>
      <c r="AM325" s="17"/>
      <c r="AN325" s="17"/>
      <c r="AO325" s="17"/>
      <c r="AP325" s="17"/>
      <c r="AQ325" s="17"/>
      <c r="AR325" s="17"/>
      <c r="AS325" s="17"/>
      <c r="AT325" s="17"/>
      <c r="AU325" s="17"/>
      <c r="AV325" s="17"/>
      <c r="AW325" s="17"/>
    </row>
    <row r="326" spans="1:49" s="542" customFormat="1" ht="18.75" hidden="1" x14ac:dyDescent="0.25">
      <c r="A326" s="1520" t="str">
        <f>IF(COUNTIF('04 - 95% CD'!D326:G326,"Y")&gt;0,"Y",IF(COUNTIF('04 - 95% CD'!D326:G326,"N"),"N",""))</f>
        <v>Y</v>
      </c>
      <c r="B326" s="125"/>
      <c r="C326" s="944"/>
      <c r="D326" s="411"/>
      <c r="E326" s="321"/>
      <c r="F326" s="559" t="str">
        <f>IF('C-Design&amp;Const'!$W326="","",'C-Design&amp;Const'!$W326)</f>
        <v>N</v>
      </c>
      <c r="G326" s="485"/>
      <c r="H326" s="243" t="str">
        <f>CONCATENATE(IF(ISNUMBER(SEARCH("Placeholder",'C-Design&amp;Const'!Z326))=TRUE,"",IF(F326="N","PLACEHOLDER ROW - ","")),'C-Design&amp;Const'!Z326,IF(F326="N","",J326))</f>
        <v xml:space="preserve">PLACEHOLDER ROW - Electrical Power Distribution Schedule </v>
      </c>
      <c r="I326" s="552"/>
      <c r="J326" s="17"/>
      <c r="K326" s="285" t="str">
        <f t="shared" si="35"/>
        <v>no 95% match</v>
      </c>
      <c r="L326" s="1410" t="str">
        <f t="shared" si="33"/>
        <v>&lt;---PM/Planner may hide PLACEHOLDER ROW</v>
      </c>
      <c r="M326" s="1333"/>
      <c r="N326" s="1333"/>
      <c r="O326" s="1333"/>
      <c r="P326" s="1333"/>
      <c r="Q326" s="1333"/>
      <c r="R326" s="1453"/>
      <c r="S326" s="1364"/>
      <c r="T326" s="1404"/>
      <c r="U326" s="1333"/>
      <c r="V326" s="1333"/>
      <c r="W326" s="1333"/>
      <c r="X326" s="1333"/>
      <c r="Y326" s="1333"/>
      <c r="Z326" s="1333"/>
      <c r="AA326" s="1333"/>
      <c r="AB326" s="1333"/>
      <c r="AC326" s="1333"/>
      <c r="AD326" s="1333"/>
      <c r="AE326" s="1333"/>
      <c r="AF326" s="1333"/>
      <c r="AG326" s="1333"/>
      <c r="AH326" s="1333"/>
      <c r="AI326" s="1333"/>
      <c r="AJ326" s="1333"/>
      <c r="AK326" s="17"/>
      <c r="AL326" s="17"/>
      <c r="AM326" s="17"/>
      <c r="AN326" s="17"/>
      <c r="AO326" s="17"/>
      <c r="AP326" s="17"/>
      <c r="AQ326" s="17"/>
      <c r="AR326" s="17"/>
      <c r="AS326" s="17"/>
      <c r="AT326" s="17"/>
      <c r="AU326" s="17"/>
      <c r="AV326" s="17"/>
      <c r="AW326" s="17"/>
    </row>
    <row r="327" spans="1:49" s="542" customFormat="1" ht="18.75" hidden="1" x14ac:dyDescent="0.25">
      <c r="A327" s="1520" t="str">
        <f>IF(COUNTIF('04 - 95% CD'!D327:G327,"Y")&gt;0,"Y",IF(COUNTIF('04 - 95% CD'!D327:G327,"N"),"N",""))</f>
        <v>Y</v>
      </c>
      <c r="B327" s="125"/>
      <c r="C327" s="944"/>
      <c r="D327" s="411"/>
      <c r="E327" s="321"/>
      <c r="F327" s="559" t="str">
        <f>IF('C-Design&amp;Const'!$W327="","",'C-Design&amp;Const'!$W327)</f>
        <v>N</v>
      </c>
      <c r="G327" s="485"/>
      <c r="H327" s="243" t="str">
        <f>CONCATENATE(IF(ISNUMBER(SEARCH("Placeholder",'C-Design&amp;Const'!Z327))=TRUE,"",IF(F327="N","PLACEHOLDER ROW - ","")),'C-Design&amp;Const'!Z327,IF(F327="N","",J327))</f>
        <v xml:space="preserve">PLACEHOLDER ROW - Electrical Grounding Riser Diagram </v>
      </c>
      <c r="I327" s="552"/>
      <c r="J327" s="17"/>
      <c r="K327" s="285" t="str">
        <f t="shared" si="35"/>
        <v>no 95% match</v>
      </c>
      <c r="L327" s="1410" t="str">
        <f t="shared" ref="L327:L400" si="44">CONCATENATE(IF(ISNUMBER(SEARCH("Placeholder",H327))=TRUE,"&lt;---PM/Planner may hide PLACEHOLDER ROW",""))</f>
        <v>&lt;---PM/Planner may hide PLACEHOLDER ROW</v>
      </c>
      <c r="M327" s="1333"/>
      <c r="N327" s="1333"/>
      <c r="O327" s="1333"/>
      <c r="P327" s="1333"/>
      <c r="Q327" s="1333"/>
      <c r="R327" s="1453"/>
      <c r="S327" s="1364"/>
      <c r="T327" s="1404"/>
      <c r="U327" s="1333"/>
      <c r="V327" s="1333"/>
      <c r="W327" s="1333"/>
      <c r="X327" s="1333"/>
      <c r="Y327" s="1333"/>
      <c r="Z327" s="1333"/>
      <c r="AA327" s="1333"/>
      <c r="AB327" s="1333"/>
      <c r="AC327" s="1333"/>
      <c r="AD327" s="1333"/>
      <c r="AE327" s="1333"/>
      <c r="AF327" s="1333"/>
      <c r="AG327" s="1333"/>
      <c r="AH327" s="1333"/>
      <c r="AI327" s="1333"/>
      <c r="AJ327" s="1333"/>
      <c r="AK327" s="17"/>
      <c r="AL327" s="17"/>
      <c r="AM327" s="17"/>
      <c r="AN327" s="17"/>
      <c r="AO327" s="17"/>
      <c r="AP327" s="17"/>
      <c r="AQ327" s="17"/>
      <c r="AR327" s="17"/>
      <c r="AS327" s="17"/>
      <c r="AT327" s="17"/>
      <c r="AU327" s="17"/>
      <c r="AV327" s="17"/>
      <c r="AW327" s="17"/>
    </row>
    <row r="328" spans="1:49" s="542" customFormat="1" ht="18.75" hidden="1" x14ac:dyDescent="0.25">
      <c r="A328" s="1520" t="str">
        <f>IF(COUNTIF('04 - 95% CD'!D328:G328,"Y")&gt;0,"Y",IF(COUNTIF('04 - 95% CD'!D328:G328,"N"),"N",""))</f>
        <v>Y</v>
      </c>
      <c r="B328" s="125"/>
      <c r="C328" s="944"/>
      <c r="D328" s="411"/>
      <c r="E328" s="321"/>
      <c r="F328" s="559" t="str">
        <f>IF('C-Design&amp;Const'!$W328="","",'C-Design&amp;Const'!$W328)</f>
        <v>N</v>
      </c>
      <c r="G328" s="485"/>
      <c r="H328" s="243" t="str">
        <f>CONCATENATE(IF(ISNUMBER(SEARCH("Placeholder",'C-Design&amp;Const'!Z328))=TRUE,"",IF(F328="N","PLACEHOLDER ROW - ","")),'C-Design&amp;Const'!Z328,IF(F328="N","",J328))</f>
        <v xml:space="preserve">PLACEHOLDER ROW - Electrical Details </v>
      </c>
      <c r="I328" s="552"/>
      <c r="J328" s="17"/>
      <c r="K328" s="285" t="str">
        <f t="shared" si="35"/>
        <v>no 95% match</v>
      </c>
      <c r="L328" s="1410" t="str">
        <f t="shared" si="44"/>
        <v>&lt;---PM/Planner may hide PLACEHOLDER ROW</v>
      </c>
      <c r="M328" s="1333"/>
      <c r="N328" s="1333"/>
      <c r="O328" s="1333"/>
      <c r="P328" s="1333"/>
      <c r="Q328" s="1333"/>
      <c r="R328" s="1284"/>
      <c r="S328" s="1513"/>
      <c r="T328" s="1404"/>
      <c r="U328" s="1333"/>
      <c r="V328" s="1333"/>
      <c r="W328" s="1333"/>
      <c r="X328" s="1333"/>
      <c r="Y328" s="1333"/>
      <c r="Z328" s="1333"/>
      <c r="AA328" s="1333"/>
      <c r="AB328" s="1333"/>
      <c r="AC328" s="1333"/>
      <c r="AD328" s="1333"/>
      <c r="AE328" s="1333"/>
      <c r="AF328" s="1333"/>
      <c r="AG328" s="1333"/>
      <c r="AH328" s="1333"/>
      <c r="AI328" s="1333"/>
      <c r="AJ328" s="1333"/>
      <c r="AK328" s="17"/>
      <c r="AL328" s="17"/>
      <c r="AM328" s="17"/>
      <c r="AN328" s="17"/>
      <c r="AO328" s="17"/>
      <c r="AP328" s="17"/>
      <c r="AQ328" s="17"/>
      <c r="AR328" s="17"/>
      <c r="AS328" s="17"/>
      <c r="AT328" s="17"/>
      <c r="AU328" s="17"/>
      <c r="AV328" s="17"/>
      <c r="AW328" s="17"/>
    </row>
    <row r="329" spans="1:49" s="542" customFormat="1" ht="18.75" hidden="1" x14ac:dyDescent="0.25">
      <c r="A329" s="1520" t="str">
        <f>IF(COUNTIF('04 - 95% CD'!D329:G329,"Y")&gt;0,"Y",IF(COUNTIF('04 - 95% CD'!D329:G329,"N"),"N",""))</f>
        <v>Y</v>
      </c>
      <c r="B329" s="125"/>
      <c r="C329" s="944"/>
      <c r="D329" s="411"/>
      <c r="E329" s="321"/>
      <c r="F329" s="559" t="str">
        <f>IF('C-Design&amp;Const'!$W329="","",'C-Design&amp;Const'!$W329)</f>
        <v>N</v>
      </c>
      <c r="G329" s="485"/>
      <c r="H329" s="243" t="str">
        <f>CONCATENATE(IF(ISNUMBER(SEARCH("Placeholder",'C-Design&amp;Const'!Z329))=TRUE,"",IF(F329="N","PLACEHOLDER ROW - ","")),'C-Design&amp;Const'!Z329,IF(F329="N","",J329))</f>
        <v xml:space="preserve">PLACEHOLDER ROW - Electrical Fixture Schedule and Equipment </v>
      </c>
      <c r="I329" s="552"/>
      <c r="J329" s="17"/>
      <c r="K329" s="285" t="str">
        <f t="shared" si="35"/>
        <v>no 95% match</v>
      </c>
      <c r="L329" s="1410" t="str">
        <f t="shared" si="44"/>
        <v>&lt;---PM/Planner may hide PLACEHOLDER ROW</v>
      </c>
      <c r="M329" s="1333"/>
      <c r="N329" s="1333"/>
      <c r="O329" s="1333"/>
      <c r="P329" s="1333"/>
      <c r="Q329" s="1333"/>
      <c r="R329" s="1453"/>
      <c r="S329" s="1364"/>
      <c r="T329" s="1404"/>
      <c r="U329" s="1333"/>
      <c r="V329" s="1333"/>
      <c r="W329" s="1333"/>
      <c r="X329" s="1333"/>
      <c r="Y329" s="1333"/>
      <c r="Z329" s="1333"/>
      <c r="AA329" s="1333"/>
      <c r="AB329" s="1333"/>
      <c r="AC329" s="1333"/>
      <c r="AD329" s="1333"/>
      <c r="AE329" s="1333"/>
      <c r="AF329" s="1333"/>
      <c r="AG329" s="1333"/>
      <c r="AH329" s="1333"/>
      <c r="AI329" s="1333"/>
      <c r="AJ329" s="1333"/>
      <c r="AK329" s="17"/>
      <c r="AL329" s="17"/>
      <c r="AM329" s="17"/>
      <c r="AN329" s="17"/>
      <c r="AO329" s="17"/>
      <c r="AP329" s="17"/>
      <c r="AQ329" s="17"/>
      <c r="AR329" s="17"/>
      <c r="AS329" s="17"/>
      <c r="AT329" s="17"/>
      <c r="AU329" s="17"/>
      <c r="AV329" s="17"/>
      <c r="AW329" s="17"/>
    </row>
    <row r="330" spans="1:49" s="542" customFormat="1" ht="18.75" hidden="1" x14ac:dyDescent="0.25">
      <c r="A330" s="1520" t="str">
        <f>IF(COUNTIF('04 - 95% CD'!D330:G330,"Y")&gt;0,"Y",IF(COUNTIF('04 - 95% CD'!D330:G330,"N"),"N",""))</f>
        <v>Y</v>
      </c>
      <c r="B330" s="125"/>
      <c r="C330" s="944"/>
      <c r="D330" s="411"/>
      <c r="E330" s="321"/>
      <c r="F330" s="559" t="str">
        <f>IF('C-Design&amp;Const'!$W330="","",'C-Design&amp;Const'!$W330)</f>
        <v>N</v>
      </c>
      <c r="G330" s="485"/>
      <c r="H330" s="243" t="str">
        <f>CONCATENATE(IF(ISNUMBER(SEARCH("Placeholder",'C-Design&amp;Const'!Z330))=TRUE,"",IF(F330="N","PLACEHOLDER ROW - ","")),'C-Design&amp;Const'!Z330,IF(F330="N","",J330))</f>
        <v>PLACEHOLDER ROW - Electrical Lightning Protection Sections / Diagrams</v>
      </c>
      <c r="I330" s="552"/>
      <c r="J330" s="17"/>
      <c r="K330" s="285" t="str">
        <f t="shared" si="35"/>
        <v>no 95% match</v>
      </c>
      <c r="L330" s="1410" t="str">
        <f t="shared" si="44"/>
        <v>&lt;---PM/Planner may hide PLACEHOLDER ROW</v>
      </c>
      <c r="M330" s="1333"/>
      <c r="N330" s="1333"/>
      <c r="O330" s="1333"/>
      <c r="P330" s="1333"/>
      <c r="Q330" s="1333"/>
      <c r="R330" s="1453"/>
      <c r="S330" s="1364"/>
      <c r="T330" s="1404"/>
      <c r="U330" s="1333"/>
      <c r="V330" s="1333"/>
      <c r="W330" s="1333"/>
      <c r="X330" s="1333"/>
      <c r="Y330" s="1333"/>
      <c r="Z330" s="1333"/>
      <c r="AA330" s="1333"/>
      <c r="AB330" s="1333"/>
      <c r="AC330" s="1333"/>
      <c r="AD330" s="1333"/>
      <c r="AE330" s="1333"/>
      <c r="AF330" s="1333"/>
      <c r="AG330" s="1333"/>
      <c r="AH330" s="1333"/>
      <c r="AI330" s="1333"/>
      <c r="AJ330" s="1333"/>
      <c r="AK330" s="17"/>
      <c r="AL330" s="17"/>
      <c r="AM330" s="17"/>
      <c r="AN330" s="17"/>
      <c r="AO330" s="17"/>
      <c r="AP330" s="17"/>
      <c r="AQ330" s="17"/>
      <c r="AR330" s="17"/>
      <c r="AS330" s="17"/>
      <c r="AT330" s="17"/>
      <c r="AU330" s="17"/>
      <c r="AV330" s="17"/>
      <c r="AW330" s="17"/>
    </row>
    <row r="331" spans="1:49" s="545" customFormat="1" ht="18.75" hidden="1" x14ac:dyDescent="0.25">
      <c r="A331" s="1517" t="str">
        <f>IF(COUNTIF('04 - 95% CD'!D331:G331,"Y")&gt;0,"Y",IF(COUNTIF('04 - 95% CD'!D331:G331,"N"),"N",""))</f>
        <v>Y</v>
      </c>
      <c r="B331" s="554"/>
      <c r="C331" s="944"/>
      <c r="D331" s="463"/>
      <c r="E331" s="463"/>
      <c r="F331" s="359" t="str">
        <f>IF('C-Design&amp;Const'!$W331="","",'C-Design&amp;Const'!$W331)</f>
        <v>N</v>
      </c>
      <c r="G331" s="291"/>
      <c r="H331" s="469" t="str">
        <f>CONCATENATE(IF(ISNUMBER(SEARCH("Placeholder",'C-Design&amp;Const'!Z331))=TRUE,"",IF(F331="N","PLACEHOLDER ROW - ","")),'C-Design&amp;Const'!Z331,IF(F331="N","",J331))</f>
        <v xml:space="preserve">PLACEHOLDER ROW - Electrical Lightning Protection Details </v>
      </c>
      <c r="I331" s="552"/>
      <c r="J331" s="551"/>
      <c r="K331" s="285" t="str">
        <f t="shared" si="35"/>
        <v>no 95% match</v>
      </c>
      <c r="L331" s="1410" t="str">
        <f t="shared" si="44"/>
        <v>&lt;---PM/Planner may hide PLACEHOLDER ROW</v>
      </c>
      <c r="M331" s="1333"/>
      <c r="N331" s="1382"/>
      <c r="O331" s="1382"/>
      <c r="P331" s="1382"/>
      <c r="Q331" s="1382"/>
      <c r="R331" s="1382"/>
      <c r="S331" s="1382"/>
      <c r="T331" s="1382"/>
      <c r="U331" s="1382"/>
      <c r="V331" s="1382"/>
      <c r="W331" s="1382"/>
      <c r="X331" s="1382"/>
      <c r="Y331" s="1382"/>
      <c r="Z331" s="1382"/>
      <c r="AA331" s="1382"/>
      <c r="AB331" s="1382"/>
      <c r="AC331" s="1382"/>
      <c r="AD331" s="1382"/>
      <c r="AE331" s="1382"/>
      <c r="AF331" s="1382"/>
      <c r="AG331" s="1382"/>
      <c r="AH331" s="1382"/>
      <c r="AI331" s="1382"/>
      <c r="AJ331" s="1382"/>
      <c r="AK331" s="551"/>
      <c r="AL331" s="551"/>
      <c r="AM331" s="551"/>
      <c r="AN331" s="551"/>
      <c r="AO331" s="551"/>
      <c r="AP331" s="551"/>
      <c r="AQ331" s="551"/>
      <c r="AR331" s="551"/>
      <c r="AS331" s="551"/>
      <c r="AT331" s="551"/>
      <c r="AU331" s="551"/>
      <c r="AV331" s="551"/>
      <c r="AW331" s="551"/>
    </row>
    <row r="332" spans="1:49" s="542" customFormat="1" ht="18.75" hidden="1" x14ac:dyDescent="0.25">
      <c r="A332" s="1407" t="str">
        <f>IF(COUNTIF('04 - 95% CD'!D332:G332,"Y")&gt;0,"Y",IF(COUNTIF('04 - 95% CD'!D332:G332,"N"),"N",""))</f>
        <v>Y</v>
      </c>
      <c r="B332" s="125"/>
      <c r="C332" s="944"/>
      <c r="D332" s="321"/>
      <c r="E332" s="559" t="str">
        <f>IF('C-Design&amp;Const'!$W332="","",'C-Design&amp;Const'!$W332)</f>
        <v>N</v>
      </c>
      <c r="F332" s="478"/>
      <c r="G332" s="485"/>
      <c r="H332" s="244" t="str">
        <f>CONCATENATE(IF(ISNUMBER(SEARCH("Placeholder",'C-Design&amp;Const'!Z332))=TRUE,"",IF(E332="N","PLACEHOLDER ROW - ","")),'C-Design&amp;Const'!Z332,IF(E332="N","",J332))</f>
        <v>PLACEHOLDER ROW - Fire Alarm Drawings</v>
      </c>
      <c r="I332" s="552"/>
      <c r="J332" s="17"/>
      <c r="K332" s="285" t="str">
        <f t="shared" si="35"/>
        <v>no 95% match</v>
      </c>
      <c r="L332" s="1410" t="str">
        <f t="shared" si="44"/>
        <v>&lt;---PM/Planner may hide PLACEHOLDER ROW</v>
      </c>
      <c r="M332" s="1333"/>
      <c r="N332" s="1333"/>
      <c r="O332" s="1333"/>
      <c r="P332" s="1333"/>
      <c r="Q332" s="1333"/>
      <c r="R332" s="1453"/>
      <c r="S332" s="1364"/>
      <c r="T332" s="1404"/>
      <c r="U332" s="1333"/>
      <c r="V332" s="1333"/>
      <c r="W332" s="1333"/>
      <c r="X332" s="1333"/>
      <c r="Y332" s="1333"/>
      <c r="Z332" s="1333"/>
      <c r="AA332" s="1333"/>
      <c r="AB332" s="1333"/>
      <c r="AC332" s="1333"/>
      <c r="AD332" s="1333"/>
      <c r="AE332" s="1333"/>
      <c r="AF332" s="1333"/>
      <c r="AG332" s="1333"/>
      <c r="AH332" s="1333"/>
      <c r="AI332" s="1333"/>
      <c r="AJ332" s="1333"/>
      <c r="AK332" s="17"/>
      <c r="AL332" s="17"/>
      <c r="AM332" s="17"/>
      <c r="AN332" s="17"/>
      <c r="AO332" s="17"/>
      <c r="AP332" s="17"/>
      <c r="AQ332" s="17"/>
      <c r="AR332" s="17"/>
      <c r="AS332" s="17"/>
      <c r="AT332" s="17"/>
      <c r="AU332" s="17"/>
      <c r="AV332" s="17"/>
      <c r="AW332" s="17"/>
    </row>
    <row r="333" spans="1:49" s="545" customFormat="1" ht="15" hidden="1" customHeight="1" x14ac:dyDescent="0.25">
      <c r="A333" s="1517" t="str">
        <f>IF(COUNTIF('04 - 95% CD'!D334:G334,"Y")&gt;0,"Y",IF(COUNTIF('04 - 95% CD'!D334:G334,"N"),"N",""))</f>
        <v>N</v>
      </c>
      <c r="B333" s="554"/>
      <c r="C333" s="944"/>
      <c r="D333" s="463"/>
      <c r="E333" s="463"/>
      <c r="F333" s="359" t="str">
        <f>IF('C-Design&amp;Const'!$W333="","",'C-Design&amp;Const'!$W333)</f>
        <v>N</v>
      </c>
      <c r="G333" s="291"/>
      <c r="H333" s="469" t="str">
        <f>CONCATENATE(IF(ISNUMBER(SEARCH("Placeholder",'C-Design&amp;Const'!Z333))=TRUE,"",IF(F333="N","PLACEHOLDER ROW - ","")),'C-Design&amp;Const'!Z333,IF(F333="N","",J333))</f>
        <v xml:space="preserve">PLACEHOLDER ROW - CUSTOM - Fire Alarm  </v>
      </c>
      <c r="I333" s="552"/>
      <c r="J333" s="551"/>
      <c r="K333" s="285" t="str">
        <f t="shared" ref="K333:K336" si="45">IF((COUNTIF(D333:F333,"Y")=COUNTIF(A333,"Y")),"match","no 95% match")</f>
        <v>match</v>
      </c>
      <c r="L333" s="1410" t="str">
        <f t="shared" si="44"/>
        <v>&lt;---PM/Planner may hide PLACEHOLDER ROW</v>
      </c>
      <c r="M333" s="1333"/>
      <c r="N333" s="1382"/>
      <c r="O333" s="1382"/>
      <c r="P333" s="1382"/>
      <c r="Q333" s="1382"/>
      <c r="R333" s="1382"/>
      <c r="S333" s="1382"/>
      <c r="T333" s="1382"/>
      <c r="U333" s="1382"/>
      <c r="V333" s="1382"/>
      <c r="W333" s="1382"/>
      <c r="X333" s="1382"/>
      <c r="Y333" s="1382"/>
      <c r="Z333" s="1382"/>
      <c r="AA333" s="1382"/>
      <c r="AB333" s="1382"/>
      <c r="AC333" s="1382"/>
      <c r="AD333" s="1382"/>
      <c r="AE333" s="1382"/>
      <c r="AF333" s="1382"/>
      <c r="AG333" s="1382"/>
      <c r="AH333" s="1382"/>
      <c r="AI333" s="1382"/>
      <c r="AJ333" s="1382"/>
      <c r="AK333" s="551"/>
      <c r="AL333" s="551"/>
      <c r="AM333" s="551"/>
      <c r="AN333" s="551"/>
      <c r="AO333" s="551"/>
      <c r="AP333" s="551"/>
      <c r="AQ333" s="551"/>
      <c r="AR333" s="551"/>
      <c r="AS333" s="551"/>
      <c r="AT333" s="551"/>
      <c r="AU333" s="551"/>
      <c r="AV333" s="551"/>
      <c r="AW333" s="551"/>
    </row>
    <row r="334" spans="1:49" s="545" customFormat="1" ht="15" hidden="1" customHeight="1" x14ac:dyDescent="0.25">
      <c r="A334" s="1517" t="str">
        <f>IF(COUNTIF('04 - 95% CD'!D337:G337,"Y")&gt;0,"Y",IF(COUNTIF('04 - 95% CD'!D337:G337,"N"),"N",""))</f>
        <v>Y</v>
      </c>
      <c r="B334" s="554"/>
      <c r="C334" s="944"/>
      <c r="D334" s="463"/>
      <c r="E334" s="463"/>
      <c r="F334" s="359" t="str">
        <f>IF('C-Design&amp;Const'!$W334="","",'C-Design&amp;Const'!$W334)</f>
        <v>N</v>
      </c>
      <c r="G334" s="291"/>
      <c r="H334" s="469" t="str">
        <f>CONCATENATE(IF(ISNUMBER(SEARCH("Placeholder",'C-Design&amp;Const'!Z334))=TRUE,"",IF(F334="N","PLACEHOLDER ROW - ","")),'C-Design&amp;Const'!Z334,IF(F334="N","",J334))</f>
        <v xml:space="preserve">PLACEHOLDER ROW - CUSTOM - Fire Alarm  </v>
      </c>
      <c r="I334" s="552"/>
      <c r="J334" s="551"/>
      <c r="K334" s="285" t="str">
        <f t="shared" si="45"/>
        <v>no 95% match</v>
      </c>
      <c r="L334" s="1410" t="str">
        <f t="shared" si="44"/>
        <v>&lt;---PM/Planner may hide PLACEHOLDER ROW</v>
      </c>
      <c r="M334" s="1333"/>
      <c r="N334" s="1382"/>
      <c r="O334" s="1382"/>
      <c r="P334" s="1382"/>
      <c r="Q334" s="1382"/>
      <c r="R334" s="1382"/>
      <c r="S334" s="1382"/>
      <c r="T334" s="1382"/>
      <c r="U334" s="1382"/>
      <c r="V334" s="1382"/>
      <c r="W334" s="1382"/>
      <c r="X334" s="1382"/>
      <c r="Y334" s="1382"/>
      <c r="Z334" s="1382"/>
      <c r="AA334" s="1382"/>
      <c r="AB334" s="1382"/>
      <c r="AC334" s="1382"/>
      <c r="AD334" s="1382"/>
      <c r="AE334" s="1382"/>
      <c r="AF334" s="1382"/>
      <c r="AG334" s="1382"/>
      <c r="AH334" s="1382"/>
      <c r="AI334" s="1382"/>
      <c r="AJ334" s="1382"/>
      <c r="AK334" s="551"/>
      <c r="AL334" s="551"/>
      <c r="AM334" s="551"/>
      <c r="AN334" s="551"/>
      <c r="AO334" s="551"/>
      <c r="AP334" s="551"/>
      <c r="AQ334" s="551"/>
      <c r="AR334" s="551"/>
      <c r="AS334" s="551"/>
      <c r="AT334" s="551"/>
      <c r="AU334" s="551"/>
      <c r="AV334" s="551"/>
      <c r="AW334" s="551"/>
    </row>
    <row r="335" spans="1:49" s="545" customFormat="1" ht="15" hidden="1" customHeight="1" x14ac:dyDescent="0.25">
      <c r="A335" s="1517" t="str">
        <f>IF(COUNTIF('04 - 95% CD'!D335:G335,"Y")&gt;0,"Y",IF(COUNTIF('04 - 95% CD'!D335:G335,"N"),"N",""))</f>
        <v>Y</v>
      </c>
      <c r="B335" s="554"/>
      <c r="C335" s="944"/>
      <c r="D335" s="463"/>
      <c r="E335" s="463"/>
      <c r="F335" s="359" t="str">
        <f>IF('C-Design&amp;Const'!$W335="","",'C-Design&amp;Const'!$W335)</f>
        <v>N</v>
      </c>
      <c r="G335" s="291"/>
      <c r="H335" s="469" t="str">
        <f>CONCATENATE(IF(ISNUMBER(SEARCH("Placeholder",'C-Design&amp;Const'!Z335))=TRUE,"",IF(F335="N","PLACEHOLDER ROW - ","")),'C-Design&amp;Const'!Z335,IF(F335="N","",J335))</f>
        <v xml:space="preserve">PLACEHOLDER ROW - Fire Alarm Symbols, Abbreviations, and General Notes </v>
      </c>
      <c r="I335" s="552"/>
      <c r="J335" s="551"/>
      <c r="K335" s="285" t="str">
        <f t="shared" si="45"/>
        <v>no 95% match</v>
      </c>
      <c r="L335" s="1410" t="str">
        <f t="shared" si="44"/>
        <v>&lt;---PM/Planner may hide PLACEHOLDER ROW</v>
      </c>
      <c r="M335" s="1333"/>
      <c r="N335" s="1382"/>
      <c r="O335" s="1382"/>
      <c r="P335" s="1382"/>
      <c r="Q335" s="1382"/>
      <c r="R335" s="1382"/>
      <c r="S335" s="1382"/>
      <c r="T335" s="1382"/>
      <c r="U335" s="1382"/>
      <c r="V335" s="1382"/>
      <c r="W335" s="1382"/>
      <c r="X335" s="1382"/>
      <c r="Y335" s="1382"/>
      <c r="Z335" s="1382"/>
      <c r="AA335" s="1382"/>
      <c r="AB335" s="1382"/>
      <c r="AC335" s="1382"/>
      <c r="AD335" s="1382"/>
      <c r="AE335" s="1382"/>
      <c r="AF335" s="1382"/>
      <c r="AG335" s="1382"/>
      <c r="AH335" s="1382"/>
      <c r="AI335" s="1382"/>
      <c r="AJ335" s="1382"/>
      <c r="AK335" s="551"/>
      <c r="AL335" s="551"/>
      <c r="AM335" s="551"/>
      <c r="AN335" s="551"/>
      <c r="AO335" s="551"/>
      <c r="AP335" s="551"/>
      <c r="AQ335" s="551"/>
      <c r="AR335" s="551"/>
      <c r="AS335" s="551"/>
      <c r="AT335" s="551"/>
      <c r="AU335" s="551"/>
      <c r="AV335" s="551"/>
      <c r="AW335" s="551"/>
    </row>
    <row r="336" spans="1:49" s="545" customFormat="1" ht="15" hidden="1" customHeight="1" x14ac:dyDescent="0.25">
      <c r="A336" s="1517" t="str">
        <f>IF(COUNTIF('04 - 95% CD'!D336:G336,"Y")&gt;0,"Y",IF(COUNTIF('04 - 95% CD'!D336:G336,"N"),"N",""))</f>
        <v>Y</v>
      </c>
      <c r="B336" s="554"/>
      <c r="C336" s="944"/>
      <c r="D336" s="463"/>
      <c r="E336" s="463"/>
      <c r="F336" s="359" t="str">
        <f>IF('C-Design&amp;Const'!$W336="","",'C-Design&amp;Const'!$W336)</f>
        <v>N</v>
      </c>
      <c r="G336" s="291"/>
      <c r="H336" s="469" t="str">
        <f>CONCATENATE(IF(ISNUMBER(SEARCH("Placeholder",'C-Design&amp;Const'!Z336))=TRUE,"",IF(F336="N","PLACEHOLDER ROW - ","")),'C-Design&amp;Const'!Z336,IF(F336="N","",J336))</f>
        <v xml:space="preserve">PLACEHOLDER ROW - Fire Alarm Demolition(s) </v>
      </c>
      <c r="I336" s="552"/>
      <c r="J336" s="551"/>
      <c r="K336" s="285" t="str">
        <f t="shared" si="45"/>
        <v>no 95% match</v>
      </c>
      <c r="L336" s="1410" t="str">
        <f t="shared" si="44"/>
        <v>&lt;---PM/Planner may hide PLACEHOLDER ROW</v>
      </c>
      <c r="M336" s="1333"/>
      <c r="N336" s="1382"/>
      <c r="O336" s="1382"/>
      <c r="P336" s="1382"/>
      <c r="Q336" s="1382"/>
      <c r="R336" s="1382"/>
      <c r="S336" s="1382"/>
      <c r="T336" s="1382"/>
      <c r="U336" s="1382"/>
      <c r="V336" s="1382"/>
      <c r="W336" s="1382"/>
      <c r="X336" s="1382"/>
      <c r="Y336" s="1382"/>
      <c r="Z336" s="1382"/>
      <c r="AA336" s="1382"/>
      <c r="AB336" s="1382"/>
      <c r="AC336" s="1382"/>
      <c r="AD336" s="1382"/>
      <c r="AE336" s="1382"/>
      <c r="AF336" s="1382"/>
      <c r="AG336" s="1382"/>
      <c r="AH336" s="1382"/>
      <c r="AI336" s="1382"/>
      <c r="AJ336" s="1382"/>
      <c r="AK336" s="551"/>
      <c r="AL336" s="551"/>
      <c r="AM336" s="551"/>
      <c r="AN336" s="551"/>
      <c r="AO336" s="551"/>
      <c r="AP336" s="551"/>
      <c r="AQ336" s="551"/>
      <c r="AR336" s="551"/>
      <c r="AS336" s="551"/>
      <c r="AT336" s="551"/>
      <c r="AU336" s="551"/>
      <c r="AV336" s="551"/>
      <c r="AW336" s="551"/>
    </row>
    <row r="337" spans="1:49" s="542" customFormat="1" ht="18.75" hidden="1" x14ac:dyDescent="0.25">
      <c r="A337" s="1520" t="str">
        <f>IF(COUNTIF('04 - 95% CD'!D337:G337,"Y")&gt;0,"Y",IF(COUNTIF('04 - 95% CD'!D337:G337,"N"),"N",""))</f>
        <v>Y</v>
      </c>
      <c r="B337" s="125"/>
      <c r="C337" s="944"/>
      <c r="D337" s="411"/>
      <c r="E337" s="321"/>
      <c r="F337" s="559" t="str">
        <f>IF('C-Design&amp;Const'!$W337="","",'C-Design&amp;Const'!$W337)</f>
        <v>N</v>
      </c>
      <c r="G337" s="485"/>
      <c r="H337" s="243" t="str">
        <f>CONCATENATE(IF(ISNUMBER(SEARCH("Placeholder",'C-Design&amp;Const'!Z337))=TRUE,"",IF(F337="N","PLACEHOLDER ROW - ","")),'C-Design&amp;Const'!Z337,IF(F337="N","",J337))</f>
        <v xml:space="preserve">PLACEHOLDER ROW - Fire Alarm Floor Plans </v>
      </c>
      <c r="I337" s="552"/>
      <c r="J337" s="17"/>
      <c r="K337" s="285" t="str">
        <f t="shared" si="35"/>
        <v>no 95% match</v>
      </c>
      <c r="L337" s="1410" t="str">
        <f t="shared" si="44"/>
        <v>&lt;---PM/Planner may hide PLACEHOLDER ROW</v>
      </c>
      <c r="M337" s="1333"/>
      <c r="N337" s="1333"/>
      <c r="O337" s="1333"/>
      <c r="P337" s="1333"/>
      <c r="Q337" s="1333"/>
      <c r="R337" s="1453"/>
      <c r="S337" s="1364"/>
      <c r="T337" s="1404"/>
      <c r="U337" s="1333"/>
      <c r="V337" s="1333"/>
      <c r="W337" s="1333"/>
      <c r="X337" s="1333"/>
      <c r="Y337" s="1333"/>
      <c r="Z337" s="1333"/>
      <c r="AA337" s="1333"/>
      <c r="AB337" s="1333"/>
      <c r="AC337" s="1333"/>
      <c r="AD337" s="1333"/>
      <c r="AE337" s="1333"/>
      <c r="AF337" s="1333"/>
      <c r="AG337" s="1333"/>
      <c r="AH337" s="1333"/>
      <c r="AI337" s="1333"/>
      <c r="AJ337" s="1333"/>
      <c r="AK337" s="17"/>
      <c r="AL337" s="17"/>
      <c r="AM337" s="17"/>
      <c r="AN337" s="17"/>
      <c r="AO337" s="17"/>
      <c r="AP337" s="17"/>
      <c r="AQ337" s="17"/>
      <c r="AR337" s="17"/>
      <c r="AS337" s="17"/>
      <c r="AT337" s="17"/>
      <c r="AU337" s="17"/>
      <c r="AV337" s="17"/>
      <c r="AW337" s="17"/>
    </row>
    <row r="338" spans="1:49" s="542" customFormat="1" ht="18.75" hidden="1" x14ac:dyDescent="0.25">
      <c r="A338" s="1520" t="str">
        <f>IF(COUNTIF('04 - 95% CD'!D338:G338,"Y")&gt;0,"Y",IF(COUNTIF('04 - 95% CD'!D338:G338,"N"),"N",""))</f>
        <v>Y</v>
      </c>
      <c r="B338" s="125"/>
      <c r="C338" s="944"/>
      <c r="D338" s="411"/>
      <c r="E338" s="321"/>
      <c r="F338" s="559" t="str">
        <f>IF('C-Design&amp;Const'!$W338="","",'C-Design&amp;Const'!$W338)</f>
        <v>N</v>
      </c>
      <c r="G338" s="485"/>
      <c r="H338" s="243" t="str">
        <f>CONCATENATE(IF(ISNUMBER(SEARCH("Placeholder",'C-Design&amp;Const'!Z338))=TRUE,"",IF(F338="N","PLACEHOLDER ROW - ","")),'C-Design&amp;Const'!Z338,IF(F338="N","",J338))</f>
        <v xml:space="preserve">PLACEHOLDER ROW - Fire Alarm Riser Diagrams and Connections </v>
      </c>
      <c r="I338" s="552"/>
      <c r="J338" s="17"/>
      <c r="K338" s="285" t="str">
        <f t="shared" si="35"/>
        <v>no 95% match</v>
      </c>
      <c r="L338" s="1410" t="str">
        <f t="shared" si="44"/>
        <v>&lt;---PM/Planner may hide PLACEHOLDER ROW</v>
      </c>
      <c r="M338" s="1333"/>
      <c r="N338" s="1333"/>
      <c r="O338" s="1333"/>
      <c r="P338" s="1333"/>
      <c r="Q338" s="1333"/>
      <c r="R338" s="1453"/>
      <c r="S338" s="1364"/>
      <c r="T338" s="1404"/>
      <c r="U338" s="1333"/>
      <c r="V338" s="1333"/>
      <c r="W338" s="1333"/>
      <c r="X338" s="1333"/>
      <c r="Y338" s="1333"/>
      <c r="Z338" s="1333"/>
      <c r="AA338" s="1333"/>
      <c r="AB338" s="1333"/>
      <c r="AC338" s="1333"/>
      <c r="AD338" s="1333"/>
      <c r="AE338" s="1333"/>
      <c r="AF338" s="1333"/>
      <c r="AG338" s="1333"/>
      <c r="AH338" s="1333"/>
      <c r="AI338" s="1333"/>
      <c r="AJ338" s="1333"/>
      <c r="AK338" s="17"/>
      <c r="AL338" s="17"/>
      <c r="AM338" s="17"/>
      <c r="AN338" s="17"/>
      <c r="AO338" s="17"/>
      <c r="AP338" s="17"/>
      <c r="AQ338" s="17"/>
      <c r="AR338" s="17"/>
      <c r="AS338" s="17"/>
      <c r="AT338" s="17"/>
      <c r="AU338" s="17"/>
      <c r="AV338" s="17"/>
      <c r="AW338" s="17"/>
    </row>
    <row r="339" spans="1:49" s="542" customFormat="1" ht="18.75" hidden="1" x14ac:dyDescent="0.25">
      <c r="A339" s="1520" t="str">
        <f>IF(COUNTIF('04 - 95% CD'!D339:G339,"Y")&gt;0,"Y",IF(COUNTIF('04 - 95% CD'!D339:G339,"N"),"N",""))</f>
        <v>Y</v>
      </c>
      <c r="B339" s="125"/>
      <c r="C339" s="944"/>
      <c r="D339" s="411"/>
      <c r="E339" s="321"/>
      <c r="F339" s="559" t="str">
        <f>IF('C-Design&amp;Const'!$W339="","",'C-Design&amp;Const'!$W339)</f>
        <v>N</v>
      </c>
      <c r="G339" s="485"/>
      <c r="H339" s="243" t="str">
        <f>CONCATENATE(IF(ISNUMBER(SEARCH("Placeholder",'C-Design&amp;Const'!Z339))=TRUE,"",IF(F339="N","PLACEHOLDER ROW - ","")),'C-Design&amp;Const'!Z339,IF(F339="N","",J339))</f>
        <v xml:space="preserve">PLACEHOLDER ROW - Fire Alarm Details </v>
      </c>
      <c r="I339" s="552"/>
      <c r="J339" s="17"/>
      <c r="K339" s="285" t="str">
        <f t="shared" si="35"/>
        <v>no 95% match</v>
      </c>
      <c r="L339" s="1410" t="str">
        <f t="shared" si="44"/>
        <v>&lt;---PM/Planner may hide PLACEHOLDER ROW</v>
      </c>
      <c r="M339" s="1333"/>
      <c r="N339" s="1333"/>
      <c r="O339" s="1333"/>
      <c r="P339" s="1333"/>
      <c r="Q339" s="1333"/>
      <c r="R339" s="1453"/>
      <c r="S339" s="1364"/>
      <c r="T339" s="1404"/>
      <c r="U339" s="1333"/>
      <c r="V339" s="1333"/>
      <c r="W339" s="1333"/>
      <c r="X339" s="1333"/>
      <c r="Y339" s="1333"/>
      <c r="Z339" s="1333"/>
      <c r="AA339" s="1333"/>
      <c r="AB339" s="1333"/>
      <c r="AC339" s="1333"/>
      <c r="AD339" s="1333"/>
      <c r="AE339" s="1333"/>
      <c r="AF339" s="1333"/>
      <c r="AG339" s="1333"/>
      <c r="AH339" s="1333"/>
      <c r="AI339" s="1333"/>
      <c r="AJ339" s="1333"/>
      <c r="AK339" s="17"/>
      <c r="AL339" s="17"/>
      <c r="AM339" s="17"/>
      <c r="AN339" s="17"/>
      <c r="AO339" s="17"/>
      <c r="AP339" s="17"/>
      <c r="AQ339" s="17"/>
      <c r="AR339" s="17"/>
      <c r="AS339" s="17"/>
      <c r="AT339" s="17"/>
      <c r="AU339" s="17"/>
      <c r="AV339" s="17"/>
      <c r="AW339" s="17"/>
    </row>
    <row r="340" spans="1:49" ht="30" hidden="1" x14ac:dyDescent="0.25">
      <c r="A340" s="1407" t="str">
        <f>IF(COUNTIF('04 - 95% CD'!D340:G340,"Y")&gt;0,"Y",IF(COUNTIF('04 - 95% CD'!D340:G340,"N"),"N",""))</f>
        <v>Y</v>
      </c>
      <c r="B340" s="125"/>
      <c r="C340" s="944"/>
      <c r="D340" s="411"/>
      <c r="E340" s="559" t="str">
        <f>IF('C-Design&amp;Const'!$W340="","",'C-Design&amp;Const'!$W340)</f>
        <v>N</v>
      </c>
      <c r="F340" s="321"/>
      <c r="G340" s="485"/>
      <c r="H340" s="244" t="str">
        <f>CONCATENATE(IF(ISNUMBER(SEARCH("Placeholder",'C-Design&amp;Const'!Z340))=TRUE,"",IF(E340="N","PLACEHOLDER ROW - ","")),'C-Design&amp;Const'!Z340,IF(E340="N","",J340))</f>
        <v>PLACEHOLDER ROW - Building Automation Systems Drawings (HVAC Instrumentation and Control)</v>
      </c>
      <c r="I340" s="552"/>
      <c r="K340" s="285" t="str">
        <f t="shared" ref="K340:K350" si="46">IF((COUNTIF(D340:F340,"Y")=COUNTIF(A340,"Y")),"match","no 95% match")</f>
        <v>no 95% match</v>
      </c>
      <c r="L340" s="1410" t="str">
        <f t="shared" ref="L340:L357" si="47">CONCATENATE(IF(ISNUMBER(SEARCH("Placeholder",H340))=TRUE,"&lt;---PM/Planner may hide PLACEHOLDER ROW",""))</f>
        <v>&lt;---PM/Planner may hide PLACEHOLDER ROW</v>
      </c>
      <c r="M340" s="1333"/>
      <c r="N340" s="1333"/>
      <c r="O340" s="1333"/>
      <c r="P340" s="1333"/>
      <c r="Q340" s="1333"/>
      <c r="R340" s="1453"/>
      <c r="S340" s="1364"/>
      <c r="T340" s="1404"/>
      <c r="U340" s="1333"/>
      <c r="V340" s="1333"/>
      <c r="W340" s="1333"/>
      <c r="X340" s="1333"/>
      <c r="Y340" s="1333"/>
      <c r="Z340" s="1333"/>
      <c r="AA340" s="1333"/>
      <c r="AB340" s="1333"/>
      <c r="AC340" s="1333"/>
      <c r="AD340" s="1333"/>
      <c r="AE340" s="1333"/>
      <c r="AF340" s="1333"/>
      <c r="AG340" s="1333"/>
      <c r="AH340" s="1333"/>
      <c r="AI340" s="1333"/>
      <c r="AJ340" s="1333"/>
    </row>
    <row r="341" spans="1:49" s="30" customFormat="1" ht="15" hidden="1" customHeight="1" x14ac:dyDescent="0.25">
      <c r="A341" s="1517" t="str">
        <f>IF(COUNTIF('04 - 95% CD'!D342:G342,"Y")&gt;0,"Y",IF(COUNTIF('04 - 95% CD'!D342:G342,"N"),"N",""))</f>
        <v>N</v>
      </c>
      <c r="B341" s="191"/>
      <c r="C341" s="944"/>
      <c r="D341" s="463"/>
      <c r="E341" s="463"/>
      <c r="F341" s="359" t="str">
        <f>IF('C-Design&amp;Const'!$W341="","",'C-Design&amp;Const'!$W341)</f>
        <v>N</v>
      </c>
      <c r="G341" s="291"/>
      <c r="H341" s="469" t="str">
        <f>CONCATENATE(IF(ISNUMBER(SEARCH("Placeholder",'C-Design&amp;Const'!Z341))=TRUE,"",IF(F341="N","PLACEHOLDER ROW - ","")),'C-Design&amp;Const'!Z341,IF(F341="N","",J341))</f>
        <v>PLACEHOLDER ROW - CUSTOM - Building Automation Systems</v>
      </c>
      <c r="I341" s="552"/>
      <c r="J341" s="181"/>
      <c r="K341" s="285" t="str">
        <f t="shared" si="46"/>
        <v>match</v>
      </c>
      <c r="L341" s="1410" t="str">
        <f t="shared" si="47"/>
        <v>&lt;---PM/Planner may hide PLACEHOLDER ROW</v>
      </c>
      <c r="M341" s="1333"/>
      <c r="N341" s="1382"/>
      <c r="O341" s="1382"/>
      <c r="P341" s="1382"/>
      <c r="Q341" s="1382"/>
      <c r="R341" s="1382"/>
      <c r="S341" s="1382"/>
      <c r="T341" s="1382"/>
      <c r="U341" s="1382"/>
      <c r="V341" s="1382"/>
      <c r="W341" s="1382"/>
      <c r="X341" s="1382"/>
      <c r="Y341" s="1382"/>
      <c r="Z341" s="1382"/>
      <c r="AA341" s="1382"/>
      <c r="AB341" s="1382"/>
      <c r="AC341" s="1382"/>
      <c r="AD341" s="1382"/>
      <c r="AE341" s="1382"/>
      <c r="AF341" s="1382"/>
      <c r="AG341" s="1382"/>
      <c r="AH341" s="1382"/>
      <c r="AI341" s="1382"/>
      <c r="AJ341" s="1382"/>
      <c r="AK341" s="181"/>
      <c r="AL341" s="181"/>
      <c r="AM341" s="181"/>
      <c r="AN341" s="181"/>
      <c r="AO341" s="181"/>
      <c r="AP341" s="181"/>
      <c r="AQ341" s="181"/>
      <c r="AR341" s="181"/>
      <c r="AS341" s="181"/>
      <c r="AT341" s="181"/>
      <c r="AU341" s="181"/>
      <c r="AV341" s="181"/>
      <c r="AW341" s="181"/>
    </row>
    <row r="342" spans="1:49" s="30" customFormat="1" ht="15" hidden="1" customHeight="1" x14ac:dyDescent="0.25">
      <c r="A342" s="1517" t="str">
        <f>IF(COUNTIF('04 - 95% CD'!D345:G345,"Y")&gt;0,"Y",IF(COUNTIF('04 - 95% CD'!D345:G345,"N"),"N",""))</f>
        <v>Y</v>
      </c>
      <c r="B342" s="191"/>
      <c r="C342" s="944"/>
      <c r="D342" s="463"/>
      <c r="E342" s="463"/>
      <c r="F342" s="359" t="str">
        <f>IF('C-Design&amp;Const'!$W342="","",'C-Design&amp;Const'!$W342)</f>
        <v>N</v>
      </c>
      <c r="G342" s="291"/>
      <c r="H342" s="469" t="str">
        <f>CONCATENATE(IF(ISNUMBER(SEARCH("Placeholder",'C-Design&amp;Const'!Z342))=TRUE,"",IF(F342="N","PLACEHOLDER ROW - ","")),'C-Design&amp;Const'!Z342,IF(F342="N","",J342))</f>
        <v>PLACEHOLDER ROW - CUSTOM - Building Automation Systems</v>
      </c>
      <c r="I342" s="552"/>
      <c r="J342" s="181"/>
      <c r="K342" s="285" t="str">
        <f t="shared" si="46"/>
        <v>no 95% match</v>
      </c>
      <c r="L342" s="1410" t="str">
        <f t="shared" si="47"/>
        <v>&lt;---PM/Planner may hide PLACEHOLDER ROW</v>
      </c>
      <c r="M342" s="1333"/>
      <c r="N342" s="1382"/>
      <c r="O342" s="1382"/>
      <c r="P342" s="1382"/>
      <c r="Q342" s="1382"/>
      <c r="R342" s="1382"/>
      <c r="S342" s="1382"/>
      <c r="T342" s="1382"/>
      <c r="U342" s="1382"/>
      <c r="V342" s="1382"/>
      <c r="W342" s="1382"/>
      <c r="X342" s="1382"/>
      <c r="Y342" s="1382"/>
      <c r="Z342" s="1382"/>
      <c r="AA342" s="1382"/>
      <c r="AB342" s="1382"/>
      <c r="AC342" s="1382"/>
      <c r="AD342" s="1382"/>
      <c r="AE342" s="1382"/>
      <c r="AF342" s="1382"/>
      <c r="AG342" s="1382"/>
      <c r="AH342" s="1382"/>
      <c r="AI342" s="1382"/>
      <c r="AJ342" s="1382"/>
      <c r="AK342" s="181"/>
      <c r="AL342" s="181"/>
      <c r="AM342" s="181"/>
      <c r="AN342" s="181"/>
      <c r="AO342" s="181"/>
      <c r="AP342" s="181"/>
      <c r="AQ342" s="181"/>
      <c r="AR342" s="181"/>
      <c r="AS342" s="181"/>
      <c r="AT342" s="181"/>
      <c r="AU342" s="181"/>
      <c r="AV342" s="181"/>
      <c r="AW342" s="181"/>
    </row>
    <row r="343" spans="1:49" s="545" customFormat="1" ht="15" hidden="1" customHeight="1" x14ac:dyDescent="0.25">
      <c r="A343" s="1517" t="str">
        <f>IF(COUNTIF('04 - 95% CD'!D343:G343,"Y")&gt;0,"Y",IF(COUNTIF('04 - 95% CD'!D343:G343,"N"),"N",""))</f>
        <v>Y</v>
      </c>
      <c r="B343" s="554"/>
      <c r="C343" s="944"/>
      <c r="D343" s="463"/>
      <c r="E343" s="463"/>
      <c r="F343" s="359" t="str">
        <f>IF('C-Design&amp;Const'!$W343="","",'C-Design&amp;Const'!$W343)</f>
        <v>N</v>
      </c>
      <c r="G343" s="291"/>
      <c r="H343" s="469" t="str">
        <f>CONCATENATE(IF(ISNUMBER(SEARCH("Placeholder",'C-Design&amp;Const'!Z343))=TRUE,"",IF(F343="N","PLACEHOLDER ROW - ","")),'C-Design&amp;Const'!Z343,IF(F343="N","",J343))</f>
        <v xml:space="preserve">PLACEHOLDER ROW - Building Automation Symbols, Abbreviations, and General Notes </v>
      </c>
      <c r="I343" s="552"/>
      <c r="J343" s="551"/>
      <c r="K343" s="285" t="str">
        <f t="shared" si="46"/>
        <v>no 95% match</v>
      </c>
      <c r="L343" s="1410" t="str">
        <f t="shared" si="47"/>
        <v>&lt;---PM/Planner may hide PLACEHOLDER ROW</v>
      </c>
      <c r="M343" s="1333"/>
      <c r="N343" s="1382"/>
      <c r="O343" s="1382"/>
      <c r="P343" s="1382"/>
      <c r="Q343" s="1382"/>
      <c r="R343" s="1382"/>
      <c r="S343" s="1382"/>
      <c r="T343" s="1382"/>
      <c r="U343" s="1382"/>
      <c r="V343" s="1382"/>
      <c r="W343" s="1382"/>
      <c r="X343" s="1382"/>
      <c r="Y343" s="1382"/>
      <c r="Z343" s="1382"/>
      <c r="AA343" s="1382"/>
      <c r="AB343" s="1382"/>
      <c r="AC343" s="1382"/>
      <c r="AD343" s="1382"/>
      <c r="AE343" s="1382"/>
      <c r="AF343" s="1382"/>
      <c r="AG343" s="1382"/>
      <c r="AH343" s="1382"/>
      <c r="AI343" s="1382"/>
      <c r="AJ343" s="1382"/>
      <c r="AK343" s="551"/>
      <c r="AL343" s="551"/>
      <c r="AM343" s="551"/>
      <c r="AN343" s="551"/>
      <c r="AO343" s="551"/>
      <c r="AP343" s="551"/>
      <c r="AQ343" s="551"/>
      <c r="AR343" s="551"/>
      <c r="AS343" s="551"/>
      <c r="AT343" s="551"/>
      <c r="AU343" s="551"/>
      <c r="AV343" s="551"/>
      <c r="AW343" s="551"/>
    </row>
    <row r="344" spans="1:49" s="545" customFormat="1" ht="15" hidden="1" customHeight="1" x14ac:dyDescent="0.25">
      <c r="A344" s="1517" t="str">
        <f>IF(COUNTIF('04 - 95% CD'!D344:G344,"Y")&gt;0,"Y",IF(COUNTIF('04 - 95% CD'!D344:G344,"N"),"N",""))</f>
        <v>Y</v>
      </c>
      <c r="B344" s="554"/>
      <c r="C344" s="944"/>
      <c r="D344" s="463"/>
      <c r="E344" s="463"/>
      <c r="F344" s="359" t="str">
        <f>IF('C-Design&amp;Const'!$W344="","",'C-Design&amp;Const'!$W344)</f>
        <v>N</v>
      </c>
      <c r="G344" s="291"/>
      <c r="H344" s="469" t="str">
        <f>CONCATENATE(IF(ISNUMBER(SEARCH("Placeholder",'C-Design&amp;Const'!Z344))=TRUE,"",IF(F344="N","PLACEHOLDER ROW - ","")),'C-Design&amp;Const'!Z344,IF(F344="N","",J344))</f>
        <v xml:space="preserve">PLACEHOLDER ROW - Building Automation Systems Demolition(s) </v>
      </c>
      <c r="I344" s="552"/>
      <c r="J344" s="551"/>
      <c r="K344" s="285" t="str">
        <f t="shared" si="46"/>
        <v>no 95% match</v>
      </c>
      <c r="L344" s="1410" t="str">
        <f t="shared" si="47"/>
        <v>&lt;---PM/Planner may hide PLACEHOLDER ROW</v>
      </c>
      <c r="M344" s="1333"/>
      <c r="N344" s="1382"/>
      <c r="O344" s="1382"/>
      <c r="P344" s="1382"/>
      <c r="Q344" s="1382"/>
      <c r="R344" s="1382"/>
      <c r="S344" s="1382"/>
      <c r="T344" s="1382"/>
      <c r="U344" s="1382"/>
      <c r="V344" s="1382"/>
      <c r="W344" s="1382"/>
      <c r="X344" s="1382"/>
      <c r="Y344" s="1382"/>
      <c r="Z344" s="1382"/>
      <c r="AA344" s="1382"/>
      <c r="AB344" s="1382"/>
      <c r="AC344" s="1382"/>
      <c r="AD344" s="1382"/>
      <c r="AE344" s="1382"/>
      <c r="AF344" s="1382"/>
      <c r="AG344" s="1382"/>
      <c r="AH344" s="1382"/>
      <c r="AI344" s="1382"/>
      <c r="AJ344" s="1382"/>
      <c r="AK344" s="551"/>
      <c r="AL344" s="551"/>
      <c r="AM344" s="551"/>
      <c r="AN344" s="551"/>
      <c r="AO344" s="551"/>
      <c r="AP344" s="551"/>
      <c r="AQ344" s="551"/>
      <c r="AR344" s="551"/>
      <c r="AS344" s="551"/>
      <c r="AT344" s="551"/>
      <c r="AU344" s="551"/>
      <c r="AV344" s="551"/>
      <c r="AW344" s="551"/>
    </row>
    <row r="345" spans="1:49" ht="30" hidden="1" x14ac:dyDescent="0.25">
      <c r="A345" s="1520" t="str">
        <f>IF(COUNTIF('04 - 95% CD'!D345:G345,"Y")&gt;0,"Y",IF(COUNTIF('04 - 95% CD'!D345:G345,"N"),"N",""))</f>
        <v>Y</v>
      </c>
      <c r="B345" s="125"/>
      <c r="C345" s="944"/>
      <c r="D345" s="411"/>
      <c r="E345" s="321"/>
      <c r="F345" s="559" t="str">
        <f>IF('C-Design&amp;Const'!$W345="","",'C-Design&amp;Const'!$W345)</f>
        <v>N</v>
      </c>
      <c r="G345" s="485"/>
      <c r="H345" s="243" t="str">
        <f>CONCATENATE(IF(ISNUMBER(SEARCH("Placeholder",'C-Design&amp;Const'!Z345))=TRUE,"",IF(F345="N","PLACEHOLDER ROW - ","")),'C-Design&amp;Const'!Z345,IF(F345="N","",J345))</f>
        <v xml:space="preserve">PLACEHOLDER ROW - Building Automation Floor Plans and Approximate Control Panel Locations &amp; Other Instruments or Device Locations </v>
      </c>
      <c r="I345" s="552"/>
      <c r="K345" s="285" t="str">
        <f t="shared" si="46"/>
        <v>no 95% match</v>
      </c>
      <c r="L345" s="1410" t="str">
        <f t="shared" si="47"/>
        <v>&lt;---PM/Planner may hide PLACEHOLDER ROW</v>
      </c>
      <c r="M345" s="1333"/>
      <c r="N345" s="1333"/>
      <c r="O345" s="1333"/>
      <c r="P345" s="1333"/>
      <c r="Q345" s="1333"/>
      <c r="R345" s="1453"/>
      <c r="S345" s="1364"/>
      <c r="T345" s="1404"/>
      <c r="U345" s="1333"/>
      <c r="V345" s="1333"/>
      <c r="W345" s="1333"/>
      <c r="X345" s="1333"/>
      <c r="Y345" s="1333"/>
      <c r="Z345" s="1333"/>
      <c r="AA345" s="1333"/>
      <c r="AB345" s="1333"/>
      <c r="AC345" s="1333"/>
      <c r="AD345" s="1333"/>
      <c r="AE345" s="1333"/>
      <c r="AF345" s="1333"/>
      <c r="AG345" s="1333"/>
      <c r="AH345" s="1333"/>
      <c r="AI345" s="1333"/>
      <c r="AJ345" s="1333"/>
    </row>
    <row r="346" spans="1:49" ht="30" hidden="1" x14ac:dyDescent="0.25">
      <c r="A346" s="1520" t="str">
        <f>IF(COUNTIF('04 - 95% CD'!D346:G346,"Y")&gt;0,"Y",IF(COUNTIF('04 - 95% CD'!D346:G346,"N"),"N",""))</f>
        <v>Y</v>
      </c>
      <c r="B346" s="125"/>
      <c r="C346" s="944"/>
      <c r="D346" s="411"/>
      <c r="E346" s="321"/>
      <c r="F346" s="559" t="str">
        <f>IF('C-Design&amp;Const'!$W346="","",'C-Design&amp;Const'!$W346)</f>
        <v>N</v>
      </c>
      <c r="G346" s="485"/>
      <c r="H346" s="243" t="str">
        <f>CONCATENATE(IF(ISNUMBER(SEARCH("Placeholder",'C-Design&amp;Const'!Z346))=TRUE,"",IF(F346="N","PLACEHOLDER ROW - ","")),'C-Design&amp;Const'!Z346,IF(F346="N","",J346))</f>
        <v xml:space="preserve">PLACEHOLDER ROW - Building Automation Systems Diagrams, Points List (Diagrammatical or Spreadsheet), Device Schedule, and Sequences of Operation </v>
      </c>
      <c r="I346" s="552"/>
      <c r="K346" s="285" t="str">
        <f t="shared" si="46"/>
        <v>no 95% match</v>
      </c>
      <c r="L346" s="1410" t="str">
        <f t="shared" si="47"/>
        <v>&lt;---PM/Planner may hide PLACEHOLDER ROW</v>
      </c>
      <c r="M346" s="1333"/>
      <c r="N346" s="1333"/>
      <c r="O346" s="1333"/>
      <c r="P346" s="1333"/>
      <c r="Q346" s="1333"/>
      <c r="R346" s="1284"/>
      <c r="S346" s="1513"/>
      <c r="T346" s="1404"/>
      <c r="U346" s="1333"/>
      <c r="V346" s="1333"/>
      <c r="W346" s="1333"/>
      <c r="X346" s="1333"/>
      <c r="Y346" s="1333"/>
      <c r="Z346" s="1333"/>
      <c r="AA346" s="1333"/>
      <c r="AB346" s="1333"/>
      <c r="AC346" s="1333"/>
      <c r="AD346" s="1333"/>
      <c r="AE346" s="1333"/>
      <c r="AF346" s="1333"/>
      <c r="AG346" s="1333"/>
      <c r="AH346" s="1333"/>
      <c r="AI346" s="1333"/>
      <c r="AJ346" s="1333"/>
    </row>
    <row r="347" spans="1:49" s="30" customFormat="1" ht="18.75" hidden="1" x14ac:dyDescent="0.25">
      <c r="A347" s="1517" t="str">
        <f>IF(COUNTIF('04 - 95% CD'!D347:G347,"Y")&gt;0,"Y",IF(COUNTIF('04 - 95% CD'!D347:G347,"N"),"N",""))</f>
        <v>Y</v>
      </c>
      <c r="B347" s="191"/>
      <c r="C347" s="944"/>
      <c r="D347" s="463"/>
      <c r="E347" s="463"/>
      <c r="F347" s="359" t="str">
        <f>IF('C-Design&amp;Const'!$W347="","",'C-Design&amp;Const'!$W347)</f>
        <v>N</v>
      </c>
      <c r="G347" s="291"/>
      <c r="H347" s="469" t="str">
        <f>CONCATENATE(IF(ISNUMBER(SEARCH("Placeholder",'C-Design&amp;Const'!Z347))=TRUE,"",IF(F347="N","PLACEHOLDER ROW - ","")),'C-Design&amp;Const'!Z347,IF(F347="N","",J347))</f>
        <v xml:space="preserve">PLACEHOLDER ROW - Building Network Connections and Integration </v>
      </c>
      <c r="I347" s="552"/>
      <c r="J347" s="181"/>
      <c r="K347" s="285" t="str">
        <f t="shared" si="46"/>
        <v>no 95% match</v>
      </c>
      <c r="L347" s="1410" t="str">
        <f t="shared" si="47"/>
        <v>&lt;---PM/Planner may hide PLACEHOLDER ROW</v>
      </c>
      <c r="M347" s="1333"/>
      <c r="N347" s="1382"/>
      <c r="O347" s="1382"/>
      <c r="P347" s="1382"/>
      <c r="Q347" s="1382"/>
      <c r="R347" s="1382"/>
      <c r="S347" s="1382"/>
      <c r="T347" s="1382"/>
      <c r="U347" s="1382"/>
      <c r="V347" s="1382"/>
      <c r="W347" s="1382"/>
      <c r="X347" s="1382"/>
      <c r="Y347" s="1382"/>
      <c r="Z347" s="1382"/>
      <c r="AA347" s="1382"/>
      <c r="AB347" s="1382"/>
      <c r="AC347" s="1382"/>
      <c r="AD347" s="1382"/>
      <c r="AE347" s="1382"/>
      <c r="AF347" s="1382"/>
      <c r="AG347" s="1382"/>
      <c r="AH347" s="1382"/>
      <c r="AI347" s="1382"/>
      <c r="AJ347" s="1382"/>
      <c r="AK347" s="181"/>
      <c r="AL347" s="181"/>
      <c r="AM347" s="181"/>
      <c r="AN347" s="181"/>
      <c r="AO347" s="181"/>
      <c r="AP347" s="181"/>
      <c r="AQ347" s="181"/>
      <c r="AR347" s="181"/>
      <c r="AS347" s="181"/>
      <c r="AT347" s="181"/>
      <c r="AU347" s="181"/>
      <c r="AV347" s="181"/>
      <c r="AW347" s="181"/>
    </row>
    <row r="348" spans="1:49" s="30" customFormat="1" ht="15" hidden="1" customHeight="1" x14ac:dyDescent="0.25">
      <c r="A348" s="1517" t="str">
        <f>IF(COUNTIF('04 - 95% CD'!D348:G348,"Y")&gt;0,"Y",IF(COUNTIF('04 - 95% CD'!D348:G348,"N"),"N",""))</f>
        <v>Y</v>
      </c>
      <c r="B348" s="191"/>
      <c r="C348" s="944"/>
      <c r="D348" s="463"/>
      <c r="E348" s="463"/>
      <c r="F348" s="359" t="str">
        <f>IF('C-Design&amp;Const'!$W348="","",'C-Design&amp;Const'!$W348)</f>
        <v>N</v>
      </c>
      <c r="G348" s="291"/>
      <c r="H348" s="469" t="str">
        <f>CONCATENATE(IF(ISNUMBER(SEARCH("Placeholder",'C-Design&amp;Const'!Z348))=TRUE,"",IF(F348="N","PLACEHOLDER ROW - ","")),'C-Design&amp;Const'!Z348,IF(F348="N","",J348))</f>
        <v xml:space="preserve">PLACEHOLDER ROW - Temperature Controls Building Automation Systems - Sequence of Operation </v>
      </c>
      <c r="I348" s="552"/>
      <c r="J348" s="181"/>
      <c r="K348" s="285" t="str">
        <f t="shared" si="46"/>
        <v>no 95% match</v>
      </c>
      <c r="L348" s="1410" t="str">
        <f t="shared" si="47"/>
        <v>&lt;---PM/Planner may hide PLACEHOLDER ROW</v>
      </c>
      <c r="M348" s="1333"/>
      <c r="N348" s="1382"/>
      <c r="O348" s="1382"/>
      <c r="P348" s="1382"/>
      <c r="Q348" s="1382"/>
      <c r="R348" s="1382"/>
      <c r="S348" s="1382"/>
      <c r="T348" s="1382"/>
      <c r="U348" s="1382"/>
      <c r="V348" s="1382"/>
      <c r="W348" s="1382"/>
      <c r="X348" s="1382"/>
      <c r="Y348" s="1382"/>
      <c r="Z348" s="1382"/>
      <c r="AA348" s="1382"/>
      <c r="AB348" s="1382"/>
      <c r="AC348" s="1382"/>
      <c r="AD348" s="1382"/>
      <c r="AE348" s="1382"/>
      <c r="AF348" s="1382"/>
      <c r="AG348" s="1382"/>
      <c r="AH348" s="1382"/>
      <c r="AI348" s="1382"/>
      <c r="AJ348" s="1382"/>
      <c r="AK348" s="181"/>
      <c r="AL348" s="181"/>
      <c r="AM348" s="181"/>
      <c r="AN348" s="181"/>
      <c r="AO348" s="181"/>
      <c r="AP348" s="181"/>
      <c r="AQ348" s="181"/>
      <c r="AR348" s="181"/>
      <c r="AS348" s="181"/>
      <c r="AT348" s="181"/>
      <c r="AU348" s="181"/>
      <c r="AV348" s="181"/>
      <c r="AW348" s="181"/>
    </row>
    <row r="349" spans="1:49" ht="18.75" hidden="1" x14ac:dyDescent="0.25">
      <c r="A349" s="1520" t="str">
        <f>IF(COUNTIF('04 - 95% CD'!D349:G349,"Y")&gt;0,"Y",IF(COUNTIF('04 - 95% CD'!D349:G349,"N"),"N",""))</f>
        <v>Y</v>
      </c>
      <c r="B349" s="125"/>
      <c r="C349" s="944"/>
      <c r="D349" s="411"/>
      <c r="E349" s="321"/>
      <c r="F349" s="559" t="str">
        <f>IF('C-Design&amp;Const'!$W349="","",'C-Design&amp;Const'!$W349)</f>
        <v>N</v>
      </c>
      <c r="G349" s="485"/>
      <c r="H349" s="243" t="str">
        <f>CONCATENATE(IF(ISNUMBER(SEARCH("Placeholder",'C-Design&amp;Const'!Z349))=TRUE,"",IF(F349="N","PLACEHOLDER ROW - ","")),'C-Design&amp;Const'!Z349,IF(F349="N","",J349))</f>
        <v xml:space="preserve">PLACEHOLDER ROW - Building Automation Systems Details </v>
      </c>
      <c r="I349" s="552"/>
      <c r="K349" s="285" t="str">
        <f t="shared" si="46"/>
        <v>no 95% match</v>
      </c>
      <c r="L349" s="1410" t="str">
        <f t="shared" si="47"/>
        <v>&lt;---PM/Planner may hide PLACEHOLDER ROW</v>
      </c>
      <c r="M349" s="1333"/>
      <c r="N349" s="1333"/>
      <c r="O349" s="1333"/>
      <c r="P349" s="1333"/>
      <c r="Q349" s="1333"/>
      <c r="R349" s="1284"/>
      <c r="S349" s="1513"/>
      <c r="T349" s="1404"/>
      <c r="U349" s="1333"/>
      <c r="V349" s="1333"/>
      <c r="W349" s="1333"/>
      <c r="X349" s="1333"/>
      <c r="Y349" s="1333"/>
      <c r="Z349" s="1333"/>
      <c r="AA349" s="1333"/>
      <c r="AB349" s="1333"/>
      <c r="AC349" s="1333"/>
      <c r="AD349" s="1333"/>
      <c r="AE349" s="1333"/>
      <c r="AF349" s="1333"/>
      <c r="AG349" s="1333"/>
      <c r="AH349" s="1333"/>
      <c r="AI349" s="1333"/>
      <c r="AJ349" s="1333"/>
    </row>
    <row r="350" spans="1:49" ht="18.75" hidden="1" x14ac:dyDescent="0.25">
      <c r="A350" s="1407" t="str">
        <f>IF(COUNTIF('04 - 95% CD'!D350:G350,"Y")&gt;0,"Y",IF(COUNTIF('04 - 95% CD'!D350:G350,"N"),"N",""))</f>
        <v>Y</v>
      </c>
      <c r="B350" s="125"/>
      <c r="C350" s="944"/>
      <c r="D350" s="411"/>
      <c r="E350" s="559" t="str">
        <f>IF('C-Design&amp;Const'!$W350="","",'C-Design&amp;Const'!$W350)</f>
        <v>N</v>
      </c>
      <c r="F350" s="321"/>
      <c r="G350" s="485"/>
      <c r="H350" s="244" t="str">
        <f>CONCATENATE(IF(ISNUMBER(SEARCH("Placeholder",'C-Design&amp;Const'!Z350))=TRUE,"",IF(E350="N","PLACEHOLDER ROW - ","")),'C-Design&amp;Const'!Z350,IF(E350="N","",J350))</f>
        <v>PLACEHOLDER ROW - Access Controls Drawings</v>
      </c>
      <c r="I350" s="552"/>
      <c r="K350" s="285" t="str">
        <f t="shared" si="46"/>
        <v>no 95% match</v>
      </c>
      <c r="L350" s="1410" t="str">
        <f t="shared" si="47"/>
        <v>&lt;---PM/Planner may hide PLACEHOLDER ROW</v>
      </c>
      <c r="M350" s="1333"/>
      <c r="N350" s="1333"/>
      <c r="O350" s="1333"/>
      <c r="P350" s="1333"/>
      <c r="Q350" s="1333"/>
      <c r="R350" s="1453"/>
      <c r="S350" s="1364"/>
      <c r="T350" s="1404"/>
      <c r="U350" s="1333"/>
      <c r="V350" s="1333"/>
      <c r="W350" s="1333"/>
      <c r="X350" s="1333"/>
      <c r="Y350" s="1333"/>
      <c r="Z350" s="1333"/>
      <c r="AA350" s="1333"/>
      <c r="AB350" s="1333"/>
      <c r="AC350" s="1333"/>
      <c r="AD350" s="1333"/>
      <c r="AE350" s="1333"/>
      <c r="AF350" s="1333"/>
      <c r="AG350" s="1333"/>
      <c r="AH350" s="1333"/>
      <c r="AI350" s="1333"/>
      <c r="AJ350" s="1333"/>
    </row>
    <row r="351" spans="1:49" s="30" customFormat="1" ht="15" hidden="1" customHeight="1" x14ac:dyDescent="0.25">
      <c r="A351" s="1517" t="str">
        <f>IF(COUNTIF('04 - 95% CD'!D352:G352,"Y")&gt;0,"Y",IF(COUNTIF('04 - 95% CD'!D352:G352,"N"),"N",""))</f>
        <v>N</v>
      </c>
      <c r="B351" s="191"/>
      <c r="C351" s="944"/>
      <c r="D351" s="463"/>
      <c r="E351" s="463"/>
      <c r="F351" s="359" t="str">
        <f>IF('C-Design&amp;Const'!$W351="","",'C-Design&amp;Const'!$W351)</f>
        <v>N</v>
      </c>
      <c r="G351" s="291"/>
      <c r="H351" s="469" t="str">
        <f>CONCATENATE(IF(ISNUMBER(SEARCH("Placeholder",'C-Design&amp;Const'!Z351))=TRUE,"",IF(F351="N","PLACEHOLDER ROW - ","")),'C-Design&amp;Const'!Z351,IF(F351="N","",J351))</f>
        <v xml:space="preserve">PLACEHOLDER ROW - CUSTOM Access Controls </v>
      </c>
      <c r="I351" s="552"/>
      <c r="J351" s="181"/>
      <c r="K351" s="285" t="str">
        <f t="shared" ref="K351:K354" si="48">IF((COUNTIF(D351:F351,"Y")=COUNTIF(A351,"Y")),"match","no 95% match")</f>
        <v>match</v>
      </c>
      <c r="L351" s="1410" t="str">
        <f t="shared" si="47"/>
        <v>&lt;---PM/Planner may hide PLACEHOLDER ROW</v>
      </c>
      <c r="M351" s="1333"/>
      <c r="N351" s="1382"/>
      <c r="O351" s="1382"/>
      <c r="P351" s="1382"/>
      <c r="Q351" s="1382"/>
      <c r="R351" s="1382"/>
      <c r="S351" s="1382"/>
      <c r="T351" s="1382"/>
      <c r="U351" s="1382"/>
      <c r="V351" s="1382"/>
      <c r="W351" s="1382"/>
      <c r="X351" s="1382"/>
      <c r="Y351" s="1382"/>
      <c r="Z351" s="1382"/>
      <c r="AA351" s="1382"/>
      <c r="AB351" s="1382"/>
      <c r="AC351" s="1382"/>
      <c r="AD351" s="1382"/>
      <c r="AE351" s="1382"/>
      <c r="AF351" s="1382"/>
      <c r="AG351" s="1382"/>
      <c r="AH351" s="1382"/>
      <c r="AI351" s="1382"/>
      <c r="AJ351" s="1382"/>
      <c r="AK351" s="181"/>
      <c r="AL351" s="181"/>
      <c r="AM351" s="181"/>
      <c r="AN351" s="181"/>
      <c r="AO351" s="181"/>
      <c r="AP351" s="181"/>
      <c r="AQ351" s="181"/>
      <c r="AR351" s="181"/>
      <c r="AS351" s="181"/>
      <c r="AT351" s="181"/>
      <c r="AU351" s="181"/>
      <c r="AV351" s="181"/>
      <c r="AW351" s="181"/>
    </row>
    <row r="352" spans="1:49" s="30" customFormat="1" ht="15" hidden="1" customHeight="1" x14ac:dyDescent="0.25">
      <c r="A352" s="1517" t="str">
        <f>IF(COUNTIF('04 - 95% CD'!D355:G355,"Y")&gt;0,"Y",IF(COUNTIF('04 - 95% CD'!D355:G355,"N"),"N",""))</f>
        <v>Y</v>
      </c>
      <c r="B352" s="191"/>
      <c r="C352" s="944"/>
      <c r="D352" s="463"/>
      <c r="E352" s="463"/>
      <c r="F352" s="359" t="str">
        <f>IF('C-Design&amp;Const'!$W352="","",'C-Design&amp;Const'!$W352)</f>
        <v>N</v>
      </c>
      <c r="G352" s="291"/>
      <c r="H352" s="469" t="str">
        <f>CONCATENATE(IF(ISNUMBER(SEARCH("Placeholder",'C-Design&amp;Const'!Z352))=TRUE,"",IF(F352="N","PLACEHOLDER ROW - ","")),'C-Design&amp;Const'!Z352,IF(F352="N","",J352))</f>
        <v xml:space="preserve">PLACEHOLDER ROW - CUSTOM Access Controls </v>
      </c>
      <c r="I352" s="552"/>
      <c r="J352" s="181"/>
      <c r="K352" s="285" t="str">
        <f t="shared" si="48"/>
        <v>no 95% match</v>
      </c>
      <c r="L352" s="1410" t="str">
        <f t="shared" si="47"/>
        <v>&lt;---PM/Planner may hide PLACEHOLDER ROW</v>
      </c>
      <c r="M352" s="1333"/>
      <c r="N352" s="1382"/>
      <c r="O352" s="1382"/>
      <c r="P352" s="1382"/>
      <c r="Q352" s="1382"/>
      <c r="R352" s="1382"/>
      <c r="S352" s="1382"/>
      <c r="T352" s="1382"/>
      <c r="U352" s="1382"/>
      <c r="V352" s="1382"/>
      <c r="W352" s="1382"/>
      <c r="X352" s="1382"/>
      <c r="Y352" s="1382"/>
      <c r="Z352" s="1382"/>
      <c r="AA352" s="1382"/>
      <c r="AB352" s="1382"/>
      <c r="AC352" s="1382"/>
      <c r="AD352" s="1382"/>
      <c r="AE352" s="1382"/>
      <c r="AF352" s="1382"/>
      <c r="AG352" s="1382"/>
      <c r="AH352" s="1382"/>
      <c r="AI352" s="1382"/>
      <c r="AJ352" s="1382"/>
      <c r="AK352" s="181"/>
      <c r="AL352" s="181"/>
      <c r="AM352" s="181"/>
      <c r="AN352" s="181"/>
      <c r="AO352" s="181"/>
      <c r="AP352" s="181"/>
      <c r="AQ352" s="181"/>
      <c r="AR352" s="181"/>
      <c r="AS352" s="181"/>
      <c r="AT352" s="181"/>
      <c r="AU352" s="181"/>
      <c r="AV352" s="181"/>
      <c r="AW352" s="181"/>
    </row>
    <row r="353" spans="1:49" s="545" customFormat="1" ht="15" hidden="1" customHeight="1" x14ac:dyDescent="0.25">
      <c r="A353" s="1517" t="str">
        <f>IF(COUNTIF('04 - 95% CD'!D353:G353,"Y")&gt;0,"Y",IF(COUNTIF('04 - 95% CD'!D353:G353,"N"),"N",""))</f>
        <v>Y</v>
      </c>
      <c r="B353" s="554"/>
      <c r="C353" s="944"/>
      <c r="D353" s="463"/>
      <c r="E353" s="463"/>
      <c r="F353" s="359" t="str">
        <f>IF('C-Design&amp;Const'!$W353="","",'C-Design&amp;Const'!$W353)</f>
        <v>N</v>
      </c>
      <c r="G353" s="291"/>
      <c r="H353" s="469" t="str">
        <f>CONCATENATE(IF(ISNUMBER(SEARCH("Placeholder",'C-Design&amp;Const'!Z353))=TRUE,"",IF(F353="N","PLACEHOLDER ROW - ","")),'C-Design&amp;Const'!Z353,IF(F353="N","",J353))</f>
        <v xml:space="preserve">PLACEHOLDER ROW - Access Control Symbols, Abbreviations, and General Notes </v>
      </c>
      <c r="I353" s="552"/>
      <c r="J353" s="551"/>
      <c r="K353" s="285" t="str">
        <f t="shared" si="48"/>
        <v>no 95% match</v>
      </c>
      <c r="L353" s="1410" t="str">
        <f t="shared" ref="L353:L354" si="49">CONCATENATE(IF(ISNUMBER(SEARCH("Placeholder",H353))=TRUE,"&lt;---PM/Planner may hide PLACEHOLDER ROW",""))</f>
        <v>&lt;---PM/Planner may hide PLACEHOLDER ROW</v>
      </c>
      <c r="M353" s="1333"/>
      <c r="N353" s="1382"/>
      <c r="O353" s="1382"/>
      <c r="P353" s="1382"/>
      <c r="Q353" s="1382"/>
      <c r="R353" s="1382"/>
      <c r="S353" s="1382"/>
      <c r="T353" s="1382"/>
      <c r="U353" s="1382"/>
      <c r="V353" s="1382"/>
      <c r="W353" s="1382"/>
      <c r="X353" s="1382"/>
      <c r="Y353" s="1382"/>
      <c r="Z353" s="1382"/>
      <c r="AA353" s="1382"/>
      <c r="AB353" s="1382"/>
      <c r="AC353" s="1382"/>
      <c r="AD353" s="1382"/>
      <c r="AE353" s="1382"/>
      <c r="AF353" s="1382"/>
      <c r="AG353" s="1382"/>
      <c r="AH353" s="1382"/>
      <c r="AI353" s="1382"/>
      <c r="AJ353" s="1382"/>
      <c r="AK353" s="551"/>
      <c r="AL353" s="551"/>
      <c r="AM353" s="551"/>
      <c r="AN353" s="551"/>
      <c r="AO353" s="551"/>
      <c r="AP353" s="551"/>
      <c r="AQ353" s="551"/>
      <c r="AR353" s="551"/>
      <c r="AS353" s="551"/>
      <c r="AT353" s="551"/>
      <c r="AU353" s="551"/>
      <c r="AV353" s="551"/>
      <c r="AW353" s="551"/>
    </row>
    <row r="354" spans="1:49" s="545" customFormat="1" ht="15" hidden="1" customHeight="1" x14ac:dyDescent="0.25">
      <c r="A354" s="1517" t="str">
        <f>IF(COUNTIF('04 - 95% CD'!D354:G354,"Y")&gt;0,"Y",IF(COUNTIF('04 - 95% CD'!D354:G354,"N"),"N",""))</f>
        <v>Y</v>
      </c>
      <c r="B354" s="554"/>
      <c r="C354" s="944"/>
      <c r="D354" s="463"/>
      <c r="E354" s="463"/>
      <c r="F354" s="359" t="str">
        <f>IF('C-Design&amp;Const'!$W354="","",'C-Design&amp;Const'!$W354)</f>
        <v>N</v>
      </c>
      <c r="G354" s="291"/>
      <c r="H354" s="469" t="str">
        <f>CONCATENATE(IF(ISNUMBER(SEARCH("Placeholder",'C-Design&amp;Const'!Z354))=TRUE,"",IF(F354="N","PLACEHOLDER ROW - ","")),'C-Design&amp;Const'!Z354,IF(F354="N","",J354))</f>
        <v xml:space="preserve">PLACEHOLDER ROW - Access Control Demolition(s) </v>
      </c>
      <c r="I354" s="552"/>
      <c r="J354" s="551"/>
      <c r="K354" s="285" t="str">
        <f t="shared" si="48"/>
        <v>no 95% match</v>
      </c>
      <c r="L354" s="1410" t="str">
        <f t="shared" si="49"/>
        <v>&lt;---PM/Planner may hide PLACEHOLDER ROW</v>
      </c>
      <c r="M354" s="1333"/>
      <c r="N354" s="1382"/>
      <c r="O354" s="1382"/>
      <c r="P354" s="1382"/>
      <c r="Q354" s="1382"/>
      <c r="R354" s="1382"/>
      <c r="S354" s="1382"/>
      <c r="T354" s="1382"/>
      <c r="U354" s="1382"/>
      <c r="V354" s="1382"/>
      <c r="W354" s="1382"/>
      <c r="X354" s="1382"/>
      <c r="Y354" s="1382"/>
      <c r="Z354" s="1382"/>
      <c r="AA354" s="1382"/>
      <c r="AB354" s="1382"/>
      <c r="AC354" s="1382"/>
      <c r="AD354" s="1382"/>
      <c r="AE354" s="1382"/>
      <c r="AF354" s="1382"/>
      <c r="AG354" s="1382"/>
      <c r="AH354" s="1382"/>
      <c r="AI354" s="1382"/>
      <c r="AJ354" s="1382"/>
      <c r="AK354" s="551"/>
      <c r="AL354" s="551"/>
      <c r="AM354" s="551"/>
      <c r="AN354" s="551"/>
      <c r="AO354" s="551"/>
      <c r="AP354" s="551"/>
      <c r="AQ354" s="551"/>
      <c r="AR354" s="551"/>
      <c r="AS354" s="551"/>
      <c r="AT354" s="551"/>
      <c r="AU354" s="551"/>
      <c r="AV354" s="551"/>
      <c r="AW354" s="551"/>
    </row>
    <row r="355" spans="1:49" ht="18.75" hidden="1" x14ac:dyDescent="0.25">
      <c r="A355" s="1520" t="str">
        <f>IF(COUNTIF('04 - 95% CD'!D355:G355,"Y")&gt;0,"Y",IF(COUNTIF('04 - 95% CD'!D355:G355,"N"),"N",""))</f>
        <v>Y</v>
      </c>
      <c r="B355" s="125"/>
      <c r="C355" s="944"/>
      <c r="D355" s="411"/>
      <c r="E355" s="321"/>
      <c r="F355" s="559" t="str">
        <f>IF('C-Design&amp;Const'!$W355="","",'C-Design&amp;Const'!$W355)</f>
        <v>N</v>
      </c>
      <c r="G355" s="485"/>
      <c r="H355" s="243" t="str">
        <f>CONCATENATE(IF(ISNUMBER(SEARCH("Placeholder",'C-Design&amp;Const'!Z355))=TRUE,"",IF(F355="N","PLACEHOLDER ROW - ","")),'C-Design&amp;Const'!Z355,IF(F355="N","",J355))</f>
        <v xml:space="preserve">PLACEHOLDER ROW - Access Control Floor Plans </v>
      </c>
      <c r="I355" s="552"/>
      <c r="K355" s="285" t="str">
        <f>IF((COUNTIF(D355:F355,"Y")=COUNTIF(A355,"Y")),"match","no 95% match")</f>
        <v>no 95% match</v>
      </c>
      <c r="L355" s="1410" t="str">
        <f t="shared" si="47"/>
        <v>&lt;---PM/Planner may hide PLACEHOLDER ROW</v>
      </c>
      <c r="M355" s="1333"/>
      <c r="N355" s="1333"/>
      <c r="O355" s="1333"/>
      <c r="P355" s="1333"/>
      <c r="Q355" s="1333"/>
      <c r="R355" s="1453"/>
      <c r="S355" s="1364"/>
      <c r="T355" s="1404"/>
      <c r="U355" s="1333"/>
      <c r="V355" s="1333"/>
      <c r="W355" s="1333"/>
      <c r="X355" s="1333"/>
      <c r="Y355" s="1333"/>
      <c r="Z355" s="1333"/>
      <c r="AA355" s="1333"/>
      <c r="AB355" s="1333"/>
      <c r="AC355" s="1333"/>
      <c r="AD355" s="1333"/>
      <c r="AE355" s="1333"/>
      <c r="AF355" s="1333"/>
      <c r="AG355" s="1333"/>
      <c r="AH355" s="1333"/>
      <c r="AI355" s="1333"/>
      <c r="AJ355" s="1333"/>
    </row>
    <row r="356" spans="1:49" ht="18.75" hidden="1" x14ac:dyDescent="0.25">
      <c r="A356" s="1520" t="str">
        <f>IF(COUNTIF('04 - 95% CD'!D356:G356,"Y")&gt;0,"Y",IF(COUNTIF('04 - 95% CD'!D356:G356,"N"),"N",""))</f>
        <v>Y</v>
      </c>
      <c r="B356" s="125"/>
      <c r="C356" s="944"/>
      <c r="D356" s="411"/>
      <c r="E356" s="321"/>
      <c r="F356" s="559" t="str">
        <f>IF('C-Design&amp;Const'!$W356="","",'C-Design&amp;Const'!$W356)</f>
        <v>N</v>
      </c>
      <c r="G356" s="485"/>
      <c r="H356" s="243" t="str">
        <f>CONCATENATE(IF(ISNUMBER(SEARCH("Placeholder",'C-Design&amp;Const'!Z356))=TRUE,"",IF(F356="N","PLACEHOLDER ROW - ","")),'C-Design&amp;Const'!Z356,IF(F356="N","",J356))</f>
        <v xml:space="preserve">PLACEHOLDER ROW - Access Control Logic Diagrams, Points Lists and Device Schedule </v>
      </c>
      <c r="I356" s="552"/>
      <c r="K356" s="285" t="str">
        <f>IF((COUNTIF(D356:F356,"Y")=COUNTIF(A356,"Y")),"match","no 95% match")</f>
        <v>no 95% match</v>
      </c>
      <c r="L356" s="1410" t="str">
        <f t="shared" si="47"/>
        <v>&lt;---PM/Planner may hide PLACEHOLDER ROW</v>
      </c>
      <c r="M356" s="1333"/>
      <c r="N356" s="1333"/>
      <c r="O356" s="1333"/>
      <c r="P356" s="1333"/>
      <c r="Q356" s="1333"/>
      <c r="R356" s="1453"/>
      <c r="S356" s="1364"/>
      <c r="T356" s="1404"/>
      <c r="U356" s="1333"/>
      <c r="V356" s="1333"/>
      <c r="W356" s="1333"/>
      <c r="X356" s="1333"/>
      <c r="Y356" s="1333"/>
      <c r="Z356" s="1333"/>
      <c r="AA356" s="1333"/>
      <c r="AB356" s="1333"/>
      <c r="AC356" s="1333"/>
      <c r="AD356" s="1333"/>
      <c r="AE356" s="1333"/>
      <c r="AF356" s="1333"/>
      <c r="AG356" s="1333"/>
      <c r="AH356" s="1333"/>
      <c r="AI356" s="1333"/>
      <c r="AJ356" s="1333"/>
    </row>
    <row r="357" spans="1:49" ht="18.75" hidden="1" x14ac:dyDescent="0.25">
      <c r="A357" s="1520" t="str">
        <f>IF(COUNTIF('04 - 95% CD'!D357:G357,"Y")&gt;0,"Y",IF(COUNTIF('04 - 95% CD'!D357:G357,"N"),"N",""))</f>
        <v>Y</v>
      </c>
      <c r="B357" s="125"/>
      <c r="C357" s="944"/>
      <c r="D357" s="411"/>
      <c r="E357" s="321"/>
      <c r="F357" s="559" t="str">
        <f>IF('C-Design&amp;Const'!$W357="","",'C-Design&amp;Const'!$W357)</f>
        <v>N</v>
      </c>
      <c r="G357" s="485"/>
      <c r="H357" s="243" t="str">
        <f>CONCATENATE(IF(ISNUMBER(SEARCH("Placeholder",'C-Design&amp;Const'!Z357))=TRUE,"",IF(F357="N","PLACEHOLDER ROW - ","")),'C-Design&amp;Const'!Z357,IF(F357="N","",J357))</f>
        <v xml:space="preserve">PLACEHOLDER ROW - Access Control Details </v>
      </c>
      <c r="I357" s="552"/>
      <c r="K357" s="285" t="str">
        <f>IF((COUNTIF(D357:F357,"Y")=COUNTIF(A357,"Y")),"match","no 95% match")</f>
        <v>no 95% match</v>
      </c>
      <c r="L357" s="1410" t="str">
        <f t="shared" si="47"/>
        <v>&lt;---PM/Planner may hide PLACEHOLDER ROW</v>
      </c>
      <c r="M357" s="1333"/>
      <c r="N357" s="1333"/>
      <c r="O357" s="1333"/>
      <c r="P357" s="1333"/>
      <c r="Q357" s="1333"/>
      <c r="R357" s="1453"/>
      <c r="S357" s="1364"/>
      <c r="T357" s="1404"/>
      <c r="U357" s="1333"/>
      <c r="V357" s="1333"/>
      <c r="W357" s="1333"/>
      <c r="X357" s="1333"/>
      <c r="Y357" s="1333"/>
      <c r="Z357" s="1333"/>
      <c r="AA357" s="1333"/>
      <c r="AB357" s="1333"/>
      <c r="AC357" s="1333"/>
      <c r="AD357" s="1333"/>
      <c r="AE357" s="1333"/>
      <c r="AF357" s="1333"/>
      <c r="AG357" s="1333"/>
      <c r="AH357" s="1333"/>
      <c r="AI357" s="1333"/>
      <c r="AJ357" s="1333"/>
    </row>
    <row r="358" spans="1:49" s="542" customFormat="1" ht="18.75" hidden="1" x14ac:dyDescent="0.25">
      <c r="A358" s="1407" t="str">
        <f>IF(COUNTIF('04 - 95% CD'!D358:G358,"Y")&gt;0,"Y",IF(COUNTIF('04 - 95% CD'!D358:G358,"N"),"N",""))</f>
        <v>Y</v>
      </c>
      <c r="B358" s="125"/>
      <c r="C358" s="944"/>
      <c r="D358" s="411"/>
      <c r="E358" s="559" t="str">
        <f>IF('C-Design&amp;Const'!$W358="","",'C-Design&amp;Const'!$W358)</f>
        <v>N</v>
      </c>
      <c r="F358" s="321"/>
      <c r="G358" s="485"/>
      <c r="H358" s="244" t="str">
        <f>CONCATENATE(IF(ISNUMBER(SEARCH("Placeholder",'C-Design&amp;Const'!Z358))=TRUE,"",IF(E358="N","PLACEHOLDER ROW - ","")),'C-Design&amp;Const'!Z358,IF(E358="N","",J358))</f>
        <v>PLACEHOLDER ROW - Telecom Drawings</v>
      </c>
      <c r="I358" s="552"/>
      <c r="J358" s="17"/>
      <c r="K358" s="285" t="str">
        <f t="shared" si="35"/>
        <v>no 95% match</v>
      </c>
      <c r="L358" s="1410" t="str">
        <f t="shared" si="44"/>
        <v>&lt;---PM/Planner may hide PLACEHOLDER ROW</v>
      </c>
      <c r="M358" s="1333"/>
      <c r="N358" s="1333"/>
      <c r="O358" s="1333"/>
      <c r="P358" s="1333"/>
      <c r="Q358" s="1333"/>
      <c r="R358" s="1284"/>
      <c r="S358" s="1513"/>
      <c r="T358" s="1404"/>
      <c r="U358" s="1333"/>
      <c r="V358" s="1333"/>
      <c r="W358" s="1333"/>
      <c r="X358" s="1333"/>
      <c r="Y358" s="1333"/>
      <c r="Z358" s="1333"/>
      <c r="AA358" s="1333"/>
      <c r="AB358" s="1333"/>
      <c r="AC358" s="1333"/>
      <c r="AD358" s="1333"/>
      <c r="AE358" s="1333"/>
      <c r="AF358" s="1333"/>
      <c r="AG358" s="1333"/>
      <c r="AH358" s="1333"/>
      <c r="AI358" s="1333"/>
      <c r="AJ358" s="1333"/>
      <c r="AK358" s="17"/>
      <c r="AL358" s="17"/>
      <c r="AM358" s="17"/>
      <c r="AN358" s="17"/>
      <c r="AO358" s="17"/>
      <c r="AP358" s="17"/>
      <c r="AQ358" s="17"/>
      <c r="AR358" s="17"/>
      <c r="AS358" s="17"/>
      <c r="AT358" s="17"/>
      <c r="AU358" s="17"/>
      <c r="AV358" s="17"/>
      <c r="AW358" s="17"/>
    </row>
    <row r="359" spans="1:49" s="545" customFormat="1" ht="15" hidden="1" customHeight="1" x14ac:dyDescent="0.25">
      <c r="A359" s="1517" t="str">
        <f>IF(COUNTIF('04 - 95% CD'!D360:G360,"Y")&gt;0,"Y",IF(COUNTIF('04 - 95% CD'!D360:G360,"N"),"N",""))</f>
        <v>N</v>
      </c>
      <c r="B359" s="554"/>
      <c r="C359" s="944"/>
      <c r="D359" s="463"/>
      <c r="E359" s="463"/>
      <c r="F359" s="359" t="str">
        <f>IF('C-Design&amp;Const'!$W359="","",'C-Design&amp;Const'!$W359)</f>
        <v>N</v>
      </c>
      <c r="G359" s="291"/>
      <c r="H359" s="469" t="str">
        <f>CONCATENATE(IF(ISNUMBER(SEARCH("Placeholder",'C-Design&amp;Const'!Z359))=TRUE,"",IF(F359="N","PLACEHOLDER ROW - ","")),'C-Design&amp;Const'!Z359,IF(F359="N","",J359))</f>
        <v xml:space="preserve">PLACEHOLDER ROW - CUSTOM - Telecom  </v>
      </c>
      <c r="I359" s="552"/>
      <c r="J359" s="551"/>
      <c r="K359" s="285" t="str">
        <f t="shared" si="35"/>
        <v>match</v>
      </c>
      <c r="L359" s="1410" t="str">
        <f t="shared" si="44"/>
        <v>&lt;---PM/Planner may hide PLACEHOLDER ROW</v>
      </c>
      <c r="M359" s="1333"/>
      <c r="N359" s="1382"/>
      <c r="O359" s="1382"/>
      <c r="P359" s="1382"/>
      <c r="Q359" s="1382"/>
      <c r="R359" s="1382"/>
      <c r="S359" s="1382"/>
      <c r="T359" s="1382"/>
      <c r="U359" s="1382"/>
      <c r="V359" s="1382"/>
      <c r="W359" s="1382"/>
      <c r="X359" s="1382"/>
      <c r="Y359" s="1382"/>
      <c r="Z359" s="1382"/>
      <c r="AA359" s="1382"/>
      <c r="AB359" s="1382"/>
      <c r="AC359" s="1382"/>
      <c r="AD359" s="1382"/>
      <c r="AE359" s="1382"/>
      <c r="AF359" s="1382"/>
      <c r="AG359" s="1382"/>
      <c r="AH359" s="1382"/>
      <c r="AI359" s="1382"/>
      <c r="AJ359" s="1382"/>
      <c r="AK359" s="551"/>
      <c r="AL359" s="551"/>
      <c r="AM359" s="551"/>
      <c r="AN359" s="551"/>
      <c r="AO359" s="551"/>
      <c r="AP359" s="551"/>
      <c r="AQ359" s="551"/>
      <c r="AR359" s="551"/>
      <c r="AS359" s="551"/>
      <c r="AT359" s="551"/>
      <c r="AU359" s="551"/>
      <c r="AV359" s="551"/>
      <c r="AW359" s="551"/>
    </row>
    <row r="360" spans="1:49" s="545" customFormat="1" ht="15" hidden="1" customHeight="1" x14ac:dyDescent="0.25">
      <c r="A360" s="1517" t="str">
        <f>IF(COUNTIF('04 - 95% CD'!D363:G363,"Y")&gt;0,"Y",IF(COUNTIF('04 - 95% CD'!D363:G363,"N"),"N",""))</f>
        <v>Y</v>
      </c>
      <c r="B360" s="554"/>
      <c r="C360" s="944"/>
      <c r="D360" s="463"/>
      <c r="E360" s="463"/>
      <c r="F360" s="359" t="str">
        <f>IF('C-Design&amp;Const'!$W360="","",'C-Design&amp;Const'!$W360)</f>
        <v>N</v>
      </c>
      <c r="G360" s="291"/>
      <c r="H360" s="469" t="str">
        <f>CONCATENATE(IF(ISNUMBER(SEARCH("Placeholder",'C-Design&amp;Const'!Z360))=TRUE,"",IF(F360="N","PLACEHOLDER ROW - ","")),'C-Design&amp;Const'!Z360,IF(F360="N","",J360))</f>
        <v xml:space="preserve">PLACEHOLDER ROW - CUSTOM - Telecom  </v>
      </c>
      <c r="I360" s="552"/>
      <c r="J360" s="551"/>
      <c r="K360" s="285" t="str">
        <f t="shared" si="35"/>
        <v>no 95% match</v>
      </c>
      <c r="L360" s="1410" t="str">
        <f t="shared" si="44"/>
        <v>&lt;---PM/Planner may hide PLACEHOLDER ROW</v>
      </c>
      <c r="M360" s="1333"/>
      <c r="N360" s="1382"/>
      <c r="O360" s="1382"/>
      <c r="P360" s="1382"/>
      <c r="Q360" s="1382"/>
      <c r="R360" s="1382"/>
      <c r="S360" s="1382"/>
      <c r="T360" s="1382"/>
      <c r="U360" s="1382"/>
      <c r="V360" s="1382"/>
      <c r="W360" s="1382"/>
      <c r="X360" s="1382"/>
      <c r="Y360" s="1382"/>
      <c r="Z360" s="1382"/>
      <c r="AA360" s="1382"/>
      <c r="AB360" s="1382"/>
      <c r="AC360" s="1382"/>
      <c r="AD360" s="1382"/>
      <c r="AE360" s="1382"/>
      <c r="AF360" s="1382"/>
      <c r="AG360" s="1382"/>
      <c r="AH360" s="1382"/>
      <c r="AI360" s="1382"/>
      <c r="AJ360" s="1382"/>
      <c r="AK360" s="551"/>
      <c r="AL360" s="551"/>
      <c r="AM360" s="551"/>
      <c r="AN360" s="551"/>
      <c r="AO360" s="551"/>
      <c r="AP360" s="551"/>
      <c r="AQ360" s="551"/>
      <c r="AR360" s="551"/>
      <c r="AS360" s="551"/>
      <c r="AT360" s="551"/>
      <c r="AU360" s="551"/>
      <c r="AV360" s="551"/>
      <c r="AW360" s="551"/>
    </row>
    <row r="361" spans="1:49" s="545" customFormat="1" ht="15" hidden="1" customHeight="1" x14ac:dyDescent="0.25">
      <c r="A361" s="1517" t="str">
        <f>IF(COUNTIF('04 - 95% CD'!D361:G361,"Y")&gt;0,"Y",IF(COUNTIF('04 - 95% CD'!D361:G361,"N"),"N",""))</f>
        <v>Y</v>
      </c>
      <c r="B361" s="554"/>
      <c r="C361" s="944"/>
      <c r="D361" s="463"/>
      <c r="E361" s="463"/>
      <c r="F361" s="359" t="str">
        <f>IF('C-Design&amp;Const'!$W361="","",'C-Design&amp;Const'!$W361)</f>
        <v>N</v>
      </c>
      <c r="G361" s="291"/>
      <c r="H361" s="469" t="str">
        <f>CONCATENATE(IF(ISNUMBER(SEARCH("Placeholder",'C-Design&amp;Const'!Z361))=TRUE,"",IF(F361="N","PLACEHOLDER ROW - ","")),'C-Design&amp;Const'!Z361,IF(F361="N","",J361))</f>
        <v xml:space="preserve">PLACEHOLDER ROW - Telecom Symbols, Abbreviations, and General Notes </v>
      </c>
      <c r="I361" s="552"/>
      <c r="J361" s="551"/>
      <c r="K361" s="285" t="str">
        <f t="shared" si="35"/>
        <v>no 95% match</v>
      </c>
      <c r="L361" s="1410" t="str">
        <f t="shared" si="44"/>
        <v>&lt;---PM/Planner may hide PLACEHOLDER ROW</v>
      </c>
      <c r="M361" s="1333"/>
      <c r="N361" s="1382"/>
      <c r="O361" s="1382"/>
      <c r="P361" s="1382"/>
      <c r="Q361" s="1382"/>
      <c r="R361" s="1382"/>
      <c r="S361" s="1382"/>
      <c r="T361" s="1382"/>
      <c r="U361" s="1382"/>
      <c r="V361" s="1382"/>
      <c r="W361" s="1382"/>
      <c r="X361" s="1382"/>
      <c r="Y361" s="1382"/>
      <c r="Z361" s="1382"/>
      <c r="AA361" s="1382"/>
      <c r="AB361" s="1382"/>
      <c r="AC361" s="1382"/>
      <c r="AD361" s="1382"/>
      <c r="AE361" s="1382"/>
      <c r="AF361" s="1382"/>
      <c r="AG361" s="1382"/>
      <c r="AH361" s="1382"/>
      <c r="AI361" s="1382"/>
      <c r="AJ361" s="1382"/>
      <c r="AK361" s="551"/>
      <c r="AL361" s="551"/>
      <c r="AM361" s="551"/>
      <c r="AN361" s="551"/>
      <c r="AO361" s="551"/>
      <c r="AP361" s="551"/>
      <c r="AQ361" s="551"/>
      <c r="AR361" s="551"/>
      <c r="AS361" s="551"/>
      <c r="AT361" s="551"/>
      <c r="AU361" s="551"/>
      <c r="AV361" s="551"/>
      <c r="AW361" s="551"/>
    </row>
    <row r="362" spans="1:49" s="545" customFormat="1" ht="15" hidden="1" customHeight="1" x14ac:dyDescent="0.25">
      <c r="A362" s="1517" t="str">
        <f>IF(COUNTIF('04 - 95% CD'!D362:G362,"Y")&gt;0,"Y",IF(COUNTIF('04 - 95% CD'!D362:G362,"N"),"N",""))</f>
        <v>Y</v>
      </c>
      <c r="B362" s="554"/>
      <c r="C362" s="944"/>
      <c r="D362" s="463"/>
      <c r="E362" s="463"/>
      <c r="F362" s="359" t="str">
        <f>IF('C-Design&amp;Const'!$W362="","",'C-Design&amp;Const'!$W362)</f>
        <v>N</v>
      </c>
      <c r="G362" s="291"/>
      <c r="H362" s="469" t="str">
        <f>CONCATENATE(IF(ISNUMBER(SEARCH("Placeholder",'C-Design&amp;Const'!Z362))=TRUE,"",IF(F362="N","PLACEHOLDER ROW - ","")),'C-Design&amp;Const'!Z362,IF(F362="N","",J362))</f>
        <v xml:space="preserve">PLACEHOLDER ROW - Telecom Demolition(s) </v>
      </c>
      <c r="I362" s="552"/>
      <c r="J362" s="551"/>
      <c r="K362" s="285" t="str">
        <f t="shared" si="35"/>
        <v>no 95% match</v>
      </c>
      <c r="L362" s="1410" t="str">
        <f t="shared" si="44"/>
        <v>&lt;---PM/Planner may hide PLACEHOLDER ROW</v>
      </c>
      <c r="M362" s="1333"/>
      <c r="N362" s="1382"/>
      <c r="O362" s="1382"/>
      <c r="P362" s="1382"/>
      <c r="Q362" s="1382"/>
      <c r="R362" s="1382"/>
      <c r="S362" s="1382"/>
      <c r="T362" s="1382"/>
      <c r="U362" s="1382"/>
      <c r="V362" s="1382"/>
      <c r="W362" s="1382"/>
      <c r="X362" s="1382"/>
      <c r="Y362" s="1382"/>
      <c r="Z362" s="1382"/>
      <c r="AA362" s="1382"/>
      <c r="AB362" s="1382"/>
      <c r="AC362" s="1382"/>
      <c r="AD362" s="1382"/>
      <c r="AE362" s="1382"/>
      <c r="AF362" s="1382"/>
      <c r="AG362" s="1382"/>
      <c r="AH362" s="1382"/>
      <c r="AI362" s="1382"/>
      <c r="AJ362" s="1382"/>
      <c r="AK362" s="551"/>
      <c r="AL362" s="551"/>
      <c r="AM362" s="551"/>
      <c r="AN362" s="551"/>
      <c r="AO362" s="551"/>
      <c r="AP362" s="551"/>
      <c r="AQ362" s="551"/>
      <c r="AR362" s="551"/>
      <c r="AS362" s="551"/>
      <c r="AT362" s="551"/>
      <c r="AU362" s="551"/>
      <c r="AV362" s="551"/>
      <c r="AW362" s="551"/>
    </row>
    <row r="363" spans="1:49" s="542" customFormat="1" ht="18.75" hidden="1" x14ac:dyDescent="0.25">
      <c r="A363" s="1520" t="str">
        <f>IF(COUNTIF('04 - 95% CD'!D363:G363,"Y")&gt;0,"Y",IF(COUNTIF('04 - 95% CD'!D363:G363,"N"),"N",""))</f>
        <v>Y</v>
      </c>
      <c r="B363" s="125"/>
      <c r="C363" s="944"/>
      <c r="D363" s="411"/>
      <c r="E363" s="321"/>
      <c r="F363" s="559" t="str">
        <f>IF('C-Design&amp;Const'!$W363="","",'C-Design&amp;Const'!$W363)</f>
        <v>N</v>
      </c>
      <c r="G363" s="485"/>
      <c r="H363" s="243" t="str">
        <f>CONCATENATE(IF(ISNUMBER(SEARCH("Placeholder",'C-Design&amp;Const'!Z363))=TRUE,"",IF(F363="N","PLACEHOLDER ROW - ","")),'C-Design&amp;Const'!Z363,IF(F363="N","",J363))</f>
        <v xml:space="preserve">PLACEHOLDER ROW - Telecom/Data Floor Plans w/ Devices   </v>
      </c>
      <c r="I363" s="552"/>
      <c r="J363" s="17"/>
      <c r="K363" s="285" t="str">
        <f t="shared" si="35"/>
        <v>no 95% match</v>
      </c>
      <c r="L363" s="1410" t="str">
        <f t="shared" si="44"/>
        <v>&lt;---PM/Planner may hide PLACEHOLDER ROW</v>
      </c>
      <c r="M363" s="1333"/>
      <c r="N363" s="1333"/>
      <c r="O363" s="1333"/>
      <c r="P363" s="1333"/>
      <c r="Q363" s="1333"/>
      <c r="R363" s="1453"/>
      <c r="S363" s="1364"/>
      <c r="T363" s="1404"/>
      <c r="U363" s="1333"/>
      <c r="V363" s="1333"/>
      <c r="W363" s="1333"/>
      <c r="X363" s="1333"/>
      <c r="Y363" s="1333"/>
      <c r="Z363" s="1333"/>
      <c r="AA363" s="1333"/>
      <c r="AB363" s="1333"/>
      <c r="AC363" s="1333"/>
      <c r="AD363" s="1333"/>
      <c r="AE363" s="1333"/>
      <c r="AF363" s="1333"/>
      <c r="AG363" s="1333"/>
      <c r="AH363" s="1333"/>
      <c r="AI363" s="1333"/>
      <c r="AJ363" s="1333"/>
      <c r="AK363" s="17"/>
      <c r="AL363" s="17"/>
      <c r="AM363" s="17"/>
      <c r="AN363" s="17"/>
      <c r="AO363" s="17"/>
      <c r="AP363" s="17"/>
      <c r="AQ363" s="17"/>
      <c r="AR363" s="17"/>
      <c r="AS363" s="17"/>
      <c r="AT363" s="17"/>
      <c r="AU363" s="17"/>
      <c r="AV363" s="17"/>
      <c r="AW363" s="17"/>
    </row>
    <row r="364" spans="1:49" s="542" customFormat="1" ht="18.75" hidden="1" x14ac:dyDescent="0.25">
      <c r="A364" s="1520" t="str">
        <f>IF(COUNTIF('04 - 95% CD'!D364:G364,"Y")&gt;0,"Y",IF(COUNTIF('04 - 95% CD'!D364:G364,"N"),"N",""))</f>
        <v>Y</v>
      </c>
      <c r="B364" s="125"/>
      <c r="C364" s="944"/>
      <c r="D364" s="411"/>
      <c r="E364" s="321"/>
      <c r="F364" s="559" t="str">
        <f>IF('C-Design&amp;Const'!$W364="","",'C-Design&amp;Const'!$W364)</f>
        <v>N</v>
      </c>
      <c r="G364" s="485"/>
      <c r="H364" s="243" t="str">
        <f>CONCATENATE(IF(ISNUMBER(SEARCH("Placeholder",'C-Design&amp;Const'!Z364))=TRUE,"",IF(F364="N","PLACEHOLDER ROW - ","")),'C-Design&amp;Const'!Z364,IF(F364="N","",J364))</f>
        <v xml:space="preserve">PLACEHOLDER ROW - Telecom/Data Raceway Distribution   </v>
      </c>
      <c r="I364" s="552"/>
      <c r="J364" s="17"/>
      <c r="K364" s="285" t="str">
        <f t="shared" si="35"/>
        <v>no 95% match</v>
      </c>
      <c r="L364" s="1410" t="str">
        <f t="shared" si="44"/>
        <v>&lt;---PM/Planner may hide PLACEHOLDER ROW</v>
      </c>
      <c r="M364" s="1333"/>
      <c r="N364" s="1333"/>
      <c r="O364" s="1333"/>
      <c r="P364" s="1333"/>
      <c r="Q364" s="1333"/>
      <c r="R364" s="1453"/>
      <c r="S364" s="1364"/>
      <c r="T364" s="1404"/>
      <c r="U364" s="1333"/>
      <c r="V364" s="1333"/>
      <c r="W364" s="1333"/>
      <c r="X364" s="1333"/>
      <c r="Y364" s="1333"/>
      <c r="Z364" s="1333"/>
      <c r="AA364" s="1333"/>
      <c r="AB364" s="1333"/>
      <c r="AC364" s="1333"/>
      <c r="AD364" s="1333"/>
      <c r="AE364" s="1333"/>
      <c r="AF364" s="1333"/>
      <c r="AG364" s="1333"/>
      <c r="AH364" s="1333"/>
      <c r="AI364" s="1333"/>
      <c r="AJ364" s="1333"/>
      <c r="AK364" s="17"/>
      <c r="AL364" s="17"/>
      <c r="AM364" s="17"/>
      <c r="AN364" s="17"/>
      <c r="AO364" s="17"/>
      <c r="AP364" s="17"/>
      <c r="AQ364" s="17"/>
      <c r="AR364" s="17"/>
      <c r="AS364" s="17"/>
      <c r="AT364" s="17"/>
      <c r="AU364" s="17"/>
      <c r="AV364" s="17"/>
      <c r="AW364" s="17"/>
    </row>
    <row r="365" spans="1:49" s="542" customFormat="1" ht="18.75" hidden="1" x14ac:dyDescent="0.25">
      <c r="A365" s="1520" t="str">
        <f>IF(COUNTIF('04 - 95% CD'!D365:G365,"Y")&gt;0,"Y",IF(COUNTIF('04 - 95% CD'!D365:G365,"N"),"N",""))</f>
        <v>Y</v>
      </c>
      <c r="B365" s="125"/>
      <c r="C365" s="944"/>
      <c r="D365" s="411"/>
      <c r="E365" s="321"/>
      <c r="F365" s="559" t="str">
        <f>IF('C-Design&amp;Const'!$W365="","",'C-Design&amp;Const'!$W365)</f>
        <v>N</v>
      </c>
      <c r="G365" s="485"/>
      <c r="H365" s="243" t="str">
        <f>CONCATENATE(IF(ISNUMBER(SEARCH("Placeholder",'C-Design&amp;Const'!Z365))=TRUE,"",IF(F365="N","PLACEHOLDER ROW - ","")),'C-Design&amp;Const'!Z365,IF(F365="N","",J365))</f>
        <v xml:space="preserve">PLACEHOLDER ROW - Telecom/Data Riser Diagram   </v>
      </c>
      <c r="I365" s="552"/>
      <c r="J365" s="17"/>
      <c r="K365" s="285" t="str">
        <f t="shared" si="35"/>
        <v>no 95% match</v>
      </c>
      <c r="L365" s="1410" t="str">
        <f t="shared" si="44"/>
        <v>&lt;---PM/Planner may hide PLACEHOLDER ROW</v>
      </c>
      <c r="M365" s="1333"/>
      <c r="N365" s="1333"/>
      <c r="O365" s="1333"/>
      <c r="P365" s="1333"/>
      <c r="Q365" s="1333"/>
      <c r="R365" s="1284"/>
      <c r="S365" s="1513"/>
      <c r="T365" s="1404"/>
      <c r="U365" s="1333"/>
      <c r="V365" s="1333"/>
      <c r="W365" s="1333"/>
      <c r="X365" s="1333"/>
      <c r="Y365" s="1333"/>
      <c r="Z365" s="1333"/>
      <c r="AA365" s="1333"/>
      <c r="AB365" s="1333"/>
      <c r="AC365" s="1333"/>
      <c r="AD365" s="1333"/>
      <c r="AE365" s="1333"/>
      <c r="AF365" s="1333"/>
      <c r="AG365" s="1333"/>
      <c r="AH365" s="1333"/>
      <c r="AI365" s="1333"/>
      <c r="AJ365" s="1333"/>
      <c r="AK365" s="17"/>
      <c r="AL365" s="17"/>
      <c r="AM365" s="17"/>
      <c r="AN365" s="17"/>
      <c r="AO365" s="17"/>
      <c r="AP365" s="17"/>
      <c r="AQ365" s="17"/>
      <c r="AR365" s="17"/>
      <c r="AS365" s="17"/>
      <c r="AT365" s="17"/>
      <c r="AU365" s="17"/>
      <c r="AV365" s="17"/>
      <c r="AW365" s="17"/>
    </row>
    <row r="366" spans="1:49" s="542" customFormat="1" ht="18.75" hidden="1" x14ac:dyDescent="0.25">
      <c r="A366" s="1520" t="str">
        <f>IF(COUNTIF('04 - 95% CD'!D366:G366,"Y")&gt;0,"Y",IF(COUNTIF('04 - 95% CD'!D366:G366,"N"),"N",""))</f>
        <v>Y</v>
      </c>
      <c r="B366" s="125"/>
      <c r="C366" s="944"/>
      <c r="D366" s="411"/>
      <c r="E366" s="321"/>
      <c r="F366" s="559" t="str">
        <f>IF('C-Design&amp;Const'!$W366="","",'C-Design&amp;Const'!$W366)</f>
        <v>N</v>
      </c>
      <c r="G366" s="485"/>
      <c r="H366" s="243" t="str">
        <f>CONCATENATE(IF(ISNUMBER(SEARCH("Placeholder",'C-Design&amp;Const'!Z366))=TRUE,"",IF(F366="N","PLACEHOLDER ROW - ","")),'C-Design&amp;Const'!Z366,IF(F366="N","",J366))</f>
        <v xml:space="preserve">PLACEHOLDER ROW - Telecom/Data Details and Sections </v>
      </c>
      <c r="I366" s="552"/>
      <c r="J366" s="17"/>
      <c r="K366" s="285" t="str">
        <f t="shared" si="35"/>
        <v>no 95% match</v>
      </c>
      <c r="L366" s="1410" t="str">
        <f t="shared" si="44"/>
        <v>&lt;---PM/Planner may hide PLACEHOLDER ROW</v>
      </c>
      <c r="M366" s="1333"/>
      <c r="N366" s="1333"/>
      <c r="O366" s="1333"/>
      <c r="P366" s="1333"/>
      <c r="Q366" s="1333"/>
      <c r="R366" s="1453"/>
      <c r="S366" s="1364"/>
      <c r="T366" s="1404"/>
      <c r="U366" s="1333"/>
      <c r="V366" s="1333"/>
      <c r="W366" s="1333"/>
      <c r="X366" s="1333"/>
      <c r="Y366" s="1333"/>
      <c r="Z366" s="1333"/>
      <c r="AA366" s="1333"/>
      <c r="AB366" s="1333"/>
      <c r="AC366" s="1333"/>
      <c r="AD366" s="1333"/>
      <c r="AE366" s="1333"/>
      <c r="AF366" s="1333"/>
      <c r="AG366" s="1333"/>
      <c r="AH366" s="1333"/>
      <c r="AI366" s="1333"/>
      <c r="AJ366" s="1333"/>
      <c r="AK366" s="17"/>
      <c r="AL366" s="17"/>
      <c r="AM366" s="17"/>
      <c r="AN366" s="17"/>
      <c r="AO366" s="17"/>
      <c r="AP366" s="17"/>
      <c r="AQ366" s="17"/>
      <c r="AR366" s="17"/>
      <c r="AS366" s="17"/>
      <c r="AT366" s="17"/>
      <c r="AU366" s="17"/>
      <c r="AV366" s="17"/>
      <c r="AW366" s="17"/>
    </row>
    <row r="367" spans="1:49" s="30" customFormat="1" ht="18.75" hidden="1" x14ac:dyDescent="0.25">
      <c r="A367" s="1520" t="str">
        <f>IF(COUNTIF('04 - 95% CD'!D367:G367,"Y")&gt;0,"Y",IF(COUNTIF('04 - 95% CD'!D367:G367,"N"),"N",""))</f>
        <v>Y</v>
      </c>
      <c r="B367" s="191"/>
      <c r="C367" s="944"/>
      <c r="D367" s="463"/>
      <c r="E367" s="359" t="str">
        <f>IF('C-Design&amp;Const'!$W367="","",'C-Design&amp;Const'!$W367)</f>
        <v>N</v>
      </c>
      <c r="F367" s="235"/>
      <c r="G367" s="291"/>
      <c r="H367" s="242" t="str">
        <f>CONCATENATE(IF(ISNUMBER(SEARCH("Placeholder",'C-Design&amp;Const'!Z367))=TRUE,"",IF(E367="N","PLACEHOLDER ROW - ","")),'C-Design&amp;Const'!Z367,IF(E367="N","",J367))</f>
        <v>PLACEHOLDER ROW - Audio Visual Drawings</v>
      </c>
      <c r="I367" s="552"/>
      <c r="J367" s="181"/>
      <c r="K367" s="285" t="str">
        <f t="shared" si="35"/>
        <v>no 95% match</v>
      </c>
      <c r="L367" s="1410" t="str">
        <f t="shared" si="44"/>
        <v>&lt;---PM/Planner may hide PLACEHOLDER ROW</v>
      </c>
      <c r="M367" s="1333"/>
      <c r="N367" s="1382"/>
      <c r="O367" s="1382"/>
      <c r="P367" s="1382"/>
      <c r="Q367" s="1382"/>
      <c r="R367" s="1382"/>
      <c r="S367" s="1382"/>
      <c r="T367" s="1382"/>
      <c r="U367" s="1382"/>
      <c r="V367" s="1382"/>
      <c r="W367" s="1382"/>
      <c r="X367" s="1382"/>
      <c r="Y367" s="1382"/>
      <c r="Z367" s="1382"/>
      <c r="AA367" s="1382"/>
      <c r="AB367" s="1382"/>
      <c r="AC367" s="1382"/>
      <c r="AD367" s="1382"/>
      <c r="AE367" s="1382"/>
      <c r="AF367" s="1382"/>
      <c r="AG367" s="1382"/>
      <c r="AH367" s="1382"/>
      <c r="AI367" s="1382"/>
      <c r="AJ367" s="1382"/>
      <c r="AK367" s="181"/>
      <c r="AL367" s="181"/>
      <c r="AM367" s="181"/>
      <c r="AN367" s="181"/>
      <c r="AO367" s="181"/>
      <c r="AP367" s="181"/>
      <c r="AQ367" s="181"/>
      <c r="AR367" s="181"/>
      <c r="AS367" s="181"/>
      <c r="AT367" s="181"/>
      <c r="AU367" s="181"/>
      <c r="AV367" s="181"/>
      <c r="AW367" s="181"/>
    </row>
    <row r="368" spans="1:49" s="545" customFormat="1" ht="15" hidden="1" customHeight="1" x14ac:dyDescent="0.25">
      <c r="A368" s="1517" t="str">
        <f>IF(COUNTIF('04 - 95% CD'!D368:G368,"Y")&gt;0,"Y",IF(COUNTIF('04 - 95% CD'!D368:G368,"N"),"N",""))</f>
        <v>Y</v>
      </c>
      <c r="B368" s="554"/>
      <c r="C368" s="944"/>
      <c r="D368" s="463"/>
      <c r="E368" s="463"/>
      <c r="F368" s="359" t="str">
        <f>IF('C-Design&amp;Const'!$W368="","",'C-Design&amp;Const'!$W368)</f>
        <v>N</v>
      </c>
      <c r="G368" s="291"/>
      <c r="H368" s="469" t="str">
        <f>CONCATENATE(IF(ISNUMBER(SEARCH("Placeholder",'C-Design&amp;Const'!Z368))=TRUE,"",IF(F368="N","PLACEHOLDER ROW - ","")),'C-Design&amp;Const'!Z368,IF(F368="N","",J368))</f>
        <v xml:space="preserve">PLACEHOLDER ROW - Audio Visual Symbols, Abbreviations, and General Notes </v>
      </c>
      <c r="I368" s="552"/>
      <c r="J368" s="551"/>
      <c r="K368" s="285" t="str">
        <f t="shared" ref="K368:K369" si="50">IF((COUNTIF(D368:F368,"Y")=COUNTIF(A368,"Y")),"match","no 95% match")</f>
        <v>no 95% match</v>
      </c>
      <c r="L368" s="1410" t="str">
        <f t="shared" ref="L368:L369" si="51">CONCATENATE(IF(ISNUMBER(SEARCH("Placeholder",H368))=TRUE,"&lt;---PM/Planner may hide PLACEHOLDER ROW",""))</f>
        <v>&lt;---PM/Planner may hide PLACEHOLDER ROW</v>
      </c>
      <c r="M368" s="1333"/>
      <c r="N368" s="1382"/>
      <c r="O368" s="1382"/>
      <c r="P368" s="1382"/>
      <c r="Q368" s="1382"/>
      <c r="R368" s="1382"/>
      <c r="S368" s="1382"/>
      <c r="T368" s="1382"/>
      <c r="U368" s="1382"/>
      <c r="V368" s="1382"/>
      <c r="W368" s="1382"/>
      <c r="X368" s="1382"/>
      <c r="Y368" s="1382"/>
      <c r="Z368" s="1382"/>
      <c r="AA368" s="1382"/>
      <c r="AB368" s="1382"/>
      <c r="AC368" s="1382"/>
      <c r="AD368" s="1382"/>
      <c r="AE368" s="1382"/>
      <c r="AF368" s="1382"/>
      <c r="AG368" s="1382"/>
      <c r="AH368" s="1382"/>
      <c r="AI368" s="1382"/>
      <c r="AJ368" s="1382"/>
      <c r="AK368" s="551"/>
      <c r="AL368" s="551"/>
      <c r="AM368" s="551"/>
      <c r="AN368" s="551"/>
      <c r="AO368" s="551"/>
      <c r="AP368" s="551"/>
      <c r="AQ368" s="551"/>
      <c r="AR368" s="551"/>
      <c r="AS368" s="551"/>
      <c r="AT368" s="551"/>
      <c r="AU368" s="551"/>
      <c r="AV368" s="551"/>
      <c r="AW368" s="551"/>
    </row>
    <row r="369" spans="1:49" s="545" customFormat="1" ht="15" hidden="1" customHeight="1" x14ac:dyDescent="0.25">
      <c r="A369" s="1517" t="str">
        <f>IF(COUNTIF('04 - 95% CD'!D369:G369,"Y")&gt;0,"Y",IF(COUNTIF('04 - 95% CD'!D369:G369,"N"),"N",""))</f>
        <v>Y</v>
      </c>
      <c r="B369" s="554"/>
      <c r="C369" s="944"/>
      <c r="D369" s="463"/>
      <c r="E369" s="463"/>
      <c r="F369" s="359" t="str">
        <f>IF('C-Design&amp;Const'!$W369="","",'C-Design&amp;Const'!$W369)</f>
        <v>N</v>
      </c>
      <c r="G369" s="291"/>
      <c r="H369" s="469" t="str">
        <f>CONCATENATE(IF(ISNUMBER(SEARCH("Placeholder",'C-Design&amp;Const'!Z369))=TRUE,"",IF(F369="N","PLACEHOLDER ROW - ","")),'C-Design&amp;Const'!Z369,IF(F369="N","",J369))</f>
        <v xml:space="preserve">PLACEHOLDER ROW - A/V Demolition(s) </v>
      </c>
      <c r="I369" s="552"/>
      <c r="J369" s="551"/>
      <c r="K369" s="285" t="str">
        <f t="shared" si="50"/>
        <v>no 95% match</v>
      </c>
      <c r="L369" s="1410" t="str">
        <f t="shared" si="51"/>
        <v>&lt;---PM/Planner may hide PLACEHOLDER ROW</v>
      </c>
      <c r="M369" s="1333"/>
      <c r="N369" s="1382"/>
      <c r="O369" s="1382"/>
      <c r="P369" s="1382"/>
      <c r="Q369" s="1382"/>
      <c r="R369" s="1382"/>
      <c r="S369" s="1382"/>
      <c r="T369" s="1382"/>
      <c r="U369" s="1382"/>
      <c r="V369" s="1382"/>
      <c r="W369" s="1382"/>
      <c r="X369" s="1382"/>
      <c r="Y369" s="1382"/>
      <c r="Z369" s="1382"/>
      <c r="AA369" s="1382"/>
      <c r="AB369" s="1382"/>
      <c r="AC369" s="1382"/>
      <c r="AD369" s="1382"/>
      <c r="AE369" s="1382"/>
      <c r="AF369" s="1382"/>
      <c r="AG369" s="1382"/>
      <c r="AH369" s="1382"/>
      <c r="AI369" s="1382"/>
      <c r="AJ369" s="1382"/>
      <c r="AK369" s="551"/>
      <c r="AL369" s="551"/>
      <c r="AM369" s="551"/>
      <c r="AN369" s="551"/>
      <c r="AO369" s="551"/>
      <c r="AP369" s="551"/>
      <c r="AQ369" s="551"/>
      <c r="AR369" s="551"/>
      <c r="AS369" s="551"/>
      <c r="AT369" s="551"/>
      <c r="AU369" s="551"/>
      <c r="AV369" s="551"/>
      <c r="AW369" s="551"/>
    </row>
    <row r="370" spans="1:49" ht="45" hidden="1" x14ac:dyDescent="0.25">
      <c r="A370" s="1520" t="str">
        <f>IF(COUNTIF('04 - 95% CD'!D370:G370,"Y")&gt;0,"Y",IF(COUNTIF('04 - 95% CD'!D370:G370,"N"),"N",""))</f>
        <v>Y</v>
      </c>
      <c r="B370" s="125"/>
      <c r="C370" s="944"/>
      <c r="D370" s="411"/>
      <c r="E370" s="321"/>
      <c r="F370" s="559" t="str">
        <f>IF('C-Design&amp;Const'!$W370="","",'C-Design&amp;Const'!$W370)</f>
        <v>N</v>
      </c>
      <c r="G370" s="485"/>
      <c r="H370" s="243" t="str">
        <f>CONCATENATE(IF(ISNUMBER(SEARCH("Placeholder",'C-Design&amp;Const'!Z370))=TRUE,"",IF(F370="N","PLACEHOLDER ROW - ","")),'C-Design&amp;Const'!Z370,IF(F370="N","",J370))</f>
        <v xml:space="preserve">PLACEHOLDER ROW - AV System Floor Plans.  Equipment identified, Equipment Clearance &amp; Throw Distances Dimensioned, Power, Conduit &amp; Backbox Layouts Shown.  Cables shown separated by type/signal level; all Cables Leaving Room Clearly Shown. </v>
      </c>
      <c r="I370" s="552"/>
      <c r="K370" s="285" t="str">
        <f t="shared" si="35"/>
        <v>no 95% match</v>
      </c>
      <c r="L370" s="1410" t="str">
        <f t="shared" si="44"/>
        <v>&lt;---PM/Planner may hide PLACEHOLDER ROW</v>
      </c>
      <c r="M370" s="1382"/>
      <c r="N370" s="1333"/>
      <c r="O370" s="1333"/>
      <c r="P370" s="1333"/>
      <c r="Q370" s="1333"/>
      <c r="R370" s="1453"/>
      <c r="S370" s="1364"/>
      <c r="T370" s="1404"/>
      <c r="U370" s="1333"/>
      <c r="V370" s="1333"/>
      <c r="W370" s="1333"/>
      <c r="X370" s="1333"/>
      <c r="Y370" s="1333"/>
      <c r="Z370" s="1333"/>
      <c r="AA370" s="1333"/>
      <c r="AB370" s="1333"/>
      <c r="AC370" s="1333"/>
      <c r="AD370" s="1333"/>
      <c r="AE370" s="1333"/>
      <c r="AF370" s="1333"/>
      <c r="AG370" s="1333"/>
      <c r="AH370" s="1333"/>
      <c r="AI370" s="1333"/>
      <c r="AJ370" s="1333"/>
    </row>
    <row r="371" spans="1:49" ht="75" hidden="1" x14ac:dyDescent="0.25">
      <c r="A371" s="1520" t="str">
        <f>IF(COUNTIF('04 - 95% CD'!D371:G371,"Y")&gt;0,"Y",IF(COUNTIF('04 - 95% CD'!D371:G371,"N"),"N",""))</f>
        <v>Y</v>
      </c>
      <c r="B371" s="125"/>
      <c r="C371" s="944"/>
      <c r="D371" s="411"/>
      <c r="E371" s="321"/>
      <c r="F371" s="559" t="str">
        <f>IF('C-Design&amp;Const'!$W371="","",'C-Design&amp;Const'!$W371)</f>
        <v>N</v>
      </c>
      <c r="G371" s="485"/>
      <c r="H371" s="243" t="str">
        <f>CONCATENATE(IF(ISNUMBER(SEARCH("Placeholder",'C-Design&amp;Const'!Z371))=TRUE,"",IF(F371="N","PLACEHOLDER ROW - ","")),'C-Design&amp;Const'!Z371,IF(F371="N","",J371))</f>
        <v xml:space="preserve">PLACEHOLDER ROW - AV System Details:  Equipment Installation Details, AV Rack Elevations for each Rack, Major Equipment Components Located in the Rack, Custom Plate Details, and Plates Associated with Equipment Plans and System Line Diagrams.  Equipment Mounting Details which Support More than 40 Pounds shall be stamped by a Licensed Structural Engineer. </v>
      </c>
      <c r="I371" s="552"/>
      <c r="K371" s="285" t="str">
        <f t="shared" si="35"/>
        <v>no 95% match</v>
      </c>
      <c r="L371" s="1410" t="str">
        <f t="shared" si="44"/>
        <v>&lt;---PM/Planner may hide PLACEHOLDER ROW</v>
      </c>
      <c r="M371" s="1333"/>
      <c r="N371" s="1333"/>
      <c r="O371" s="1333"/>
      <c r="P371" s="1333"/>
      <c r="Q371" s="1333"/>
      <c r="R371" s="1453"/>
      <c r="S371" s="1364"/>
      <c r="T371" s="1404"/>
      <c r="U371" s="1333"/>
      <c r="V371" s="1333"/>
      <c r="W371" s="1333"/>
      <c r="X371" s="1333"/>
      <c r="Y371" s="1333"/>
      <c r="Z371" s="1333"/>
      <c r="AA371" s="1333"/>
      <c r="AB371" s="1333"/>
      <c r="AC371" s="1333"/>
      <c r="AD371" s="1333"/>
      <c r="AE371" s="1333"/>
      <c r="AF371" s="1333"/>
      <c r="AG371" s="1333"/>
      <c r="AH371" s="1333"/>
      <c r="AI371" s="1333"/>
      <c r="AJ371" s="1333"/>
    </row>
    <row r="372" spans="1:49" ht="18.75" hidden="1" x14ac:dyDescent="0.25">
      <c r="A372" s="1520" t="str">
        <f>IF(COUNTIF('04 - 95% CD'!D372:G372,"Y")&gt;0,"Y",IF(COUNTIF('04 - 95% CD'!D372:G372,"N"),"N",""))</f>
        <v>Y</v>
      </c>
      <c r="B372" s="125"/>
      <c r="C372" s="944"/>
      <c r="D372" s="411"/>
      <c r="E372" s="321"/>
      <c r="F372" s="559" t="str">
        <f>IF('C-Design&amp;Const'!$W372="","",'C-Design&amp;Const'!$W372)</f>
        <v>N</v>
      </c>
      <c r="G372" s="485"/>
      <c r="H372" s="1020" t="str">
        <f>CONCATENATE(IF(ISNUMBER(SEARCH("Placeholder",'C-Design&amp;Const'!Z372))=TRUE,"",IF(F372="N","PLACEHOLDER ROW - ","")),'C-Design&amp;Const'!Z372,IF(F372="N","",J372))</f>
        <v xml:space="preserve">PLACEHOLDER ROW - AV System Line Diagrams, showing: </v>
      </c>
      <c r="I372" s="552"/>
      <c r="K372" s="285" t="str">
        <f t="shared" si="35"/>
        <v>no 95% match</v>
      </c>
      <c r="L372" s="1410" t="str">
        <f t="shared" si="44"/>
        <v>&lt;---PM/Planner may hide PLACEHOLDER ROW</v>
      </c>
      <c r="M372" s="1333"/>
      <c r="N372" s="1333"/>
      <c r="O372" s="1333"/>
      <c r="P372" s="1333"/>
      <c r="Q372" s="1333"/>
      <c r="R372" s="1453"/>
      <c r="S372" s="1364"/>
      <c r="T372" s="1404"/>
      <c r="U372" s="1333"/>
      <c r="V372" s="1333"/>
      <c r="W372" s="1333"/>
      <c r="X372" s="1333"/>
      <c r="Y372" s="1333"/>
      <c r="Z372" s="1333"/>
      <c r="AA372" s="1333"/>
      <c r="AB372" s="1333"/>
      <c r="AC372" s="1333"/>
      <c r="AD372" s="1333"/>
      <c r="AE372" s="1333"/>
      <c r="AF372" s="1333"/>
      <c r="AG372" s="1333"/>
      <c r="AH372" s="1333"/>
      <c r="AI372" s="1333"/>
      <c r="AJ372" s="1333"/>
    </row>
    <row r="373" spans="1:49" ht="18.75" hidden="1" x14ac:dyDescent="0.25">
      <c r="A373" s="1520" t="str">
        <f>IF(COUNTIF('04 - 95% CD'!D373:G373,"Y")&gt;0,"Y",IF(COUNTIF('04 - 95% CD'!D373:G373,"N"),"N",""))</f>
        <v>Y</v>
      </c>
      <c r="B373" s="125"/>
      <c r="C373" s="944"/>
      <c r="D373" s="411"/>
      <c r="E373" s="321"/>
      <c r="F373" s="524"/>
      <c r="G373" s="559" t="str">
        <f>IF('C-Design&amp;Const'!$W373="","",'C-Design&amp;Const'!$W373)</f>
        <v>N</v>
      </c>
      <c r="H373" s="1021" t="str">
        <f>CONCATENATE(IF(ISNUMBER(SEARCH("Placeholder",'C-Design&amp;Const'!Z373))=TRUE,"",IF(G373="N","PLACEHOLDER ROW - ","")),'C-Design&amp;Const'!Z373,IF(G373="N","",J373))</f>
        <v xml:space="preserve">PLACEHOLDER ROW - Signal flow from input to output, left to right </v>
      </c>
      <c r="I373" s="552"/>
      <c r="K373" s="285" t="str">
        <f t="shared" si="35"/>
        <v>no 95% match</v>
      </c>
      <c r="L373" s="1410" t="str">
        <f t="shared" si="44"/>
        <v>&lt;---PM/Planner may hide PLACEHOLDER ROW</v>
      </c>
      <c r="M373" s="1333"/>
      <c r="N373" s="1333"/>
      <c r="O373" s="1333"/>
      <c r="P373" s="1333"/>
      <c r="Q373" s="1333"/>
      <c r="R373" s="1446"/>
      <c r="S373" s="1364"/>
      <c r="T373" s="1404"/>
      <c r="U373" s="1333"/>
      <c r="V373" s="1333"/>
      <c r="W373" s="1333"/>
      <c r="X373" s="1333"/>
      <c r="Y373" s="1333"/>
      <c r="Z373" s="1333"/>
      <c r="AA373" s="1333"/>
      <c r="AB373" s="1333"/>
      <c r="AC373" s="1333"/>
      <c r="AD373" s="1333"/>
      <c r="AE373" s="1333"/>
      <c r="AF373" s="1333"/>
      <c r="AG373" s="1333"/>
      <c r="AH373" s="1333"/>
      <c r="AI373" s="1333"/>
      <c r="AJ373" s="1333"/>
    </row>
    <row r="374" spans="1:49" ht="30" hidden="1" x14ac:dyDescent="0.25">
      <c r="A374" s="1520" t="str">
        <f>IF(COUNTIF('04 - 95% CD'!D374:G374,"Y")&gt;0,"Y",IF(COUNTIF('04 - 95% CD'!D374:G374,"N"),"N",""))</f>
        <v>Y</v>
      </c>
      <c r="B374" s="125"/>
      <c r="C374" s="944"/>
      <c r="D374" s="411"/>
      <c r="E374" s="321"/>
      <c r="F374" s="524"/>
      <c r="G374" s="559" t="str">
        <f>IF('C-Design&amp;Const'!$W374="","",'C-Design&amp;Const'!$W374)</f>
        <v>N</v>
      </c>
      <c r="H374" s="1021" t="str">
        <f>CONCATENATE(IF(ISNUMBER(SEARCH("Placeholder",'C-Design&amp;Const'!Z374))=TRUE,"",IF(G374="N","PLACEHOLDER ROW - ","")),'C-Design&amp;Const'!Z374,IF(G374="N","",J374))</f>
        <v xml:space="preserve">PLACEHOLDER ROW - Major pieces of equipment identified by manufacturer, model number &amp; description </v>
      </c>
      <c r="I374" s="552"/>
      <c r="K374" s="285" t="str">
        <f t="shared" si="35"/>
        <v>no 95% match</v>
      </c>
      <c r="L374" s="1410" t="str">
        <f t="shared" si="44"/>
        <v>&lt;---PM/Planner may hide PLACEHOLDER ROW</v>
      </c>
      <c r="M374" s="1333"/>
      <c r="N374" s="1333"/>
      <c r="O374" s="1333"/>
      <c r="P374" s="1333"/>
      <c r="Q374" s="1333"/>
      <c r="R374" s="1444"/>
      <c r="S374" s="1448"/>
      <c r="T374" s="1404"/>
      <c r="U374" s="1333"/>
      <c r="V374" s="1333"/>
      <c r="W374" s="1333"/>
      <c r="X374" s="1333"/>
      <c r="Y374" s="1333"/>
      <c r="Z374" s="1333"/>
      <c r="AA374" s="1333"/>
      <c r="AB374" s="1333"/>
      <c r="AC374" s="1333"/>
      <c r="AD374" s="1333"/>
      <c r="AE374" s="1333"/>
      <c r="AF374" s="1333"/>
      <c r="AG374" s="1333"/>
      <c r="AH374" s="1333"/>
      <c r="AI374" s="1333"/>
      <c r="AJ374" s="1333"/>
    </row>
    <row r="375" spans="1:49" ht="18.75" hidden="1" x14ac:dyDescent="0.25">
      <c r="A375" s="1520" t="str">
        <f>IF(COUNTIF('04 - 95% CD'!D375:G375,"Y")&gt;0,"Y",IF(COUNTIF('04 - 95% CD'!D375:G375,"N"),"N",""))</f>
        <v>Y</v>
      </c>
      <c r="B375" s="125"/>
      <c r="C375" s="944"/>
      <c r="D375" s="411"/>
      <c r="E375" s="321"/>
      <c r="F375" s="524"/>
      <c r="G375" s="559" t="str">
        <f>IF('C-Design&amp;Const'!$W375="","",'C-Design&amp;Const'!$W375)</f>
        <v>N</v>
      </c>
      <c r="H375" s="1021" t="str">
        <f>CONCATENATE(IF(ISNUMBER(SEARCH("Placeholder",'C-Design&amp;Const'!Z375))=TRUE,"",IF(G375="N","PLACEHOLDER ROW - ","")),'C-Design&amp;Const'!Z375,IF(G375="N","",J375))</f>
        <v xml:space="preserve">PLACEHOLDER ROW - Equipment associated with plans and details </v>
      </c>
      <c r="I375" s="552"/>
      <c r="K375" s="285" t="str">
        <f t="shared" si="35"/>
        <v>no 95% match</v>
      </c>
      <c r="L375" s="1410" t="str">
        <f t="shared" si="44"/>
        <v>&lt;---PM/Planner may hide PLACEHOLDER ROW</v>
      </c>
      <c r="M375" s="1333"/>
      <c r="N375" s="1333"/>
      <c r="O375" s="1333"/>
      <c r="P375" s="1333"/>
      <c r="Q375" s="1333"/>
      <c r="R375" s="1487"/>
      <c r="S375" s="1364"/>
      <c r="T375" s="1404"/>
      <c r="U375" s="1333"/>
      <c r="V375" s="1333"/>
      <c r="W375" s="1333"/>
      <c r="X375" s="1333"/>
      <c r="Y375" s="1333"/>
      <c r="Z375" s="1333"/>
      <c r="AA375" s="1333"/>
      <c r="AB375" s="1333"/>
      <c r="AC375" s="1333"/>
      <c r="AD375" s="1333"/>
      <c r="AE375" s="1333"/>
      <c r="AF375" s="1333"/>
      <c r="AG375" s="1333"/>
      <c r="AH375" s="1333"/>
      <c r="AI375" s="1333"/>
      <c r="AJ375" s="1333"/>
    </row>
    <row r="376" spans="1:49" ht="18.75" hidden="1" x14ac:dyDescent="0.25">
      <c r="A376" s="1520" t="str">
        <f>IF(COUNTIF('04 - 95% CD'!D376:G376,"Y")&gt;0,"Y",IF(COUNTIF('04 - 95% CD'!D376:G376,"N"),"N",""))</f>
        <v>Y</v>
      </c>
      <c r="B376" s="125"/>
      <c r="C376" s="944"/>
      <c r="D376" s="411"/>
      <c r="E376" s="321"/>
      <c r="F376" s="524"/>
      <c r="G376" s="559" t="str">
        <f>IF('C-Design&amp;Const'!$W376="","",'C-Design&amp;Const'!$W376)</f>
        <v>N</v>
      </c>
      <c r="H376" s="1021" t="str">
        <f>CONCATENATE(IF(ISNUMBER(SEARCH("Placeholder",'C-Design&amp;Const'!Z376))=TRUE,"",IF(G376="N","PLACEHOLDER ROW - ","")),'C-Design&amp;Const'!Z376,IF(G376="N","",J376))</f>
        <v xml:space="preserve">PLACEHOLDER ROW - All field and rack cabling and signal type </v>
      </c>
      <c r="I376" s="552"/>
      <c r="K376" s="285" t="str">
        <f t="shared" ref="K376:K429" si="52">IF((COUNTIF(D376:F376,"Y")=COUNTIF(A376,"Y")),"match","no 95% match")</f>
        <v>no 95% match</v>
      </c>
      <c r="L376" s="1410" t="str">
        <f t="shared" si="44"/>
        <v>&lt;---PM/Planner may hide PLACEHOLDER ROW</v>
      </c>
      <c r="M376" s="1333"/>
      <c r="N376" s="1333"/>
      <c r="O376" s="1333"/>
      <c r="P376" s="1333"/>
      <c r="Q376" s="1333"/>
      <c r="R376" s="1444"/>
      <c r="S376" s="1448"/>
      <c r="T376" s="1404"/>
      <c r="U376" s="1333"/>
      <c r="V376" s="1333"/>
      <c r="W376" s="1333"/>
      <c r="X376" s="1333"/>
      <c r="Y376" s="1333"/>
      <c r="Z376" s="1333"/>
      <c r="AA376" s="1333"/>
      <c r="AB376" s="1333"/>
      <c r="AC376" s="1333"/>
      <c r="AD376" s="1333"/>
      <c r="AE376" s="1333"/>
      <c r="AF376" s="1333"/>
      <c r="AG376" s="1333"/>
      <c r="AH376" s="1333"/>
      <c r="AI376" s="1333"/>
      <c r="AJ376" s="1333"/>
    </row>
    <row r="377" spans="1:49" ht="18.75" hidden="1" x14ac:dyDescent="0.25">
      <c r="A377" s="1520" t="str">
        <f>IF(COUNTIF('04 - 95% CD'!D377:G377,"Y")&gt;0,"Y",IF(COUNTIF('04 - 95% CD'!D377:G377,"N"),"N",""))</f>
        <v>Y</v>
      </c>
      <c r="B377" s="125"/>
      <c r="C377" s="944"/>
      <c r="D377" s="411"/>
      <c r="E377" s="321"/>
      <c r="F377" s="524"/>
      <c r="G377" s="559" t="str">
        <f>IF('C-Design&amp;Const'!$W377="","",'C-Design&amp;Const'!$W377)</f>
        <v>N</v>
      </c>
      <c r="H377" s="1021" t="str">
        <f>CONCATENATE(IF(ISNUMBER(SEARCH("Placeholder",'C-Design&amp;Const'!Z377))=TRUE,"",IF(G377="N","PLACEHOLDER ROW - ","")),'C-Design&amp;Const'!Z377,IF(G377="N","",J377))</f>
        <v xml:space="preserve">PLACEHOLDER ROW - Video signal resolutions </v>
      </c>
      <c r="I377" s="552"/>
      <c r="K377" s="285" t="str">
        <f t="shared" si="52"/>
        <v>no 95% match</v>
      </c>
      <c r="L377" s="1410" t="str">
        <f t="shared" si="44"/>
        <v>&lt;---PM/Planner may hide PLACEHOLDER ROW</v>
      </c>
      <c r="M377" s="1333"/>
      <c r="N377" s="1333"/>
      <c r="O377" s="1333"/>
      <c r="P377" s="1333"/>
      <c r="Q377" s="1333"/>
      <c r="R377" s="1284"/>
      <c r="S377" s="1488"/>
      <c r="T377" s="1404"/>
      <c r="U377" s="1333"/>
      <c r="V377" s="1333"/>
      <c r="W377" s="1333"/>
      <c r="X377" s="1333"/>
      <c r="Y377" s="1333"/>
      <c r="Z377" s="1333"/>
      <c r="AA377" s="1333"/>
      <c r="AB377" s="1333"/>
      <c r="AC377" s="1333"/>
      <c r="AD377" s="1333"/>
      <c r="AE377" s="1333"/>
      <c r="AF377" s="1333"/>
      <c r="AG377" s="1333"/>
      <c r="AH377" s="1333"/>
      <c r="AI377" s="1333"/>
      <c r="AJ377" s="1333"/>
    </row>
    <row r="378" spans="1:49" ht="18.75" hidden="1" x14ac:dyDescent="0.25">
      <c r="A378" s="1520" t="str">
        <f>IF(COUNTIF('04 - 95% CD'!D378:G378,"Y")&gt;0,"Y",IF(COUNTIF('04 - 95% CD'!D378:G378,"N"),"N",""))</f>
        <v>Y</v>
      </c>
      <c r="B378" s="125"/>
      <c r="C378" s="944"/>
      <c r="D378" s="411"/>
      <c r="E378" s="321"/>
      <c r="F378" s="524"/>
      <c r="G378" s="559" t="str">
        <f>IF('C-Design&amp;Const'!$W378="","",'C-Design&amp;Const'!$W378)</f>
        <v>N</v>
      </c>
      <c r="H378" s="1021" t="str">
        <f>CONCATENATE(IF(ISNUMBER(SEARCH("Placeholder",'C-Design&amp;Const'!Z378))=TRUE,"",IF(G378="N","PLACEHOLDER ROW - ","")),'C-Design&amp;Const'!Z378,IF(G378="N","",J378))</f>
        <v xml:space="preserve">PLACEHOLDER ROW - Manufacturer &amp; model number of all premade cables  </v>
      </c>
      <c r="I378" s="552"/>
      <c r="K378" s="285" t="str">
        <f t="shared" si="52"/>
        <v>no 95% match</v>
      </c>
      <c r="L378" s="1410" t="str">
        <f t="shared" si="44"/>
        <v>&lt;---PM/Planner may hide PLACEHOLDER ROW</v>
      </c>
      <c r="M378" s="1333"/>
      <c r="N378" s="1333"/>
      <c r="O378" s="1333"/>
      <c r="P378" s="1333"/>
      <c r="Q378" s="1333"/>
      <c r="R378" s="1453"/>
      <c r="S378" s="1364"/>
      <c r="T378" s="1404"/>
      <c r="U378" s="1333"/>
      <c r="V378" s="1333"/>
      <c r="W378" s="1333"/>
      <c r="X378" s="1333"/>
      <c r="Y378" s="1333"/>
      <c r="Z378" s="1333"/>
      <c r="AA378" s="1333"/>
      <c r="AB378" s="1333"/>
      <c r="AC378" s="1333"/>
      <c r="AD378" s="1333"/>
      <c r="AE378" s="1333"/>
      <c r="AF378" s="1333"/>
      <c r="AG378" s="1333"/>
      <c r="AH378" s="1333"/>
      <c r="AI378" s="1333"/>
      <c r="AJ378" s="1333"/>
    </row>
    <row r="379" spans="1:49" ht="18.75" hidden="1" x14ac:dyDescent="0.25">
      <c r="A379" s="1520" t="str">
        <f>IF(COUNTIF('04 - 95% CD'!D379:G379,"Y")&gt;0,"Y",IF(COUNTIF('04 - 95% CD'!D379:G379,"N"),"N",""))</f>
        <v>Y</v>
      </c>
      <c r="B379" s="125"/>
      <c r="C379" s="944"/>
      <c r="D379" s="411"/>
      <c r="E379" s="321"/>
      <c r="F379" s="524"/>
      <c r="G379" s="559" t="str">
        <f>IF('C-Design&amp;Const'!$W379="","",'C-Design&amp;Const'!$W379)</f>
        <v>N</v>
      </c>
      <c r="H379" s="1021" t="str">
        <f>CONCATENATE(IF(ISNUMBER(SEARCH("Placeholder",'C-Design&amp;Const'!Z379))=TRUE,"",IF(G379="N","PLACEHOLDER ROW - ","")),'C-Design&amp;Const'!Z379,IF(G379="N","",J379))</f>
        <v xml:space="preserve">PLACEHOLDER ROW - Typical pin out details </v>
      </c>
      <c r="I379" s="552"/>
      <c r="K379" s="285" t="str">
        <f t="shared" si="52"/>
        <v>no 95% match</v>
      </c>
      <c r="L379" s="1410" t="str">
        <f t="shared" si="44"/>
        <v>&lt;---PM/Planner may hide PLACEHOLDER ROW</v>
      </c>
      <c r="M379" s="1333"/>
      <c r="N379" s="1333"/>
      <c r="O379" s="1333"/>
      <c r="P379" s="1333"/>
      <c r="Q379" s="1333"/>
      <c r="R379" s="1453"/>
      <c r="S379" s="1364"/>
      <c r="T379" s="1404"/>
      <c r="U379" s="1333"/>
      <c r="V379" s="1333"/>
      <c r="W379" s="1333"/>
      <c r="X379" s="1333"/>
      <c r="Y379" s="1333"/>
      <c r="Z379" s="1333"/>
      <c r="AA379" s="1333"/>
      <c r="AB379" s="1333"/>
      <c r="AC379" s="1333"/>
      <c r="AD379" s="1333"/>
      <c r="AE379" s="1333"/>
      <c r="AF379" s="1333"/>
      <c r="AG379" s="1333"/>
      <c r="AH379" s="1333"/>
      <c r="AI379" s="1333"/>
      <c r="AJ379" s="1333"/>
    </row>
    <row r="380" spans="1:49" ht="18.75" hidden="1" x14ac:dyDescent="0.25">
      <c r="A380" s="1520" t="str">
        <f>IF(COUNTIF('04 - 95% CD'!D380:G380,"Y")&gt;0,"Y",IF(COUNTIF('04 - 95% CD'!D380:G380,"N"),"N",""))</f>
        <v>Y</v>
      </c>
      <c r="B380" s="125"/>
      <c r="C380" s="944"/>
      <c r="D380" s="411"/>
      <c r="E380" s="321"/>
      <c r="F380" s="524"/>
      <c r="G380" s="559" t="str">
        <f>IF('C-Design&amp;Const'!$W380="","",'C-Design&amp;Const'!$W380)</f>
        <v>N</v>
      </c>
      <c r="H380" s="1021" t="str">
        <f>CONCATENATE(IF(ISNUMBER(SEARCH("Placeholder",'C-Design&amp;Const'!Z380))=TRUE,"",IF(G380="N","PLACEHOLDER ROW - ","")),'C-Design&amp;Const'!Z380,IF(G380="N","",J380))</f>
        <v xml:space="preserve">PLACEHOLDER ROW - Video Security System – Approved Camera Locations </v>
      </c>
      <c r="I380" s="552"/>
      <c r="K380" s="285" t="str">
        <f t="shared" si="52"/>
        <v>no 95% match</v>
      </c>
      <c r="L380" s="1410" t="str">
        <f t="shared" si="44"/>
        <v>&lt;---PM/Planner may hide PLACEHOLDER ROW</v>
      </c>
      <c r="M380" s="1333"/>
      <c r="N380" s="1333"/>
      <c r="O380" s="1333"/>
      <c r="P380" s="1333"/>
      <c r="Q380" s="1333"/>
      <c r="R380" s="1453"/>
      <c r="S380" s="1364"/>
      <c r="T380" s="1404"/>
      <c r="U380" s="1333"/>
      <c r="V380" s="1333"/>
      <c r="W380" s="1333"/>
      <c r="X380" s="1333"/>
      <c r="Y380" s="1333"/>
      <c r="Z380" s="1333"/>
      <c r="AA380" s="1333"/>
      <c r="AB380" s="1333"/>
      <c r="AC380" s="1333"/>
      <c r="AD380" s="1333"/>
      <c r="AE380" s="1333"/>
      <c r="AF380" s="1333"/>
      <c r="AG380" s="1333"/>
      <c r="AH380" s="1333"/>
      <c r="AI380" s="1333"/>
      <c r="AJ380" s="1333"/>
    </row>
    <row r="381" spans="1:49" s="17" customFormat="1" ht="18.75" x14ac:dyDescent="0.25">
      <c r="A381" s="1510" t="str">
        <f>IF(COUNTIF('04 - 95% CD'!D381:G381,"Y")&gt;0,"Y",IF(COUNTIF('04 - 95% CD'!D381:G381,"N"),"N",""))</f>
        <v/>
      </c>
      <c r="B381" s="141"/>
      <c r="C381" s="944"/>
      <c r="D381" s="411"/>
      <c r="E381" s="411"/>
      <c r="F381" s="321"/>
      <c r="G381" s="294"/>
      <c r="H381" s="296"/>
      <c r="I381" s="552"/>
      <c r="K381" s="285" t="str">
        <f t="shared" si="52"/>
        <v>match</v>
      </c>
      <c r="L381" s="1410" t="str">
        <f t="shared" si="44"/>
        <v/>
      </c>
      <c r="M381" s="1333"/>
      <c r="N381" s="1333"/>
      <c r="O381" s="1333"/>
      <c r="P381" s="1333"/>
      <c r="Q381" s="1333"/>
      <c r="R381" s="1453"/>
      <c r="S381" s="1364"/>
      <c r="T381" s="1404"/>
      <c r="U381" s="1333"/>
      <c r="V381" s="1333"/>
      <c r="W381" s="1333"/>
      <c r="X381" s="1333"/>
      <c r="Y381" s="1333"/>
      <c r="Z381" s="1333"/>
      <c r="AA381" s="1333"/>
      <c r="AB381" s="1333"/>
      <c r="AC381" s="1333"/>
      <c r="AD381" s="1333"/>
      <c r="AE381" s="1333"/>
      <c r="AF381" s="1333"/>
      <c r="AG381" s="1333"/>
      <c r="AH381" s="1333"/>
      <c r="AI381" s="1333"/>
      <c r="AJ381" s="1333"/>
    </row>
    <row r="382" spans="1:49" s="181" customFormat="1" ht="18.75" x14ac:dyDescent="0.25">
      <c r="A382" s="1501" t="str">
        <f>IF(COUNTIF('04 - 95% CD'!D382:G382,"Y")&gt;0,"Y",IF(COUNTIF('04 - 95% CD'!D382:G382,"N"),"N",""))</f>
        <v>N</v>
      </c>
      <c r="B382" s="177"/>
      <c r="C382" s="948"/>
      <c r="D382" s="359" t="str">
        <f>IF('C-Design&amp;Const'!$W382="","",'C-Design&amp;Const'!$W382)</f>
        <v>N</v>
      </c>
      <c r="E382" s="234"/>
      <c r="F382" s="235"/>
      <c r="G382" s="291" t="str">
        <f>IF('C-Design&amp;Const'!Y382="","",'C-Design&amp;Const'!Y382)</f>
        <v>07b.</v>
      </c>
      <c r="H382" s="290" t="str">
        <f>CONCATENATE('C-Design&amp;Const'!Z382,IF(D382="N"," Not Used In This Construction Phase",J382))</f>
        <v>Building Information Model (BIM) Not Used In This Construction Phase</v>
      </c>
      <c r="I382" s="552"/>
      <c r="K382" s="285" t="str">
        <f t="shared" si="52"/>
        <v>match</v>
      </c>
      <c r="L382" s="1410" t="str">
        <f t="shared" si="44"/>
        <v/>
      </c>
      <c r="M382" s="1333"/>
      <c r="N382" s="1382"/>
      <c r="O382" s="1382"/>
      <c r="P382" s="1382"/>
      <c r="Q382" s="1382"/>
      <c r="R382" s="1447"/>
      <c r="S382" s="1448"/>
      <c r="T382" s="1404"/>
      <c r="U382" s="1382"/>
      <c r="V382" s="1382"/>
      <c r="W382" s="1382"/>
      <c r="X382" s="1382"/>
      <c r="Y382" s="1382"/>
      <c r="Z382" s="1382"/>
      <c r="AA382" s="1382"/>
      <c r="AB382" s="1382"/>
      <c r="AC382" s="1382"/>
      <c r="AD382" s="1382"/>
      <c r="AE382" s="1382"/>
      <c r="AF382" s="1382"/>
      <c r="AG382" s="1382"/>
      <c r="AH382" s="1382"/>
      <c r="AI382" s="1382"/>
      <c r="AJ382" s="1382"/>
    </row>
    <row r="383" spans="1:49" ht="18.75" hidden="1" x14ac:dyDescent="0.25">
      <c r="A383" s="1407" t="str">
        <f>IF(COUNTIF('04 - 95% CD'!D383:G383,"Y")&gt;0,"Y",IF(COUNTIF('04 - 95% CD'!D383:G383,"N"),"N",""))</f>
        <v/>
      </c>
      <c r="B383" s="125"/>
      <c r="C383" s="943"/>
      <c r="D383" s="297"/>
      <c r="E383" s="321"/>
      <c r="F383" s="321"/>
      <c r="G383" s="294"/>
      <c r="H383" s="296"/>
      <c r="I383" s="552"/>
      <c r="K383" s="285" t="str">
        <f t="shared" si="52"/>
        <v>match</v>
      </c>
      <c r="L383" s="1410" t="str">
        <f t="shared" si="44"/>
        <v/>
      </c>
      <c r="M383" s="1382"/>
      <c r="N383" s="1333"/>
      <c r="O383" s="1333"/>
      <c r="P383" s="1333"/>
      <c r="Q383" s="1333"/>
      <c r="R383" s="1453"/>
      <c r="S383" s="1364"/>
      <c r="T383" s="1284"/>
      <c r="U383" s="1333"/>
      <c r="V383" s="1333"/>
      <c r="W383" s="1333"/>
      <c r="X383" s="1333"/>
      <c r="Y383" s="1333"/>
      <c r="Z383" s="1333"/>
      <c r="AA383" s="1333"/>
      <c r="AB383" s="1333"/>
      <c r="AC383" s="1333"/>
      <c r="AD383" s="1333"/>
      <c r="AE383" s="1333"/>
      <c r="AF383" s="1333"/>
      <c r="AG383" s="1333"/>
      <c r="AH383" s="1333"/>
      <c r="AI383" s="1333"/>
      <c r="AJ383" s="1333"/>
    </row>
    <row r="384" spans="1:49" ht="18.75" x14ac:dyDescent="0.25">
      <c r="A384" s="1407" t="str">
        <f>IF(COUNTIF('04 - 95% CD'!D384:G384,"Y")&gt;0,"Y",IF(COUNTIF('04 - 95% CD'!D384:G384,"N"),"N",""))</f>
        <v/>
      </c>
      <c r="B384" s="125"/>
      <c r="C384" s="943"/>
      <c r="D384" s="297"/>
      <c r="E384" s="321"/>
      <c r="F384" s="321"/>
      <c r="G384" s="294"/>
      <c r="H384" s="296"/>
      <c r="I384" s="552"/>
      <c r="K384" s="285" t="str">
        <f t="shared" si="52"/>
        <v>match</v>
      </c>
      <c r="L384" s="1410" t="str">
        <f t="shared" si="44"/>
        <v/>
      </c>
      <c r="M384" s="1333"/>
      <c r="N384" s="1333"/>
      <c r="O384" s="1333"/>
      <c r="P384" s="1333"/>
      <c r="Q384" s="1333"/>
      <c r="R384" s="1453"/>
      <c r="S384" s="1364"/>
      <c r="T384" s="1284"/>
      <c r="U384" s="1333"/>
      <c r="V384" s="1333"/>
      <c r="W384" s="1333"/>
      <c r="X384" s="1333"/>
      <c r="Y384" s="1333"/>
      <c r="Z384" s="1333"/>
      <c r="AA384" s="1333"/>
      <c r="AB384" s="1333"/>
      <c r="AC384" s="1333"/>
      <c r="AD384" s="1333"/>
      <c r="AE384" s="1333"/>
      <c r="AF384" s="1333"/>
      <c r="AG384" s="1333"/>
      <c r="AH384" s="1333"/>
      <c r="AI384" s="1333"/>
      <c r="AJ384" s="1333"/>
    </row>
    <row r="385" spans="1:50" s="181" customFormat="1" ht="18.75" x14ac:dyDescent="0.25">
      <c r="A385" s="1501" t="str">
        <f>IF(COUNTIF('04 - 95% CD'!D385:G385,"Y")&gt;0,"Y",IF(COUNTIF('04 - 95% CD'!D385:G385,"N"),"N",""))</f>
        <v>N</v>
      </c>
      <c r="B385" s="177"/>
      <c r="C385" s="944"/>
      <c r="D385" s="559" t="str">
        <f>IF('C-Design&amp;Const'!$W385="","",'C-Design&amp;Const'!$W385)</f>
        <v>N</v>
      </c>
      <c r="E385" s="234"/>
      <c r="F385" s="235"/>
      <c r="G385" s="291" t="str">
        <f>IF('C-Design&amp;Const'!Y385="","",'C-Design&amp;Const'!Y385)</f>
        <v>08a.</v>
      </c>
      <c r="H385" s="290" t="str">
        <f>CONCATENATE('C-Design&amp;Const'!Z385,IF(D385="N"," Not Used In This Construction Phase",J385))</f>
        <v>Design Presentation Not Used In This Construction Phase</v>
      </c>
      <c r="I385" s="552"/>
      <c r="K385" s="285" t="str">
        <f t="shared" si="52"/>
        <v>match</v>
      </c>
      <c r="L385" s="1410" t="str">
        <f t="shared" si="44"/>
        <v/>
      </c>
      <c r="M385" s="1333"/>
      <c r="N385" s="1382"/>
      <c r="O385" s="1382"/>
      <c r="P385" s="1382"/>
      <c r="Q385" s="1382"/>
      <c r="R385" s="1447"/>
      <c r="S385" s="1448"/>
      <c r="T385" s="1274"/>
      <c r="U385" s="1382"/>
      <c r="V385" s="1382"/>
      <c r="W385" s="1382"/>
      <c r="X385" s="1382"/>
      <c r="Y385" s="1382"/>
      <c r="Z385" s="1382"/>
      <c r="AA385" s="1382"/>
      <c r="AB385" s="1382"/>
      <c r="AC385" s="1382"/>
      <c r="AD385" s="1382"/>
      <c r="AE385" s="1382"/>
      <c r="AF385" s="1382"/>
      <c r="AG385" s="1382"/>
      <c r="AH385" s="1382"/>
      <c r="AI385" s="1382"/>
      <c r="AJ385" s="1382"/>
      <c r="AX385" s="30"/>
    </row>
    <row r="386" spans="1:50" s="30" customFormat="1" ht="18.75" hidden="1" x14ac:dyDescent="0.25">
      <c r="A386" s="1407" t="str">
        <f>IF(COUNTIF('04 - 95% CD'!D386:G386,"Y")&gt;0,"Y",IF(COUNTIF('04 - 95% CD'!D386:G386,"N"),"N",""))</f>
        <v>N</v>
      </c>
      <c r="B386" s="191"/>
      <c r="C386" s="944"/>
      <c r="D386" s="297"/>
      <c r="E386" s="559" t="str">
        <f>IF('C-Design&amp;Const'!$W386="","",'C-Design&amp;Const'!$W386)</f>
        <v>N</v>
      </c>
      <c r="F386" s="560"/>
      <c r="G386" s="558"/>
      <c r="H386" s="410" t="str">
        <f>CONCATENATE(IF(ISNUMBER(SEARCH("Placeholder",'C-Design&amp;Const'!Z386))=TRUE,"",IF(E386="N","PLACEHOLDER ROW - ","")),'C-Design&amp;Const'!Z386,IF(E386="N","",J386))</f>
        <v xml:space="preserve">PLACEHOLDER ROW - Overall Campus Map next to zoomed in aerial image map </v>
      </c>
      <c r="I386" s="552"/>
      <c r="J386" s="181"/>
      <c r="K386" s="285" t="str">
        <f t="shared" si="52"/>
        <v>match</v>
      </c>
      <c r="L386" s="1410" t="str">
        <f t="shared" si="44"/>
        <v>&lt;---PM/Planner may hide PLACEHOLDER ROW</v>
      </c>
      <c r="M386" s="1382"/>
      <c r="N386" s="1382"/>
      <c r="O386" s="1382"/>
      <c r="P386" s="1382"/>
      <c r="Q386" s="1382"/>
      <c r="R386" s="1490"/>
      <c r="S386" s="1274"/>
      <c r="T386" s="1274"/>
      <c r="U386" s="1382"/>
      <c r="V386" s="1382"/>
      <c r="W386" s="1382"/>
      <c r="X386" s="1382"/>
      <c r="Y386" s="1382"/>
      <c r="Z386" s="1382"/>
      <c r="AA386" s="1382"/>
      <c r="AB386" s="1382"/>
      <c r="AC386" s="1382"/>
      <c r="AD386" s="1382"/>
      <c r="AE386" s="1382"/>
      <c r="AF386" s="1382"/>
      <c r="AG386" s="1382"/>
      <c r="AH386" s="1382"/>
      <c r="AI386" s="1382"/>
      <c r="AJ386" s="1382"/>
      <c r="AK386" s="181"/>
      <c r="AL386" s="181"/>
      <c r="AM386" s="181"/>
      <c r="AN386" s="181"/>
      <c r="AO386" s="181"/>
      <c r="AP386" s="181"/>
      <c r="AQ386" s="181"/>
      <c r="AR386" s="181"/>
      <c r="AS386" s="181"/>
      <c r="AT386" s="181"/>
      <c r="AU386" s="181"/>
      <c r="AV386" s="181"/>
      <c r="AW386" s="181"/>
    </row>
    <row r="387" spans="1:50" s="30" customFormat="1" ht="18.75" hidden="1" x14ac:dyDescent="0.25">
      <c r="A387" s="1407" t="str">
        <f>IF(COUNTIF('04 - 95% CD'!D387:G387,"Y")&gt;0,"Y",IF(COUNTIF('04 - 95% CD'!D387:G387,"N"),"N",""))</f>
        <v>N</v>
      </c>
      <c r="B387" s="191"/>
      <c r="C387" s="944"/>
      <c r="D387" s="297"/>
      <c r="E387" s="559" t="str">
        <f>IF('C-Design&amp;Const'!$W387="","",'C-Design&amp;Const'!$W387)</f>
        <v>N</v>
      </c>
      <c r="F387" s="560"/>
      <c r="G387" s="558"/>
      <c r="H387" s="410" t="str">
        <f>CONCATENATE(IF(ISNUMBER(SEARCH("Placeholder",'C-Design&amp;Const'!Z387))=TRUE,"",IF(E387="N","PLACEHOLDER ROW - ","")),'C-Design&amp;Const'!Z387,IF(E387="N","",J387))</f>
        <v>PLACEHOLDER ROW - Building Footprint on Master Plan</v>
      </c>
      <c r="I387" s="552"/>
      <c r="J387" s="181"/>
      <c r="K387" s="285" t="str">
        <f t="shared" si="52"/>
        <v>match</v>
      </c>
      <c r="L387" s="1410" t="str">
        <f t="shared" si="44"/>
        <v>&lt;---PM/Planner may hide PLACEHOLDER ROW</v>
      </c>
      <c r="M387" s="1382"/>
      <c r="N387" s="1382"/>
      <c r="O387" s="1382"/>
      <c r="P387" s="1382"/>
      <c r="Q387" s="1382"/>
      <c r="R387" s="1490"/>
      <c r="S387" s="1274"/>
      <c r="T387" s="1274"/>
      <c r="U387" s="1382"/>
      <c r="V387" s="1382"/>
      <c r="W387" s="1382"/>
      <c r="X387" s="1382"/>
      <c r="Y387" s="1382"/>
      <c r="Z387" s="1382"/>
      <c r="AA387" s="1382"/>
      <c r="AB387" s="1382"/>
      <c r="AC387" s="1382"/>
      <c r="AD387" s="1382"/>
      <c r="AE387" s="1382"/>
      <c r="AF387" s="1382"/>
      <c r="AG387" s="1382"/>
      <c r="AH387" s="1382"/>
      <c r="AI387" s="1382"/>
      <c r="AJ387" s="1382"/>
      <c r="AK387" s="181"/>
      <c r="AL387" s="181"/>
      <c r="AM387" s="181"/>
      <c r="AN387" s="181"/>
      <c r="AO387" s="181"/>
      <c r="AP387" s="181"/>
      <c r="AQ387" s="181"/>
      <c r="AR387" s="181"/>
      <c r="AS387" s="181"/>
      <c r="AT387" s="181"/>
      <c r="AU387" s="181"/>
      <c r="AV387" s="181"/>
      <c r="AW387" s="181"/>
    </row>
    <row r="388" spans="1:50" s="30" customFormat="1" ht="28.5" hidden="1" x14ac:dyDescent="0.25">
      <c r="A388" s="1407" t="str">
        <f>IF(COUNTIF('04 - 95% CD'!D388:G388,"Y")&gt;0,"Y",IF(COUNTIF('04 - 95% CD'!D388:G388,"N"),"N",""))</f>
        <v>N</v>
      </c>
      <c r="B388" s="191"/>
      <c r="C388" s="944"/>
      <c r="D388" s="297"/>
      <c r="E388" s="559" t="str">
        <f>IF('C-Design&amp;Const'!$W388="","",'C-Design&amp;Const'!$W388)</f>
        <v>N</v>
      </c>
      <c r="F388" s="560"/>
      <c r="G388" s="558"/>
      <c r="H388" s="410" t="str">
        <f>CONCATENATE(IF(ISNUMBER(SEARCH("Placeholder",'C-Design&amp;Const'!Z388))=TRUE,"",IF(E388="N","PLACEHOLDER ROW - ","")),'C-Design&amp;Const'!Z388,IF(E388="N","",J388))</f>
        <v>PLACEHOLDER ROW - **Bullet Points of Major Project Goals &amp; Objectives, New GSF, Renovated GSF, Demolished GSF</v>
      </c>
      <c r="I388" s="552"/>
      <c r="J388" s="181"/>
      <c r="K388" s="285" t="str">
        <f t="shared" si="52"/>
        <v>match</v>
      </c>
      <c r="L388" s="1410" t="str">
        <f t="shared" si="44"/>
        <v>&lt;---PM/Planner may hide PLACEHOLDER ROW</v>
      </c>
      <c r="M388" s="1382"/>
      <c r="N388" s="1382"/>
      <c r="O388" s="1382"/>
      <c r="P388" s="1382"/>
      <c r="Q388" s="1382"/>
      <c r="R388" s="1490"/>
      <c r="S388" s="1274"/>
      <c r="T388" s="1274"/>
      <c r="U388" s="1382"/>
      <c r="V388" s="1382"/>
      <c r="W388" s="1382"/>
      <c r="X388" s="1382"/>
      <c r="Y388" s="1382"/>
      <c r="Z388" s="1382"/>
      <c r="AA388" s="1382"/>
      <c r="AB388" s="1382"/>
      <c r="AC388" s="1382"/>
      <c r="AD388" s="1382"/>
      <c r="AE388" s="1382"/>
      <c r="AF388" s="1382"/>
      <c r="AG388" s="1382"/>
      <c r="AH388" s="1382"/>
      <c r="AI388" s="1382"/>
      <c r="AJ388" s="1382"/>
      <c r="AK388" s="181"/>
      <c r="AL388" s="181"/>
      <c r="AM388" s="181"/>
      <c r="AN388" s="181"/>
      <c r="AO388" s="181"/>
      <c r="AP388" s="181"/>
      <c r="AQ388" s="181"/>
      <c r="AR388" s="181"/>
      <c r="AS388" s="181"/>
      <c r="AT388" s="181"/>
      <c r="AU388" s="181"/>
      <c r="AV388" s="181"/>
      <c r="AW388" s="181"/>
    </row>
    <row r="389" spans="1:50" s="30" customFormat="1" ht="18.75" hidden="1" x14ac:dyDescent="0.25">
      <c r="A389" s="1407" t="str">
        <f>IF(COUNTIF('04 - 95% CD'!D389:G389,"Y")&gt;0,"Y",IF(COUNTIF('04 - 95% CD'!D389:G389,"N"),"N",""))</f>
        <v>N</v>
      </c>
      <c r="B389" s="191"/>
      <c r="C389" s="944"/>
      <c r="D389" s="297"/>
      <c r="E389" s="559" t="str">
        <f>IF('C-Design&amp;Const'!$W389="","",'C-Design&amp;Const'!$W389)</f>
        <v>N</v>
      </c>
      <c r="F389" s="560"/>
      <c r="G389" s="558"/>
      <c r="H389" s="410" t="str">
        <f>CONCATENATE(IF(ISNUMBER(SEARCH("Placeholder",'C-Design&amp;Const'!Z389))=TRUE,"",IF(E389="N","PLACEHOLDER ROW - ","")),'C-Design&amp;Const'!Z389,IF(E389="N","",J389))</f>
        <v>PLACEHOLDER ROW - **Overall Construction Budget, Construction Begin &amp; End</v>
      </c>
      <c r="I389" s="552"/>
      <c r="J389" s="181"/>
      <c r="K389" s="285" t="str">
        <f t="shared" si="52"/>
        <v>match</v>
      </c>
      <c r="L389" s="1410" t="str">
        <f t="shared" si="44"/>
        <v>&lt;---PM/Planner may hide PLACEHOLDER ROW</v>
      </c>
      <c r="M389" s="1382"/>
      <c r="N389" s="1382"/>
      <c r="O389" s="1382"/>
      <c r="P389" s="1382"/>
      <c r="Q389" s="1382"/>
      <c r="R389" s="1490"/>
      <c r="S389" s="1274"/>
      <c r="T389" s="1274"/>
      <c r="U389" s="1382"/>
      <c r="V389" s="1382"/>
      <c r="W389" s="1382"/>
      <c r="X389" s="1382"/>
      <c r="Y389" s="1382"/>
      <c r="Z389" s="1382"/>
      <c r="AA389" s="1382"/>
      <c r="AB389" s="1382"/>
      <c r="AC389" s="1382"/>
      <c r="AD389" s="1382"/>
      <c r="AE389" s="1382"/>
      <c r="AF389" s="1382"/>
      <c r="AG389" s="1382"/>
      <c r="AH389" s="1382"/>
      <c r="AI389" s="1382"/>
      <c r="AJ389" s="1382"/>
      <c r="AK389" s="181"/>
      <c r="AL389" s="181"/>
      <c r="AM389" s="181"/>
      <c r="AN389" s="181"/>
      <c r="AO389" s="181"/>
      <c r="AP389" s="181"/>
      <c r="AQ389" s="181"/>
      <c r="AR389" s="181"/>
      <c r="AS389" s="181"/>
      <c r="AT389" s="181"/>
      <c r="AU389" s="181"/>
      <c r="AV389" s="181"/>
      <c r="AW389" s="181"/>
    </row>
    <row r="390" spans="1:50" s="30" customFormat="1" ht="18.75" hidden="1" x14ac:dyDescent="0.25">
      <c r="A390" s="1407" t="str">
        <f>IF(COUNTIF('04 - 95% CD'!D390:G390,"Y")&gt;0,"Y",IF(COUNTIF('04 - 95% CD'!D390:G390,"N"),"N",""))</f>
        <v>N</v>
      </c>
      <c r="B390" s="191"/>
      <c r="C390" s="944"/>
      <c r="D390" s="297"/>
      <c r="E390" s="559" t="str">
        <f>IF('C-Design&amp;Const'!$W390="","",'C-Design&amp;Const'!$W390)</f>
        <v>N</v>
      </c>
      <c r="F390" s="560"/>
      <c r="G390" s="558"/>
      <c r="H390" s="410" t="str">
        <f>CONCATENATE(IF(ISNUMBER(SEARCH("Placeholder",'C-Design&amp;Const'!Z390))=TRUE,"",IF(E390="N","PLACEHOLDER ROW - ","")),'C-Design&amp;Const'!Z390,IF(E390="N","",J390))</f>
        <v>PLACEHOLDER ROW - **LEED Goal (and LEED Project Checklist - for client presentations only)</v>
      </c>
      <c r="I390" s="552"/>
      <c r="J390" s="181"/>
      <c r="K390" s="285" t="str">
        <f t="shared" si="52"/>
        <v>match</v>
      </c>
      <c r="L390" s="1410" t="str">
        <f t="shared" si="44"/>
        <v>&lt;---PM/Planner may hide PLACEHOLDER ROW</v>
      </c>
      <c r="M390" s="1382"/>
      <c r="N390" s="1382"/>
      <c r="O390" s="1382"/>
      <c r="P390" s="1382"/>
      <c r="Q390" s="1382"/>
      <c r="R390" s="1490"/>
      <c r="S390" s="1274"/>
      <c r="T390" s="1274"/>
      <c r="U390" s="1382"/>
      <c r="V390" s="1382"/>
      <c r="W390" s="1382"/>
      <c r="X390" s="1382"/>
      <c r="Y390" s="1382"/>
      <c r="Z390" s="1382"/>
      <c r="AA390" s="1382"/>
      <c r="AB390" s="1382"/>
      <c r="AC390" s="1382"/>
      <c r="AD390" s="1382"/>
      <c r="AE390" s="1382"/>
      <c r="AF390" s="1382"/>
      <c r="AG390" s="1382"/>
      <c r="AH390" s="1382"/>
      <c r="AI390" s="1382"/>
      <c r="AJ390" s="1382"/>
      <c r="AK390" s="181"/>
      <c r="AL390" s="181"/>
      <c r="AM390" s="181"/>
      <c r="AN390" s="181"/>
      <c r="AO390" s="181"/>
      <c r="AP390" s="181"/>
      <c r="AQ390" s="181"/>
      <c r="AR390" s="181"/>
      <c r="AS390" s="181"/>
      <c r="AT390" s="181"/>
      <c r="AU390" s="181"/>
      <c r="AV390" s="181"/>
      <c r="AW390" s="181"/>
    </row>
    <row r="391" spans="1:50" s="30" customFormat="1" ht="18.75" hidden="1" x14ac:dyDescent="0.25">
      <c r="A391" s="1407" t="str">
        <f>IF(COUNTIF('04 - 95% CD'!D391:G391,"Y")&gt;0,"Y",IF(COUNTIF('04 - 95% CD'!D391:G391,"N"),"N",""))</f>
        <v>N</v>
      </c>
      <c r="B391" s="191"/>
      <c r="C391" s="944"/>
      <c r="D391" s="297"/>
      <c r="E391" s="559" t="str">
        <f>IF('C-Design&amp;Const'!$W391="","",'C-Design&amp;Const'!$W391)</f>
        <v>N</v>
      </c>
      <c r="F391" s="560"/>
      <c r="G391" s="558"/>
      <c r="H391" s="410" t="str">
        <f>CONCATENATE(IF(ISNUMBER(SEARCH("Placeholder",'C-Design&amp;Const'!Z391))=TRUE,"",IF(E391="N","PLACEHOLDER ROW - ","")),'C-Design&amp;Const'!Z391,IF(E391="N","",J391))</f>
        <v>PLACEHOLDER ROW - Proposed combined Site / Landscape Plan</v>
      </c>
      <c r="I391" s="552"/>
      <c r="J391" s="181"/>
      <c r="K391" s="285" t="str">
        <f t="shared" si="52"/>
        <v>match</v>
      </c>
      <c r="L391" s="1410" t="str">
        <f t="shared" si="44"/>
        <v>&lt;---PM/Planner may hide PLACEHOLDER ROW</v>
      </c>
      <c r="M391" s="1382"/>
      <c r="N391" s="1382"/>
      <c r="O391" s="1382"/>
      <c r="P391" s="1382"/>
      <c r="Q391" s="1382"/>
      <c r="R391" s="1490"/>
      <c r="S391" s="1274"/>
      <c r="T391" s="1274"/>
      <c r="U391" s="1382"/>
      <c r="V391" s="1382"/>
      <c r="W391" s="1382"/>
      <c r="X391" s="1382"/>
      <c r="Y391" s="1382"/>
      <c r="Z391" s="1382"/>
      <c r="AA391" s="1382"/>
      <c r="AB391" s="1382"/>
      <c r="AC391" s="1382"/>
      <c r="AD391" s="1382"/>
      <c r="AE391" s="1382"/>
      <c r="AF391" s="1382"/>
      <c r="AG391" s="1382"/>
      <c r="AH391" s="1382"/>
      <c r="AI391" s="1382"/>
      <c r="AJ391" s="1382"/>
      <c r="AK391" s="181"/>
      <c r="AL391" s="181"/>
      <c r="AM391" s="181"/>
      <c r="AN391" s="181"/>
      <c r="AO391" s="181"/>
      <c r="AP391" s="181"/>
      <c r="AQ391" s="181"/>
      <c r="AR391" s="181"/>
      <c r="AS391" s="181"/>
      <c r="AT391" s="181"/>
      <c r="AU391" s="181"/>
      <c r="AV391" s="181"/>
      <c r="AW391" s="181"/>
    </row>
    <row r="392" spans="1:50" s="30" customFormat="1" ht="18.75" hidden="1" x14ac:dyDescent="0.25">
      <c r="A392" s="1407" t="str">
        <f>IF(COUNTIF('04 - 95% CD'!D392:G392,"Y")&gt;0,"Y",IF(COUNTIF('04 - 95% CD'!D392:G392,"N"),"N",""))</f>
        <v>N</v>
      </c>
      <c r="B392" s="191"/>
      <c r="C392" s="944"/>
      <c r="D392" s="297"/>
      <c r="E392" s="559" t="str">
        <f>IF('C-Design&amp;Const'!$W395="","",'C-Design&amp;Const'!$W395)</f>
        <v>N</v>
      </c>
      <c r="F392" s="560"/>
      <c r="G392" s="558"/>
      <c r="H392" s="410" t="str">
        <f>CONCATENATE(IF(ISNUMBER(SEARCH("Placeholder",'C-Design&amp;Const'!Z392))=TRUE,"",IF(E392="N","PLACEHOLDER ROW - ","")),'C-Design&amp;Const'!Z392,IF(E392="N","",J392))</f>
        <v xml:space="preserve">PLACEHOLDER ROW - Massing or Renderings of </v>
      </c>
      <c r="I392" s="552"/>
      <c r="J392" s="181"/>
      <c r="K392" s="285" t="str">
        <f t="shared" si="52"/>
        <v>match</v>
      </c>
      <c r="L392" s="1410" t="str">
        <f t="shared" si="44"/>
        <v>&lt;---PM/Planner may hide PLACEHOLDER ROW</v>
      </c>
      <c r="M392" s="1382"/>
      <c r="N392" s="1382"/>
      <c r="O392" s="1382"/>
      <c r="P392" s="1382"/>
      <c r="Q392" s="1382"/>
      <c r="R392" s="1490"/>
      <c r="S392" s="1274"/>
      <c r="T392" s="1274"/>
      <c r="U392" s="1382"/>
      <c r="V392" s="1382"/>
      <c r="W392" s="1382"/>
      <c r="X392" s="1382"/>
      <c r="Y392" s="1382"/>
      <c r="Z392" s="1382"/>
      <c r="AA392" s="1382"/>
      <c r="AB392" s="1382"/>
      <c r="AC392" s="1382"/>
      <c r="AD392" s="1382"/>
      <c r="AE392" s="1382"/>
      <c r="AF392" s="1382"/>
      <c r="AG392" s="1382"/>
      <c r="AH392" s="1382"/>
      <c r="AI392" s="1382"/>
      <c r="AJ392" s="1382"/>
      <c r="AK392" s="181"/>
      <c r="AL392" s="181"/>
      <c r="AM392" s="181"/>
      <c r="AN392" s="181"/>
      <c r="AO392" s="181"/>
      <c r="AP392" s="181"/>
      <c r="AQ392" s="181"/>
      <c r="AR392" s="181"/>
      <c r="AS392" s="181"/>
      <c r="AT392" s="181"/>
      <c r="AU392" s="181"/>
      <c r="AV392" s="181"/>
      <c r="AW392" s="181"/>
    </row>
    <row r="393" spans="1:50" s="30" customFormat="1" ht="18.75" hidden="1" x14ac:dyDescent="0.25">
      <c r="A393" s="1407" t="str">
        <f>IF(COUNTIF('04 - 95% CD'!D393:G393,"Y")&gt;0,"Y",IF(COUNTIF('04 - 95% CD'!D393:G393,"N"),"N",""))</f>
        <v>N</v>
      </c>
      <c r="B393" s="191"/>
      <c r="C393" s="944"/>
      <c r="D393" s="297"/>
      <c r="E393" s="559" t="str">
        <f>IF('C-Design&amp;Const'!$W392="","",'C-Design&amp;Const'!$W392)</f>
        <v>N</v>
      </c>
      <c r="F393" s="560"/>
      <c r="G393" s="558"/>
      <c r="H393" s="410" t="str">
        <f>CONCATENATE(IF(ISNUMBER(SEARCH("Placeholder",'C-Design&amp;Const'!Z393))=TRUE,"",IF(E393="N","PLACEHOLDER ROW - ","")),'C-Design&amp;Const'!Z393,IF(E393="N","",J393))</f>
        <v>PLACEHOLDER ROW - All Exterior Elevations with materials identified</v>
      </c>
      <c r="I393" s="552"/>
      <c r="J393" s="181"/>
      <c r="K393" s="285" t="str">
        <f t="shared" si="52"/>
        <v>match</v>
      </c>
      <c r="L393" s="1410" t="str">
        <f t="shared" si="44"/>
        <v>&lt;---PM/Planner may hide PLACEHOLDER ROW</v>
      </c>
      <c r="M393" s="1382"/>
      <c r="N393" s="1382"/>
      <c r="O393" s="1382"/>
      <c r="P393" s="1382"/>
      <c r="Q393" s="1382"/>
      <c r="R393" s="1490"/>
      <c r="S393" s="1274"/>
      <c r="T393" s="1274"/>
      <c r="U393" s="1382"/>
      <c r="V393" s="1382"/>
      <c r="W393" s="1382"/>
      <c r="X393" s="1382"/>
      <c r="Y393" s="1382"/>
      <c r="Z393" s="1382"/>
      <c r="AA393" s="1382"/>
      <c r="AB393" s="1382"/>
      <c r="AC393" s="1382"/>
      <c r="AD393" s="1382"/>
      <c r="AE393" s="1382"/>
      <c r="AF393" s="1382"/>
      <c r="AG393" s="1382"/>
      <c r="AH393" s="1382"/>
      <c r="AI393" s="1382"/>
      <c r="AJ393" s="1382"/>
      <c r="AK393" s="181"/>
      <c r="AL393" s="181"/>
      <c r="AM393" s="181"/>
      <c r="AN393" s="181"/>
      <c r="AO393" s="181"/>
      <c r="AP393" s="181"/>
      <c r="AQ393" s="181"/>
      <c r="AR393" s="181"/>
      <c r="AS393" s="181"/>
      <c r="AT393" s="181"/>
      <c r="AU393" s="181"/>
      <c r="AV393" s="181"/>
      <c r="AW393" s="181"/>
    </row>
    <row r="394" spans="1:50" s="30" customFormat="1" ht="28.5" hidden="1" x14ac:dyDescent="0.25">
      <c r="A394" s="1407" t="str">
        <f>IF(COUNTIF('04 - 95% CD'!D394:G394,"Y")&gt;0,"Y",IF(COUNTIF('04 - 95% CD'!D394:G394,"N"),"N",""))</f>
        <v>N</v>
      </c>
      <c r="B394" s="191"/>
      <c r="C394" s="944"/>
      <c r="D394" s="297"/>
      <c r="E394" s="559" t="str">
        <f>IF('C-Design&amp;Const'!$W393="","",'C-Design&amp;Const'!$W393)</f>
        <v>N</v>
      </c>
      <c r="F394" s="560"/>
      <c r="G394" s="558"/>
      <c r="H394" s="410" t="str">
        <f>CONCATENATE(IF(ISNUMBER(SEARCH("Placeholder",'C-Design&amp;Const'!Z394))=TRUE,"",IF(E394="N","PLACEHOLDER ROW - ","")),'C-Design&amp;Const'!Z394,IF(E394="N","",J394))</f>
        <v>PLACEHOLDER ROW - All major public spaces (entrances, galleries, auditoriums, lecture halls, etc…) with materials identified</v>
      </c>
      <c r="I394" s="552"/>
      <c r="J394" s="181"/>
      <c r="K394" s="285" t="str">
        <f t="shared" si="52"/>
        <v>match</v>
      </c>
      <c r="L394" s="1410" t="str">
        <f t="shared" si="44"/>
        <v>&lt;---PM/Planner may hide PLACEHOLDER ROW</v>
      </c>
      <c r="M394" s="1382"/>
      <c r="N394" s="1382"/>
      <c r="O394" s="1382"/>
      <c r="P394" s="1382"/>
      <c r="Q394" s="1382"/>
      <c r="R394" s="1490"/>
      <c r="S394" s="1274"/>
      <c r="T394" s="1274"/>
      <c r="U394" s="1382"/>
      <c r="V394" s="1382"/>
      <c r="W394" s="1382"/>
      <c r="X394" s="1382"/>
      <c r="Y394" s="1382"/>
      <c r="Z394" s="1382"/>
      <c r="AA394" s="1382"/>
      <c r="AB394" s="1382"/>
      <c r="AC394" s="1382"/>
      <c r="AD394" s="1382"/>
      <c r="AE394" s="1382"/>
      <c r="AF394" s="1382"/>
      <c r="AG394" s="1382"/>
      <c r="AH394" s="1382"/>
      <c r="AI394" s="1382"/>
      <c r="AJ394" s="1382"/>
      <c r="AK394" s="181"/>
      <c r="AL394" s="181"/>
      <c r="AM394" s="181"/>
      <c r="AN394" s="181"/>
      <c r="AO394" s="181"/>
      <c r="AP394" s="181"/>
      <c r="AQ394" s="181"/>
      <c r="AR394" s="181"/>
      <c r="AS394" s="181"/>
      <c r="AT394" s="181"/>
      <c r="AU394" s="181"/>
      <c r="AV394" s="181"/>
      <c r="AW394" s="181"/>
    </row>
    <row r="395" spans="1:50" s="30" customFormat="1" ht="18.75" hidden="1" x14ac:dyDescent="0.25">
      <c r="A395" s="1407" t="str">
        <f>IF(COUNTIF('04 - 95% CD'!D395:G395,"Y")&gt;0,"Y",IF(COUNTIF('04 - 95% CD'!D395:G395,"N"),"N",""))</f>
        <v>N</v>
      </c>
      <c r="B395" s="191"/>
      <c r="C395" s="944"/>
      <c r="D395" s="297"/>
      <c r="E395" s="559" t="str">
        <f>IF('C-Design&amp;Const'!$W394="","",'C-Design&amp;Const'!$W394)</f>
        <v>N</v>
      </c>
      <c r="F395" s="560"/>
      <c r="G395" s="558"/>
      <c r="H395" s="410" t="str">
        <f>CONCATENATE(IF(ISNUMBER(SEARCH("Placeholder",'C-Design&amp;Const'!Z395))=TRUE,"",IF(E395="N","PLACEHOLDER ROW - ","")),'C-Design&amp;Const'!Z395,IF(E395="N","",J395))</f>
        <v>PLACEHOLDER ROW - Stacked Floor Plans with space types show by color (include key)</v>
      </c>
      <c r="I395" s="552"/>
      <c r="J395" s="181"/>
      <c r="K395" s="285" t="str">
        <f t="shared" si="52"/>
        <v>match</v>
      </c>
      <c r="L395" s="1410" t="str">
        <f t="shared" si="44"/>
        <v>&lt;---PM/Planner may hide PLACEHOLDER ROW</v>
      </c>
      <c r="M395" s="1382"/>
      <c r="N395" s="1382"/>
      <c r="O395" s="1382"/>
      <c r="P395" s="1382"/>
      <c r="Q395" s="1382"/>
      <c r="R395" s="1490"/>
      <c r="S395" s="1274"/>
      <c r="T395" s="1274"/>
      <c r="U395" s="1382"/>
      <c r="V395" s="1382"/>
      <c r="W395" s="1382"/>
      <c r="X395" s="1382"/>
      <c r="Y395" s="1382"/>
      <c r="Z395" s="1382"/>
      <c r="AA395" s="1382"/>
      <c r="AB395" s="1382"/>
      <c r="AC395" s="1382"/>
      <c r="AD395" s="1382"/>
      <c r="AE395" s="1382"/>
      <c r="AF395" s="1382"/>
      <c r="AG395" s="1382"/>
      <c r="AH395" s="1382"/>
      <c r="AI395" s="1382"/>
      <c r="AJ395" s="1382"/>
      <c r="AK395" s="181"/>
      <c r="AL395" s="181"/>
      <c r="AM395" s="181"/>
      <c r="AN395" s="181"/>
      <c r="AO395" s="181"/>
      <c r="AP395" s="181"/>
      <c r="AQ395" s="181"/>
      <c r="AR395" s="181"/>
      <c r="AS395" s="181"/>
      <c r="AT395" s="181"/>
      <c r="AU395" s="181"/>
      <c r="AV395" s="181"/>
      <c r="AW395" s="181"/>
    </row>
    <row r="396" spans="1:50" s="30" customFormat="1" ht="28.5" hidden="1" x14ac:dyDescent="0.25">
      <c r="A396" s="1407" t="str">
        <f>IF(COUNTIF('04 - 95% CD'!D396:G396,"Y")&gt;0,"Y",IF(COUNTIF('04 - 95% CD'!D396:G396,"N"),"N",""))</f>
        <v>N</v>
      </c>
      <c r="B396" s="191"/>
      <c r="C396" s="944"/>
      <c r="D396" s="297"/>
      <c r="E396" s="559" t="str">
        <f>IF('C-Design&amp;Const'!$W396="","",'C-Design&amp;Const'!$W396)</f>
        <v>N</v>
      </c>
      <c r="F396" s="560"/>
      <c r="G396" s="558"/>
      <c r="H396" s="410" t="str">
        <f>CONCATENATE(IF(ISNUMBER(SEARCH("Placeholder",'C-Design&amp;Const'!Z396))=TRUE,"",IF(E396="N","PLACEHOLDER ROW - ","")),'C-Design&amp;Const'!Z396,IF(E396="N","",J396))</f>
        <v>PLACEHOLDER ROW - Simple full building sections showing relative spaces and framing from floor to floor.</v>
      </c>
      <c r="I396" s="552"/>
      <c r="J396" s="181"/>
      <c r="K396" s="285" t="str">
        <f t="shared" si="52"/>
        <v>match</v>
      </c>
      <c r="L396" s="1410" t="str">
        <f t="shared" si="44"/>
        <v>&lt;---PM/Planner may hide PLACEHOLDER ROW</v>
      </c>
      <c r="M396" s="1382"/>
      <c r="N396" s="1382"/>
      <c r="O396" s="1382"/>
      <c r="P396" s="1382"/>
      <c r="Q396" s="1382"/>
      <c r="R396" s="1490"/>
      <c r="S396" s="1274"/>
      <c r="T396" s="1274"/>
      <c r="U396" s="1382"/>
      <c r="V396" s="1382"/>
      <c r="W396" s="1382"/>
      <c r="X396" s="1382"/>
      <c r="Y396" s="1382"/>
      <c r="Z396" s="1382"/>
      <c r="AA396" s="1382"/>
      <c r="AB396" s="1382"/>
      <c r="AC396" s="1382"/>
      <c r="AD396" s="1382"/>
      <c r="AE396" s="1382"/>
      <c r="AF396" s="1382"/>
      <c r="AG396" s="1382"/>
      <c r="AH396" s="1382"/>
      <c r="AI396" s="1382"/>
      <c r="AJ396" s="1382"/>
      <c r="AK396" s="181"/>
      <c r="AL396" s="181"/>
      <c r="AM396" s="181"/>
      <c r="AN396" s="181"/>
      <c r="AO396" s="181"/>
      <c r="AP396" s="181"/>
      <c r="AQ396" s="181"/>
      <c r="AR396" s="181"/>
      <c r="AS396" s="181"/>
      <c r="AT396" s="181"/>
      <c r="AU396" s="181"/>
      <c r="AV396" s="181"/>
      <c r="AW396" s="181"/>
    </row>
    <row r="397" spans="1:50" s="30" customFormat="1" ht="18.75" hidden="1" x14ac:dyDescent="0.25">
      <c r="A397" s="1407" t="str">
        <f>IF(COUNTIF('04 - 95% CD'!D397:G397,"Y")&gt;0,"Y",IF(COUNTIF('04 - 95% CD'!D397:G397,"N"),"N",""))</f>
        <v>N</v>
      </c>
      <c r="B397" s="191"/>
      <c r="C397" s="944"/>
      <c r="D397" s="297"/>
      <c r="E397" s="559" t="str">
        <f>IF('C-Design&amp;Const'!$W397="","",'C-Design&amp;Const'!$W397)</f>
        <v>N</v>
      </c>
      <c r="F397" s="560"/>
      <c r="G397" s="558"/>
      <c r="H397" s="410" t="str">
        <f>CONCATENATE(IF(ISNUMBER(SEARCH("Placeholder",'C-Design&amp;Const'!Z397))=TRUE,"",IF(E397="N","PLACEHOLDER ROW - ","")),'C-Design&amp;Const'!Z397,IF(E397="N","",J397))</f>
        <v>PLACEHOLDER ROW - General Air Handling Unit Fan Maps (verify with PM if necessary)</v>
      </c>
      <c r="I397" s="552"/>
      <c r="J397" s="181"/>
      <c r="K397" s="285" t="str">
        <f t="shared" si="52"/>
        <v>match</v>
      </c>
      <c r="L397" s="1410" t="str">
        <f t="shared" si="44"/>
        <v>&lt;---PM/Planner may hide PLACEHOLDER ROW</v>
      </c>
      <c r="M397" s="1382"/>
      <c r="N397" s="1382"/>
      <c r="O397" s="1382"/>
      <c r="P397" s="1382"/>
      <c r="Q397" s="1382"/>
      <c r="R397" s="1490"/>
      <c r="S397" s="1274"/>
      <c r="T397" s="1274"/>
      <c r="U397" s="1382"/>
      <c r="V397" s="1382"/>
      <c r="W397" s="1382"/>
      <c r="X397" s="1382"/>
      <c r="Y397" s="1382"/>
      <c r="Z397" s="1382"/>
      <c r="AA397" s="1382"/>
      <c r="AB397" s="1382"/>
      <c r="AC397" s="1382"/>
      <c r="AD397" s="1382"/>
      <c r="AE397" s="1382"/>
      <c r="AF397" s="1382"/>
      <c r="AG397" s="1382"/>
      <c r="AH397" s="1382"/>
      <c r="AI397" s="1382"/>
      <c r="AJ397" s="1382"/>
      <c r="AK397" s="181"/>
      <c r="AL397" s="181"/>
      <c r="AM397" s="181"/>
      <c r="AN397" s="181"/>
      <c r="AO397" s="181"/>
      <c r="AP397" s="181"/>
      <c r="AQ397" s="181"/>
      <c r="AR397" s="181"/>
      <c r="AS397" s="181"/>
      <c r="AT397" s="181"/>
      <c r="AU397" s="181"/>
      <c r="AV397" s="181"/>
      <c r="AW397" s="181"/>
    </row>
    <row r="398" spans="1:50" s="30" customFormat="1" ht="28.5" hidden="1" x14ac:dyDescent="0.25">
      <c r="A398" s="1407" t="str">
        <f>IF(COUNTIF('04 - 95% CD'!D398:G398,"Y")&gt;0,"Y",IF(COUNTIF('04 - 95% CD'!D398:G398,"N"),"N",""))</f>
        <v>N</v>
      </c>
      <c r="B398" s="191"/>
      <c r="C398" s="944"/>
      <c r="D398" s="297"/>
      <c r="E398" s="559" t="str">
        <f>IF('C-Design&amp;Const'!$W398="","",'C-Design&amp;Const'!$W398)</f>
        <v>N</v>
      </c>
      <c r="F398" s="560"/>
      <c r="G398" s="558"/>
      <c r="H398" s="410" t="str">
        <f>CONCATENATE(IF(ISNUMBER(SEARCH("Placeholder",'C-Design&amp;Const'!Z398))=TRUE,"",IF(E398="N","PLACEHOLDER ROW - ","")),'C-Design&amp;Const'!Z398,IF(E398="N","",J398))</f>
        <v>PLACEHOLDER ROW - Design Concept(s) Considered and Design Concept(s) Selected w/ Construction Budget</v>
      </c>
      <c r="I398" s="552"/>
      <c r="J398" s="181"/>
      <c r="K398" s="285" t="str">
        <f t="shared" si="52"/>
        <v>match</v>
      </c>
      <c r="L398" s="1410" t="str">
        <f t="shared" si="44"/>
        <v>&lt;---PM/Planner may hide PLACEHOLDER ROW</v>
      </c>
      <c r="M398" s="1382"/>
      <c r="N398" s="1382"/>
      <c r="O398" s="1382"/>
      <c r="P398" s="1382"/>
      <c r="Q398" s="1382"/>
      <c r="R398" s="1490"/>
      <c r="S398" s="1274"/>
      <c r="T398" s="1274"/>
      <c r="U398" s="1382"/>
      <c r="V398" s="1382"/>
      <c r="W398" s="1382"/>
      <c r="X398" s="1382"/>
      <c r="Y398" s="1382"/>
      <c r="Z398" s="1382"/>
      <c r="AA398" s="1382"/>
      <c r="AB398" s="1382"/>
      <c r="AC398" s="1382"/>
      <c r="AD398" s="1382"/>
      <c r="AE398" s="1382"/>
      <c r="AF398" s="1382"/>
      <c r="AG398" s="1382"/>
      <c r="AH398" s="1382"/>
      <c r="AI398" s="1382"/>
      <c r="AJ398" s="1382"/>
      <c r="AK398" s="181"/>
      <c r="AL398" s="181"/>
      <c r="AM398" s="181"/>
      <c r="AN398" s="181"/>
      <c r="AO398" s="181"/>
      <c r="AP398" s="181"/>
      <c r="AQ398" s="181"/>
      <c r="AR398" s="181"/>
      <c r="AS398" s="181"/>
      <c r="AT398" s="181"/>
      <c r="AU398" s="181"/>
      <c r="AV398" s="181"/>
      <c r="AW398" s="181"/>
    </row>
    <row r="399" spans="1:50" s="30" customFormat="1" ht="18.75" hidden="1" x14ac:dyDescent="0.25">
      <c r="A399" s="1407" t="str">
        <f>IF(COUNTIF('04 - 95% CD'!D399:G399,"Y")&gt;0,"Y",IF(COUNTIF('04 - 95% CD'!D399:G399,"N"),"N",""))</f>
        <v>N</v>
      </c>
      <c r="B399" s="191"/>
      <c r="C399" s="944"/>
      <c r="D399" s="297"/>
      <c r="E399" s="559" t="str">
        <f>IF('C-Design&amp;Const'!$W399="","",'C-Design&amp;Const'!$W399)</f>
        <v>N</v>
      </c>
      <c r="F399" s="560"/>
      <c r="G399" s="558"/>
      <c r="H399" s="410" t="str">
        <f>CONCATENATE(IF(ISNUMBER(SEARCH("Placeholder",'C-Design&amp;Const'!Z399))=TRUE,"",IF(E399="N","PLACEHOLDER ROW - ","")),'C-Design&amp;Const'!Z399,IF(E399="N","",J399))</f>
        <v>PLACEHOLDER ROW - CUSTOM ROW - OPTIONAL CLIENT ITEM</v>
      </c>
      <c r="I399" s="552"/>
      <c r="J399" s="181"/>
      <c r="K399" s="285" t="str">
        <f t="shared" si="52"/>
        <v>match</v>
      </c>
      <c r="L399" s="1410" t="str">
        <f t="shared" si="44"/>
        <v>&lt;---PM/Planner may hide PLACEHOLDER ROW</v>
      </c>
      <c r="M399" s="1382"/>
      <c r="N399" s="1382"/>
      <c r="O399" s="1382"/>
      <c r="P399" s="1382"/>
      <c r="Q399" s="1382"/>
      <c r="R399" s="1490"/>
      <c r="S399" s="1274"/>
      <c r="T399" s="1274"/>
      <c r="U399" s="1382"/>
      <c r="V399" s="1382"/>
      <c r="W399" s="1382"/>
      <c r="X399" s="1382"/>
      <c r="Y399" s="1382"/>
      <c r="Z399" s="1382"/>
      <c r="AA399" s="1382"/>
      <c r="AB399" s="1382"/>
      <c r="AC399" s="1382"/>
      <c r="AD399" s="1382"/>
      <c r="AE399" s="1382"/>
      <c r="AF399" s="1382"/>
      <c r="AG399" s="1382"/>
      <c r="AH399" s="1382"/>
      <c r="AI399" s="1382"/>
      <c r="AJ399" s="1382"/>
      <c r="AK399" s="181"/>
      <c r="AL399" s="181"/>
      <c r="AM399" s="181"/>
      <c r="AN399" s="181"/>
      <c r="AO399" s="181"/>
      <c r="AP399" s="181"/>
      <c r="AQ399" s="181"/>
      <c r="AR399" s="181"/>
      <c r="AS399" s="181"/>
      <c r="AT399" s="181"/>
      <c r="AU399" s="181"/>
      <c r="AV399" s="181"/>
      <c r="AW399" s="181"/>
    </row>
    <row r="400" spans="1:50" s="30" customFormat="1" ht="18.75" hidden="1" x14ac:dyDescent="0.25">
      <c r="A400" s="1407" t="str">
        <f>IF(COUNTIF('04 - 95% CD'!D400:G400,"Y")&gt;0,"Y",IF(COUNTIF('04 - 95% CD'!D400:G400,"N"),"N",""))</f>
        <v>N</v>
      </c>
      <c r="B400" s="191"/>
      <c r="C400" s="944"/>
      <c r="D400" s="297"/>
      <c r="E400" s="559" t="str">
        <f>IF('C-Design&amp;Const'!$W400="","",'C-Design&amp;Const'!$W400)</f>
        <v>N</v>
      </c>
      <c r="F400" s="560"/>
      <c r="G400" s="558"/>
      <c r="H400" s="410" t="str">
        <f>CONCATENATE(IF(ISNUMBER(SEARCH("Placeholder",'C-Design&amp;Const'!Z400))=TRUE,"",IF(E400="N","PLACEHOLDER ROW - ","")),'C-Design&amp;Const'!Z400,IF(E400="N","",J400))</f>
        <v>PLACEHOLDER ROW - CUSTOM ROW - OPTIONAL CLIENT ITEM</v>
      </c>
      <c r="I400" s="552"/>
      <c r="J400" s="181"/>
      <c r="K400" s="285" t="str">
        <f t="shared" si="52"/>
        <v>match</v>
      </c>
      <c r="L400" s="1410" t="str">
        <f t="shared" si="44"/>
        <v>&lt;---PM/Planner may hide PLACEHOLDER ROW</v>
      </c>
      <c r="M400" s="1382"/>
      <c r="N400" s="1382"/>
      <c r="O400" s="1382"/>
      <c r="P400" s="1382"/>
      <c r="Q400" s="1382"/>
      <c r="R400" s="1490"/>
      <c r="S400" s="1274"/>
      <c r="T400" s="1274"/>
      <c r="U400" s="1382"/>
      <c r="V400" s="1382"/>
      <c r="W400" s="1382"/>
      <c r="X400" s="1382"/>
      <c r="Y400" s="1382"/>
      <c r="Z400" s="1382"/>
      <c r="AA400" s="1382"/>
      <c r="AB400" s="1382"/>
      <c r="AC400" s="1382"/>
      <c r="AD400" s="1382"/>
      <c r="AE400" s="1382"/>
      <c r="AF400" s="1382"/>
      <c r="AG400" s="1382"/>
      <c r="AH400" s="1382"/>
      <c r="AI400" s="1382"/>
      <c r="AJ400" s="1382"/>
      <c r="AK400" s="181"/>
      <c r="AL400" s="181"/>
      <c r="AM400" s="181"/>
      <c r="AN400" s="181"/>
      <c r="AO400" s="181"/>
      <c r="AP400" s="181"/>
      <c r="AQ400" s="181"/>
      <c r="AR400" s="181"/>
      <c r="AS400" s="181"/>
      <c r="AT400" s="181"/>
      <c r="AU400" s="181"/>
      <c r="AV400" s="181"/>
      <c r="AW400" s="181"/>
    </row>
    <row r="401" spans="1:49" s="30" customFormat="1" ht="18.75" hidden="1" x14ac:dyDescent="0.25">
      <c r="A401" s="1407" t="str">
        <f>IF(COUNTIF('04 - 95% CD'!D401:G401,"Y")&gt;0,"Y",IF(COUNTIF('04 - 95% CD'!D401:G401,"N"),"N",""))</f>
        <v>N</v>
      </c>
      <c r="B401" s="191"/>
      <c r="C401" s="944"/>
      <c r="D401" s="297"/>
      <c r="E401" s="559" t="str">
        <f>IF('C-Design&amp;Const'!$W401="","",'C-Design&amp;Const'!$W401)</f>
        <v>N</v>
      </c>
      <c r="F401" s="560"/>
      <c r="G401" s="558"/>
      <c r="H401" s="410" t="str">
        <f>CONCATENATE(IF(ISNUMBER(SEARCH("Placeholder",'C-Design&amp;Const'!Z401))=TRUE,"",IF(E401="N","PLACEHOLDER ROW - ","")),'C-Design&amp;Const'!Z401,IF(E401="N","",J401))</f>
        <v>PLACEHOLDER ROW - CUSTOM ROW - OPTIONAL CLIENT ITEM</v>
      </c>
      <c r="I401" s="552"/>
      <c r="J401" s="181"/>
      <c r="K401" s="285" t="str">
        <f t="shared" si="52"/>
        <v>match</v>
      </c>
      <c r="L401" s="1410" t="str">
        <f t="shared" ref="L401:L464" si="53">CONCATENATE(IF(ISNUMBER(SEARCH("Placeholder",H401))=TRUE,"&lt;---PM/Planner may hide PLACEHOLDER ROW",""))</f>
        <v>&lt;---PM/Planner may hide PLACEHOLDER ROW</v>
      </c>
      <c r="M401" s="1382"/>
      <c r="N401" s="1382"/>
      <c r="O401" s="1382"/>
      <c r="P401" s="1382"/>
      <c r="Q401" s="1382"/>
      <c r="R401" s="1490"/>
      <c r="S401" s="1274"/>
      <c r="T401" s="1274"/>
      <c r="U401" s="1382"/>
      <c r="V401" s="1382"/>
      <c r="W401" s="1382"/>
      <c r="X401" s="1382"/>
      <c r="Y401" s="1382"/>
      <c r="Z401" s="1382"/>
      <c r="AA401" s="1382"/>
      <c r="AB401" s="1382"/>
      <c r="AC401" s="1382"/>
      <c r="AD401" s="1382"/>
      <c r="AE401" s="1382"/>
      <c r="AF401" s="1382"/>
      <c r="AG401" s="1382"/>
      <c r="AH401" s="1382"/>
      <c r="AI401" s="1382"/>
      <c r="AJ401" s="1382"/>
      <c r="AK401" s="181"/>
      <c r="AL401" s="181"/>
      <c r="AM401" s="181"/>
      <c r="AN401" s="181"/>
      <c r="AO401" s="181"/>
      <c r="AP401" s="181"/>
      <c r="AQ401" s="181"/>
      <c r="AR401" s="181"/>
      <c r="AS401" s="181"/>
      <c r="AT401" s="181"/>
      <c r="AU401" s="181"/>
      <c r="AV401" s="181"/>
      <c r="AW401" s="181"/>
    </row>
    <row r="402" spans="1:49" s="30" customFormat="1" ht="18.75" hidden="1" x14ac:dyDescent="0.25">
      <c r="A402" s="1407" t="str">
        <f>IF(COUNTIF('04 - 95% CD'!D402:G402,"Y")&gt;0,"Y",IF(COUNTIF('04 - 95% CD'!D402:G402,"N"),"N",""))</f>
        <v/>
      </c>
      <c r="B402" s="191"/>
      <c r="C402" s="944"/>
      <c r="D402" s="297"/>
      <c r="E402" s="559" t="str">
        <f>IF('C-Design&amp;Const'!$W402="","",'C-Design&amp;Const'!$W402)</f>
        <v/>
      </c>
      <c r="F402" s="560"/>
      <c r="G402" s="558"/>
      <c r="H402" s="410" t="str">
        <f>CONCATENATE(IF(ISNUMBER(SEARCH("Placeholder",'C-Design&amp;Const'!Z402))=TRUE,"",IF(E402="N","PLACEHOLDER ROW - ","")),'C-Design&amp;Const'!Z402,IF(E402="N","",J402))</f>
        <v>**  - For ARC, combine these items on to 1 or 2 total slides.</v>
      </c>
      <c r="I402" s="552"/>
      <c r="J402" s="181"/>
      <c r="K402" s="285" t="str">
        <f t="shared" si="52"/>
        <v>match</v>
      </c>
      <c r="L402" s="1410" t="str">
        <f t="shared" si="53"/>
        <v/>
      </c>
      <c r="M402" s="1382"/>
      <c r="N402" s="1382"/>
      <c r="O402" s="1382"/>
      <c r="P402" s="1382"/>
      <c r="Q402" s="1382"/>
      <c r="R402" s="1490"/>
      <c r="S402" s="1274"/>
      <c r="T402" s="1274"/>
      <c r="U402" s="1382"/>
      <c r="V402" s="1382"/>
      <c r="W402" s="1382"/>
      <c r="X402" s="1382"/>
      <c r="Y402" s="1382"/>
      <c r="Z402" s="1382"/>
      <c r="AA402" s="1382"/>
      <c r="AB402" s="1382"/>
      <c r="AC402" s="1382"/>
      <c r="AD402" s="1382"/>
      <c r="AE402" s="1382"/>
      <c r="AF402" s="1382"/>
      <c r="AG402" s="1382"/>
      <c r="AH402" s="1382"/>
      <c r="AI402" s="1382"/>
      <c r="AJ402" s="1382"/>
      <c r="AK402" s="181"/>
      <c r="AL402" s="181"/>
      <c r="AM402" s="181"/>
      <c r="AN402" s="181"/>
      <c r="AO402" s="181"/>
      <c r="AP402" s="181"/>
      <c r="AQ402" s="181"/>
      <c r="AR402" s="181"/>
      <c r="AS402" s="181"/>
      <c r="AT402" s="181"/>
      <c r="AU402" s="181"/>
      <c r="AV402" s="181"/>
      <c r="AW402" s="181"/>
    </row>
    <row r="403" spans="1:49" s="30" customFormat="1" ht="18.75" hidden="1" x14ac:dyDescent="0.25">
      <c r="A403" s="1407" t="str">
        <f>IF(COUNTIF('04 - 95% CD'!D403:G403,"Y")&gt;0,"Y",IF(COUNTIF('04 - 95% CD'!D403:G403,"N"),"N",""))</f>
        <v>N</v>
      </c>
      <c r="B403" s="191"/>
      <c r="C403" s="944"/>
      <c r="D403" s="297"/>
      <c r="E403" s="559" t="str">
        <f>IF('C-Design&amp;Const'!$W403="","",'C-Design&amp;Const'!$W403)</f>
        <v>N</v>
      </c>
      <c r="F403" s="560"/>
      <c r="G403" s="558"/>
      <c r="H403" s="410" t="str">
        <f>CONCATENATE(IF(ISNUMBER(SEARCH("Placeholder",'C-Design&amp;Const'!Z403))=TRUE,"",IF(E403="N","PLACEHOLDER ROW - ","")),'C-Design&amp;Const'!Z403,IF(E403="N","",J403))</f>
        <v>PLACEHOLDER ROW - Design Presentation - Chancellor's Design Advisory Committee (CDAC)</v>
      </c>
      <c r="I403" s="552"/>
      <c r="J403" s="181"/>
      <c r="K403" s="285" t="str">
        <f t="shared" si="52"/>
        <v>match</v>
      </c>
      <c r="L403" s="1410" t="str">
        <f t="shared" si="53"/>
        <v>&lt;---PM/Planner may hide PLACEHOLDER ROW</v>
      </c>
      <c r="M403" s="1382"/>
      <c r="N403" s="1382"/>
      <c r="O403" s="1382"/>
      <c r="P403" s="1382"/>
      <c r="Q403" s="1382"/>
      <c r="R403" s="1490"/>
      <c r="S403" s="1274"/>
      <c r="T403" s="1274"/>
      <c r="U403" s="1382"/>
      <c r="V403" s="1382"/>
      <c r="W403" s="1382"/>
      <c r="X403" s="1382"/>
      <c r="Y403" s="1382"/>
      <c r="Z403" s="1382"/>
      <c r="AA403" s="1382"/>
      <c r="AB403" s="1382"/>
      <c r="AC403" s="1382"/>
      <c r="AD403" s="1382"/>
      <c r="AE403" s="1382"/>
      <c r="AF403" s="1382"/>
      <c r="AG403" s="1382"/>
      <c r="AH403" s="1382"/>
      <c r="AI403" s="1382"/>
      <c r="AJ403" s="1382"/>
      <c r="AK403" s="181"/>
      <c r="AL403" s="181"/>
      <c r="AM403" s="181"/>
      <c r="AN403" s="181"/>
      <c r="AO403" s="181"/>
      <c r="AP403" s="181"/>
      <c r="AQ403" s="181"/>
      <c r="AR403" s="181"/>
      <c r="AS403" s="181"/>
      <c r="AT403" s="181"/>
      <c r="AU403" s="181"/>
      <c r="AV403" s="181"/>
      <c r="AW403" s="181"/>
    </row>
    <row r="404" spans="1:49" s="30" customFormat="1" ht="18.75" hidden="1" x14ac:dyDescent="0.25">
      <c r="A404" s="1407" t="str">
        <f>IF(COUNTIF('04 - 95% CD'!D404:G404,"Y")&gt;0,"Y",IF(COUNTIF('04 - 95% CD'!D404:G404,"N"),"N",""))</f>
        <v>N</v>
      </c>
      <c r="B404" s="191"/>
      <c r="C404" s="944"/>
      <c r="D404" s="297"/>
      <c r="E404" s="559" t="str">
        <f>IF('C-Design&amp;Const'!$W404="","",'C-Design&amp;Const'!$W404)</f>
        <v>N</v>
      </c>
      <c r="F404" s="560"/>
      <c r="G404" s="558"/>
      <c r="H404" s="410" t="str">
        <f>CONCATENATE(IF(ISNUMBER(SEARCH("Placeholder",'C-Design&amp;Const'!Z404))=TRUE,"",IF(E404="N","PLACEHOLDER ROW - ","")),'C-Design&amp;Const'!Z404,IF(E404="N","",J404))</f>
        <v xml:space="preserve">PLACEHOLDER ROW - Overall Campus Map next to zoomed in aerial image map </v>
      </c>
      <c r="I404" s="552"/>
      <c r="J404" s="181"/>
      <c r="K404" s="285" t="str">
        <f t="shared" si="52"/>
        <v>match</v>
      </c>
      <c r="L404" s="1410" t="str">
        <f t="shared" si="53"/>
        <v>&lt;---PM/Planner may hide PLACEHOLDER ROW</v>
      </c>
      <c r="M404" s="1382"/>
      <c r="N404" s="1382"/>
      <c r="O404" s="1382"/>
      <c r="P404" s="1382"/>
      <c r="Q404" s="1382"/>
      <c r="R404" s="1490"/>
      <c r="S404" s="1274"/>
      <c r="T404" s="1274"/>
      <c r="U404" s="1382"/>
      <c r="V404" s="1382"/>
      <c r="W404" s="1382"/>
      <c r="X404" s="1382"/>
      <c r="Y404" s="1382"/>
      <c r="Z404" s="1382"/>
      <c r="AA404" s="1382"/>
      <c r="AB404" s="1382"/>
      <c r="AC404" s="1382"/>
      <c r="AD404" s="1382"/>
      <c r="AE404" s="1382"/>
      <c r="AF404" s="1382"/>
      <c r="AG404" s="1382"/>
      <c r="AH404" s="1382"/>
      <c r="AI404" s="1382"/>
      <c r="AJ404" s="1382"/>
      <c r="AK404" s="181"/>
      <c r="AL404" s="181"/>
      <c r="AM404" s="181"/>
      <c r="AN404" s="181"/>
      <c r="AO404" s="181"/>
      <c r="AP404" s="181"/>
      <c r="AQ404" s="181"/>
      <c r="AR404" s="181"/>
      <c r="AS404" s="181"/>
      <c r="AT404" s="181"/>
      <c r="AU404" s="181"/>
      <c r="AV404" s="181"/>
      <c r="AW404" s="181"/>
    </row>
    <row r="405" spans="1:49" s="30" customFormat="1" ht="18.75" hidden="1" x14ac:dyDescent="0.25">
      <c r="A405" s="1407" t="str">
        <f>IF(COUNTIF('04 - 95% CD'!D405:G405,"Y")&gt;0,"Y",IF(COUNTIF('04 - 95% CD'!D405:G405,"N"),"N",""))</f>
        <v>N</v>
      </c>
      <c r="B405" s="191"/>
      <c r="C405" s="944"/>
      <c r="D405" s="297"/>
      <c r="E405" s="559" t="str">
        <f>IF('C-Design&amp;Const'!$W405="","",'C-Design&amp;Const'!$W405)</f>
        <v>N</v>
      </c>
      <c r="F405" s="560"/>
      <c r="G405" s="558"/>
      <c r="H405" s="410" t="str">
        <f>CONCATENATE(IF(ISNUMBER(SEARCH("Placeholder",'C-Design&amp;Const'!Z405))=TRUE,"",IF(E405="N","PLACEHOLDER ROW - ","")),'C-Design&amp;Const'!Z405,IF(E405="N","",J405))</f>
        <v>PLACEHOLDER ROW - Building Footprint on Master Plan</v>
      </c>
      <c r="I405" s="552"/>
      <c r="J405" s="181"/>
      <c r="K405" s="285" t="str">
        <f t="shared" si="52"/>
        <v>match</v>
      </c>
      <c r="L405" s="1410" t="str">
        <f t="shared" si="53"/>
        <v>&lt;---PM/Planner may hide PLACEHOLDER ROW</v>
      </c>
      <c r="M405" s="1382"/>
      <c r="N405" s="1382"/>
      <c r="O405" s="1382"/>
      <c r="P405" s="1382"/>
      <c r="Q405" s="1382"/>
      <c r="R405" s="1490"/>
      <c r="S405" s="1274"/>
      <c r="T405" s="1274"/>
      <c r="U405" s="1382"/>
      <c r="V405" s="1382"/>
      <c r="W405" s="1382"/>
      <c r="X405" s="1382"/>
      <c r="Y405" s="1382"/>
      <c r="Z405" s="1382"/>
      <c r="AA405" s="1382"/>
      <c r="AB405" s="1382"/>
      <c r="AC405" s="1382"/>
      <c r="AD405" s="1382"/>
      <c r="AE405" s="1382"/>
      <c r="AF405" s="1382"/>
      <c r="AG405" s="1382"/>
      <c r="AH405" s="1382"/>
      <c r="AI405" s="1382"/>
      <c r="AJ405" s="1382"/>
      <c r="AK405" s="181"/>
      <c r="AL405" s="181"/>
      <c r="AM405" s="181"/>
      <c r="AN405" s="181"/>
      <c r="AO405" s="181"/>
      <c r="AP405" s="181"/>
      <c r="AQ405" s="181"/>
      <c r="AR405" s="181"/>
      <c r="AS405" s="181"/>
      <c r="AT405" s="181"/>
      <c r="AU405" s="181"/>
      <c r="AV405" s="181"/>
      <c r="AW405" s="181"/>
    </row>
    <row r="406" spans="1:49" s="30" customFormat="1" ht="28.5" hidden="1" x14ac:dyDescent="0.25">
      <c r="A406" s="1407" t="str">
        <f>IF(COUNTIF('04 - 95% CD'!D406:G406,"Y")&gt;0,"Y",IF(COUNTIF('04 - 95% CD'!D406:G406,"N"),"N",""))</f>
        <v>N</v>
      </c>
      <c r="B406" s="191"/>
      <c r="C406" s="944"/>
      <c r="D406" s="297"/>
      <c r="E406" s="559" t="str">
        <f>IF('C-Design&amp;Const'!$W406="","",'C-Design&amp;Const'!$W406)</f>
        <v>N</v>
      </c>
      <c r="F406" s="560"/>
      <c r="G406" s="558"/>
      <c r="H406" s="410" t="str">
        <f>CONCATENATE(IF(ISNUMBER(SEARCH("Placeholder",'C-Design&amp;Const'!Z406))=TRUE,"",IF(E406="N","PLACEHOLDER ROW - ","")),'C-Design&amp;Const'!Z406,IF(E406="N","",J406))</f>
        <v>PLACEHOLDER ROW - **Bullet Points of Major Project Goals &amp; Objectives, New GSF, Renovated GSF, Demolished GSF</v>
      </c>
      <c r="I406" s="552"/>
      <c r="J406" s="181"/>
      <c r="K406" s="285" t="str">
        <f t="shared" si="52"/>
        <v>match</v>
      </c>
      <c r="L406" s="1410" t="str">
        <f t="shared" si="53"/>
        <v>&lt;---PM/Planner may hide PLACEHOLDER ROW</v>
      </c>
      <c r="M406" s="1382"/>
      <c r="N406" s="1382"/>
      <c r="O406" s="1382"/>
      <c r="P406" s="1382"/>
      <c r="Q406" s="1382"/>
      <c r="R406" s="1490"/>
      <c r="S406" s="1274"/>
      <c r="T406" s="1274"/>
      <c r="U406" s="1382"/>
      <c r="V406" s="1382"/>
      <c r="W406" s="1382"/>
      <c r="X406" s="1382"/>
      <c r="Y406" s="1382"/>
      <c r="Z406" s="1382"/>
      <c r="AA406" s="1382"/>
      <c r="AB406" s="1382"/>
      <c r="AC406" s="1382"/>
      <c r="AD406" s="1382"/>
      <c r="AE406" s="1382"/>
      <c r="AF406" s="1382"/>
      <c r="AG406" s="1382"/>
      <c r="AH406" s="1382"/>
      <c r="AI406" s="1382"/>
      <c r="AJ406" s="1382"/>
      <c r="AK406" s="181"/>
      <c r="AL406" s="181"/>
      <c r="AM406" s="181"/>
      <c r="AN406" s="181"/>
      <c r="AO406" s="181"/>
      <c r="AP406" s="181"/>
      <c r="AQ406" s="181"/>
      <c r="AR406" s="181"/>
      <c r="AS406" s="181"/>
      <c r="AT406" s="181"/>
      <c r="AU406" s="181"/>
      <c r="AV406" s="181"/>
      <c r="AW406" s="181"/>
    </row>
    <row r="407" spans="1:49" s="30" customFormat="1" ht="18.75" hidden="1" x14ac:dyDescent="0.25">
      <c r="A407" s="1407" t="str">
        <f>IF(COUNTIF('04 - 95% CD'!D407:G407,"Y")&gt;0,"Y",IF(COUNTIF('04 - 95% CD'!D407:G407,"N"),"N",""))</f>
        <v>N</v>
      </c>
      <c r="B407" s="191"/>
      <c r="C407" s="944"/>
      <c r="D407" s="297"/>
      <c r="E407" s="559" t="str">
        <f>IF('C-Design&amp;Const'!$W407="","",'C-Design&amp;Const'!$W407)</f>
        <v>N</v>
      </c>
      <c r="F407" s="560"/>
      <c r="G407" s="558"/>
      <c r="H407" s="410" t="str">
        <f>CONCATENATE(IF(ISNUMBER(SEARCH("Placeholder",'C-Design&amp;Const'!Z407))=TRUE,"",IF(E407="N","PLACEHOLDER ROW - ","")),'C-Design&amp;Const'!Z407,IF(E407="N","",J407))</f>
        <v>PLACEHOLDER ROW - **Overall Construction Budget, Construction Begin &amp; End</v>
      </c>
      <c r="I407" s="552"/>
      <c r="J407" s="181"/>
      <c r="K407" s="285" t="str">
        <f t="shared" si="52"/>
        <v>match</v>
      </c>
      <c r="L407" s="1410" t="str">
        <f t="shared" si="53"/>
        <v>&lt;---PM/Planner may hide PLACEHOLDER ROW</v>
      </c>
      <c r="M407" s="1382"/>
      <c r="N407" s="1382"/>
      <c r="O407" s="1382"/>
      <c r="P407" s="1382"/>
      <c r="Q407" s="1382"/>
      <c r="R407" s="1490"/>
      <c r="S407" s="1274"/>
      <c r="T407" s="1274"/>
      <c r="U407" s="1382"/>
      <c r="V407" s="1382"/>
      <c r="W407" s="1382"/>
      <c r="X407" s="1382"/>
      <c r="Y407" s="1382"/>
      <c r="Z407" s="1382"/>
      <c r="AA407" s="1382"/>
      <c r="AB407" s="1382"/>
      <c r="AC407" s="1382"/>
      <c r="AD407" s="1382"/>
      <c r="AE407" s="1382"/>
      <c r="AF407" s="1382"/>
      <c r="AG407" s="1382"/>
      <c r="AH407" s="1382"/>
      <c r="AI407" s="1382"/>
      <c r="AJ407" s="1382"/>
      <c r="AK407" s="181"/>
      <c r="AL407" s="181"/>
      <c r="AM407" s="181"/>
      <c r="AN407" s="181"/>
      <c r="AO407" s="181"/>
      <c r="AP407" s="181"/>
      <c r="AQ407" s="181"/>
      <c r="AR407" s="181"/>
      <c r="AS407" s="181"/>
      <c r="AT407" s="181"/>
      <c r="AU407" s="181"/>
      <c r="AV407" s="181"/>
      <c r="AW407" s="181"/>
    </row>
    <row r="408" spans="1:49" s="30" customFormat="1" ht="18.75" hidden="1" x14ac:dyDescent="0.25">
      <c r="A408" s="1407" t="str">
        <f>IF(COUNTIF('04 - 95% CD'!D408:G408,"Y")&gt;0,"Y",IF(COUNTIF('04 - 95% CD'!D408:G408,"N"),"N",""))</f>
        <v>N</v>
      </c>
      <c r="B408" s="191"/>
      <c r="C408" s="944"/>
      <c r="D408" s="297"/>
      <c r="E408" s="559" t="str">
        <f>IF('C-Design&amp;Const'!$W408="","",'C-Design&amp;Const'!$W408)</f>
        <v>N</v>
      </c>
      <c r="F408" s="560"/>
      <c r="G408" s="558"/>
      <c r="H408" s="410" t="str">
        <f>CONCATENATE(IF(ISNUMBER(SEARCH("Placeholder",'C-Design&amp;Const'!Z408))=TRUE,"",IF(E408="N","PLACEHOLDER ROW - ","")),'C-Design&amp;Const'!Z408,IF(E408="N","",J408))</f>
        <v>PLACEHOLDER ROW - **LEED Goal and highlights of LEED measures</v>
      </c>
      <c r="I408" s="552"/>
      <c r="J408" s="181"/>
      <c r="K408" s="285" t="str">
        <f t="shared" si="52"/>
        <v>match</v>
      </c>
      <c r="L408" s="1410" t="str">
        <f t="shared" si="53"/>
        <v>&lt;---PM/Planner may hide PLACEHOLDER ROW</v>
      </c>
      <c r="M408" s="1382"/>
      <c r="N408" s="1382"/>
      <c r="O408" s="1382"/>
      <c r="P408" s="1382"/>
      <c r="Q408" s="1382"/>
      <c r="R408" s="1490"/>
      <c r="S408" s="1274"/>
      <c r="T408" s="1274"/>
      <c r="U408" s="1382"/>
      <c r="V408" s="1382"/>
      <c r="W408" s="1382"/>
      <c r="X408" s="1382"/>
      <c r="Y408" s="1382"/>
      <c r="Z408" s="1382"/>
      <c r="AA408" s="1382"/>
      <c r="AB408" s="1382"/>
      <c r="AC408" s="1382"/>
      <c r="AD408" s="1382"/>
      <c r="AE408" s="1382"/>
      <c r="AF408" s="1382"/>
      <c r="AG408" s="1382"/>
      <c r="AH408" s="1382"/>
      <c r="AI408" s="1382"/>
      <c r="AJ408" s="1382"/>
      <c r="AK408" s="181"/>
      <c r="AL408" s="181"/>
      <c r="AM408" s="181"/>
      <c r="AN408" s="181"/>
      <c r="AO408" s="181"/>
      <c r="AP408" s="181"/>
      <c r="AQ408" s="181"/>
      <c r="AR408" s="181"/>
      <c r="AS408" s="181"/>
      <c r="AT408" s="181"/>
      <c r="AU408" s="181"/>
      <c r="AV408" s="181"/>
      <c r="AW408" s="181"/>
    </row>
    <row r="409" spans="1:49" s="30" customFormat="1" ht="18.75" hidden="1" x14ac:dyDescent="0.25">
      <c r="A409" s="1407" t="str">
        <f>IF(COUNTIF('04 - 95% CD'!D409:G409,"Y")&gt;0,"Y",IF(COUNTIF('04 - 95% CD'!D409:G409,"N"),"N",""))</f>
        <v>N</v>
      </c>
      <c r="B409" s="191"/>
      <c r="C409" s="944"/>
      <c r="D409" s="297"/>
      <c r="E409" s="559" t="str">
        <f>IF('C-Design&amp;Const'!$W409="","",'C-Design&amp;Const'!$W409)</f>
        <v>N</v>
      </c>
      <c r="F409" s="560"/>
      <c r="G409" s="558"/>
      <c r="H409" s="410" t="str">
        <f>CONCATENATE(IF(ISNUMBER(SEARCH("Placeholder",'C-Design&amp;Const'!Z409))=TRUE,"",IF(E409="N","PLACEHOLDER ROW - ","")),'C-Design&amp;Const'!Z409,IF(E409="N","",J409))</f>
        <v>PLACEHOLDER ROW - Proposed combined Site / Landscape Plan</v>
      </c>
      <c r="I409" s="552"/>
      <c r="J409" s="181"/>
      <c r="K409" s="285" t="str">
        <f t="shared" si="52"/>
        <v>match</v>
      </c>
      <c r="L409" s="1410" t="str">
        <f t="shared" si="53"/>
        <v>&lt;---PM/Planner may hide PLACEHOLDER ROW</v>
      </c>
      <c r="M409" s="1382"/>
      <c r="N409" s="1382"/>
      <c r="O409" s="1382"/>
      <c r="P409" s="1382"/>
      <c r="Q409" s="1382"/>
      <c r="R409" s="1490"/>
      <c r="S409" s="1274"/>
      <c r="T409" s="1274"/>
      <c r="U409" s="1382"/>
      <c r="V409" s="1382"/>
      <c r="W409" s="1382"/>
      <c r="X409" s="1382"/>
      <c r="Y409" s="1382"/>
      <c r="Z409" s="1382"/>
      <c r="AA409" s="1382"/>
      <c r="AB409" s="1382"/>
      <c r="AC409" s="1382"/>
      <c r="AD409" s="1382"/>
      <c r="AE409" s="1382"/>
      <c r="AF409" s="1382"/>
      <c r="AG409" s="1382"/>
      <c r="AH409" s="1382"/>
      <c r="AI409" s="1382"/>
      <c r="AJ409" s="1382"/>
      <c r="AK409" s="181"/>
      <c r="AL409" s="181"/>
      <c r="AM409" s="181"/>
      <c r="AN409" s="181"/>
      <c r="AO409" s="181"/>
      <c r="AP409" s="181"/>
      <c r="AQ409" s="181"/>
      <c r="AR409" s="181"/>
      <c r="AS409" s="181"/>
      <c r="AT409" s="181"/>
      <c r="AU409" s="181"/>
      <c r="AV409" s="181"/>
      <c r="AW409" s="181"/>
    </row>
    <row r="410" spans="1:49" s="30" customFormat="1" ht="18.75" hidden="1" x14ac:dyDescent="0.25">
      <c r="A410" s="1407" t="str">
        <f>IF(COUNTIF('04 - 95% CD'!D410:G410,"Y")&gt;0,"Y",IF(COUNTIF('04 - 95% CD'!D410:G410,"N"),"N",""))</f>
        <v>N</v>
      </c>
      <c r="B410" s="191"/>
      <c r="C410" s="944"/>
      <c r="D410" s="297"/>
      <c r="E410" s="559" t="str">
        <f>IF('C-Design&amp;Const'!$W413="","",'C-Design&amp;Const'!$W413)</f>
        <v>N</v>
      </c>
      <c r="F410" s="560"/>
      <c r="G410" s="558"/>
      <c r="H410" s="410" t="str">
        <f>CONCATENATE(IF(ISNUMBER(SEARCH("Placeholder",'C-Design&amp;Const'!Z410))=TRUE,"",IF(E410="N","PLACEHOLDER ROW - ","")),'C-Design&amp;Const'!Z410,IF(E410="N","",J410))</f>
        <v xml:space="preserve">PLACEHOLDER ROW - Massing or Renderings of </v>
      </c>
      <c r="I410" s="552"/>
      <c r="J410" s="181"/>
      <c r="K410" s="285" t="str">
        <f t="shared" si="52"/>
        <v>match</v>
      </c>
      <c r="L410" s="1410" t="str">
        <f t="shared" si="53"/>
        <v>&lt;---PM/Planner may hide PLACEHOLDER ROW</v>
      </c>
      <c r="M410" s="1382"/>
      <c r="N410" s="1382"/>
      <c r="O410" s="1382"/>
      <c r="P410" s="1382"/>
      <c r="Q410" s="1382"/>
      <c r="R410" s="1490"/>
      <c r="S410" s="1274"/>
      <c r="T410" s="1274"/>
      <c r="U410" s="1382"/>
      <c r="V410" s="1382"/>
      <c r="W410" s="1382"/>
      <c r="X410" s="1382"/>
      <c r="Y410" s="1382"/>
      <c r="Z410" s="1382"/>
      <c r="AA410" s="1382"/>
      <c r="AB410" s="1382"/>
      <c r="AC410" s="1382"/>
      <c r="AD410" s="1382"/>
      <c r="AE410" s="1382"/>
      <c r="AF410" s="1382"/>
      <c r="AG410" s="1382"/>
      <c r="AH410" s="1382"/>
      <c r="AI410" s="1382"/>
      <c r="AJ410" s="1382"/>
      <c r="AK410" s="181"/>
      <c r="AL410" s="181"/>
      <c r="AM410" s="181"/>
      <c r="AN410" s="181"/>
      <c r="AO410" s="181"/>
      <c r="AP410" s="181"/>
      <c r="AQ410" s="181"/>
      <c r="AR410" s="181"/>
      <c r="AS410" s="181"/>
      <c r="AT410" s="181"/>
      <c r="AU410" s="181"/>
      <c r="AV410" s="181"/>
      <c r="AW410" s="181"/>
    </row>
    <row r="411" spans="1:49" s="30" customFormat="1" ht="18.75" hidden="1" x14ac:dyDescent="0.25">
      <c r="A411" s="1407" t="str">
        <f>IF(COUNTIF('04 - 95% CD'!D411:G411,"Y")&gt;0,"Y",IF(COUNTIF('04 - 95% CD'!D411:G411,"N"),"N",""))</f>
        <v>N</v>
      </c>
      <c r="B411" s="191"/>
      <c r="C411" s="944"/>
      <c r="D411" s="297"/>
      <c r="E411" s="559" t="str">
        <f>IF('C-Design&amp;Const'!$W410="","",'C-Design&amp;Const'!$W410)</f>
        <v>N</v>
      </c>
      <c r="F411" s="560"/>
      <c r="G411" s="558"/>
      <c r="H411" s="410" t="str">
        <f>CONCATENATE(IF(ISNUMBER(SEARCH("Placeholder",'C-Design&amp;Const'!Z411))=TRUE,"",IF(E411="N","PLACEHOLDER ROW - ","")),'C-Design&amp;Const'!Z411,IF(E411="N","",J411))</f>
        <v>PLACEHOLDER ROW - All Exterior Elevations with materials identified</v>
      </c>
      <c r="I411" s="552"/>
      <c r="J411" s="181"/>
      <c r="K411" s="285" t="str">
        <f t="shared" si="52"/>
        <v>match</v>
      </c>
      <c r="L411" s="1410" t="str">
        <f t="shared" si="53"/>
        <v>&lt;---PM/Planner may hide PLACEHOLDER ROW</v>
      </c>
      <c r="M411" s="1382"/>
      <c r="N411" s="1382"/>
      <c r="O411" s="1382"/>
      <c r="P411" s="1382"/>
      <c r="Q411" s="1382"/>
      <c r="R411" s="1490"/>
      <c r="S411" s="1274"/>
      <c r="T411" s="1274"/>
      <c r="U411" s="1382"/>
      <c r="V411" s="1382"/>
      <c r="W411" s="1382"/>
      <c r="X411" s="1382"/>
      <c r="Y411" s="1382"/>
      <c r="Z411" s="1382"/>
      <c r="AA411" s="1382"/>
      <c r="AB411" s="1382"/>
      <c r="AC411" s="1382"/>
      <c r="AD411" s="1382"/>
      <c r="AE411" s="1382"/>
      <c r="AF411" s="1382"/>
      <c r="AG411" s="1382"/>
      <c r="AH411" s="1382"/>
      <c r="AI411" s="1382"/>
      <c r="AJ411" s="1382"/>
      <c r="AK411" s="181"/>
      <c r="AL411" s="181"/>
      <c r="AM411" s="181"/>
      <c r="AN411" s="181"/>
      <c r="AO411" s="181"/>
      <c r="AP411" s="181"/>
      <c r="AQ411" s="181"/>
      <c r="AR411" s="181"/>
      <c r="AS411" s="181"/>
      <c r="AT411" s="181"/>
      <c r="AU411" s="181"/>
      <c r="AV411" s="181"/>
      <c r="AW411" s="181"/>
    </row>
    <row r="412" spans="1:49" s="30" customFormat="1" ht="28.5" hidden="1" x14ac:dyDescent="0.25">
      <c r="A412" s="1407" t="str">
        <f>IF(COUNTIF('04 - 95% CD'!D412:G412,"Y")&gt;0,"Y",IF(COUNTIF('04 - 95% CD'!D412:G412,"N"),"N",""))</f>
        <v>N</v>
      </c>
      <c r="B412" s="191"/>
      <c r="C412" s="944"/>
      <c r="D412" s="297"/>
      <c r="E412" s="559" t="str">
        <f>IF('C-Design&amp;Const'!$W411="","",'C-Design&amp;Const'!$W411)</f>
        <v>N</v>
      </c>
      <c r="F412" s="560"/>
      <c r="G412" s="558"/>
      <c r="H412" s="410" t="str">
        <f>CONCATENATE(IF(ISNUMBER(SEARCH("Placeholder",'C-Design&amp;Const'!Z412))=TRUE,"",IF(E412="N","PLACEHOLDER ROW - ","")),'C-Design&amp;Const'!Z412,IF(E412="N","",J412))</f>
        <v>PLACEHOLDER ROW - All major public spaces (entrances, galleries, auditoriums, lecture halls, etc…) with materials identified</v>
      </c>
      <c r="I412" s="552"/>
      <c r="J412" s="181"/>
      <c r="K412" s="285" t="str">
        <f t="shared" si="52"/>
        <v>match</v>
      </c>
      <c r="L412" s="1410" t="str">
        <f t="shared" si="53"/>
        <v>&lt;---PM/Planner may hide PLACEHOLDER ROW</v>
      </c>
      <c r="M412" s="1382"/>
      <c r="N412" s="1382"/>
      <c r="O412" s="1382"/>
      <c r="P412" s="1382"/>
      <c r="Q412" s="1382"/>
      <c r="R412" s="1490"/>
      <c r="S412" s="1274"/>
      <c r="T412" s="1274"/>
      <c r="U412" s="1382"/>
      <c r="V412" s="1382"/>
      <c r="W412" s="1382"/>
      <c r="X412" s="1382"/>
      <c r="Y412" s="1382"/>
      <c r="Z412" s="1382"/>
      <c r="AA412" s="1382"/>
      <c r="AB412" s="1382"/>
      <c r="AC412" s="1382"/>
      <c r="AD412" s="1382"/>
      <c r="AE412" s="1382"/>
      <c r="AF412" s="1382"/>
      <c r="AG412" s="1382"/>
      <c r="AH412" s="1382"/>
      <c r="AI412" s="1382"/>
      <c r="AJ412" s="1382"/>
      <c r="AK412" s="181"/>
      <c r="AL412" s="181"/>
      <c r="AM412" s="181"/>
      <c r="AN412" s="181"/>
      <c r="AO412" s="181"/>
      <c r="AP412" s="181"/>
      <c r="AQ412" s="181"/>
      <c r="AR412" s="181"/>
      <c r="AS412" s="181"/>
      <c r="AT412" s="181"/>
      <c r="AU412" s="181"/>
      <c r="AV412" s="181"/>
      <c r="AW412" s="181"/>
    </row>
    <row r="413" spans="1:49" s="30" customFormat="1" ht="18.75" hidden="1" x14ac:dyDescent="0.25">
      <c r="A413" s="1407" t="str">
        <f>IF(COUNTIF('04 - 95% CD'!D413:G413,"Y")&gt;0,"Y",IF(COUNTIF('04 - 95% CD'!D413:G413,"N"),"N",""))</f>
        <v>N</v>
      </c>
      <c r="B413" s="191"/>
      <c r="C413" s="944"/>
      <c r="D413" s="297"/>
      <c r="E413" s="559" t="str">
        <f>IF('C-Design&amp;Const'!$W412="","",'C-Design&amp;Const'!$W412)</f>
        <v>N</v>
      </c>
      <c r="F413" s="560"/>
      <c r="G413" s="558"/>
      <c r="H413" s="410" t="str">
        <f>CONCATENATE(IF(ISNUMBER(SEARCH("Placeholder",'C-Design&amp;Const'!Z413))=TRUE,"",IF(E413="N","PLACEHOLDER ROW - ","")),'C-Design&amp;Const'!Z413,IF(E413="N","",J413))</f>
        <v>PLACEHOLDER ROW - Stacked Floor Plans with space types show by color (include key)</v>
      </c>
      <c r="I413" s="552"/>
      <c r="J413" s="181"/>
      <c r="K413" s="285" t="str">
        <f t="shared" si="52"/>
        <v>match</v>
      </c>
      <c r="L413" s="1410" t="str">
        <f t="shared" si="53"/>
        <v>&lt;---PM/Planner may hide PLACEHOLDER ROW</v>
      </c>
      <c r="M413" s="1382"/>
      <c r="N413" s="1382"/>
      <c r="O413" s="1382"/>
      <c r="P413" s="1382"/>
      <c r="Q413" s="1382"/>
      <c r="R413" s="1490"/>
      <c r="S413" s="1274"/>
      <c r="T413" s="1274"/>
      <c r="U413" s="1382"/>
      <c r="V413" s="1382"/>
      <c r="W413" s="1382"/>
      <c r="X413" s="1382"/>
      <c r="Y413" s="1382"/>
      <c r="Z413" s="1382"/>
      <c r="AA413" s="1382"/>
      <c r="AB413" s="1382"/>
      <c r="AC413" s="1382"/>
      <c r="AD413" s="1382"/>
      <c r="AE413" s="1382"/>
      <c r="AF413" s="1382"/>
      <c r="AG413" s="1382"/>
      <c r="AH413" s="1382"/>
      <c r="AI413" s="1382"/>
      <c r="AJ413" s="1382"/>
      <c r="AK413" s="181"/>
      <c r="AL413" s="181"/>
      <c r="AM413" s="181"/>
      <c r="AN413" s="181"/>
      <c r="AO413" s="181"/>
      <c r="AP413" s="181"/>
      <c r="AQ413" s="181"/>
      <c r="AR413" s="181"/>
      <c r="AS413" s="181"/>
      <c r="AT413" s="181"/>
      <c r="AU413" s="181"/>
      <c r="AV413" s="181"/>
      <c r="AW413" s="181"/>
    </row>
    <row r="414" spans="1:49" s="30" customFormat="1" ht="28.5" hidden="1" x14ac:dyDescent="0.25">
      <c r="A414" s="1407" t="str">
        <f>IF(COUNTIF('04 - 95% CD'!D414:G414,"Y")&gt;0,"Y",IF(COUNTIF('04 - 95% CD'!D414:G414,"N"),"N",""))</f>
        <v>N</v>
      </c>
      <c r="B414" s="191"/>
      <c r="C414" s="944"/>
      <c r="D414" s="297"/>
      <c r="E414" s="559" t="str">
        <f>IF('C-Design&amp;Const'!$W414="","",'C-Design&amp;Const'!$W414)</f>
        <v>N</v>
      </c>
      <c r="F414" s="560"/>
      <c r="G414" s="558"/>
      <c r="H414" s="410" t="str">
        <f>CONCATENATE(IF(ISNUMBER(SEARCH("Placeholder",'C-Design&amp;Const'!Z414))=TRUE,"",IF(E414="N","PLACEHOLDER ROW - ","")),'C-Design&amp;Const'!Z414,IF(E414="N","",J414))</f>
        <v>PLACEHOLDER ROW - Simple full building sections showing relative spaces and framing from floor to floor.</v>
      </c>
      <c r="I414" s="552"/>
      <c r="J414" s="181"/>
      <c r="K414" s="285" t="str">
        <f t="shared" si="52"/>
        <v>match</v>
      </c>
      <c r="L414" s="1410" t="str">
        <f t="shared" si="53"/>
        <v>&lt;---PM/Planner may hide PLACEHOLDER ROW</v>
      </c>
      <c r="M414" s="1382"/>
      <c r="N414" s="1382"/>
      <c r="O414" s="1382"/>
      <c r="P414" s="1382"/>
      <c r="Q414" s="1382"/>
      <c r="R414" s="1490"/>
      <c r="S414" s="1274"/>
      <c r="T414" s="1274"/>
      <c r="U414" s="1382"/>
      <c r="V414" s="1382"/>
      <c r="W414" s="1382"/>
      <c r="X414" s="1382"/>
      <c r="Y414" s="1382"/>
      <c r="Z414" s="1382"/>
      <c r="AA414" s="1382"/>
      <c r="AB414" s="1382"/>
      <c r="AC414" s="1382"/>
      <c r="AD414" s="1382"/>
      <c r="AE414" s="1382"/>
      <c r="AF414" s="1382"/>
      <c r="AG414" s="1382"/>
      <c r="AH414" s="1382"/>
      <c r="AI414" s="1382"/>
      <c r="AJ414" s="1382"/>
      <c r="AK414" s="181"/>
      <c r="AL414" s="181"/>
      <c r="AM414" s="181"/>
      <c r="AN414" s="181"/>
      <c r="AO414" s="181"/>
      <c r="AP414" s="181"/>
      <c r="AQ414" s="181"/>
      <c r="AR414" s="181"/>
      <c r="AS414" s="181"/>
      <c r="AT414" s="181"/>
      <c r="AU414" s="181"/>
      <c r="AV414" s="181"/>
      <c r="AW414" s="181"/>
    </row>
    <row r="415" spans="1:49" s="30" customFormat="1" ht="18.75" hidden="1" x14ac:dyDescent="0.25">
      <c r="A415" s="1407" t="str">
        <f>IF(COUNTIF('04 - 95% CD'!D415:G415,"Y")&gt;0,"Y",IF(COUNTIF('04 - 95% CD'!D415:G415,"N"),"N",""))</f>
        <v>N</v>
      </c>
      <c r="B415" s="191"/>
      <c r="C415" s="944"/>
      <c r="D415" s="297"/>
      <c r="E415" s="559" t="str">
        <f>IF('C-Design&amp;Const'!$W415="","",'C-Design&amp;Const'!$W415)</f>
        <v>N</v>
      </c>
      <c r="F415" s="560"/>
      <c r="G415" s="558"/>
      <c r="H415" s="410" t="str">
        <f>CONCATENATE(IF(ISNUMBER(SEARCH("Placeholder",'C-Design&amp;Const'!Z415))=TRUE,"",IF(E415="N","PLACEHOLDER ROW - ","")),'C-Design&amp;Const'!Z415,IF(E415="N","",J415))</f>
        <v>PLACEHOLDER ROW - General Air Handling Unit Fan Maps</v>
      </c>
      <c r="I415" s="552"/>
      <c r="J415" s="181"/>
      <c r="K415" s="285" t="str">
        <f t="shared" si="52"/>
        <v>match</v>
      </c>
      <c r="L415" s="1410" t="str">
        <f t="shared" si="53"/>
        <v>&lt;---PM/Planner may hide PLACEHOLDER ROW</v>
      </c>
      <c r="M415" s="1382"/>
      <c r="N415" s="1382"/>
      <c r="O415" s="1382"/>
      <c r="P415" s="1382"/>
      <c r="Q415" s="1382"/>
      <c r="R415" s="1490"/>
      <c r="S415" s="1274"/>
      <c r="T415" s="1274"/>
      <c r="U415" s="1382"/>
      <c r="V415" s="1382"/>
      <c r="W415" s="1382"/>
      <c r="X415" s="1382"/>
      <c r="Y415" s="1382"/>
      <c r="Z415" s="1382"/>
      <c r="AA415" s="1382"/>
      <c r="AB415" s="1382"/>
      <c r="AC415" s="1382"/>
      <c r="AD415" s="1382"/>
      <c r="AE415" s="1382"/>
      <c r="AF415" s="1382"/>
      <c r="AG415" s="1382"/>
      <c r="AH415" s="1382"/>
      <c r="AI415" s="1382"/>
      <c r="AJ415" s="1382"/>
      <c r="AK415" s="181"/>
      <c r="AL415" s="181"/>
      <c r="AM415" s="181"/>
      <c r="AN415" s="181"/>
      <c r="AO415" s="181"/>
      <c r="AP415" s="181"/>
      <c r="AQ415" s="181"/>
      <c r="AR415" s="181"/>
      <c r="AS415" s="181"/>
      <c r="AT415" s="181"/>
      <c r="AU415" s="181"/>
      <c r="AV415" s="181"/>
      <c r="AW415" s="181"/>
    </row>
    <row r="416" spans="1:49" s="30" customFormat="1" ht="18.75" hidden="1" x14ac:dyDescent="0.25">
      <c r="A416" s="1407" t="str">
        <f>IF(COUNTIF('04 - 95% CD'!D416:G416,"Y")&gt;0,"Y",IF(COUNTIF('04 - 95% CD'!D416:G416,"N"),"N",""))</f>
        <v>N</v>
      </c>
      <c r="B416" s="191"/>
      <c r="C416" s="944"/>
      <c r="D416" s="297"/>
      <c r="E416" s="559" t="str">
        <f>IF('C-Design&amp;Const'!$W416="","",'C-Design&amp;Const'!$W416)</f>
        <v>N</v>
      </c>
      <c r="F416" s="560"/>
      <c r="G416" s="558"/>
      <c r="H416" s="410" t="str">
        <f>CONCATENATE(IF(ISNUMBER(SEARCH("Placeholder",'C-Design&amp;Const'!Z416))=TRUE,"",IF(E416="N","PLACEHOLDER ROW - ","")),'C-Design&amp;Const'!Z416,IF(E416="N","",J416))</f>
        <v>PLACEHOLDER ROW - Incorporated Comments from ARC</v>
      </c>
      <c r="I416" s="552"/>
      <c r="J416" s="181"/>
      <c r="K416" s="285" t="str">
        <f t="shared" si="52"/>
        <v>match</v>
      </c>
      <c r="L416" s="1410" t="str">
        <f t="shared" si="53"/>
        <v>&lt;---PM/Planner may hide PLACEHOLDER ROW</v>
      </c>
      <c r="M416" s="1382"/>
      <c r="N416" s="1382"/>
      <c r="O416" s="1382"/>
      <c r="P416" s="1382"/>
      <c r="Q416" s="1382"/>
      <c r="R416" s="1490"/>
      <c r="S416" s="1274"/>
      <c r="T416" s="1274"/>
      <c r="U416" s="1382"/>
      <c r="V416" s="1382"/>
      <c r="W416" s="1382"/>
      <c r="X416" s="1382"/>
      <c r="Y416" s="1382"/>
      <c r="Z416" s="1382"/>
      <c r="AA416" s="1382"/>
      <c r="AB416" s="1382"/>
      <c r="AC416" s="1382"/>
      <c r="AD416" s="1382"/>
      <c r="AE416" s="1382"/>
      <c r="AF416" s="1382"/>
      <c r="AG416" s="1382"/>
      <c r="AH416" s="1382"/>
      <c r="AI416" s="1382"/>
      <c r="AJ416" s="1382"/>
      <c r="AK416" s="181"/>
      <c r="AL416" s="181"/>
      <c r="AM416" s="181"/>
      <c r="AN416" s="181"/>
      <c r="AO416" s="181"/>
      <c r="AP416" s="181"/>
      <c r="AQ416" s="181"/>
      <c r="AR416" s="181"/>
      <c r="AS416" s="181"/>
      <c r="AT416" s="181"/>
      <c r="AU416" s="181"/>
      <c r="AV416" s="181"/>
      <c r="AW416" s="181"/>
    </row>
    <row r="417" spans="1:49" s="30" customFormat="1" ht="18.75" hidden="1" x14ac:dyDescent="0.25">
      <c r="A417" s="1407" t="str">
        <f>IF(COUNTIF('04 - 95% CD'!D417:G417,"Y")&gt;0,"Y",IF(COUNTIF('04 - 95% CD'!D417:G417,"N"),"N",""))</f>
        <v>N</v>
      </c>
      <c r="B417" s="191"/>
      <c r="C417" s="944"/>
      <c r="D417" s="297"/>
      <c r="E417" s="559" t="str">
        <f>IF('C-Design&amp;Const'!$W417="","",'C-Design&amp;Const'!$W417)</f>
        <v>N</v>
      </c>
      <c r="F417" s="560"/>
      <c r="G417" s="558"/>
      <c r="H417" s="410" t="str">
        <f>CONCATENATE(IF(ISNUMBER(SEARCH("Placeholder",'C-Design&amp;Const'!Z417))=TRUE,"",IF(E417="N","PLACEHOLDER ROW - ","")),'C-Design&amp;Const'!Z417,IF(E417="N","",J417))</f>
        <v>PLACEHOLDER ROW - CUSTOM ROW - OPTIONAL CLIENT ITEM</v>
      </c>
      <c r="I417" s="552"/>
      <c r="J417" s="181"/>
      <c r="K417" s="285" t="str">
        <f t="shared" si="52"/>
        <v>match</v>
      </c>
      <c r="L417" s="1410" t="str">
        <f t="shared" si="53"/>
        <v>&lt;---PM/Planner may hide PLACEHOLDER ROW</v>
      </c>
      <c r="M417" s="1382"/>
      <c r="N417" s="1382"/>
      <c r="O417" s="1382"/>
      <c r="P417" s="1382"/>
      <c r="Q417" s="1382"/>
      <c r="R417" s="1490"/>
      <c r="S417" s="1274"/>
      <c r="T417" s="1274"/>
      <c r="U417" s="1382"/>
      <c r="V417" s="1382"/>
      <c r="W417" s="1382"/>
      <c r="X417" s="1382"/>
      <c r="Y417" s="1382"/>
      <c r="Z417" s="1382"/>
      <c r="AA417" s="1382"/>
      <c r="AB417" s="1382"/>
      <c r="AC417" s="1382"/>
      <c r="AD417" s="1382"/>
      <c r="AE417" s="1382"/>
      <c r="AF417" s="1382"/>
      <c r="AG417" s="1382"/>
      <c r="AH417" s="1382"/>
      <c r="AI417" s="1382"/>
      <c r="AJ417" s="1382"/>
      <c r="AK417" s="181"/>
      <c r="AL417" s="181"/>
      <c r="AM417" s="181"/>
      <c r="AN417" s="181"/>
      <c r="AO417" s="181"/>
      <c r="AP417" s="181"/>
      <c r="AQ417" s="181"/>
      <c r="AR417" s="181"/>
      <c r="AS417" s="181"/>
      <c r="AT417" s="181"/>
      <c r="AU417" s="181"/>
      <c r="AV417" s="181"/>
      <c r="AW417" s="181"/>
    </row>
    <row r="418" spans="1:49" s="30" customFormat="1" ht="18.75" hidden="1" x14ac:dyDescent="0.25">
      <c r="A418" s="1407" t="str">
        <f>IF(COUNTIF('04 - 95% CD'!D418:G418,"Y")&gt;0,"Y",IF(COUNTIF('04 - 95% CD'!D418:G418,"N"),"N",""))</f>
        <v>N</v>
      </c>
      <c r="B418" s="191"/>
      <c r="C418" s="944"/>
      <c r="D418" s="297"/>
      <c r="E418" s="559" t="str">
        <f>IF('C-Design&amp;Const'!$W418="","",'C-Design&amp;Const'!$W418)</f>
        <v>N</v>
      </c>
      <c r="F418" s="560"/>
      <c r="G418" s="558"/>
      <c r="H418" s="410" t="str">
        <f>CONCATENATE(IF(ISNUMBER(SEARCH("Placeholder",'C-Design&amp;Const'!Z418))=TRUE,"",IF(E418="N","PLACEHOLDER ROW - ","")),'C-Design&amp;Const'!Z418,IF(E418="N","",J418))</f>
        <v>PLACEHOLDER ROW - CUSTOM ROW - OPTIONAL CLIENT ITEM</v>
      </c>
      <c r="I418" s="552"/>
      <c r="J418" s="181"/>
      <c r="K418" s="285" t="str">
        <f t="shared" si="52"/>
        <v>match</v>
      </c>
      <c r="L418" s="1410" t="str">
        <f t="shared" si="53"/>
        <v>&lt;---PM/Planner may hide PLACEHOLDER ROW</v>
      </c>
      <c r="M418" s="1382"/>
      <c r="N418" s="1382"/>
      <c r="O418" s="1382"/>
      <c r="P418" s="1382"/>
      <c r="Q418" s="1382"/>
      <c r="R418" s="1490"/>
      <c r="S418" s="1274"/>
      <c r="T418" s="1274"/>
      <c r="U418" s="1382"/>
      <c r="V418" s="1382"/>
      <c r="W418" s="1382"/>
      <c r="X418" s="1382"/>
      <c r="Y418" s="1382"/>
      <c r="Z418" s="1382"/>
      <c r="AA418" s="1382"/>
      <c r="AB418" s="1382"/>
      <c r="AC418" s="1382"/>
      <c r="AD418" s="1382"/>
      <c r="AE418" s="1382"/>
      <c r="AF418" s="1382"/>
      <c r="AG418" s="1382"/>
      <c r="AH418" s="1382"/>
      <c r="AI418" s="1382"/>
      <c r="AJ418" s="1382"/>
      <c r="AK418" s="181"/>
      <c r="AL418" s="181"/>
      <c r="AM418" s="181"/>
      <c r="AN418" s="181"/>
      <c r="AO418" s="181"/>
      <c r="AP418" s="181"/>
      <c r="AQ418" s="181"/>
      <c r="AR418" s="181"/>
      <c r="AS418" s="181"/>
      <c r="AT418" s="181"/>
      <c r="AU418" s="181"/>
      <c r="AV418" s="181"/>
      <c r="AW418" s="181"/>
    </row>
    <row r="419" spans="1:49" s="30" customFormat="1" ht="18.75" hidden="1" x14ac:dyDescent="0.25">
      <c r="A419" s="1407" t="str">
        <f>IF(COUNTIF('04 - 95% CD'!D419:G419,"Y")&gt;0,"Y",IF(COUNTIF('04 - 95% CD'!D419:G419,"N"),"N",""))</f>
        <v>N</v>
      </c>
      <c r="B419" s="191"/>
      <c r="C419" s="944"/>
      <c r="D419" s="297"/>
      <c r="E419" s="559" t="str">
        <f>IF('C-Design&amp;Const'!$W419="","",'C-Design&amp;Const'!$W419)</f>
        <v>N</v>
      </c>
      <c r="F419" s="560"/>
      <c r="G419" s="558"/>
      <c r="H419" s="410" t="str">
        <f>CONCATENATE(IF(ISNUMBER(SEARCH("Placeholder",'C-Design&amp;Const'!Z419))=TRUE,"",IF(E419="N","PLACEHOLDER ROW - ","")),'C-Design&amp;Const'!Z419,IF(E419="N","",J419))</f>
        <v>PLACEHOLDER ROW - CUSTOM ROW - OPTIONAL CLIENT ITEM</v>
      </c>
      <c r="I419" s="552"/>
      <c r="J419" s="181"/>
      <c r="K419" s="285" t="str">
        <f t="shared" si="52"/>
        <v>match</v>
      </c>
      <c r="L419" s="1410" t="str">
        <f t="shared" si="53"/>
        <v>&lt;---PM/Planner may hide PLACEHOLDER ROW</v>
      </c>
      <c r="M419" s="1382"/>
      <c r="N419" s="1382"/>
      <c r="O419" s="1382"/>
      <c r="P419" s="1382"/>
      <c r="Q419" s="1382"/>
      <c r="R419" s="1490"/>
      <c r="S419" s="1274"/>
      <c r="T419" s="1274"/>
      <c r="U419" s="1382"/>
      <c r="V419" s="1382"/>
      <c r="W419" s="1382"/>
      <c r="X419" s="1382"/>
      <c r="Y419" s="1382"/>
      <c r="Z419" s="1382"/>
      <c r="AA419" s="1382"/>
      <c r="AB419" s="1382"/>
      <c r="AC419" s="1382"/>
      <c r="AD419" s="1382"/>
      <c r="AE419" s="1382"/>
      <c r="AF419" s="1382"/>
      <c r="AG419" s="1382"/>
      <c r="AH419" s="1382"/>
      <c r="AI419" s="1382"/>
      <c r="AJ419" s="1382"/>
      <c r="AK419" s="181"/>
      <c r="AL419" s="181"/>
      <c r="AM419" s="181"/>
      <c r="AN419" s="181"/>
      <c r="AO419" s="181"/>
      <c r="AP419" s="181"/>
      <c r="AQ419" s="181"/>
      <c r="AR419" s="181"/>
      <c r="AS419" s="181"/>
      <c r="AT419" s="181"/>
      <c r="AU419" s="181"/>
      <c r="AV419" s="181"/>
      <c r="AW419" s="181"/>
    </row>
    <row r="420" spans="1:49" s="30" customFormat="1" ht="18.75" hidden="1" x14ac:dyDescent="0.25">
      <c r="A420" s="1407" t="str">
        <f>IF(COUNTIF('04 - 95% CD'!D420:G420,"Y")&gt;0,"Y",IF(COUNTIF('04 - 95% CD'!D420:G420,"N"),"N",""))</f>
        <v>N</v>
      </c>
      <c r="B420" s="191"/>
      <c r="C420" s="944"/>
      <c r="D420" s="297"/>
      <c r="E420" s="559" t="str">
        <f>IF('C-Design&amp;Const'!$W420="","",'C-Design&amp;Const'!$W420)</f>
        <v>N</v>
      </c>
      <c r="F420" s="560"/>
      <c r="G420" s="558"/>
      <c r="H420" s="410" t="str">
        <f>CONCATENATE(IF(ISNUMBER(SEARCH("Placeholder",'C-Design&amp;Const'!Z420))=TRUE,"",IF(E420="N","PLACEHOLDER ROW - ","")),'C-Design&amp;Const'!Z420,IF(E420="N","",J420))</f>
        <v>PLACEHOLDER ROW - CUSTOM ROW - OPTIONAL CLIENT ITEM</v>
      </c>
      <c r="I420" s="552"/>
      <c r="J420" s="181"/>
      <c r="K420" s="285" t="str">
        <f t="shared" si="52"/>
        <v>match</v>
      </c>
      <c r="L420" s="1410" t="str">
        <f t="shared" si="53"/>
        <v>&lt;---PM/Planner may hide PLACEHOLDER ROW</v>
      </c>
      <c r="M420" s="1382"/>
      <c r="N420" s="1382"/>
      <c r="O420" s="1382"/>
      <c r="P420" s="1382"/>
      <c r="Q420" s="1382"/>
      <c r="R420" s="1490"/>
      <c r="S420" s="1274"/>
      <c r="T420" s="1274"/>
      <c r="U420" s="1382"/>
      <c r="V420" s="1382"/>
      <c r="W420" s="1382"/>
      <c r="X420" s="1382"/>
      <c r="Y420" s="1382"/>
      <c r="Z420" s="1382"/>
      <c r="AA420" s="1382"/>
      <c r="AB420" s="1382"/>
      <c r="AC420" s="1382"/>
      <c r="AD420" s="1382"/>
      <c r="AE420" s="1382"/>
      <c r="AF420" s="1382"/>
      <c r="AG420" s="1382"/>
      <c r="AH420" s="1382"/>
      <c r="AI420" s="1382"/>
      <c r="AJ420" s="1382"/>
      <c r="AK420" s="181"/>
      <c r="AL420" s="181"/>
      <c r="AM420" s="181"/>
      <c r="AN420" s="181"/>
      <c r="AO420" s="181"/>
      <c r="AP420" s="181"/>
      <c r="AQ420" s="181"/>
      <c r="AR420" s="181"/>
      <c r="AS420" s="181"/>
      <c r="AT420" s="181"/>
      <c r="AU420" s="181"/>
      <c r="AV420" s="181"/>
      <c r="AW420" s="181"/>
    </row>
    <row r="421" spans="1:49" s="30" customFormat="1" ht="18.75" hidden="1" x14ac:dyDescent="0.25">
      <c r="A421" s="1407" t="str">
        <f>IF(COUNTIF('04 - 95% CD'!D421:G421,"Y")&gt;0,"Y",IF(COUNTIF('04 - 95% CD'!D421:G421,"N"),"N",""))</f>
        <v/>
      </c>
      <c r="B421" s="191"/>
      <c r="C421" s="944"/>
      <c r="D421" s="297"/>
      <c r="E421" s="559" t="str">
        <f>IF('C-Design&amp;Const'!$W421="","",'C-Design&amp;Const'!$W421)</f>
        <v/>
      </c>
      <c r="F421" s="560"/>
      <c r="G421" s="558"/>
      <c r="H421" s="410" t="str">
        <f>CONCATENATE(IF(ISNUMBER(SEARCH("Placeholder",'C-Design&amp;Const'!Z421))=TRUE,"",IF(E421="N","PLACEHOLDER ROW - ","")),'C-Design&amp;Const'!Z421,IF(E421="N","",J421))</f>
        <v>**  - For CDAC, combine these items on to 1 or 2 total slides.</v>
      </c>
      <c r="I421" s="552"/>
      <c r="J421" s="181"/>
      <c r="K421" s="285" t="str">
        <f t="shared" si="52"/>
        <v>match</v>
      </c>
      <c r="L421" s="1410" t="str">
        <f t="shared" si="53"/>
        <v/>
      </c>
      <c r="M421" s="1382"/>
      <c r="N421" s="1382"/>
      <c r="O421" s="1382"/>
      <c r="P421" s="1382"/>
      <c r="Q421" s="1382"/>
      <c r="R421" s="1490"/>
      <c r="S421" s="1274"/>
      <c r="T421" s="1274"/>
      <c r="U421" s="1382"/>
      <c r="V421" s="1382"/>
      <c r="W421" s="1382"/>
      <c r="X421" s="1382"/>
      <c r="Y421" s="1382"/>
      <c r="Z421" s="1382"/>
      <c r="AA421" s="1382"/>
      <c r="AB421" s="1382"/>
      <c r="AC421" s="1382"/>
      <c r="AD421" s="1382"/>
      <c r="AE421" s="1382"/>
      <c r="AF421" s="1382"/>
      <c r="AG421" s="1382"/>
      <c r="AH421" s="1382"/>
      <c r="AI421" s="1382"/>
      <c r="AJ421" s="1382"/>
      <c r="AK421" s="181"/>
      <c r="AL421" s="181"/>
      <c r="AM421" s="181"/>
      <c r="AN421" s="181"/>
      <c r="AO421" s="181"/>
      <c r="AP421" s="181"/>
      <c r="AQ421" s="181"/>
      <c r="AR421" s="181"/>
      <c r="AS421" s="181"/>
      <c r="AT421" s="181"/>
      <c r="AU421" s="181"/>
      <c r="AV421" s="181"/>
      <c r="AW421" s="181"/>
    </row>
    <row r="422" spans="1:49" s="30" customFormat="1" ht="18.75" hidden="1" x14ac:dyDescent="0.25">
      <c r="A422" s="1407" t="str">
        <f>IF(COUNTIF('04 - 95% CD'!D422:G422,"Y")&gt;0,"Y",IF(COUNTIF('04 - 95% CD'!D422:G422,"N"),"N",""))</f>
        <v>N</v>
      </c>
      <c r="B422" s="191"/>
      <c r="C422" s="944"/>
      <c r="D422" s="297"/>
      <c r="E422" s="559" t="str">
        <f>IF('C-Design&amp;Const'!$W422="","",'C-Design&amp;Const'!$W422)</f>
        <v>N</v>
      </c>
      <c r="F422" s="560"/>
      <c r="G422" s="558"/>
      <c r="H422" s="410" t="str">
        <f>CONCATENATE(IF(ISNUMBER(SEARCH("Placeholder",'C-Design&amp;Const'!Z422))=TRUE,"",IF(E422="N","PLACEHOLDER ROW - ","")),'C-Design&amp;Const'!Z422,IF(E422="N","",J422))</f>
        <v>PLACEHOLDER ROW - Design Presentation - President and Chancellor</v>
      </c>
      <c r="I422" s="552"/>
      <c r="J422" s="181"/>
      <c r="K422" s="285" t="str">
        <f t="shared" si="52"/>
        <v>match</v>
      </c>
      <c r="L422" s="1410" t="str">
        <f t="shared" si="53"/>
        <v>&lt;---PM/Planner may hide PLACEHOLDER ROW</v>
      </c>
      <c r="M422" s="1382"/>
      <c r="N422" s="1382"/>
      <c r="O422" s="1382"/>
      <c r="P422" s="1382"/>
      <c r="Q422" s="1382"/>
      <c r="R422" s="1490"/>
      <c r="S422" s="1274"/>
      <c r="T422" s="1274"/>
      <c r="U422" s="1382"/>
      <c r="V422" s="1382"/>
      <c r="W422" s="1382"/>
      <c r="X422" s="1382"/>
      <c r="Y422" s="1382"/>
      <c r="Z422" s="1382"/>
      <c r="AA422" s="1382"/>
      <c r="AB422" s="1382"/>
      <c r="AC422" s="1382"/>
      <c r="AD422" s="1382"/>
      <c r="AE422" s="1382"/>
      <c r="AF422" s="1382"/>
      <c r="AG422" s="1382"/>
      <c r="AH422" s="1382"/>
      <c r="AI422" s="1382"/>
      <c r="AJ422" s="1382"/>
      <c r="AK422" s="181"/>
      <c r="AL422" s="181"/>
      <c r="AM422" s="181"/>
      <c r="AN422" s="181"/>
      <c r="AO422" s="181"/>
      <c r="AP422" s="181"/>
      <c r="AQ422" s="181"/>
      <c r="AR422" s="181"/>
      <c r="AS422" s="181"/>
      <c r="AT422" s="181"/>
      <c r="AU422" s="181"/>
      <c r="AV422" s="181"/>
      <c r="AW422" s="181"/>
    </row>
    <row r="423" spans="1:49" s="30" customFormat="1" ht="18.75" hidden="1" x14ac:dyDescent="0.25">
      <c r="A423" s="1407" t="str">
        <f>IF(COUNTIF('04 - 95% CD'!D423:G423,"Y")&gt;0,"Y",IF(COUNTIF('04 - 95% CD'!D423:G423,"N"),"N",""))</f>
        <v/>
      </c>
      <c r="B423" s="191"/>
      <c r="C423" s="944"/>
      <c r="D423" s="297"/>
      <c r="E423" s="559" t="str">
        <f>IF('C-Design&amp;Const'!$W423="","",'C-Design&amp;Const'!$W423)</f>
        <v/>
      </c>
      <c r="F423" s="560"/>
      <c r="G423" s="558"/>
      <c r="H423" s="410" t="str">
        <f>CONCATENATE(IF(ISNUMBER(SEARCH("Placeholder",'C-Design&amp;Const'!Z423))=TRUE,"",IF(E423="N","PLACEHOLDER ROW - ","")),'C-Design&amp;Const'!Z423,IF(E423="N","",J423))</f>
        <v>Brochures for Board of Trustees</v>
      </c>
      <c r="I423" s="552"/>
      <c r="J423" s="181"/>
      <c r="K423" s="285" t="str">
        <f t="shared" si="52"/>
        <v>match</v>
      </c>
      <c r="L423" s="1410" t="str">
        <f t="shared" si="53"/>
        <v/>
      </c>
      <c r="M423" s="1382"/>
      <c r="N423" s="1382"/>
      <c r="O423" s="1382"/>
      <c r="P423" s="1382"/>
      <c r="Q423" s="1382"/>
      <c r="R423" s="1490"/>
      <c r="S423" s="1274"/>
      <c r="T423" s="1274"/>
      <c r="U423" s="1382"/>
      <c r="V423" s="1382"/>
      <c r="W423" s="1382"/>
      <c r="X423" s="1382"/>
      <c r="Y423" s="1382"/>
      <c r="Z423" s="1382"/>
      <c r="AA423" s="1382"/>
      <c r="AB423" s="1382"/>
      <c r="AC423" s="1382"/>
      <c r="AD423" s="1382"/>
      <c r="AE423" s="1382"/>
      <c r="AF423" s="1382"/>
      <c r="AG423" s="1382"/>
      <c r="AH423" s="1382"/>
      <c r="AI423" s="1382"/>
      <c r="AJ423" s="1382"/>
      <c r="AK423" s="181"/>
      <c r="AL423" s="181"/>
      <c r="AM423" s="181"/>
      <c r="AN423" s="181"/>
      <c r="AO423" s="181"/>
      <c r="AP423" s="181"/>
      <c r="AQ423" s="181"/>
      <c r="AR423" s="181"/>
      <c r="AS423" s="181"/>
      <c r="AT423" s="181"/>
      <c r="AU423" s="181"/>
      <c r="AV423" s="181"/>
      <c r="AW423" s="181"/>
    </row>
    <row r="424" spans="1:49" s="30" customFormat="1" ht="18.75" hidden="1" x14ac:dyDescent="0.25">
      <c r="A424" s="1407" t="str">
        <f>IF(COUNTIF('04 - 95% CD'!D424:G424,"Y")&gt;0,"Y",IF(COUNTIF('04 - 95% CD'!D424:G424,"N"),"N",""))</f>
        <v/>
      </c>
      <c r="B424" s="191"/>
      <c r="C424" s="944"/>
      <c r="D424" s="297"/>
      <c r="E424" s="559" t="str">
        <f>IF('C-Design&amp;Const'!$W424="","",'C-Design&amp;Const'!$W424)</f>
        <v/>
      </c>
      <c r="F424" s="560"/>
      <c r="G424" s="558"/>
      <c r="H424" s="410" t="str">
        <f>CONCATENATE(IF(ISNUMBER(SEARCH("Placeholder",'C-Design&amp;Const'!Z424))=TRUE,"",IF(E424="N","PLACEHOLDER ROW - ","")),'C-Design&amp;Const'!Z424,IF(E424="N","",J424))</f>
        <v>Design Presentation - Board of Trustees - Audit, Budget, Finance, &amp; Facilities Committee</v>
      </c>
      <c r="I424" s="552"/>
      <c r="J424" s="181"/>
      <c r="K424" s="285" t="str">
        <f t="shared" si="52"/>
        <v>match</v>
      </c>
      <c r="L424" s="1410" t="str">
        <f t="shared" si="53"/>
        <v/>
      </c>
      <c r="M424" s="1382"/>
      <c r="N424" s="1382"/>
      <c r="O424" s="1382"/>
      <c r="P424" s="1382"/>
      <c r="Q424" s="1382"/>
      <c r="R424" s="1490"/>
      <c r="S424" s="1274"/>
      <c r="T424" s="1274"/>
      <c r="U424" s="1382"/>
      <c r="V424" s="1382"/>
      <c r="W424" s="1382"/>
      <c r="X424" s="1382"/>
      <c r="Y424" s="1382"/>
      <c r="Z424" s="1382"/>
      <c r="AA424" s="1382"/>
      <c r="AB424" s="1382"/>
      <c r="AC424" s="1382"/>
      <c r="AD424" s="1382"/>
      <c r="AE424" s="1382"/>
      <c r="AF424" s="1382"/>
      <c r="AG424" s="1382"/>
      <c r="AH424" s="1382"/>
      <c r="AI424" s="1382"/>
      <c r="AJ424" s="1382"/>
      <c r="AK424" s="181"/>
      <c r="AL424" s="181"/>
      <c r="AM424" s="181"/>
      <c r="AN424" s="181"/>
      <c r="AO424" s="181"/>
      <c r="AP424" s="181"/>
      <c r="AQ424" s="181"/>
      <c r="AR424" s="181"/>
      <c r="AS424" s="181"/>
      <c r="AT424" s="181"/>
      <c r="AU424" s="181"/>
      <c r="AV424" s="181"/>
      <c r="AW424" s="181"/>
    </row>
    <row r="425" spans="1:49" s="30" customFormat="1" ht="18.75" hidden="1" x14ac:dyDescent="0.25">
      <c r="A425" s="1407" t="str">
        <f>IF(COUNTIF('04 - 95% CD'!D425:G425,"Y")&gt;0,"Y",IF(COUNTIF('04 - 95% CD'!D425:G425,"N"),"N",""))</f>
        <v>N</v>
      </c>
      <c r="B425" s="191"/>
      <c r="C425" s="944"/>
      <c r="D425" s="297"/>
      <c r="E425" s="559" t="str">
        <f>IF('C-Design&amp;Const'!$W425="","",'C-Design&amp;Const'!$W425)</f>
        <v>N</v>
      </c>
      <c r="F425" s="560"/>
      <c r="G425" s="558"/>
      <c r="H425" s="410" t="str">
        <f>CONCATENATE(IF(ISNUMBER(SEARCH("Placeholder",'C-Design&amp;Const'!Z425))=TRUE,"",IF(E425="N","PLACEHOLDER ROW - ","")),'C-Design&amp;Const'!Z425,IF(E425="N","",J425))</f>
        <v xml:space="preserve">PLACEHOLDER ROW - Overall Campus Map next to zoomed in aerial image map </v>
      </c>
      <c r="I425" s="552"/>
      <c r="J425" s="181"/>
      <c r="K425" s="285" t="str">
        <f t="shared" si="52"/>
        <v>match</v>
      </c>
      <c r="L425" s="1410" t="str">
        <f t="shared" si="53"/>
        <v>&lt;---PM/Planner may hide PLACEHOLDER ROW</v>
      </c>
      <c r="M425" s="1382"/>
      <c r="N425" s="1382"/>
      <c r="O425" s="1382"/>
      <c r="P425" s="1382"/>
      <c r="Q425" s="1382"/>
      <c r="R425" s="1490"/>
      <c r="S425" s="1274"/>
      <c r="T425" s="1274"/>
      <c r="U425" s="1382"/>
      <c r="V425" s="1382"/>
      <c r="W425" s="1382"/>
      <c r="X425" s="1382"/>
      <c r="Y425" s="1382"/>
      <c r="Z425" s="1382"/>
      <c r="AA425" s="1382"/>
      <c r="AB425" s="1382"/>
      <c r="AC425" s="1382"/>
      <c r="AD425" s="1382"/>
      <c r="AE425" s="1382"/>
      <c r="AF425" s="1382"/>
      <c r="AG425" s="1382"/>
      <c r="AH425" s="1382"/>
      <c r="AI425" s="1382"/>
      <c r="AJ425" s="1382"/>
      <c r="AK425" s="181"/>
      <c r="AL425" s="181"/>
      <c r="AM425" s="181"/>
      <c r="AN425" s="181"/>
      <c r="AO425" s="181"/>
      <c r="AP425" s="181"/>
      <c r="AQ425" s="181"/>
      <c r="AR425" s="181"/>
      <c r="AS425" s="181"/>
      <c r="AT425" s="181"/>
      <c r="AU425" s="181"/>
      <c r="AV425" s="181"/>
      <c r="AW425" s="181"/>
    </row>
    <row r="426" spans="1:49" s="30" customFormat="1" ht="18.75" hidden="1" x14ac:dyDescent="0.25">
      <c r="A426" s="1407" t="str">
        <f>IF(COUNTIF('04 - 95% CD'!D426:G426,"Y")&gt;0,"Y",IF(COUNTIF('04 - 95% CD'!D426:G426,"N"),"N",""))</f>
        <v>N</v>
      </c>
      <c r="B426" s="191"/>
      <c r="C426" s="944"/>
      <c r="D426" s="297"/>
      <c r="E426" s="559" t="str">
        <f>IF('C-Design&amp;Const'!$W426="","",'C-Design&amp;Const'!$W426)</f>
        <v>N</v>
      </c>
      <c r="F426" s="560"/>
      <c r="G426" s="558"/>
      <c r="H426" s="410" t="str">
        <f>CONCATENATE(IF(ISNUMBER(SEARCH("Placeholder",'C-Design&amp;Const'!Z426))=TRUE,"",IF(E426="N","PLACEHOLDER ROW - ","")),'C-Design&amp;Const'!Z426,IF(E426="N","",J426))</f>
        <v>PLACEHOLDER ROW - Building Footprint on Master Plan</v>
      </c>
      <c r="I426" s="552"/>
      <c r="J426" s="181"/>
      <c r="K426" s="285" t="str">
        <f t="shared" si="52"/>
        <v>match</v>
      </c>
      <c r="L426" s="1410" t="str">
        <f t="shared" si="53"/>
        <v>&lt;---PM/Planner may hide PLACEHOLDER ROW</v>
      </c>
      <c r="M426" s="1382"/>
      <c r="N426" s="1382"/>
      <c r="O426" s="1382"/>
      <c r="P426" s="1382"/>
      <c r="Q426" s="1382"/>
      <c r="R426" s="1490"/>
      <c r="S426" s="1274"/>
      <c r="T426" s="1274"/>
      <c r="U426" s="1382"/>
      <c r="V426" s="1382"/>
      <c r="W426" s="1382"/>
      <c r="X426" s="1382"/>
      <c r="Y426" s="1382"/>
      <c r="Z426" s="1382"/>
      <c r="AA426" s="1382"/>
      <c r="AB426" s="1382"/>
      <c r="AC426" s="1382"/>
      <c r="AD426" s="1382"/>
      <c r="AE426" s="1382"/>
      <c r="AF426" s="1382"/>
      <c r="AG426" s="1382"/>
      <c r="AH426" s="1382"/>
      <c r="AI426" s="1382"/>
      <c r="AJ426" s="1382"/>
      <c r="AK426" s="181"/>
      <c r="AL426" s="181"/>
      <c r="AM426" s="181"/>
      <c r="AN426" s="181"/>
      <c r="AO426" s="181"/>
      <c r="AP426" s="181"/>
      <c r="AQ426" s="181"/>
      <c r="AR426" s="181"/>
      <c r="AS426" s="181"/>
      <c r="AT426" s="181"/>
      <c r="AU426" s="181"/>
      <c r="AV426" s="181"/>
      <c r="AW426" s="181"/>
    </row>
    <row r="427" spans="1:49" s="30" customFormat="1" ht="28.5" hidden="1" x14ac:dyDescent="0.25">
      <c r="A427" s="1407" t="str">
        <f>IF(COUNTIF('04 - 95% CD'!D427:G427,"Y")&gt;0,"Y",IF(COUNTIF('04 - 95% CD'!D427:G427,"N"),"N",""))</f>
        <v>N</v>
      </c>
      <c r="B427" s="191"/>
      <c r="C427" s="944"/>
      <c r="D427" s="297"/>
      <c r="E427" s="559" t="str">
        <f>IF('C-Design&amp;Const'!$W427="","",'C-Design&amp;Const'!$W427)</f>
        <v>N</v>
      </c>
      <c r="F427" s="560"/>
      <c r="G427" s="558"/>
      <c r="H427" s="410" t="str">
        <f>CONCATENATE(IF(ISNUMBER(SEARCH("Placeholder",'C-Design&amp;Const'!Z427))=TRUE,"",IF(E427="N","PLACEHOLDER ROW - ","")),'C-Design&amp;Const'!Z427,IF(E427="N","",J427))</f>
        <v>PLACEHOLDER ROW - **Bullet Points of Major Project Goals &amp; Objectives, New GSF, Renovated GSF, Demolished GSF</v>
      </c>
      <c r="I427" s="552"/>
      <c r="J427" s="181"/>
      <c r="K427" s="285" t="str">
        <f t="shared" si="52"/>
        <v>match</v>
      </c>
      <c r="L427" s="1410" t="str">
        <f t="shared" si="53"/>
        <v>&lt;---PM/Planner may hide PLACEHOLDER ROW</v>
      </c>
      <c r="M427" s="1382"/>
      <c r="N427" s="1382"/>
      <c r="O427" s="1382"/>
      <c r="P427" s="1382"/>
      <c r="Q427" s="1382"/>
      <c r="R427" s="1490"/>
      <c r="S427" s="1274"/>
      <c r="T427" s="1274"/>
      <c r="U427" s="1382"/>
      <c r="V427" s="1382"/>
      <c r="W427" s="1382"/>
      <c r="X427" s="1382"/>
      <c r="Y427" s="1382"/>
      <c r="Z427" s="1382"/>
      <c r="AA427" s="1382"/>
      <c r="AB427" s="1382"/>
      <c r="AC427" s="1382"/>
      <c r="AD427" s="1382"/>
      <c r="AE427" s="1382"/>
      <c r="AF427" s="1382"/>
      <c r="AG427" s="1382"/>
      <c r="AH427" s="1382"/>
      <c r="AI427" s="1382"/>
      <c r="AJ427" s="1382"/>
      <c r="AK427" s="181"/>
      <c r="AL427" s="181"/>
      <c r="AM427" s="181"/>
      <c r="AN427" s="181"/>
      <c r="AO427" s="181"/>
      <c r="AP427" s="181"/>
      <c r="AQ427" s="181"/>
      <c r="AR427" s="181"/>
      <c r="AS427" s="181"/>
      <c r="AT427" s="181"/>
      <c r="AU427" s="181"/>
      <c r="AV427" s="181"/>
      <c r="AW427" s="181"/>
    </row>
    <row r="428" spans="1:49" s="30" customFormat="1" ht="18.75" hidden="1" x14ac:dyDescent="0.25">
      <c r="A428" s="1407" t="str">
        <f>IF(COUNTIF('04 - 95% CD'!D428:G428,"Y")&gt;0,"Y",IF(COUNTIF('04 - 95% CD'!D428:G428,"N"),"N",""))</f>
        <v>N</v>
      </c>
      <c r="B428" s="191"/>
      <c r="C428" s="944"/>
      <c r="D428" s="297"/>
      <c r="E428" s="559" t="str">
        <f>IF('C-Design&amp;Const'!$W428="","",'C-Design&amp;Const'!$W428)</f>
        <v>N</v>
      </c>
      <c r="F428" s="560"/>
      <c r="G428" s="558"/>
      <c r="H428" s="410" t="str">
        <f>CONCATENATE(IF(ISNUMBER(SEARCH("Placeholder",'C-Design&amp;Const'!Z428))=TRUE,"",IF(E428="N","PLACEHOLDER ROW - ","")),'C-Design&amp;Const'!Z428,IF(E428="N","",J428))</f>
        <v>PLACEHOLDER ROW - **Overall Construction Budget, Construction Begin &amp; End</v>
      </c>
      <c r="I428" s="552"/>
      <c r="J428" s="181"/>
      <c r="K428" s="285" t="str">
        <f t="shared" si="52"/>
        <v>match</v>
      </c>
      <c r="L428" s="1410" t="str">
        <f t="shared" si="53"/>
        <v>&lt;---PM/Planner may hide PLACEHOLDER ROW</v>
      </c>
      <c r="M428" s="1382"/>
      <c r="N428" s="1382"/>
      <c r="O428" s="1382"/>
      <c r="P428" s="1382"/>
      <c r="Q428" s="1382"/>
      <c r="R428" s="1490"/>
      <c r="S428" s="1274"/>
      <c r="T428" s="1274"/>
      <c r="U428" s="1382"/>
      <c r="V428" s="1382"/>
      <c r="W428" s="1382"/>
      <c r="X428" s="1382"/>
      <c r="Y428" s="1382"/>
      <c r="Z428" s="1382"/>
      <c r="AA428" s="1382"/>
      <c r="AB428" s="1382"/>
      <c r="AC428" s="1382"/>
      <c r="AD428" s="1382"/>
      <c r="AE428" s="1382"/>
      <c r="AF428" s="1382"/>
      <c r="AG428" s="1382"/>
      <c r="AH428" s="1382"/>
      <c r="AI428" s="1382"/>
      <c r="AJ428" s="1382"/>
      <c r="AK428" s="181"/>
      <c r="AL428" s="181"/>
      <c r="AM428" s="181"/>
      <c r="AN428" s="181"/>
      <c r="AO428" s="181"/>
      <c r="AP428" s="181"/>
      <c r="AQ428" s="181"/>
      <c r="AR428" s="181"/>
      <c r="AS428" s="181"/>
      <c r="AT428" s="181"/>
      <c r="AU428" s="181"/>
      <c r="AV428" s="181"/>
      <c r="AW428" s="181"/>
    </row>
    <row r="429" spans="1:49" s="30" customFormat="1" ht="18.75" hidden="1" x14ac:dyDescent="0.25">
      <c r="A429" s="1407" t="str">
        <f>IF(COUNTIF('04 - 95% CD'!D429:G429,"Y")&gt;0,"Y",IF(COUNTIF('04 - 95% CD'!D429:G429,"N"),"N",""))</f>
        <v>N</v>
      </c>
      <c r="B429" s="191"/>
      <c r="C429" s="944"/>
      <c r="D429" s="297"/>
      <c r="E429" s="559" t="str">
        <f>IF('C-Design&amp;Const'!$W429="","",'C-Design&amp;Const'!$W429)</f>
        <v>N</v>
      </c>
      <c r="F429" s="560"/>
      <c r="G429" s="558"/>
      <c r="H429" s="410" t="str">
        <f>CONCATENATE(IF(ISNUMBER(SEARCH("Placeholder",'C-Design&amp;Const'!Z429))=TRUE,"",IF(E429="N","PLACEHOLDER ROW - ","")),'C-Design&amp;Const'!Z429,IF(E429="N","",J429))</f>
        <v>PLACEHOLDER ROW - **LEED Goal and highlights of LEED measures</v>
      </c>
      <c r="I429" s="552"/>
      <c r="J429" s="181"/>
      <c r="K429" s="285" t="str">
        <f t="shared" si="52"/>
        <v>match</v>
      </c>
      <c r="L429" s="1410" t="str">
        <f t="shared" si="53"/>
        <v>&lt;---PM/Planner may hide PLACEHOLDER ROW</v>
      </c>
      <c r="M429" s="1382"/>
      <c r="N429" s="1382"/>
      <c r="O429" s="1382"/>
      <c r="P429" s="1382"/>
      <c r="Q429" s="1382"/>
      <c r="R429" s="1490"/>
      <c r="S429" s="1274"/>
      <c r="T429" s="1274"/>
      <c r="U429" s="1382"/>
      <c r="V429" s="1382"/>
      <c r="W429" s="1382"/>
      <c r="X429" s="1382"/>
      <c r="Y429" s="1382"/>
      <c r="Z429" s="1382"/>
      <c r="AA429" s="1382"/>
      <c r="AB429" s="1382"/>
      <c r="AC429" s="1382"/>
      <c r="AD429" s="1382"/>
      <c r="AE429" s="1382"/>
      <c r="AF429" s="1382"/>
      <c r="AG429" s="1382"/>
      <c r="AH429" s="1382"/>
      <c r="AI429" s="1382"/>
      <c r="AJ429" s="1382"/>
      <c r="AK429" s="181"/>
      <c r="AL429" s="181"/>
      <c r="AM429" s="181"/>
      <c r="AN429" s="181"/>
      <c r="AO429" s="181"/>
      <c r="AP429" s="181"/>
      <c r="AQ429" s="181"/>
      <c r="AR429" s="181"/>
      <c r="AS429" s="181"/>
      <c r="AT429" s="181"/>
      <c r="AU429" s="181"/>
      <c r="AV429" s="181"/>
      <c r="AW429" s="181"/>
    </row>
    <row r="430" spans="1:49" s="30" customFormat="1" ht="18.75" hidden="1" x14ac:dyDescent="0.25">
      <c r="A430" s="1407" t="str">
        <f>IF(COUNTIF('04 - 95% CD'!D430:G430,"Y")&gt;0,"Y",IF(COUNTIF('04 - 95% CD'!D430:G430,"N"),"N",""))</f>
        <v>N</v>
      </c>
      <c r="B430" s="191"/>
      <c r="C430" s="944"/>
      <c r="D430" s="297"/>
      <c r="E430" s="559" t="str">
        <f>IF('C-Design&amp;Const'!$W430="","",'C-Design&amp;Const'!$W430)</f>
        <v>N</v>
      </c>
      <c r="F430" s="560"/>
      <c r="G430" s="558"/>
      <c r="H430" s="410" t="str">
        <f>CONCATENATE(IF(ISNUMBER(SEARCH("Placeholder",'C-Design&amp;Const'!Z430))=TRUE,"",IF(E430="N","PLACEHOLDER ROW - ","")),'C-Design&amp;Const'!Z430,IF(E430="N","",J430))</f>
        <v>PLACEHOLDER ROW - Proposed combined Site / Landscape Plan</v>
      </c>
      <c r="I430" s="552"/>
      <c r="J430" s="181"/>
      <c r="K430" s="285" t="str">
        <f t="shared" ref="K430:K443" si="54">IF((COUNTIF(D430:F430,"Y")=COUNTIF(A430,"Y")),"match","no 95% match")</f>
        <v>match</v>
      </c>
      <c r="L430" s="1410" t="str">
        <f t="shared" si="53"/>
        <v>&lt;---PM/Planner may hide PLACEHOLDER ROW</v>
      </c>
      <c r="M430" s="1382"/>
      <c r="N430" s="1382"/>
      <c r="O430" s="1382"/>
      <c r="P430" s="1382"/>
      <c r="Q430" s="1382"/>
      <c r="R430" s="1490"/>
      <c r="S430" s="1274"/>
      <c r="T430" s="1274"/>
      <c r="U430" s="1382"/>
      <c r="V430" s="1382"/>
      <c r="W430" s="1382"/>
      <c r="X430" s="1382"/>
      <c r="Y430" s="1382"/>
      <c r="Z430" s="1382"/>
      <c r="AA430" s="1382"/>
      <c r="AB430" s="1382"/>
      <c r="AC430" s="1382"/>
      <c r="AD430" s="1382"/>
      <c r="AE430" s="1382"/>
      <c r="AF430" s="1382"/>
      <c r="AG430" s="1382"/>
      <c r="AH430" s="1382"/>
      <c r="AI430" s="1382"/>
      <c r="AJ430" s="1382"/>
      <c r="AK430" s="181"/>
      <c r="AL430" s="181"/>
      <c r="AM430" s="181"/>
      <c r="AN430" s="181"/>
      <c r="AO430" s="181"/>
      <c r="AP430" s="181"/>
      <c r="AQ430" s="181"/>
      <c r="AR430" s="181"/>
      <c r="AS430" s="181"/>
      <c r="AT430" s="181"/>
      <c r="AU430" s="181"/>
      <c r="AV430" s="181"/>
      <c r="AW430" s="181"/>
    </row>
    <row r="431" spans="1:49" s="30" customFormat="1" ht="18.75" hidden="1" x14ac:dyDescent="0.25">
      <c r="A431" s="1407" t="str">
        <f>IF(COUNTIF('04 - 95% CD'!D431:G431,"Y")&gt;0,"Y",IF(COUNTIF('04 - 95% CD'!D431:G431,"N"),"N",""))</f>
        <v>N</v>
      </c>
      <c r="B431" s="191"/>
      <c r="C431" s="944"/>
      <c r="D431" s="297"/>
      <c r="E431" s="559" t="str">
        <f>IF('C-Design&amp;Const'!$W434="","",'C-Design&amp;Const'!$W434)</f>
        <v>N</v>
      </c>
      <c r="F431" s="560"/>
      <c r="G431" s="558"/>
      <c r="H431" s="410" t="str">
        <f>CONCATENATE(IF(ISNUMBER(SEARCH("Placeholder",'C-Design&amp;Const'!Z431))=TRUE,"",IF(E431="N","PLACEHOLDER ROW - ","")),'C-Design&amp;Const'!Z431,IF(E431="N","",J431))</f>
        <v xml:space="preserve">PLACEHOLDER ROW - Massing or Renderings of </v>
      </c>
      <c r="I431" s="552"/>
      <c r="J431" s="181"/>
      <c r="K431" s="285" t="str">
        <f t="shared" si="54"/>
        <v>match</v>
      </c>
      <c r="L431" s="1410" t="str">
        <f t="shared" si="53"/>
        <v>&lt;---PM/Planner may hide PLACEHOLDER ROW</v>
      </c>
      <c r="M431" s="1382"/>
      <c r="N431" s="1382"/>
      <c r="O431" s="1382"/>
      <c r="P431" s="1382"/>
      <c r="Q431" s="1382"/>
      <c r="R431" s="1490"/>
      <c r="S431" s="1274"/>
      <c r="T431" s="1274"/>
      <c r="U431" s="1382"/>
      <c r="V431" s="1382"/>
      <c r="W431" s="1382"/>
      <c r="X431" s="1382"/>
      <c r="Y431" s="1382"/>
      <c r="Z431" s="1382"/>
      <c r="AA431" s="1382"/>
      <c r="AB431" s="1382"/>
      <c r="AC431" s="1382"/>
      <c r="AD431" s="1382"/>
      <c r="AE431" s="1382"/>
      <c r="AF431" s="1382"/>
      <c r="AG431" s="1382"/>
      <c r="AH431" s="1382"/>
      <c r="AI431" s="1382"/>
      <c r="AJ431" s="1382"/>
      <c r="AK431" s="181"/>
      <c r="AL431" s="181"/>
      <c r="AM431" s="181"/>
      <c r="AN431" s="181"/>
      <c r="AO431" s="181"/>
      <c r="AP431" s="181"/>
      <c r="AQ431" s="181"/>
      <c r="AR431" s="181"/>
      <c r="AS431" s="181"/>
      <c r="AT431" s="181"/>
      <c r="AU431" s="181"/>
      <c r="AV431" s="181"/>
      <c r="AW431" s="181"/>
    </row>
    <row r="432" spans="1:49" s="30" customFormat="1" ht="18.75" hidden="1" x14ac:dyDescent="0.25">
      <c r="A432" s="1407" t="str">
        <f>IF(COUNTIF('04 - 95% CD'!D432:G432,"Y")&gt;0,"Y",IF(COUNTIF('04 - 95% CD'!D432:G432,"N"),"N",""))</f>
        <v>N</v>
      </c>
      <c r="B432" s="191"/>
      <c r="C432" s="944"/>
      <c r="D432" s="297"/>
      <c r="E432" s="559" t="str">
        <f>IF('C-Design&amp;Const'!$W431="","",'C-Design&amp;Const'!$W431)</f>
        <v>N</v>
      </c>
      <c r="F432" s="560"/>
      <c r="G432" s="558"/>
      <c r="H432" s="410" t="str">
        <f>CONCATENATE(IF(ISNUMBER(SEARCH("Placeholder",'C-Design&amp;Const'!Z432))=TRUE,"",IF(E432="N","PLACEHOLDER ROW - ","")),'C-Design&amp;Const'!Z432,IF(E432="N","",J432))</f>
        <v>PLACEHOLDER ROW - All Exterior Elevations with materials identified</v>
      </c>
      <c r="I432" s="552"/>
      <c r="J432" s="181"/>
      <c r="K432" s="285" t="str">
        <f t="shared" si="54"/>
        <v>match</v>
      </c>
      <c r="L432" s="1410" t="str">
        <f t="shared" si="53"/>
        <v>&lt;---PM/Planner may hide PLACEHOLDER ROW</v>
      </c>
      <c r="M432" s="1382"/>
      <c r="N432" s="1382"/>
      <c r="O432" s="1382"/>
      <c r="P432" s="1382"/>
      <c r="Q432" s="1382"/>
      <c r="R432" s="1490"/>
      <c r="S432" s="1274"/>
      <c r="T432" s="1274"/>
      <c r="U432" s="1382"/>
      <c r="V432" s="1382"/>
      <c r="W432" s="1382"/>
      <c r="X432" s="1382"/>
      <c r="Y432" s="1382"/>
      <c r="Z432" s="1382"/>
      <c r="AA432" s="1382"/>
      <c r="AB432" s="1382"/>
      <c r="AC432" s="1382"/>
      <c r="AD432" s="1382"/>
      <c r="AE432" s="1382"/>
      <c r="AF432" s="1382"/>
      <c r="AG432" s="1382"/>
      <c r="AH432" s="1382"/>
      <c r="AI432" s="1382"/>
      <c r="AJ432" s="1382"/>
      <c r="AK432" s="181"/>
      <c r="AL432" s="181"/>
      <c r="AM432" s="181"/>
      <c r="AN432" s="181"/>
      <c r="AO432" s="181"/>
      <c r="AP432" s="181"/>
      <c r="AQ432" s="181"/>
      <c r="AR432" s="181"/>
      <c r="AS432" s="181"/>
      <c r="AT432" s="181"/>
      <c r="AU432" s="181"/>
      <c r="AV432" s="181"/>
      <c r="AW432" s="181"/>
    </row>
    <row r="433" spans="1:50" s="30" customFormat="1" ht="28.5" hidden="1" x14ac:dyDescent="0.25">
      <c r="A433" s="1407" t="str">
        <f>IF(COUNTIF('04 - 95% CD'!D433:G433,"Y")&gt;0,"Y",IF(COUNTIF('04 - 95% CD'!D433:G433,"N"),"N",""))</f>
        <v>N</v>
      </c>
      <c r="B433" s="191"/>
      <c r="C433" s="944"/>
      <c r="D433" s="297"/>
      <c r="E433" s="559" t="str">
        <f>IF('C-Design&amp;Const'!$W432="","",'C-Design&amp;Const'!$W432)</f>
        <v>N</v>
      </c>
      <c r="F433" s="560"/>
      <c r="G433" s="558"/>
      <c r="H433" s="410" t="str">
        <f>CONCATENATE(IF(ISNUMBER(SEARCH("Placeholder",'C-Design&amp;Const'!Z433))=TRUE,"",IF(E433="N","PLACEHOLDER ROW - ","")),'C-Design&amp;Const'!Z433,IF(E433="N","",J433))</f>
        <v>PLACEHOLDER ROW - All major public spaces (entrances, galleries, auditoriums, lecture halls, etc…) with materials identified</v>
      </c>
      <c r="I433" s="552"/>
      <c r="J433" s="181"/>
      <c r="K433" s="285" t="str">
        <f t="shared" si="54"/>
        <v>match</v>
      </c>
      <c r="L433" s="1410" t="str">
        <f t="shared" si="53"/>
        <v>&lt;---PM/Planner may hide PLACEHOLDER ROW</v>
      </c>
      <c r="M433" s="1382"/>
      <c r="N433" s="1382"/>
      <c r="O433" s="1382"/>
      <c r="P433" s="1382"/>
      <c r="Q433" s="1382"/>
      <c r="R433" s="1490"/>
      <c r="S433" s="1274"/>
      <c r="T433" s="1274"/>
      <c r="U433" s="1382"/>
      <c r="V433" s="1382"/>
      <c r="W433" s="1382"/>
      <c r="X433" s="1382"/>
      <c r="Y433" s="1382"/>
      <c r="Z433" s="1382"/>
      <c r="AA433" s="1382"/>
      <c r="AB433" s="1382"/>
      <c r="AC433" s="1382"/>
      <c r="AD433" s="1382"/>
      <c r="AE433" s="1382"/>
      <c r="AF433" s="1382"/>
      <c r="AG433" s="1382"/>
      <c r="AH433" s="1382"/>
      <c r="AI433" s="1382"/>
      <c r="AJ433" s="1382"/>
      <c r="AK433" s="181"/>
      <c r="AL433" s="181"/>
      <c r="AM433" s="181"/>
      <c r="AN433" s="181"/>
      <c r="AO433" s="181"/>
      <c r="AP433" s="181"/>
      <c r="AQ433" s="181"/>
      <c r="AR433" s="181"/>
      <c r="AS433" s="181"/>
      <c r="AT433" s="181"/>
      <c r="AU433" s="181"/>
      <c r="AV433" s="181"/>
      <c r="AW433" s="181"/>
    </row>
    <row r="434" spans="1:50" s="30" customFormat="1" ht="18.75" hidden="1" x14ac:dyDescent="0.25">
      <c r="A434" s="1407" t="str">
        <f>IF(COUNTIF('04 - 95% CD'!D434:G434,"Y")&gt;0,"Y",IF(COUNTIF('04 - 95% CD'!D434:G434,"N"),"N",""))</f>
        <v>N</v>
      </c>
      <c r="B434" s="191"/>
      <c r="C434" s="944"/>
      <c r="D434" s="297"/>
      <c r="E434" s="559" t="str">
        <f>IF('C-Design&amp;Const'!$W433="","",'C-Design&amp;Const'!$W433)</f>
        <v>N</v>
      </c>
      <c r="F434" s="560"/>
      <c r="G434" s="558"/>
      <c r="H434" s="410" t="str">
        <f>CONCATENATE(IF(ISNUMBER(SEARCH("Placeholder",'C-Design&amp;Const'!Z434))=TRUE,"",IF(E434="N","PLACEHOLDER ROW - ","")),'C-Design&amp;Const'!Z434,IF(E434="N","",J434))</f>
        <v>PLACEHOLDER ROW - Stacked Floor Plans with space types show by color (include key)</v>
      </c>
      <c r="I434" s="552"/>
      <c r="J434" s="181"/>
      <c r="K434" s="285" t="str">
        <f t="shared" si="54"/>
        <v>match</v>
      </c>
      <c r="L434" s="1410" t="str">
        <f t="shared" si="53"/>
        <v>&lt;---PM/Planner may hide PLACEHOLDER ROW</v>
      </c>
      <c r="M434" s="1382"/>
      <c r="N434" s="1382"/>
      <c r="O434" s="1382"/>
      <c r="P434" s="1382"/>
      <c r="Q434" s="1382"/>
      <c r="R434" s="1490"/>
      <c r="S434" s="1274"/>
      <c r="T434" s="1274"/>
      <c r="U434" s="1382"/>
      <c r="V434" s="1382"/>
      <c r="W434" s="1382"/>
      <c r="X434" s="1382"/>
      <c r="Y434" s="1382"/>
      <c r="Z434" s="1382"/>
      <c r="AA434" s="1382"/>
      <c r="AB434" s="1382"/>
      <c r="AC434" s="1382"/>
      <c r="AD434" s="1382"/>
      <c r="AE434" s="1382"/>
      <c r="AF434" s="1382"/>
      <c r="AG434" s="1382"/>
      <c r="AH434" s="1382"/>
      <c r="AI434" s="1382"/>
      <c r="AJ434" s="1382"/>
      <c r="AK434" s="181"/>
      <c r="AL434" s="181"/>
      <c r="AM434" s="181"/>
      <c r="AN434" s="181"/>
      <c r="AO434" s="181"/>
      <c r="AP434" s="181"/>
      <c r="AQ434" s="181"/>
      <c r="AR434" s="181"/>
      <c r="AS434" s="181"/>
      <c r="AT434" s="181"/>
      <c r="AU434" s="181"/>
      <c r="AV434" s="181"/>
      <c r="AW434" s="181"/>
    </row>
    <row r="435" spans="1:50" s="30" customFormat="1" ht="28.5" hidden="1" x14ac:dyDescent="0.25">
      <c r="A435" s="1407" t="str">
        <f>IF(COUNTIF('04 - 95% CD'!D435:G435,"Y")&gt;0,"Y",IF(COUNTIF('04 - 95% CD'!D435:G435,"N"),"N",""))</f>
        <v>N</v>
      </c>
      <c r="B435" s="191"/>
      <c r="C435" s="944"/>
      <c r="D435" s="297"/>
      <c r="E435" s="559" t="str">
        <f>IF('C-Design&amp;Const'!$W435="","",'C-Design&amp;Const'!$W435)</f>
        <v>N</v>
      </c>
      <c r="F435" s="560"/>
      <c r="G435" s="558"/>
      <c r="H435" s="410" t="str">
        <f>CONCATENATE(IF(ISNUMBER(SEARCH("Placeholder",'C-Design&amp;Const'!Z435))=TRUE,"",IF(E435="N","PLACEHOLDER ROW - ","")),'C-Design&amp;Const'!Z435,IF(E435="N","",J435))</f>
        <v>PLACEHOLDER ROW - Simple full building sections showing relative spaces and framing from floor to floor.</v>
      </c>
      <c r="I435" s="552"/>
      <c r="J435" s="181"/>
      <c r="K435" s="285" t="str">
        <f t="shared" si="54"/>
        <v>match</v>
      </c>
      <c r="L435" s="1410" t="str">
        <f t="shared" si="53"/>
        <v>&lt;---PM/Planner may hide PLACEHOLDER ROW</v>
      </c>
      <c r="M435" s="1382"/>
      <c r="N435" s="1382"/>
      <c r="O435" s="1382"/>
      <c r="P435" s="1382"/>
      <c r="Q435" s="1382"/>
      <c r="R435" s="1490"/>
      <c r="S435" s="1274"/>
      <c r="T435" s="1274"/>
      <c r="U435" s="1382"/>
      <c r="V435" s="1382"/>
      <c r="W435" s="1382"/>
      <c r="X435" s="1382"/>
      <c r="Y435" s="1382"/>
      <c r="Z435" s="1382"/>
      <c r="AA435" s="1382"/>
      <c r="AB435" s="1382"/>
      <c r="AC435" s="1382"/>
      <c r="AD435" s="1382"/>
      <c r="AE435" s="1382"/>
      <c r="AF435" s="1382"/>
      <c r="AG435" s="1382"/>
      <c r="AH435" s="1382"/>
      <c r="AI435" s="1382"/>
      <c r="AJ435" s="1382"/>
      <c r="AK435" s="181"/>
      <c r="AL435" s="181"/>
      <c r="AM435" s="181"/>
      <c r="AN435" s="181"/>
      <c r="AO435" s="181"/>
      <c r="AP435" s="181"/>
      <c r="AQ435" s="181"/>
      <c r="AR435" s="181"/>
      <c r="AS435" s="181"/>
      <c r="AT435" s="181"/>
      <c r="AU435" s="181"/>
      <c r="AV435" s="181"/>
      <c r="AW435" s="181"/>
    </row>
    <row r="436" spans="1:50" s="30" customFormat="1" ht="18.75" hidden="1" x14ac:dyDescent="0.25">
      <c r="A436" s="1407" t="str">
        <f>IF(COUNTIF('04 - 95% CD'!D436:G436,"Y")&gt;0,"Y",IF(COUNTIF('04 - 95% CD'!D436:G436,"N"),"N",""))</f>
        <v>N</v>
      </c>
      <c r="B436" s="191"/>
      <c r="C436" s="944"/>
      <c r="D436" s="297"/>
      <c r="E436" s="559" t="str">
        <f>IF('C-Design&amp;Const'!$W436="","",'C-Design&amp;Const'!$W436)</f>
        <v>N</v>
      </c>
      <c r="F436" s="560"/>
      <c r="G436" s="558"/>
      <c r="H436" s="410" t="str">
        <f>CONCATENATE(IF(ISNUMBER(SEARCH("Placeholder",'C-Design&amp;Const'!Z436))=TRUE,"",IF(E436="N","PLACEHOLDER ROW - ","")),'C-Design&amp;Const'!Z436,IF(E436="N","",J436))</f>
        <v>PLACEHOLDER ROW - General Air Handling Unit Fan Maps</v>
      </c>
      <c r="I436" s="552"/>
      <c r="J436" s="181"/>
      <c r="K436" s="285" t="str">
        <f t="shared" si="54"/>
        <v>match</v>
      </c>
      <c r="L436" s="1410" t="str">
        <f t="shared" si="53"/>
        <v>&lt;---PM/Planner may hide PLACEHOLDER ROW</v>
      </c>
      <c r="M436" s="1382"/>
      <c r="N436" s="1382"/>
      <c r="O436" s="1382"/>
      <c r="P436" s="1382"/>
      <c r="Q436" s="1382"/>
      <c r="R436" s="1490"/>
      <c r="S436" s="1274"/>
      <c r="T436" s="1274"/>
      <c r="U436" s="1382"/>
      <c r="V436" s="1382"/>
      <c r="W436" s="1382"/>
      <c r="X436" s="1382"/>
      <c r="Y436" s="1382"/>
      <c r="Z436" s="1382"/>
      <c r="AA436" s="1382"/>
      <c r="AB436" s="1382"/>
      <c r="AC436" s="1382"/>
      <c r="AD436" s="1382"/>
      <c r="AE436" s="1382"/>
      <c r="AF436" s="1382"/>
      <c r="AG436" s="1382"/>
      <c r="AH436" s="1382"/>
      <c r="AI436" s="1382"/>
      <c r="AJ436" s="1382"/>
      <c r="AK436" s="181"/>
      <c r="AL436" s="181"/>
      <c r="AM436" s="181"/>
      <c r="AN436" s="181"/>
      <c r="AO436" s="181"/>
      <c r="AP436" s="181"/>
      <c r="AQ436" s="181"/>
      <c r="AR436" s="181"/>
      <c r="AS436" s="181"/>
      <c r="AT436" s="181"/>
      <c r="AU436" s="181"/>
      <c r="AV436" s="181"/>
      <c r="AW436" s="181"/>
    </row>
    <row r="437" spans="1:50" s="30" customFormat="1" ht="18.75" hidden="1" x14ac:dyDescent="0.25">
      <c r="A437" s="1407" t="str">
        <f>IF(COUNTIF('04 - 95% CD'!D437:G437,"Y")&gt;0,"Y",IF(COUNTIF('04 - 95% CD'!D437:G437,"N"),"N",""))</f>
        <v>N</v>
      </c>
      <c r="B437" s="191"/>
      <c r="C437" s="944"/>
      <c r="D437" s="297"/>
      <c r="E437" s="559" t="str">
        <f>IF('C-Design&amp;Const'!$W437="","",'C-Design&amp;Const'!$W437)</f>
        <v>N</v>
      </c>
      <c r="F437" s="560"/>
      <c r="G437" s="558"/>
      <c r="H437" s="410" t="str">
        <f>CONCATENATE(IF(ISNUMBER(SEARCH("Placeholder",'C-Design&amp;Const'!Z437))=TRUE,"",IF(E437="N","PLACEHOLDER ROW - ","")),'C-Design&amp;Const'!Z437,IF(E437="N","",J437))</f>
        <v>PLACEHOLDER ROW - Incorporated Comments from CDAC</v>
      </c>
      <c r="I437" s="552"/>
      <c r="J437" s="181"/>
      <c r="K437" s="285" t="str">
        <f t="shared" si="54"/>
        <v>match</v>
      </c>
      <c r="L437" s="1410" t="str">
        <f t="shared" si="53"/>
        <v>&lt;---PM/Planner may hide PLACEHOLDER ROW</v>
      </c>
      <c r="M437" s="1382"/>
      <c r="N437" s="1382"/>
      <c r="O437" s="1382"/>
      <c r="P437" s="1382"/>
      <c r="Q437" s="1382"/>
      <c r="R437" s="1490"/>
      <c r="S437" s="1274"/>
      <c r="T437" s="1274"/>
      <c r="U437" s="1382"/>
      <c r="V437" s="1382"/>
      <c r="W437" s="1382"/>
      <c r="X437" s="1382"/>
      <c r="Y437" s="1382"/>
      <c r="Z437" s="1382"/>
      <c r="AA437" s="1382"/>
      <c r="AB437" s="1382"/>
      <c r="AC437" s="1382"/>
      <c r="AD437" s="1382"/>
      <c r="AE437" s="1382"/>
      <c r="AF437" s="1382"/>
      <c r="AG437" s="1382"/>
      <c r="AH437" s="1382"/>
      <c r="AI437" s="1382"/>
      <c r="AJ437" s="1382"/>
      <c r="AK437" s="181"/>
      <c r="AL437" s="181"/>
      <c r="AM437" s="181"/>
      <c r="AN437" s="181"/>
      <c r="AO437" s="181"/>
      <c r="AP437" s="181"/>
      <c r="AQ437" s="181"/>
      <c r="AR437" s="181"/>
      <c r="AS437" s="181"/>
      <c r="AT437" s="181"/>
      <c r="AU437" s="181"/>
      <c r="AV437" s="181"/>
      <c r="AW437" s="181"/>
    </row>
    <row r="438" spans="1:50" s="30" customFormat="1" ht="18.75" hidden="1" x14ac:dyDescent="0.25">
      <c r="A438" s="1407" t="str">
        <f>IF(COUNTIF('04 - 95% CD'!D438:G438,"Y")&gt;0,"Y",IF(COUNTIF('04 - 95% CD'!D438:G438,"N"),"N",""))</f>
        <v>N</v>
      </c>
      <c r="B438" s="191"/>
      <c r="C438" s="944"/>
      <c r="D438" s="297"/>
      <c r="E438" s="559" t="str">
        <f>IF('C-Design&amp;Const'!$W438="","",'C-Design&amp;Const'!$W438)</f>
        <v>N</v>
      </c>
      <c r="F438" s="560"/>
      <c r="G438" s="558"/>
      <c r="H438" s="410" t="str">
        <f>CONCATENATE(IF(ISNUMBER(SEARCH("Placeholder",'C-Design&amp;Const'!Z438))=TRUE,"",IF(E438="N","PLACEHOLDER ROW - ","")),'C-Design&amp;Const'!Z438,IF(E438="N","",J438))</f>
        <v>PLACEHOLDER ROW - CUSTOM ROW - OPTIONAL CLIENT ITEM</v>
      </c>
      <c r="I438" s="552"/>
      <c r="J438" s="181"/>
      <c r="K438" s="285" t="str">
        <f t="shared" si="54"/>
        <v>match</v>
      </c>
      <c r="L438" s="1410" t="str">
        <f t="shared" si="53"/>
        <v>&lt;---PM/Planner may hide PLACEHOLDER ROW</v>
      </c>
      <c r="M438" s="1382"/>
      <c r="N438" s="1382"/>
      <c r="O438" s="1382"/>
      <c r="P438" s="1382"/>
      <c r="Q438" s="1382"/>
      <c r="R438" s="1490"/>
      <c r="S438" s="1274"/>
      <c r="T438" s="1274"/>
      <c r="U438" s="1382"/>
      <c r="V438" s="1382"/>
      <c r="W438" s="1382"/>
      <c r="X438" s="1382"/>
      <c r="Y438" s="1382"/>
      <c r="Z438" s="1382"/>
      <c r="AA438" s="1382"/>
      <c r="AB438" s="1382"/>
      <c r="AC438" s="1382"/>
      <c r="AD438" s="1382"/>
      <c r="AE438" s="1382"/>
      <c r="AF438" s="1382"/>
      <c r="AG438" s="1382"/>
      <c r="AH438" s="1382"/>
      <c r="AI438" s="1382"/>
      <c r="AJ438" s="1382"/>
      <c r="AK438" s="181"/>
      <c r="AL438" s="181"/>
      <c r="AM438" s="181"/>
      <c r="AN438" s="181"/>
      <c r="AO438" s="181"/>
      <c r="AP438" s="181"/>
      <c r="AQ438" s="181"/>
      <c r="AR438" s="181"/>
      <c r="AS438" s="181"/>
      <c r="AT438" s="181"/>
      <c r="AU438" s="181"/>
      <c r="AV438" s="181"/>
      <c r="AW438" s="181"/>
    </row>
    <row r="439" spans="1:50" s="30" customFormat="1" ht="18.75" hidden="1" x14ac:dyDescent="0.25">
      <c r="A439" s="1407" t="str">
        <f>IF(COUNTIF('04 - 95% CD'!D439:G439,"Y")&gt;0,"Y",IF(COUNTIF('04 - 95% CD'!D439:G439,"N"),"N",""))</f>
        <v>N</v>
      </c>
      <c r="B439" s="191"/>
      <c r="C439" s="944"/>
      <c r="D439" s="297"/>
      <c r="E439" s="559" t="str">
        <f>IF('C-Design&amp;Const'!$W439="","",'C-Design&amp;Const'!$W439)</f>
        <v>N</v>
      </c>
      <c r="F439" s="560"/>
      <c r="G439" s="558"/>
      <c r="H439" s="410" t="str">
        <f>CONCATENATE(IF(ISNUMBER(SEARCH("Placeholder",'C-Design&amp;Const'!Z439))=TRUE,"",IF(E439="N","PLACEHOLDER ROW - ","")),'C-Design&amp;Const'!Z439,IF(E439="N","",J439))</f>
        <v>PLACEHOLDER ROW - CUSTOM ROW - OPTIONAL CLIENT ITEM</v>
      </c>
      <c r="I439" s="552"/>
      <c r="J439" s="181"/>
      <c r="K439" s="285" t="str">
        <f t="shared" si="54"/>
        <v>match</v>
      </c>
      <c r="L439" s="1410" t="str">
        <f t="shared" si="53"/>
        <v>&lt;---PM/Planner may hide PLACEHOLDER ROW</v>
      </c>
      <c r="M439" s="1382"/>
      <c r="N439" s="1382"/>
      <c r="O439" s="1382"/>
      <c r="P439" s="1382"/>
      <c r="Q439" s="1382"/>
      <c r="R439" s="1490"/>
      <c r="S439" s="1274"/>
      <c r="T439" s="1274"/>
      <c r="U439" s="1382"/>
      <c r="V439" s="1382"/>
      <c r="W439" s="1382"/>
      <c r="X439" s="1382"/>
      <c r="Y439" s="1382"/>
      <c r="Z439" s="1382"/>
      <c r="AA439" s="1382"/>
      <c r="AB439" s="1382"/>
      <c r="AC439" s="1382"/>
      <c r="AD439" s="1382"/>
      <c r="AE439" s="1382"/>
      <c r="AF439" s="1382"/>
      <c r="AG439" s="1382"/>
      <c r="AH439" s="1382"/>
      <c r="AI439" s="1382"/>
      <c r="AJ439" s="1382"/>
      <c r="AK439" s="181"/>
      <c r="AL439" s="181"/>
      <c r="AM439" s="181"/>
      <c r="AN439" s="181"/>
      <c r="AO439" s="181"/>
      <c r="AP439" s="181"/>
      <c r="AQ439" s="181"/>
      <c r="AR439" s="181"/>
      <c r="AS439" s="181"/>
      <c r="AT439" s="181"/>
      <c r="AU439" s="181"/>
      <c r="AV439" s="181"/>
      <c r="AW439" s="181"/>
    </row>
    <row r="440" spans="1:50" s="30" customFormat="1" ht="18.75" hidden="1" x14ac:dyDescent="0.25">
      <c r="A440" s="1407" t="str">
        <f>IF(COUNTIF('04 - 95% CD'!D440:G440,"Y")&gt;0,"Y",IF(COUNTIF('04 - 95% CD'!D440:G440,"N"),"N",""))</f>
        <v>N</v>
      </c>
      <c r="B440" s="191"/>
      <c r="C440" s="944"/>
      <c r="D440" s="297"/>
      <c r="E440" s="559" t="str">
        <f>IF('C-Design&amp;Const'!$W440="","",'C-Design&amp;Const'!$W440)</f>
        <v>N</v>
      </c>
      <c r="F440" s="560"/>
      <c r="G440" s="558"/>
      <c r="H440" s="410" t="str">
        <f>CONCATENATE(IF(ISNUMBER(SEARCH("Placeholder",'C-Design&amp;Const'!Z440))=TRUE,"",IF(E440="N","PLACEHOLDER ROW - ","")),'C-Design&amp;Const'!Z440,IF(E440="N","",J440))</f>
        <v>PLACEHOLDER ROW - CUSTOM ROW - OPTIONAL CLIENT ITEM</v>
      </c>
      <c r="I440" s="552"/>
      <c r="J440" s="181"/>
      <c r="K440" s="285" t="str">
        <f t="shared" si="54"/>
        <v>match</v>
      </c>
      <c r="L440" s="1410" t="str">
        <f t="shared" si="53"/>
        <v>&lt;---PM/Planner may hide PLACEHOLDER ROW</v>
      </c>
      <c r="M440" s="1382"/>
      <c r="N440" s="1382"/>
      <c r="O440" s="1382"/>
      <c r="P440" s="1382"/>
      <c r="Q440" s="1382"/>
      <c r="R440" s="1490"/>
      <c r="S440" s="1274"/>
      <c r="T440" s="1274"/>
      <c r="U440" s="1382"/>
      <c r="V440" s="1382"/>
      <c r="W440" s="1382"/>
      <c r="X440" s="1382"/>
      <c r="Y440" s="1382"/>
      <c r="Z440" s="1382"/>
      <c r="AA440" s="1382"/>
      <c r="AB440" s="1382"/>
      <c r="AC440" s="1382"/>
      <c r="AD440" s="1382"/>
      <c r="AE440" s="1382"/>
      <c r="AF440" s="1382"/>
      <c r="AG440" s="1382"/>
      <c r="AH440" s="1382"/>
      <c r="AI440" s="1382"/>
      <c r="AJ440" s="1382"/>
      <c r="AK440" s="181"/>
      <c r="AL440" s="181"/>
      <c r="AM440" s="181"/>
      <c r="AN440" s="181"/>
      <c r="AO440" s="181"/>
      <c r="AP440" s="181"/>
      <c r="AQ440" s="181"/>
      <c r="AR440" s="181"/>
      <c r="AS440" s="181"/>
      <c r="AT440" s="181"/>
      <c r="AU440" s="181"/>
      <c r="AV440" s="181"/>
      <c r="AW440" s="181"/>
    </row>
    <row r="441" spans="1:50" s="30" customFormat="1" ht="18.75" hidden="1" x14ac:dyDescent="0.25">
      <c r="A441" s="1407" t="str">
        <f>IF(COUNTIF('04 - 95% CD'!D441:G441,"Y")&gt;0,"Y",IF(COUNTIF('04 - 95% CD'!D441:G441,"N"),"N",""))</f>
        <v/>
      </c>
      <c r="B441" s="191"/>
      <c r="C441" s="943"/>
      <c r="D441" s="289"/>
      <c r="E441" s="411"/>
      <c r="F441" s="411"/>
      <c r="G441" s="511"/>
      <c r="H441" s="411"/>
      <c r="I441" s="552"/>
      <c r="J441" s="181"/>
      <c r="K441" s="285" t="str">
        <f t="shared" si="54"/>
        <v>match</v>
      </c>
      <c r="L441" s="1410" t="str">
        <f t="shared" si="53"/>
        <v/>
      </c>
      <c r="M441" s="1382"/>
      <c r="N441" s="1382"/>
      <c r="O441" s="1382"/>
      <c r="P441" s="1382"/>
      <c r="Q441" s="1382"/>
      <c r="R441" s="1490"/>
      <c r="S441" s="1274"/>
      <c r="T441" s="1274"/>
      <c r="U441" s="1382"/>
      <c r="V441" s="1382"/>
      <c r="W441" s="1382"/>
      <c r="X441" s="1382"/>
      <c r="Y441" s="1382"/>
      <c r="Z441" s="1382"/>
      <c r="AA441" s="1382"/>
      <c r="AB441" s="1382"/>
      <c r="AC441" s="1382"/>
      <c r="AD441" s="1382"/>
      <c r="AE441" s="1382"/>
      <c r="AF441" s="1382"/>
      <c r="AG441" s="1382"/>
      <c r="AH441" s="1382"/>
      <c r="AI441" s="1382"/>
      <c r="AJ441" s="1382"/>
      <c r="AK441" s="181"/>
      <c r="AL441" s="181"/>
      <c r="AM441" s="181"/>
      <c r="AN441" s="181"/>
      <c r="AO441" s="181"/>
      <c r="AP441" s="181"/>
      <c r="AQ441" s="181"/>
      <c r="AR441" s="181"/>
      <c r="AS441" s="181"/>
      <c r="AT441" s="181"/>
      <c r="AU441" s="181"/>
      <c r="AV441" s="181"/>
      <c r="AW441" s="181"/>
    </row>
    <row r="442" spans="1:50" s="30" customFormat="1" ht="18.75" x14ac:dyDescent="0.25">
      <c r="A442" s="1407" t="str">
        <f>IF(COUNTIF('04 - 95% CD'!D442:G442,"Y")&gt;0,"Y",IF(COUNTIF('04 - 95% CD'!D442:G442,"N"),"N",""))</f>
        <v/>
      </c>
      <c r="B442" s="191"/>
      <c r="C442" s="943"/>
      <c r="D442" s="289"/>
      <c r="E442" s="411"/>
      <c r="F442" s="411"/>
      <c r="G442" s="511"/>
      <c r="H442" s="411"/>
      <c r="I442" s="552"/>
      <c r="J442" s="181"/>
      <c r="K442" s="285" t="str">
        <f t="shared" si="54"/>
        <v>match</v>
      </c>
      <c r="L442" s="1410" t="str">
        <f t="shared" si="53"/>
        <v/>
      </c>
      <c r="M442" s="1382"/>
      <c r="N442" s="1382"/>
      <c r="O442" s="1382"/>
      <c r="P442" s="1382"/>
      <c r="Q442" s="1382"/>
      <c r="R442" s="1490"/>
      <c r="S442" s="1274"/>
      <c r="T442" s="1274"/>
      <c r="U442" s="1382"/>
      <c r="V442" s="1382"/>
      <c r="W442" s="1382"/>
      <c r="X442" s="1382"/>
      <c r="Y442" s="1382"/>
      <c r="Z442" s="1382"/>
      <c r="AA442" s="1382"/>
      <c r="AB442" s="1382"/>
      <c r="AC442" s="1382"/>
      <c r="AD442" s="1382"/>
      <c r="AE442" s="1382"/>
      <c r="AF442" s="1382"/>
      <c r="AG442" s="1382"/>
      <c r="AH442" s="1382"/>
      <c r="AI442" s="1382"/>
      <c r="AJ442" s="1382"/>
      <c r="AK442" s="181"/>
      <c r="AL442" s="181"/>
      <c r="AM442" s="181"/>
      <c r="AN442" s="181"/>
      <c r="AO442" s="181"/>
      <c r="AP442" s="181"/>
      <c r="AQ442" s="181"/>
      <c r="AR442" s="181"/>
      <c r="AS442" s="181"/>
      <c r="AT442" s="181"/>
      <c r="AU442" s="181"/>
      <c r="AV442" s="181"/>
      <c r="AW442" s="181"/>
    </row>
    <row r="443" spans="1:50" s="181" customFormat="1" ht="36.75" customHeight="1" x14ac:dyDescent="0.25">
      <c r="A443" s="1501" t="str">
        <f>IF(COUNTIF('04 - 95% CD'!D443:G443,"Y")&gt;0,"Y",IF(COUNTIF('04 - 95% CD'!D443:G443,"N"),"N",""))</f>
        <v>N</v>
      </c>
      <c r="B443" s="177"/>
      <c r="C443" s="944"/>
      <c r="D443" s="559" t="str">
        <f>IF('C-Design&amp;Const'!$W443="","",'C-Design&amp;Const'!$W443)</f>
        <v>N</v>
      </c>
      <c r="E443" s="234"/>
      <c r="F443" s="235"/>
      <c r="G443" s="291" t="str">
        <f>IF('C-Design&amp;Const'!Y443="","",'C-Design&amp;Const'!Y443)</f>
        <v>09.</v>
      </c>
      <c r="H443" s="290" t="str">
        <f>CONCATENATE('C-Design&amp;Const'!Z443,IF(D443="N"," Not Used In This Construction Phase",J443))</f>
        <v>Illinois State Historic Preservation Office (ISHPO) Not Used In This Construction Phase</v>
      </c>
      <c r="I443" s="552"/>
      <c r="K443" s="285" t="str">
        <f t="shared" si="54"/>
        <v>match</v>
      </c>
      <c r="L443" s="1410" t="str">
        <f t="shared" si="53"/>
        <v/>
      </c>
      <c r="M443" s="1382"/>
      <c r="N443" s="1382"/>
      <c r="O443" s="1382"/>
      <c r="P443" s="1382"/>
      <c r="Q443" s="1382"/>
      <c r="R443" s="1447"/>
      <c r="S443" s="1448"/>
      <c r="T443" s="1274"/>
      <c r="U443" s="1382"/>
      <c r="V443" s="1382"/>
      <c r="W443" s="1382"/>
      <c r="X443" s="1382"/>
      <c r="Y443" s="1382"/>
      <c r="Z443" s="1382"/>
      <c r="AA443" s="1382"/>
      <c r="AB443" s="1382"/>
      <c r="AC443" s="1382"/>
      <c r="AD443" s="1382"/>
      <c r="AE443" s="1382"/>
      <c r="AF443" s="1382"/>
      <c r="AG443" s="1382"/>
      <c r="AH443" s="1382"/>
      <c r="AI443" s="1382"/>
      <c r="AJ443" s="1382"/>
      <c r="AX443" s="30"/>
    </row>
    <row r="444" spans="1:50" s="181" customFormat="1" ht="15" hidden="1" customHeight="1" x14ac:dyDescent="0.25">
      <c r="A444" s="1407" t="str">
        <f>IF(COUNTIF('04 - 95% CD'!D444:G444,"Y")&gt;0,"Y",IF(COUNTIF('04 - 95% CD'!D444:G444,"N"),"N",""))</f>
        <v>N</v>
      </c>
      <c r="B444" s="177"/>
      <c r="C444" s="944"/>
      <c r="D444" s="297"/>
      <c r="E444" s="559" t="str">
        <f>IF('C-Design&amp;Const'!$W444="","",'C-Design&amp;Const'!$W444)</f>
        <v>N</v>
      </c>
      <c r="F444" s="560"/>
      <c r="G444" s="558"/>
      <c r="H444" s="410" t="str">
        <f>CONCATENATE(IF(ISNUMBER(SEARCH("Placeholder",'C-Design&amp;Const'!Z444))=TRUE,"",IF(E444="N","PLACEHOLDER ROW - ","")),'C-Design&amp;Const'!Z444,IF(E444="N","",J444))</f>
        <v>PLACEHOLDER ROW - Meeting notes from walk through with ISHPO</v>
      </c>
      <c r="I444" s="552"/>
      <c r="K444" s="285" t="str">
        <f t="shared" ref="K444:K449" si="55">IF((COUNTIF(D444:F444,"Y")=COUNTIF(A444,"Y")),"match","no 95% match")</f>
        <v>match</v>
      </c>
      <c r="L444" s="1410" t="str">
        <f t="shared" si="53"/>
        <v>&lt;---PM/Planner may hide PLACEHOLDER ROW</v>
      </c>
      <c r="M444" s="1382"/>
      <c r="N444" s="1382"/>
      <c r="O444" s="1382"/>
      <c r="P444" s="1382"/>
      <c r="Q444" s="1382"/>
      <c r="R444" s="1447"/>
      <c r="S444" s="1448"/>
      <c r="T444" s="1274"/>
      <c r="U444" s="1382"/>
      <c r="V444" s="1382"/>
      <c r="W444" s="1382"/>
      <c r="X444" s="1382"/>
      <c r="Y444" s="1382"/>
      <c r="Z444" s="1382"/>
      <c r="AA444" s="1382"/>
      <c r="AB444" s="1382"/>
      <c r="AC444" s="1382"/>
      <c r="AD444" s="1382"/>
      <c r="AE444" s="1382"/>
      <c r="AF444" s="1382"/>
      <c r="AG444" s="1382"/>
      <c r="AH444" s="1382"/>
      <c r="AI444" s="1382"/>
      <c r="AJ444" s="1382"/>
      <c r="AX444" s="30"/>
    </row>
    <row r="445" spans="1:50" s="181" customFormat="1" ht="15" hidden="1" customHeight="1" x14ac:dyDescent="0.25">
      <c r="A445" s="1407" t="str">
        <f>IF(COUNTIF('04 - 95% CD'!D445:G445,"Y")&gt;0,"Y",IF(COUNTIF('04 - 95% CD'!D445:G445,"N"),"N",""))</f>
        <v>N</v>
      </c>
      <c r="B445" s="177"/>
      <c r="C445" s="944"/>
      <c r="D445" s="297"/>
      <c r="E445" s="559" t="str">
        <f>IF('C-Design&amp;Const'!$W445="","",'C-Design&amp;Const'!$W445)</f>
        <v>N</v>
      </c>
      <c r="F445" s="560"/>
      <c r="G445" s="558"/>
      <c r="H445" s="410" t="str">
        <f>CONCATENATE(IF(ISNUMBER(SEARCH("Placeholder",'C-Design&amp;Const'!Z445))=TRUE,"",IF(E445="N","PLACEHOLDER ROW - ","")),'C-Design&amp;Const'!Z445,IF(E445="N","",J445))</f>
        <v>PLACEHOLDER ROW - Narrative on building and historical significance</v>
      </c>
      <c r="I445" s="552"/>
      <c r="K445" s="285" t="str">
        <f t="shared" si="55"/>
        <v>match</v>
      </c>
      <c r="L445" s="1410" t="str">
        <f t="shared" si="53"/>
        <v>&lt;---PM/Planner may hide PLACEHOLDER ROW</v>
      </c>
      <c r="M445" s="1382"/>
      <c r="N445" s="1382"/>
      <c r="O445" s="1382"/>
      <c r="P445" s="1382"/>
      <c r="Q445" s="1382"/>
      <c r="R445" s="1447"/>
      <c r="S445" s="1448"/>
      <c r="T445" s="1274"/>
      <c r="U445" s="1382"/>
      <c r="V445" s="1382"/>
      <c r="W445" s="1382"/>
      <c r="X445" s="1382"/>
      <c r="Y445" s="1382"/>
      <c r="Z445" s="1382"/>
      <c r="AA445" s="1382"/>
      <c r="AB445" s="1382"/>
      <c r="AC445" s="1382"/>
      <c r="AD445" s="1382"/>
      <c r="AE445" s="1382"/>
      <c r="AF445" s="1382"/>
      <c r="AG445" s="1382"/>
      <c r="AH445" s="1382"/>
      <c r="AI445" s="1382"/>
      <c r="AJ445" s="1382"/>
      <c r="AX445" s="30"/>
    </row>
    <row r="446" spans="1:50" s="181" customFormat="1" ht="15" hidden="1" customHeight="1" x14ac:dyDescent="0.25">
      <c r="A446" s="1407" t="str">
        <f>IF(COUNTIF('04 - 95% CD'!D446:G446,"Y")&gt;0,"Y",IF(COUNTIF('04 - 95% CD'!D446:G446,"N"),"N",""))</f>
        <v>N</v>
      </c>
      <c r="B446" s="177"/>
      <c r="C446" s="944"/>
      <c r="D446" s="297"/>
      <c r="E446" s="559" t="str">
        <f>IF('C-Design&amp;Const'!$W446="","",'C-Design&amp;Const'!$W446)</f>
        <v>N</v>
      </c>
      <c r="F446" s="560"/>
      <c r="G446" s="558"/>
      <c r="H446" s="410" t="str">
        <f>CONCATENATE(IF(ISNUMBER(SEARCH("Placeholder",'C-Design&amp;Const'!Z446))=TRUE,"",IF(E446="N","PLACEHOLDER ROW - ","")),'C-Design&amp;Const'!Z446,IF(E446="N","",J446))</f>
        <v>PLACEHOLDER ROW - Exterior Photographic Documentation</v>
      </c>
      <c r="I446" s="552"/>
      <c r="K446" s="285" t="str">
        <f t="shared" si="55"/>
        <v>match</v>
      </c>
      <c r="L446" s="1410" t="str">
        <f t="shared" si="53"/>
        <v>&lt;---PM/Planner may hide PLACEHOLDER ROW</v>
      </c>
      <c r="M446" s="1382"/>
      <c r="N446" s="1382"/>
      <c r="O446" s="1382"/>
      <c r="P446" s="1382"/>
      <c r="Q446" s="1382"/>
      <c r="R446" s="1447"/>
      <c r="S446" s="1448"/>
      <c r="T446" s="1274"/>
      <c r="U446" s="1382"/>
      <c r="V446" s="1382"/>
      <c r="W446" s="1382"/>
      <c r="X446" s="1382"/>
      <c r="Y446" s="1382"/>
      <c r="Z446" s="1382"/>
      <c r="AA446" s="1382"/>
      <c r="AB446" s="1382"/>
      <c r="AC446" s="1382"/>
      <c r="AD446" s="1382"/>
      <c r="AE446" s="1382"/>
      <c r="AF446" s="1382"/>
      <c r="AG446" s="1382"/>
      <c r="AH446" s="1382"/>
      <c r="AI446" s="1382"/>
      <c r="AJ446" s="1382"/>
      <c r="AX446" s="30"/>
    </row>
    <row r="447" spans="1:50" s="181" customFormat="1" ht="15" hidden="1" customHeight="1" x14ac:dyDescent="0.25">
      <c r="A447" s="1407" t="str">
        <f>IF(COUNTIF('04 - 95% CD'!D447:G447,"Y")&gt;0,"Y",IF(COUNTIF('04 - 95% CD'!D447:G447,"N"),"N",""))</f>
        <v>N</v>
      </c>
      <c r="B447" s="177"/>
      <c r="C447" s="944"/>
      <c r="D447" s="297"/>
      <c r="E447" s="559" t="str">
        <f>IF('C-Design&amp;Const'!$W447="","",'C-Design&amp;Const'!$W447)</f>
        <v>N</v>
      </c>
      <c r="F447" s="560"/>
      <c r="G447" s="558"/>
      <c r="H447" s="410" t="str">
        <f>CONCATENATE(IF(ISNUMBER(SEARCH("Placeholder",'C-Design&amp;Const'!Z447))=TRUE,"",IF(E447="N","PLACEHOLDER ROW - ","")),'C-Design&amp;Const'!Z447,IF(E447="N","",J447))</f>
        <v>PLACEHOLDER ROW - Exterior preservation drawings</v>
      </c>
      <c r="I447" s="552"/>
      <c r="K447" s="285" t="str">
        <f t="shared" si="55"/>
        <v>match</v>
      </c>
      <c r="L447" s="1410" t="str">
        <f t="shared" si="53"/>
        <v>&lt;---PM/Planner may hide PLACEHOLDER ROW</v>
      </c>
      <c r="M447" s="1382"/>
      <c r="N447" s="1382"/>
      <c r="O447" s="1382"/>
      <c r="P447" s="1382"/>
      <c r="Q447" s="1382"/>
      <c r="R447" s="1447"/>
      <c r="S447" s="1448"/>
      <c r="T447" s="1274"/>
      <c r="U447" s="1382"/>
      <c r="V447" s="1382"/>
      <c r="W447" s="1382"/>
      <c r="X447" s="1382"/>
      <c r="Y447" s="1382"/>
      <c r="Z447" s="1382"/>
      <c r="AA447" s="1382"/>
      <c r="AB447" s="1382"/>
      <c r="AC447" s="1382"/>
      <c r="AD447" s="1382"/>
      <c r="AE447" s="1382"/>
      <c r="AF447" s="1382"/>
      <c r="AG447" s="1382"/>
      <c r="AH447" s="1382"/>
      <c r="AI447" s="1382"/>
      <c r="AJ447" s="1382"/>
      <c r="AX447" s="30"/>
    </row>
    <row r="448" spans="1:50" s="181" customFormat="1" ht="15" hidden="1" customHeight="1" x14ac:dyDescent="0.25">
      <c r="A448" s="1407" t="str">
        <f>IF(COUNTIF('04 - 95% CD'!D448:G448,"Y")&gt;0,"Y",IF(COUNTIF('04 - 95% CD'!D448:G448,"N"),"N",""))</f>
        <v>N</v>
      </c>
      <c r="B448" s="177"/>
      <c r="C448" s="944"/>
      <c r="D448" s="297"/>
      <c r="E448" s="559" t="str">
        <f>IF('C-Design&amp;Const'!$W448="","",'C-Design&amp;Const'!$W448)</f>
        <v>N</v>
      </c>
      <c r="F448" s="560"/>
      <c r="G448" s="558"/>
      <c r="H448" s="410" t="str">
        <f>CONCATENATE(IF(ISNUMBER(SEARCH("Placeholder",'C-Design&amp;Const'!Z448))=TRUE,"",IF(E448="N","PLACEHOLDER ROW - ","")),'C-Design&amp;Const'!Z448,IF(E448="N","",J448))</f>
        <v>PLACEHOLDER ROW - Interior Photographic Documentation</v>
      </c>
      <c r="I448" s="552"/>
      <c r="K448" s="285" t="str">
        <f t="shared" si="55"/>
        <v>match</v>
      </c>
      <c r="L448" s="1410" t="str">
        <f t="shared" si="53"/>
        <v>&lt;---PM/Planner may hide PLACEHOLDER ROW</v>
      </c>
      <c r="M448" s="1382"/>
      <c r="N448" s="1382"/>
      <c r="O448" s="1382"/>
      <c r="P448" s="1382"/>
      <c r="Q448" s="1382"/>
      <c r="R448" s="1447"/>
      <c r="S448" s="1448"/>
      <c r="T448" s="1274"/>
      <c r="U448" s="1382"/>
      <c r="V448" s="1382"/>
      <c r="W448" s="1382"/>
      <c r="X448" s="1382"/>
      <c r="Y448" s="1382"/>
      <c r="Z448" s="1382"/>
      <c r="AA448" s="1382"/>
      <c r="AB448" s="1382"/>
      <c r="AC448" s="1382"/>
      <c r="AD448" s="1382"/>
      <c r="AE448" s="1382"/>
      <c r="AF448" s="1382"/>
      <c r="AG448" s="1382"/>
      <c r="AH448" s="1382"/>
      <c r="AI448" s="1382"/>
      <c r="AJ448" s="1382"/>
      <c r="AX448" s="30"/>
    </row>
    <row r="449" spans="1:50" s="181" customFormat="1" ht="15" hidden="1" customHeight="1" x14ac:dyDescent="0.25">
      <c r="A449" s="1407" t="str">
        <f>IF(COUNTIF('04 - 95% CD'!D449:G449,"Y")&gt;0,"Y",IF(COUNTIF('04 - 95% CD'!D449:G449,"N"),"N",""))</f>
        <v>N</v>
      </c>
      <c r="B449" s="177"/>
      <c r="C449" s="944"/>
      <c r="D449" s="297"/>
      <c r="E449" s="559" t="str">
        <f>IF('C-Design&amp;Const'!$W449="","",'C-Design&amp;Const'!$W449)</f>
        <v>N</v>
      </c>
      <c r="F449" s="560"/>
      <c r="G449" s="558"/>
      <c r="H449" s="410" t="str">
        <f>CONCATENATE(IF(ISNUMBER(SEARCH("Placeholder",'C-Design&amp;Const'!Z449))=TRUE,"",IF(E449="N","PLACEHOLDER ROW - ","")),'C-Design&amp;Const'!Z449,IF(E449="N","",J449))</f>
        <v>PLACEHOLDER ROW - Interior preservation drawings</v>
      </c>
      <c r="I449" s="552"/>
      <c r="K449" s="285" t="str">
        <f t="shared" si="55"/>
        <v>match</v>
      </c>
      <c r="L449" s="1410" t="str">
        <f t="shared" si="53"/>
        <v>&lt;---PM/Planner may hide PLACEHOLDER ROW</v>
      </c>
      <c r="M449" s="1382"/>
      <c r="N449" s="1382"/>
      <c r="O449" s="1382"/>
      <c r="P449" s="1382"/>
      <c r="Q449" s="1382"/>
      <c r="R449" s="1447"/>
      <c r="S449" s="1448"/>
      <c r="T449" s="1274"/>
      <c r="U449" s="1382"/>
      <c r="V449" s="1382"/>
      <c r="W449" s="1382"/>
      <c r="X449" s="1382"/>
      <c r="Y449" s="1382"/>
      <c r="Z449" s="1382"/>
      <c r="AA449" s="1382"/>
      <c r="AB449" s="1382"/>
      <c r="AC449" s="1382"/>
      <c r="AD449" s="1382"/>
      <c r="AE449" s="1382"/>
      <c r="AF449" s="1382"/>
      <c r="AG449" s="1382"/>
      <c r="AH449" s="1382"/>
      <c r="AI449" s="1382"/>
      <c r="AJ449" s="1382"/>
      <c r="AX449" s="30"/>
    </row>
    <row r="450" spans="1:50" s="181" customFormat="1" ht="15" hidden="1" customHeight="1" x14ac:dyDescent="0.25">
      <c r="A450" s="1407" t="str">
        <f>IF(COUNTIF('04 - 95% CD'!D450:G450,"Y")&gt;0,"Y",IF(COUNTIF('04 - 95% CD'!D450:G450,"N"),"N",""))</f>
        <v>N</v>
      </c>
      <c r="B450" s="177"/>
      <c r="C450" s="944"/>
      <c r="D450" s="297"/>
      <c r="E450" s="559" t="str">
        <f>IF('C-Design&amp;Const'!$W450="","",'C-Design&amp;Const'!$W450)</f>
        <v>N</v>
      </c>
      <c r="F450" s="560"/>
      <c r="G450" s="558"/>
      <c r="H450" s="410" t="str">
        <f>CONCATENATE(IF(ISNUMBER(SEARCH("Placeholder",'C-Design&amp;Const'!Z450))=TRUE,"",IF(E450="N","PLACEHOLDER ROW - ","")),'C-Design&amp;Const'!Z450,IF(E450="N","",J450))</f>
        <v>PLACEHOLDER ROW - Historic Illinois Building Survey</v>
      </c>
      <c r="I450" s="552"/>
      <c r="K450" s="285" t="str">
        <f t="shared" ref="K450:K454" si="56">IF((COUNTIF(D450:F450,"Y")=COUNTIF(A450,"Y")),"match","no 95% match")</f>
        <v>match</v>
      </c>
      <c r="L450" s="1410" t="str">
        <f t="shared" si="53"/>
        <v>&lt;---PM/Planner may hide PLACEHOLDER ROW</v>
      </c>
      <c r="M450" s="1382"/>
      <c r="N450" s="1382"/>
      <c r="O450" s="1382"/>
      <c r="P450" s="1382"/>
      <c r="Q450" s="1382"/>
      <c r="R450" s="1447"/>
      <c r="S450" s="1448"/>
      <c r="T450" s="1274"/>
      <c r="U450" s="1382"/>
      <c r="V450" s="1382"/>
      <c r="W450" s="1382"/>
      <c r="X450" s="1382"/>
      <c r="Y450" s="1382"/>
      <c r="Z450" s="1382"/>
      <c r="AA450" s="1382"/>
      <c r="AB450" s="1382"/>
      <c r="AC450" s="1382"/>
      <c r="AD450" s="1382"/>
      <c r="AE450" s="1382"/>
      <c r="AF450" s="1382"/>
      <c r="AG450" s="1382"/>
      <c r="AH450" s="1382"/>
      <c r="AI450" s="1382"/>
      <c r="AJ450" s="1382"/>
      <c r="AX450" s="30"/>
    </row>
    <row r="451" spans="1:50" s="181" customFormat="1" ht="15" hidden="1" customHeight="1" x14ac:dyDescent="0.25">
      <c r="A451" s="1407" t="str">
        <f>IF(COUNTIF('04 - 95% CD'!D451:G451,"Y")&gt;0,"Y",IF(COUNTIF('04 - 95% CD'!D451:G451,"N"),"N",""))</f>
        <v>N</v>
      </c>
      <c r="B451" s="177"/>
      <c r="C451" s="944"/>
      <c r="D451" s="297"/>
      <c r="E451" s="559" t="str">
        <f>IF('C-Design&amp;Const'!$W451="","",'C-Design&amp;Const'!$W451)</f>
        <v>N</v>
      </c>
      <c r="F451" s="560"/>
      <c r="G451" s="558"/>
      <c r="H451" s="410" t="str">
        <f>CONCATENATE(IF(ISNUMBER(SEARCH("Placeholder",'C-Design&amp;Const'!Z451))=TRUE,"",IF(E451="N","PLACEHOLDER ROW - ","")),'C-Design&amp;Const'!Z451,IF(E451="N","",J451))</f>
        <v>PLACEHOLDER ROW - Historic Illinois Engineering Record</v>
      </c>
      <c r="I451" s="552"/>
      <c r="K451" s="285" t="str">
        <f t="shared" si="56"/>
        <v>match</v>
      </c>
      <c r="L451" s="1410" t="str">
        <f t="shared" si="53"/>
        <v>&lt;---PM/Planner may hide PLACEHOLDER ROW</v>
      </c>
      <c r="M451" s="1382"/>
      <c r="N451" s="1382"/>
      <c r="O451" s="1382"/>
      <c r="P451" s="1382"/>
      <c r="Q451" s="1382"/>
      <c r="R451" s="1447"/>
      <c r="S451" s="1448"/>
      <c r="T451" s="1274"/>
      <c r="U451" s="1382"/>
      <c r="V451" s="1382"/>
      <c r="W451" s="1382"/>
      <c r="X451" s="1382"/>
      <c r="Y451" s="1382"/>
      <c r="Z451" s="1382"/>
      <c r="AA451" s="1382"/>
      <c r="AB451" s="1382"/>
      <c r="AC451" s="1382"/>
      <c r="AD451" s="1382"/>
      <c r="AE451" s="1382"/>
      <c r="AF451" s="1382"/>
      <c r="AG451" s="1382"/>
      <c r="AH451" s="1382"/>
      <c r="AI451" s="1382"/>
      <c r="AJ451" s="1382"/>
      <c r="AX451" s="30"/>
    </row>
    <row r="452" spans="1:50" s="181" customFormat="1" ht="15" hidden="1" customHeight="1" x14ac:dyDescent="0.25">
      <c r="A452" s="1407" t="str">
        <f>IF(COUNTIF('04 - 95% CD'!D452:G452,"Y")&gt;0,"Y",IF(COUNTIF('04 - 95% CD'!D452:G452,"N"),"N",""))</f>
        <v>N</v>
      </c>
      <c r="B452" s="177"/>
      <c r="C452" s="944"/>
      <c r="D452" s="297"/>
      <c r="E452" s="559" t="str">
        <f>IF('C-Design&amp;Const'!$W452="","",'C-Design&amp;Const'!$W452)</f>
        <v>N</v>
      </c>
      <c r="F452" s="560"/>
      <c r="G452" s="558"/>
      <c r="H452" s="410" t="str">
        <f>CONCATENATE(IF(ISNUMBER(SEARCH("Placeholder",'C-Design&amp;Const'!Z452))=TRUE,"",IF(E452="N","PLACEHOLDER ROW - ","")),'C-Design&amp;Const'!Z452,IF(E452="N","",J452))</f>
        <v>PLACEHOLDER ROW - ISHPO item to be determined per project</v>
      </c>
      <c r="I452" s="552"/>
      <c r="K452" s="285" t="str">
        <f t="shared" si="56"/>
        <v>match</v>
      </c>
      <c r="L452" s="1410" t="str">
        <f t="shared" si="53"/>
        <v>&lt;---PM/Planner may hide PLACEHOLDER ROW</v>
      </c>
      <c r="M452" s="1382"/>
      <c r="N452" s="1382"/>
      <c r="O452" s="1382"/>
      <c r="P452" s="1382"/>
      <c r="Q452" s="1382"/>
      <c r="R452" s="1447"/>
      <c r="S452" s="1448"/>
      <c r="T452" s="1274"/>
      <c r="U452" s="1382"/>
      <c r="V452" s="1382"/>
      <c r="W452" s="1382"/>
      <c r="X452" s="1382"/>
      <c r="Y452" s="1382"/>
      <c r="Z452" s="1382"/>
      <c r="AA452" s="1382"/>
      <c r="AB452" s="1382"/>
      <c r="AC452" s="1382"/>
      <c r="AD452" s="1382"/>
      <c r="AE452" s="1382"/>
      <c r="AF452" s="1382"/>
      <c r="AG452" s="1382"/>
      <c r="AH452" s="1382"/>
      <c r="AI452" s="1382"/>
      <c r="AJ452" s="1382"/>
      <c r="AX452" s="30"/>
    </row>
    <row r="453" spans="1:50" s="181" customFormat="1" ht="15" hidden="1" customHeight="1" x14ac:dyDescent="0.25">
      <c r="A453" s="1407" t="str">
        <f>IF(COUNTIF('04 - 95% CD'!D453:G453,"Y")&gt;0,"Y",IF(COUNTIF('04 - 95% CD'!D453:G453,"N"),"N",""))</f>
        <v>N</v>
      </c>
      <c r="B453" s="177"/>
      <c r="C453" s="944"/>
      <c r="D453" s="297"/>
      <c r="E453" s="559" t="str">
        <f>IF('C-Design&amp;Const'!$W453="","",'C-Design&amp;Const'!$W453)</f>
        <v>N</v>
      </c>
      <c r="F453" s="560"/>
      <c r="G453" s="558"/>
      <c r="H453" s="410" t="str">
        <f>CONCATENATE(IF(ISNUMBER(SEARCH("Placeholder",'C-Design&amp;Const'!Z453))=TRUE,"",IF(E453="N","PLACEHOLDER ROW - ","")),'C-Design&amp;Const'!Z453,IF(E453="N","",J453))</f>
        <v>PLACEHOLDER ROW - ISHPO item to be determined per project</v>
      </c>
      <c r="I453" s="552"/>
      <c r="K453" s="285" t="str">
        <f t="shared" si="56"/>
        <v>match</v>
      </c>
      <c r="L453" s="1410" t="str">
        <f t="shared" si="53"/>
        <v>&lt;---PM/Planner may hide PLACEHOLDER ROW</v>
      </c>
      <c r="M453" s="1382"/>
      <c r="N453" s="1382"/>
      <c r="O453" s="1382"/>
      <c r="P453" s="1382"/>
      <c r="Q453" s="1382"/>
      <c r="R453" s="1447"/>
      <c r="S453" s="1448"/>
      <c r="T453" s="1274"/>
      <c r="U453" s="1382"/>
      <c r="V453" s="1382"/>
      <c r="W453" s="1382"/>
      <c r="X453" s="1382"/>
      <c r="Y453" s="1382"/>
      <c r="Z453" s="1382"/>
      <c r="AA453" s="1382"/>
      <c r="AB453" s="1382"/>
      <c r="AC453" s="1382"/>
      <c r="AD453" s="1382"/>
      <c r="AE453" s="1382"/>
      <c r="AF453" s="1382"/>
      <c r="AG453" s="1382"/>
      <c r="AH453" s="1382"/>
      <c r="AI453" s="1382"/>
      <c r="AJ453" s="1382"/>
      <c r="AX453" s="30"/>
    </row>
    <row r="454" spans="1:50" s="181" customFormat="1" ht="15" hidden="1" customHeight="1" x14ac:dyDescent="0.25">
      <c r="A454" s="1407" t="str">
        <f>IF(COUNTIF('04 - 95% CD'!D454:G454,"Y")&gt;0,"Y",IF(COUNTIF('04 - 95% CD'!D454:G454,"N"),"N",""))</f>
        <v>N</v>
      </c>
      <c r="B454" s="177"/>
      <c r="C454" s="944"/>
      <c r="D454" s="297"/>
      <c r="E454" s="559" t="str">
        <f>IF('C-Design&amp;Const'!$W454="","",'C-Design&amp;Const'!$W454)</f>
        <v>N</v>
      </c>
      <c r="F454" s="560"/>
      <c r="G454" s="558"/>
      <c r="H454" s="410" t="str">
        <f>CONCATENATE(IF(ISNUMBER(SEARCH("Placeholder",'C-Design&amp;Const'!Z454))=TRUE,"",IF(E454="N","PLACEHOLDER ROW - ","")),'C-Design&amp;Const'!Z454,IF(E454="N","",J454))</f>
        <v>PLACEHOLDER ROW - ISHPO item to be determined per project</v>
      </c>
      <c r="I454" s="552"/>
      <c r="K454" s="285" t="str">
        <f t="shared" si="56"/>
        <v>match</v>
      </c>
      <c r="L454" s="1410" t="str">
        <f t="shared" si="53"/>
        <v>&lt;---PM/Planner may hide PLACEHOLDER ROW</v>
      </c>
      <c r="M454" s="1382"/>
      <c r="N454" s="1382"/>
      <c r="O454" s="1382"/>
      <c r="P454" s="1382"/>
      <c r="Q454" s="1382"/>
      <c r="R454" s="1447"/>
      <c r="S454" s="1448"/>
      <c r="T454" s="1274"/>
      <c r="U454" s="1382"/>
      <c r="V454" s="1382"/>
      <c r="W454" s="1382"/>
      <c r="X454" s="1382"/>
      <c r="Y454" s="1382"/>
      <c r="Z454" s="1382"/>
      <c r="AA454" s="1382"/>
      <c r="AB454" s="1382"/>
      <c r="AC454" s="1382"/>
      <c r="AD454" s="1382"/>
      <c r="AE454" s="1382"/>
      <c r="AF454" s="1382"/>
      <c r="AG454" s="1382"/>
      <c r="AH454" s="1382"/>
      <c r="AI454" s="1382"/>
      <c r="AJ454" s="1382"/>
      <c r="AX454" s="30"/>
    </row>
    <row r="455" spans="1:50" s="181" customFormat="1" ht="16.5" customHeight="1" x14ac:dyDescent="0.25">
      <c r="A455" s="1407" t="s">
        <v>208</v>
      </c>
      <c r="B455" s="177"/>
      <c r="C455" s="944"/>
      <c r="D455" s="499"/>
      <c r="E455" s="520"/>
      <c r="F455" s="538"/>
      <c r="G455" s="527"/>
      <c r="H455" s="528"/>
      <c r="I455" s="552"/>
      <c r="K455" s="285"/>
      <c r="L455" s="1410" t="str">
        <f t="shared" si="53"/>
        <v/>
      </c>
      <c r="M455" s="1382"/>
      <c r="N455" s="1382"/>
      <c r="O455" s="1382"/>
      <c r="P455" s="1382"/>
      <c r="Q455" s="1382"/>
      <c r="R455" s="1447"/>
      <c r="S455" s="1448"/>
      <c r="T455" s="1274"/>
      <c r="U455" s="1382"/>
      <c r="V455" s="1382"/>
      <c r="W455" s="1382"/>
      <c r="X455" s="1382"/>
      <c r="Y455" s="1382"/>
      <c r="Z455" s="1382"/>
      <c r="AA455" s="1382"/>
      <c r="AB455" s="1382"/>
      <c r="AC455" s="1382"/>
      <c r="AD455" s="1382"/>
      <c r="AE455" s="1382"/>
      <c r="AF455" s="1382"/>
      <c r="AG455" s="1382"/>
      <c r="AH455" s="1382"/>
      <c r="AI455" s="1382"/>
      <c r="AJ455" s="1382"/>
      <c r="AX455" s="30"/>
    </row>
    <row r="456" spans="1:50" s="181" customFormat="1" ht="15" customHeight="1" x14ac:dyDescent="0.3">
      <c r="A456" s="190" t="str">
        <f>IF(COUNTIF('04 - 95% CD'!D455:G455,"Y")&gt;0,"Y",IF(COUNTIF('04 - 95% CD'!D455:G455,"N"),"N",""))</f>
        <v/>
      </c>
      <c r="B456" s="177"/>
      <c r="C456" s="944"/>
      <c r="D456" s="499"/>
      <c r="E456" s="539"/>
      <c r="F456" s="539"/>
      <c r="G456" s="292"/>
      <c r="H456" s="293"/>
      <c r="I456" s="552"/>
      <c r="K456" s="224"/>
      <c r="L456" s="1410" t="str">
        <f t="shared" si="53"/>
        <v/>
      </c>
      <c r="M456" s="1382"/>
      <c r="N456" s="1382"/>
      <c r="O456" s="1382"/>
      <c r="P456" s="1382"/>
      <c r="Q456" s="1382"/>
      <c r="R456" s="1447"/>
      <c r="S456" s="1448"/>
      <c r="T456" s="1274"/>
      <c r="U456" s="1382"/>
      <c r="V456" s="1382"/>
      <c r="W456" s="1382"/>
      <c r="X456" s="1382"/>
      <c r="Y456" s="1382"/>
      <c r="Z456" s="1382"/>
      <c r="AA456" s="1382"/>
      <c r="AB456" s="1382"/>
      <c r="AC456" s="1382"/>
      <c r="AD456" s="1382"/>
      <c r="AE456" s="1382"/>
      <c r="AF456" s="1382"/>
      <c r="AG456" s="1382"/>
      <c r="AH456" s="1382"/>
      <c r="AI456" s="1382"/>
      <c r="AJ456" s="1382"/>
      <c r="AX456" s="30"/>
    </row>
    <row r="457" spans="1:50" ht="21" hidden="1" x14ac:dyDescent="0.25">
      <c r="A457" s="2321" t="s">
        <v>262</v>
      </c>
      <c r="B457" s="125"/>
      <c r="C457" s="957"/>
      <c r="D457" s="315" t="s">
        <v>228</v>
      </c>
      <c r="E457" s="314"/>
      <c r="F457" s="314"/>
      <c r="G457" s="1042"/>
      <c r="H457" s="1042"/>
      <c r="I457" s="552"/>
      <c r="L457" s="1410" t="str">
        <f t="shared" si="53"/>
        <v/>
      </c>
      <c r="M457" s="1382"/>
      <c r="N457" s="1333"/>
      <c r="O457" s="1333"/>
      <c r="P457" s="1333"/>
      <c r="Q457" s="1333"/>
      <c r="R457" s="1453"/>
      <c r="S457" s="1364"/>
      <c r="T457" s="1284"/>
      <c r="U457" s="1333"/>
      <c r="V457" s="1333"/>
      <c r="W457" s="1333"/>
      <c r="X457" s="1333"/>
      <c r="Y457" s="1333"/>
      <c r="Z457" s="1333"/>
      <c r="AA457" s="1333"/>
      <c r="AB457" s="1333"/>
      <c r="AC457" s="1333"/>
      <c r="AD457" s="1333"/>
      <c r="AE457" s="1333"/>
      <c r="AF457" s="1333"/>
      <c r="AG457" s="1333"/>
      <c r="AH457" s="1333"/>
      <c r="AI457" s="1333"/>
      <c r="AJ457" s="1333"/>
    </row>
    <row r="458" spans="1:50" s="181" customFormat="1" ht="15" hidden="1" customHeight="1" x14ac:dyDescent="0.25">
      <c r="A458" s="2322"/>
      <c r="B458" s="177"/>
      <c r="C458" s="945"/>
      <c r="D458" s="223"/>
      <c r="E458" s="323"/>
      <c r="F458" s="323"/>
      <c r="G458" s="292"/>
      <c r="H458" s="293"/>
      <c r="I458" s="552"/>
      <c r="L458" s="1410" t="str">
        <f t="shared" si="53"/>
        <v/>
      </c>
      <c r="M458" s="1333"/>
      <c r="N458" s="1382"/>
      <c r="O458" s="1382"/>
      <c r="P458" s="1382"/>
      <c r="Q458" s="1382"/>
      <c r="R458" s="1447"/>
      <c r="S458" s="1448"/>
      <c r="T458" s="1274"/>
      <c r="U458" s="1382"/>
      <c r="V458" s="1382"/>
      <c r="W458" s="1382"/>
      <c r="X458" s="1382"/>
      <c r="Y458" s="1382"/>
      <c r="Z458" s="1382"/>
      <c r="AA458" s="1382"/>
      <c r="AB458" s="1382"/>
      <c r="AC458" s="1382"/>
      <c r="AD458" s="1382"/>
      <c r="AE458" s="1382"/>
      <c r="AF458" s="1382"/>
      <c r="AG458" s="1382"/>
      <c r="AH458" s="1382"/>
      <c r="AI458" s="1382"/>
      <c r="AJ458" s="1382"/>
      <c r="AX458" s="30"/>
    </row>
    <row r="459" spans="1:50" ht="18.75" hidden="1" x14ac:dyDescent="0.25">
      <c r="A459" s="2322"/>
      <c r="B459" s="125"/>
      <c r="C459" s="945"/>
      <c r="D459" s="29" t="str">
        <f>IF('C-Design&amp;Const'!$W459="","",'C-Design&amp;Const'!$W459)</f>
        <v>N</v>
      </c>
      <c r="E459" s="247"/>
      <c r="F459" s="235"/>
      <c r="G459" s="291" t="str">
        <f>IF('C-Design&amp;Const'!Y459="","",'C-Design&amp;Const'!Y459)</f>
        <v>10.</v>
      </c>
      <c r="H459" s="290" t="str">
        <f>CONCATENATE('C-Design&amp;Const'!Z459,IF(D459="N"," Not Used In This Construction Phase",""))</f>
        <v>Log of Plan Holders Not Used In This Construction Phase</v>
      </c>
      <c r="I459" s="552"/>
      <c r="L459" s="1410" t="str">
        <f t="shared" si="53"/>
        <v/>
      </c>
      <c r="M459" s="1382"/>
      <c r="N459" s="1333"/>
      <c r="O459" s="1333"/>
      <c r="P459" s="1333"/>
      <c r="Q459" s="1333"/>
      <c r="R459" s="1453"/>
      <c r="S459" s="1384"/>
      <c r="T459" s="1284"/>
      <c r="U459" s="1333"/>
      <c r="V459" s="1333"/>
      <c r="W459" s="1333"/>
      <c r="X459" s="1333"/>
      <c r="Y459" s="1333"/>
      <c r="Z459" s="1333"/>
      <c r="AA459" s="1333"/>
      <c r="AB459" s="1333"/>
      <c r="AC459" s="1333"/>
      <c r="AD459" s="1333"/>
      <c r="AE459" s="1333"/>
      <c r="AF459" s="1333"/>
      <c r="AG459" s="1333"/>
      <c r="AH459" s="1333"/>
      <c r="AI459" s="1333"/>
      <c r="AJ459" s="1333"/>
    </row>
    <row r="460" spans="1:50" s="181" customFormat="1" ht="15" hidden="1" customHeight="1" x14ac:dyDescent="0.25">
      <c r="A460" s="2322"/>
      <c r="B460" s="177"/>
      <c r="C460" s="945"/>
      <c r="D460" s="223"/>
      <c r="E460" s="323"/>
      <c r="F460" s="539"/>
      <c r="G460" s="292"/>
      <c r="H460" s="293"/>
      <c r="I460" s="552"/>
      <c r="L460" s="1410" t="str">
        <f t="shared" si="53"/>
        <v/>
      </c>
      <c r="M460" s="1333"/>
      <c r="N460" s="1382"/>
      <c r="O460" s="1382"/>
      <c r="P460" s="1382"/>
      <c r="Q460" s="1382"/>
      <c r="R460" s="1447"/>
      <c r="S460" s="1448"/>
      <c r="T460" s="1274"/>
      <c r="U460" s="1382"/>
      <c r="V460" s="1382"/>
      <c r="W460" s="1382"/>
      <c r="X460" s="1382"/>
      <c r="Y460" s="1382"/>
      <c r="Z460" s="1382"/>
      <c r="AA460" s="1382"/>
      <c r="AB460" s="1382"/>
      <c r="AC460" s="1382"/>
      <c r="AD460" s="1382"/>
      <c r="AE460" s="1382"/>
      <c r="AF460" s="1382"/>
      <c r="AG460" s="1382"/>
      <c r="AH460" s="1382"/>
      <c r="AI460" s="1382"/>
      <c r="AJ460" s="1382"/>
      <c r="AX460" s="30"/>
    </row>
    <row r="461" spans="1:50" ht="37.5" hidden="1" x14ac:dyDescent="0.25">
      <c r="A461" s="2322"/>
      <c r="B461" s="125"/>
      <c r="C461" s="945"/>
      <c r="D461" s="29" t="str">
        <f>IF('C-Design&amp;Const'!$W461="","",'C-Design&amp;Const'!$W461)</f>
        <v>N</v>
      </c>
      <c r="E461" s="247"/>
      <c r="F461" s="235"/>
      <c r="G461" s="291" t="str">
        <f>IF('C-Design&amp;Const'!Y461="","",'C-Design&amp;Const'!Y461)</f>
        <v>11.</v>
      </c>
      <c r="H461" s="290" t="str">
        <f>CONCATENATE('C-Design&amp;Const'!Z461,IF(D461="N"," Not Used In This Construction Phase",""))</f>
        <v>Addenda to Project Manual and Drawings Not Used In This Construction Phase</v>
      </c>
      <c r="I461" s="552"/>
      <c r="L461" s="1410" t="str">
        <f t="shared" si="53"/>
        <v/>
      </c>
      <c r="M461" s="1382"/>
      <c r="N461" s="1333"/>
      <c r="O461" s="1333"/>
      <c r="P461" s="1333"/>
      <c r="Q461" s="1333"/>
      <c r="R461" s="1453"/>
      <c r="S461" s="1364"/>
      <c r="T461" s="1284"/>
      <c r="U461" s="1333"/>
      <c r="V461" s="1333"/>
      <c r="W461" s="1333"/>
      <c r="X461" s="1333"/>
      <c r="Y461" s="1333"/>
      <c r="Z461" s="1333"/>
      <c r="AA461" s="1333"/>
      <c r="AB461" s="1333"/>
      <c r="AC461" s="1333"/>
      <c r="AD461" s="1333"/>
      <c r="AE461" s="1333"/>
      <c r="AF461" s="1333"/>
      <c r="AG461" s="1333"/>
      <c r="AH461" s="1333"/>
      <c r="AI461" s="1333"/>
      <c r="AJ461" s="1333"/>
    </row>
    <row r="462" spans="1:50" s="181" customFormat="1" ht="15" hidden="1" customHeight="1" x14ac:dyDescent="0.25">
      <c r="A462" s="2322"/>
      <c r="B462" s="177"/>
      <c r="C462" s="945"/>
      <c r="D462" s="223"/>
      <c r="E462" s="323"/>
      <c r="F462" s="539"/>
      <c r="G462" s="292"/>
      <c r="H462" s="293"/>
      <c r="I462" s="552"/>
      <c r="L462" s="1410" t="str">
        <f t="shared" si="53"/>
        <v/>
      </c>
      <c r="M462" s="1333"/>
      <c r="N462" s="1382"/>
      <c r="O462" s="1382"/>
      <c r="P462" s="1382"/>
      <c r="Q462" s="1382"/>
      <c r="R462" s="1447"/>
      <c r="S462" s="1448"/>
      <c r="T462" s="1274"/>
      <c r="U462" s="1382"/>
      <c r="V462" s="1382"/>
      <c r="W462" s="1382"/>
      <c r="X462" s="1382"/>
      <c r="Y462" s="1382"/>
      <c r="Z462" s="1382"/>
      <c r="AA462" s="1382"/>
      <c r="AB462" s="1382"/>
      <c r="AC462" s="1382"/>
      <c r="AD462" s="1382"/>
      <c r="AE462" s="1382"/>
      <c r="AF462" s="1382"/>
      <c r="AG462" s="1382"/>
      <c r="AH462" s="1382"/>
      <c r="AI462" s="1382"/>
      <c r="AJ462" s="1382"/>
      <c r="AX462" s="30"/>
    </row>
    <row r="463" spans="1:50" ht="18.75" hidden="1" x14ac:dyDescent="0.25">
      <c r="A463" s="2322"/>
      <c r="B463" s="125"/>
      <c r="C463" s="945"/>
      <c r="D463" s="29" t="str">
        <f>IF('C-Design&amp;Const'!$W463="","",'C-Design&amp;Const'!$W463)</f>
        <v>N</v>
      </c>
      <c r="E463" s="247"/>
      <c r="F463" s="235"/>
      <c r="G463" s="291" t="str">
        <f>IF('C-Design&amp;Const'!Y463="","",'C-Design&amp;Const'!Y463)</f>
        <v>12.</v>
      </c>
      <c r="H463" s="290" t="str">
        <f>CONCATENATE('C-Design&amp;Const'!Z463,IF(D463="N"," Not Used In This Construction Phase",""))</f>
        <v>PreBid Meeting Not Used In This Construction Phase</v>
      </c>
      <c r="I463" s="552"/>
      <c r="L463" s="1410" t="str">
        <f t="shared" si="53"/>
        <v/>
      </c>
      <c r="M463" s="1382"/>
      <c r="N463" s="1333"/>
      <c r="O463" s="1333"/>
      <c r="P463" s="1333"/>
      <c r="Q463" s="1333"/>
      <c r="R463" s="1453"/>
      <c r="S463" s="1364"/>
      <c r="T463" s="1284"/>
      <c r="U463" s="1333"/>
      <c r="V463" s="1333"/>
      <c r="W463" s="1333"/>
      <c r="X463" s="1333"/>
      <c r="Y463" s="1333"/>
      <c r="Z463" s="1333"/>
      <c r="AA463" s="1333"/>
      <c r="AB463" s="1333"/>
      <c r="AC463" s="1333"/>
      <c r="AD463" s="1333"/>
      <c r="AE463" s="1333"/>
      <c r="AF463" s="1333"/>
      <c r="AG463" s="1333"/>
      <c r="AH463" s="1333"/>
      <c r="AI463" s="1333"/>
      <c r="AJ463" s="1333"/>
    </row>
    <row r="464" spans="1:50" s="181" customFormat="1" ht="15" hidden="1" customHeight="1" x14ac:dyDescent="0.25">
      <c r="A464" s="2322"/>
      <c r="B464" s="177"/>
      <c r="C464" s="945"/>
      <c r="D464" s="21"/>
      <c r="E464" s="29" t="str">
        <f>IF('C-Design&amp;Const'!$W464="","",'C-Design&amp;Const'!$W464)</f>
        <v>N</v>
      </c>
      <c r="F464" s="476"/>
      <c r="G464" s="558"/>
      <c r="H464" s="238" t="str">
        <f>CONCATENATE(IF(ISNUMBER(SEARCH("Placeholder",'C-Design&amp;Const'!Z464))=TRUE,"",IF(E464="N","PLACEHOLDER ROW - ","")),'C-Design&amp;Const'!Z464,IF(E464="N","",#REF!))</f>
        <v>PLACEHOLDER ROW - Agenda</v>
      </c>
      <c r="I464" s="552"/>
      <c r="L464" s="1410" t="str">
        <f t="shared" si="53"/>
        <v>&lt;---PM/Planner may hide PLACEHOLDER ROW</v>
      </c>
      <c r="M464" s="1333"/>
      <c r="N464" s="1382"/>
      <c r="O464" s="1382"/>
      <c r="P464" s="1382"/>
      <c r="Q464" s="1382"/>
      <c r="R464" s="1447"/>
      <c r="S464" s="1448"/>
      <c r="T464" s="1274"/>
      <c r="U464" s="1382"/>
      <c r="V464" s="1382"/>
      <c r="W464" s="1382"/>
      <c r="X464" s="1382"/>
      <c r="Y464" s="1382"/>
      <c r="Z464" s="1382"/>
      <c r="AA464" s="1382"/>
      <c r="AB464" s="1382"/>
      <c r="AC464" s="1382"/>
      <c r="AD464" s="1382"/>
      <c r="AE464" s="1382"/>
      <c r="AF464" s="1382"/>
      <c r="AG464" s="1382"/>
      <c r="AH464" s="1382"/>
      <c r="AI464" s="1382"/>
      <c r="AJ464" s="1382"/>
      <c r="AX464" s="30"/>
    </row>
    <row r="465" spans="1:50" s="181" customFormat="1" ht="15" hidden="1" customHeight="1" x14ac:dyDescent="0.25">
      <c r="A465" s="2322"/>
      <c r="B465" s="177"/>
      <c r="C465" s="945"/>
      <c r="D465" s="21"/>
      <c r="E465" s="29" t="str">
        <f>IF('C-Design&amp;Const'!$W465="","",'C-Design&amp;Const'!$W465)</f>
        <v>N</v>
      </c>
      <c r="F465" s="476"/>
      <c r="G465" s="558"/>
      <c r="H465" s="238" t="str">
        <f>CONCATENATE(IF(ISNUMBER(SEARCH("Placeholder",'C-Design&amp;Const'!Z465))=TRUE,"",IF(E465="N","PLACEHOLDER ROW - ","")),'C-Design&amp;Const'!Z465,IF(E465="N","",#REF!))</f>
        <v>PLACEHOLDER ROW - Sign In</v>
      </c>
      <c r="I465" s="552"/>
      <c r="L465" s="1410" t="str">
        <f t="shared" ref="L465:L531" si="57">CONCATENATE(IF(ISNUMBER(SEARCH("Placeholder",H465))=TRUE,"&lt;---PM/Planner may hide PLACEHOLDER ROW",""))</f>
        <v>&lt;---PM/Planner may hide PLACEHOLDER ROW</v>
      </c>
      <c r="M465" s="1382"/>
      <c r="N465" s="1382"/>
      <c r="O465" s="1382"/>
      <c r="P465" s="1382"/>
      <c r="Q465" s="1382"/>
      <c r="R465" s="1447"/>
      <c r="S465" s="1448"/>
      <c r="T465" s="1274"/>
      <c r="U465" s="1382"/>
      <c r="V465" s="1382"/>
      <c r="W465" s="1382"/>
      <c r="X465" s="1382"/>
      <c r="Y465" s="1382"/>
      <c r="Z465" s="1382"/>
      <c r="AA465" s="1382"/>
      <c r="AB465" s="1382"/>
      <c r="AC465" s="1382"/>
      <c r="AD465" s="1382"/>
      <c r="AE465" s="1382"/>
      <c r="AF465" s="1382"/>
      <c r="AG465" s="1382"/>
      <c r="AH465" s="1382"/>
      <c r="AI465" s="1382"/>
      <c r="AJ465" s="1382"/>
      <c r="AX465" s="30"/>
    </row>
    <row r="466" spans="1:50" s="181" customFormat="1" ht="15" hidden="1" customHeight="1" x14ac:dyDescent="0.25">
      <c r="A466" s="2322"/>
      <c r="B466" s="177"/>
      <c r="C466" s="945"/>
      <c r="D466" s="21"/>
      <c r="E466" s="29" t="str">
        <f>IF('C-Design&amp;Const'!$W466="","",'C-Design&amp;Const'!$W466)</f>
        <v>N</v>
      </c>
      <c r="F466" s="476"/>
      <c r="G466" s="558"/>
      <c r="H466" s="238" t="str">
        <f>CONCATENATE(IF(ISNUMBER(SEARCH("Placeholder",'C-Design&amp;Const'!Z466))=TRUE,"",IF(E466="N","PLACEHOLDER ROW - ","")),'C-Design&amp;Const'!Z466,IF(E466="N","",#REF!))</f>
        <v>PLACEHOLDER ROW - Meeting Minutes</v>
      </c>
      <c r="I466" s="552"/>
      <c r="L466" s="1410" t="str">
        <f t="shared" si="57"/>
        <v>&lt;---PM/Planner may hide PLACEHOLDER ROW</v>
      </c>
      <c r="M466" s="1382"/>
      <c r="N466" s="1382"/>
      <c r="O466" s="1382"/>
      <c r="P466" s="1382"/>
      <c r="Q466" s="1382"/>
      <c r="R466" s="1447"/>
      <c r="S466" s="1448"/>
      <c r="T466" s="1274"/>
      <c r="U466" s="1382"/>
      <c r="V466" s="1382"/>
      <c r="W466" s="1382"/>
      <c r="X466" s="1382"/>
      <c r="Y466" s="1382"/>
      <c r="Z466" s="1382"/>
      <c r="AA466" s="1382"/>
      <c r="AB466" s="1382"/>
      <c r="AC466" s="1382"/>
      <c r="AD466" s="1382"/>
      <c r="AE466" s="1382"/>
      <c r="AF466" s="1382"/>
      <c r="AG466" s="1382"/>
      <c r="AH466" s="1382"/>
      <c r="AI466" s="1382"/>
      <c r="AJ466" s="1382"/>
      <c r="AX466" s="30"/>
    </row>
    <row r="467" spans="1:50" s="181" customFormat="1" ht="15" hidden="1" customHeight="1" x14ac:dyDescent="0.25">
      <c r="A467" s="2322"/>
      <c r="B467" s="177"/>
      <c r="C467" s="945"/>
      <c r="D467" s="223"/>
      <c r="E467" s="323"/>
      <c r="F467" s="539"/>
      <c r="G467" s="292"/>
      <c r="H467" s="293"/>
      <c r="I467" s="552"/>
      <c r="L467" s="1410" t="str">
        <f t="shared" si="57"/>
        <v/>
      </c>
      <c r="M467" s="1382"/>
      <c r="N467" s="1382"/>
      <c r="O467" s="1382"/>
      <c r="P467" s="1382"/>
      <c r="Q467" s="1382"/>
      <c r="R467" s="1447"/>
      <c r="S467" s="1448"/>
      <c r="T467" s="1274"/>
      <c r="U467" s="1382"/>
      <c r="V467" s="1382"/>
      <c r="W467" s="1382"/>
      <c r="X467" s="1382"/>
      <c r="Y467" s="1382"/>
      <c r="Z467" s="1382"/>
      <c r="AA467" s="1382"/>
      <c r="AB467" s="1382"/>
      <c r="AC467" s="1382"/>
      <c r="AD467" s="1382"/>
      <c r="AE467" s="1382"/>
      <c r="AF467" s="1382"/>
      <c r="AG467" s="1382"/>
      <c r="AH467" s="1382"/>
      <c r="AI467" s="1382"/>
      <c r="AJ467" s="1382"/>
      <c r="AX467" s="30"/>
    </row>
    <row r="468" spans="1:50" ht="37.5" hidden="1" x14ac:dyDescent="0.25">
      <c r="A468" s="2322"/>
      <c r="B468" s="125"/>
      <c r="C468" s="945"/>
      <c r="D468" s="29" t="str">
        <f>IF('C-Design&amp;Const'!$W468="","",'C-Design&amp;Const'!$W468)</f>
        <v>N</v>
      </c>
      <c r="E468" s="247"/>
      <c r="F468" s="235"/>
      <c r="G468" s="291" t="str">
        <f>IF('C-Design&amp;Const'!Y468="","",'C-Design&amp;Const'!Y468)</f>
        <v>13.</v>
      </c>
      <c r="H468" s="290" t="str">
        <f>CONCATENATE('C-Design&amp;Const'!Z468,IF(D468="N"," Not Used In This Construction Phase",""))</f>
        <v>Written Analysis of Award of Construction Contract Not Used In This Construction Phase</v>
      </c>
      <c r="I468" s="552"/>
      <c r="L468" s="1410" t="str">
        <f t="shared" si="57"/>
        <v/>
      </c>
      <c r="M468" s="1382"/>
      <c r="N468" s="1333"/>
      <c r="O468" s="1333"/>
      <c r="P468" s="1333"/>
      <c r="Q468" s="1333"/>
      <c r="R468" s="1453"/>
      <c r="S468" s="1364"/>
      <c r="T468" s="1284"/>
      <c r="U468" s="1333"/>
      <c r="V468" s="1333"/>
      <c r="W468" s="1333"/>
      <c r="X468" s="1333"/>
      <c r="Y468" s="1333"/>
      <c r="Z468" s="1333"/>
      <c r="AA468" s="1333"/>
      <c r="AB468" s="1333"/>
      <c r="AC468" s="1333"/>
      <c r="AD468" s="1333"/>
      <c r="AE468" s="1333"/>
      <c r="AF468" s="1333"/>
      <c r="AG468" s="1333"/>
      <c r="AH468" s="1333"/>
      <c r="AI468" s="1333"/>
      <c r="AJ468" s="1333"/>
    </row>
    <row r="469" spans="1:50" ht="18.75" hidden="1" x14ac:dyDescent="0.25">
      <c r="A469" s="2323"/>
      <c r="B469" s="125"/>
      <c r="C469" s="945"/>
      <c r="D469" s="223"/>
      <c r="E469" s="323"/>
      <c r="F469" s="539"/>
      <c r="G469" s="292"/>
      <c r="H469" s="293"/>
      <c r="I469" s="552"/>
      <c r="L469" s="1410" t="str">
        <f t="shared" si="57"/>
        <v/>
      </c>
      <c r="M469" s="1333"/>
      <c r="N469" s="1333"/>
      <c r="O469" s="1333"/>
      <c r="P469" s="1333"/>
      <c r="Q469" s="1333"/>
      <c r="R469" s="1453"/>
      <c r="S469" s="1364"/>
      <c r="T469" s="1284"/>
      <c r="U469" s="1333"/>
      <c r="V469" s="1333"/>
      <c r="W469" s="1333"/>
      <c r="X469" s="1333"/>
      <c r="Y469" s="1333"/>
      <c r="Z469" s="1333"/>
      <c r="AA469" s="1333"/>
      <c r="AB469" s="1333"/>
      <c r="AC469" s="1333"/>
      <c r="AD469" s="1333"/>
      <c r="AE469" s="1333"/>
      <c r="AF469" s="1333"/>
      <c r="AG469" s="1333"/>
      <c r="AH469" s="1333"/>
      <c r="AI469" s="1333"/>
      <c r="AJ469" s="1333"/>
    </row>
    <row r="470" spans="1:50" ht="21" hidden="1" customHeight="1" x14ac:dyDescent="0.25">
      <c r="A470" s="1818" t="s">
        <v>263</v>
      </c>
      <c r="B470" s="125"/>
      <c r="C470" s="952"/>
      <c r="D470" s="312" t="s">
        <v>227</v>
      </c>
      <c r="E470" s="313"/>
      <c r="F470" s="313"/>
      <c r="G470" s="1034"/>
      <c r="H470" s="531"/>
      <c r="I470" s="552"/>
      <c r="L470" s="1410" t="str">
        <f t="shared" si="57"/>
        <v/>
      </c>
      <c r="M470" s="1333"/>
      <c r="N470" s="1333"/>
      <c r="O470" s="1333"/>
      <c r="P470" s="1333"/>
      <c r="Q470" s="1333"/>
      <c r="R470" s="1453"/>
      <c r="S470" s="1364"/>
      <c r="T470" s="1284"/>
      <c r="U470" s="1333"/>
      <c r="V470" s="1333"/>
      <c r="W470" s="1333"/>
      <c r="X470" s="1333"/>
      <c r="Y470" s="1333"/>
      <c r="Z470" s="1333"/>
      <c r="AA470" s="1333"/>
      <c r="AB470" s="1333"/>
      <c r="AC470" s="1333"/>
      <c r="AD470" s="1333"/>
      <c r="AE470" s="1333"/>
      <c r="AF470" s="1333"/>
      <c r="AG470" s="1333"/>
      <c r="AH470" s="1333"/>
      <c r="AI470" s="1333"/>
      <c r="AJ470" s="1333"/>
    </row>
    <row r="471" spans="1:50" ht="18.75" hidden="1" x14ac:dyDescent="0.25">
      <c r="A471" s="1819"/>
      <c r="B471" s="125"/>
      <c r="C471" s="921"/>
      <c r="D471" s="258"/>
      <c r="E471" s="21"/>
      <c r="F471" s="297"/>
      <c r="G471" s="294"/>
      <c r="H471" s="295"/>
      <c r="I471" s="552"/>
      <c r="L471" s="1410" t="str">
        <f t="shared" si="57"/>
        <v/>
      </c>
      <c r="M471" s="1333"/>
      <c r="N471" s="1333"/>
      <c r="O471" s="1333"/>
      <c r="P471" s="1333"/>
      <c r="Q471" s="1333"/>
      <c r="R471" s="1453"/>
      <c r="S471" s="1364"/>
      <c r="T471" s="1284"/>
      <c r="U471" s="1333"/>
      <c r="V471" s="1333"/>
      <c r="W471" s="1333"/>
      <c r="X471" s="1333"/>
      <c r="Y471" s="1333"/>
      <c r="Z471" s="1333"/>
      <c r="AA471" s="1333"/>
      <c r="AB471" s="1333"/>
      <c r="AC471" s="1333"/>
      <c r="AD471" s="1333"/>
      <c r="AE471" s="1333"/>
      <c r="AF471" s="1333"/>
      <c r="AG471" s="1333"/>
      <c r="AH471" s="1333"/>
      <c r="AI471" s="1333"/>
      <c r="AJ471" s="1333"/>
    </row>
    <row r="472" spans="1:50" ht="18.75" hidden="1" x14ac:dyDescent="0.25">
      <c r="A472" s="1819"/>
      <c r="B472" s="125"/>
      <c r="C472" s="945"/>
      <c r="D472" s="29" t="str">
        <f>IF('C-Design&amp;Const'!$W472="","",'C-Design&amp;Const'!$W472)</f>
        <v>N</v>
      </c>
      <c r="E472" s="31"/>
      <c r="F472" s="210"/>
      <c r="G472" s="291" t="str">
        <f>IF('C-Design&amp;Const'!Y472="","",'C-Design&amp;Const'!Y472)</f>
        <v>20.</v>
      </c>
      <c r="H472" s="290" t="str">
        <f>CONCATENATE('C-Design&amp;Const'!Z472,IF(D472="N"," Not Used In This Construction Phase",""))</f>
        <v>Results of PSC Construction Reviews Not Used In This Construction Phase</v>
      </c>
      <c r="I472" s="552"/>
      <c r="L472" s="1410" t="str">
        <f t="shared" si="57"/>
        <v/>
      </c>
      <c r="M472" s="1333"/>
      <c r="N472" s="1333"/>
      <c r="O472" s="1333"/>
      <c r="P472" s="1333"/>
      <c r="Q472" s="1333"/>
      <c r="R472" s="1453"/>
      <c r="S472" s="1364"/>
      <c r="T472" s="1284"/>
      <c r="U472" s="1333"/>
      <c r="V472" s="1333"/>
      <c r="W472" s="1333"/>
      <c r="X472" s="1333"/>
      <c r="Y472" s="1333"/>
      <c r="Z472" s="1333"/>
      <c r="AA472" s="1333"/>
      <c r="AB472" s="1333"/>
      <c r="AC472" s="1333"/>
      <c r="AD472" s="1333"/>
      <c r="AE472" s="1333"/>
      <c r="AF472" s="1333"/>
      <c r="AG472" s="1333"/>
      <c r="AH472" s="1333"/>
      <c r="AI472" s="1333"/>
      <c r="AJ472" s="1333"/>
    </row>
    <row r="473" spans="1:50" s="181" customFormat="1" ht="15" hidden="1" customHeight="1" x14ac:dyDescent="0.25">
      <c r="A473" s="1819"/>
      <c r="B473" s="177"/>
      <c r="C473" s="945"/>
      <c r="D473" s="21"/>
      <c r="E473" s="29" t="str">
        <f>IF('C-Design&amp;Const'!$W473="","",'C-Design&amp;Const'!$W473)</f>
        <v>N</v>
      </c>
      <c r="F473" s="502"/>
      <c r="G473" s="558"/>
      <c r="H473" s="238" t="str">
        <f>CONCATENATE(IF(ISNUMBER(SEARCH("Placeholder",'C-Design&amp;Const'!Z473))=TRUE,"",IF(E473="N","PLACEHOLDER ROW - ","")),'C-Design&amp;Const'!Z473,IF(E473="N","",#REF!))</f>
        <v>PLACEHOLDER ROW - Contractor Baseline Schedule</v>
      </c>
      <c r="I473" s="552"/>
      <c r="L473" s="1410" t="str">
        <f t="shared" si="57"/>
        <v>&lt;---PM/Planner may hide PLACEHOLDER ROW</v>
      </c>
      <c r="M473" s="1333"/>
      <c r="N473" s="1382"/>
      <c r="O473" s="1382"/>
      <c r="P473" s="1382"/>
      <c r="Q473" s="1382"/>
      <c r="R473" s="1447"/>
      <c r="S473" s="1448"/>
      <c r="T473" s="1274"/>
      <c r="U473" s="1382"/>
      <c r="V473" s="1382"/>
      <c r="W473" s="1382"/>
      <c r="X473" s="1382"/>
      <c r="Y473" s="1382"/>
      <c r="Z473" s="1382"/>
      <c r="AA473" s="1382"/>
      <c r="AB473" s="1382"/>
      <c r="AC473" s="1382"/>
      <c r="AD473" s="1382"/>
      <c r="AE473" s="1382"/>
      <c r="AF473" s="1382"/>
      <c r="AG473" s="1382"/>
      <c r="AH473" s="1382"/>
      <c r="AI473" s="1382"/>
      <c r="AJ473" s="1382"/>
      <c r="AX473" s="30"/>
    </row>
    <row r="474" spans="1:50" s="181" customFormat="1" ht="15" hidden="1" customHeight="1" x14ac:dyDescent="0.25">
      <c r="A474" s="1819"/>
      <c r="B474" s="177"/>
      <c r="C474" s="945"/>
      <c r="D474" s="21"/>
      <c r="E474" s="29" t="str">
        <f>IF('C-Design&amp;Const'!$W474="","",'C-Design&amp;Const'!$W474)</f>
        <v>N</v>
      </c>
      <c r="F474" s="502"/>
      <c r="G474" s="558"/>
      <c r="H474" s="238" t="str">
        <f>CONCATENATE(IF(ISNUMBER(SEARCH("Placeholder",'C-Design&amp;Const'!Z474))=TRUE,"",IF(E474="N","PLACEHOLDER ROW - ","")),'C-Design&amp;Const'!Z474,IF(E474="N","",#REF!))</f>
        <v>PLACEHOLDER ROW - Log of Contractor Submittals</v>
      </c>
      <c r="I474" s="552"/>
      <c r="L474" s="1410" t="str">
        <f t="shared" si="57"/>
        <v>&lt;---PM/Planner may hide PLACEHOLDER ROW</v>
      </c>
      <c r="M474" s="1382"/>
      <c r="N474" s="1382"/>
      <c r="O474" s="1382"/>
      <c r="P474" s="1382"/>
      <c r="Q474" s="1382"/>
      <c r="R474" s="1447"/>
      <c r="S474" s="1448"/>
      <c r="T474" s="1274"/>
      <c r="U474" s="1382"/>
      <c r="V474" s="1382"/>
      <c r="W474" s="1382"/>
      <c r="X474" s="1382"/>
      <c r="Y474" s="1382"/>
      <c r="Z474" s="1382"/>
      <c r="AA474" s="1382"/>
      <c r="AB474" s="1382"/>
      <c r="AC474" s="1382"/>
      <c r="AD474" s="1382"/>
      <c r="AE474" s="1382"/>
      <c r="AF474" s="1382"/>
      <c r="AG474" s="1382"/>
      <c r="AH474" s="1382"/>
      <c r="AI474" s="1382"/>
      <c r="AJ474" s="1382"/>
      <c r="AX474" s="30"/>
    </row>
    <row r="475" spans="1:50" s="181" customFormat="1" ht="15" hidden="1" customHeight="1" x14ac:dyDescent="0.25">
      <c r="A475" s="1819"/>
      <c r="B475" s="177"/>
      <c r="C475" s="945"/>
      <c r="D475" s="21"/>
      <c r="E475" s="29" t="str">
        <f>IF('C-Design&amp;Const'!$W475="","",'C-Design&amp;Const'!$W475)</f>
        <v>N</v>
      </c>
      <c r="F475" s="502"/>
      <c r="G475" s="558"/>
      <c r="H475" s="238" t="str">
        <f>CONCATENATE(IF(ISNUMBER(SEARCH("Placeholder",'C-Design&amp;Const'!Z475))=TRUE,"",IF(E475="N","PLACEHOLDER ROW - ","")),'C-Design&amp;Const'!Z475,IF(E475="N","",#REF!))</f>
        <v>PLACEHOLDER ROW - Schedule of Values</v>
      </c>
      <c r="I475" s="552"/>
      <c r="L475" s="1410" t="str">
        <f t="shared" si="57"/>
        <v>&lt;---PM/Planner may hide PLACEHOLDER ROW</v>
      </c>
      <c r="M475" s="1382"/>
      <c r="N475" s="1382"/>
      <c r="O475" s="1382"/>
      <c r="P475" s="1382"/>
      <c r="Q475" s="1382"/>
      <c r="R475" s="1447"/>
      <c r="S475" s="1448"/>
      <c r="T475" s="1274"/>
      <c r="U475" s="1382"/>
      <c r="V475" s="1382"/>
      <c r="W475" s="1382"/>
      <c r="X475" s="1382"/>
      <c r="Y475" s="1382"/>
      <c r="Z475" s="1382"/>
      <c r="AA475" s="1382"/>
      <c r="AB475" s="1382"/>
      <c r="AC475" s="1382"/>
      <c r="AD475" s="1382"/>
      <c r="AE475" s="1382"/>
      <c r="AF475" s="1382"/>
      <c r="AG475" s="1382"/>
      <c r="AH475" s="1382"/>
      <c r="AI475" s="1382"/>
      <c r="AJ475" s="1382"/>
      <c r="AX475" s="30"/>
    </row>
    <row r="476" spans="1:50" s="181" customFormat="1" ht="15" hidden="1" customHeight="1" x14ac:dyDescent="0.25">
      <c r="A476" s="1819"/>
      <c r="B476" s="177"/>
      <c r="C476" s="945"/>
      <c r="D476" s="21"/>
      <c r="E476" s="29" t="str">
        <f>IF('C-Design&amp;Const'!$W476="","",'C-Design&amp;Const'!$W476)</f>
        <v>N</v>
      </c>
      <c r="F476" s="502"/>
      <c r="G476" s="558"/>
      <c r="H476" s="410" t="str">
        <f>CONCATENATE(IF(ISNUMBER(SEARCH("Placeholder",'C-Design&amp;Const'!Z476))=TRUE,"",IF(E476="N","PLACEHOLDER ROW - ","")),'C-Design&amp;Const'!Z476,IF(E476="N","",#REF!))</f>
        <v>PLACEHOLDER ROW - Shop Drawings, Product Data, &amp; Quality Assurance Submittals (with all comments &amp; recommendation)</v>
      </c>
      <c r="I476" s="552"/>
      <c r="L476" s="1410" t="str">
        <f t="shared" si="57"/>
        <v>&lt;---PM/Planner may hide PLACEHOLDER ROW</v>
      </c>
      <c r="M476" s="1382"/>
      <c r="N476" s="1382"/>
      <c r="O476" s="1382"/>
      <c r="P476" s="1382"/>
      <c r="Q476" s="1382"/>
      <c r="R476" s="1447"/>
      <c r="S476" s="1448"/>
      <c r="T476" s="1274"/>
      <c r="U476" s="1382"/>
      <c r="V476" s="1382"/>
      <c r="W476" s="1382"/>
      <c r="X476" s="1382"/>
      <c r="Y476" s="1382"/>
      <c r="Z476" s="1382"/>
      <c r="AA476" s="1382"/>
      <c r="AB476" s="1382"/>
      <c r="AC476" s="1382"/>
      <c r="AD476" s="1382"/>
      <c r="AE476" s="1382"/>
      <c r="AF476" s="1382"/>
      <c r="AG476" s="1382"/>
      <c r="AH476" s="1382"/>
      <c r="AI476" s="1382"/>
      <c r="AJ476" s="1382"/>
      <c r="AX476" s="30"/>
    </row>
    <row r="477" spans="1:50" s="181" customFormat="1" ht="15" hidden="1" customHeight="1" x14ac:dyDescent="0.25">
      <c r="A477" s="1819"/>
      <c r="B477" s="177"/>
      <c r="C477" s="945"/>
      <c r="D477" s="21"/>
      <c r="E477" s="29" t="str">
        <f>IF('C-Design&amp;Const'!$W477="","",'C-Design&amp;Const'!$W477)</f>
        <v>N</v>
      </c>
      <c r="F477" s="502"/>
      <c r="G477" s="558"/>
      <c r="H477" s="410" t="str">
        <f>CONCATENATE(IF(ISNUMBER(SEARCH("Placeholder",'C-Design&amp;Const'!Z477))=TRUE,"",IF(E477="N","PLACEHOLDER ROW - ","")),'C-Design&amp;Const'!Z477,IF(E477="N","",#REF!))</f>
        <v>PLACEHOLDER ROW - Breaker Fuse Coordination Analysis based on equipment selected</v>
      </c>
      <c r="I477" s="552"/>
      <c r="L477" s="1410" t="str">
        <f t="shared" si="57"/>
        <v>&lt;---PM/Planner may hide PLACEHOLDER ROW</v>
      </c>
      <c r="M477" s="1382"/>
      <c r="N477" s="1382"/>
      <c r="O477" s="1382"/>
      <c r="P477" s="1382"/>
      <c r="Q477" s="1382"/>
      <c r="R477" s="1447"/>
      <c r="S477" s="1448"/>
      <c r="T477" s="1274"/>
      <c r="U477" s="1382"/>
      <c r="V477" s="1382"/>
      <c r="W477" s="1382"/>
      <c r="X477" s="1382"/>
      <c r="Y477" s="1382"/>
      <c r="Z477" s="1382"/>
      <c r="AA477" s="1382"/>
      <c r="AB477" s="1382"/>
      <c r="AC477" s="1382"/>
      <c r="AD477" s="1382"/>
      <c r="AE477" s="1382"/>
      <c r="AF477" s="1382"/>
      <c r="AG477" s="1382"/>
      <c r="AH477" s="1382"/>
      <c r="AI477" s="1382"/>
      <c r="AJ477" s="1382"/>
      <c r="AX477" s="30"/>
    </row>
    <row r="478" spans="1:50" s="181" customFormat="1" ht="15" hidden="1" customHeight="1" x14ac:dyDescent="0.25">
      <c r="A478" s="1819"/>
      <c r="B478" s="177"/>
      <c r="C478" s="945"/>
      <c r="D478" s="21"/>
      <c r="E478" s="29" t="str">
        <f>IF('C-Design&amp;Const'!$W478="","",'C-Design&amp;Const'!$W478)</f>
        <v>N</v>
      </c>
      <c r="F478" s="502"/>
      <c r="G478" s="558"/>
      <c r="H478" s="410" t="str">
        <f>CONCATENATE(IF(ISNUMBER(SEARCH("Placeholder",'C-Design&amp;Const'!Z478))=TRUE,"",IF(E478="N","PLACEHOLDER ROW - ","")),'C-Design&amp;Const'!Z478,IF(E478="N","",#REF!))</f>
        <v>PLACEHOLDER ROW - Updates to Checklist for spec sections w/ submittals recv'd vs reqd (shop drawings, calcs, etc…).  (NOTE:  previously received under separate cover with Item 06 - Project Manual.)</v>
      </c>
      <c r="I478" s="552"/>
      <c r="L478" s="1410" t="str">
        <f t="shared" si="57"/>
        <v>&lt;---PM/Planner may hide PLACEHOLDER ROW</v>
      </c>
      <c r="M478" s="1382"/>
      <c r="N478" s="1382"/>
      <c r="O478" s="1382"/>
      <c r="P478" s="1382"/>
      <c r="Q478" s="1382"/>
      <c r="R478" s="1447"/>
      <c r="S478" s="1448"/>
      <c r="T478" s="1274"/>
      <c r="U478" s="1382"/>
      <c r="V478" s="1382"/>
      <c r="W478" s="1382"/>
      <c r="X478" s="1382"/>
      <c r="Y478" s="1382"/>
      <c r="Z478" s="1382"/>
      <c r="AA478" s="1382"/>
      <c r="AB478" s="1382"/>
      <c r="AC478" s="1382"/>
      <c r="AD478" s="1382"/>
      <c r="AE478" s="1382"/>
      <c r="AF478" s="1382"/>
      <c r="AG478" s="1382"/>
      <c r="AH478" s="1382"/>
      <c r="AI478" s="1382"/>
      <c r="AJ478" s="1382"/>
      <c r="AX478" s="30"/>
    </row>
    <row r="479" spans="1:50" ht="18.75" hidden="1" x14ac:dyDescent="0.25">
      <c r="A479" s="1819"/>
      <c r="B479" s="125"/>
      <c r="C479" s="945"/>
      <c r="D479" s="223"/>
      <c r="E479" s="202"/>
      <c r="F479" s="286"/>
      <c r="G479" s="292"/>
      <c r="H479" s="293"/>
      <c r="I479" s="552"/>
      <c r="L479" s="1410" t="str">
        <f t="shared" si="57"/>
        <v/>
      </c>
      <c r="M479" s="1382"/>
      <c r="N479" s="1333"/>
      <c r="O479" s="1333"/>
      <c r="P479" s="1333"/>
      <c r="Q479" s="1333"/>
      <c r="R479" s="1453"/>
      <c r="S479" s="1364"/>
      <c r="T479" s="1284"/>
      <c r="U479" s="1333"/>
      <c r="V479" s="1333"/>
      <c r="W479" s="1333"/>
      <c r="X479" s="1333"/>
      <c r="Y479" s="1333"/>
      <c r="Z479" s="1333"/>
      <c r="AA479" s="1333"/>
      <c r="AB479" s="1333"/>
      <c r="AC479" s="1333"/>
      <c r="AD479" s="1333"/>
      <c r="AE479" s="1333"/>
      <c r="AF479" s="1333"/>
      <c r="AG479" s="1333"/>
      <c r="AH479" s="1333"/>
      <c r="AI479" s="1333"/>
      <c r="AJ479" s="1333"/>
    </row>
    <row r="480" spans="1:50" ht="18.75" hidden="1" x14ac:dyDescent="0.25">
      <c r="A480" s="1819"/>
      <c r="B480" s="125"/>
      <c r="C480" s="945"/>
      <c r="D480" s="29" t="str">
        <f>IF('C-Design&amp;Const'!$W480="","",'C-Design&amp;Const'!$W480)</f>
        <v>N</v>
      </c>
      <c r="E480" s="31"/>
      <c r="F480" s="210"/>
      <c r="G480" s="291" t="str">
        <f>IF('C-Design&amp;Const'!Y480="","",'C-Design&amp;Const'!Y480)</f>
        <v>21.</v>
      </c>
      <c r="H480" s="290" t="str">
        <f>CONCATENATE('C-Design&amp;Const'!Z480,IF(D480="N"," Not Used In This Construction Phase",""))</f>
        <v>Pay / Progress Meetings Not Used In This Construction Phase</v>
      </c>
      <c r="I480" s="552"/>
      <c r="L480" s="1410" t="str">
        <f t="shared" si="57"/>
        <v/>
      </c>
      <c r="M480" s="1333"/>
      <c r="N480" s="1333"/>
      <c r="O480" s="1333"/>
      <c r="P480" s="1333"/>
      <c r="Q480" s="1333"/>
      <c r="R480" s="1453"/>
      <c r="S480" s="1364"/>
      <c r="T480" s="1284"/>
      <c r="U480" s="1333"/>
      <c r="V480" s="1333"/>
      <c r="W480" s="1333"/>
      <c r="X480" s="1333"/>
      <c r="Y480" s="1333"/>
      <c r="Z480" s="1333"/>
      <c r="AA480" s="1333"/>
      <c r="AB480" s="1333"/>
      <c r="AC480" s="1333"/>
      <c r="AD480" s="1333"/>
      <c r="AE480" s="1333"/>
      <c r="AF480" s="1333"/>
      <c r="AG480" s="1333"/>
      <c r="AH480" s="1333"/>
      <c r="AI480" s="1333"/>
      <c r="AJ480" s="1333"/>
    </row>
    <row r="481" spans="1:50" s="181" customFormat="1" ht="15" hidden="1" customHeight="1" x14ac:dyDescent="0.25">
      <c r="A481" s="1819"/>
      <c r="B481" s="177"/>
      <c r="C481" s="945"/>
      <c r="D481" s="21"/>
      <c r="E481" s="29" t="str">
        <f>IF('C-Design&amp;Const'!$W481="","",'C-Design&amp;Const'!$W481)</f>
        <v>N</v>
      </c>
      <c r="F481" s="502"/>
      <c r="G481" s="558"/>
      <c r="H481" s="238" t="str">
        <f>CONCATENATE(IF(ISNUMBER(SEARCH("Placeholder",'C-Design&amp;Const'!Z481))=TRUE,"",IF(E481="N","PLACEHOLDER ROW - ","")),'C-Design&amp;Const'!Z481,IF(E481="N","",#REF!))</f>
        <v>PLACEHOLDER ROW - Agenda</v>
      </c>
      <c r="I481" s="552"/>
      <c r="L481" s="1410" t="str">
        <f t="shared" si="57"/>
        <v>&lt;---PM/Planner may hide PLACEHOLDER ROW</v>
      </c>
      <c r="M481" s="1333"/>
      <c r="N481" s="1382"/>
      <c r="O481" s="1382"/>
      <c r="P481" s="1382"/>
      <c r="Q481" s="1382"/>
      <c r="R481" s="1447"/>
      <c r="S481" s="1448"/>
      <c r="T481" s="1274"/>
      <c r="U481" s="1382"/>
      <c r="V481" s="1382"/>
      <c r="W481" s="1382"/>
      <c r="X481" s="1382"/>
      <c r="Y481" s="1382"/>
      <c r="Z481" s="1382"/>
      <c r="AA481" s="1382"/>
      <c r="AB481" s="1382"/>
      <c r="AC481" s="1382"/>
      <c r="AD481" s="1382"/>
      <c r="AE481" s="1382"/>
      <c r="AF481" s="1382"/>
      <c r="AG481" s="1382"/>
      <c r="AH481" s="1382"/>
      <c r="AI481" s="1382"/>
      <c r="AJ481" s="1382"/>
      <c r="AX481" s="30"/>
    </row>
    <row r="482" spans="1:50" s="181" customFormat="1" ht="15" hidden="1" customHeight="1" x14ac:dyDescent="0.25">
      <c r="A482" s="1819"/>
      <c r="B482" s="177"/>
      <c r="C482" s="945"/>
      <c r="D482" s="21"/>
      <c r="E482" s="29" t="str">
        <f>IF('C-Design&amp;Const'!$W482="","",'C-Design&amp;Const'!$W482)</f>
        <v>N</v>
      </c>
      <c r="F482" s="502"/>
      <c r="G482" s="558"/>
      <c r="H482" s="238" t="str">
        <f>CONCATENATE(IF(ISNUMBER(SEARCH("Placeholder",'C-Design&amp;Const'!Z482))=TRUE,"",IF(E482="N","PLACEHOLDER ROW - ","")),'C-Design&amp;Const'!Z482,IF(E482="N","",#REF!))</f>
        <v>PLACEHOLDER ROW - Sign In</v>
      </c>
      <c r="I482" s="552"/>
      <c r="L482" s="1410" t="str">
        <f t="shared" si="57"/>
        <v>&lt;---PM/Planner may hide PLACEHOLDER ROW</v>
      </c>
      <c r="M482" s="1382"/>
      <c r="N482" s="1382"/>
      <c r="O482" s="1382"/>
      <c r="P482" s="1382"/>
      <c r="Q482" s="1382"/>
      <c r="R482" s="1447"/>
      <c r="S482" s="1448"/>
      <c r="T482" s="1274"/>
      <c r="U482" s="1382"/>
      <c r="V482" s="1382"/>
      <c r="W482" s="1382"/>
      <c r="X482" s="1382"/>
      <c r="Y482" s="1382"/>
      <c r="Z482" s="1382"/>
      <c r="AA482" s="1382"/>
      <c r="AB482" s="1382"/>
      <c r="AC482" s="1382"/>
      <c r="AD482" s="1382"/>
      <c r="AE482" s="1382"/>
      <c r="AF482" s="1382"/>
      <c r="AG482" s="1382"/>
      <c r="AH482" s="1382"/>
      <c r="AI482" s="1382"/>
      <c r="AJ482" s="1382"/>
      <c r="AX482" s="30"/>
    </row>
    <row r="483" spans="1:50" s="181" customFormat="1" ht="15" hidden="1" customHeight="1" x14ac:dyDescent="0.25">
      <c r="A483" s="1819"/>
      <c r="B483" s="177"/>
      <c r="C483" s="945"/>
      <c r="D483" s="21"/>
      <c r="E483" s="29" t="str">
        <f>IF('C-Design&amp;Const'!$W483="","",'C-Design&amp;Const'!$W483)</f>
        <v>N</v>
      </c>
      <c r="F483" s="502"/>
      <c r="G483" s="558"/>
      <c r="H483" s="238" t="str">
        <f>CONCATENATE(IF(ISNUMBER(SEARCH("Placeholder",'C-Design&amp;Const'!Z483))=TRUE,"",IF(E483="N","PLACEHOLDER ROW - ","")),'C-Design&amp;Const'!Z483,IF(E483="N","",#REF!))</f>
        <v>PLACEHOLDER ROW - Meeting Minutes (including field decisions)</v>
      </c>
      <c r="I483" s="552"/>
      <c r="L483" s="1410" t="str">
        <f t="shared" si="57"/>
        <v>&lt;---PM/Planner may hide PLACEHOLDER ROW</v>
      </c>
      <c r="M483" s="1382"/>
      <c r="N483" s="1382"/>
      <c r="O483" s="1382"/>
      <c r="P483" s="1382"/>
      <c r="Q483" s="1382"/>
      <c r="R483" s="1447"/>
      <c r="S483" s="1448"/>
      <c r="T483" s="1274"/>
      <c r="U483" s="1382"/>
      <c r="V483" s="1382"/>
      <c r="W483" s="1382"/>
      <c r="X483" s="1382"/>
      <c r="Y483" s="1382"/>
      <c r="Z483" s="1382"/>
      <c r="AA483" s="1382"/>
      <c r="AB483" s="1382"/>
      <c r="AC483" s="1382"/>
      <c r="AD483" s="1382"/>
      <c r="AE483" s="1382"/>
      <c r="AF483" s="1382"/>
      <c r="AG483" s="1382"/>
      <c r="AH483" s="1382"/>
      <c r="AI483" s="1382"/>
      <c r="AJ483" s="1382"/>
      <c r="AX483" s="30"/>
    </row>
    <row r="484" spans="1:50" ht="18.75" hidden="1" x14ac:dyDescent="0.25">
      <c r="A484" s="1819"/>
      <c r="B484" s="125"/>
      <c r="C484" s="945"/>
      <c r="D484" s="223"/>
      <c r="E484" s="202"/>
      <c r="F484" s="286"/>
      <c r="G484" s="292"/>
      <c r="H484" s="293"/>
      <c r="I484" s="552"/>
      <c r="L484" s="1410" t="str">
        <f t="shared" si="57"/>
        <v/>
      </c>
      <c r="M484" s="1382"/>
      <c r="N484" s="1333"/>
      <c r="O484" s="1333"/>
      <c r="P484" s="1333"/>
      <c r="Q484" s="1333"/>
      <c r="R484" s="1453"/>
      <c r="S484" s="1364"/>
      <c r="T484" s="1284"/>
      <c r="U484" s="1333"/>
      <c r="V484" s="1333"/>
      <c r="W484" s="1333"/>
      <c r="X484" s="1333"/>
      <c r="Y484" s="1333"/>
      <c r="Z484" s="1333"/>
      <c r="AA484" s="1333"/>
      <c r="AB484" s="1333"/>
      <c r="AC484" s="1333"/>
      <c r="AD484" s="1333"/>
      <c r="AE484" s="1333"/>
      <c r="AF484" s="1333"/>
      <c r="AG484" s="1333"/>
      <c r="AH484" s="1333"/>
      <c r="AI484" s="1333"/>
      <c r="AJ484" s="1333"/>
    </row>
    <row r="485" spans="1:50" ht="18.75" hidden="1" x14ac:dyDescent="0.25">
      <c r="A485" s="1819"/>
      <c r="B485" s="125"/>
      <c r="C485" s="945"/>
      <c r="D485" s="29" t="str">
        <f>IF('C-Design&amp;Const'!$W485="","",'C-Design&amp;Const'!$W485)</f>
        <v>N</v>
      </c>
      <c r="E485" s="31"/>
      <c r="F485" s="210"/>
      <c r="G485" s="291" t="str">
        <f>IF('C-Design&amp;Const'!Y485="","",'C-Design&amp;Const'!Y485)</f>
        <v>22.</v>
      </c>
      <c r="H485" s="290" t="str">
        <f>CONCATENATE('C-Design&amp;Const'!Z485,IF(D485="N"," Not Used In This Construction Phase",""))</f>
        <v>Written Description of Delays Not Used In This Construction Phase</v>
      </c>
      <c r="I485" s="552"/>
      <c r="L485" s="1410" t="str">
        <f t="shared" si="57"/>
        <v/>
      </c>
      <c r="M485" s="1333"/>
      <c r="N485" s="1333"/>
      <c r="O485" s="1333"/>
      <c r="P485" s="1333"/>
      <c r="Q485" s="1333"/>
      <c r="R485" s="1453"/>
      <c r="S485" s="1364"/>
      <c r="T485" s="1284"/>
      <c r="U485" s="1333"/>
      <c r="V485" s="1333"/>
      <c r="W485" s="1333"/>
      <c r="X485" s="1333"/>
      <c r="Y485" s="1333"/>
      <c r="Z485" s="1333"/>
      <c r="AA485" s="1333"/>
      <c r="AB485" s="1333"/>
      <c r="AC485" s="1333"/>
      <c r="AD485" s="1333"/>
      <c r="AE485" s="1333"/>
      <c r="AF485" s="1333"/>
      <c r="AG485" s="1333"/>
      <c r="AH485" s="1333"/>
      <c r="AI485" s="1333"/>
      <c r="AJ485" s="1333"/>
    </row>
    <row r="486" spans="1:50" ht="18.75" hidden="1" x14ac:dyDescent="0.25">
      <c r="A486" s="1819"/>
      <c r="B486" s="125"/>
      <c r="C486" s="945"/>
      <c r="D486" s="223"/>
      <c r="E486" s="202"/>
      <c r="F486" s="286"/>
      <c r="G486" s="292"/>
      <c r="H486" s="293"/>
      <c r="I486" s="552"/>
      <c r="L486" s="1410" t="str">
        <f t="shared" si="57"/>
        <v/>
      </c>
      <c r="M486" s="1333"/>
      <c r="N486" s="1333"/>
      <c r="O486" s="1333"/>
      <c r="P486" s="1333"/>
      <c r="Q486" s="1333"/>
      <c r="R486" s="1453"/>
      <c r="S486" s="1364"/>
      <c r="T486" s="1284"/>
      <c r="U486" s="1333"/>
      <c r="V486" s="1333"/>
      <c r="W486" s="1333"/>
      <c r="X486" s="1333"/>
      <c r="Y486" s="1333"/>
      <c r="Z486" s="1333"/>
      <c r="AA486" s="1333"/>
      <c r="AB486" s="1333"/>
      <c r="AC486" s="1333"/>
      <c r="AD486" s="1333"/>
      <c r="AE486" s="1333"/>
      <c r="AF486" s="1333"/>
      <c r="AG486" s="1333"/>
      <c r="AH486" s="1333"/>
      <c r="AI486" s="1333"/>
      <c r="AJ486" s="1333"/>
    </row>
    <row r="487" spans="1:50" ht="18.75" hidden="1" x14ac:dyDescent="0.25">
      <c r="A487" s="1819"/>
      <c r="B487" s="125"/>
      <c r="C487" s="945"/>
      <c r="D487" s="29" t="str">
        <f>IF('C-Design&amp;Const'!$W487="","",'C-Design&amp;Const'!$W487)</f>
        <v>N</v>
      </c>
      <c r="E487" s="31"/>
      <c r="F487" s="210"/>
      <c r="G487" s="291" t="str">
        <f>IF('C-Design&amp;Const'!Y487="","",'C-Design&amp;Const'!Y487)</f>
        <v>23.</v>
      </c>
      <c r="H487" s="290" t="str">
        <f>CONCATENATE('C-Design&amp;Const'!Z487,IF(D487="N"," Not Used In This Construction Phase",""))</f>
        <v>Construction Information / Changes Not Used In This Construction Phase</v>
      </c>
      <c r="I487" s="552"/>
      <c r="L487" s="1410" t="str">
        <f t="shared" si="57"/>
        <v/>
      </c>
      <c r="M487" s="1333"/>
      <c r="N487" s="1333"/>
      <c r="O487" s="1333"/>
      <c r="P487" s="1333"/>
      <c r="Q487" s="1333"/>
      <c r="R487" s="1453"/>
      <c r="S487" s="1364"/>
      <c r="T487" s="1284"/>
      <c r="U487" s="1333"/>
      <c r="V487" s="1333"/>
      <c r="W487" s="1333"/>
      <c r="X487" s="1333"/>
      <c r="Y487" s="1333"/>
      <c r="Z487" s="1333"/>
      <c r="AA487" s="1333"/>
      <c r="AB487" s="1333"/>
      <c r="AC487" s="1333"/>
      <c r="AD487" s="1333"/>
      <c r="AE487" s="1333"/>
      <c r="AF487" s="1333"/>
      <c r="AG487" s="1333"/>
      <c r="AH487" s="1333"/>
      <c r="AI487" s="1333"/>
      <c r="AJ487" s="1333"/>
    </row>
    <row r="488" spans="1:50" s="181" customFormat="1" ht="15" hidden="1" customHeight="1" x14ac:dyDescent="0.25">
      <c r="A488" s="1819"/>
      <c r="B488" s="177"/>
      <c r="C488" s="945"/>
      <c r="D488" s="21"/>
      <c r="E488" s="29" t="str">
        <f>IF('C-Design&amp;Const'!$W488="","",'C-Design&amp;Const'!$W488)</f>
        <v>N</v>
      </c>
      <c r="F488" s="502"/>
      <c r="G488" s="558"/>
      <c r="H488" s="238" t="str">
        <f>CONCATENATE(IF(ISNUMBER(SEARCH("Placeholder",'C-Design&amp;Const'!Z488))=TRUE,"",IF(E488="N","PLACEHOLDER ROW - ","")),'C-Design&amp;Const'!Z488,IF(E488="N","",#REF!))</f>
        <v>PLACEHOLDER ROW - RFI's responses, ASI's, RFP's, Change Orders and Field Directives</v>
      </c>
      <c r="I488" s="552"/>
      <c r="L488" s="1410" t="str">
        <f t="shared" si="57"/>
        <v>&lt;---PM/Planner may hide PLACEHOLDER ROW</v>
      </c>
      <c r="M488" s="1333"/>
      <c r="N488" s="1382"/>
      <c r="O488" s="1382"/>
      <c r="P488" s="1382"/>
      <c r="Q488" s="1382"/>
      <c r="R488" s="1447"/>
      <c r="S488" s="1448"/>
      <c r="T488" s="1274"/>
      <c r="U488" s="1382"/>
      <c r="V488" s="1382"/>
      <c r="W488" s="1382"/>
      <c r="X488" s="1382"/>
      <c r="Y488" s="1382"/>
      <c r="Z488" s="1382"/>
      <c r="AA488" s="1382"/>
      <c r="AB488" s="1382"/>
      <c r="AC488" s="1382"/>
      <c r="AD488" s="1382"/>
      <c r="AE488" s="1382"/>
      <c r="AF488" s="1382"/>
      <c r="AG488" s="1382"/>
      <c r="AH488" s="1382"/>
      <c r="AI488" s="1382"/>
      <c r="AJ488" s="1382"/>
      <c r="AX488" s="30"/>
    </row>
    <row r="489" spans="1:50" s="181" customFormat="1" ht="15" hidden="1" customHeight="1" x14ac:dyDescent="0.25">
      <c r="A489" s="1819"/>
      <c r="B489" s="177"/>
      <c r="C489" s="945"/>
      <c r="D489" s="21"/>
      <c r="E489" s="29" t="str">
        <f>IF('C-Design&amp;Const'!$W489="","",'C-Design&amp;Const'!$W489)</f>
        <v>N</v>
      </c>
      <c r="F489" s="502"/>
      <c r="G489" s="558"/>
      <c r="H489" s="238" t="str">
        <f>CONCATENATE(IF(ISNUMBER(SEARCH("Placeholder",'C-Design&amp;Const'!Z489))=TRUE,"",IF(E489="N","PLACEHOLDER ROW - ","")),'C-Design&amp;Const'!Z489,IF(E489="N","",#REF!))</f>
        <v>PLACEHOLDER ROW - Logs of RFI's &amp; responses, ASI's, RFP's, Change Orders and Field Directives</v>
      </c>
      <c r="I489" s="552"/>
      <c r="L489" s="1410" t="str">
        <f t="shared" si="57"/>
        <v>&lt;---PM/Planner may hide PLACEHOLDER ROW</v>
      </c>
      <c r="M489" s="1382"/>
      <c r="N489" s="1382"/>
      <c r="O489" s="1382"/>
      <c r="P489" s="1382"/>
      <c r="Q489" s="1382"/>
      <c r="R489" s="1447"/>
      <c r="S489" s="1448"/>
      <c r="T489" s="1274"/>
      <c r="U489" s="1382"/>
      <c r="V489" s="1382"/>
      <c r="W489" s="1382"/>
      <c r="X489" s="1382"/>
      <c r="Y489" s="1382"/>
      <c r="Z489" s="1382"/>
      <c r="AA489" s="1382"/>
      <c r="AB489" s="1382"/>
      <c r="AC489" s="1382"/>
      <c r="AD489" s="1382"/>
      <c r="AE489" s="1382"/>
      <c r="AF489" s="1382"/>
      <c r="AG489" s="1382"/>
      <c r="AH489" s="1382"/>
      <c r="AI489" s="1382"/>
      <c r="AJ489" s="1382"/>
      <c r="AX489" s="30"/>
    </row>
    <row r="490" spans="1:50" s="181" customFormat="1" ht="15" hidden="1" customHeight="1" x14ac:dyDescent="0.25">
      <c r="A490" s="1819"/>
      <c r="B490" s="177"/>
      <c r="C490" s="945"/>
      <c r="D490" s="21"/>
      <c r="E490" s="29" t="str">
        <f>IF('C-Design&amp;Const'!$W490="","",'C-Design&amp;Const'!$W490)</f>
        <v>N</v>
      </c>
      <c r="F490" s="502"/>
      <c r="G490" s="558"/>
      <c r="H490" s="238" t="str">
        <f>CONCATENATE(IF(ISNUMBER(SEARCH("Placeholder",'C-Design&amp;Const'!Z490))=TRUE,"",IF(E490="N","PLACEHOLDER ROW - ","")),'C-Design&amp;Const'!Z490,IF(E490="N","",#REF!))</f>
        <v>PLACEHOLDER ROW - Justifications or Explanations for Errors/ Omissions, Deficiencies or Conflicts</v>
      </c>
      <c r="I490" s="552"/>
      <c r="L490" s="1410" t="str">
        <f t="shared" si="57"/>
        <v>&lt;---PM/Planner may hide PLACEHOLDER ROW</v>
      </c>
      <c r="M490" s="1382"/>
      <c r="N490" s="1382"/>
      <c r="O490" s="1382"/>
      <c r="P490" s="1382"/>
      <c r="Q490" s="1382"/>
      <c r="R490" s="1447"/>
      <c r="S490" s="1448"/>
      <c r="T490" s="1274"/>
      <c r="U490" s="1382"/>
      <c r="V490" s="1382"/>
      <c r="W490" s="1382"/>
      <c r="X490" s="1382"/>
      <c r="Y490" s="1382"/>
      <c r="Z490" s="1382"/>
      <c r="AA490" s="1382"/>
      <c r="AB490" s="1382"/>
      <c r="AC490" s="1382"/>
      <c r="AD490" s="1382"/>
      <c r="AE490" s="1382"/>
      <c r="AF490" s="1382"/>
      <c r="AG490" s="1382"/>
      <c r="AH490" s="1382"/>
      <c r="AI490" s="1382"/>
      <c r="AJ490" s="1382"/>
      <c r="AX490" s="30"/>
    </row>
    <row r="491" spans="1:50" s="181" customFormat="1" ht="15" hidden="1" customHeight="1" x14ac:dyDescent="0.25">
      <c r="A491" s="1819"/>
      <c r="B491" s="177"/>
      <c r="C491" s="945"/>
      <c r="D491" s="21"/>
      <c r="E491" s="29" t="str">
        <f>IF('C-Design&amp;Const'!$W491="","",'C-Design&amp;Const'!$W491)</f>
        <v>N</v>
      </c>
      <c r="F491" s="502"/>
      <c r="G491" s="558"/>
      <c r="H491" s="238" t="str">
        <f>CONCATENATE(IF(ISNUMBER(SEARCH("Placeholder",'C-Design&amp;Const'!Z491))=TRUE,"",IF(E491="N","PLACEHOLDER ROW - ","")),'C-Design&amp;Const'!Z491,IF(E491="N","",#REF!))</f>
        <v>PLACEHOLDER ROW - Corrections to Errors / Omissions, Deficiencies, or Conflicts</v>
      </c>
      <c r="I491" s="552"/>
      <c r="L491" s="1410" t="str">
        <f t="shared" si="57"/>
        <v>&lt;---PM/Planner may hide PLACEHOLDER ROW</v>
      </c>
      <c r="M491" s="1382"/>
      <c r="N491" s="1382"/>
      <c r="O491" s="1382"/>
      <c r="P491" s="1382"/>
      <c r="Q491" s="1382"/>
      <c r="R491" s="1447"/>
      <c r="S491" s="1448"/>
      <c r="T491" s="1274"/>
      <c r="U491" s="1382"/>
      <c r="V491" s="1382"/>
      <c r="W491" s="1382"/>
      <c r="X491" s="1382"/>
      <c r="Y491" s="1382"/>
      <c r="Z491" s="1382"/>
      <c r="AA491" s="1382"/>
      <c r="AB491" s="1382"/>
      <c r="AC491" s="1382"/>
      <c r="AD491" s="1382"/>
      <c r="AE491" s="1382"/>
      <c r="AF491" s="1382"/>
      <c r="AG491" s="1382"/>
      <c r="AH491" s="1382"/>
      <c r="AI491" s="1382"/>
      <c r="AJ491" s="1382"/>
      <c r="AX491" s="30"/>
    </row>
    <row r="492" spans="1:50" s="181" customFormat="1" ht="15" hidden="1" customHeight="1" x14ac:dyDescent="0.25">
      <c r="A492" s="1819"/>
      <c r="B492" s="177"/>
      <c r="C492" s="945"/>
      <c r="D492" s="21"/>
      <c r="E492" s="29" t="str">
        <f>IF('C-Design&amp;Const'!$W492="","",'C-Design&amp;Const'!$W492)</f>
        <v>N</v>
      </c>
      <c r="F492" s="502"/>
      <c r="G492" s="558"/>
      <c r="H492" s="410" t="str">
        <f>CONCATENATE(IF(ISNUMBER(SEARCH("Placeholder",'C-Design&amp;Const'!Z492))=TRUE,"",IF(E492="N","PLACEHOLDER ROW - ","")),'C-Design&amp;Const'!Z492,IF(E492="N","",#REF!))</f>
        <v>PLACEHOLDER ROW - OPTIONAL CLIENT CUSTOM ITEM</v>
      </c>
      <c r="I492" s="552"/>
      <c r="L492" s="1410" t="str">
        <f t="shared" si="57"/>
        <v>&lt;---PM/Planner may hide PLACEHOLDER ROW</v>
      </c>
      <c r="M492" s="1382"/>
      <c r="N492" s="1382"/>
      <c r="O492" s="1382"/>
      <c r="P492" s="1382"/>
      <c r="Q492" s="1382"/>
      <c r="R492" s="1447"/>
      <c r="S492" s="1448"/>
      <c r="T492" s="1274"/>
      <c r="U492" s="1382"/>
      <c r="V492" s="1382"/>
      <c r="W492" s="1382"/>
      <c r="X492" s="1382"/>
      <c r="Y492" s="1382"/>
      <c r="Z492" s="1382"/>
      <c r="AA492" s="1382"/>
      <c r="AB492" s="1382"/>
      <c r="AC492" s="1382"/>
      <c r="AD492" s="1382"/>
      <c r="AE492" s="1382"/>
      <c r="AF492" s="1382"/>
      <c r="AG492" s="1382"/>
      <c r="AH492" s="1382"/>
      <c r="AI492" s="1382"/>
      <c r="AJ492" s="1382"/>
      <c r="AX492" s="30"/>
    </row>
    <row r="493" spans="1:50" s="181" customFormat="1" ht="15" hidden="1" customHeight="1" x14ac:dyDescent="0.25">
      <c r="A493" s="1819"/>
      <c r="B493" s="177"/>
      <c r="C493" s="945"/>
      <c r="D493" s="21"/>
      <c r="E493" s="29" t="str">
        <f>IF('C-Design&amp;Const'!$W493="","",'C-Design&amp;Const'!$W493)</f>
        <v>N</v>
      </c>
      <c r="F493" s="502"/>
      <c r="G493" s="558"/>
      <c r="H493" s="410" t="str">
        <f>CONCATENATE(IF(ISNUMBER(SEARCH("Placeholder",'C-Design&amp;Const'!Z493))=TRUE,"",IF(E493="N","PLACEHOLDER ROW - ","")),'C-Design&amp;Const'!Z493,IF(E493="N","",#REF!))</f>
        <v>PLACEHOLDER ROW - OPTIONAL CLIENT CUSTOM ITEM</v>
      </c>
      <c r="I493" s="552"/>
      <c r="L493" s="1410" t="str">
        <f t="shared" si="57"/>
        <v>&lt;---PM/Planner may hide PLACEHOLDER ROW</v>
      </c>
      <c r="M493" s="1382"/>
      <c r="N493" s="1382"/>
      <c r="O493" s="1382"/>
      <c r="P493" s="1382"/>
      <c r="Q493" s="1382"/>
      <c r="R493" s="1447"/>
      <c r="S493" s="1448"/>
      <c r="T493" s="1274"/>
      <c r="U493" s="1382"/>
      <c r="V493" s="1382"/>
      <c r="W493" s="1382"/>
      <c r="X493" s="1382"/>
      <c r="Y493" s="1382"/>
      <c r="Z493" s="1382"/>
      <c r="AA493" s="1382"/>
      <c r="AB493" s="1382"/>
      <c r="AC493" s="1382"/>
      <c r="AD493" s="1382"/>
      <c r="AE493" s="1382"/>
      <c r="AF493" s="1382"/>
      <c r="AG493" s="1382"/>
      <c r="AH493" s="1382"/>
      <c r="AI493" s="1382"/>
      <c r="AJ493" s="1382"/>
      <c r="AX493" s="30"/>
    </row>
    <row r="494" spans="1:50" ht="18.75" hidden="1" x14ac:dyDescent="0.25">
      <c r="A494" s="1819"/>
      <c r="B494" s="125"/>
      <c r="C494" s="945"/>
      <c r="D494" s="223"/>
      <c r="E494" s="202"/>
      <c r="F494" s="286"/>
      <c r="G494" s="292"/>
      <c r="H494" s="293"/>
      <c r="I494" s="552"/>
      <c r="L494" s="1410" t="str">
        <f t="shared" si="57"/>
        <v/>
      </c>
      <c r="M494" s="1382"/>
      <c r="N494" s="1333"/>
      <c r="O494" s="1333"/>
      <c r="P494" s="1333"/>
      <c r="Q494" s="1333"/>
      <c r="R494" s="1453"/>
      <c r="S494" s="1364"/>
      <c r="T494" s="1284"/>
      <c r="U494" s="1333"/>
      <c r="V494" s="1333"/>
      <c r="W494" s="1333"/>
      <c r="X494" s="1333"/>
      <c r="Y494" s="1333"/>
      <c r="Z494" s="1333"/>
      <c r="AA494" s="1333"/>
      <c r="AB494" s="1333"/>
      <c r="AC494" s="1333"/>
      <c r="AD494" s="1333"/>
      <c r="AE494" s="1333"/>
      <c r="AF494" s="1333"/>
      <c r="AG494" s="1333"/>
      <c r="AH494" s="1333"/>
      <c r="AI494" s="1333"/>
      <c r="AJ494" s="1333"/>
    </row>
    <row r="495" spans="1:50" ht="37.5" hidden="1" x14ac:dyDescent="0.25">
      <c r="A495" s="1819"/>
      <c r="B495" s="125"/>
      <c r="C495" s="945"/>
      <c r="D495" s="29" t="str">
        <f>IF('C-Design&amp;Const'!$W495="","",'C-Design&amp;Const'!$W495)</f>
        <v>N</v>
      </c>
      <c r="E495" s="31"/>
      <c r="F495" s="210"/>
      <c r="G495" s="291" t="str">
        <f>IF('C-Design&amp;Const'!Y495="","",'C-Design&amp;Const'!Y495)</f>
        <v>24.</v>
      </c>
      <c r="H495" s="290" t="str">
        <f>CONCATENATE('C-Design&amp;Const'!Z495,IF(D495="N"," Not Used In This Construction Phase",""))</f>
        <v>On-site Inspection / Observation Reports Not Used In This Construction Phase</v>
      </c>
      <c r="I495" s="552"/>
      <c r="L495" s="1410" t="str">
        <f t="shared" si="57"/>
        <v/>
      </c>
      <c r="M495" s="1333"/>
      <c r="N495" s="1333"/>
      <c r="O495" s="1333"/>
      <c r="P495" s="1333"/>
      <c r="Q495" s="1333"/>
      <c r="R495" s="1453"/>
      <c r="S495" s="1364"/>
      <c r="T495" s="1284"/>
      <c r="U495" s="1333"/>
      <c r="V495" s="1333"/>
      <c r="W495" s="1333"/>
      <c r="X495" s="1333"/>
      <c r="Y495" s="1333"/>
      <c r="Z495" s="1333"/>
      <c r="AA495" s="1333"/>
      <c r="AB495" s="1333"/>
      <c r="AC495" s="1333"/>
      <c r="AD495" s="1333"/>
      <c r="AE495" s="1333"/>
      <c r="AF495" s="1333"/>
      <c r="AG495" s="1333"/>
      <c r="AH495" s="1333"/>
      <c r="AI495" s="1333"/>
      <c r="AJ495" s="1333"/>
    </row>
    <row r="496" spans="1:50" s="181" customFormat="1" ht="15" hidden="1" customHeight="1" x14ac:dyDescent="0.25">
      <c r="A496" s="1819"/>
      <c r="B496" s="177"/>
      <c r="C496" s="945"/>
      <c r="D496" s="21"/>
      <c r="E496" s="29" t="str">
        <f>IF('C-Design&amp;Const'!$W496="","",'C-Design&amp;Const'!$W496)</f>
        <v>N</v>
      </c>
      <c r="F496" s="502"/>
      <c r="G496" s="558"/>
      <c r="H496" s="238" t="str">
        <f>CONCATENATE(IF(ISNUMBER(SEARCH("Placeholder",'C-Design&amp;Const'!Z496))=TRUE,"",IF(E496="N","PLACEHOLDER ROW - ","")),'C-Design&amp;Const'!Z496,IF(E496="N","",#REF!))</f>
        <v>PLACEHOLDER ROW - Progress Photos</v>
      </c>
      <c r="I496" s="552"/>
      <c r="L496" s="1410" t="str">
        <f t="shared" si="57"/>
        <v>&lt;---PM/Planner may hide PLACEHOLDER ROW</v>
      </c>
      <c r="M496" s="1333"/>
      <c r="N496" s="1382"/>
      <c r="O496" s="1382"/>
      <c r="P496" s="1382"/>
      <c r="Q496" s="1382"/>
      <c r="R496" s="1447"/>
      <c r="S496" s="1448"/>
      <c r="T496" s="1274"/>
      <c r="U496" s="1382"/>
      <c r="V496" s="1382"/>
      <c r="W496" s="1382"/>
      <c r="X496" s="1382"/>
      <c r="Y496" s="1382"/>
      <c r="Z496" s="1382"/>
      <c r="AA496" s="1382"/>
      <c r="AB496" s="1382"/>
      <c r="AC496" s="1382"/>
      <c r="AD496" s="1382"/>
      <c r="AE496" s="1382"/>
      <c r="AF496" s="1382"/>
      <c r="AG496" s="1382"/>
      <c r="AH496" s="1382"/>
      <c r="AI496" s="1382"/>
      <c r="AJ496" s="1382"/>
      <c r="AX496" s="30"/>
    </row>
    <row r="497" spans="1:50" s="181" customFormat="1" ht="15" hidden="1" customHeight="1" x14ac:dyDescent="0.25">
      <c r="A497" s="1819"/>
      <c r="B497" s="177"/>
      <c r="C497" s="945"/>
      <c r="D497" s="21"/>
      <c r="E497" s="29" t="str">
        <f>IF('C-Design&amp;Const'!$W497="","",'C-Design&amp;Const'!$W497)</f>
        <v>N</v>
      </c>
      <c r="F497" s="502"/>
      <c r="G497" s="558"/>
      <c r="H497" s="238" t="str">
        <f>CONCATENATE(IF(ISNUMBER(SEARCH("Placeholder",'C-Design&amp;Const'!Z497))=TRUE,"",IF(E497="N","PLACEHOLDER ROW - ","")),'C-Design&amp;Const'!Z497,IF(E497="N","",#REF!))</f>
        <v>PLACEHOLDER ROW - Observations / Inspections results</v>
      </c>
      <c r="I497" s="552"/>
      <c r="L497" s="1410" t="str">
        <f t="shared" si="57"/>
        <v>&lt;---PM/Planner may hide PLACEHOLDER ROW</v>
      </c>
      <c r="M497" s="1382"/>
      <c r="N497" s="1382"/>
      <c r="O497" s="1382"/>
      <c r="P497" s="1382"/>
      <c r="Q497" s="1382"/>
      <c r="R497" s="1447"/>
      <c r="S497" s="1448"/>
      <c r="T497" s="1274"/>
      <c r="U497" s="1382"/>
      <c r="V497" s="1382"/>
      <c r="W497" s="1382"/>
      <c r="X497" s="1382"/>
      <c r="Y497" s="1382"/>
      <c r="Z497" s="1382"/>
      <c r="AA497" s="1382"/>
      <c r="AB497" s="1382"/>
      <c r="AC497" s="1382"/>
      <c r="AD497" s="1382"/>
      <c r="AE497" s="1382"/>
      <c r="AF497" s="1382"/>
      <c r="AG497" s="1382"/>
      <c r="AH497" s="1382"/>
      <c r="AI497" s="1382"/>
      <c r="AJ497" s="1382"/>
      <c r="AX497" s="30"/>
    </row>
    <row r="498" spans="1:50" s="181" customFormat="1" ht="15" hidden="1" customHeight="1" x14ac:dyDescent="0.25">
      <c r="A498" s="1819"/>
      <c r="B498" s="177"/>
      <c r="C498" s="945"/>
      <c r="D498" s="21"/>
      <c r="E498" s="29" t="str">
        <f>IF('C-Design&amp;Const'!$W498="","",'C-Design&amp;Const'!$W498)</f>
        <v>N</v>
      </c>
      <c r="F498" s="502"/>
      <c r="G498" s="558"/>
      <c r="H498" s="238" t="str">
        <f>CONCATENATE(IF(ISNUMBER(SEARCH("Placeholder",'C-Design&amp;Const'!Z498))=TRUE,"",IF(E498="N","PLACEHOLDER ROW - ","")),'C-Design&amp;Const'!Z498,IF(E498="N","",#REF!))</f>
        <v>PLACEHOLDER ROW - Summary of Tests observed</v>
      </c>
      <c r="I498" s="552"/>
      <c r="L498" s="1410" t="str">
        <f t="shared" si="57"/>
        <v>&lt;---PM/Planner may hide PLACEHOLDER ROW</v>
      </c>
      <c r="M498" s="1382"/>
      <c r="N498" s="1382"/>
      <c r="O498" s="1382"/>
      <c r="P498" s="1382"/>
      <c r="Q498" s="1382"/>
      <c r="R498" s="1447"/>
      <c r="S498" s="1448"/>
      <c r="T498" s="1274"/>
      <c r="U498" s="1382"/>
      <c r="V498" s="1382"/>
      <c r="W498" s="1382"/>
      <c r="X498" s="1382"/>
      <c r="Y498" s="1382"/>
      <c r="Z498" s="1382"/>
      <c r="AA498" s="1382"/>
      <c r="AB498" s="1382"/>
      <c r="AC498" s="1382"/>
      <c r="AD498" s="1382"/>
      <c r="AE498" s="1382"/>
      <c r="AF498" s="1382"/>
      <c r="AG498" s="1382"/>
      <c r="AH498" s="1382"/>
      <c r="AI498" s="1382"/>
      <c r="AJ498" s="1382"/>
      <c r="AX498" s="30"/>
    </row>
    <row r="499" spans="1:50" s="181" customFormat="1" ht="15" hidden="1" customHeight="1" x14ac:dyDescent="0.25">
      <c r="A499" s="1819"/>
      <c r="B499" s="177"/>
      <c r="C499" s="945"/>
      <c r="D499" s="21"/>
      <c r="E499" s="29" t="str">
        <f>IF('C-Design&amp;Const'!$W499="","",'C-Design&amp;Const'!$W499)</f>
        <v>N</v>
      </c>
      <c r="F499" s="502"/>
      <c r="G499" s="558"/>
      <c r="H499" s="410" t="str">
        <f>CONCATENATE(IF(ISNUMBER(SEARCH("Placeholder",'C-Design&amp;Const'!Z499))=TRUE,"",IF(E499="N","PLACEHOLDER ROW - ","")),'C-Design&amp;Const'!Z499,IF(E499="N","",#REF!))</f>
        <v>PLACEHOLDER ROW - OPTIONAL CLIENT CUSTOM ITEM</v>
      </c>
      <c r="I499" s="552"/>
      <c r="L499" s="1410" t="str">
        <f t="shared" si="57"/>
        <v>&lt;---PM/Planner may hide PLACEHOLDER ROW</v>
      </c>
      <c r="M499" s="1382"/>
      <c r="N499" s="1382"/>
      <c r="O499" s="1382"/>
      <c r="P499" s="1382"/>
      <c r="Q499" s="1382"/>
      <c r="R499" s="1447"/>
      <c r="S499" s="1448"/>
      <c r="T499" s="1274"/>
      <c r="U499" s="1382"/>
      <c r="V499" s="1382"/>
      <c r="W499" s="1382"/>
      <c r="X499" s="1382"/>
      <c r="Y499" s="1382"/>
      <c r="Z499" s="1382"/>
      <c r="AA499" s="1382"/>
      <c r="AB499" s="1382"/>
      <c r="AC499" s="1382"/>
      <c r="AD499" s="1382"/>
      <c r="AE499" s="1382"/>
      <c r="AF499" s="1382"/>
      <c r="AG499" s="1382"/>
      <c r="AH499" s="1382"/>
      <c r="AI499" s="1382"/>
      <c r="AJ499" s="1382"/>
      <c r="AX499" s="30"/>
    </row>
    <row r="500" spans="1:50" s="181" customFormat="1" ht="15" hidden="1" customHeight="1" x14ac:dyDescent="0.25">
      <c r="A500" s="1819"/>
      <c r="B500" s="177"/>
      <c r="C500" s="945"/>
      <c r="D500" s="21"/>
      <c r="E500" s="29" t="str">
        <f>IF('C-Design&amp;Const'!$W500="","",'C-Design&amp;Const'!$W500)</f>
        <v>N</v>
      </c>
      <c r="F500" s="502"/>
      <c r="G500" s="558"/>
      <c r="H500" s="410" t="str">
        <f>CONCATENATE(IF(ISNUMBER(SEARCH("Placeholder",'C-Design&amp;Const'!Z500))=TRUE,"",IF(E500="N","PLACEHOLDER ROW - ","")),'C-Design&amp;Const'!Z500,IF(E500="N","",#REF!))</f>
        <v>PLACEHOLDER ROW - OPTIONAL CLIENT CUSTOM ITEM</v>
      </c>
      <c r="I500" s="552"/>
      <c r="L500" s="1410" t="str">
        <f t="shared" si="57"/>
        <v>&lt;---PM/Planner may hide PLACEHOLDER ROW</v>
      </c>
      <c r="M500" s="1382"/>
      <c r="N500" s="1382"/>
      <c r="O500" s="1382"/>
      <c r="P500" s="1382"/>
      <c r="Q500" s="1382"/>
      <c r="R500" s="1447"/>
      <c r="S500" s="1448"/>
      <c r="T500" s="1274"/>
      <c r="U500" s="1382"/>
      <c r="V500" s="1382"/>
      <c r="W500" s="1382"/>
      <c r="X500" s="1382"/>
      <c r="Y500" s="1382"/>
      <c r="Z500" s="1382"/>
      <c r="AA500" s="1382"/>
      <c r="AB500" s="1382"/>
      <c r="AC500" s="1382"/>
      <c r="AD500" s="1382"/>
      <c r="AE500" s="1382"/>
      <c r="AF500" s="1382"/>
      <c r="AG500" s="1382"/>
      <c r="AH500" s="1382"/>
      <c r="AI500" s="1382"/>
      <c r="AJ500" s="1382"/>
      <c r="AX500" s="30"/>
    </row>
    <row r="501" spans="1:50" ht="18.75" hidden="1" x14ac:dyDescent="0.25">
      <c r="A501" s="1819"/>
      <c r="B501" s="125"/>
      <c r="C501" s="945"/>
      <c r="D501" s="223"/>
      <c r="E501" s="202"/>
      <c r="F501" s="286"/>
      <c r="G501" s="292"/>
      <c r="H501" s="293"/>
      <c r="I501" s="552"/>
      <c r="L501" s="1410" t="str">
        <f t="shared" si="57"/>
        <v/>
      </c>
      <c r="M501" s="1382"/>
      <c r="N501" s="1333"/>
      <c r="O501" s="1333"/>
      <c r="P501" s="1333"/>
      <c r="Q501" s="1333"/>
      <c r="R501" s="1453"/>
      <c r="S501" s="1364"/>
      <c r="T501" s="1284"/>
      <c r="U501" s="1333"/>
      <c r="V501" s="1333"/>
      <c r="W501" s="1333"/>
      <c r="X501" s="1333"/>
      <c r="Y501" s="1333"/>
      <c r="Z501" s="1333"/>
      <c r="AA501" s="1333"/>
      <c r="AB501" s="1333"/>
      <c r="AC501" s="1333"/>
      <c r="AD501" s="1333"/>
      <c r="AE501" s="1333"/>
      <c r="AF501" s="1333"/>
      <c r="AG501" s="1333"/>
      <c r="AH501" s="1333"/>
      <c r="AI501" s="1333"/>
      <c r="AJ501" s="1333"/>
    </row>
    <row r="502" spans="1:50" ht="37.5" hidden="1" x14ac:dyDescent="0.25">
      <c r="A502" s="1819"/>
      <c r="B502" s="125"/>
      <c r="C502" s="945"/>
      <c r="D502" s="29" t="str">
        <f>IF('C-Design&amp;Const'!$W502="","",'C-Design&amp;Const'!$W502)</f>
        <v>N</v>
      </c>
      <c r="E502" s="31"/>
      <c r="F502" s="210"/>
      <c r="G502" s="291" t="str">
        <f>IF('C-Design&amp;Const'!Y502="","",'C-Design&amp;Const'!Y502)</f>
        <v>25.</v>
      </c>
      <c r="H502" s="290" t="str">
        <f>CONCATENATE('C-Design&amp;Const'!Z502,IF(D502="N"," Not Used In This Construction Phase",""))</f>
        <v>Results of Construction Inspection / Survey / Testing Not Used In This Construction Phase</v>
      </c>
      <c r="I502" s="552"/>
      <c r="L502" s="1410" t="str">
        <f t="shared" si="57"/>
        <v/>
      </c>
      <c r="M502" s="1333"/>
      <c r="N502" s="1333"/>
      <c r="O502" s="1333"/>
      <c r="P502" s="1333"/>
      <c r="Q502" s="1333"/>
      <c r="R502" s="1453"/>
      <c r="S502" s="1364"/>
      <c r="T502" s="1284"/>
      <c r="U502" s="1333"/>
      <c r="V502" s="1333"/>
      <c r="W502" s="1333"/>
      <c r="X502" s="1333"/>
      <c r="Y502" s="1333"/>
      <c r="Z502" s="1333"/>
      <c r="AA502" s="1333"/>
      <c r="AB502" s="1333"/>
      <c r="AC502" s="1333"/>
      <c r="AD502" s="1333"/>
      <c r="AE502" s="1333"/>
      <c r="AF502" s="1333"/>
      <c r="AG502" s="1333"/>
      <c r="AH502" s="1333"/>
      <c r="AI502" s="1333"/>
      <c r="AJ502" s="1333"/>
    </row>
    <row r="503" spans="1:50" ht="18.75" hidden="1" x14ac:dyDescent="0.25">
      <c r="A503" s="1819"/>
      <c r="B503" s="125"/>
      <c r="C503" s="921"/>
      <c r="D503" s="21"/>
      <c r="E503" s="21"/>
      <c r="F503" s="297"/>
      <c r="G503" s="532" t="s">
        <v>234</v>
      </c>
      <c r="H503" s="987" t="s">
        <v>233</v>
      </c>
      <c r="I503" s="552"/>
      <c r="L503" s="1410" t="str">
        <f t="shared" si="57"/>
        <v/>
      </c>
      <c r="M503" s="1333"/>
      <c r="N503" s="1333"/>
      <c r="O503" s="1333"/>
      <c r="P503" s="1333"/>
      <c r="Q503" s="1333"/>
      <c r="R503" s="1453"/>
      <c r="S503" s="1364"/>
      <c r="T503" s="1284"/>
      <c r="U503" s="1333"/>
      <c r="V503" s="1333"/>
      <c r="W503" s="1333"/>
      <c r="X503" s="1333"/>
      <c r="Y503" s="1333"/>
      <c r="Z503" s="1333"/>
      <c r="AA503" s="1333"/>
      <c r="AB503" s="1333"/>
      <c r="AC503" s="1333"/>
      <c r="AD503" s="1333"/>
      <c r="AE503" s="1333"/>
      <c r="AF503" s="1333"/>
      <c r="AG503" s="1333"/>
      <c r="AH503" s="1333"/>
      <c r="AI503" s="1333"/>
      <c r="AJ503" s="1333"/>
    </row>
    <row r="504" spans="1:50" s="181" customFormat="1" ht="15" hidden="1" customHeight="1" x14ac:dyDescent="0.25">
      <c r="A504" s="1819"/>
      <c r="B504" s="177"/>
      <c r="C504" s="945"/>
      <c r="D504" s="21"/>
      <c r="E504" s="29" t="str">
        <f>IF('C-Design&amp;Const'!$W504="","",'C-Design&amp;Const'!$W504)</f>
        <v>N</v>
      </c>
      <c r="F504" s="502"/>
      <c r="G504" s="558"/>
      <c r="H504" s="238" t="str">
        <f>CONCATENATE(IF(ISNUMBER(SEARCH("Placeholder",'C-Design&amp;Const'!Z504))=TRUE,"",IF(E504="N","PLACEHOLDER ROW - ","")),'C-Design&amp;Const'!Z504,IF(E504="N","",#REF!))</f>
        <v>PLACEHOLDER ROW - Asbestos Testing and Abatement Report</v>
      </c>
      <c r="I504" s="552"/>
      <c r="L504" s="1410" t="str">
        <f t="shared" si="57"/>
        <v>&lt;---PM/Planner may hide PLACEHOLDER ROW</v>
      </c>
      <c r="M504" s="1333"/>
      <c r="N504" s="1382"/>
      <c r="O504" s="1382"/>
      <c r="P504" s="1382"/>
      <c r="Q504" s="1382"/>
      <c r="R504" s="1447"/>
      <c r="S504" s="1448"/>
      <c r="T504" s="1274"/>
      <c r="U504" s="1382"/>
      <c r="V504" s="1382"/>
      <c r="W504" s="1382"/>
      <c r="X504" s="1382"/>
      <c r="Y504" s="1382"/>
      <c r="Z504" s="1382"/>
      <c r="AA504" s="1382"/>
      <c r="AB504" s="1382"/>
      <c r="AC504" s="1382"/>
      <c r="AD504" s="1382"/>
      <c r="AE504" s="1382"/>
      <c r="AF504" s="1382"/>
      <c r="AG504" s="1382"/>
      <c r="AH504" s="1382"/>
      <c r="AI504" s="1382"/>
      <c r="AJ504" s="1382"/>
      <c r="AX504" s="30"/>
    </row>
    <row r="505" spans="1:50" s="181" customFormat="1" ht="15" hidden="1" customHeight="1" x14ac:dyDescent="0.25">
      <c r="A505" s="1819"/>
      <c r="B505" s="177"/>
      <c r="C505" s="945"/>
      <c r="D505" s="21"/>
      <c r="E505" s="29" t="str">
        <f>IF('C-Design&amp;Const'!$W505="","",'C-Design&amp;Const'!$W505)</f>
        <v>N</v>
      </c>
      <c r="F505" s="502"/>
      <c r="G505" s="558"/>
      <c r="H505" s="238" t="str">
        <f>CONCATENATE(IF(ISNUMBER(SEARCH("Placeholder",'C-Design&amp;Const'!Z505))=TRUE,"",IF(E505="N","PLACEHOLDER ROW - ","")),'C-Design&amp;Const'!Z505,IF(E505="N","",#REF!))</f>
        <v>PLACEHOLDER ROW - Lead-based paint field survey and material analysis</v>
      </c>
      <c r="I505" s="552"/>
      <c r="L505" s="1410" t="str">
        <f t="shared" si="57"/>
        <v>&lt;---PM/Planner may hide PLACEHOLDER ROW</v>
      </c>
      <c r="M505" s="1382"/>
      <c r="N505" s="1382"/>
      <c r="O505" s="1382"/>
      <c r="P505" s="1382"/>
      <c r="Q505" s="1382"/>
      <c r="R505" s="1447"/>
      <c r="S505" s="1448"/>
      <c r="T505" s="1274"/>
      <c r="U505" s="1382"/>
      <c r="V505" s="1382"/>
      <c r="W505" s="1382"/>
      <c r="X505" s="1382"/>
      <c r="Y505" s="1382"/>
      <c r="Z505" s="1382"/>
      <c r="AA505" s="1382"/>
      <c r="AB505" s="1382"/>
      <c r="AC505" s="1382"/>
      <c r="AD505" s="1382"/>
      <c r="AE505" s="1382"/>
      <c r="AF505" s="1382"/>
      <c r="AG505" s="1382"/>
      <c r="AH505" s="1382"/>
      <c r="AI505" s="1382"/>
      <c r="AJ505" s="1382"/>
      <c r="AX505" s="30"/>
    </row>
    <row r="506" spans="1:50" s="181" customFormat="1" ht="15" hidden="1" customHeight="1" x14ac:dyDescent="0.25">
      <c r="A506" s="1819"/>
      <c r="B506" s="177"/>
      <c r="C506" s="945"/>
      <c r="D506" s="21"/>
      <c r="E506" s="29" t="str">
        <f>IF('C-Design&amp;Const'!$W506="","",'C-Design&amp;Const'!$W506)</f>
        <v>N</v>
      </c>
      <c r="F506" s="502"/>
      <c r="G506" s="558"/>
      <c r="H506" s="238" t="str">
        <f>CONCATENATE(IF(ISNUMBER(SEARCH("Placeholder",'C-Design&amp;Const'!Z506))=TRUE,"",IF(E506="N","PLACEHOLDER ROW - ","")),'C-Design&amp;Const'!Z506,IF(E506="N","",#REF!))</f>
        <v>PLACEHOLDER ROW - Review and submit flow tests</v>
      </c>
      <c r="I506" s="552"/>
      <c r="L506" s="1410" t="str">
        <f t="shared" si="57"/>
        <v>&lt;---PM/Planner may hide PLACEHOLDER ROW</v>
      </c>
      <c r="M506" s="1382"/>
      <c r="N506" s="1382"/>
      <c r="O506" s="1382"/>
      <c r="P506" s="1382"/>
      <c r="Q506" s="1382"/>
      <c r="R506" s="1447"/>
      <c r="S506" s="1448"/>
      <c r="T506" s="1274"/>
      <c r="U506" s="1382"/>
      <c r="V506" s="1382"/>
      <c r="W506" s="1382"/>
      <c r="X506" s="1382"/>
      <c r="Y506" s="1382"/>
      <c r="Z506" s="1382"/>
      <c r="AA506" s="1382"/>
      <c r="AB506" s="1382"/>
      <c r="AC506" s="1382"/>
      <c r="AD506" s="1382"/>
      <c r="AE506" s="1382"/>
      <c r="AF506" s="1382"/>
      <c r="AG506" s="1382"/>
      <c r="AH506" s="1382"/>
      <c r="AI506" s="1382"/>
      <c r="AJ506" s="1382"/>
      <c r="AX506" s="30"/>
    </row>
    <row r="507" spans="1:50" s="181" customFormat="1" ht="15" hidden="1" customHeight="1" x14ac:dyDescent="0.25">
      <c r="A507" s="1819"/>
      <c r="B507" s="177"/>
      <c r="C507" s="945"/>
      <c r="D507" s="21"/>
      <c r="E507" s="29" t="str">
        <f>IF('C-Design&amp;Const'!$W507="","",'C-Design&amp;Const'!$W507)</f>
        <v>N</v>
      </c>
      <c r="F507" s="502"/>
      <c r="G507" s="558"/>
      <c r="H507" s="238" t="str">
        <f>CONCATENATE(IF(ISNUMBER(SEARCH("Placeholder",'C-Design&amp;Const'!Z507))=TRUE,"",IF(E507="N","PLACEHOLDER ROW - ","")),'C-Design&amp;Const'!Z507,IF(E507="N","",#REF!))</f>
        <v>PLACEHOLDER ROW - Review and submit surveying results from contractor</v>
      </c>
      <c r="I507" s="552"/>
      <c r="L507" s="1410" t="str">
        <f t="shared" si="57"/>
        <v>&lt;---PM/Planner may hide PLACEHOLDER ROW</v>
      </c>
      <c r="M507" s="1382"/>
      <c r="N507" s="1382"/>
      <c r="O507" s="1382"/>
      <c r="P507" s="1382"/>
      <c r="Q507" s="1382"/>
      <c r="R507" s="1447"/>
      <c r="S507" s="1448"/>
      <c r="T507" s="1274"/>
      <c r="U507" s="1382"/>
      <c r="V507" s="1382"/>
      <c r="W507" s="1382"/>
      <c r="X507" s="1382"/>
      <c r="Y507" s="1382"/>
      <c r="Z507" s="1382"/>
      <c r="AA507" s="1382"/>
      <c r="AB507" s="1382"/>
      <c r="AC507" s="1382"/>
      <c r="AD507" s="1382"/>
      <c r="AE507" s="1382"/>
      <c r="AF507" s="1382"/>
      <c r="AG507" s="1382"/>
      <c r="AH507" s="1382"/>
      <c r="AI507" s="1382"/>
      <c r="AJ507" s="1382"/>
      <c r="AX507" s="30"/>
    </row>
    <row r="508" spans="1:50" s="181" customFormat="1" ht="28.5" hidden="1" x14ac:dyDescent="0.25">
      <c r="A508" s="1819"/>
      <c r="B508" s="177"/>
      <c r="C508" s="945"/>
      <c r="D508" s="21"/>
      <c r="E508" s="29" t="str">
        <f>IF('C-Design&amp;Const'!$W508="","",'C-Design&amp;Const'!$W508)</f>
        <v>N</v>
      </c>
      <c r="F508" s="476"/>
      <c r="G508" s="558"/>
      <c r="H508" s="238" t="str">
        <f>CONCATENATE(IF(ISNUMBER(SEARCH("Placeholder",'C-Design&amp;Const'!Z508))=TRUE,"",IF(E508="N","PLACEHOLDER ROW - ","")),'C-Design&amp;Const'!Z508,IF(E508="N","",#REF!))</f>
        <v>PLACEHOLDER ROW - Review &amp; Submit results of soil compaction tests at roadways, sidewalks, and driveways. - May be updated from STNDS</v>
      </c>
      <c r="I508" s="552"/>
      <c r="L508" s="1410" t="str">
        <f t="shared" si="57"/>
        <v>&lt;---PM/Planner may hide PLACEHOLDER ROW</v>
      </c>
      <c r="M508" s="1382"/>
      <c r="N508" s="1382"/>
      <c r="O508" s="1382"/>
      <c r="P508" s="1382"/>
      <c r="Q508" s="1382"/>
      <c r="R508" s="1447"/>
      <c r="S508" s="1448"/>
      <c r="T508" s="1274"/>
      <c r="U508" s="1382"/>
      <c r="V508" s="1382"/>
      <c r="W508" s="1382"/>
      <c r="X508" s="1382"/>
      <c r="Y508" s="1382"/>
      <c r="Z508" s="1382"/>
      <c r="AA508" s="1382"/>
      <c r="AB508" s="1382"/>
      <c r="AC508" s="1382"/>
      <c r="AD508" s="1382"/>
      <c r="AE508" s="1382"/>
      <c r="AF508" s="1382"/>
      <c r="AG508" s="1382"/>
      <c r="AH508" s="1382"/>
      <c r="AI508" s="1382"/>
      <c r="AJ508" s="1382"/>
      <c r="AX508" s="30"/>
    </row>
    <row r="509" spans="1:50" s="181" customFormat="1" ht="15" hidden="1" customHeight="1" x14ac:dyDescent="0.25">
      <c r="A509" s="1819"/>
      <c r="B509" s="177"/>
      <c r="C509" s="945"/>
      <c r="D509" s="21"/>
      <c r="E509" s="29" t="str">
        <f>IF('C-Design&amp;Const'!$W509="","",'C-Design&amp;Const'!$W509)</f>
        <v>N</v>
      </c>
      <c r="F509" s="476"/>
      <c r="G509" s="558"/>
      <c r="H509" s="238" t="str">
        <f>CONCATENATE(IF(ISNUMBER(SEARCH("Placeholder",'C-Design&amp;Const'!Z509))=TRUE,"",IF(E509="N","PLACEHOLDER ROW - ","")),'C-Design&amp;Const'!Z509,IF(E509="N","",#REF!))</f>
        <v>PLACEHOLDER ROW - Review and submit results of soil compaction tests at backfill against structures. - May be updated from STNDS</v>
      </c>
      <c r="I509" s="552"/>
      <c r="L509" s="1410" t="str">
        <f t="shared" si="57"/>
        <v>&lt;---PM/Planner may hide PLACEHOLDER ROW</v>
      </c>
      <c r="M509" s="1382"/>
      <c r="N509" s="1382"/>
      <c r="O509" s="1382"/>
      <c r="P509" s="1382"/>
      <c r="Q509" s="1382"/>
      <c r="R509" s="1447"/>
      <c r="S509" s="1448"/>
      <c r="T509" s="1274"/>
      <c r="U509" s="1382"/>
      <c r="V509" s="1382"/>
      <c r="W509" s="1382"/>
      <c r="X509" s="1382"/>
      <c r="Y509" s="1382"/>
      <c r="Z509" s="1382"/>
      <c r="AA509" s="1382"/>
      <c r="AB509" s="1382"/>
      <c r="AC509" s="1382"/>
      <c r="AD509" s="1382"/>
      <c r="AE509" s="1382"/>
      <c r="AF509" s="1382"/>
      <c r="AG509" s="1382"/>
      <c r="AH509" s="1382"/>
      <c r="AI509" s="1382"/>
      <c r="AJ509" s="1382"/>
      <c r="AX509" s="30"/>
    </row>
    <row r="510" spans="1:50" s="181" customFormat="1" ht="15" hidden="1" customHeight="1" x14ac:dyDescent="0.25">
      <c r="A510" s="1819"/>
      <c r="B510" s="177"/>
      <c r="C510" s="945"/>
      <c r="D510" s="21"/>
      <c r="E510" s="29" t="str">
        <f>IF('C-Design&amp;Const'!$W510="","",'C-Design&amp;Const'!$W510)</f>
        <v>N</v>
      </c>
      <c r="F510" s="476"/>
      <c r="G510" s="558"/>
      <c r="H510" s="238" t="str">
        <f>CONCATENATE(IF(ISNUMBER(SEARCH("Placeholder",'C-Design&amp;Const'!Z510))=TRUE,"",IF(E510="N","PLACEHOLDER ROW - ","")),'C-Design&amp;Const'!Z510,IF(E510="N","",#REF!))</f>
        <v>PLACEHOLDER ROW - Review and submit results of nuclear density tests for bituminous pavements. - May be updated from STNDS</v>
      </c>
      <c r="I510" s="552"/>
      <c r="L510" s="1410" t="str">
        <f t="shared" si="57"/>
        <v>&lt;---PM/Planner may hide PLACEHOLDER ROW</v>
      </c>
      <c r="M510" s="1382"/>
      <c r="N510" s="1382"/>
      <c r="O510" s="1382"/>
      <c r="P510" s="1382"/>
      <c r="Q510" s="1382"/>
      <c r="R510" s="1447"/>
      <c r="S510" s="1448"/>
      <c r="T510" s="1274"/>
      <c r="U510" s="1382"/>
      <c r="V510" s="1382"/>
      <c r="W510" s="1382"/>
      <c r="X510" s="1382"/>
      <c r="Y510" s="1382"/>
      <c r="Z510" s="1382"/>
      <c r="AA510" s="1382"/>
      <c r="AB510" s="1382"/>
      <c r="AC510" s="1382"/>
      <c r="AD510" s="1382"/>
      <c r="AE510" s="1382"/>
      <c r="AF510" s="1382"/>
      <c r="AG510" s="1382"/>
      <c r="AH510" s="1382"/>
      <c r="AI510" s="1382"/>
      <c r="AJ510" s="1382"/>
      <c r="AX510" s="30"/>
    </row>
    <row r="511" spans="1:50" s="181" customFormat="1" ht="15" hidden="1" customHeight="1" x14ac:dyDescent="0.25">
      <c r="A511" s="1819"/>
      <c r="B511" s="177"/>
      <c r="C511" s="945"/>
      <c r="D511" s="21"/>
      <c r="E511" s="29" t="str">
        <f>IF('C-Design&amp;Const'!$W511="","",'C-Design&amp;Const'!$W511)</f>
        <v>N</v>
      </c>
      <c r="F511" s="476"/>
      <c r="G511" s="558"/>
      <c r="H511" s="238" t="str">
        <f>CONCATENATE(IF(ISNUMBER(SEARCH("Placeholder",'C-Design&amp;Const'!Z511))=TRUE,"",IF(E511="N","PLACEHOLDER ROW - ","")),'C-Design&amp;Const'!Z511,IF(E511="N","",#REF!))</f>
        <v>PLACEHOLDER ROW - Review and submit results pile driving records. - May be updated from STNDS</v>
      </c>
      <c r="I511" s="552"/>
      <c r="L511" s="1410" t="str">
        <f t="shared" si="57"/>
        <v>&lt;---PM/Planner may hide PLACEHOLDER ROW</v>
      </c>
      <c r="M511" s="1382"/>
      <c r="N511" s="1382"/>
      <c r="O511" s="1382"/>
      <c r="P511" s="1382"/>
      <c r="Q511" s="1382"/>
      <c r="R511" s="1447"/>
      <c r="S511" s="1448"/>
      <c r="T511" s="1274"/>
      <c r="U511" s="1382"/>
      <c r="V511" s="1382"/>
      <c r="W511" s="1382"/>
      <c r="X511" s="1382"/>
      <c r="Y511" s="1382"/>
      <c r="Z511" s="1382"/>
      <c r="AA511" s="1382"/>
      <c r="AB511" s="1382"/>
      <c r="AC511" s="1382"/>
      <c r="AD511" s="1382"/>
      <c r="AE511" s="1382"/>
      <c r="AF511" s="1382"/>
      <c r="AG511" s="1382"/>
      <c r="AH511" s="1382"/>
      <c r="AI511" s="1382"/>
      <c r="AJ511" s="1382"/>
      <c r="AX511" s="30"/>
    </row>
    <row r="512" spans="1:50" s="181" customFormat="1" ht="15" hidden="1" customHeight="1" x14ac:dyDescent="0.25">
      <c r="A512" s="1819"/>
      <c r="B512" s="177"/>
      <c r="C512" s="945"/>
      <c r="D512" s="547"/>
      <c r="E512" s="29" t="str">
        <f>IF('C-Design&amp;Const'!$W512="","",'C-Design&amp;Const'!$W512)</f>
        <v>N</v>
      </c>
      <c r="F512" s="560"/>
      <c r="G512" s="558"/>
      <c r="H512" s="238" t="str">
        <f>CONCATENATE(IF(ISNUMBER(SEARCH("Placeholder",'C-Design&amp;Const'!Z512))=TRUE,"",IF(E512="N","PLACEHOLDER ROW - ","")),'C-Design&amp;Const'!Z512,IF(E512="N","",#REF!))</f>
        <v>PLACEHOLDER ROW - Results of all concrete cylinder tests. - May be updated from STNDS</v>
      </c>
      <c r="I512" s="552"/>
      <c r="L512" s="1410" t="str">
        <f t="shared" si="57"/>
        <v>&lt;---PM/Planner may hide PLACEHOLDER ROW</v>
      </c>
      <c r="M512" s="1382"/>
      <c r="N512" s="1382"/>
      <c r="O512" s="1382"/>
      <c r="P512" s="1382"/>
      <c r="Q512" s="1382"/>
      <c r="R512" s="1447"/>
      <c r="S512" s="1448"/>
      <c r="T512" s="1274"/>
      <c r="U512" s="1382"/>
      <c r="V512" s="1382"/>
      <c r="W512" s="1382"/>
      <c r="X512" s="1382"/>
      <c r="Y512" s="1382"/>
      <c r="Z512" s="1382"/>
      <c r="AA512" s="1382"/>
      <c r="AB512" s="1382"/>
      <c r="AC512" s="1382"/>
      <c r="AD512" s="1382"/>
      <c r="AE512" s="1382"/>
      <c r="AF512" s="1382"/>
      <c r="AG512" s="1382"/>
      <c r="AH512" s="1382"/>
      <c r="AI512" s="1382"/>
      <c r="AJ512" s="1382"/>
      <c r="AX512" s="30"/>
    </row>
    <row r="513" spans="1:50" s="30" customFormat="1" ht="15" hidden="1" customHeight="1" x14ac:dyDescent="0.25">
      <c r="A513" s="1819"/>
      <c r="B513" s="191"/>
      <c r="C513" s="945"/>
      <c r="D513" s="10"/>
      <c r="E513" s="52" t="str">
        <f>IF('C-Design&amp;Const'!$W513="","",'C-Design&amp;Const'!$W513)</f>
        <v>N</v>
      </c>
      <c r="F513" s="235"/>
      <c r="G513" s="291"/>
      <c r="H513" s="808" t="str">
        <f>CONCATENATE(IF(ISNUMBER(SEARCH("Placeholder",'C-Design&amp;Const'!Z513))=TRUE,"",IF(E513="N","PLACEHOLDER ROW - ","")),'C-Design&amp;Const'!Z513,IF(E513="N","",#REF!))</f>
        <v>PLACEHOLDER ROW - Results of Harmonic Analysis Reports for VFD's. - May be updated from STNDS</v>
      </c>
      <c r="I513" s="552"/>
      <c r="L513" s="1410" t="str">
        <f t="shared" si="57"/>
        <v>&lt;---PM/Planner may hide PLACEHOLDER ROW</v>
      </c>
      <c r="M513" s="1382"/>
      <c r="N513" s="1382"/>
      <c r="O513" s="1382"/>
      <c r="P513" s="1382"/>
      <c r="Q513" s="1382"/>
      <c r="R513" s="1382"/>
      <c r="S513" s="1382"/>
      <c r="T513" s="1382"/>
      <c r="U513" s="1382"/>
      <c r="V513" s="1382"/>
      <c r="W513" s="1382"/>
      <c r="X513" s="1382"/>
      <c r="Y513" s="1382"/>
      <c r="Z513" s="1382"/>
      <c r="AA513" s="1382"/>
      <c r="AB513" s="1382"/>
      <c r="AC513" s="1382"/>
      <c r="AD513" s="1382"/>
      <c r="AE513" s="1382"/>
      <c r="AF513" s="1382"/>
      <c r="AG513" s="1382"/>
      <c r="AH513" s="1382"/>
      <c r="AI513" s="1382"/>
      <c r="AJ513" s="1382"/>
      <c r="AK513" s="181"/>
      <c r="AL513" s="181"/>
      <c r="AM513" s="181"/>
      <c r="AN513" s="181"/>
      <c r="AO513" s="181"/>
      <c r="AP513" s="181"/>
      <c r="AQ513" s="181"/>
      <c r="AR513" s="181"/>
      <c r="AS513" s="181"/>
      <c r="AT513" s="181"/>
      <c r="AU513" s="181"/>
      <c r="AV513" s="181"/>
      <c r="AW513" s="181"/>
    </row>
    <row r="514" spans="1:50" s="181" customFormat="1" ht="15" hidden="1" customHeight="1" x14ac:dyDescent="0.25">
      <c r="A514" s="1819"/>
      <c r="B514" s="177"/>
      <c r="C514" s="945"/>
      <c r="D514" s="547"/>
      <c r="E514" s="29" t="str">
        <f>IF('C-Design&amp;Const'!$W514="","",'C-Design&amp;Const'!$W514)</f>
        <v>N</v>
      </c>
      <c r="F514" s="560"/>
      <c r="G514" s="558"/>
      <c r="H514" s="238" t="str">
        <f>CONCATENATE(IF(ISNUMBER(SEARCH("Placeholder",'C-Design&amp;Const'!Z514))=TRUE,"",IF(E514="N","PLACEHOLDER ROW - ","")),'C-Design&amp;Const'!Z514,IF(E514="N","",#REF!))</f>
        <v>PLACEHOLDER ROW - Results of Equipment Tests - May be updated from STNDS</v>
      </c>
      <c r="I514" s="552"/>
      <c r="L514" s="1410" t="str">
        <f t="shared" si="57"/>
        <v>&lt;---PM/Planner may hide PLACEHOLDER ROW</v>
      </c>
      <c r="M514" s="1382"/>
      <c r="N514" s="1382"/>
      <c r="O514" s="1382"/>
      <c r="P514" s="1382"/>
      <c r="Q514" s="1382"/>
      <c r="R514" s="1447"/>
      <c r="S514" s="1448"/>
      <c r="T514" s="1274"/>
      <c r="U514" s="1382"/>
      <c r="V514" s="1382"/>
      <c r="W514" s="1382"/>
      <c r="X514" s="1382"/>
      <c r="Y514" s="1382"/>
      <c r="Z514" s="1382"/>
      <c r="AA514" s="1382"/>
      <c r="AB514" s="1382"/>
      <c r="AC514" s="1382"/>
      <c r="AD514" s="1382"/>
      <c r="AE514" s="1382"/>
      <c r="AF514" s="1382"/>
      <c r="AG514" s="1382"/>
      <c r="AH514" s="1382"/>
      <c r="AI514" s="1382"/>
      <c r="AJ514" s="1382"/>
      <c r="AX514" s="30"/>
    </row>
    <row r="515" spans="1:50" s="551" customFormat="1" ht="15" hidden="1" customHeight="1" x14ac:dyDescent="0.25">
      <c r="A515" s="1819"/>
      <c r="B515" s="549"/>
      <c r="C515" s="945"/>
      <c r="D515" s="547"/>
      <c r="E515" s="29" t="str">
        <f>IF('C-Design&amp;Const'!$W515="","",'C-Design&amp;Const'!$W515)</f>
        <v>N</v>
      </c>
      <c r="F515" s="560"/>
      <c r="G515" s="558"/>
      <c r="H515" s="238" t="str">
        <f>CONCATENATE(IF(ISNUMBER(SEARCH("Placeholder",'C-Design&amp;Const'!Z515))=TRUE,"",IF(E515="N","PLACEHOLDER ROW - ","")),'C-Design&amp;Const'!Z515,IF(E515="N","",#REF!))</f>
        <v>PLACEHOLDER ROW - Results of Material Testing - May be updated from  STNDS</v>
      </c>
      <c r="I515" s="552"/>
      <c r="L515" s="1410" t="str">
        <f t="shared" ref="L515:L517" si="58">CONCATENATE(IF(ISNUMBER(SEARCH("Placeholder",H515))=TRUE,"&lt;---PM/Planner may hide PLACEHOLDER ROW",""))</f>
        <v>&lt;---PM/Planner may hide PLACEHOLDER ROW</v>
      </c>
      <c r="M515" s="1382"/>
      <c r="N515" s="1382"/>
      <c r="O515" s="1382"/>
      <c r="P515" s="1382"/>
      <c r="Q515" s="1382"/>
      <c r="R515" s="1447"/>
      <c r="S515" s="1448"/>
      <c r="T515" s="1274"/>
      <c r="U515" s="1382"/>
      <c r="V515" s="1382"/>
      <c r="W515" s="1382"/>
      <c r="X515" s="1382"/>
      <c r="Y515" s="1382"/>
      <c r="Z515" s="1382"/>
      <c r="AA515" s="1382"/>
      <c r="AB515" s="1382"/>
      <c r="AC515" s="1382"/>
      <c r="AD515" s="1382"/>
      <c r="AE515" s="1382"/>
      <c r="AF515" s="1382"/>
      <c r="AG515" s="1382"/>
      <c r="AH515" s="1382"/>
      <c r="AI515" s="1382"/>
      <c r="AJ515" s="1382"/>
      <c r="AX515" s="545"/>
    </row>
    <row r="516" spans="1:50" s="551" customFormat="1" ht="15" hidden="1" customHeight="1" x14ac:dyDescent="0.25">
      <c r="A516" s="1819"/>
      <c r="B516" s="549"/>
      <c r="C516" s="945"/>
      <c r="D516" s="547"/>
      <c r="E516" s="29" t="str">
        <f>IF('C-Design&amp;Const'!$W516="","",'C-Design&amp;Const'!$W516)</f>
        <v>N</v>
      </c>
      <c r="F516" s="560"/>
      <c r="G516" s="558"/>
      <c r="H516" s="238" t="str">
        <f>CONCATENATE(IF(ISNUMBER(SEARCH("Placeholder",'C-Design&amp;Const'!Z516))=TRUE,"",IF(E516="N","PLACEHOLDER ROW - ","")),'C-Design&amp;Const'!Z516,IF(E516="N","",#REF!))</f>
        <v>PLACEHOLDER ROW - OPTIONAL CLIENT CUSTOM ITEM</v>
      </c>
      <c r="I516" s="552"/>
      <c r="L516" s="1410" t="str">
        <f t="shared" si="58"/>
        <v>&lt;---PM/Planner may hide PLACEHOLDER ROW</v>
      </c>
      <c r="M516" s="1382"/>
      <c r="N516" s="1382"/>
      <c r="O516" s="1382"/>
      <c r="P516" s="1382"/>
      <c r="Q516" s="1382"/>
      <c r="R516" s="1447"/>
      <c r="S516" s="1448"/>
      <c r="T516" s="1274"/>
      <c r="U516" s="1382"/>
      <c r="V516" s="1382"/>
      <c r="W516" s="1382"/>
      <c r="X516" s="1382"/>
      <c r="Y516" s="1382"/>
      <c r="Z516" s="1382"/>
      <c r="AA516" s="1382"/>
      <c r="AB516" s="1382"/>
      <c r="AC516" s="1382"/>
      <c r="AD516" s="1382"/>
      <c r="AE516" s="1382"/>
      <c r="AF516" s="1382"/>
      <c r="AG516" s="1382"/>
      <c r="AH516" s="1382"/>
      <c r="AI516" s="1382"/>
      <c r="AJ516" s="1382"/>
      <c r="AX516" s="545"/>
    </row>
    <row r="517" spans="1:50" s="551" customFormat="1" ht="15" hidden="1" customHeight="1" x14ac:dyDescent="0.25">
      <c r="A517" s="1819"/>
      <c r="B517" s="549"/>
      <c r="C517" s="945"/>
      <c r="D517" s="547"/>
      <c r="E517" s="29" t="str">
        <f>IF('C-Design&amp;Const'!$W517="","",'C-Design&amp;Const'!$W517)</f>
        <v>N</v>
      </c>
      <c r="F517" s="560"/>
      <c r="G517" s="558"/>
      <c r="H517" s="238" t="str">
        <f>CONCATENATE(IF(ISNUMBER(SEARCH("Placeholder",'C-Design&amp;Const'!Z517))=TRUE,"",IF(E517="N","PLACEHOLDER ROW - ","")),'C-Design&amp;Const'!Z517,IF(E517="N","",#REF!))</f>
        <v>PLACEHOLDER ROW - OPTIONAL CLIENT CUSTOM ITEM</v>
      </c>
      <c r="I517" s="552"/>
      <c r="L517" s="1410" t="str">
        <f t="shared" si="58"/>
        <v>&lt;---PM/Planner may hide PLACEHOLDER ROW</v>
      </c>
      <c r="M517" s="1382"/>
      <c r="N517" s="1382"/>
      <c r="O517" s="1382"/>
      <c r="P517" s="1382"/>
      <c r="Q517" s="1382"/>
      <c r="R517" s="1447"/>
      <c r="S517" s="1448"/>
      <c r="T517" s="1274"/>
      <c r="U517" s="1382"/>
      <c r="V517" s="1382"/>
      <c r="W517" s="1382"/>
      <c r="X517" s="1382"/>
      <c r="Y517" s="1382"/>
      <c r="Z517" s="1382"/>
      <c r="AA517" s="1382"/>
      <c r="AB517" s="1382"/>
      <c r="AC517" s="1382"/>
      <c r="AD517" s="1382"/>
      <c r="AE517" s="1382"/>
      <c r="AF517" s="1382"/>
      <c r="AG517" s="1382"/>
      <c r="AH517" s="1382"/>
      <c r="AI517" s="1382"/>
      <c r="AJ517" s="1382"/>
      <c r="AX517" s="545"/>
    </row>
    <row r="518" spans="1:50" ht="18.75" hidden="1" x14ac:dyDescent="0.25">
      <c r="A518" s="1819"/>
      <c r="B518" s="125"/>
      <c r="C518" s="945"/>
      <c r="D518" s="223"/>
      <c r="E518" s="323"/>
      <c r="F518" s="539"/>
      <c r="G518" s="292"/>
      <c r="H518" s="293"/>
      <c r="I518" s="552"/>
      <c r="L518" s="1410" t="str">
        <f t="shared" si="57"/>
        <v/>
      </c>
      <c r="M518" s="1382"/>
      <c r="N518" s="1333"/>
      <c r="O518" s="1333"/>
      <c r="P518" s="1333"/>
      <c r="Q518" s="1333"/>
      <c r="R518" s="1453"/>
      <c r="S518" s="1364"/>
      <c r="T518" s="1284"/>
      <c r="U518" s="1333"/>
      <c r="V518" s="1333"/>
      <c r="W518" s="1333"/>
      <c r="X518" s="1333"/>
      <c r="Y518" s="1333"/>
      <c r="Z518" s="1333"/>
      <c r="AA518" s="1333"/>
      <c r="AB518" s="1333"/>
      <c r="AC518" s="1333"/>
      <c r="AD518" s="1333"/>
      <c r="AE518" s="1333"/>
      <c r="AF518" s="1333"/>
      <c r="AG518" s="1333"/>
      <c r="AH518" s="1333"/>
      <c r="AI518" s="1333"/>
      <c r="AJ518" s="1333"/>
    </row>
    <row r="519" spans="1:50" ht="18.75" hidden="1" x14ac:dyDescent="0.25">
      <c r="A519" s="1819"/>
      <c r="B519" s="125"/>
      <c r="C519" s="945"/>
      <c r="D519" s="29" t="str">
        <f>IF('C-Design&amp;Const'!$W519="","",'C-Design&amp;Const'!$W519)</f>
        <v>N</v>
      </c>
      <c r="E519" s="31"/>
      <c r="F519" s="210"/>
      <c r="G519" s="291" t="str">
        <f>IF('C-Design&amp;Const'!Y519="","",'C-Design&amp;Const'!Y519)</f>
        <v>28.</v>
      </c>
      <c r="H519" s="290" t="str">
        <f>CONCATENATE('C-Design&amp;Const'!Z519,IF(D519="N"," Not Used In This Construction Phase",""))</f>
        <v>List of Systems / Items to Commission Not Used In This Construction Phase</v>
      </c>
      <c r="I519" s="552"/>
      <c r="L519" s="1410" t="str">
        <f t="shared" si="57"/>
        <v/>
      </c>
      <c r="M519" s="1333"/>
      <c r="N519" s="1333"/>
      <c r="O519" s="1333"/>
      <c r="P519" s="1333"/>
      <c r="Q519" s="1333"/>
      <c r="R519" s="1453"/>
      <c r="S519" s="1364"/>
      <c r="T519" s="1284"/>
      <c r="U519" s="1333"/>
      <c r="V519" s="1333"/>
      <c r="W519" s="1333"/>
      <c r="X519" s="1333"/>
      <c r="Y519" s="1333"/>
      <c r="Z519" s="1333"/>
      <c r="AA519" s="1333"/>
      <c r="AB519" s="1333"/>
      <c r="AC519" s="1333"/>
      <c r="AD519" s="1333"/>
      <c r="AE519" s="1333"/>
      <c r="AF519" s="1333"/>
      <c r="AG519" s="1333"/>
      <c r="AH519" s="1333"/>
      <c r="AI519" s="1333"/>
      <c r="AJ519" s="1333"/>
    </row>
    <row r="520" spans="1:50" ht="18.75" hidden="1" x14ac:dyDescent="0.25">
      <c r="A520" s="1820"/>
      <c r="B520" s="125"/>
      <c r="C520" s="921"/>
      <c r="D520" s="258"/>
      <c r="E520" s="21"/>
      <c r="F520" s="297"/>
      <c r="G520" s="294"/>
      <c r="H520" s="295"/>
      <c r="I520" s="552"/>
      <c r="L520" s="1410" t="str">
        <f t="shared" si="57"/>
        <v/>
      </c>
      <c r="M520" s="1333"/>
      <c r="N520" s="1333"/>
      <c r="O520" s="1333"/>
      <c r="P520" s="1333"/>
      <c r="Q520" s="1333"/>
      <c r="R520" s="1453"/>
      <c r="S520" s="1364"/>
      <c r="T520" s="1284"/>
      <c r="U520" s="1333"/>
      <c r="V520" s="1333"/>
      <c r="W520" s="1333"/>
      <c r="X520" s="1333"/>
      <c r="Y520" s="1333"/>
      <c r="Z520" s="1333"/>
      <c r="AA520" s="1333"/>
      <c r="AB520" s="1333"/>
      <c r="AC520" s="1333"/>
      <c r="AD520" s="1333"/>
      <c r="AE520" s="1333"/>
      <c r="AF520" s="1333"/>
      <c r="AG520" s="1333"/>
      <c r="AH520" s="1333"/>
      <c r="AI520" s="1333"/>
      <c r="AJ520" s="1333"/>
    </row>
    <row r="521" spans="1:50" ht="18.75" hidden="1" x14ac:dyDescent="0.25">
      <c r="A521" s="1819"/>
      <c r="B521" s="125"/>
      <c r="C521" s="945"/>
      <c r="D521" s="29" t="str">
        <f>IF('C-Design&amp;Const'!$W521="","",'C-Design&amp;Const'!$W521)</f>
        <v>N</v>
      </c>
      <c r="E521" s="492"/>
      <c r="F521" s="235"/>
      <c r="G521" s="291" t="str">
        <f>IF('C-Design&amp;Const'!Y521="","",'C-Design&amp;Const'!Y521)</f>
        <v>26.</v>
      </c>
      <c r="H521" s="290" t="str">
        <f>CONCATENATE('C-Design&amp;Const'!Z521,IF(D521="N"," Not Used In This Construction Phase",""))</f>
        <v>Certificate of Substantial Completion Not Used In This Construction Phase</v>
      </c>
      <c r="I521" s="552"/>
      <c r="L521" s="1410" t="str">
        <f t="shared" si="57"/>
        <v/>
      </c>
      <c r="M521" s="1333"/>
      <c r="N521" s="1333"/>
      <c r="O521" s="1333"/>
      <c r="P521" s="1333"/>
      <c r="Q521" s="1333"/>
      <c r="R521" s="1453"/>
      <c r="S521" s="1364"/>
      <c r="T521" s="1284"/>
      <c r="U521" s="1333"/>
      <c r="V521" s="1333"/>
      <c r="W521" s="1333"/>
      <c r="X521" s="1333"/>
      <c r="Y521" s="1333"/>
      <c r="Z521" s="1333"/>
      <c r="AA521" s="1333"/>
      <c r="AB521" s="1333"/>
      <c r="AC521" s="1333"/>
      <c r="AD521" s="1333"/>
      <c r="AE521" s="1333"/>
      <c r="AF521" s="1333"/>
      <c r="AG521" s="1333"/>
      <c r="AH521" s="1333"/>
      <c r="AI521" s="1333"/>
      <c r="AJ521" s="1333"/>
    </row>
    <row r="522" spans="1:50" ht="18.75" hidden="1" x14ac:dyDescent="0.25">
      <c r="A522" s="1819"/>
      <c r="B522" s="125"/>
      <c r="C522" s="945"/>
      <c r="D522" s="223"/>
      <c r="E522" s="286"/>
      <c r="F522" s="539"/>
      <c r="G522" s="292"/>
      <c r="H522" s="293"/>
      <c r="I522" s="552"/>
      <c r="L522" s="1410" t="str">
        <f t="shared" si="57"/>
        <v/>
      </c>
      <c r="M522" s="1333"/>
      <c r="N522" s="1333"/>
      <c r="O522" s="1333"/>
      <c r="P522" s="1333"/>
      <c r="Q522" s="1333"/>
      <c r="R522" s="1453"/>
      <c r="S522" s="1364"/>
      <c r="T522" s="1284"/>
      <c r="U522" s="1333"/>
      <c r="V522" s="1333"/>
      <c r="W522" s="1333"/>
      <c r="X522" s="1333"/>
      <c r="Y522" s="1333"/>
      <c r="Z522" s="1333"/>
      <c r="AA522" s="1333"/>
      <c r="AB522" s="1333"/>
      <c r="AC522" s="1333"/>
      <c r="AD522" s="1333"/>
      <c r="AE522" s="1333"/>
      <c r="AF522" s="1333"/>
      <c r="AG522" s="1333"/>
      <c r="AH522" s="1333"/>
      <c r="AI522" s="1333"/>
      <c r="AJ522" s="1333"/>
    </row>
    <row r="523" spans="1:50" ht="18.75" hidden="1" x14ac:dyDescent="0.25">
      <c r="A523" s="1819"/>
      <c r="B523" s="125"/>
      <c r="C523" s="945"/>
      <c r="D523" s="29" t="str">
        <f>IF('C-Design&amp;Const'!$W523="","",'C-Design&amp;Const'!$W523)</f>
        <v>N</v>
      </c>
      <c r="E523" s="492"/>
      <c r="F523" s="235"/>
      <c r="G523" s="291" t="str">
        <f>IF('C-Design&amp;Const'!Y523="","",'C-Design&amp;Const'!Y523)</f>
        <v>27.</v>
      </c>
      <c r="H523" s="290" t="str">
        <f>CONCATENATE('C-Design&amp;Const'!Z523,IF(D523="N"," Not Used In This Construction Phase",""))</f>
        <v>Punch List Not Used In This Construction Phase</v>
      </c>
      <c r="I523" s="552"/>
      <c r="L523" s="1410" t="str">
        <f t="shared" si="57"/>
        <v/>
      </c>
      <c r="M523" s="1333"/>
      <c r="N523" s="1333"/>
      <c r="O523" s="1333"/>
      <c r="P523" s="1333"/>
      <c r="Q523" s="1333"/>
      <c r="R523" s="1453"/>
      <c r="S523" s="1364"/>
      <c r="T523" s="1284"/>
      <c r="U523" s="1333"/>
      <c r="V523" s="1333"/>
      <c r="W523" s="1333"/>
      <c r="X523" s="1333"/>
      <c r="Y523" s="1333"/>
      <c r="Z523" s="1333"/>
      <c r="AA523" s="1333"/>
      <c r="AB523" s="1333"/>
      <c r="AC523" s="1333"/>
      <c r="AD523" s="1333"/>
      <c r="AE523" s="1333"/>
      <c r="AF523" s="1333"/>
      <c r="AG523" s="1333"/>
      <c r="AH523" s="1333"/>
      <c r="AI523" s="1333"/>
      <c r="AJ523" s="1333"/>
    </row>
    <row r="524" spans="1:50" ht="23.25" hidden="1" customHeight="1" x14ac:dyDescent="0.25">
      <c r="A524" s="2346" t="s">
        <v>264</v>
      </c>
      <c r="B524" s="125"/>
      <c r="C524" s="945"/>
      <c r="D524" s="223"/>
      <c r="E524" s="286"/>
      <c r="F524" s="539"/>
      <c r="G524" s="292"/>
      <c r="H524" s="293"/>
      <c r="I524" s="552"/>
      <c r="L524" s="1410" t="str">
        <f t="shared" si="57"/>
        <v/>
      </c>
      <c r="M524" s="1333"/>
      <c r="N524" s="1333"/>
      <c r="O524" s="1333"/>
      <c r="P524" s="1333"/>
      <c r="Q524" s="1333"/>
      <c r="R524" s="1453"/>
      <c r="S524" s="1364"/>
      <c r="T524" s="1284"/>
      <c r="U524" s="1333"/>
      <c r="V524" s="1333"/>
      <c r="W524" s="1333"/>
      <c r="X524" s="1333"/>
      <c r="Y524" s="1333"/>
      <c r="Z524" s="1333"/>
      <c r="AA524" s="1333"/>
      <c r="AB524" s="1333"/>
      <c r="AC524" s="1333"/>
      <c r="AD524" s="1333"/>
      <c r="AE524" s="1333"/>
      <c r="AF524" s="1333"/>
      <c r="AG524" s="1333"/>
      <c r="AH524" s="1333"/>
      <c r="AI524" s="1333"/>
      <c r="AJ524" s="1333"/>
    </row>
    <row r="525" spans="1:50" ht="21" hidden="1" customHeight="1" x14ac:dyDescent="0.25">
      <c r="A525" s="2347"/>
      <c r="B525" s="125"/>
      <c r="C525" s="953"/>
      <c r="D525" s="310" t="s">
        <v>226</v>
      </c>
      <c r="E525" s="311"/>
      <c r="F525" s="311"/>
      <c r="G525" s="1039"/>
      <c r="H525" s="1040"/>
      <c r="I525" s="552"/>
      <c r="L525" s="1410" t="str">
        <f>CONCATENATE(IF(ISNUMBER(SEARCH("Placeholder",H525))=TRUE,"&lt;---PM/Planner may hide PLACEHOLDER ROW",""))</f>
        <v/>
      </c>
      <c r="M525" s="1333"/>
      <c r="N525" s="1333"/>
      <c r="O525" s="1333"/>
      <c r="P525" s="1333"/>
      <c r="Q525" s="1333"/>
      <c r="R525" s="1453"/>
      <c r="S525" s="1364"/>
      <c r="T525" s="1284"/>
      <c r="U525" s="1333"/>
      <c r="V525" s="1333"/>
      <c r="W525" s="1333"/>
      <c r="X525" s="1333"/>
      <c r="Y525" s="1333"/>
      <c r="Z525" s="1333"/>
      <c r="AA525" s="1333"/>
      <c r="AB525" s="1333"/>
      <c r="AC525" s="1333"/>
      <c r="AD525" s="1333"/>
      <c r="AE525" s="1333"/>
      <c r="AF525" s="1333"/>
      <c r="AG525" s="1333"/>
      <c r="AH525" s="1333"/>
      <c r="AI525" s="1333"/>
      <c r="AJ525" s="1333"/>
    </row>
    <row r="526" spans="1:50" ht="18.75" hidden="1" x14ac:dyDescent="0.25">
      <c r="A526" s="2347"/>
      <c r="B526" s="125"/>
      <c r="C526" s="921"/>
      <c r="D526" s="257"/>
      <c r="E526" s="297"/>
      <c r="F526" s="321"/>
      <c r="G526" s="294"/>
      <c r="H526" s="295"/>
      <c r="I526" s="552"/>
      <c r="L526" s="1410" t="str">
        <f>CONCATENATE(IF(ISNUMBER(SEARCH("Placeholder",H526))=TRUE,"&lt;---PM/Planner may hide PLACEHOLDER ROW",""))</f>
        <v/>
      </c>
      <c r="M526" s="1333"/>
      <c r="N526" s="1333"/>
      <c r="O526" s="1333"/>
      <c r="P526" s="1333"/>
      <c r="Q526" s="1333"/>
      <c r="R526" s="1453"/>
      <c r="S526" s="1364"/>
      <c r="T526" s="1284"/>
      <c r="U526" s="1333"/>
      <c r="V526" s="1333"/>
      <c r="W526" s="1333"/>
      <c r="X526" s="1333"/>
      <c r="Y526" s="1333"/>
      <c r="Z526" s="1333"/>
      <c r="AA526" s="1333"/>
      <c r="AB526" s="1333"/>
      <c r="AC526" s="1333"/>
      <c r="AD526" s="1333"/>
      <c r="AE526" s="1333"/>
      <c r="AF526" s="1333"/>
      <c r="AG526" s="1333"/>
      <c r="AH526" s="1333"/>
      <c r="AI526" s="1333"/>
      <c r="AJ526" s="1333"/>
    </row>
    <row r="527" spans="1:50" ht="37.5" hidden="1" x14ac:dyDescent="0.25">
      <c r="A527" s="2347"/>
      <c r="B527" s="125"/>
      <c r="C527" s="945"/>
      <c r="D527" s="29" t="str">
        <f>IF('C-Design&amp;Const'!$W527="","",'C-Design&amp;Const'!$W527)</f>
        <v>N</v>
      </c>
      <c r="E527" s="492"/>
      <c r="F527" s="210"/>
      <c r="G527" s="291" t="str">
        <f>IF('C-Design&amp;Const'!Y527="","",'C-Design&amp;Const'!Y527)</f>
        <v>30.</v>
      </c>
      <c r="H527" s="290" t="str">
        <f>CONCATENATE('C-Design&amp;Const'!Z527,IF(D527="N"," Not Used In This Construction Phase",""))</f>
        <v>O &amp; M's &amp; Systems Manuals (check for full component list in the facility standards) Not Used In This Construction Phase</v>
      </c>
      <c r="I527" s="552"/>
      <c r="L527" s="1410" t="str">
        <f t="shared" si="57"/>
        <v/>
      </c>
      <c r="M527" s="1333"/>
      <c r="N527" s="1333"/>
      <c r="O527" s="1333"/>
      <c r="P527" s="1333"/>
      <c r="Q527" s="1333"/>
      <c r="R527" s="1453"/>
      <c r="S527" s="1364"/>
      <c r="T527" s="1284"/>
      <c r="U527" s="1333"/>
      <c r="V527" s="1333"/>
      <c r="W527" s="1333"/>
      <c r="X527" s="1333"/>
      <c r="Y527" s="1333"/>
      <c r="Z527" s="1333"/>
      <c r="AA527" s="1333"/>
      <c r="AB527" s="1333"/>
      <c r="AC527" s="1333"/>
      <c r="AD527" s="1333"/>
      <c r="AE527" s="1333"/>
      <c r="AF527" s="1333"/>
      <c r="AG527" s="1333"/>
      <c r="AH527" s="1333"/>
      <c r="AI527" s="1333"/>
      <c r="AJ527" s="1333"/>
    </row>
    <row r="528" spans="1:50" ht="25.5" hidden="1" x14ac:dyDescent="0.25">
      <c r="A528" s="2347"/>
      <c r="B528" s="125"/>
      <c r="C528" s="921"/>
      <c r="D528" s="21"/>
      <c r="E528" s="297"/>
      <c r="F528" s="297"/>
      <c r="G528" s="294"/>
      <c r="H528" s="1043" t="s">
        <v>232</v>
      </c>
      <c r="I528" s="552"/>
      <c r="L528" s="1410" t="str">
        <f t="shared" si="57"/>
        <v/>
      </c>
      <c r="M528" s="1333"/>
      <c r="N528" s="1333"/>
      <c r="O528" s="1333"/>
      <c r="P528" s="1333"/>
      <c r="Q528" s="1333"/>
      <c r="R528" s="1453"/>
      <c r="S528" s="1364"/>
      <c r="T528" s="1284"/>
      <c r="U528" s="1333"/>
      <c r="V528" s="1333"/>
      <c r="W528" s="1333"/>
      <c r="X528" s="1333"/>
      <c r="Y528" s="1333"/>
      <c r="Z528" s="1333"/>
      <c r="AA528" s="1333"/>
      <c r="AB528" s="1333"/>
      <c r="AC528" s="1333"/>
      <c r="AD528" s="1333"/>
      <c r="AE528" s="1333"/>
      <c r="AF528" s="1333"/>
      <c r="AG528" s="1333"/>
      <c r="AH528" s="1333"/>
      <c r="AI528" s="1333"/>
      <c r="AJ528" s="1333"/>
    </row>
    <row r="529" spans="1:50" s="181" customFormat="1" ht="15" hidden="1" customHeight="1" x14ac:dyDescent="0.25">
      <c r="A529" s="2347"/>
      <c r="B529" s="177"/>
      <c r="C529" s="945"/>
      <c r="D529" s="152"/>
      <c r="E529" s="415" t="str">
        <f>IF('C-Design&amp;Const'!$W529="","",'C-Design&amp;Const'!$W529)</f>
        <v>N</v>
      </c>
      <c r="F529" s="560"/>
      <c r="G529" s="558"/>
      <c r="H529" s="238" t="str">
        <f>CONCATENATE(IF(ISNUMBER(SEARCH("Placeholder",'C-Design&amp;Const'!Z529))=TRUE,"",IF(E529="N","PLACEHOLDER ROW - ","")),'C-Design&amp;Const'!Z529,IF(E529="N","",#REF!))</f>
        <v>PLACEHOLDER ROW - Manufacturer’s Product Data (Tech Specifications/ Cut Sheets)</v>
      </c>
      <c r="I529" s="552"/>
      <c r="L529" s="1410" t="str">
        <f t="shared" si="57"/>
        <v>&lt;---PM/Planner may hide PLACEHOLDER ROW</v>
      </c>
      <c r="M529" s="1333"/>
      <c r="N529" s="1382"/>
      <c r="O529" s="1382"/>
      <c r="P529" s="1382"/>
      <c r="Q529" s="1382"/>
      <c r="R529" s="1447"/>
      <c r="S529" s="1448"/>
      <c r="T529" s="1274"/>
      <c r="U529" s="1382"/>
      <c r="V529" s="1382"/>
      <c r="W529" s="1382"/>
      <c r="X529" s="1382"/>
      <c r="Y529" s="1382"/>
      <c r="Z529" s="1382"/>
      <c r="AA529" s="1382"/>
      <c r="AB529" s="1382"/>
      <c r="AC529" s="1382"/>
      <c r="AD529" s="1382"/>
      <c r="AE529" s="1382"/>
      <c r="AF529" s="1382"/>
      <c r="AG529" s="1382"/>
      <c r="AH529" s="1382"/>
      <c r="AI529" s="1382"/>
      <c r="AJ529" s="1382"/>
      <c r="AX529" s="30"/>
    </row>
    <row r="530" spans="1:50" s="181" customFormat="1" ht="15" hidden="1" customHeight="1" x14ac:dyDescent="0.25">
      <c r="A530" s="2347"/>
      <c r="B530" s="177"/>
      <c r="C530" s="945"/>
      <c r="D530" s="152"/>
      <c r="E530" s="415" t="str">
        <f>IF('C-Design&amp;Const'!$W530="","",'C-Design&amp;Const'!$W530)</f>
        <v>N</v>
      </c>
      <c r="F530" s="560"/>
      <c r="G530" s="558"/>
      <c r="H530" s="238" t="str">
        <f>CONCATENATE(IF(ISNUMBER(SEARCH("Placeholder",'C-Design&amp;Const'!Z530))=TRUE,"",IF(E530="N","PLACEHOLDER ROW - ","")),'C-Design&amp;Const'!Z530,IF(E530="N","",#REF!))</f>
        <v>PLACEHOLDER ROW - Manufacturer’s Operational Instructions</v>
      </c>
      <c r="I530" s="552"/>
      <c r="L530" s="1410" t="str">
        <f t="shared" si="57"/>
        <v>&lt;---PM/Planner may hide PLACEHOLDER ROW</v>
      </c>
      <c r="M530" s="1382"/>
      <c r="N530" s="1382"/>
      <c r="O530" s="1382"/>
      <c r="P530" s="1382"/>
      <c r="Q530" s="1382"/>
      <c r="R530" s="1447"/>
      <c r="S530" s="1448"/>
      <c r="T530" s="1274"/>
      <c r="U530" s="1382"/>
      <c r="V530" s="1382"/>
      <c r="W530" s="1382"/>
      <c r="X530" s="1382"/>
      <c r="Y530" s="1382"/>
      <c r="Z530" s="1382"/>
      <c r="AA530" s="1382"/>
      <c r="AB530" s="1382"/>
      <c r="AC530" s="1382"/>
      <c r="AD530" s="1382"/>
      <c r="AE530" s="1382"/>
      <c r="AF530" s="1382"/>
      <c r="AG530" s="1382"/>
      <c r="AH530" s="1382"/>
      <c r="AI530" s="1382"/>
      <c r="AJ530" s="1382"/>
      <c r="AX530" s="30"/>
    </row>
    <row r="531" spans="1:50" s="181" customFormat="1" ht="15" hidden="1" customHeight="1" x14ac:dyDescent="0.25">
      <c r="A531" s="2347"/>
      <c r="B531" s="177"/>
      <c r="C531" s="945"/>
      <c r="D531" s="152"/>
      <c r="E531" s="415" t="str">
        <f>IF('C-Design&amp;Const'!$W531="","",'C-Design&amp;Const'!$W531)</f>
        <v>N</v>
      </c>
      <c r="F531" s="560"/>
      <c r="G531" s="558"/>
      <c r="H531" s="238" t="str">
        <f>CONCATENATE(IF(ISNUMBER(SEARCH("Placeholder",'C-Design&amp;Const'!Z531))=TRUE,"",IF(E531="N","PLACEHOLDER ROW - ","")),'C-Design&amp;Const'!Z531,IF(E531="N","",#REF!))</f>
        <v>PLACEHOLDER ROW - Supplemental Product Submittals &amp; Shop Drawings / Approved</v>
      </c>
      <c r="I531" s="552"/>
      <c r="L531" s="1410" t="str">
        <f t="shared" si="57"/>
        <v>&lt;---PM/Planner may hide PLACEHOLDER ROW</v>
      </c>
      <c r="M531" s="1382"/>
      <c r="N531" s="1382"/>
      <c r="O531" s="1382"/>
      <c r="P531" s="1382"/>
      <c r="Q531" s="1382"/>
      <c r="R531" s="1447"/>
      <c r="S531" s="1448"/>
      <c r="T531" s="1274"/>
      <c r="U531" s="1382"/>
      <c r="V531" s="1382"/>
      <c r="W531" s="1382"/>
      <c r="X531" s="1382"/>
      <c r="Y531" s="1382"/>
      <c r="Z531" s="1382"/>
      <c r="AA531" s="1382"/>
      <c r="AB531" s="1382"/>
      <c r="AC531" s="1382"/>
      <c r="AD531" s="1382"/>
      <c r="AE531" s="1382"/>
      <c r="AF531" s="1382"/>
      <c r="AG531" s="1382"/>
      <c r="AH531" s="1382"/>
      <c r="AI531" s="1382"/>
      <c r="AJ531" s="1382"/>
      <c r="AX531" s="30"/>
    </row>
    <row r="532" spans="1:50" s="181" customFormat="1" ht="15" hidden="1" customHeight="1" x14ac:dyDescent="0.25">
      <c r="A532" s="2347"/>
      <c r="B532" s="177"/>
      <c r="C532" s="945"/>
      <c r="D532" s="152"/>
      <c r="E532" s="415" t="str">
        <f>IF('C-Design&amp;Const'!$W532="","",'C-Design&amp;Const'!$W532)</f>
        <v>N</v>
      </c>
      <c r="F532" s="560"/>
      <c r="G532" s="558"/>
      <c r="H532" s="238" t="str">
        <f>CONCATENATE(IF(ISNUMBER(SEARCH("Placeholder",'C-Design&amp;Const'!Z532))=TRUE,"",IF(E532="N","PLACEHOLDER ROW - ","")),'C-Design&amp;Const'!Z532,IF(E532="N","",#REF!))</f>
        <v>PLACEHOLDER ROW - Manufacturer’s Preventive Maintenance Instructions</v>
      </c>
      <c r="I532" s="552"/>
      <c r="L532" s="1410" t="str">
        <f t="shared" ref="L532:L564" si="59">CONCATENATE(IF(ISNUMBER(SEARCH("Placeholder",H532))=TRUE,"&lt;---PM/Planner may hide PLACEHOLDER ROW",""))</f>
        <v>&lt;---PM/Planner may hide PLACEHOLDER ROW</v>
      </c>
      <c r="M532" s="1382"/>
      <c r="N532" s="1382"/>
      <c r="O532" s="1382"/>
      <c r="P532" s="1382"/>
      <c r="Q532" s="1382"/>
      <c r="R532" s="1447"/>
      <c r="S532" s="1448"/>
      <c r="T532" s="1274"/>
      <c r="U532" s="1382"/>
      <c r="V532" s="1382"/>
      <c r="W532" s="1382"/>
      <c r="X532" s="1382"/>
      <c r="Y532" s="1382"/>
      <c r="Z532" s="1382"/>
      <c r="AA532" s="1382"/>
      <c r="AB532" s="1382"/>
      <c r="AC532" s="1382"/>
      <c r="AD532" s="1382"/>
      <c r="AE532" s="1382"/>
      <c r="AF532" s="1382"/>
      <c r="AG532" s="1382"/>
      <c r="AH532" s="1382"/>
      <c r="AI532" s="1382"/>
      <c r="AJ532" s="1382"/>
      <c r="AX532" s="30"/>
    </row>
    <row r="533" spans="1:50" s="181" customFormat="1" ht="15" hidden="1" customHeight="1" x14ac:dyDescent="0.25">
      <c r="A533" s="2347"/>
      <c r="B533" s="177"/>
      <c r="C533" s="945"/>
      <c r="D533" s="152"/>
      <c r="E533" s="415" t="str">
        <f>IF('C-Design&amp;Const'!$W533="","",'C-Design&amp;Const'!$W533)</f>
        <v>N</v>
      </c>
      <c r="F533" s="560"/>
      <c r="G533" s="558"/>
      <c r="H533" s="238" t="str">
        <f>CONCATENATE(IF(ISNUMBER(SEARCH("Placeholder",'C-Design&amp;Const'!Z533))=TRUE,"",IF(E533="N","PLACEHOLDER ROW - ","")),'C-Design&amp;Const'!Z533,IF(E533="N","",#REF!))</f>
        <v xml:space="preserve">PLACEHOLDER ROW - Warranties and Bonds  </v>
      </c>
      <c r="I533" s="552"/>
      <c r="L533" s="1410" t="str">
        <f t="shared" si="59"/>
        <v>&lt;---PM/Planner may hide PLACEHOLDER ROW</v>
      </c>
      <c r="M533" s="1382"/>
      <c r="N533" s="1382"/>
      <c r="O533" s="1382"/>
      <c r="P533" s="1382"/>
      <c r="Q533" s="1382"/>
      <c r="R533" s="1447"/>
      <c r="S533" s="1448"/>
      <c r="T533" s="1274"/>
      <c r="U533" s="1382"/>
      <c r="V533" s="1382"/>
      <c r="W533" s="1382"/>
      <c r="X533" s="1382"/>
      <c r="Y533" s="1382"/>
      <c r="Z533" s="1382"/>
      <c r="AA533" s="1382"/>
      <c r="AB533" s="1382"/>
      <c r="AC533" s="1382"/>
      <c r="AD533" s="1382"/>
      <c r="AE533" s="1382"/>
      <c r="AF533" s="1382"/>
      <c r="AG533" s="1382"/>
      <c r="AH533" s="1382"/>
      <c r="AI533" s="1382"/>
      <c r="AJ533" s="1382"/>
      <c r="AX533" s="30"/>
    </row>
    <row r="534" spans="1:50" s="181" customFormat="1" ht="15" hidden="1" customHeight="1" x14ac:dyDescent="0.25">
      <c r="A534" s="2347"/>
      <c r="B534" s="177"/>
      <c r="C534" s="945"/>
      <c r="D534" s="152"/>
      <c r="E534" s="415" t="str">
        <f>IF('C-Design&amp;Const'!$W534="","",'C-Design&amp;Const'!$W534)</f>
        <v>N</v>
      </c>
      <c r="F534" s="560"/>
      <c r="G534" s="558"/>
      <c r="H534" s="238" t="str">
        <f>CONCATENATE(IF(ISNUMBER(SEARCH("Placeholder",'C-Design&amp;Const'!Z534))=TRUE,"",IF(E534="N","PLACEHOLDER ROW - ","")),'C-Design&amp;Const'!Z534,IF(E534="N","",#REF!))</f>
        <v>PLACEHOLDER ROW - Functional Performance Tests</v>
      </c>
      <c r="I534" s="552"/>
      <c r="L534" s="1410" t="str">
        <f t="shared" si="59"/>
        <v>&lt;---PM/Planner may hide PLACEHOLDER ROW</v>
      </c>
      <c r="M534" s="1382"/>
      <c r="N534" s="1382"/>
      <c r="O534" s="1382"/>
      <c r="P534" s="1382"/>
      <c r="Q534" s="1382"/>
      <c r="R534" s="1447"/>
      <c r="S534" s="1448"/>
      <c r="T534" s="1274"/>
      <c r="U534" s="1382"/>
      <c r="V534" s="1382"/>
      <c r="W534" s="1382"/>
      <c r="X534" s="1382"/>
      <c r="Y534" s="1382"/>
      <c r="Z534" s="1382"/>
      <c r="AA534" s="1382"/>
      <c r="AB534" s="1382"/>
      <c r="AC534" s="1382"/>
      <c r="AD534" s="1382"/>
      <c r="AE534" s="1382"/>
      <c r="AF534" s="1382"/>
      <c r="AG534" s="1382"/>
      <c r="AH534" s="1382"/>
      <c r="AI534" s="1382"/>
      <c r="AJ534" s="1382"/>
      <c r="AX534" s="30"/>
    </row>
    <row r="535" spans="1:50" s="181" customFormat="1" ht="15" hidden="1" customHeight="1" x14ac:dyDescent="0.25">
      <c r="A535" s="2347"/>
      <c r="B535" s="177"/>
      <c r="C535" s="945"/>
      <c r="D535" s="152"/>
      <c r="E535" s="415" t="str">
        <f>IF('C-Design&amp;Const'!$W535="","",'C-Design&amp;Const'!$W535)</f>
        <v>N</v>
      </c>
      <c r="F535" s="560"/>
      <c r="G535" s="558"/>
      <c r="H535" s="238" t="str">
        <f>CONCATENATE(IF(ISNUMBER(SEARCH("Placeholder",'C-Design&amp;Const'!Z535))=TRUE,"",IF(E535="N","PLACEHOLDER ROW - ","")),'C-Design&amp;Const'!Z535,IF(E535="N","",#REF!))</f>
        <v>PLACEHOLDER ROW - Safety Precautions</v>
      </c>
      <c r="I535" s="552"/>
      <c r="L535" s="1410" t="str">
        <f t="shared" si="59"/>
        <v>&lt;---PM/Planner may hide PLACEHOLDER ROW</v>
      </c>
      <c r="M535" s="1382"/>
      <c r="N535" s="1382"/>
      <c r="O535" s="1382"/>
      <c r="P535" s="1382"/>
      <c r="Q535" s="1382"/>
      <c r="R535" s="1447"/>
      <c r="S535" s="1448"/>
      <c r="T535" s="1274"/>
      <c r="U535" s="1382"/>
      <c r="V535" s="1382"/>
      <c r="W535" s="1382"/>
      <c r="X535" s="1382"/>
      <c r="Y535" s="1382"/>
      <c r="Z535" s="1382"/>
      <c r="AA535" s="1382"/>
      <c r="AB535" s="1382"/>
      <c r="AC535" s="1382"/>
      <c r="AD535" s="1382"/>
      <c r="AE535" s="1382"/>
      <c r="AF535" s="1382"/>
      <c r="AG535" s="1382"/>
      <c r="AH535" s="1382"/>
      <c r="AI535" s="1382"/>
      <c r="AJ535" s="1382"/>
      <c r="AX535" s="30"/>
    </row>
    <row r="536" spans="1:50" s="181" customFormat="1" ht="15" hidden="1" customHeight="1" x14ac:dyDescent="0.25">
      <c r="A536" s="2347"/>
      <c r="B536" s="177"/>
      <c r="C536" s="945"/>
      <c r="D536" s="152"/>
      <c r="E536" s="415" t="str">
        <f>IF('C-Design&amp;Const'!$W536="","",'C-Design&amp;Const'!$W536)</f>
        <v>N</v>
      </c>
      <c r="F536" s="560"/>
      <c r="G536" s="558"/>
      <c r="H536" s="238" t="str">
        <f>CONCATENATE(IF(ISNUMBER(SEARCH("Placeholder",'C-Design&amp;Const'!Z536))=TRUE,"",IF(E536="N","PLACEHOLDER ROW - ","")),'C-Design&amp;Const'!Z536,IF(E536="N","",#REF!))</f>
        <v>PLACEHOLDER ROW - Emergency Procedures</v>
      </c>
      <c r="I536" s="552"/>
      <c r="L536" s="1410" t="str">
        <f t="shared" si="59"/>
        <v>&lt;---PM/Planner may hide PLACEHOLDER ROW</v>
      </c>
      <c r="M536" s="1382"/>
      <c r="N536" s="1382"/>
      <c r="O536" s="1382"/>
      <c r="P536" s="1382"/>
      <c r="Q536" s="1382"/>
      <c r="R536" s="1447"/>
      <c r="S536" s="1448"/>
      <c r="T536" s="1274"/>
      <c r="U536" s="1382"/>
      <c r="V536" s="1382"/>
      <c r="W536" s="1382"/>
      <c r="X536" s="1382"/>
      <c r="Y536" s="1382"/>
      <c r="Z536" s="1382"/>
      <c r="AA536" s="1382"/>
      <c r="AB536" s="1382"/>
      <c r="AC536" s="1382"/>
      <c r="AD536" s="1382"/>
      <c r="AE536" s="1382"/>
      <c r="AF536" s="1382"/>
      <c r="AG536" s="1382"/>
      <c r="AH536" s="1382"/>
      <c r="AI536" s="1382"/>
      <c r="AJ536" s="1382"/>
      <c r="AX536" s="30"/>
    </row>
    <row r="537" spans="1:50" s="551" customFormat="1" ht="15" hidden="1" customHeight="1" x14ac:dyDescent="0.25">
      <c r="A537" s="2347"/>
      <c r="B537" s="549"/>
      <c r="C537" s="945"/>
      <c r="D537" s="547"/>
      <c r="E537" s="559" t="str">
        <f>IF('C-Design&amp;Const'!$W537="","",'C-Design&amp;Const'!$W537)</f>
        <v>N</v>
      </c>
      <c r="F537" s="560"/>
      <c r="G537" s="558"/>
      <c r="H537" s="238" t="str">
        <f>CONCATENATE(IF(ISNUMBER(SEARCH("Placeholder",'C-Design&amp;Const'!Z537))=TRUE,"",IF(E537="N","PLACEHOLDER ROW - ","")),'C-Design&amp;Const'!Z537,IF(E537="N","",#REF!))</f>
        <v>PLACEHOLDER ROW - BMS/BAS Network Architecture Diagrams</v>
      </c>
      <c r="I537" s="552"/>
      <c r="L537" s="1410" t="str">
        <f t="shared" si="59"/>
        <v>&lt;---PM/Planner may hide PLACEHOLDER ROW</v>
      </c>
      <c r="M537" s="1382"/>
      <c r="N537" s="1382"/>
      <c r="O537" s="1382"/>
      <c r="P537" s="1382"/>
      <c r="Q537" s="1382"/>
      <c r="R537" s="1447"/>
      <c r="S537" s="1448"/>
      <c r="T537" s="1274"/>
      <c r="U537" s="1382"/>
      <c r="V537" s="1382"/>
      <c r="W537" s="1382"/>
      <c r="X537" s="1382"/>
      <c r="Y537" s="1382"/>
      <c r="Z537" s="1382"/>
      <c r="AA537" s="1382"/>
      <c r="AB537" s="1382"/>
      <c r="AC537" s="1382"/>
      <c r="AD537" s="1382"/>
      <c r="AE537" s="1382"/>
      <c r="AF537" s="1382"/>
      <c r="AG537" s="1382"/>
      <c r="AH537" s="1382"/>
      <c r="AI537" s="1382"/>
      <c r="AJ537" s="1382"/>
      <c r="AX537" s="545"/>
    </row>
    <row r="538" spans="1:50" s="551" customFormat="1" ht="15" hidden="1" customHeight="1" x14ac:dyDescent="0.25">
      <c r="A538" s="2347"/>
      <c r="B538" s="549"/>
      <c r="C538" s="945"/>
      <c r="D538" s="547"/>
      <c r="E538" s="559" t="str">
        <f>IF('C-Design&amp;Const'!$W538="","",'C-Design&amp;Const'!$W538)</f>
        <v>N</v>
      </c>
      <c r="F538" s="560"/>
      <c r="G538" s="558"/>
      <c r="H538" s="238" t="str">
        <f>CONCATENATE(IF(ISNUMBER(SEARCH("Placeholder",'C-Design&amp;Const'!Z538))=TRUE,"",IF(E538="N","PLACEHOLDER ROW - ","")),'C-Design&amp;Const'!Z538,IF(E538="N","",#REF!))</f>
        <v>PLACEHOLDER ROW - BMS/BAS Input / Output Point List</v>
      </c>
      <c r="I538" s="552"/>
      <c r="L538" s="1410" t="str">
        <f t="shared" si="59"/>
        <v>&lt;---PM/Planner may hide PLACEHOLDER ROW</v>
      </c>
      <c r="M538" s="1382"/>
      <c r="N538" s="1382"/>
      <c r="O538" s="1382"/>
      <c r="P538" s="1382"/>
      <c r="Q538" s="1382"/>
      <c r="R538" s="1447"/>
      <c r="S538" s="1448"/>
      <c r="T538" s="1274"/>
      <c r="U538" s="1382"/>
      <c r="V538" s="1382"/>
      <c r="W538" s="1382"/>
      <c r="X538" s="1382"/>
      <c r="Y538" s="1382"/>
      <c r="Z538" s="1382"/>
      <c r="AA538" s="1382"/>
      <c r="AB538" s="1382"/>
      <c r="AC538" s="1382"/>
      <c r="AD538" s="1382"/>
      <c r="AE538" s="1382"/>
      <c r="AF538" s="1382"/>
      <c r="AG538" s="1382"/>
      <c r="AH538" s="1382"/>
      <c r="AI538" s="1382"/>
      <c r="AJ538" s="1382"/>
      <c r="AX538" s="545"/>
    </row>
    <row r="539" spans="1:50" s="551" customFormat="1" ht="15" hidden="1" customHeight="1" x14ac:dyDescent="0.25">
      <c r="A539" s="2347"/>
      <c r="B539" s="549"/>
      <c r="C539" s="945"/>
      <c r="D539" s="547"/>
      <c r="E539" s="559" t="str">
        <f>IF('C-Design&amp;Const'!$W539="","",'C-Design&amp;Const'!$W539)</f>
        <v>N</v>
      </c>
      <c r="F539" s="560"/>
      <c r="G539" s="558"/>
      <c r="H539" s="238" t="str">
        <f>CONCATENATE(IF(ISNUMBER(SEARCH("Placeholder",'C-Design&amp;Const'!Z539))=TRUE,"",IF(E539="N","PLACEHOLDER ROW - ","")),'C-Design&amp;Const'!Z539,IF(E539="N","",#REF!))</f>
        <v>PLACEHOLDER ROW - BMS/BAS Integration and Mapping Details</v>
      </c>
      <c r="I539" s="552"/>
      <c r="L539" s="1410" t="str">
        <f t="shared" si="59"/>
        <v>&lt;---PM/Planner may hide PLACEHOLDER ROW</v>
      </c>
      <c r="M539" s="1382"/>
      <c r="N539" s="1382"/>
      <c r="O539" s="1382"/>
      <c r="P539" s="1382"/>
      <c r="Q539" s="1382"/>
      <c r="R539" s="1447"/>
      <c r="S539" s="1448"/>
      <c r="T539" s="1274"/>
      <c r="U539" s="1382"/>
      <c r="V539" s="1382"/>
      <c r="W539" s="1382"/>
      <c r="X539" s="1382"/>
      <c r="Y539" s="1382"/>
      <c r="Z539" s="1382"/>
      <c r="AA539" s="1382"/>
      <c r="AB539" s="1382"/>
      <c r="AC539" s="1382"/>
      <c r="AD539" s="1382"/>
      <c r="AE539" s="1382"/>
      <c r="AF539" s="1382"/>
      <c r="AG539" s="1382"/>
      <c r="AH539" s="1382"/>
      <c r="AI539" s="1382"/>
      <c r="AJ539" s="1382"/>
      <c r="AX539" s="545"/>
    </row>
    <row r="540" spans="1:50" s="551" customFormat="1" ht="15" hidden="1" customHeight="1" x14ac:dyDescent="0.25">
      <c r="A540" s="2347"/>
      <c r="B540" s="549"/>
      <c r="C540" s="945"/>
      <c r="D540" s="547"/>
      <c r="E540" s="559" t="str">
        <f>IF('C-Design&amp;Const'!$W540="","",'C-Design&amp;Const'!$W540)</f>
        <v>N</v>
      </c>
      <c r="F540" s="560"/>
      <c r="G540" s="558"/>
      <c r="H540" s="238" t="str">
        <f>CONCATENATE(IF(ISNUMBER(SEARCH("Placeholder",'C-Design&amp;Const'!Z540))=TRUE,"",IF(E540="N","PLACEHOLDER ROW - ","")),'C-Design&amp;Const'!Z540,IF(E540="N","",#REF!))</f>
        <v>PLACEHOLDER ROW - BAS Licensing, Programming, and Engineering Tools</v>
      </c>
      <c r="I540" s="552"/>
      <c r="L540" s="1410" t="str">
        <f t="shared" si="59"/>
        <v>&lt;---PM/Planner may hide PLACEHOLDER ROW</v>
      </c>
      <c r="M540" s="1382"/>
      <c r="N540" s="1382"/>
      <c r="O540" s="1382"/>
      <c r="P540" s="1382"/>
      <c r="Q540" s="1382"/>
      <c r="R540" s="1447"/>
      <c r="S540" s="1448"/>
      <c r="T540" s="1274"/>
      <c r="U540" s="1382"/>
      <c r="V540" s="1382"/>
      <c r="W540" s="1382"/>
      <c r="X540" s="1382"/>
      <c r="Y540" s="1382"/>
      <c r="Z540" s="1382"/>
      <c r="AA540" s="1382"/>
      <c r="AB540" s="1382"/>
      <c r="AC540" s="1382"/>
      <c r="AD540" s="1382"/>
      <c r="AE540" s="1382"/>
      <c r="AF540" s="1382"/>
      <c r="AG540" s="1382"/>
      <c r="AH540" s="1382"/>
      <c r="AI540" s="1382"/>
      <c r="AJ540" s="1382"/>
      <c r="AX540" s="545"/>
    </row>
    <row r="541" spans="1:50" s="551" customFormat="1" ht="15" hidden="1" customHeight="1" x14ac:dyDescent="0.25">
      <c r="A541" s="2347"/>
      <c r="B541" s="549"/>
      <c r="C541" s="945"/>
      <c r="D541" s="547"/>
      <c r="E541" s="559" t="str">
        <f>IF('C-Design&amp;Const'!$W541="","",'C-Design&amp;Const'!$W541)</f>
        <v>N</v>
      </c>
      <c r="F541" s="560"/>
      <c r="G541" s="558"/>
      <c r="H541" s="238" t="str">
        <f>CONCATENATE(IF(ISNUMBER(SEARCH("Placeholder",'C-Design&amp;Const'!Z541))=TRUE,"",IF(E541="N","PLACEHOLDER ROW - ","")),'C-Design&amp;Const'!Z541,IF(E541="N","",#REF!))</f>
        <v>PLACEHOLDER ROW - Images and/or screen shots of final graphical user interfaces for each installed</v>
      </c>
      <c r="I541" s="552"/>
      <c r="L541" s="1410" t="str">
        <f t="shared" si="59"/>
        <v>&lt;---PM/Planner may hide PLACEHOLDER ROW</v>
      </c>
      <c r="M541" s="1382"/>
      <c r="N541" s="1382"/>
      <c r="O541" s="1382"/>
      <c r="P541" s="1382"/>
      <c r="Q541" s="1382"/>
      <c r="R541" s="1447"/>
      <c r="S541" s="1448"/>
      <c r="T541" s="1274"/>
      <c r="U541" s="1382"/>
      <c r="V541" s="1382"/>
      <c r="W541" s="1382"/>
      <c r="X541" s="1382"/>
      <c r="Y541" s="1382"/>
      <c r="Z541" s="1382"/>
      <c r="AA541" s="1382"/>
      <c r="AB541" s="1382"/>
      <c r="AC541" s="1382"/>
      <c r="AD541" s="1382"/>
      <c r="AE541" s="1382"/>
      <c r="AF541" s="1382"/>
      <c r="AG541" s="1382"/>
      <c r="AH541" s="1382"/>
      <c r="AI541" s="1382"/>
      <c r="AJ541" s="1382"/>
      <c r="AX541" s="545"/>
    </row>
    <row r="542" spans="1:50" s="551" customFormat="1" ht="15" hidden="1" customHeight="1" x14ac:dyDescent="0.25">
      <c r="A542" s="2347"/>
      <c r="B542" s="549"/>
      <c r="C542" s="945"/>
      <c r="D542" s="547"/>
      <c r="E542" s="29" t="str">
        <f>IF('C-Design&amp;Const'!$W542="","",'C-Design&amp;Const'!$W542)</f>
        <v>N</v>
      </c>
      <c r="F542" s="560"/>
      <c r="G542" s="558"/>
      <c r="H542" s="238" t="str">
        <f>CONCATENATE(IF(ISNUMBER(SEARCH("Placeholder",'C-Design&amp;Const'!Z542))=TRUE,"",IF(E542="N","PLACEHOLDER ROW - ","")),'C-Design&amp;Const'!Z542,IF(E542="N","",#REF!))</f>
        <v>PLACEHOLDER ROW - OPTIONAL CLIENT CUSTOM ITEM</v>
      </c>
      <c r="I542" s="552"/>
      <c r="L542" s="1410" t="str">
        <f t="shared" si="59"/>
        <v>&lt;---PM/Planner may hide PLACEHOLDER ROW</v>
      </c>
      <c r="M542" s="1382"/>
      <c r="N542" s="1382"/>
      <c r="O542" s="1382"/>
      <c r="P542" s="1382"/>
      <c r="Q542" s="1382"/>
      <c r="R542" s="1447"/>
      <c r="S542" s="1448"/>
      <c r="T542" s="1274"/>
      <c r="U542" s="1382"/>
      <c r="V542" s="1382"/>
      <c r="W542" s="1382"/>
      <c r="X542" s="1382"/>
      <c r="Y542" s="1382"/>
      <c r="Z542" s="1382"/>
      <c r="AA542" s="1382"/>
      <c r="AB542" s="1382"/>
      <c r="AC542" s="1382"/>
      <c r="AD542" s="1382"/>
      <c r="AE542" s="1382"/>
      <c r="AF542" s="1382"/>
      <c r="AG542" s="1382"/>
      <c r="AH542" s="1382"/>
      <c r="AI542" s="1382"/>
      <c r="AJ542" s="1382"/>
      <c r="AX542" s="545"/>
    </row>
    <row r="543" spans="1:50" s="551" customFormat="1" ht="15" hidden="1" customHeight="1" x14ac:dyDescent="0.25">
      <c r="A543" s="2347"/>
      <c r="B543" s="549"/>
      <c r="C543" s="945"/>
      <c r="D543" s="547"/>
      <c r="E543" s="29" t="str">
        <f>IF('C-Design&amp;Const'!$W543="","",'C-Design&amp;Const'!$W543)</f>
        <v>N</v>
      </c>
      <c r="F543" s="560"/>
      <c r="G543" s="558"/>
      <c r="H543" s="238" t="str">
        <f>CONCATENATE(IF(ISNUMBER(SEARCH("Placeholder",'C-Design&amp;Const'!Z543))=TRUE,"",IF(E543="N","PLACEHOLDER ROW - ","")),'C-Design&amp;Const'!Z543,IF(E543="N","",#REF!))</f>
        <v>PLACEHOLDER ROW - OPTIONAL CLIENT CUSTOM ITEM</v>
      </c>
      <c r="I543" s="552"/>
      <c r="L543" s="1410" t="str">
        <f t="shared" si="59"/>
        <v>&lt;---PM/Planner may hide PLACEHOLDER ROW</v>
      </c>
      <c r="M543" s="1382"/>
      <c r="N543" s="1382"/>
      <c r="O543" s="1382"/>
      <c r="P543" s="1382"/>
      <c r="Q543" s="1382"/>
      <c r="R543" s="1447"/>
      <c r="S543" s="1448"/>
      <c r="T543" s="1274"/>
      <c r="U543" s="1382"/>
      <c r="V543" s="1382"/>
      <c r="W543" s="1382"/>
      <c r="X543" s="1382"/>
      <c r="Y543" s="1382"/>
      <c r="Z543" s="1382"/>
      <c r="AA543" s="1382"/>
      <c r="AB543" s="1382"/>
      <c r="AC543" s="1382"/>
      <c r="AD543" s="1382"/>
      <c r="AE543" s="1382"/>
      <c r="AF543" s="1382"/>
      <c r="AG543" s="1382"/>
      <c r="AH543" s="1382"/>
      <c r="AI543" s="1382"/>
      <c r="AJ543" s="1382"/>
      <c r="AX543" s="545"/>
    </row>
    <row r="544" spans="1:50" s="551" customFormat="1" ht="15" hidden="1" customHeight="1" x14ac:dyDescent="0.25">
      <c r="A544" s="2347"/>
      <c r="B544" s="549"/>
      <c r="C544" s="945"/>
      <c r="D544" s="547"/>
      <c r="E544" s="29" t="str">
        <f>IF('C-Design&amp;Const'!$W544="","",'C-Design&amp;Const'!$W544)</f>
        <v>N</v>
      </c>
      <c r="F544" s="560"/>
      <c r="G544" s="558"/>
      <c r="H544" s="238" t="str">
        <f>CONCATENATE(IF(ISNUMBER(SEARCH("Placeholder",'C-Design&amp;Const'!Z544))=TRUE,"",IF(E544="N","PLACEHOLDER ROW - ","")),'C-Design&amp;Const'!Z544,IF(E544="N","",#REF!))</f>
        <v>PLACEHOLDER ROW - OPTIONAL CLIENT CUSTOM ITEM</v>
      </c>
      <c r="I544" s="552"/>
      <c r="L544" s="1410" t="str">
        <f t="shared" si="59"/>
        <v>&lt;---PM/Planner may hide PLACEHOLDER ROW</v>
      </c>
      <c r="M544" s="1382"/>
      <c r="N544" s="1382"/>
      <c r="O544" s="1382"/>
      <c r="P544" s="1382"/>
      <c r="Q544" s="1382"/>
      <c r="R544" s="1447"/>
      <c r="S544" s="1448"/>
      <c r="T544" s="1274"/>
      <c r="U544" s="1382"/>
      <c r="V544" s="1382"/>
      <c r="W544" s="1382"/>
      <c r="X544" s="1382"/>
      <c r="Y544" s="1382"/>
      <c r="Z544" s="1382"/>
      <c r="AA544" s="1382"/>
      <c r="AB544" s="1382"/>
      <c r="AC544" s="1382"/>
      <c r="AD544" s="1382"/>
      <c r="AE544" s="1382"/>
      <c r="AF544" s="1382"/>
      <c r="AG544" s="1382"/>
      <c r="AH544" s="1382"/>
      <c r="AI544" s="1382"/>
      <c r="AJ544" s="1382"/>
      <c r="AX544" s="545"/>
    </row>
    <row r="545" spans="1:50" ht="18.75" hidden="1" customHeight="1" x14ac:dyDescent="0.25">
      <c r="A545" s="2347"/>
      <c r="B545" s="125"/>
      <c r="C545" s="945"/>
      <c r="D545" s="265"/>
      <c r="E545" s="321"/>
      <c r="F545" s="321"/>
      <c r="G545" s="294"/>
      <c r="H545" s="412"/>
      <c r="I545" s="552"/>
      <c r="L545" s="1410" t="str">
        <f t="shared" si="59"/>
        <v/>
      </c>
      <c r="M545" s="1382"/>
      <c r="N545" s="1333"/>
      <c r="O545" s="1333"/>
      <c r="P545" s="1333"/>
      <c r="Q545" s="1333"/>
      <c r="R545" s="1453"/>
      <c r="S545" s="1364"/>
      <c r="T545" s="1284"/>
      <c r="U545" s="1333"/>
      <c r="V545" s="1333"/>
      <c r="W545" s="1333"/>
      <c r="X545" s="1333"/>
      <c r="Y545" s="1333"/>
      <c r="Z545" s="1333"/>
      <c r="AA545" s="1333"/>
      <c r="AB545" s="1333"/>
      <c r="AC545" s="1333"/>
      <c r="AD545" s="1333"/>
      <c r="AE545" s="1333"/>
      <c r="AF545" s="1333"/>
      <c r="AG545" s="1333"/>
      <c r="AH545" s="1333"/>
      <c r="AI545" s="1333"/>
      <c r="AJ545" s="1333"/>
    </row>
    <row r="546" spans="1:50" ht="18.75" hidden="1" x14ac:dyDescent="0.25">
      <c r="A546" s="2347"/>
      <c r="B546" s="125"/>
      <c r="C546" s="945"/>
      <c r="D546" s="29" t="str">
        <f>IF('C-Design&amp;Const'!$W546="","",'C-Design&amp;Const'!$W546)</f>
        <v>N</v>
      </c>
      <c r="E546" s="234"/>
      <c r="F546" s="235"/>
      <c r="G546" s="291" t="str">
        <f>IF('C-Design&amp;Const'!Y546="","",'C-Design&amp;Const'!Y546)</f>
        <v>31.</v>
      </c>
      <c r="H546" s="290" t="str">
        <f>CONCATENATE('C-Design&amp;Const'!Z546,IF(D546="N"," Not Used In This Construction Phase",""))</f>
        <v>LEED Certification / Documentation Not Used In This Construction Phase</v>
      </c>
      <c r="I546" s="552"/>
      <c r="L546" s="1410" t="str">
        <f t="shared" si="59"/>
        <v/>
      </c>
      <c r="M546" s="1333"/>
      <c r="N546" s="1333"/>
      <c r="O546" s="1333"/>
      <c r="P546" s="1333"/>
      <c r="Q546" s="1333"/>
      <c r="R546" s="1453"/>
      <c r="S546" s="1364"/>
      <c r="T546" s="1284"/>
      <c r="U546" s="1333"/>
      <c r="V546" s="1333"/>
      <c r="W546" s="1333"/>
      <c r="X546" s="1333"/>
      <c r="Y546" s="1333"/>
      <c r="Z546" s="1333"/>
      <c r="AA546" s="1333"/>
      <c r="AB546" s="1333"/>
      <c r="AC546" s="1333"/>
      <c r="AD546" s="1333"/>
      <c r="AE546" s="1333"/>
      <c r="AF546" s="1333"/>
      <c r="AG546" s="1333"/>
      <c r="AH546" s="1333"/>
      <c r="AI546" s="1333"/>
      <c r="AJ546" s="1333"/>
    </row>
    <row r="547" spans="1:50" s="181" customFormat="1" ht="15" hidden="1" customHeight="1" x14ac:dyDescent="0.25">
      <c r="A547" s="2347"/>
      <c r="B547" s="177"/>
      <c r="C547" s="945"/>
      <c r="D547" s="547"/>
      <c r="E547" s="559" t="str">
        <f>IF('C-Design&amp;Const'!$W547="","",'C-Design&amp;Const'!$W547)</f>
        <v>N</v>
      </c>
      <c r="F547" s="560"/>
      <c r="G547" s="558"/>
      <c r="H547" s="410" t="str">
        <f>IF('C-Design&amp;Const'!Z547="","",'C-Design&amp;Const'!Z547)</f>
        <v>Supplemental - US Green Buildings Council Building Certification</v>
      </c>
      <c r="I547" s="552"/>
      <c r="L547" s="1410" t="str">
        <f t="shared" si="59"/>
        <v/>
      </c>
      <c r="M547" s="1333"/>
      <c r="N547" s="1382"/>
      <c r="O547" s="1382"/>
      <c r="P547" s="1382"/>
      <c r="Q547" s="1382"/>
      <c r="R547" s="1447"/>
      <c r="S547" s="1448"/>
      <c r="T547" s="1274"/>
      <c r="U547" s="1382"/>
      <c r="V547" s="1382"/>
      <c r="W547" s="1382"/>
      <c r="X547" s="1382"/>
      <c r="Y547" s="1382"/>
      <c r="Z547" s="1382"/>
      <c r="AA547" s="1382"/>
      <c r="AB547" s="1382"/>
      <c r="AC547" s="1382"/>
      <c r="AD547" s="1382"/>
      <c r="AE547" s="1382"/>
      <c r="AF547" s="1382"/>
      <c r="AG547" s="1382"/>
      <c r="AH547" s="1382"/>
      <c r="AI547" s="1382"/>
      <c r="AJ547" s="1382"/>
      <c r="AX547" s="30"/>
    </row>
    <row r="548" spans="1:50" s="551" customFormat="1" ht="15" hidden="1" customHeight="1" x14ac:dyDescent="0.25">
      <c r="A548" s="2347"/>
      <c r="B548" s="549"/>
      <c r="C548" s="945"/>
      <c r="D548" s="547"/>
      <c r="E548" s="29" t="str">
        <f>IF('C-Design&amp;Const'!$W548="","",'C-Design&amp;Const'!$W548)</f>
        <v>N</v>
      </c>
      <c r="F548" s="560"/>
      <c r="G548" s="558"/>
      <c r="H548" s="238" t="str">
        <f>CONCATENATE(IF(ISNUMBER(SEARCH("Placeholder",'C-Design&amp;Const'!Z548))=TRUE,"",IF(E548="N","PLACEHOLDER ROW - ","")),'C-Design&amp;Const'!Z548,IF(E548="N","",#REF!))</f>
        <v>PLACEHOLDER ROW - OPTIONAL CLIENT CUSTOM ITEM</v>
      </c>
      <c r="I548" s="552"/>
      <c r="L548" s="1410" t="str">
        <f t="shared" ref="L548:L549" si="60">CONCATENATE(IF(ISNUMBER(SEARCH("Placeholder",H548))=TRUE,"&lt;---PM/Planner may hide PLACEHOLDER ROW",""))</f>
        <v>&lt;---PM/Planner may hide PLACEHOLDER ROW</v>
      </c>
      <c r="M548" s="1382"/>
      <c r="N548" s="1382"/>
      <c r="O548" s="1382"/>
      <c r="P548" s="1382"/>
      <c r="Q548" s="1382"/>
      <c r="R548" s="1447"/>
      <c r="S548" s="1448"/>
      <c r="T548" s="1274"/>
      <c r="U548" s="1382"/>
      <c r="V548" s="1382"/>
      <c r="W548" s="1382"/>
      <c r="X548" s="1382"/>
      <c r="Y548" s="1382"/>
      <c r="Z548" s="1382"/>
      <c r="AA548" s="1382"/>
      <c r="AB548" s="1382"/>
      <c r="AC548" s="1382"/>
      <c r="AD548" s="1382"/>
      <c r="AE548" s="1382"/>
      <c r="AF548" s="1382"/>
      <c r="AG548" s="1382"/>
      <c r="AH548" s="1382"/>
      <c r="AI548" s="1382"/>
      <c r="AJ548" s="1382"/>
      <c r="AX548" s="545"/>
    </row>
    <row r="549" spans="1:50" s="551" customFormat="1" ht="15" hidden="1" customHeight="1" x14ac:dyDescent="0.25">
      <c r="A549" s="2347"/>
      <c r="B549" s="549"/>
      <c r="C549" s="945"/>
      <c r="D549" s="547"/>
      <c r="E549" s="29" t="str">
        <f>IF('C-Design&amp;Const'!$W549="","",'C-Design&amp;Const'!$W549)</f>
        <v>N</v>
      </c>
      <c r="F549" s="560"/>
      <c r="G549" s="558"/>
      <c r="H549" s="238" t="str">
        <f>CONCATENATE(IF(ISNUMBER(SEARCH("Placeholder",'C-Design&amp;Const'!Z549))=TRUE,"",IF(E549="N","PLACEHOLDER ROW - ","")),'C-Design&amp;Const'!Z549,IF(E549="N","",#REF!))</f>
        <v>PLACEHOLDER ROW - OPTIONAL CLIENT CUSTOM ITEM</v>
      </c>
      <c r="I549" s="552"/>
      <c r="L549" s="1410" t="str">
        <f t="shared" si="60"/>
        <v>&lt;---PM/Planner may hide PLACEHOLDER ROW</v>
      </c>
      <c r="M549" s="1382"/>
      <c r="N549" s="1382"/>
      <c r="O549" s="1382"/>
      <c r="P549" s="1382"/>
      <c r="Q549" s="1382"/>
      <c r="R549" s="1447"/>
      <c r="S549" s="1448"/>
      <c r="T549" s="1274"/>
      <c r="U549" s="1382"/>
      <c r="V549" s="1382"/>
      <c r="W549" s="1382"/>
      <c r="X549" s="1382"/>
      <c r="Y549" s="1382"/>
      <c r="Z549" s="1382"/>
      <c r="AA549" s="1382"/>
      <c r="AB549" s="1382"/>
      <c r="AC549" s="1382"/>
      <c r="AD549" s="1382"/>
      <c r="AE549" s="1382"/>
      <c r="AF549" s="1382"/>
      <c r="AG549" s="1382"/>
      <c r="AH549" s="1382"/>
      <c r="AI549" s="1382"/>
      <c r="AJ549" s="1382"/>
      <c r="AX549" s="545"/>
    </row>
    <row r="550" spans="1:50" ht="18.75" hidden="1" customHeight="1" x14ac:dyDescent="0.25">
      <c r="A550" s="2347"/>
      <c r="B550" s="125"/>
      <c r="C550" s="945"/>
      <c r="D550" s="258"/>
      <c r="E550" s="321"/>
      <c r="F550" s="321"/>
      <c r="G550" s="294"/>
      <c r="H550" s="295"/>
      <c r="I550" s="552"/>
      <c r="L550" s="1410" t="str">
        <f t="shared" si="59"/>
        <v/>
      </c>
      <c r="M550" s="1382"/>
      <c r="N550" s="1333"/>
      <c r="O550" s="1333"/>
      <c r="P550" s="1333"/>
      <c r="Q550" s="1333"/>
      <c r="R550" s="1453"/>
      <c r="S550" s="1364"/>
      <c r="T550" s="1284"/>
      <c r="U550" s="1333"/>
      <c r="V550" s="1333"/>
      <c r="W550" s="1333"/>
      <c r="X550" s="1333"/>
      <c r="Y550" s="1333"/>
      <c r="Z550" s="1333"/>
      <c r="AA550" s="1333"/>
      <c r="AB550" s="1333"/>
      <c r="AC550" s="1333"/>
      <c r="AD550" s="1333"/>
      <c r="AE550" s="1333"/>
      <c r="AF550" s="1333"/>
      <c r="AG550" s="1333"/>
      <c r="AH550" s="1333"/>
      <c r="AI550" s="1333"/>
      <c r="AJ550" s="1333"/>
    </row>
    <row r="551" spans="1:50" ht="37.5" hidden="1" x14ac:dyDescent="0.25">
      <c r="A551" s="2347"/>
      <c r="B551" s="125"/>
      <c r="C551" s="945"/>
      <c r="D551" s="29" t="str">
        <f>IF('C-Design&amp;Const'!$W551="","",'C-Design&amp;Const'!$W551)</f>
        <v>N</v>
      </c>
      <c r="E551" s="234"/>
      <c r="F551" s="235"/>
      <c r="G551" s="291" t="str">
        <f>IF('C-Design&amp;Const'!Y551="","",'C-Design&amp;Const'!Y551)</f>
        <v>32.</v>
      </c>
      <c r="H551" s="290" t="str">
        <f>CONCATENATE('C-Design&amp;Const'!Z551,IF(D551="N"," Not Used In This Construction Phase",""))</f>
        <v>Final Approved Contractor Submittals with Log Not Used In This Construction Phase</v>
      </c>
      <c r="I551" s="552"/>
      <c r="L551" s="1410" t="str">
        <f t="shared" si="59"/>
        <v/>
      </c>
      <c r="M551" s="1333"/>
      <c r="N551" s="1333"/>
      <c r="O551" s="1333"/>
      <c r="P551" s="1333"/>
      <c r="Q551" s="1333"/>
      <c r="R551" s="1453"/>
      <c r="S551" s="1364"/>
      <c r="T551" s="1284"/>
      <c r="U551" s="1333"/>
      <c r="V551" s="1333"/>
      <c r="W551" s="1333"/>
      <c r="X551" s="1333"/>
      <c r="Y551" s="1333"/>
      <c r="Z551" s="1333"/>
      <c r="AA551" s="1333"/>
      <c r="AB551" s="1333"/>
      <c r="AC551" s="1333"/>
      <c r="AD551" s="1333"/>
      <c r="AE551" s="1333"/>
      <c r="AF551" s="1333"/>
      <c r="AG551" s="1333"/>
      <c r="AH551" s="1333"/>
      <c r="AI551" s="1333"/>
      <c r="AJ551" s="1333"/>
    </row>
    <row r="552" spans="1:50" ht="18.75" hidden="1" customHeight="1" x14ac:dyDescent="0.25">
      <c r="A552" s="2347"/>
      <c r="B552" s="125"/>
      <c r="C552" s="921"/>
      <c r="D552" s="258"/>
      <c r="E552" s="321"/>
      <c r="F552" s="321"/>
      <c r="G552" s="294"/>
      <c r="H552" s="295"/>
      <c r="I552" s="552"/>
      <c r="L552" s="1410" t="str">
        <f t="shared" si="59"/>
        <v/>
      </c>
      <c r="M552" s="1333"/>
      <c r="N552" s="1333"/>
      <c r="O552" s="1333"/>
      <c r="P552" s="1333"/>
      <c r="Q552" s="1333"/>
      <c r="R552" s="1453"/>
      <c r="S552" s="1364"/>
      <c r="T552" s="1284"/>
      <c r="U552" s="1333"/>
      <c r="V552" s="1333"/>
      <c r="W552" s="1333"/>
      <c r="X552" s="1333"/>
      <c r="Y552" s="1333"/>
      <c r="Z552" s="1333"/>
      <c r="AA552" s="1333"/>
      <c r="AB552" s="1333"/>
      <c r="AC552" s="1333"/>
      <c r="AD552" s="1333"/>
      <c r="AE552" s="1333"/>
      <c r="AF552" s="1333"/>
      <c r="AG552" s="1333"/>
      <c r="AH552" s="1333"/>
      <c r="AI552" s="1333"/>
      <c r="AJ552" s="1333"/>
    </row>
    <row r="553" spans="1:50" ht="37.5" hidden="1" x14ac:dyDescent="0.25">
      <c r="A553" s="2347"/>
      <c r="B553" s="125"/>
      <c r="C553" s="945"/>
      <c r="D553" s="29" t="str">
        <f>IF('C-Design&amp;Const'!$W553="","",'C-Design&amp;Const'!$W553)</f>
        <v>N</v>
      </c>
      <c r="E553" s="234"/>
      <c r="F553" s="235"/>
      <c r="G553" s="291" t="str">
        <f>IF('C-Design&amp;Const'!Y553="","",'C-Design&amp;Const'!Y553)</f>
        <v>33.</v>
      </c>
      <c r="H553" s="290" t="str">
        <f>CONCATENATE('C-Design&amp;Const'!Z553,IF(D553="N"," Not Used In This Construction Phase",""))</f>
        <v>Contractor As-Built Drawings and As-Built Project Manual Not Used In This Construction Phase</v>
      </c>
      <c r="I553" s="552"/>
      <c r="L553" s="1410" t="str">
        <f t="shared" si="59"/>
        <v/>
      </c>
      <c r="M553" s="1333"/>
      <c r="N553" s="1333"/>
      <c r="O553" s="1333"/>
      <c r="P553" s="1333"/>
      <c r="Q553" s="1333"/>
      <c r="R553" s="1453"/>
      <c r="S553" s="1364"/>
      <c r="T553" s="1284"/>
      <c r="U553" s="1333"/>
      <c r="V553" s="1333"/>
      <c r="W553" s="1333"/>
      <c r="X553" s="1333"/>
      <c r="Y553" s="1333"/>
      <c r="Z553" s="1333"/>
      <c r="AA553" s="1333"/>
      <c r="AB553" s="1333"/>
      <c r="AC553" s="1333"/>
      <c r="AD553" s="1333"/>
      <c r="AE553" s="1333"/>
      <c r="AF553" s="1333"/>
      <c r="AG553" s="1333"/>
      <c r="AH553" s="1333"/>
      <c r="AI553" s="1333"/>
      <c r="AJ553" s="1333"/>
    </row>
    <row r="554" spans="1:50" ht="18.75" hidden="1" customHeight="1" x14ac:dyDescent="0.25">
      <c r="A554" s="2348"/>
      <c r="B554" s="125"/>
      <c r="C554" s="921"/>
      <c r="D554" s="258"/>
      <c r="E554" s="321"/>
      <c r="F554" s="321"/>
      <c r="G554" s="294"/>
      <c r="H554" s="295"/>
      <c r="I554" s="552"/>
      <c r="L554" s="1410" t="str">
        <f t="shared" si="59"/>
        <v/>
      </c>
      <c r="M554" s="1333"/>
      <c r="N554" s="1333"/>
      <c r="O554" s="1333"/>
      <c r="P554" s="1333"/>
      <c r="Q554" s="1333"/>
      <c r="R554" s="1453"/>
      <c r="S554" s="1364"/>
      <c r="T554" s="1284"/>
      <c r="U554" s="1333"/>
      <c r="V554" s="1333"/>
      <c r="W554" s="1333"/>
      <c r="X554" s="1333"/>
      <c r="Y554" s="1333"/>
      <c r="Z554" s="1333"/>
      <c r="AA554" s="1333"/>
      <c r="AB554" s="1333"/>
      <c r="AC554" s="1333"/>
      <c r="AD554" s="1333"/>
      <c r="AE554" s="1333"/>
      <c r="AF554" s="1333"/>
      <c r="AG554" s="1333"/>
      <c r="AH554" s="1333"/>
      <c r="AI554" s="1333"/>
      <c r="AJ554" s="1333"/>
    </row>
    <row r="555" spans="1:50" ht="21" x14ac:dyDescent="0.25">
      <c r="A555" s="2340" t="s">
        <v>778</v>
      </c>
      <c r="B555" s="125"/>
      <c r="C555" s="954"/>
      <c r="D555" s="308" t="s">
        <v>316</v>
      </c>
      <c r="E555" s="309"/>
      <c r="F555" s="309"/>
      <c r="G555" s="1044"/>
      <c r="H555" s="1045"/>
      <c r="I555" s="552"/>
      <c r="L555" s="1529" t="s">
        <v>237</v>
      </c>
      <c r="M555" s="1333"/>
      <c r="N555" s="1333"/>
      <c r="O555" s="1333"/>
      <c r="P555" s="1333"/>
      <c r="Q555" s="1333"/>
      <c r="R555" s="1453"/>
      <c r="S555" s="1364"/>
      <c r="T555" s="1284"/>
      <c r="U555" s="1333"/>
      <c r="V555" s="1333"/>
      <c r="W555" s="1333"/>
      <c r="X555" s="1333"/>
      <c r="Y555" s="1333"/>
      <c r="Z555" s="1333"/>
      <c r="AA555" s="1333"/>
      <c r="AB555" s="1333"/>
      <c r="AC555" s="1333"/>
      <c r="AD555" s="1333"/>
      <c r="AE555" s="1333"/>
      <c r="AF555" s="1333"/>
      <c r="AG555" s="1333"/>
      <c r="AH555" s="1333"/>
      <c r="AI555" s="1333"/>
      <c r="AJ555" s="1333"/>
    </row>
    <row r="556" spans="1:50" ht="18.75" x14ac:dyDescent="0.25">
      <c r="A556" s="2341"/>
      <c r="B556" s="125"/>
      <c r="C556" s="921"/>
      <c r="D556" s="258"/>
      <c r="E556" s="21"/>
      <c r="F556" s="21"/>
      <c r="G556" s="294"/>
      <c r="H556" s="295"/>
      <c r="I556" s="552"/>
      <c r="L556" s="1410" t="str">
        <f t="shared" si="59"/>
        <v/>
      </c>
      <c r="M556" s="1333"/>
      <c r="N556" s="1333"/>
      <c r="O556" s="1333"/>
      <c r="P556" s="1333"/>
      <c r="Q556" s="1333"/>
      <c r="R556" s="1453"/>
      <c r="S556" s="1364"/>
      <c r="T556" s="1284"/>
      <c r="U556" s="1333"/>
      <c r="V556" s="1333"/>
      <c r="W556" s="1333"/>
      <c r="X556" s="1333"/>
      <c r="Y556" s="1333"/>
      <c r="Z556" s="1333"/>
      <c r="AA556" s="1333"/>
      <c r="AB556" s="1333"/>
      <c r="AC556" s="1333"/>
      <c r="AD556" s="1333"/>
      <c r="AE556" s="1333"/>
      <c r="AF556" s="1333"/>
      <c r="AG556" s="1333"/>
      <c r="AH556" s="1333"/>
      <c r="AI556" s="1333"/>
      <c r="AJ556" s="1333"/>
    </row>
    <row r="557" spans="1:50" ht="18.75" x14ac:dyDescent="0.25">
      <c r="A557" s="2341"/>
      <c r="B557" s="125"/>
      <c r="C557" s="945"/>
      <c r="D557" s="29" t="str">
        <f>IF('C-Design&amp;Const'!$W557="","",'C-Design&amp;Const'!$W557)</f>
        <v>Y</v>
      </c>
      <c r="E557" s="31"/>
      <c r="F557" s="178"/>
      <c r="G557" s="291" t="str">
        <f>IF('C-Design&amp;Const'!Y557="","",'C-Design&amp;Const'!Y557)</f>
        <v>40.</v>
      </c>
      <c r="H557" s="290" t="str">
        <f>CONCATENATE('C-Design&amp;Const'!Z557,IF(D557="N"," Not Used In This Construction Phase",J557))</f>
        <v>Post Construction Activities Log</v>
      </c>
      <c r="I557" s="552"/>
      <c r="L557" s="1410" t="str">
        <f t="shared" si="59"/>
        <v/>
      </c>
      <c r="M557" s="1333"/>
      <c r="N557" s="1333"/>
      <c r="O557" s="1333"/>
      <c r="P557" s="1333"/>
      <c r="Q557" s="1333"/>
      <c r="R557" s="1453"/>
      <c r="S557" s="1364"/>
      <c r="T557" s="1284"/>
      <c r="U557" s="1333"/>
      <c r="V557" s="1333"/>
      <c r="W557" s="1333"/>
      <c r="X557" s="1333"/>
      <c r="Y557" s="1333"/>
      <c r="Z557" s="1333"/>
      <c r="AA557" s="1333"/>
      <c r="AB557" s="1333"/>
      <c r="AC557" s="1333"/>
      <c r="AD557" s="1333"/>
      <c r="AE557" s="1333"/>
      <c r="AF557" s="1333"/>
      <c r="AG557" s="1333"/>
      <c r="AH557" s="1333"/>
      <c r="AI557" s="1333"/>
      <c r="AJ557" s="1333"/>
    </row>
    <row r="558" spans="1:50" ht="18.75" x14ac:dyDescent="0.25">
      <c r="A558" s="2341"/>
      <c r="B558" s="125"/>
      <c r="C558" s="921"/>
      <c r="D558" s="258"/>
      <c r="E558" s="21"/>
      <c r="F558" s="21"/>
      <c r="G558" s="294"/>
      <c r="H558" s="295"/>
      <c r="I558" s="552"/>
      <c r="L558" s="1410" t="str">
        <f t="shared" si="59"/>
        <v/>
      </c>
      <c r="M558" s="1333"/>
      <c r="N558" s="1333"/>
      <c r="O558" s="1333"/>
      <c r="P558" s="1333"/>
      <c r="Q558" s="1333"/>
      <c r="R558" s="1453"/>
      <c r="S558" s="1364"/>
      <c r="T558" s="1284"/>
      <c r="U558" s="1333"/>
      <c r="V558" s="1333"/>
      <c r="W558" s="1333"/>
      <c r="X558" s="1333"/>
      <c r="Y558" s="1333"/>
      <c r="Z558" s="1333"/>
      <c r="AA558" s="1333"/>
      <c r="AB558" s="1333"/>
      <c r="AC558" s="1333"/>
      <c r="AD558" s="1333"/>
      <c r="AE558" s="1333"/>
      <c r="AF558" s="1333"/>
      <c r="AG558" s="1333"/>
      <c r="AH558" s="1333"/>
      <c r="AI558" s="1333"/>
      <c r="AJ558" s="1333"/>
    </row>
    <row r="559" spans="1:50" ht="39.75" customHeight="1" x14ac:dyDescent="0.25">
      <c r="A559" s="2341"/>
      <c r="B559" s="125"/>
      <c r="C559" s="945"/>
      <c r="D559" s="29" t="str">
        <f>IF('C-Design&amp;Const'!$W559="","",'C-Design&amp;Const'!$W559)</f>
        <v>Y</v>
      </c>
      <c r="E559" s="31"/>
      <c r="F559" s="178"/>
      <c r="G559" s="291" t="str">
        <f>IF('C-Design&amp;Const'!Y559="","",'C-Design&amp;Const'!Y559)</f>
        <v>41.</v>
      </c>
      <c r="H559" s="290" t="str">
        <f>CONCATENATE('C-Design&amp;Const'!Z559,IF(D559="N"," Not Used In This Construction Phase",J559))</f>
        <v>Log of Equipment with Settings Different than Manufacturer's Recommendations</v>
      </c>
      <c r="I559" s="552"/>
      <c r="L559" s="1410" t="str">
        <f t="shared" si="59"/>
        <v/>
      </c>
      <c r="M559" s="1333"/>
      <c r="N559" s="1333"/>
      <c r="O559" s="1333"/>
      <c r="P559" s="1333"/>
      <c r="Q559" s="1333"/>
      <c r="R559" s="1453"/>
      <c r="S559" s="1364"/>
      <c r="T559" s="1284"/>
      <c r="U559" s="1333"/>
      <c r="V559" s="1333"/>
      <c r="W559" s="1333"/>
      <c r="X559" s="1333"/>
      <c r="Y559" s="1333"/>
      <c r="Z559" s="1333"/>
      <c r="AA559" s="1333"/>
      <c r="AB559" s="1333"/>
      <c r="AC559" s="1333"/>
      <c r="AD559" s="1333"/>
      <c r="AE559" s="1333"/>
      <c r="AF559" s="1333"/>
      <c r="AG559" s="1333"/>
      <c r="AH559" s="1333"/>
      <c r="AI559" s="1333"/>
      <c r="AJ559" s="1333"/>
    </row>
    <row r="560" spans="1:50" ht="18.75" customHeight="1" x14ac:dyDescent="0.25">
      <c r="A560" s="2341"/>
      <c r="B560" s="125"/>
      <c r="C560" s="921"/>
      <c r="D560" s="258"/>
      <c r="E560" s="21"/>
      <c r="F560" s="21"/>
      <c r="G560" s="294"/>
      <c r="H560" s="295"/>
      <c r="I560" s="552"/>
      <c r="L560" s="1410" t="str">
        <f t="shared" si="59"/>
        <v/>
      </c>
      <c r="M560" s="1333"/>
      <c r="N560" s="1333"/>
      <c r="O560" s="1333"/>
      <c r="P560" s="1333"/>
      <c r="Q560" s="1333"/>
      <c r="R560" s="1453"/>
      <c r="S560" s="1364"/>
      <c r="T560" s="1284"/>
      <c r="U560" s="1333"/>
      <c r="V560" s="1333"/>
      <c r="W560" s="1333"/>
      <c r="X560" s="1333"/>
      <c r="Y560" s="1333"/>
      <c r="Z560" s="1333"/>
      <c r="AA560" s="1333"/>
      <c r="AB560" s="1333"/>
      <c r="AC560" s="1333"/>
      <c r="AD560" s="1333"/>
      <c r="AE560" s="1333"/>
      <c r="AF560" s="1333"/>
      <c r="AG560" s="1333"/>
      <c r="AH560" s="1333"/>
      <c r="AI560" s="1333"/>
      <c r="AJ560" s="1333"/>
    </row>
    <row r="561" spans="1:51" ht="18.75" customHeight="1" x14ac:dyDescent="0.3">
      <c r="A561" s="2341"/>
      <c r="B561" s="125"/>
      <c r="C561" s="945"/>
      <c r="D561" s="29" t="str">
        <f>IF('C-Design&amp;Const'!$W561="","",'C-Design&amp;Const'!$W561)</f>
        <v>Y</v>
      </c>
      <c r="E561" s="31"/>
      <c r="F561" s="178"/>
      <c r="G561" s="291" t="str">
        <f>IF('C-Design&amp;Const'!Y561="","",'C-Design&amp;Const'!Y561)</f>
        <v>42.</v>
      </c>
      <c r="H561" s="298" t="str">
        <f>CONCATENATE('C-Design&amp;Const'!Z561,IF(D561="N"," Not Used In This Construction Phase",J561))</f>
        <v>Post Construction Report</v>
      </c>
      <c r="I561" s="552"/>
      <c r="L561" s="1410" t="str">
        <f t="shared" si="59"/>
        <v/>
      </c>
      <c r="M561" s="1333"/>
      <c r="N561" s="1333"/>
      <c r="O561" s="1333"/>
      <c r="P561" s="1333"/>
      <c r="Q561" s="1333"/>
      <c r="R561" s="1453"/>
      <c r="S561" s="1364"/>
      <c r="T561" s="1284"/>
      <c r="U561" s="1333"/>
      <c r="V561" s="1333"/>
      <c r="W561" s="1333"/>
      <c r="X561" s="1333"/>
      <c r="Y561" s="1333"/>
      <c r="Z561" s="1333"/>
      <c r="AA561" s="1333"/>
      <c r="AB561" s="1333"/>
      <c r="AC561" s="1333"/>
      <c r="AD561" s="1333"/>
      <c r="AE561" s="1333"/>
      <c r="AF561" s="1333"/>
      <c r="AG561" s="1333"/>
      <c r="AH561" s="1333"/>
      <c r="AI561" s="1333"/>
      <c r="AJ561" s="1333"/>
    </row>
    <row r="562" spans="1:51" ht="18.75" hidden="1" customHeight="1" x14ac:dyDescent="0.25">
      <c r="A562" s="2341"/>
      <c r="B562" s="125"/>
      <c r="C562" s="921"/>
      <c r="D562" s="258"/>
      <c r="E562" s="21"/>
      <c r="F562" s="21"/>
      <c r="G562" s="294"/>
      <c r="H562" s="295"/>
      <c r="I562" s="552"/>
      <c r="L562" s="1410" t="str">
        <f t="shared" si="59"/>
        <v/>
      </c>
      <c r="M562" s="1333"/>
      <c r="N562" s="1333"/>
      <c r="O562" s="1333"/>
      <c r="P562" s="1333"/>
      <c r="Q562" s="1333"/>
      <c r="R562" s="1453"/>
      <c r="S562" s="1364"/>
      <c r="T562" s="1284"/>
      <c r="U562" s="1333"/>
      <c r="V562" s="1333"/>
      <c r="W562" s="1333"/>
      <c r="X562" s="1333"/>
      <c r="Y562" s="1333"/>
      <c r="Z562" s="1333"/>
      <c r="AA562" s="1333"/>
      <c r="AB562" s="1333"/>
      <c r="AC562" s="1333"/>
      <c r="AD562" s="1333"/>
      <c r="AE562" s="1333"/>
      <c r="AF562" s="1333"/>
      <c r="AG562" s="1333"/>
      <c r="AH562" s="1333"/>
      <c r="AI562" s="1333"/>
      <c r="AJ562" s="1333"/>
    </row>
    <row r="563" spans="1:51" ht="18.75" hidden="1" customHeight="1" x14ac:dyDescent="0.3">
      <c r="A563" s="2341"/>
      <c r="B563" s="125"/>
      <c r="C563" s="945"/>
      <c r="D563" s="29" t="str">
        <f>IF('C-Design&amp;Const'!$W563="","",'C-Design&amp;Const'!$W563)</f>
        <v>N</v>
      </c>
      <c r="E563" s="31"/>
      <c r="F563" s="178"/>
      <c r="G563" s="291" t="s">
        <v>213</v>
      </c>
      <c r="H563" s="298" t="str">
        <f>CONCATENATE('C-Design&amp;Const'!Z563,IF(D563="N"," Not Used In This Construction Phase",""))</f>
        <v>Final Completion Certification Not Used In This Construction Phase</v>
      </c>
      <c r="I563" s="552"/>
      <c r="L563" s="1410" t="str">
        <f t="shared" si="59"/>
        <v/>
      </c>
      <c r="M563" s="1333"/>
      <c r="N563" s="1333"/>
      <c r="O563" s="1333"/>
      <c r="P563" s="1333"/>
      <c r="Q563" s="1333"/>
      <c r="R563" s="1453"/>
      <c r="S563" s="1364"/>
      <c r="T563" s="1284"/>
      <c r="U563" s="1333"/>
      <c r="V563" s="1333"/>
      <c r="W563" s="1333"/>
      <c r="X563" s="1333"/>
      <c r="Y563" s="1333"/>
      <c r="Z563" s="1333"/>
      <c r="AA563" s="1333"/>
      <c r="AB563" s="1333"/>
      <c r="AC563" s="1333"/>
      <c r="AD563" s="1333"/>
      <c r="AE563" s="1333"/>
      <c r="AF563" s="1333"/>
      <c r="AG563" s="1333"/>
      <c r="AH563" s="1333"/>
      <c r="AI563" s="1333"/>
      <c r="AJ563" s="1333"/>
    </row>
    <row r="564" spans="1:51" s="30" customFormat="1" ht="18.75" x14ac:dyDescent="0.25">
      <c r="A564" s="2341"/>
      <c r="B564" s="191"/>
      <c r="C564" s="958"/>
      <c r="D564" s="21"/>
      <c r="E564" s="21"/>
      <c r="F564" s="21"/>
      <c r="G564" s="138"/>
      <c r="H564" s="139"/>
      <c r="I564" s="552"/>
      <c r="L564" s="1410" t="str">
        <f t="shared" si="59"/>
        <v/>
      </c>
      <c r="M564" s="1333"/>
      <c r="N564" s="1382"/>
      <c r="O564" s="1382"/>
      <c r="P564" s="1382"/>
      <c r="Q564" s="1382"/>
      <c r="R564" s="1382"/>
      <c r="S564" s="1382"/>
      <c r="T564" s="1382"/>
      <c r="U564" s="1382"/>
      <c r="V564" s="1382"/>
      <c r="W564" s="1382"/>
      <c r="X564" s="1382"/>
      <c r="Y564" s="1382"/>
      <c r="Z564" s="1382"/>
      <c r="AA564" s="1382"/>
      <c r="AB564" s="1382"/>
      <c r="AC564" s="1382"/>
      <c r="AD564" s="1382"/>
      <c r="AE564" s="1382"/>
      <c r="AF564" s="1382"/>
      <c r="AG564" s="1382"/>
      <c r="AH564" s="1382"/>
      <c r="AI564" s="1382"/>
      <c r="AJ564" s="1382"/>
      <c r="AK564" s="181"/>
      <c r="AL564" s="181"/>
      <c r="AM564" s="181"/>
      <c r="AN564" s="181"/>
      <c r="AO564" s="181"/>
      <c r="AP564" s="181"/>
      <c r="AQ564" s="181"/>
      <c r="AR564" s="181"/>
      <c r="AS564" s="181"/>
      <c r="AT564" s="181"/>
      <c r="AU564" s="181"/>
      <c r="AV564" s="181"/>
      <c r="AW564" s="181"/>
    </row>
    <row r="565" spans="1:51" s="30" customFormat="1" ht="18.75" x14ac:dyDescent="0.25">
      <c r="A565" s="2341"/>
      <c r="B565" s="191"/>
      <c r="C565" s="921"/>
      <c r="D565" s="543"/>
      <c r="E565" s="16"/>
      <c r="F565" s="16"/>
      <c r="G565" s="245"/>
      <c r="H565" s="13"/>
      <c r="I565" s="552"/>
      <c r="K565" s="230"/>
      <c r="L565" s="1384"/>
      <c r="M565" s="1382"/>
      <c r="N565" s="1382"/>
      <c r="O565" s="1382"/>
      <c r="P565" s="1382"/>
      <c r="Q565" s="1382"/>
      <c r="R565" s="1382"/>
      <c r="S565" s="1382"/>
      <c r="T565" s="1382"/>
      <c r="U565" s="1382"/>
      <c r="V565" s="1382"/>
      <c r="W565" s="1382"/>
      <c r="X565" s="1382"/>
      <c r="Y565" s="1382"/>
      <c r="Z565" s="1382"/>
      <c r="AA565" s="1382"/>
      <c r="AB565" s="1382"/>
      <c r="AC565" s="1382"/>
      <c r="AD565" s="1382"/>
      <c r="AE565" s="1382"/>
      <c r="AF565" s="1382"/>
      <c r="AG565" s="1382"/>
      <c r="AH565" s="1382"/>
      <c r="AI565" s="1382"/>
      <c r="AJ565" s="1382"/>
      <c r="AK565" s="181"/>
      <c r="AL565" s="181"/>
      <c r="AM565" s="181"/>
      <c r="AN565" s="181"/>
      <c r="AO565" s="181"/>
      <c r="AP565" s="181"/>
      <c r="AQ565" s="181"/>
      <c r="AR565" s="181"/>
      <c r="AS565" s="181"/>
      <c r="AT565" s="181"/>
      <c r="AU565" s="181"/>
      <c r="AV565" s="181"/>
      <c r="AW565" s="181"/>
    </row>
    <row r="566" spans="1:51" s="30" customFormat="1" ht="15" customHeight="1" x14ac:dyDescent="0.25">
      <c r="A566" s="1407"/>
      <c r="B566" s="1273"/>
      <c r="C566" s="1493"/>
      <c r="D566" s="1364"/>
      <c r="E566" s="1364"/>
      <c r="F566" s="1364"/>
      <c r="G566" s="1499"/>
      <c r="H566" s="1333"/>
      <c r="I566" s="1469"/>
      <c r="J566" s="1382"/>
      <c r="K566" s="1470"/>
      <c r="L566" s="1471"/>
      <c r="M566" s="1382"/>
      <c r="N566" s="1382"/>
      <c r="O566" s="1382"/>
      <c r="P566" s="1382"/>
      <c r="Q566" s="1382"/>
      <c r="R566" s="1382"/>
      <c r="S566" s="1382"/>
      <c r="T566" s="1382"/>
      <c r="U566" s="1382"/>
      <c r="V566" s="1382"/>
      <c r="W566" s="1382"/>
      <c r="X566" s="1382"/>
      <c r="Y566" s="1382"/>
      <c r="Z566" s="1382"/>
      <c r="AA566" s="1382"/>
      <c r="AB566" s="1382"/>
      <c r="AC566" s="1382"/>
      <c r="AD566" s="1382"/>
      <c r="AE566" s="1382"/>
      <c r="AF566" s="1382"/>
      <c r="AG566" s="1382"/>
      <c r="AH566" s="1382"/>
      <c r="AI566" s="1382"/>
      <c r="AJ566" s="1382"/>
      <c r="AK566" s="181"/>
      <c r="AL566" s="181"/>
      <c r="AM566" s="181"/>
      <c r="AN566" s="181"/>
      <c r="AO566" s="181"/>
      <c r="AP566" s="181"/>
      <c r="AQ566" s="181"/>
      <c r="AR566" s="181"/>
      <c r="AS566" s="181"/>
      <c r="AT566" s="181"/>
      <c r="AU566" s="181"/>
      <c r="AV566" s="181"/>
      <c r="AW566" s="181"/>
    </row>
    <row r="567" spans="1:51" s="30" customFormat="1" ht="15" customHeight="1" x14ac:dyDescent="0.25">
      <c r="A567" s="1407"/>
      <c r="B567" s="1273"/>
      <c r="C567" s="1493"/>
      <c r="D567" s="1364"/>
      <c r="E567" s="1364"/>
      <c r="F567" s="1364"/>
      <c r="G567" s="1499"/>
      <c r="H567" s="1333"/>
      <c r="I567" s="1469"/>
      <c r="J567" s="1382"/>
      <c r="K567" s="1470"/>
      <c r="L567" s="1472"/>
      <c r="M567" s="1333"/>
      <c r="N567" s="1382"/>
      <c r="O567" s="1382"/>
      <c r="P567" s="1382"/>
      <c r="Q567" s="1382"/>
      <c r="R567" s="1382"/>
      <c r="S567" s="1382"/>
      <c r="T567" s="1382"/>
      <c r="U567" s="1382"/>
      <c r="V567" s="1382"/>
      <c r="W567" s="1382"/>
      <c r="X567" s="1382"/>
      <c r="Y567" s="1382"/>
      <c r="Z567" s="1382"/>
      <c r="AA567" s="1382"/>
      <c r="AB567" s="1382"/>
      <c r="AC567" s="1382"/>
      <c r="AD567" s="1382"/>
      <c r="AE567" s="1382"/>
      <c r="AF567" s="1382"/>
      <c r="AG567" s="1382"/>
      <c r="AH567" s="1382"/>
      <c r="AI567" s="1382"/>
      <c r="AJ567" s="1382"/>
      <c r="AK567" s="181"/>
      <c r="AL567" s="181"/>
      <c r="AM567" s="181"/>
      <c r="AN567" s="181"/>
      <c r="AO567" s="181"/>
      <c r="AP567" s="181"/>
      <c r="AQ567" s="181"/>
      <c r="AR567" s="181"/>
      <c r="AS567" s="181"/>
      <c r="AT567" s="181"/>
      <c r="AU567" s="181"/>
      <c r="AV567" s="181"/>
      <c r="AW567" s="181"/>
    </row>
    <row r="568" spans="1:51" ht="3.75" customHeight="1" x14ac:dyDescent="0.3">
      <c r="A568" s="1331"/>
      <c r="B568" s="1405"/>
      <c r="C568" s="1497"/>
      <c r="D568" s="1474"/>
      <c r="E568" s="1474"/>
      <c r="F568" s="1474"/>
      <c r="G568" s="1498"/>
      <c r="H568" s="1369"/>
      <c r="I568" s="1406"/>
      <c r="J568" s="1333"/>
      <c r="K568" s="1550"/>
      <c r="L568" s="1333"/>
      <c r="M568" s="1333"/>
      <c r="N568" s="1333"/>
      <c r="O568" s="1333"/>
      <c r="P568" s="1333"/>
      <c r="Q568" s="1333"/>
      <c r="R568" s="1453"/>
      <c r="S568" s="1364"/>
      <c r="T568" s="1284"/>
      <c r="U568" s="1333"/>
      <c r="V568" s="1333"/>
      <c r="W568" s="1333"/>
      <c r="X568" s="1333"/>
      <c r="Y568" s="1333"/>
      <c r="Z568" s="1333"/>
      <c r="AA568" s="1333"/>
      <c r="AB568" s="1333"/>
      <c r="AC568" s="1333"/>
      <c r="AD568" s="1333"/>
      <c r="AE568" s="1333"/>
      <c r="AF568" s="1333"/>
      <c r="AG568" s="1333"/>
      <c r="AH568" s="1333"/>
      <c r="AI568" s="1333"/>
      <c r="AJ568" s="1333"/>
    </row>
    <row r="569" spans="1:51" ht="18.75" x14ac:dyDescent="0.3">
      <c r="A569" s="1370"/>
      <c r="B569" s="1285"/>
      <c r="C569" s="1284"/>
      <c r="D569" s="1364"/>
      <c r="E569" s="1364"/>
      <c r="F569" s="1364"/>
      <c r="G569" s="1499"/>
      <c r="H569" s="1333"/>
      <c r="I569" s="1467"/>
      <c r="J569" s="1374"/>
      <c r="K569" s="1556"/>
      <c r="L569" s="1374"/>
      <c r="M569" s="1374"/>
      <c r="N569" s="1374"/>
      <c r="O569" s="1333"/>
      <c r="P569" s="1333"/>
      <c r="Q569" s="1333"/>
      <c r="R569" s="1453"/>
      <c r="S569" s="1364"/>
      <c r="T569" s="1284"/>
      <c r="U569" s="1333"/>
      <c r="V569" s="1333"/>
      <c r="W569" s="1333"/>
      <c r="X569" s="1333"/>
      <c r="Y569" s="1333"/>
      <c r="Z569" s="1333"/>
      <c r="AA569" s="1333"/>
      <c r="AB569" s="1333"/>
      <c r="AC569" s="1333"/>
      <c r="AD569" s="1333"/>
      <c r="AE569" s="1333"/>
      <c r="AF569" s="1333"/>
      <c r="AG569" s="1333"/>
      <c r="AH569" s="1333"/>
      <c r="AI569" s="1333"/>
      <c r="AJ569" s="1333"/>
    </row>
    <row r="570" spans="1:51" ht="18.75" x14ac:dyDescent="0.3">
      <c r="A570" s="1342"/>
      <c r="B570" s="1285"/>
      <c r="C570" s="1284"/>
      <c r="D570" s="1364"/>
      <c r="E570" s="1364"/>
      <c r="F570" s="1364"/>
      <c r="G570" s="1499"/>
      <c r="H570" s="1333"/>
      <c r="I570" s="1467"/>
      <c r="J570" s="1351"/>
      <c r="K570" s="1557"/>
      <c r="L570" s="1351"/>
      <c r="M570" s="1351"/>
      <c r="N570" s="1351"/>
      <c r="O570" s="1333"/>
      <c r="P570" s="1333"/>
      <c r="Q570" s="1333"/>
      <c r="R570" s="1453"/>
      <c r="S570" s="1364"/>
      <c r="T570" s="1284"/>
      <c r="U570" s="1333"/>
      <c r="V570" s="1333"/>
      <c r="W570" s="1333"/>
      <c r="X570" s="1333"/>
      <c r="Y570" s="1333"/>
      <c r="Z570" s="1333"/>
      <c r="AA570" s="1333"/>
      <c r="AB570" s="1333"/>
      <c r="AC570" s="1333"/>
      <c r="AD570" s="1333"/>
      <c r="AE570" s="1333"/>
      <c r="AF570" s="1333"/>
      <c r="AG570" s="1333"/>
      <c r="AH570" s="1333"/>
      <c r="AI570" s="1333"/>
      <c r="AJ570" s="1333"/>
    </row>
    <row r="571" spans="1:51" ht="18.75" x14ac:dyDescent="0.3">
      <c r="A571" s="1342"/>
      <c r="B571" s="1285"/>
      <c r="C571" s="1287" t="str">
        <f ca="1">CONCATENATE("UIUC Template Change Log hidden below for TAB [",MID(CELL("filename",C15),FIND("]",CELL("filename",C15))+1,255),"] :")</f>
        <v>UIUC Template Change Log hidden below for TAB [08-POST CONST] :</v>
      </c>
      <c r="D571" s="1364"/>
      <c r="E571" s="1364"/>
      <c r="F571" s="1364"/>
      <c r="G571" s="1499"/>
      <c r="H571" s="1333"/>
      <c r="I571" s="1467"/>
      <c r="J571" s="1333"/>
      <c r="K571" s="1557"/>
      <c r="L571" s="1351"/>
      <c r="M571" s="1351"/>
      <c r="N571" s="1333"/>
      <c r="O571" s="1333"/>
      <c r="P571" s="1562"/>
      <c r="Q571" s="1562"/>
      <c r="R571" s="1562"/>
      <c r="S571" s="1563"/>
      <c r="T571" s="1564"/>
      <c r="U571" s="1333"/>
      <c r="V571" s="1333"/>
      <c r="W571" s="1333"/>
      <c r="X571" s="1333"/>
      <c r="Y571" s="1333"/>
      <c r="Z571" s="1333"/>
      <c r="AA571" s="1333"/>
      <c r="AB571" s="1333"/>
      <c r="AC571" s="1333"/>
      <c r="AD571" s="1333"/>
      <c r="AE571" s="1333"/>
      <c r="AF571" s="1333"/>
      <c r="AG571" s="1333"/>
      <c r="AH571" s="1333"/>
      <c r="AI571" s="1333"/>
      <c r="AJ571" s="1333"/>
    </row>
    <row r="572" spans="1:51" ht="18.75" x14ac:dyDescent="0.3">
      <c r="A572" s="1331"/>
      <c r="B572" s="1284"/>
      <c r="C572" s="1291"/>
      <c r="D572" s="1284"/>
      <c r="E572" s="1291"/>
      <c r="F572" s="1284"/>
      <c r="G572" s="1499"/>
      <c r="H572" s="1333"/>
      <c r="I572" s="1333"/>
      <c r="J572" s="1333"/>
      <c r="K572" s="1550"/>
      <c r="L572" s="1333"/>
      <c r="M572" s="1333"/>
      <c r="N572" s="1333"/>
      <c r="O572" s="1333"/>
      <c r="P572" s="1562"/>
      <c r="Q572" s="1562"/>
      <c r="R572" s="1562"/>
      <c r="S572" s="1563"/>
      <c r="T572" s="1564"/>
      <c r="U572" s="1284"/>
      <c r="V572" s="1284"/>
      <c r="W572" s="1333"/>
      <c r="X572" s="1333"/>
      <c r="Y572" s="1333"/>
      <c r="Z572" s="1333"/>
      <c r="AA572" s="1333"/>
      <c r="AB572" s="1333"/>
      <c r="AC572" s="1333"/>
      <c r="AD572" s="1333"/>
      <c r="AE572" s="1333"/>
      <c r="AF572" s="1333"/>
      <c r="AG572" s="1333"/>
      <c r="AH572" s="1333"/>
      <c r="AI572" s="1333"/>
      <c r="AJ572" s="1333"/>
      <c r="AX572" s="17"/>
      <c r="AY572" s="17"/>
    </row>
    <row r="573" spans="1:51" ht="15" customHeight="1" x14ac:dyDescent="0.3">
      <c r="A573" s="1331"/>
      <c r="B573" s="1284"/>
      <c r="C573" s="2062">
        <v>42486</v>
      </c>
      <c r="D573" s="2062"/>
      <c r="E573" s="2062"/>
      <c r="F573" s="1297"/>
      <c r="G573" s="1297" t="s">
        <v>639</v>
      </c>
      <c r="H573" s="1333"/>
      <c r="I573" s="1333"/>
      <c r="J573" s="1333"/>
      <c r="K573" s="1550"/>
      <c r="L573" s="1333"/>
      <c r="M573" s="1333"/>
      <c r="N573" s="1333"/>
      <c r="O573" s="1333"/>
      <c r="P573" s="1562"/>
      <c r="Q573" s="1562"/>
      <c r="R573" s="1562"/>
      <c r="S573" s="1563"/>
      <c r="T573" s="1564"/>
      <c r="U573" s="1284"/>
      <c r="V573" s="1284"/>
      <c r="W573" s="1333"/>
      <c r="X573" s="1333"/>
      <c r="Y573" s="1333"/>
      <c r="Z573" s="1333"/>
      <c r="AA573" s="1333"/>
      <c r="AB573" s="1333"/>
      <c r="AC573" s="1333"/>
      <c r="AD573" s="1333"/>
      <c r="AE573" s="1333"/>
      <c r="AF573" s="1333"/>
      <c r="AG573" s="1333"/>
      <c r="AH573" s="1333"/>
      <c r="AI573" s="1333"/>
      <c r="AJ573" s="1333"/>
      <c r="AX573" s="17"/>
      <c r="AY573" s="17"/>
    </row>
    <row r="574" spans="1:51" ht="15" customHeight="1" x14ac:dyDescent="0.3">
      <c r="A574" s="1331"/>
      <c r="B574" s="1284"/>
      <c r="C574" s="2062"/>
      <c r="D574" s="2062"/>
      <c r="E574" s="2062"/>
      <c r="F574" s="1297"/>
      <c r="G574" s="1297" t="s">
        <v>675</v>
      </c>
      <c r="H574" s="1333"/>
      <c r="I574" s="1333"/>
      <c r="J574" s="1333"/>
      <c r="K574" s="1550"/>
      <c r="L574" s="1333"/>
      <c r="M574" s="1333"/>
      <c r="N574" s="1333"/>
      <c r="O574" s="1333"/>
      <c r="P574" s="1562"/>
      <c r="Q574" s="1562"/>
      <c r="R574" s="1562"/>
      <c r="S574" s="1563"/>
      <c r="T574" s="1564"/>
      <c r="U574" s="1284"/>
      <c r="V574" s="1284"/>
      <c r="W574" s="1333"/>
      <c r="X574" s="1333"/>
      <c r="Y574" s="1333"/>
      <c r="Z574" s="1333"/>
      <c r="AA574" s="1333"/>
      <c r="AB574" s="1333"/>
      <c r="AC574" s="1333"/>
      <c r="AD574" s="1333"/>
      <c r="AE574" s="1333"/>
      <c r="AF574" s="1333"/>
      <c r="AG574" s="1333"/>
      <c r="AH574" s="1333"/>
      <c r="AI574" s="1333"/>
      <c r="AJ574" s="1333"/>
      <c r="AX574" s="17"/>
      <c r="AY574" s="17"/>
    </row>
    <row r="575" spans="1:51" ht="15" customHeight="1" x14ac:dyDescent="0.3">
      <c r="A575" s="1331"/>
      <c r="B575" s="1284"/>
      <c r="C575" s="1291"/>
      <c r="D575" s="1284"/>
      <c r="E575" s="1291"/>
      <c r="F575" s="1284"/>
      <c r="G575" s="1499"/>
      <c r="H575" s="1333"/>
      <c r="I575" s="1333"/>
      <c r="J575" s="1333"/>
      <c r="K575" s="1550"/>
      <c r="L575" s="1333"/>
      <c r="M575" s="1333"/>
      <c r="N575" s="1333"/>
      <c r="O575" s="1333"/>
      <c r="P575" s="1562"/>
      <c r="Q575" s="1562"/>
      <c r="R575" s="1562"/>
      <c r="S575" s="1563"/>
      <c r="T575" s="1564"/>
      <c r="U575" s="1284"/>
      <c r="V575" s="1284"/>
      <c r="W575" s="1333"/>
      <c r="X575" s="1333"/>
      <c r="Y575" s="1333"/>
      <c r="Z575" s="1333"/>
      <c r="AA575" s="1333"/>
      <c r="AB575" s="1333"/>
      <c r="AC575" s="1333"/>
      <c r="AD575" s="1333"/>
      <c r="AE575" s="1333"/>
      <c r="AF575" s="1333"/>
      <c r="AG575" s="1333"/>
      <c r="AH575" s="1333"/>
      <c r="AI575" s="1333"/>
      <c r="AJ575" s="1333"/>
      <c r="AX575" s="17"/>
      <c r="AY575" s="17"/>
    </row>
    <row r="576" spans="1:51" ht="15" customHeight="1" x14ac:dyDescent="0.3">
      <c r="A576" s="1331"/>
      <c r="B576" s="1284"/>
      <c r="C576" s="2062">
        <v>42490</v>
      </c>
      <c r="D576" s="2062"/>
      <c r="E576" s="2062"/>
      <c r="F576" s="1297"/>
      <c r="G576" s="1297" t="s">
        <v>684</v>
      </c>
      <c r="H576" s="1333"/>
      <c r="I576" s="1333"/>
      <c r="J576" s="1333"/>
      <c r="K576" s="1550"/>
      <c r="L576" s="1333"/>
      <c r="M576" s="1333"/>
      <c r="N576" s="1333"/>
      <c r="O576" s="1333"/>
      <c r="P576" s="1562"/>
      <c r="Q576" s="1562"/>
      <c r="R576" s="1562"/>
      <c r="S576" s="1563"/>
      <c r="T576" s="1564"/>
      <c r="U576" s="1488"/>
      <c r="V576" s="1284"/>
      <c r="W576" s="1333"/>
      <c r="X576" s="1333"/>
      <c r="Y576" s="1333"/>
      <c r="Z576" s="1333"/>
      <c r="AA576" s="1333"/>
      <c r="AB576" s="1333"/>
      <c r="AC576" s="1333"/>
      <c r="AD576" s="1333"/>
      <c r="AE576" s="1333"/>
      <c r="AF576" s="1333"/>
      <c r="AG576" s="1333"/>
      <c r="AH576" s="1333"/>
      <c r="AI576" s="1333"/>
      <c r="AJ576" s="1333"/>
      <c r="AX576" s="17"/>
      <c r="AY576" s="17"/>
    </row>
    <row r="577" spans="1:51" ht="15" customHeight="1" x14ac:dyDescent="0.3">
      <c r="A577" s="1331"/>
      <c r="B577" s="1284"/>
      <c r="C577" s="1291"/>
      <c r="D577" s="1284"/>
      <c r="E577" s="1303"/>
      <c r="F577" s="1364"/>
      <c r="G577" s="1291" t="s">
        <v>688</v>
      </c>
      <c r="H577" s="1333"/>
      <c r="I577" s="1333"/>
      <c r="J577" s="1333"/>
      <c r="K577" s="1550"/>
      <c r="L577" s="1333"/>
      <c r="M577" s="1333"/>
      <c r="N577" s="1333"/>
      <c r="O577" s="1333"/>
      <c r="P577" s="1562"/>
      <c r="Q577" s="1562"/>
      <c r="R577" s="1562"/>
      <c r="S577" s="1563"/>
      <c r="T577" s="1564"/>
      <c r="U577" s="1284"/>
      <c r="V577" s="1284"/>
      <c r="W577" s="1333"/>
      <c r="X577" s="1333"/>
      <c r="Y577" s="1333"/>
      <c r="Z577" s="1333"/>
      <c r="AA577" s="1333"/>
      <c r="AB577" s="1333"/>
      <c r="AC577" s="1333"/>
      <c r="AD577" s="1333"/>
      <c r="AE577" s="1333"/>
      <c r="AF577" s="1333"/>
      <c r="AG577" s="1333"/>
      <c r="AH577" s="1333"/>
      <c r="AI577" s="1333"/>
      <c r="AJ577" s="1333"/>
      <c r="AX577" s="17"/>
      <c r="AY577" s="17"/>
    </row>
    <row r="578" spans="1:51" ht="15" customHeight="1" x14ac:dyDescent="0.3">
      <c r="A578" s="1331"/>
      <c r="B578" s="1284"/>
      <c r="C578" s="1291"/>
      <c r="D578" s="1284"/>
      <c r="E578" s="1303"/>
      <c r="F578" s="1364"/>
      <c r="G578" s="1291" t="s">
        <v>689</v>
      </c>
      <c r="H578" s="1333"/>
      <c r="I578" s="1333"/>
      <c r="J578" s="1333"/>
      <c r="K578" s="1550"/>
      <c r="L578" s="1333"/>
      <c r="M578" s="1333"/>
      <c r="N578" s="1333"/>
      <c r="O578" s="1333"/>
      <c r="P578" s="1562"/>
      <c r="Q578" s="1562"/>
      <c r="R578" s="1562"/>
      <c r="S578" s="1563"/>
      <c r="T578" s="1564"/>
      <c r="U578" s="1284"/>
      <c r="V578" s="1284"/>
      <c r="W578" s="1333"/>
      <c r="X578" s="1333"/>
      <c r="Y578" s="1333"/>
      <c r="Z578" s="1333"/>
      <c r="AA578" s="1333"/>
      <c r="AB578" s="1333"/>
      <c r="AC578" s="1333"/>
      <c r="AD578" s="1333"/>
      <c r="AE578" s="1333"/>
      <c r="AF578" s="1333"/>
      <c r="AG578" s="1333"/>
      <c r="AH578" s="1333"/>
      <c r="AI578" s="1333"/>
      <c r="AJ578" s="1333"/>
      <c r="AX578" s="17"/>
      <c r="AY578" s="17"/>
    </row>
    <row r="579" spans="1:51" ht="15" customHeight="1" x14ac:dyDescent="0.3">
      <c r="A579" s="1331"/>
      <c r="B579" s="1284"/>
      <c r="C579" s="1291"/>
      <c r="D579" s="1284"/>
      <c r="E579" s="1291"/>
      <c r="F579" s="1284"/>
      <c r="G579" s="1499"/>
      <c r="H579" s="1333"/>
      <c r="I579" s="1333"/>
      <c r="J579" s="1333"/>
      <c r="K579" s="1550"/>
      <c r="L579" s="1333"/>
      <c r="M579" s="1333"/>
      <c r="N579" s="1333"/>
      <c r="O579" s="1333"/>
      <c r="P579" s="1562"/>
      <c r="Q579" s="1562"/>
      <c r="R579" s="1562"/>
      <c r="S579" s="1563"/>
      <c r="T579" s="1564"/>
      <c r="U579" s="1489"/>
      <c r="V579" s="1284"/>
      <c r="W579" s="1333"/>
      <c r="X579" s="1333"/>
      <c r="Y579" s="1333"/>
      <c r="Z579" s="1333"/>
      <c r="AA579" s="1333"/>
      <c r="AB579" s="1333"/>
      <c r="AC579" s="1333"/>
      <c r="AD579" s="1333"/>
      <c r="AE579" s="1333"/>
      <c r="AF579" s="1333"/>
      <c r="AG579" s="1333"/>
      <c r="AH579" s="1333"/>
      <c r="AI579" s="1333"/>
      <c r="AJ579" s="1333"/>
      <c r="AX579" s="17"/>
      <c r="AY579" s="17"/>
    </row>
    <row r="580" spans="1:51" ht="15" customHeight="1" x14ac:dyDescent="0.3">
      <c r="A580" s="1331"/>
      <c r="B580" s="1284"/>
      <c r="C580" s="2062">
        <v>42492</v>
      </c>
      <c r="D580" s="2062"/>
      <c r="E580" s="2062"/>
      <c r="F580" s="1297"/>
      <c r="G580" s="1297" t="s">
        <v>695</v>
      </c>
      <c r="H580" s="1333"/>
      <c r="I580" s="1333"/>
      <c r="J580" s="1333"/>
      <c r="K580" s="1550"/>
      <c r="L580" s="1333"/>
      <c r="M580" s="1333"/>
      <c r="N580" s="1333"/>
      <c r="O580" s="1333"/>
      <c r="P580" s="1562"/>
      <c r="Q580" s="1562"/>
      <c r="R580" s="1562"/>
      <c r="S580" s="1563"/>
      <c r="T580" s="1564"/>
      <c r="U580" s="1284"/>
      <c r="V580" s="1284"/>
      <c r="W580" s="1333"/>
      <c r="X580" s="1333"/>
      <c r="Y580" s="1333"/>
      <c r="Z580" s="1333"/>
      <c r="AA580" s="1333"/>
      <c r="AB580" s="1333"/>
      <c r="AC580" s="1333"/>
      <c r="AD580" s="1333"/>
      <c r="AE580" s="1333"/>
      <c r="AF580" s="1333"/>
      <c r="AG580" s="1333"/>
      <c r="AH580" s="1333"/>
      <c r="AI580" s="1333"/>
      <c r="AJ580" s="1333"/>
      <c r="AX580" s="17"/>
      <c r="AY580" s="17"/>
    </row>
    <row r="581" spans="1:51" ht="15" customHeight="1" x14ac:dyDescent="0.3">
      <c r="A581" s="1331"/>
      <c r="B581" s="1284"/>
      <c r="C581" s="1291"/>
      <c r="D581" s="1284"/>
      <c r="E581" s="1291"/>
      <c r="F581" s="1284"/>
      <c r="G581" s="1291"/>
      <c r="H581" s="1284"/>
      <c r="I581" s="1333"/>
      <c r="J581" s="1333"/>
      <c r="K581" s="1550"/>
      <c r="L581" s="1333"/>
      <c r="M581" s="1333"/>
      <c r="N581" s="1333"/>
      <c r="O581" s="1333"/>
      <c r="P581" s="1562"/>
      <c r="Q581" s="1562"/>
      <c r="R581" s="1562"/>
      <c r="S581" s="1563"/>
      <c r="T581" s="1564"/>
      <c r="U581" s="1284"/>
      <c r="V581" s="1284"/>
      <c r="W581" s="1333"/>
      <c r="X581" s="1333"/>
      <c r="Y581" s="1333"/>
      <c r="Z581" s="1333"/>
      <c r="AA581" s="1333"/>
      <c r="AB581" s="1333"/>
      <c r="AC581" s="1333"/>
      <c r="AD581" s="1333"/>
      <c r="AE581" s="1333"/>
      <c r="AF581" s="1333"/>
      <c r="AG581" s="1333"/>
      <c r="AH581" s="1333"/>
      <c r="AI581" s="1333"/>
      <c r="AJ581" s="1333"/>
      <c r="AX581" s="17"/>
      <c r="AY581" s="17"/>
    </row>
    <row r="582" spans="1:51" ht="15" customHeight="1" x14ac:dyDescent="0.3">
      <c r="A582" s="1331"/>
      <c r="B582" s="1284"/>
      <c r="C582" s="2062">
        <v>42496</v>
      </c>
      <c r="D582" s="2062"/>
      <c r="E582" s="2062"/>
      <c r="F582" s="1297"/>
      <c r="G582" s="1297" t="s">
        <v>715</v>
      </c>
      <c r="H582" s="1284"/>
      <c r="I582" s="1333"/>
      <c r="J582" s="1333"/>
      <c r="K582" s="1550"/>
      <c r="L582" s="1333"/>
      <c r="M582" s="1333"/>
      <c r="N582" s="1333"/>
      <c r="O582" s="1333"/>
      <c r="P582" s="1562"/>
      <c r="Q582" s="1562"/>
      <c r="R582" s="1562"/>
      <c r="S582" s="1563"/>
      <c r="T582" s="1564"/>
      <c r="U582" s="1284"/>
      <c r="V582" s="1284"/>
      <c r="W582" s="1333"/>
      <c r="X582" s="1333"/>
      <c r="Y582" s="1333"/>
      <c r="Z582" s="1333"/>
      <c r="AA582" s="1333"/>
      <c r="AB582" s="1333"/>
      <c r="AC582" s="1333"/>
      <c r="AD582" s="1333"/>
      <c r="AE582" s="1333"/>
      <c r="AF582" s="1333"/>
      <c r="AG582" s="1333"/>
      <c r="AH582" s="1333"/>
      <c r="AI582" s="1333"/>
      <c r="AJ582" s="1333"/>
      <c r="AX582" s="17"/>
      <c r="AY582" s="17"/>
    </row>
    <row r="583" spans="1:51" ht="15" customHeight="1" x14ac:dyDescent="0.3">
      <c r="A583" s="1331"/>
      <c r="B583" s="1284"/>
      <c r="C583" s="1291"/>
      <c r="D583" s="1284"/>
      <c r="E583" s="1291"/>
      <c r="F583" s="1284"/>
      <c r="G583" s="1291"/>
      <c r="H583" s="1284"/>
      <c r="I583" s="1333"/>
      <c r="J583" s="1333"/>
      <c r="K583" s="1550"/>
      <c r="L583" s="1333"/>
      <c r="M583" s="1333"/>
      <c r="N583" s="1333"/>
      <c r="O583" s="1333"/>
      <c r="P583" s="1562"/>
      <c r="Q583" s="1562"/>
      <c r="R583" s="1562"/>
      <c r="S583" s="1563"/>
      <c r="T583" s="1564"/>
      <c r="U583" s="1284"/>
      <c r="V583" s="1284"/>
      <c r="W583" s="1333"/>
      <c r="X583" s="1333"/>
      <c r="Y583" s="1333"/>
      <c r="Z583" s="1333"/>
      <c r="AA583" s="1333"/>
      <c r="AB583" s="1333"/>
      <c r="AC583" s="1333"/>
      <c r="AD583" s="1333"/>
      <c r="AE583" s="1333"/>
      <c r="AF583" s="1333"/>
      <c r="AG583" s="1333"/>
      <c r="AH583" s="1333"/>
      <c r="AI583" s="1333"/>
      <c r="AJ583" s="1333"/>
      <c r="AX583" s="17"/>
      <c r="AY583" s="17"/>
    </row>
    <row r="584" spans="1:51" ht="15" customHeight="1" x14ac:dyDescent="0.3">
      <c r="A584" s="1331"/>
      <c r="B584" s="1284"/>
      <c r="C584" s="2062">
        <v>42514</v>
      </c>
      <c r="D584" s="2062"/>
      <c r="E584" s="2062"/>
      <c r="F584" s="1297"/>
      <c r="G584" s="1297" t="s">
        <v>819</v>
      </c>
      <c r="H584" s="1284"/>
      <c r="I584" s="1333"/>
      <c r="J584" s="1333"/>
      <c r="K584" s="1550"/>
      <c r="L584" s="1333"/>
      <c r="M584" s="1333"/>
      <c r="N584" s="1333"/>
      <c r="O584" s="1333"/>
      <c r="P584" s="1562"/>
      <c r="Q584" s="1562"/>
      <c r="R584" s="1562"/>
      <c r="S584" s="1563"/>
      <c r="T584" s="1564"/>
      <c r="U584" s="1284"/>
      <c r="V584" s="1284"/>
      <c r="W584" s="1333"/>
      <c r="X584" s="1333"/>
      <c r="Y584" s="1333"/>
      <c r="Z584" s="1333"/>
      <c r="AA584" s="1333"/>
      <c r="AB584" s="1333"/>
      <c r="AC584" s="1333"/>
      <c r="AD584" s="1333"/>
      <c r="AE584" s="1333"/>
      <c r="AF584" s="1333"/>
      <c r="AG584" s="1333"/>
      <c r="AH584" s="1333"/>
      <c r="AI584" s="1333"/>
      <c r="AJ584" s="1333"/>
      <c r="AX584" s="17"/>
      <c r="AY584" s="17"/>
    </row>
    <row r="585" spans="1:51" ht="15" customHeight="1" x14ac:dyDescent="0.3">
      <c r="A585" s="1331"/>
      <c r="B585" s="1284"/>
      <c r="C585" s="1291"/>
      <c r="D585" s="1284"/>
      <c r="E585" s="1291"/>
      <c r="F585" s="1284"/>
      <c r="G585" s="1291"/>
      <c r="H585" s="1284"/>
      <c r="I585" s="1333"/>
      <c r="J585" s="1333"/>
      <c r="K585" s="1550"/>
      <c r="L585" s="1333"/>
      <c r="M585" s="1333"/>
      <c r="N585" s="1333"/>
      <c r="O585" s="1333"/>
      <c r="P585" s="1562"/>
      <c r="Q585" s="1562"/>
      <c r="R585" s="1562"/>
      <c r="S585" s="1563"/>
      <c r="T585" s="1564"/>
      <c r="U585" s="1489"/>
      <c r="V585" s="1284"/>
      <c r="W585" s="1333"/>
      <c r="X585" s="1333"/>
      <c r="Y585" s="1333"/>
      <c r="Z585" s="1333"/>
      <c r="AA585" s="1333"/>
      <c r="AB585" s="1333"/>
      <c r="AC585" s="1333"/>
      <c r="AD585" s="1333"/>
      <c r="AE585" s="1333"/>
      <c r="AF585" s="1333"/>
      <c r="AG585" s="1333"/>
      <c r="AH585" s="1333"/>
      <c r="AI585" s="1333"/>
      <c r="AJ585" s="1333"/>
      <c r="AX585" s="17"/>
      <c r="AY585" s="17"/>
    </row>
    <row r="586" spans="1:51" ht="15" customHeight="1" x14ac:dyDescent="0.3">
      <c r="A586" s="1331"/>
      <c r="B586" s="1284"/>
      <c r="C586" s="2062">
        <v>42635</v>
      </c>
      <c r="D586" s="2062"/>
      <c r="E586" s="2062"/>
      <c r="F586" s="1297"/>
      <c r="G586" s="1297" t="s">
        <v>838</v>
      </c>
      <c r="H586" s="1284"/>
      <c r="I586" s="1333"/>
      <c r="J586" s="1333"/>
      <c r="K586" s="1550"/>
      <c r="L586" s="1333"/>
      <c r="M586" s="1333"/>
      <c r="N586" s="1333"/>
      <c r="O586" s="1333"/>
      <c r="P586" s="1562"/>
      <c r="Q586" s="1562"/>
      <c r="R586" s="1562"/>
      <c r="S586" s="1563"/>
      <c r="T586" s="1564"/>
      <c r="U586" s="1284"/>
      <c r="V586" s="1284"/>
      <c r="W586" s="1333"/>
      <c r="X586" s="1333"/>
      <c r="Y586" s="1333"/>
      <c r="Z586" s="1333"/>
      <c r="AA586" s="1333"/>
      <c r="AB586" s="1333"/>
      <c r="AC586" s="1333"/>
      <c r="AD586" s="1333"/>
      <c r="AE586" s="1333"/>
      <c r="AF586" s="1333"/>
      <c r="AG586" s="1333"/>
      <c r="AH586" s="1333"/>
      <c r="AI586" s="1333"/>
      <c r="AJ586" s="1333"/>
      <c r="AX586" s="17"/>
      <c r="AY586" s="17"/>
    </row>
    <row r="587" spans="1:51" ht="15" customHeight="1" x14ac:dyDescent="0.3">
      <c r="A587" s="1331"/>
      <c r="B587" s="1284"/>
      <c r="C587" s="2062"/>
      <c r="D587" s="2062"/>
      <c r="E587" s="2062"/>
      <c r="F587" s="1297"/>
      <c r="G587" s="1297" t="s">
        <v>837</v>
      </c>
      <c r="H587" s="1284"/>
      <c r="I587" s="1333"/>
      <c r="J587" s="1333"/>
      <c r="K587" s="1550"/>
      <c r="L587" s="1333"/>
      <c r="M587" s="1333"/>
      <c r="N587" s="1333"/>
      <c r="O587" s="1333"/>
      <c r="P587" s="1562"/>
      <c r="Q587" s="1562"/>
      <c r="R587" s="1562"/>
      <c r="S587" s="1563"/>
      <c r="T587" s="1564"/>
      <c r="U587" s="1284"/>
      <c r="V587" s="1284"/>
      <c r="W587" s="1333"/>
      <c r="X587" s="1333"/>
      <c r="Y587" s="1333"/>
      <c r="Z587" s="1333"/>
      <c r="AA587" s="1333"/>
      <c r="AB587" s="1333"/>
      <c r="AC587" s="1333"/>
      <c r="AD587" s="1333"/>
      <c r="AE587" s="1333"/>
      <c r="AF587" s="1333"/>
      <c r="AG587" s="1333"/>
      <c r="AH587" s="1333"/>
      <c r="AI587" s="1333"/>
      <c r="AJ587" s="1333"/>
      <c r="AX587" s="17"/>
      <c r="AY587" s="17"/>
    </row>
    <row r="588" spans="1:51" ht="15" customHeight="1" x14ac:dyDescent="0.3">
      <c r="A588" s="1331"/>
      <c r="B588" s="1284"/>
      <c r="C588" s="1291"/>
      <c r="D588" s="1284"/>
      <c r="E588" s="1291"/>
      <c r="F588" s="1284"/>
      <c r="G588" s="1291"/>
      <c r="H588" s="1284"/>
      <c r="I588" s="1333"/>
      <c r="J588" s="1333"/>
      <c r="K588" s="1550"/>
      <c r="L588" s="1333"/>
      <c r="M588" s="1333"/>
      <c r="N588" s="1333"/>
      <c r="O588" s="1333"/>
      <c r="P588" s="1562"/>
      <c r="Q588" s="1562"/>
      <c r="R588" s="1562"/>
      <c r="S588" s="1563"/>
      <c r="T588" s="1564"/>
      <c r="U588" s="1284"/>
      <c r="V588" s="1284"/>
      <c r="W588" s="1333"/>
      <c r="X588" s="1333"/>
      <c r="Y588" s="1333"/>
      <c r="Z588" s="1333"/>
      <c r="AA588" s="1333"/>
      <c r="AB588" s="1333"/>
      <c r="AC588" s="1333"/>
      <c r="AD588" s="1333"/>
      <c r="AE588" s="1333"/>
      <c r="AF588" s="1333"/>
      <c r="AG588" s="1333"/>
      <c r="AH588" s="1333"/>
      <c r="AI588" s="1333"/>
      <c r="AJ588" s="1333"/>
      <c r="AX588" s="17"/>
      <c r="AY588" s="17"/>
    </row>
    <row r="589" spans="1:51" ht="15" customHeight="1" x14ac:dyDescent="0.3">
      <c r="A589" s="1331"/>
      <c r="B589" s="1284"/>
      <c r="C589" s="2062">
        <v>42653</v>
      </c>
      <c r="D589" s="2062"/>
      <c r="E589" s="2062"/>
      <c r="F589" s="1297"/>
      <c r="G589" s="1297" t="s">
        <v>867</v>
      </c>
      <c r="H589" s="1284"/>
      <c r="I589" s="1333"/>
      <c r="J589" s="1333"/>
      <c r="K589" s="1550"/>
      <c r="L589" s="1333"/>
      <c r="M589" s="1333"/>
      <c r="N589" s="1333"/>
      <c r="O589" s="1333"/>
      <c r="P589" s="1562"/>
      <c r="Q589" s="1562"/>
      <c r="R589" s="1562"/>
      <c r="S589" s="1563"/>
      <c r="T589" s="1564"/>
      <c r="U589" s="1284"/>
      <c r="V589" s="1284"/>
      <c r="W589" s="1333"/>
      <c r="X589" s="1333"/>
      <c r="Y589" s="1333"/>
      <c r="Z589" s="1333"/>
      <c r="AA589" s="1333"/>
      <c r="AB589" s="1333"/>
      <c r="AC589" s="1333"/>
      <c r="AD589" s="1333"/>
      <c r="AE589" s="1333"/>
      <c r="AF589" s="1333"/>
      <c r="AG589" s="1333"/>
      <c r="AH589" s="1333"/>
      <c r="AI589" s="1333"/>
      <c r="AJ589" s="1333"/>
      <c r="AX589" s="17"/>
      <c r="AY589" s="17"/>
    </row>
    <row r="590" spans="1:51" ht="15" customHeight="1" x14ac:dyDescent="0.3">
      <c r="A590" s="1331"/>
      <c r="B590" s="1284"/>
      <c r="C590" s="1291"/>
      <c r="D590" s="1284"/>
      <c r="E590" s="1291"/>
      <c r="F590" s="1284"/>
      <c r="G590" s="1291"/>
      <c r="H590" s="1284"/>
      <c r="I590" s="1333"/>
      <c r="J590" s="1333"/>
      <c r="K590" s="1550"/>
      <c r="L590" s="1333"/>
      <c r="M590" s="1333"/>
      <c r="N590" s="1333"/>
      <c r="O590" s="1333"/>
      <c r="P590" s="1562"/>
      <c r="Q590" s="1562"/>
      <c r="R590" s="1562"/>
      <c r="S590" s="1563"/>
      <c r="T590" s="1564"/>
      <c r="U590" s="1284"/>
      <c r="V590" s="1284"/>
      <c r="W590" s="1333"/>
      <c r="X590" s="1333"/>
      <c r="Y590" s="1333"/>
      <c r="Z590" s="1333"/>
      <c r="AA590" s="1333"/>
      <c r="AB590" s="1333"/>
      <c r="AC590" s="1333"/>
      <c r="AD590" s="1333"/>
      <c r="AE590" s="1333"/>
      <c r="AF590" s="1333"/>
      <c r="AG590" s="1333"/>
      <c r="AH590" s="1333"/>
      <c r="AI590" s="1333"/>
      <c r="AJ590" s="1333"/>
      <c r="AX590" s="17"/>
      <c r="AY590" s="17"/>
    </row>
    <row r="591" spans="1:51" ht="15" customHeight="1" x14ac:dyDescent="0.3">
      <c r="A591" s="1331"/>
      <c r="B591" s="1284"/>
      <c r="C591" s="2062">
        <v>42696</v>
      </c>
      <c r="D591" s="2062"/>
      <c r="E591" s="2062"/>
      <c r="F591" s="1297"/>
      <c r="G591" s="1418" t="s">
        <v>890</v>
      </c>
      <c r="H591" s="1284"/>
      <c r="I591" s="1333"/>
      <c r="J591" s="1333"/>
      <c r="K591" s="1550"/>
      <c r="L591" s="1333"/>
      <c r="M591" s="1333"/>
      <c r="N591" s="1333"/>
      <c r="O591" s="1333"/>
      <c r="P591" s="1562"/>
      <c r="Q591" s="1562"/>
      <c r="R591" s="1562"/>
      <c r="S591" s="1563"/>
      <c r="T591" s="1564"/>
      <c r="U591" s="1284"/>
      <c r="V591" s="1284"/>
      <c r="W591" s="1333"/>
      <c r="X591" s="1333"/>
      <c r="Y591" s="1333"/>
      <c r="Z591" s="1333"/>
      <c r="AA591" s="1333"/>
      <c r="AB591" s="1333"/>
      <c r="AC591" s="1333"/>
      <c r="AD591" s="1333"/>
      <c r="AE591" s="1333"/>
      <c r="AF591" s="1333"/>
      <c r="AG591" s="1333"/>
      <c r="AH591" s="1333"/>
      <c r="AI591" s="1333"/>
      <c r="AJ591" s="1333"/>
      <c r="AX591" s="17"/>
      <c r="AY591" s="17"/>
    </row>
    <row r="592" spans="1:51" ht="15" customHeight="1" x14ac:dyDescent="0.3">
      <c r="A592" s="1331"/>
      <c r="B592" s="1284"/>
      <c r="C592" s="1291"/>
      <c r="D592" s="1284"/>
      <c r="E592" s="1291"/>
      <c r="F592" s="1284"/>
      <c r="G592" s="1291"/>
      <c r="H592" s="1284"/>
      <c r="I592" s="1333"/>
      <c r="J592" s="1333"/>
      <c r="K592" s="1550"/>
      <c r="L592" s="1333"/>
      <c r="M592" s="1333"/>
      <c r="N592" s="1333"/>
      <c r="O592" s="1333"/>
      <c r="P592" s="1562"/>
      <c r="Q592" s="1562"/>
      <c r="R592" s="1562"/>
      <c r="S592" s="1563"/>
      <c r="T592" s="1564"/>
      <c r="U592" s="1489"/>
      <c r="V592" s="1284"/>
      <c r="W592" s="1333"/>
      <c r="X592" s="1333"/>
      <c r="Y592" s="1333"/>
      <c r="Z592" s="1333"/>
      <c r="AA592" s="1333"/>
      <c r="AB592" s="1333"/>
      <c r="AC592" s="1333"/>
      <c r="AD592" s="1333"/>
      <c r="AE592" s="1333"/>
      <c r="AF592" s="1333"/>
      <c r="AG592" s="1333"/>
      <c r="AH592" s="1333"/>
      <c r="AI592" s="1333"/>
      <c r="AJ592" s="1333"/>
      <c r="AX592" s="17"/>
      <c r="AY592" s="17"/>
    </row>
    <row r="593" spans="1:51" ht="15" customHeight="1" x14ac:dyDescent="0.3">
      <c r="A593" s="1331"/>
      <c r="B593" s="1284"/>
      <c r="C593" s="2062">
        <v>42702</v>
      </c>
      <c r="D593" s="2062"/>
      <c r="E593" s="2062"/>
      <c r="F593" s="1297"/>
      <c r="G593" s="1418" t="s">
        <v>896</v>
      </c>
      <c r="H593" s="1284"/>
      <c r="I593" s="1333"/>
      <c r="J593" s="1333"/>
      <c r="K593" s="1550"/>
      <c r="L593" s="1333"/>
      <c r="M593" s="1333"/>
      <c r="N593" s="1333"/>
      <c r="O593" s="1333"/>
      <c r="P593" s="1562"/>
      <c r="Q593" s="1562"/>
      <c r="R593" s="1562"/>
      <c r="S593" s="1563"/>
      <c r="T593" s="1564"/>
      <c r="U593" s="1284"/>
      <c r="V593" s="1284"/>
      <c r="W593" s="1333"/>
      <c r="X593" s="1333"/>
      <c r="Y593" s="1333"/>
      <c r="Z593" s="1333"/>
      <c r="AA593" s="1333"/>
      <c r="AB593" s="1333"/>
      <c r="AC593" s="1333"/>
      <c r="AD593" s="1333"/>
      <c r="AE593" s="1333"/>
      <c r="AF593" s="1333"/>
      <c r="AG593" s="1333"/>
      <c r="AH593" s="1333"/>
      <c r="AI593" s="1333"/>
      <c r="AJ593" s="1333"/>
      <c r="AX593" s="17"/>
      <c r="AY593" s="17"/>
    </row>
    <row r="594" spans="1:51" ht="15" customHeight="1" x14ac:dyDescent="0.3">
      <c r="A594" s="1331"/>
      <c r="B594" s="1284"/>
      <c r="C594" s="2062"/>
      <c r="D594" s="2062"/>
      <c r="E594" s="2062"/>
      <c r="F594" s="1297"/>
      <c r="G594" s="1418" t="s">
        <v>899</v>
      </c>
      <c r="H594" s="1284"/>
      <c r="I594" s="1333"/>
      <c r="J594" s="1333"/>
      <c r="K594" s="1550"/>
      <c r="L594" s="1333"/>
      <c r="M594" s="1333"/>
      <c r="N594" s="1333"/>
      <c r="O594" s="1333"/>
      <c r="P594" s="1562"/>
      <c r="Q594" s="1562"/>
      <c r="R594" s="1562"/>
      <c r="S594" s="1563"/>
      <c r="T594" s="1564"/>
      <c r="U594" s="1284"/>
      <c r="V594" s="1284"/>
      <c r="W594" s="1333"/>
      <c r="X594" s="1333"/>
      <c r="Y594" s="1333"/>
      <c r="Z594" s="1333"/>
      <c r="AA594" s="1333"/>
      <c r="AB594" s="1333"/>
      <c r="AC594" s="1333"/>
      <c r="AD594" s="1333"/>
      <c r="AE594" s="1333"/>
      <c r="AF594" s="1333"/>
      <c r="AG594" s="1333"/>
      <c r="AH594" s="1333"/>
      <c r="AI594" s="1333"/>
      <c r="AJ594" s="1333"/>
      <c r="AX594" s="17"/>
      <c r="AY594" s="17"/>
    </row>
    <row r="595" spans="1:51" ht="15" customHeight="1" x14ac:dyDescent="0.3">
      <c r="A595" s="1331"/>
      <c r="B595" s="1284"/>
      <c r="C595" s="1291"/>
      <c r="D595" s="1284"/>
      <c r="E595" s="1291"/>
      <c r="F595" s="1284"/>
      <c r="G595" s="1291"/>
      <c r="H595" s="1284"/>
      <c r="I595" s="1333"/>
      <c r="J595" s="1333"/>
      <c r="K595" s="1550"/>
      <c r="L595" s="1333"/>
      <c r="M595" s="1333"/>
      <c r="N595" s="1333"/>
      <c r="O595" s="1333"/>
      <c r="P595" s="1562"/>
      <c r="Q595" s="1562"/>
      <c r="R595" s="1562"/>
      <c r="S595" s="1563"/>
      <c r="T595" s="1564"/>
      <c r="U595" s="1284"/>
      <c r="V595" s="1284"/>
      <c r="W595" s="1333"/>
      <c r="X595" s="1333"/>
      <c r="Y595" s="1333"/>
      <c r="Z595" s="1333"/>
      <c r="AA595" s="1333"/>
      <c r="AB595" s="1333"/>
      <c r="AC595" s="1333"/>
      <c r="AD595" s="1333"/>
      <c r="AE595" s="1333"/>
      <c r="AF595" s="1333"/>
      <c r="AG595" s="1333"/>
      <c r="AH595" s="1333"/>
      <c r="AI595" s="1333"/>
      <c r="AJ595" s="1333"/>
      <c r="AX595" s="17"/>
      <c r="AY595" s="17"/>
    </row>
    <row r="596" spans="1:51" ht="15" customHeight="1" x14ac:dyDescent="0.3">
      <c r="A596" s="1331"/>
      <c r="B596" s="1284"/>
      <c r="C596" s="2062">
        <v>42947</v>
      </c>
      <c r="D596" s="2062"/>
      <c r="E596" s="2062"/>
      <c r="F596" s="1297"/>
      <c r="G596" s="1297" t="s">
        <v>962</v>
      </c>
      <c r="H596" s="1284"/>
      <c r="I596" s="1333"/>
      <c r="J596" s="1333"/>
      <c r="K596" s="1550"/>
      <c r="L596" s="1333"/>
      <c r="M596" s="1333"/>
      <c r="N596" s="1333"/>
      <c r="O596" s="1333"/>
      <c r="P596" s="1562"/>
      <c r="Q596" s="1562"/>
      <c r="R596" s="1562"/>
      <c r="S596" s="1563"/>
      <c r="T596" s="1564"/>
      <c r="U596" s="1284"/>
      <c r="V596" s="1284"/>
      <c r="W596" s="1333"/>
      <c r="X596" s="1333"/>
      <c r="Y596" s="1333"/>
      <c r="Z596" s="1333"/>
      <c r="AA596" s="1333"/>
      <c r="AB596" s="1333"/>
      <c r="AC596" s="1333"/>
      <c r="AD596" s="1333"/>
      <c r="AE596" s="1333"/>
      <c r="AF596" s="1333"/>
      <c r="AG596" s="1333"/>
      <c r="AH596" s="1333"/>
      <c r="AI596" s="1333"/>
      <c r="AJ596" s="1333"/>
      <c r="AX596" s="17"/>
      <c r="AY596" s="17"/>
    </row>
    <row r="597" spans="1:51" ht="15" customHeight="1" x14ac:dyDescent="0.3">
      <c r="A597" s="1331"/>
      <c r="B597" s="1284"/>
      <c r="C597" s="1291"/>
      <c r="D597" s="1284"/>
      <c r="E597" s="1291"/>
      <c r="F597" s="1284"/>
      <c r="G597" s="1297" t="s">
        <v>1022</v>
      </c>
      <c r="H597" s="1284"/>
      <c r="I597" s="1333"/>
      <c r="J597" s="1333"/>
      <c r="K597" s="1550"/>
      <c r="L597" s="1333"/>
      <c r="M597" s="1333"/>
      <c r="N597" s="1333"/>
      <c r="O597" s="1333"/>
      <c r="P597" s="1562"/>
      <c r="Q597" s="1562"/>
      <c r="R597" s="1562"/>
      <c r="S597" s="1563"/>
      <c r="T597" s="1564"/>
      <c r="U597" s="1284"/>
      <c r="V597" s="1284"/>
      <c r="W597" s="1333"/>
      <c r="X597" s="1333"/>
      <c r="Y597" s="1333"/>
      <c r="Z597" s="1333"/>
      <c r="AA597" s="1333"/>
      <c r="AB597" s="1333"/>
      <c r="AC597" s="1333"/>
      <c r="AD597" s="1333"/>
      <c r="AE597" s="1333"/>
      <c r="AF597" s="1333"/>
      <c r="AG597" s="1333"/>
      <c r="AH597" s="1333"/>
      <c r="AI597" s="1333"/>
      <c r="AJ597" s="1333"/>
      <c r="AX597" s="17"/>
      <c r="AY597" s="17"/>
    </row>
    <row r="598" spans="1:51" ht="15" customHeight="1" x14ac:dyDescent="0.3">
      <c r="A598" s="1331"/>
      <c r="B598" s="1284"/>
      <c r="C598" s="1291"/>
      <c r="D598" s="1284"/>
      <c r="E598" s="1291"/>
      <c r="F598" s="1284"/>
      <c r="G598" s="1418" t="s">
        <v>1015</v>
      </c>
      <c r="H598" s="1284"/>
      <c r="I598" s="1333"/>
      <c r="J598" s="1333"/>
      <c r="K598" s="1550"/>
      <c r="L598" s="1333"/>
      <c r="M598" s="1333"/>
      <c r="N598" s="1333"/>
      <c r="O598" s="1333"/>
      <c r="P598" s="1562"/>
      <c r="Q598" s="1562"/>
      <c r="R598" s="1562"/>
      <c r="S598" s="1563"/>
      <c r="T598" s="1564"/>
      <c r="U598" s="1284"/>
      <c r="V598" s="1284"/>
      <c r="W598" s="1333"/>
      <c r="X598" s="1333"/>
      <c r="Y598" s="1333"/>
      <c r="Z598" s="1333"/>
      <c r="AA598" s="1333"/>
      <c r="AB598" s="1333"/>
      <c r="AC598" s="1333"/>
      <c r="AD598" s="1333"/>
      <c r="AE598" s="1333"/>
      <c r="AF598" s="1333"/>
      <c r="AG598" s="1333"/>
      <c r="AH598" s="1333"/>
      <c r="AI598" s="1333"/>
      <c r="AJ598" s="1333"/>
      <c r="AX598" s="17"/>
      <c r="AY598" s="17"/>
    </row>
    <row r="599" spans="1:51" ht="15" customHeight="1" x14ac:dyDescent="0.3">
      <c r="A599" s="1331"/>
      <c r="B599" s="1284"/>
      <c r="C599" s="1291"/>
      <c r="D599" s="1284"/>
      <c r="E599" s="1291"/>
      <c r="F599" s="1284"/>
      <c r="G599" s="1418" t="s">
        <v>1012</v>
      </c>
      <c r="H599" s="1284"/>
      <c r="I599" s="1333"/>
      <c r="J599" s="1333"/>
      <c r="K599" s="1550"/>
      <c r="L599" s="1333"/>
      <c r="M599" s="1333"/>
      <c r="N599" s="1333"/>
      <c r="O599" s="1333"/>
      <c r="P599" s="1562"/>
      <c r="Q599" s="1562"/>
      <c r="R599" s="1562"/>
      <c r="S599" s="1563"/>
      <c r="T599" s="1564"/>
      <c r="U599" s="1489"/>
      <c r="V599" s="1284"/>
      <c r="W599" s="1333"/>
      <c r="X599" s="1333"/>
      <c r="Y599" s="1333"/>
      <c r="Z599" s="1333"/>
      <c r="AA599" s="1333"/>
      <c r="AB599" s="1333"/>
      <c r="AC599" s="1333"/>
      <c r="AD599" s="1333"/>
      <c r="AE599" s="1333"/>
      <c r="AF599" s="1333"/>
      <c r="AG599" s="1333"/>
      <c r="AH599" s="1333"/>
      <c r="AI599" s="1333"/>
      <c r="AJ599" s="1333"/>
      <c r="AX599" s="17"/>
      <c r="AY599" s="17"/>
    </row>
    <row r="600" spans="1:51" ht="15" customHeight="1" x14ac:dyDescent="0.3">
      <c r="A600" s="1331"/>
      <c r="B600" s="1284"/>
      <c r="C600" s="1291"/>
      <c r="D600" s="1284"/>
      <c r="E600" s="1291"/>
      <c r="F600" s="1284"/>
      <c r="G600" s="1660" t="s">
        <v>1013</v>
      </c>
      <c r="H600" s="1284"/>
      <c r="I600" s="1333"/>
      <c r="J600" s="1333"/>
      <c r="K600" s="1550"/>
      <c r="L600" s="1333"/>
      <c r="M600" s="1333"/>
      <c r="N600" s="1333"/>
      <c r="O600" s="1333"/>
      <c r="P600" s="1562"/>
      <c r="Q600" s="1562"/>
      <c r="R600" s="1562"/>
      <c r="S600" s="1563"/>
      <c r="T600" s="1564"/>
      <c r="U600" s="1284"/>
      <c r="V600" s="1284"/>
      <c r="W600" s="1333"/>
      <c r="X600" s="1333"/>
      <c r="Y600" s="1333"/>
      <c r="Z600" s="1333"/>
      <c r="AA600" s="1333"/>
      <c r="AB600" s="1333"/>
      <c r="AC600" s="1333"/>
      <c r="AD600" s="1333"/>
      <c r="AE600" s="1333"/>
      <c r="AF600" s="1333"/>
      <c r="AG600" s="1333"/>
      <c r="AH600" s="1333"/>
      <c r="AI600" s="1333"/>
      <c r="AJ600" s="1333"/>
      <c r="AX600" s="17"/>
      <c r="AY600" s="17"/>
    </row>
    <row r="601" spans="1:51" ht="15" customHeight="1" x14ac:dyDescent="0.3">
      <c r="A601" s="1331"/>
      <c r="B601" s="1284"/>
      <c r="C601" s="1291"/>
      <c r="D601" s="1284"/>
      <c r="E601" s="1291"/>
      <c r="F601" s="1284"/>
      <c r="G601" s="1660" t="s">
        <v>1014</v>
      </c>
      <c r="H601" s="1284"/>
      <c r="I601" s="1333"/>
      <c r="J601" s="1333"/>
      <c r="K601" s="1550"/>
      <c r="L601" s="1333"/>
      <c r="M601" s="1333"/>
      <c r="N601" s="1333"/>
      <c r="O601" s="1333"/>
      <c r="P601" s="1562"/>
      <c r="Q601" s="1562"/>
      <c r="R601" s="1562"/>
      <c r="S601" s="1563"/>
      <c r="T601" s="1564"/>
      <c r="U601" s="1284"/>
      <c r="V601" s="1284"/>
      <c r="W601" s="1333"/>
      <c r="X601" s="1333"/>
      <c r="Y601" s="1333"/>
      <c r="Z601" s="1333"/>
      <c r="AA601" s="1333"/>
      <c r="AB601" s="1333"/>
      <c r="AC601" s="1333"/>
      <c r="AD601" s="1333"/>
      <c r="AE601" s="1333"/>
      <c r="AF601" s="1333"/>
      <c r="AG601" s="1333"/>
      <c r="AH601" s="1333"/>
      <c r="AI601" s="1333"/>
      <c r="AJ601" s="1333"/>
      <c r="AX601" s="17"/>
      <c r="AY601" s="17"/>
    </row>
    <row r="602" spans="1:51" ht="15" customHeight="1" x14ac:dyDescent="0.3">
      <c r="A602" s="1331"/>
      <c r="B602" s="1284"/>
      <c r="C602" s="1291"/>
      <c r="D602" s="1284"/>
      <c r="E602" s="1291"/>
      <c r="F602" s="1284"/>
      <c r="G602" s="1291"/>
      <c r="H602" s="1284"/>
      <c r="I602" s="1333"/>
      <c r="J602" s="1333"/>
      <c r="K602" s="1550"/>
      <c r="L602" s="1333"/>
      <c r="M602" s="1333"/>
      <c r="N602" s="1333"/>
      <c r="O602" s="1333"/>
      <c r="P602" s="1562"/>
      <c r="Q602" s="1562"/>
      <c r="R602" s="1562"/>
      <c r="S602" s="1563"/>
      <c r="T602" s="1564"/>
      <c r="U602" s="1284"/>
      <c r="V602" s="1284"/>
      <c r="W602" s="1333"/>
      <c r="X602" s="1333"/>
      <c r="Y602" s="1333"/>
      <c r="Z602" s="1333"/>
      <c r="AA602" s="1333"/>
      <c r="AB602" s="1333"/>
      <c r="AC602" s="1333"/>
      <c r="AD602" s="1333"/>
      <c r="AE602" s="1333"/>
      <c r="AF602" s="1333"/>
      <c r="AG602" s="1333"/>
      <c r="AH602" s="1333"/>
      <c r="AI602" s="1333"/>
      <c r="AJ602" s="1333"/>
      <c r="AX602" s="17"/>
      <c r="AY602" s="17"/>
    </row>
    <row r="603" spans="1:51" ht="15" customHeight="1" x14ac:dyDescent="0.3">
      <c r="A603" s="1331"/>
      <c r="B603" s="1284"/>
      <c r="C603" s="2062">
        <v>42993</v>
      </c>
      <c r="D603" s="2062"/>
      <c r="E603" s="2062"/>
      <c r="F603" s="1297"/>
      <c r="G603" s="1297" t="s">
        <v>1084</v>
      </c>
      <c r="H603" s="1284"/>
      <c r="I603" s="1333"/>
      <c r="J603" s="1333"/>
      <c r="K603" s="1550"/>
      <c r="L603" s="1333"/>
      <c r="M603" s="1333"/>
      <c r="N603" s="1333"/>
      <c r="O603" s="1333"/>
      <c r="P603" s="1562"/>
      <c r="Q603" s="1562"/>
      <c r="R603" s="1562"/>
      <c r="S603" s="1563"/>
      <c r="T603" s="1564"/>
      <c r="U603" s="1284"/>
      <c r="V603" s="1284"/>
      <c r="W603" s="1333"/>
      <c r="X603" s="1333"/>
      <c r="Y603" s="1333"/>
      <c r="Z603" s="1333"/>
      <c r="AA603" s="1333"/>
      <c r="AB603" s="1333"/>
      <c r="AC603" s="1333"/>
      <c r="AD603" s="1333"/>
      <c r="AE603" s="1333"/>
      <c r="AF603" s="1333"/>
      <c r="AG603" s="1333"/>
      <c r="AH603" s="1333"/>
      <c r="AI603" s="1333"/>
      <c r="AJ603" s="1333"/>
      <c r="AX603" s="17"/>
      <c r="AY603" s="17"/>
    </row>
    <row r="604" spans="1:51" ht="15" customHeight="1" x14ac:dyDescent="0.3">
      <c r="A604" s="1331"/>
      <c r="B604" s="1284"/>
      <c r="C604" s="1291"/>
      <c r="D604" s="1284"/>
      <c r="E604" s="1291"/>
      <c r="F604" s="1284"/>
      <c r="G604" s="1291"/>
      <c r="H604" s="1284"/>
      <c r="I604" s="1333"/>
      <c r="J604" s="1333"/>
      <c r="K604" s="1550"/>
      <c r="L604" s="1333"/>
      <c r="M604" s="1333"/>
      <c r="N604" s="1333"/>
      <c r="O604" s="1333"/>
      <c r="P604" s="1562"/>
      <c r="Q604" s="1562"/>
      <c r="R604" s="1562"/>
      <c r="S604" s="1563"/>
      <c r="T604" s="1564"/>
      <c r="U604" s="1284"/>
      <c r="V604" s="1284"/>
      <c r="W604" s="1333"/>
      <c r="X604" s="1333"/>
      <c r="Y604" s="1333"/>
      <c r="Z604" s="1333"/>
      <c r="AA604" s="1333"/>
      <c r="AB604" s="1333"/>
      <c r="AC604" s="1333"/>
      <c r="AD604" s="1333"/>
      <c r="AE604" s="1333"/>
      <c r="AF604" s="1333"/>
      <c r="AG604" s="1333"/>
      <c r="AH604" s="1333"/>
      <c r="AI604" s="1333"/>
      <c r="AJ604" s="1333"/>
      <c r="AX604" s="17"/>
      <c r="AY604" s="17"/>
    </row>
    <row r="605" spans="1:51" ht="15" customHeight="1" x14ac:dyDescent="0.3">
      <c r="A605" s="1331"/>
      <c r="B605" s="1284"/>
      <c r="C605" s="2062">
        <v>43235</v>
      </c>
      <c r="D605" s="2062"/>
      <c r="E605" s="2062"/>
      <c r="F605" s="1297"/>
      <c r="G605" s="1297" t="s">
        <v>1144</v>
      </c>
      <c r="H605" s="1284"/>
      <c r="I605" s="1333"/>
      <c r="J605" s="1333"/>
      <c r="K605" s="1550"/>
      <c r="L605" s="1333"/>
      <c r="M605" s="1333"/>
      <c r="N605" s="1333"/>
      <c r="O605" s="1333"/>
      <c r="P605" s="1562"/>
      <c r="Q605" s="1562"/>
      <c r="R605" s="1562"/>
      <c r="S605" s="1563"/>
      <c r="T605" s="1564"/>
      <c r="U605" s="1284"/>
      <c r="V605" s="1284"/>
      <c r="W605" s="1333"/>
      <c r="X605" s="1333"/>
      <c r="Y605" s="1333"/>
      <c r="Z605" s="1333"/>
      <c r="AA605" s="1333"/>
      <c r="AB605" s="1333"/>
      <c r="AC605" s="1333"/>
      <c r="AD605" s="1333"/>
      <c r="AE605" s="1333"/>
      <c r="AF605" s="1333"/>
      <c r="AG605" s="1333"/>
      <c r="AH605" s="1333"/>
      <c r="AI605" s="1333"/>
      <c r="AJ605" s="1333"/>
      <c r="AX605" s="17"/>
      <c r="AY605" s="17"/>
    </row>
    <row r="606" spans="1:51" ht="15" customHeight="1" x14ac:dyDescent="0.3">
      <c r="A606" s="1331"/>
      <c r="B606" s="1284"/>
      <c r="C606" s="1284"/>
      <c r="D606" s="1364"/>
      <c r="E606" s="1364"/>
      <c r="F606" s="1364"/>
      <c r="G606" s="1499"/>
      <c r="H606" s="1333"/>
      <c r="I606" s="1333"/>
      <c r="J606" s="1333"/>
      <c r="K606" s="1550"/>
      <c r="L606" s="1333"/>
      <c r="M606" s="1333"/>
      <c r="N606" s="1333"/>
      <c r="O606" s="1333"/>
      <c r="P606" s="1562"/>
      <c r="Q606" s="1562"/>
      <c r="R606" s="1562"/>
      <c r="S606" s="1563"/>
      <c r="T606" s="1564"/>
      <c r="U606" s="1489"/>
      <c r="V606" s="1284"/>
      <c r="W606" s="1333"/>
      <c r="X606" s="1333"/>
      <c r="Y606" s="1333"/>
      <c r="Z606" s="1333"/>
      <c r="AA606" s="1333"/>
      <c r="AB606" s="1333"/>
      <c r="AC606" s="1333"/>
      <c r="AD606" s="1333"/>
      <c r="AE606" s="1333"/>
      <c r="AF606" s="1333"/>
      <c r="AG606" s="1333"/>
      <c r="AH606" s="1333"/>
      <c r="AI606" s="1333"/>
      <c r="AJ606" s="1333"/>
      <c r="AX606" s="17"/>
      <c r="AY606" s="17"/>
    </row>
    <row r="607" spans="1:51" ht="15" customHeight="1" x14ac:dyDescent="0.3">
      <c r="A607" s="1331"/>
      <c r="B607" s="1284"/>
      <c r="C607" s="1284"/>
      <c r="D607" s="1364"/>
      <c r="E607" s="1364"/>
      <c r="F607" s="1364"/>
      <c r="G607" s="1365"/>
      <c r="H607" s="1333"/>
      <c r="I607" s="1333"/>
      <c r="J607" s="1333"/>
      <c r="K607" s="1550"/>
      <c r="L607" s="1333"/>
      <c r="M607" s="1333"/>
      <c r="N607" s="1333"/>
      <c r="O607" s="1333"/>
      <c r="P607" s="1562"/>
      <c r="Q607" s="1562"/>
      <c r="R607" s="1562"/>
      <c r="S607" s="1563"/>
      <c r="T607" s="1564"/>
      <c r="U607" s="1284"/>
      <c r="V607" s="1284"/>
      <c r="W607" s="1333"/>
      <c r="X607" s="1333"/>
      <c r="Y607" s="1333"/>
      <c r="Z607" s="1333"/>
      <c r="AA607" s="1333"/>
      <c r="AB607" s="1333"/>
      <c r="AC607" s="1333"/>
      <c r="AD607" s="1333"/>
      <c r="AE607" s="1333"/>
      <c r="AF607" s="1333"/>
      <c r="AG607" s="1333"/>
      <c r="AH607" s="1333"/>
      <c r="AI607" s="1333"/>
      <c r="AJ607" s="1333"/>
      <c r="AX607" s="17"/>
      <c r="AY607" s="17"/>
    </row>
    <row r="608" spans="1:51" ht="15" customHeight="1" x14ac:dyDescent="0.3">
      <c r="A608" s="1331"/>
      <c r="B608" s="1284"/>
      <c r="C608" s="1284"/>
      <c r="D608" s="1364"/>
      <c r="E608" s="1364"/>
      <c r="F608" s="1364"/>
      <c r="G608" s="1365"/>
      <c r="H608" s="1333"/>
      <c r="I608" s="1333"/>
      <c r="J608" s="1333"/>
      <c r="K608" s="1550"/>
      <c r="L608" s="1333"/>
      <c r="M608" s="1333"/>
      <c r="N608" s="1333"/>
      <c r="O608" s="1333"/>
      <c r="P608" s="1562"/>
      <c r="Q608" s="1562"/>
      <c r="R608" s="1562"/>
      <c r="S608" s="1563"/>
      <c r="T608" s="1564"/>
      <c r="U608" s="1284"/>
      <c r="V608" s="1284"/>
      <c r="W608" s="1333"/>
      <c r="X608" s="1333"/>
      <c r="Y608" s="1333"/>
      <c r="Z608" s="1333"/>
      <c r="AA608" s="1333"/>
      <c r="AB608" s="1333"/>
      <c r="AC608" s="1333"/>
      <c r="AD608" s="1333"/>
      <c r="AE608" s="1333"/>
      <c r="AF608" s="1333"/>
      <c r="AG608" s="1333"/>
      <c r="AH608" s="1333"/>
      <c r="AI608" s="1333"/>
      <c r="AJ608" s="1333"/>
      <c r="AX608" s="17"/>
      <c r="AY608" s="17"/>
    </row>
    <row r="609" spans="1:51" ht="15" customHeight="1" x14ac:dyDescent="0.3">
      <c r="A609" s="1331"/>
      <c r="B609" s="1284"/>
      <c r="C609" s="1284"/>
      <c r="D609" s="1364"/>
      <c r="E609" s="1364"/>
      <c r="F609" s="1364"/>
      <c r="G609" s="1365"/>
      <c r="H609" s="1333"/>
      <c r="I609" s="1333"/>
      <c r="J609" s="1333"/>
      <c r="K609" s="1550"/>
      <c r="L609" s="1333"/>
      <c r="M609" s="1333"/>
      <c r="N609" s="1333"/>
      <c r="O609" s="1333"/>
      <c r="P609" s="1562"/>
      <c r="Q609" s="1562"/>
      <c r="R609" s="1562"/>
      <c r="S609" s="1563"/>
      <c r="T609" s="1564"/>
      <c r="U609" s="1284"/>
      <c r="V609" s="1284"/>
      <c r="W609" s="1333"/>
      <c r="X609" s="1333"/>
      <c r="Y609" s="1333"/>
      <c r="Z609" s="1333"/>
      <c r="AA609" s="1333"/>
      <c r="AB609" s="1333"/>
      <c r="AC609" s="1333"/>
      <c r="AD609" s="1333"/>
      <c r="AE609" s="1333"/>
      <c r="AF609" s="1333"/>
      <c r="AG609" s="1333"/>
      <c r="AH609" s="1333"/>
      <c r="AI609" s="1333"/>
      <c r="AJ609" s="1333"/>
      <c r="AX609" s="17"/>
      <c r="AY609" s="17"/>
    </row>
    <row r="610" spans="1:51" ht="15" customHeight="1" x14ac:dyDescent="0.3">
      <c r="A610" s="1331"/>
      <c r="B610" s="1284"/>
      <c r="C610" s="1284"/>
      <c r="D610" s="1364"/>
      <c r="E610" s="1364"/>
      <c r="F610" s="1364"/>
      <c r="G610" s="1365"/>
      <c r="H610" s="1333"/>
      <c r="I610" s="1333"/>
      <c r="J610" s="1333"/>
      <c r="K610" s="1550"/>
      <c r="L610" s="1333"/>
      <c r="M610" s="1333"/>
      <c r="N610" s="1333"/>
      <c r="O610" s="1333"/>
      <c r="P610" s="1562"/>
      <c r="Q610" s="1562"/>
      <c r="R610" s="1562"/>
      <c r="S610" s="1563"/>
      <c r="T610" s="1564"/>
      <c r="U610" s="1284"/>
      <c r="V610" s="1284"/>
      <c r="W610" s="1333"/>
      <c r="X610" s="1333"/>
      <c r="Y610" s="1333"/>
      <c r="Z610" s="1333"/>
      <c r="AA610" s="1333"/>
      <c r="AB610" s="1333"/>
      <c r="AC610" s="1333"/>
      <c r="AD610" s="1333"/>
      <c r="AE610" s="1333"/>
      <c r="AF610" s="1333"/>
      <c r="AG610" s="1333"/>
      <c r="AH610" s="1333"/>
      <c r="AI610" s="1333"/>
      <c r="AJ610" s="1333"/>
      <c r="AX610" s="17"/>
      <c r="AY610" s="17"/>
    </row>
    <row r="611" spans="1:51" ht="15" customHeight="1" x14ac:dyDescent="0.3">
      <c r="A611" s="1331"/>
      <c r="B611" s="1284"/>
      <c r="C611" s="1284"/>
      <c r="D611" s="1364"/>
      <c r="E611" s="1364"/>
      <c r="F611" s="1364"/>
      <c r="G611" s="1365"/>
      <c r="H611" s="1333"/>
      <c r="I611" s="1333"/>
      <c r="J611" s="1333"/>
      <c r="K611" s="1550"/>
      <c r="L611" s="1333"/>
      <c r="M611" s="1333"/>
      <c r="N611" s="1333"/>
      <c r="O611" s="1333"/>
      <c r="P611" s="1562"/>
      <c r="Q611" s="1562"/>
      <c r="R611" s="1562"/>
      <c r="S611" s="1563"/>
      <c r="T611" s="1564"/>
      <c r="U611" s="1284"/>
      <c r="V611" s="1284"/>
      <c r="W611" s="1333"/>
      <c r="X611" s="1333"/>
      <c r="Y611" s="1333"/>
      <c r="Z611" s="1333"/>
      <c r="AA611" s="1333"/>
      <c r="AB611" s="1333"/>
      <c r="AC611" s="1333"/>
      <c r="AD611" s="1333"/>
      <c r="AE611" s="1333"/>
      <c r="AF611" s="1333"/>
      <c r="AG611" s="1333"/>
      <c r="AH611" s="1333"/>
      <c r="AI611" s="1333"/>
      <c r="AJ611" s="1333"/>
      <c r="AX611" s="17"/>
      <c r="AY611" s="17"/>
    </row>
    <row r="612" spans="1:51" ht="15" customHeight="1" x14ac:dyDescent="0.3">
      <c r="A612" s="1331"/>
      <c r="B612" s="1284"/>
      <c r="C612" s="1284"/>
      <c r="D612" s="1364"/>
      <c r="E612" s="1364"/>
      <c r="F612" s="1364"/>
      <c r="G612" s="1365"/>
      <c r="H612" s="1333"/>
      <c r="I612" s="1333"/>
      <c r="J612" s="1333"/>
      <c r="K612" s="1550"/>
      <c r="L612" s="1333"/>
      <c r="M612" s="1333"/>
      <c r="N612" s="1333"/>
      <c r="O612" s="1333"/>
      <c r="P612" s="1562"/>
      <c r="Q612" s="1562"/>
      <c r="R612" s="1562"/>
      <c r="S612" s="1563"/>
      <c r="T612" s="1564"/>
      <c r="U612" s="1284"/>
      <c r="V612" s="1284"/>
      <c r="W612" s="1333"/>
      <c r="X612" s="1333"/>
      <c r="Y612" s="1333"/>
      <c r="Z612" s="1333"/>
      <c r="AA612" s="1333"/>
      <c r="AB612" s="1333"/>
      <c r="AC612" s="1333"/>
      <c r="AD612" s="1333"/>
      <c r="AE612" s="1333"/>
      <c r="AF612" s="1333"/>
      <c r="AG612" s="1333"/>
      <c r="AH612" s="1333"/>
      <c r="AI612" s="1333"/>
      <c r="AJ612" s="1333"/>
      <c r="AX612" s="17"/>
      <c r="AY612" s="17"/>
    </row>
    <row r="613" spans="1:51" ht="15" customHeight="1" x14ac:dyDescent="0.3">
      <c r="A613" s="1331"/>
      <c r="B613" s="1284"/>
      <c r="C613" s="1284"/>
      <c r="D613" s="1364"/>
      <c r="E613" s="1364"/>
      <c r="F613" s="1364"/>
      <c r="G613" s="1365"/>
      <c r="H613" s="1333"/>
      <c r="I613" s="1333"/>
      <c r="J613" s="1333"/>
      <c r="K613" s="1550"/>
      <c r="L613" s="1333"/>
      <c r="M613" s="1333"/>
      <c r="N613" s="1333"/>
      <c r="O613" s="1333"/>
      <c r="P613" s="1562"/>
      <c r="Q613" s="1562"/>
      <c r="R613" s="1562"/>
      <c r="S613" s="1563"/>
      <c r="T613" s="1564"/>
      <c r="U613" s="1284"/>
      <c r="V613" s="1284"/>
      <c r="W613" s="1333"/>
      <c r="X613" s="1333"/>
      <c r="Y613" s="1333"/>
      <c r="Z613" s="1333"/>
      <c r="AA613" s="1333"/>
      <c r="AB613" s="1333"/>
      <c r="AC613" s="1333"/>
      <c r="AD613" s="1333"/>
      <c r="AE613" s="1333"/>
      <c r="AF613" s="1333"/>
      <c r="AG613" s="1333"/>
      <c r="AH613" s="1333"/>
      <c r="AI613" s="1333"/>
      <c r="AJ613" s="1333"/>
      <c r="AX613" s="17"/>
      <c r="AY613" s="17"/>
    </row>
    <row r="614" spans="1:51" ht="15" customHeight="1" x14ac:dyDescent="0.3">
      <c r="A614" s="1331"/>
      <c r="B614" s="1284"/>
      <c r="C614" s="1284"/>
      <c r="D614" s="1364"/>
      <c r="E614" s="1364"/>
      <c r="F614" s="1364"/>
      <c r="G614" s="1365"/>
      <c r="H614" s="1333"/>
      <c r="I614" s="1333"/>
      <c r="J614" s="1333"/>
      <c r="K614" s="1550"/>
      <c r="L614" s="1333"/>
      <c r="M614" s="1333"/>
      <c r="N614" s="1333"/>
      <c r="O614" s="1333"/>
      <c r="P614" s="1565"/>
      <c r="Q614" s="1565"/>
      <c r="R614" s="1565"/>
      <c r="S614" s="1566"/>
      <c r="T614" s="1492"/>
      <c r="U614" s="1284"/>
      <c r="V614" s="1284"/>
      <c r="W614" s="1333"/>
      <c r="X614" s="1333"/>
      <c r="Y614" s="1333"/>
      <c r="Z614" s="1333"/>
      <c r="AA614" s="1333"/>
      <c r="AB614" s="1333"/>
      <c r="AC614" s="1333"/>
      <c r="AD614" s="1333"/>
      <c r="AE614" s="1333"/>
      <c r="AF614" s="1333"/>
      <c r="AG614" s="1333"/>
      <c r="AH614" s="1333"/>
      <c r="AI614" s="1333"/>
      <c r="AJ614" s="1333"/>
      <c r="AX614" s="17"/>
      <c r="AY614" s="17"/>
    </row>
    <row r="615" spans="1:51" ht="15" customHeight="1" x14ac:dyDescent="0.3">
      <c r="A615" s="1331"/>
      <c r="B615" s="1284"/>
      <c r="C615" s="1284"/>
      <c r="D615" s="1364"/>
      <c r="E615" s="1364"/>
      <c r="F615" s="1364"/>
      <c r="G615" s="1365"/>
      <c r="H615" s="1333"/>
      <c r="I615" s="1333"/>
      <c r="J615" s="1333"/>
      <c r="K615" s="1550"/>
      <c r="L615" s="1333"/>
      <c r="M615" s="1333"/>
      <c r="N615" s="1333"/>
      <c r="O615" s="1333"/>
      <c r="P615" s="1565"/>
      <c r="Q615" s="1565"/>
      <c r="R615" s="1565"/>
      <c r="S615" s="1566"/>
      <c r="T615" s="1492"/>
      <c r="U615" s="1284"/>
      <c r="V615" s="1284"/>
      <c r="W615" s="1333"/>
      <c r="X615" s="1333"/>
      <c r="Y615" s="1333"/>
      <c r="Z615" s="1333"/>
      <c r="AA615" s="1333"/>
      <c r="AB615" s="1333"/>
      <c r="AC615" s="1333"/>
      <c r="AD615" s="1333"/>
      <c r="AE615" s="1333"/>
      <c r="AF615" s="1333"/>
      <c r="AG615" s="1333"/>
      <c r="AH615" s="1333"/>
      <c r="AI615" s="1333"/>
      <c r="AJ615" s="1333"/>
      <c r="AX615" s="17"/>
      <c r="AY615" s="17"/>
    </row>
    <row r="616" spans="1:51" ht="15" customHeight="1" x14ac:dyDescent="0.3">
      <c r="A616" s="1331"/>
      <c r="B616" s="1284"/>
      <c r="C616" s="1284"/>
      <c r="D616" s="1364"/>
      <c r="E616" s="1364"/>
      <c r="F616" s="1364"/>
      <c r="G616" s="1365"/>
      <c r="H616" s="1333"/>
      <c r="I616" s="1333"/>
      <c r="J616" s="1333"/>
      <c r="K616" s="1550"/>
      <c r="L616" s="1333"/>
      <c r="M616" s="1333"/>
      <c r="N616" s="1333"/>
      <c r="O616" s="1333"/>
      <c r="P616" s="1565"/>
      <c r="Q616" s="1565"/>
      <c r="R616" s="1565"/>
      <c r="S616" s="1566"/>
      <c r="T616" s="1492"/>
      <c r="U616" s="1284"/>
      <c r="V616" s="1284"/>
      <c r="W616" s="1333"/>
      <c r="X616" s="1333"/>
      <c r="Y616" s="1333"/>
      <c r="Z616" s="1333"/>
      <c r="AA616" s="1333"/>
      <c r="AB616" s="1333"/>
      <c r="AC616" s="1333"/>
      <c r="AD616" s="1333"/>
      <c r="AE616" s="1333"/>
      <c r="AF616" s="1333"/>
      <c r="AG616" s="1333"/>
      <c r="AH616" s="1333"/>
      <c r="AI616" s="1333"/>
      <c r="AJ616" s="1333"/>
      <c r="AX616" s="17"/>
      <c r="AY616" s="17"/>
    </row>
    <row r="617" spans="1:51" ht="15" customHeight="1" x14ac:dyDescent="0.3">
      <c r="A617" s="1331"/>
      <c r="B617" s="1284"/>
      <c r="C617" s="1284"/>
      <c r="D617" s="1364"/>
      <c r="E617" s="1364"/>
      <c r="F617" s="1364"/>
      <c r="G617" s="1365"/>
      <c r="H617" s="1333"/>
      <c r="I617" s="1333"/>
      <c r="J617" s="1333"/>
      <c r="K617" s="1550"/>
      <c r="L617" s="1333"/>
      <c r="M617" s="1333"/>
      <c r="N617" s="1333"/>
      <c r="O617" s="1333"/>
      <c r="P617" s="1565"/>
      <c r="Q617" s="1565"/>
      <c r="R617" s="1565"/>
      <c r="S617" s="1566"/>
      <c r="T617" s="1492"/>
      <c r="U617" s="1284"/>
      <c r="V617" s="1284"/>
      <c r="W617" s="1333"/>
      <c r="X617" s="1333"/>
      <c r="Y617" s="1333"/>
      <c r="Z617" s="1333"/>
      <c r="AA617" s="1333"/>
      <c r="AB617" s="1333"/>
      <c r="AC617" s="1333"/>
      <c r="AD617" s="1333"/>
      <c r="AE617" s="1333"/>
      <c r="AF617" s="1333"/>
      <c r="AG617" s="1333"/>
      <c r="AH617" s="1333"/>
      <c r="AI617" s="1333"/>
      <c r="AJ617" s="1333"/>
      <c r="AX617" s="17"/>
      <c r="AY617" s="17"/>
    </row>
    <row r="618" spans="1:51" ht="15" customHeight="1" x14ac:dyDescent="0.3">
      <c r="A618" s="1331"/>
      <c r="B618" s="1284"/>
      <c r="C618" s="1284"/>
      <c r="D618" s="1364"/>
      <c r="E618" s="1364"/>
      <c r="F618" s="1364"/>
      <c r="G618" s="1365"/>
      <c r="H618" s="1333"/>
      <c r="I618" s="1333"/>
      <c r="J618" s="1333"/>
      <c r="K618" s="1550"/>
      <c r="L618" s="1333"/>
      <c r="M618" s="1333"/>
      <c r="N618" s="1333"/>
      <c r="O618" s="1333"/>
      <c r="P618" s="1565"/>
      <c r="Q618" s="1565"/>
      <c r="R618" s="1565"/>
      <c r="S618" s="1566"/>
      <c r="T618" s="1492"/>
      <c r="U618" s="1284"/>
      <c r="V618" s="1284"/>
      <c r="W618" s="1333"/>
      <c r="X618" s="1333"/>
      <c r="Y618" s="1333"/>
      <c r="Z618" s="1333"/>
      <c r="AA618" s="1333"/>
      <c r="AB618" s="1333"/>
      <c r="AC618" s="1333"/>
      <c r="AD618" s="1333"/>
      <c r="AE618" s="1333"/>
      <c r="AF618" s="1333"/>
      <c r="AG618" s="1333"/>
      <c r="AH618" s="1333"/>
      <c r="AI618" s="1333"/>
      <c r="AJ618" s="1333"/>
      <c r="AX618" s="17"/>
      <c r="AY618" s="17"/>
    </row>
    <row r="619" spans="1:51" ht="15" customHeight="1" x14ac:dyDescent="0.3">
      <c r="A619" s="1331"/>
      <c r="B619" s="1284"/>
      <c r="C619" s="1284"/>
      <c r="D619" s="1364"/>
      <c r="E619" s="1364"/>
      <c r="F619" s="1364"/>
      <c r="G619" s="1365"/>
      <c r="H619" s="1333"/>
      <c r="I619" s="1333"/>
      <c r="J619" s="1333"/>
      <c r="K619" s="1550"/>
      <c r="L619" s="1333"/>
      <c r="M619" s="1333"/>
      <c r="N619" s="1333"/>
      <c r="O619" s="1333"/>
      <c r="P619" s="1565"/>
      <c r="Q619" s="1565"/>
      <c r="R619" s="1565"/>
      <c r="S619" s="1566"/>
      <c r="T619" s="1492"/>
      <c r="U619" s="1284"/>
      <c r="V619" s="1284"/>
      <c r="W619" s="1333"/>
      <c r="X619" s="1333"/>
      <c r="Y619" s="1333"/>
      <c r="Z619" s="1333"/>
      <c r="AA619" s="1333"/>
      <c r="AB619" s="1333"/>
      <c r="AC619" s="1333"/>
      <c r="AD619" s="1333"/>
      <c r="AE619" s="1333"/>
      <c r="AF619" s="1333"/>
      <c r="AG619" s="1333"/>
      <c r="AH619" s="1333"/>
      <c r="AI619" s="1333"/>
      <c r="AJ619" s="1333"/>
      <c r="AX619" s="17"/>
      <c r="AY619" s="17"/>
    </row>
    <row r="620" spans="1:51" ht="15" customHeight="1" x14ac:dyDescent="0.3">
      <c r="A620" s="1331"/>
      <c r="B620" s="1284"/>
      <c r="C620" s="1284"/>
      <c r="D620" s="1364"/>
      <c r="E620" s="1364"/>
      <c r="F620" s="1364"/>
      <c r="G620" s="1365"/>
      <c r="H620" s="1333"/>
      <c r="I620" s="1333"/>
      <c r="J620" s="1333"/>
      <c r="K620" s="1550"/>
      <c r="L620" s="1333"/>
      <c r="M620" s="1333"/>
      <c r="N620" s="1333"/>
      <c r="O620" s="1333"/>
      <c r="P620" s="1565"/>
      <c r="Q620" s="1565"/>
      <c r="R620" s="1565"/>
      <c r="S620" s="1566"/>
      <c r="T620" s="1492"/>
      <c r="U620" s="1284"/>
      <c r="V620" s="1284"/>
      <c r="W620" s="1333"/>
      <c r="X620" s="1333"/>
      <c r="Y620" s="1333"/>
      <c r="Z620" s="1333"/>
      <c r="AA620" s="1333"/>
      <c r="AB620" s="1333"/>
      <c r="AC620" s="1333"/>
      <c r="AD620" s="1333"/>
      <c r="AE620" s="1333"/>
      <c r="AF620" s="1333"/>
      <c r="AG620" s="1333"/>
      <c r="AH620" s="1333"/>
      <c r="AI620" s="1333"/>
      <c r="AJ620" s="1333"/>
      <c r="AX620" s="17"/>
      <c r="AY620" s="17"/>
    </row>
    <row r="621" spans="1:51" ht="15" customHeight="1" x14ac:dyDescent="0.3">
      <c r="A621" s="1331"/>
      <c r="B621" s="1284"/>
      <c r="C621" s="1284"/>
      <c r="D621" s="1364"/>
      <c r="E621" s="1364"/>
      <c r="F621" s="1364"/>
      <c r="G621" s="1365"/>
      <c r="H621" s="1333"/>
      <c r="I621" s="1333"/>
      <c r="J621" s="1333"/>
      <c r="K621" s="1550"/>
      <c r="L621" s="1333"/>
      <c r="M621" s="1333"/>
      <c r="N621" s="1333"/>
      <c r="O621" s="1333"/>
      <c r="P621" s="1565"/>
      <c r="Q621" s="1565"/>
      <c r="R621" s="1565"/>
      <c r="S621" s="1566"/>
      <c r="T621" s="1492"/>
      <c r="U621" s="1284"/>
      <c r="V621" s="1284"/>
      <c r="W621" s="1333"/>
      <c r="X621" s="1333"/>
      <c r="Y621" s="1333"/>
      <c r="Z621" s="1333"/>
      <c r="AA621" s="1333"/>
      <c r="AB621" s="1333"/>
      <c r="AC621" s="1333"/>
      <c r="AD621" s="1333"/>
      <c r="AE621" s="1333"/>
      <c r="AF621" s="1333"/>
      <c r="AG621" s="1333"/>
      <c r="AH621" s="1333"/>
      <c r="AI621" s="1333"/>
      <c r="AJ621" s="1333"/>
      <c r="AX621" s="17"/>
      <c r="AY621" s="17"/>
    </row>
    <row r="622" spans="1:51" ht="15" customHeight="1" x14ac:dyDescent="0.3">
      <c r="A622" s="1331"/>
      <c r="B622" s="1284"/>
      <c r="C622" s="1284"/>
      <c r="D622" s="1364"/>
      <c r="E622" s="1364"/>
      <c r="F622" s="1364"/>
      <c r="G622" s="1365"/>
      <c r="H622" s="1333"/>
      <c r="I622" s="1333"/>
      <c r="J622" s="1333"/>
      <c r="K622" s="1550"/>
      <c r="L622" s="1333"/>
      <c r="M622" s="1333"/>
      <c r="N622" s="1333"/>
      <c r="O622" s="1333"/>
      <c r="P622" s="1565"/>
      <c r="Q622" s="1565"/>
      <c r="R622" s="1565"/>
      <c r="S622" s="1566"/>
      <c r="T622" s="1492"/>
      <c r="U622" s="1284"/>
      <c r="V622" s="1284"/>
      <c r="W622" s="1333"/>
      <c r="X622" s="1333"/>
      <c r="Y622" s="1333"/>
      <c r="Z622" s="1333"/>
      <c r="AA622" s="1333"/>
      <c r="AB622" s="1333"/>
      <c r="AC622" s="1333"/>
      <c r="AD622" s="1333"/>
      <c r="AE622" s="1333"/>
      <c r="AF622" s="1333"/>
      <c r="AG622" s="1333"/>
      <c r="AH622" s="1333"/>
      <c r="AI622" s="1333"/>
      <c r="AJ622" s="1333"/>
      <c r="AX622" s="17"/>
      <c r="AY622" s="17"/>
    </row>
    <row r="623" spans="1:51" ht="15" customHeight="1" x14ac:dyDescent="0.25">
      <c r="A623" s="1331"/>
      <c r="B623" s="1284"/>
      <c r="C623" s="1284"/>
      <c r="D623" s="1364"/>
      <c r="E623" s="1364"/>
      <c r="F623" s="1364"/>
      <c r="G623" s="1365"/>
      <c r="H623" s="1333"/>
      <c r="I623" s="1333"/>
      <c r="J623" s="1333"/>
      <c r="K623" s="1576" t="str">
        <f>CONCATENATE('04 - 95% CD'!D515,'04 - 95% CD'!E515,,'04 - 95% CD'!F515,)</f>
        <v/>
      </c>
      <c r="L623" s="1333"/>
      <c r="M623" s="1333"/>
      <c r="N623" s="1333"/>
      <c r="O623" s="1333"/>
      <c r="P623" s="1565"/>
      <c r="Q623" s="1565"/>
      <c r="R623" s="1565"/>
      <c r="S623" s="1566"/>
      <c r="T623" s="1492"/>
      <c r="U623" s="1284"/>
      <c r="V623" s="1284"/>
      <c r="W623" s="1333"/>
      <c r="X623" s="1333"/>
      <c r="Y623" s="1333"/>
      <c r="Z623" s="1333"/>
      <c r="AA623" s="1333"/>
      <c r="AB623" s="1333"/>
      <c r="AC623" s="1333"/>
      <c r="AD623" s="1333"/>
      <c r="AE623" s="1333"/>
      <c r="AF623" s="1333"/>
      <c r="AG623" s="1333"/>
      <c r="AH623" s="1333"/>
      <c r="AI623" s="1333"/>
      <c r="AJ623" s="1333"/>
      <c r="AX623" s="17"/>
      <c r="AY623" s="17"/>
    </row>
    <row r="624" spans="1:51" ht="15" customHeight="1" x14ac:dyDescent="0.25">
      <c r="A624" s="1331"/>
      <c r="B624" s="1284"/>
      <c r="C624" s="1284"/>
      <c r="D624" s="1364"/>
      <c r="E624" s="1364"/>
      <c r="F624" s="1364"/>
      <c r="G624" s="1365"/>
      <c r="H624" s="1333"/>
      <c r="I624" s="1333"/>
      <c r="J624" s="1333"/>
      <c r="K624" s="1576" t="str">
        <f>CONCATENATE('04 - 95% CD'!D516,'04 - 95% CD'!E516,,'04 - 95% CD'!F516,)</f>
        <v/>
      </c>
      <c r="L624" s="1333"/>
      <c r="M624" s="1333"/>
      <c r="N624" s="1333"/>
      <c r="O624" s="1333"/>
      <c r="P624" s="1565"/>
      <c r="Q624" s="1565"/>
      <c r="R624" s="1565"/>
      <c r="S624" s="1566"/>
      <c r="T624" s="1492"/>
      <c r="U624" s="1284"/>
      <c r="V624" s="1284"/>
      <c r="W624" s="1333"/>
      <c r="X624" s="1333"/>
      <c r="Y624" s="1333"/>
      <c r="Z624" s="1333"/>
      <c r="AA624" s="1333"/>
      <c r="AB624" s="1333"/>
      <c r="AC624" s="1333"/>
      <c r="AD624" s="1333"/>
      <c r="AE624" s="1333"/>
      <c r="AF624" s="1333"/>
      <c r="AG624" s="1333"/>
      <c r="AH624" s="1333"/>
      <c r="AI624" s="1333"/>
      <c r="AJ624" s="1333"/>
      <c r="AX624" s="17"/>
      <c r="AY624" s="17"/>
    </row>
    <row r="625" spans="1:36" ht="15" customHeight="1" x14ac:dyDescent="0.25">
      <c r="A625" s="1331"/>
      <c r="B625" s="1284"/>
      <c r="C625" s="1284"/>
      <c r="D625" s="1364"/>
      <c r="E625" s="1364"/>
      <c r="F625" s="1364"/>
      <c r="G625" s="1365"/>
      <c r="H625" s="1333"/>
      <c r="I625" s="1333"/>
      <c r="J625" s="1333"/>
      <c r="K625" s="1576" t="str">
        <f>CONCATENATE('04 - 95% CD'!D517,'04 - 95% CD'!E517,,'04 - 95% CD'!F517,)</f>
        <v/>
      </c>
      <c r="L625" s="1333"/>
      <c r="M625" s="1333"/>
      <c r="N625" s="1333"/>
      <c r="O625" s="1333"/>
      <c r="P625" s="1565"/>
      <c r="Q625" s="1565"/>
      <c r="R625" s="1565"/>
      <c r="S625" s="1566"/>
      <c r="T625" s="1492"/>
      <c r="U625" s="1284"/>
      <c r="V625" s="1333"/>
      <c r="W625" s="1333"/>
      <c r="X625" s="1333"/>
      <c r="Y625" s="1333"/>
      <c r="Z625" s="1333"/>
      <c r="AA625" s="1333"/>
      <c r="AB625" s="1333"/>
      <c r="AC625" s="1333"/>
      <c r="AD625" s="1333"/>
      <c r="AE625" s="1333"/>
      <c r="AF625" s="1333"/>
      <c r="AG625" s="1333"/>
      <c r="AH625" s="1333"/>
      <c r="AI625" s="1333"/>
      <c r="AJ625" s="1333"/>
    </row>
    <row r="626" spans="1:36" ht="15" customHeight="1" x14ac:dyDescent="0.25">
      <c r="A626" s="1331"/>
      <c r="B626" s="1284"/>
      <c r="C626" s="1284"/>
      <c r="D626" s="1364"/>
      <c r="E626" s="1364"/>
      <c r="F626" s="1364"/>
      <c r="G626" s="1365"/>
      <c r="H626" s="1333"/>
      <c r="I626" s="1333"/>
      <c r="J626" s="1333"/>
      <c r="K626" s="1576" t="str">
        <f>CONCATENATE('04 - 95% CD'!D518,'04 - 95% CD'!E518,,'04 - 95% CD'!F518,)</f>
        <v/>
      </c>
      <c r="L626" s="1333"/>
      <c r="M626" s="1333"/>
      <c r="N626" s="1333"/>
      <c r="O626" s="1333"/>
      <c r="P626" s="1565"/>
      <c r="Q626" s="1565"/>
      <c r="R626" s="1565"/>
      <c r="S626" s="1566"/>
      <c r="T626" s="1492"/>
      <c r="U626" s="1284"/>
      <c r="V626" s="1333"/>
      <c r="W626" s="1333"/>
      <c r="X626" s="1333"/>
      <c r="Y626" s="1333"/>
      <c r="Z626" s="1333"/>
      <c r="AA626" s="1333"/>
      <c r="AB626" s="1333"/>
      <c r="AC626" s="1333"/>
      <c r="AD626" s="1333"/>
      <c r="AE626" s="1333"/>
      <c r="AF626" s="1333"/>
      <c r="AG626" s="1333"/>
      <c r="AH626" s="1333"/>
      <c r="AI626" s="1333"/>
      <c r="AJ626" s="1333"/>
    </row>
    <row r="627" spans="1:36" ht="15" customHeight="1" x14ac:dyDescent="0.25">
      <c r="A627" s="1331"/>
      <c r="B627" s="1284"/>
      <c r="C627" s="1284"/>
      <c r="D627" s="1364"/>
      <c r="E627" s="1364"/>
      <c r="F627" s="1364"/>
      <c r="G627" s="1365"/>
      <c r="H627" s="1333"/>
      <c r="I627" s="1333"/>
      <c r="J627" s="1333"/>
      <c r="K627" s="1576" t="str">
        <f>CONCATENATE('04 - 95% CD'!D519,'04 - 95% CD'!E519,,'04 - 95% CD'!F519,)</f>
        <v/>
      </c>
      <c r="L627" s="1333"/>
      <c r="M627" s="1333"/>
      <c r="N627" s="1333"/>
      <c r="O627" s="1333"/>
      <c r="P627" s="1565"/>
      <c r="Q627" s="1565"/>
      <c r="R627" s="1565"/>
      <c r="S627" s="1566"/>
      <c r="T627" s="1492"/>
      <c r="U627" s="1284"/>
      <c r="V627" s="1333"/>
      <c r="W627" s="1333"/>
      <c r="X627" s="1333"/>
      <c r="Y627" s="1333"/>
      <c r="Z627" s="1333"/>
      <c r="AA627" s="1333"/>
      <c r="AB627" s="1333"/>
      <c r="AC627" s="1333"/>
      <c r="AD627" s="1333"/>
      <c r="AE627" s="1333"/>
      <c r="AF627" s="1333"/>
      <c r="AG627" s="1333"/>
      <c r="AH627" s="1333"/>
      <c r="AI627" s="1333"/>
      <c r="AJ627" s="1333"/>
    </row>
    <row r="628" spans="1:36" ht="15" customHeight="1" x14ac:dyDescent="0.25">
      <c r="A628" s="1331"/>
      <c r="B628" s="1284"/>
      <c r="C628" s="1284"/>
      <c r="D628" s="1364"/>
      <c r="E628" s="1364"/>
      <c r="F628" s="1364"/>
      <c r="G628" s="1365"/>
      <c r="H628" s="1333"/>
      <c r="I628" s="1333"/>
      <c r="J628" s="1333"/>
      <c r="K628" s="1576" t="str">
        <f>CONCATENATE('04 - 95% CD'!D520,'04 - 95% CD'!E520,,'04 - 95% CD'!F520,)</f>
        <v/>
      </c>
      <c r="L628" s="1333"/>
      <c r="M628" s="1333"/>
      <c r="N628" s="1333"/>
      <c r="O628" s="1333"/>
      <c r="P628" s="1565"/>
      <c r="Q628" s="1565"/>
      <c r="R628" s="1565"/>
      <c r="S628" s="1566"/>
      <c r="T628" s="1492"/>
      <c r="U628" s="1284"/>
      <c r="V628" s="1333"/>
      <c r="W628" s="1333"/>
      <c r="X628" s="1333"/>
      <c r="Y628" s="1333"/>
      <c r="Z628" s="1333"/>
      <c r="AA628" s="1333"/>
      <c r="AB628" s="1333"/>
      <c r="AC628" s="1333"/>
      <c r="AD628" s="1333"/>
      <c r="AE628" s="1333"/>
      <c r="AF628" s="1333"/>
      <c r="AG628" s="1333"/>
      <c r="AH628" s="1333"/>
      <c r="AI628" s="1333"/>
      <c r="AJ628" s="1333"/>
    </row>
    <row r="629" spans="1:36" ht="15" customHeight="1" x14ac:dyDescent="0.25">
      <c r="A629" s="1331"/>
      <c r="B629" s="1284"/>
      <c r="C629" s="1284"/>
      <c r="D629" s="1364"/>
      <c r="E629" s="1364"/>
      <c r="F629" s="1364"/>
      <c r="G629" s="1365"/>
      <c r="H629" s="1333"/>
      <c r="I629" s="1333"/>
      <c r="J629" s="1333"/>
      <c r="K629" s="1576" t="str">
        <f>CONCATENATE('04 - 95% CD'!D521,'04 - 95% CD'!E521,,'04 - 95% CD'!F521,)</f>
        <v/>
      </c>
      <c r="L629" s="1333"/>
      <c r="M629" s="1333"/>
      <c r="N629" s="1333"/>
      <c r="O629" s="1333"/>
      <c r="P629" s="1565"/>
      <c r="Q629" s="1565"/>
      <c r="R629" s="1565"/>
      <c r="S629" s="1566"/>
      <c r="T629" s="1492"/>
      <c r="U629" s="1284"/>
      <c r="V629" s="1333"/>
      <c r="W629" s="1333"/>
      <c r="X629" s="1333"/>
      <c r="Y629" s="1333"/>
      <c r="Z629" s="1333"/>
      <c r="AA629" s="1333"/>
      <c r="AB629" s="1333"/>
      <c r="AC629" s="1333"/>
      <c r="AD629" s="1333"/>
      <c r="AE629" s="1333"/>
      <c r="AF629" s="1333"/>
      <c r="AG629" s="1333"/>
      <c r="AH629" s="1333"/>
      <c r="AI629" s="1333"/>
      <c r="AJ629" s="1333"/>
    </row>
    <row r="630" spans="1:36" ht="15" customHeight="1" x14ac:dyDescent="0.25">
      <c r="A630" s="1331"/>
      <c r="B630" s="1284"/>
      <c r="C630" s="1284"/>
      <c r="D630" s="1364"/>
      <c r="E630" s="1364"/>
      <c r="F630" s="1364"/>
      <c r="G630" s="1365"/>
      <c r="H630" s="1333"/>
      <c r="I630" s="1333"/>
      <c r="J630" s="1333"/>
      <c r="K630" s="1576" t="str">
        <f>CONCATENATE('04 - 95% CD'!D522,'04 - 95% CD'!E522,,'04 - 95% CD'!F522,)</f>
        <v/>
      </c>
      <c r="L630" s="1333"/>
      <c r="M630" s="1333"/>
      <c r="N630" s="1333"/>
      <c r="O630" s="1333"/>
      <c r="P630" s="1333"/>
      <c r="Q630" s="1333"/>
      <c r="R630" s="1454"/>
      <c r="S630" s="1364"/>
      <c r="T630" s="1284"/>
      <c r="U630" s="1333"/>
      <c r="V630" s="1333"/>
      <c r="W630" s="1333"/>
      <c r="X630" s="1333"/>
      <c r="Y630" s="1333"/>
      <c r="Z630" s="1333"/>
      <c r="AA630" s="1333"/>
      <c r="AB630" s="1333"/>
      <c r="AC630" s="1333"/>
      <c r="AD630" s="1333"/>
      <c r="AE630" s="1333"/>
      <c r="AF630" s="1333"/>
      <c r="AG630" s="1333"/>
      <c r="AH630" s="1333"/>
      <c r="AI630" s="1333"/>
      <c r="AJ630" s="1333"/>
    </row>
    <row r="631" spans="1:36" ht="15" customHeight="1" x14ac:dyDescent="0.25">
      <c r="A631" s="1331"/>
      <c r="B631" s="1284"/>
      <c r="C631" s="1284"/>
      <c r="D631" s="1364"/>
      <c r="E631" s="1364"/>
      <c r="F631" s="1364"/>
      <c r="G631" s="1365"/>
      <c r="H631" s="1333"/>
      <c r="I631" s="1333"/>
      <c r="J631" s="1333"/>
      <c r="K631" s="1576" t="str">
        <f>CONCATENATE('04 - 95% CD'!D523,'04 - 95% CD'!E523,,'04 - 95% CD'!F523,)</f>
        <v/>
      </c>
      <c r="L631" s="1333"/>
      <c r="M631" s="1333"/>
      <c r="N631" s="1333"/>
      <c r="O631" s="1333"/>
      <c r="P631" s="1333"/>
      <c r="Q631" s="1333"/>
      <c r="R631" s="1454"/>
      <c r="S631" s="1364"/>
      <c r="T631" s="1284"/>
      <c r="U631" s="1333"/>
      <c r="V631" s="1333"/>
      <c r="W631" s="1333"/>
      <c r="X631" s="1333"/>
      <c r="Y631" s="1333"/>
      <c r="Z631" s="1333"/>
      <c r="AA631" s="1333"/>
      <c r="AB631" s="1333"/>
      <c r="AC631" s="1333"/>
      <c r="AD631" s="1333"/>
      <c r="AE631" s="1333"/>
      <c r="AF631" s="1333"/>
      <c r="AG631" s="1333"/>
      <c r="AH631" s="1333"/>
      <c r="AI631" s="1333"/>
      <c r="AJ631" s="1333"/>
    </row>
    <row r="632" spans="1:36" ht="15" customHeight="1" x14ac:dyDescent="0.25">
      <c r="A632" s="1331"/>
      <c r="B632" s="1284"/>
      <c r="C632" s="1284"/>
      <c r="D632" s="1364"/>
      <c r="E632" s="1364"/>
      <c r="F632" s="1364"/>
      <c r="G632" s="1365"/>
      <c r="H632" s="1333"/>
      <c r="I632" s="1333"/>
      <c r="J632" s="1333"/>
      <c r="K632" s="1576" t="str">
        <f>CONCATENATE('04 - 95% CD'!D524,'04 - 95% CD'!E524,,'04 - 95% CD'!F524,)</f>
        <v/>
      </c>
      <c r="L632" s="1333"/>
      <c r="M632" s="1333"/>
      <c r="N632" s="1333"/>
      <c r="O632" s="1333"/>
      <c r="P632" s="1333"/>
      <c r="Q632" s="1333"/>
      <c r="R632" s="1454"/>
      <c r="S632" s="1364"/>
      <c r="T632" s="1284"/>
      <c r="U632" s="1333"/>
      <c r="V632" s="1333"/>
      <c r="W632" s="1333"/>
      <c r="X632" s="1333"/>
      <c r="Y632" s="1333"/>
      <c r="Z632" s="1333"/>
      <c r="AA632" s="1333"/>
      <c r="AB632" s="1333"/>
      <c r="AC632" s="1333"/>
      <c r="AD632" s="1333"/>
      <c r="AE632" s="1333"/>
      <c r="AF632" s="1333"/>
      <c r="AG632" s="1333"/>
      <c r="AH632" s="1333"/>
      <c r="AI632" s="1333"/>
      <c r="AJ632" s="1333"/>
    </row>
    <row r="633" spans="1:36" ht="15" customHeight="1" x14ac:dyDescent="0.25">
      <c r="A633" s="1331"/>
      <c r="B633" s="1284"/>
      <c r="C633" s="1284"/>
      <c r="D633" s="1364"/>
      <c r="E633" s="1364"/>
      <c r="F633" s="1364"/>
      <c r="G633" s="1365"/>
      <c r="H633" s="1333"/>
      <c r="I633" s="1333"/>
      <c r="J633" s="1333"/>
      <c r="K633" s="1333"/>
      <c r="L633" s="1333"/>
      <c r="M633" s="1333"/>
      <c r="N633" s="1333"/>
      <c r="O633" s="1333"/>
      <c r="P633" s="1333"/>
      <c r="Q633" s="1333"/>
      <c r="R633" s="1454"/>
      <c r="S633" s="1364"/>
      <c r="T633" s="1284"/>
      <c r="U633" s="1333"/>
      <c r="V633" s="1333"/>
      <c r="W633" s="1333"/>
      <c r="X633" s="1333"/>
      <c r="Y633" s="1333"/>
      <c r="Z633" s="1333"/>
      <c r="AA633" s="1333"/>
      <c r="AB633" s="1333"/>
      <c r="AC633" s="1333"/>
      <c r="AD633" s="1333"/>
      <c r="AE633" s="1333"/>
      <c r="AF633" s="1333"/>
      <c r="AG633" s="1333"/>
      <c r="AH633" s="1333"/>
      <c r="AI633" s="1333"/>
      <c r="AJ633" s="1333"/>
    </row>
    <row r="634" spans="1:36" ht="15" customHeight="1" x14ac:dyDescent="0.25">
      <c r="A634" s="1331"/>
      <c r="B634" s="1284"/>
      <c r="C634" s="1284"/>
      <c r="D634" s="1364"/>
      <c r="E634" s="1364"/>
      <c r="F634" s="1364"/>
      <c r="G634" s="1365"/>
      <c r="H634" s="1333"/>
      <c r="I634" s="1333"/>
      <c r="J634" s="1333"/>
      <c r="K634" s="1333"/>
      <c r="L634" s="1333"/>
      <c r="M634" s="1333"/>
      <c r="N634" s="1333"/>
      <c r="O634" s="1333"/>
      <c r="P634" s="1333"/>
      <c r="Q634" s="1333"/>
      <c r="R634" s="1454"/>
      <c r="S634" s="1364"/>
      <c r="T634" s="1284"/>
      <c r="U634" s="1333"/>
      <c r="V634" s="1333"/>
      <c r="W634" s="1333"/>
      <c r="X634" s="1333"/>
      <c r="Y634" s="1333"/>
      <c r="Z634" s="1333"/>
      <c r="AA634" s="1333"/>
      <c r="AB634" s="1333"/>
      <c r="AC634" s="1333"/>
      <c r="AD634" s="1333"/>
      <c r="AE634" s="1333"/>
      <c r="AF634" s="1333"/>
      <c r="AG634" s="1333"/>
      <c r="AH634" s="1333"/>
      <c r="AI634" s="1333"/>
      <c r="AJ634" s="1333"/>
    </row>
    <row r="635" spans="1:36" ht="15" customHeight="1" x14ac:dyDescent="0.25">
      <c r="A635" s="1331"/>
      <c r="B635" s="1284"/>
      <c r="C635" s="1284"/>
      <c r="D635" s="1364"/>
      <c r="E635" s="1364"/>
      <c r="F635" s="1364"/>
      <c r="G635" s="1365"/>
      <c r="H635" s="1333"/>
      <c r="I635" s="1333"/>
      <c r="J635" s="1333"/>
      <c r="K635" s="1333"/>
      <c r="L635" s="1333"/>
      <c r="M635" s="1333"/>
      <c r="N635" s="1333"/>
      <c r="O635" s="1333"/>
      <c r="P635" s="1333"/>
      <c r="Q635" s="1333"/>
      <c r="R635" s="1454"/>
      <c r="S635" s="1364"/>
      <c r="T635" s="1284"/>
      <c r="U635" s="1333"/>
      <c r="V635" s="1333"/>
      <c r="W635" s="1333"/>
      <c r="X635" s="1333"/>
      <c r="Y635" s="1333"/>
      <c r="Z635" s="1333"/>
      <c r="AA635" s="1333"/>
      <c r="AB635" s="1333"/>
      <c r="AC635" s="1333"/>
      <c r="AD635" s="1333"/>
      <c r="AE635" s="1333"/>
      <c r="AF635" s="1333"/>
      <c r="AG635" s="1333"/>
      <c r="AH635" s="1333"/>
      <c r="AI635" s="1333"/>
      <c r="AJ635" s="1333"/>
    </row>
    <row r="636" spans="1:36" ht="15" customHeight="1" x14ac:dyDescent="0.25">
      <c r="A636" s="1331"/>
      <c r="B636" s="1284"/>
      <c r="C636" s="1284"/>
      <c r="D636" s="1364"/>
      <c r="E636" s="1364"/>
      <c r="F636" s="1364"/>
      <c r="G636" s="1365"/>
      <c r="H636" s="1333"/>
      <c r="I636" s="1333"/>
      <c r="J636" s="1333"/>
      <c r="K636" s="1333"/>
      <c r="L636" s="1333"/>
      <c r="M636" s="1333"/>
      <c r="N636" s="1333"/>
      <c r="O636" s="1333"/>
      <c r="P636" s="1333"/>
      <c r="Q636" s="1333"/>
      <c r="R636" s="1454"/>
      <c r="S636" s="1364"/>
      <c r="T636" s="1284"/>
      <c r="U636" s="1333"/>
      <c r="V636" s="1333"/>
      <c r="W636" s="1333"/>
      <c r="X636" s="1333"/>
      <c r="Y636" s="1333"/>
      <c r="Z636" s="1333"/>
      <c r="AA636" s="1333"/>
      <c r="AB636" s="1333"/>
      <c r="AC636" s="1333"/>
      <c r="AD636" s="1333"/>
      <c r="AE636" s="1333"/>
      <c r="AF636" s="1333"/>
      <c r="AG636" s="1333"/>
      <c r="AH636" s="1333"/>
      <c r="AI636" s="1333"/>
      <c r="AJ636" s="1333"/>
    </row>
    <row r="637" spans="1:36" ht="15" customHeight="1" x14ac:dyDescent="0.25">
      <c r="A637" s="1331"/>
      <c r="B637" s="1284"/>
      <c r="C637" s="1284"/>
      <c r="D637" s="1364"/>
      <c r="E637" s="1364"/>
      <c r="F637" s="1364"/>
      <c r="G637" s="1365"/>
      <c r="H637" s="1333"/>
      <c r="I637" s="1333"/>
      <c r="J637" s="1333"/>
      <c r="K637" s="1333"/>
      <c r="L637" s="1333"/>
      <c r="M637" s="1333"/>
      <c r="N637" s="1333"/>
      <c r="O637" s="1333"/>
      <c r="P637" s="1333"/>
      <c r="Q637" s="1333"/>
      <c r="R637" s="1453"/>
      <c r="S637" s="1364"/>
      <c r="T637" s="1284"/>
      <c r="U637" s="1333"/>
      <c r="V637" s="1333"/>
      <c r="W637" s="1333"/>
      <c r="X637" s="1333"/>
      <c r="Y637" s="1333"/>
      <c r="Z637" s="1333"/>
      <c r="AA637" s="1333"/>
      <c r="AB637" s="1333"/>
      <c r="AC637" s="1333"/>
      <c r="AD637" s="1333"/>
      <c r="AE637" s="1333"/>
      <c r="AF637" s="1333"/>
      <c r="AG637" s="1333"/>
      <c r="AH637" s="1333"/>
      <c r="AI637" s="1333"/>
      <c r="AJ637" s="1333"/>
    </row>
    <row r="638" spans="1:36" ht="15" customHeight="1" x14ac:dyDescent="0.25">
      <c r="A638" s="1331"/>
      <c r="B638" s="1284"/>
      <c r="C638" s="1284"/>
      <c r="D638" s="1364"/>
      <c r="E638" s="1364"/>
      <c r="F638" s="1364"/>
      <c r="G638" s="1365"/>
      <c r="H638" s="1333"/>
      <c r="I638" s="1333"/>
      <c r="J638" s="1333"/>
      <c r="K638" s="1333"/>
      <c r="L638" s="1333"/>
      <c r="M638" s="1333"/>
      <c r="N638" s="1333"/>
      <c r="O638" s="1333"/>
      <c r="P638" s="1333"/>
      <c r="Q638" s="1333"/>
      <c r="R638" s="1284"/>
      <c r="S638" s="1513"/>
      <c r="T638" s="1284"/>
      <c r="U638" s="1333"/>
      <c r="V638" s="1333"/>
      <c r="W638" s="1333"/>
      <c r="X638" s="1333"/>
      <c r="Y638" s="1333"/>
      <c r="Z638" s="1333"/>
      <c r="AA638" s="1333"/>
      <c r="AB638" s="1333"/>
      <c r="AC638" s="1333"/>
      <c r="AD638" s="1333"/>
      <c r="AE638" s="1333"/>
      <c r="AF638" s="1333"/>
      <c r="AG638" s="1333"/>
      <c r="AH638" s="1333"/>
      <c r="AI638" s="1333"/>
      <c r="AJ638" s="1333"/>
    </row>
    <row r="639" spans="1:36" ht="15" customHeight="1" x14ac:dyDescent="0.25">
      <c r="A639" s="1331"/>
      <c r="B639" s="1284"/>
      <c r="C639" s="1284"/>
      <c r="D639" s="1364"/>
      <c r="E639" s="1364"/>
      <c r="F639" s="1364"/>
      <c r="G639" s="1365"/>
      <c r="H639" s="1333"/>
      <c r="I639" s="1333"/>
      <c r="J639" s="1333"/>
      <c r="K639" s="1333"/>
      <c r="L639" s="1333"/>
      <c r="M639" s="1333"/>
      <c r="N639" s="1333"/>
      <c r="O639" s="1333"/>
      <c r="P639" s="1333"/>
      <c r="Q639" s="1333"/>
      <c r="R639" s="1453"/>
      <c r="S639" s="1364"/>
      <c r="T639" s="1284"/>
      <c r="U639" s="1333"/>
      <c r="V639" s="1333"/>
      <c r="W639" s="1333"/>
      <c r="X639" s="1333"/>
      <c r="Y639" s="1333"/>
      <c r="Z639" s="1333"/>
      <c r="AA639" s="1333"/>
      <c r="AB639" s="1333"/>
      <c r="AC639" s="1333"/>
      <c r="AD639" s="1333"/>
      <c r="AE639" s="1333"/>
      <c r="AF639" s="1333"/>
      <c r="AG639" s="1333"/>
      <c r="AH639" s="1333"/>
      <c r="AI639" s="1333"/>
      <c r="AJ639" s="1333"/>
    </row>
    <row r="640" spans="1:36" ht="15" customHeight="1" x14ac:dyDescent="0.25">
      <c r="A640" s="1331"/>
      <c r="B640" s="1284"/>
      <c r="C640" s="1284"/>
      <c r="D640" s="1364"/>
      <c r="E640" s="1364"/>
      <c r="F640" s="1364"/>
      <c r="G640" s="1365"/>
      <c r="H640" s="1333"/>
      <c r="I640" s="1333"/>
      <c r="J640" s="1333"/>
      <c r="K640" s="1333"/>
      <c r="L640" s="1333"/>
      <c r="M640" s="1333"/>
      <c r="N640" s="1333"/>
      <c r="O640" s="1333"/>
      <c r="P640" s="1333"/>
      <c r="Q640" s="1333"/>
      <c r="R640" s="1453"/>
      <c r="S640" s="1364"/>
      <c r="T640" s="1284"/>
      <c r="U640" s="1333"/>
      <c r="V640" s="1333"/>
      <c r="W640" s="1333"/>
      <c r="X640" s="1333"/>
      <c r="Y640" s="1333"/>
      <c r="Z640" s="1333"/>
      <c r="AA640" s="1333"/>
      <c r="AB640" s="1333"/>
      <c r="AC640" s="1333"/>
      <c r="AD640" s="1333"/>
      <c r="AE640" s="1333"/>
      <c r="AF640" s="1333"/>
      <c r="AG640" s="1333"/>
      <c r="AH640" s="1333"/>
      <c r="AI640" s="1333"/>
      <c r="AJ640" s="1333"/>
    </row>
    <row r="641" spans="1:36" ht="15" customHeight="1" x14ac:dyDescent="0.25">
      <c r="A641" s="1331"/>
      <c r="B641" s="1284"/>
      <c r="C641" s="1284"/>
      <c r="D641" s="1364"/>
      <c r="E641" s="1364"/>
      <c r="F641" s="1364"/>
      <c r="G641" s="1365"/>
      <c r="H641" s="1333"/>
      <c r="I641" s="1333"/>
      <c r="J641" s="1333"/>
      <c r="K641" s="1333"/>
      <c r="L641" s="1333"/>
      <c r="M641" s="1333"/>
      <c r="N641" s="1333"/>
      <c r="O641" s="1333"/>
      <c r="P641" s="1333"/>
      <c r="Q641" s="1333"/>
      <c r="R641" s="1453"/>
      <c r="S641" s="1364"/>
      <c r="T641" s="1284"/>
      <c r="U641" s="1333"/>
      <c r="V641" s="1333"/>
      <c r="W641" s="1333"/>
      <c r="X641" s="1333"/>
      <c r="Y641" s="1333"/>
      <c r="Z641" s="1333"/>
      <c r="AA641" s="1333"/>
      <c r="AB641" s="1333"/>
      <c r="AC641" s="1333"/>
      <c r="AD641" s="1333"/>
      <c r="AE641" s="1333"/>
      <c r="AF641" s="1333"/>
      <c r="AG641" s="1333"/>
      <c r="AH641" s="1333"/>
      <c r="AI641" s="1333"/>
      <c r="AJ641" s="1333"/>
    </row>
    <row r="642" spans="1:36" ht="15" customHeight="1" x14ac:dyDescent="0.25">
      <c r="A642" s="1331"/>
      <c r="B642" s="1284"/>
      <c r="C642" s="1284"/>
      <c r="D642" s="1364"/>
      <c r="E642" s="1364"/>
      <c r="F642" s="1364"/>
      <c r="G642" s="1365"/>
      <c r="H642" s="1333"/>
      <c r="I642" s="1333"/>
      <c r="J642" s="1333"/>
      <c r="K642" s="1333"/>
      <c r="L642" s="1333"/>
      <c r="M642" s="1333"/>
      <c r="N642" s="1333"/>
      <c r="O642" s="1333"/>
      <c r="P642" s="1333"/>
      <c r="Q642" s="1333"/>
      <c r="R642" s="1284"/>
      <c r="S642" s="1513"/>
      <c r="T642" s="1284"/>
      <c r="U642" s="1333"/>
      <c r="V642" s="1333"/>
      <c r="W642" s="1333"/>
      <c r="X642" s="1333"/>
      <c r="Y642" s="1333"/>
      <c r="Z642" s="1333"/>
      <c r="AA642" s="1333"/>
      <c r="AB642" s="1333"/>
      <c r="AC642" s="1333"/>
      <c r="AD642" s="1333"/>
      <c r="AE642" s="1333"/>
      <c r="AF642" s="1333"/>
      <c r="AG642" s="1333"/>
      <c r="AH642" s="1333"/>
      <c r="AI642" s="1333"/>
      <c r="AJ642" s="1333"/>
    </row>
    <row r="643" spans="1:36" ht="15" customHeight="1" x14ac:dyDescent="0.25">
      <c r="A643" s="1331"/>
      <c r="B643" s="1284"/>
      <c r="C643" s="1284"/>
      <c r="D643" s="1364"/>
      <c r="E643" s="1364"/>
      <c r="F643" s="1364"/>
      <c r="G643" s="1365"/>
      <c r="H643" s="1333"/>
      <c r="I643" s="1333"/>
      <c r="J643" s="1333"/>
      <c r="K643" s="1333"/>
      <c r="L643" s="1333"/>
      <c r="M643" s="1333"/>
      <c r="N643" s="1333"/>
      <c r="O643" s="1333"/>
      <c r="P643" s="1333"/>
      <c r="Q643" s="1333"/>
      <c r="R643" s="1453"/>
      <c r="S643" s="1364"/>
      <c r="T643" s="1284"/>
      <c r="U643" s="1333"/>
      <c r="V643" s="1333"/>
      <c r="W643" s="1333"/>
      <c r="X643" s="1333"/>
      <c r="Y643" s="1333"/>
      <c r="Z643" s="1333"/>
      <c r="AA643" s="1333"/>
      <c r="AB643" s="1333"/>
      <c r="AC643" s="1333"/>
      <c r="AD643" s="1333"/>
      <c r="AE643" s="1333"/>
      <c r="AF643" s="1333"/>
      <c r="AG643" s="1333"/>
      <c r="AH643" s="1333"/>
      <c r="AI643" s="1333"/>
      <c r="AJ643" s="1333"/>
    </row>
    <row r="644" spans="1:36" ht="15" customHeight="1" x14ac:dyDescent="0.25">
      <c r="A644" s="1331"/>
      <c r="B644" s="1284"/>
      <c r="C644" s="1284"/>
      <c r="D644" s="1364"/>
      <c r="E644" s="1364"/>
      <c r="F644" s="1364"/>
      <c r="G644" s="1365"/>
      <c r="H644" s="1333"/>
      <c r="I644" s="1333"/>
      <c r="J644" s="1333"/>
      <c r="K644" s="1333"/>
      <c r="L644" s="1333"/>
      <c r="M644" s="1333"/>
      <c r="N644" s="1333"/>
      <c r="O644" s="1333"/>
      <c r="P644" s="1333"/>
      <c r="Q644" s="1333"/>
      <c r="R644" s="1453"/>
      <c r="S644" s="1364"/>
      <c r="T644" s="1284"/>
      <c r="U644" s="1333"/>
      <c r="V644" s="1333"/>
      <c r="W644" s="1333"/>
      <c r="X644" s="1333"/>
      <c r="Y644" s="1333"/>
      <c r="Z644" s="1333"/>
      <c r="AA644" s="1333"/>
      <c r="AB644" s="1333"/>
      <c r="AC644" s="1333"/>
      <c r="AD644" s="1333"/>
      <c r="AE644" s="1333"/>
      <c r="AF644" s="1333"/>
      <c r="AG644" s="1333"/>
      <c r="AH644" s="1333"/>
      <c r="AI644" s="1333"/>
      <c r="AJ644" s="1333"/>
    </row>
    <row r="645" spans="1:36" ht="15" customHeight="1" x14ac:dyDescent="0.25">
      <c r="A645" s="1331"/>
      <c r="B645" s="1284"/>
      <c r="C645" s="1284"/>
      <c r="D645" s="1364"/>
      <c r="E645" s="1364"/>
      <c r="F645" s="1364"/>
      <c r="G645" s="1365"/>
      <c r="H645" s="1333"/>
      <c r="I645" s="1333"/>
      <c r="J645" s="1333"/>
      <c r="K645" s="1333"/>
      <c r="L645" s="1333"/>
      <c r="M645" s="1333"/>
      <c r="N645" s="1333"/>
      <c r="O645" s="1333"/>
      <c r="P645" s="1333"/>
      <c r="Q645" s="1333"/>
      <c r="R645" s="1333"/>
      <c r="S645" s="1449"/>
      <c r="T645" s="1284"/>
      <c r="U645" s="1333"/>
      <c r="V645" s="1333"/>
      <c r="W645" s="1333"/>
      <c r="X645" s="1333"/>
      <c r="Y645" s="1333"/>
      <c r="Z645" s="1333"/>
      <c r="AA645" s="1333"/>
      <c r="AB645" s="1333"/>
      <c r="AC645" s="1333"/>
      <c r="AD645" s="1333"/>
      <c r="AE645" s="1333"/>
      <c r="AF645" s="1333"/>
      <c r="AG645" s="1333"/>
      <c r="AH645" s="1333"/>
      <c r="AI645" s="1333"/>
      <c r="AJ645" s="1333"/>
    </row>
    <row r="646" spans="1:36" ht="15" customHeight="1" x14ac:dyDescent="0.25">
      <c r="A646" s="1331"/>
      <c r="B646" s="1284"/>
      <c r="C646" s="1284"/>
      <c r="D646" s="1364"/>
      <c r="E646" s="1364"/>
      <c r="F646" s="1364"/>
      <c r="G646" s="1365"/>
      <c r="H646" s="1333"/>
      <c r="I646" s="1333"/>
      <c r="J646" s="1333"/>
      <c r="K646" s="1333"/>
      <c r="L646" s="1333"/>
      <c r="M646" s="1333"/>
      <c r="N646" s="1333"/>
      <c r="O646" s="1333"/>
      <c r="P646" s="1333"/>
      <c r="Q646" s="1333"/>
      <c r="R646" s="1333"/>
      <c r="S646" s="1449"/>
      <c r="T646" s="1284"/>
      <c r="U646" s="1333"/>
      <c r="V646" s="1333"/>
      <c r="W646" s="1333"/>
      <c r="X646" s="1333"/>
      <c r="Y646" s="1333"/>
      <c r="Z646" s="1333"/>
      <c r="AA646" s="1333"/>
      <c r="AB646" s="1333"/>
      <c r="AC646" s="1333"/>
      <c r="AD646" s="1333"/>
      <c r="AE646" s="1333"/>
      <c r="AF646" s="1333"/>
      <c r="AG646" s="1333"/>
      <c r="AH646" s="1333"/>
      <c r="AI646" s="1333"/>
      <c r="AJ646" s="1333"/>
    </row>
    <row r="647" spans="1:36" ht="15" customHeight="1" x14ac:dyDescent="0.25">
      <c r="A647" s="1331"/>
      <c r="B647" s="1284"/>
      <c r="C647" s="1284"/>
      <c r="D647" s="1364"/>
      <c r="E647" s="1364"/>
      <c r="F647" s="1364"/>
      <c r="G647" s="1365"/>
      <c r="H647" s="1333"/>
      <c r="I647" s="1333"/>
      <c r="J647" s="1333"/>
      <c r="K647" s="1333"/>
      <c r="L647" s="1333"/>
      <c r="M647" s="1333"/>
      <c r="N647" s="1333"/>
      <c r="O647" s="1333"/>
      <c r="P647" s="1333"/>
      <c r="Q647" s="1333"/>
      <c r="R647" s="1333"/>
      <c r="S647" s="1449"/>
      <c r="T647" s="1284"/>
      <c r="U647" s="1333"/>
      <c r="V647" s="1333"/>
      <c r="W647" s="1333"/>
      <c r="X647" s="1333"/>
      <c r="Y647" s="1333"/>
      <c r="Z647" s="1333"/>
      <c r="AA647" s="1333"/>
      <c r="AB647" s="1333"/>
      <c r="AC647" s="1333"/>
      <c r="AD647" s="1333"/>
      <c r="AE647" s="1333"/>
      <c r="AF647" s="1333"/>
      <c r="AG647" s="1333"/>
      <c r="AH647" s="1333"/>
      <c r="AI647" s="1333"/>
      <c r="AJ647" s="1333"/>
    </row>
    <row r="648" spans="1:36" ht="15" customHeight="1" x14ac:dyDescent="0.25">
      <c r="A648" s="1331"/>
      <c r="B648" s="1284"/>
      <c r="C648" s="1284"/>
      <c r="D648" s="1364"/>
      <c r="E648" s="1364"/>
      <c r="F648" s="1364"/>
      <c r="G648" s="1365"/>
      <c r="H648" s="1333"/>
      <c r="I648" s="1333"/>
      <c r="J648" s="1333"/>
      <c r="K648" s="1333"/>
      <c r="L648" s="1333"/>
      <c r="M648" s="1333"/>
      <c r="N648" s="1333"/>
      <c r="O648" s="1333"/>
      <c r="P648" s="1333"/>
      <c r="Q648" s="1333"/>
      <c r="R648" s="1333"/>
      <c r="S648" s="1449"/>
      <c r="T648" s="1284"/>
      <c r="U648" s="1333"/>
      <c r="V648" s="1333"/>
      <c r="W648" s="1333"/>
      <c r="X648" s="1333"/>
      <c r="Y648" s="1333"/>
      <c r="Z648" s="1333"/>
      <c r="AA648" s="1333"/>
      <c r="AB648" s="1333"/>
      <c r="AC648" s="1333"/>
      <c r="AD648" s="1333"/>
      <c r="AE648" s="1333"/>
      <c r="AF648" s="1333"/>
      <c r="AG648" s="1333"/>
      <c r="AH648" s="1333"/>
      <c r="AI648" s="1333"/>
      <c r="AJ648" s="1333"/>
    </row>
    <row r="649" spans="1:36" ht="15" customHeight="1" x14ac:dyDescent="0.25">
      <c r="A649" s="1331"/>
      <c r="B649" s="1284"/>
      <c r="C649" s="1284"/>
      <c r="D649" s="1364"/>
      <c r="E649" s="1364"/>
      <c r="F649" s="1364"/>
      <c r="G649" s="1365"/>
      <c r="H649" s="1333"/>
      <c r="I649" s="1333"/>
      <c r="J649" s="1333"/>
      <c r="K649" s="1333"/>
      <c r="L649" s="1333"/>
      <c r="M649" s="1333"/>
      <c r="N649" s="1333"/>
      <c r="O649" s="1333"/>
      <c r="P649" s="1333"/>
      <c r="Q649" s="1333"/>
      <c r="R649" s="1333"/>
      <c r="S649" s="1449"/>
      <c r="T649" s="1284"/>
      <c r="U649" s="1333"/>
      <c r="V649" s="1333"/>
      <c r="W649" s="1333"/>
      <c r="X649" s="1333"/>
      <c r="Y649" s="1333"/>
      <c r="Z649" s="1333"/>
      <c r="AA649" s="1333"/>
      <c r="AB649" s="1333"/>
      <c r="AC649" s="1333"/>
      <c r="AD649" s="1333"/>
      <c r="AE649" s="1333"/>
      <c r="AF649" s="1333"/>
      <c r="AG649" s="1333"/>
      <c r="AH649" s="1333"/>
      <c r="AI649" s="1333"/>
      <c r="AJ649" s="1333"/>
    </row>
    <row r="650" spans="1:36" ht="15" customHeight="1" x14ac:dyDescent="0.25">
      <c r="A650" s="1331"/>
      <c r="B650" s="1284"/>
      <c r="C650" s="1284"/>
      <c r="D650" s="1364"/>
      <c r="E650" s="1364"/>
      <c r="F650" s="1364"/>
      <c r="G650" s="1365"/>
      <c r="H650" s="1333"/>
      <c r="I650" s="1333"/>
      <c r="J650" s="1333"/>
      <c r="K650" s="1333"/>
      <c r="L650" s="1333"/>
      <c r="M650" s="1333"/>
      <c r="N650" s="1333"/>
      <c r="O650" s="1333"/>
      <c r="P650" s="1333"/>
      <c r="Q650" s="1333"/>
      <c r="R650" s="1333"/>
      <c r="S650" s="1449"/>
      <c r="T650" s="1284"/>
      <c r="U650" s="1333"/>
      <c r="V650" s="1333"/>
      <c r="W650" s="1333"/>
      <c r="X650" s="1333"/>
      <c r="Y650" s="1333"/>
      <c r="Z650" s="1333"/>
      <c r="AA650" s="1333"/>
      <c r="AB650" s="1333"/>
      <c r="AC650" s="1333"/>
      <c r="AD650" s="1333"/>
      <c r="AE650" s="1333"/>
      <c r="AF650" s="1333"/>
      <c r="AG650" s="1333"/>
      <c r="AH650" s="1333"/>
      <c r="AI650" s="1333"/>
      <c r="AJ650" s="1333"/>
    </row>
    <row r="651" spans="1:36" ht="15" customHeight="1" x14ac:dyDescent="0.25">
      <c r="A651" s="1331"/>
      <c r="B651" s="1284"/>
      <c r="C651" s="1284"/>
      <c r="D651" s="1364"/>
      <c r="E651" s="1364"/>
      <c r="F651" s="1364"/>
      <c r="G651" s="1365"/>
      <c r="H651" s="1333"/>
      <c r="I651" s="1333"/>
      <c r="J651" s="1333"/>
      <c r="K651" s="1333"/>
      <c r="L651" s="1333"/>
      <c r="M651" s="1333"/>
      <c r="N651" s="1333"/>
      <c r="O651" s="1333"/>
      <c r="P651" s="1333"/>
      <c r="Q651" s="1333"/>
      <c r="R651" s="1333"/>
      <c r="S651" s="1449"/>
      <c r="T651" s="1284"/>
      <c r="U651" s="1333"/>
      <c r="V651" s="1333"/>
      <c r="W651" s="1333"/>
      <c r="X651" s="1333"/>
      <c r="Y651" s="1333"/>
      <c r="Z651" s="1333"/>
      <c r="AA651" s="1333"/>
      <c r="AB651" s="1333"/>
      <c r="AC651" s="1333"/>
      <c r="AD651" s="1333"/>
      <c r="AE651" s="1333"/>
      <c r="AF651" s="1333"/>
      <c r="AG651" s="1333"/>
      <c r="AH651" s="1333"/>
      <c r="AI651" s="1333"/>
      <c r="AJ651" s="1333"/>
    </row>
    <row r="652" spans="1:36" ht="15" customHeight="1" x14ac:dyDescent="0.25">
      <c r="A652" s="1331"/>
      <c r="B652" s="1284"/>
      <c r="C652" s="1284"/>
      <c r="D652" s="1364"/>
      <c r="E652" s="1364"/>
      <c r="F652" s="1364"/>
      <c r="G652" s="1365"/>
      <c r="H652" s="1333"/>
      <c r="I652" s="1333"/>
      <c r="J652" s="1333"/>
      <c r="K652" s="1333"/>
      <c r="L652" s="1333"/>
      <c r="M652" s="1333"/>
      <c r="N652" s="1333"/>
      <c r="O652" s="1333"/>
      <c r="P652" s="1333"/>
      <c r="Q652" s="1333"/>
      <c r="R652" s="1333"/>
      <c r="S652" s="1449"/>
      <c r="T652" s="1284"/>
      <c r="U652" s="1333"/>
      <c r="V652" s="1333"/>
      <c r="W652" s="1333"/>
      <c r="X652" s="1333"/>
      <c r="Y652" s="1333"/>
      <c r="Z652" s="1333"/>
      <c r="AA652" s="1333"/>
      <c r="AB652" s="1333"/>
      <c r="AC652" s="1333"/>
      <c r="AD652" s="1333"/>
      <c r="AE652" s="1333"/>
      <c r="AF652" s="1333"/>
      <c r="AG652" s="1333"/>
      <c r="AH652" s="1333"/>
      <c r="AI652" s="1333"/>
      <c r="AJ652" s="1333"/>
    </row>
    <row r="653" spans="1:36" ht="15" customHeight="1" x14ac:dyDescent="0.25">
      <c r="A653" s="1331"/>
      <c r="B653" s="1284"/>
      <c r="C653" s="1284"/>
      <c r="D653" s="1364"/>
      <c r="E653" s="1364"/>
      <c r="F653" s="1364"/>
      <c r="G653" s="1365"/>
      <c r="H653" s="1333"/>
      <c r="I653" s="1333"/>
      <c r="J653" s="1333"/>
      <c r="K653" s="1333"/>
      <c r="L653" s="1333"/>
      <c r="M653" s="1333"/>
      <c r="N653" s="1333"/>
      <c r="O653" s="1333"/>
      <c r="P653" s="1333"/>
      <c r="Q653" s="1333"/>
      <c r="R653" s="1333"/>
      <c r="S653" s="1449"/>
      <c r="T653" s="1284"/>
      <c r="U653" s="1333"/>
      <c r="V653" s="1333"/>
      <c r="W653" s="1333"/>
      <c r="X653" s="1333"/>
      <c r="Y653" s="1333"/>
      <c r="Z653" s="1333"/>
      <c r="AA653" s="1333"/>
      <c r="AB653" s="1333"/>
      <c r="AC653" s="1333"/>
      <c r="AD653" s="1333"/>
      <c r="AE653" s="1333"/>
      <c r="AF653" s="1333"/>
      <c r="AG653" s="1333"/>
      <c r="AH653" s="1333"/>
      <c r="AI653" s="1333"/>
      <c r="AJ653" s="1333"/>
    </row>
    <row r="654" spans="1:36" ht="15" customHeight="1" x14ac:dyDescent="0.25">
      <c r="A654" s="1331"/>
      <c r="B654" s="1284"/>
      <c r="C654" s="1284"/>
      <c r="D654" s="1364"/>
      <c r="E654" s="1364"/>
      <c r="F654" s="1364"/>
      <c r="G654" s="1365"/>
      <c r="H654" s="1333"/>
      <c r="I654" s="1333"/>
      <c r="J654" s="1333"/>
      <c r="K654" s="1333"/>
      <c r="L654" s="1333"/>
      <c r="M654" s="1333"/>
      <c r="N654" s="1333"/>
      <c r="O654" s="1333"/>
      <c r="P654" s="1333"/>
      <c r="Q654" s="1333"/>
      <c r="R654" s="1333"/>
      <c r="S654" s="1449"/>
      <c r="T654" s="1284"/>
      <c r="U654" s="1333"/>
      <c r="V654" s="1333"/>
      <c r="W654" s="1333"/>
      <c r="X654" s="1333"/>
      <c r="Y654" s="1333"/>
      <c r="Z654" s="1333"/>
      <c r="AA654" s="1333"/>
      <c r="AB654" s="1333"/>
      <c r="AC654" s="1333"/>
      <c r="AD654" s="1333"/>
      <c r="AE654" s="1333"/>
      <c r="AF654" s="1333"/>
      <c r="AG654" s="1333"/>
      <c r="AH654" s="1333"/>
      <c r="AI654" s="1333"/>
      <c r="AJ654" s="1333"/>
    </row>
    <row r="655" spans="1:36" ht="15" customHeight="1" x14ac:dyDescent="0.25">
      <c r="A655" s="1331"/>
      <c r="B655" s="1284"/>
      <c r="C655" s="1284"/>
      <c r="D655" s="1364"/>
      <c r="E655" s="1364"/>
      <c r="F655" s="1364"/>
      <c r="G655" s="1365"/>
      <c r="H655" s="1333"/>
      <c r="I655" s="1333"/>
      <c r="J655" s="1333"/>
      <c r="K655" s="1333"/>
      <c r="L655" s="1333"/>
      <c r="M655" s="1333"/>
      <c r="N655" s="1333"/>
      <c r="O655" s="1333"/>
      <c r="P655" s="1333"/>
      <c r="Q655" s="1333"/>
      <c r="R655" s="1333"/>
      <c r="S655" s="1449"/>
      <c r="T655" s="1284"/>
      <c r="U655" s="1333"/>
      <c r="V655" s="1333"/>
      <c r="W655" s="1333"/>
      <c r="X655" s="1333"/>
      <c r="Y655" s="1333"/>
      <c r="Z655" s="1333"/>
      <c r="AA655" s="1333"/>
      <c r="AB655" s="1333"/>
      <c r="AC655" s="1333"/>
      <c r="AD655" s="1333"/>
      <c r="AE655" s="1333"/>
      <c r="AF655" s="1333"/>
      <c r="AG655" s="1333"/>
      <c r="AH655" s="1333"/>
      <c r="AI655" s="1333"/>
      <c r="AJ655" s="1333"/>
    </row>
    <row r="656" spans="1:36" ht="15" customHeight="1" x14ac:dyDescent="0.25">
      <c r="A656" s="1331"/>
      <c r="B656" s="1284"/>
      <c r="C656" s="1284"/>
      <c r="D656" s="1364"/>
      <c r="E656" s="1364"/>
      <c r="F656" s="1364"/>
      <c r="G656" s="1365"/>
      <c r="H656" s="1333"/>
      <c r="I656" s="1333"/>
      <c r="J656" s="1333"/>
      <c r="K656" s="1333"/>
      <c r="L656" s="1333"/>
      <c r="M656" s="1333"/>
      <c r="N656" s="1333"/>
      <c r="O656" s="1333"/>
      <c r="P656" s="1333"/>
      <c r="Q656" s="1333"/>
      <c r="R656" s="1333"/>
      <c r="S656" s="1449"/>
      <c r="T656" s="1284"/>
      <c r="U656" s="1333"/>
      <c r="V656" s="1333"/>
      <c r="W656" s="1333"/>
      <c r="X656" s="1333"/>
      <c r="Y656" s="1333"/>
      <c r="Z656" s="1333"/>
      <c r="AA656" s="1333"/>
      <c r="AB656" s="1333"/>
      <c r="AC656" s="1333"/>
      <c r="AD656" s="1333"/>
      <c r="AE656" s="1333"/>
      <c r="AF656" s="1333"/>
      <c r="AG656" s="1333"/>
      <c r="AH656" s="1333"/>
      <c r="AI656" s="1333"/>
      <c r="AJ656" s="1333"/>
    </row>
    <row r="657" spans="1:36" ht="15" customHeight="1" x14ac:dyDescent="0.25">
      <c r="A657" s="1331"/>
      <c r="B657" s="1284"/>
      <c r="C657" s="1284"/>
      <c r="D657" s="1364"/>
      <c r="E657" s="1364"/>
      <c r="F657" s="1364"/>
      <c r="G657" s="1365"/>
      <c r="H657" s="1333"/>
      <c r="I657" s="1333"/>
      <c r="J657" s="1333"/>
      <c r="K657" s="1333"/>
      <c r="L657" s="1333"/>
      <c r="M657" s="1333"/>
      <c r="N657" s="1333"/>
      <c r="O657" s="1333"/>
      <c r="P657" s="1333"/>
      <c r="Q657" s="1333"/>
      <c r="R657" s="1333"/>
      <c r="S657" s="1449"/>
      <c r="T657" s="1284"/>
      <c r="U657" s="1333"/>
      <c r="V657" s="1333"/>
      <c r="W657" s="1333"/>
      <c r="X657" s="1333"/>
      <c r="Y657" s="1333"/>
      <c r="Z657" s="1333"/>
      <c r="AA657" s="1333"/>
      <c r="AB657" s="1333"/>
      <c r="AC657" s="1333"/>
      <c r="AD657" s="1333"/>
      <c r="AE657" s="1333"/>
      <c r="AF657" s="1333"/>
      <c r="AG657" s="1333"/>
      <c r="AH657" s="1333"/>
      <c r="AI657" s="1333"/>
      <c r="AJ657" s="1333"/>
    </row>
    <row r="658" spans="1:36" ht="15" customHeight="1" x14ac:dyDescent="0.25">
      <c r="A658" s="1331"/>
      <c r="B658" s="1284"/>
      <c r="C658" s="1284"/>
      <c r="D658" s="1364"/>
      <c r="E658" s="1364"/>
      <c r="F658" s="1364"/>
      <c r="G658" s="1365"/>
      <c r="H658" s="1333"/>
      <c r="I658" s="1333"/>
      <c r="J658" s="1333"/>
      <c r="K658" s="1333"/>
      <c r="L658" s="1333"/>
      <c r="M658" s="1333"/>
      <c r="N658" s="1333"/>
      <c r="O658" s="1333"/>
      <c r="P658" s="1333"/>
      <c r="Q658" s="1333"/>
      <c r="R658" s="1333"/>
      <c r="S658" s="1449"/>
      <c r="T658" s="1284"/>
      <c r="U658" s="1333"/>
      <c r="V658" s="1333"/>
      <c r="W658" s="1333"/>
      <c r="X658" s="1333"/>
      <c r="Y658" s="1333"/>
      <c r="Z658" s="1333"/>
      <c r="AA658" s="1333"/>
      <c r="AB658" s="1333"/>
      <c r="AC658" s="1333"/>
      <c r="AD658" s="1333"/>
      <c r="AE658" s="1333"/>
      <c r="AF658" s="1333"/>
      <c r="AG658" s="1333"/>
      <c r="AH658" s="1333"/>
      <c r="AI658" s="1333"/>
      <c r="AJ658" s="1333"/>
    </row>
    <row r="659" spans="1:36" ht="15" customHeight="1" x14ac:dyDescent="0.25">
      <c r="A659" s="1331"/>
      <c r="B659" s="1284"/>
      <c r="C659" s="1284"/>
      <c r="D659" s="1364"/>
      <c r="E659" s="1364"/>
      <c r="F659" s="1364"/>
      <c r="G659" s="1365"/>
      <c r="H659" s="1333"/>
      <c r="I659" s="1333"/>
      <c r="J659" s="1333"/>
      <c r="K659" s="1333"/>
      <c r="L659" s="1333"/>
      <c r="M659" s="1333"/>
      <c r="N659" s="1333"/>
      <c r="O659" s="1333"/>
      <c r="P659" s="1333"/>
      <c r="Q659" s="1333"/>
      <c r="R659" s="1333"/>
      <c r="S659" s="1449"/>
      <c r="T659" s="1284"/>
      <c r="U659" s="1333"/>
      <c r="V659" s="1333"/>
      <c r="W659" s="1333"/>
      <c r="X659" s="1333"/>
      <c r="Y659" s="1333"/>
      <c r="Z659" s="1333"/>
      <c r="AA659" s="1333"/>
      <c r="AB659" s="1333"/>
      <c r="AC659" s="1333"/>
      <c r="AD659" s="1333"/>
      <c r="AE659" s="1333"/>
      <c r="AF659" s="1333"/>
      <c r="AG659" s="1333"/>
      <c r="AH659" s="1333"/>
      <c r="AI659" s="1333"/>
      <c r="AJ659" s="1333"/>
    </row>
    <row r="660" spans="1:36" ht="15" customHeight="1" x14ac:dyDescent="0.25">
      <c r="A660" s="1331"/>
      <c r="B660" s="1284"/>
      <c r="C660" s="1284"/>
      <c r="D660" s="1364"/>
      <c r="E660" s="1364"/>
      <c r="F660" s="1364"/>
      <c r="G660" s="1365"/>
      <c r="H660" s="1333"/>
      <c r="I660" s="1333"/>
      <c r="J660" s="1333"/>
      <c r="K660" s="1333"/>
      <c r="L660" s="1333"/>
      <c r="M660" s="1333"/>
      <c r="N660" s="1333"/>
      <c r="O660" s="1333"/>
      <c r="P660" s="1333"/>
      <c r="Q660" s="1333"/>
      <c r="R660" s="1333"/>
      <c r="S660" s="1449"/>
      <c r="T660" s="1284"/>
      <c r="U660" s="1333"/>
      <c r="V660" s="1333"/>
      <c r="W660" s="1333"/>
      <c r="X660" s="1333"/>
      <c r="Y660" s="1333"/>
      <c r="Z660" s="1333"/>
      <c r="AA660" s="1333"/>
      <c r="AB660" s="1333"/>
      <c r="AC660" s="1333"/>
      <c r="AD660" s="1333"/>
      <c r="AE660" s="1333"/>
      <c r="AF660" s="1333"/>
      <c r="AG660" s="1333"/>
      <c r="AH660" s="1333"/>
      <c r="AI660" s="1333"/>
      <c r="AJ660" s="1333"/>
    </row>
    <row r="661" spans="1:36" ht="15" customHeight="1" x14ac:dyDescent="0.25">
      <c r="A661" s="1331"/>
      <c r="B661" s="1284"/>
      <c r="C661" s="1284"/>
      <c r="D661" s="1364"/>
      <c r="E661" s="1364"/>
      <c r="F661" s="1364"/>
      <c r="G661" s="1365"/>
      <c r="H661" s="1333"/>
      <c r="I661" s="1333"/>
      <c r="J661" s="1333"/>
      <c r="K661" s="1333"/>
      <c r="L661" s="1333"/>
      <c r="M661" s="1333"/>
      <c r="N661" s="1333"/>
      <c r="O661" s="1333"/>
      <c r="P661" s="1333"/>
      <c r="Q661" s="1333"/>
      <c r="R661" s="1333"/>
      <c r="S661" s="1449"/>
      <c r="T661" s="1284"/>
      <c r="U661" s="1333"/>
      <c r="V661" s="1333"/>
      <c r="W661" s="1333"/>
      <c r="X661" s="1333"/>
      <c r="Y661" s="1333"/>
      <c r="Z661" s="1333"/>
      <c r="AA661" s="1333"/>
      <c r="AB661" s="1333"/>
      <c r="AC661" s="1333"/>
      <c r="AD661" s="1333"/>
      <c r="AE661" s="1333"/>
      <c r="AF661" s="1333"/>
      <c r="AG661" s="1333"/>
      <c r="AH661" s="1333"/>
      <c r="AI661" s="1333"/>
      <c r="AJ661" s="1333"/>
    </row>
    <row r="662" spans="1:36" ht="15" customHeight="1" x14ac:dyDescent="0.25">
      <c r="A662" s="1331"/>
      <c r="B662" s="1284"/>
      <c r="C662" s="1284"/>
      <c r="D662" s="1364"/>
      <c r="E662" s="1364"/>
      <c r="F662" s="1364"/>
      <c r="G662" s="1365"/>
      <c r="H662" s="1333"/>
      <c r="I662" s="1333"/>
      <c r="J662" s="1333"/>
      <c r="K662" s="1333"/>
      <c r="L662" s="1333"/>
      <c r="M662" s="1333"/>
      <c r="N662" s="1333"/>
      <c r="O662" s="1333"/>
      <c r="P662" s="1333"/>
      <c r="Q662" s="1333"/>
      <c r="R662" s="1333"/>
      <c r="S662" s="1449"/>
      <c r="T662" s="1284"/>
      <c r="U662" s="1333"/>
      <c r="V662" s="1333"/>
      <c r="W662" s="1333"/>
      <c r="X662" s="1333"/>
      <c r="Y662" s="1333"/>
      <c r="Z662" s="1333"/>
      <c r="AA662" s="1333"/>
      <c r="AB662" s="1333"/>
      <c r="AC662" s="1333"/>
      <c r="AD662" s="1333"/>
      <c r="AE662" s="1333"/>
      <c r="AF662" s="1333"/>
      <c r="AG662" s="1333"/>
      <c r="AH662" s="1333"/>
      <c r="AI662" s="1333"/>
      <c r="AJ662" s="1333"/>
    </row>
    <row r="663" spans="1:36" ht="15" customHeight="1" x14ac:dyDescent="0.25">
      <c r="A663" s="1331"/>
      <c r="B663" s="1284"/>
      <c r="C663" s="1284"/>
      <c r="D663" s="1364"/>
      <c r="E663" s="1364"/>
      <c r="F663" s="1364"/>
      <c r="G663" s="1365"/>
      <c r="H663" s="1333"/>
      <c r="I663" s="1333"/>
      <c r="J663" s="1333"/>
      <c r="K663" s="1333"/>
      <c r="L663" s="1333"/>
      <c r="M663" s="1333"/>
      <c r="N663" s="1333"/>
      <c r="O663" s="1333"/>
      <c r="P663" s="1333"/>
      <c r="Q663" s="1333"/>
      <c r="R663" s="1333"/>
      <c r="S663" s="1449"/>
      <c r="T663" s="1284"/>
      <c r="U663" s="1333"/>
      <c r="V663" s="1333"/>
      <c r="W663" s="1333"/>
      <c r="X663" s="1333"/>
      <c r="Y663" s="1333"/>
      <c r="Z663" s="1333"/>
      <c r="AA663" s="1333"/>
      <c r="AB663" s="1333"/>
      <c r="AC663" s="1333"/>
      <c r="AD663" s="1333"/>
      <c r="AE663" s="1333"/>
      <c r="AF663" s="1333"/>
      <c r="AG663" s="1333"/>
      <c r="AH663" s="1333"/>
      <c r="AI663" s="1333"/>
      <c r="AJ663" s="1333"/>
    </row>
    <row r="664" spans="1:36" ht="15" customHeight="1" x14ac:dyDescent="0.25">
      <c r="A664" s="1331"/>
      <c r="B664" s="1284"/>
      <c r="C664" s="1284"/>
      <c r="D664" s="1364"/>
      <c r="E664" s="1364"/>
      <c r="F664" s="1364"/>
      <c r="G664" s="1365"/>
      <c r="H664" s="1333"/>
      <c r="I664" s="1333"/>
      <c r="J664" s="1333"/>
      <c r="K664" s="1333"/>
      <c r="L664" s="1333"/>
      <c r="M664" s="1333"/>
      <c r="N664" s="1333"/>
      <c r="O664" s="1333"/>
      <c r="P664" s="1333"/>
      <c r="Q664" s="1333"/>
      <c r="R664" s="1333"/>
      <c r="S664" s="1449"/>
      <c r="T664" s="1284"/>
      <c r="U664" s="1333"/>
      <c r="V664" s="1333"/>
      <c r="W664" s="1333"/>
      <c r="X664" s="1333"/>
      <c r="Y664" s="1333"/>
      <c r="Z664" s="1333"/>
      <c r="AA664" s="1333"/>
      <c r="AB664" s="1333"/>
      <c r="AC664" s="1333"/>
      <c r="AD664" s="1333"/>
      <c r="AE664" s="1333"/>
      <c r="AF664" s="1333"/>
      <c r="AG664" s="1333"/>
      <c r="AH664" s="1333"/>
      <c r="AI664" s="1333"/>
      <c r="AJ664" s="1333"/>
    </row>
    <row r="665" spans="1:36" ht="15" customHeight="1" x14ac:dyDescent="0.25">
      <c r="A665" s="1331"/>
      <c r="B665" s="1284"/>
      <c r="C665" s="1284"/>
      <c r="D665" s="1364"/>
      <c r="E665" s="1364"/>
      <c r="F665" s="1364"/>
      <c r="G665" s="1365"/>
      <c r="H665" s="1333"/>
      <c r="I665" s="1333"/>
      <c r="J665" s="1333"/>
      <c r="K665" s="1333"/>
      <c r="L665" s="1333"/>
      <c r="M665" s="1333"/>
      <c r="N665" s="1333"/>
      <c r="O665" s="1333"/>
      <c r="P665" s="1333"/>
      <c r="Q665" s="1333"/>
      <c r="R665" s="1333"/>
      <c r="S665" s="1449"/>
      <c r="T665" s="1284"/>
      <c r="U665" s="1333"/>
      <c r="V665" s="1333"/>
      <c r="W665" s="1333"/>
      <c r="X665" s="1333"/>
      <c r="Y665" s="1333"/>
      <c r="Z665" s="1333"/>
      <c r="AA665" s="1333"/>
      <c r="AB665" s="1333"/>
      <c r="AC665" s="1333"/>
      <c r="AD665" s="1333"/>
      <c r="AE665" s="1333"/>
      <c r="AF665" s="1333"/>
      <c r="AG665" s="1333"/>
      <c r="AH665" s="1333"/>
      <c r="AI665" s="1333"/>
      <c r="AJ665" s="1333"/>
    </row>
    <row r="666" spans="1:36" ht="15" customHeight="1" x14ac:dyDescent="0.25">
      <c r="A666" s="1331"/>
      <c r="B666" s="1284"/>
      <c r="C666" s="1284"/>
      <c r="D666" s="1364"/>
      <c r="E666" s="1364"/>
      <c r="F666" s="1364"/>
      <c r="G666" s="1365"/>
      <c r="H666" s="1333"/>
      <c r="I666" s="1333"/>
      <c r="J666" s="1333"/>
      <c r="K666" s="1333"/>
      <c r="L666" s="1333"/>
      <c r="M666" s="1333"/>
      <c r="N666" s="1333"/>
      <c r="O666" s="1333"/>
      <c r="P666" s="1333"/>
      <c r="Q666" s="1333"/>
      <c r="R666" s="1333"/>
      <c r="S666" s="1449"/>
      <c r="T666" s="1284"/>
      <c r="U666" s="1333"/>
      <c r="V666" s="1333"/>
      <c r="W666" s="1333"/>
      <c r="X666" s="1333"/>
      <c r="Y666" s="1333"/>
      <c r="Z666" s="1333"/>
      <c r="AA666" s="1333"/>
      <c r="AB666" s="1333"/>
      <c r="AC666" s="1333"/>
      <c r="AD666" s="1333"/>
      <c r="AE666" s="1333"/>
      <c r="AF666" s="1333"/>
      <c r="AG666" s="1333"/>
      <c r="AH666" s="1333"/>
      <c r="AI666" s="1333"/>
      <c r="AJ666" s="1333"/>
    </row>
    <row r="667" spans="1:36" ht="15" customHeight="1" x14ac:dyDescent="0.25">
      <c r="A667" s="1331"/>
      <c r="B667" s="1284"/>
      <c r="C667" s="1284"/>
      <c r="D667" s="1364"/>
      <c r="E667" s="1364"/>
      <c r="F667" s="1364"/>
      <c r="G667" s="1365"/>
      <c r="H667" s="1333"/>
      <c r="I667" s="1333"/>
      <c r="J667" s="1333"/>
      <c r="K667" s="1333"/>
      <c r="L667" s="1333"/>
      <c r="M667" s="1333"/>
      <c r="N667" s="1333"/>
      <c r="O667" s="1333"/>
      <c r="P667" s="1333"/>
      <c r="Q667" s="1333"/>
      <c r="R667" s="1333"/>
      <c r="S667" s="1449"/>
      <c r="T667" s="1284"/>
      <c r="U667" s="1333"/>
      <c r="V667" s="1333"/>
      <c r="W667" s="1333"/>
      <c r="X667" s="1333"/>
      <c r="Y667" s="1333"/>
      <c r="Z667" s="1333"/>
      <c r="AA667" s="1333"/>
      <c r="AB667" s="1333"/>
      <c r="AC667" s="1333"/>
      <c r="AD667" s="1333"/>
      <c r="AE667" s="1333"/>
      <c r="AF667" s="1333"/>
      <c r="AG667" s="1333"/>
      <c r="AH667" s="1333"/>
      <c r="AI667" s="1333"/>
      <c r="AJ667" s="1333"/>
    </row>
    <row r="668" spans="1:36" ht="15" customHeight="1" x14ac:dyDescent="0.25">
      <c r="A668" s="1331"/>
      <c r="B668" s="1284"/>
      <c r="C668" s="1284"/>
      <c r="D668" s="1364"/>
      <c r="E668" s="1364"/>
      <c r="F668" s="1364"/>
      <c r="G668" s="1365"/>
      <c r="H668" s="1333"/>
      <c r="I668" s="1333"/>
      <c r="J668" s="1333"/>
      <c r="K668" s="1333"/>
      <c r="L668" s="1333"/>
      <c r="M668" s="1333"/>
      <c r="N668" s="1333"/>
      <c r="O668" s="1333"/>
      <c r="P668" s="1333"/>
      <c r="Q668" s="1333"/>
      <c r="R668" s="1333"/>
      <c r="S668" s="1449"/>
      <c r="T668" s="1284"/>
      <c r="U668" s="1333"/>
      <c r="V668" s="1333"/>
      <c r="W668" s="1333"/>
      <c r="X668" s="1333"/>
      <c r="Y668" s="1333"/>
      <c r="Z668" s="1333"/>
      <c r="AA668" s="1333"/>
      <c r="AB668" s="1333"/>
      <c r="AC668" s="1333"/>
      <c r="AD668" s="1333"/>
      <c r="AE668" s="1333"/>
      <c r="AF668" s="1333"/>
      <c r="AG668" s="1333"/>
      <c r="AH668" s="1333"/>
      <c r="AI668" s="1333"/>
      <c r="AJ668" s="1333"/>
    </row>
    <row r="669" spans="1:36" ht="15" customHeight="1" x14ac:dyDescent="0.25">
      <c r="A669" s="1331"/>
      <c r="B669" s="1284"/>
      <c r="C669" s="1284"/>
      <c r="D669" s="1364"/>
      <c r="E669" s="1364"/>
      <c r="F669" s="1364"/>
      <c r="G669" s="1365"/>
      <c r="H669" s="1333"/>
      <c r="I669" s="1333"/>
      <c r="J669" s="1333"/>
      <c r="K669" s="1333"/>
      <c r="L669" s="1333"/>
      <c r="M669" s="1333"/>
      <c r="N669" s="1333"/>
      <c r="O669" s="1333"/>
      <c r="P669" s="1333"/>
      <c r="Q669" s="1333"/>
      <c r="R669" s="1333"/>
      <c r="S669" s="1449"/>
      <c r="T669" s="1284"/>
      <c r="U669" s="1333"/>
      <c r="V669" s="1333"/>
      <c r="W669" s="1333"/>
      <c r="X669" s="1333"/>
      <c r="Y669" s="1333"/>
      <c r="Z669" s="1333"/>
      <c r="AA669" s="1333"/>
      <c r="AB669" s="1333"/>
      <c r="AC669" s="1333"/>
      <c r="AD669" s="1333"/>
      <c r="AE669" s="1333"/>
      <c r="AF669" s="1333"/>
      <c r="AG669" s="1333"/>
      <c r="AH669" s="1333"/>
      <c r="AI669" s="1333"/>
      <c r="AJ669" s="1333"/>
    </row>
    <row r="670" spans="1:36" ht="15" customHeight="1" x14ac:dyDescent="0.25">
      <c r="A670" s="1331"/>
      <c r="B670" s="1284"/>
      <c r="C670" s="1284"/>
      <c r="D670" s="1364"/>
      <c r="E670" s="1364"/>
      <c r="F670" s="1364"/>
      <c r="G670" s="1365"/>
      <c r="H670" s="1333"/>
      <c r="I670" s="1333"/>
      <c r="J670" s="1333"/>
      <c r="K670" s="1333"/>
      <c r="L670" s="1333"/>
      <c r="M670" s="1333"/>
      <c r="N670" s="1333"/>
      <c r="O670" s="1333"/>
      <c r="P670" s="1333"/>
      <c r="Q670" s="1333"/>
      <c r="R670" s="1333"/>
      <c r="S670" s="1449"/>
      <c r="T670" s="1284"/>
      <c r="U670" s="1333"/>
      <c r="V670" s="1333"/>
      <c r="W670" s="1333"/>
      <c r="X670" s="1333"/>
      <c r="Y670" s="1333"/>
      <c r="Z670" s="1333"/>
      <c r="AA670" s="1333"/>
      <c r="AB670" s="1333"/>
      <c r="AC670" s="1333"/>
      <c r="AD670" s="1333"/>
      <c r="AE670" s="1333"/>
      <c r="AF670" s="1333"/>
      <c r="AG670" s="1333"/>
      <c r="AH670" s="1333"/>
      <c r="AI670" s="1333"/>
      <c r="AJ670" s="1333"/>
    </row>
    <row r="671" spans="1:36" ht="15" customHeight="1" x14ac:dyDescent="0.25">
      <c r="A671" s="1331"/>
      <c r="B671" s="1284"/>
      <c r="C671" s="1284"/>
      <c r="D671" s="1364"/>
      <c r="E671" s="1364"/>
      <c r="F671" s="1364"/>
      <c r="G671" s="1365"/>
      <c r="H671" s="1333"/>
      <c r="I671" s="1333"/>
      <c r="J671" s="1333"/>
      <c r="K671" s="1333"/>
      <c r="L671" s="1333"/>
      <c r="M671" s="1333"/>
      <c r="N671" s="1333"/>
      <c r="O671" s="1333"/>
      <c r="P671" s="1333"/>
      <c r="Q671" s="1333"/>
      <c r="R671" s="1333"/>
      <c r="S671" s="1449"/>
      <c r="T671" s="1284"/>
      <c r="U671" s="1333"/>
      <c r="V671" s="1333"/>
      <c r="W671" s="1333"/>
      <c r="X671" s="1333"/>
      <c r="Y671" s="1333"/>
      <c r="Z671" s="1333"/>
      <c r="AA671" s="1333"/>
      <c r="AB671" s="1333"/>
      <c r="AC671" s="1333"/>
      <c r="AD671" s="1333"/>
      <c r="AE671" s="1333"/>
      <c r="AF671" s="1333"/>
      <c r="AG671" s="1333"/>
      <c r="AH671" s="1333"/>
      <c r="AI671" s="1333"/>
      <c r="AJ671" s="1333"/>
    </row>
    <row r="672" spans="1:36" ht="15" customHeight="1" x14ac:dyDescent="0.25">
      <c r="A672" s="1331"/>
      <c r="B672" s="1284"/>
      <c r="C672" s="1284"/>
      <c r="D672" s="1364"/>
      <c r="E672" s="1364"/>
      <c r="F672" s="1364"/>
      <c r="G672" s="1365"/>
      <c r="H672" s="1333"/>
      <c r="I672" s="1333"/>
      <c r="J672" s="1333"/>
      <c r="K672" s="1333"/>
      <c r="L672" s="1333"/>
      <c r="M672" s="1333"/>
      <c r="N672" s="1333"/>
      <c r="O672" s="1333"/>
      <c r="P672" s="1333"/>
      <c r="Q672" s="1333"/>
      <c r="R672" s="1333"/>
      <c r="S672" s="1449"/>
      <c r="T672" s="1284"/>
      <c r="U672" s="1333"/>
      <c r="V672" s="1333"/>
      <c r="W672" s="1333"/>
      <c r="X672" s="1333"/>
      <c r="Y672" s="1333"/>
      <c r="Z672" s="1333"/>
      <c r="AA672" s="1333"/>
      <c r="AB672" s="1333"/>
      <c r="AC672" s="1333"/>
      <c r="AD672" s="1333"/>
      <c r="AE672" s="1333"/>
      <c r="AF672" s="1333"/>
      <c r="AG672" s="1333"/>
      <c r="AH672" s="1333"/>
      <c r="AI672" s="1333"/>
      <c r="AJ672" s="1333"/>
    </row>
    <row r="673" spans="1:36" ht="15" customHeight="1" x14ac:dyDescent="0.25">
      <c r="A673" s="1331"/>
      <c r="B673" s="1284"/>
      <c r="C673" s="1284"/>
      <c r="D673" s="1364"/>
      <c r="E673" s="1364"/>
      <c r="F673" s="1364"/>
      <c r="G673" s="1365"/>
      <c r="H673" s="1333"/>
      <c r="I673" s="1333"/>
      <c r="J673" s="1333"/>
      <c r="K673" s="1333"/>
      <c r="L673" s="1333"/>
      <c r="M673" s="1333"/>
      <c r="N673" s="1333"/>
      <c r="O673" s="1333"/>
      <c r="P673" s="1333"/>
      <c r="Q673" s="1333"/>
      <c r="R673" s="1333"/>
      <c r="S673" s="1449"/>
      <c r="T673" s="1284"/>
      <c r="U673" s="1333"/>
      <c r="V673" s="1333"/>
      <c r="W673" s="1333"/>
      <c r="X673" s="1333"/>
      <c r="Y673" s="1333"/>
      <c r="Z673" s="1333"/>
      <c r="AA673" s="1333"/>
      <c r="AB673" s="1333"/>
      <c r="AC673" s="1333"/>
      <c r="AD673" s="1333"/>
      <c r="AE673" s="1333"/>
      <c r="AF673" s="1333"/>
      <c r="AG673" s="1333"/>
      <c r="AH673" s="1333"/>
      <c r="AI673" s="1333"/>
      <c r="AJ673" s="1333"/>
    </row>
    <row r="674" spans="1:36" ht="15" customHeight="1" x14ac:dyDescent="0.25">
      <c r="A674" s="1331"/>
      <c r="B674" s="1284"/>
      <c r="C674" s="1284"/>
      <c r="D674" s="1364"/>
      <c r="E674" s="1364"/>
      <c r="F674" s="1364"/>
      <c r="G674" s="1365"/>
      <c r="H674" s="1333"/>
      <c r="I674" s="1333"/>
      <c r="J674" s="1333"/>
      <c r="K674" s="1333"/>
      <c r="L674" s="1333"/>
      <c r="M674" s="1333"/>
      <c r="N674" s="1333"/>
      <c r="O674" s="1333"/>
      <c r="P674" s="1333"/>
      <c r="Q674" s="1333"/>
      <c r="R674" s="1333"/>
      <c r="S674" s="1449"/>
      <c r="T674" s="1284"/>
      <c r="U674" s="1333"/>
      <c r="V674" s="1333"/>
      <c r="W674" s="1333"/>
      <c r="X674" s="1333"/>
      <c r="Y674" s="1333"/>
      <c r="Z674" s="1333"/>
      <c r="AA674" s="1333"/>
      <c r="AB674" s="1333"/>
      <c r="AC674" s="1333"/>
      <c r="AD674" s="1333"/>
      <c r="AE674" s="1333"/>
      <c r="AF674" s="1333"/>
      <c r="AG674" s="1333"/>
      <c r="AH674" s="1333"/>
      <c r="AI674" s="1333"/>
      <c r="AJ674" s="1333"/>
    </row>
    <row r="675" spans="1:36" ht="15" customHeight="1" x14ac:dyDescent="0.25">
      <c r="A675" s="1331"/>
      <c r="B675" s="1284"/>
      <c r="C675" s="1284"/>
      <c r="D675" s="1364"/>
      <c r="E675" s="1364"/>
      <c r="F675" s="1364"/>
      <c r="G675" s="1365"/>
      <c r="H675" s="1333"/>
      <c r="I675" s="1333"/>
      <c r="J675" s="1333"/>
      <c r="K675" s="1333"/>
      <c r="L675" s="1333"/>
      <c r="M675" s="1333"/>
      <c r="N675" s="1333"/>
      <c r="O675" s="1333"/>
      <c r="P675" s="1333"/>
      <c r="Q675" s="1333"/>
      <c r="R675" s="1333"/>
      <c r="S675" s="1449"/>
      <c r="T675" s="1284"/>
      <c r="U675" s="1333"/>
      <c r="V675" s="1333"/>
      <c r="W675" s="1333"/>
      <c r="X675" s="1333"/>
      <c r="Y675" s="1333"/>
      <c r="Z675" s="1333"/>
      <c r="AA675" s="1333"/>
      <c r="AB675" s="1333"/>
      <c r="AC675" s="1333"/>
      <c r="AD675" s="1333"/>
      <c r="AE675" s="1333"/>
      <c r="AF675" s="1333"/>
      <c r="AG675" s="1333"/>
      <c r="AH675" s="1333"/>
      <c r="AI675" s="1333"/>
      <c r="AJ675" s="1333"/>
    </row>
    <row r="676" spans="1:36" x14ac:dyDescent="0.25">
      <c r="A676" s="1331"/>
      <c r="B676" s="1284"/>
      <c r="C676" s="1284"/>
      <c r="D676" s="1364"/>
      <c r="E676" s="1364"/>
      <c r="F676" s="1364"/>
      <c r="G676" s="1365"/>
      <c r="H676" s="1333"/>
      <c r="I676" s="1333"/>
      <c r="J676" s="1333"/>
      <c r="K676" s="1333"/>
      <c r="L676" s="1333"/>
      <c r="M676" s="1333"/>
      <c r="N676" s="1333"/>
      <c r="O676" s="1333"/>
      <c r="P676" s="1333"/>
      <c r="Q676" s="1333"/>
      <c r="R676" s="1333"/>
      <c r="S676" s="1449"/>
      <c r="T676" s="1284"/>
      <c r="U676" s="1333"/>
      <c r="V676" s="1333"/>
      <c r="W676" s="1333"/>
      <c r="X676" s="1333"/>
      <c r="Y676" s="1333"/>
      <c r="Z676" s="1333"/>
      <c r="AA676" s="1333"/>
      <c r="AB676" s="1333"/>
      <c r="AC676" s="1333"/>
      <c r="AD676" s="1333"/>
      <c r="AE676" s="1333"/>
      <c r="AF676" s="1333"/>
      <c r="AG676" s="1333"/>
      <c r="AH676" s="1333"/>
      <c r="AI676" s="1333"/>
      <c r="AJ676" s="1333"/>
    </row>
    <row r="677" spans="1:36" x14ac:dyDescent="0.25">
      <c r="A677" s="1331"/>
      <c r="B677" s="1284"/>
      <c r="C677" s="1284"/>
      <c r="D677" s="1364"/>
      <c r="E677" s="1364"/>
      <c r="F677" s="1364"/>
      <c r="G677" s="1365"/>
      <c r="H677" s="1333"/>
      <c r="I677" s="1333"/>
      <c r="J677" s="1333"/>
      <c r="K677" s="1333"/>
      <c r="L677" s="1333"/>
      <c r="M677" s="1333"/>
      <c r="N677" s="1333"/>
      <c r="O677" s="1333"/>
      <c r="P677" s="1333"/>
      <c r="Q677" s="1333"/>
      <c r="R677" s="1333"/>
      <c r="S677" s="1449"/>
      <c r="T677" s="1284"/>
      <c r="U677" s="1333"/>
      <c r="V677" s="1333"/>
      <c r="W677" s="1333"/>
      <c r="X677" s="1333"/>
      <c r="Y677" s="1333"/>
      <c r="Z677" s="1333"/>
      <c r="AA677" s="1333"/>
      <c r="AB677" s="1333"/>
      <c r="AC677" s="1333"/>
      <c r="AD677" s="1333"/>
      <c r="AE677" s="1333"/>
      <c r="AF677" s="1333"/>
      <c r="AG677" s="1333"/>
      <c r="AH677" s="1333"/>
      <c r="AI677" s="1333"/>
      <c r="AJ677" s="1333"/>
    </row>
    <row r="678" spans="1:36" x14ac:dyDescent="0.25">
      <c r="A678" s="1331"/>
      <c r="B678" s="1284"/>
      <c r="C678" s="1284"/>
      <c r="D678" s="1364"/>
      <c r="E678" s="1364"/>
      <c r="F678" s="1364"/>
      <c r="G678" s="1365"/>
      <c r="H678" s="1333"/>
      <c r="I678" s="1333"/>
      <c r="J678" s="1333"/>
      <c r="K678" s="1333"/>
      <c r="L678" s="1333"/>
      <c r="M678" s="1333"/>
      <c r="N678" s="1333"/>
      <c r="O678" s="1333"/>
      <c r="P678" s="1333"/>
      <c r="Q678" s="1333"/>
      <c r="R678" s="1333"/>
      <c r="S678" s="1449"/>
      <c r="T678" s="1284"/>
      <c r="U678" s="1333"/>
      <c r="V678" s="1333"/>
      <c r="W678" s="1333"/>
      <c r="X678" s="1333"/>
      <c r="Y678" s="1333"/>
      <c r="Z678" s="1333"/>
      <c r="AA678" s="1333"/>
      <c r="AB678" s="1333"/>
      <c r="AC678" s="1333"/>
      <c r="AD678" s="1333"/>
      <c r="AE678" s="1333"/>
      <c r="AF678" s="1333"/>
      <c r="AG678" s="1333"/>
      <c r="AH678" s="1333"/>
      <c r="AI678" s="1333"/>
      <c r="AJ678" s="1333"/>
    </row>
    <row r="679" spans="1:36" x14ac:dyDescent="0.25">
      <c r="A679" s="1331"/>
      <c r="B679" s="1284"/>
      <c r="C679" s="1284"/>
      <c r="D679" s="1364"/>
      <c r="E679" s="1364"/>
      <c r="F679" s="1364"/>
      <c r="G679" s="1365"/>
      <c r="H679" s="1333"/>
      <c r="I679" s="1333"/>
      <c r="J679" s="1333"/>
      <c r="K679" s="1333"/>
      <c r="L679" s="1333"/>
      <c r="M679" s="1333"/>
      <c r="N679" s="1333"/>
      <c r="O679" s="1333"/>
      <c r="P679" s="1333"/>
      <c r="Q679" s="1333"/>
      <c r="R679" s="1333"/>
      <c r="S679" s="1449"/>
      <c r="T679" s="1284"/>
      <c r="U679" s="1333"/>
      <c r="V679" s="1333"/>
      <c r="W679" s="1333"/>
      <c r="X679" s="1333"/>
      <c r="Y679" s="1333"/>
      <c r="Z679" s="1333"/>
      <c r="AA679" s="1333"/>
      <c r="AB679" s="1333"/>
      <c r="AC679" s="1333"/>
      <c r="AD679" s="1333"/>
      <c r="AE679" s="1333"/>
      <c r="AF679" s="1333"/>
      <c r="AG679" s="1333"/>
      <c r="AH679" s="1333"/>
      <c r="AI679" s="1333"/>
      <c r="AJ679" s="1333"/>
    </row>
    <row r="680" spans="1:36" x14ac:dyDescent="0.25">
      <c r="A680" s="1331"/>
      <c r="B680" s="1284"/>
      <c r="C680" s="1284"/>
      <c r="D680" s="1364"/>
      <c r="E680" s="1364"/>
      <c r="F680" s="1364"/>
      <c r="G680" s="1365"/>
      <c r="H680" s="1333"/>
      <c r="I680" s="1333"/>
      <c r="J680" s="1333"/>
      <c r="K680" s="1333"/>
      <c r="L680" s="1333"/>
      <c r="M680" s="1333"/>
      <c r="N680" s="1333"/>
      <c r="O680" s="1333"/>
      <c r="P680" s="1333"/>
      <c r="Q680" s="1333"/>
      <c r="R680" s="1333"/>
      <c r="S680" s="1449"/>
      <c r="T680" s="1284"/>
      <c r="U680" s="1333"/>
      <c r="V680" s="1333"/>
      <c r="W680" s="1333"/>
      <c r="X680" s="1333"/>
      <c r="Y680" s="1333"/>
      <c r="Z680" s="1333"/>
      <c r="AA680" s="1333"/>
      <c r="AB680" s="1333"/>
      <c r="AC680" s="1333"/>
      <c r="AD680" s="1333"/>
      <c r="AE680" s="1333"/>
      <c r="AF680" s="1333"/>
      <c r="AG680" s="1333"/>
      <c r="AH680" s="1333"/>
      <c r="AI680" s="1333"/>
      <c r="AJ680" s="1333"/>
    </row>
    <row r="681" spans="1:36" x14ac:dyDescent="0.25">
      <c r="A681" s="1331"/>
      <c r="B681" s="1284"/>
      <c r="C681" s="1284"/>
      <c r="D681" s="1364"/>
      <c r="E681" s="1364"/>
      <c r="F681" s="1364"/>
      <c r="G681" s="1365"/>
      <c r="H681" s="1333"/>
      <c r="I681" s="1333"/>
      <c r="J681" s="1333"/>
      <c r="K681" s="1333"/>
      <c r="L681" s="1333"/>
      <c r="M681" s="1333"/>
      <c r="N681" s="1333"/>
      <c r="O681" s="1333"/>
      <c r="P681" s="1333"/>
      <c r="Q681" s="1333"/>
      <c r="R681" s="1333"/>
      <c r="S681" s="1449"/>
      <c r="T681" s="1284"/>
      <c r="U681" s="1333"/>
      <c r="V681" s="1333"/>
      <c r="W681" s="1333"/>
      <c r="X681" s="1333"/>
      <c r="Y681" s="1333"/>
      <c r="Z681" s="1333"/>
      <c r="AA681" s="1333"/>
      <c r="AB681" s="1333"/>
      <c r="AC681" s="1333"/>
      <c r="AD681" s="1333"/>
      <c r="AE681" s="1333"/>
      <c r="AF681" s="1333"/>
      <c r="AG681" s="1333"/>
      <c r="AH681" s="1333"/>
      <c r="AI681" s="1333"/>
      <c r="AJ681" s="1333"/>
    </row>
    <row r="682" spans="1:36" x14ac:dyDescent="0.25">
      <c r="A682" s="1331"/>
      <c r="B682" s="1284"/>
      <c r="C682" s="1284"/>
      <c r="D682" s="1364"/>
      <c r="E682" s="1364"/>
      <c r="F682" s="1364"/>
      <c r="G682" s="1365"/>
      <c r="H682" s="1333"/>
      <c r="I682" s="1333"/>
      <c r="J682" s="1333"/>
      <c r="K682" s="1333"/>
      <c r="L682" s="1333"/>
      <c r="M682" s="1333"/>
      <c r="N682" s="1333"/>
      <c r="O682" s="1333"/>
      <c r="P682" s="1333"/>
      <c r="Q682" s="1333"/>
      <c r="R682" s="1333"/>
      <c r="S682" s="1449"/>
      <c r="T682" s="1284"/>
      <c r="U682" s="1333"/>
      <c r="V682" s="1333"/>
      <c r="W682" s="1333"/>
      <c r="X682" s="1333"/>
      <c r="Y682" s="1333"/>
      <c r="Z682" s="1333"/>
      <c r="AA682" s="1333"/>
      <c r="AB682" s="1333"/>
      <c r="AC682" s="1333"/>
      <c r="AD682" s="1333"/>
      <c r="AE682" s="1333"/>
      <c r="AF682" s="1333"/>
      <c r="AG682" s="1333"/>
      <c r="AH682" s="1333"/>
      <c r="AI682" s="1333"/>
      <c r="AJ682" s="1333"/>
    </row>
    <row r="683" spans="1:36" x14ac:dyDescent="0.25">
      <c r="A683" s="1331"/>
      <c r="B683" s="1284"/>
      <c r="C683" s="1284"/>
      <c r="D683" s="1364"/>
      <c r="E683" s="1364"/>
      <c r="F683" s="1364"/>
      <c r="G683" s="1365"/>
      <c r="H683" s="1333"/>
      <c r="I683" s="1333"/>
      <c r="J683" s="1333"/>
      <c r="K683" s="1333"/>
      <c r="L683" s="1333"/>
      <c r="M683" s="1333"/>
      <c r="N683" s="1333"/>
      <c r="O683" s="1333"/>
      <c r="P683" s="1333"/>
      <c r="Q683" s="1333"/>
      <c r="R683" s="1333"/>
      <c r="S683" s="1449"/>
      <c r="T683" s="1284"/>
      <c r="U683" s="1333"/>
      <c r="V683" s="1333"/>
      <c r="W683" s="1333"/>
      <c r="X683" s="1333"/>
      <c r="Y683" s="1333"/>
      <c r="Z683" s="1333"/>
      <c r="AA683" s="1333"/>
      <c r="AB683" s="1333"/>
      <c r="AC683" s="1333"/>
      <c r="AD683" s="1333"/>
      <c r="AE683" s="1333"/>
      <c r="AF683" s="1333"/>
      <c r="AG683" s="1333"/>
      <c r="AH683" s="1333"/>
      <c r="AI683" s="1333"/>
      <c r="AJ683" s="1333"/>
    </row>
    <row r="684" spans="1:36" x14ac:dyDescent="0.25">
      <c r="A684" s="1331"/>
      <c r="B684" s="1284"/>
      <c r="C684" s="1284"/>
      <c r="D684" s="1364"/>
      <c r="E684" s="1364"/>
      <c r="F684" s="1364"/>
      <c r="G684" s="1365"/>
      <c r="H684" s="1333"/>
      <c r="I684" s="1333"/>
      <c r="J684" s="1333"/>
      <c r="K684" s="1333"/>
      <c r="L684" s="1333"/>
      <c r="M684" s="1333"/>
      <c r="N684" s="1333"/>
      <c r="O684" s="1333"/>
      <c r="P684" s="1333"/>
      <c r="Q684" s="1333"/>
      <c r="R684" s="1333"/>
      <c r="S684" s="1449"/>
      <c r="T684" s="1284"/>
      <c r="U684" s="1333"/>
      <c r="V684" s="1333"/>
      <c r="W684" s="1333"/>
      <c r="X684" s="1333"/>
      <c r="Y684" s="1333"/>
      <c r="Z684" s="1333"/>
      <c r="AA684" s="1333"/>
      <c r="AB684" s="1333"/>
      <c r="AC684" s="1333"/>
      <c r="AD684" s="1333"/>
      <c r="AE684" s="1333"/>
      <c r="AF684" s="1333"/>
      <c r="AG684" s="1333"/>
      <c r="AH684" s="1333"/>
      <c r="AI684" s="1333"/>
      <c r="AJ684" s="1333"/>
    </row>
    <row r="685" spans="1:36" x14ac:dyDescent="0.25">
      <c r="A685" s="1331"/>
      <c r="B685" s="1284"/>
      <c r="C685" s="1284"/>
      <c r="D685" s="1364"/>
      <c r="E685" s="1364"/>
      <c r="F685" s="1364"/>
      <c r="G685" s="1365"/>
      <c r="H685" s="1333"/>
      <c r="I685" s="1333"/>
      <c r="J685" s="1333"/>
      <c r="K685" s="1333"/>
      <c r="L685" s="1333"/>
      <c r="M685" s="1333"/>
      <c r="N685" s="1333"/>
      <c r="O685" s="1333"/>
      <c r="P685" s="1333"/>
      <c r="Q685" s="1333"/>
      <c r="R685" s="1333"/>
      <c r="S685" s="1449"/>
      <c r="T685" s="1284"/>
      <c r="U685" s="1333"/>
      <c r="V685" s="1333"/>
      <c r="W685" s="1333"/>
      <c r="X685" s="1333"/>
      <c r="Y685" s="1333"/>
      <c r="Z685" s="1333"/>
      <c r="AA685" s="1333"/>
      <c r="AB685" s="1333"/>
      <c r="AC685" s="1333"/>
      <c r="AD685" s="1333"/>
      <c r="AE685" s="1333"/>
      <c r="AF685" s="1333"/>
      <c r="AG685" s="1333"/>
      <c r="AH685" s="1333"/>
      <c r="AI685" s="1333"/>
      <c r="AJ685" s="1333"/>
    </row>
    <row r="686" spans="1:36" x14ac:dyDescent="0.25">
      <c r="A686" s="1331"/>
      <c r="B686" s="1284"/>
      <c r="C686" s="1284"/>
      <c r="D686" s="1364"/>
      <c r="E686" s="1364"/>
      <c r="F686" s="1364"/>
      <c r="G686" s="1365"/>
      <c r="H686" s="1333"/>
      <c r="I686" s="1333"/>
      <c r="J686" s="1333"/>
      <c r="K686" s="1333"/>
      <c r="L686" s="1333"/>
      <c r="M686" s="1333"/>
      <c r="N686" s="1333"/>
      <c r="O686" s="1333"/>
      <c r="P686" s="1333"/>
      <c r="Q686" s="1333"/>
      <c r="R686" s="1333"/>
      <c r="S686" s="1449"/>
      <c r="T686" s="1284"/>
      <c r="U686" s="1333"/>
      <c r="V686" s="1333"/>
      <c r="W686" s="1333"/>
      <c r="X686" s="1333"/>
      <c r="Y686" s="1333"/>
      <c r="Z686" s="1333"/>
      <c r="AA686" s="1333"/>
      <c r="AB686" s="1333"/>
      <c r="AC686" s="1333"/>
      <c r="AD686" s="1333"/>
      <c r="AE686" s="1333"/>
      <c r="AF686" s="1333"/>
      <c r="AG686" s="1333"/>
      <c r="AH686" s="1333"/>
      <c r="AI686" s="1333"/>
      <c r="AJ686" s="1333"/>
    </row>
    <row r="687" spans="1:36" x14ac:dyDescent="0.25">
      <c r="A687" s="1331"/>
      <c r="B687" s="1284"/>
      <c r="C687" s="1284"/>
      <c r="D687" s="1364"/>
      <c r="E687" s="1364"/>
      <c r="F687" s="1364"/>
      <c r="G687" s="1365"/>
      <c r="H687" s="1333"/>
      <c r="I687" s="1333"/>
      <c r="J687" s="1333"/>
      <c r="K687" s="1333"/>
      <c r="L687" s="1333"/>
      <c r="M687" s="1333"/>
      <c r="N687" s="1333"/>
      <c r="O687" s="1333"/>
      <c r="P687" s="1333"/>
      <c r="Q687" s="1333"/>
      <c r="R687" s="1333"/>
      <c r="S687" s="1449"/>
      <c r="T687" s="1284"/>
      <c r="U687" s="1333"/>
      <c r="V687" s="1333"/>
      <c r="W687" s="1333"/>
      <c r="X687" s="1333"/>
      <c r="Y687" s="1333"/>
      <c r="Z687" s="1333"/>
      <c r="AA687" s="1333"/>
      <c r="AB687" s="1333"/>
      <c r="AC687" s="1333"/>
      <c r="AD687" s="1333"/>
      <c r="AE687" s="1333"/>
      <c r="AF687" s="1333"/>
      <c r="AG687" s="1333"/>
      <c r="AH687" s="1333"/>
      <c r="AI687" s="1333"/>
      <c r="AJ687" s="1333"/>
    </row>
    <row r="688" spans="1:36" x14ac:dyDescent="0.25">
      <c r="A688" s="1331"/>
      <c r="B688" s="1284"/>
      <c r="C688" s="1284"/>
      <c r="D688" s="1364"/>
      <c r="E688" s="1364"/>
      <c r="F688" s="1364"/>
      <c r="G688" s="1365"/>
      <c r="H688" s="1333"/>
      <c r="I688" s="1333"/>
      <c r="J688" s="1333"/>
      <c r="K688" s="1333"/>
      <c r="L688" s="1333"/>
      <c r="M688" s="1333"/>
      <c r="N688" s="1333"/>
      <c r="O688" s="1333"/>
      <c r="P688" s="1333"/>
      <c r="Q688" s="1333"/>
      <c r="R688" s="1333"/>
      <c r="S688" s="1449"/>
      <c r="T688" s="1284"/>
      <c r="U688" s="1333"/>
      <c r="V688" s="1333"/>
      <c r="W688" s="1333"/>
      <c r="X688" s="1333"/>
      <c r="Y688" s="1333"/>
      <c r="Z688" s="1333"/>
      <c r="AA688" s="1333"/>
      <c r="AB688" s="1333"/>
      <c r="AC688" s="1333"/>
      <c r="AD688" s="1333"/>
      <c r="AE688" s="1333"/>
      <c r="AF688" s="1333"/>
      <c r="AG688" s="1333"/>
      <c r="AH688" s="1333"/>
      <c r="AI688" s="1333"/>
      <c r="AJ688" s="1333"/>
    </row>
    <row r="689" spans="1:36" x14ac:dyDescent="0.25">
      <c r="A689" s="1331"/>
      <c r="B689" s="1284"/>
      <c r="C689" s="1284"/>
      <c r="D689" s="1364"/>
      <c r="E689" s="1364"/>
      <c r="F689" s="1364"/>
      <c r="G689" s="1365"/>
      <c r="H689" s="1333"/>
      <c r="I689" s="1333"/>
      <c r="J689" s="1333"/>
      <c r="K689" s="1333"/>
      <c r="L689" s="1333"/>
      <c r="M689" s="1333"/>
      <c r="N689" s="1333"/>
      <c r="O689" s="1333"/>
      <c r="P689" s="1333"/>
      <c r="Q689" s="1333"/>
      <c r="R689" s="1333"/>
      <c r="S689" s="1449"/>
      <c r="T689" s="1284"/>
      <c r="U689" s="1333"/>
      <c r="V689" s="1333"/>
      <c r="W689" s="1333"/>
      <c r="X689" s="1333"/>
      <c r="Y689" s="1333"/>
      <c r="Z689" s="1333"/>
      <c r="AA689" s="1333"/>
      <c r="AB689" s="1333"/>
      <c r="AC689" s="1333"/>
      <c r="AD689" s="1333"/>
      <c r="AE689" s="1333"/>
      <c r="AF689" s="1333"/>
      <c r="AG689" s="1333"/>
      <c r="AH689" s="1333"/>
      <c r="AI689" s="1333"/>
      <c r="AJ689" s="1333"/>
    </row>
    <row r="690" spans="1:36" x14ac:dyDescent="0.25">
      <c r="A690" s="1331"/>
      <c r="B690" s="1284"/>
      <c r="C690" s="1284"/>
      <c r="D690" s="1364"/>
      <c r="E690" s="1364"/>
      <c r="F690" s="1364"/>
      <c r="G690" s="1365"/>
      <c r="H690" s="1333"/>
      <c r="I690" s="1333"/>
      <c r="J690" s="1333"/>
      <c r="K690" s="1333"/>
      <c r="L690" s="1333"/>
      <c r="M690" s="1333"/>
      <c r="N690" s="1333"/>
      <c r="O690" s="1333"/>
      <c r="P690" s="1333"/>
      <c r="Q690" s="1333"/>
      <c r="R690" s="1333"/>
      <c r="S690" s="1449"/>
      <c r="T690" s="1284"/>
      <c r="U690" s="1333"/>
      <c r="V690" s="1333"/>
      <c r="W690" s="1333"/>
      <c r="X690" s="1333"/>
      <c r="Y690" s="1333"/>
      <c r="Z690" s="1333"/>
      <c r="AA690" s="1333"/>
      <c r="AB690" s="1333"/>
      <c r="AC690" s="1333"/>
      <c r="AD690" s="1333"/>
      <c r="AE690" s="1333"/>
      <c r="AF690" s="1333"/>
      <c r="AG690" s="1333"/>
      <c r="AH690" s="1333"/>
      <c r="AI690" s="1333"/>
      <c r="AJ690" s="1333"/>
    </row>
    <row r="691" spans="1:36" x14ac:dyDescent="0.25">
      <c r="A691" s="1331"/>
      <c r="B691" s="1284"/>
      <c r="C691" s="1284"/>
      <c r="D691" s="1364"/>
      <c r="E691" s="1364"/>
      <c r="F691" s="1364"/>
      <c r="G691" s="1365"/>
      <c r="H691" s="1333"/>
      <c r="I691" s="1333"/>
      <c r="J691" s="1333"/>
      <c r="K691" s="1333"/>
      <c r="L691" s="1333"/>
      <c r="M691" s="1333"/>
      <c r="N691" s="1333"/>
      <c r="O691" s="1333"/>
      <c r="P691" s="1333"/>
      <c r="Q691" s="1333"/>
      <c r="R691" s="1333"/>
      <c r="S691" s="1449"/>
      <c r="T691" s="1284"/>
      <c r="U691" s="1333"/>
      <c r="V691" s="1333"/>
      <c r="W691" s="1333"/>
      <c r="X691" s="1333"/>
      <c r="Y691" s="1333"/>
      <c r="Z691" s="1333"/>
      <c r="AA691" s="1333"/>
      <c r="AB691" s="1333"/>
      <c r="AC691" s="1333"/>
      <c r="AD691" s="1333"/>
      <c r="AE691" s="1333"/>
      <c r="AF691" s="1333"/>
      <c r="AG691" s="1333"/>
      <c r="AH691" s="1333"/>
      <c r="AI691" s="1333"/>
      <c r="AJ691" s="1333"/>
    </row>
    <row r="692" spans="1:36" x14ac:dyDescent="0.25">
      <c r="A692" s="1331"/>
      <c r="B692" s="1284"/>
      <c r="C692" s="1284"/>
      <c r="D692" s="1364"/>
      <c r="E692" s="1364"/>
      <c r="F692" s="1364"/>
      <c r="G692" s="1365"/>
      <c r="H692" s="1333"/>
      <c r="I692" s="1333"/>
      <c r="J692" s="1333"/>
      <c r="K692" s="1333"/>
      <c r="L692" s="1333"/>
      <c r="M692" s="1333"/>
      <c r="N692" s="1333"/>
      <c r="O692" s="1333"/>
      <c r="P692" s="1333"/>
      <c r="Q692" s="1333"/>
      <c r="R692" s="1333"/>
      <c r="S692" s="1449"/>
      <c r="T692" s="1284"/>
      <c r="U692" s="1333"/>
      <c r="V692" s="1333"/>
      <c r="W692" s="1333"/>
      <c r="X692" s="1333"/>
      <c r="Y692" s="1333"/>
      <c r="Z692" s="1333"/>
      <c r="AA692" s="1333"/>
      <c r="AB692" s="1333"/>
      <c r="AC692" s="1333"/>
      <c r="AD692" s="1333"/>
      <c r="AE692" s="1333"/>
      <c r="AF692" s="1333"/>
      <c r="AG692" s="1333"/>
      <c r="AH692" s="1333"/>
      <c r="AI692" s="1333"/>
      <c r="AJ692" s="1333"/>
    </row>
    <row r="693" spans="1:36" x14ac:dyDescent="0.25">
      <c r="A693" s="1331"/>
      <c r="B693" s="1284"/>
      <c r="C693" s="1284"/>
      <c r="D693" s="1364"/>
      <c r="E693" s="1364"/>
      <c r="F693" s="1364"/>
      <c r="G693" s="1365"/>
      <c r="H693" s="1333"/>
      <c r="I693" s="1333"/>
      <c r="J693" s="1333"/>
      <c r="K693" s="1333"/>
      <c r="L693" s="1333"/>
      <c r="M693" s="1333"/>
      <c r="N693" s="1333"/>
      <c r="O693" s="1333"/>
      <c r="P693" s="1333"/>
      <c r="Q693" s="1333"/>
      <c r="R693" s="1333"/>
      <c r="S693" s="1449"/>
      <c r="T693" s="1284"/>
      <c r="U693" s="1333"/>
      <c r="V693" s="1333"/>
      <c r="W693" s="1333"/>
      <c r="X693" s="1333"/>
      <c r="Y693" s="1333"/>
      <c r="Z693" s="1333"/>
      <c r="AA693" s="1333"/>
      <c r="AB693" s="1333"/>
      <c r="AC693" s="1333"/>
      <c r="AD693" s="1333"/>
      <c r="AE693" s="1333"/>
      <c r="AF693" s="1333"/>
      <c r="AG693" s="1333"/>
      <c r="AH693" s="1333"/>
      <c r="AI693" s="1333"/>
      <c r="AJ693" s="1333"/>
    </row>
    <row r="694" spans="1:36" x14ac:dyDescent="0.25">
      <c r="A694" s="1331"/>
      <c r="B694" s="1284"/>
      <c r="C694" s="1284"/>
      <c r="D694" s="1364"/>
      <c r="E694" s="1364"/>
      <c r="F694" s="1364"/>
      <c r="G694" s="1365"/>
      <c r="H694" s="1333"/>
      <c r="I694" s="1333"/>
      <c r="J694" s="1333"/>
      <c r="K694" s="1333"/>
      <c r="L694" s="1333"/>
      <c r="M694" s="1333"/>
      <c r="N694" s="1333"/>
      <c r="O694" s="1333"/>
      <c r="P694" s="1333"/>
      <c r="Q694" s="1333"/>
      <c r="R694" s="1333"/>
      <c r="S694" s="1449"/>
      <c r="T694" s="1284"/>
      <c r="U694" s="1333"/>
      <c r="V694" s="1333"/>
      <c r="W694" s="1333"/>
      <c r="X694" s="1333"/>
      <c r="Y694" s="1333"/>
      <c r="Z694" s="1333"/>
      <c r="AA694" s="1333"/>
      <c r="AB694" s="1333"/>
      <c r="AC694" s="1333"/>
      <c r="AD694" s="1333"/>
      <c r="AE694" s="1333"/>
      <c r="AF694" s="1333"/>
      <c r="AG694" s="1333"/>
      <c r="AH694" s="1333"/>
      <c r="AI694" s="1333"/>
      <c r="AJ694" s="1333"/>
    </row>
    <row r="695" spans="1:36" x14ac:dyDescent="0.25">
      <c r="A695" s="1331"/>
      <c r="B695" s="1284"/>
      <c r="C695" s="1284"/>
      <c r="D695" s="1364"/>
      <c r="E695" s="1364"/>
      <c r="F695" s="1364"/>
      <c r="G695" s="1365"/>
      <c r="H695" s="1333"/>
      <c r="I695" s="1333"/>
      <c r="J695" s="1333"/>
      <c r="K695" s="1333"/>
      <c r="L695" s="1333"/>
      <c r="M695" s="1333"/>
      <c r="N695" s="1333"/>
      <c r="O695" s="1333"/>
      <c r="P695" s="1333"/>
      <c r="Q695" s="1333"/>
      <c r="R695" s="1333"/>
      <c r="S695" s="1449"/>
      <c r="T695" s="1284"/>
      <c r="U695" s="1333"/>
      <c r="V695" s="1333"/>
      <c r="W695" s="1333"/>
      <c r="X695" s="1333"/>
      <c r="Y695" s="1333"/>
      <c r="Z695" s="1333"/>
      <c r="AA695" s="1333"/>
      <c r="AB695" s="1333"/>
      <c r="AC695" s="1333"/>
      <c r="AD695" s="1333"/>
      <c r="AE695" s="1333"/>
      <c r="AF695" s="1333"/>
      <c r="AG695" s="1333"/>
      <c r="AH695" s="1333"/>
      <c r="AI695" s="1333"/>
      <c r="AJ695" s="1333"/>
    </row>
    <row r="696" spans="1:36" x14ac:dyDescent="0.25">
      <c r="A696" s="1331"/>
      <c r="B696" s="1284"/>
      <c r="C696" s="1284"/>
      <c r="D696" s="1364"/>
      <c r="E696" s="1364"/>
      <c r="F696" s="1364"/>
      <c r="G696" s="1365"/>
      <c r="H696" s="1333"/>
      <c r="I696" s="1333"/>
      <c r="J696" s="1333"/>
      <c r="K696" s="1333"/>
      <c r="L696" s="1333"/>
      <c r="M696" s="1333"/>
      <c r="N696" s="1333"/>
      <c r="O696" s="1333"/>
      <c r="P696" s="1333"/>
      <c r="Q696" s="1333"/>
      <c r="R696" s="1333"/>
      <c r="S696" s="1449"/>
      <c r="T696" s="1284"/>
      <c r="U696" s="1333"/>
      <c r="V696" s="1333"/>
      <c r="W696" s="1333"/>
      <c r="X696" s="1333"/>
      <c r="Y696" s="1333"/>
      <c r="Z696" s="1333"/>
      <c r="AA696" s="1333"/>
      <c r="AB696" s="1333"/>
      <c r="AC696" s="1333"/>
      <c r="AD696" s="1333"/>
      <c r="AE696" s="1333"/>
      <c r="AF696" s="1333"/>
      <c r="AG696" s="1333"/>
      <c r="AH696" s="1333"/>
      <c r="AI696" s="1333"/>
      <c r="AJ696" s="1333"/>
    </row>
    <row r="697" spans="1:36" x14ac:dyDescent="0.25">
      <c r="A697" s="1331"/>
      <c r="B697" s="1284"/>
      <c r="C697" s="1284"/>
      <c r="D697" s="1364"/>
      <c r="E697" s="1364"/>
      <c r="F697" s="1364"/>
      <c r="G697" s="1365"/>
      <c r="H697" s="1333"/>
      <c r="I697" s="1333"/>
      <c r="J697" s="1333"/>
      <c r="K697" s="1333"/>
      <c r="L697" s="1333"/>
      <c r="M697" s="1333"/>
      <c r="N697" s="1333"/>
      <c r="O697" s="1333"/>
      <c r="P697" s="1333"/>
      <c r="Q697" s="1333"/>
      <c r="R697" s="1333"/>
      <c r="S697" s="1449"/>
      <c r="T697" s="1284"/>
      <c r="U697" s="1333"/>
      <c r="V697" s="1333"/>
      <c r="W697" s="1333"/>
      <c r="X697" s="1333"/>
      <c r="Y697" s="1333"/>
      <c r="Z697" s="1333"/>
      <c r="AA697" s="1333"/>
      <c r="AB697" s="1333"/>
      <c r="AC697" s="1333"/>
      <c r="AD697" s="1333"/>
      <c r="AE697" s="1333"/>
      <c r="AF697" s="1333"/>
      <c r="AG697" s="1333"/>
      <c r="AH697" s="1333"/>
      <c r="AI697" s="1333"/>
      <c r="AJ697" s="1333"/>
    </row>
    <row r="698" spans="1:36" x14ac:dyDescent="0.25">
      <c r="A698" s="1331"/>
      <c r="B698" s="1284"/>
      <c r="C698" s="1284"/>
      <c r="D698" s="1364"/>
      <c r="E698" s="1364"/>
      <c r="F698" s="1364"/>
      <c r="G698" s="1365"/>
      <c r="H698" s="1333"/>
      <c r="I698" s="1333"/>
      <c r="J698" s="1333"/>
      <c r="K698" s="1333"/>
      <c r="L698" s="1333"/>
      <c r="M698" s="1333"/>
      <c r="N698" s="1333"/>
      <c r="O698" s="1333"/>
      <c r="P698" s="1333"/>
      <c r="Q698" s="1333"/>
      <c r="R698" s="1333"/>
      <c r="S698" s="1449"/>
      <c r="T698" s="1284"/>
      <c r="U698" s="1333"/>
      <c r="V698" s="1333"/>
      <c r="W698" s="1333"/>
      <c r="X698" s="1333"/>
      <c r="Y698" s="1333"/>
      <c r="Z698" s="1333"/>
      <c r="AA698" s="1333"/>
      <c r="AB698" s="1333"/>
      <c r="AC698" s="1333"/>
      <c r="AD698" s="1333"/>
      <c r="AE698" s="1333"/>
      <c r="AF698" s="1333"/>
      <c r="AG698" s="1333"/>
      <c r="AH698" s="1333"/>
      <c r="AI698" s="1333"/>
      <c r="AJ698" s="1333"/>
    </row>
    <row r="699" spans="1:36" x14ac:dyDescent="0.25">
      <c r="A699" s="1331"/>
      <c r="B699" s="1284"/>
      <c r="C699" s="1284"/>
      <c r="D699" s="1364"/>
      <c r="E699" s="1364"/>
      <c r="F699" s="1364"/>
      <c r="G699" s="1365"/>
      <c r="H699" s="1333"/>
      <c r="I699" s="1333"/>
      <c r="J699" s="1333"/>
      <c r="K699" s="1333"/>
      <c r="L699" s="1333"/>
      <c r="M699" s="1333"/>
      <c r="N699" s="1333"/>
      <c r="O699" s="1333"/>
      <c r="P699" s="1333"/>
      <c r="Q699" s="1333"/>
      <c r="R699" s="1333"/>
      <c r="S699" s="1449"/>
      <c r="T699" s="1284"/>
      <c r="U699" s="1333"/>
      <c r="V699" s="1333"/>
      <c r="W699" s="1333"/>
      <c r="X699" s="1333"/>
      <c r="Y699" s="1333"/>
      <c r="Z699" s="1333"/>
      <c r="AA699" s="1333"/>
      <c r="AB699" s="1333"/>
      <c r="AC699" s="1333"/>
      <c r="AD699" s="1333"/>
      <c r="AE699" s="1333"/>
      <c r="AF699" s="1333"/>
      <c r="AG699" s="1333"/>
      <c r="AH699" s="1333"/>
      <c r="AI699" s="1333"/>
      <c r="AJ699" s="1333"/>
    </row>
    <row r="700" spans="1:36" x14ac:dyDescent="0.25">
      <c r="A700" s="1331"/>
      <c r="B700" s="1284"/>
      <c r="C700" s="1284"/>
      <c r="D700" s="1364"/>
      <c r="E700" s="1364"/>
      <c r="F700" s="1364"/>
      <c r="G700" s="1365"/>
      <c r="H700" s="1333"/>
      <c r="I700" s="1333"/>
      <c r="J700" s="1333"/>
      <c r="K700" s="1333"/>
      <c r="L700" s="1333"/>
      <c r="M700" s="1333"/>
      <c r="N700" s="1333"/>
      <c r="O700" s="1333"/>
      <c r="P700" s="1333"/>
      <c r="Q700" s="1333"/>
      <c r="R700" s="1333"/>
      <c r="S700" s="1449"/>
      <c r="T700" s="1333"/>
      <c r="U700" s="1333"/>
      <c r="V700" s="1333"/>
      <c r="W700" s="1333"/>
      <c r="X700" s="1333"/>
      <c r="Y700" s="1333"/>
      <c r="Z700" s="1333"/>
      <c r="AA700" s="1333"/>
      <c r="AB700" s="1333"/>
      <c r="AC700" s="1333"/>
      <c r="AD700" s="1333"/>
      <c r="AE700" s="1333"/>
      <c r="AF700" s="1333"/>
      <c r="AG700" s="1333"/>
      <c r="AH700" s="1333"/>
      <c r="AI700" s="1333"/>
      <c r="AJ700" s="1333"/>
    </row>
    <row r="701" spans="1:36" x14ac:dyDescent="0.25">
      <c r="A701" s="1331"/>
      <c r="B701" s="1284"/>
      <c r="C701" s="1284"/>
      <c r="D701" s="1364"/>
      <c r="E701" s="1364"/>
      <c r="F701" s="1364"/>
      <c r="G701" s="1365"/>
      <c r="H701" s="1333"/>
      <c r="I701" s="1333"/>
      <c r="J701" s="1333"/>
      <c r="K701" s="1333"/>
      <c r="L701" s="1333"/>
      <c r="M701" s="1333"/>
      <c r="N701" s="1333"/>
      <c r="O701" s="1333"/>
      <c r="P701" s="1333"/>
      <c r="Q701" s="1333"/>
      <c r="R701" s="1333"/>
      <c r="S701" s="1449"/>
      <c r="T701" s="1333"/>
      <c r="U701" s="1333"/>
      <c r="V701" s="1333"/>
      <c r="W701" s="1333"/>
      <c r="X701" s="1333"/>
      <c r="Y701" s="1333"/>
      <c r="Z701" s="1333"/>
      <c r="AA701" s="1333"/>
      <c r="AB701" s="1333"/>
      <c r="AC701" s="1333"/>
      <c r="AD701" s="1333"/>
      <c r="AE701" s="1333"/>
      <c r="AF701" s="1333"/>
      <c r="AG701" s="1333"/>
      <c r="AH701" s="1333"/>
      <c r="AI701" s="1333"/>
      <c r="AJ701" s="1333"/>
    </row>
    <row r="702" spans="1:36" x14ac:dyDescent="0.25">
      <c r="A702" s="1331"/>
      <c r="B702" s="1284"/>
      <c r="C702" s="1284"/>
      <c r="D702" s="1364"/>
      <c r="E702" s="1364"/>
      <c r="F702" s="1364"/>
      <c r="G702" s="1365"/>
      <c r="H702" s="1333"/>
      <c r="I702" s="1333"/>
      <c r="J702" s="1333"/>
      <c r="K702" s="1333"/>
      <c r="L702" s="1333"/>
      <c r="M702" s="1333"/>
      <c r="N702" s="1333"/>
      <c r="O702" s="1333"/>
      <c r="P702" s="1333"/>
      <c r="Q702" s="1333"/>
      <c r="R702" s="1333"/>
      <c r="S702" s="1449"/>
      <c r="T702" s="1333"/>
      <c r="U702" s="1333"/>
      <c r="V702" s="1333"/>
      <c r="W702" s="1333"/>
      <c r="X702" s="1333"/>
      <c r="Y702" s="1333"/>
      <c r="Z702" s="1333"/>
      <c r="AA702" s="1333"/>
      <c r="AB702" s="1333"/>
      <c r="AC702" s="1333"/>
      <c r="AD702" s="1333"/>
      <c r="AE702" s="1333"/>
      <c r="AF702" s="1333"/>
      <c r="AG702" s="1333"/>
      <c r="AH702" s="1333"/>
      <c r="AI702" s="1333"/>
      <c r="AJ702" s="1333"/>
    </row>
    <row r="703" spans="1:36" x14ac:dyDescent="0.25">
      <c r="A703" s="1331"/>
      <c r="B703" s="1284"/>
      <c r="C703" s="1284"/>
      <c r="D703" s="1364"/>
      <c r="E703" s="1364"/>
      <c r="F703" s="1364"/>
      <c r="G703" s="1365"/>
      <c r="H703" s="1333"/>
      <c r="I703" s="1333"/>
      <c r="J703" s="1333"/>
      <c r="K703" s="1333"/>
      <c r="L703" s="1333"/>
      <c r="M703" s="1333"/>
      <c r="N703" s="1333"/>
      <c r="O703" s="1333"/>
      <c r="P703" s="1333"/>
      <c r="Q703" s="1333"/>
      <c r="R703" s="1333"/>
      <c r="S703" s="1449"/>
      <c r="T703" s="1333"/>
      <c r="U703" s="1333"/>
      <c r="V703" s="1333"/>
      <c r="W703" s="1333"/>
      <c r="X703" s="1333"/>
      <c r="Y703" s="1333"/>
      <c r="Z703" s="1333"/>
      <c r="AA703" s="1333"/>
      <c r="AB703" s="1333"/>
      <c r="AC703" s="1333"/>
      <c r="AD703" s="1333"/>
      <c r="AE703" s="1333"/>
      <c r="AF703" s="1333"/>
      <c r="AG703" s="1333"/>
      <c r="AH703" s="1333"/>
      <c r="AI703" s="1333"/>
      <c r="AJ703" s="1333"/>
    </row>
    <row r="704" spans="1:36" x14ac:dyDescent="0.25">
      <c r="A704" s="1331"/>
      <c r="B704" s="1284"/>
      <c r="C704" s="1284"/>
      <c r="D704" s="1364"/>
      <c r="E704" s="1364"/>
      <c r="F704" s="1364"/>
      <c r="G704" s="1365"/>
      <c r="H704" s="1333"/>
      <c r="I704" s="1333"/>
      <c r="J704" s="1333"/>
      <c r="K704" s="1333"/>
      <c r="L704" s="1333"/>
      <c r="M704" s="1333"/>
      <c r="N704" s="1333"/>
      <c r="O704" s="1333"/>
      <c r="P704" s="1333"/>
      <c r="Q704" s="1333"/>
      <c r="R704" s="1333"/>
      <c r="S704" s="1449"/>
      <c r="T704" s="1333"/>
      <c r="U704" s="1333"/>
      <c r="V704" s="1333"/>
      <c r="W704" s="1333"/>
      <c r="X704" s="1333"/>
      <c r="Y704" s="1333"/>
      <c r="Z704" s="1333"/>
      <c r="AA704" s="1333"/>
      <c r="AB704" s="1333"/>
      <c r="AC704" s="1333"/>
      <c r="AD704" s="1333"/>
      <c r="AE704" s="1333"/>
      <c r="AF704" s="1333"/>
      <c r="AG704" s="1333"/>
      <c r="AH704" s="1333"/>
      <c r="AI704" s="1333"/>
      <c r="AJ704" s="1333"/>
    </row>
    <row r="705" spans="1:36" x14ac:dyDescent="0.25">
      <c r="A705" s="1331"/>
      <c r="B705" s="1284"/>
      <c r="C705" s="1284"/>
      <c r="D705" s="1364"/>
      <c r="E705" s="1364"/>
      <c r="F705" s="1364"/>
      <c r="G705" s="1365"/>
      <c r="H705" s="1333"/>
      <c r="I705" s="1333"/>
      <c r="J705" s="1333"/>
      <c r="K705" s="1333"/>
      <c r="L705" s="1333"/>
      <c r="M705" s="1333"/>
      <c r="N705" s="1333"/>
      <c r="O705" s="1333"/>
      <c r="P705" s="1333"/>
      <c r="Q705" s="1333"/>
      <c r="R705" s="1333"/>
      <c r="S705" s="1449"/>
      <c r="T705" s="1333"/>
      <c r="U705" s="1333"/>
      <c r="V705" s="1333"/>
      <c r="W705" s="1333"/>
      <c r="X705" s="1333"/>
      <c r="Y705" s="1333"/>
      <c r="Z705" s="1333"/>
      <c r="AA705" s="1333"/>
      <c r="AB705" s="1333"/>
      <c r="AC705" s="1333"/>
      <c r="AD705" s="1333"/>
      <c r="AE705" s="1333"/>
      <c r="AF705" s="1333"/>
      <c r="AG705" s="1333"/>
      <c r="AH705" s="1333"/>
      <c r="AI705" s="1333"/>
      <c r="AJ705" s="1333"/>
    </row>
    <row r="706" spans="1:36" x14ac:dyDescent="0.25">
      <c r="A706" s="1331"/>
      <c r="B706" s="1284"/>
      <c r="C706" s="1284"/>
      <c r="D706" s="1364"/>
      <c r="E706" s="1364"/>
      <c r="F706" s="1364"/>
      <c r="G706" s="1365"/>
      <c r="H706" s="1333"/>
      <c r="I706" s="1333"/>
      <c r="J706" s="1333"/>
      <c r="K706" s="1333"/>
      <c r="L706" s="1333"/>
      <c r="M706" s="1333"/>
      <c r="N706" s="1333"/>
      <c r="O706" s="1333"/>
      <c r="P706" s="1333"/>
      <c r="Q706" s="1333"/>
      <c r="R706" s="1333"/>
      <c r="S706" s="1449"/>
      <c r="T706" s="1333"/>
      <c r="U706" s="1333"/>
      <c r="V706" s="1333"/>
      <c r="W706" s="1333"/>
      <c r="X706" s="1333"/>
      <c r="Y706" s="1333"/>
      <c r="Z706" s="1333"/>
      <c r="AA706" s="1333"/>
      <c r="AB706" s="1333"/>
      <c r="AC706" s="1333"/>
      <c r="AD706" s="1333"/>
      <c r="AE706" s="1333"/>
      <c r="AF706" s="1333"/>
      <c r="AG706" s="1333"/>
      <c r="AH706" s="1333"/>
      <c r="AI706" s="1333"/>
      <c r="AJ706" s="1333"/>
    </row>
    <row r="707" spans="1:36" x14ac:dyDescent="0.25">
      <c r="A707" s="1331"/>
      <c r="B707" s="1284"/>
      <c r="C707" s="1284"/>
      <c r="D707" s="1364"/>
      <c r="E707" s="1364"/>
      <c r="F707" s="1364"/>
      <c r="G707" s="1365"/>
      <c r="H707" s="1333"/>
      <c r="I707" s="1333"/>
      <c r="J707" s="1333"/>
      <c r="K707" s="1333"/>
      <c r="L707" s="1333"/>
      <c r="M707" s="1333"/>
      <c r="N707" s="1333"/>
      <c r="O707" s="1333"/>
      <c r="P707" s="1333"/>
      <c r="Q707" s="1333"/>
      <c r="R707" s="1333"/>
      <c r="S707" s="1449"/>
      <c r="T707" s="1333"/>
      <c r="U707" s="1333"/>
      <c r="V707" s="1333"/>
      <c r="W707" s="1333"/>
      <c r="X707" s="1333"/>
      <c r="Y707" s="1333"/>
      <c r="Z707" s="1333"/>
      <c r="AA707" s="1333"/>
      <c r="AB707" s="1333"/>
      <c r="AC707" s="1333"/>
      <c r="AD707" s="1333"/>
      <c r="AE707" s="1333"/>
      <c r="AF707" s="1333"/>
      <c r="AG707" s="1333"/>
      <c r="AH707" s="1333"/>
      <c r="AI707" s="1333"/>
      <c r="AJ707" s="1333"/>
    </row>
    <row r="708" spans="1:36" x14ac:dyDescent="0.25">
      <c r="A708" s="1331"/>
      <c r="B708" s="1284"/>
      <c r="C708" s="1284"/>
      <c r="D708" s="1364"/>
      <c r="E708" s="1364"/>
      <c r="F708" s="1364"/>
      <c r="G708" s="1365"/>
      <c r="H708" s="1333"/>
      <c r="I708" s="1333"/>
      <c r="J708" s="1333"/>
      <c r="K708" s="1333"/>
      <c r="L708" s="1333"/>
      <c r="M708" s="1333"/>
      <c r="N708" s="1333"/>
      <c r="O708" s="1333"/>
      <c r="P708" s="1333"/>
      <c r="Q708" s="1333"/>
      <c r="R708" s="1333"/>
      <c r="S708" s="1449"/>
      <c r="T708" s="1333"/>
      <c r="U708" s="1333"/>
      <c r="V708" s="1333"/>
      <c r="W708" s="1333"/>
      <c r="X708" s="1333"/>
      <c r="Y708" s="1333"/>
      <c r="Z708" s="1333"/>
      <c r="AA708" s="1333"/>
      <c r="AB708" s="1333"/>
      <c r="AC708" s="1333"/>
      <c r="AD708" s="1333"/>
      <c r="AE708" s="1333"/>
      <c r="AF708" s="1333"/>
      <c r="AG708" s="1333"/>
      <c r="AH708" s="1333"/>
      <c r="AI708" s="1333"/>
      <c r="AJ708" s="1333"/>
    </row>
    <row r="709" spans="1:36" x14ac:dyDescent="0.25">
      <c r="A709" s="1331"/>
      <c r="B709" s="1284"/>
      <c r="C709" s="1284"/>
      <c r="D709" s="1364"/>
      <c r="E709" s="1364"/>
      <c r="F709" s="1364"/>
      <c r="G709" s="1365"/>
      <c r="H709" s="1333"/>
      <c r="I709" s="1333"/>
      <c r="J709" s="1333"/>
      <c r="K709" s="1333"/>
      <c r="L709" s="1333"/>
      <c r="M709" s="1333"/>
      <c r="N709" s="1333"/>
      <c r="O709" s="1333"/>
      <c r="P709" s="1333"/>
      <c r="Q709" s="1333"/>
      <c r="R709" s="1333"/>
      <c r="S709" s="1449"/>
      <c r="T709" s="1333"/>
      <c r="U709" s="1333"/>
      <c r="V709" s="1333"/>
      <c r="W709" s="1333"/>
      <c r="X709" s="1333"/>
      <c r="Y709" s="1333"/>
      <c r="Z709" s="1333"/>
      <c r="AA709" s="1333"/>
      <c r="AB709" s="1333"/>
      <c r="AC709" s="1333"/>
      <c r="AD709" s="1333"/>
      <c r="AE709" s="1333"/>
      <c r="AF709" s="1333"/>
      <c r="AG709" s="1333"/>
      <c r="AH709" s="1333"/>
      <c r="AI709" s="1333"/>
      <c r="AJ709" s="1333"/>
    </row>
    <row r="710" spans="1:36" x14ac:dyDescent="0.25">
      <c r="A710" s="1331"/>
      <c r="B710" s="1284"/>
      <c r="C710" s="1284"/>
      <c r="D710" s="1364"/>
      <c r="E710" s="1364"/>
      <c r="F710" s="1364"/>
      <c r="G710" s="1365"/>
      <c r="H710" s="1333"/>
      <c r="I710" s="1333"/>
      <c r="J710" s="1333"/>
      <c r="K710" s="1333"/>
      <c r="L710" s="1333"/>
      <c r="M710" s="1333"/>
      <c r="N710" s="1333"/>
      <c r="O710" s="1333"/>
      <c r="P710" s="1333"/>
      <c r="Q710" s="1333"/>
      <c r="R710" s="1333"/>
      <c r="S710" s="1449"/>
      <c r="T710" s="1333"/>
      <c r="U710" s="1333"/>
      <c r="V710" s="1333"/>
      <c r="W710" s="1333"/>
      <c r="X710" s="1333"/>
      <c r="Y710" s="1333"/>
      <c r="Z710" s="1333"/>
      <c r="AA710" s="1333"/>
      <c r="AB710" s="1333"/>
      <c r="AC710" s="1333"/>
      <c r="AD710" s="1333"/>
      <c r="AE710" s="1333"/>
      <c r="AF710" s="1333"/>
      <c r="AG710" s="1333"/>
      <c r="AH710" s="1333"/>
      <c r="AI710" s="1333"/>
      <c r="AJ710" s="1333"/>
    </row>
    <row r="711" spans="1:36" x14ac:dyDescent="0.25">
      <c r="A711" s="1331"/>
      <c r="B711" s="1284"/>
      <c r="C711" s="1284"/>
      <c r="D711" s="1364"/>
      <c r="E711" s="1364"/>
      <c r="F711" s="1364"/>
      <c r="G711" s="1365"/>
      <c r="H711" s="1333"/>
      <c r="I711" s="1333"/>
      <c r="J711" s="1333"/>
      <c r="K711" s="1333"/>
      <c r="L711" s="1333"/>
      <c r="M711" s="1333"/>
      <c r="N711" s="1333"/>
      <c r="O711" s="1333"/>
      <c r="P711" s="1333"/>
      <c r="Q711" s="1333"/>
      <c r="R711" s="1333"/>
      <c r="S711" s="1449"/>
      <c r="T711" s="1333"/>
      <c r="U711" s="1333"/>
      <c r="V711" s="1333"/>
      <c r="W711" s="1333"/>
      <c r="X711" s="1333"/>
      <c r="Y711" s="1333"/>
      <c r="Z711" s="1333"/>
      <c r="AA711" s="1333"/>
      <c r="AB711" s="1333"/>
      <c r="AC711" s="1333"/>
      <c r="AD711" s="1333"/>
      <c r="AE711" s="1333"/>
      <c r="AF711" s="1333"/>
      <c r="AG711" s="1333"/>
      <c r="AH711" s="1333"/>
      <c r="AI711" s="1333"/>
      <c r="AJ711" s="1333"/>
    </row>
    <row r="712" spans="1:36" x14ac:dyDescent="0.25">
      <c r="A712" s="1331"/>
      <c r="B712" s="1284"/>
      <c r="C712" s="1284"/>
      <c r="D712" s="1364"/>
      <c r="E712" s="1364"/>
      <c r="F712" s="1364"/>
      <c r="G712" s="1365"/>
      <c r="H712" s="1333"/>
      <c r="I712" s="1333"/>
      <c r="J712" s="1333"/>
      <c r="K712" s="1333"/>
      <c r="L712" s="1333"/>
      <c r="M712" s="1333"/>
      <c r="N712" s="1333"/>
      <c r="O712" s="1333"/>
      <c r="P712" s="1333"/>
      <c r="Q712" s="1333"/>
      <c r="R712" s="1333"/>
      <c r="S712" s="1449"/>
      <c r="T712" s="1333"/>
      <c r="U712" s="1333"/>
      <c r="V712" s="1333"/>
      <c r="W712" s="1333"/>
      <c r="X712" s="1333"/>
      <c r="Y712" s="1333"/>
      <c r="Z712" s="1333"/>
      <c r="AA712" s="1333"/>
      <c r="AB712" s="1333"/>
      <c r="AC712" s="1333"/>
      <c r="AD712" s="1333"/>
      <c r="AE712" s="1333"/>
      <c r="AF712" s="1333"/>
      <c r="AG712" s="1333"/>
      <c r="AH712" s="1333"/>
      <c r="AI712" s="1333"/>
      <c r="AJ712" s="1333"/>
    </row>
    <row r="713" spans="1:36" x14ac:dyDescent="0.25">
      <c r="A713" s="1331"/>
      <c r="B713" s="1284"/>
      <c r="C713" s="1284"/>
      <c r="D713" s="1364"/>
      <c r="E713" s="1364"/>
      <c r="F713" s="1364"/>
      <c r="G713" s="1365"/>
      <c r="H713" s="1333"/>
      <c r="I713" s="1333"/>
      <c r="J713" s="1333"/>
      <c r="K713" s="1333"/>
      <c r="L713" s="1333"/>
      <c r="M713" s="1333"/>
      <c r="N713" s="1333"/>
      <c r="O713" s="1333"/>
      <c r="P713" s="1333"/>
      <c r="Q713" s="1333"/>
      <c r="R713" s="1333"/>
      <c r="S713" s="1449"/>
      <c r="T713" s="1333"/>
      <c r="U713" s="1333"/>
      <c r="V713" s="1333"/>
      <c r="W713" s="1333"/>
      <c r="X713" s="1333"/>
      <c r="Y713" s="1333"/>
      <c r="Z713" s="1333"/>
      <c r="AA713" s="1333"/>
      <c r="AB713" s="1333"/>
      <c r="AC713" s="1333"/>
      <c r="AD713" s="1333"/>
      <c r="AE713" s="1333"/>
      <c r="AF713" s="1333"/>
      <c r="AG713" s="1333"/>
      <c r="AH713" s="1333"/>
      <c r="AI713" s="1333"/>
      <c r="AJ713" s="1333"/>
    </row>
    <row r="714" spans="1:36" x14ac:dyDescent="0.25">
      <c r="A714" s="1331"/>
      <c r="B714" s="1284"/>
      <c r="C714" s="1284"/>
      <c r="D714" s="1364"/>
      <c r="E714" s="1364"/>
      <c r="F714" s="1364"/>
      <c r="G714" s="1365"/>
      <c r="H714" s="1333"/>
      <c r="I714" s="1333"/>
      <c r="J714" s="1333"/>
      <c r="K714" s="1333"/>
      <c r="L714" s="1333"/>
      <c r="M714" s="1333"/>
      <c r="N714" s="1333"/>
      <c r="O714" s="1333"/>
      <c r="P714" s="1333"/>
      <c r="Q714" s="1333"/>
      <c r="R714" s="1333"/>
      <c r="S714" s="1449"/>
      <c r="T714" s="1333"/>
      <c r="U714" s="1333"/>
      <c r="V714" s="1333"/>
      <c r="W714" s="1333"/>
      <c r="X714" s="1333"/>
      <c r="Y714" s="1333"/>
      <c r="Z714" s="1333"/>
      <c r="AA714" s="1333"/>
      <c r="AB714" s="1333"/>
      <c r="AC714" s="1333"/>
      <c r="AD714" s="1333"/>
      <c r="AE714" s="1333"/>
      <c r="AF714" s="1333"/>
      <c r="AG714" s="1333"/>
      <c r="AH714" s="1333"/>
      <c r="AI714" s="1333"/>
      <c r="AJ714" s="1333"/>
    </row>
    <row r="715" spans="1:36" x14ac:dyDescent="0.25">
      <c r="A715" s="1331"/>
      <c r="B715" s="1284"/>
      <c r="C715" s="1284"/>
      <c r="D715" s="1364"/>
      <c r="E715" s="1364"/>
      <c r="F715" s="1364"/>
      <c r="G715" s="1365"/>
      <c r="H715" s="1333"/>
      <c r="I715" s="1333"/>
      <c r="J715" s="1333"/>
      <c r="K715" s="1333"/>
      <c r="L715" s="1333"/>
      <c r="M715" s="1333"/>
      <c r="N715" s="1333"/>
      <c r="O715" s="1333"/>
      <c r="P715" s="1333"/>
      <c r="Q715" s="1333"/>
      <c r="R715" s="1333"/>
      <c r="S715" s="1449"/>
      <c r="T715" s="1333"/>
      <c r="U715" s="1333"/>
      <c r="V715" s="1333"/>
      <c r="W715" s="1333"/>
      <c r="X715" s="1333"/>
      <c r="Y715" s="1333"/>
      <c r="Z715" s="1333"/>
      <c r="AA715" s="1333"/>
      <c r="AB715" s="1333"/>
      <c r="AC715" s="1333"/>
      <c r="AD715" s="1333"/>
      <c r="AE715" s="1333"/>
      <c r="AF715" s="1333"/>
      <c r="AG715" s="1333"/>
      <c r="AH715" s="1333"/>
      <c r="AI715" s="1333"/>
      <c r="AJ715" s="1333"/>
    </row>
    <row r="716" spans="1:36" x14ac:dyDescent="0.25">
      <c r="A716" s="1331"/>
      <c r="B716" s="1284"/>
      <c r="C716" s="1284"/>
      <c r="D716" s="1364"/>
      <c r="E716" s="1364"/>
      <c r="F716" s="1364"/>
      <c r="G716" s="1365"/>
      <c r="H716" s="1333"/>
      <c r="I716" s="1333"/>
      <c r="J716" s="1333"/>
      <c r="K716" s="1333"/>
      <c r="L716" s="1333"/>
      <c r="M716" s="1333"/>
      <c r="N716" s="1333"/>
      <c r="O716" s="1333"/>
      <c r="P716" s="1333"/>
      <c r="Q716" s="1333"/>
      <c r="R716" s="1333"/>
      <c r="S716" s="1449"/>
      <c r="T716" s="1333"/>
      <c r="U716" s="1333"/>
      <c r="V716" s="1333"/>
      <c r="W716" s="1333"/>
      <c r="X716" s="1333"/>
      <c r="Y716" s="1333"/>
      <c r="Z716" s="1333"/>
      <c r="AA716" s="1333"/>
      <c r="AB716" s="1333"/>
      <c r="AC716" s="1333"/>
      <c r="AD716" s="1333"/>
      <c r="AE716" s="1333"/>
      <c r="AF716" s="1333"/>
      <c r="AG716" s="1333"/>
      <c r="AH716" s="1333"/>
      <c r="AI716" s="1333"/>
      <c r="AJ716" s="1333"/>
    </row>
    <row r="717" spans="1:36" x14ac:dyDescent="0.25">
      <c r="A717" s="1331"/>
      <c r="B717" s="1284"/>
      <c r="C717" s="1284"/>
      <c r="D717" s="1364"/>
      <c r="E717" s="1364"/>
      <c r="F717" s="1364"/>
      <c r="G717" s="1365"/>
      <c r="H717" s="1333"/>
      <c r="I717" s="1333"/>
      <c r="J717" s="1333"/>
      <c r="K717" s="1333"/>
      <c r="L717" s="1333"/>
      <c r="M717" s="1333"/>
      <c r="N717" s="1333"/>
      <c r="O717" s="1333"/>
      <c r="P717" s="1333"/>
      <c r="Q717" s="1333"/>
      <c r="R717" s="1333"/>
      <c r="S717" s="1449"/>
      <c r="T717" s="1333"/>
      <c r="U717" s="1333"/>
      <c r="V717" s="1333"/>
      <c r="W717" s="1333"/>
      <c r="X717" s="1333"/>
      <c r="Y717" s="1333"/>
      <c r="Z717" s="1333"/>
      <c r="AA717" s="1333"/>
      <c r="AB717" s="1333"/>
      <c r="AC717" s="1333"/>
      <c r="AD717" s="1333"/>
      <c r="AE717" s="1333"/>
      <c r="AF717" s="1333"/>
      <c r="AG717" s="1333"/>
      <c r="AH717" s="1333"/>
      <c r="AI717" s="1333"/>
      <c r="AJ717" s="1333"/>
    </row>
    <row r="718" spans="1:36" x14ac:dyDescent="0.25">
      <c r="A718" s="1331"/>
      <c r="B718" s="1284"/>
      <c r="C718" s="1284"/>
      <c r="D718" s="1364"/>
      <c r="E718" s="1364"/>
      <c r="F718" s="1364"/>
      <c r="G718" s="1365"/>
      <c r="H718" s="1333"/>
      <c r="I718" s="1333"/>
      <c r="J718" s="1333"/>
      <c r="K718" s="1333"/>
      <c r="L718" s="1333"/>
      <c r="M718" s="1333"/>
      <c r="N718" s="1333"/>
      <c r="O718" s="1333"/>
      <c r="P718" s="1333"/>
      <c r="Q718" s="1333"/>
      <c r="R718" s="1333"/>
      <c r="S718" s="1449"/>
      <c r="T718" s="1333"/>
      <c r="U718" s="1333"/>
      <c r="V718" s="1333"/>
      <c r="W718" s="1333"/>
      <c r="X718" s="1333"/>
      <c r="Y718" s="1333"/>
      <c r="Z718" s="1333"/>
      <c r="AA718" s="1333"/>
      <c r="AB718" s="1333"/>
      <c r="AC718" s="1333"/>
      <c r="AD718" s="1333"/>
      <c r="AE718" s="1333"/>
      <c r="AF718" s="1333"/>
      <c r="AG718" s="1333"/>
      <c r="AH718" s="1333"/>
      <c r="AI718" s="1333"/>
      <c r="AJ718" s="1333"/>
    </row>
    <row r="719" spans="1:36" x14ac:dyDescent="0.25">
      <c r="A719" s="1331"/>
      <c r="B719" s="1284"/>
      <c r="C719" s="1284"/>
      <c r="D719" s="1364"/>
      <c r="E719" s="1364"/>
      <c r="F719" s="1364"/>
      <c r="G719" s="1365"/>
      <c r="H719" s="1333"/>
      <c r="I719" s="1333"/>
      <c r="J719" s="1333"/>
      <c r="K719" s="1333"/>
      <c r="L719" s="1333"/>
      <c r="M719" s="1333"/>
      <c r="N719" s="1333"/>
      <c r="O719" s="1333"/>
      <c r="P719" s="1333"/>
      <c r="Q719" s="1333"/>
      <c r="R719" s="1333"/>
      <c r="S719" s="1449"/>
      <c r="T719" s="1333"/>
      <c r="U719" s="1333"/>
      <c r="V719" s="1333"/>
      <c r="W719" s="1333"/>
      <c r="X719" s="1333"/>
      <c r="Y719" s="1333"/>
      <c r="Z719" s="1333"/>
      <c r="AA719" s="1333"/>
      <c r="AB719" s="1333"/>
      <c r="AC719" s="1333"/>
      <c r="AD719" s="1333"/>
      <c r="AE719" s="1333"/>
      <c r="AF719" s="1333"/>
      <c r="AG719" s="1333"/>
      <c r="AH719" s="1333"/>
      <c r="AI719" s="1333"/>
      <c r="AJ719" s="1333"/>
    </row>
    <row r="720" spans="1:36" x14ac:dyDescent="0.25">
      <c r="A720" s="1331"/>
      <c r="B720" s="1284"/>
      <c r="C720" s="1284"/>
      <c r="D720" s="1364"/>
      <c r="E720" s="1364"/>
      <c r="F720" s="1364"/>
      <c r="G720" s="1365"/>
      <c r="H720" s="1333"/>
      <c r="I720" s="1333"/>
      <c r="J720" s="1333"/>
      <c r="K720" s="1333"/>
      <c r="L720" s="1333"/>
      <c r="M720" s="1333"/>
      <c r="N720" s="1333"/>
      <c r="O720" s="1333"/>
      <c r="P720" s="1333"/>
      <c r="Q720" s="1333"/>
      <c r="R720" s="1333"/>
      <c r="S720" s="1449"/>
      <c r="T720" s="1333"/>
      <c r="U720" s="1333"/>
      <c r="V720" s="1333"/>
      <c r="W720" s="1333"/>
      <c r="X720" s="1333"/>
      <c r="Y720" s="1333"/>
      <c r="Z720" s="1333"/>
      <c r="AA720" s="1333"/>
      <c r="AB720" s="1333"/>
      <c r="AC720" s="1333"/>
      <c r="AD720" s="1333"/>
      <c r="AE720" s="1333"/>
      <c r="AF720" s="1333"/>
      <c r="AG720" s="1333"/>
      <c r="AH720" s="1333"/>
      <c r="AI720" s="1333"/>
      <c r="AJ720" s="1333"/>
    </row>
    <row r="721" spans="1:36" x14ac:dyDescent="0.25">
      <c r="A721" s="1331"/>
      <c r="B721" s="1284"/>
      <c r="C721" s="1284"/>
      <c r="D721" s="1364"/>
      <c r="E721" s="1364"/>
      <c r="F721" s="1364"/>
      <c r="G721" s="1365"/>
      <c r="H721" s="1333"/>
      <c r="I721" s="1333"/>
      <c r="J721" s="1333"/>
      <c r="K721" s="1333"/>
      <c r="L721" s="1333"/>
      <c r="M721" s="1333"/>
      <c r="N721" s="1333"/>
      <c r="O721" s="1333"/>
      <c r="P721" s="1333"/>
      <c r="Q721" s="1333"/>
      <c r="R721" s="1333"/>
      <c r="S721" s="1449"/>
      <c r="T721" s="1333"/>
      <c r="U721" s="1333"/>
      <c r="V721" s="1333"/>
      <c r="W721" s="1333"/>
      <c r="X721" s="1333"/>
      <c r="Y721" s="1333"/>
      <c r="Z721" s="1333"/>
      <c r="AA721" s="1333"/>
      <c r="AB721" s="1333"/>
      <c r="AC721" s="1333"/>
      <c r="AD721" s="1333"/>
      <c r="AE721" s="1333"/>
      <c r="AF721" s="1333"/>
      <c r="AG721" s="1333"/>
      <c r="AH721" s="1333"/>
      <c r="AI721" s="1333"/>
      <c r="AJ721" s="1333"/>
    </row>
    <row r="722" spans="1:36" x14ac:dyDescent="0.25">
      <c r="A722" s="1331"/>
      <c r="B722" s="1284"/>
      <c r="C722" s="1284"/>
      <c r="D722" s="1364"/>
      <c r="E722" s="1364"/>
      <c r="F722" s="1364"/>
      <c r="G722" s="1365"/>
      <c r="H722" s="1333"/>
      <c r="I722" s="1333"/>
      <c r="J722" s="1333"/>
      <c r="K722" s="1333"/>
      <c r="L722" s="1333"/>
      <c r="M722" s="1333"/>
      <c r="N722" s="1333"/>
      <c r="O722" s="1333"/>
      <c r="P722" s="1333"/>
      <c r="Q722" s="1333"/>
      <c r="R722" s="1333"/>
      <c r="S722" s="1449"/>
      <c r="T722" s="1333"/>
      <c r="U722" s="1333"/>
      <c r="V722" s="1333"/>
      <c r="W722" s="1333"/>
      <c r="X722" s="1333"/>
      <c r="Y722" s="1333"/>
      <c r="Z722" s="1333"/>
      <c r="AA722" s="1333"/>
      <c r="AB722" s="1333"/>
      <c r="AC722" s="1333"/>
      <c r="AD722" s="1333"/>
      <c r="AE722" s="1333"/>
      <c r="AF722" s="1333"/>
      <c r="AG722" s="1333"/>
      <c r="AH722" s="1333"/>
      <c r="AI722" s="1333"/>
      <c r="AJ722" s="1333"/>
    </row>
    <row r="723" spans="1:36" x14ac:dyDescent="0.25">
      <c r="A723" s="1331"/>
      <c r="B723" s="1284"/>
      <c r="C723" s="1284"/>
      <c r="D723" s="1364"/>
      <c r="E723" s="1364"/>
      <c r="F723" s="1364"/>
      <c r="G723" s="1365"/>
      <c r="H723" s="1333"/>
      <c r="I723" s="1333"/>
      <c r="J723" s="1333"/>
      <c r="K723" s="1333"/>
      <c r="L723" s="1333"/>
      <c r="M723" s="1333"/>
      <c r="N723" s="1333"/>
      <c r="O723" s="1333"/>
      <c r="P723" s="1333"/>
      <c r="Q723" s="1333"/>
      <c r="R723" s="1333"/>
      <c r="S723" s="1449"/>
      <c r="T723" s="1333"/>
      <c r="U723" s="1333"/>
      <c r="V723" s="1333"/>
      <c r="W723" s="1333"/>
      <c r="X723" s="1333"/>
      <c r="Y723" s="1333"/>
      <c r="Z723" s="1333"/>
      <c r="AA723" s="1333"/>
      <c r="AB723" s="1333"/>
      <c r="AC723" s="1333"/>
      <c r="AD723" s="1333"/>
      <c r="AE723" s="1333"/>
      <c r="AF723" s="1333"/>
      <c r="AG723" s="1333"/>
      <c r="AH723" s="1333"/>
      <c r="AI723" s="1333"/>
      <c r="AJ723" s="1333"/>
    </row>
    <row r="724" spans="1:36" x14ac:dyDescent="0.25">
      <c r="A724" s="1331"/>
      <c r="B724" s="1284"/>
      <c r="C724" s="1284"/>
      <c r="D724" s="1364"/>
      <c r="E724" s="1364"/>
      <c r="F724" s="1364"/>
      <c r="G724" s="1365"/>
      <c r="H724" s="1333"/>
      <c r="I724" s="1333"/>
      <c r="J724" s="1333"/>
      <c r="K724" s="1333"/>
      <c r="L724" s="1333"/>
      <c r="M724" s="1333"/>
      <c r="N724" s="1333"/>
      <c r="O724" s="1333"/>
      <c r="P724" s="1333"/>
      <c r="Q724" s="1333"/>
      <c r="R724" s="1333"/>
      <c r="S724" s="1449"/>
      <c r="T724" s="1333"/>
      <c r="U724" s="1333"/>
      <c r="V724" s="1333"/>
      <c r="W724" s="1333"/>
      <c r="X724" s="1333"/>
      <c r="Y724" s="1333"/>
      <c r="Z724" s="1333"/>
      <c r="AA724" s="1333"/>
      <c r="AB724" s="1333"/>
      <c r="AC724" s="1333"/>
      <c r="AD724" s="1333"/>
      <c r="AE724" s="1333"/>
      <c r="AF724" s="1333"/>
      <c r="AG724" s="1333"/>
      <c r="AH724" s="1333"/>
      <c r="AI724" s="1333"/>
      <c r="AJ724" s="1333"/>
    </row>
    <row r="725" spans="1:36" x14ac:dyDescent="0.25">
      <c r="A725" s="1331"/>
      <c r="B725" s="1284"/>
      <c r="C725" s="1284"/>
      <c r="D725" s="1364"/>
      <c r="E725" s="1364"/>
      <c r="F725" s="1364"/>
      <c r="G725" s="1365"/>
      <c r="H725" s="1333"/>
      <c r="I725" s="1333"/>
      <c r="J725" s="1333"/>
      <c r="K725" s="1333"/>
      <c r="L725" s="1333"/>
      <c r="M725" s="1333"/>
      <c r="N725" s="1333"/>
      <c r="O725" s="1333"/>
      <c r="P725" s="1333"/>
      <c r="Q725" s="1333"/>
      <c r="R725" s="1333"/>
      <c r="S725" s="1449"/>
      <c r="T725" s="1333"/>
      <c r="U725" s="1333"/>
      <c r="V725" s="1333"/>
      <c r="W725" s="1333"/>
      <c r="X725" s="1333"/>
      <c r="Y725" s="1333"/>
      <c r="Z725" s="1333"/>
      <c r="AA725" s="1333"/>
      <c r="AB725" s="1333"/>
      <c r="AC725" s="1333"/>
      <c r="AD725" s="1333"/>
      <c r="AE725" s="1333"/>
      <c r="AF725" s="1333"/>
      <c r="AG725" s="1333"/>
      <c r="AH725" s="1333"/>
      <c r="AI725" s="1333"/>
      <c r="AJ725" s="1333"/>
    </row>
    <row r="726" spans="1:36" x14ac:dyDescent="0.25">
      <c r="A726" s="1331"/>
      <c r="B726" s="1284"/>
      <c r="C726" s="1284"/>
      <c r="D726" s="1364"/>
      <c r="E726" s="1364"/>
      <c r="F726" s="1364"/>
      <c r="G726" s="1365"/>
      <c r="H726" s="1333"/>
      <c r="I726" s="1333"/>
      <c r="J726" s="1333"/>
      <c r="K726" s="1333"/>
      <c r="L726" s="1333"/>
      <c r="M726" s="1333"/>
      <c r="N726" s="1333"/>
      <c r="O726" s="1333"/>
      <c r="P726" s="1333"/>
      <c r="Q726" s="1333"/>
      <c r="R726" s="1333"/>
      <c r="S726" s="1449"/>
      <c r="T726" s="1333"/>
      <c r="U726" s="1333"/>
      <c r="V726" s="1333"/>
      <c r="W726" s="1333"/>
      <c r="X726" s="1333"/>
      <c r="Y726" s="1333"/>
      <c r="Z726" s="1333"/>
      <c r="AA726" s="1333"/>
      <c r="AB726" s="1333"/>
      <c r="AC726" s="1333"/>
      <c r="AD726" s="1333"/>
      <c r="AE726" s="1333"/>
      <c r="AF726" s="1333"/>
      <c r="AG726" s="1333"/>
      <c r="AH726" s="1333"/>
      <c r="AI726" s="1333"/>
      <c r="AJ726" s="1333"/>
    </row>
    <row r="727" spans="1:36" x14ac:dyDescent="0.25">
      <c r="A727" s="1331"/>
      <c r="B727" s="1284"/>
      <c r="C727" s="1284"/>
      <c r="D727" s="1364"/>
      <c r="E727" s="1364"/>
      <c r="F727" s="1364"/>
      <c r="G727" s="1365"/>
      <c r="H727" s="1333"/>
      <c r="I727" s="1333"/>
      <c r="J727" s="1333"/>
      <c r="K727" s="1333"/>
      <c r="L727" s="1333"/>
      <c r="M727" s="1333"/>
      <c r="N727" s="1333"/>
      <c r="O727" s="1333"/>
      <c r="P727" s="1333"/>
      <c r="Q727" s="1333"/>
      <c r="R727" s="1333"/>
      <c r="S727" s="1449"/>
      <c r="T727" s="1333"/>
      <c r="U727" s="1333"/>
      <c r="V727" s="1333"/>
      <c r="W727" s="1333"/>
      <c r="X727" s="1333"/>
      <c r="Y727" s="1333"/>
      <c r="Z727" s="1333"/>
      <c r="AA727" s="1333"/>
      <c r="AB727" s="1333"/>
      <c r="AC727" s="1333"/>
      <c r="AD727" s="1333"/>
      <c r="AE727" s="1333"/>
      <c r="AF727" s="1333"/>
      <c r="AG727" s="1333"/>
      <c r="AH727" s="1333"/>
      <c r="AI727" s="1333"/>
      <c r="AJ727" s="1333"/>
    </row>
    <row r="728" spans="1:36" x14ac:dyDescent="0.25">
      <c r="A728" s="1331"/>
      <c r="B728" s="1284"/>
      <c r="C728" s="1284"/>
      <c r="D728" s="1364"/>
      <c r="E728" s="1364"/>
      <c r="F728" s="1364"/>
      <c r="G728" s="1365"/>
      <c r="H728" s="1333"/>
      <c r="I728" s="1333"/>
      <c r="J728" s="1333"/>
      <c r="K728" s="1333"/>
      <c r="L728" s="1333"/>
      <c r="M728" s="1333"/>
      <c r="N728" s="1333"/>
      <c r="O728" s="1333"/>
      <c r="P728" s="1333"/>
      <c r="Q728" s="1333"/>
      <c r="R728" s="1333"/>
      <c r="S728" s="1449"/>
      <c r="T728" s="1333"/>
      <c r="U728" s="1333"/>
      <c r="V728" s="1333"/>
      <c r="W728" s="1333"/>
      <c r="X728" s="1333"/>
      <c r="Y728" s="1333"/>
      <c r="Z728" s="1333"/>
      <c r="AA728" s="1333"/>
      <c r="AB728" s="1333"/>
      <c r="AC728" s="1333"/>
      <c r="AD728" s="1333"/>
      <c r="AE728" s="1333"/>
      <c r="AF728" s="1333"/>
      <c r="AG728" s="1333"/>
      <c r="AH728" s="1333"/>
      <c r="AI728" s="1333"/>
      <c r="AJ728" s="1333"/>
    </row>
    <row r="729" spans="1:36" x14ac:dyDescent="0.25">
      <c r="A729" s="1331"/>
      <c r="B729" s="1284"/>
      <c r="C729" s="1284"/>
      <c r="D729" s="1364"/>
      <c r="E729" s="1364"/>
      <c r="F729" s="1364"/>
      <c r="G729" s="1365"/>
      <c r="H729" s="1333"/>
      <c r="I729" s="1333"/>
      <c r="J729" s="1333"/>
      <c r="K729" s="1333"/>
      <c r="L729" s="1333"/>
      <c r="M729" s="1333"/>
      <c r="N729" s="1333"/>
      <c r="O729" s="1333"/>
      <c r="P729" s="1333"/>
      <c r="Q729" s="1333"/>
      <c r="R729" s="1333"/>
      <c r="S729" s="1449"/>
      <c r="T729" s="1333"/>
      <c r="U729" s="1333"/>
      <c r="V729" s="1333"/>
      <c r="W729" s="1333"/>
      <c r="X729" s="1333"/>
      <c r="Y729" s="1333"/>
      <c r="Z729" s="1333"/>
      <c r="AA729" s="1333"/>
      <c r="AB729" s="1333"/>
      <c r="AC729" s="1333"/>
      <c r="AD729" s="1333"/>
      <c r="AE729" s="1333"/>
      <c r="AF729" s="1333"/>
      <c r="AG729" s="1333"/>
      <c r="AH729" s="1333"/>
      <c r="AI729" s="1333"/>
      <c r="AJ729" s="1333"/>
    </row>
    <row r="730" spans="1:36" x14ac:dyDescent="0.25">
      <c r="A730" s="1331"/>
      <c r="B730" s="1284"/>
      <c r="C730" s="1284"/>
      <c r="D730" s="1364"/>
      <c r="E730" s="1364"/>
      <c r="F730" s="1364"/>
      <c r="G730" s="1365"/>
      <c r="H730" s="1333"/>
      <c r="I730" s="1333"/>
      <c r="J730" s="1333"/>
      <c r="K730" s="1333"/>
      <c r="L730" s="1333"/>
      <c r="M730" s="1333"/>
      <c r="N730" s="1333"/>
      <c r="O730" s="1333"/>
      <c r="P730" s="1333"/>
      <c r="Q730" s="1333"/>
      <c r="R730" s="1333"/>
      <c r="S730" s="1449"/>
      <c r="T730" s="1333"/>
      <c r="U730" s="1333"/>
      <c r="V730" s="1333"/>
      <c r="W730" s="1333"/>
      <c r="X730" s="1333"/>
      <c r="Y730" s="1333"/>
      <c r="Z730" s="1333"/>
      <c r="AA730" s="1333"/>
      <c r="AB730" s="1333"/>
      <c r="AC730" s="1333"/>
      <c r="AD730" s="1333"/>
      <c r="AE730" s="1333"/>
      <c r="AF730" s="1333"/>
      <c r="AG730" s="1333"/>
      <c r="AH730" s="1333"/>
      <c r="AI730" s="1333"/>
      <c r="AJ730" s="1333"/>
    </row>
    <row r="731" spans="1:36" x14ac:dyDescent="0.25">
      <c r="A731" s="1331"/>
      <c r="B731" s="1284"/>
      <c r="C731" s="1284"/>
      <c r="D731" s="1364"/>
      <c r="E731" s="1364"/>
      <c r="F731" s="1364"/>
      <c r="G731" s="1365"/>
      <c r="H731" s="1333"/>
      <c r="I731" s="1333"/>
      <c r="J731" s="1333"/>
      <c r="K731" s="1333"/>
      <c r="L731" s="1333"/>
      <c r="M731" s="1333"/>
      <c r="N731" s="1333"/>
      <c r="O731" s="1333"/>
      <c r="P731" s="1333"/>
      <c r="Q731" s="1333"/>
      <c r="R731" s="1333"/>
      <c r="S731" s="1449"/>
      <c r="T731" s="1333"/>
      <c r="U731" s="1333"/>
      <c r="V731" s="1333"/>
      <c r="W731" s="1333"/>
      <c r="X731" s="1333"/>
      <c r="Y731" s="1333"/>
      <c r="Z731" s="1333"/>
      <c r="AA731" s="1333"/>
      <c r="AB731" s="1333"/>
      <c r="AC731" s="1333"/>
      <c r="AD731" s="1333"/>
      <c r="AE731" s="1333"/>
      <c r="AF731" s="1333"/>
      <c r="AG731" s="1333"/>
      <c r="AH731" s="1333"/>
      <c r="AI731" s="1333"/>
      <c r="AJ731" s="1333"/>
    </row>
    <row r="732" spans="1:36" x14ac:dyDescent="0.25">
      <c r="A732" s="1331"/>
      <c r="B732" s="1284"/>
      <c r="C732" s="1284"/>
      <c r="D732" s="1364"/>
      <c r="E732" s="1364"/>
      <c r="F732" s="1364"/>
      <c r="G732" s="1365"/>
      <c r="H732" s="1333"/>
      <c r="I732" s="1333"/>
      <c r="J732" s="1333"/>
      <c r="K732" s="1333"/>
      <c r="L732" s="1333"/>
      <c r="M732" s="1333"/>
      <c r="N732" s="1333"/>
      <c r="O732" s="1333"/>
      <c r="P732" s="1333"/>
      <c r="Q732" s="1333"/>
      <c r="R732" s="1333"/>
      <c r="S732" s="1449"/>
      <c r="T732" s="1333"/>
      <c r="U732" s="1333"/>
      <c r="V732" s="1333"/>
      <c r="W732" s="1333"/>
      <c r="X732" s="1333"/>
      <c r="Y732" s="1333"/>
      <c r="Z732" s="1333"/>
      <c r="AA732" s="1333"/>
      <c r="AB732" s="1333"/>
      <c r="AC732" s="1333"/>
      <c r="AD732" s="1333"/>
      <c r="AE732" s="1333"/>
      <c r="AF732" s="1333"/>
      <c r="AG732" s="1333"/>
      <c r="AH732" s="1333"/>
      <c r="AI732" s="1333"/>
      <c r="AJ732" s="1333"/>
    </row>
    <row r="733" spans="1:36" x14ac:dyDescent="0.25">
      <c r="A733" s="1331"/>
      <c r="B733" s="1284"/>
      <c r="C733" s="1284"/>
      <c r="D733" s="1364"/>
      <c r="E733" s="1364"/>
      <c r="F733" s="1364"/>
      <c r="G733" s="1365"/>
      <c r="H733" s="1333"/>
      <c r="I733" s="1333"/>
      <c r="J733" s="1333"/>
      <c r="K733" s="1333"/>
      <c r="L733" s="1333"/>
      <c r="M733" s="1333"/>
      <c r="N733" s="1333"/>
      <c r="O733" s="1333"/>
      <c r="P733" s="1333"/>
      <c r="Q733" s="1333"/>
      <c r="R733" s="1333"/>
      <c r="S733" s="1449"/>
      <c r="T733" s="1333"/>
      <c r="U733" s="1333"/>
      <c r="V733" s="1333"/>
      <c r="W733" s="1333"/>
      <c r="X733" s="1333"/>
      <c r="Y733" s="1333"/>
      <c r="Z733" s="1333"/>
      <c r="AA733" s="1333"/>
      <c r="AB733" s="1333"/>
      <c r="AC733" s="1333"/>
      <c r="AD733" s="1333"/>
      <c r="AE733" s="1333"/>
      <c r="AF733" s="1333"/>
      <c r="AG733" s="1333"/>
      <c r="AH733" s="1333"/>
      <c r="AI733" s="1333"/>
      <c r="AJ733" s="1333"/>
    </row>
    <row r="734" spans="1:36" x14ac:dyDescent="0.25">
      <c r="A734" s="1331"/>
      <c r="B734" s="1284"/>
      <c r="C734" s="1284"/>
      <c r="D734" s="1364"/>
      <c r="E734" s="1364"/>
      <c r="F734" s="1364"/>
      <c r="G734" s="1365"/>
      <c r="H734" s="1333"/>
      <c r="I734" s="1333"/>
      <c r="J734" s="1333"/>
      <c r="K734" s="1333"/>
      <c r="L734" s="1333"/>
      <c r="M734" s="1333"/>
      <c r="N734" s="1333"/>
      <c r="O734" s="1333"/>
      <c r="P734" s="1333"/>
      <c r="Q734" s="1333"/>
      <c r="R734" s="1333"/>
      <c r="S734" s="1449"/>
      <c r="T734" s="1333"/>
      <c r="U734" s="1333"/>
      <c r="V734" s="1333"/>
      <c r="W734" s="1333"/>
      <c r="X734" s="1333"/>
      <c r="Y734" s="1333"/>
      <c r="Z734" s="1333"/>
      <c r="AA734" s="1333"/>
      <c r="AB734" s="1333"/>
      <c r="AC734" s="1333"/>
      <c r="AD734" s="1333"/>
      <c r="AE734" s="1333"/>
      <c r="AF734" s="1333"/>
      <c r="AG734" s="1333"/>
      <c r="AH734" s="1333"/>
      <c r="AI734" s="1333"/>
      <c r="AJ734" s="1333"/>
    </row>
    <row r="735" spans="1:36" x14ac:dyDescent="0.25">
      <c r="A735" s="1331"/>
      <c r="B735" s="1284"/>
      <c r="C735" s="1284"/>
      <c r="D735" s="1364"/>
      <c r="E735" s="1364"/>
      <c r="F735" s="1364"/>
      <c r="G735" s="1365"/>
      <c r="H735" s="1333"/>
      <c r="I735" s="1333"/>
      <c r="J735" s="1333"/>
      <c r="K735" s="1333"/>
      <c r="L735" s="1333"/>
      <c r="M735" s="1333"/>
      <c r="N735" s="1333"/>
      <c r="O735" s="1333"/>
      <c r="P735" s="1333"/>
      <c r="Q735" s="1333"/>
      <c r="R735" s="1333"/>
      <c r="S735" s="1449"/>
      <c r="T735" s="1333"/>
      <c r="U735" s="1333"/>
      <c r="V735" s="1333"/>
      <c r="W735" s="1333"/>
      <c r="X735" s="1333"/>
      <c r="Y735" s="1333"/>
      <c r="Z735" s="1333"/>
      <c r="AA735" s="1333"/>
      <c r="AB735" s="1333"/>
      <c r="AC735" s="1333"/>
      <c r="AD735" s="1333"/>
      <c r="AE735" s="1333"/>
      <c r="AF735" s="1333"/>
      <c r="AG735" s="1333"/>
      <c r="AH735" s="1333"/>
      <c r="AI735" s="1333"/>
      <c r="AJ735" s="1333"/>
    </row>
    <row r="736" spans="1:36" x14ac:dyDescent="0.25">
      <c r="A736" s="1331"/>
      <c r="B736" s="1284"/>
      <c r="C736" s="1284"/>
      <c r="D736" s="1364"/>
      <c r="E736" s="1364"/>
      <c r="F736" s="1364"/>
      <c r="G736" s="1365"/>
      <c r="H736" s="1333"/>
      <c r="I736" s="1333"/>
      <c r="J736" s="1333"/>
      <c r="K736" s="1333"/>
      <c r="L736" s="1333"/>
      <c r="M736" s="1333"/>
      <c r="N736" s="1333"/>
      <c r="O736" s="1333"/>
      <c r="P736" s="1333"/>
      <c r="Q736" s="1333"/>
      <c r="R736" s="1333"/>
      <c r="S736" s="1449"/>
      <c r="T736" s="1333"/>
      <c r="U736" s="1333"/>
      <c r="V736" s="1333"/>
      <c r="W736" s="1333"/>
      <c r="X736" s="1333"/>
      <c r="Y736" s="1333"/>
      <c r="Z736" s="1333"/>
      <c r="AA736" s="1333"/>
      <c r="AB736" s="1333"/>
      <c r="AC736" s="1333"/>
      <c r="AD736" s="1333"/>
      <c r="AE736" s="1333"/>
      <c r="AF736" s="1333"/>
      <c r="AG736" s="1333"/>
      <c r="AH736" s="1333"/>
      <c r="AI736" s="1333"/>
      <c r="AJ736" s="1333"/>
    </row>
    <row r="737" spans="1:36" x14ac:dyDescent="0.25">
      <c r="A737" s="1331"/>
      <c r="B737" s="1284"/>
      <c r="C737" s="1284"/>
      <c r="D737" s="1364"/>
      <c r="E737" s="1364"/>
      <c r="F737" s="1364"/>
      <c r="G737" s="1365"/>
      <c r="H737" s="1333"/>
      <c r="I737" s="1333"/>
      <c r="J737" s="1333"/>
      <c r="K737" s="1333"/>
      <c r="L737" s="1333"/>
      <c r="M737" s="1333"/>
      <c r="N737" s="1333"/>
      <c r="O737" s="1333"/>
      <c r="P737" s="1333"/>
      <c r="Q737" s="1333"/>
      <c r="R737" s="1333"/>
      <c r="S737" s="1449"/>
      <c r="T737" s="1333"/>
      <c r="U737" s="1333"/>
      <c r="V737" s="1333"/>
      <c r="W737" s="1333"/>
      <c r="X737" s="1333"/>
      <c r="Y737" s="1333"/>
      <c r="Z737" s="1333"/>
      <c r="AA737" s="1333"/>
      <c r="AB737" s="1333"/>
      <c r="AC737" s="1333"/>
      <c r="AD737" s="1333"/>
      <c r="AE737" s="1333"/>
      <c r="AF737" s="1333"/>
      <c r="AG737" s="1333"/>
      <c r="AH737" s="1333"/>
      <c r="AI737" s="1333"/>
      <c r="AJ737" s="1333"/>
    </row>
    <row r="738" spans="1:36" x14ac:dyDescent="0.25">
      <c r="A738" s="1331"/>
      <c r="B738" s="1284"/>
      <c r="C738" s="1284"/>
      <c r="D738" s="1364"/>
      <c r="E738" s="1364"/>
      <c r="F738" s="1364"/>
      <c r="G738" s="1365"/>
      <c r="H738" s="1333"/>
      <c r="I738" s="1333"/>
      <c r="J738" s="1333"/>
      <c r="K738" s="1333"/>
      <c r="L738" s="1333"/>
      <c r="M738" s="1333"/>
      <c r="N738" s="1333"/>
      <c r="O738" s="1333"/>
      <c r="P738" s="1333"/>
      <c r="Q738" s="1333"/>
      <c r="R738" s="1333"/>
      <c r="S738" s="1449"/>
      <c r="T738" s="1333"/>
      <c r="U738" s="1333"/>
      <c r="V738" s="1333"/>
      <c r="W738" s="1333"/>
      <c r="X738" s="1333"/>
      <c r="Y738" s="1333"/>
      <c r="Z738" s="1333"/>
      <c r="AA738" s="1333"/>
      <c r="AB738" s="1333"/>
      <c r="AC738" s="1333"/>
      <c r="AD738" s="1333"/>
      <c r="AE738" s="1333"/>
      <c r="AF738" s="1333"/>
      <c r="AG738" s="1333"/>
      <c r="AH738" s="1333"/>
      <c r="AI738" s="1333"/>
      <c r="AJ738" s="1333"/>
    </row>
    <row r="739" spans="1:36" x14ac:dyDescent="0.25">
      <c r="A739" s="1331"/>
      <c r="B739" s="1284"/>
      <c r="C739" s="1284"/>
      <c r="D739" s="1364"/>
      <c r="E739" s="1364"/>
      <c r="F739" s="1364"/>
      <c r="G739" s="1365"/>
      <c r="H739" s="1333"/>
      <c r="I739" s="1333"/>
      <c r="J739" s="1333"/>
      <c r="K739" s="1333"/>
      <c r="L739" s="1333"/>
      <c r="M739" s="1333"/>
      <c r="N739" s="1333"/>
      <c r="O739" s="1333"/>
      <c r="P739" s="1333"/>
      <c r="Q739" s="1333"/>
      <c r="R739" s="1333"/>
      <c r="S739" s="1449"/>
      <c r="T739" s="1333"/>
      <c r="U739" s="1333"/>
      <c r="V739" s="1333"/>
      <c r="W739" s="1333"/>
      <c r="X739" s="1333"/>
      <c r="Y739" s="1333"/>
      <c r="Z739" s="1333"/>
      <c r="AA739" s="1333"/>
      <c r="AB739" s="1333"/>
      <c r="AC739" s="1333"/>
      <c r="AD739" s="1333"/>
      <c r="AE739" s="1333"/>
      <c r="AF739" s="1333"/>
      <c r="AG739" s="1333"/>
      <c r="AH739" s="1333"/>
      <c r="AI739" s="1333"/>
      <c r="AJ739" s="1333"/>
    </row>
    <row r="740" spans="1:36" x14ac:dyDescent="0.25">
      <c r="A740" s="1331"/>
      <c r="B740" s="1284"/>
      <c r="C740" s="1284"/>
      <c r="D740" s="1364"/>
      <c r="E740" s="1364"/>
      <c r="F740" s="1364"/>
      <c r="G740" s="1365"/>
      <c r="H740" s="1333"/>
      <c r="I740" s="1333"/>
      <c r="J740" s="1333"/>
      <c r="K740" s="1333"/>
      <c r="L740" s="1333"/>
      <c r="M740" s="1333"/>
      <c r="N740" s="1333"/>
      <c r="O740" s="1333"/>
      <c r="P740" s="1333"/>
      <c r="Q740" s="1333"/>
      <c r="R740" s="1333"/>
      <c r="S740" s="1449"/>
      <c r="T740" s="1333"/>
      <c r="U740" s="1333"/>
      <c r="V740" s="1333"/>
      <c r="W740" s="1333"/>
      <c r="X740" s="1333"/>
      <c r="Y740" s="1333"/>
      <c r="Z740" s="1333"/>
      <c r="AA740" s="1333"/>
      <c r="AB740" s="1333"/>
      <c r="AC740" s="1333"/>
      <c r="AD740" s="1333"/>
      <c r="AE740" s="1333"/>
      <c r="AF740" s="1333"/>
      <c r="AG740" s="1333"/>
      <c r="AH740" s="1333"/>
      <c r="AI740" s="1333"/>
      <c r="AJ740" s="1333"/>
    </row>
    <row r="741" spans="1:36" x14ac:dyDescent="0.25">
      <c r="A741" s="1331"/>
      <c r="B741" s="1284"/>
      <c r="C741" s="1284"/>
      <c r="D741" s="1364"/>
      <c r="E741" s="1364"/>
      <c r="F741" s="1364"/>
      <c r="G741" s="1365"/>
      <c r="H741" s="1333"/>
      <c r="I741" s="1333"/>
      <c r="J741" s="1333"/>
      <c r="K741" s="1333"/>
      <c r="L741" s="1333"/>
      <c r="M741" s="1333"/>
      <c r="N741" s="1333"/>
      <c r="O741" s="1333"/>
      <c r="P741" s="1333"/>
      <c r="Q741" s="1333"/>
      <c r="R741" s="1333"/>
      <c r="S741" s="1449"/>
      <c r="T741" s="1333"/>
      <c r="U741" s="1333"/>
      <c r="V741" s="1333"/>
      <c r="W741" s="1333"/>
      <c r="X741" s="1333"/>
      <c r="Y741" s="1333"/>
      <c r="Z741" s="1333"/>
      <c r="AA741" s="1333"/>
      <c r="AB741" s="1333"/>
      <c r="AC741" s="1333"/>
      <c r="AD741" s="1333"/>
      <c r="AE741" s="1333"/>
      <c r="AF741" s="1333"/>
      <c r="AG741" s="1333"/>
      <c r="AH741" s="1333"/>
      <c r="AI741" s="1333"/>
      <c r="AJ741" s="1333"/>
    </row>
    <row r="742" spans="1:36" x14ac:dyDescent="0.25">
      <c r="A742" s="1331"/>
      <c r="B742" s="1284"/>
      <c r="C742" s="1284"/>
      <c r="D742" s="1364"/>
      <c r="E742" s="1364"/>
      <c r="F742" s="1364"/>
      <c r="G742" s="1365"/>
      <c r="H742" s="1333"/>
      <c r="I742" s="1333"/>
      <c r="J742" s="1333"/>
      <c r="K742" s="1333"/>
      <c r="L742" s="1333"/>
      <c r="M742" s="1333"/>
      <c r="N742" s="1333"/>
      <c r="O742" s="1333"/>
      <c r="P742" s="1333"/>
      <c r="Q742" s="1333"/>
      <c r="R742" s="1333"/>
      <c r="S742" s="1449"/>
      <c r="T742" s="1333"/>
      <c r="U742" s="1333"/>
      <c r="V742" s="1333"/>
      <c r="W742" s="1333"/>
      <c r="X742" s="1333"/>
      <c r="Y742" s="1333"/>
      <c r="Z742" s="1333"/>
      <c r="AA742" s="1333"/>
      <c r="AB742" s="1333"/>
      <c r="AC742" s="1333"/>
      <c r="AD742" s="1333"/>
      <c r="AE742" s="1333"/>
      <c r="AF742" s="1333"/>
      <c r="AG742" s="1333"/>
      <c r="AH742" s="1333"/>
      <c r="AI742" s="1333"/>
      <c r="AJ742" s="1333"/>
    </row>
    <row r="743" spans="1:36" x14ac:dyDescent="0.25">
      <c r="A743" s="1331"/>
      <c r="B743" s="1284"/>
      <c r="C743" s="1284"/>
      <c r="D743" s="1364"/>
      <c r="E743" s="1364"/>
      <c r="F743" s="1364"/>
      <c r="G743" s="1365"/>
      <c r="H743" s="1333"/>
      <c r="I743" s="1333"/>
      <c r="J743" s="1333"/>
      <c r="K743" s="1333"/>
      <c r="L743" s="1333"/>
      <c r="M743" s="1333"/>
      <c r="N743" s="1333"/>
      <c r="O743" s="1333"/>
      <c r="P743" s="1333"/>
      <c r="Q743" s="1333"/>
      <c r="R743" s="1333"/>
      <c r="S743" s="1449"/>
      <c r="T743" s="1333"/>
      <c r="U743" s="1333"/>
      <c r="V743" s="1333"/>
      <c r="W743" s="1333"/>
      <c r="X743" s="1333"/>
      <c r="Y743" s="1333"/>
      <c r="Z743" s="1333"/>
      <c r="AA743" s="1333"/>
      <c r="AB743" s="1333"/>
      <c r="AC743" s="1333"/>
      <c r="AD743" s="1333"/>
      <c r="AE743" s="1333"/>
      <c r="AF743" s="1333"/>
      <c r="AG743" s="1333"/>
      <c r="AH743" s="1333"/>
      <c r="AI743" s="1333"/>
      <c r="AJ743" s="1333"/>
    </row>
    <row r="744" spans="1:36" x14ac:dyDescent="0.25">
      <c r="A744" s="1331"/>
      <c r="B744" s="1284"/>
      <c r="C744" s="1284"/>
      <c r="D744" s="1364"/>
      <c r="E744" s="1364"/>
      <c r="F744" s="1364"/>
      <c r="G744" s="1365"/>
      <c r="H744" s="1333"/>
      <c r="I744" s="1333"/>
      <c r="J744" s="1333"/>
      <c r="K744" s="1333"/>
      <c r="L744" s="1333"/>
      <c r="M744" s="1333"/>
      <c r="N744" s="1333"/>
      <c r="O744" s="1333"/>
      <c r="P744" s="1333"/>
      <c r="Q744" s="1333"/>
      <c r="R744" s="1333"/>
      <c r="S744" s="1449"/>
      <c r="T744" s="1333"/>
      <c r="U744" s="1333"/>
      <c r="V744" s="1333"/>
      <c r="W744" s="1333"/>
      <c r="X744" s="1333"/>
      <c r="Y744" s="1333"/>
      <c r="Z744" s="1333"/>
      <c r="AA744" s="1333"/>
      <c r="AB744" s="1333"/>
      <c r="AC744" s="1333"/>
      <c r="AD744" s="1333"/>
      <c r="AE744" s="1333"/>
      <c r="AF744" s="1333"/>
      <c r="AG744" s="1333"/>
      <c r="AH744" s="1333"/>
      <c r="AI744" s="1333"/>
      <c r="AJ744" s="1333"/>
    </row>
    <row r="745" spans="1:36" x14ac:dyDescent="0.25">
      <c r="A745" s="1331"/>
      <c r="B745" s="1284"/>
      <c r="C745" s="1284"/>
      <c r="D745" s="1364"/>
      <c r="E745" s="1364"/>
      <c r="F745" s="1364"/>
      <c r="G745" s="1365"/>
      <c r="H745" s="1333"/>
      <c r="I745" s="1333"/>
      <c r="J745" s="1333"/>
      <c r="K745" s="1333"/>
      <c r="L745" s="1333"/>
      <c r="M745" s="1333"/>
      <c r="N745" s="1333"/>
      <c r="O745" s="1333"/>
      <c r="P745" s="1333"/>
      <c r="Q745" s="1333"/>
      <c r="R745" s="1333"/>
      <c r="S745" s="1449"/>
      <c r="T745" s="1333"/>
      <c r="U745" s="1333"/>
      <c r="V745" s="1333"/>
      <c r="W745" s="1333"/>
      <c r="X745" s="1333"/>
      <c r="Y745" s="1333"/>
      <c r="Z745" s="1333"/>
      <c r="AA745" s="1333"/>
      <c r="AB745" s="1333"/>
      <c r="AC745" s="1333"/>
      <c r="AD745" s="1333"/>
      <c r="AE745" s="1333"/>
      <c r="AF745" s="1333"/>
      <c r="AG745" s="1333"/>
      <c r="AH745" s="1333"/>
      <c r="AI745" s="1333"/>
      <c r="AJ745" s="1333"/>
    </row>
    <row r="746" spans="1:36" x14ac:dyDescent="0.25">
      <c r="A746" s="1331"/>
      <c r="B746" s="1284"/>
      <c r="C746" s="1284"/>
      <c r="D746" s="1364"/>
      <c r="E746" s="1364"/>
      <c r="F746" s="1364"/>
      <c r="G746" s="1365"/>
      <c r="H746" s="1333"/>
      <c r="I746" s="1333"/>
      <c r="J746" s="1333"/>
      <c r="K746" s="1333"/>
      <c r="L746" s="1333"/>
      <c r="M746" s="1333"/>
      <c r="N746" s="1333"/>
      <c r="O746" s="1333"/>
      <c r="P746" s="1333"/>
      <c r="Q746" s="1333"/>
      <c r="R746" s="1333"/>
      <c r="S746" s="1449"/>
      <c r="T746" s="1333"/>
      <c r="U746" s="1333"/>
      <c r="V746" s="1333"/>
      <c r="W746" s="1333"/>
      <c r="X746" s="1333"/>
      <c r="Y746" s="1333"/>
      <c r="Z746" s="1333"/>
      <c r="AA746" s="1333"/>
      <c r="AB746" s="1333"/>
      <c r="AC746" s="1333"/>
      <c r="AD746" s="1333"/>
      <c r="AE746" s="1333"/>
      <c r="AF746" s="1333"/>
      <c r="AG746" s="1333"/>
      <c r="AH746" s="1333"/>
      <c r="AI746" s="1333"/>
      <c r="AJ746" s="1333"/>
    </row>
    <row r="747" spans="1:36" x14ac:dyDescent="0.25">
      <c r="A747" s="1331"/>
      <c r="B747" s="1284"/>
      <c r="C747" s="1284"/>
      <c r="D747" s="1364"/>
      <c r="E747" s="1364"/>
      <c r="F747" s="1364"/>
      <c r="G747" s="1365"/>
      <c r="H747" s="1333"/>
      <c r="I747" s="1333"/>
      <c r="J747" s="1333"/>
      <c r="K747" s="1333"/>
      <c r="L747" s="1333"/>
      <c r="M747" s="1333"/>
      <c r="N747" s="1333"/>
      <c r="O747" s="1333"/>
      <c r="P747" s="1333"/>
      <c r="Q747" s="1333"/>
      <c r="R747" s="1333"/>
      <c r="S747" s="1449"/>
      <c r="T747" s="1333"/>
      <c r="U747" s="1333"/>
      <c r="V747" s="1333"/>
      <c r="W747" s="1333"/>
      <c r="X747" s="1333"/>
      <c r="Y747" s="1333"/>
      <c r="Z747" s="1333"/>
      <c r="AA747" s="1333"/>
      <c r="AB747" s="1333"/>
      <c r="AC747" s="1333"/>
      <c r="AD747" s="1333"/>
      <c r="AE747" s="1333"/>
      <c r="AF747" s="1333"/>
      <c r="AG747" s="1333"/>
      <c r="AH747" s="1333"/>
      <c r="AI747" s="1333"/>
      <c r="AJ747" s="1333"/>
    </row>
    <row r="748" spans="1:36" x14ac:dyDescent="0.25">
      <c r="A748" s="1331"/>
      <c r="B748" s="1284"/>
      <c r="C748" s="1284"/>
      <c r="D748" s="1364"/>
      <c r="E748" s="1364"/>
      <c r="F748" s="1364"/>
      <c r="G748" s="1365"/>
      <c r="H748" s="1333"/>
      <c r="I748" s="1333"/>
      <c r="J748" s="1333"/>
      <c r="K748" s="1333"/>
      <c r="L748" s="1333"/>
      <c r="M748" s="1333"/>
      <c r="N748" s="1333"/>
      <c r="O748" s="1333"/>
      <c r="P748" s="1333"/>
      <c r="Q748" s="1333"/>
      <c r="R748" s="1333"/>
      <c r="S748" s="1449"/>
      <c r="T748" s="1333"/>
      <c r="U748" s="1333"/>
      <c r="V748" s="1333"/>
      <c r="W748" s="1333"/>
      <c r="X748" s="1333"/>
      <c r="Y748" s="1333"/>
      <c r="Z748" s="1333"/>
      <c r="AA748" s="1333"/>
      <c r="AB748" s="1333"/>
      <c r="AC748" s="1333"/>
      <c r="AD748" s="1333"/>
      <c r="AE748" s="1333"/>
      <c r="AF748" s="1333"/>
      <c r="AG748" s="1333"/>
      <c r="AH748" s="1333"/>
      <c r="AI748" s="1333"/>
      <c r="AJ748" s="1333"/>
    </row>
    <row r="749" spans="1:36" x14ac:dyDescent="0.25">
      <c r="A749" s="1331"/>
      <c r="B749" s="1284"/>
      <c r="C749" s="1284"/>
      <c r="D749" s="1364"/>
      <c r="E749" s="1364"/>
      <c r="F749" s="1364"/>
      <c r="G749" s="1365"/>
      <c r="H749" s="1333"/>
      <c r="I749" s="1333"/>
      <c r="J749" s="1333"/>
      <c r="K749" s="1333"/>
      <c r="L749" s="1333"/>
      <c r="M749" s="1333"/>
      <c r="N749" s="1333"/>
      <c r="O749" s="1333"/>
      <c r="P749" s="1333"/>
      <c r="Q749" s="1333"/>
      <c r="R749" s="1333"/>
      <c r="S749" s="1449"/>
      <c r="T749" s="1333"/>
      <c r="U749" s="1333"/>
      <c r="V749" s="1333"/>
      <c r="W749" s="1333"/>
      <c r="X749" s="1333"/>
      <c r="Y749" s="1333"/>
      <c r="Z749" s="1333"/>
      <c r="AA749" s="1333"/>
      <c r="AB749" s="1333"/>
      <c r="AC749" s="1333"/>
      <c r="AD749" s="1333"/>
      <c r="AE749" s="1333"/>
      <c r="AF749" s="1333"/>
      <c r="AG749" s="1333"/>
      <c r="AH749" s="1333"/>
      <c r="AI749" s="1333"/>
      <c r="AJ749" s="1333"/>
    </row>
    <row r="750" spans="1:36" x14ac:dyDescent="0.25">
      <c r="A750" s="1331"/>
      <c r="B750" s="1284"/>
      <c r="C750" s="1284"/>
      <c r="D750" s="1364"/>
      <c r="E750" s="1364"/>
      <c r="F750" s="1364"/>
      <c r="G750" s="1365"/>
      <c r="H750" s="1333"/>
      <c r="I750" s="1333"/>
      <c r="J750" s="1333"/>
      <c r="K750" s="1333"/>
      <c r="L750" s="1333"/>
      <c r="M750" s="1333"/>
      <c r="N750" s="1333"/>
      <c r="O750" s="1333"/>
      <c r="P750" s="1333"/>
      <c r="Q750" s="1333"/>
      <c r="R750" s="1333"/>
      <c r="S750" s="1449"/>
      <c r="T750" s="1333"/>
      <c r="U750" s="1333"/>
      <c r="V750" s="1333"/>
      <c r="W750" s="1333"/>
      <c r="X750" s="1333"/>
      <c r="Y750" s="1333"/>
      <c r="Z750" s="1333"/>
      <c r="AA750" s="1333"/>
      <c r="AB750" s="1333"/>
      <c r="AC750" s="1333"/>
      <c r="AD750" s="1333"/>
      <c r="AE750" s="1333"/>
      <c r="AF750" s="1333"/>
      <c r="AG750" s="1333"/>
      <c r="AH750" s="1333"/>
      <c r="AI750" s="1333"/>
      <c r="AJ750" s="1333"/>
    </row>
    <row r="751" spans="1:36" x14ac:dyDescent="0.25">
      <c r="A751" s="1331"/>
      <c r="B751" s="1284"/>
      <c r="C751" s="1284"/>
      <c r="D751" s="1364"/>
      <c r="E751" s="1364"/>
      <c r="F751" s="1364"/>
      <c r="G751" s="1365"/>
      <c r="H751" s="1333"/>
      <c r="I751" s="1333"/>
      <c r="J751" s="1333"/>
      <c r="K751" s="1333"/>
      <c r="L751" s="1333"/>
      <c r="M751" s="1333"/>
      <c r="N751" s="1333"/>
      <c r="O751" s="1333"/>
      <c r="P751" s="1333"/>
      <c r="Q751" s="1333"/>
      <c r="R751" s="1333"/>
      <c r="S751" s="1449"/>
      <c r="T751" s="1333"/>
      <c r="U751" s="1333"/>
      <c r="V751" s="1333"/>
      <c r="W751" s="1333"/>
      <c r="X751" s="1333"/>
      <c r="Y751" s="1333"/>
      <c r="Z751" s="1333"/>
      <c r="AA751" s="1333"/>
      <c r="AB751" s="1333"/>
      <c r="AC751" s="1333"/>
      <c r="AD751" s="1333"/>
      <c r="AE751" s="1333"/>
      <c r="AF751" s="1333"/>
      <c r="AG751" s="1333"/>
      <c r="AH751" s="1333"/>
      <c r="AI751" s="1333"/>
      <c r="AJ751" s="1333"/>
    </row>
    <row r="752" spans="1:36" x14ac:dyDescent="0.25">
      <c r="A752" s="1331"/>
      <c r="B752" s="1284"/>
      <c r="C752" s="1284"/>
      <c r="D752" s="1364"/>
      <c r="E752" s="1364"/>
      <c r="F752" s="1364"/>
      <c r="G752" s="1365"/>
      <c r="H752" s="1333"/>
      <c r="I752" s="1333"/>
      <c r="J752" s="1333"/>
      <c r="K752" s="1333"/>
      <c r="L752" s="1333"/>
      <c r="M752" s="1333"/>
      <c r="N752" s="1333"/>
      <c r="O752" s="1333"/>
      <c r="P752" s="1333"/>
      <c r="Q752" s="1333"/>
      <c r="R752" s="1333"/>
      <c r="S752" s="1449"/>
      <c r="T752" s="1333"/>
      <c r="U752" s="1333"/>
      <c r="V752" s="1333"/>
      <c r="W752" s="1333"/>
      <c r="X752" s="1333"/>
      <c r="Y752" s="1333"/>
      <c r="Z752" s="1333"/>
      <c r="AA752" s="1333"/>
      <c r="AB752" s="1333"/>
      <c r="AC752" s="1333"/>
      <c r="AD752" s="1333"/>
      <c r="AE752" s="1333"/>
      <c r="AF752" s="1333"/>
      <c r="AG752" s="1333"/>
      <c r="AH752" s="1333"/>
      <c r="AI752" s="1333"/>
      <c r="AJ752" s="1333"/>
    </row>
    <row r="753" spans="1:36" x14ac:dyDescent="0.25">
      <c r="A753" s="1331"/>
      <c r="B753" s="1284"/>
      <c r="C753" s="1284"/>
      <c r="D753" s="1364"/>
      <c r="E753" s="1364"/>
      <c r="F753" s="1364"/>
      <c r="G753" s="1365"/>
      <c r="H753" s="1333"/>
      <c r="I753" s="1333"/>
      <c r="J753" s="1333"/>
      <c r="K753" s="1333"/>
      <c r="L753" s="1333"/>
      <c r="M753" s="1333"/>
      <c r="N753" s="1333"/>
      <c r="O753" s="1333"/>
      <c r="P753" s="1333"/>
      <c r="Q753" s="1333"/>
      <c r="R753" s="1333"/>
      <c r="S753" s="1449"/>
      <c r="T753" s="1333"/>
      <c r="U753" s="1333"/>
      <c r="V753" s="1333"/>
      <c r="W753" s="1333"/>
      <c r="X753" s="1333"/>
      <c r="Y753" s="1333"/>
      <c r="Z753" s="1333"/>
      <c r="AA753" s="1333"/>
      <c r="AB753" s="1333"/>
      <c r="AC753" s="1333"/>
      <c r="AD753" s="1333"/>
      <c r="AE753" s="1333"/>
      <c r="AF753" s="1333"/>
      <c r="AG753" s="1333"/>
      <c r="AH753" s="1333"/>
      <c r="AI753" s="1333"/>
      <c r="AJ753" s="1333"/>
    </row>
    <row r="754" spans="1:36" x14ac:dyDescent="0.25">
      <c r="A754" s="1331"/>
      <c r="B754" s="1284"/>
      <c r="C754" s="1284"/>
      <c r="D754" s="1364"/>
      <c r="E754" s="1364"/>
      <c r="F754" s="1364"/>
      <c r="G754" s="1365"/>
      <c r="H754" s="1333"/>
      <c r="I754" s="1333"/>
      <c r="J754" s="1333"/>
      <c r="K754" s="1333"/>
      <c r="L754" s="1333"/>
      <c r="M754" s="1333"/>
      <c r="N754" s="1333"/>
      <c r="O754" s="1333"/>
      <c r="P754" s="1333"/>
      <c r="Q754" s="1333"/>
      <c r="R754" s="1333"/>
      <c r="S754" s="1449"/>
      <c r="T754" s="1333"/>
      <c r="U754" s="1333"/>
      <c r="V754" s="1333"/>
      <c r="W754" s="1333"/>
      <c r="X754" s="1333"/>
      <c r="Y754" s="1333"/>
      <c r="Z754" s="1333"/>
      <c r="AA754" s="1333"/>
      <c r="AB754" s="1333"/>
      <c r="AC754" s="1333"/>
      <c r="AD754" s="1333"/>
      <c r="AE754" s="1333"/>
      <c r="AF754" s="1333"/>
      <c r="AG754" s="1333"/>
      <c r="AH754" s="1333"/>
      <c r="AI754" s="1333"/>
      <c r="AJ754" s="1333"/>
    </row>
    <row r="755" spans="1:36" x14ac:dyDescent="0.25">
      <c r="A755" s="1331"/>
      <c r="B755" s="1284"/>
      <c r="C755" s="1284"/>
      <c r="D755" s="1364"/>
      <c r="E755" s="1364"/>
      <c r="F755" s="1364"/>
      <c r="G755" s="1365"/>
      <c r="H755" s="1333"/>
      <c r="I755" s="1333"/>
      <c r="J755" s="1333"/>
      <c r="K755" s="1333"/>
      <c r="L755" s="1333"/>
      <c r="M755" s="1333"/>
      <c r="N755" s="1333"/>
      <c r="O755" s="1333"/>
      <c r="P755" s="1333"/>
      <c r="Q755" s="1333"/>
      <c r="R755" s="1333"/>
      <c r="S755" s="1449"/>
      <c r="T755" s="1333"/>
      <c r="U755" s="1333"/>
      <c r="V755" s="1333"/>
      <c r="W755" s="1333"/>
      <c r="X755" s="1333"/>
      <c r="Y755" s="1333"/>
      <c r="Z755" s="1333"/>
      <c r="AA755" s="1333"/>
      <c r="AB755" s="1333"/>
      <c r="AC755" s="1333"/>
      <c r="AD755" s="1333"/>
      <c r="AE755" s="1333"/>
      <c r="AF755" s="1333"/>
      <c r="AG755" s="1333"/>
      <c r="AH755" s="1333"/>
      <c r="AI755" s="1333"/>
      <c r="AJ755" s="1333"/>
    </row>
    <row r="756" spans="1:36" x14ac:dyDescent="0.25">
      <c r="A756" s="1331"/>
      <c r="B756" s="1284"/>
      <c r="C756" s="1284"/>
      <c r="D756" s="1364"/>
      <c r="E756" s="1364"/>
      <c r="F756" s="1364"/>
      <c r="G756" s="1365"/>
      <c r="H756" s="1333"/>
      <c r="I756" s="1333"/>
      <c r="J756" s="1333"/>
      <c r="K756" s="1333"/>
      <c r="L756" s="1333"/>
      <c r="M756" s="1333"/>
      <c r="N756" s="1333"/>
      <c r="O756" s="1333"/>
      <c r="P756" s="1333"/>
      <c r="Q756" s="1333"/>
      <c r="R756" s="1333"/>
      <c r="S756" s="1449"/>
      <c r="T756" s="1333"/>
      <c r="U756" s="1333"/>
      <c r="V756" s="1333"/>
      <c r="W756" s="1333"/>
      <c r="X756" s="1333"/>
      <c r="Y756" s="1333"/>
      <c r="Z756" s="1333"/>
      <c r="AA756" s="1333"/>
      <c r="AB756" s="1333"/>
      <c r="AC756" s="1333"/>
      <c r="AD756" s="1333"/>
      <c r="AE756" s="1333"/>
      <c r="AF756" s="1333"/>
      <c r="AG756" s="1333"/>
      <c r="AH756" s="1333"/>
      <c r="AI756" s="1333"/>
      <c r="AJ756" s="1333"/>
    </row>
    <row r="757" spans="1:36" x14ac:dyDescent="0.25">
      <c r="A757" s="1331"/>
      <c r="B757" s="1284"/>
      <c r="C757" s="1284"/>
      <c r="D757" s="1364"/>
      <c r="E757" s="1364"/>
      <c r="F757" s="1364"/>
      <c r="G757" s="1365"/>
      <c r="H757" s="1333"/>
      <c r="I757" s="1333"/>
      <c r="J757" s="1333"/>
      <c r="K757" s="1333"/>
      <c r="L757" s="1333"/>
      <c r="M757" s="1333"/>
      <c r="N757" s="1333"/>
      <c r="O757" s="1333"/>
      <c r="P757" s="1333"/>
      <c r="Q757" s="1333"/>
      <c r="R757" s="1333"/>
      <c r="S757" s="1449"/>
      <c r="T757" s="1333"/>
      <c r="U757" s="1333"/>
      <c r="V757" s="1333"/>
      <c r="W757" s="1333"/>
      <c r="X757" s="1333"/>
      <c r="Y757" s="1333"/>
      <c r="Z757" s="1333"/>
      <c r="AA757" s="1333"/>
      <c r="AB757" s="1333"/>
      <c r="AC757" s="1333"/>
      <c r="AD757" s="1333"/>
      <c r="AE757" s="1333"/>
      <c r="AF757" s="1333"/>
      <c r="AG757" s="1333"/>
      <c r="AH757" s="1333"/>
      <c r="AI757" s="1333"/>
      <c r="AJ757" s="1333"/>
    </row>
    <row r="758" spans="1:36" x14ac:dyDescent="0.25">
      <c r="A758" s="1331"/>
      <c r="B758" s="1284"/>
      <c r="C758" s="1284"/>
      <c r="D758" s="1364"/>
      <c r="E758" s="1364"/>
      <c r="F758" s="1364"/>
      <c r="G758" s="1365"/>
      <c r="H758" s="1333"/>
      <c r="I758" s="1333"/>
      <c r="J758" s="1333"/>
      <c r="K758" s="1333"/>
      <c r="L758" s="1333"/>
      <c r="M758" s="1333"/>
      <c r="N758" s="1333"/>
      <c r="O758" s="1333"/>
      <c r="P758" s="1333"/>
      <c r="Q758" s="1333"/>
      <c r="R758" s="1333"/>
      <c r="S758" s="1449"/>
      <c r="T758" s="1333"/>
      <c r="U758" s="1333"/>
      <c r="V758" s="1333"/>
      <c r="W758" s="1333"/>
      <c r="X758" s="1333"/>
      <c r="Y758" s="1333"/>
      <c r="Z758" s="1333"/>
      <c r="AA758" s="1333"/>
      <c r="AB758" s="1333"/>
      <c r="AC758" s="1333"/>
      <c r="AD758" s="1333"/>
      <c r="AE758" s="1333"/>
      <c r="AF758" s="1333"/>
      <c r="AG758" s="1333"/>
      <c r="AH758" s="1333"/>
      <c r="AI758" s="1333"/>
      <c r="AJ758" s="1333"/>
    </row>
    <row r="759" spans="1:36" x14ac:dyDescent="0.25">
      <c r="A759" s="1331"/>
      <c r="B759" s="1284"/>
      <c r="C759" s="1284"/>
      <c r="D759" s="1364"/>
      <c r="E759" s="1364"/>
      <c r="F759" s="1364"/>
      <c r="G759" s="1365"/>
      <c r="H759" s="1333"/>
      <c r="I759" s="1333"/>
      <c r="J759" s="1333"/>
      <c r="K759" s="1333"/>
      <c r="L759" s="1333"/>
      <c r="M759" s="1333"/>
      <c r="N759" s="1333"/>
      <c r="O759" s="1333"/>
      <c r="P759" s="1333"/>
      <c r="Q759" s="1333"/>
      <c r="R759" s="1333"/>
      <c r="S759" s="1449"/>
      <c r="T759" s="1333"/>
      <c r="U759" s="1333"/>
      <c r="V759" s="1333"/>
      <c r="W759" s="1333"/>
      <c r="X759" s="1333"/>
      <c r="Y759" s="1333"/>
      <c r="Z759" s="1333"/>
      <c r="AA759" s="1333"/>
      <c r="AB759" s="1333"/>
      <c r="AC759" s="1333"/>
      <c r="AD759" s="1333"/>
      <c r="AE759" s="1333"/>
      <c r="AF759" s="1333"/>
      <c r="AG759" s="1333"/>
      <c r="AH759" s="1333"/>
      <c r="AI759" s="1333"/>
      <c r="AJ759" s="1333"/>
    </row>
    <row r="760" spans="1:36" x14ac:dyDescent="0.25">
      <c r="A760" s="1331"/>
      <c r="B760" s="1284"/>
      <c r="C760" s="1284"/>
      <c r="D760" s="1364"/>
      <c r="E760" s="1364"/>
      <c r="F760" s="1364"/>
      <c r="G760" s="1365"/>
      <c r="H760" s="1333"/>
      <c r="I760" s="1333"/>
      <c r="J760" s="1333"/>
      <c r="K760" s="1333"/>
      <c r="L760" s="1333"/>
      <c r="M760" s="1333"/>
      <c r="N760" s="1333"/>
      <c r="O760" s="1333"/>
      <c r="P760" s="1333"/>
      <c r="Q760" s="1333"/>
      <c r="R760" s="1333"/>
      <c r="S760" s="1449"/>
      <c r="T760" s="1333"/>
      <c r="U760" s="1333"/>
      <c r="V760" s="1333"/>
      <c r="W760" s="1333"/>
      <c r="X760" s="1333"/>
      <c r="Y760" s="1333"/>
      <c r="Z760" s="1333"/>
      <c r="AA760" s="1333"/>
      <c r="AB760" s="1333"/>
      <c r="AC760" s="1333"/>
      <c r="AD760" s="1333"/>
      <c r="AE760" s="1333"/>
      <c r="AF760" s="1333"/>
      <c r="AG760" s="1333"/>
      <c r="AH760" s="1333"/>
      <c r="AI760" s="1333"/>
      <c r="AJ760" s="1333"/>
    </row>
    <row r="761" spans="1:36" x14ac:dyDescent="0.25">
      <c r="A761" s="1331"/>
      <c r="B761" s="1284"/>
      <c r="C761" s="1284"/>
      <c r="D761" s="1364"/>
      <c r="E761" s="1364"/>
      <c r="F761" s="1364"/>
      <c r="G761" s="1365"/>
      <c r="H761" s="1333"/>
      <c r="I761" s="1333"/>
      <c r="J761" s="1333"/>
      <c r="K761" s="1333"/>
      <c r="L761" s="1333"/>
      <c r="M761" s="1333"/>
      <c r="N761" s="1333"/>
      <c r="O761" s="1333"/>
      <c r="P761" s="1333"/>
      <c r="Q761" s="1333"/>
      <c r="R761" s="1333"/>
      <c r="S761" s="1449"/>
      <c r="T761" s="1333"/>
      <c r="U761" s="1333"/>
      <c r="V761" s="1333"/>
      <c r="W761" s="1333"/>
      <c r="X761" s="1333"/>
      <c r="Y761" s="1333"/>
      <c r="Z761" s="1333"/>
      <c r="AA761" s="1333"/>
      <c r="AB761" s="1333"/>
      <c r="AC761" s="1333"/>
      <c r="AD761" s="1333"/>
      <c r="AE761" s="1333"/>
      <c r="AF761" s="1333"/>
      <c r="AG761" s="1333"/>
      <c r="AH761" s="1333"/>
      <c r="AI761" s="1333"/>
      <c r="AJ761" s="1333"/>
    </row>
    <row r="762" spans="1:36" x14ac:dyDescent="0.25">
      <c r="A762" s="1331"/>
      <c r="B762" s="1284"/>
      <c r="C762" s="1284"/>
      <c r="D762" s="1364"/>
      <c r="E762" s="1364"/>
      <c r="F762" s="1364"/>
      <c r="G762" s="1365"/>
      <c r="H762" s="1333"/>
      <c r="I762" s="1333"/>
      <c r="J762" s="1333"/>
      <c r="K762" s="1333"/>
      <c r="L762" s="1333"/>
      <c r="M762" s="1333"/>
      <c r="N762" s="1333"/>
      <c r="O762" s="1333"/>
      <c r="P762" s="1333"/>
      <c r="Q762" s="1333"/>
      <c r="R762" s="1333"/>
      <c r="S762" s="1449"/>
      <c r="T762" s="1333"/>
      <c r="U762" s="1333"/>
      <c r="V762" s="1333"/>
      <c r="W762" s="1333"/>
      <c r="X762" s="1333"/>
      <c r="Y762" s="1333"/>
      <c r="Z762" s="1333"/>
      <c r="AA762" s="1333"/>
      <c r="AB762" s="1333"/>
      <c r="AC762" s="1333"/>
      <c r="AD762" s="1333"/>
      <c r="AE762" s="1333"/>
      <c r="AF762" s="1333"/>
      <c r="AG762" s="1333"/>
      <c r="AH762" s="1333"/>
      <c r="AI762" s="1333"/>
      <c r="AJ762" s="1333"/>
    </row>
    <row r="763" spans="1:36" x14ac:dyDescent="0.25">
      <c r="A763" s="1331"/>
      <c r="B763" s="1284"/>
      <c r="C763" s="1284"/>
      <c r="D763" s="1364"/>
      <c r="E763" s="1364"/>
      <c r="F763" s="1364"/>
      <c r="G763" s="1365"/>
      <c r="H763" s="1333"/>
      <c r="I763" s="1333"/>
      <c r="J763" s="1333"/>
      <c r="K763" s="1333"/>
      <c r="L763" s="1333"/>
      <c r="M763" s="1333"/>
      <c r="N763" s="1333"/>
      <c r="O763" s="1333"/>
      <c r="P763" s="1333"/>
      <c r="Q763" s="1333"/>
      <c r="R763" s="1333"/>
      <c r="S763" s="1449"/>
      <c r="T763" s="1333"/>
      <c r="U763" s="1333"/>
      <c r="V763" s="1333"/>
      <c r="W763" s="1333"/>
      <c r="X763" s="1333"/>
      <c r="Y763" s="1333"/>
      <c r="Z763" s="1333"/>
      <c r="AA763" s="1333"/>
      <c r="AB763" s="1333"/>
      <c r="AC763" s="1333"/>
      <c r="AD763" s="1333"/>
      <c r="AE763" s="1333"/>
      <c r="AF763" s="1333"/>
      <c r="AG763" s="1333"/>
      <c r="AH763" s="1333"/>
      <c r="AI763" s="1333"/>
      <c r="AJ763" s="1333"/>
    </row>
    <row r="764" spans="1:36" x14ac:dyDescent="0.25">
      <c r="A764" s="1331"/>
      <c r="B764" s="1284"/>
      <c r="C764" s="1284"/>
      <c r="D764" s="1364"/>
      <c r="E764" s="1364"/>
      <c r="F764" s="1364"/>
      <c r="G764" s="1365"/>
      <c r="H764" s="1333"/>
      <c r="I764" s="1333"/>
      <c r="J764" s="1333"/>
      <c r="K764" s="1333"/>
      <c r="L764" s="1333"/>
      <c r="M764" s="1333"/>
      <c r="N764" s="1333"/>
      <c r="O764" s="1333"/>
      <c r="P764" s="1333"/>
      <c r="Q764" s="1333"/>
      <c r="R764" s="1333"/>
      <c r="S764" s="1449"/>
      <c r="T764" s="1333"/>
      <c r="U764" s="1333"/>
      <c r="V764" s="1333"/>
      <c r="W764" s="1333"/>
      <c r="X764" s="1333"/>
      <c r="Y764" s="1333"/>
      <c r="Z764" s="1333"/>
      <c r="AA764" s="1333"/>
      <c r="AB764" s="1333"/>
      <c r="AC764" s="1333"/>
      <c r="AD764" s="1333"/>
      <c r="AE764" s="1333"/>
      <c r="AF764" s="1333"/>
      <c r="AG764" s="1333"/>
      <c r="AH764" s="1333"/>
      <c r="AI764" s="1333"/>
      <c r="AJ764" s="1333"/>
    </row>
    <row r="765" spans="1:36" x14ac:dyDescent="0.25">
      <c r="A765" s="1331"/>
      <c r="B765" s="1284"/>
      <c r="C765" s="1284"/>
      <c r="D765" s="1364"/>
      <c r="E765" s="1364"/>
      <c r="F765" s="1364"/>
      <c r="G765" s="1365"/>
      <c r="H765" s="1333"/>
      <c r="I765" s="1333"/>
      <c r="J765" s="1333"/>
      <c r="K765" s="1333"/>
      <c r="L765" s="1333"/>
      <c r="M765" s="1333"/>
      <c r="N765" s="1333"/>
      <c r="O765" s="1333"/>
      <c r="P765" s="1333"/>
      <c r="Q765" s="1333"/>
      <c r="R765" s="1333"/>
      <c r="S765" s="1449"/>
      <c r="T765" s="1333"/>
      <c r="U765" s="1333"/>
      <c r="V765" s="1333"/>
      <c r="W765" s="1333"/>
      <c r="X765" s="1333"/>
      <c r="Y765" s="1333"/>
      <c r="Z765" s="1333"/>
      <c r="AA765" s="1333"/>
      <c r="AB765" s="1333"/>
      <c r="AC765" s="1333"/>
      <c r="AD765" s="1333"/>
      <c r="AE765" s="1333"/>
      <c r="AF765" s="1333"/>
      <c r="AG765" s="1333"/>
      <c r="AH765" s="1333"/>
      <c r="AI765" s="1333"/>
      <c r="AJ765" s="1333"/>
    </row>
    <row r="766" spans="1:36" x14ac:dyDescent="0.25">
      <c r="A766" s="1331"/>
      <c r="B766" s="1284"/>
      <c r="C766" s="1284"/>
      <c r="D766" s="1364"/>
      <c r="E766" s="1364"/>
      <c r="F766" s="1364"/>
      <c r="G766" s="1365"/>
      <c r="H766" s="1333"/>
      <c r="I766" s="1333"/>
      <c r="J766" s="1333"/>
      <c r="K766" s="1333"/>
      <c r="L766" s="1333"/>
      <c r="M766" s="1333"/>
      <c r="N766" s="1333"/>
      <c r="O766" s="1333"/>
      <c r="P766" s="1333"/>
      <c r="Q766" s="1333"/>
      <c r="R766" s="1333"/>
      <c r="S766" s="1449"/>
      <c r="T766" s="1333"/>
      <c r="U766" s="1333"/>
      <c r="V766" s="1333"/>
      <c r="W766" s="1333"/>
      <c r="X766" s="1333"/>
      <c r="Y766" s="1333"/>
      <c r="Z766" s="1333"/>
      <c r="AA766" s="1333"/>
      <c r="AB766" s="1333"/>
      <c r="AC766" s="1333"/>
      <c r="AD766" s="1333"/>
      <c r="AE766" s="1333"/>
      <c r="AF766" s="1333"/>
      <c r="AG766" s="1333"/>
      <c r="AH766" s="1333"/>
      <c r="AI766" s="1333"/>
      <c r="AJ766" s="1333"/>
    </row>
    <row r="767" spans="1:36" x14ac:dyDescent="0.25">
      <c r="A767" s="1331"/>
      <c r="B767" s="1284"/>
      <c r="C767" s="1284"/>
      <c r="D767" s="1364"/>
      <c r="E767" s="1364"/>
      <c r="F767" s="1364"/>
      <c r="G767" s="1365"/>
      <c r="H767" s="1333"/>
      <c r="I767" s="1333"/>
      <c r="J767" s="1333"/>
      <c r="K767" s="1333"/>
      <c r="L767" s="1333"/>
      <c r="M767" s="1333"/>
      <c r="N767" s="1333"/>
      <c r="O767" s="1333"/>
      <c r="P767" s="1333"/>
      <c r="Q767" s="1333"/>
      <c r="R767" s="1333"/>
      <c r="S767" s="1449"/>
      <c r="T767" s="1333"/>
      <c r="U767" s="1333"/>
      <c r="V767" s="1333"/>
      <c r="W767" s="1333"/>
      <c r="X767" s="1333"/>
      <c r="Y767" s="1333"/>
      <c r="Z767" s="1333"/>
      <c r="AA767" s="1333"/>
      <c r="AB767" s="1333"/>
      <c r="AC767" s="1333"/>
      <c r="AD767" s="1333"/>
      <c r="AE767" s="1333"/>
      <c r="AF767" s="1333"/>
      <c r="AG767" s="1333"/>
      <c r="AH767" s="1333"/>
      <c r="AI767" s="1333"/>
      <c r="AJ767" s="1333"/>
    </row>
    <row r="768" spans="1:36" x14ac:dyDescent="0.25">
      <c r="A768" s="1331"/>
      <c r="B768" s="1284"/>
      <c r="C768" s="1284"/>
      <c r="D768" s="1364"/>
      <c r="E768" s="1364"/>
      <c r="F768" s="1364"/>
      <c r="G768" s="1365"/>
      <c r="H768" s="1333"/>
      <c r="I768" s="1333"/>
      <c r="J768" s="1333"/>
      <c r="K768" s="1333"/>
      <c r="L768" s="1333"/>
      <c r="M768" s="1333"/>
      <c r="N768" s="1333"/>
      <c r="O768" s="1333"/>
      <c r="P768" s="1333"/>
      <c r="Q768" s="1333"/>
      <c r="R768" s="1333"/>
      <c r="S768" s="1449"/>
      <c r="T768" s="1333"/>
      <c r="U768" s="1333"/>
      <c r="V768" s="1333"/>
      <c r="W768" s="1333"/>
      <c r="X768" s="1333"/>
      <c r="Y768" s="1333"/>
      <c r="Z768" s="1333"/>
      <c r="AA768" s="1333"/>
      <c r="AB768" s="1333"/>
      <c r="AC768" s="1333"/>
      <c r="AD768" s="1333"/>
      <c r="AE768" s="1333"/>
      <c r="AF768" s="1333"/>
      <c r="AG768" s="1333"/>
      <c r="AH768" s="1333"/>
      <c r="AI768" s="1333"/>
      <c r="AJ768" s="1333"/>
    </row>
    <row r="769" spans="1:36" x14ac:dyDescent="0.25">
      <c r="A769" s="1331"/>
      <c r="B769" s="1284"/>
      <c r="C769" s="1284"/>
      <c r="D769" s="1364"/>
      <c r="E769" s="1364"/>
      <c r="F769" s="1364"/>
      <c r="G769" s="1365"/>
      <c r="H769" s="1333"/>
      <c r="I769" s="1333"/>
      <c r="J769" s="1333"/>
      <c r="K769" s="1333"/>
      <c r="L769" s="1333"/>
      <c r="M769" s="1333"/>
      <c r="N769" s="1333"/>
      <c r="O769" s="1333"/>
      <c r="P769" s="1333"/>
      <c r="Q769" s="1333"/>
      <c r="R769" s="1333"/>
      <c r="S769" s="1449"/>
      <c r="T769" s="1333"/>
      <c r="U769" s="1333"/>
      <c r="V769" s="1333"/>
      <c r="W769" s="1333"/>
      <c r="X769" s="1333"/>
      <c r="Y769" s="1333"/>
      <c r="Z769" s="1333"/>
      <c r="AA769" s="1333"/>
      <c r="AB769" s="1333"/>
      <c r="AC769" s="1333"/>
      <c r="AD769" s="1333"/>
      <c r="AE769" s="1333"/>
      <c r="AF769" s="1333"/>
      <c r="AG769" s="1333"/>
      <c r="AH769" s="1333"/>
      <c r="AI769" s="1333"/>
      <c r="AJ769" s="1333"/>
    </row>
    <row r="770" spans="1:36" x14ac:dyDescent="0.25">
      <c r="A770" s="1331"/>
      <c r="B770" s="1284"/>
      <c r="C770" s="1284"/>
      <c r="D770" s="1364"/>
      <c r="E770" s="1364"/>
      <c r="F770" s="1364"/>
      <c r="G770" s="1365"/>
      <c r="H770" s="1333"/>
      <c r="I770" s="1333"/>
      <c r="J770" s="1333"/>
      <c r="K770" s="1333"/>
      <c r="L770" s="1333"/>
      <c r="M770" s="1333"/>
      <c r="N770" s="1333"/>
      <c r="O770" s="1333"/>
      <c r="P770" s="1333"/>
      <c r="Q770" s="1333"/>
      <c r="R770" s="1333"/>
      <c r="S770" s="1449"/>
      <c r="T770" s="1333"/>
      <c r="U770" s="1333"/>
      <c r="V770" s="1333"/>
      <c r="W770" s="1333"/>
      <c r="X770" s="1333"/>
      <c r="Y770" s="1333"/>
      <c r="Z770" s="1333"/>
      <c r="AA770" s="1333"/>
      <c r="AB770" s="1333"/>
      <c r="AC770" s="1333"/>
      <c r="AD770" s="1333"/>
      <c r="AE770" s="1333"/>
      <c r="AF770" s="1333"/>
      <c r="AG770" s="1333"/>
      <c r="AH770" s="1333"/>
      <c r="AI770" s="1333"/>
      <c r="AJ770" s="1333"/>
    </row>
    <row r="771" spans="1:36" x14ac:dyDescent="0.25">
      <c r="A771" s="1331"/>
      <c r="B771" s="1284"/>
      <c r="C771" s="1284"/>
      <c r="D771" s="1364"/>
      <c r="E771" s="1364"/>
      <c r="F771" s="1364"/>
      <c r="G771" s="1365"/>
      <c r="H771" s="1333"/>
      <c r="I771" s="1333"/>
      <c r="J771" s="1333"/>
      <c r="K771" s="1333"/>
      <c r="L771" s="1333"/>
      <c r="M771" s="1333"/>
      <c r="N771" s="1333"/>
      <c r="O771" s="1333"/>
      <c r="P771" s="1333"/>
      <c r="Q771" s="1333"/>
      <c r="R771" s="1333"/>
      <c r="S771" s="1449"/>
      <c r="T771" s="1333"/>
      <c r="U771" s="1333"/>
      <c r="V771" s="1333"/>
      <c r="W771" s="1333"/>
      <c r="X771" s="1333"/>
      <c r="Y771" s="1333"/>
      <c r="Z771" s="1333"/>
      <c r="AA771" s="1333"/>
      <c r="AB771" s="1333"/>
      <c r="AC771" s="1333"/>
      <c r="AD771" s="1333"/>
      <c r="AE771" s="1333"/>
      <c r="AF771" s="1333"/>
      <c r="AG771" s="1333"/>
      <c r="AH771" s="1333"/>
      <c r="AI771" s="1333"/>
      <c r="AJ771" s="1333"/>
    </row>
    <row r="772" spans="1:36" x14ac:dyDescent="0.25">
      <c r="A772" s="1331"/>
      <c r="B772" s="1284"/>
      <c r="C772" s="1284"/>
      <c r="D772" s="1364"/>
      <c r="E772" s="1364"/>
      <c r="F772" s="1364"/>
      <c r="G772" s="1365"/>
      <c r="H772" s="1333"/>
      <c r="I772" s="1333"/>
      <c r="J772" s="1333"/>
      <c r="K772" s="1333"/>
      <c r="L772" s="1333"/>
      <c r="M772" s="1333"/>
      <c r="N772" s="1333"/>
      <c r="O772" s="1333"/>
      <c r="P772" s="1333"/>
      <c r="Q772" s="1333"/>
      <c r="R772" s="1333"/>
      <c r="S772" s="1449"/>
      <c r="T772" s="1333"/>
      <c r="U772" s="1333"/>
      <c r="V772" s="1333"/>
      <c r="W772" s="1333"/>
      <c r="X772" s="1333"/>
      <c r="Y772" s="1333"/>
      <c r="Z772" s="1333"/>
      <c r="AA772" s="1333"/>
      <c r="AB772" s="1333"/>
      <c r="AC772" s="1333"/>
      <c r="AD772" s="1333"/>
      <c r="AE772" s="1333"/>
      <c r="AF772" s="1333"/>
      <c r="AG772" s="1333"/>
      <c r="AH772" s="1333"/>
      <c r="AI772" s="1333"/>
      <c r="AJ772" s="1333"/>
    </row>
    <row r="773" spans="1:36" x14ac:dyDescent="0.25">
      <c r="A773" s="1331"/>
      <c r="B773" s="1284"/>
      <c r="C773" s="1284"/>
      <c r="D773" s="1364"/>
      <c r="E773" s="1364"/>
      <c r="F773" s="1364"/>
      <c r="G773" s="1365"/>
      <c r="H773" s="1333"/>
      <c r="I773" s="1333"/>
      <c r="J773" s="1333"/>
      <c r="K773" s="1333"/>
      <c r="L773" s="1333"/>
      <c r="M773" s="1333"/>
      <c r="N773" s="1333"/>
      <c r="O773" s="1333"/>
      <c r="P773" s="1333"/>
      <c r="Q773" s="1333"/>
      <c r="R773" s="1333"/>
      <c r="S773" s="1449"/>
      <c r="T773" s="1333"/>
      <c r="U773" s="1333"/>
      <c r="V773" s="1333"/>
      <c r="W773" s="1333"/>
      <c r="X773" s="1333"/>
      <c r="Y773" s="1333"/>
      <c r="Z773" s="1333"/>
      <c r="AA773" s="1333"/>
      <c r="AB773" s="1333"/>
      <c r="AC773" s="1333"/>
      <c r="AD773" s="1333"/>
      <c r="AE773" s="1333"/>
      <c r="AF773" s="1333"/>
      <c r="AG773" s="1333"/>
      <c r="AH773" s="1333"/>
      <c r="AI773" s="1333"/>
      <c r="AJ773" s="1333"/>
    </row>
    <row r="774" spans="1:36" x14ac:dyDescent="0.25">
      <c r="A774" s="1331"/>
      <c r="B774" s="1284"/>
      <c r="C774" s="1284"/>
      <c r="D774" s="1364"/>
      <c r="E774" s="1364"/>
      <c r="F774" s="1364"/>
      <c r="G774" s="1365"/>
      <c r="H774" s="1333"/>
      <c r="I774" s="1333"/>
      <c r="J774" s="1333"/>
      <c r="K774" s="1333"/>
      <c r="L774" s="1333"/>
      <c r="M774" s="1333"/>
      <c r="N774" s="1333"/>
      <c r="O774" s="1333"/>
      <c r="P774" s="1333"/>
      <c r="Q774" s="1333"/>
      <c r="R774" s="1333"/>
      <c r="S774" s="1449"/>
      <c r="T774" s="1333"/>
      <c r="U774" s="1333"/>
      <c r="V774" s="1333"/>
      <c r="W774" s="1333"/>
      <c r="X774" s="1333"/>
      <c r="Y774" s="1333"/>
      <c r="Z774" s="1333"/>
      <c r="AA774" s="1333"/>
      <c r="AB774" s="1333"/>
      <c r="AC774" s="1333"/>
      <c r="AD774" s="1333"/>
      <c r="AE774" s="1333"/>
      <c r="AF774" s="1333"/>
      <c r="AG774" s="1333"/>
      <c r="AH774" s="1333"/>
      <c r="AI774" s="1333"/>
      <c r="AJ774" s="1333"/>
    </row>
    <row r="775" spans="1:36" x14ac:dyDescent="0.25">
      <c r="A775" s="1331"/>
      <c r="B775" s="1284"/>
      <c r="C775" s="1284"/>
      <c r="D775" s="1364"/>
      <c r="E775" s="1364"/>
      <c r="F775" s="1364"/>
      <c r="G775" s="1365"/>
      <c r="H775" s="1333"/>
      <c r="I775" s="1333"/>
      <c r="J775" s="1333"/>
      <c r="K775" s="1333"/>
      <c r="L775" s="1333"/>
      <c r="M775" s="1333"/>
      <c r="N775" s="1333"/>
      <c r="O775" s="1333"/>
      <c r="P775" s="1333"/>
      <c r="Q775" s="1333"/>
      <c r="R775" s="1333"/>
      <c r="S775" s="1449"/>
      <c r="T775" s="1333"/>
      <c r="U775" s="1333"/>
      <c r="V775" s="1333"/>
      <c r="W775" s="1333"/>
      <c r="X775" s="1333"/>
      <c r="Y775" s="1333"/>
      <c r="Z775" s="1333"/>
      <c r="AA775" s="1333"/>
      <c r="AB775" s="1333"/>
      <c r="AC775" s="1333"/>
      <c r="AD775" s="1333"/>
      <c r="AE775" s="1333"/>
      <c r="AF775" s="1333"/>
      <c r="AG775" s="1333"/>
      <c r="AH775" s="1333"/>
      <c r="AI775" s="1333"/>
      <c r="AJ775" s="1333"/>
    </row>
    <row r="776" spans="1:36" x14ac:dyDescent="0.25">
      <c r="A776" s="1331"/>
      <c r="B776" s="1284"/>
      <c r="C776" s="1284"/>
      <c r="D776" s="1364"/>
      <c r="E776" s="1364"/>
      <c r="F776" s="1364"/>
      <c r="G776" s="1365"/>
      <c r="H776" s="1333"/>
      <c r="I776" s="1333"/>
      <c r="J776" s="1333"/>
      <c r="K776" s="1333"/>
      <c r="L776" s="1333"/>
      <c r="M776" s="1333"/>
      <c r="N776" s="1333"/>
      <c r="O776" s="1333"/>
      <c r="P776" s="1333"/>
      <c r="Q776" s="1333"/>
      <c r="R776" s="1333"/>
      <c r="S776" s="1449"/>
      <c r="T776" s="1333"/>
      <c r="U776" s="1333"/>
      <c r="V776" s="1333"/>
      <c r="W776" s="1333"/>
      <c r="X776" s="1333"/>
      <c r="Y776" s="1333"/>
      <c r="Z776" s="1333"/>
      <c r="AA776" s="1333"/>
      <c r="AB776" s="1333"/>
      <c r="AC776" s="1333"/>
      <c r="AD776" s="1333"/>
      <c r="AE776" s="1333"/>
      <c r="AF776" s="1333"/>
      <c r="AG776" s="1333"/>
      <c r="AH776" s="1333"/>
      <c r="AI776" s="1333"/>
      <c r="AJ776" s="1333"/>
    </row>
    <row r="777" spans="1:36" x14ac:dyDescent="0.25">
      <c r="A777" s="1331"/>
      <c r="B777" s="1284"/>
      <c r="C777" s="1284"/>
      <c r="D777" s="1364"/>
      <c r="E777" s="1364"/>
      <c r="F777" s="1364"/>
      <c r="G777" s="1365"/>
      <c r="H777" s="1333"/>
      <c r="I777" s="1333"/>
      <c r="J777" s="1333"/>
      <c r="K777" s="1333"/>
      <c r="L777" s="1333"/>
      <c r="M777" s="1333"/>
      <c r="N777" s="1333"/>
      <c r="O777" s="1333"/>
      <c r="P777" s="1333"/>
      <c r="Q777" s="1333"/>
      <c r="R777" s="1333"/>
      <c r="S777" s="1449"/>
      <c r="T777" s="1333"/>
      <c r="U777" s="1333"/>
      <c r="V777" s="1333"/>
      <c r="W777" s="1333"/>
      <c r="X777" s="1333"/>
      <c r="Y777" s="1333"/>
      <c r="Z777" s="1333"/>
      <c r="AA777" s="1333"/>
      <c r="AB777" s="1333"/>
      <c r="AC777" s="1333"/>
      <c r="AD777" s="1333"/>
      <c r="AE777" s="1333"/>
      <c r="AF777" s="1333"/>
      <c r="AG777" s="1333"/>
      <c r="AH777" s="1333"/>
      <c r="AI777" s="1333"/>
      <c r="AJ777" s="1333"/>
    </row>
    <row r="778" spans="1:36" x14ac:dyDescent="0.25">
      <c r="A778" s="1331"/>
      <c r="B778" s="1284"/>
      <c r="C778" s="1284"/>
      <c r="D778" s="1364"/>
      <c r="E778" s="1364"/>
      <c r="F778" s="1364"/>
      <c r="G778" s="1365"/>
      <c r="H778" s="1333"/>
      <c r="I778" s="1333"/>
      <c r="J778" s="1333"/>
      <c r="K778" s="1333"/>
      <c r="L778" s="1333"/>
      <c r="M778" s="1333"/>
      <c r="N778" s="1333"/>
      <c r="O778" s="1333"/>
      <c r="P778" s="1333"/>
      <c r="Q778" s="1333"/>
      <c r="R778" s="1333"/>
      <c r="S778" s="1449"/>
      <c r="T778" s="1333"/>
      <c r="U778" s="1333"/>
      <c r="V778" s="1333"/>
      <c r="W778" s="1333"/>
      <c r="X778" s="1333"/>
      <c r="Y778" s="1333"/>
      <c r="Z778" s="1333"/>
      <c r="AA778" s="1333"/>
      <c r="AB778" s="1333"/>
      <c r="AC778" s="1333"/>
      <c r="AD778" s="1333"/>
      <c r="AE778" s="1333"/>
      <c r="AF778" s="1333"/>
      <c r="AG778" s="1333"/>
      <c r="AH778" s="1333"/>
      <c r="AI778" s="1333"/>
      <c r="AJ778" s="1333"/>
    </row>
    <row r="779" spans="1:36" x14ac:dyDescent="0.25">
      <c r="A779" s="1331"/>
      <c r="B779" s="1284"/>
      <c r="C779" s="1284"/>
      <c r="D779" s="1364"/>
      <c r="E779" s="1364"/>
      <c r="F779" s="1364"/>
      <c r="G779" s="1365"/>
      <c r="H779" s="1333"/>
      <c r="I779" s="1333"/>
      <c r="J779" s="1333"/>
      <c r="K779" s="1333"/>
      <c r="L779" s="1333"/>
      <c r="M779" s="1333"/>
      <c r="N779" s="1333"/>
      <c r="O779" s="1333"/>
      <c r="P779" s="1333"/>
      <c r="Q779" s="1333"/>
      <c r="R779" s="1333"/>
      <c r="S779" s="1449"/>
      <c r="T779" s="1333"/>
      <c r="U779" s="1333"/>
      <c r="V779" s="1333"/>
      <c r="W779" s="1333"/>
      <c r="X779" s="1333"/>
      <c r="Y779" s="1333"/>
      <c r="Z779" s="1333"/>
      <c r="AA779" s="1333"/>
      <c r="AB779" s="1333"/>
      <c r="AC779" s="1333"/>
      <c r="AD779" s="1333"/>
      <c r="AE779" s="1333"/>
      <c r="AF779" s="1333"/>
      <c r="AG779" s="1333"/>
      <c r="AH779" s="1333"/>
      <c r="AI779" s="1333"/>
      <c r="AJ779" s="1333"/>
    </row>
    <row r="780" spans="1:36" x14ac:dyDescent="0.25">
      <c r="A780" s="1331"/>
      <c r="B780" s="1284"/>
      <c r="C780" s="1284"/>
      <c r="D780" s="1364"/>
      <c r="E780" s="1364"/>
      <c r="F780" s="1364"/>
      <c r="G780" s="1365"/>
      <c r="H780" s="1333"/>
      <c r="I780" s="1333"/>
      <c r="J780" s="1333"/>
      <c r="K780" s="1333"/>
      <c r="L780" s="1333"/>
      <c r="M780" s="1333"/>
      <c r="N780" s="1333"/>
      <c r="O780" s="1333"/>
      <c r="P780" s="1333"/>
      <c r="Q780" s="1333"/>
      <c r="R780" s="1333"/>
      <c r="S780" s="1449"/>
      <c r="T780" s="1333"/>
      <c r="U780" s="1333"/>
      <c r="V780" s="1333"/>
      <c r="W780" s="1333"/>
      <c r="X780" s="1333"/>
      <c r="Y780" s="1333"/>
      <c r="Z780" s="1333"/>
      <c r="AA780" s="1333"/>
      <c r="AB780" s="1333"/>
      <c r="AC780" s="1333"/>
      <c r="AD780" s="1333"/>
      <c r="AE780" s="1333"/>
      <c r="AF780" s="1333"/>
      <c r="AG780" s="1333"/>
      <c r="AH780" s="1333"/>
      <c r="AI780" s="1333"/>
      <c r="AJ780" s="1333"/>
    </row>
    <row r="781" spans="1:36" x14ac:dyDescent="0.25">
      <c r="A781" s="1331"/>
      <c r="B781" s="1284"/>
      <c r="C781" s="1284"/>
      <c r="D781" s="1364"/>
      <c r="E781" s="1364"/>
      <c r="F781" s="1364"/>
      <c r="G781" s="1365"/>
      <c r="H781" s="1333"/>
      <c r="I781" s="1333"/>
      <c r="J781" s="1333"/>
      <c r="K781" s="1333"/>
      <c r="L781" s="1333"/>
      <c r="M781" s="1333"/>
      <c r="N781" s="1333"/>
      <c r="O781" s="1333"/>
      <c r="P781" s="1333"/>
      <c r="Q781" s="1333"/>
      <c r="R781" s="1333"/>
      <c r="S781" s="1449"/>
      <c r="T781" s="1333"/>
      <c r="U781" s="1333"/>
      <c r="V781" s="1333"/>
      <c r="W781" s="1333"/>
      <c r="X781" s="1333"/>
      <c r="Y781" s="1333"/>
      <c r="Z781" s="1333"/>
      <c r="AA781" s="1333"/>
      <c r="AB781" s="1333"/>
      <c r="AC781" s="1333"/>
      <c r="AD781" s="1333"/>
      <c r="AE781" s="1333"/>
      <c r="AF781" s="1333"/>
      <c r="AG781" s="1333"/>
      <c r="AH781" s="1333"/>
      <c r="AI781" s="1333"/>
      <c r="AJ781" s="1333"/>
    </row>
    <row r="782" spans="1:36" x14ac:dyDescent="0.25">
      <c r="A782" s="1331"/>
      <c r="B782" s="1284"/>
      <c r="C782" s="1284"/>
      <c r="D782" s="1364"/>
      <c r="E782" s="1364"/>
      <c r="F782" s="1364"/>
      <c r="G782" s="1365"/>
      <c r="H782" s="1333"/>
      <c r="I782" s="1333"/>
      <c r="J782" s="1333"/>
      <c r="K782" s="1333"/>
      <c r="L782" s="1333"/>
      <c r="M782" s="1333"/>
      <c r="N782" s="1333"/>
      <c r="O782" s="1333"/>
      <c r="P782" s="1333"/>
      <c r="Q782" s="1333"/>
      <c r="R782" s="1333"/>
      <c r="S782" s="1449"/>
      <c r="T782" s="1333"/>
      <c r="U782" s="1333"/>
      <c r="V782" s="1333"/>
      <c r="W782" s="1333"/>
      <c r="X782" s="1333"/>
      <c r="Y782" s="1333"/>
      <c r="Z782" s="1333"/>
      <c r="AA782" s="1333"/>
      <c r="AB782" s="1333"/>
      <c r="AC782" s="1333"/>
      <c r="AD782" s="1333"/>
      <c r="AE782" s="1333"/>
      <c r="AF782" s="1333"/>
      <c r="AG782" s="1333"/>
      <c r="AH782" s="1333"/>
      <c r="AI782" s="1333"/>
      <c r="AJ782" s="1333"/>
    </row>
    <row r="783" spans="1:36" x14ac:dyDescent="0.25">
      <c r="A783" s="1331"/>
      <c r="B783" s="1284"/>
      <c r="C783" s="1284"/>
      <c r="D783" s="1364"/>
      <c r="E783" s="1364"/>
      <c r="F783" s="1364"/>
      <c r="G783" s="1365"/>
      <c r="H783" s="1333"/>
      <c r="I783" s="1333"/>
      <c r="J783" s="1333"/>
      <c r="K783" s="1333"/>
      <c r="L783" s="1333"/>
      <c r="M783" s="1333"/>
      <c r="N783" s="1333"/>
      <c r="O783" s="1333"/>
      <c r="P783" s="1333"/>
      <c r="Q783" s="1333"/>
      <c r="R783" s="1333"/>
      <c r="S783" s="1449"/>
      <c r="T783" s="1333"/>
      <c r="U783" s="1333"/>
      <c r="V783" s="1333"/>
      <c r="W783" s="1333"/>
      <c r="X783" s="1333"/>
      <c r="Y783" s="1333"/>
      <c r="Z783" s="1333"/>
      <c r="AA783" s="1333"/>
      <c r="AB783" s="1333"/>
      <c r="AC783" s="1333"/>
      <c r="AD783" s="1333"/>
      <c r="AE783" s="1333"/>
      <c r="AF783" s="1333"/>
      <c r="AG783" s="1333"/>
      <c r="AH783" s="1333"/>
      <c r="AI783" s="1333"/>
      <c r="AJ783" s="1333"/>
    </row>
    <row r="784" spans="1:36" x14ac:dyDescent="0.25">
      <c r="A784" s="1331"/>
      <c r="B784" s="1284"/>
      <c r="C784" s="1284"/>
      <c r="D784" s="1364"/>
      <c r="E784" s="1364"/>
      <c r="F784" s="1364"/>
      <c r="G784" s="1365"/>
      <c r="H784" s="1333"/>
      <c r="I784" s="1333"/>
      <c r="J784" s="1333"/>
      <c r="K784" s="1333"/>
      <c r="L784" s="1333"/>
      <c r="M784" s="1333"/>
      <c r="N784" s="1333"/>
      <c r="O784" s="1333"/>
      <c r="P784" s="1333"/>
      <c r="Q784" s="1333"/>
      <c r="R784" s="1333"/>
      <c r="S784" s="1449"/>
      <c r="T784" s="1333"/>
      <c r="U784" s="1333"/>
      <c r="V784" s="1333"/>
      <c r="W784" s="1333"/>
      <c r="X784" s="1333"/>
      <c r="Y784" s="1333"/>
      <c r="Z784" s="1333"/>
      <c r="AA784" s="1333"/>
      <c r="AB784" s="1333"/>
      <c r="AC784" s="1333"/>
      <c r="AD784" s="1333"/>
      <c r="AE784" s="1333"/>
      <c r="AF784" s="1333"/>
      <c r="AG784" s="1333"/>
      <c r="AH784" s="1333"/>
      <c r="AI784" s="1333"/>
      <c r="AJ784" s="1333"/>
    </row>
    <row r="785" spans="1:36" x14ac:dyDescent="0.25">
      <c r="A785" s="1331"/>
      <c r="B785" s="1284"/>
      <c r="C785" s="1284"/>
      <c r="D785" s="1364"/>
      <c r="E785" s="1364"/>
      <c r="F785" s="1364"/>
      <c r="G785" s="1365"/>
      <c r="H785" s="1333"/>
      <c r="I785" s="1333"/>
      <c r="J785" s="1333"/>
      <c r="K785" s="1333"/>
      <c r="L785" s="1333"/>
      <c r="M785" s="1333"/>
      <c r="N785" s="1333"/>
      <c r="O785" s="1333"/>
      <c r="P785" s="1333"/>
      <c r="Q785" s="1333"/>
      <c r="R785" s="1333"/>
      <c r="S785" s="1449"/>
      <c r="T785" s="1333"/>
      <c r="U785" s="1333"/>
      <c r="V785" s="1333"/>
      <c r="W785" s="1333"/>
      <c r="X785" s="1333"/>
      <c r="Y785" s="1333"/>
      <c r="Z785" s="1333"/>
      <c r="AA785" s="1333"/>
      <c r="AB785" s="1333"/>
      <c r="AC785" s="1333"/>
      <c r="AD785" s="1333"/>
      <c r="AE785" s="1333"/>
      <c r="AF785" s="1333"/>
      <c r="AG785" s="1333"/>
      <c r="AH785" s="1333"/>
      <c r="AI785" s="1333"/>
      <c r="AJ785" s="1333"/>
    </row>
    <row r="786" spans="1:36" x14ac:dyDescent="0.25">
      <c r="A786" s="1331"/>
      <c r="B786" s="1284"/>
      <c r="C786" s="1284"/>
      <c r="D786" s="1364"/>
      <c r="E786" s="1364"/>
      <c r="F786" s="1364"/>
      <c r="G786" s="1365"/>
      <c r="H786" s="1333"/>
      <c r="I786" s="1333"/>
      <c r="J786" s="1333"/>
      <c r="K786" s="1333"/>
      <c r="L786" s="1333"/>
      <c r="M786" s="1333"/>
      <c r="N786" s="1333"/>
      <c r="O786" s="1333"/>
      <c r="P786" s="1333"/>
      <c r="Q786" s="1333"/>
      <c r="R786" s="1333"/>
      <c r="S786" s="1449"/>
      <c r="T786" s="1333"/>
      <c r="U786" s="1333"/>
      <c r="V786" s="1333"/>
      <c r="W786" s="1333"/>
      <c r="X786" s="1333"/>
      <c r="Y786" s="1333"/>
      <c r="Z786" s="1333"/>
      <c r="AA786" s="1333"/>
      <c r="AB786" s="1333"/>
      <c r="AC786" s="1333"/>
      <c r="AD786" s="1333"/>
      <c r="AE786" s="1333"/>
      <c r="AF786" s="1333"/>
      <c r="AG786" s="1333"/>
      <c r="AH786" s="1333"/>
      <c r="AI786" s="1333"/>
      <c r="AJ786" s="1333"/>
    </row>
    <row r="787" spans="1:36" x14ac:dyDescent="0.25">
      <c r="A787" s="1331"/>
      <c r="B787" s="1284"/>
      <c r="C787" s="1284"/>
      <c r="D787" s="1364"/>
      <c r="E787" s="1364"/>
      <c r="F787" s="1364"/>
      <c r="G787" s="1365"/>
      <c r="H787" s="1333"/>
      <c r="I787" s="1333"/>
      <c r="J787" s="1333"/>
      <c r="K787" s="1333"/>
      <c r="L787" s="1333"/>
      <c r="M787" s="1333"/>
      <c r="N787" s="1333"/>
      <c r="O787" s="1333"/>
      <c r="P787" s="1333"/>
      <c r="Q787" s="1333"/>
      <c r="R787" s="1333"/>
      <c r="S787" s="1449"/>
      <c r="T787" s="1333"/>
      <c r="U787" s="1333"/>
      <c r="V787" s="1333"/>
      <c r="W787" s="1333"/>
      <c r="X787" s="1333"/>
      <c r="Y787" s="1333"/>
      <c r="Z787" s="1333"/>
      <c r="AA787" s="1333"/>
      <c r="AB787" s="1333"/>
      <c r="AC787" s="1333"/>
      <c r="AD787" s="1333"/>
      <c r="AE787" s="1333"/>
      <c r="AF787" s="1333"/>
      <c r="AG787" s="1333"/>
      <c r="AH787" s="1333"/>
      <c r="AI787" s="1333"/>
      <c r="AJ787" s="1333"/>
    </row>
  </sheetData>
  <sheetProtection formatColumns="0" formatRows="0" selectLockedCells="1"/>
  <mergeCells count="30">
    <mergeCell ref="F3:H3"/>
    <mergeCell ref="A457:A469"/>
    <mergeCell ref="C576:E576"/>
    <mergeCell ref="A555:A565"/>
    <mergeCell ref="A15:A23"/>
    <mergeCell ref="C15:H15"/>
    <mergeCell ref="C16:H16"/>
    <mergeCell ref="C18:H18"/>
    <mergeCell ref="C19:H19"/>
    <mergeCell ref="C21:D21"/>
    <mergeCell ref="F21:G21"/>
    <mergeCell ref="C22:D22"/>
    <mergeCell ref="F22:G22"/>
    <mergeCell ref="D23:F23"/>
    <mergeCell ref="G23:H23"/>
    <mergeCell ref="A524:A554"/>
    <mergeCell ref="C605:E605"/>
    <mergeCell ref="C596:E596"/>
    <mergeCell ref="C591:E591"/>
    <mergeCell ref="C593:E593"/>
    <mergeCell ref="C589:E589"/>
    <mergeCell ref="C594:E594"/>
    <mergeCell ref="C573:E573"/>
    <mergeCell ref="C603:E603"/>
    <mergeCell ref="C574:E574"/>
    <mergeCell ref="C580:E580"/>
    <mergeCell ref="C582:E582"/>
    <mergeCell ref="C586:E586"/>
    <mergeCell ref="C587:E587"/>
    <mergeCell ref="C584:E584"/>
  </mergeCells>
  <conditionalFormatting sqref="E37:I37">
    <cfRule type="expression" dxfId="179" priority="521">
      <formula>$D$37="N"</formula>
    </cfRule>
  </conditionalFormatting>
  <conditionalFormatting sqref="E32:I32">
    <cfRule type="expression" dxfId="178" priority="519">
      <formula>$D$32="N"</formula>
    </cfRule>
  </conditionalFormatting>
  <conditionalFormatting sqref="D4">
    <cfRule type="cellIs" dxfId="177" priority="616" operator="equal">
      <formula>"?"</formula>
    </cfRule>
    <cfRule type="cellIs" dxfId="176" priority="617" operator="equal">
      <formula>"Y"</formula>
    </cfRule>
  </conditionalFormatting>
  <conditionalFormatting sqref="E5">
    <cfRule type="cellIs" dxfId="175" priority="614" operator="equal">
      <formula>"?"</formula>
    </cfRule>
    <cfRule type="cellIs" dxfId="174" priority="615" operator="equal">
      <formula>"Y"</formula>
    </cfRule>
  </conditionalFormatting>
  <conditionalFormatting sqref="F6">
    <cfRule type="cellIs" dxfId="173" priority="612" operator="equal">
      <formula>"?"</formula>
    </cfRule>
    <cfRule type="cellIs" dxfId="172" priority="613" operator="equal">
      <formula>"Y"</formula>
    </cfRule>
  </conditionalFormatting>
  <conditionalFormatting sqref="F218:H230">
    <cfRule type="expression" dxfId="171" priority="537">
      <formula>$E$218="N"</formula>
    </cfRule>
  </conditionalFormatting>
  <conditionalFormatting sqref="F231:H254">
    <cfRule type="expression" dxfId="170" priority="538">
      <formula>$E$231="N"</formula>
    </cfRule>
  </conditionalFormatting>
  <conditionalFormatting sqref="F270:H278">
    <cfRule type="expression" dxfId="169" priority="559">
      <formula>$E$270="N"</formula>
    </cfRule>
  </conditionalFormatting>
  <conditionalFormatting sqref="F289:H298">
    <cfRule type="expression" dxfId="168" priority="561">
      <formula>$E$289="N"</formula>
    </cfRule>
  </conditionalFormatting>
  <conditionalFormatting sqref="F299:H308">
    <cfRule type="expression" dxfId="167" priority="562">
      <formula>$E$299="N"</formula>
    </cfRule>
  </conditionalFormatting>
  <conditionalFormatting sqref="F316:H331">
    <cfRule type="expression" dxfId="166" priority="564">
      <formula>$E$316="N"</formula>
    </cfRule>
  </conditionalFormatting>
  <conditionalFormatting sqref="F340:H342 F345:H349">
    <cfRule type="expression" dxfId="165" priority="569">
      <formula>$E$340="N"</formula>
    </cfRule>
  </conditionalFormatting>
  <conditionalFormatting sqref="F279:H288">
    <cfRule type="expression" dxfId="164" priority="560">
      <formula>$E$279="N"</formula>
    </cfRule>
  </conditionalFormatting>
  <conditionalFormatting sqref="E206:H381">
    <cfRule type="expression" dxfId="163" priority="534">
      <formula>$D$206="N"</formula>
    </cfRule>
  </conditionalFormatting>
  <conditionalFormatting sqref="E168:I168">
    <cfRule type="expression" dxfId="162" priority="528">
      <formula>$D$168="N"</formula>
    </cfRule>
  </conditionalFormatting>
  <conditionalFormatting sqref="I4 K4">
    <cfRule type="expression" dxfId="161" priority="611">
      <formula>$C4="N"</formula>
    </cfRule>
  </conditionalFormatting>
  <conditionalFormatting sqref="H5 K5:K6">
    <cfRule type="expression" dxfId="160" priority="610">
      <formula>$C$180="N"</formula>
    </cfRule>
  </conditionalFormatting>
  <conditionalFormatting sqref="H6">
    <cfRule type="expression" dxfId="159" priority="609">
      <formula>$C$180="N"</formula>
    </cfRule>
  </conditionalFormatting>
  <conditionalFormatting sqref="F332:H339">
    <cfRule type="expression" dxfId="158" priority="565">
      <formula>$E$332="N"</formula>
    </cfRule>
  </conditionalFormatting>
  <conditionalFormatting sqref="F350:H352 F355:H357">
    <cfRule type="expression" dxfId="157" priority="570">
      <formula>$E$350="N"</formula>
    </cfRule>
  </conditionalFormatting>
  <conditionalFormatting sqref="F255:H269">
    <cfRule type="expression" dxfId="156" priority="539">
      <formula>$E$255="N"</formula>
    </cfRule>
  </conditionalFormatting>
  <conditionalFormatting sqref="E180:H205">
    <cfRule type="expression" dxfId="155" priority="532">
      <formula>$D$180="N"</formula>
    </cfRule>
  </conditionalFormatting>
  <conditionalFormatting sqref="E27:I27">
    <cfRule type="expression" dxfId="154" priority="516">
      <formula>$D$27="N"</formula>
    </cfRule>
  </conditionalFormatting>
  <conditionalFormatting sqref="E126:H126">
    <cfRule type="expression" dxfId="153" priority="525">
      <formula>$D$126="N"</formula>
    </cfRule>
  </conditionalFormatting>
  <conditionalFormatting sqref="E39:H39">
    <cfRule type="expression" dxfId="152" priority="522">
      <formula>$D$39="N"</formula>
    </cfRule>
  </conditionalFormatting>
  <conditionalFormatting sqref="E25:I25">
    <cfRule type="expression" dxfId="151" priority="518">
      <formula>$D$25="N"</formula>
    </cfRule>
  </conditionalFormatting>
  <conditionalFormatting sqref="E180:H180">
    <cfRule type="expression" dxfId="150" priority="531">
      <formula>$D$180="N"</formula>
    </cfRule>
  </conditionalFormatting>
  <conditionalFormatting sqref="E206:H206">
    <cfRule type="expression" dxfId="149" priority="533">
      <formula>$D$206="N"</formula>
    </cfRule>
  </conditionalFormatting>
  <conditionalFormatting sqref="F358:H366">
    <cfRule type="expression" dxfId="148" priority="566">
      <formula>$E$358="N"</formula>
    </cfRule>
  </conditionalFormatting>
  <conditionalFormatting sqref="G25:H564">
    <cfRule type="expression" dxfId="147" priority="514">
      <formula>$F25="N"</formula>
    </cfRule>
  </conditionalFormatting>
  <conditionalFormatting sqref="F25:H564">
    <cfRule type="expression" dxfId="146" priority="189">
      <formula>$E25="N"</formula>
    </cfRule>
  </conditionalFormatting>
  <conditionalFormatting sqref="E385:H440">
    <cfRule type="expression" dxfId="145" priority="574">
      <formula>$D$385="N"</formula>
    </cfRule>
  </conditionalFormatting>
  <conditionalFormatting sqref="E385:H385">
    <cfRule type="expression" dxfId="144" priority="573">
      <formula>$D$385="N"</formula>
    </cfRule>
  </conditionalFormatting>
  <conditionalFormatting sqref="E443:H443">
    <cfRule type="expression" dxfId="143" priority="575">
      <formula>$D$443="N"</formula>
    </cfRule>
  </conditionalFormatting>
  <conditionalFormatting sqref="E39:H125">
    <cfRule type="expression" dxfId="142" priority="523">
      <formula>$D$39="N"</formula>
    </cfRule>
  </conditionalFormatting>
  <conditionalFormatting sqref="E126:H167">
    <cfRule type="expression" dxfId="141" priority="526">
      <formula>$D$126="N"</formula>
    </cfRule>
  </conditionalFormatting>
  <conditionalFormatting sqref="E382:H382">
    <cfRule type="expression" dxfId="140" priority="572">
      <formula>$D$382="N"</formula>
    </cfRule>
  </conditionalFormatting>
  <conditionalFormatting sqref="K623:K632">
    <cfRule type="expression" dxfId="139" priority="582">
      <formula>$D$25="N"</formula>
    </cfRule>
  </conditionalFormatting>
  <conditionalFormatting sqref="E25:H564">
    <cfRule type="expression" dxfId="138" priority="172">
      <formula>$D25="N"</formula>
    </cfRule>
  </conditionalFormatting>
  <conditionalFormatting sqref="E444:H455">
    <cfRule type="expression" dxfId="137" priority="576">
      <formula>$D$443="N"</formula>
    </cfRule>
  </conditionalFormatting>
  <conditionalFormatting sqref="E461:H461">
    <cfRule type="expression" dxfId="136" priority="578">
      <formula>$D$461="N"</formula>
    </cfRule>
  </conditionalFormatting>
  <conditionalFormatting sqref="E463:H463">
    <cfRule type="expression" dxfId="135" priority="579">
      <formula>$D$463="N"</formula>
    </cfRule>
  </conditionalFormatting>
  <conditionalFormatting sqref="E463:H467">
    <cfRule type="expression" dxfId="134" priority="580">
      <formula>$D$463="N"</formula>
    </cfRule>
  </conditionalFormatting>
  <conditionalFormatting sqref="E468:H468">
    <cfRule type="expression" dxfId="133" priority="581">
      <formula>$D$468="N"</formula>
    </cfRule>
  </conditionalFormatting>
  <conditionalFormatting sqref="K456">
    <cfRule type="cellIs" dxfId="132" priority="557" operator="equal">
      <formula>"BID DOES NOT APPLY"</formula>
    </cfRule>
    <cfRule type="cellIs" dxfId="131" priority="558" operator="equal">
      <formula>"NO CONSTRUCTION - BID DOES NOT APPLY"</formula>
    </cfRule>
  </conditionalFormatting>
  <conditionalFormatting sqref="K569:K571">
    <cfRule type="cellIs" dxfId="130" priority="555" operator="equal">
      <formula>"BID DOES NOT APPLY"</formula>
    </cfRule>
    <cfRule type="cellIs" dxfId="129" priority="556" operator="equal">
      <formula>"NO CONSTRUCTION - BID DOES NOT APPLY"</formula>
    </cfRule>
  </conditionalFormatting>
  <conditionalFormatting sqref="I5">
    <cfRule type="expression" dxfId="128" priority="554">
      <formula>$C$180="N"</formula>
    </cfRule>
  </conditionalFormatting>
  <conditionalFormatting sqref="I6">
    <cfRule type="expression" dxfId="127" priority="553">
      <formula>$C$180="N"</formula>
    </cfRule>
  </conditionalFormatting>
  <conditionalFormatting sqref="E174:H178">
    <cfRule type="expression" dxfId="126" priority="530">
      <formula>$D$174="N"</formula>
    </cfRule>
  </conditionalFormatting>
  <conditionalFormatting sqref="E174:H174">
    <cfRule type="expression" dxfId="125" priority="529">
      <formula>$D$174="N"</formula>
    </cfRule>
  </conditionalFormatting>
  <conditionalFormatting sqref="E459:H459">
    <cfRule type="expression" dxfId="124" priority="577">
      <formula>$D$459="N"</formula>
    </cfRule>
  </conditionalFormatting>
  <conditionalFormatting sqref="E472:H472">
    <cfRule type="expression" dxfId="123" priority="584">
      <formula>$D$472="N"</formula>
    </cfRule>
  </conditionalFormatting>
  <conditionalFormatting sqref="E472:H478">
    <cfRule type="expression" dxfId="122" priority="583">
      <formula>$D$472="N"</formula>
    </cfRule>
  </conditionalFormatting>
  <conditionalFormatting sqref="E480:H480">
    <cfRule type="expression" dxfId="121" priority="586">
      <formula>$D$480="N"</formula>
    </cfRule>
  </conditionalFormatting>
  <conditionalFormatting sqref="E485:H485">
    <cfRule type="expression" dxfId="120" priority="588">
      <formula>$D$485="N"</formula>
    </cfRule>
  </conditionalFormatting>
  <conditionalFormatting sqref="E487:H487">
    <cfRule type="expression" dxfId="119" priority="590">
      <formula>$D$487="N"</formula>
    </cfRule>
  </conditionalFormatting>
  <conditionalFormatting sqref="E487:H493">
    <cfRule type="expression" dxfId="118" priority="589">
      <formula>$D$487="N"</formula>
    </cfRule>
  </conditionalFormatting>
  <conditionalFormatting sqref="E495:H501">
    <cfRule type="expression" dxfId="117" priority="592">
      <formula>$D$495="N"</formula>
    </cfRule>
  </conditionalFormatting>
  <conditionalFormatting sqref="E495:H495">
    <cfRule type="expression" dxfId="116" priority="591">
      <formula>$D$495="N"</formula>
    </cfRule>
  </conditionalFormatting>
  <conditionalFormatting sqref="E502:H502">
    <cfRule type="expression" dxfId="115" priority="593">
      <formula>$D$502="N"</formula>
    </cfRule>
  </conditionalFormatting>
  <conditionalFormatting sqref="E504:H518">
    <cfRule type="expression" dxfId="114" priority="594">
      <formula>$D$502="N"</formula>
    </cfRule>
  </conditionalFormatting>
  <conditionalFormatting sqref="E519:H519">
    <cfRule type="expression" dxfId="113" priority="595">
      <formula>$D$519="N"</formula>
    </cfRule>
  </conditionalFormatting>
  <conditionalFormatting sqref="E521:H521">
    <cfRule type="expression" dxfId="112" priority="596">
      <formula>$D$521="N"</formula>
    </cfRule>
  </conditionalFormatting>
  <conditionalFormatting sqref="E523:H523">
    <cfRule type="expression" dxfId="111" priority="597">
      <formula>$D$523="N"</formula>
    </cfRule>
  </conditionalFormatting>
  <conditionalFormatting sqref="E527:H527">
    <cfRule type="expression" dxfId="110" priority="599">
      <formula>$D$527="N"</formula>
    </cfRule>
  </conditionalFormatting>
  <conditionalFormatting sqref="E527:H545">
    <cfRule type="expression" dxfId="109" priority="598">
      <formula>$D$527="N"</formula>
    </cfRule>
  </conditionalFormatting>
  <conditionalFormatting sqref="E546:H546">
    <cfRule type="expression" dxfId="108" priority="600">
      <formula>$D$546="N"</formula>
    </cfRule>
  </conditionalFormatting>
  <conditionalFormatting sqref="E546:H550">
    <cfRule type="expression" dxfId="107" priority="601">
      <formula>$D$546="N"</formula>
    </cfRule>
  </conditionalFormatting>
  <conditionalFormatting sqref="E551:H551">
    <cfRule type="expression" dxfId="106" priority="604">
      <formula>$D$551="N"</formula>
    </cfRule>
  </conditionalFormatting>
  <conditionalFormatting sqref="E557:H557">
    <cfRule type="expression" dxfId="105" priority="607">
      <formula>$D$557="N"</formula>
    </cfRule>
  </conditionalFormatting>
  <conditionalFormatting sqref="E559:H559">
    <cfRule type="expression" dxfId="104" priority="608">
      <formula>$D$559="N"</formula>
    </cfRule>
  </conditionalFormatting>
  <conditionalFormatting sqref="E561:H561">
    <cfRule type="expression" dxfId="103" priority="619">
      <formula>$D$561="N"</formula>
    </cfRule>
  </conditionalFormatting>
  <conditionalFormatting sqref="E563:H563">
    <cfRule type="expression" dxfId="102" priority="620">
      <formula>$D$563="N"</formula>
    </cfRule>
  </conditionalFormatting>
  <conditionalFormatting sqref="S459">
    <cfRule type="expression" dxfId="101" priority="512">
      <formula>$D459="Y"</formula>
    </cfRule>
  </conditionalFormatting>
  <conditionalFormatting sqref="L555">
    <cfRule type="cellIs" dxfId="100" priority="510" operator="equal">
      <formula>"&lt;----(NOT AT THIS PHASE) Use DROP DOWN to chose it Deliverable/Master Item Applies"</formula>
    </cfRule>
  </conditionalFormatting>
  <conditionalFormatting sqref="K25:K27 K349:K350 K125:K133 K167:K168 K260:K270 K282 K292 K302 K319 K345:K347 K173:K177 K218 K316 K337:K340 K363:K367 K355:K358 K116:K117 K45:K59 K237:K255 K227 K223:K224 K61:K65 K67:K82 K84:K90 K92:K95 K97:K100 K102:K109 K111:K112 K119:K120 K275:K279 K284:K289 K294:K299 K304:K308 K321:K332 K370:K456 K135:K162 K229:K231 K179:K210 K36:K39 K31:K32">
    <cfRule type="cellIs" dxfId="99" priority="490" operator="equal">
      <formula>"no 95% match"</formula>
    </cfRule>
  </conditionalFormatting>
  <conditionalFormatting sqref="F368:H380">
    <cfRule type="expression" dxfId="98" priority="567">
      <formula>$E$367="N"</formula>
    </cfRule>
  </conditionalFormatting>
  <conditionalFormatting sqref="G372:H380">
    <cfRule type="expression" dxfId="97" priority="568">
      <formula>$F$372="N"</formula>
    </cfRule>
  </conditionalFormatting>
  <conditionalFormatting sqref="E480:H483">
    <cfRule type="expression" dxfId="96" priority="587">
      <formula>$D$480="N"</formula>
    </cfRule>
  </conditionalFormatting>
  <conditionalFormatting sqref="C16">
    <cfRule type="cellIs" dxfId="95" priority="167" operator="equal">
      <formula>"NO CONSTRUCTION - POST CONST. DOES NOT APPLY"</formula>
    </cfRule>
    <cfRule type="cellIs" dxfId="94" priority="168" operator="equal">
      <formula>"POST CONSTRUCTION DOES NOT APPLY"</formula>
    </cfRule>
  </conditionalFormatting>
  <conditionalFormatting sqref="K348">
    <cfRule type="cellIs" dxfId="93" priority="375" operator="equal">
      <formula>"no 95% match"</formula>
    </cfRule>
  </conditionalFormatting>
  <conditionalFormatting sqref="F56:H125">
    <cfRule type="expression" dxfId="92" priority="524">
      <formula>$D$56="N"</formula>
    </cfRule>
  </conditionalFormatting>
  <conditionalFormatting sqref="E553:H553">
    <cfRule type="expression" dxfId="91" priority="605">
      <formula>$D$553="N"</formula>
    </cfRule>
  </conditionalFormatting>
  <conditionalFormatting sqref="K222">
    <cfRule type="cellIs" dxfId="90" priority="327" operator="equal">
      <formula>"no 95% match"</formula>
    </cfRule>
  </conditionalFormatting>
  <conditionalFormatting sqref="K225:K226">
    <cfRule type="cellIs" dxfId="89" priority="322" operator="equal">
      <formula>"no 95% match"</formula>
    </cfRule>
  </conditionalFormatting>
  <conditionalFormatting sqref="K220">
    <cfRule type="cellIs" dxfId="88" priority="317" operator="equal">
      <formula>"no 95% match"</formula>
    </cfRule>
  </conditionalFormatting>
  <conditionalFormatting sqref="K219">
    <cfRule type="cellIs" dxfId="87" priority="312" operator="equal">
      <formula>"no 95% match"</formula>
    </cfRule>
  </conditionalFormatting>
  <conditionalFormatting sqref="K233">
    <cfRule type="cellIs" dxfId="86" priority="307" operator="equal">
      <formula>"no 95% match"</formula>
    </cfRule>
  </conditionalFormatting>
  <conditionalFormatting sqref="K232">
    <cfRule type="cellIs" dxfId="85" priority="303" operator="equal">
      <formula>"no 95% match"</formula>
    </cfRule>
  </conditionalFormatting>
  <conditionalFormatting sqref="K257">
    <cfRule type="cellIs" dxfId="84" priority="298" operator="equal">
      <formula>"no 95% match"</formula>
    </cfRule>
  </conditionalFormatting>
  <conditionalFormatting sqref="K256">
    <cfRule type="cellIs" dxfId="83" priority="294" operator="equal">
      <formula>"no 95% match"</formula>
    </cfRule>
  </conditionalFormatting>
  <conditionalFormatting sqref="K272">
    <cfRule type="cellIs" dxfId="82" priority="289" operator="equal">
      <formula>"no 95% match"</formula>
    </cfRule>
  </conditionalFormatting>
  <conditionalFormatting sqref="K271">
    <cfRule type="cellIs" dxfId="81" priority="285" operator="equal">
      <formula>"no 95% match"</formula>
    </cfRule>
  </conditionalFormatting>
  <conditionalFormatting sqref="K281">
    <cfRule type="cellIs" dxfId="80" priority="280" operator="equal">
      <formula>"no 95% match"</formula>
    </cfRule>
  </conditionalFormatting>
  <conditionalFormatting sqref="K280">
    <cfRule type="cellIs" dxfId="79" priority="276" operator="equal">
      <formula>"no 95% match"</formula>
    </cfRule>
  </conditionalFormatting>
  <conditionalFormatting sqref="K291">
    <cfRule type="cellIs" dxfId="78" priority="271" operator="equal">
      <formula>"no 95% match"</formula>
    </cfRule>
  </conditionalFormatting>
  <conditionalFormatting sqref="K290">
    <cfRule type="cellIs" dxfId="77" priority="267" operator="equal">
      <formula>"no 95% match"</formula>
    </cfRule>
  </conditionalFormatting>
  <conditionalFormatting sqref="K301">
    <cfRule type="cellIs" dxfId="76" priority="262" operator="equal">
      <formula>"no 95% match"</formula>
    </cfRule>
  </conditionalFormatting>
  <conditionalFormatting sqref="K300">
    <cfRule type="cellIs" dxfId="75" priority="258" operator="equal">
      <formula>"no 95% match"</formula>
    </cfRule>
  </conditionalFormatting>
  <conditionalFormatting sqref="K318">
    <cfRule type="cellIs" dxfId="74" priority="253" operator="equal">
      <formula>"no 95% match"</formula>
    </cfRule>
  </conditionalFormatting>
  <conditionalFormatting sqref="K317">
    <cfRule type="cellIs" dxfId="73" priority="249" operator="equal">
      <formula>"no 95% match"</formula>
    </cfRule>
  </conditionalFormatting>
  <conditionalFormatting sqref="K334">
    <cfRule type="cellIs" dxfId="72" priority="244" operator="equal">
      <formula>"no 95% match"</formula>
    </cfRule>
  </conditionalFormatting>
  <conditionalFormatting sqref="K333">
    <cfRule type="cellIs" dxfId="71" priority="240" operator="equal">
      <formula>"no 95% match"</formula>
    </cfRule>
  </conditionalFormatting>
  <conditionalFormatting sqref="K360">
    <cfRule type="cellIs" dxfId="70" priority="235" operator="equal">
      <formula>"no 95% match"</formula>
    </cfRule>
  </conditionalFormatting>
  <conditionalFormatting sqref="K359">
    <cfRule type="cellIs" dxfId="69" priority="231" operator="equal">
      <formula>"no 95% match"</formula>
    </cfRule>
  </conditionalFormatting>
  <conditionalFormatting sqref="K342">
    <cfRule type="cellIs" dxfId="68" priority="226" operator="equal">
      <formula>"no 95% match"</formula>
    </cfRule>
  </conditionalFormatting>
  <conditionalFormatting sqref="K341">
    <cfRule type="cellIs" dxfId="67" priority="222" operator="equal">
      <formula>"no 95% match"</formula>
    </cfRule>
  </conditionalFormatting>
  <conditionalFormatting sqref="K352">
    <cfRule type="cellIs" dxfId="66" priority="217" operator="equal">
      <formula>"no 95% match"</formula>
    </cfRule>
  </conditionalFormatting>
  <conditionalFormatting sqref="K351">
    <cfRule type="cellIs" dxfId="65" priority="213" operator="equal">
      <formula>"no 95% match"</formula>
    </cfRule>
  </conditionalFormatting>
  <conditionalFormatting sqref="K235">
    <cfRule type="cellIs" dxfId="64" priority="208" operator="equal">
      <formula>"no 95% match"</formula>
    </cfRule>
  </conditionalFormatting>
  <conditionalFormatting sqref="E168:H172">
    <cfRule type="expression" dxfId="63" priority="527">
      <formula>$D$168="N"</formula>
    </cfRule>
  </conditionalFormatting>
  <conditionalFormatting sqref="C15:H16 C18:H18">
    <cfRule type="containsText" dxfId="62" priority="351" operator="containsText" text="Insert">
      <formula>NOT(ISERROR(SEARCH("Insert",C15)))</formula>
    </cfRule>
    <cfRule type="containsText" dxfId="61" priority="352" operator="containsText" text="Choose">
      <formula>NOT(ISERROR(SEARCH("Choose",C15)))</formula>
    </cfRule>
    <cfRule type="containsText" dxfId="60" priority="384" operator="containsText" text="##">
      <formula>NOT(ISERROR(SEARCH("##",C15)))</formula>
    </cfRule>
  </conditionalFormatting>
  <conditionalFormatting sqref="F211:H217">
    <cfRule type="expression" dxfId="59" priority="535">
      <formula>$E$211="N"</formula>
    </cfRule>
  </conditionalFormatting>
  <conditionalFormatting sqref="K134">
    <cfRule type="cellIs" dxfId="58" priority="134" operator="equal">
      <formula>"no 95% match"</formula>
    </cfRule>
  </conditionalFormatting>
  <conditionalFormatting sqref="K312 K309 K314:K315">
    <cfRule type="cellIs" dxfId="57" priority="116" operator="equal">
      <formula>"no 95% match"</formula>
    </cfRule>
  </conditionalFormatting>
  <conditionalFormatting sqref="K311">
    <cfRule type="cellIs" dxfId="56" priority="111" operator="equal">
      <formula>"no 95% match"</formula>
    </cfRule>
  </conditionalFormatting>
  <conditionalFormatting sqref="K310">
    <cfRule type="cellIs" dxfId="55" priority="110" operator="equal">
      <formula>"no 95% match"</formula>
    </cfRule>
  </conditionalFormatting>
  <conditionalFormatting sqref="F309:H315">
    <cfRule type="expression" dxfId="54" priority="563">
      <formula>$E$309="N"</formula>
    </cfRule>
  </conditionalFormatting>
  <conditionalFormatting sqref="S459">
    <cfRule type="expression" dxfId="53" priority="36186">
      <formula>$A459="no 50% match"</formula>
    </cfRule>
  </conditionalFormatting>
  <conditionalFormatting sqref="S459">
    <cfRule type="expression" dxfId="52" priority="36187">
      <formula>$A459="no DD match"</formula>
    </cfRule>
  </conditionalFormatting>
  <conditionalFormatting sqref="L15:L21">
    <cfRule type="containsText" dxfId="51" priority="68" operator="containsText" text="Enter/Update">
      <formula>NOT(ISERROR(SEARCH("Enter/Update",L15)))</formula>
    </cfRule>
    <cfRule type="containsText" dxfId="50" priority="69" operator="containsText" text="&lt;----Fill in information">
      <formula>NOT(ISERROR(SEARCH("&lt;----Fill in information",L15)))</formula>
    </cfRule>
  </conditionalFormatting>
  <conditionalFormatting sqref="H25:H27 H36:H564 H31:H32">
    <cfRule type="expression" dxfId="49" priority="515">
      <formula>$G25="N"</formula>
    </cfRule>
  </conditionalFormatting>
  <conditionalFormatting sqref="C18:H564">
    <cfRule type="expression" dxfId="48" priority="1">
      <formula>$C$16="POST CONSTRUCTION DOES NOT APPLY"</formula>
    </cfRule>
    <cfRule type="expression" dxfId="47" priority="2">
      <formula>$C$16="NO CONSTRUCTION - POST CONST. DOES NOT APPLY"</formula>
    </cfRule>
  </conditionalFormatting>
  <conditionalFormatting sqref="D25:G564">
    <cfRule type="cellIs" dxfId="46" priority="142" operator="equal">
      <formula>"Y"</formula>
    </cfRule>
    <cfRule type="cellIs" dxfId="45" priority="169" operator="equal">
      <formula>"?"</formula>
    </cfRule>
  </conditionalFormatting>
  <conditionalFormatting sqref="C25:C564">
    <cfRule type="expression" dxfId="44" priority="386">
      <formula>$D25="Y"</formula>
    </cfRule>
    <cfRule type="expression" dxfId="43" priority="387">
      <formula>$E25="Y"</formula>
    </cfRule>
    <cfRule type="expression" dxfId="42" priority="388">
      <formula>$F25="Y"</formula>
    </cfRule>
    <cfRule type="expression" dxfId="41" priority="389">
      <formula>$G25="Y"</formula>
    </cfRule>
  </conditionalFormatting>
  <conditionalFormatting sqref="H25:H564">
    <cfRule type="containsText" dxfId="40" priority="105" operator="containsText" text="PLACEHOLDER">
      <formula>NOT(ISERROR(SEARCH("PLACEHOLDER",H25)))</formula>
    </cfRule>
  </conditionalFormatting>
  <conditionalFormatting sqref="D28:H30">
    <cfRule type="expression" dxfId="39" priority="517">
      <formula>$D$27="N"</formula>
    </cfRule>
  </conditionalFormatting>
  <conditionalFormatting sqref="D33:H35">
    <cfRule type="expression" dxfId="38" priority="520">
      <formula>$D$32="N"</formula>
    </cfRule>
  </conditionalFormatting>
  <dataValidations count="3">
    <dataValidation type="list" allowBlank="1" showInputMessage="1" showErrorMessage="1" sqref="C23">
      <formula1>$C$8:$C$11</formula1>
    </dataValidation>
    <dataValidation type="list" allowBlank="1" showInputMessage="1" showErrorMessage="1" sqref="E5 D4 F6 D568:F568">
      <formula1>$D$8:$D$11</formula1>
    </dataValidation>
    <dataValidation allowBlank="1" showInputMessage="1" showErrorMessage="1" promptTitle="NO INPUTS IN THESE CELLS" prompt="Changes are only made in TAB C." sqref="F21:H21 C21:D21 D25:H565"/>
  </dataValidations>
  <hyperlinks>
    <hyperlink ref="H528" r:id="rId1"/>
    <hyperlink ref="H503" r:id="rId2" display="http://www.fs.illinois.edu/docs/default-source/facility-standards/technical-sections/division-01---administrative/01-33-23---shop-drawings-product-data-and-samples.docx?sfvrsn=2"/>
  </hyperlinks>
  <printOptions horizontalCentered="1"/>
  <pageMargins left="0.45" right="0.45" top="0.5" bottom="0.65" header="0.3" footer="0.3"/>
  <pageSetup scale="28" orientation="portrait" r:id="rId3"/>
  <headerFooter>
    <oddFooter>&amp;L&amp;"-,Bold"&amp;10TAB &amp;A&amp;C&amp;8&amp;P of &amp;N&amp;R&amp;G</oddFooter>
  </headerFooter>
  <rowBreaks count="5" manualBreakCount="5">
    <brk id="199" max="16383" man="1"/>
    <brk id="230" max="16383" man="1"/>
    <brk id="288" max="16383" man="1"/>
    <brk id="366" max="16383" man="1"/>
    <brk id="456" max="16383" man="1"/>
  </rowBreaks>
  <legacyDrawing r:id="rId4"/>
  <legacyDrawingHF r:id="rId5"/>
  <extLst>
    <ext xmlns:x14="http://schemas.microsoft.com/office/spreadsheetml/2009/9/main" uri="{78C0D931-6437-407d-A8EE-F0AAD7539E65}">
      <x14:conditionalFormattings>
        <x14:conditionalFormatting xmlns:xm="http://schemas.microsoft.com/office/excel/2006/main">
          <x14:cfRule type="expression" priority="486" id="{A68AF26A-6A43-45A6-AD73-1CC9E99249B6}">
            <xm:f>'00 - Concept.'!$F553="N"</xm:f>
            <x14:dxf>
              <font>
                <strike/>
              </font>
            </x14:dxf>
          </x14:cfRule>
          <xm:sqref>I567</xm:sqref>
        </x14:conditionalFormatting>
        <x14:conditionalFormatting xmlns:xm="http://schemas.microsoft.com/office/excel/2006/main">
          <x14:cfRule type="expression" priority="485" id="{A67A03C3-0EE0-4CDF-8691-4D3B1D7880BF}">
            <xm:f>'00 - Concept.'!$E235="N"</xm:f>
            <x14:dxf>
              <font>
                <strike/>
              </font>
            </x14:dxf>
          </x14:cfRule>
          <xm:sqref>I542:I544 I548:I549 I463:I517 I370:I373 I364:I366 I346:I348 I337:I339 I260:I263 I241 I355:I357</xm:sqref>
        </x14:conditionalFormatting>
        <x14:conditionalFormatting xmlns:xm="http://schemas.microsoft.com/office/excel/2006/main">
          <x14:cfRule type="expression" priority="484" id="{736A3D1A-6EC7-4FA8-8DC8-303C0A2EED1F}">
            <xm:f>'00 - Concept.'!$D551="N"</xm:f>
            <x14:dxf>
              <font>
                <color rgb="FFC00000"/>
              </font>
            </x14:dxf>
          </x14:cfRule>
          <xm:sqref>L565</xm:sqref>
        </x14:conditionalFormatting>
        <x14:conditionalFormatting xmlns:xm="http://schemas.microsoft.com/office/excel/2006/main">
          <x14:cfRule type="expression" priority="6479" id="{A67A03C3-0EE0-4CDF-8691-4D3B1D7880BF}">
            <xm:f>'00 - Concept.'!#REF!="N"</xm:f>
            <x14:dxf>
              <font>
                <strike/>
              </font>
            </x14:dxf>
          </x14:cfRule>
          <xm:sqref>I127</xm:sqref>
        </x14:conditionalFormatting>
        <x14:conditionalFormatting xmlns:xm="http://schemas.microsoft.com/office/excel/2006/main">
          <x14:cfRule type="expression" priority="15110" id="{A67A03C3-0EE0-4CDF-8691-4D3B1D7880BF}">
            <xm:f>'00 - Concept.'!#REF!="N"</xm:f>
            <x14:dxf>
              <font>
                <strike/>
              </font>
            </x14:dxf>
          </x14:cfRule>
          <xm:sqref>I165:I166</xm:sqref>
        </x14:conditionalFormatting>
        <x14:conditionalFormatting xmlns:xm="http://schemas.microsoft.com/office/excel/2006/main">
          <x14:cfRule type="expression" priority="374" id="{4007D2C0-AF3A-4AE7-856F-470FC83BBBAE}">
            <xm:f>'00 - Concept.'!#REF!="N"</xm:f>
            <x14:dxf>
              <font>
                <strike/>
              </font>
            </x14:dxf>
          </x14:cfRule>
          <xm:sqref>I113:I114 I122:I124</xm:sqref>
        </x14:conditionalFormatting>
        <x14:conditionalFormatting xmlns:xm="http://schemas.microsoft.com/office/excel/2006/main">
          <x14:cfRule type="expression" priority="370" id="{DFEF7C46-6E06-4C79-8CB7-B66B0EE2D5E0}">
            <xm:f>'00 - Concept.'!#REF!="N"</xm:f>
            <x14:dxf>
              <font>
                <strike/>
              </font>
            </x14:dxf>
          </x14:cfRule>
          <xm:sqref>I178</xm:sqref>
        </x14:conditionalFormatting>
        <x14:conditionalFormatting xmlns:xm="http://schemas.microsoft.com/office/excel/2006/main">
          <x14:cfRule type="expression" priority="22885" id="{D7C4350A-CC9D-49FD-8E93-190B387E5527}">
            <xm:f>'00 - Concept.'!$D4="N"</xm:f>
            <x14:dxf>
              <font>
                <strike/>
              </font>
            </x14:dxf>
          </x14:cfRule>
          <xm:sqref>G4</xm:sqref>
        </x14:conditionalFormatting>
        <x14:conditionalFormatting xmlns:xm="http://schemas.microsoft.com/office/excel/2006/main">
          <x14:cfRule type="expression" priority="22899" id="{A67A03C3-0EE0-4CDF-8691-4D3B1D7880BF}">
            <xm:f>'00 - Concept.'!$E176="N"</xm:f>
            <x14:dxf>
              <font>
                <strike/>
              </font>
            </x14:dxf>
          </x14:cfRule>
          <xm:sqref>I385:I395 I367 I349:I352 I325:I334 I264:I272 I246:I257 I279:I282 I288:I292 I298:I302 I308 I374:I380 I400:I460 I201:I210 I227 I192:I193 I187:I188 I180:I185</xm:sqref>
        </x14:conditionalFormatting>
        <x14:conditionalFormatting xmlns:xm="http://schemas.microsoft.com/office/excel/2006/main">
          <x14:cfRule type="expression" priority="26247" id="{A67A03C3-0EE0-4CDF-8691-4D3B1D7880BF}">
            <xm:f>'00 - Concept.'!$E187="N"</xm:f>
            <x14:dxf>
              <font>
                <strike/>
              </font>
            </x14:dxf>
          </x14:cfRule>
          <xm:sqref>I545:I547 I199</xm:sqref>
        </x14:conditionalFormatting>
        <x14:conditionalFormatting xmlns:xm="http://schemas.microsoft.com/office/excel/2006/main">
          <x14:cfRule type="expression" priority="26808" id="{A67A03C3-0EE0-4CDF-8691-4D3B1D7880BF}">
            <xm:f>'00 - Concept.'!#REF!="N"</xm:f>
            <x14:dxf>
              <font>
                <strike/>
              </font>
            </x14:dxf>
          </x14:cfRule>
          <xm:sqref>I461:I462</xm:sqref>
        </x14:conditionalFormatting>
        <x14:conditionalFormatting xmlns:xm="http://schemas.microsoft.com/office/excel/2006/main">
          <x14:cfRule type="expression" priority="29083" id="{A67A03C3-0EE0-4CDF-8691-4D3B1D7880BF}">
            <xm:f>'00 - Concept.'!$E208="N"</xm:f>
            <x14:dxf>
              <font>
                <strike/>
              </font>
            </x14:dxf>
          </x14:cfRule>
          <xm:sqref>I550:I566 I233 I222:I223</xm:sqref>
        </x14:conditionalFormatting>
        <x14:conditionalFormatting xmlns:xm="http://schemas.microsoft.com/office/excel/2006/main">
          <x14:cfRule type="expression" priority="31920" id="{A67A03C3-0EE0-4CDF-8691-4D3B1D7880BF}">
            <xm:f>'00 - Concept.'!$E352="N"</xm:f>
            <x14:dxf>
              <font>
                <strike/>
              </font>
            </x14:dxf>
          </x14:cfRule>
          <xm:sqref>I381</xm:sqref>
        </x14:conditionalFormatting>
        <x14:conditionalFormatting xmlns:xm="http://schemas.microsoft.com/office/excel/2006/main">
          <x14:cfRule type="expression" priority="33310" id="{A67A03C3-0EE0-4CDF-8691-4D3B1D7880BF}">
            <xm:f>'00 - Concept.'!$E377="N"</xm:f>
            <x14:dxf>
              <font>
                <strike/>
              </font>
            </x14:dxf>
          </x14:cfRule>
          <xm:sqref>I340:I342</xm:sqref>
        </x14:conditionalFormatting>
        <x14:conditionalFormatting xmlns:xm="http://schemas.microsoft.com/office/excel/2006/main">
          <x14:cfRule type="expression" priority="33497" id="{A67A03C3-0EE0-4CDF-8691-4D3B1D7880BF}">
            <xm:f>'00 - Concept.'!$E355="N"</xm:f>
            <x14:dxf>
              <font>
                <strike/>
              </font>
            </x14:dxf>
          </x14:cfRule>
          <xm:sqref>I382:I384</xm:sqref>
        </x14:conditionalFormatting>
        <x14:conditionalFormatting xmlns:xm="http://schemas.microsoft.com/office/excel/2006/main">
          <x14:cfRule type="expression" priority="35406" id="{A67A03C3-0EE0-4CDF-8691-4D3B1D7880BF}">
            <xm:f>'00 - Concept.'!$E231="N"</xm:f>
            <x14:dxf>
              <font>
                <strike/>
              </font>
            </x14:dxf>
          </x14:cfRule>
          <xm:sqref>I521:I524 I238:I240</xm:sqref>
        </x14:conditionalFormatting>
        <x14:conditionalFormatting xmlns:xm="http://schemas.microsoft.com/office/excel/2006/main">
          <x14:cfRule type="expression" priority="38206" id="{A67A03C3-0EE0-4CDF-8691-4D3B1D7880BF}">
            <xm:f>'00 - Concept.'!$E23="N"</xm:f>
            <x14:dxf>
              <font>
                <strike/>
              </font>
            </x14:dxf>
          </x14:cfRule>
          <xm:sqref>I397:I399 I41:I44 I229:I230 I314:I315 I304:I307 I294:I297 I284:I287 I275:I278 I321:I324 I190:I191 I33:I35 I28:I30</xm:sqref>
        </x14:conditionalFormatting>
        <x14:conditionalFormatting xmlns:xm="http://schemas.microsoft.com/office/excel/2006/main">
          <x14:cfRule type="expression" priority="41064" id="{A67A03C3-0EE0-4CDF-8691-4D3B1D7880BF}">
            <xm:f>'00 - Concept.'!$E196="N"</xm:f>
            <x14:dxf>
              <font>
                <strike/>
              </font>
            </x14:dxf>
          </x14:cfRule>
          <xm:sqref>I396 I197</xm:sqref>
        </x14:conditionalFormatting>
        <x14:conditionalFormatting xmlns:xm="http://schemas.microsoft.com/office/excel/2006/main">
          <x14:cfRule type="expression" priority="42489" id="{A67A03C3-0EE0-4CDF-8691-4D3B1D7880BF}">
            <xm:f>'00 - Concept.'!$E509="N"</xm:f>
            <x14:dxf>
              <font>
                <strike/>
              </font>
            </x14:dxf>
          </x14:cfRule>
          <xm:sqref>I527:I541 I518:I520</xm:sqref>
        </x14:conditionalFormatting>
        <x14:conditionalFormatting xmlns:xm="http://schemas.microsoft.com/office/excel/2006/main">
          <x14:cfRule type="expression" priority="42492" id="{A67A03C3-0EE0-4CDF-8691-4D3B1D7880BF}">
            <xm:f>'00 - Concept.'!$E337="N"</xm:f>
            <x14:dxf>
              <font>
                <strike/>
              </font>
            </x14:dxf>
          </x14:cfRule>
          <xm:sqref>I359:I360</xm:sqref>
        </x14:conditionalFormatting>
        <x14:conditionalFormatting xmlns:xm="http://schemas.microsoft.com/office/excel/2006/main">
          <x14:cfRule type="expression" priority="43811" id="{A67A03C3-0EE0-4CDF-8691-4D3B1D7880BF}">
            <xm:f>'00 - Concept.'!$E334="N"</xm:f>
            <x14:dxf>
              <font>
                <strike/>
              </font>
            </x14:dxf>
          </x14:cfRule>
          <xm:sqref>I363 I358</xm:sqref>
        </x14:conditionalFormatting>
        <x14:conditionalFormatting xmlns:xm="http://schemas.microsoft.com/office/excel/2006/main">
          <x14:cfRule type="expression" priority="50592" id="{A67A03C3-0EE0-4CDF-8691-4D3B1D7880BF}">
            <xm:f>'00 - Concept.'!$E512="N"</xm:f>
            <x14:dxf>
              <font>
                <strike/>
              </font>
            </x14:dxf>
          </x14:cfRule>
          <xm:sqref>I525:I526</xm:sqref>
        </x14:conditionalFormatting>
        <x14:conditionalFormatting xmlns:xm="http://schemas.microsoft.com/office/excel/2006/main">
          <x14:cfRule type="expression" priority="51708" id="{A67A03C3-0EE0-4CDF-8691-4D3B1D7880BF}">
            <xm:f>'00 - Concept.'!$E139="N"</xm:f>
            <x14:dxf>
              <font>
                <strike/>
              </font>
            </x14:dxf>
          </x14:cfRule>
          <xm:sqref>I135</xm:sqref>
        </x14:conditionalFormatting>
        <x14:conditionalFormatting xmlns:xm="http://schemas.microsoft.com/office/excel/2006/main">
          <x14:cfRule type="expression" priority="51726" id="{A67A03C3-0EE0-4CDF-8691-4D3B1D7880BF}">
            <xm:f>'00 - Concept.'!$E380="N"</xm:f>
            <x14:dxf>
              <font>
                <strike/>
              </font>
            </x14:dxf>
          </x14:cfRule>
          <xm:sqref>I345</xm:sqref>
        </x14:conditionalFormatting>
        <x14:conditionalFormatting xmlns:xm="http://schemas.microsoft.com/office/excel/2006/main">
          <x14:cfRule type="expression" priority="51727" id="{A67A03C3-0EE0-4CDF-8691-4D3B1D7880BF}">
            <xm:f>'00 - Concept.'!$E226="N"</xm:f>
            <x14:dxf>
              <font>
                <strike/>
              </font>
            </x14:dxf>
          </x14:cfRule>
          <xm:sqref>I219:I220</xm:sqref>
        </x14:conditionalFormatting>
        <x14:conditionalFormatting xmlns:xm="http://schemas.microsoft.com/office/excel/2006/main">
          <x14:cfRule type="expression" priority="51936" id="{A67A03C3-0EE0-4CDF-8691-4D3B1D7880BF}">
            <xm:f>'00 - Concept.'!$E238="N"</xm:f>
            <x14:dxf>
              <font>
                <strike/>
              </font>
            </x14:dxf>
          </x14:cfRule>
          <xm:sqref>I237</xm:sqref>
        </x14:conditionalFormatting>
        <x14:conditionalFormatting xmlns:xm="http://schemas.microsoft.com/office/excel/2006/main">
          <x14:cfRule type="expression" priority="52387" id="{A67A03C3-0EE0-4CDF-8691-4D3B1D7880BF}">
            <xm:f>'00 - Concept.'!$E222="N"</xm:f>
            <x14:dxf>
              <font>
                <strike/>
              </font>
            </x14:dxf>
          </x14:cfRule>
          <xm:sqref>I231:I232 I224</xm:sqref>
        </x14:conditionalFormatting>
        <x14:conditionalFormatting xmlns:xm="http://schemas.microsoft.com/office/excel/2006/main">
          <x14:cfRule type="expression" priority="52393" id="{A67A03C3-0EE0-4CDF-8691-4D3B1D7880BF}">
            <xm:f>'00 - Concept.'!$E125="N"</xm:f>
            <x14:dxf>
              <font>
                <strike/>
              </font>
            </x14:dxf>
          </x14:cfRule>
          <xm:sqref>I242:I244 I128:I130 I194:I196</xm:sqref>
        </x14:conditionalFormatting>
        <x14:conditionalFormatting xmlns:xm="http://schemas.microsoft.com/office/excel/2006/main">
          <x14:cfRule type="expression" priority="52807" id="{A67A03C3-0EE0-4CDF-8691-4D3B1D7880BF}">
            <xm:f>'00 - Concept.'!$E32="N"</xm:f>
            <x14:dxf>
              <font>
                <strike/>
              </font>
            </x14:dxf>
          </x14:cfRule>
          <xm:sqref>I245 I40 I226</xm:sqref>
        </x14:conditionalFormatting>
        <x14:conditionalFormatting xmlns:xm="http://schemas.microsoft.com/office/excel/2006/main">
          <x14:cfRule type="expression" priority="52827" id="{A67A03C3-0EE0-4CDF-8691-4D3B1D7880BF}">
            <xm:f>'00 - Concept.'!$E182="N"</xm:f>
            <x14:dxf>
              <font>
                <strike/>
              </font>
            </x14:dxf>
          </x14:cfRule>
          <xm:sqref>I198</xm:sqref>
        </x14:conditionalFormatting>
        <x14:conditionalFormatting xmlns:xm="http://schemas.microsoft.com/office/excel/2006/main">
          <x14:cfRule type="expression" priority="52841" id="{A67A03C3-0EE0-4CDF-8691-4D3B1D7880BF}">
            <xm:f>'00 - Concept.'!$E207="N"</xm:f>
            <x14:dxf>
              <font>
                <strike/>
              </font>
            </x14:dxf>
          </x14:cfRule>
          <xm:sqref>I309:I312 I218 I316:I319</xm:sqref>
        </x14:conditionalFormatting>
        <x14:conditionalFormatting xmlns:xm="http://schemas.microsoft.com/office/excel/2006/main">
          <x14:cfRule type="expression" priority="52848" id="{A67A03C3-0EE0-4CDF-8691-4D3B1D7880BF}">
            <xm:f>'00 - Concept.'!$E210="N"</xm:f>
            <x14:dxf>
              <font>
                <strike/>
              </font>
            </x14:dxf>
          </x14:cfRule>
          <xm:sqref>I225 I235</xm:sqref>
        </x14:conditionalFormatting>
        <x14:conditionalFormatting xmlns:xm="http://schemas.microsoft.com/office/excel/2006/main">
          <x14:cfRule type="expression" priority="54068" id="{A67A03C3-0EE0-4CDF-8691-4D3B1D7880BF}">
            <xm:f>'00 - Concept.'!$E165="N"</xm:f>
            <x14:dxf>
              <font>
                <strike/>
              </font>
            </x14:dxf>
          </x14:cfRule>
          <xm:sqref>I163:I164</xm:sqref>
        </x14:conditionalFormatting>
        <x14:conditionalFormatting xmlns:xm="http://schemas.microsoft.com/office/excel/2006/main">
          <x14:cfRule type="expression" priority="54075" id="{A67A03C3-0EE0-4CDF-8691-4D3B1D7880BF}">
            <xm:f>'00 - Concept.'!$E190="N"</xm:f>
            <x14:dxf>
              <font>
                <strike/>
              </font>
            </x14:dxf>
          </x14:cfRule>
          <xm:sqref>I200</xm:sqref>
        </x14:conditionalFormatting>
        <x14:conditionalFormatting xmlns:xm="http://schemas.microsoft.com/office/excel/2006/main">
          <x14:cfRule type="expression" priority="54777" id="{A67A03C3-0EE0-4CDF-8691-4D3B1D7880BF}">
            <xm:f>'00 - Concept.'!$E194="N"</xm:f>
            <x14:dxf>
              <font>
                <strike/>
              </font>
            </x14:dxf>
          </x14:cfRule>
          <xm:sqref>I186</xm:sqref>
        </x14:conditionalFormatting>
        <x14:conditionalFormatting xmlns:xm="http://schemas.microsoft.com/office/excel/2006/main">
          <x14:cfRule type="expression" priority="55026" id="{A67A03C3-0EE0-4CDF-8691-4D3B1D7880BF}">
            <xm:f>'00 - Concept.'!$E195="N"</xm:f>
            <x14:dxf>
              <font>
                <strike/>
              </font>
            </x14:dxf>
          </x14:cfRule>
          <xm:sqref>I189</xm:sqref>
        </x14:conditionalFormatting>
        <x14:conditionalFormatting xmlns:xm="http://schemas.microsoft.com/office/excel/2006/main">
          <x14:cfRule type="expression" priority="55287" id="{A67A03C3-0EE0-4CDF-8691-4D3B1D7880BF}">
            <xm:f>'00 - Concept.'!$E136="N"</xm:f>
            <x14:dxf>
              <font>
                <strike/>
              </font>
            </x14:dxf>
          </x14:cfRule>
          <xm:sqref>I131:I134</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F6"/>
  <sheetViews>
    <sheetView workbookViewId="0">
      <selection activeCell="F6" sqref="F6"/>
    </sheetView>
  </sheetViews>
  <sheetFormatPr defaultRowHeight="15" x14ac:dyDescent="0.25"/>
  <sheetData>
    <row r="3" spans="1:6" ht="15.75" thickBot="1" x14ac:dyDescent="0.3"/>
    <row r="4" spans="1:6" ht="15.75" thickBot="1" x14ac:dyDescent="0.3">
      <c r="B4" s="1947" t="s">
        <v>760</v>
      </c>
      <c r="C4" s="1948" t="s">
        <v>577</v>
      </c>
      <c r="D4" s="1949" t="s">
        <v>382</v>
      </c>
      <c r="E4" s="1950" t="s">
        <v>383</v>
      </c>
      <c r="F4" s="1951" t="s">
        <v>384</v>
      </c>
    </row>
    <row r="5" spans="1:6" ht="87.75" thickTop="1" thickBot="1" x14ac:dyDescent="0.3">
      <c r="B5" s="1952" t="s">
        <v>10</v>
      </c>
      <c r="C5" s="1953" t="s">
        <v>29</v>
      </c>
      <c r="D5" s="1954" t="s">
        <v>31</v>
      </c>
      <c r="E5" s="1955" t="s">
        <v>1204</v>
      </c>
      <c r="F5" s="1956" t="s">
        <v>1205</v>
      </c>
    </row>
    <row r="6" spans="1:6" x14ac:dyDescent="0.25">
      <c r="A6" s="1957"/>
    </row>
  </sheetData>
  <conditionalFormatting sqref="B4:F5">
    <cfRule type="expression" dxfId="0" priority="1">
      <formula>B$14="No"</formula>
    </cfRule>
  </conditionalFormatting>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438"/>
  <sheetViews>
    <sheetView showGridLines="0" tabSelected="1" showWhiteSpace="0" view="pageBreakPreview" zoomScaleNormal="100" zoomScaleSheetLayoutView="100" workbookViewId="0">
      <pane xSplit="2" ySplit="13" topLeftCell="C14" activePane="bottomRight" state="frozen"/>
      <selection pane="topRight" activeCell="C1" sqref="C1"/>
      <selection pane="bottomLeft" activeCell="A14" sqref="A14"/>
      <selection pane="bottomRight" activeCell="S20" sqref="S20"/>
    </sheetView>
  </sheetViews>
  <sheetFormatPr defaultColWidth="9.140625" defaultRowHeight="15" x14ac:dyDescent="0.25"/>
  <cols>
    <col min="1" max="1" width="5" style="1" customWidth="1"/>
    <col min="2" max="2" width="0.5703125" style="1" customWidth="1"/>
    <col min="3" max="3" width="9" style="1" customWidth="1"/>
    <col min="4" max="4" width="2.42578125" style="1" customWidth="1"/>
    <col min="5" max="5" width="28.85546875" style="1" customWidth="1"/>
    <col min="6" max="6" width="9.5703125" style="1" customWidth="1"/>
    <col min="7" max="9" width="8.140625" style="1" customWidth="1"/>
    <col min="10" max="10" width="9.140625" style="1" customWidth="1"/>
    <col min="11" max="17" width="7.7109375" style="1" customWidth="1"/>
    <col min="18" max="18" width="8.28515625" style="1" customWidth="1"/>
    <col min="19" max="19" width="11.140625" style="1" customWidth="1"/>
    <col min="20" max="20" width="0.7109375" style="1" customWidth="1"/>
    <col min="21" max="21" width="121.28515625" style="10" customWidth="1"/>
    <col min="22" max="16384" width="9.140625" style="1"/>
  </cols>
  <sheetData>
    <row r="1" spans="1:28" ht="18.75" x14ac:dyDescent="0.3">
      <c r="A1" s="1285"/>
      <c r="B1" s="1323"/>
      <c r="C1" s="1324" t="s">
        <v>1033</v>
      </c>
      <c r="D1" s="1325"/>
      <c r="E1" s="1169"/>
      <c r="F1" s="1169"/>
      <c r="G1" s="1169"/>
      <c r="H1" s="1169"/>
      <c r="I1" s="1169"/>
      <c r="J1" s="1169"/>
      <c r="K1" s="1169"/>
      <c r="L1" s="1169"/>
      <c r="M1" s="1169"/>
      <c r="N1" s="1169"/>
      <c r="O1" s="1169"/>
      <c r="P1" s="1169"/>
      <c r="Q1" s="1169"/>
      <c r="R1" s="1169"/>
      <c r="S1" s="1185"/>
      <c r="T1" s="1326"/>
      <c r="U1" s="1757">
        <v>44074</v>
      </c>
      <c r="V1" s="7"/>
      <c r="W1" s="7"/>
    </row>
    <row r="2" spans="1:28" ht="18.75" customHeight="1" x14ac:dyDescent="0.3">
      <c r="A2" s="1497"/>
      <c r="B2" s="1327"/>
      <c r="C2" s="1328" t="s">
        <v>1034</v>
      </c>
      <c r="D2" s="1329"/>
      <c r="E2" s="1329"/>
      <c r="F2" s="1329"/>
      <c r="G2" s="1329"/>
      <c r="H2" s="1329"/>
      <c r="I2" s="1329"/>
      <c r="J2" s="1329"/>
      <c r="K2" s="1329"/>
      <c r="L2" s="1329"/>
      <c r="M2" s="1329"/>
      <c r="N2" s="1329"/>
      <c r="O2" s="1329"/>
      <c r="P2" s="1329"/>
      <c r="Q2" s="1329"/>
      <c r="R2" s="1329"/>
      <c r="S2" s="1329"/>
      <c r="T2" s="1330"/>
      <c r="U2" s="1274"/>
      <c r="V2" s="8"/>
      <c r="W2" s="8"/>
      <c r="Y2" s="166"/>
    </row>
    <row r="3" spans="1:28" ht="3" customHeight="1" thickBot="1" x14ac:dyDescent="0.35">
      <c r="A3" s="1842"/>
      <c r="C3" s="113"/>
      <c r="D3" s="113"/>
      <c r="E3" s="113"/>
      <c r="F3" s="113"/>
      <c r="G3" s="113"/>
      <c r="H3" s="113"/>
      <c r="I3" s="113"/>
      <c r="J3" s="113"/>
      <c r="K3" s="113"/>
      <c r="L3" s="113"/>
      <c r="M3" s="113"/>
      <c r="N3" s="113"/>
      <c r="O3" s="113"/>
      <c r="P3" s="113"/>
      <c r="Q3" s="113"/>
      <c r="R3" s="113"/>
      <c r="S3" s="113"/>
      <c r="T3" s="71"/>
      <c r="U3" s="1272"/>
      <c r="V3" s="7"/>
      <c r="W3" s="7"/>
      <c r="Y3" s="166"/>
    </row>
    <row r="4" spans="1:28" ht="32.25" customHeight="1" thickBot="1" x14ac:dyDescent="0.3">
      <c r="A4" s="2024" t="s">
        <v>103</v>
      </c>
      <c r="B4" s="66"/>
      <c r="C4" s="2030" t="s">
        <v>124</v>
      </c>
      <c r="D4" s="2031"/>
      <c r="E4" s="2031"/>
      <c r="F4" s="2031"/>
      <c r="G4" s="2031"/>
      <c r="H4" s="2031"/>
      <c r="I4" s="2031"/>
      <c r="J4" s="2031"/>
      <c r="K4" s="2031"/>
      <c r="L4" s="2031"/>
      <c r="M4" s="2031"/>
      <c r="N4" s="2031"/>
      <c r="O4" s="2031"/>
      <c r="P4" s="2031"/>
      <c r="Q4" s="2031"/>
      <c r="R4" s="2031"/>
      <c r="S4" s="2032"/>
      <c r="T4" s="117"/>
      <c r="U4" s="1846" t="s">
        <v>125</v>
      </c>
    </row>
    <row r="5" spans="1:28" ht="13.5" customHeight="1" x14ac:dyDescent="0.25">
      <c r="A5" s="2024"/>
      <c r="B5" s="67"/>
      <c r="C5" s="2026" t="str">
        <f>CONCATENATE("Master Template last updated on: ",TEXT(Form_Update,"MM/DD/YYYY"))</f>
        <v>Master Template last updated on: 08/31/2020</v>
      </c>
      <c r="D5" s="2026"/>
      <c r="E5" s="2026"/>
      <c r="F5" s="2026"/>
      <c r="G5" s="2026"/>
      <c r="H5" s="2026"/>
      <c r="I5" s="2026"/>
      <c r="J5" s="2026"/>
      <c r="K5" s="2026"/>
      <c r="L5" s="2026"/>
      <c r="M5" s="2026"/>
      <c r="N5" s="2026"/>
      <c r="O5" s="2026"/>
      <c r="P5" s="2026"/>
      <c r="Q5" s="2026"/>
      <c r="R5" s="2026"/>
      <c r="S5" s="2026"/>
      <c r="T5" s="11"/>
      <c r="U5" s="1274"/>
    </row>
    <row r="6" spans="1:28" ht="21" customHeight="1" x14ac:dyDescent="0.25">
      <c r="A6" s="2024"/>
      <c r="B6" s="67"/>
      <c r="C6" s="894">
        <v>44069</v>
      </c>
      <c r="D6" s="2010"/>
      <c r="E6" s="895" t="s">
        <v>56</v>
      </c>
      <c r="F6" s="1981"/>
      <c r="G6" s="2007" t="s">
        <v>1229</v>
      </c>
      <c r="H6" s="2007"/>
      <c r="I6" s="2007"/>
      <c r="J6" s="2007"/>
      <c r="K6" s="2007"/>
      <c r="L6" s="2007"/>
      <c r="M6" s="2007"/>
      <c r="N6" s="2007"/>
      <c r="O6" s="2007"/>
      <c r="P6" s="2007"/>
      <c r="Q6" s="1981"/>
      <c r="R6" s="1981"/>
      <c r="S6" s="898" t="s">
        <v>1230</v>
      </c>
      <c r="T6" s="72"/>
      <c r="U6" s="1275" t="s">
        <v>73</v>
      </c>
    </row>
    <row r="7" spans="1:28" ht="15" customHeight="1" x14ac:dyDescent="0.25">
      <c r="A7" s="2024"/>
      <c r="B7" s="67"/>
      <c r="C7" s="279" t="s">
        <v>12</v>
      </c>
      <c r="D7" s="2010"/>
      <c r="E7" s="276" t="s">
        <v>67</v>
      </c>
      <c r="F7" s="1981"/>
      <c r="G7" s="2006" t="s">
        <v>54</v>
      </c>
      <c r="H7" s="2006"/>
      <c r="I7" s="2006"/>
      <c r="J7" s="2006"/>
      <c r="K7" s="2006"/>
      <c r="L7" s="2006"/>
      <c r="M7" s="2006"/>
      <c r="N7" s="2006"/>
      <c r="O7" s="2006"/>
      <c r="P7" s="2006"/>
      <c r="Q7" s="1981"/>
      <c r="R7" s="1981"/>
      <c r="S7" s="278" t="s">
        <v>181</v>
      </c>
      <c r="T7" s="73"/>
      <c r="U7" s="1274"/>
    </row>
    <row r="8" spans="1:28" ht="12" customHeight="1" x14ac:dyDescent="0.25">
      <c r="A8" s="2024"/>
      <c r="B8" s="67"/>
      <c r="C8" s="896" t="s">
        <v>1233</v>
      </c>
      <c r="D8" s="2010"/>
      <c r="E8" s="895" t="s">
        <v>66</v>
      </c>
      <c r="F8" s="1981"/>
      <c r="G8" s="2027" t="s">
        <v>1232</v>
      </c>
      <c r="H8" s="2027"/>
      <c r="I8" s="2027"/>
      <c r="K8" s="897" t="s">
        <v>7</v>
      </c>
      <c r="M8" s="897" t="s">
        <v>7</v>
      </c>
      <c r="O8" s="897" t="s">
        <v>8</v>
      </c>
      <c r="Q8" s="2027" t="s">
        <v>1231</v>
      </c>
      <c r="R8" s="2027"/>
      <c r="S8" s="2027"/>
      <c r="T8" s="74"/>
      <c r="U8" s="1275" t="s">
        <v>74</v>
      </c>
    </row>
    <row r="9" spans="1:28" ht="18.75" customHeight="1" x14ac:dyDescent="0.25">
      <c r="A9" s="2024"/>
      <c r="B9" s="67"/>
      <c r="C9" s="2012" t="s">
        <v>572</v>
      </c>
      <c r="D9" s="2010"/>
      <c r="E9" s="276" t="s">
        <v>61</v>
      </c>
      <c r="F9" s="1981"/>
      <c r="G9" s="2006" t="s">
        <v>53</v>
      </c>
      <c r="H9" s="2006"/>
      <c r="I9" s="2006"/>
      <c r="J9" s="277"/>
      <c r="K9" s="736" t="s">
        <v>772</v>
      </c>
      <c r="M9" s="736" t="s">
        <v>1060</v>
      </c>
      <c r="O9" s="736" t="s">
        <v>126</v>
      </c>
      <c r="Q9" s="2006" t="s">
        <v>86</v>
      </c>
      <c r="R9" s="2006"/>
      <c r="S9" s="2006"/>
      <c r="T9" s="75"/>
      <c r="U9" s="1274"/>
    </row>
    <row r="10" spans="1:28" ht="16.5" customHeight="1" x14ac:dyDescent="0.25">
      <c r="A10" s="2024"/>
      <c r="B10" s="67"/>
      <c r="C10" s="2013"/>
      <c r="D10" s="2010"/>
      <c r="E10" s="895" t="s">
        <v>611</v>
      </c>
      <c r="F10" s="2004" t="str">
        <f>IF(OR(Feasibility_Concept=E87,Feasibility_Concept=E88,Feasibility_Concept=E89),"USE TAB B",IF(Feasibility_Concept=E90,"USE TAB C",""))</f>
        <v>USE TAB C</v>
      </c>
      <c r="G10" s="2005"/>
      <c r="H10" s="2005"/>
      <c r="I10" s="2005"/>
      <c r="J10" s="2005"/>
      <c r="K10" s="2005" t="str">
        <f>IF(OR(Feasibility_Concept=E90,Feasibility_Concept=E91,Feasibility_Concept=E92),"USE TAB C",IF(AND(Feasibility_Concept=E87,Design="Design"),"USE TAB C AS WELL",""))</f>
        <v>USE TAB C</v>
      </c>
      <c r="L10" s="2005"/>
      <c r="M10" s="2005"/>
      <c r="N10" s="2005"/>
      <c r="O10" s="2008" t="str">
        <f>IF(Construction&lt;&gt;"Construction does not apply","Note: Bid &amp; Award includes Addenda Submittals","")</f>
        <v>Note: Bid &amp; Award includes Addenda Submittals</v>
      </c>
      <c r="P10" s="2008"/>
      <c r="Q10" s="2008"/>
      <c r="R10" s="2008"/>
      <c r="S10" s="2008"/>
      <c r="T10" s="75"/>
      <c r="U10" s="1274"/>
    </row>
    <row r="11" spans="1:28" s="3" customFormat="1" ht="19.5" customHeight="1" x14ac:dyDescent="0.2">
      <c r="A11" s="2024"/>
      <c r="B11" s="68"/>
      <c r="C11" s="2013"/>
      <c r="D11" s="2010"/>
      <c r="E11" s="276" t="s">
        <v>608</v>
      </c>
      <c r="F11" s="1999" t="s">
        <v>10</v>
      </c>
      <c r="G11" s="2000"/>
      <c r="H11" s="2000"/>
      <c r="I11" s="2000"/>
      <c r="J11" s="2001"/>
      <c r="K11" s="2028" t="s">
        <v>97</v>
      </c>
      <c r="L11" s="2002"/>
      <c r="M11" s="2002"/>
      <c r="N11" s="2029"/>
      <c r="O11" s="2002" t="s">
        <v>0</v>
      </c>
      <c r="P11" s="2002"/>
      <c r="Q11" s="2002"/>
      <c r="R11" s="2003"/>
      <c r="S11" s="1007" t="str">
        <f>IF(OR(Feasibility_Concept="Feasibility Study",Feasibility_Concept="Conceptualization Only"),IF(OR(Design="Design",Construction="Construction"),"&lt;--Error","OK"),IF(AND(Feasibility_Concept="Conceptualization",Design="Design does not apply",Construction="Construction"),"&lt;--Error",IF(Feasibility_Concept="Memorandum or Short Report",IF(OR(Design="Design",Construction="Construction"),"&lt;--CHECK","OK"),"Ok")))</f>
        <v>Ok</v>
      </c>
      <c r="T11" s="76"/>
      <c r="U11" s="1276" t="str">
        <f>IF(AND(Feasibility_Concept="Feasibility Study",OR(Design="Design",Construction="Construction")),"&lt;--CHECK, design and construction not frequently used in conjunction with Feas. Studies",IF(AND(Feasibility_Concept="Conceptualization",Design="Design does not apply",Construction="Construction"),"&lt;--CHECK, design must be chosen with construction",IF(AND(Feasibility_Concept="Memorandum or Short Report",OR(Design="Design",Construction="Construction")),"&lt;--CHECK, design and construction not frequently used in conjunction with Reports","&lt;------- PM/Planner choose applicability of Report/Concept/Feasibility/Construction")))</f>
        <v>&lt;------- PM/Planner choose applicability of Report/Concept/Feasibility/Construction</v>
      </c>
    </row>
    <row r="12" spans="1:28" s="3" customFormat="1" ht="15" customHeight="1" x14ac:dyDescent="0.2">
      <c r="A12" s="2024"/>
      <c r="B12" s="68"/>
      <c r="C12" s="2014"/>
      <c r="D12" s="2011"/>
      <c r="E12" s="14" t="s">
        <v>6</v>
      </c>
      <c r="F12" s="1851" t="s">
        <v>7</v>
      </c>
      <c r="G12" s="1851" t="s">
        <v>8</v>
      </c>
      <c r="H12" s="1851" t="s">
        <v>8</v>
      </c>
      <c r="I12" s="1851" t="s">
        <v>8</v>
      </c>
      <c r="J12" s="1851" t="s">
        <v>7</v>
      </c>
      <c r="K12" s="1852" t="s">
        <v>7</v>
      </c>
      <c r="L12" s="1853" t="s">
        <v>7</v>
      </c>
      <c r="M12" s="1853" t="s">
        <v>7</v>
      </c>
      <c r="N12" s="1854" t="s">
        <v>7</v>
      </c>
      <c r="O12" s="1852" t="s">
        <v>7</v>
      </c>
      <c r="P12" s="1855" t="s">
        <v>7</v>
      </c>
      <c r="Q12" s="1855" t="s">
        <v>7</v>
      </c>
      <c r="R12" s="1855" t="s">
        <v>7</v>
      </c>
      <c r="S12" s="222"/>
      <c r="T12" s="76"/>
      <c r="U12" s="1275" t="s">
        <v>52</v>
      </c>
    </row>
    <row r="13" spans="1:28" s="6" customFormat="1" ht="38.25" customHeight="1" thickBot="1" x14ac:dyDescent="0.3">
      <c r="A13" s="1843">
        <f>ROW(A13)-ROW(A$13)+1</f>
        <v>1</v>
      </c>
      <c r="B13" s="69"/>
      <c r="C13" s="2015" t="s">
        <v>136</v>
      </c>
      <c r="D13" s="2016"/>
      <c r="E13" s="2017"/>
      <c r="F13" s="58" t="str">
        <f>E126</f>
        <v>Concept DRAFT</v>
      </c>
      <c r="G13" s="88"/>
      <c r="H13" s="88"/>
      <c r="I13" s="88"/>
      <c r="J13" s="59" t="str">
        <f>E130</f>
        <v>Concept FINAL</v>
      </c>
      <c r="K13" s="220" t="str">
        <f>IF(SD_apply="yes","SD","")</f>
        <v>SD</v>
      </c>
      <c r="L13" s="221" t="str">
        <f>IF(DD_apply="no","",IF(AND(SD_apply="No",DD_apply="Yes"),"SD / DD",IF(DD_apply="yes","DD","ERROR")))</f>
        <v>DD</v>
      </c>
      <c r="M13" s="786" t="str">
        <f>IF(CDB_Project="Yes",IF(CD50_apply="no","",IF(AND(SD_apply="no",DD_apply="no",CD50_apply="yes"),"SD / DD / 75%CD",IF(AND(SD_apply="yes",DD_apply="no",CD50_apply="Yes"),"DD / 75%CD",IF(CD50_apply="yes","75% CD","ERROR")))),IF(CD50_apply="no","",IF(AND(SD_apply="no",DD_apply="no",CD50_apply="yes"),"SD / DD / 50%CD",IF(AND(SD_apply="yes",DD_apply="no",CD50_apply="Yes"),"DD / 50%CD",IF(CD50_apply="yes","50% CD","ERROR")))))</f>
        <v>50% CD</v>
      </c>
      <c r="N13" s="450" t="str">
        <f>IF(CDB_Project="Yes",IF(AND(SD_apply="no",DD_apply="no",CD50_apply="no",CD95_apply="yes"),"Only 100% CD",IF(AND(SD_apply="yes",DD_apply="yes",CD50_apply="no",CD95_apply="yes"),"75%CD / 100%CD",IF(AND(SD_apply="yes",DD_apply="no",CD50_apply="no",CD95_apply="yes"),"DD / 75%CD / 100%CD",IF(AND(CD50_apply="yes",CD95_apply="yes"),"100% CD",IF(AND(CD50_apply="no",CD95_apply="yes"),"75%CD / 100%CD",IF(CD95_apply="No","","ERROR")))))),IF(AND(SD_apply="no",DD_apply="no",CD50_apply="no",CD95_apply="yes"),"Only 95% CD",IF(AND(SD_apply="yes",DD_apply="yes",CD50_apply="no",CD95_apply="yes"),"50%CD / 95%CD",IF(AND(SD_apply="yes",DD_apply="no",CD50_apply="no",CD95_apply="yes"),"DD / 50%CD / 95%CD",IF(AND(CD50_apply="yes",CD95_apply="yes"),"95% CD",IF(AND(CD50_apply="no",CD95_apply="yes"),"50%CD / 95%CD",IF(CD95_apply="No","","ERROR")))))))</f>
        <v>95% CD</v>
      </c>
      <c r="O13" s="271" t="str">
        <f>IF(bid_apply="Yes","Bid &amp; Award","")</f>
        <v>Bid &amp; Award</v>
      </c>
      <c r="P13" s="272" t="str">
        <f>IF(Const_apply="Yes","Const.","")</f>
        <v>Const.</v>
      </c>
      <c r="Q13" s="273" t="str">
        <f>IF(Close_Out_apply="Yes","Closeout","")</f>
        <v>Closeout</v>
      </c>
      <c r="R13" s="274" t="str">
        <f>IF(Post_Const_Apply="Yes","Post Const.","")</f>
        <v>Post Const.</v>
      </c>
      <c r="S13" s="87" t="s">
        <v>5</v>
      </c>
      <c r="T13" s="77"/>
      <c r="U13" s="1277" t="str">
        <f>IF(OR(Feasibility_Concept="Feasibility Study",Feasibility_Concept="Conceptualization",Feasibility_Concept="Memorandum or Short Report"),CONCATENATE("&lt;------- in columns ",CHAR(COLUMN(G12)+64)," through ",CHAR(COLUMN(I12)+64)," choose Feasibility / Memo or Conceptualization submittals as applicable "),"")</f>
        <v xml:space="preserve">&lt;------- in columns G through I choose Feasibility / Memo or Conceptualization submittals as applicable </v>
      </c>
    </row>
    <row r="14" spans="1:28" s="3" customFormat="1" ht="6" customHeight="1" thickTop="1" thickBot="1" x14ac:dyDescent="0.3">
      <c r="A14" s="1843">
        <f t="shared" ref="A14:A36" si="0">ROW(A14)-ROW(A$13)+1</f>
        <v>2</v>
      </c>
      <c r="B14" s="68"/>
      <c r="C14" s="86"/>
      <c r="D14" s="86"/>
      <c r="E14" s="86"/>
      <c r="F14" s="55"/>
      <c r="G14" s="55"/>
      <c r="H14" s="55"/>
      <c r="I14" s="55"/>
      <c r="J14" s="55"/>
      <c r="K14" s="55"/>
      <c r="L14" s="55"/>
      <c r="M14" s="55"/>
      <c r="N14" s="89"/>
      <c r="O14" s="156"/>
      <c r="P14" s="157"/>
      <c r="Q14" s="55"/>
      <c r="R14" s="55"/>
      <c r="S14" s="86"/>
      <c r="T14" s="78"/>
      <c r="U14" s="1275"/>
    </row>
    <row r="15" spans="1:28" s="3" customFormat="1" ht="18.75" hidden="1" customHeight="1" thickTop="1" thickBot="1" x14ac:dyDescent="0.3">
      <c r="A15" s="1843">
        <f t="shared" si="0"/>
        <v>3</v>
      </c>
      <c r="B15" s="68"/>
      <c r="C15" s="2025" t="s">
        <v>88</v>
      </c>
      <c r="D15" s="2025"/>
      <c r="E15" s="623" t="s">
        <v>89</v>
      </c>
      <c r="F15" s="623"/>
      <c r="G15" s="623"/>
      <c r="H15" s="623"/>
      <c r="I15" s="623"/>
      <c r="J15" s="623"/>
      <c r="K15" s="623"/>
      <c r="L15" s="623"/>
      <c r="M15" s="623"/>
      <c r="N15" s="624"/>
      <c r="O15" s="625"/>
      <c r="P15" s="626"/>
      <c r="Q15" s="623"/>
      <c r="R15" s="623"/>
      <c r="S15" s="623"/>
      <c r="T15" s="78"/>
      <c r="U15" s="1278" t="s">
        <v>87</v>
      </c>
    </row>
    <row r="16" spans="1:28" s="6" customFormat="1" ht="38.25" customHeight="1" thickTop="1" x14ac:dyDescent="0.2">
      <c r="A16" s="1843">
        <f t="shared" si="0"/>
        <v>4</v>
      </c>
      <c r="B16" s="69"/>
      <c r="C16" s="1995" t="s">
        <v>7</v>
      </c>
      <c r="D16" s="1996"/>
      <c r="E16" s="900" t="str">
        <f>CONCATENATE("F&amp;S Planner and/or PM: ",Planner_Name," (Planner);  ",PM_Name," (PM)")</f>
        <v>F&amp;S Planner and/or PM: Jane Doe (Planner);  John Smith (PM)</v>
      </c>
      <c r="F16" s="901" t="s">
        <v>1028</v>
      </c>
      <c r="G16" s="901" t="s">
        <v>1028</v>
      </c>
      <c r="H16" s="901" t="s">
        <v>1028</v>
      </c>
      <c r="I16" s="901" t="s">
        <v>1028</v>
      </c>
      <c r="J16" s="902" t="s">
        <v>1028</v>
      </c>
      <c r="K16" s="903" t="s">
        <v>913</v>
      </c>
      <c r="L16" s="901" t="s">
        <v>914</v>
      </c>
      <c r="M16" s="901" t="s">
        <v>914</v>
      </c>
      <c r="N16" s="902" t="s">
        <v>914</v>
      </c>
      <c r="O16" s="904" t="s">
        <v>914</v>
      </c>
      <c r="P16" s="903" t="s">
        <v>914</v>
      </c>
      <c r="Q16" s="903" t="s">
        <v>229</v>
      </c>
      <c r="R16" s="905" t="s">
        <v>229</v>
      </c>
      <c r="S16" s="960" t="s">
        <v>75</v>
      </c>
      <c r="T16" s="79"/>
      <c r="U16" s="1275" t="s">
        <v>70</v>
      </c>
      <c r="AB16" s="3"/>
    </row>
    <row r="17" spans="1:28" s="6" customFormat="1" ht="18" thickBot="1" x14ac:dyDescent="0.25">
      <c r="A17" s="1843">
        <f t="shared" si="0"/>
        <v>5</v>
      </c>
      <c r="B17" s="69"/>
      <c r="C17" s="2018"/>
      <c r="D17" s="2019"/>
      <c r="E17" s="627" t="s">
        <v>498</v>
      </c>
      <c r="F17" s="628" t="s">
        <v>99</v>
      </c>
      <c r="G17" s="629"/>
      <c r="H17" s="629"/>
      <c r="I17" s="629"/>
      <c r="J17" s="630"/>
      <c r="K17" s="628" t="s">
        <v>99</v>
      </c>
      <c r="L17" s="631"/>
      <c r="M17" s="631"/>
      <c r="N17" s="632"/>
      <c r="O17" s="633" t="s">
        <v>99</v>
      </c>
      <c r="P17" s="634"/>
      <c r="Q17" s="635"/>
      <c r="R17" s="634"/>
      <c r="S17" s="636"/>
      <c r="T17" s="80"/>
      <c r="U17" s="1275"/>
      <c r="V17" s="61"/>
      <c r="W17" s="60"/>
      <c r="AB17" s="3"/>
    </row>
    <row r="18" spans="1:28" s="6" customFormat="1" ht="26.25" thickTop="1" x14ac:dyDescent="0.2">
      <c r="A18" s="1843">
        <f t="shared" si="0"/>
        <v>6</v>
      </c>
      <c r="B18" s="69"/>
      <c r="C18" s="1995" t="s">
        <v>7</v>
      </c>
      <c r="D18" s="1996"/>
      <c r="E18" s="642" t="s">
        <v>831</v>
      </c>
      <c r="F18" s="854" t="s">
        <v>2</v>
      </c>
      <c r="G18" s="644" t="s">
        <v>2</v>
      </c>
      <c r="H18" s="644" t="s">
        <v>2</v>
      </c>
      <c r="I18" s="644" t="s">
        <v>2</v>
      </c>
      <c r="J18" s="1945" t="s">
        <v>2</v>
      </c>
      <c r="K18" s="643" t="s">
        <v>2</v>
      </c>
      <c r="L18" s="644" t="s">
        <v>2</v>
      </c>
      <c r="M18" s="644" t="s">
        <v>2</v>
      </c>
      <c r="N18" s="645" t="s">
        <v>2</v>
      </c>
      <c r="O18" s="643" t="s">
        <v>2</v>
      </c>
      <c r="P18" s="643" t="s">
        <v>2</v>
      </c>
      <c r="Q18" s="643" t="s">
        <v>1206</v>
      </c>
      <c r="R18" s="646" t="s">
        <v>229</v>
      </c>
      <c r="S18" s="647"/>
      <c r="T18" s="81"/>
      <c r="U18" s="1275"/>
      <c r="V18" s="61"/>
      <c r="W18" s="60"/>
      <c r="X18" s="6" t="s">
        <v>307</v>
      </c>
      <c r="AB18" s="3"/>
    </row>
    <row r="19" spans="1:28" s="6" customFormat="1" ht="50.25" customHeight="1" thickBot="1" x14ac:dyDescent="0.25">
      <c r="A19" s="1843">
        <f t="shared" si="0"/>
        <v>7</v>
      </c>
      <c r="B19" s="69"/>
      <c r="C19" s="2018"/>
      <c r="D19" s="2019"/>
      <c r="E19" s="1856" t="s">
        <v>1176</v>
      </c>
      <c r="F19" s="637"/>
      <c r="G19" s="638"/>
      <c r="H19" s="638"/>
      <c r="I19" s="638"/>
      <c r="J19" s="639"/>
      <c r="K19" s="1881"/>
      <c r="L19" s="1882"/>
      <c r="M19" s="1882"/>
      <c r="N19" s="1883"/>
      <c r="O19" s="1884"/>
      <c r="P19" s="1885"/>
      <c r="Q19" s="1848" t="s">
        <v>1219</v>
      </c>
      <c r="R19" s="649"/>
      <c r="S19" s="1066" t="s">
        <v>76</v>
      </c>
      <c r="T19" s="82"/>
      <c r="U19" s="1275"/>
      <c r="V19" s="61"/>
      <c r="W19" s="60"/>
      <c r="AB19" s="3"/>
    </row>
    <row r="20" spans="1:28" s="6" customFormat="1" ht="24.75" thickTop="1" x14ac:dyDescent="0.2">
      <c r="A20" s="1843">
        <f t="shared" si="0"/>
        <v>8</v>
      </c>
      <c r="B20" s="69"/>
      <c r="C20" s="1995" t="s">
        <v>7</v>
      </c>
      <c r="D20" s="1996"/>
      <c r="E20" s="642" t="s">
        <v>303</v>
      </c>
      <c r="F20" s="901" t="s">
        <v>912</v>
      </c>
      <c r="G20" s="901" t="s">
        <v>912</v>
      </c>
      <c r="H20" s="901" t="s">
        <v>912</v>
      </c>
      <c r="I20" s="901" t="s">
        <v>912</v>
      </c>
      <c r="J20" s="902" t="s">
        <v>912</v>
      </c>
      <c r="K20" s="903" t="s">
        <v>912</v>
      </c>
      <c r="L20" s="901" t="s">
        <v>912</v>
      </c>
      <c r="M20" s="901" t="s">
        <v>912</v>
      </c>
      <c r="N20" s="902" t="s">
        <v>912</v>
      </c>
      <c r="O20" s="904" t="s">
        <v>912</v>
      </c>
      <c r="P20" s="906" t="s">
        <v>912</v>
      </c>
      <c r="Q20" s="903" t="s">
        <v>229</v>
      </c>
      <c r="R20" s="906" t="s">
        <v>229</v>
      </c>
      <c r="S20" s="907"/>
      <c r="T20" s="79"/>
      <c r="U20" s="1275" t="s">
        <v>9</v>
      </c>
      <c r="V20" s="61"/>
      <c r="AB20" s="3"/>
    </row>
    <row r="21" spans="1:28" s="6" customFormat="1" ht="15.75" thickBot="1" x14ac:dyDescent="0.25">
      <c r="A21" s="1843">
        <f t="shared" si="0"/>
        <v>9</v>
      </c>
      <c r="B21" s="69"/>
      <c r="C21" s="2018"/>
      <c r="D21" s="2019"/>
      <c r="E21" s="640" t="s">
        <v>131</v>
      </c>
      <c r="F21" s="628" t="s">
        <v>99</v>
      </c>
      <c r="G21" s="629"/>
      <c r="H21" s="629"/>
      <c r="I21" s="629"/>
      <c r="J21" s="630"/>
      <c r="K21" s="914" t="s">
        <v>99</v>
      </c>
      <c r="L21" s="911"/>
      <c r="M21" s="911"/>
      <c r="N21" s="912"/>
      <c r="O21" s="909" t="s">
        <v>99</v>
      </c>
      <c r="P21" s="908"/>
      <c r="Q21" s="910"/>
      <c r="R21" s="908"/>
      <c r="S21" s="641"/>
      <c r="T21" s="80"/>
      <c r="U21" s="1275"/>
      <c r="V21" s="61"/>
      <c r="AB21" s="3"/>
    </row>
    <row r="22" spans="1:28" s="6" customFormat="1" ht="37.5" thickTop="1" x14ac:dyDescent="0.2">
      <c r="A22" s="1843">
        <f t="shared" si="0"/>
        <v>10</v>
      </c>
      <c r="B22" s="69"/>
      <c r="C22" s="2020" t="s">
        <v>7</v>
      </c>
      <c r="D22" s="2021"/>
      <c r="E22" s="900" t="s">
        <v>1148</v>
      </c>
      <c r="F22" s="901" t="s">
        <v>959</v>
      </c>
      <c r="G22" s="901" t="s">
        <v>959</v>
      </c>
      <c r="H22" s="901" t="s">
        <v>959</v>
      </c>
      <c r="I22" s="901" t="s">
        <v>959</v>
      </c>
      <c r="J22" s="902" t="s">
        <v>959</v>
      </c>
      <c r="K22" s="903" t="s">
        <v>960</v>
      </c>
      <c r="L22" s="901" t="s">
        <v>960</v>
      </c>
      <c r="M22" s="901" t="s">
        <v>960</v>
      </c>
      <c r="N22" s="902" t="s">
        <v>960</v>
      </c>
      <c r="O22" s="904" t="s">
        <v>960</v>
      </c>
      <c r="P22" s="906" t="s">
        <v>1183</v>
      </c>
      <c r="Q22" s="903" t="s">
        <v>960</v>
      </c>
      <c r="R22" s="906" t="s">
        <v>229</v>
      </c>
      <c r="S22" s="907" t="s">
        <v>75</v>
      </c>
      <c r="T22" s="79"/>
      <c r="U22" s="1279" t="s">
        <v>1147</v>
      </c>
      <c r="AB22" s="3"/>
    </row>
    <row r="23" spans="1:28" s="6" customFormat="1" ht="36.75" thickBot="1" x14ac:dyDescent="0.25">
      <c r="A23" s="1843">
        <f t="shared" si="0"/>
        <v>11</v>
      </c>
      <c r="B23" s="69"/>
      <c r="C23" s="2018"/>
      <c r="D23" s="2019"/>
      <c r="E23" s="1857" t="s">
        <v>1146</v>
      </c>
      <c r="F23" s="635" t="s">
        <v>146</v>
      </c>
      <c r="G23" s="629"/>
      <c r="H23" s="629"/>
      <c r="I23" s="629"/>
      <c r="J23" s="630"/>
      <c r="K23" s="910" t="s">
        <v>146</v>
      </c>
      <c r="L23" s="911"/>
      <c r="M23" s="911"/>
      <c r="N23" s="912"/>
      <c r="O23" s="909" t="s">
        <v>146</v>
      </c>
      <c r="P23" s="913"/>
      <c r="Q23" s="910"/>
      <c r="R23" s="908"/>
      <c r="S23" s="641"/>
      <c r="T23" s="80"/>
      <c r="U23" s="1280"/>
      <c r="AB23" s="3"/>
    </row>
    <row r="24" spans="1:28" s="6" customFormat="1" ht="42" customHeight="1" thickTop="1" thickBot="1" x14ac:dyDescent="0.3">
      <c r="A24" s="1843">
        <f t="shared" si="0"/>
        <v>12</v>
      </c>
      <c r="B24" s="69"/>
      <c r="C24" s="2020" t="s">
        <v>7</v>
      </c>
      <c r="D24" s="2021"/>
      <c r="E24" s="900" t="s">
        <v>828</v>
      </c>
      <c r="F24" s="901" t="s">
        <v>912</v>
      </c>
      <c r="G24" s="901" t="s">
        <v>912</v>
      </c>
      <c r="H24" s="901" t="s">
        <v>912</v>
      </c>
      <c r="I24" s="901" t="s">
        <v>912</v>
      </c>
      <c r="J24" s="902" t="s">
        <v>912</v>
      </c>
      <c r="K24" s="903" t="s">
        <v>912</v>
      </c>
      <c r="L24" s="901" t="s">
        <v>912</v>
      </c>
      <c r="M24" s="901" t="s">
        <v>912</v>
      </c>
      <c r="N24" s="902" t="s">
        <v>912</v>
      </c>
      <c r="O24" s="904" t="s">
        <v>912</v>
      </c>
      <c r="P24" s="903" t="s">
        <v>229</v>
      </c>
      <c r="Q24" s="903" t="s">
        <v>912</v>
      </c>
      <c r="R24" s="905" t="s">
        <v>229</v>
      </c>
      <c r="S24" s="907"/>
      <c r="T24" s="79"/>
      <c r="U24" s="1277"/>
    </row>
    <row r="25" spans="1:28" s="6" customFormat="1" ht="49.5" hidden="1" customHeight="1" thickBot="1" x14ac:dyDescent="0.3">
      <c r="A25" s="1843">
        <f t="shared" si="0"/>
        <v>13</v>
      </c>
      <c r="B25" s="69"/>
      <c r="C25" s="2022" t="s">
        <v>923</v>
      </c>
      <c r="D25" s="2023"/>
      <c r="E25" s="1611" t="s">
        <v>924</v>
      </c>
      <c r="F25" s="628"/>
      <c r="G25" s="629" t="s">
        <v>912</v>
      </c>
      <c r="H25" s="629" t="s">
        <v>912</v>
      </c>
      <c r="I25" s="629" t="s">
        <v>912</v>
      </c>
      <c r="J25" s="630"/>
      <c r="K25" s="628"/>
      <c r="L25" s="631"/>
      <c r="M25" s="631"/>
      <c r="N25" s="632"/>
      <c r="O25" s="633"/>
      <c r="P25" s="629"/>
      <c r="Q25" s="635"/>
      <c r="R25" s="634"/>
      <c r="S25" s="641"/>
      <c r="T25" s="80"/>
      <c r="U25" s="1280"/>
    </row>
    <row r="26" spans="1:28" s="6" customFormat="1" ht="15.75" customHeight="1" thickTop="1" thickBot="1" x14ac:dyDescent="0.3">
      <c r="A26" s="1843">
        <f t="shared" si="0"/>
        <v>14</v>
      </c>
      <c r="B26" s="69"/>
      <c r="C26" s="2020" t="s">
        <v>7</v>
      </c>
      <c r="D26" s="2021"/>
      <c r="E26" s="900" t="s">
        <v>936</v>
      </c>
      <c r="F26" s="901" t="s">
        <v>912</v>
      </c>
      <c r="G26" s="901" t="s">
        <v>912</v>
      </c>
      <c r="H26" s="901" t="s">
        <v>912</v>
      </c>
      <c r="I26" s="901" t="s">
        <v>912</v>
      </c>
      <c r="J26" s="902" t="s">
        <v>912</v>
      </c>
      <c r="K26" s="903" t="s">
        <v>912</v>
      </c>
      <c r="L26" s="901" t="s">
        <v>912</v>
      </c>
      <c r="M26" s="901" t="s">
        <v>912</v>
      </c>
      <c r="N26" s="902" t="s">
        <v>912</v>
      </c>
      <c r="O26" s="904" t="s">
        <v>912</v>
      </c>
      <c r="P26" s="903" t="s">
        <v>229</v>
      </c>
      <c r="Q26" s="903" t="s">
        <v>912</v>
      </c>
      <c r="R26" s="905" t="s">
        <v>229</v>
      </c>
      <c r="S26" s="907"/>
      <c r="T26" s="79"/>
      <c r="U26" s="1277"/>
    </row>
    <row r="27" spans="1:28" s="6" customFormat="1" ht="55.5" hidden="1" customHeight="1" thickBot="1" x14ac:dyDescent="0.3">
      <c r="A27" s="1843">
        <f t="shared" si="0"/>
        <v>15</v>
      </c>
      <c r="B27" s="69"/>
      <c r="C27" s="2022" t="s">
        <v>923</v>
      </c>
      <c r="D27" s="2023"/>
      <c r="E27" s="1611" t="s">
        <v>925</v>
      </c>
      <c r="F27" s="628"/>
      <c r="G27" s="629" t="s">
        <v>912</v>
      </c>
      <c r="H27" s="629" t="s">
        <v>912</v>
      </c>
      <c r="I27" s="629" t="s">
        <v>912</v>
      </c>
      <c r="J27" s="630"/>
      <c r="K27" s="628"/>
      <c r="L27" s="631"/>
      <c r="M27" s="631"/>
      <c r="N27" s="632"/>
      <c r="O27" s="633"/>
      <c r="P27" s="629"/>
      <c r="Q27" s="635"/>
      <c r="R27" s="634"/>
      <c r="S27" s="641"/>
      <c r="T27" s="80"/>
      <c r="U27" s="1280"/>
    </row>
    <row r="28" spans="1:28" s="6" customFormat="1" ht="16.5" customHeight="1" thickTop="1" thickBot="1" x14ac:dyDescent="0.3">
      <c r="A28" s="1843">
        <f t="shared" si="0"/>
        <v>16</v>
      </c>
      <c r="B28" s="69"/>
      <c r="C28" s="2020" t="s">
        <v>7</v>
      </c>
      <c r="D28" s="2021"/>
      <c r="E28" s="900" t="s">
        <v>937</v>
      </c>
      <c r="F28" s="901" t="s">
        <v>912</v>
      </c>
      <c r="G28" s="901" t="s">
        <v>912</v>
      </c>
      <c r="H28" s="901" t="s">
        <v>912</v>
      </c>
      <c r="I28" s="901" t="s">
        <v>912</v>
      </c>
      <c r="J28" s="902" t="s">
        <v>912</v>
      </c>
      <c r="K28" s="903" t="s">
        <v>912</v>
      </c>
      <c r="L28" s="901" t="s">
        <v>912</v>
      </c>
      <c r="M28" s="901" t="s">
        <v>912</v>
      </c>
      <c r="N28" s="902" t="s">
        <v>912</v>
      </c>
      <c r="O28" s="904" t="s">
        <v>912</v>
      </c>
      <c r="P28" s="903" t="s">
        <v>229</v>
      </c>
      <c r="Q28" s="903" t="s">
        <v>912</v>
      </c>
      <c r="R28" s="905" t="s">
        <v>229</v>
      </c>
      <c r="S28" s="907"/>
      <c r="T28" s="79"/>
      <c r="U28" s="1277"/>
    </row>
    <row r="29" spans="1:28" s="6" customFormat="1" ht="0.75" hidden="1" customHeight="1" thickBot="1" x14ac:dyDescent="0.3">
      <c r="A29" s="1843">
        <f t="shared" si="0"/>
        <v>17</v>
      </c>
      <c r="B29" s="69"/>
      <c r="C29" s="2022" t="s">
        <v>923</v>
      </c>
      <c r="D29" s="2023"/>
      <c r="E29" s="1611" t="s">
        <v>926</v>
      </c>
      <c r="F29" s="628"/>
      <c r="G29" s="629"/>
      <c r="H29" s="629"/>
      <c r="I29" s="629"/>
      <c r="J29" s="630"/>
      <c r="K29" s="628"/>
      <c r="L29" s="631"/>
      <c r="M29" s="631"/>
      <c r="N29" s="632"/>
      <c r="O29" s="633"/>
      <c r="P29" s="629"/>
      <c r="Q29" s="635"/>
      <c r="R29" s="634"/>
      <c r="S29" s="641"/>
      <c r="T29" s="80"/>
      <c r="U29" s="1280"/>
    </row>
    <row r="30" spans="1:28" s="6" customFormat="1" ht="26.25" thickTop="1" x14ac:dyDescent="0.25">
      <c r="A30" s="1843">
        <f t="shared" si="0"/>
        <v>18</v>
      </c>
      <c r="B30" s="69"/>
      <c r="C30" s="1995" t="s">
        <v>7</v>
      </c>
      <c r="D30" s="1996"/>
      <c r="E30" s="899" t="s">
        <v>1234</v>
      </c>
      <c r="F30" s="901" t="s">
        <v>593</v>
      </c>
      <c r="G30" s="901" t="s">
        <v>593</v>
      </c>
      <c r="H30" s="901" t="s">
        <v>593</v>
      </c>
      <c r="I30" s="901" t="s">
        <v>593</v>
      </c>
      <c r="J30" s="902" t="s">
        <v>593</v>
      </c>
      <c r="K30" s="903" t="s">
        <v>624</v>
      </c>
      <c r="L30" s="901" t="s">
        <v>624</v>
      </c>
      <c r="M30" s="901" t="s">
        <v>624</v>
      </c>
      <c r="N30" s="902" t="s">
        <v>624</v>
      </c>
      <c r="O30" s="904" t="s">
        <v>624</v>
      </c>
      <c r="P30" s="1972" t="s">
        <v>624</v>
      </c>
      <c r="Q30" s="906" t="s">
        <v>229</v>
      </c>
      <c r="R30" s="959" t="s">
        <v>229</v>
      </c>
      <c r="S30" s="907" t="s">
        <v>75</v>
      </c>
      <c r="T30" s="79"/>
      <c r="U30" s="1982" t="s">
        <v>595</v>
      </c>
    </row>
    <row r="31" spans="1:28" s="6" customFormat="1" ht="51" customHeight="1" thickBot="1" x14ac:dyDescent="0.3">
      <c r="A31" s="1843">
        <f t="shared" si="0"/>
        <v>19</v>
      </c>
      <c r="B31" s="69"/>
      <c r="C31" s="2018"/>
      <c r="D31" s="2019"/>
      <c r="E31" s="1858" t="s">
        <v>1235</v>
      </c>
      <c r="F31" s="628" t="s">
        <v>99</v>
      </c>
      <c r="G31" s="629"/>
      <c r="H31" s="629"/>
      <c r="I31" s="629"/>
      <c r="J31" s="630"/>
      <c r="K31" s="635" t="s">
        <v>594</v>
      </c>
      <c r="L31" s="631"/>
      <c r="M31" s="631"/>
      <c r="N31" s="632"/>
      <c r="O31" s="633" t="s">
        <v>594</v>
      </c>
      <c r="P31" s="634"/>
      <c r="Q31" s="635"/>
      <c r="R31" s="634"/>
      <c r="S31" s="641"/>
      <c r="T31" s="83"/>
      <c r="U31" s="1982"/>
    </row>
    <row r="32" spans="1:28" s="6" customFormat="1" ht="34.5" customHeight="1" thickTop="1" x14ac:dyDescent="0.25">
      <c r="A32" s="1843">
        <f t="shared" si="0"/>
        <v>20</v>
      </c>
      <c r="B32" s="69"/>
      <c r="C32" s="1995" t="s">
        <v>7</v>
      </c>
      <c r="D32" s="1996"/>
      <c r="E32" s="899" t="s">
        <v>1236</v>
      </c>
      <c r="F32" s="901" t="s">
        <v>593</v>
      </c>
      <c r="G32" s="901" t="s">
        <v>593</v>
      </c>
      <c r="H32" s="901" t="s">
        <v>593</v>
      </c>
      <c r="I32" s="901" t="s">
        <v>593</v>
      </c>
      <c r="J32" s="902" t="s">
        <v>593</v>
      </c>
      <c r="K32" s="903" t="s">
        <v>624</v>
      </c>
      <c r="L32" s="901" t="s">
        <v>624</v>
      </c>
      <c r="M32" s="901" t="s">
        <v>624</v>
      </c>
      <c r="N32" s="902" t="s">
        <v>624</v>
      </c>
      <c r="O32" s="904" t="s">
        <v>624</v>
      </c>
      <c r="P32" s="905" t="s">
        <v>624</v>
      </c>
      <c r="Q32" s="906" t="s">
        <v>624</v>
      </c>
      <c r="R32" s="905" t="s">
        <v>229</v>
      </c>
      <c r="S32" s="907" t="s">
        <v>75</v>
      </c>
      <c r="T32" s="79"/>
      <c r="U32" s="1982" t="s">
        <v>597</v>
      </c>
    </row>
    <row r="33" spans="1:21" s="6" customFormat="1" ht="51" customHeight="1" thickBot="1" x14ac:dyDescent="0.3">
      <c r="A33" s="1843">
        <f t="shared" si="0"/>
        <v>21</v>
      </c>
      <c r="B33" s="69"/>
      <c r="C33" s="2018"/>
      <c r="D33" s="2019"/>
      <c r="E33" s="1858" t="s">
        <v>1237</v>
      </c>
      <c r="F33" s="628" t="s">
        <v>99</v>
      </c>
      <c r="G33" s="629"/>
      <c r="H33" s="629"/>
      <c r="I33" s="629"/>
      <c r="J33" s="630"/>
      <c r="K33" s="910" t="s">
        <v>594</v>
      </c>
      <c r="L33" s="911"/>
      <c r="M33" s="911"/>
      <c r="N33" s="912"/>
      <c r="O33" s="909" t="s">
        <v>594</v>
      </c>
      <c r="P33" s="908"/>
      <c r="Q33" s="910"/>
      <c r="R33" s="908"/>
      <c r="S33" s="641"/>
      <c r="T33" s="80"/>
      <c r="U33" s="1982"/>
    </row>
    <row r="34" spans="1:21" s="6" customFormat="1" ht="24.75" customHeight="1" thickTop="1" x14ac:dyDescent="0.25">
      <c r="A34" s="1843">
        <f t="shared" si="0"/>
        <v>22</v>
      </c>
      <c r="B34" s="69"/>
      <c r="C34" s="1995" t="s">
        <v>7</v>
      </c>
      <c r="D34" s="1996"/>
      <c r="E34" s="899" t="s">
        <v>1238</v>
      </c>
      <c r="F34" s="901" t="s">
        <v>1175</v>
      </c>
      <c r="G34" s="901" t="s">
        <v>593</v>
      </c>
      <c r="H34" s="901" t="s">
        <v>593</v>
      </c>
      <c r="I34" s="901" t="s">
        <v>593</v>
      </c>
      <c r="J34" s="902" t="s">
        <v>593</v>
      </c>
      <c r="K34" s="903" t="s">
        <v>624</v>
      </c>
      <c r="L34" s="901" t="s">
        <v>624</v>
      </c>
      <c r="M34" s="901" t="s">
        <v>624</v>
      </c>
      <c r="N34" s="902" t="s">
        <v>624</v>
      </c>
      <c r="O34" s="904" t="s">
        <v>624</v>
      </c>
      <c r="P34" s="905" t="s">
        <v>229</v>
      </c>
      <c r="Q34" s="906" t="s">
        <v>229</v>
      </c>
      <c r="R34" s="905" t="s">
        <v>229</v>
      </c>
      <c r="S34" s="907" t="s">
        <v>75</v>
      </c>
      <c r="T34" s="79"/>
      <c r="U34" s="1982" t="s">
        <v>596</v>
      </c>
    </row>
    <row r="35" spans="1:21" s="6" customFormat="1" ht="47.25" customHeight="1" thickBot="1" x14ac:dyDescent="0.3">
      <c r="A35" s="1843">
        <f t="shared" si="0"/>
        <v>23</v>
      </c>
      <c r="B35" s="69"/>
      <c r="C35" s="2018"/>
      <c r="D35" s="2019"/>
      <c r="E35" s="1858" t="s">
        <v>1239</v>
      </c>
      <c r="F35" s="628" t="s">
        <v>99</v>
      </c>
      <c r="G35" s="629"/>
      <c r="H35" s="629"/>
      <c r="I35" s="629"/>
      <c r="J35" s="630"/>
      <c r="K35" s="909" t="s">
        <v>594</v>
      </c>
      <c r="L35" s="911"/>
      <c r="M35" s="911"/>
      <c r="N35" s="912"/>
      <c r="O35" s="909" t="s">
        <v>594</v>
      </c>
      <c r="P35" s="908"/>
      <c r="Q35" s="910"/>
      <c r="R35" s="908"/>
      <c r="S35" s="641"/>
      <c r="T35" s="80"/>
      <c r="U35" s="1982"/>
    </row>
    <row r="36" spans="1:21" s="6" customFormat="1" ht="24.75" customHeight="1" thickTop="1" x14ac:dyDescent="0.25">
      <c r="A36" s="1843">
        <f t="shared" si="0"/>
        <v>24</v>
      </c>
      <c r="B36" s="69"/>
      <c r="C36" s="1995" t="s">
        <v>8</v>
      </c>
      <c r="D36" s="1996"/>
      <c r="E36" s="899" t="s">
        <v>1182</v>
      </c>
      <c r="F36" s="901" t="s">
        <v>1175</v>
      </c>
      <c r="G36" s="901" t="s">
        <v>1175</v>
      </c>
      <c r="H36" s="901" t="s">
        <v>1175</v>
      </c>
      <c r="I36" s="901" t="s">
        <v>1175</v>
      </c>
      <c r="J36" s="902" t="s">
        <v>1175</v>
      </c>
      <c r="K36" s="903" t="s">
        <v>1175</v>
      </c>
      <c r="L36" s="901" t="s">
        <v>1175</v>
      </c>
      <c r="M36" s="901" t="s">
        <v>1175</v>
      </c>
      <c r="N36" s="902" t="s">
        <v>1175</v>
      </c>
      <c r="O36" s="904" t="s">
        <v>1175</v>
      </c>
      <c r="P36" s="905" t="s">
        <v>229</v>
      </c>
      <c r="Q36" s="906" t="s">
        <v>229</v>
      </c>
      <c r="R36" s="905" t="s">
        <v>229</v>
      </c>
      <c r="S36" s="907"/>
      <c r="T36" s="79"/>
      <c r="U36" s="1907" t="s">
        <v>596</v>
      </c>
    </row>
    <row r="37" spans="1:21" s="3" customFormat="1" ht="7.5" customHeight="1" x14ac:dyDescent="0.2">
      <c r="A37" s="1844"/>
      <c r="B37" s="68"/>
      <c r="C37" s="650"/>
      <c r="D37" s="650"/>
      <c r="E37" s="650"/>
      <c r="F37" s="650"/>
      <c r="G37" s="650"/>
      <c r="H37" s="650"/>
      <c r="I37" s="650"/>
      <c r="J37" s="650"/>
      <c r="K37" s="650"/>
      <c r="L37" s="650"/>
      <c r="M37" s="650"/>
      <c r="N37" s="650"/>
      <c r="O37" s="650"/>
      <c r="P37" s="650"/>
      <c r="Q37" s="650"/>
      <c r="R37" s="650"/>
      <c r="S37" s="650"/>
      <c r="T37" s="84"/>
      <c r="U37" s="1280"/>
    </row>
    <row r="38" spans="1:21" s="2" customFormat="1" ht="44.25" customHeight="1" x14ac:dyDescent="0.2">
      <c r="A38" s="1845"/>
      <c r="B38" s="70"/>
      <c r="C38" s="169" t="s">
        <v>4</v>
      </c>
      <c r="D38" s="5"/>
      <c r="E38" s="1991" t="s">
        <v>1207</v>
      </c>
      <c r="F38" s="1991"/>
      <c r="G38" s="1991"/>
      <c r="H38" s="1991"/>
      <c r="I38" s="1991"/>
      <c r="J38" s="1991"/>
      <c r="K38" s="1991"/>
      <c r="L38" s="1991"/>
      <c r="M38" s="1991"/>
      <c r="N38" s="1991"/>
      <c r="O38" s="1991"/>
      <c r="P38" s="1991"/>
      <c r="Q38" s="1991"/>
      <c r="R38" s="1991"/>
      <c r="S38" s="1991"/>
      <c r="T38" s="85"/>
      <c r="U38" s="1281"/>
    </row>
    <row r="39" spans="1:21" s="2" customFormat="1" ht="12.75" customHeight="1" x14ac:dyDescent="0.25">
      <c r="A39" s="1845"/>
      <c r="B39" s="70"/>
      <c r="C39" s="93"/>
      <c r="D39" s="1849" t="s">
        <v>130</v>
      </c>
      <c r="E39" s="1859" t="s">
        <v>3</v>
      </c>
      <c r="T39" s="85"/>
      <c r="U39" s="1281"/>
    </row>
    <row r="40" spans="1:21" s="2" customFormat="1" ht="12" customHeight="1" x14ac:dyDescent="0.2">
      <c r="A40" s="1845"/>
      <c r="B40" s="70"/>
      <c r="C40" s="4"/>
      <c r="D40" s="4"/>
      <c r="E40" s="92" t="s">
        <v>576</v>
      </c>
      <c r="T40" s="85"/>
      <c r="U40" s="1281"/>
    </row>
    <row r="41" spans="1:21" ht="6.75" customHeight="1" x14ac:dyDescent="0.25">
      <c r="A41" s="1284"/>
      <c r="B41" s="67"/>
      <c r="T41" s="11"/>
      <c r="U41" s="1274"/>
    </row>
    <row r="42" spans="1:21" ht="15.75" x14ac:dyDescent="0.25">
      <c r="A42" s="1284"/>
      <c r="B42" s="67"/>
      <c r="C42" s="56" t="s">
        <v>1088</v>
      </c>
      <c r="D42" s="15"/>
      <c r="J42" s="2042" t="s">
        <v>1212</v>
      </c>
      <c r="K42" s="1998"/>
      <c r="L42" s="1998"/>
      <c r="M42" s="1998"/>
      <c r="N42" s="1998"/>
      <c r="O42" s="1998"/>
      <c r="P42" s="1998"/>
      <c r="Q42" s="1998"/>
      <c r="R42" s="1998"/>
      <c r="S42" s="1998"/>
      <c r="T42" s="11"/>
      <c r="U42" s="1274"/>
    </row>
    <row r="43" spans="1:21" ht="12" customHeight="1" x14ac:dyDescent="0.25">
      <c r="A43" s="1284"/>
      <c r="B43" s="67"/>
      <c r="D43" s="57" t="s">
        <v>15</v>
      </c>
      <c r="E43" s="1993" t="s">
        <v>90</v>
      </c>
      <c r="F43" s="1993"/>
      <c r="G43" s="1993"/>
      <c r="H43" s="1993"/>
      <c r="I43" s="1993"/>
      <c r="J43" s="2041" t="s">
        <v>1136</v>
      </c>
      <c r="K43" s="2041"/>
      <c r="L43" s="2041"/>
      <c r="M43" s="2041"/>
      <c r="N43" s="2041"/>
      <c r="O43" s="2041"/>
      <c r="P43" s="2041"/>
      <c r="Q43" s="2041"/>
      <c r="R43" s="2041"/>
      <c r="S43" s="2041"/>
      <c r="T43" s="11"/>
      <c r="U43" s="1282" t="str">
        <f t="shared" ref="U43:U49" si="1">CONCATENATE("&lt;------- AUTO COMPLETE BASED ON CHOICES IN ",CHAR(COLUMN(Design)+64),ROW(Design),".")</f>
        <v>&lt;------- AUTO COMPLETE BASED ON CHOICES IN K11.</v>
      </c>
    </row>
    <row r="44" spans="1:21" ht="12" customHeight="1" x14ac:dyDescent="0.25">
      <c r="A44" s="1284"/>
      <c r="B44" s="67"/>
      <c r="C44" s="1076" t="s">
        <v>884</v>
      </c>
      <c r="D44" s="345" t="s">
        <v>13</v>
      </c>
      <c r="E44" s="2009" t="s">
        <v>657</v>
      </c>
      <c r="F44" s="2009"/>
      <c r="G44" s="2009"/>
      <c r="H44" s="2009"/>
      <c r="I44" s="2009"/>
      <c r="J44" s="2041" t="s">
        <v>1137</v>
      </c>
      <c r="K44" s="2041"/>
      <c r="L44" s="2041"/>
      <c r="M44" s="2041"/>
      <c r="N44" s="2041"/>
      <c r="O44" s="2041"/>
      <c r="P44" s="2041"/>
      <c r="Q44" s="2041"/>
      <c r="R44" s="2041"/>
      <c r="S44" s="2041"/>
      <c r="T44" s="11"/>
      <c r="U44" s="1282" t="str">
        <f t="shared" si="1"/>
        <v>&lt;------- AUTO COMPLETE BASED ON CHOICES IN K11.</v>
      </c>
    </row>
    <row r="45" spans="1:21" ht="12" customHeight="1" x14ac:dyDescent="0.25">
      <c r="A45" s="1284"/>
      <c r="B45" s="67"/>
      <c r="C45" s="1076" t="s">
        <v>884</v>
      </c>
      <c r="D45" s="57" t="s">
        <v>14</v>
      </c>
      <c r="E45" s="1997" t="s">
        <v>656</v>
      </c>
      <c r="F45" s="1997"/>
      <c r="G45" s="1997"/>
      <c r="H45" s="1997"/>
      <c r="I45" s="1997"/>
      <c r="J45" s="2046" t="s">
        <v>1208</v>
      </c>
      <c r="K45" s="2046"/>
      <c r="L45" s="2046"/>
      <c r="M45" s="2046"/>
      <c r="N45" s="2046"/>
      <c r="O45" s="2046"/>
      <c r="P45" s="2046"/>
      <c r="Q45" s="2046"/>
      <c r="R45" s="2046"/>
      <c r="S45" s="2046"/>
      <c r="T45" s="11"/>
      <c r="U45" s="1282" t="str">
        <f t="shared" si="1"/>
        <v>&lt;------- AUTO COMPLETE BASED ON CHOICES IN K11.</v>
      </c>
    </row>
    <row r="46" spans="1:21" ht="12" customHeight="1" x14ac:dyDescent="0.25">
      <c r="A46" s="1284"/>
      <c r="B46" s="67"/>
      <c r="C46" s="1076" t="s">
        <v>884</v>
      </c>
      <c r="D46" s="57" t="s">
        <v>15</v>
      </c>
      <c r="E46" s="1997" t="s">
        <v>885</v>
      </c>
      <c r="F46" s="1997"/>
      <c r="G46" s="1997"/>
      <c r="H46" s="1997"/>
      <c r="I46" s="1997"/>
      <c r="J46" s="2047" t="s">
        <v>1138</v>
      </c>
      <c r="K46" s="2047"/>
      <c r="L46" s="2047"/>
      <c r="M46" s="2047"/>
      <c r="N46" s="2047"/>
      <c r="O46" s="2047"/>
      <c r="P46" s="2047"/>
      <c r="Q46" s="2047"/>
      <c r="R46" s="2047"/>
      <c r="S46" s="2047"/>
      <c r="T46" s="11"/>
      <c r="U46" s="1282" t="str">
        <f t="shared" si="1"/>
        <v>&lt;------- AUTO COMPLETE BASED ON CHOICES IN K11.</v>
      </c>
    </row>
    <row r="47" spans="1:21" ht="31.5" customHeight="1" x14ac:dyDescent="0.25">
      <c r="A47" s="1284"/>
      <c r="B47" s="67"/>
      <c r="C47" s="1076" t="s">
        <v>884</v>
      </c>
      <c r="D47" s="1075" t="s">
        <v>91</v>
      </c>
      <c r="E47" s="1994" t="s">
        <v>1095</v>
      </c>
      <c r="F47" s="1994"/>
      <c r="G47" s="1994"/>
      <c r="H47" s="1994"/>
      <c r="I47" s="1994"/>
      <c r="J47" s="2048" t="s">
        <v>1139</v>
      </c>
      <c r="K47" s="2048"/>
      <c r="L47" s="2048"/>
      <c r="M47" s="2048"/>
      <c r="N47" s="2048"/>
      <c r="O47" s="2048"/>
      <c r="P47" s="2048"/>
      <c r="Q47" s="2048"/>
      <c r="R47" s="2048"/>
      <c r="S47" s="2048"/>
      <c r="T47" s="11"/>
      <c r="U47" s="1282" t="str">
        <f t="shared" si="1"/>
        <v>&lt;------- AUTO COMPLETE BASED ON CHOICES IN K11.</v>
      </c>
    </row>
    <row r="48" spans="1:21" ht="14.25" customHeight="1" x14ac:dyDescent="0.25">
      <c r="A48" s="1284"/>
      <c r="B48" s="67"/>
      <c r="C48" s="1998" t="s">
        <v>1087</v>
      </c>
      <c r="D48" s="1998"/>
      <c r="E48" s="1998"/>
      <c r="F48" s="1998"/>
      <c r="G48" s="1998"/>
      <c r="H48" s="1998"/>
      <c r="I48" s="1998"/>
      <c r="J48" s="1987" t="s">
        <v>1209</v>
      </c>
      <c r="K48" s="1987"/>
      <c r="L48" s="1987"/>
      <c r="M48" s="1987"/>
      <c r="N48" s="1987"/>
      <c r="O48" s="1987"/>
      <c r="P48" s="1987"/>
      <c r="Q48" s="1987"/>
      <c r="R48" s="1987"/>
      <c r="S48" s="1987"/>
      <c r="T48" s="11"/>
      <c r="U48" s="1282" t="str">
        <f t="shared" si="1"/>
        <v>&lt;------- AUTO COMPLETE BASED ON CHOICES IN K11.</v>
      </c>
    </row>
    <row r="49" spans="1:31" ht="12" customHeight="1" x14ac:dyDescent="0.25">
      <c r="A49" s="1284"/>
      <c r="B49" s="67"/>
      <c r="D49" s="1074" t="s">
        <v>15</v>
      </c>
      <c r="E49" s="1997" t="s">
        <v>887</v>
      </c>
      <c r="F49" s="1997"/>
      <c r="G49" s="1997"/>
      <c r="H49" s="1997"/>
      <c r="I49" s="1997"/>
      <c r="J49" s="1988" t="s">
        <v>1140</v>
      </c>
      <c r="K49" s="1988"/>
      <c r="L49" s="1988"/>
      <c r="M49" s="1988"/>
      <c r="N49" s="1988"/>
      <c r="O49" s="1988"/>
      <c r="P49" s="1988"/>
      <c r="Q49" s="1988"/>
      <c r="R49" s="1988"/>
      <c r="S49" s="1988"/>
      <c r="T49" s="11"/>
      <c r="U49" s="1282" t="str">
        <f t="shared" si="1"/>
        <v>&lt;------- AUTO COMPLETE BASED ON CHOICES IN K11.</v>
      </c>
    </row>
    <row r="50" spans="1:31" ht="12" customHeight="1" x14ac:dyDescent="0.25">
      <c r="A50" s="1284"/>
      <c r="B50" s="67"/>
      <c r="D50" s="1608" t="s">
        <v>15</v>
      </c>
      <c r="E50" s="1997" t="s">
        <v>886</v>
      </c>
      <c r="F50" s="1997"/>
      <c r="G50" s="1997"/>
      <c r="H50" s="1997"/>
      <c r="I50" s="1997"/>
      <c r="J50" s="1989" t="s">
        <v>1200</v>
      </c>
      <c r="K50" s="1990"/>
      <c r="L50" s="1990"/>
      <c r="M50" s="1990"/>
      <c r="N50" s="1990"/>
      <c r="O50" s="1990"/>
      <c r="P50" s="1990"/>
      <c r="Q50" s="1990"/>
      <c r="R50" s="1990"/>
      <c r="S50" s="1990"/>
      <c r="T50" s="11"/>
      <c r="U50" s="1274"/>
    </row>
    <row r="51" spans="1:31" ht="24" customHeight="1" x14ac:dyDescent="0.25">
      <c r="A51" s="1284"/>
      <c r="B51" s="67"/>
      <c r="D51" s="1612" t="s">
        <v>15</v>
      </c>
      <c r="E51" s="2044" t="s">
        <v>933</v>
      </c>
      <c r="F51" s="2044"/>
      <c r="G51" s="2044"/>
      <c r="H51" s="2044"/>
      <c r="I51" s="2044"/>
      <c r="J51" s="1990"/>
      <c r="K51" s="1990"/>
      <c r="L51" s="1990"/>
      <c r="M51" s="1990"/>
      <c r="N51" s="1990"/>
      <c r="O51" s="1990"/>
      <c r="P51" s="1990"/>
      <c r="Q51" s="1990"/>
      <c r="R51" s="1990"/>
      <c r="S51" s="1990"/>
      <c r="T51" s="11"/>
      <c r="U51" s="1274"/>
    </row>
    <row r="52" spans="1:31" ht="11.25" hidden="1" customHeight="1" x14ac:dyDescent="0.25">
      <c r="A52" s="1284"/>
      <c r="B52" s="67"/>
      <c r="C52" s="2045" t="str">
        <f>IF(OR(Feasibility_Concept="Feasibility or Conceptualization do not apply",Feasibility_Concept="No reports or Conceptualization Apply"),"BOD, Binders, Manuals, Reports, etc.",IF(Feasibility_Concept="Conceptualization","BOD, Binders, Manuals, Reports, etc.",Feasibility_Concept))</f>
        <v>BOD, Binders, Manuals, Reports, etc.</v>
      </c>
      <c r="D52" s="2045"/>
      <c r="E52" s="2045"/>
      <c r="F52" s="2045"/>
      <c r="G52" s="2045"/>
      <c r="H52" s="2045"/>
      <c r="I52" s="2045"/>
      <c r="J52" s="2045"/>
      <c r="K52" s="2045"/>
      <c r="L52" s="2045"/>
      <c r="M52" s="2045"/>
      <c r="N52" s="2045"/>
      <c r="O52" s="2045"/>
      <c r="P52" s="2045"/>
      <c r="Q52" s="2045"/>
      <c r="R52" s="2045"/>
      <c r="S52" s="2045"/>
      <c r="T52" s="11"/>
      <c r="U52" s="1274"/>
    </row>
    <row r="53" spans="1:31" ht="8.1" customHeight="1" x14ac:dyDescent="0.25">
      <c r="A53" s="1284"/>
      <c r="B53" s="67"/>
      <c r="C53" s="1981"/>
      <c r="D53" s="1981"/>
      <c r="E53" s="1981"/>
      <c r="F53" s="1981"/>
      <c r="G53" s="1981"/>
      <c r="H53" s="1981"/>
      <c r="I53" s="1981"/>
      <c r="J53" s="1981"/>
      <c r="K53" s="1981"/>
      <c r="L53" s="1981"/>
      <c r="M53" s="1981"/>
      <c r="N53" s="1981"/>
      <c r="O53" s="1981"/>
      <c r="P53" s="1981"/>
      <c r="Q53" s="1981"/>
      <c r="R53" s="1981"/>
      <c r="S53" s="1981"/>
      <c r="T53" s="11"/>
      <c r="U53" s="1274"/>
    </row>
    <row r="54" spans="1:31" hidden="1" x14ac:dyDescent="0.25">
      <c r="A54" s="1284"/>
      <c r="B54" s="67"/>
      <c r="C54" s="1981"/>
      <c r="D54" s="1981"/>
      <c r="E54" s="1981"/>
      <c r="F54" s="1981"/>
      <c r="G54" s="1981"/>
      <c r="H54" s="1981"/>
      <c r="I54" s="1981"/>
      <c r="J54" s="2043" t="str">
        <f>IF(C52="","",CONCATENATE(C52," Submittal Requirements"))</f>
        <v>BOD, Binders, Manuals, Reports, etc. Submittal Requirements</v>
      </c>
      <c r="K54" s="2043"/>
      <c r="L54" s="2043"/>
      <c r="M54" s="2043"/>
      <c r="N54" s="2043"/>
      <c r="O54" s="2043"/>
      <c r="P54" s="2043"/>
      <c r="Q54" s="2043"/>
      <c r="R54" s="2043"/>
      <c r="S54" s="2043"/>
      <c r="T54" s="11"/>
      <c r="U54" s="1282" t="str">
        <f t="shared" ref="U54:U61" si="2">CONCATENATE("&lt;------- AUTO COMPLETE BASED ON CHOICES IN ",CHAR(COLUMN(Feasibility_Concept)+64),ROW(Feasibility_Concept),".")</f>
        <v>&lt;------- AUTO COMPLETE BASED ON CHOICES IN F11.</v>
      </c>
      <c r="V54" s="1983" t="str">
        <f>IF(OR(Feasibility_Concept="No reports or Conceptualization Apply",Feasibility_Concept="Feasibility or Conceptualization do not apply"),"Basis of Design &amp; Narratives Submittal Requirements",CONCATENATE(Feasibility_Concept," Submittal Requirements"))</f>
        <v>Conceptualization Submittal Requirements</v>
      </c>
      <c r="W54" s="1983"/>
      <c r="X54" s="1983"/>
      <c r="Y54" s="1983"/>
      <c r="Z54" s="1983"/>
      <c r="AA54" s="1983"/>
      <c r="AB54" s="1983"/>
      <c r="AC54" s="1983"/>
      <c r="AD54" s="1983"/>
      <c r="AE54" s="1983"/>
    </row>
    <row r="55" spans="1:31" ht="12" hidden="1" customHeight="1" x14ac:dyDescent="0.25">
      <c r="A55" s="1284"/>
      <c r="B55" s="67"/>
      <c r="C55" s="1981"/>
      <c r="D55" s="1981"/>
      <c r="E55" s="1981"/>
      <c r="F55" s="1981"/>
      <c r="G55" s="1981"/>
      <c r="H55" s="1981"/>
      <c r="I55" s="1981"/>
      <c r="J55" s="1992" t="str">
        <f>IF(OR(Feasibility_Concept="No reports or Conceptualization Apply",Feasibility_Concept="Feasibility or Conceptualization do not apply"),"o   Paper copies should be comb bound.",CONCATENATE("o   Paper copies should be comb bound."))</f>
        <v>o   Paper copies should be comb bound.</v>
      </c>
      <c r="K55" s="1992"/>
      <c r="L55" s="1992"/>
      <c r="M55" s="1992"/>
      <c r="N55" s="1992"/>
      <c r="O55" s="1992"/>
      <c r="P55" s="1992"/>
      <c r="Q55" s="1992"/>
      <c r="R55" s="1992"/>
      <c r="S55" s="1992"/>
      <c r="T55" s="11"/>
      <c r="U55" s="1282" t="str">
        <f t="shared" si="2"/>
        <v>&lt;------- AUTO COMPLETE BASED ON CHOICES IN F11.</v>
      </c>
    </row>
    <row r="56" spans="1:31" ht="12" hidden="1" customHeight="1" x14ac:dyDescent="0.25">
      <c r="A56" s="1284"/>
      <c r="B56" s="67"/>
      <c r="C56" s="1981"/>
      <c r="D56" s="1981"/>
      <c r="E56" s="1981"/>
      <c r="F56" s="1981"/>
      <c r="G56" s="1981"/>
      <c r="H56" s="1981"/>
      <c r="I56" s="1981"/>
      <c r="J56" s="1985" t="str">
        <f>IF(OR(Feasibility_Concept="No reports or Conceptualization Apply",Feasibility_Concept="Feasibility or Conceptualization do not apply"),"o   Compact Disk (CD) should contain:",CONCATENATE("o   Compact Disk (CD) should contain:"))</f>
        <v>o   Compact Disk (CD) should contain:</v>
      </c>
      <c r="K56" s="1985"/>
      <c r="L56" s="1985"/>
      <c r="M56" s="1985"/>
      <c r="N56" s="1985"/>
      <c r="O56" s="1985"/>
      <c r="P56" s="1985"/>
      <c r="Q56" s="1985"/>
      <c r="R56" s="1985"/>
      <c r="S56" s="1985"/>
      <c r="T56" s="11"/>
      <c r="U56" s="1282" t="str">
        <f t="shared" si="2"/>
        <v>&lt;------- AUTO COMPLETE BASED ON CHOICES IN F11.</v>
      </c>
    </row>
    <row r="57" spans="1:31" ht="12" hidden="1" customHeight="1" x14ac:dyDescent="0.25">
      <c r="A57" s="1284"/>
      <c r="B57" s="67"/>
      <c r="C57" s="1981"/>
      <c r="D57" s="1981"/>
      <c r="E57" s="1981"/>
      <c r="F57" s="1981"/>
      <c r="G57" s="1981"/>
      <c r="H57" s="1981"/>
      <c r="I57" s="1981"/>
      <c r="J57" s="1992" t="str">
        <f>IF(OR(Feasibility_Concept="No reports or Conceptualization Apply",Feasibility_Concept="Feasibility or Conceptualization do not apply"),"      *  1 copy of complete document in pdf (one file, cover to cover)",CONCATENATE("      *  1 copy of complete report in pdf (one file, cover to cover)"))</f>
        <v xml:space="preserve">      *  1 copy of complete report in pdf (one file, cover to cover)</v>
      </c>
      <c r="K57" s="1992"/>
      <c r="L57" s="1992"/>
      <c r="M57" s="1992"/>
      <c r="N57" s="1992"/>
      <c r="O57" s="1992"/>
      <c r="P57" s="1992"/>
      <c r="Q57" s="1992"/>
      <c r="R57" s="1992"/>
      <c r="S57" s="1992"/>
      <c r="T57" s="11"/>
      <c r="U57" s="1282" t="str">
        <f t="shared" si="2"/>
        <v>&lt;------- AUTO COMPLETE BASED ON CHOICES IN F11.</v>
      </c>
    </row>
    <row r="58" spans="1:31" ht="12" hidden="1" customHeight="1" x14ac:dyDescent="0.25">
      <c r="A58" s="1284"/>
      <c r="B58" s="67"/>
      <c r="C58" s="1981"/>
      <c r="D58" s="1981"/>
      <c r="E58" s="1981"/>
      <c r="F58" s="1981"/>
      <c r="G58" s="1981"/>
      <c r="H58" s="1981"/>
      <c r="I58" s="1981"/>
      <c r="J58" s="1992" t="str">
        <f>IF(OR(Feasibility_Concept="No reports or Conceptualization Apply",Feasibility_Concept="Feasibility or Conceptualization do not apply"),"      *  1 copy of all native files (whether Word, cad, excel, image, etc.)",CONCATENATE("      *  1 copy of all native files (whether Word, cad, excel, image, etc.)"))</f>
        <v xml:space="preserve">      *  1 copy of all native files (whether Word, cad, excel, image, etc.)</v>
      </c>
      <c r="K58" s="1992"/>
      <c r="L58" s="1992"/>
      <c r="M58" s="1992"/>
      <c r="N58" s="1992"/>
      <c r="O58" s="1992"/>
      <c r="P58" s="1992"/>
      <c r="Q58" s="1992"/>
      <c r="R58" s="1992"/>
      <c r="S58" s="1992"/>
      <c r="T58" s="11"/>
      <c r="U58" s="1282" t="str">
        <f t="shared" si="2"/>
        <v>&lt;------- AUTO COMPLETE BASED ON CHOICES IN F11.</v>
      </c>
    </row>
    <row r="59" spans="1:31" ht="12" hidden="1" customHeight="1" x14ac:dyDescent="0.25">
      <c r="A59" s="1284"/>
      <c r="B59" s="67"/>
      <c r="C59" s="1981"/>
      <c r="D59" s="1981"/>
      <c r="E59" s="1981"/>
      <c r="F59" s="1981"/>
      <c r="G59" s="1981"/>
      <c r="H59" s="1981"/>
      <c r="I59" s="1981"/>
      <c r="J59" s="1985" t="str">
        <f>IF(OR(Feasibility_Concept="No reports or Conceptualization Apply",Feasibility_Concept="Feasibility or Conceptualization do not apply"),"o   Compact Disk (CD) cover should contents should conform to :",CONCATENATE("o   Compact Disk (CD) cover should contents should conform to :"))</f>
        <v>o   Compact Disk (CD) cover should contents should conform to :</v>
      </c>
      <c r="K59" s="1985"/>
      <c r="L59" s="1985"/>
      <c r="M59" s="1985"/>
      <c r="N59" s="1985"/>
      <c r="O59" s="1985"/>
      <c r="P59" s="1985"/>
      <c r="Q59" s="1985"/>
      <c r="R59" s="1985"/>
      <c r="S59" s="1985"/>
      <c r="T59" s="11"/>
      <c r="U59" s="1282" t="str">
        <f t="shared" si="2"/>
        <v>&lt;------- AUTO COMPLETE BASED ON CHOICES IN F11.</v>
      </c>
    </row>
    <row r="60" spans="1:31" ht="15" hidden="1" customHeight="1" x14ac:dyDescent="0.25">
      <c r="A60" s="1284"/>
      <c r="B60" s="67"/>
      <c r="C60" s="1981"/>
      <c r="D60" s="1981"/>
      <c r="E60" s="1981"/>
      <c r="F60" s="1981"/>
      <c r="G60" s="1981"/>
      <c r="H60" s="1981"/>
      <c r="I60" s="1981"/>
      <c r="J60" s="1986" t="str">
        <f>IF(OR(Feasibility_Concept="No reports or Conceptualization Apply",Feasibility_Concept="Feasibility or Conceptualization do not apply"),CONCATENATE("Refer to latest version of ''Facilities and Services - PROJECT SUBMITTAL REQUIREMENTS''"),CONCATENATE("Refer to latest version of ''Facilities and Services - PROJECT SUBMITTAL REQUIREMENTS''"))</f>
        <v>Refer to latest version of ''Facilities and Services - PROJECT SUBMITTAL REQUIREMENTS''</v>
      </c>
      <c r="K60" s="1986"/>
      <c r="L60" s="1986"/>
      <c r="M60" s="1986"/>
      <c r="N60" s="1986"/>
      <c r="O60" s="1986"/>
      <c r="P60" s="1986"/>
      <c r="Q60" s="1986"/>
      <c r="R60" s="1986"/>
      <c r="S60" s="1986"/>
      <c r="T60" s="11"/>
      <c r="U60" s="1282" t="str">
        <f t="shared" si="2"/>
        <v>&lt;------- AUTO COMPLETE BASED ON CHOICES IN F11.</v>
      </c>
    </row>
    <row r="61" spans="1:31" ht="12" hidden="1" customHeight="1" x14ac:dyDescent="0.25">
      <c r="A61" s="1284"/>
      <c r="B61" s="67"/>
      <c r="C61" s="1981"/>
      <c r="D61" s="1981"/>
      <c r="E61" s="1981"/>
      <c r="F61" s="1981"/>
      <c r="G61" s="1981"/>
      <c r="H61" s="1981"/>
      <c r="I61" s="1981"/>
      <c r="J61" s="2050" t="str">
        <f>IF(OR(Feasibility_Concept="No reports or Conceptualization Apply",Feasibility_Concept="Feasibility or Conceptualization do not apply"),"http://www.fs.illinois.edu/docs/default-source/FIR/project-submittal-requirements.pdf",CONCATENATE("http://www.fs.illinois.edu/docs/default-source/FIR/project-submittal-requirements.pdf"))</f>
        <v>http://www.fs.illinois.edu/docs/default-source/FIR/project-submittal-requirements.pdf</v>
      </c>
      <c r="K61" s="2050"/>
      <c r="L61" s="2050"/>
      <c r="M61" s="2050"/>
      <c r="N61" s="2050"/>
      <c r="O61" s="2050"/>
      <c r="P61" s="2050"/>
      <c r="Q61" s="2050"/>
      <c r="R61" s="2050"/>
      <c r="S61" s="2050"/>
      <c r="T61" s="11"/>
      <c r="U61" s="1282" t="str">
        <f t="shared" si="2"/>
        <v>&lt;------- AUTO COMPLETE BASED ON CHOICES IN F11.</v>
      </c>
    </row>
    <row r="62" spans="1:31" ht="6.75" customHeight="1" x14ac:dyDescent="0.25">
      <c r="A62" s="1284"/>
      <c r="B62" s="67"/>
      <c r="C62" s="1981"/>
      <c r="D62" s="1981"/>
      <c r="E62" s="1981"/>
      <c r="F62" s="1981"/>
      <c r="G62" s="1981"/>
      <c r="H62" s="1981"/>
      <c r="I62" s="1981"/>
      <c r="J62" s="1984"/>
      <c r="K62" s="1984"/>
      <c r="L62" s="1984"/>
      <c r="M62" s="1984"/>
      <c r="N62" s="1984"/>
      <c r="O62" s="1984"/>
      <c r="P62" s="1984"/>
      <c r="Q62" s="1984"/>
      <c r="R62" s="1984"/>
      <c r="S62" s="1984"/>
      <c r="T62" s="11"/>
      <c r="U62" s="1282"/>
    </row>
    <row r="63" spans="1:31" hidden="1" x14ac:dyDescent="0.25">
      <c r="A63" s="1284"/>
      <c r="B63" s="67"/>
      <c r="C63" s="1981"/>
      <c r="D63" s="1981"/>
      <c r="E63" s="1981"/>
      <c r="F63" s="1981"/>
      <c r="G63" s="1981"/>
      <c r="H63" s="1981"/>
      <c r="I63" s="1981"/>
      <c r="J63" s="1984"/>
      <c r="K63" s="1984"/>
      <c r="L63" s="1984"/>
      <c r="M63" s="1984"/>
      <c r="N63" s="1984"/>
      <c r="O63" s="1984"/>
      <c r="P63" s="1984"/>
      <c r="Q63" s="1984"/>
      <c r="R63" s="1984"/>
      <c r="S63" s="1984"/>
      <c r="T63" s="11"/>
      <c r="U63" s="1282"/>
    </row>
    <row r="64" spans="1:31" ht="15.75" x14ac:dyDescent="0.25">
      <c r="A64" s="1284"/>
      <c r="B64" s="67"/>
      <c r="C64" s="1980" t="s">
        <v>1116</v>
      </c>
      <c r="D64" s="1980"/>
      <c r="E64" s="1980"/>
      <c r="F64" s="1980"/>
      <c r="G64" s="1980"/>
      <c r="H64" s="1980"/>
      <c r="I64" s="1980"/>
      <c r="J64" s="2049" t="s">
        <v>1117</v>
      </c>
      <c r="K64" s="2049"/>
      <c r="L64" s="2049"/>
      <c r="M64" s="2049"/>
      <c r="N64" s="2049"/>
      <c r="O64" s="2049"/>
      <c r="P64" s="2049"/>
      <c r="Q64" s="2049"/>
      <c r="R64" s="2049"/>
      <c r="S64" s="2049"/>
      <c r="T64" s="11"/>
      <c r="U64" s="1282" t="str">
        <f t="shared" ref="U64:U71" si="3">CONCATENATE("&lt;------- AUTO COMPLETE BASED ON CHOICES IN ",CHAR(COLUMN(Feasibility_Concept)+64),ROW(Feasibility_Concept),".")</f>
        <v>&lt;------- AUTO COMPLETE BASED ON CHOICES IN F11.</v>
      </c>
      <c r="V64" s="735"/>
      <c r="W64" s="735"/>
      <c r="X64" s="735"/>
      <c r="Y64" s="735"/>
      <c r="Z64" s="735"/>
      <c r="AA64" s="735"/>
      <c r="AB64" s="735"/>
      <c r="AC64" s="735"/>
      <c r="AD64" s="735"/>
      <c r="AE64" s="735"/>
    </row>
    <row r="65" spans="1:28" s="280" customFormat="1" ht="12" customHeight="1" x14ac:dyDescent="0.25">
      <c r="A65" s="1283"/>
      <c r="B65" s="281"/>
      <c r="C65" s="1850" t="s">
        <v>1106</v>
      </c>
      <c r="D65" s="1850"/>
      <c r="E65" s="1850"/>
      <c r="F65" s="1850"/>
      <c r="G65" s="1850"/>
      <c r="H65" s="1850"/>
      <c r="I65" s="2035"/>
      <c r="J65" s="2034" t="s">
        <v>1107</v>
      </c>
      <c r="K65" s="2034"/>
      <c r="L65" s="2034"/>
      <c r="M65" s="2034"/>
      <c r="N65" s="2034"/>
      <c r="O65" s="2034"/>
      <c r="P65" s="2034"/>
      <c r="Q65" s="2034"/>
      <c r="R65" s="2034"/>
      <c r="S65" s="2034"/>
      <c r="T65" s="282"/>
      <c r="U65" s="1282" t="str">
        <f t="shared" si="3"/>
        <v>&lt;------- AUTO COMPLETE BASED ON CHOICES IN F11.</v>
      </c>
    </row>
    <row r="66" spans="1:28" s="280" customFormat="1" ht="12" customHeight="1" x14ac:dyDescent="0.25">
      <c r="A66" s="1283"/>
      <c r="B66" s="281"/>
      <c r="C66" s="2037" t="s">
        <v>1108</v>
      </c>
      <c r="D66" s="2037"/>
      <c r="E66" s="2037"/>
      <c r="F66" s="2037"/>
      <c r="G66" s="2037"/>
      <c r="H66" s="2037"/>
      <c r="I66" s="2035"/>
      <c r="J66" s="2034" t="s">
        <v>1106</v>
      </c>
      <c r="K66" s="2034"/>
      <c r="L66" s="2034"/>
      <c r="M66" s="2034"/>
      <c r="N66" s="2034"/>
      <c r="O66" s="2034"/>
      <c r="P66" s="2034"/>
      <c r="Q66" s="2034"/>
      <c r="R66" s="2034"/>
      <c r="S66" s="2034"/>
      <c r="T66" s="282"/>
      <c r="U66" s="1282" t="str">
        <f t="shared" si="3"/>
        <v>&lt;------- AUTO COMPLETE BASED ON CHOICES IN F11.</v>
      </c>
    </row>
    <row r="67" spans="1:28" s="280" customFormat="1" ht="13.5" customHeight="1" x14ac:dyDescent="0.25">
      <c r="A67" s="1283"/>
      <c r="B67" s="281"/>
      <c r="C67" s="2037" t="s">
        <v>1109</v>
      </c>
      <c r="D67" s="2037"/>
      <c r="E67" s="2037"/>
      <c r="F67" s="2037"/>
      <c r="G67" s="2037"/>
      <c r="H67" s="2037"/>
      <c r="I67" s="2035"/>
      <c r="J67" s="2034" t="s">
        <v>1108</v>
      </c>
      <c r="K67" s="2034"/>
      <c r="L67" s="2034"/>
      <c r="M67" s="2034"/>
      <c r="N67" s="2034"/>
      <c r="O67" s="2034"/>
      <c r="P67" s="2034"/>
      <c r="Q67" s="2034"/>
      <c r="R67" s="2034"/>
      <c r="S67" s="2034"/>
      <c r="T67" s="282"/>
      <c r="U67" s="1282" t="str">
        <f t="shared" si="3"/>
        <v>&lt;------- AUTO COMPLETE BASED ON CHOICES IN F11.</v>
      </c>
    </row>
    <row r="68" spans="1:28" s="280" customFormat="1" ht="13.5" customHeight="1" x14ac:dyDescent="0.25">
      <c r="A68" s="1283"/>
      <c r="B68" s="281"/>
      <c r="C68" s="2037" t="s">
        <v>15</v>
      </c>
      <c r="D68" s="2037"/>
      <c r="E68" s="2037"/>
      <c r="F68" s="2037"/>
      <c r="G68" s="2037"/>
      <c r="H68" s="2037"/>
      <c r="I68" s="2035"/>
      <c r="J68" s="2034" t="s">
        <v>15</v>
      </c>
      <c r="K68" s="2034"/>
      <c r="L68" s="2034"/>
      <c r="M68" s="2034"/>
      <c r="N68" s="2034"/>
      <c r="O68" s="2034"/>
      <c r="P68" s="2034"/>
      <c r="Q68" s="2034"/>
      <c r="R68" s="2034"/>
      <c r="S68" s="2034"/>
      <c r="T68" s="282"/>
      <c r="U68" s="1282" t="str">
        <f t="shared" si="3"/>
        <v>&lt;------- AUTO COMPLETE BASED ON CHOICES IN F11.</v>
      </c>
    </row>
    <row r="69" spans="1:28" s="280" customFormat="1" ht="29.25" customHeight="1" x14ac:dyDescent="0.25">
      <c r="A69" s="1283"/>
      <c r="B69" s="281"/>
      <c r="C69" s="2036" t="s">
        <v>1112</v>
      </c>
      <c r="D69" s="2037"/>
      <c r="E69" s="2037"/>
      <c r="F69" s="2037"/>
      <c r="G69" s="2037"/>
      <c r="H69" s="2037"/>
      <c r="I69" s="2035"/>
      <c r="J69" s="2034" t="s">
        <v>1112</v>
      </c>
      <c r="K69" s="2034"/>
      <c r="L69" s="2034"/>
      <c r="M69" s="2034"/>
      <c r="N69" s="2034"/>
      <c r="O69" s="2034"/>
      <c r="P69" s="2034"/>
      <c r="Q69" s="2034"/>
      <c r="R69" s="2034"/>
      <c r="S69" s="2034"/>
      <c r="T69" s="282"/>
      <c r="U69" s="1282" t="str">
        <f t="shared" si="3"/>
        <v>&lt;------- AUTO COMPLETE BASED ON CHOICES IN F11.</v>
      </c>
    </row>
    <row r="70" spans="1:28" s="280" customFormat="1" ht="12" customHeight="1" x14ac:dyDescent="0.25">
      <c r="A70" s="1283"/>
      <c r="B70" s="281"/>
      <c r="C70" s="2037" t="s">
        <v>1110</v>
      </c>
      <c r="D70" s="2037"/>
      <c r="E70" s="2037"/>
      <c r="F70" s="2037"/>
      <c r="G70" s="2037"/>
      <c r="H70" s="2037"/>
      <c r="I70" s="2035"/>
      <c r="J70" s="2034" t="s">
        <v>1111</v>
      </c>
      <c r="K70" s="2034"/>
      <c r="L70" s="2034"/>
      <c r="M70" s="2034"/>
      <c r="N70" s="2034"/>
      <c r="O70" s="2034"/>
      <c r="P70" s="2034"/>
      <c r="Q70" s="2034"/>
      <c r="R70" s="2034"/>
      <c r="S70" s="2034"/>
      <c r="T70" s="282"/>
      <c r="U70" s="1282" t="str">
        <f t="shared" si="3"/>
        <v>&lt;------- AUTO COMPLETE BASED ON CHOICES IN F11.</v>
      </c>
      <c r="V70" s="734"/>
      <c r="W70" s="734"/>
      <c r="X70" s="734"/>
      <c r="Y70" s="734"/>
      <c r="Z70" s="734"/>
      <c r="AA70" s="734"/>
      <c r="AB70" s="734"/>
    </row>
    <row r="71" spans="1:28" s="280" customFormat="1" ht="17.25" customHeight="1" x14ac:dyDescent="0.2">
      <c r="A71" s="1283"/>
      <c r="B71" s="281"/>
      <c r="C71" s="2033" t="str">
        <f>CONCATENATE("Master Template last updated on: ",TEXT(Form_Update,"MM/DD/YYYY"))</f>
        <v>Master Template last updated on: 08/31/2020</v>
      </c>
      <c r="D71" s="2033"/>
      <c r="E71" s="2033"/>
      <c r="F71" s="2033"/>
      <c r="G71" s="2033"/>
      <c r="H71" s="2033"/>
      <c r="I71" s="2033"/>
      <c r="J71" s="2033"/>
      <c r="K71" s="2033"/>
      <c r="L71" s="2033"/>
      <c r="M71" s="2033"/>
      <c r="N71" s="2033"/>
      <c r="O71" s="2033"/>
      <c r="P71" s="2033"/>
      <c r="Q71" s="2033"/>
      <c r="R71" s="2033"/>
      <c r="S71" s="2033"/>
      <c r="T71" s="282"/>
      <c r="U71" s="1282" t="str">
        <f t="shared" si="3"/>
        <v>&lt;------- AUTO COMPLETE BASED ON CHOICES IN F11.</v>
      </c>
    </row>
    <row r="72" spans="1:28" ht="3.75" customHeight="1" x14ac:dyDescent="0.25">
      <c r="A72" s="1283"/>
      <c r="B72" s="283"/>
      <c r="C72" s="8"/>
      <c r="D72" s="8"/>
      <c r="E72" s="8"/>
      <c r="F72" s="8"/>
      <c r="G72" s="8"/>
      <c r="H72" s="8"/>
      <c r="I72" s="8"/>
      <c r="J72" s="8"/>
      <c r="K72" s="8"/>
      <c r="L72" s="8"/>
      <c r="M72" s="8"/>
      <c r="N72" s="8"/>
      <c r="O72" s="8"/>
      <c r="P72" s="8"/>
      <c r="Q72" s="8"/>
      <c r="R72" s="8"/>
      <c r="S72" s="8"/>
      <c r="T72" s="284"/>
      <c r="U72" s="1283"/>
      <c r="V72" s="280"/>
      <c r="W72" s="280"/>
    </row>
    <row r="73" spans="1:28" x14ac:dyDescent="0.25">
      <c r="A73" s="1842"/>
      <c r="B73" s="1285"/>
      <c r="C73" s="1284"/>
      <c r="D73" s="1284"/>
      <c r="E73" s="1284"/>
      <c r="F73" s="1284"/>
      <c r="G73" s="1284"/>
      <c r="H73" s="1284"/>
      <c r="I73" s="1284"/>
      <c r="J73" s="1284"/>
      <c r="K73" s="1284"/>
      <c r="L73" s="1284"/>
      <c r="M73" s="1284"/>
      <c r="N73" s="1284"/>
      <c r="O73" s="1284"/>
      <c r="P73" s="1284"/>
      <c r="Q73" s="1284"/>
      <c r="R73" s="1284"/>
      <c r="S73" s="1284"/>
      <c r="T73" s="1284"/>
      <c r="U73" s="1272"/>
      <c r="V73" s="280"/>
      <c r="W73" s="280"/>
    </row>
    <row r="74" spans="1:28" x14ac:dyDescent="0.25">
      <c r="A74" s="1286"/>
      <c r="B74" s="1285"/>
      <c r="C74" s="1284"/>
      <c r="D74" s="1284"/>
      <c r="E74" s="1284"/>
      <c r="F74" s="1284"/>
      <c r="G74" s="1284"/>
      <c r="H74" s="1284"/>
      <c r="I74" s="1284"/>
      <c r="J74" s="1284"/>
      <c r="K74" s="1284"/>
      <c r="L74" s="1284"/>
      <c r="M74" s="1284"/>
      <c r="N74" s="1284"/>
      <c r="O74" s="1284"/>
      <c r="P74" s="1284"/>
      <c r="Q74" s="1284"/>
      <c r="R74" s="1284"/>
      <c r="S74" s="1284"/>
      <c r="T74" s="1284"/>
      <c r="U74" s="1273"/>
      <c r="V74" s="280"/>
      <c r="W74" s="280"/>
      <c r="X74" s="95"/>
      <c r="Y74" s="95"/>
      <c r="Z74" s="95"/>
      <c r="AA74" s="95"/>
      <c r="AB74" s="95"/>
    </row>
    <row r="75" spans="1:28" x14ac:dyDescent="0.25">
      <c r="A75" s="1286"/>
      <c r="B75" s="1285"/>
      <c r="C75" s="1284"/>
      <c r="D75" s="1284"/>
      <c r="E75" s="1284"/>
      <c r="F75" s="1284"/>
      <c r="G75" s="1284"/>
      <c r="H75" s="1284"/>
      <c r="I75" s="1284"/>
      <c r="J75" s="1284"/>
      <c r="K75" s="1284"/>
      <c r="L75" s="1284"/>
      <c r="M75" s="1284"/>
      <c r="N75" s="1284"/>
      <c r="O75" s="1284"/>
      <c r="P75" s="1284"/>
      <c r="Q75" s="1284"/>
      <c r="R75" s="1284"/>
      <c r="S75" s="1284"/>
      <c r="T75" s="1284"/>
      <c r="U75" s="1273"/>
      <c r="V75" s="7"/>
      <c r="W75" s="7"/>
    </row>
    <row r="76" spans="1:28" ht="15.75" thickBot="1" x14ac:dyDescent="0.3">
      <c r="A76" s="1971"/>
      <c r="B76" s="1284"/>
      <c r="C76" s="2038" t="s">
        <v>1222</v>
      </c>
      <c r="D76" s="2038"/>
      <c r="E76" s="2038"/>
      <c r="F76" s="2038"/>
      <c r="G76" s="2038"/>
      <c r="H76" s="1284"/>
      <c r="I76" s="1284"/>
      <c r="J76" s="1284"/>
      <c r="K76" s="1284"/>
      <c r="L76" s="1284"/>
      <c r="M76" s="1284"/>
      <c r="N76" s="1284"/>
      <c r="O76" s="1284"/>
      <c r="P76" s="1284"/>
      <c r="Q76" s="1284"/>
      <c r="R76" s="1284"/>
      <c r="S76" s="1284"/>
      <c r="T76" s="1284"/>
      <c r="U76" s="1274"/>
      <c r="V76" s="7"/>
    </row>
    <row r="77" spans="1:28" ht="15.75" hidden="1" thickTop="1" x14ac:dyDescent="0.25">
      <c r="A77" s="2039" t="s">
        <v>598</v>
      </c>
      <c r="B77" s="1284"/>
      <c r="F77" s="1284"/>
      <c r="G77" s="1284"/>
      <c r="H77" s="1284"/>
      <c r="I77" s="1284"/>
      <c r="J77" s="1284"/>
      <c r="K77" s="1284"/>
      <c r="L77" s="1284"/>
      <c r="M77" s="1284"/>
      <c r="N77" s="1284"/>
      <c r="O77" s="1284"/>
      <c r="P77" s="1284"/>
      <c r="Q77" s="1284"/>
      <c r="R77" s="1284"/>
      <c r="S77" s="1284"/>
      <c r="T77" s="1284"/>
      <c r="U77" s="1284"/>
      <c r="V77" s="7"/>
    </row>
    <row r="78" spans="1:28" hidden="1" x14ac:dyDescent="0.25">
      <c r="A78" s="2039"/>
      <c r="B78" s="1284"/>
      <c r="C78" s="1284"/>
      <c r="D78" s="1284"/>
      <c r="E78" s="1284"/>
      <c r="F78" s="1284"/>
      <c r="G78" s="1284"/>
      <c r="H78" s="1284"/>
      <c r="I78" s="1284"/>
      <c r="J78" s="1284"/>
      <c r="K78" s="1284"/>
      <c r="L78" s="1288"/>
      <c r="M78" s="1284"/>
      <c r="N78" s="1284"/>
      <c r="O78" s="1284"/>
      <c r="P78" s="1284"/>
      <c r="Q78" s="1284"/>
      <c r="R78" s="1284"/>
      <c r="S78" s="1284"/>
      <c r="T78" s="1284"/>
      <c r="U78" s="1284"/>
      <c r="V78" s="7"/>
    </row>
    <row r="79" spans="1:28" ht="15.75" hidden="1" thickBot="1" x14ac:dyDescent="0.3">
      <c r="A79" s="2039"/>
      <c r="B79" s="1284"/>
      <c r="C79" s="1321" t="s">
        <v>16</v>
      </c>
      <c r="D79" s="1284"/>
      <c r="E79" s="1321" t="s">
        <v>16</v>
      </c>
      <c r="F79" s="1284"/>
      <c r="G79" s="1284"/>
      <c r="H79" s="1284"/>
      <c r="I79" s="1284"/>
      <c r="J79" s="1284"/>
      <c r="K79" s="1284"/>
      <c r="L79" s="1838"/>
      <c r="M79" s="1284"/>
      <c r="N79" s="1289"/>
      <c r="O79" s="1284"/>
      <c r="P79" s="1284"/>
      <c r="Q79" s="1284"/>
      <c r="R79" s="1284"/>
      <c r="S79" s="1284"/>
      <c r="T79" s="1284"/>
      <c r="U79" s="1284"/>
      <c r="V79" s="7"/>
    </row>
    <row r="80" spans="1:28" hidden="1" x14ac:dyDescent="0.25">
      <c r="A80" s="2039"/>
      <c r="B80" s="1284"/>
      <c r="C80" s="1290" t="s">
        <v>1197</v>
      </c>
      <c r="D80" s="1284"/>
      <c r="E80" s="1290" t="s">
        <v>69</v>
      </c>
      <c r="F80" s="1284"/>
      <c r="G80" s="1284"/>
      <c r="H80" s="1284"/>
      <c r="I80" s="1284"/>
      <c r="J80" s="1284"/>
      <c r="K80" s="1284"/>
      <c r="L80" s="1838"/>
      <c r="M80" s="1284"/>
      <c r="N80" s="1289"/>
      <c r="O80" s="1291"/>
      <c r="P80" s="1284"/>
      <c r="Q80" s="1284"/>
      <c r="R80" s="1284"/>
      <c r="S80" s="1284"/>
      <c r="T80" s="1284"/>
      <c r="U80" s="1284"/>
      <c r="V80" s="7"/>
    </row>
    <row r="81" spans="1:22" hidden="1" x14ac:dyDescent="0.25">
      <c r="A81" s="2039"/>
      <c r="B81" s="1284"/>
      <c r="C81" s="1292" t="s">
        <v>75</v>
      </c>
      <c r="D81" s="1284"/>
      <c r="E81" s="1292"/>
      <c r="F81" s="1284"/>
      <c r="G81" s="1284"/>
      <c r="H81" s="1284"/>
      <c r="I81" s="1284"/>
      <c r="J81" s="1284"/>
      <c r="K81" s="1284"/>
      <c r="L81" s="1838"/>
      <c r="M81" s="1284"/>
      <c r="N81" s="1289"/>
      <c r="O81" s="1291"/>
      <c r="P81" s="1284"/>
      <c r="Q81" s="1284"/>
      <c r="R81" s="1284"/>
      <c r="S81" s="1284"/>
      <c r="T81" s="1284"/>
      <c r="U81" s="1284"/>
      <c r="V81" s="7"/>
    </row>
    <row r="82" spans="1:22" hidden="1" x14ac:dyDescent="0.25">
      <c r="A82" s="2039"/>
      <c r="B82" s="1284"/>
      <c r="C82" s="1293" t="s">
        <v>76</v>
      </c>
      <c r="D82" s="1284"/>
      <c r="E82" s="1294" t="s">
        <v>496</v>
      </c>
      <c r="F82" s="1284"/>
      <c r="G82" s="1284"/>
      <c r="H82" s="1284"/>
      <c r="I82" s="1284"/>
      <c r="J82" s="1284"/>
      <c r="K82" s="1284"/>
      <c r="L82" s="1838"/>
      <c r="M82" s="1284"/>
      <c r="N82" s="1289"/>
      <c r="O82" s="1291"/>
      <c r="P82" s="1284"/>
      <c r="Q82" s="1284"/>
      <c r="R82" s="1284"/>
      <c r="S82" s="1284"/>
      <c r="T82" s="1284"/>
      <c r="U82" s="1274"/>
    </row>
    <row r="83" spans="1:22" hidden="1" x14ac:dyDescent="0.25">
      <c r="A83" s="2039"/>
      <c r="B83" s="1284"/>
      <c r="C83" s="1284"/>
      <c r="D83" s="1284"/>
      <c r="E83" s="1293" t="s">
        <v>7</v>
      </c>
      <c r="F83" s="1284"/>
      <c r="G83" s="1284"/>
      <c r="H83" s="1284"/>
      <c r="I83" s="1284"/>
      <c r="J83" s="1284"/>
      <c r="K83" s="1284"/>
      <c r="L83" s="1838"/>
      <c r="M83" s="1284"/>
      <c r="N83" s="1289"/>
      <c r="O83" s="1291"/>
      <c r="P83" s="1284"/>
      <c r="Q83" s="1284"/>
      <c r="R83" s="1284"/>
      <c r="S83" s="1284"/>
      <c r="T83" s="1284"/>
      <c r="U83" s="1274"/>
    </row>
    <row r="84" spans="1:22" hidden="1" x14ac:dyDescent="0.25">
      <c r="A84" s="2039"/>
      <c r="B84" s="1284"/>
      <c r="C84" s="1284"/>
      <c r="D84" s="1284"/>
      <c r="E84" s="1293" t="s">
        <v>8</v>
      </c>
      <c r="F84" s="1284"/>
      <c r="G84" s="1284"/>
      <c r="H84" s="1284"/>
      <c r="I84" s="1284"/>
      <c r="J84" s="1284"/>
      <c r="K84" s="1284"/>
      <c r="L84" s="1838"/>
      <c r="M84" s="1284"/>
      <c r="N84" s="1289"/>
      <c r="O84" s="1291"/>
      <c r="P84" s="1284"/>
      <c r="Q84" s="1284"/>
      <c r="R84" s="1284"/>
      <c r="S84" s="1284"/>
      <c r="T84" s="1284"/>
      <c r="U84" s="1274"/>
    </row>
    <row r="85" spans="1:22" ht="15.75" hidden="1" thickBot="1" x14ac:dyDescent="0.3">
      <c r="A85" s="2039"/>
      <c r="B85" s="1284"/>
      <c r="C85" s="1284"/>
      <c r="D85" s="1284"/>
      <c r="E85" s="1295" t="s">
        <v>21</v>
      </c>
      <c r="F85" s="1284"/>
      <c r="G85" s="1284"/>
      <c r="H85" s="1284"/>
      <c r="I85" s="1284"/>
      <c r="J85" s="1284"/>
      <c r="K85" s="1284"/>
      <c r="L85" s="1838"/>
      <c r="M85" s="1284"/>
      <c r="N85" s="1289"/>
      <c r="O85" s="1284"/>
      <c r="P85" s="1284"/>
      <c r="Q85" s="1284"/>
      <c r="R85" s="1284"/>
      <c r="S85" s="1284"/>
      <c r="T85" s="1284"/>
      <c r="U85" s="1274"/>
    </row>
    <row r="86" spans="1:22" ht="15.75" hidden="1" thickBot="1" x14ac:dyDescent="0.3">
      <c r="A86" s="2039"/>
      <c r="B86" s="1284"/>
      <c r="C86" s="1284"/>
      <c r="D86" s="1284"/>
      <c r="E86" s="1284"/>
      <c r="F86" s="1284"/>
      <c r="G86" s="1284"/>
      <c r="H86" s="1284"/>
      <c r="I86" s="1284"/>
      <c r="J86" s="1284"/>
      <c r="K86" s="1284"/>
      <c r="L86" s="1838"/>
      <c r="M86" s="1284"/>
      <c r="N86" s="1289"/>
      <c r="O86" s="1284"/>
      <c r="P86" s="1284"/>
      <c r="Q86" s="1284"/>
      <c r="R86" s="1284"/>
      <c r="S86" s="1284"/>
      <c r="T86" s="1284"/>
      <c r="U86" s="1274"/>
    </row>
    <row r="87" spans="1:22" hidden="1" x14ac:dyDescent="0.25">
      <c r="A87" s="2039"/>
      <c r="B87" s="1284"/>
      <c r="C87" s="1284"/>
      <c r="D87" s="1284"/>
      <c r="E87" s="1296" t="s">
        <v>1132</v>
      </c>
      <c r="F87" s="1284"/>
      <c r="G87" s="1284"/>
      <c r="H87" s="1284"/>
      <c r="I87" s="1284"/>
      <c r="J87" s="1284"/>
      <c r="K87" s="1284"/>
      <c r="L87" s="1838"/>
      <c r="M87" s="1284"/>
      <c r="N87" s="1289"/>
      <c r="O87" s="1284"/>
      <c r="P87" s="1284"/>
      <c r="Q87" s="1284"/>
      <c r="R87" s="1284"/>
      <c r="S87" s="1284"/>
      <c r="T87" s="1284"/>
      <c r="U87" s="1274"/>
    </row>
    <row r="88" spans="1:22" hidden="1" x14ac:dyDescent="0.25">
      <c r="A88" s="2039"/>
      <c r="B88" s="1284"/>
      <c r="C88" s="1284"/>
      <c r="D88" s="1284"/>
      <c r="E88" s="1293" t="s">
        <v>11</v>
      </c>
      <c r="F88" s="1284"/>
      <c r="G88" s="1284"/>
      <c r="H88" s="1284"/>
      <c r="I88" s="1284"/>
      <c r="J88" s="1284"/>
      <c r="K88" s="1284"/>
      <c r="L88" s="1838"/>
      <c r="M88" s="1284"/>
      <c r="N88" s="1289"/>
      <c r="O88" s="1284"/>
      <c r="P88" s="1284"/>
      <c r="Q88" s="1284"/>
      <c r="R88" s="1284"/>
      <c r="S88" s="1284"/>
      <c r="T88" s="1284"/>
      <c r="U88" s="1274"/>
    </row>
    <row r="89" spans="1:22" hidden="1" x14ac:dyDescent="0.25">
      <c r="A89" s="2039"/>
      <c r="B89" s="1284"/>
      <c r="C89" s="1284"/>
      <c r="D89" s="1284"/>
      <c r="E89" s="1293" t="s">
        <v>835</v>
      </c>
      <c r="F89" s="1284"/>
      <c r="G89" s="1284"/>
      <c r="H89" s="1284"/>
      <c r="I89" s="1284"/>
      <c r="J89" s="1284"/>
      <c r="K89" s="1284"/>
      <c r="L89" s="1838"/>
      <c r="M89" s="1284"/>
      <c r="N89" s="1297"/>
      <c r="O89" s="1284"/>
      <c r="P89" s="1284"/>
      <c r="Q89" s="1284"/>
      <c r="R89" s="1284"/>
      <c r="S89" s="1284"/>
      <c r="T89" s="1284"/>
      <c r="U89" s="1274"/>
    </row>
    <row r="90" spans="1:22" hidden="1" x14ac:dyDescent="0.25">
      <c r="A90" s="2039"/>
      <c r="B90" s="1284"/>
      <c r="C90" s="1284"/>
      <c r="D90" s="1284"/>
      <c r="E90" s="1293" t="s">
        <v>10</v>
      </c>
      <c r="F90" s="1284"/>
      <c r="G90" s="1284"/>
      <c r="H90" s="1284"/>
      <c r="I90" s="1284"/>
      <c r="J90" s="1284"/>
      <c r="K90" s="1284"/>
      <c r="L90" s="1838"/>
      <c r="M90" s="1284"/>
      <c r="N90" s="1289"/>
      <c r="O90" s="1284"/>
      <c r="P90" s="1284"/>
      <c r="Q90" s="1284"/>
      <c r="R90" s="1284"/>
      <c r="S90" s="1284"/>
      <c r="T90" s="1284"/>
      <c r="U90" s="1274"/>
    </row>
    <row r="91" spans="1:22" hidden="1" x14ac:dyDescent="0.25">
      <c r="A91" s="2039"/>
      <c r="B91" s="1284"/>
      <c r="C91" s="1284"/>
      <c r="D91" s="1284"/>
      <c r="E91" s="1298" t="s">
        <v>18</v>
      </c>
      <c r="F91" s="1284"/>
      <c r="G91" s="1284"/>
      <c r="H91" s="1284"/>
      <c r="I91" s="1284"/>
      <c r="J91" s="1284"/>
      <c r="K91" s="1284"/>
      <c r="L91" s="1838"/>
      <c r="M91" s="1284"/>
      <c r="N91" s="1284"/>
      <c r="O91" s="1291"/>
      <c r="P91" s="1284"/>
      <c r="Q91" s="1284"/>
      <c r="R91" s="1284"/>
      <c r="S91" s="1284"/>
      <c r="T91" s="1284"/>
      <c r="U91" s="1274"/>
    </row>
    <row r="92" spans="1:22" ht="15.75" hidden="1" thickBot="1" x14ac:dyDescent="0.3">
      <c r="A92" s="2039"/>
      <c r="B92" s="1284"/>
      <c r="C92" s="1284"/>
      <c r="D92" s="1284"/>
      <c r="E92" s="1295" t="s">
        <v>220</v>
      </c>
      <c r="F92" s="1284"/>
      <c r="G92" s="1284"/>
      <c r="H92" s="1284"/>
      <c r="I92" s="1284"/>
      <c r="J92" s="1284"/>
      <c r="K92" s="1284"/>
      <c r="L92" s="1838"/>
      <c r="M92" s="1284"/>
      <c r="N92" s="1289"/>
      <c r="O92" s="1291"/>
      <c r="P92" s="1284"/>
      <c r="Q92" s="1284"/>
      <c r="R92" s="1284"/>
      <c r="S92" s="1284"/>
      <c r="T92" s="1284"/>
      <c r="U92" s="1274"/>
    </row>
    <row r="93" spans="1:22" ht="15.75" hidden="1" thickBot="1" x14ac:dyDescent="0.3">
      <c r="A93" s="2039"/>
      <c r="B93" s="1284"/>
      <c r="C93" s="1284"/>
      <c r="D93" s="1284"/>
      <c r="E93" s="1284"/>
      <c r="F93" s="1284"/>
      <c r="G93" s="1284"/>
      <c r="H93" s="1284"/>
      <c r="I93" s="1284"/>
      <c r="J93" s="1284"/>
      <c r="K93" s="1284"/>
      <c r="L93" s="1838"/>
      <c r="M93" s="1284"/>
      <c r="N93" s="1289"/>
      <c r="O93" s="1291"/>
      <c r="P93" s="1284"/>
      <c r="Q93" s="1284"/>
      <c r="R93" s="1284"/>
      <c r="S93" s="1284"/>
      <c r="T93" s="1284"/>
      <c r="U93" s="1274"/>
    </row>
    <row r="94" spans="1:22" hidden="1" x14ac:dyDescent="0.25">
      <c r="A94" s="2039"/>
      <c r="B94" s="1284"/>
      <c r="C94" s="1284"/>
      <c r="D94" s="1284"/>
      <c r="E94" s="1290" t="s">
        <v>97</v>
      </c>
      <c r="F94" s="1284"/>
      <c r="G94" s="1284"/>
      <c r="H94" s="1284"/>
      <c r="I94" s="1284"/>
      <c r="J94" s="1284"/>
      <c r="K94" s="1284"/>
      <c r="L94" s="1838"/>
      <c r="M94" s="1284"/>
      <c r="N94" s="1289"/>
      <c r="O94" s="1291"/>
      <c r="P94" s="1284"/>
      <c r="Q94" s="1284"/>
      <c r="R94" s="1284"/>
      <c r="S94" s="1284"/>
      <c r="T94" s="1284"/>
      <c r="U94" s="1274"/>
    </row>
    <row r="95" spans="1:22" ht="15.75" hidden="1" thickBot="1" x14ac:dyDescent="0.3">
      <c r="A95" s="2039"/>
      <c r="B95" s="1284"/>
      <c r="C95" s="1284"/>
      <c r="D95" s="1284"/>
      <c r="E95" s="1295" t="s">
        <v>98</v>
      </c>
      <c r="F95" s="1284"/>
      <c r="G95" s="1284"/>
      <c r="H95" s="1284"/>
      <c r="I95" s="1284"/>
      <c r="J95" s="1284"/>
      <c r="K95" s="1284"/>
      <c r="L95" s="1838"/>
      <c r="M95" s="1284"/>
      <c r="N95" s="1289"/>
      <c r="O95" s="1291"/>
      <c r="P95" s="1284"/>
      <c r="Q95" s="1284"/>
      <c r="R95" s="1284"/>
      <c r="S95" s="1284"/>
      <c r="T95" s="1284"/>
      <c r="U95" s="1274"/>
    </row>
    <row r="96" spans="1:22" hidden="1" x14ac:dyDescent="0.25">
      <c r="A96" s="2039"/>
      <c r="B96" s="1284"/>
      <c r="C96" s="1284"/>
      <c r="D96" s="1284"/>
      <c r="E96" s="1290" t="s">
        <v>0</v>
      </c>
      <c r="F96" s="1284"/>
      <c r="G96" s="1284"/>
      <c r="H96" s="1284"/>
      <c r="I96" s="1284"/>
      <c r="J96" s="1284"/>
      <c r="K96" s="1284"/>
      <c r="L96" s="1838"/>
      <c r="M96" s="1284"/>
      <c r="N96" s="1289"/>
      <c r="O96" s="1291"/>
      <c r="P96" s="1284"/>
      <c r="Q96" s="1284"/>
      <c r="R96" s="1284"/>
      <c r="S96" s="1284"/>
      <c r="T96" s="1284"/>
      <c r="U96" s="1274"/>
    </row>
    <row r="97" spans="1:21" ht="15.75" hidden="1" thickBot="1" x14ac:dyDescent="0.3">
      <c r="A97" s="2039"/>
      <c r="B97" s="1284"/>
      <c r="C97" s="1284"/>
      <c r="D97" s="1284"/>
      <c r="E97" s="1295" t="s">
        <v>17</v>
      </c>
      <c r="F97" s="1284"/>
      <c r="G97" s="1284"/>
      <c r="H97" s="1284"/>
      <c r="I97" s="1284"/>
      <c r="J97" s="1284"/>
      <c r="K97" s="1284"/>
      <c r="L97" s="1838"/>
      <c r="M97" s="1284"/>
      <c r="N97" s="1289"/>
      <c r="O97" s="1291"/>
      <c r="P97" s="1284"/>
      <c r="Q97" s="1284"/>
      <c r="R97" s="1284"/>
      <c r="S97" s="1284"/>
      <c r="T97" s="1284"/>
      <c r="U97" s="1274"/>
    </row>
    <row r="98" spans="1:21" hidden="1" x14ac:dyDescent="0.25">
      <c r="A98" s="2039"/>
      <c r="B98" s="1284"/>
      <c r="C98" s="1284"/>
      <c r="D98" s="1284"/>
      <c r="E98" s="1284"/>
      <c r="F98" s="1284"/>
      <c r="G98" s="1284"/>
      <c r="H98" s="1284"/>
      <c r="I98" s="1284"/>
      <c r="J98" s="1284"/>
      <c r="K98" s="1284"/>
      <c r="L98" s="1838"/>
      <c r="M98" s="1284"/>
      <c r="N98" s="1289"/>
      <c r="O98" s="1291"/>
      <c r="P98" s="1284"/>
      <c r="Q98" s="1284"/>
      <c r="R98" s="1284"/>
      <c r="S98" s="1284"/>
      <c r="T98" s="1284"/>
      <c r="U98" s="1274"/>
    </row>
    <row r="99" spans="1:21" ht="15.75" hidden="1" thickBot="1" x14ac:dyDescent="0.3">
      <c r="A99" s="2039"/>
      <c r="B99" s="1284"/>
      <c r="C99" s="1284"/>
      <c r="D99" s="1284"/>
      <c r="E99" s="1284"/>
      <c r="F99" s="1284"/>
      <c r="G99" s="1284"/>
      <c r="H99" s="1284"/>
      <c r="I99" s="1284"/>
      <c r="J99" s="1284"/>
      <c r="K99" s="1284"/>
      <c r="L99" s="1838"/>
      <c r="M99" s="1284"/>
      <c r="N99" s="1289"/>
      <c r="O99" s="1291"/>
      <c r="P99" s="1284"/>
      <c r="Q99" s="1284"/>
      <c r="R99" s="1284"/>
      <c r="S99" s="1284"/>
      <c r="T99" s="1284"/>
      <c r="U99" s="1274"/>
    </row>
    <row r="100" spans="1:21" ht="15.75" hidden="1" thickBot="1" x14ac:dyDescent="0.3">
      <c r="A100" s="2039"/>
      <c r="B100" s="1284"/>
      <c r="C100" s="1284"/>
      <c r="D100" s="1284"/>
      <c r="E100" s="1320" t="s">
        <v>55</v>
      </c>
      <c r="F100" s="1284"/>
      <c r="G100" s="1284"/>
      <c r="H100" s="1284"/>
      <c r="I100" s="1284"/>
      <c r="J100" s="1284"/>
      <c r="K100" s="1284"/>
      <c r="L100" s="1838"/>
      <c r="M100" s="1284"/>
      <c r="N100" s="1289"/>
      <c r="O100" s="1291"/>
      <c r="P100" s="1284"/>
      <c r="Q100" s="1284"/>
      <c r="R100" s="1284"/>
      <c r="S100" s="1284"/>
      <c r="T100" s="1284"/>
      <c r="U100" s="1274"/>
    </row>
    <row r="101" spans="1:21" ht="15.75" hidden="1" thickTop="1" x14ac:dyDescent="0.25">
      <c r="A101" s="2039"/>
      <c r="B101" s="1284"/>
      <c r="C101" s="1284"/>
      <c r="D101" s="1284"/>
      <c r="E101" s="1299" t="s">
        <v>68</v>
      </c>
      <c r="F101" s="1284"/>
      <c r="G101" s="1284"/>
      <c r="H101" s="1284"/>
      <c r="I101" s="1284"/>
      <c r="J101" s="1284"/>
      <c r="K101" s="1284"/>
      <c r="L101" s="1838"/>
      <c r="M101" s="1284"/>
      <c r="N101" s="1289"/>
      <c r="O101" s="1291"/>
      <c r="P101" s="1284"/>
      <c r="Q101" s="1284"/>
      <c r="R101" s="1284"/>
      <c r="S101" s="1284"/>
      <c r="T101" s="1284"/>
      <c r="U101" s="1274"/>
    </row>
    <row r="102" spans="1:21" hidden="1" x14ac:dyDescent="0.25">
      <c r="A102" s="2039"/>
      <c r="B102" s="1284"/>
      <c r="C102" s="1284"/>
      <c r="D102" s="1284"/>
      <c r="E102" s="1300" t="s">
        <v>56</v>
      </c>
      <c r="F102" s="1284"/>
      <c r="G102" s="1284"/>
      <c r="H102" s="1284"/>
      <c r="I102" s="1284"/>
      <c r="J102" s="1284"/>
      <c r="K102" s="1284"/>
      <c r="L102" s="1838"/>
      <c r="M102" s="1284"/>
      <c r="N102" s="1289"/>
      <c r="O102" s="1291"/>
      <c r="P102" s="1284"/>
      <c r="Q102" s="1284"/>
      <c r="R102" s="1284"/>
      <c r="S102" s="1284"/>
      <c r="T102" s="1284"/>
      <c r="U102" s="1274"/>
    </row>
    <row r="103" spans="1:21" hidden="1" x14ac:dyDescent="0.25">
      <c r="A103" s="2039"/>
      <c r="B103" s="1284"/>
      <c r="C103" s="1284"/>
      <c r="D103" s="1284"/>
      <c r="E103" s="1301" t="s">
        <v>57</v>
      </c>
      <c r="F103" s="1284"/>
      <c r="G103" s="1284"/>
      <c r="H103" s="1284"/>
      <c r="I103" s="1284"/>
      <c r="J103" s="1284"/>
      <c r="K103" s="1284"/>
      <c r="L103" s="1838"/>
      <c r="M103" s="1284"/>
      <c r="N103" s="1289"/>
      <c r="O103" s="1291"/>
      <c r="P103" s="1284"/>
      <c r="Q103" s="1284"/>
      <c r="R103" s="1284"/>
      <c r="S103" s="1284"/>
      <c r="T103" s="1284"/>
      <c r="U103" s="1274"/>
    </row>
    <row r="104" spans="1:21" hidden="1" x14ac:dyDescent="0.25">
      <c r="A104" s="2039"/>
      <c r="B104" s="1284"/>
      <c r="C104" s="1284"/>
      <c r="D104" s="1284"/>
      <c r="E104" s="1301" t="s">
        <v>58</v>
      </c>
      <c r="F104" s="1284"/>
      <c r="G104" s="1284"/>
      <c r="H104" s="1284"/>
      <c r="I104" s="1284"/>
      <c r="J104" s="1284"/>
      <c r="K104" s="1284"/>
      <c r="L104" s="1838"/>
      <c r="M104" s="1284"/>
      <c r="N104" s="1289"/>
      <c r="O104" s="1291"/>
      <c r="P104" s="1284"/>
      <c r="Q104" s="1284"/>
      <c r="R104" s="1284"/>
      <c r="S104" s="1284"/>
      <c r="T104" s="1284"/>
      <c r="U104" s="1274"/>
    </row>
    <row r="105" spans="1:21" hidden="1" x14ac:dyDescent="0.25">
      <c r="A105" s="2039"/>
      <c r="B105" s="1284"/>
      <c r="C105" s="1284"/>
      <c r="D105" s="1284"/>
      <c r="E105" s="1301" t="s">
        <v>1099</v>
      </c>
      <c r="F105" s="1284"/>
      <c r="G105" s="1284"/>
      <c r="H105" s="1284"/>
      <c r="I105" s="1284"/>
      <c r="J105" s="1284"/>
      <c r="K105" s="1284"/>
      <c r="L105" s="1838"/>
      <c r="M105" s="1284"/>
      <c r="N105" s="1289"/>
      <c r="O105" s="1291"/>
      <c r="P105" s="1284"/>
      <c r="Q105" s="1284"/>
      <c r="R105" s="1284"/>
      <c r="S105" s="1284"/>
      <c r="T105" s="1284"/>
      <c r="U105" s="1274"/>
    </row>
    <row r="106" spans="1:21" hidden="1" x14ac:dyDescent="0.25">
      <c r="A106" s="2039"/>
      <c r="B106" s="1284"/>
      <c r="C106" s="1284"/>
      <c r="D106" s="1284"/>
      <c r="E106" s="1301" t="s">
        <v>930</v>
      </c>
      <c r="F106" s="1284"/>
      <c r="G106" s="1284"/>
      <c r="H106" s="1284"/>
      <c r="I106" s="1284"/>
      <c r="J106" s="1284"/>
      <c r="K106" s="1284"/>
      <c r="L106" s="1838"/>
      <c r="M106" s="1284"/>
      <c r="N106" s="1289"/>
      <c r="O106" s="1302"/>
      <c r="P106" s="1284"/>
      <c r="Q106" s="1303"/>
      <c r="R106" s="1284"/>
      <c r="S106" s="1284"/>
      <c r="T106" s="1284"/>
      <c r="U106" s="1274"/>
    </row>
    <row r="107" spans="1:21" hidden="1" x14ac:dyDescent="0.25">
      <c r="A107" s="2039"/>
      <c r="B107" s="1284"/>
      <c r="C107" s="1284"/>
      <c r="D107" s="1284"/>
      <c r="E107" s="1301" t="s">
        <v>931</v>
      </c>
      <c r="F107" s="1284"/>
      <c r="G107" s="1284"/>
      <c r="H107" s="1284"/>
      <c r="I107" s="1284"/>
      <c r="J107" s="1284"/>
      <c r="K107" s="1284"/>
      <c r="L107" s="1839"/>
      <c r="M107" s="1839"/>
      <c r="N107" s="1289"/>
      <c r="O107" s="1302"/>
      <c r="P107" s="1284"/>
      <c r="Q107" s="1303"/>
      <c r="R107" s="1284"/>
      <c r="S107" s="1284"/>
      <c r="T107" s="1284"/>
      <c r="U107" s="1274"/>
    </row>
    <row r="108" spans="1:21" hidden="1" x14ac:dyDescent="0.25">
      <c r="A108" s="2039"/>
      <c r="B108" s="1284"/>
      <c r="C108" s="1284"/>
      <c r="D108" s="1284"/>
      <c r="E108" s="1301" t="s">
        <v>59</v>
      </c>
      <c r="F108" s="1284"/>
      <c r="G108" s="1284"/>
      <c r="H108" s="1284"/>
      <c r="I108" s="1284"/>
      <c r="J108" s="1284"/>
      <c r="K108" s="1284"/>
      <c r="L108" s="1839"/>
      <c r="M108" s="1839"/>
      <c r="N108" s="1289"/>
      <c r="O108" s="1302"/>
      <c r="P108" s="1284"/>
      <c r="Q108" s="1302"/>
      <c r="R108" s="1284"/>
      <c r="S108" s="1284"/>
      <c r="T108" s="1284"/>
      <c r="U108" s="1274"/>
    </row>
    <row r="109" spans="1:21" ht="15.75" hidden="1" thickBot="1" x14ac:dyDescent="0.3">
      <c r="A109" s="2039"/>
      <c r="B109" s="1284"/>
      <c r="C109" s="1284"/>
      <c r="D109" s="1284"/>
      <c r="E109" s="1304" t="s">
        <v>60</v>
      </c>
      <c r="F109" s="1284"/>
      <c r="G109" s="1284"/>
      <c r="H109" s="1284"/>
      <c r="I109" s="1284"/>
      <c r="J109" s="1284"/>
      <c r="K109" s="1284"/>
      <c r="L109" s="1839"/>
      <c r="M109" s="1839"/>
      <c r="N109" s="1289"/>
      <c r="O109" s="1302"/>
      <c r="P109" s="1284"/>
      <c r="Q109" s="1302"/>
      <c r="R109" s="1284"/>
      <c r="S109" s="1284"/>
      <c r="T109" s="1284"/>
      <c r="U109" s="1274"/>
    </row>
    <row r="110" spans="1:21" ht="15.75" hidden="1" thickBot="1" x14ac:dyDescent="0.3">
      <c r="A110" s="2039"/>
      <c r="B110" s="1284"/>
      <c r="C110" s="1284"/>
      <c r="D110" s="1284"/>
      <c r="E110" s="1284"/>
      <c r="F110" s="1284"/>
      <c r="G110" s="1284"/>
      <c r="H110" s="1284"/>
      <c r="I110" s="1284"/>
      <c r="J110" s="1284"/>
      <c r="K110" s="1284"/>
      <c r="L110" s="1839"/>
      <c r="M110" s="1839"/>
      <c r="N110" s="1289"/>
      <c r="O110" s="1302"/>
      <c r="P110" s="1284"/>
      <c r="Q110" s="1302"/>
      <c r="R110" s="1284"/>
      <c r="S110" s="1284"/>
      <c r="T110" s="1284"/>
      <c r="U110" s="1274"/>
    </row>
    <row r="111" spans="1:21" ht="15.75" hidden="1" thickBot="1" x14ac:dyDescent="0.3">
      <c r="A111" s="2039"/>
      <c r="B111" s="1284"/>
      <c r="C111" s="1284"/>
      <c r="D111" s="1284"/>
      <c r="E111" s="1320" t="s">
        <v>61</v>
      </c>
      <c r="F111" s="1284"/>
      <c r="G111" s="1284"/>
      <c r="H111" s="1284"/>
      <c r="I111" s="1284"/>
      <c r="J111" s="1284"/>
      <c r="K111" s="1284"/>
      <c r="L111" s="1839"/>
      <c r="M111" s="1839"/>
      <c r="N111" s="1289"/>
      <c r="O111" s="1302"/>
      <c r="P111" s="1284"/>
      <c r="Q111" s="1302"/>
      <c r="R111" s="1284"/>
      <c r="S111" s="1284"/>
      <c r="T111" s="1284"/>
      <c r="U111" s="1274"/>
    </row>
    <row r="112" spans="1:21" ht="15.75" hidden="1" thickTop="1" x14ac:dyDescent="0.25">
      <c r="A112" s="2039"/>
      <c r="B112" s="1284"/>
      <c r="C112" s="1284"/>
      <c r="D112" s="1284"/>
      <c r="E112" s="1299" t="s">
        <v>68</v>
      </c>
      <c r="F112" s="1284"/>
      <c r="G112" s="1284"/>
      <c r="H112" s="1284"/>
      <c r="I112" s="1284"/>
      <c r="J112" s="1284"/>
      <c r="K112" s="1284"/>
      <c r="L112" s="1839"/>
      <c r="M112" s="1839"/>
      <c r="N112" s="1289"/>
      <c r="O112" s="1302"/>
      <c r="P112" s="1284"/>
      <c r="Q112" s="1302"/>
      <c r="R112" s="1284"/>
      <c r="S112" s="1284"/>
      <c r="T112" s="1284"/>
      <c r="U112" s="1274"/>
    </row>
    <row r="113" spans="1:21" hidden="1" x14ac:dyDescent="0.25">
      <c r="A113" s="2039"/>
      <c r="B113" s="1284"/>
      <c r="C113" s="1284"/>
      <c r="D113" s="1284"/>
      <c r="E113" s="1300" t="s">
        <v>63</v>
      </c>
      <c r="F113" s="1284"/>
      <c r="G113" s="1284"/>
      <c r="H113" s="1284"/>
      <c r="I113" s="1284" t="s">
        <v>1228</v>
      </c>
      <c r="J113" s="1284"/>
      <c r="K113" s="1284"/>
      <c r="L113" s="1839"/>
      <c r="M113" s="1839"/>
      <c r="N113" s="1289"/>
      <c r="O113" s="1302"/>
      <c r="P113" s="1284"/>
      <c r="Q113" s="1302"/>
      <c r="R113" s="1284"/>
      <c r="S113" s="1284"/>
      <c r="T113" s="1284"/>
      <c r="U113" s="1274"/>
    </row>
    <row r="114" spans="1:21" hidden="1" x14ac:dyDescent="0.25">
      <c r="A114" s="2039"/>
      <c r="B114" s="1284"/>
      <c r="C114" s="1284"/>
      <c r="D114" s="1284"/>
      <c r="E114" s="1301" t="s">
        <v>64</v>
      </c>
      <c r="F114" s="1284"/>
      <c r="G114" s="1284"/>
      <c r="H114" s="1284"/>
      <c r="I114" s="1284"/>
      <c r="J114" s="1284"/>
      <c r="K114" s="1284"/>
      <c r="L114" s="1839"/>
      <c r="M114" s="1839"/>
      <c r="N114" s="1289"/>
      <c r="O114" s="1302"/>
      <c r="P114" s="1284"/>
      <c r="Q114" s="1302"/>
      <c r="R114" s="1284"/>
      <c r="S114" s="1284"/>
      <c r="T114" s="1284"/>
      <c r="U114" s="1274"/>
    </row>
    <row r="115" spans="1:21" hidden="1" x14ac:dyDescent="0.25">
      <c r="A115" s="2039"/>
      <c r="B115" s="1284"/>
      <c r="C115" s="1284"/>
      <c r="D115" s="1284"/>
      <c r="E115" s="1301" t="s">
        <v>66</v>
      </c>
      <c r="F115" s="1284"/>
      <c r="G115" s="1284"/>
      <c r="H115" s="1284"/>
      <c r="I115" s="1284"/>
      <c r="J115" s="1284"/>
      <c r="K115" s="1284"/>
      <c r="L115" s="1839"/>
      <c r="M115" s="1839"/>
      <c r="N115" s="1289"/>
      <c r="O115" s="1302"/>
      <c r="P115" s="1284"/>
      <c r="Q115" s="1302"/>
      <c r="R115" s="1284"/>
      <c r="S115" s="1284"/>
      <c r="T115" s="1284"/>
      <c r="U115" s="1274"/>
    </row>
    <row r="116" spans="1:21" hidden="1" x14ac:dyDescent="0.25">
      <c r="A116" s="2039"/>
      <c r="B116" s="1284"/>
      <c r="C116" s="1284"/>
      <c r="D116" s="1284"/>
      <c r="E116" s="1301" t="s">
        <v>27</v>
      </c>
      <c r="F116" s="1284"/>
      <c r="G116" s="1284"/>
      <c r="H116" s="1284"/>
      <c r="I116" s="1284"/>
      <c r="J116" s="1284"/>
      <c r="K116" s="1284"/>
      <c r="L116" s="1839"/>
      <c r="M116" s="1839"/>
      <c r="N116" s="1289"/>
      <c r="O116" s="1302"/>
      <c r="P116" s="1284"/>
      <c r="Q116" s="1302"/>
      <c r="R116" s="1284"/>
      <c r="S116" s="1284"/>
      <c r="T116" s="1284"/>
      <c r="U116" s="1274"/>
    </row>
    <row r="117" spans="1:21" hidden="1" x14ac:dyDescent="0.25">
      <c r="A117" s="2039"/>
      <c r="B117" s="1284"/>
      <c r="C117" s="1284"/>
      <c r="D117" s="1284"/>
      <c r="E117" s="1301" t="s">
        <v>1058</v>
      </c>
      <c r="F117" s="1284"/>
      <c r="G117" s="1284"/>
      <c r="H117" s="1284"/>
      <c r="I117" s="1284"/>
      <c r="J117" s="1284"/>
      <c r="K117" s="1284"/>
      <c r="L117" s="1838"/>
      <c r="M117" s="1838"/>
      <c r="N117" s="1289"/>
      <c r="O117" s="1302"/>
      <c r="P117" s="1284"/>
      <c r="Q117" s="1302"/>
      <c r="R117" s="1284"/>
      <c r="S117" s="1284"/>
      <c r="T117" s="1284"/>
      <c r="U117" s="1274"/>
    </row>
    <row r="118" spans="1:21" hidden="1" x14ac:dyDescent="0.25">
      <c r="A118" s="2039"/>
      <c r="B118" s="1284"/>
      <c r="C118" s="1284"/>
      <c r="D118" s="1284"/>
      <c r="E118" s="1301" t="s">
        <v>1059</v>
      </c>
      <c r="F118" s="1284"/>
      <c r="G118" s="1284"/>
      <c r="H118" s="1284"/>
      <c r="I118" s="1284"/>
      <c r="J118" s="1284"/>
      <c r="K118" s="1284"/>
      <c r="L118" s="1838"/>
      <c r="M118" s="1838"/>
      <c r="N118" s="1289"/>
      <c r="O118" s="1302"/>
      <c r="P118" s="1284"/>
      <c r="Q118" s="1302"/>
      <c r="R118" s="1284"/>
      <c r="S118" s="1284"/>
      <c r="T118" s="1284"/>
      <c r="U118" s="1274"/>
    </row>
    <row r="119" spans="1:21" hidden="1" x14ac:dyDescent="0.25">
      <c r="A119" s="2039"/>
      <c r="B119" s="1284"/>
      <c r="C119" s="1284"/>
      <c r="D119" s="1284"/>
      <c r="E119" s="1301" t="s">
        <v>65</v>
      </c>
      <c r="F119" s="1284"/>
      <c r="G119" s="1284"/>
      <c r="H119" s="1284"/>
      <c r="I119" s="1284"/>
      <c r="J119" s="1284"/>
      <c r="K119" s="1284"/>
      <c r="L119" s="1839"/>
      <c r="M119" s="1839"/>
      <c r="N119" s="1289"/>
      <c r="O119" s="1302"/>
      <c r="P119" s="1284"/>
      <c r="Q119" s="1302"/>
      <c r="R119" s="1284"/>
      <c r="S119" s="1284"/>
      <c r="T119" s="1284"/>
      <c r="U119" s="1274"/>
    </row>
    <row r="120" spans="1:21" ht="30" hidden="1" customHeight="1" thickBot="1" x14ac:dyDescent="0.3">
      <c r="A120" s="2039"/>
      <c r="B120" s="1284"/>
      <c r="C120" s="1284"/>
      <c r="D120" s="1284"/>
      <c r="E120" s="1304" t="s">
        <v>62</v>
      </c>
      <c r="F120" s="1284"/>
      <c r="G120" s="1284"/>
      <c r="H120" s="1284"/>
      <c r="I120" s="1284"/>
      <c r="J120" s="1284"/>
      <c r="K120" s="1284"/>
      <c r="L120" s="1839"/>
      <c r="M120" s="1839"/>
      <c r="N120" s="1305"/>
      <c r="O120" s="1302"/>
      <c r="P120" s="1284"/>
      <c r="Q120" s="1302"/>
      <c r="R120" s="1284"/>
      <c r="S120" s="1284"/>
      <c r="T120" s="1284"/>
      <c r="U120" s="1274"/>
    </row>
    <row r="121" spans="1:21" ht="18" hidden="1" customHeight="1" x14ac:dyDescent="0.25">
      <c r="A121" s="2039"/>
      <c r="B121" s="1284"/>
      <c r="C121" s="1284"/>
      <c r="D121" s="1284"/>
      <c r="E121" s="1284"/>
      <c r="F121" s="1284"/>
      <c r="G121" s="1284"/>
      <c r="H121" s="1284"/>
      <c r="I121" s="1284"/>
      <c r="J121" s="1284"/>
      <c r="K121" s="1284"/>
      <c r="L121" s="1839"/>
      <c r="M121" s="1839"/>
      <c r="N121" s="1289"/>
      <c r="O121" s="1302"/>
      <c r="P121" s="1284"/>
      <c r="Q121" s="1302"/>
      <c r="R121" s="1284"/>
      <c r="S121" s="1284"/>
      <c r="T121" s="1284"/>
      <c r="U121" s="1274"/>
    </row>
    <row r="122" spans="1:21" ht="15.75" hidden="1" customHeight="1" thickBot="1" x14ac:dyDescent="0.3">
      <c r="A122" s="2039"/>
      <c r="B122" s="1284"/>
      <c r="C122" s="1284"/>
      <c r="D122" s="1284"/>
      <c r="E122" s="1322" t="s">
        <v>822</v>
      </c>
      <c r="F122" s="2051" t="s">
        <v>821</v>
      </c>
      <c r="G122" s="2051"/>
      <c r="H122" s="2051"/>
      <c r="I122" s="2051"/>
      <c r="J122" s="2051"/>
      <c r="K122" s="1284"/>
      <c r="L122" s="1839"/>
      <c r="M122" s="1839"/>
      <c r="N122" s="1289"/>
      <c r="O122" s="1302"/>
      <c r="P122" s="1284"/>
      <c r="Q122" s="1302"/>
      <c r="R122" s="1284"/>
      <c r="S122" s="1284"/>
      <c r="T122" s="1284"/>
      <c r="U122" s="1274"/>
    </row>
    <row r="123" spans="1:21" ht="24" hidden="1" customHeight="1" thickBot="1" x14ac:dyDescent="0.3">
      <c r="A123" s="2039"/>
      <c r="B123" s="1284"/>
      <c r="C123" s="1307" t="s">
        <v>94</v>
      </c>
      <c r="D123" s="1284"/>
      <c r="E123" s="1320" t="str">
        <f>CONCATENATE("Phase Drop Down Choices from Row ",ROW(SD_placeholder))</f>
        <v>Phase Drop Down Choices from Row 13</v>
      </c>
      <c r="F123" s="1284"/>
      <c r="G123" s="1284"/>
      <c r="H123" s="1284"/>
      <c r="I123" s="1284"/>
      <c r="J123" s="1284"/>
      <c r="K123" s="1284"/>
      <c r="L123" s="1839"/>
      <c r="M123" s="1839"/>
      <c r="N123" s="1289"/>
      <c r="O123" s="1302"/>
      <c r="P123" s="1284"/>
      <c r="Q123" s="1302"/>
      <c r="R123" s="1284"/>
      <c r="S123" s="1284"/>
      <c r="T123" s="1284"/>
      <c r="U123" s="1274"/>
    </row>
    <row r="124" spans="1:21" ht="15.75" hidden="1" customHeight="1" thickTop="1" x14ac:dyDescent="0.25">
      <c r="A124" s="2039"/>
      <c r="B124" s="1284"/>
      <c r="C124" s="1308"/>
      <c r="D124" s="1284"/>
      <c r="E124" s="1309" t="s">
        <v>96</v>
      </c>
      <c r="F124" s="1284"/>
      <c r="G124" s="1284"/>
      <c r="H124" s="1284"/>
      <c r="I124" s="1284"/>
      <c r="J124" s="1284"/>
      <c r="K124" s="1284"/>
      <c r="L124" s="1839"/>
      <c r="M124" s="1839"/>
      <c r="N124" s="1289"/>
      <c r="O124" s="1302"/>
      <c r="P124" s="1284"/>
      <c r="Q124" s="1302"/>
      <c r="R124" s="1284"/>
      <c r="S124" s="1284"/>
      <c r="T124" s="1284"/>
      <c r="U124" s="1274"/>
    </row>
    <row r="125" spans="1:21" ht="15.75" hidden="1" customHeight="1" x14ac:dyDescent="0.25">
      <c r="A125" s="2039"/>
      <c r="B125" s="1284"/>
      <c r="C125" s="1284"/>
      <c r="D125" s="1284"/>
      <c r="E125" s="1310"/>
      <c r="F125" s="1284" t="s">
        <v>133</v>
      </c>
      <c r="G125" s="1284"/>
      <c r="H125" s="1284"/>
      <c r="I125" s="1284"/>
      <c r="J125" s="1284"/>
      <c r="K125" s="1284"/>
      <c r="L125" s="1839"/>
      <c r="M125" s="1839"/>
      <c r="N125" s="1289"/>
      <c r="O125" s="1302"/>
      <c r="P125" s="1284"/>
      <c r="Q125" s="1302"/>
      <c r="R125" s="1284"/>
      <c r="S125" s="1284"/>
      <c r="T125" s="1284"/>
      <c r="U125" s="1274"/>
    </row>
    <row r="126" spans="1:21" ht="15.75" hidden="1" customHeight="1" x14ac:dyDescent="0.25">
      <c r="A126" s="2039"/>
      <c r="B126" s="1284"/>
      <c r="C126" s="1284"/>
      <c r="D126" s="1284"/>
      <c r="E126" s="1311" t="str">
        <f>IF(OR(Feasibility_Concept="Feasibility or Conceptualization do not apply",Feasibility_Concept="No reports or Conceptualization apply"),"-",IF(Feasibility_Concept="Feasibility Study","Feas. DRAFT",IF(Feasibility_Concept="Investigation/Memo/Short Report","Investigation DRAFT","Concept DRAFT")))</f>
        <v>Concept DRAFT</v>
      </c>
      <c r="F126" s="1284" t="s">
        <v>221</v>
      </c>
      <c r="G126" s="1284"/>
      <c r="H126" s="1284"/>
      <c r="I126" s="1284"/>
      <c r="J126" s="1312"/>
      <c r="K126" s="1284"/>
      <c r="L126" s="1839"/>
      <c r="M126" s="1839"/>
      <c r="N126" s="1289"/>
      <c r="O126" s="1302"/>
      <c r="P126" s="1284"/>
      <c r="Q126" s="1302"/>
      <c r="R126" s="1284"/>
      <c r="S126" s="1284"/>
      <c r="T126" s="1284"/>
      <c r="U126" s="1274"/>
    </row>
    <row r="127" spans="1:21" ht="15.75" hidden="1" customHeight="1" x14ac:dyDescent="0.25">
      <c r="A127" s="2039"/>
      <c r="B127" s="1284"/>
      <c r="C127" s="1313">
        <v>25</v>
      </c>
      <c r="D127" s="1284" t="s">
        <v>95</v>
      </c>
      <c r="E127" s="1311" t="str">
        <f>IF(OR(Feasibility_Concept="Feasibility or Conceptualization do not apply",Feasibility_Concept="No reports or Conceptualization apply"),"-",CONCATENATE(IF(Feasibility_Concept="Feasibility Study","Feas. ",IF(Feasibility_Concept="Investigation/Memo/Short Report","Investigation ","Concept ")),C127,"%"))</f>
        <v>Concept 25%</v>
      </c>
      <c r="F127" s="1284" t="s">
        <v>221</v>
      </c>
      <c r="G127" s="1284"/>
      <c r="H127" s="1284"/>
      <c r="I127" s="1284"/>
      <c r="J127" s="1312"/>
      <c r="K127" s="1284"/>
      <c r="L127" s="1839"/>
      <c r="M127" s="1839"/>
      <c r="N127" s="1289"/>
      <c r="O127" s="1302"/>
      <c r="P127" s="1284"/>
      <c r="Q127" s="1302"/>
      <c r="R127" s="1284"/>
      <c r="S127" s="1284"/>
      <c r="T127" s="1284"/>
      <c r="U127" s="1274"/>
    </row>
    <row r="128" spans="1:21" hidden="1" x14ac:dyDescent="0.25">
      <c r="A128" s="2039"/>
      <c r="B128" s="1284"/>
      <c r="C128" s="1313">
        <v>50</v>
      </c>
      <c r="D128" s="1284" t="s">
        <v>95</v>
      </c>
      <c r="E128" s="1311" t="str">
        <f>IF(OR(Feasibility_Concept="Feasibility or Conceptualization do not apply",Feasibility_Concept="No reports or Conceptualization apply"),"-",CONCATENATE(IF(Feasibility_Concept="Feasibility Study","Feas. ",IF(Feasibility_Concept="Investigation/Memo/Short Report","Investigation ","Concept ")),C128,"%"))</f>
        <v>Concept 50%</v>
      </c>
      <c r="F128" s="1284" t="s">
        <v>221</v>
      </c>
      <c r="G128" s="1284"/>
      <c r="H128" s="1284"/>
      <c r="I128" s="1284"/>
      <c r="J128" s="1312"/>
      <c r="K128" s="1284"/>
      <c r="L128" s="1839"/>
      <c r="M128" s="1839"/>
      <c r="N128" s="1289"/>
      <c r="O128" s="1302"/>
      <c r="P128" s="1284"/>
      <c r="Q128" s="1302"/>
      <c r="R128" s="1284"/>
      <c r="S128" s="1284"/>
      <c r="T128" s="1284"/>
      <c r="U128" s="1274"/>
    </row>
    <row r="129" spans="1:21" hidden="1" x14ac:dyDescent="0.25">
      <c r="A129" s="2039"/>
      <c r="B129" s="1284"/>
      <c r="C129" s="1313">
        <v>95</v>
      </c>
      <c r="D129" s="1284" t="s">
        <v>95</v>
      </c>
      <c r="E129" s="1311" t="str">
        <f>IF(OR(Feasibility_Concept="Feasibility or Conceptualization do not apply",Feasibility_Concept="No reports or Conceptualization apply"),"-",CONCATENATE(IF(Feasibility_Concept="Feasibility Study","Feas. ",IF(Feasibility_Concept="Investigation/Memo/Short Report","Investigation ","Concept ")),C129,"%"))</f>
        <v>Concept 95%</v>
      </c>
      <c r="F129" s="1284" t="s">
        <v>221</v>
      </c>
      <c r="G129" s="1284"/>
      <c r="H129" s="1284"/>
      <c r="I129" s="1284"/>
      <c r="J129" s="1312"/>
      <c r="K129" s="1284"/>
      <c r="L129" s="1839"/>
      <c r="M129" s="1839"/>
      <c r="N129" s="1289"/>
      <c r="O129" s="1302"/>
      <c r="P129" s="1284"/>
      <c r="Q129" s="1302"/>
      <c r="R129" s="1284"/>
      <c r="S129" s="1284"/>
      <c r="T129" s="1284"/>
      <c r="U129" s="1274"/>
    </row>
    <row r="130" spans="1:21" hidden="1" x14ac:dyDescent="0.25">
      <c r="A130" s="2039"/>
      <c r="B130" s="1284"/>
      <c r="C130" s="1284"/>
      <c r="D130" s="1284"/>
      <c r="E130" s="1311" t="str">
        <f>IF(OR(Feasibility_Concept="Feasibility or Conceptualization do not apply",Feasibility_Concept="No reports or Conceptualization apply"),"-",IF(Feasibility_Concept="Feasibility Study","Feas. FINAL",IF(Feasibility_Concept="Investigation/Memo/Short Report","Investigation FINAL","Concept FINAL")))</f>
        <v>Concept FINAL</v>
      </c>
      <c r="F130" s="1284" t="s">
        <v>221</v>
      </c>
      <c r="G130" s="1284"/>
      <c r="H130" s="1284"/>
      <c r="I130" s="1284"/>
      <c r="J130" s="1312"/>
      <c r="K130" s="1284"/>
      <c r="L130" s="1839"/>
      <c r="M130" s="1839"/>
      <c r="N130" s="1289"/>
      <c r="O130" s="1302"/>
      <c r="P130" s="1284"/>
      <c r="Q130" s="1302"/>
      <c r="R130" s="1284"/>
      <c r="S130" s="1284"/>
      <c r="T130" s="1284"/>
      <c r="U130" s="1274"/>
    </row>
    <row r="131" spans="1:21" hidden="1" x14ac:dyDescent="0.25">
      <c r="A131" s="2039"/>
      <c r="B131" s="1284"/>
      <c r="C131" s="1284"/>
      <c r="D131" s="1284"/>
      <c r="E131" s="1314" t="str">
        <f>IF(AND(Design="Design",Feasibility_Concept&lt;&gt;"Feasibility Study"),"SD","no design")</f>
        <v>SD</v>
      </c>
      <c r="F131" s="1284" t="s">
        <v>29</v>
      </c>
      <c r="G131" s="1284"/>
      <c r="H131" s="1284"/>
      <c r="I131" s="1284"/>
      <c r="J131" s="1312"/>
      <c r="K131" s="1284"/>
      <c r="L131" s="1839"/>
      <c r="M131" s="1839"/>
      <c r="N131" s="1289"/>
      <c r="O131" s="1302"/>
      <c r="P131" s="1284"/>
      <c r="Q131" s="1302"/>
      <c r="R131" s="1284"/>
      <c r="S131" s="1284"/>
      <c r="T131" s="1284"/>
      <c r="U131" s="1274"/>
    </row>
    <row r="132" spans="1:21" hidden="1" x14ac:dyDescent="0.25">
      <c r="A132" s="2039"/>
      <c r="B132" s="1284"/>
      <c r="C132" s="1284"/>
      <c r="D132" s="1284"/>
      <c r="E132" s="1315" t="str">
        <f>IF(AND(Design="Design",Feasibility_Concept&lt;&gt;"Feasibility Study"),"SD / DD","no design")</f>
        <v>SD / DD</v>
      </c>
      <c r="F132" s="1284" t="s">
        <v>820</v>
      </c>
      <c r="G132" s="1284"/>
      <c r="H132" s="1284"/>
      <c r="I132" s="1284"/>
      <c r="J132" s="1312"/>
      <c r="K132" s="1284"/>
      <c r="L132" s="1839"/>
      <c r="M132" s="1839"/>
      <c r="N132" s="1289"/>
      <c r="O132" s="1302"/>
      <c r="P132" s="1284"/>
      <c r="Q132" s="1302"/>
      <c r="R132" s="1284"/>
      <c r="S132" s="1284"/>
      <c r="T132" s="1284"/>
      <c r="U132" s="1274"/>
    </row>
    <row r="133" spans="1:21" hidden="1" x14ac:dyDescent="0.25">
      <c r="A133" s="2039"/>
      <c r="B133" s="1284"/>
      <c r="C133" s="1284"/>
      <c r="D133" s="1284"/>
      <c r="E133" s="1315" t="str">
        <f>IF(AND(Design="Design",Feasibility_Concept&lt;&gt;"Feasibility Study"),IF(CDB_Project="Yes","SD / DD / 75%CD","SD / DD / 50%CD"),"no design")</f>
        <v>SD / DD / 50%CD</v>
      </c>
      <c r="F133" s="1284" t="str">
        <f>IF(CDB_Project="Yes","Combined SD / DD / 75% CD","Combined SD / DD / 50% CD")</f>
        <v>Combined SD / DD / 50% CD</v>
      </c>
      <c r="G133" s="1284"/>
      <c r="H133" s="1284"/>
      <c r="I133" s="1284"/>
      <c r="J133" s="1312"/>
      <c r="K133" s="1284"/>
      <c r="L133" s="1839"/>
      <c r="M133" s="1839"/>
      <c r="N133" s="1289"/>
      <c r="O133" s="1302"/>
      <c r="P133" s="1284"/>
      <c r="Q133" s="1302"/>
      <c r="R133" s="1284"/>
      <c r="S133" s="1284"/>
      <c r="T133" s="1284"/>
      <c r="U133" s="1274"/>
    </row>
    <row r="134" spans="1:21" hidden="1" x14ac:dyDescent="0.25">
      <c r="A134" s="2039"/>
      <c r="B134" s="1284"/>
      <c r="C134" s="1284"/>
      <c r="D134" s="1284"/>
      <c r="E134" s="1314" t="str">
        <f>IF(AND(Design="Design",Feasibility_Concept&lt;&gt;"Feasibility Study"),"DD","no design")</f>
        <v>DD</v>
      </c>
      <c r="F134" s="1284" t="s">
        <v>31</v>
      </c>
      <c r="G134" s="1284"/>
      <c r="H134" s="1284"/>
      <c r="I134" s="1284"/>
      <c r="J134" s="1312"/>
      <c r="K134" s="1284"/>
      <c r="L134" s="1839"/>
      <c r="M134" s="1839"/>
      <c r="N134" s="1289"/>
      <c r="O134" s="1302"/>
      <c r="P134" s="1284"/>
      <c r="Q134" s="1302"/>
      <c r="R134" s="1284"/>
      <c r="S134" s="1284"/>
      <c r="T134" s="1284"/>
      <c r="U134" s="1274"/>
    </row>
    <row r="135" spans="1:21" hidden="1" x14ac:dyDescent="0.25">
      <c r="A135" s="2039"/>
      <c r="B135" s="1284"/>
      <c r="C135" s="1284"/>
      <c r="D135" s="1284"/>
      <c r="E135" s="1315" t="str">
        <f>IF(AND(Design="Design",Feasibility_Concept&lt;&gt;"Feasibility Study"),IF(CDB_Project="yes","DD / 75%CD","DD / 50%CD"),"no design")</f>
        <v>DD / 50%CD</v>
      </c>
      <c r="F135" s="1284" t="str">
        <f>IF(CDB_Project="yes","Combined DD / 75% CD","Combined DD / 50% CD")</f>
        <v>Combined DD / 50% CD</v>
      </c>
      <c r="G135" s="1284"/>
      <c r="H135" s="1284"/>
      <c r="I135" s="1284"/>
      <c r="J135" s="1312"/>
      <c r="K135" s="1284"/>
      <c r="L135" s="1839"/>
      <c r="M135" s="1839"/>
      <c r="N135" s="1289"/>
      <c r="O135" s="1302"/>
      <c r="P135" s="1284"/>
      <c r="Q135" s="1302"/>
      <c r="R135" s="1284"/>
      <c r="S135" s="1284"/>
      <c r="T135" s="1284"/>
      <c r="U135" s="1274"/>
    </row>
    <row r="136" spans="1:21" hidden="1" x14ac:dyDescent="0.25">
      <c r="A136" s="2039"/>
      <c r="B136" s="1284"/>
      <c r="C136" s="1284"/>
      <c r="D136" s="1284"/>
      <c r="E136" s="1314" t="str">
        <f>IF(AND(Design="Design",Feasibility_Concept&lt;&gt;"Feasibility Study"),IF(CDB_Project="yes","75% CD","50% CD"),"no design")</f>
        <v>50% CD</v>
      </c>
      <c r="F136" s="1284" t="str">
        <f>IF(CDB_Project="Yes","75% CD","50% CD")</f>
        <v>50% CD</v>
      </c>
      <c r="G136" s="1284"/>
      <c r="H136" s="1284"/>
      <c r="I136" s="1284"/>
      <c r="J136" s="1312"/>
      <c r="K136" s="1284"/>
      <c r="L136" s="1839"/>
      <c r="M136" s="1839"/>
      <c r="N136" s="1289"/>
      <c r="O136" s="1302"/>
      <c r="P136" s="1284"/>
      <c r="Q136" s="1302"/>
      <c r="R136" s="1284"/>
      <c r="S136" s="1284"/>
      <c r="T136" s="1284"/>
      <c r="U136" s="1274"/>
    </row>
    <row r="137" spans="1:21" hidden="1" x14ac:dyDescent="0.25">
      <c r="A137" s="2039"/>
      <c r="B137" s="1284"/>
      <c r="C137" s="1284"/>
      <c r="D137" s="1284"/>
      <c r="E137" s="1315" t="str">
        <f>IF(AND(Design="Design",Feasibility_Concept&lt;&gt;"Feasibility Study"),IF(CDB_Project="Yes","75%CD / 100%CD","50%CD / 95%CD"),"no design")</f>
        <v>50%CD / 95%CD</v>
      </c>
      <c r="F137" s="1284" t="str">
        <f>IF(CDB_Project="yes","Combined 75% CD / 100% CD","Combined 50% CD / 95% CD")</f>
        <v>Combined 50% CD / 95% CD</v>
      </c>
      <c r="G137" s="1284"/>
      <c r="H137" s="1284"/>
      <c r="I137" s="1284"/>
      <c r="J137" s="1312"/>
      <c r="K137" s="1284"/>
      <c r="L137" s="1839"/>
      <c r="M137" s="1839"/>
      <c r="N137" s="1289"/>
      <c r="O137" s="1302"/>
      <c r="P137" s="1284"/>
      <c r="Q137" s="1302"/>
      <c r="R137" s="1284"/>
      <c r="S137" s="1284"/>
      <c r="T137" s="1284"/>
      <c r="U137" s="1274"/>
    </row>
    <row r="138" spans="1:21" hidden="1" x14ac:dyDescent="0.25">
      <c r="A138" s="2039"/>
      <c r="B138" s="1284"/>
      <c r="C138" s="1284"/>
      <c r="D138" s="1284"/>
      <c r="E138" s="1315" t="str">
        <f>IF(AND(Design="Design",Feasibility_Concept&lt;&gt;"Feasibility Study"),IF(CDB_Project="yes","DD / 75%CD / 100%CD","DD / 50%CD / 95%CD"),"no design")</f>
        <v>DD / 50%CD / 95%CD</v>
      </c>
      <c r="F138" s="1284" t="str">
        <f>IF(CDB_Project="yes","Combined DD / 75% CD / 100% CD","Combined DD / 50% CD / 95% CD")</f>
        <v>Combined DD / 50% CD / 95% CD</v>
      </c>
      <c r="G138" s="1284"/>
      <c r="H138" s="1284"/>
      <c r="I138" s="1284"/>
      <c r="J138" s="1312"/>
      <c r="K138" s="1284"/>
      <c r="L138" s="1839"/>
      <c r="M138" s="1839"/>
      <c r="N138" s="1297"/>
      <c r="O138" s="1302"/>
      <c r="P138" s="1284"/>
      <c r="Q138" s="1302"/>
      <c r="R138" s="1284"/>
      <c r="S138" s="1284"/>
      <c r="T138" s="1284"/>
      <c r="U138" s="1274"/>
    </row>
    <row r="139" spans="1:21" hidden="1" x14ac:dyDescent="0.25">
      <c r="A139" s="2039"/>
      <c r="B139" s="1284"/>
      <c r="C139" s="1284"/>
      <c r="D139" s="1284"/>
      <c r="E139" s="1314" t="str">
        <f>IF(AND(Design="Design",Feasibility_Concept&lt;&gt;"Feasibility Study"),IF(CDB_Project="yes","100% CD","95% CD"),"no design")</f>
        <v>95% CD</v>
      </c>
      <c r="F139" s="1284" t="str">
        <f>IF(CDB_Project="yes","100% CD","95% CD")</f>
        <v>95% CD</v>
      </c>
      <c r="G139" s="1284"/>
      <c r="H139" s="1284"/>
      <c r="I139" s="1284"/>
      <c r="J139" s="1312"/>
      <c r="K139" s="1284"/>
      <c r="L139" s="1839"/>
      <c r="M139" s="1839"/>
      <c r="N139" s="1297"/>
      <c r="O139" s="1302"/>
      <c r="P139" s="1284"/>
      <c r="Q139" s="1302"/>
      <c r="R139" s="1284"/>
      <c r="S139" s="1284"/>
      <c r="T139" s="1284"/>
      <c r="U139" s="1274"/>
    </row>
    <row r="140" spans="1:21" hidden="1" x14ac:dyDescent="0.25">
      <c r="A140" s="2039"/>
      <c r="B140" s="1284"/>
      <c r="C140" s="1284"/>
      <c r="D140" s="1284"/>
      <c r="E140" s="1314" t="str">
        <f>IF(AND(Design="Design",Feasibility_Concept&lt;&gt;"Feasibility Study"),IF(CDB_Project="yes","Only 100% CD","Only 95% CD"),"no design")</f>
        <v>Only 95% CD</v>
      </c>
      <c r="F140" s="1284" t="str">
        <f>IF(CDB_Project="yes","100% CD (no prior submittals)","95% CD (no prior submittals)")</f>
        <v>95% CD (no prior submittals)</v>
      </c>
      <c r="G140" s="1284"/>
      <c r="H140" s="1284"/>
      <c r="I140" s="1284"/>
      <c r="J140" s="1312"/>
      <c r="K140" s="1284"/>
      <c r="L140" s="1839"/>
      <c r="M140" s="1839"/>
      <c r="N140" s="1289"/>
      <c r="O140" s="1302"/>
      <c r="P140" s="1284"/>
      <c r="Q140" s="1302"/>
      <c r="R140" s="1284"/>
      <c r="S140" s="1284"/>
      <c r="T140" s="1284"/>
      <c r="U140" s="1274"/>
    </row>
    <row r="141" spans="1:21" hidden="1" x14ac:dyDescent="0.25">
      <c r="A141" s="2039"/>
      <c r="B141" s="1284"/>
      <c r="C141" s="1284"/>
      <c r="D141" s="1284"/>
      <c r="E141" s="1301"/>
      <c r="F141" s="1284"/>
      <c r="G141" s="1284"/>
      <c r="H141" s="1284"/>
      <c r="I141" s="1284"/>
      <c r="J141" s="1312"/>
      <c r="K141" s="1284"/>
      <c r="L141" s="1839"/>
      <c r="M141" s="1839"/>
      <c r="N141" s="1289"/>
      <c r="O141" s="1302"/>
      <c r="P141" s="1284"/>
      <c r="Q141" s="1302"/>
      <c r="R141" s="1284"/>
      <c r="S141" s="1284"/>
      <c r="T141" s="1284"/>
      <c r="U141" s="1274"/>
    </row>
    <row r="142" spans="1:21" hidden="1" x14ac:dyDescent="0.25">
      <c r="A142" s="2039"/>
      <c r="B142" s="1284"/>
      <c r="C142" s="1284"/>
      <c r="D142" s="1284"/>
      <c r="E142" s="1316" t="str">
        <f>IF(OR(Feasibility_Concept=Feasibility_Concept="Feasibility Study",Feasibility_Concept="Conceptualization Only"),"no construction",IF(AND(Construction="Construction",Feasibility_Concept&lt;&gt;"Feasibility Study"),"Bid &amp; Award","no construction"))</f>
        <v>Bid &amp; Award</v>
      </c>
      <c r="F142" s="1284" t="s">
        <v>235</v>
      </c>
      <c r="G142" s="1284"/>
      <c r="H142" s="1284"/>
      <c r="I142" s="1284"/>
      <c r="J142" s="1312"/>
      <c r="K142" s="1284"/>
      <c r="L142" s="1839"/>
      <c r="M142" s="1839"/>
      <c r="N142" s="1289"/>
      <c r="O142" s="1302"/>
      <c r="P142" s="1284"/>
      <c r="Q142" s="1302"/>
      <c r="R142" s="1284"/>
      <c r="S142" s="1284"/>
      <c r="T142" s="1284"/>
      <c r="U142" s="1274"/>
    </row>
    <row r="143" spans="1:21" hidden="1" x14ac:dyDescent="0.25">
      <c r="A143" s="2039"/>
      <c r="B143" s="1284"/>
      <c r="C143" s="1284"/>
      <c r="D143" s="1284"/>
      <c r="E143" s="1317" t="str">
        <f>IF(OR(Feasibility_Concept=Feasibility_Concept="Feasibility Study",Feasibility_Concept="Conceptualization Only"),"no construction",IF(AND(Construction="Construction",Feasibility_Concept&lt;&gt;"Feasibility Study"),"Const.","no construction"))</f>
        <v>Const.</v>
      </c>
      <c r="F143" s="1284" t="s">
        <v>0</v>
      </c>
      <c r="G143" s="1284"/>
      <c r="H143" s="1284"/>
      <c r="I143" s="1284"/>
      <c r="J143" s="1312"/>
      <c r="K143" s="1284"/>
      <c r="L143" s="1839"/>
      <c r="M143" s="1839"/>
      <c r="N143" s="1289"/>
      <c r="O143" s="1302"/>
      <c r="P143" s="1284"/>
      <c r="Q143" s="1302"/>
      <c r="R143" s="1284"/>
      <c r="S143" s="1284"/>
      <c r="T143" s="1284"/>
      <c r="U143" s="1274"/>
    </row>
    <row r="144" spans="1:21" hidden="1" x14ac:dyDescent="0.25">
      <c r="A144" s="2039"/>
      <c r="B144" s="1284"/>
      <c r="C144" s="1284"/>
      <c r="D144" s="1284"/>
      <c r="E144" s="1317" t="str">
        <f>IF(OR(Feasibility_Concept=Feasibility_Concept="Feasibility Study",Feasibility_Concept="Conceptualization Only"),"no construction",IF(AND(Construction="Construction",Feasibility_Concept&lt;&gt;"Feasibility Study"),"Closeout","no construction"))</f>
        <v>Closeout</v>
      </c>
      <c r="F144" s="1284" t="s">
        <v>1045</v>
      </c>
      <c r="G144" s="1284"/>
      <c r="H144" s="1284"/>
      <c r="I144" s="1284"/>
      <c r="J144" s="1312"/>
      <c r="K144" s="1284"/>
      <c r="L144" s="1839"/>
      <c r="M144" s="1839"/>
      <c r="N144" s="1289"/>
      <c r="O144" s="1302"/>
      <c r="P144" s="1284"/>
      <c r="Q144" s="1302"/>
      <c r="R144" s="1284"/>
      <c r="S144" s="1284"/>
      <c r="T144" s="1284"/>
      <c r="U144" s="1274"/>
    </row>
    <row r="145" spans="1:21" hidden="1" x14ac:dyDescent="0.25">
      <c r="A145" s="2039"/>
      <c r="B145" s="1284"/>
      <c r="C145" s="1284"/>
      <c r="D145" s="1284"/>
      <c r="E145" s="1317" t="str">
        <f>IF(OR(Feasibility_Concept=Feasibility_Concept="Feasibility Study",Feasibility_Concept="Conceptualization Only"),"no construction",IF(AND(Construction="Construction",Feasibility_Concept&lt;&gt;"Feasibility Study"),"Post Const.","no construction"))</f>
        <v>Post Const.</v>
      </c>
      <c r="F145" s="1284" t="s">
        <v>148</v>
      </c>
      <c r="G145" s="1284"/>
      <c r="H145" s="1284"/>
      <c r="I145" s="1284"/>
      <c r="J145" s="1312"/>
      <c r="K145" s="1284"/>
      <c r="L145" s="1839"/>
      <c r="M145" s="1839"/>
      <c r="N145" s="1297"/>
      <c r="O145" s="1297"/>
      <c r="P145" s="1297"/>
      <c r="Q145" s="1302"/>
      <c r="R145" s="1284"/>
      <c r="S145" s="1284"/>
      <c r="T145" s="1284"/>
      <c r="U145" s="1274"/>
    </row>
    <row r="146" spans="1:21" ht="15.75" hidden="1" thickBot="1" x14ac:dyDescent="0.3">
      <c r="A146" s="2039"/>
      <c r="B146" s="1284"/>
      <c r="C146" s="1284"/>
      <c r="D146" s="1284"/>
      <c r="E146" s="1318"/>
      <c r="F146" s="1284"/>
      <c r="G146" s="1284"/>
      <c r="H146" s="1284"/>
      <c r="I146" s="1284"/>
      <c r="J146" s="1312"/>
      <c r="K146" s="1284"/>
      <c r="L146" s="1839"/>
      <c r="M146" s="1839"/>
      <c r="N146" s="1418"/>
      <c r="O146" s="1302"/>
      <c r="P146" s="1284"/>
      <c r="Q146" s="1302"/>
      <c r="R146" s="1284"/>
      <c r="S146" s="1284"/>
      <c r="T146" s="1284"/>
      <c r="U146" s="1274"/>
    </row>
    <row r="147" spans="1:21" ht="15.75" hidden="1" thickBot="1" x14ac:dyDescent="0.3">
      <c r="A147" s="2039"/>
      <c r="B147" s="1284"/>
      <c r="C147" s="1284"/>
      <c r="D147" s="1284"/>
      <c r="E147" s="1319"/>
      <c r="F147" s="1284"/>
      <c r="G147" s="1284"/>
      <c r="H147" s="1284"/>
      <c r="I147" s="1284"/>
      <c r="J147" s="1312"/>
      <c r="K147" s="1284"/>
      <c r="L147" s="1839"/>
      <c r="M147" s="1839"/>
      <c r="N147" s="1418"/>
      <c r="O147" s="1302"/>
      <c r="P147" s="1284"/>
      <c r="Q147" s="1302"/>
      <c r="R147" s="1284"/>
      <c r="S147" s="1284"/>
      <c r="T147" s="1284"/>
      <c r="U147" s="1274"/>
    </row>
    <row r="148" spans="1:21" ht="26.25" hidden="1" customHeight="1" thickBot="1" x14ac:dyDescent="0.3">
      <c r="A148" s="2039"/>
      <c r="B148" s="1284"/>
      <c r="C148" s="1284"/>
      <c r="D148" s="1284"/>
      <c r="E148" s="1320" t="s">
        <v>609</v>
      </c>
      <c r="F148" s="1284"/>
      <c r="G148" s="1284"/>
      <c r="H148" s="1284"/>
      <c r="I148" s="1284"/>
      <c r="J148" s="1312"/>
      <c r="K148" s="1284"/>
      <c r="L148" s="1839"/>
      <c r="M148" s="1839"/>
      <c r="N148" s="1660"/>
      <c r="O148" s="1302"/>
      <c r="P148" s="1284"/>
      <c r="Q148" s="1302"/>
      <c r="R148" s="1284"/>
      <c r="S148" s="1284"/>
      <c r="T148" s="1284"/>
      <c r="U148" s="1274"/>
    </row>
    <row r="149" spans="1:21" ht="15.75" hidden="1" thickTop="1" x14ac:dyDescent="0.25">
      <c r="A149" s="2039"/>
      <c r="B149" s="1284"/>
      <c r="C149" s="1284"/>
      <c r="D149" s="1284"/>
      <c r="E149" s="1299" t="s">
        <v>68</v>
      </c>
      <c r="F149" s="1284"/>
      <c r="G149" s="1284"/>
      <c r="H149" s="1284"/>
      <c r="I149" s="1284"/>
      <c r="J149" s="1312"/>
      <c r="K149" s="1284"/>
      <c r="L149" s="1839"/>
      <c r="M149" s="1839"/>
      <c r="N149" s="1660"/>
      <c r="O149" s="1302"/>
      <c r="P149" s="1284"/>
      <c r="Q149" s="1302"/>
      <c r="R149" s="1284"/>
      <c r="S149" s="1284"/>
      <c r="T149" s="1284"/>
      <c r="U149" s="1274"/>
    </row>
    <row r="150" spans="1:21" hidden="1" x14ac:dyDescent="0.25">
      <c r="A150" s="2039"/>
      <c r="B150" s="1284"/>
      <c r="C150" s="1284"/>
      <c r="D150" s="1284"/>
      <c r="E150" s="1300" t="s">
        <v>616</v>
      </c>
      <c r="F150" s="1284"/>
      <c r="G150" s="1284"/>
      <c r="H150" s="1284"/>
      <c r="I150" s="1284"/>
      <c r="J150" s="1284"/>
      <c r="K150" s="1284"/>
      <c r="L150" s="1302"/>
      <c r="M150" s="1284"/>
      <c r="N150" s="1289"/>
      <c r="O150" s="1291"/>
      <c r="P150" s="1284"/>
      <c r="Q150" s="1302"/>
      <c r="R150" s="1284"/>
      <c r="S150" s="1284"/>
      <c r="T150" s="1284"/>
      <c r="U150" s="1274"/>
    </row>
    <row r="151" spans="1:21" hidden="1" x14ac:dyDescent="0.25">
      <c r="A151" s="2039"/>
      <c r="B151" s="1284"/>
      <c r="C151" s="1284"/>
      <c r="D151" s="1284"/>
      <c r="E151" s="1301" t="s">
        <v>610</v>
      </c>
      <c r="F151" s="1284"/>
      <c r="G151" s="1284"/>
      <c r="H151" s="1284"/>
      <c r="I151" s="1284"/>
      <c r="J151" s="1284"/>
      <c r="K151" s="1284"/>
      <c r="L151" s="1302"/>
      <c r="M151" s="1284"/>
      <c r="N151" s="1289"/>
      <c r="O151" s="1291"/>
      <c r="P151" s="1284"/>
      <c r="Q151" s="1302"/>
      <c r="R151" s="1284"/>
      <c r="S151" s="1284"/>
      <c r="T151" s="1284"/>
      <c r="U151" s="1274"/>
    </row>
    <row r="152" spans="1:21" hidden="1" x14ac:dyDescent="0.25">
      <c r="A152" s="2039"/>
      <c r="B152" s="1284"/>
      <c r="C152" s="1284"/>
      <c r="D152" s="1284"/>
      <c r="E152" s="1301" t="s">
        <v>611</v>
      </c>
      <c r="F152" s="1284"/>
      <c r="G152" s="1284"/>
      <c r="H152" s="1284"/>
      <c r="I152" s="1284"/>
      <c r="J152" s="1284"/>
      <c r="K152" s="1284"/>
      <c r="L152" s="1302"/>
      <c r="M152" s="1284"/>
      <c r="N152" s="1303"/>
      <c r="O152" s="1291"/>
      <c r="P152" s="1284"/>
      <c r="Q152" s="1302"/>
      <c r="R152" s="1284"/>
      <c r="S152" s="1284"/>
      <c r="T152" s="1284"/>
      <c r="U152" s="1274"/>
    </row>
    <row r="153" spans="1:21" hidden="1" x14ac:dyDescent="0.25">
      <c r="A153" s="2039"/>
      <c r="B153" s="1284"/>
      <c r="C153" s="1284"/>
      <c r="D153" s="1284"/>
      <c r="E153" s="1301" t="s">
        <v>612</v>
      </c>
      <c r="F153" s="1284"/>
      <c r="G153" s="1284"/>
      <c r="H153" s="1284"/>
      <c r="I153" s="1284"/>
      <c r="J153" s="1284"/>
      <c r="K153" s="1284"/>
      <c r="L153" s="1302"/>
      <c r="M153" s="1284"/>
      <c r="N153" s="1303"/>
      <c r="O153" s="1291"/>
      <c r="P153" s="1284"/>
      <c r="Q153" s="1302"/>
      <c r="R153" s="1284"/>
      <c r="S153" s="1284"/>
      <c r="T153" s="1284"/>
      <c r="U153" s="1274"/>
    </row>
    <row r="154" spans="1:21" hidden="1" x14ac:dyDescent="0.25">
      <c r="A154" s="2039"/>
      <c r="B154" s="1284"/>
      <c r="C154" s="1284"/>
      <c r="D154" s="1284"/>
      <c r="E154" s="1301" t="s">
        <v>613</v>
      </c>
      <c r="F154" s="1284"/>
      <c r="G154" s="1284"/>
      <c r="H154" s="1284"/>
      <c r="I154" s="1284"/>
      <c r="J154" s="1284"/>
      <c r="K154" s="1284"/>
      <c r="L154" s="1302"/>
      <c r="M154" s="1284"/>
      <c r="N154" s="1297"/>
      <c r="O154" s="1291"/>
      <c r="P154" s="1284"/>
      <c r="Q154" s="1302"/>
      <c r="R154" s="1284"/>
      <c r="S154" s="1284"/>
      <c r="T154" s="1284"/>
      <c r="U154" s="1274"/>
    </row>
    <row r="155" spans="1:21" hidden="1" x14ac:dyDescent="0.25">
      <c r="A155" s="2039"/>
      <c r="B155" s="1284"/>
      <c r="C155" s="1284"/>
      <c r="D155" s="1284"/>
      <c r="E155" s="1301" t="s">
        <v>614</v>
      </c>
      <c r="F155" s="1284"/>
      <c r="G155" s="1284"/>
      <c r="H155" s="1284"/>
      <c r="I155" s="1284"/>
      <c r="J155" s="1284"/>
      <c r="K155" s="1284"/>
      <c r="L155" s="1302"/>
      <c r="M155" s="1284"/>
      <c r="N155" s="1303"/>
      <c r="O155" s="1291"/>
      <c r="P155" s="1284"/>
      <c r="Q155" s="1302"/>
      <c r="R155" s="1284"/>
      <c r="S155" s="1284"/>
      <c r="T155" s="1284"/>
      <c r="U155" s="1274"/>
    </row>
    <row r="156" spans="1:21" ht="15.75" hidden="1" thickBot="1" x14ac:dyDescent="0.3">
      <c r="A156" s="2039"/>
      <c r="B156" s="1284"/>
      <c r="C156" s="1284"/>
      <c r="D156" s="1284"/>
      <c r="E156" s="1304" t="s">
        <v>615</v>
      </c>
      <c r="F156" s="1284"/>
      <c r="G156" s="1284"/>
      <c r="H156" s="1284"/>
      <c r="I156" s="1284"/>
      <c r="J156" s="1284"/>
      <c r="K156" s="1284"/>
      <c r="L156" s="1302"/>
      <c r="M156" s="1284"/>
      <c r="N156" s="1303"/>
      <c r="O156" s="1291"/>
      <c r="P156" s="1284"/>
      <c r="Q156" s="1302"/>
      <c r="R156" s="1284"/>
      <c r="S156" s="1284"/>
      <c r="T156" s="1284"/>
      <c r="U156" s="1274"/>
    </row>
    <row r="157" spans="1:21" hidden="1" x14ac:dyDescent="0.25">
      <c r="A157" s="2039"/>
      <c r="B157" s="1284"/>
      <c r="C157" s="1284"/>
      <c r="D157" s="1284"/>
      <c r="E157" s="1319"/>
      <c r="F157" s="1284"/>
      <c r="G157" s="1284"/>
      <c r="H157" s="1284"/>
      <c r="I157" s="1284"/>
      <c r="J157" s="1284"/>
      <c r="K157" s="1284"/>
      <c r="L157" s="1302"/>
      <c r="M157" s="1284"/>
      <c r="N157" s="1303"/>
      <c r="O157" s="1291"/>
      <c r="P157" s="1284"/>
      <c r="Q157" s="1302"/>
      <c r="R157" s="1284"/>
      <c r="S157" s="1284"/>
      <c r="T157" s="1284"/>
      <c r="U157" s="1274"/>
    </row>
    <row r="158" spans="1:21" hidden="1" x14ac:dyDescent="0.25">
      <c r="A158" s="2039"/>
      <c r="B158" s="1284"/>
      <c r="C158" s="1284"/>
      <c r="D158" s="1284"/>
      <c r="E158" s="1319"/>
      <c r="F158" s="1284"/>
      <c r="G158" s="1284"/>
      <c r="H158" s="1284"/>
      <c r="I158" s="1284"/>
      <c r="J158" s="1284"/>
      <c r="K158" s="1284"/>
      <c r="L158" s="1302"/>
      <c r="M158" s="1284"/>
      <c r="N158" s="1303"/>
      <c r="O158" s="1291"/>
      <c r="P158" s="1284"/>
      <c r="Q158" s="1302"/>
      <c r="R158" s="1284"/>
      <c r="S158" s="1284"/>
      <c r="T158" s="1284"/>
      <c r="U158" s="1274"/>
    </row>
    <row r="159" spans="1:21" ht="16.5" thickTop="1" thickBot="1" x14ac:dyDescent="0.3">
      <c r="A159" s="2040"/>
      <c r="B159" s="1284"/>
      <c r="C159" s="1841"/>
      <c r="D159" s="1841"/>
      <c r="E159" s="1841"/>
      <c r="F159" s="1841"/>
      <c r="G159" s="1841"/>
      <c r="H159" s="1284"/>
      <c r="I159" s="1284"/>
      <c r="J159" s="1284"/>
      <c r="K159" s="1284"/>
      <c r="L159" s="1302"/>
      <c r="M159" s="1284"/>
      <c r="N159" s="1303"/>
      <c r="O159" s="1291"/>
      <c r="P159" s="1284"/>
      <c r="Q159" s="1302"/>
      <c r="R159" s="1284"/>
      <c r="S159" s="1284"/>
      <c r="T159" s="1284"/>
      <c r="U159" s="1274"/>
    </row>
    <row r="160" spans="1:21" ht="15.75" thickTop="1" x14ac:dyDescent="0.25">
      <c r="A160" s="1284"/>
      <c r="B160" s="1284"/>
      <c r="C160" s="1284"/>
      <c r="D160" s="1284"/>
      <c r="E160" s="1284"/>
      <c r="F160" s="1284"/>
      <c r="G160" s="1284"/>
      <c r="H160" s="1284"/>
      <c r="I160" s="1284"/>
      <c r="J160" s="1284"/>
      <c r="K160" s="1284"/>
      <c r="L160" s="1302"/>
      <c r="M160" s="1284"/>
      <c r="N160" s="1303"/>
      <c r="O160" s="1291"/>
      <c r="P160" s="1302"/>
      <c r="Q160" s="1284"/>
      <c r="R160" s="1284"/>
      <c r="S160" s="1284"/>
      <c r="T160" s="1284"/>
      <c r="U160" s="1274"/>
    </row>
    <row r="161" spans="1:21" ht="15.75" thickBot="1" x14ac:dyDescent="0.3">
      <c r="A161" s="1841"/>
      <c r="B161" s="1284"/>
      <c r="C161" s="1284"/>
      <c r="D161" s="1284"/>
      <c r="E161" s="1287" t="str">
        <f ca="1">CONCATENATE("UIUC Template Change Log hidden below for TAB [",MID(CELL("filename",C4),FIND("]",CELL("filename",C4))+1,255),"] :")</f>
        <v>UIUC Template Change Log hidden below for TAB [A-Info, Phases, Recip.] :</v>
      </c>
      <c r="F161" s="1284"/>
      <c r="G161" s="1284"/>
      <c r="H161" s="1284"/>
      <c r="I161" s="1284"/>
      <c r="J161" s="1284"/>
      <c r="K161" s="1284"/>
      <c r="L161" s="1302"/>
      <c r="M161" s="1284"/>
      <c r="N161" s="1303"/>
      <c r="O161" s="1291"/>
      <c r="P161" s="1302"/>
      <c r="Q161" s="1284"/>
      <c r="R161" s="1284"/>
      <c r="S161" s="1284"/>
      <c r="T161" s="1284"/>
      <c r="U161" s="1274"/>
    </row>
    <row r="162" spans="1:21" ht="15.75" thickTop="1" x14ac:dyDescent="0.25">
      <c r="A162" s="1284"/>
      <c r="B162" s="1284"/>
      <c r="C162" s="1284"/>
      <c r="D162" s="1284"/>
      <c r="E162" s="1288"/>
      <c r="F162" s="1284"/>
      <c r="G162" s="1284"/>
      <c r="H162" s="1284"/>
      <c r="I162" s="1284"/>
      <c r="J162" s="1284"/>
      <c r="K162" s="1284"/>
      <c r="L162" s="1302"/>
      <c r="M162" s="1284"/>
      <c r="N162" s="1303"/>
      <c r="O162" s="1291"/>
      <c r="P162" s="1302"/>
      <c r="Q162" s="1284"/>
      <c r="R162" s="1284"/>
      <c r="S162" s="1284"/>
      <c r="T162" s="1284"/>
      <c r="U162" s="1274"/>
    </row>
    <row r="163" spans="1:21" s="3" customFormat="1" ht="12.75" hidden="1" x14ac:dyDescent="0.2">
      <c r="A163" s="1844"/>
      <c r="B163" s="1844"/>
      <c r="C163" s="1844"/>
      <c r="D163" s="1844"/>
      <c r="E163" s="1840">
        <v>42470</v>
      </c>
      <c r="F163" s="1934"/>
      <c r="G163" s="1289" t="s">
        <v>631</v>
      </c>
      <c r="H163" s="1844"/>
      <c r="I163" s="1844"/>
      <c r="J163" s="1844"/>
      <c r="K163" s="1844"/>
      <c r="L163" s="1289"/>
      <c r="M163" s="1844"/>
      <c r="N163" s="1303"/>
      <c r="O163" s="1935"/>
      <c r="P163" s="1289"/>
      <c r="Q163" s="1844"/>
      <c r="R163" s="1844"/>
      <c r="S163" s="1844"/>
      <c r="T163" s="1844"/>
      <c r="U163" s="1280"/>
    </row>
    <row r="164" spans="1:21" s="3" customFormat="1" ht="12.75" hidden="1" x14ac:dyDescent="0.2">
      <c r="A164" s="1844"/>
      <c r="B164" s="1844"/>
      <c r="C164" s="1844"/>
      <c r="D164" s="1844"/>
      <c r="E164" s="1840"/>
      <c r="F164" s="1934"/>
      <c r="G164" s="1289"/>
      <c r="H164" s="1935"/>
      <c r="I164" s="1844"/>
      <c r="J164" s="1844"/>
      <c r="K164" s="1844"/>
      <c r="L164" s="1289"/>
      <c r="M164" s="1844"/>
      <c r="N164" s="1303"/>
      <c r="O164" s="1935"/>
      <c r="P164" s="1289"/>
      <c r="Q164" s="1844"/>
      <c r="R164" s="1844"/>
      <c r="S164" s="1844"/>
      <c r="T164" s="1844"/>
      <c r="U164" s="1280"/>
    </row>
    <row r="165" spans="1:21" s="3" customFormat="1" ht="12.75" hidden="1" x14ac:dyDescent="0.2">
      <c r="A165" s="1844"/>
      <c r="B165" s="1844"/>
      <c r="C165" s="1844"/>
      <c r="D165" s="1844"/>
      <c r="E165" s="1840">
        <v>42478</v>
      </c>
      <c r="F165" s="1934"/>
      <c r="G165" s="1289" t="s">
        <v>617</v>
      </c>
      <c r="H165" s="1935"/>
      <c r="I165" s="1844"/>
      <c r="J165" s="1844"/>
      <c r="K165" s="1844"/>
      <c r="L165" s="1289"/>
      <c r="M165" s="1844"/>
      <c r="N165" s="1303"/>
      <c r="O165" s="1935"/>
      <c r="P165" s="1289"/>
      <c r="Q165" s="1844"/>
      <c r="R165" s="1844"/>
      <c r="S165" s="1844"/>
      <c r="T165" s="1844"/>
      <c r="U165" s="1280"/>
    </row>
    <row r="166" spans="1:21" s="3" customFormat="1" ht="12.75" hidden="1" x14ac:dyDescent="0.2">
      <c r="A166" s="1844"/>
      <c r="B166" s="1844"/>
      <c r="C166" s="1844"/>
      <c r="D166" s="1844"/>
      <c r="E166" s="1840"/>
      <c r="F166" s="1934"/>
      <c r="G166" s="1289" t="s">
        <v>629</v>
      </c>
      <c r="H166" s="1935"/>
      <c r="I166" s="1844"/>
      <c r="J166" s="1844"/>
      <c r="K166" s="1844"/>
      <c r="L166" s="1289"/>
      <c r="M166" s="1844"/>
      <c r="N166" s="1303"/>
      <c r="O166" s="1935"/>
      <c r="P166" s="1289"/>
      <c r="Q166" s="1844"/>
      <c r="R166" s="1844"/>
      <c r="S166" s="1844"/>
      <c r="T166" s="1844"/>
      <c r="U166" s="1280"/>
    </row>
    <row r="167" spans="1:21" s="3" customFormat="1" ht="12.75" hidden="1" x14ac:dyDescent="0.2">
      <c r="A167" s="1844"/>
      <c r="B167" s="1844"/>
      <c r="C167" s="1844"/>
      <c r="D167" s="1844"/>
      <c r="E167" s="1840"/>
      <c r="F167" s="1934"/>
      <c r="G167" s="1289" t="s">
        <v>630</v>
      </c>
      <c r="H167" s="1935"/>
      <c r="I167" s="1844"/>
      <c r="J167" s="1844"/>
      <c r="K167" s="1844"/>
      <c r="L167" s="1289"/>
      <c r="M167" s="1844"/>
      <c r="N167" s="1303"/>
      <c r="O167" s="1935"/>
      <c r="P167" s="1289"/>
      <c r="Q167" s="1844"/>
      <c r="R167" s="1844"/>
      <c r="S167" s="1844"/>
      <c r="T167" s="1844"/>
      <c r="U167" s="1280"/>
    </row>
    <row r="168" spans="1:21" s="3" customFormat="1" ht="12.75" hidden="1" x14ac:dyDescent="0.2">
      <c r="A168" s="1844"/>
      <c r="B168" s="1844"/>
      <c r="C168" s="1844"/>
      <c r="D168" s="1844"/>
      <c r="E168" s="1840"/>
      <c r="F168" s="1934"/>
      <c r="G168" s="1289"/>
      <c r="H168" s="1935"/>
      <c r="I168" s="1844"/>
      <c r="J168" s="1844"/>
      <c r="K168" s="1844"/>
      <c r="L168" s="1289"/>
      <c r="M168" s="1844"/>
      <c r="N168" s="1303"/>
      <c r="O168" s="1935"/>
      <c r="P168" s="1289"/>
      <c r="Q168" s="1844"/>
      <c r="R168" s="1844"/>
      <c r="S168" s="1844"/>
      <c r="T168" s="1844"/>
      <c r="U168" s="1280"/>
    </row>
    <row r="169" spans="1:21" s="3" customFormat="1" ht="12.75" hidden="1" x14ac:dyDescent="0.2">
      <c r="A169" s="1844"/>
      <c r="B169" s="1844"/>
      <c r="C169" s="1844"/>
      <c r="D169" s="1844"/>
      <c r="E169" s="1840">
        <v>42492</v>
      </c>
      <c r="F169" s="1934"/>
      <c r="G169" s="1289" t="s">
        <v>700</v>
      </c>
      <c r="H169" s="1844"/>
      <c r="I169" s="1844"/>
      <c r="J169" s="1844"/>
      <c r="K169" s="1844"/>
      <c r="L169" s="1289"/>
      <c r="M169" s="1844"/>
      <c r="N169" s="1303"/>
      <c r="O169" s="1935"/>
      <c r="P169" s="1289"/>
      <c r="Q169" s="1844"/>
      <c r="R169" s="1844"/>
      <c r="S169" s="1844"/>
      <c r="T169" s="1844"/>
      <c r="U169" s="1280"/>
    </row>
    <row r="170" spans="1:21" s="3" customFormat="1" ht="12.75" hidden="1" x14ac:dyDescent="0.2">
      <c r="A170" s="1844"/>
      <c r="B170" s="1844"/>
      <c r="C170" s="1844"/>
      <c r="D170" s="1844"/>
      <c r="E170" s="1840"/>
      <c r="F170" s="1934"/>
      <c r="G170" s="1289" t="s">
        <v>701</v>
      </c>
      <c r="H170" s="1844"/>
      <c r="I170" s="1844"/>
      <c r="J170" s="1844"/>
      <c r="K170" s="1844"/>
      <c r="L170" s="1289"/>
      <c r="M170" s="1844"/>
      <c r="N170" s="1303"/>
      <c r="O170" s="1935"/>
      <c r="P170" s="1289"/>
      <c r="Q170" s="1844"/>
      <c r="R170" s="1844"/>
      <c r="S170" s="1844"/>
      <c r="T170" s="1844"/>
      <c r="U170" s="1280"/>
    </row>
    <row r="171" spans="1:21" s="3" customFormat="1" ht="12.75" hidden="1" x14ac:dyDescent="0.2">
      <c r="A171" s="1844"/>
      <c r="B171" s="1844"/>
      <c r="C171" s="1844"/>
      <c r="D171" s="1844"/>
      <c r="E171" s="1840"/>
      <c r="F171" s="1934"/>
      <c r="G171" s="1289"/>
      <c r="H171" s="1844"/>
      <c r="I171" s="1844"/>
      <c r="J171" s="1844"/>
      <c r="K171" s="1844"/>
      <c r="L171" s="1289"/>
      <c r="M171" s="1844"/>
      <c r="N171" s="1303"/>
      <c r="O171" s="1935"/>
      <c r="P171" s="1289"/>
      <c r="Q171" s="1844"/>
      <c r="R171" s="1844"/>
      <c r="S171" s="1844"/>
      <c r="T171" s="1844"/>
      <c r="U171" s="1280"/>
    </row>
    <row r="172" spans="1:21" s="3" customFormat="1" ht="12.75" hidden="1" x14ac:dyDescent="0.2">
      <c r="A172" s="1844"/>
      <c r="B172" s="1844"/>
      <c r="C172" s="1844"/>
      <c r="D172" s="1844"/>
      <c r="E172" s="1840">
        <v>42496</v>
      </c>
      <c r="F172" s="1934"/>
      <c r="G172" s="1289" t="s">
        <v>723</v>
      </c>
      <c r="H172" s="1844"/>
      <c r="I172" s="1844"/>
      <c r="J172" s="1844"/>
      <c r="K172" s="1844"/>
      <c r="L172" s="1289"/>
      <c r="M172" s="1844"/>
      <c r="N172" s="1303"/>
      <c r="O172" s="1935"/>
      <c r="P172" s="1289"/>
      <c r="Q172" s="1844"/>
      <c r="R172" s="1844"/>
      <c r="S172" s="1844"/>
      <c r="T172" s="1844"/>
      <c r="U172" s="1280"/>
    </row>
    <row r="173" spans="1:21" s="3" customFormat="1" ht="12.75" hidden="1" x14ac:dyDescent="0.2">
      <c r="A173" s="1844"/>
      <c r="B173" s="1844"/>
      <c r="C173" s="1844"/>
      <c r="D173" s="1844"/>
      <c r="E173" s="1840"/>
      <c r="F173" s="1934"/>
      <c r="G173" s="1936" t="s">
        <v>1180</v>
      </c>
      <c r="H173" s="1844"/>
      <c r="I173" s="1844"/>
      <c r="J173" s="1844"/>
      <c r="K173" s="1844"/>
      <c r="L173" s="1289"/>
      <c r="M173" s="1844"/>
      <c r="N173" s="1303"/>
      <c r="O173" s="1935"/>
      <c r="P173" s="1289"/>
      <c r="Q173" s="1844"/>
      <c r="R173" s="1844"/>
      <c r="S173" s="1844"/>
      <c r="T173" s="1844"/>
      <c r="U173" s="1280"/>
    </row>
    <row r="174" spans="1:21" s="3" customFormat="1" ht="12.75" hidden="1" x14ac:dyDescent="0.2">
      <c r="A174" s="1844"/>
      <c r="B174" s="1844"/>
      <c r="C174" s="1844"/>
      <c r="D174" s="1844"/>
      <c r="E174" s="1840"/>
      <c r="F174" s="1934"/>
      <c r="G174" s="1289" t="s">
        <v>765</v>
      </c>
      <c r="H174" s="1844"/>
      <c r="I174" s="1844"/>
      <c r="J174" s="1844"/>
      <c r="K174" s="1844"/>
      <c r="L174" s="1289"/>
      <c r="M174" s="1844"/>
      <c r="N174" s="1303"/>
      <c r="O174" s="1935"/>
      <c r="P174" s="1289"/>
      <c r="Q174" s="1844"/>
      <c r="R174" s="1844"/>
      <c r="S174" s="1844"/>
      <c r="T174" s="1844"/>
      <c r="U174" s="1280"/>
    </row>
    <row r="175" spans="1:21" s="3" customFormat="1" ht="12.75" hidden="1" x14ac:dyDescent="0.2">
      <c r="A175" s="1844"/>
      <c r="B175" s="1844"/>
      <c r="C175" s="1844"/>
      <c r="D175" s="1844"/>
      <c r="E175" s="1840"/>
      <c r="F175" s="1934"/>
      <c r="G175" s="1844"/>
      <c r="H175" s="1935"/>
      <c r="I175" s="1844"/>
      <c r="J175" s="1844"/>
      <c r="K175" s="1844"/>
      <c r="L175" s="1289"/>
      <c r="M175" s="1844"/>
      <c r="N175" s="1303"/>
      <c r="O175" s="1935"/>
      <c r="P175" s="1289"/>
      <c r="Q175" s="1844"/>
      <c r="R175" s="1844"/>
      <c r="S175" s="1844"/>
      <c r="T175" s="1844"/>
      <c r="U175" s="1280"/>
    </row>
    <row r="176" spans="1:21" s="3" customFormat="1" ht="12.75" hidden="1" x14ac:dyDescent="0.2">
      <c r="A176" s="1844"/>
      <c r="B176" s="1844"/>
      <c r="C176" s="1844"/>
      <c r="D176" s="1844"/>
      <c r="E176" s="1840"/>
      <c r="F176" s="1934"/>
      <c r="G176" s="1289"/>
      <c r="H176" s="1935"/>
      <c r="I176" s="1844"/>
      <c r="J176" s="1844"/>
      <c r="K176" s="1844"/>
      <c r="L176" s="1289"/>
      <c r="M176" s="1844"/>
      <c r="N176" s="1303"/>
      <c r="O176" s="1935"/>
      <c r="P176" s="1289"/>
      <c r="Q176" s="1844"/>
      <c r="R176" s="1844"/>
      <c r="S176" s="1844"/>
      <c r="T176" s="1844"/>
      <c r="U176" s="1280"/>
    </row>
    <row r="177" spans="1:21" s="3" customFormat="1" ht="12.75" hidden="1" x14ac:dyDescent="0.2">
      <c r="A177" s="1844"/>
      <c r="B177" s="1844"/>
      <c r="C177" s="1844"/>
      <c r="D177" s="1844"/>
      <c r="E177" s="1840">
        <v>42499</v>
      </c>
      <c r="F177" s="1934"/>
      <c r="G177" s="1289" t="s">
        <v>771</v>
      </c>
      <c r="H177" s="1935"/>
      <c r="I177" s="1844"/>
      <c r="J177" s="1844"/>
      <c r="K177" s="1844"/>
      <c r="L177" s="1289"/>
      <c r="M177" s="1844"/>
      <c r="N177" s="1303"/>
      <c r="O177" s="1935"/>
      <c r="P177" s="1289"/>
      <c r="Q177" s="1844"/>
      <c r="R177" s="1844"/>
      <c r="S177" s="1844"/>
      <c r="T177" s="1844"/>
      <c r="U177" s="1280"/>
    </row>
    <row r="178" spans="1:21" s="3" customFormat="1" ht="12.75" hidden="1" x14ac:dyDescent="0.2">
      <c r="A178" s="1844"/>
      <c r="B178" s="1844"/>
      <c r="C178" s="1844"/>
      <c r="D178" s="1844"/>
      <c r="E178" s="1840"/>
      <c r="F178" s="1934"/>
      <c r="G178" s="1289"/>
      <c r="H178" s="1935"/>
      <c r="I178" s="1844"/>
      <c r="J178" s="1844"/>
      <c r="K178" s="1844"/>
      <c r="L178" s="1289"/>
      <c r="M178" s="1844"/>
      <c r="N178" s="1303"/>
      <c r="O178" s="1935"/>
      <c r="P178" s="1289"/>
      <c r="Q178" s="1844"/>
      <c r="R178" s="1844"/>
      <c r="S178" s="1844"/>
      <c r="T178" s="1844"/>
      <c r="U178" s="1280"/>
    </row>
    <row r="179" spans="1:21" s="3" customFormat="1" ht="12.75" hidden="1" x14ac:dyDescent="0.2">
      <c r="A179" s="1844"/>
      <c r="B179" s="1844"/>
      <c r="C179" s="1844"/>
      <c r="D179" s="1844"/>
      <c r="E179" s="1840">
        <v>42514</v>
      </c>
      <c r="F179" s="1934"/>
      <c r="G179" s="1289" t="s">
        <v>823</v>
      </c>
      <c r="H179" s="1935"/>
      <c r="I179" s="1844"/>
      <c r="J179" s="1844"/>
      <c r="K179" s="1844"/>
      <c r="L179" s="1289"/>
      <c r="M179" s="1844"/>
      <c r="N179" s="1303"/>
      <c r="O179" s="1935"/>
      <c r="P179" s="1289"/>
      <c r="Q179" s="1844"/>
      <c r="R179" s="1844"/>
      <c r="S179" s="1844"/>
      <c r="T179" s="1844"/>
      <c r="U179" s="1280"/>
    </row>
    <row r="180" spans="1:21" s="3" customFormat="1" ht="12.75" hidden="1" x14ac:dyDescent="0.2">
      <c r="A180" s="1844"/>
      <c r="B180" s="1844"/>
      <c r="C180" s="1844"/>
      <c r="D180" s="1844"/>
      <c r="E180" s="1840"/>
      <c r="F180" s="1934"/>
      <c r="G180" s="1289"/>
      <c r="H180" s="1935"/>
      <c r="I180" s="1844"/>
      <c r="J180" s="1844"/>
      <c r="K180" s="1844"/>
      <c r="L180" s="1289"/>
      <c r="M180" s="1844"/>
      <c r="N180" s="1303"/>
      <c r="O180" s="1935"/>
      <c r="P180" s="1289"/>
      <c r="Q180" s="1844"/>
      <c r="R180" s="1844"/>
      <c r="S180" s="1844"/>
      <c r="T180" s="1844"/>
      <c r="U180" s="1280"/>
    </row>
    <row r="181" spans="1:21" s="3" customFormat="1" ht="12.75" hidden="1" x14ac:dyDescent="0.2">
      <c r="A181" s="1844"/>
      <c r="B181" s="1844"/>
      <c r="C181" s="1844"/>
      <c r="D181" s="1844"/>
      <c r="E181" s="1840">
        <v>42527</v>
      </c>
      <c r="F181" s="1934"/>
      <c r="G181" s="1289" t="s">
        <v>829</v>
      </c>
      <c r="H181" s="1935"/>
      <c r="I181" s="1844"/>
      <c r="J181" s="1844"/>
      <c r="K181" s="1844"/>
      <c r="L181" s="1844"/>
      <c r="M181" s="1844"/>
      <c r="N181" s="1844"/>
      <c r="O181" s="1844"/>
      <c r="P181" s="1844"/>
      <c r="Q181" s="1844"/>
      <c r="R181" s="1844"/>
      <c r="S181" s="1844"/>
      <c r="T181" s="1844"/>
      <c r="U181" s="1280"/>
    </row>
    <row r="182" spans="1:21" s="3" customFormat="1" ht="12.75" hidden="1" x14ac:dyDescent="0.2">
      <c r="A182" s="1844"/>
      <c r="B182" s="1844"/>
      <c r="C182" s="1844"/>
      <c r="D182" s="1844"/>
      <c r="E182" s="1840"/>
      <c r="F182" s="1934"/>
      <c r="G182" s="1289"/>
      <c r="H182" s="1935"/>
      <c r="I182" s="1844"/>
      <c r="J182" s="1844"/>
      <c r="K182" s="1844"/>
      <c r="L182" s="1844"/>
      <c r="M182" s="1844"/>
      <c r="N182" s="1844"/>
      <c r="O182" s="1844"/>
      <c r="P182" s="1844"/>
      <c r="Q182" s="1844"/>
      <c r="R182" s="1844"/>
      <c r="S182" s="1844"/>
      <c r="T182" s="1844"/>
      <c r="U182" s="1280"/>
    </row>
    <row r="183" spans="1:21" s="3" customFormat="1" ht="12.75" hidden="1" x14ac:dyDescent="0.2">
      <c r="A183" s="1844"/>
      <c r="B183" s="1844"/>
      <c r="C183" s="1844"/>
      <c r="D183" s="1844"/>
      <c r="E183" s="1840">
        <v>42557</v>
      </c>
      <c r="F183" s="1934"/>
      <c r="G183" s="1289" t="s">
        <v>832</v>
      </c>
      <c r="H183" s="1935"/>
      <c r="I183" s="1844"/>
      <c r="J183" s="1844"/>
      <c r="K183" s="1844"/>
      <c r="L183" s="1844"/>
      <c r="M183" s="1844"/>
      <c r="N183" s="1844"/>
      <c r="O183" s="1844"/>
      <c r="P183" s="1844"/>
      <c r="Q183" s="1844"/>
      <c r="R183" s="1844"/>
      <c r="S183" s="1844"/>
      <c r="T183" s="1844"/>
      <c r="U183" s="1280"/>
    </row>
    <row r="184" spans="1:21" s="1844" customFormat="1" ht="12.75" hidden="1" x14ac:dyDescent="0.2">
      <c r="E184" s="1840"/>
      <c r="F184" s="1934"/>
      <c r="G184" s="1289"/>
      <c r="H184" s="1935"/>
      <c r="U184" s="1280"/>
    </row>
    <row r="185" spans="1:21" s="1844" customFormat="1" ht="12.75" hidden="1" x14ac:dyDescent="0.2">
      <c r="E185" s="1840">
        <v>42635</v>
      </c>
      <c r="F185" s="1934"/>
      <c r="G185" s="1289" t="s">
        <v>839</v>
      </c>
      <c r="H185" s="1935"/>
      <c r="U185" s="1280"/>
    </row>
    <row r="186" spans="1:21" s="1844" customFormat="1" ht="12.75" hidden="1" x14ac:dyDescent="0.2">
      <c r="E186" s="1840"/>
      <c r="F186" s="1934"/>
      <c r="G186" s="1289" t="s">
        <v>840</v>
      </c>
      <c r="H186" s="1935"/>
      <c r="U186" s="1280"/>
    </row>
    <row r="187" spans="1:21" s="1844" customFormat="1" ht="12.75" hidden="1" x14ac:dyDescent="0.2">
      <c r="E187" s="1840"/>
      <c r="F187" s="1934"/>
      <c r="G187" s="1289"/>
      <c r="H187" s="1935"/>
      <c r="U187" s="1280"/>
    </row>
    <row r="188" spans="1:21" s="1844" customFormat="1" ht="12.75" hidden="1" x14ac:dyDescent="0.2">
      <c r="E188" s="1840">
        <v>42650</v>
      </c>
      <c r="F188" s="1934"/>
      <c r="G188" s="1289" t="s">
        <v>841</v>
      </c>
      <c r="H188" s="1935"/>
      <c r="U188" s="1280"/>
    </row>
    <row r="189" spans="1:21" s="1844" customFormat="1" ht="12.75" hidden="1" x14ac:dyDescent="0.2">
      <c r="E189" s="1840"/>
      <c r="F189" s="1934"/>
      <c r="G189" s="1289"/>
      <c r="H189" s="1289"/>
      <c r="U189" s="1280"/>
    </row>
    <row r="190" spans="1:21" s="1844" customFormat="1" ht="12.75" hidden="1" x14ac:dyDescent="0.2">
      <c r="E190" s="1839">
        <v>42653</v>
      </c>
      <c r="F190" s="1839"/>
      <c r="G190" s="1289" t="s">
        <v>844</v>
      </c>
      <c r="H190" s="1289"/>
      <c r="U190" s="1280"/>
    </row>
    <row r="191" spans="1:21" s="1844" customFormat="1" ht="12.75" hidden="1" x14ac:dyDescent="0.2">
      <c r="E191" s="1839"/>
      <c r="F191" s="1839"/>
      <c r="G191" s="1289"/>
      <c r="H191" s="1289"/>
      <c r="U191" s="1280"/>
    </row>
    <row r="192" spans="1:21" s="1844" customFormat="1" ht="12.75" hidden="1" x14ac:dyDescent="0.2">
      <c r="E192" s="1839">
        <v>42655</v>
      </c>
      <c r="F192" s="1839"/>
      <c r="G192" s="1289" t="s">
        <v>871</v>
      </c>
      <c r="H192" s="1289"/>
      <c r="U192" s="1280"/>
    </row>
    <row r="193" spans="5:21" s="1844" customFormat="1" ht="12.75" hidden="1" x14ac:dyDescent="0.2">
      <c r="E193" s="1839"/>
      <c r="F193" s="1839"/>
      <c r="G193" s="1289" t="s">
        <v>876</v>
      </c>
      <c r="H193" s="1289"/>
      <c r="U193" s="1280"/>
    </row>
    <row r="194" spans="5:21" s="1844" customFormat="1" ht="12.75" hidden="1" x14ac:dyDescent="0.2">
      <c r="E194" s="1839"/>
      <c r="F194" s="1839"/>
      <c r="G194" s="1289"/>
      <c r="H194" s="1289"/>
      <c r="U194" s="1280"/>
    </row>
    <row r="195" spans="5:21" s="1844" customFormat="1" ht="12.75" hidden="1" x14ac:dyDescent="0.2">
      <c r="E195" s="1839">
        <v>42675</v>
      </c>
      <c r="F195" s="1839"/>
      <c r="G195" s="1289" t="s">
        <v>888</v>
      </c>
      <c r="H195" s="1289"/>
      <c r="U195" s="1280"/>
    </row>
    <row r="196" spans="5:21" s="1844" customFormat="1" ht="12.75" hidden="1" x14ac:dyDescent="0.2">
      <c r="E196" s="1839"/>
      <c r="F196" s="1839"/>
      <c r="G196" s="1289"/>
      <c r="H196" s="1289"/>
      <c r="U196" s="1280"/>
    </row>
    <row r="197" spans="5:21" s="1844" customFormat="1" ht="12.75" hidden="1" x14ac:dyDescent="0.2">
      <c r="E197" s="1839">
        <v>42696</v>
      </c>
      <c r="F197" s="1839"/>
      <c r="G197" s="1289" t="s">
        <v>889</v>
      </c>
      <c r="H197" s="1289"/>
      <c r="U197" s="1280"/>
    </row>
    <row r="198" spans="5:21" s="1844" customFormat="1" ht="12.75" hidden="1" x14ac:dyDescent="0.2">
      <c r="E198" s="1839"/>
      <c r="F198" s="1839"/>
      <c r="G198" s="1289" t="s">
        <v>891</v>
      </c>
      <c r="H198" s="1289"/>
      <c r="U198" s="1280"/>
    </row>
    <row r="199" spans="5:21" s="1844" customFormat="1" ht="12.75" hidden="1" x14ac:dyDescent="0.2">
      <c r="E199" s="1839"/>
      <c r="F199" s="1839"/>
      <c r="G199" s="1289"/>
      <c r="H199" s="1289"/>
      <c r="U199" s="1280"/>
    </row>
    <row r="200" spans="5:21" s="1844" customFormat="1" ht="12.75" hidden="1" x14ac:dyDescent="0.2">
      <c r="E200" s="1840"/>
      <c r="F200" s="1840"/>
      <c r="G200" s="1289"/>
      <c r="H200" s="1289"/>
      <c r="U200" s="1280"/>
    </row>
    <row r="201" spans="5:21" s="1844" customFormat="1" ht="12.75" hidden="1" x14ac:dyDescent="0.2">
      <c r="E201" s="1840"/>
      <c r="F201" s="1840"/>
      <c r="G201" s="1289"/>
      <c r="H201" s="1289"/>
      <c r="U201" s="1280"/>
    </row>
    <row r="202" spans="5:21" s="1844" customFormat="1" ht="12.75" hidden="1" x14ac:dyDescent="0.2">
      <c r="E202" s="1839">
        <v>42702</v>
      </c>
      <c r="F202" s="1839"/>
      <c r="G202" s="1289" t="s">
        <v>896</v>
      </c>
      <c r="H202" s="1289"/>
      <c r="U202" s="1280"/>
    </row>
    <row r="203" spans="5:21" s="1844" customFormat="1" ht="12.75" hidden="1" x14ac:dyDescent="0.2">
      <c r="E203" s="1839"/>
      <c r="F203" s="1839"/>
      <c r="G203" s="1305" t="s">
        <v>897</v>
      </c>
      <c r="H203" s="1289"/>
      <c r="U203" s="1280"/>
    </row>
    <row r="204" spans="5:21" s="1844" customFormat="1" ht="12.75" hidden="1" x14ac:dyDescent="0.2">
      <c r="E204" s="1839">
        <v>42705</v>
      </c>
      <c r="F204" s="1839"/>
      <c r="G204" s="1289" t="s">
        <v>909</v>
      </c>
      <c r="H204" s="1289"/>
      <c r="U204" s="1280"/>
    </row>
    <row r="205" spans="5:21" s="1844" customFormat="1" ht="12.75" hidden="1" x14ac:dyDescent="0.2">
      <c r="E205" s="1839"/>
      <c r="F205" s="1839"/>
      <c r="G205" s="1289" t="s">
        <v>910</v>
      </c>
      <c r="H205" s="1289"/>
      <c r="U205" s="1280"/>
    </row>
    <row r="206" spans="5:21" s="1844" customFormat="1" ht="12.75" hidden="1" x14ac:dyDescent="0.2">
      <c r="E206" s="1839"/>
      <c r="F206" s="1839"/>
      <c r="G206" s="1289"/>
      <c r="H206" s="1289"/>
      <c r="U206" s="1280"/>
    </row>
    <row r="207" spans="5:21" s="1844" customFormat="1" ht="12.75" hidden="1" x14ac:dyDescent="0.2">
      <c r="E207" s="1839">
        <v>42724</v>
      </c>
      <c r="F207" s="1839"/>
      <c r="G207" s="1289" t="s">
        <v>911</v>
      </c>
      <c r="H207" s="1289"/>
      <c r="U207" s="1280"/>
    </row>
    <row r="208" spans="5:21" s="1844" customFormat="1" ht="12.75" hidden="1" x14ac:dyDescent="0.2">
      <c r="E208" s="1839"/>
      <c r="F208" s="1839"/>
      <c r="G208" s="1289"/>
      <c r="H208" s="1289"/>
      <c r="U208" s="1280"/>
    </row>
    <row r="209" spans="5:21" s="1844" customFormat="1" ht="12.75" hidden="1" x14ac:dyDescent="0.2">
      <c r="E209" s="1839"/>
      <c r="F209" s="1839"/>
      <c r="G209" s="1289"/>
      <c r="H209" s="1289"/>
      <c r="U209" s="1280"/>
    </row>
    <row r="210" spans="5:21" s="1844" customFormat="1" ht="12.75" hidden="1" x14ac:dyDescent="0.2">
      <c r="E210" s="1839">
        <v>42746</v>
      </c>
      <c r="F210" s="1839"/>
      <c r="G210" s="1289" t="s">
        <v>918</v>
      </c>
      <c r="H210" s="1289"/>
      <c r="U210" s="1280"/>
    </row>
    <row r="211" spans="5:21" s="1844" customFormat="1" ht="12.75" hidden="1" x14ac:dyDescent="0.2">
      <c r="E211" s="1839"/>
      <c r="F211" s="1839"/>
      <c r="G211" s="1289" t="s">
        <v>915</v>
      </c>
      <c r="H211" s="1289"/>
      <c r="U211" s="1280"/>
    </row>
    <row r="212" spans="5:21" s="1844" customFormat="1" ht="12.75" hidden="1" x14ac:dyDescent="0.2">
      <c r="E212" s="1839"/>
      <c r="F212" s="1839"/>
      <c r="G212" s="1289" t="s">
        <v>916</v>
      </c>
      <c r="H212" s="1289"/>
      <c r="U212" s="1280"/>
    </row>
    <row r="213" spans="5:21" s="1844" customFormat="1" ht="12.75" hidden="1" x14ac:dyDescent="0.2">
      <c r="E213" s="1839"/>
      <c r="F213" s="1839"/>
      <c r="G213" s="1289" t="s">
        <v>917</v>
      </c>
      <c r="H213" s="1289"/>
      <c r="U213" s="1280"/>
    </row>
    <row r="214" spans="5:21" s="1844" customFormat="1" ht="12.75" hidden="1" x14ac:dyDescent="0.2">
      <c r="E214" s="1839"/>
      <c r="F214" s="1839"/>
      <c r="G214" s="1289" t="s">
        <v>921</v>
      </c>
      <c r="H214" s="1289"/>
      <c r="U214" s="1280"/>
    </row>
    <row r="215" spans="5:21" s="1844" customFormat="1" ht="12.75" hidden="1" x14ac:dyDescent="0.2">
      <c r="E215" s="1839"/>
      <c r="F215" s="1839"/>
      <c r="G215" s="1289" t="s">
        <v>932</v>
      </c>
      <c r="H215" s="1289"/>
      <c r="U215" s="1280"/>
    </row>
    <row r="216" spans="5:21" s="1844" customFormat="1" ht="12.75" hidden="1" x14ac:dyDescent="0.2">
      <c r="E216" s="1839"/>
      <c r="F216" s="1839"/>
      <c r="G216" s="1289" t="s">
        <v>934</v>
      </c>
      <c r="H216" s="1289"/>
      <c r="U216" s="1280"/>
    </row>
    <row r="217" spans="5:21" s="1844" customFormat="1" ht="12.75" hidden="1" x14ac:dyDescent="0.2">
      <c r="E217" s="1839"/>
      <c r="F217" s="1839"/>
      <c r="G217" s="1289" t="s">
        <v>935</v>
      </c>
      <c r="H217" s="1289"/>
      <c r="U217" s="1280"/>
    </row>
    <row r="218" spans="5:21" s="1844" customFormat="1" ht="12.75" hidden="1" x14ac:dyDescent="0.2">
      <c r="E218" s="1839"/>
      <c r="F218" s="1839"/>
      <c r="G218" s="1289"/>
      <c r="H218" s="1289"/>
      <c r="U218" s="1280"/>
    </row>
    <row r="219" spans="5:21" s="1844" customFormat="1" ht="12.75" hidden="1" x14ac:dyDescent="0.2">
      <c r="E219" s="1839">
        <v>42786</v>
      </c>
      <c r="F219" s="1839"/>
      <c r="G219" s="1289" t="s">
        <v>943</v>
      </c>
      <c r="H219" s="1289"/>
      <c r="U219" s="1280"/>
    </row>
    <row r="220" spans="5:21" s="1844" customFormat="1" ht="12.75" hidden="1" x14ac:dyDescent="0.2">
      <c r="E220" s="1839"/>
      <c r="F220" s="1839"/>
      <c r="G220" s="1289"/>
      <c r="H220" s="1289"/>
      <c r="U220" s="1280"/>
    </row>
    <row r="221" spans="5:21" s="1844" customFormat="1" ht="12.75" hidden="1" x14ac:dyDescent="0.2">
      <c r="E221" s="1839">
        <v>42810</v>
      </c>
      <c r="F221" s="1839"/>
      <c r="G221" s="1936" t="s">
        <v>955</v>
      </c>
      <c r="H221" s="1289"/>
      <c r="U221" s="1280"/>
    </row>
    <row r="222" spans="5:21" s="1844" customFormat="1" ht="12.75" hidden="1" x14ac:dyDescent="0.2">
      <c r="E222" s="1839"/>
      <c r="F222" s="1839"/>
      <c r="G222" s="1936" t="s">
        <v>956</v>
      </c>
      <c r="H222" s="1289"/>
      <c r="U222" s="1280"/>
    </row>
    <row r="223" spans="5:21" s="1844" customFormat="1" ht="12.75" hidden="1" x14ac:dyDescent="0.2">
      <c r="E223" s="1839"/>
      <c r="F223" s="1839"/>
      <c r="G223" s="1289"/>
      <c r="H223" s="1289"/>
      <c r="U223" s="1280"/>
    </row>
    <row r="224" spans="5:21" s="1844" customFormat="1" ht="12.75" hidden="1" x14ac:dyDescent="0.2">
      <c r="E224" s="1839">
        <v>42825</v>
      </c>
      <c r="F224" s="1839"/>
      <c r="G224" s="1289" t="s">
        <v>957</v>
      </c>
      <c r="H224" s="1289"/>
      <c r="U224" s="1280"/>
    </row>
    <row r="225" spans="5:21" s="1844" customFormat="1" ht="12.75" hidden="1" x14ac:dyDescent="0.2">
      <c r="E225" s="1839"/>
      <c r="F225" s="1839"/>
      <c r="G225" s="1289"/>
      <c r="H225" s="1289"/>
      <c r="U225" s="1280"/>
    </row>
    <row r="226" spans="5:21" s="1844" customFormat="1" ht="12.75" hidden="1" x14ac:dyDescent="0.2">
      <c r="E226" s="1839">
        <v>42880</v>
      </c>
      <c r="F226" s="1839"/>
      <c r="G226" s="1289" t="s">
        <v>961</v>
      </c>
      <c r="H226" s="1289"/>
      <c r="U226" s="1280"/>
    </row>
    <row r="227" spans="5:21" s="1844" customFormat="1" ht="12.75" hidden="1" x14ac:dyDescent="0.2">
      <c r="E227" s="1839"/>
      <c r="F227" s="1839"/>
      <c r="G227" s="1289"/>
      <c r="H227" s="1289"/>
      <c r="U227" s="1280"/>
    </row>
    <row r="228" spans="5:21" s="1844" customFormat="1" ht="12.75" hidden="1" x14ac:dyDescent="0.2">
      <c r="E228" s="1839">
        <v>42947</v>
      </c>
      <c r="F228" s="1839"/>
      <c r="G228" s="1936" t="s">
        <v>962</v>
      </c>
      <c r="H228" s="1936"/>
      <c r="U228" s="1280"/>
    </row>
    <row r="229" spans="5:21" s="1844" customFormat="1" ht="12.75" hidden="1" x14ac:dyDescent="0.2">
      <c r="E229" s="1839"/>
      <c r="F229" s="1839"/>
      <c r="G229" s="1937" t="s">
        <v>1035</v>
      </c>
      <c r="H229" s="1289"/>
      <c r="U229" s="1280"/>
    </row>
    <row r="230" spans="5:21" s="1844" customFormat="1" ht="12.75" hidden="1" x14ac:dyDescent="0.2">
      <c r="E230" s="1839"/>
      <c r="F230" s="1839"/>
      <c r="G230" s="1937" t="s">
        <v>1023</v>
      </c>
      <c r="H230" s="1289"/>
      <c r="U230" s="1280"/>
    </row>
    <row r="231" spans="5:21" s="1844" customFormat="1" ht="12.75" hidden="1" x14ac:dyDescent="0.2">
      <c r="E231" s="1839"/>
      <c r="F231" s="1839"/>
      <c r="G231" s="1938" t="s">
        <v>1013</v>
      </c>
      <c r="H231" s="1289"/>
      <c r="U231" s="1280"/>
    </row>
    <row r="232" spans="5:21" s="1844" customFormat="1" ht="12.75" hidden="1" x14ac:dyDescent="0.2">
      <c r="E232" s="1839"/>
      <c r="F232" s="1839"/>
      <c r="G232" s="1938" t="s">
        <v>1014</v>
      </c>
      <c r="H232" s="1289"/>
      <c r="U232" s="1280"/>
    </row>
    <row r="233" spans="5:21" s="1844" customFormat="1" ht="12.75" hidden="1" x14ac:dyDescent="0.2">
      <c r="E233" s="1939"/>
      <c r="F233" s="1934"/>
      <c r="G233" s="1289" t="s">
        <v>1036</v>
      </c>
      <c r="H233" s="1935"/>
      <c r="U233" s="1280"/>
    </row>
    <row r="234" spans="5:21" s="1844" customFormat="1" ht="12.75" hidden="1" x14ac:dyDescent="0.2">
      <c r="E234" s="1939"/>
      <c r="F234" s="1934"/>
      <c r="G234" s="1289" t="s">
        <v>1037</v>
      </c>
      <c r="H234" s="1935"/>
      <c r="U234" s="1280"/>
    </row>
    <row r="235" spans="5:21" s="1844" customFormat="1" ht="12.75" hidden="1" x14ac:dyDescent="0.2">
      <c r="E235" s="1939"/>
      <c r="F235" s="1934"/>
      <c r="G235" s="1303"/>
      <c r="H235" s="1935"/>
      <c r="U235" s="1280"/>
    </row>
    <row r="236" spans="5:21" s="1844" customFormat="1" ht="12.75" hidden="1" x14ac:dyDescent="0.2">
      <c r="E236" s="1289"/>
      <c r="G236" s="1303"/>
      <c r="H236" s="1935"/>
      <c r="U236" s="1280"/>
    </row>
    <row r="237" spans="5:21" s="1844" customFormat="1" ht="12.75" hidden="1" x14ac:dyDescent="0.2">
      <c r="E237" s="1289">
        <v>42958</v>
      </c>
      <c r="G237" s="1936" t="s">
        <v>1050</v>
      </c>
      <c r="H237" s="1935"/>
      <c r="U237" s="1280"/>
    </row>
    <row r="238" spans="5:21" s="1844" customFormat="1" ht="12.75" hidden="1" x14ac:dyDescent="0.2">
      <c r="E238" s="1289"/>
      <c r="G238" s="1303"/>
      <c r="H238" s="1935"/>
      <c r="U238" s="1280"/>
    </row>
    <row r="239" spans="5:21" s="1844" customFormat="1" ht="12.75" hidden="1" x14ac:dyDescent="0.2">
      <c r="E239" s="1289">
        <v>42965</v>
      </c>
      <c r="G239" s="1303" t="s">
        <v>1066</v>
      </c>
      <c r="H239" s="1935"/>
      <c r="U239" s="1280"/>
    </row>
    <row r="240" spans="5:21" s="1844" customFormat="1" ht="12.75" hidden="1" x14ac:dyDescent="0.2">
      <c r="E240" s="1289"/>
      <c r="G240" s="1303" t="s">
        <v>1067</v>
      </c>
      <c r="H240" s="1935"/>
      <c r="U240" s="1280"/>
    </row>
    <row r="241" spans="5:21" s="1844" customFormat="1" ht="12.75" hidden="1" x14ac:dyDescent="0.2">
      <c r="E241" s="1289"/>
      <c r="G241" s="1303"/>
      <c r="H241" s="1935"/>
      <c r="U241" s="1280"/>
    </row>
    <row r="242" spans="5:21" s="1844" customFormat="1" ht="12.75" hidden="1" x14ac:dyDescent="0.2">
      <c r="E242" s="1289">
        <v>42978</v>
      </c>
      <c r="G242" s="1303" t="s">
        <v>1080</v>
      </c>
      <c r="H242" s="1935"/>
      <c r="U242" s="1280"/>
    </row>
    <row r="243" spans="5:21" s="1844" customFormat="1" ht="12.75" hidden="1" x14ac:dyDescent="0.2">
      <c r="E243" s="1289"/>
      <c r="G243" s="1303"/>
      <c r="H243" s="1935"/>
      <c r="U243" s="1280"/>
    </row>
    <row r="244" spans="5:21" s="1844" customFormat="1" ht="12.75" hidden="1" x14ac:dyDescent="0.2">
      <c r="E244" s="1289">
        <v>42993</v>
      </c>
      <c r="G244" s="1303" t="s">
        <v>1084</v>
      </c>
      <c r="H244" s="1935"/>
      <c r="U244" s="1280"/>
    </row>
    <row r="245" spans="5:21" s="1844" customFormat="1" ht="12.75" hidden="1" x14ac:dyDescent="0.2">
      <c r="E245" s="1289"/>
      <c r="G245" s="1303"/>
      <c r="H245" s="1289"/>
      <c r="U245" s="1280"/>
    </row>
    <row r="246" spans="5:21" s="1844" customFormat="1" ht="12.75" hidden="1" x14ac:dyDescent="0.2">
      <c r="E246" s="1289">
        <v>43000</v>
      </c>
      <c r="G246" s="1303" t="s">
        <v>1086</v>
      </c>
      <c r="H246" s="1289"/>
      <c r="U246" s="1280"/>
    </row>
    <row r="247" spans="5:21" s="1844" customFormat="1" ht="12.75" hidden="1" x14ac:dyDescent="0.2">
      <c r="E247" s="1289"/>
      <c r="G247" s="1303"/>
      <c r="H247" s="1289"/>
      <c r="U247" s="1280"/>
    </row>
    <row r="248" spans="5:21" s="1844" customFormat="1" ht="12.75" hidden="1" x14ac:dyDescent="0.2">
      <c r="E248" s="1289">
        <v>43027</v>
      </c>
      <c r="G248" s="1303" t="s">
        <v>1097</v>
      </c>
      <c r="H248" s="1289"/>
      <c r="U248" s="1280"/>
    </row>
    <row r="249" spans="5:21" s="1844" customFormat="1" ht="12.75" hidden="1" x14ac:dyDescent="0.2">
      <c r="E249" s="1289"/>
      <c r="G249" s="1303" t="s">
        <v>1096</v>
      </c>
      <c r="H249" s="1289"/>
      <c r="U249" s="1280"/>
    </row>
    <row r="250" spans="5:21" s="1844" customFormat="1" ht="12.75" hidden="1" x14ac:dyDescent="0.2">
      <c r="E250" s="1289"/>
      <c r="G250" s="1303" t="s">
        <v>1100</v>
      </c>
      <c r="H250" s="1289"/>
      <c r="U250" s="1280"/>
    </row>
    <row r="251" spans="5:21" s="1844" customFormat="1" ht="12.75" hidden="1" x14ac:dyDescent="0.2">
      <c r="E251" s="1289"/>
      <c r="G251" s="1303" t="s">
        <v>1098</v>
      </c>
      <c r="H251" s="1289"/>
      <c r="U251" s="1280"/>
    </row>
    <row r="252" spans="5:21" s="1844" customFormat="1" ht="12.75" hidden="1" x14ac:dyDescent="0.2">
      <c r="E252" s="1289"/>
      <c r="G252" s="1303"/>
      <c r="H252" s="1289"/>
      <c r="U252" s="1280"/>
    </row>
    <row r="253" spans="5:21" s="1844" customFormat="1" ht="12.75" hidden="1" x14ac:dyDescent="0.2">
      <c r="E253" s="1289">
        <v>43033</v>
      </c>
      <c r="G253" s="1303" t="s">
        <v>1101</v>
      </c>
      <c r="H253" s="1289"/>
      <c r="U253" s="1280"/>
    </row>
    <row r="254" spans="5:21" s="3" customFormat="1" ht="12.75" hidden="1" x14ac:dyDescent="0.2">
      <c r="E254" s="1289"/>
      <c r="F254" s="1844"/>
      <c r="G254" s="1303"/>
      <c r="H254" s="1289"/>
      <c r="U254" s="6"/>
    </row>
    <row r="255" spans="5:21" s="3" customFormat="1" ht="13.5" hidden="1" customHeight="1" x14ac:dyDescent="0.2">
      <c r="E255" s="1289">
        <v>43040</v>
      </c>
      <c r="F255" s="1844"/>
      <c r="G255" s="1303" t="s">
        <v>1113</v>
      </c>
      <c r="H255" s="1289"/>
      <c r="U255" s="6"/>
    </row>
    <row r="256" spans="5:21" s="3" customFormat="1" ht="12.75" hidden="1" x14ac:dyDescent="0.2">
      <c r="E256" s="1289"/>
      <c r="F256" s="1844"/>
      <c r="G256" s="1303"/>
      <c r="H256" s="1289"/>
      <c r="U256" s="6"/>
    </row>
    <row r="257" spans="5:21" s="3" customFormat="1" ht="12.75" hidden="1" x14ac:dyDescent="0.2">
      <c r="E257" s="1289">
        <v>43048</v>
      </c>
      <c r="F257" s="1844"/>
      <c r="G257" s="1940" t="s">
        <v>1122</v>
      </c>
      <c r="H257" s="1289"/>
      <c r="U257" s="6"/>
    </row>
    <row r="258" spans="5:21" s="3" customFormat="1" ht="12.75" hidden="1" x14ac:dyDescent="0.2">
      <c r="E258" s="1289"/>
      <c r="F258" s="1844"/>
      <c r="G258" s="1303" t="s">
        <v>1120</v>
      </c>
      <c r="H258" s="1289"/>
      <c r="U258" s="6"/>
    </row>
    <row r="259" spans="5:21" s="3" customFormat="1" ht="12.75" hidden="1" x14ac:dyDescent="0.2">
      <c r="E259" s="1289"/>
      <c r="F259" s="1844"/>
      <c r="G259" s="1303" t="s">
        <v>1121</v>
      </c>
      <c r="H259" s="1289"/>
      <c r="U259" s="6"/>
    </row>
    <row r="260" spans="5:21" s="3" customFormat="1" ht="12.75" hidden="1" x14ac:dyDescent="0.2">
      <c r="E260" s="1289"/>
      <c r="F260" s="1844"/>
      <c r="G260" s="1303"/>
      <c r="H260" s="1289"/>
      <c r="U260" s="6"/>
    </row>
    <row r="261" spans="5:21" s="3" customFormat="1" ht="12.75" hidden="1" x14ac:dyDescent="0.2">
      <c r="E261" s="1289">
        <v>43053</v>
      </c>
      <c r="F261" s="1844"/>
      <c r="G261" s="1303" t="s">
        <v>1124</v>
      </c>
      <c r="H261" s="1289"/>
      <c r="U261" s="6"/>
    </row>
    <row r="262" spans="5:21" s="3" customFormat="1" ht="12.75" hidden="1" x14ac:dyDescent="0.2">
      <c r="E262" s="1289"/>
      <c r="F262" s="1844"/>
      <c r="G262" s="1303"/>
      <c r="H262" s="1289"/>
      <c r="U262" s="6"/>
    </row>
    <row r="263" spans="5:21" s="3" customFormat="1" ht="12.75" hidden="1" x14ac:dyDescent="0.2">
      <c r="E263" s="1289">
        <v>43084</v>
      </c>
      <c r="F263" s="1844"/>
      <c r="G263" s="1303" t="s">
        <v>1127</v>
      </c>
      <c r="H263" s="1289"/>
      <c r="I263" s="1303"/>
      <c r="U263" s="6"/>
    </row>
    <row r="264" spans="5:21" s="3" customFormat="1" ht="12.75" hidden="1" x14ac:dyDescent="0.2">
      <c r="E264" s="1289"/>
      <c r="F264" s="1844"/>
      <c r="G264" s="1303"/>
      <c r="H264" s="1289"/>
      <c r="U264" s="6"/>
    </row>
    <row r="265" spans="5:21" s="3" customFormat="1" ht="12.75" hidden="1" x14ac:dyDescent="0.2">
      <c r="E265" s="1289">
        <v>43140</v>
      </c>
      <c r="F265" s="1844"/>
      <c r="G265" s="1303" t="s">
        <v>1128</v>
      </c>
      <c r="H265" s="1289"/>
      <c r="U265" s="6"/>
    </row>
    <row r="266" spans="5:21" s="3" customFormat="1" ht="12.75" hidden="1" x14ac:dyDescent="0.2">
      <c r="E266" s="1289"/>
      <c r="F266" s="1844"/>
      <c r="G266" s="1303"/>
      <c r="H266" s="1289"/>
      <c r="U266" s="6"/>
    </row>
    <row r="267" spans="5:21" s="3" customFormat="1" ht="12.75" hidden="1" x14ac:dyDescent="0.2">
      <c r="E267" s="1289">
        <v>43160</v>
      </c>
      <c r="F267" s="1844"/>
      <c r="G267" s="1303" t="s">
        <v>1141</v>
      </c>
      <c r="H267" s="1289"/>
      <c r="U267" s="6"/>
    </row>
    <row r="268" spans="5:21" s="3" customFormat="1" ht="12.75" hidden="1" x14ac:dyDescent="0.2">
      <c r="E268" s="1289"/>
      <c r="F268" s="1844"/>
      <c r="G268" s="1303" t="s">
        <v>1142</v>
      </c>
      <c r="H268" s="1289"/>
      <c r="U268" s="6"/>
    </row>
    <row r="269" spans="5:21" s="3" customFormat="1" ht="12.75" hidden="1" x14ac:dyDescent="0.2">
      <c r="E269" s="1289"/>
      <c r="F269" s="1844"/>
      <c r="G269" s="1303" t="s">
        <v>1143</v>
      </c>
      <c r="H269" s="1289"/>
      <c r="U269" s="6"/>
    </row>
    <row r="270" spans="5:21" s="3" customFormat="1" ht="12.75" hidden="1" x14ac:dyDescent="0.2">
      <c r="E270" s="1289"/>
      <c r="F270" s="1844"/>
      <c r="G270" s="1303"/>
      <c r="H270" s="1289"/>
      <c r="U270" s="6"/>
    </row>
    <row r="271" spans="5:21" s="3" customFormat="1" ht="12.75" hidden="1" x14ac:dyDescent="0.2">
      <c r="E271" s="1289">
        <v>43235</v>
      </c>
      <c r="F271" s="1844"/>
      <c r="G271" s="1303" t="s">
        <v>1145</v>
      </c>
      <c r="H271" s="1289"/>
      <c r="U271" s="6"/>
    </row>
    <row r="272" spans="5:21" s="3" customFormat="1" ht="12.75" hidden="1" x14ac:dyDescent="0.2">
      <c r="E272" s="1289"/>
      <c r="F272" s="1844"/>
      <c r="G272" s="1303"/>
      <c r="H272" s="1289"/>
      <c r="U272" s="6"/>
    </row>
    <row r="273" spans="5:21" s="3" customFormat="1" ht="12.75" hidden="1" x14ac:dyDescent="0.2">
      <c r="E273" s="1289">
        <v>43252</v>
      </c>
      <c r="F273" s="1844"/>
      <c r="G273" s="1303" t="s">
        <v>1149</v>
      </c>
      <c r="H273" s="1289"/>
      <c r="U273" s="6"/>
    </row>
    <row r="274" spans="5:21" s="3" customFormat="1" ht="12.75" hidden="1" x14ac:dyDescent="0.2">
      <c r="E274" s="1289"/>
      <c r="F274" s="1844"/>
      <c r="G274" s="1303"/>
      <c r="H274" s="1289"/>
      <c r="U274" s="6"/>
    </row>
    <row r="275" spans="5:21" s="3" customFormat="1" ht="12.75" hidden="1" x14ac:dyDescent="0.2">
      <c r="E275" s="1289">
        <v>43281</v>
      </c>
      <c r="F275" s="1844"/>
      <c r="G275" s="1303" t="s">
        <v>1151</v>
      </c>
      <c r="H275" s="1289"/>
      <c r="U275" s="6"/>
    </row>
    <row r="276" spans="5:21" s="3" customFormat="1" ht="12.75" hidden="1" x14ac:dyDescent="0.2">
      <c r="E276" s="1289"/>
      <c r="F276" s="1844"/>
      <c r="G276" s="1303"/>
      <c r="H276" s="1289"/>
      <c r="U276" s="6"/>
    </row>
    <row r="277" spans="5:21" s="3" customFormat="1" ht="12.75" hidden="1" x14ac:dyDescent="0.2">
      <c r="E277" s="1289">
        <v>43327</v>
      </c>
      <c r="F277" s="1844"/>
      <c r="G277" s="1303" t="s">
        <v>1153</v>
      </c>
      <c r="H277" s="1289"/>
      <c r="U277" s="6"/>
    </row>
    <row r="278" spans="5:21" s="3" customFormat="1" ht="12.75" hidden="1" x14ac:dyDescent="0.2">
      <c r="E278" s="1289"/>
      <c r="F278" s="1844"/>
      <c r="G278" s="1303" t="s">
        <v>1160</v>
      </c>
      <c r="H278" s="1289"/>
      <c r="U278" s="6"/>
    </row>
    <row r="279" spans="5:21" s="3" customFormat="1" ht="12.75" hidden="1" x14ac:dyDescent="0.2">
      <c r="E279" s="1289"/>
      <c r="F279" s="1844"/>
      <c r="G279" s="1303" t="s">
        <v>1161</v>
      </c>
      <c r="H279" s="1289"/>
      <c r="U279" s="6"/>
    </row>
    <row r="280" spans="5:21" s="3" customFormat="1" ht="12.75" hidden="1" x14ac:dyDescent="0.2">
      <c r="E280" s="1289"/>
      <c r="F280" s="1844"/>
      <c r="G280" s="1303" t="s">
        <v>1169</v>
      </c>
      <c r="H280" s="1289"/>
      <c r="U280" s="6"/>
    </row>
    <row r="281" spans="5:21" s="3" customFormat="1" ht="12.75" hidden="1" x14ac:dyDescent="0.2">
      <c r="E281" s="1289"/>
      <c r="F281" s="1844"/>
      <c r="G281" s="1303" t="s">
        <v>1170</v>
      </c>
      <c r="H281" s="1289"/>
      <c r="U281" s="6"/>
    </row>
    <row r="282" spans="5:21" s="3" customFormat="1" ht="12.75" hidden="1" x14ac:dyDescent="0.2">
      <c r="E282" s="1289">
        <v>43434</v>
      </c>
      <c r="F282" s="1844"/>
      <c r="G282" s="1303" t="s">
        <v>1173</v>
      </c>
      <c r="H282" s="1289"/>
      <c r="U282" s="6"/>
    </row>
    <row r="283" spans="5:21" s="3" customFormat="1" ht="12.75" hidden="1" x14ac:dyDescent="0.2">
      <c r="E283" s="1289"/>
      <c r="F283" s="1844"/>
      <c r="G283" s="1303"/>
      <c r="H283" s="1289"/>
      <c r="U283" s="6"/>
    </row>
    <row r="284" spans="5:21" s="3" customFormat="1" ht="12.75" hidden="1" x14ac:dyDescent="0.2">
      <c r="E284" s="1289">
        <v>43448</v>
      </c>
      <c r="F284" s="1844"/>
      <c r="G284" s="1303" t="s">
        <v>1174</v>
      </c>
      <c r="H284" s="1289"/>
      <c r="U284" s="6"/>
    </row>
    <row r="285" spans="5:21" s="3" customFormat="1" ht="12.75" hidden="1" x14ac:dyDescent="0.2">
      <c r="E285" s="1289"/>
      <c r="F285" s="1844"/>
      <c r="G285" s="1303"/>
      <c r="H285" s="1289"/>
      <c r="U285" s="6"/>
    </row>
    <row r="286" spans="5:21" s="3" customFormat="1" ht="12.75" hidden="1" x14ac:dyDescent="0.2">
      <c r="E286" s="1289">
        <v>43534</v>
      </c>
      <c r="F286" s="1844"/>
      <c r="G286" s="1303" t="s">
        <v>1177</v>
      </c>
      <c r="H286" s="1289"/>
      <c r="U286" s="6"/>
    </row>
    <row r="287" spans="5:21" s="3" customFormat="1" ht="12.75" hidden="1" x14ac:dyDescent="0.2">
      <c r="E287" s="1289"/>
      <c r="F287" s="1844"/>
      <c r="G287" s="1303"/>
      <c r="H287" s="1289"/>
      <c r="U287" s="6"/>
    </row>
    <row r="288" spans="5:21" s="3" customFormat="1" ht="12.75" hidden="1" x14ac:dyDescent="0.2">
      <c r="E288" s="1289">
        <v>43556</v>
      </c>
      <c r="F288" s="1844"/>
      <c r="G288" s="1303" t="s">
        <v>1181</v>
      </c>
      <c r="H288" s="1289"/>
      <c r="U288" s="6"/>
    </row>
    <row r="289" spans="5:21" s="3" customFormat="1" ht="12.75" hidden="1" x14ac:dyDescent="0.2">
      <c r="E289" s="1289"/>
      <c r="F289" s="1844"/>
      <c r="G289" s="1303"/>
      <c r="H289" s="1289"/>
      <c r="U289" s="6"/>
    </row>
    <row r="290" spans="5:21" s="3" customFormat="1" ht="12.75" hidden="1" x14ac:dyDescent="0.2">
      <c r="E290" s="1289">
        <v>43661</v>
      </c>
      <c r="F290" s="1844"/>
      <c r="G290" s="1303" t="s">
        <v>1184</v>
      </c>
      <c r="H290" s="1289"/>
      <c r="U290" s="6"/>
    </row>
    <row r="291" spans="5:21" s="3" customFormat="1" ht="12.75" hidden="1" x14ac:dyDescent="0.2">
      <c r="E291" s="1289"/>
      <c r="F291" s="1844"/>
      <c r="G291" s="1303" t="s">
        <v>1187</v>
      </c>
      <c r="H291" s="1289"/>
      <c r="U291" s="6"/>
    </row>
    <row r="292" spans="5:21" s="3" customFormat="1" ht="12.75" hidden="1" x14ac:dyDescent="0.2">
      <c r="E292" s="1289"/>
      <c r="F292" s="1844"/>
      <c r="G292" s="1303"/>
      <c r="H292" s="1289"/>
      <c r="U292" s="6"/>
    </row>
    <row r="293" spans="5:21" s="3" customFormat="1" ht="12.75" hidden="1" x14ac:dyDescent="0.2">
      <c r="E293" s="1289"/>
      <c r="F293" s="1844"/>
      <c r="G293" s="1303"/>
      <c r="H293" s="1289"/>
      <c r="U293" s="6"/>
    </row>
    <row r="294" spans="5:21" s="3" customFormat="1" ht="12.75" hidden="1" x14ac:dyDescent="0.2">
      <c r="E294" s="1289">
        <v>43769</v>
      </c>
      <c r="F294" s="1844"/>
      <c r="G294" s="1303" t="s">
        <v>1191</v>
      </c>
      <c r="H294" s="1289"/>
      <c r="U294" s="6"/>
    </row>
    <row r="295" spans="5:21" s="3" customFormat="1" ht="12.75" hidden="1" x14ac:dyDescent="0.2">
      <c r="E295" s="1289"/>
      <c r="F295" s="1844"/>
      <c r="G295" s="1303" t="s">
        <v>1192</v>
      </c>
      <c r="H295" s="1289"/>
      <c r="U295" s="6"/>
    </row>
    <row r="296" spans="5:21" s="3" customFormat="1" ht="12.75" hidden="1" x14ac:dyDescent="0.2">
      <c r="E296" s="1837"/>
      <c r="F296" s="1132"/>
      <c r="G296" s="1303" t="s">
        <v>1199</v>
      </c>
      <c r="H296" s="1289"/>
      <c r="U296" s="6"/>
    </row>
    <row r="297" spans="5:21" s="3" customFormat="1" ht="12.75" hidden="1" x14ac:dyDescent="0.2">
      <c r="E297" s="1289"/>
      <c r="F297" s="1844"/>
      <c r="G297" s="1303"/>
      <c r="H297" s="1289"/>
      <c r="U297" s="6"/>
    </row>
    <row r="298" spans="5:21" s="3" customFormat="1" ht="12.75" hidden="1" x14ac:dyDescent="0.2">
      <c r="E298" s="1289">
        <v>44053</v>
      </c>
      <c r="F298" s="1844"/>
      <c r="G298" s="1303" t="s">
        <v>1215</v>
      </c>
      <c r="H298" s="1289"/>
      <c r="U298" s="6"/>
    </row>
    <row r="299" spans="5:21" s="3" customFormat="1" ht="12.75" hidden="1" x14ac:dyDescent="0.2">
      <c r="E299" s="1289"/>
      <c r="F299" s="1844"/>
      <c r="G299" s="1303" t="s">
        <v>1216</v>
      </c>
      <c r="H299" s="1289"/>
      <c r="U299" s="6"/>
    </row>
    <row r="300" spans="5:21" s="3" customFormat="1" ht="12.75" hidden="1" x14ac:dyDescent="0.2">
      <c r="E300" s="1289"/>
      <c r="F300" s="1844"/>
      <c r="G300" s="1303" t="s">
        <v>1220</v>
      </c>
      <c r="H300" s="1289"/>
      <c r="U300" s="6"/>
    </row>
    <row r="301" spans="5:21" s="3" customFormat="1" ht="12.75" hidden="1" x14ac:dyDescent="0.2">
      <c r="E301" s="1289"/>
      <c r="F301" s="1844"/>
      <c r="G301" s="1303"/>
      <c r="H301" s="1289"/>
      <c r="U301" s="6"/>
    </row>
    <row r="302" spans="5:21" s="3" customFormat="1" ht="12.75" hidden="1" x14ac:dyDescent="0.2">
      <c r="E302" s="1289">
        <v>44069</v>
      </c>
      <c r="F302" s="1844"/>
      <c r="G302" s="1303" t="s">
        <v>1226</v>
      </c>
      <c r="H302" s="1289"/>
      <c r="U302" s="6"/>
    </row>
    <row r="303" spans="5:21" s="3" customFormat="1" ht="12.75" hidden="1" x14ac:dyDescent="0.2">
      <c r="E303" s="1289"/>
      <c r="F303" s="1844"/>
      <c r="G303" s="1303" t="s">
        <v>1227</v>
      </c>
      <c r="H303" s="1289"/>
      <c r="U303" s="6"/>
    </row>
    <row r="304" spans="5:21" s="3" customFormat="1" ht="12.75" hidden="1" x14ac:dyDescent="0.2">
      <c r="E304" s="1289"/>
      <c r="F304" s="1844"/>
      <c r="G304" s="1303"/>
      <c r="H304" s="1289"/>
      <c r="U304" s="6"/>
    </row>
    <row r="305" spans="5:21" s="3" customFormat="1" ht="12.75" hidden="1" x14ac:dyDescent="0.2">
      <c r="E305" s="1289"/>
      <c r="F305" s="1844"/>
      <c r="G305" s="1303"/>
      <c r="H305" s="1289"/>
      <c r="U305" s="6"/>
    </row>
    <row r="306" spans="5:21" s="3" customFormat="1" ht="12.75" hidden="1" x14ac:dyDescent="0.2">
      <c r="E306" s="1289"/>
      <c r="F306" s="1844"/>
      <c r="G306" s="1303"/>
      <c r="H306" s="1289"/>
      <c r="U306" s="6"/>
    </row>
    <row r="307" spans="5:21" s="3" customFormat="1" ht="12.75" hidden="1" x14ac:dyDescent="0.2">
      <c r="E307" s="1289"/>
      <c r="F307" s="1844"/>
      <c r="G307" s="1303"/>
      <c r="H307" s="1289"/>
      <c r="U307" s="6"/>
    </row>
    <row r="308" spans="5:21" s="3" customFormat="1" ht="12.75" hidden="1" x14ac:dyDescent="0.2">
      <c r="E308" s="1289"/>
      <c r="F308" s="1844"/>
      <c r="G308" s="1303"/>
      <c r="H308" s="1289"/>
      <c r="U308" s="6"/>
    </row>
    <row r="309" spans="5:21" s="3" customFormat="1" ht="12.75" hidden="1" x14ac:dyDescent="0.2">
      <c r="E309" s="1289"/>
      <c r="F309" s="1844"/>
      <c r="G309" s="1303"/>
      <c r="H309" s="1289"/>
      <c r="U309" s="6"/>
    </row>
    <row r="310" spans="5:21" s="3" customFormat="1" ht="12.75" x14ac:dyDescent="0.2">
      <c r="E310" s="1289"/>
      <c r="F310" s="1844"/>
      <c r="G310" s="1303"/>
      <c r="H310" s="1289"/>
      <c r="U310" s="6"/>
    </row>
    <row r="311" spans="5:21" s="3" customFormat="1" ht="12.75" x14ac:dyDescent="0.2">
      <c r="E311" s="1289"/>
      <c r="F311" s="1844"/>
      <c r="G311" s="1303"/>
      <c r="H311" s="1289"/>
      <c r="U311" s="6"/>
    </row>
    <row r="312" spans="5:21" s="3" customFormat="1" ht="12.75" x14ac:dyDescent="0.2">
      <c r="E312" s="1289"/>
      <c r="F312" s="1844"/>
      <c r="G312" s="1303"/>
      <c r="H312" s="1289"/>
      <c r="U312" s="6"/>
    </row>
    <row r="313" spans="5:21" s="3" customFormat="1" ht="12.75" x14ac:dyDescent="0.2">
      <c r="E313" s="1289"/>
      <c r="F313" s="1844"/>
      <c r="G313" s="1303"/>
      <c r="H313" s="1289"/>
      <c r="U313" s="6"/>
    </row>
    <row r="314" spans="5:21" s="3" customFormat="1" ht="12.75" x14ac:dyDescent="0.2">
      <c r="E314" s="1289"/>
      <c r="F314" s="1844"/>
      <c r="G314" s="1303"/>
      <c r="H314" s="1289"/>
      <c r="U314" s="6"/>
    </row>
    <row r="315" spans="5:21" s="3" customFormat="1" ht="12.75" x14ac:dyDescent="0.2">
      <c r="E315" s="1289"/>
      <c r="F315" s="1844"/>
      <c r="G315" s="1303"/>
      <c r="H315" s="1289"/>
      <c r="U315" s="6"/>
    </row>
    <row r="316" spans="5:21" s="3" customFormat="1" ht="12.75" x14ac:dyDescent="0.2">
      <c r="E316" s="1289"/>
      <c r="F316" s="1844"/>
      <c r="G316" s="1303"/>
      <c r="H316" s="1289"/>
      <c r="U316" s="6"/>
    </row>
    <row r="317" spans="5:21" s="3" customFormat="1" ht="12.75" x14ac:dyDescent="0.2">
      <c r="E317" s="1289"/>
      <c r="F317" s="1844"/>
      <c r="G317" s="1303"/>
      <c r="H317" s="1289"/>
      <c r="U317" s="6"/>
    </row>
    <row r="318" spans="5:21" s="3" customFormat="1" ht="12.75" x14ac:dyDescent="0.2">
      <c r="E318" s="1289"/>
      <c r="F318" s="1844"/>
      <c r="G318" s="1303"/>
      <c r="H318" s="1289"/>
      <c r="U318" s="6"/>
    </row>
    <row r="319" spans="5:21" s="3" customFormat="1" ht="12.75" x14ac:dyDescent="0.2">
      <c r="E319" s="1289"/>
      <c r="F319" s="1844"/>
      <c r="G319" s="1303"/>
      <c r="H319" s="1289"/>
      <c r="U319" s="6"/>
    </row>
    <row r="320" spans="5:21" s="3" customFormat="1" ht="12.75" x14ac:dyDescent="0.2">
      <c r="E320" s="1289"/>
      <c r="F320" s="1844"/>
      <c r="G320" s="1303"/>
      <c r="H320" s="1289"/>
      <c r="U320" s="6"/>
    </row>
    <row r="321" spans="5:21" s="3" customFormat="1" ht="12.75" x14ac:dyDescent="0.2">
      <c r="E321" s="1289"/>
      <c r="F321" s="1844"/>
      <c r="G321" s="1303"/>
      <c r="H321" s="1289"/>
      <c r="U321" s="6"/>
    </row>
    <row r="322" spans="5:21" s="3" customFormat="1" ht="12.75" x14ac:dyDescent="0.2">
      <c r="E322" s="1289"/>
      <c r="F322" s="1844"/>
      <c r="G322" s="1303"/>
      <c r="H322" s="1289"/>
      <c r="U322" s="6"/>
    </row>
    <row r="323" spans="5:21" s="3" customFormat="1" ht="12.75" x14ac:dyDescent="0.2">
      <c r="E323" s="1289"/>
      <c r="F323" s="1844"/>
      <c r="G323" s="1303"/>
      <c r="H323" s="1289"/>
      <c r="U323" s="6"/>
    </row>
    <row r="324" spans="5:21" s="3" customFormat="1" ht="12.75" x14ac:dyDescent="0.2">
      <c r="E324" s="1289"/>
      <c r="F324" s="1844"/>
      <c r="G324" s="1303"/>
      <c r="H324" s="1289"/>
      <c r="U324" s="6"/>
    </row>
    <row r="325" spans="5:21" s="3" customFormat="1" ht="12.75" x14ac:dyDescent="0.2">
      <c r="E325" s="1289"/>
      <c r="F325" s="1844"/>
      <c r="G325" s="1303"/>
      <c r="H325" s="1289"/>
      <c r="U325" s="6"/>
    </row>
    <row r="326" spans="5:21" s="3" customFormat="1" ht="12.75" x14ac:dyDescent="0.2">
      <c r="E326" s="1289"/>
      <c r="F326" s="1844"/>
      <c r="G326" s="1303"/>
      <c r="H326" s="1289"/>
      <c r="U326" s="6"/>
    </row>
    <row r="327" spans="5:21" s="3" customFormat="1" ht="12.75" x14ac:dyDescent="0.2">
      <c r="E327" s="1289"/>
      <c r="F327" s="1844"/>
      <c r="G327" s="1303"/>
      <c r="H327" s="1289"/>
      <c r="U327" s="6"/>
    </row>
    <row r="328" spans="5:21" s="3" customFormat="1" ht="12.75" x14ac:dyDescent="0.2">
      <c r="E328" s="1289"/>
      <c r="F328" s="1844"/>
      <c r="G328" s="1303"/>
      <c r="H328" s="1289"/>
      <c r="U328" s="6"/>
    </row>
    <row r="329" spans="5:21" s="3" customFormat="1" ht="12.75" x14ac:dyDescent="0.2">
      <c r="E329" s="1289"/>
      <c r="F329" s="1844"/>
      <c r="G329" s="1303"/>
      <c r="H329" s="1289"/>
      <c r="U329" s="6"/>
    </row>
    <row r="330" spans="5:21" s="3" customFormat="1" ht="12.75" x14ac:dyDescent="0.2">
      <c r="E330" s="1289"/>
      <c r="F330" s="1844"/>
      <c r="G330" s="1303"/>
      <c r="H330" s="1289"/>
      <c r="U330" s="6"/>
    </row>
    <row r="331" spans="5:21" s="3" customFormat="1" ht="12.75" x14ac:dyDescent="0.2">
      <c r="E331" s="1289"/>
      <c r="F331" s="1844"/>
      <c r="G331" s="1303"/>
      <c r="H331" s="1289"/>
      <c r="U331" s="6"/>
    </row>
    <row r="332" spans="5:21" s="3" customFormat="1" ht="12.75" x14ac:dyDescent="0.2">
      <c r="E332" s="1289"/>
      <c r="F332" s="1844"/>
      <c r="G332" s="1303"/>
      <c r="H332" s="1289"/>
      <c r="U332" s="6"/>
    </row>
    <row r="333" spans="5:21" s="3" customFormat="1" ht="12.75" x14ac:dyDescent="0.2">
      <c r="E333" s="1289"/>
      <c r="F333" s="1844"/>
      <c r="G333" s="1303"/>
      <c r="H333" s="1289"/>
      <c r="U333" s="6"/>
    </row>
    <row r="334" spans="5:21" s="3" customFormat="1" ht="12.75" x14ac:dyDescent="0.2">
      <c r="E334" s="1289"/>
      <c r="F334" s="1844"/>
      <c r="G334" s="1303"/>
      <c r="H334" s="1289"/>
      <c r="U334" s="6"/>
    </row>
    <row r="335" spans="5:21" s="3" customFormat="1" ht="12.75" x14ac:dyDescent="0.2">
      <c r="E335" s="1289"/>
      <c r="F335" s="1844"/>
      <c r="G335" s="1303"/>
      <c r="H335" s="1289"/>
      <c r="U335" s="6"/>
    </row>
    <row r="336" spans="5:21" s="3" customFormat="1" ht="12.75" x14ac:dyDescent="0.2">
      <c r="E336" s="1289"/>
      <c r="F336" s="1844"/>
      <c r="G336" s="1303"/>
      <c r="H336" s="1289"/>
      <c r="U336" s="6"/>
    </row>
    <row r="337" spans="5:21" s="3" customFormat="1" ht="12.75" x14ac:dyDescent="0.2">
      <c r="E337" s="1289"/>
      <c r="F337" s="1844"/>
      <c r="G337" s="1303"/>
      <c r="H337" s="1289"/>
      <c r="U337" s="6"/>
    </row>
    <row r="338" spans="5:21" s="3" customFormat="1" ht="12.75" x14ac:dyDescent="0.2">
      <c r="E338" s="1289"/>
      <c r="F338" s="1844"/>
      <c r="G338" s="1303"/>
      <c r="H338" s="1289"/>
      <c r="U338" s="6"/>
    </row>
    <row r="339" spans="5:21" s="3" customFormat="1" ht="12.75" x14ac:dyDescent="0.2">
      <c r="E339" s="1289"/>
      <c r="F339" s="1844"/>
      <c r="G339" s="1303"/>
      <c r="H339" s="1289"/>
      <c r="U339" s="6"/>
    </row>
    <row r="340" spans="5:21" s="3" customFormat="1" ht="12.75" x14ac:dyDescent="0.2">
      <c r="E340" s="1289"/>
      <c r="F340" s="1844"/>
      <c r="G340" s="1303"/>
      <c r="H340" s="1289"/>
      <c r="U340" s="6"/>
    </row>
    <row r="341" spans="5:21" s="3" customFormat="1" ht="12.75" x14ac:dyDescent="0.2">
      <c r="E341" s="1289"/>
      <c r="F341" s="1844"/>
      <c r="G341" s="1303"/>
      <c r="H341" s="1289"/>
      <c r="U341" s="6"/>
    </row>
    <row r="342" spans="5:21" s="3" customFormat="1" ht="12.75" x14ac:dyDescent="0.2">
      <c r="E342" s="1289"/>
      <c r="F342" s="1844"/>
      <c r="G342" s="1303"/>
      <c r="H342" s="1289"/>
      <c r="U342" s="6"/>
    </row>
    <row r="343" spans="5:21" s="3" customFormat="1" ht="12.75" x14ac:dyDescent="0.2">
      <c r="E343" s="1289"/>
      <c r="F343" s="1844"/>
      <c r="G343" s="1303"/>
      <c r="H343" s="1289"/>
      <c r="U343" s="6"/>
    </row>
    <row r="344" spans="5:21" s="3" customFormat="1" ht="12.75" x14ac:dyDescent="0.2">
      <c r="E344" s="1289"/>
      <c r="F344" s="1844"/>
      <c r="G344" s="1303"/>
      <c r="H344" s="1289"/>
      <c r="U344" s="6"/>
    </row>
    <row r="345" spans="5:21" s="3" customFormat="1" ht="12.75" x14ac:dyDescent="0.2">
      <c r="E345" s="1289"/>
      <c r="F345" s="1844"/>
      <c r="G345" s="1303"/>
      <c r="H345" s="1289"/>
      <c r="U345" s="6"/>
    </row>
    <row r="346" spans="5:21" s="3" customFormat="1" ht="12.75" x14ac:dyDescent="0.2">
      <c r="E346" s="1289"/>
      <c r="F346" s="1844"/>
      <c r="G346" s="1303"/>
      <c r="H346" s="1289"/>
      <c r="U346" s="6"/>
    </row>
    <row r="347" spans="5:21" s="3" customFormat="1" ht="12.75" x14ac:dyDescent="0.2">
      <c r="E347" s="1289"/>
      <c r="F347" s="1844"/>
      <c r="G347" s="1303"/>
      <c r="H347" s="1289"/>
      <c r="U347" s="6"/>
    </row>
    <row r="348" spans="5:21" s="3" customFormat="1" ht="12.75" x14ac:dyDescent="0.2">
      <c r="E348" s="1289"/>
      <c r="F348" s="1844"/>
      <c r="G348" s="1303"/>
      <c r="H348" s="1289"/>
      <c r="U348" s="6"/>
    </row>
    <row r="349" spans="5:21" s="3" customFormat="1" ht="12.75" x14ac:dyDescent="0.2">
      <c r="E349" s="1289"/>
      <c r="F349" s="1844"/>
      <c r="G349" s="1303"/>
      <c r="H349" s="1289"/>
      <c r="U349" s="6"/>
    </row>
    <row r="350" spans="5:21" s="3" customFormat="1" ht="12.75" x14ac:dyDescent="0.2">
      <c r="E350" s="1289"/>
      <c r="F350" s="1844"/>
      <c r="G350" s="1303"/>
      <c r="H350" s="1289"/>
      <c r="U350" s="6"/>
    </row>
    <row r="351" spans="5:21" s="3" customFormat="1" ht="12.75" x14ac:dyDescent="0.2">
      <c r="E351" s="1289"/>
      <c r="F351" s="1844"/>
      <c r="G351" s="1303"/>
      <c r="H351" s="1289"/>
      <c r="U351" s="6"/>
    </row>
    <row r="352" spans="5:21" s="3" customFormat="1" ht="12.75" x14ac:dyDescent="0.2">
      <c r="E352" s="1289"/>
      <c r="F352" s="1844"/>
      <c r="G352" s="1303"/>
      <c r="H352" s="1289"/>
      <c r="U352" s="6"/>
    </row>
    <row r="353" spans="5:21" s="3" customFormat="1" ht="12.75" x14ac:dyDescent="0.2">
      <c r="E353" s="1289"/>
      <c r="F353" s="1844"/>
      <c r="G353" s="1303"/>
      <c r="H353" s="1289"/>
      <c r="U353" s="6"/>
    </row>
    <row r="354" spans="5:21" s="3" customFormat="1" ht="12.75" x14ac:dyDescent="0.2">
      <c r="E354" s="1289"/>
      <c r="F354" s="1844"/>
      <c r="G354" s="1303"/>
      <c r="H354" s="1289"/>
      <c r="U354" s="6"/>
    </row>
    <row r="355" spans="5:21" s="3" customFormat="1" ht="12.75" x14ac:dyDescent="0.2">
      <c r="E355" s="1289"/>
      <c r="F355" s="1844"/>
      <c r="G355" s="1303"/>
      <c r="H355" s="1289"/>
      <c r="U355" s="6"/>
    </row>
    <row r="356" spans="5:21" s="3" customFormat="1" ht="12.75" x14ac:dyDescent="0.2">
      <c r="E356" s="1289"/>
      <c r="F356" s="1844"/>
      <c r="G356" s="1303"/>
      <c r="H356" s="1289"/>
      <c r="U356" s="6"/>
    </row>
    <row r="357" spans="5:21" s="3" customFormat="1" ht="12.75" x14ac:dyDescent="0.2">
      <c r="E357" s="1289"/>
      <c r="F357" s="1844"/>
      <c r="G357" s="1303"/>
      <c r="H357" s="1289"/>
      <c r="U357" s="6"/>
    </row>
    <row r="358" spans="5:21" s="3" customFormat="1" ht="12.75" x14ac:dyDescent="0.2">
      <c r="E358" s="1289"/>
      <c r="F358" s="1844"/>
      <c r="G358" s="1303"/>
      <c r="H358" s="1289"/>
      <c r="U358" s="6"/>
    </row>
    <row r="359" spans="5:21" s="3" customFormat="1" ht="12.75" x14ac:dyDescent="0.2">
      <c r="E359" s="1289"/>
      <c r="F359" s="1844"/>
      <c r="G359" s="1303"/>
      <c r="H359" s="1289"/>
      <c r="U359" s="6"/>
    </row>
    <row r="360" spans="5:21" s="3" customFormat="1" ht="12.75" x14ac:dyDescent="0.2">
      <c r="E360" s="1289"/>
      <c r="F360" s="1844"/>
      <c r="G360" s="1303"/>
      <c r="H360" s="1289"/>
      <c r="U360" s="6"/>
    </row>
    <row r="361" spans="5:21" s="3" customFormat="1" ht="12.75" x14ac:dyDescent="0.2">
      <c r="E361" s="1289"/>
      <c r="F361" s="1844"/>
      <c r="G361" s="1303"/>
      <c r="H361" s="1289"/>
      <c r="U361" s="6"/>
    </row>
    <row r="362" spans="5:21" s="3" customFormat="1" ht="12.75" x14ac:dyDescent="0.2">
      <c r="E362" s="1289"/>
      <c r="F362" s="1844"/>
      <c r="G362" s="1303"/>
      <c r="H362" s="1289"/>
      <c r="U362" s="6"/>
    </row>
    <row r="363" spans="5:21" s="3" customFormat="1" ht="12.75" x14ac:dyDescent="0.2">
      <c r="E363" s="1289"/>
      <c r="F363" s="1844"/>
      <c r="G363" s="1303"/>
      <c r="H363" s="1289"/>
      <c r="U363" s="6"/>
    </row>
    <row r="364" spans="5:21" s="3" customFormat="1" ht="12.75" x14ac:dyDescent="0.2">
      <c r="E364" s="1289"/>
      <c r="F364" s="1844"/>
      <c r="G364" s="1303"/>
      <c r="H364" s="1289"/>
      <c r="U364" s="6"/>
    </row>
    <row r="365" spans="5:21" s="3" customFormat="1" ht="12.75" x14ac:dyDescent="0.2">
      <c r="E365" s="1289"/>
      <c r="F365" s="1844"/>
      <c r="G365" s="1303"/>
      <c r="H365" s="1289"/>
      <c r="U365" s="6"/>
    </row>
    <row r="366" spans="5:21" s="3" customFormat="1" ht="12.75" x14ac:dyDescent="0.2">
      <c r="E366" s="1289"/>
      <c r="F366" s="1844"/>
      <c r="G366" s="1303"/>
      <c r="H366" s="1289"/>
      <c r="U366" s="6"/>
    </row>
    <row r="367" spans="5:21" s="3" customFormat="1" ht="12.75" x14ac:dyDescent="0.2">
      <c r="E367" s="1289"/>
      <c r="F367" s="1844"/>
      <c r="G367" s="1303"/>
      <c r="H367" s="1289"/>
      <c r="U367" s="6"/>
    </row>
    <row r="368" spans="5:21" s="3" customFormat="1" ht="12.75" x14ac:dyDescent="0.2">
      <c r="E368" s="1289"/>
      <c r="F368" s="1844"/>
      <c r="G368" s="1303"/>
      <c r="H368" s="1289"/>
      <c r="U368" s="6"/>
    </row>
    <row r="369" spans="5:21" s="3" customFormat="1" ht="12.75" x14ac:dyDescent="0.2">
      <c r="E369" s="1289"/>
      <c r="F369" s="1844"/>
      <c r="G369" s="1303"/>
      <c r="H369" s="1289"/>
      <c r="U369" s="6"/>
    </row>
    <row r="370" spans="5:21" s="3" customFormat="1" ht="12.75" x14ac:dyDescent="0.2">
      <c r="E370" s="1289"/>
      <c r="F370" s="1844"/>
      <c r="G370" s="1303"/>
      <c r="H370" s="1289"/>
      <c r="U370" s="6"/>
    </row>
    <row r="371" spans="5:21" s="3" customFormat="1" ht="12.75" x14ac:dyDescent="0.2">
      <c r="E371" s="1289"/>
      <c r="F371" s="1844"/>
      <c r="G371" s="1303"/>
      <c r="H371" s="1289"/>
      <c r="U371" s="6"/>
    </row>
    <row r="372" spans="5:21" s="3" customFormat="1" ht="12.75" x14ac:dyDescent="0.2">
      <c r="E372" s="1289"/>
      <c r="F372" s="1844"/>
      <c r="G372" s="1303"/>
      <c r="H372" s="1289"/>
      <c r="U372" s="6"/>
    </row>
    <row r="373" spans="5:21" s="3" customFormat="1" ht="12.75" x14ac:dyDescent="0.2">
      <c r="E373" s="1289"/>
      <c r="F373" s="1844"/>
      <c r="G373" s="1303"/>
      <c r="H373" s="1289"/>
      <c r="U373" s="6"/>
    </row>
    <row r="374" spans="5:21" s="3" customFormat="1" ht="12.75" x14ac:dyDescent="0.2">
      <c r="E374" s="1289"/>
      <c r="F374" s="1844"/>
      <c r="G374" s="1303"/>
      <c r="H374" s="1289"/>
      <c r="U374" s="6"/>
    </row>
    <row r="375" spans="5:21" s="3" customFormat="1" ht="12.75" x14ac:dyDescent="0.2">
      <c r="E375" s="1289"/>
      <c r="F375" s="1844"/>
      <c r="G375" s="1303"/>
      <c r="H375" s="1289"/>
      <c r="U375" s="6"/>
    </row>
    <row r="376" spans="5:21" s="3" customFormat="1" ht="12.75" x14ac:dyDescent="0.2">
      <c r="E376" s="1289"/>
      <c r="F376" s="1844"/>
      <c r="G376" s="1303"/>
      <c r="H376" s="1289"/>
      <c r="U376" s="6"/>
    </row>
    <row r="377" spans="5:21" s="3" customFormat="1" ht="12.75" x14ac:dyDescent="0.2">
      <c r="E377" s="1289"/>
      <c r="F377" s="1844"/>
      <c r="G377" s="1303"/>
      <c r="H377" s="1289"/>
      <c r="U377" s="6"/>
    </row>
    <row r="378" spans="5:21" s="3" customFormat="1" ht="12.75" x14ac:dyDescent="0.2">
      <c r="E378" s="1289"/>
      <c r="F378" s="1844"/>
      <c r="G378" s="1303"/>
      <c r="H378" s="1289"/>
      <c r="U378" s="6"/>
    </row>
    <row r="379" spans="5:21" s="3" customFormat="1" ht="12.75" x14ac:dyDescent="0.2">
      <c r="E379" s="1289"/>
      <c r="F379" s="1844"/>
      <c r="G379" s="1303"/>
      <c r="H379" s="1289"/>
      <c r="U379" s="6"/>
    </row>
    <row r="380" spans="5:21" s="3" customFormat="1" ht="12.75" x14ac:dyDescent="0.2">
      <c r="E380" s="1289"/>
      <c r="F380" s="1844"/>
      <c r="G380" s="1303"/>
      <c r="H380" s="1289"/>
      <c r="U380" s="6"/>
    </row>
    <row r="381" spans="5:21" s="3" customFormat="1" ht="12.75" x14ac:dyDescent="0.2">
      <c r="E381" s="1289"/>
      <c r="F381" s="1844"/>
      <c r="G381" s="1303"/>
      <c r="H381" s="1289"/>
      <c r="U381" s="6"/>
    </row>
    <row r="382" spans="5:21" s="3" customFormat="1" ht="12.75" x14ac:dyDescent="0.2">
      <c r="E382" s="1289"/>
      <c r="F382" s="1844"/>
      <c r="G382" s="1303"/>
      <c r="H382" s="1289"/>
      <c r="U382" s="6"/>
    </row>
    <row r="383" spans="5:21" s="3" customFormat="1" ht="12.75" x14ac:dyDescent="0.2">
      <c r="E383" s="1289"/>
      <c r="F383" s="1844"/>
      <c r="G383" s="1303"/>
      <c r="H383" s="1289"/>
      <c r="U383" s="6"/>
    </row>
    <row r="384" spans="5:21" s="3" customFormat="1" ht="12.75" x14ac:dyDescent="0.2">
      <c r="E384" s="1289"/>
      <c r="F384" s="1844"/>
      <c r="G384" s="1303"/>
      <c r="H384" s="1289"/>
      <c r="U384" s="6"/>
    </row>
    <row r="385" spans="5:21" s="3" customFormat="1" ht="12.75" x14ac:dyDescent="0.2">
      <c r="E385" s="1289"/>
      <c r="F385" s="1844"/>
      <c r="G385" s="1303"/>
      <c r="H385" s="1289"/>
      <c r="U385" s="6"/>
    </row>
    <row r="386" spans="5:21" s="3" customFormat="1" ht="12.75" x14ac:dyDescent="0.2">
      <c r="E386" s="1289"/>
      <c r="F386" s="1844"/>
      <c r="G386" s="1303"/>
      <c r="H386" s="1289"/>
      <c r="U386" s="6"/>
    </row>
    <row r="387" spans="5:21" s="3" customFormat="1" ht="12.75" x14ac:dyDescent="0.2">
      <c r="E387" s="1289"/>
      <c r="F387" s="1844"/>
      <c r="G387" s="1303"/>
      <c r="H387" s="1289"/>
      <c r="U387" s="6"/>
    </row>
    <row r="388" spans="5:21" s="3" customFormat="1" ht="12.75" x14ac:dyDescent="0.2">
      <c r="E388" s="1289"/>
      <c r="F388" s="1844"/>
      <c r="G388" s="1303"/>
      <c r="H388" s="1289"/>
      <c r="U388" s="6"/>
    </row>
    <row r="389" spans="5:21" s="3" customFormat="1" ht="12.75" x14ac:dyDescent="0.2">
      <c r="E389" s="1289"/>
      <c r="F389" s="1844"/>
      <c r="G389" s="1303"/>
      <c r="H389" s="1289"/>
      <c r="U389" s="6"/>
    </row>
    <row r="390" spans="5:21" s="3" customFormat="1" ht="12.75" x14ac:dyDescent="0.2">
      <c r="E390" s="1289"/>
      <c r="F390" s="1844"/>
      <c r="G390" s="1303"/>
      <c r="H390" s="1289"/>
      <c r="U390" s="6"/>
    </row>
    <row r="391" spans="5:21" s="3" customFormat="1" ht="12.75" x14ac:dyDescent="0.2">
      <c r="E391" s="1289"/>
      <c r="F391" s="1844"/>
      <c r="G391" s="1303"/>
      <c r="H391" s="1289"/>
      <c r="U391" s="6"/>
    </row>
    <row r="392" spans="5:21" s="3" customFormat="1" ht="12.75" x14ac:dyDescent="0.2">
      <c r="E392" s="1289"/>
      <c r="F392" s="1844"/>
      <c r="G392" s="1303"/>
      <c r="H392" s="1289"/>
      <c r="U392" s="6"/>
    </row>
    <row r="393" spans="5:21" s="3" customFormat="1" ht="12.75" x14ac:dyDescent="0.2">
      <c r="E393" s="1289"/>
      <c r="F393" s="1844"/>
      <c r="G393" s="1303"/>
      <c r="H393" s="1289"/>
      <c r="U393" s="6"/>
    </row>
    <row r="394" spans="5:21" s="3" customFormat="1" ht="12.75" x14ac:dyDescent="0.2">
      <c r="E394" s="1289"/>
      <c r="F394" s="1844"/>
      <c r="G394" s="1303"/>
      <c r="H394" s="1289"/>
      <c r="U394" s="6"/>
    </row>
    <row r="395" spans="5:21" s="3" customFormat="1" ht="12.75" x14ac:dyDescent="0.2">
      <c r="E395" s="1289"/>
      <c r="F395" s="1844"/>
      <c r="G395" s="1303"/>
      <c r="H395" s="1289"/>
      <c r="U395" s="6"/>
    </row>
    <row r="396" spans="5:21" s="3" customFormat="1" ht="12.75" x14ac:dyDescent="0.2">
      <c r="E396" s="1289"/>
      <c r="F396" s="1844"/>
      <c r="G396" s="1303"/>
      <c r="H396" s="1289"/>
      <c r="U396" s="6"/>
    </row>
    <row r="397" spans="5:21" s="3" customFormat="1" ht="12.75" x14ac:dyDescent="0.2">
      <c r="E397" s="1289"/>
      <c r="F397" s="1844"/>
      <c r="G397" s="1303"/>
      <c r="H397" s="1289"/>
      <c r="U397" s="6"/>
    </row>
    <row r="398" spans="5:21" s="3" customFormat="1" ht="12.75" x14ac:dyDescent="0.2">
      <c r="E398" s="1289"/>
      <c r="F398" s="1844"/>
      <c r="G398" s="1303"/>
      <c r="H398" s="1289"/>
      <c r="U398" s="6"/>
    </row>
    <row r="399" spans="5:21" s="3" customFormat="1" ht="12.75" x14ac:dyDescent="0.2">
      <c r="E399" s="1289"/>
      <c r="F399" s="1844"/>
      <c r="G399" s="1303"/>
      <c r="H399" s="1289"/>
      <c r="U399" s="6"/>
    </row>
    <row r="400" spans="5:21" s="3" customFormat="1" ht="12.75" x14ac:dyDescent="0.2">
      <c r="E400" s="1289"/>
      <c r="F400" s="1844"/>
      <c r="G400" s="1303"/>
      <c r="H400" s="1289"/>
      <c r="U400" s="6"/>
    </row>
    <row r="401" spans="5:21" s="3" customFormat="1" ht="12.75" x14ac:dyDescent="0.2">
      <c r="E401" s="1289"/>
      <c r="F401" s="1844"/>
      <c r="G401" s="1303"/>
      <c r="H401" s="1289"/>
      <c r="U401" s="6"/>
    </row>
    <row r="402" spans="5:21" s="3" customFormat="1" ht="12.75" x14ac:dyDescent="0.2">
      <c r="E402" s="1289"/>
      <c r="F402" s="1844"/>
      <c r="G402" s="1303"/>
      <c r="H402" s="1289"/>
      <c r="U402" s="6"/>
    </row>
    <row r="403" spans="5:21" s="3" customFormat="1" ht="12.75" x14ac:dyDescent="0.2">
      <c r="E403" s="1289"/>
      <c r="F403" s="1844"/>
      <c r="G403" s="1303"/>
      <c r="H403" s="1289"/>
      <c r="U403" s="6"/>
    </row>
    <row r="404" spans="5:21" s="3" customFormat="1" ht="12.75" x14ac:dyDescent="0.2">
      <c r="E404" s="1289"/>
      <c r="F404" s="1844"/>
      <c r="G404" s="1303"/>
      <c r="H404" s="1289"/>
      <c r="U404" s="6"/>
    </row>
    <row r="405" spans="5:21" s="3" customFormat="1" ht="12.75" x14ac:dyDescent="0.2">
      <c r="E405" s="1289"/>
      <c r="F405" s="1844"/>
      <c r="G405" s="1303"/>
      <c r="H405" s="1289"/>
      <c r="U405" s="6"/>
    </row>
    <row r="406" spans="5:21" s="3" customFormat="1" ht="12.75" x14ac:dyDescent="0.2">
      <c r="E406" s="1289"/>
      <c r="F406" s="1844"/>
      <c r="G406" s="1303"/>
      <c r="H406" s="1289"/>
      <c r="U406" s="6"/>
    </row>
    <row r="407" spans="5:21" s="3" customFormat="1" ht="12.75" x14ac:dyDescent="0.2">
      <c r="E407" s="1289"/>
      <c r="F407" s="1844"/>
      <c r="G407" s="1303"/>
      <c r="H407" s="1289"/>
      <c r="U407" s="6"/>
    </row>
    <row r="408" spans="5:21" s="3" customFormat="1" ht="12.75" x14ac:dyDescent="0.2">
      <c r="E408" s="1289"/>
      <c r="F408" s="1844"/>
      <c r="G408" s="1303"/>
      <c r="H408" s="1289"/>
      <c r="U408" s="6"/>
    </row>
    <row r="409" spans="5:21" s="3" customFormat="1" ht="12.75" x14ac:dyDescent="0.2">
      <c r="E409" s="1289"/>
      <c r="F409" s="1844"/>
      <c r="G409" s="1303"/>
      <c r="H409" s="1289"/>
      <c r="U409" s="6"/>
    </row>
    <row r="410" spans="5:21" s="3" customFormat="1" ht="12.75" x14ac:dyDescent="0.2">
      <c r="E410" s="1289"/>
      <c r="F410" s="1844"/>
      <c r="G410" s="1303"/>
      <c r="H410" s="1289"/>
      <c r="U410" s="6"/>
    </row>
    <row r="411" spans="5:21" s="3" customFormat="1" ht="12.75" x14ac:dyDescent="0.2">
      <c r="E411" s="1289"/>
      <c r="F411" s="1844"/>
      <c r="G411" s="1303"/>
      <c r="H411" s="1289"/>
      <c r="U411" s="6"/>
    </row>
    <row r="412" spans="5:21" s="3" customFormat="1" ht="12.75" x14ac:dyDescent="0.2">
      <c r="E412" s="1289"/>
      <c r="F412" s="1844"/>
      <c r="G412" s="1303"/>
      <c r="H412" s="1289"/>
      <c r="U412" s="6"/>
    </row>
    <row r="413" spans="5:21" s="3" customFormat="1" ht="12.75" x14ac:dyDescent="0.2">
      <c r="E413" s="1289"/>
      <c r="F413" s="1844"/>
      <c r="G413" s="1303"/>
      <c r="H413" s="1289"/>
      <c r="U413" s="6"/>
    </row>
    <row r="414" spans="5:21" s="3" customFormat="1" ht="12.75" x14ac:dyDescent="0.2">
      <c r="E414" s="1289"/>
      <c r="F414" s="1844"/>
      <c r="G414" s="1303"/>
      <c r="H414" s="1289"/>
      <c r="U414" s="6"/>
    </row>
    <row r="415" spans="5:21" s="3" customFormat="1" ht="12.75" x14ac:dyDescent="0.2">
      <c r="E415" s="1289"/>
      <c r="F415" s="1844"/>
      <c r="G415" s="1303"/>
      <c r="H415" s="1289"/>
      <c r="U415" s="6"/>
    </row>
    <row r="416" spans="5:21" s="3" customFormat="1" ht="12.75" x14ac:dyDescent="0.2">
      <c r="E416" s="1289"/>
      <c r="F416" s="1844"/>
      <c r="G416" s="1303"/>
      <c r="H416" s="1289"/>
      <c r="U416" s="6"/>
    </row>
    <row r="417" spans="5:21" s="3" customFormat="1" ht="12.75" x14ac:dyDescent="0.2">
      <c r="E417" s="1289"/>
      <c r="F417" s="1844"/>
      <c r="G417" s="1303"/>
      <c r="H417" s="1289"/>
      <c r="U417" s="6"/>
    </row>
    <row r="418" spans="5:21" s="3" customFormat="1" ht="12.75" x14ac:dyDescent="0.2">
      <c r="E418" s="1289"/>
      <c r="F418" s="1844"/>
      <c r="G418" s="1303"/>
      <c r="H418" s="1289"/>
      <c r="U418" s="6"/>
    </row>
    <row r="419" spans="5:21" s="3" customFormat="1" ht="12.75" x14ac:dyDescent="0.2">
      <c r="E419" s="1289"/>
      <c r="F419" s="1844"/>
      <c r="G419" s="1303"/>
      <c r="H419" s="1289"/>
      <c r="U419" s="6"/>
    </row>
    <row r="420" spans="5:21" s="3" customFormat="1" ht="12.75" x14ac:dyDescent="0.2">
      <c r="E420" s="1289"/>
      <c r="F420" s="1844"/>
      <c r="G420" s="1303"/>
      <c r="H420" s="1289"/>
      <c r="U420" s="6"/>
    </row>
    <row r="421" spans="5:21" s="3" customFormat="1" ht="12.75" x14ac:dyDescent="0.2">
      <c r="E421" s="1289"/>
      <c r="F421" s="1844"/>
      <c r="G421" s="1303"/>
      <c r="H421" s="1289"/>
      <c r="U421" s="6"/>
    </row>
    <row r="422" spans="5:21" s="3" customFormat="1" ht="12.75" x14ac:dyDescent="0.2">
      <c r="E422" s="1289"/>
      <c r="F422" s="1844"/>
      <c r="G422" s="1303"/>
      <c r="H422" s="1289"/>
      <c r="U422" s="6"/>
    </row>
    <row r="423" spans="5:21" s="3" customFormat="1" ht="12.75" x14ac:dyDescent="0.2">
      <c r="E423" s="1289"/>
      <c r="F423" s="1844"/>
      <c r="G423" s="1303"/>
      <c r="H423" s="1289"/>
      <c r="U423" s="6"/>
    </row>
    <row r="424" spans="5:21" s="3" customFormat="1" ht="12.75" x14ac:dyDescent="0.2">
      <c r="E424" s="1289"/>
      <c r="F424" s="1844"/>
      <c r="G424" s="1303"/>
      <c r="H424" s="1289"/>
      <c r="U424" s="6"/>
    </row>
    <row r="425" spans="5:21" s="3" customFormat="1" ht="12.75" x14ac:dyDescent="0.2">
      <c r="E425" s="1289"/>
      <c r="F425" s="1844"/>
      <c r="G425" s="1303"/>
      <c r="H425" s="1289"/>
      <c r="U425" s="6"/>
    </row>
    <row r="426" spans="5:21" s="3" customFormat="1" ht="12.75" x14ac:dyDescent="0.2">
      <c r="E426" s="1289"/>
      <c r="F426" s="1844"/>
      <c r="G426" s="1303"/>
      <c r="H426" s="1289"/>
      <c r="U426" s="6"/>
    </row>
    <row r="427" spans="5:21" s="3" customFormat="1" ht="12.75" x14ac:dyDescent="0.2">
      <c r="E427" s="1289"/>
      <c r="F427" s="1844"/>
      <c r="G427" s="1303"/>
      <c r="H427" s="1289"/>
      <c r="U427" s="6"/>
    </row>
    <row r="428" spans="5:21" s="3" customFormat="1" ht="12.75" x14ac:dyDescent="0.2">
      <c r="E428" s="1289"/>
      <c r="F428" s="1844"/>
      <c r="G428" s="1303"/>
      <c r="H428" s="1289"/>
      <c r="U428" s="6"/>
    </row>
    <row r="429" spans="5:21" s="3" customFormat="1" ht="12.75" x14ac:dyDescent="0.2">
      <c r="U429" s="6"/>
    </row>
    <row r="430" spans="5:21" s="3" customFormat="1" ht="12.75" x14ac:dyDescent="0.2">
      <c r="U430" s="6"/>
    </row>
    <row r="431" spans="5:21" s="3" customFormat="1" ht="12.75" x14ac:dyDescent="0.2">
      <c r="U431" s="6"/>
    </row>
    <row r="432" spans="5:21" s="3" customFormat="1" ht="12.75" x14ac:dyDescent="0.2">
      <c r="U432" s="6"/>
    </row>
    <row r="433" spans="21:21" s="3" customFormat="1" ht="12.75" x14ac:dyDescent="0.2">
      <c r="U433" s="6"/>
    </row>
    <row r="434" spans="21:21" s="3" customFormat="1" ht="12.75" x14ac:dyDescent="0.2">
      <c r="U434" s="6"/>
    </row>
    <row r="435" spans="21:21" s="3" customFormat="1" ht="12.75" x14ac:dyDescent="0.2">
      <c r="U435" s="6"/>
    </row>
    <row r="436" spans="21:21" s="3" customFormat="1" ht="12.75" x14ac:dyDescent="0.2">
      <c r="U436" s="6"/>
    </row>
    <row r="437" spans="21:21" s="3" customFormat="1" ht="12.75" x14ac:dyDescent="0.2">
      <c r="U437" s="6"/>
    </row>
    <row r="438" spans="21:21" s="3" customFormat="1" ht="12.75" x14ac:dyDescent="0.2">
      <c r="U438" s="6"/>
    </row>
  </sheetData>
  <sheetProtection formatRows="0" selectLockedCells="1"/>
  <mergeCells count="107">
    <mergeCell ref="C76:G76"/>
    <mergeCell ref="C36:D36"/>
    <mergeCell ref="A77:A159"/>
    <mergeCell ref="J43:S43"/>
    <mergeCell ref="J42:S42"/>
    <mergeCell ref="J51:S51"/>
    <mergeCell ref="J54:S54"/>
    <mergeCell ref="E49:I49"/>
    <mergeCell ref="E51:I51"/>
    <mergeCell ref="J44:S44"/>
    <mergeCell ref="C52:S52"/>
    <mergeCell ref="J45:S45"/>
    <mergeCell ref="J46:S46"/>
    <mergeCell ref="J47:S47"/>
    <mergeCell ref="J67:S67"/>
    <mergeCell ref="J64:S64"/>
    <mergeCell ref="J63:S63"/>
    <mergeCell ref="C66:H66"/>
    <mergeCell ref="C67:H67"/>
    <mergeCell ref="J61:S61"/>
    <mergeCell ref="J65:S65"/>
    <mergeCell ref="J66:S66"/>
    <mergeCell ref="C68:H68"/>
    <mergeCell ref="F122:J122"/>
    <mergeCell ref="C71:S71"/>
    <mergeCell ref="C22:D22"/>
    <mergeCell ref="C35:D35"/>
    <mergeCell ref="C24:D24"/>
    <mergeCell ref="C34:D34"/>
    <mergeCell ref="C32:D32"/>
    <mergeCell ref="C33:D33"/>
    <mergeCell ref="C25:D25"/>
    <mergeCell ref="C23:D23"/>
    <mergeCell ref="J70:S70"/>
    <mergeCell ref="J53:S53"/>
    <mergeCell ref="J55:S55"/>
    <mergeCell ref="J56:S56"/>
    <mergeCell ref="I65:I70"/>
    <mergeCell ref="C69:H69"/>
    <mergeCell ref="C61:I61"/>
    <mergeCell ref="C60:I60"/>
    <mergeCell ref="C70:H70"/>
    <mergeCell ref="C53:I53"/>
    <mergeCell ref="C59:I59"/>
    <mergeCell ref="C56:I56"/>
    <mergeCell ref="C55:I55"/>
    <mergeCell ref="J68:S68"/>
    <mergeCell ref="J69:S69"/>
    <mergeCell ref="D6:D12"/>
    <mergeCell ref="C9:C12"/>
    <mergeCell ref="C13:E13"/>
    <mergeCell ref="C31:D31"/>
    <mergeCell ref="C28:D28"/>
    <mergeCell ref="C29:D29"/>
    <mergeCell ref="C26:D26"/>
    <mergeCell ref="C27:D27"/>
    <mergeCell ref="A4:A12"/>
    <mergeCell ref="C16:D16"/>
    <mergeCell ref="C15:D15"/>
    <mergeCell ref="C21:D21"/>
    <mergeCell ref="C19:D19"/>
    <mergeCell ref="C17:D17"/>
    <mergeCell ref="C18:D18"/>
    <mergeCell ref="C20:D20"/>
    <mergeCell ref="C5:S5"/>
    <mergeCell ref="G8:I8"/>
    <mergeCell ref="Q9:S9"/>
    <mergeCell ref="Q8:S8"/>
    <mergeCell ref="K11:N11"/>
    <mergeCell ref="G9:I9"/>
    <mergeCell ref="Q6:R7"/>
    <mergeCell ref="C4:S4"/>
    <mergeCell ref="F11:J11"/>
    <mergeCell ref="O11:R11"/>
    <mergeCell ref="F6:F9"/>
    <mergeCell ref="F10:J10"/>
    <mergeCell ref="G7:P7"/>
    <mergeCell ref="G6:P6"/>
    <mergeCell ref="O10:S10"/>
    <mergeCell ref="K10:N10"/>
    <mergeCell ref="E46:I46"/>
    <mergeCell ref="E45:I45"/>
    <mergeCell ref="E44:I44"/>
    <mergeCell ref="C64:I64"/>
    <mergeCell ref="C63:I63"/>
    <mergeCell ref="U30:U31"/>
    <mergeCell ref="V54:AE54"/>
    <mergeCell ref="J62:S62"/>
    <mergeCell ref="J59:S59"/>
    <mergeCell ref="J60:S60"/>
    <mergeCell ref="U32:U33"/>
    <mergeCell ref="U34:U35"/>
    <mergeCell ref="J48:S48"/>
    <mergeCell ref="J49:S49"/>
    <mergeCell ref="J50:S50"/>
    <mergeCell ref="E38:S38"/>
    <mergeCell ref="J57:S57"/>
    <mergeCell ref="J58:S58"/>
    <mergeCell ref="C58:I58"/>
    <mergeCell ref="C62:I62"/>
    <mergeCell ref="E43:I43"/>
    <mergeCell ref="E47:I47"/>
    <mergeCell ref="C54:I54"/>
    <mergeCell ref="C57:I57"/>
    <mergeCell ref="C30:D30"/>
    <mergeCell ref="E50:I50"/>
    <mergeCell ref="C48:I48"/>
  </mergeCells>
  <conditionalFormatting sqref="G13:J36 L13:N36 P13:R36">
    <cfRule type="expression" dxfId="1702" priority="119">
      <formula>G$12="No"</formula>
    </cfRule>
  </conditionalFormatting>
  <conditionalFormatting sqref="E6">
    <cfRule type="cellIs" dxfId="1701" priority="209" operator="equal">
      <formula>"Choose from Drop Down"</formula>
    </cfRule>
  </conditionalFormatting>
  <conditionalFormatting sqref="E8">
    <cfRule type="cellIs" dxfId="1700" priority="208" operator="equal">
      <formula>"Choose from Drop Down"</formula>
    </cfRule>
  </conditionalFormatting>
  <conditionalFormatting sqref="F12:J12">
    <cfRule type="expression" dxfId="1699" priority="103">
      <formula>$F$11="No reports or Conceptualization Apply"</formula>
    </cfRule>
  </conditionalFormatting>
  <conditionalFormatting sqref="F13:F36">
    <cfRule type="expression" dxfId="1698" priority="123">
      <formula>$F$12="No"</formula>
    </cfRule>
  </conditionalFormatting>
  <conditionalFormatting sqref="G13:G36">
    <cfRule type="expression" dxfId="1697" priority="124">
      <formula>$G$12="No"</formula>
    </cfRule>
  </conditionalFormatting>
  <conditionalFormatting sqref="H13:H36">
    <cfRule type="expression" dxfId="1696" priority="125">
      <formula>$H$12="no"</formula>
    </cfRule>
  </conditionalFormatting>
  <conditionalFormatting sqref="I13:I36">
    <cfRule type="expression" dxfId="1695" priority="126">
      <formula>$I$12="No"</formula>
    </cfRule>
  </conditionalFormatting>
  <conditionalFormatting sqref="U11">
    <cfRule type="containsText" dxfId="1694" priority="145" operator="containsText" text="CHECK">
      <formula>NOT(ISERROR(SEARCH("CHECK",U11)))</formula>
    </cfRule>
  </conditionalFormatting>
  <conditionalFormatting sqref="O21:R21">
    <cfRule type="expression" dxfId="1693" priority="86">
      <formula>$O$11="Construction does not apply"</formula>
    </cfRule>
  </conditionalFormatting>
  <conditionalFormatting sqref="G13:I13">
    <cfRule type="cellIs" dxfId="1692" priority="122" operator="equal">
      <formula>"Choose Report Phase"</formula>
    </cfRule>
  </conditionalFormatting>
  <conditionalFormatting sqref="F13:J13">
    <cfRule type="expression" dxfId="1691" priority="102">
      <formula>$F$11="Conceptualization"</formula>
    </cfRule>
    <cfRule type="expression" dxfId="1690" priority="112">
      <formula>$F$11="Conceptualization Only"</formula>
    </cfRule>
    <cfRule type="expression" dxfId="1689" priority="113">
      <formula>OR($F$11="Feasibility Study",$F$11="Conceptualization Only")</formula>
    </cfRule>
  </conditionalFormatting>
  <conditionalFormatting sqref="K11:R11">
    <cfRule type="expression" dxfId="1688" priority="141">
      <formula>$S$11="&lt;--Error"</formula>
    </cfRule>
  </conditionalFormatting>
  <conditionalFormatting sqref="S11">
    <cfRule type="cellIs" dxfId="1687" priority="105" operator="equal">
      <formula>"&lt;--CHECK"</formula>
    </cfRule>
    <cfRule type="cellIs" dxfId="1686" priority="121" operator="equal">
      <formula>"&lt;--Error"</formula>
    </cfRule>
  </conditionalFormatting>
  <conditionalFormatting sqref="F16:S16 F18:S18 F20:S20 F22:S22 F24:S24 F26:S26 F28:S28 F30:S30 F32:S32 F34:S34 F36:S36">
    <cfRule type="expression" dxfId="1685" priority="116">
      <formula>$C16="No"</formula>
    </cfRule>
  </conditionalFormatting>
  <conditionalFormatting sqref="E16:S17">
    <cfRule type="expression" dxfId="1684" priority="148">
      <formula>$C$16="no"</formula>
    </cfRule>
  </conditionalFormatting>
  <conditionalFormatting sqref="E18:S19">
    <cfRule type="expression" dxfId="1683" priority="149">
      <formula>$C$18="no"</formula>
    </cfRule>
  </conditionalFormatting>
  <conditionalFormatting sqref="E20:S21">
    <cfRule type="expression" dxfId="1682" priority="151">
      <formula>$C$20="no"</formula>
    </cfRule>
  </conditionalFormatting>
  <conditionalFormatting sqref="E22:S23">
    <cfRule type="expression" dxfId="1681" priority="152">
      <formula>$C$22="no"</formula>
    </cfRule>
  </conditionalFormatting>
  <conditionalFormatting sqref="E24:S25">
    <cfRule type="expression" dxfId="1680" priority="154">
      <formula>$C$24="no"</formula>
    </cfRule>
  </conditionalFormatting>
  <conditionalFormatting sqref="E30:S31">
    <cfRule type="expression" dxfId="1679" priority="140">
      <formula>$C$30="no"</formula>
    </cfRule>
  </conditionalFormatting>
  <conditionalFormatting sqref="E32:S33">
    <cfRule type="expression" dxfId="1678" priority="258">
      <formula>$C$32="no"</formula>
    </cfRule>
  </conditionalFormatting>
  <conditionalFormatting sqref="E34:S35">
    <cfRule type="expression" dxfId="1677" priority="281">
      <formula>$C$34="no"</formula>
    </cfRule>
  </conditionalFormatting>
  <conditionalFormatting sqref="C6">
    <cfRule type="cellIs" dxfId="1676" priority="111" operator="equal">
      <formula>"##/##/####"</formula>
    </cfRule>
  </conditionalFormatting>
  <conditionalFormatting sqref="C8">
    <cfRule type="cellIs" dxfId="1675" priority="110" operator="equal">
      <formula>"####"</formula>
    </cfRule>
  </conditionalFormatting>
  <conditionalFormatting sqref="G6:P6">
    <cfRule type="cellIs" dxfId="1674" priority="109" operator="equal">
      <formula>"Insert Project Name"</formula>
    </cfRule>
  </conditionalFormatting>
  <conditionalFormatting sqref="F13 J13">
    <cfRule type="expression" dxfId="1673" priority="114">
      <formula>$F$11="Investigation/Memo/Short Report"</formula>
    </cfRule>
  </conditionalFormatting>
  <conditionalFormatting sqref="F13:R16 F18:R18 F20:R20 F22:R22 F24:R24 F26:R26 F28:R28 F30:R30 F32:R32 F34:R34 F36:R36">
    <cfRule type="expression" dxfId="1672" priority="117">
      <formula>F$12="no"</formula>
    </cfRule>
  </conditionalFormatting>
  <conditionalFormatting sqref="E126:E130">
    <cfRule type="expression" dxfId="1671" priority="101">
      <formula>$F$11="Conceptualization"</formula>
    </cfRule>
  </conditionalFormatting>
  <conditionalFormatting sqref="S6">
    <cfRule type="containsText" dxfId="1670" priority="99" operator="containsText" text="Insert">
      <formula>NOT(ISERROR(SEARCH("Insert",S6)))</formula>
    </cfRule>
    <cfRule type="containsText" dxfId="1669" priority="100" operator="containsText" text="#">
      <formula>NOT(ISERROR(SEARCH("#",S6)))</formula>
    </cfRule>
  </conditionalFormatting>
  <conditionalFormatting sqref="K11:R11">
    <cfRule type="expression" dxfId="1668" priority="98">
      <formula>$S$11="&lt;--Check"</formula>
    </cfRule>
  </conditionalFormatting>
  <conditionalFormatting sqref="G8:I8">
    <cfRule type="containsText" dxfId="1667" priority="91" operator="containsText" text="Name">
      <formula>NOT(ISERROR(SEARCH("Name",G8)))</formula>
    </cfRule>
  </conditionalFormatting>
  <conditionalFormatting sqref="J54:S54">
    <cfRule type="cellIs" dxfId="1666" priority="90" operator="equal">
      <formula>"Design or Construction Project CD contents :"</formula>
    </cfRule>
  </conditionalFormatting>
  <conditionalFormatting sqref="K8 M8 O8">
    <cfRule type="containsText" dxfId="1665" priority="87" operator="containsText" text="Select">
      <formula>NOT(ISERROR(SEARCH("Select",K8)))</formula>
    </cfRule>
  </conditionalFormatting>
  <conditionalFormatting sqref="E16">
    <cfRule type="containsText" dxfId="1664" priority="80" operator="containsText" text="TBA">
      <formula>NOT(ISERROR(SEARCH("TBA",E16)))</formula>
    </cfRule>
  </conditionalFormatting>
  <conditionalFormatting sqref="C16:D36">
    <cfRule type="cellIs" dxfId="1663" priority="78" operator="equal">
      <formula>"Yes"</formula>
    </cfRule>
  </conditionalFormatting>
  <conditionalFormatting sqref="V54:AE54">
    <cfRule type="cellIs" dxfId="1662" priority="83" operator="equal">
      <formula>"Design or Construction Project CD contents :"</formula>
    </cfRule>
  </conditionalFormatting>
  <conditionalFormatting sqref="E10">
    <cfRule type="cellIs" dxfId="1661" priority="81" operator="equal">
      <formula>"Choose from Drop Down"</formula>
    </cfRule>
  </conditionalFormatting>
  <conditionalFormatting sqref="F13:F36 K13:K36 O13:O36">
    <cfRule type="expression" dxfId="1660" priority="118">
      <formula>F$12="No"</formula>
    </cfRule>
  </conditionalFormatting>
  <conditionalFormatting sqref="E26:S27">
    <cfRule type="expression" dxfId="1659" priority="206">
      <formula>$C$26="no"</formula>
    </cfRule>
  </conditionalFormatting>
  <conditionalFormatting sqref="E28:S29">
    <cfRule type="expression" dxfId="1658" priority="207">
      <formula>$C$28="no"</formula>
    </cfRule>
  </conditionalFormatting>
  <conditionalFormatting sqref="F10:J10">
    <cfRule type="containsText" dxfId="1657" priority="31" operator="containsText" text="TAB C">
      <formula>NOT(ISERROR(SEARCH("TAB C",F10)))</formula>
    </cfRule>
    <cfRule type="containsText" dxfId="1656" priority="32" operator="containsText" text="TAB B">
      <formula>NOT(ISERROR(SEARCH("TAB B",F10)))</formula>
    </cfRule>
  </conditionalFormatting>
  <conditionalFormatting sqref="K10:N10">
    <cfRule type="containsText" dxfId="1655" priority="30" operator="containsText" text="TAB C">
      <formula>NOT(ISERROR(SEARCH("TAB C",K10)))</formula>
    </cfRule>
  </conditionalFormatting>
  <conditionalFormatting sqref="F12:J36">
    <cfRule type="expression" dxfId="1654" priority="6">
      <formula>$F$11="Feasibility or Conceptualization do not apply"</formula>
    </cfRule>
    <cfRule type="expression" dxfId="1653" priority="79">
      <formula>$F$11="No reports or Conceptualization Apply"</formula>
    </cfRule>
  </conditionalFormatting>
  <conditionalFormatting sqref="K11:R36">
    <cfRule type="expression" dxfId="1652" priority="33">
      <formula>$F$11="Feasibility Study"</formula>
    </cfRule>
    <cfRule type="expression" dxfId="1651" priority="34">
      <formula>$F$11="Conceptualization Only"</formula>
    </cfRule>
  </conditionalFormatting>
  <conditionalFormatting sqref="K12:N36">
    <cfRule type="expression" dxfId="1650" priority="77">
      <formula>$K$11="Design does not apply"</formula>
    </cfRule>
    <cfRule type="expression" dxfId="1649" priority="115">
      <formula>$K$11="Design Does Not Apply"</formula>
    </cfRule>
  </conditionalFormatting>
  <conditionalFormatting sqref="O12:R36">
    <cfRule type="expression" dxfId="1648" priority="85">
      <formula>$O$11="Construction does not apply"</formula>
    </cfRule>
    <cfRule type="expression" dxfId="1647" priority="92">
      <formula>$O$11="construction does not apply"</formula>
    </cfRule>
  </conditionalFormatting>
  <conditionalFormatting sqref="E36:S36">
    <cfRule type="expression" dxfId="1646" priority="302">
      <formula>$C$36="No"</formula>
    </cfRule>
  </conditionalFormatting>
  <conditionalFormatting sqref="C30:D36">
    <cfRule type="containsText" dxfId="1645" priority="5" operator="containsText" text="Select">
      <formula>NOT(ISERROR(SEARCH("Select",C30)))</formula>
    </cfRule>
  </conditionalFormatting>
  <conditionalFormatting sqref="E30:E36">
    <cfRule type="containsText" dxfId="1644" priority="1" operator="containsText" text="TBA">
      <formula>NOT(ISERROR(SEARCH("TBA",E30)))</formula>
    </cfRule>
    <cfRule type="containsText" dxfId="1643" priority="2" operator="containsText" text="TBD">
      <formula>NOT(ISERROR(SEARCH("TBD",E30)))</formula>
    </cfRule>
    <cfRule type="containsText" dxfId="1642" priority="3" operator="containsText" text="name">
      <formula>NOT(ISERROR(SEARCH("name",E30)))</formula>
    </cfRule>
    <cfRule type="containsText" dxfId="1641" priority="4" operator="containsText" text="Insert">
      <formula>NOT(ISERROR(SEARCH("Insert",E30)))</formula>
    </cfRule>
  </conditionalFormatting>
  <dataValidations xWindow="245" yWindow="667" count="19">
    <dataValidation type="list" allowBlank="1" showInputMessage="1" showErrorMessage="1" sqref="O11:R11">
      <formula1>$E$96:$E$97</formula1>
    </dataValidation>
    <dataValidation type="list" allowBlank="1" showInputMessage="1" showErrorMessage="1" sqref="F11:J11">
      <formula1>$E$87:$E$92</formula1>
    </dataValidation>
    <dataValidation type="list" allowBlank="1" showInputMessage="1" showErrorMessage="1" sqref="E6">
      <formula1>$E$101:$E$109</formula1>
    </dataValidation>
    <dataValidation type="list" allowBlank="1" showInputMessage="1" showErrorMessage="1" sqref="E8">
      <formula1>$E$112:$E$120</formula1>
    </dataValidation>
    <dataValidation type="list" allowBlank="1" showInputMessage="1" showErrorMessage="1" sqref="K11:N11">
      <formula1>$E$94:$E$95</formula1>
    </dataValidation>
    <dataValidation type="list" allowBlank="1" showInputMessage="1" showErrorMessage="1" sqref="G13:I13">
      <formula1>$E$127:$E$129</formula1>
    </dataValidation>
    <dataValidation type="list" allowBlank="1" showInputMessage="1" showErrorMessage="1" sqref="T19:T20 T36 T28 T16 T34 T22 T30 T32 T24 T26">
      <formula1>$H$80:$H$83</formula1>
    </dataValidation>
    <dataValidation type="list" allowBlank="1" showInputMessage="1" showErrorMessage="1" sqref="S34 S36 S28 S32 S22 S19:S20 S16 S30 S24 S26">
      <formula1>$C$80:$C$83</formula1>
    </dataValidation>
    <dataValidation type="list" allowBlank="1" showInputMessage="1" showErrorMessage="1" sqref="F12:R12">
      <formula1>$E$83:$E$84</formula1>
    </dataValidation>
    <dataValidation type="list" allowBlank="1" showInputMessage="1" showErrorMessage="1" sqref="O8 C36:D36 C28:D28 M8 K8 C22:D22 C24:D24 C34:D34 C32:D32 C30:D30 C26:D26">
      <formula1>$E$81:$E$84</formula1>
    </dataValidation>
    <dataValidation type="list" allowBlank="1" showInputMessage="1" showErrorMessage="1" sqref="E10">
      <formula1>$E$149:$E$156</formula1>
    </dataValidation>
    <dataValidation allowBlank="1" showInputMessage="1" showErrorMessage="1" prompt="NOT AN INPUT" sqref="E18:E28 K21:R21 K23:R23 K19:Q19 K17:R17"/>
    <dataValidation allowBlank="1" showInputMessage="1" showErrorMessage="1" promptTitle="COMPLETE CELL IN PLANNING PHASE" prompt="(NOTE - &quot;ALT - RTN&quot; will return one line down within a cell.)_x000a_INSERT- Room # and BLDG Name_x000a_INSERT- Street Address_x000a_INSERT- City, IL and ZIP CODE_x000a_INSERT- email address (if applicable)_x000a_" sqref="E31 E33 E35"/>
    <dataValidation allowBlank="1" showInputMessage="1" showErrorMessage="1" promptTitle="Enter Recipient Category &amp; Name" prompt="This location is often for the department or end user." sqref="E30"/>
    <dataValidation allowBlank="1" showInputMessage="1" showErrorMessage="1" promptTitle="Enter Recipient Category &amp; Name" prompt="This location is often for the affected college._x000a_(May list mulitple recipients)." sqref="E32"/>
    <dataValidation allowBlank="1" showInputMessage="1" showErrorMessage="1" promptTitle="Enter Recipient Category &amp; Name" prompt="Other people involved (Hist. Preservation Officer, another department, etc...)" sqref="E34"/>
    <dataValidation allowBlank="1" showInputMessage="1" showErrorMessage="1" promptTitle="Enter email addresses" prompt="Registrar's office, CITL, misc department staff, etc._x000a_ " sqref="E36"/>
    <dataValidation type="custom" allowBlank="1" showInputMessage="1" showErrorMessage="1" sqref="F36:O36">
      <formula1>"E"</formula1>
    </dataValidation>
    <dataValidation type="list" allowBlank="1" showInputMessage="1" showErrorMessage="1" sqref="C16:D16 C18:D18 C20:D20">
      <formula1>$E$83</formula1>
    </dataValidation>
  </dataValidations>
  <hyperlinks>
    <hyperlink ref="J50" r:id="rId1"/>
    <hyperlink ref="J61" r:id="rId2" display="http://www.fs.illinois.edu/docs/default-source/FIR/project-submittal-requirements.pdf"/>
    <hyperlink ref="E51" r:id="rId3" display="http://www.fs.illinois.edu/docs/default-source/FIR/project-submittal-requirements.pdf"/>
  </hyperlinks>
  <printOptions horizontalCentered="1"/>
  <pageMargins left="0.25" right="0.25" top="0.38541666699999999" bottom="0.5" header="0.3" footer="0.3"/>
  <pageSetup scale="64" orientation="portrait" r:id="rId4"/>
  <headerFooter>
    <oddFooter>&amp;LTAB &amp;A&amp;R&amp;G</oddFooter>
  </headerFooter>
  <drawing r:id="rId5"/>
  <legacyDrawing r:id="rId6"/>
  <legacyDrawingHF r:id="rId7"/>
  <extLst>
    <ext xmlns:x14="http://schemas.microsoft.com/office/spreadsheetml/2009/9/main" uri="{78C0D931-6437-407d-A8EE-F0AAD7539E65}">
      <x14:conditionalFormattings>
        <x14:conditionalFormatting xmlns:xm="http://schemas.microsoft.com/office/excel/2006/main">
          <x14:cfRule type="containsText" priority="107" operator="containsText" id="{9DC64942-AFAF-4DEF-A52D-367E559E827E}">
            <xm:f>NOT(ISERROR(SEARCH("Insert",G8)))</xm:f>
            <xm:f>"Insert"</xm:f>
            <x14:dxf>
              <font>
                <b/>
                <i/>
                <color rgb="FFC00000"/>
              </font>
            </x14:dxf>
          </x14:cfRule>
          <x14:cfRule type="containsText" priority="108" operator="containsText" id="{8964A3F0-D41C-4C47-AB1D-CE8D662F038A}">
            <xm:f>NOT(ISERROR(SEARCH("TBA",G8)))</xm:f>
            <xm:f>"TBA"</xm:f>
            <x14:dxf>
              <font>
                <b/>
                <i/>
                <color rgb="FFC00000"/>
              </font>
            </x14:dxf>
          </x14:cfRule>
          <xm:sqref>G8 Q8</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B64B"/>
  </sheetPr>
  <dimension ref="A1:AV677"/>
  <sheetViews>
    <sheetView showGridLines="0" view="pageBreakPreview" topLeftCell="B1" zoomScaleNormal="100" zoomScaleSheetLayoutView="100" workbookViewId="0">
      <pane ySplit="23" topLeftCell="A24" activePane="bottomLeft" state="frozen"/>
      <selection pane="bottomLeft" activeCell="C15" sqref="C15:H15"/>
    </sheetView>
  </sheetViews>
  <sheetFormatPr defaultRowHeight="15" x14ac:dyDescent="0.25"/>
  <cols>
    <col min="1" max="1" width="5.7109375" style="91" hidden="1" customWidth="1"/>
    <col min="2" max="2" width="1" customWidth="1"/>
    <col min="3" max="3" width="9.140625" customWidth="1"/>
    <col min="4" max="6" width="3.42578125" style="16" customWidth="1"/>
    <col min="7" max="7" width="5.5703125" style="19" customWidth="1"/>
    <col min="8" max="8" width="86" style="17" customWidth="1"/>
    <col min="9" max="9" width="0.85546875" style="17" customWidth="1"/>
    <col min="10" max="10" width="6.140625" style="17" hidden="1" customWidth="1"/>
    <col min="11" max="16" width="9.140625" style="17"/>
    <col min="17" max="17" width="40" style="17" customWidth="1"/>
    <col min="18" max="48" width="9.140625" style="17"/>
  </cols>
  <sheetData>
    <row r="1" spans="1:48" s="542" customFormat="1" hidden="1" x14ac:dyDescent="0.25">
      <c r="A1" s="91"/>
      <c r="D1" s="543"/>
      <c r="E1" s="543"/>
      <c r="F1" s="543"/>
      <c r="G1" s="19"/>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row>
    <row r="2" spans="1:48" s="542" customFormat="1" hidden="1" x14ac:dyDescent="0.25">
      <c r="A2" s="91"/>
      <c r="D2" s="543"/>
      <c r="E2" s="543"/>
      <c r="F2" s="543"/>
      <c r="G2" s="19"/>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row>
    <row r="3" spans="1:48" ht="30.75" customHeight="1" thickBot="1" x14ac:dyDescent="0.3">
      <c r="A3" s="1331"/>
      <c r="B3" s="1284"/>
      <c r="C3" s="1332" t="s">
        <v>46</v>
      </c>
      <c r="D3" s="1332"/>
      <c r="E3" s="1332"/>
      <c r="F3" s="2063" t="s">
        <v>764</v>
      </c>
      <c r="G3" s="2063"/>
      <c r="H3" s="2063"/>
      <c r="I3" s="2063"/>
      <c r="J3" s="2063"/>
      <c r="K3" s="2063"/>
      <c r="L3" s="2063"/>
      <c r="M3" s="1333"/>
      <c r="N3" s="1333"/>
      <c r="O3" s="1333"/>
      <c r="P3" s="1333"/>
      <c r="Q3" s="1333"/>
      <c r="R3" s="1333"/>
      <c r="S3" s="1333"/>
      <c r="T3" s="1333"/>
      <c r="U3" s="1333"/>
      <c r="V3" s="1333"/>
      <c r="W3" s="1333"/>
      <c r="X3" s="1333"/>
      <c r="Y3" s="1333"/>
      <c r="Z3" s="1333"/>
      <c r="AA3" s="1333"/>
      <c r="AB3" s="1333"/>
      <c r="AC3" s="1333"/>
      <c r="AD3" s="1333"/>
      <c r="AE3" s="1333"/>
      <c r="AF3" s="1333"/>
      <c r="AG3" s="1333"/>
      <c r="AH3" s="1333"/>
      <c r="AI3" s="1333"/>
      <c r="AJ3" s="1333"/>
    </row>
    <row r="4" spans="1:48" ht="19.5" thickTop="1" x14ac:dyDescent="0.25">
      <c r="A4" s="1331"/>
      <c r="B4" s="1284"/>
      <c r="C4" s="1334"/>
      <c r="D4" s="1335" t="s">
        <v>37</v>
      </c>
      <c r="E4" s="1336"/>
      <c r="F4" s="1337"/>
      <c r="G4" s="1338" t="s">
        <v>39</v>
      </c>
      <c r="H4" s="1339" t="s">
        <v>219</v>
      </c>
      <c r="I4" s="1340"/>
      <c r="J4" s="1340"/>
      <c r="K4" s="1341" t="s">
        <v>142</v>
      </c>
      <c r="L4" s="1333"/>
      <c r="M4" s="1333"/>
      <c r="N4" s="1333"/>
      <c r="O4" s="1333"/>
      <c r="P4" s="1333"/>
      <c r="Q4" s="1333"/>
      <c r="R4" s="1333"/>
      <c r="S4" s="1333"/>
      <c r="T4" s="1333"/>
      <c r="U4" s="1333"/>
      <c r="V4" s="1333"/>
      <c r="W4" s="1333"/>
      <c r="X4" s="1333"/>
      <c r="Y4" s="1333"/>
      <c r="Z4" s="1333"/>
      <c r="AA4" s="1333"/>
      <c r="AB4" s="1333"/>
      <c r="AC4" s="1333"/>
      <c r="AD4" s="1333"/>
      <c r="AE4" s="1333"/>
      <c r="AF4" s="1333"/>
      <c r="AG4" s="1333"/>
      <c r="AH4" s="1333"/>
      <c r="AI4" s="1333"/>
      <c r="AJ4" s="1333"/>
    </row>
    <row r="5" spans="1:48" x14ac:dyDescent="0.25">
      <c r="A5" s="1342"/>
      <c r="B5" s="1284"/>
      <c r="C5" s="1343"/>
      <c r="D5" s="1344"/>
      <c r="E5" s="1345" t="s">
        <v>37</v>
      </c>
      <c r="F5" s="1346"/>
      <c r="G5" s="1347"/>
      <c r="H5" s="1348" t="s">
        <v>50</v>
      </c>
      <c r="I5" s="1349"/>
      <c r="J5" s="1349"/>
      <c r="K5" s="1350" t="s">
        <v>49</v>
      </c>
      <c r="L5" s="1351"/>
      <c r="M5" s="1333"/>
      <c r="N5" s="1333"/>
      <c r="O5" s="1333"/>
      <c r="P5" s="1333"/>
      <c r="Q5" s="1333"/>
      <c r="R5" s="1333"/>
      <c r="S5" s="1333"/>
      <c r="T5" s="1333"/>
      <c r="U5" s="1333"/>
      <c r="V5" s="1333"/>
      <c r="W5" s="1333"/>
      <c r="X5" s="1333"/>
      <c r="Y5" s="1333"/>
      <c r="Z5" s="1333"/>
      <c r="AA5" s="1333"/>
      <c r="AB5" s="1333"/>
      <c r="AC5" s="1333"/>
      <c r="AD5" s="1333"/>
      <c r="AE5" s="1333"/>
      <c r="AF5" s="1333"/>
      <c r="AG5" s="1333"/>
      <c r="AH5" s="1333"/>
      <c r="AI5" s="1333"/>
      <c r="AJ5" s="1333"/>
    </row>
    <row r="6" spans="1:48" ht="15.75" thickBot="1" x14ac:dyDescent="0.3">
      <c r="A6" s="1342"/>
      <c r="B6" s="1284"/>
      <c r="C6" s="1352"/>
      <c r="D6" s="1353"/>
      <c r="E6" s="1353"/>
      <c r="F6" s="1354" t="s">
        <v>37</v>
      </c>
      <c r="G6" s="1355"/>
      <c r="H6" s="1356" t="s">
        <v>51</v>
      </c>
      <c r="I6" s="1357"/>
      <c r="J6" s="1357"/>
      <c r="K6" s="1358"/>
      <c r="L6" s="1351"/>
      <c r="M6" s="1333"/>
      <c r="N6" s="1333"/>
      <c r="O6" s="1333"/>
      <c r="P6" s="1333"/>
      <c r="Q6" s="1333"/>
      <c r="R6" s="1333"/>
      <c r="S6" s="1333"/>
      <c r="T6" s="1333"/>
      <c r="U6" s="1333"/>
      <c r="V6" s="1333"/>
      <c r="W6" s="1333"/>
      <c r="X6" s="1333"/>
      <c r="Y6" s="1333"/>
      <c r="Z6" s="1333"/>
      <c r="AA6" s="1333"/>
      <c r="AB6" s="1333"/>
      <c r="AC6" s="1333"/>
      <c r="AD6" s="1333"/>
      <c r="AE6" s="1333"/>
      <c r="AF6" s="1333"/>
      <c r="AG6" s="1333"/>
      <c r="AH6" s="1333"/>
      <c r="AI6" s="1333"/>
      <c r="AJ6" s="1333"/>
    </row>
    <row r="7" spans="1:48" hidden="1" x14ac:dyDescent="0.25">
      <c r="A7" s="1342"/>
      <c r="B7" s="1284"/>
      <c r="C7" s="1359" t="s">
        <v>71</v>
      </c>
      <c r="D7" s="1359" t="s">
        <v>45</v>
      </c>
      <c r="E7" s="1359"/>
      <c r="F7" s="1359"/>
      <c r="G7" s="1360"/>
      <c r="H7" s="1306" t="s">
        <v>107</v>
      </c>
      <c r="I7" s="1361"/>
      <c r="J7" s="1361"/>
      <c r="K7" s="1358"/>
      <c r="L7" s="1351"/>
      <c r="M7" s="1333"/>
      <c r="N7" s="1333"/>
      <c r="O7" s="1333"/>
      <c r="P7" s="1333"/>
      <c r="Q7" s="1333"/>
      <c r="R7" s="1333"/>
      <c r="S7" s="1333"/>
      <c r="T7" s="1333"/>
      <c r="U7" s="1333"/>
      <c r="V7" s="1333"/>
      <c r="W7" s="1333"/>
      <c r="X7" s="1333"/>
      <c r="Y7" s="1333"/>
      <c r="Z7" s="1333"/>
      <c r="AA7" s="1333"/>
      <c r="AB7" s="1333"/>
      <c r="AC7" s="1333"/>
      <c r="AD7" s="1333"/>
      <c r="AE7" s="1333"/>
      <c r="AF7" s="1333"/>
      <c r="AG7" s="1333"/>
      <c r="AH7" s="1333"/>
      <c r="AI7" s="1333"/>
      <c r="AJ7" s="1333"/>
    </row>
    <row r="8" spans="1:48" hidden="1" x14ac:dyDescent="0.25">
      <c r="A8" s="1342"/>
      <c r="B8" s="1284"/>
      <c r="C8" s="1362" t="s">
        <v>100</v>
      </c>
      <c r="D8" s="1362" t="s">
        <v>37</v>
      </c>
      <c r="E8" s="1363" t="s">
        <v>47</v>
      </c>
      <c r="F8" s="1364"/>
      <c r="G8" s="1365"/>
      <c r="H8" s="1366" t="s">
        <v>268</v>
      </c>
      <c r="I8" s="1333"/>
      <c r="J8" s="1333"/>
      <c r="K8" s="1358"/>
      <c r="L8" s="1351"/>
      <c r="M8" s="1333"/>
      <c r="N8" s="1333"/>
      <c r="O8" s="1333"/>
      <c r="P8" s="1333"/>
      <c r="Q8" s="1333"/>
      <c r="R8" s="1333"/>
      <c r="S8" s="1333"/>
      <c r="T8" s="1333"/>
      <c r="U8" s="1333"/>
      <c r="V8" s="1333"/>
      <c r="W8" s="1333"/>
      <c r="X8" s="1333"/>
      <c r="Y8" s="1333"/>
      <c r="Z8" s="1333"/>
      <c r="AA8" s="1333"/>
      <c r="AB8" s="1333"/>
      <c r="AC8" s="1333"/>
      <c r="AD8" s="1333"/>
      <c r="AE8" s="1333"/>
      <c r="AF8" s="1333"/>
      <c r="AG8" s="1333"/>
      <c r="AH8" s="1333"/>
      <c r="AI8" s="1333"/>
      <c r="AJ8" s="1333"/>
    </row>
    <row r="9" spans="1:48" hidden="1" x14ac:dyDescent="0.25">
      <c r="A9" s="1342"/>
      <c r="B9" s="1284"/>
      <c r="C9" s="1362" t="s">
        <v>72</v>
      </c>
      <c r="D9" s="1362" t="s">
        <v>38</v>
      </c>
      <c r="E9" s="1363" t="s">
        <v>47</v>
      </c>
      <c r="F9" s="1364"/>
      <c r="G9" s="1365"/>
      <c r="H9" s="1366" t="s">
        <v>53</v>
      </c>
      <c r="I9" s="1333"/>
      <c r="J9" s="1333"/>
      <c r="K9" s="1358"/>
      <c r="L9" s="1351"/>
      <c r="M9" s="1333"/>
      <c r="N9" s="1333"/>
      <c r="O9" s="1333"/>
      <c r="P9" s="1333"/>
      <c r="Q9" s="1333"/>
      <c r="R9" s="1333"/>
      <c r="S9" s="1333"/>
      <c r="T9" s="1333"/>
      <c r="U9" s="1333"/>
      <c r="V9" s="1333"/>
      <c r="W9" s="1333"/>
      <c r="X9" s="1333"/>
      <c r="Y9" s="1333"/>
      <c r="Z9" s="1333"/>
      <c r="AA9" s="1333"/>
      <c r="AB9" s="1333"/>
      <c r="AC9" s="1333"/>
      <c r="AD9" s="1333"/>
      <c r="AE9" s="1333"/>
      <c r="AF9" s="1333"/>
      <c r="AG9" s="1333"/>
      <c r="AH9" s="1333"/>
      <c r="AI9" s="1333"/>
      <c r="AJ9" s="1333"/>
    </row>
    <row r="10" spans="1:48" hidden="1" x14ac:dyDescent="0.25">
      <c r="A10" s="1342"/>
      <c r="B10" s="1284"/>
      <c r="C10" s="1362"/>
      <c r="D10" s="1362" t="s">
        <v>21</v>
      </c>
      <c r="E10" s="1363" t="s">
        <v>47</v>
      </c>
      <c r="F10" s="1364"/>
      <c r="G10" s="1365"/>
      <c r="H10" s="1366" t="s">
        <v>109</v>
      </c>
      <c r="I10" s="1333"/>
      <c r="J10" s="1333"/>
      <c r="K10" s="1358"/>
      <c r="L10" s="1351"/>
      <c r="M10" s="1333"/>
      <c r="N10" s="1333"/>
      <c r="O10" s="1333"/>
      <c r="P10" s="1333"/>
      <c r="Q10" s="1333"/>
      <c r="R10" s="1333"/>
      <c r="S10" s="1333"/>
      <c r="T10" s="1333"/>
      <c r="U10" s="1333"/>
      <c r="V10" s="1333"/>
      <c r="W10" s="1333"/>
      <c r="X10" s="1333"/>
      <c r="Y10" s="1333"/>
      <c r="Z10" s="1333"/>
      <c r="AA10" s="1333"/>
      <c r="AB10" s="1333"/>
      <c r="AC10" s="1333"/>
      <c r="AD10" s="1333"/>
      <c r="AE10" s="1333"/>
      <c r="AF10" s="1333"/>
      <c r="AG10" s="1333"/>
      <c r="AH10" s="1333"/>
      <c r="AI10" s="1333"/>
      <c r="AJ10" s="1333"/>
    </row>
    <row r="11" spans="1:48" hidden="1" x14ac:dyDescent="0.25">
      <c r="A11" s="1342"/>
      <c r="B11" s="1284"/>
      <c r="C11" s="1362"/>
      <c r="D11" s="1364"/>
      <c r="E11" s="1364"/>
      <c r="F11" s="1364"/>
      <c r="G11" s="1365"/>
      <c r="H11" s="1333"/>
      <c r="I11" s="1333"/>
      <c r="J11" s="1333"/>
      <c r="K11" s="1358"/>
      <c r="L11" s="1351"/>
      <c r="M11" s="1333"/>
      <c r="N11" s="1333"/>
      <c r="O11" s="1333"/>
      <c r="P11" s="1333"/>
      <c r="Q11" s="1333"/>
      <c r="R11" s="1333"/>
      <c r="S11" s="1333"/>
      <c r="T11" s="1333"/>
      <c r="U11" s="1333"/>
      <c r="V11" s="1333"/>
      <c r="W11" s="1333"/>
      <c r="X11" s="1333"/>
      <c r="Y11" s="1333"/>
      <c r="Z11" s="1333"/>
      <c r="AA11" s="1333"/>
      <c r="AB11" s="1333"/>
      <c r="AC11" s="1333"/>
      <c r="AD11" s="1333"/>
      <c r="AE11" s="1333"/>
      <c r="AF11" s="1333"/>
      <c r="AG11" s="1333"/>
      <c r="AH11" s="1333"/>
      <c r="AI11" s="1333"/>
      <c r="AJ11" s="1333"/>
    </row>
    <row r="12" spans="1:48" hidden="1" x14ac:dyDescent="0.25">
      <c r="A12" s="1342"/>
      <c r="B12" s="1284"/>
      <c r="C12" s="1284"/>
      <c r="D12" s="1364"/>
      <c r="E12" s="1364"/>
      <c r="F12" s="1364"/>
      <c r="G12" s="1365"/>
      <c r="H12" s="1333"/>
      <c r="I12" s="1333"/>
      <c r="J12" s="1333"/>
      <c r="K12" s="1358"/>
      <c r="L12" s="1351"/>
      <c r="M12" s="1333"/>
      <c r="N12" s="1333"/>
      <c r="O12" s="1333"/>
      <c r="P12" s="1333"/>
      <c r="Q12" s="1333"/>
      <c r="R12" s="1333"/>
      <c r="S12" s="1333"/>
      <c r="T12" s="1333"/>
      <c r="U12" s="1333"/>
      <c r="V12" s="1333"/>
      <c r="W12" s="1333"/>
      <c r="X12" s="1333"/>
      <c r="Y12" s="1333"/>
      <c r="Z12" s="1333"/>
      <c r="AA12" s="1333"/>
      <c r="AB12" s="1333"/>
      <c r="AC12" s="1333"/>
      <c r="AD12" s="1333"/>
      <c r="AE12" s="1333"/>
      <c r="AF12" s="1333"/>
      <c r="AG12" s="1333"/>
      <c r="AH12" s="1333"/>
      <c r="AI12" s="1333"/>
      <c r="AJ12" s="1333"/>
    </row>
    <row r="13" spans="1:48" ht="6" customHeight="1" x14ac:dyDescent="0.25">
      <c r="A13" s="1367"/>
      <c r="B13" s="1284"/>
      <c r="C13" s="1284"/>
      <c r="D13" s="1364"/>
      <c r="E13" s="1364"/>
      <c r="F13" s="1364"/>
      <c r="G13" s="1365"/>
      <c r="H13" s="1333"/>
      <c r="I13" s="1333"/>
      <c r="J13" s="1333"/>
      <c r="K13" s="1368"/>
      <c r="L13" s="1369"/>
      <c r="M13" s="1333"/>
      <c r="N13" s="1333"/>
      <c r="O13" s="1333"/>
      <c r="P13" s="1333"/>
      <c r="Q13" s="1333"/>
      <c r="R13" s="1333"/>
      <c r="S13" s="1333"/>
      <c r="T13" s="1333"/>
      <c r="U13" s="1333"/>
      <c r="V13" s="1333"/>
      <c r="W13" s="1333"/>
      <c r="X13" s="1333"/>
      <c r="Y13" s="1333"/>
      <c r="Z13" s="1333"/>
      <c r="AA13" s="1333"/>
      <c r="AB13" s="1333"/>
      <c r="AC13" s="1333"/>
      <c r="AD13" s="1333"/>
      <c r="AE13" s="1333"/>
      <c r="AF13" s="1333"/>
      <c r="AG13" s="1333"/>
      <c r="AH13" s="1333"/>
      <c r="AI13" s="1333"/>
      <c r="AJ13" s="1333"/>
    </row>
    <row r="14" spans="1:48" ht="6" customHeight="1" x14ac:dyDescent="0.25">
      <c r="A14" s="1370"/>
      <c r="B14" s="1371"/>
      <c r="C14" s="1371"/>
      <c r="D14" s="1372"/>
      <c r="E14" s="1372"/>
      <c r="F14" s="1372"/>
      <c r="G14" s="1373"/>
      <c r="H14" s="1374"/>
      <c r="I14" s="1375"/>
      <c r="J14" s="1351"/>
      <c r="K14" s="1333"/>
      <c r="L14" s="1333"/>
      <c r="M14" s="1333"/>
      <c r="N14" s="1333"/>
      <c r="O14" s="1333"/>
      <c r="P14" s="1333"/>
      <c r="Q14" s="1333"/>
      <c r="R14" s="1333"/>
      <c r="S14" s="1333"/>
      <c r="T14" s="1333"/>
      <c r="U14" s="1333"/>
      <c r="V14" s="1333"/>
      <c r="W14" s="1333"/>
      <c r="X14" s="1333"/>
      <c r="Y14" s="1333"/>
      <c r="Z14" s="1333"/>
      <c r="AA14" s="1333"/>
      <c r="AB14" s="1333"/>
      <c r="AC14" s="1333"/>
      <c r="AD14" s="1333"/>
      <c r="AE14" s="1333"/>
      <c r="AF14" s="1333"/>
      <c r="AG14" s="1333"/>
      <c r="AH14" s="1333"/>
      <c r="AI14" s="1333"/>
      <c r="AJ14" s="1333"/>
    </row>
    <row r="15" spans="1:48" ht="18.75" x14ac:dyDescent="0.3">
      <c r="A15" s="2052"/>
      <c r="B15" s="125"/>
      <c r="C15" s="2053" t="str">
        <f>CONCATENATE(Project_No," - ",Project_Name)</f>
        <v>U12345 - Davenport Hall Addition &amp; Remodel - Example</v>
      </c>
      <c r="D15" s="2053"/>
      <c r="E15" s="2053"/>
      <c r="F15" s="2053"/>
      <c r="G15" s="2053"/>
      <c r="H15" s="2053"/>
      <c r="I15" s="126"/>
      <c r="J15" s="224"/>
      <c r="K15" s="1376" t="str">
        <f ca="1">CONCATENATE(IF(ISNUMBER(SEARCH("INSERT",C15))=TRUE,"&lt;----Fill in information in tab [","&lt;----ECHOED from Tab ["),MID(CELL("filename",'A-Info, Phases, Recip.'!C4),FIND("]",CELL("filename",'A-Info, Phases, Recip.'!C4))+1,255),"]")</f>
        <v>&lt;----ECHOED from Tab [A-Info, Phases, Recip.]</v>
      </c>
      <c r="L15" s="1333"/>
      <c r="M15" s="1333"/>
      <c r="N15" s="1333"/>
      <c r="O15" s="1333"/>
      <c r="P15" s="1333"/>
      <c r="Q15" s="1333"/>
      <c r="R15" s="1333"/>
      <c r="S15" s="1333"/>
      <c r="T15" s="1333"/>
      <c r="U15" s="1333"/>
      <c r="V15" s="1333"/>
      <c r="W15" s="1333"/>
      <c r="X15" s="1333"/>
      <c r="Y15" s="1333"/>
      <c r="Z15" s="1333"/>
      <c r="AA15" s="1333"/>
      <c r="AB15" s="1333"/>
      <c r="AC15" s="1333"/>
      <c r="AD15" s="1333"/>
      <c r="AE15" s="1333"/>
      <c r="AF15" s="1333"/>
      <c r="AG15" s="1333"/>
      <c r="AH15" s="1333"/>
      <c r="AI15" s="1333"/>
      <c r="AJ15" s="1333"/>
    </row>
    <row r="16" spans="1:48" ht="18.75" x14ac:dyDescent="0.3">
      <c r="A16" s="2052"/>
      <c r="B16" s="125"/>
      <c r="C16" s="2054" t="str">
        <f>IF(OR(Feasibility_Concept="Feasibility Study",Feasibility_Concept="Investigation/Memo/Short Report",Feasibility_Concept="Conceptualization Only"),CONCATENATE(Feasibility_Concept," - PSC Minimum List of Deliverables"),"PROJECT IS DESIGN &amp; CONSTRUCTION - NO FEAS. STUDY, MEMO, OR CONCEPT ONLY")</f>
        <v>PROJECT IS DESIGN &amp; CONSTRUCTION - NO FEAS. STUDY, MEMO, OR CONCEPT ONLY</v>
      </c>
      <c r="D16" s="2054"/>
      <c r="E16" s="2054"/>
      <c r="F16" s="2054"/>
      <c r="G16" s="2054"/>
      <c r="H16" s="2054"/>
      <c r="I16" s="126"/>
      <c r="J16" s="224"/>
      <c r="K16" s="1377" t="str">
        <f ca="1">CONCATENATE("&lt;----Phase Applicability chosen in Tab [",MID(CELL("filename",'A-Info, Phases, Recip.'!C4),FIND("]",CELL("filename",'A-Info, Phases, Recip.'!C4))+1,255),"]")</f>
        <v>&lt;----Phase Applicability chosen in Tab [A-Info, Phases, Recip.]</v>
      </c>
      <c r="L16" s="1333"/>
      <c r="M16" s="1333"/>
      <c r="N16" s="1333"/>
      <c r="O16" s="1333"/>
      <c r="P16" s="1333"/>
      <c r="Q16" s="1333"/>
      <c r="R16" s="1333"/>
      <c r="S16" s="1333"/>
      <c r="T16" s="1333"/>
      <c r="U16" s="1333"/>
      <c r="V16" s="1333"/>
      <c r="W16" s="1333"/>
      <c r="X16" s="1333"/>
      <c r="Y16" s="1333"/>
      <c r="Z16" s="1333"/>
      <c r="AA16" s="1333"/>
      <c r="AB16" s="1333"/>
      <c r="AC16" s="1333"/>
      <c r="AD16" s="1333"/>
      <c r="AE16" s="1333"/>
      <c r="AF16" s="1333"/>
      <c r="AG16" s="1333"/>
      <c r="AH16" s="1333"/>
      <c r="AI16" s="1333"/>
      <c r="AJ16" s="1333"/>
    </row>
    <row r="17" spans="1:48" s="542" customFormat="1" ht="8.25" customHeight="1" x14ac:dyDescent="0.3">
      <c r="A17" s="2052"/>
      <c r="B17" s="125"/>
      <c r="C17" s="1047"/>
      <c r="D17" s="1047"/>
      <c r="E17" s="1047"/>
      <c r="F17" s="1047"/>
      <c r="G17" s="1047"/>
      <c r="H17" s="1047"/>
      <c r="I17" s="126"/>
      <c r="J17" s="224"/>
      <c r="K17" s="1377"/>
      <c r="L17" s="1333"/>
      <c r="M17" s="1333"/>
      <c r="N17" s="1333"/>
      <c r="O17" s="1333"/>
      <c r="P17" s="1333"/>
      <c r="Q17" s="1333"/>
      <c r="R17" s="1333"/>
      <c r="S17" s="1333"/>
      <c r="T17" s="1333"/>
      <c r="U17" s="1333"/>
      <c r="V17" s="1333"/>
      <c r="W17" s="1333"/>
      <c r="X17" s="1333"/>
      <c r="Y17" s="1333"/>
      <c r="Z17" s="1333"/>
      <c r="AA17" s="1333"/>
      <c r="AB17" s="1333"/>
      <c r="AC17" s="1333"/>
      <c r="AD17" s="1333"/>
      <c r="AE17" s="1333"/>
      <c r="AF17" s="1333"/>
      <c r="AG17" s="1333"/>
      <c r="AH17" s="1333"/>
      <c r="AI17" s="1333"/>
      <c r="AJ17" s="1333"/>
      <c r="AK17" s="17"/>
      <c r="AL17" s="17"/>
      <c r="AM17" s="17"/>
      <c r="AN17" s="17"/>
      <c r="AO17" s="17"/>
      <c r="AP17" s="17"/>
      <c r="AQ17" s="17"/>
      <c r="AR17" s="17"/>
      <c r="AS17" s="17"/>
      <c r="AT17" s="17"/>
      <c r="AU17" s="17"/>
      <c r="AV17" s="17"/>
    </row>
    <row r="18" spans="1:48" ht="12" customHeight="1" x14ac:dyDescent="0.25">
      <c r="A18" s="2052"/>
      <c r="B18" s="125"/>
      <c r="C18" s="2055" t="str">
        <f>CONCATENATE("Const. Delivery = ",Const_Delivery_Method," ; Const. Type = ",Const_Type,"; LEED Goal = ",IF(LEED_Goal="none","N/A",LEED_Goal),"; Bldg, lot, or Utility: ",Bldg_No_or_Utility)</f>
        <v>Const. Delivery = BID ; Const. Type = Remodeling/Addition; LEED Goal = Silver - Certified; Bldg, lot, or Utility: 0001</v>
      </c>
      <c r="D18" s="2056"/>
      <c r="E18" s="2056"/>
      <c r="F18" s="2056"/>
      <c r="G18" s="2056"/>
      <c r="H18" s="2056"/>
      <c r="I18" s="127"/>
      <c r="J18" s="225"/>
      <c r="K18" s="1378" t="str">
        <f ca="1">CONCATENATE(IF(OR(ISNUMBER(SEARCH("Select",C18))=TRUE,ISNUMBER(SEARCH("Choose",C18))=TRUE,ISNUMBER(SEARCH("####",C18))=TRUE),"&lt;----Fill in information in tab [","&lt;----ECHOED from Tab ["),MID(CELL("filename",'A-Info, Phases, Recip.'!C6),FIND("]",CELL("filename",'A-Info, Phases, Recip.'!C6))+1,255),"]")</f>
        <v>&lt;----ECHOED from Tab [A-Info, Phases, Recip.]</v>
      </c>
      <c r="L18" s="1333"/>
      <c r="M18" s="1333"/>
      <c r="N18" s="1333"/>
      <c r="O18" s="1333"/>
      <c r="P18" s="1333"/>
      <c r="Q18" s="1333"/>
      <c r="R18" s="1333"/>
      <c r="S18" s="1333"/>
      <c r="T18" s="1333"/>
      <c r="U18" s="1333"/>
      <c r="V18" s="1333"/>
      <c r="W18" s="1333"/>
      <c r="X18" s="1333"/>
      <c r="Y18" s="1333"/>
      <c r="Z18" s="1333"/>
      <c r="AA18" s="1333"/>
      <c r="AB18" s="1333"/>
      <c r="AC18" s="1333"/>
      <c r="AD18" s="1333"/>
      <c r="AE18" s="1333"/>
      <c r="AF18" s="1333"/>
      <c r="AG18" s="1333"/>
      <c r="AH18" s="1333"/>
      <c r="AI18" s="1333"/>
      <c r="AJ18" s="1333"/>
    </row>
    <row r="19" spans="1:48" ht="11.1" customHeight="1" x14ac:dyDescent="0.25">
      <c r="A19" s="2052"/>
      <c r="B19" s="125"/>
      <c r="C19" s="2057" t="str">
        <f>CONCATENATE("Master Template last updated on: ",TEXT(Form_Update,"MM/DD/YYYY"),".  Struck out text is not required.")</f>
        <v>Master Template last updated on: 08/31/2020.  Struck out text is not required.</v>
      </c>
      <c r="D19" s="2057"/>
      <c r="E19" s="2057"/>
      <c r="F19" s="2057"/>
      <c r="G19" s="2057"/>
      <c r="H19" s="2057"/>
      <c r="I19" s="128"/>
      <c r="J19" s="226"/>
      <c r="K19" s="1333"/>
      <c r="L19" s="1333"/>
      <c r="M19" s="1333"/>
      <c r="N19" s="1333"/>
      <c r="O19" s="1333"/>
      <c r="P19" s="1333"/>
      <c r="Q19" s="1333"/>
      <c r="R19" s="1333"/>
      <c r="S19" s="1333"/>
      <c r="T19" s="1333"/>
      <c r="U19" s="1333"/>
      <c r="V19" s="1333"/>
      <c r="W19" s="1333"/>
      <c r="X19" s="1333"/>
      <c r="Y19" s="1333"/>
      <c r="Z19" s="1333"/>
      <c r="AA19" s="1333"/>
      <c r="AB19" s="1333"/>
      <c r="AC19" s="1333"/>
      <c r="AD19" s="1333"/>
      <c r="AE19" s="1333"/>
      <c r="AF19" s="1333"/>
      <c r="AG19" s="1333"/>
      <c r="AH19" s="1333"/>
      <c r="AI19" s="1333"/>
      <c r="AJ19" s="1333"/>
    </row>
    <row r="20" spans="1:48" ht="6" customHeight="1" x14ac:dyDescent="0.25">
      <c r="A20" s="2052"/>
      <c r="B20" s="125"/>
      <c r="C20" s="167"/>
      <c r="D20" s="167"/>
      <c r="E20" s="167"/>
      <c r="F20" s="167"/>
      <c r="G20" s="167"/>
      <c r="H20" s="167"/>
      <c r="I20" s="128"/>
      <c r="J20" s="226"/>
      <c r="K20" s="1333"/>
      <c r="L20" s="1333"/>
      <c r="M20" s="1333"/>
      <c r="N20" s="1333"/>
      <c r="O20" s="1333"/>
      <c r="P20" s="1333"/>
      <c r="Q20" s="1333"/>
      <c r="R20" s="1333"/>
      <c r="S20" s="1333"/>
      <c r="T20" s="1333"/>
      <c r="U20" s="1333"/>
      <c r="V20" s="1333"/>
      <c r="W20" s="1333"/>
      <c r="X20" s="1333"/>
      <c r="Y20" s="1333"/>
      <c r="Z20" s="1333"/>
      <c r="AA20" s="1333"/>
      <c r="AB20" s="1333"/>
      <c r="AC20" s="1333"/>
      <c r="AD20" s="1333"/>
      <c r="AE20" s="1333"/>
      <c r="AF20" s="1333"/>
      <c r="AG20" s="1333"/>
      <c r="AH20" s="1333"/>
      <c r="AI20" s="1333"/>
      <c r="AJ20" s="1333"/>
    </row>
    <row r="21" spans="1:48" ht="12.75" customHeight="1" x14ac:dyDescent="0.25">
      <c r="A21" s="2052"/>
      <c r="B21" s="125"/>
      <c r="C21" s="2058"/>
      <c r="D21" s="2058"/>
      <c r="E21" s="167"/>
      <c r="F21" s="2059" t="s">
        <v>53</v>
      </c>
      <c r="G21" s="2059"/>
      <c r="H21" s="927"/>
      <c r="I21" s="128"/>
      <c r="J21" s="226"/>
      <c r="K21" s="1307" t="s">
        <v>724</v>
      </c>
      <c r="L21" s="1333"/>
      <c r="M21" s="1333"/>
      <c r="N21" s="1333"/>
      <c r="O21" s="1333"/>
      <c r="P21" s="1333"/>
      <c r="Q21" s="1378"/>
      <c r="R21" s="1333"/>
      <c r="S21" s="1333"/>
      <c r="T21" s="1333"/>
      <c r="U21" s="1333"/>
      <c r="V21" s="1333"/>
      <c r="W21" s="1333"/>
      <c r="X21" s="1333"/>
      <c r="Y21" s="1333"/>
      <c r="Z21" s="1333"/>
      <c r="AA21" s="1333"/>
      <c r="AB21" s="1333"/>
      <c r="AC21" s="1333"/>
      <c r="AD21" s="1333"/>
      <c r="AE21" s="1333"/>
      <c r="AF21" s="1333"/>
      <c r="AG21" s="1333"/>
      <c r="AH21" s="1333"/>
      <c r="AI21" s="1333"/>
      <c r="AJ21" s="1333"/>
    </row>
    <row r="22" spans="1:48" ht="15" customHeight="1" x14ac:dyDescent="0.25">
      <c r="A22" s="2052"/>
      <c r="B22" s="125"/>
      <c r="C22" s="2060" t="s">
        <v>106</v>
      </c>
      <c r="D22" s="2060"/>
      <c r="E22" s="21"/>
      <c r="F22" s="2060" t="s">
        <v>267</v>
      </c>
      <c r="G22" s="2060"/>
      <c r="H22" s="168" t="s">
        <v>110</v>
      </c>
      <c r="I22" s="128"/>
      <c r="J22" s="226"/>
      <c r="K22" s="1333"/>
      <c r="L22" s="1333"/>
      <c r="M22" s="1333"/>
      <c r="N22" s="1333"/>
      <c r="O22" s="1333"/>
      <c r="P22" s="1333"/>
      <c r="Q22" s="1333"/>
      <c r="R22" s="1333"/>
      <c r="S22" s="1333"/>
      <c r="T22" s="1333"/>
      <c r="U22" s="1333"/>
      <c r="V22" s="1333"/>
      <c r="W22" s="1333"/>
      <c r="X22" s="1333"/>
      <c r="Y22" s="1333"/>
      <c r="Z22" s="1333"/>
      <c r="AA22" s="1333"/>
      <c r="AB22" s="1333"/>
      <c r="AC22" s="1333"/>
      <c r="AD22" s="1333"/>
      <c r="AE22" s="1333"/>
      <c r="AF22" s="1333"/>
      <c r="AG22" s="1333"/>
      <c r="AH22" s="1333"/>
      <c r="AI22" s="1333"/>
      <c r="AJ22" s="1333"/>
    </row>
    <row r="23" spans="1:48" ht="34.5" thickBot="1" x14ac:dyDescent="0.3">
      <c r="A23" s="2052"/>
      <c r="B23" s="125"/>
      <c r="C23" s="219" t="s">
        <v>100</v>
      </c>
      <c r="D23" s="2061" t="s">
        <v>36</v>
      </c>
      <c r="E23" s="2061"/>
      <c r="F23" s="2061"/>
      <c r="G23" s="2069" t="s">
        <v>1188</v>
      </c>
      <c r="H23" s="2070"/>
      <c r="I23" s="131"/>
      <c r="J23" s="227"/>
      <c r="K23" s="1379" t="s">
        <v>48</v>
      </c>
      <c r="L23" s="1379"/>
      <c r="M23" s="1379"/>
      <c r="N23" s="1379"/>
      <c r="O23" s="1379"/>
      <c r="P23" s="1380"/>
      <c r="Q23" s="1333"/>
      <c r="R23" s="1333"/>
      <c r="S23" s="1333"/>
      <c r="T23" s="1333"/>
      <c r="U23" s="1333"/>
      <c r="V23" s="1333"/>
      <c r="W23" s="1333"/>
      <c r="X23" s="1333"/>
      <c r="Y23" s="1333"/>
      <c r="Z23" s="1333"/>
      <c r="AA23" s="1333"/>
      <c r="AB23" s="1333"/>
      <c r="AC23" s="1333"/>
      <c r="AD23" s="1333"/>
      <c r="AE23" s="1333"/>
      <c r="AF23" s="1333"/>
      <c r="AG23" s="1333"/>
      <c r="AH23" s="1333"/>
      <c r="AI23" s="1333"/>
      <c r="AJ23" s="1333"/>
    </row>
    <row r="24" spans="1:48" s="1" customFormat="1" ht="6.75" customHeight="1" thickTop="1" x14ac:dyDescent="0.25">
      <c r="A24" s="1331"/>
      <c r="B24" s="67"/>
      <c r="C24" s="25"/>
      <c r="D24" s="26"/>
      <c r="E24" s="26"/>
      <c r="F24" s="26"/>
      <c r="G24" s="27"/>
      <c r="H24" s="27"/>
      <c r="I24" s="132"/>
      <c r="J24" s="27"/>
      <c r="K24" s="1333"/>
      <c r="L24" s="1333"/>
      <c r="M24" s="1333"/>
      <c r="N24" s="1333"/>
      <c r="O24" s="1333"/>
      <c r="P24" s="1333"/>
      <c r="Q24" s="1333"/>
      <c r="R24" s="1333"/>
      <c r="S24" s="1333"/>
      <c r="T24" s="1333"/>
      <c r="U24" s="1333"/>
      <c r="V24" s="1333"/>
      <c r="W24" s="1333"/>
      <c r="X24" s="1333"/>
      <c r="Y24" s="1333"/>
      <c r="Z24" s="1333"/>
      <c r="AA24" s="1333"/>
      <c r="AB24" s="1333"/>
      <c r="AC24" s="1333"/>
      <c r="AD24" s="1333"/>
      <c r="AE24" s="1333"/>
      <c r="AF24" s="1333"/>
      <c r="AG24" s="1333"/>
      <c r="AH24" s="1333"/>
      <c r="AI24" s="1333"/>
      <c r="AJ24" s="1333"/>
      <c r="AK24" s="13"/>
      <c r="AL24" s="13"/>
      <c r="AM24" s="13"/>
      <c r="AN24" s="13"/>
      <c r="AO24" s="13"/>
      <c r="AP24" s="13"/>
      <c r="AQ24" s="13"/>
      <c r="AR24" s="13"/>
      <c r="AS24" s="13"/>
      <c r="AT24" s="13"/>
      <c r="AU24" s="13"/>
      <c r="AV24" s="13"/>
    </row>
    <row r="25" spans="1:48" s="30" customFormat="1" ht="18.75" x14ac:dyDescent="0.25">
      <c r="A25" s="1407"/>
      <c r="B25" s="191"/>
      <c r="C25" s="915"/>
      <c r="D25" s="916" t="s">
        <v>37</v>
      </c>
      <c r="E25" s="917"/>
      <c r="F25" s="918"/>
      <c r="G25" s="291" t="s">
        <v>690</v>
      </c>
      <c r="H25" s="290" t="s">
        <v>128</v>
      </c>
      <c r="I25" s="184"/>
      <c r="J25" s="228"/>
      <c r="K25" s="1381" t="str">
        <f>IF(OR(Feasibility_Concept="Feasibility Study",Feasibility_Concept="Memorandum or Short Report"),"&lt;----(ALWAYS APPLIES) Use DROP DOWN to chose it Deliverable/Master Item Applies","&lt;----Use DROP DOWN to chose it Deliverable/Master Item Applies")</f>
        <v>&lt;----Use DROP DOWN to chose it Deliverable/Master Item Applies</v>
      </c>
      <c r="L25" s="1382"/>
      <c r="M25" s="1382"/>
      <c r="N25" s="1382"/>
      <c r="O25" s="1382"/>
      <c r="P25" s="1382"/>
      <c r="Q25" s="1382"/>
      <c r="R25" s="1382"/>
      <c r="S25" s="1382"/>
      <c r="T25" s="1382"/>
      <c r="U25" s="1382"/>
      <c r="V25" s="1382"/>
      <c r="W25" s="1382"/>
      <c r="X25" s="1382"/>
      <c r="Y25" s="1382"/>
      <c r="Z25" s="1382"/>
      <c r="AA25" s="1382"/>
      <c r="AB25" s="1382"/>
      <c r="AC25" s="1382"/>
      <c r="AD25" s="1382"/>
      <c r="AE25" s="1382"/>
      <c r="AF25" s="1382"/>
      <c r="AG25" s="1382"/>
      <c r="AH25" s="1382"/>
      <c r="AI25" s="1382"/>
      <c r="AJ25" s="1382"/>
      <c r="AK25" s="181"/>
      <c r="AL25" s="181"/>
      <c r="AM25" s="181"/>
      <c r="AN25" s="181"/>
      <c r="AO25" s="181"/>
      <c r="AP25" s="181"/>
      <c r="AQ25" s="181"/>
      <c r="AR25" s="181"/>
      <c r="AS25" s="181"/>
      <c r="AT25" s="181"/>
      <c r="AU25" s="181"/>
      <c r="AV25" s="181"/>
    </row>
    <row r="26" spans="1:48" s="10" customFormat="1" ht="15.75" customHeight="1" x14ac:dyDescent="0.25">
      <c r="A26" s="1407"/>
      <c r="B26" s="9"/>
      <c r="C26" s="919"/>
      <c r="D26" s="920"/>
      <c r="E26" s="920"/>
      <c r="F26" s="920"/>
      <c r="G26" s="798"/>
      <c r="H26" s="798"/>
      <c r="I26" s="132"/>
      <c r="J26" s="27"/>
      <c r="K26" s="1382"/>
      <c r="L26" s="1382"/>
      <c r="M26" s="1382"/>
      <c r="N26" s="1382"/>
      <c r="O26" s="1382"/>
      <c r="P26" s="1382"/>
      <c r="Q26" s="1382"/>
      <c r="R26" s="1382"/>
      <c r="S26" s="1382"/>
      <c r="T26" s="1382"/>
      <c r="U26" s="1382"/>
      <c r="V26" s="1382"/>
      <c r="W26" s="1382"/>
      <c r="X26" s="1382"/>
      <c r="Y26" s="1382"/>
      <c r="Z26" s="1382"/>
      <c r="AA26" s="1382"/>
      <c r="AB26" s="1382"/>
      <c r="AC26" s="1382"/>
      <c r="AD26" s="1382"/>
      <c r="AE26" s="1382"/>
      <c r="AF26" s="1382"/>
      <c r="AG26" s="1382"/>
      <c r="AH26" s="1382"/>
      <c r="AI26" s="1382"/>
      <c r="AJ26" s="1382"/>
      <c r="AK26" s="203"/>
      <c r="AL26" s="203"/>
      <c r="AM26" s="203"/>
      <c r="AN26" s="203"/>
      <c r="AO26" s="203"/>
      <c r="AP26" s="203"/>
      <c r="AQ26" s="203"/>
      <c r="AR26" s="203"/>
      <c r="AS26" s="203"/>
      <c r="AT26" s="203"/>
      <c r="AU26" s="203"/>
      <c r="AV26" s="203"/>
    </row>
    <row r="27" spans="1:48" s="30" customFormat="1" ht="34.5" x14ac:dyDescent="0.25">
      <c r="A27" s="1407"/>
      <c r="B27" s="191"/>
      <c r="C27" s="915"/>
      <c r="D27" s="916" t="s">
        <v>37</v>
      </c>
      <c r="E27" s="917"/>
      <c r="F27" s="918"/>
      <c r="G27" s="287" t="s">
        <v>641</v>
      </c>
      <c r="H27" s="290" t="s">
        <v>864</v>
      </c>
      <c r="I27" s="184"/>
      <c r="J27" s="228"/>
      <c r="K27" s="1381" t="str">
        <f>IF(OR(Feasibility_Concept="Feasibility Study",Feasibility_Concept="Memorandum or Short Report"),"&lt;----(USUALLY APPLIES) Use DROP DOWN to chose it Deliverable/Master Item Applies","&lt;----Use DROP DOWN to chose it Deliverable/Master Item Applies")</f>
        <v>&lt;----Use DROP DOWN to chose it Deliverable/Master Item Applies</v>
      </c>
      <c r="L27" s="1382"/>
      <c r="M27" s="1382"/>
      <c r="N27" s="1382"/>
      <c r="O27" s="1382"/>
      <c r="P27" s="1382"/>
      <c r="Q27" s="1382"/>
      <c r="R27" s="1382"/>
      <c r="S27" s="1382"/>
      <c r="T27" s="1382"/>
      <c r="U27" s="1382"/>
      <c r="V27" s="1382"/>
      <c r="W27" s="1382"/>
      <c r="X27" s="1382"/>
      <c r="Y27" s="1382"/>
      <c r="Z27" s="1382"/>
      <c r="AA27" s="1382"/>
      <c r="AB27" s="1382"/>
      <c r="AC27" s="1382"/>
      <c r="AD27" s="1382"/>
      <c r="AE27" s="1382"/>
      <c r="AF27" s="1382"/>
      <c r="AG27" s="1382"/>
      <c r="AH27" s="1382"/>
      <c r="AI27" s="1382"/>
      <c r="AJ27" s="1382"/>
      <c r="AK27" s="181"/>
      <c r="AL27" s="181"/>
      <c r="AM27" s="181"/>
      <c r="AN27" s="181"/>
      <c r="AO27" s="181"/>
      <c r="AP27" s="181"/>
      <c r="AQ27" s="181"/>
      <c r="AR27" s="181"/>
      <c r="AS27" s="181"/>
      <c r="AT27" s="181"/>
      <c r="AU27" s="181"/>
      <c r="AV27" s="181"/>
    </row>
    <row r="28" spans="1:48" s="545" customFormat="1" ht="15" customHeight="1" x14ac:dyDescent="0.25">
      <c r="A28" s="1407"/>
      <c r="B28" s="554"/>
      <c r="C28" s="921"/>
      <c r="D28" s="1946"/>
      <c r="E28" s="1969" t="s">
        <v>37</v>
      </c>
      <c r="F28" s="917"/>
      <c r="G28" s="287"/>
      <c r="H28" s="340" t="s">
        <v>599</v>
      </c>
      <c r="I28" s="552"/>
      <c r="J28" s="228"/>
      <c r="K28" s="1381"/>
      <c r="L28" s="1382"/>
      <c r="M28" s="1382"/>
      <c r="N28" s="1382"/>
      <c r="O28" s="1382"/>
      <c r="P28" s="1382"/>
      <c r="Q28" s="1382"/>
      <c r="R28" s="1382"/>
      <c r="S28" s="1382"/>
      <c r="T28" s="1382"/>
      <c r="U28" s="1382"/>
      <c r="V28" s="1382"/>
      <c r="W28" s="1382"/>
      <c r="X28" s="1382"/>
      <c r="Y28" s="1382"/>
      <c r="Z28" s="1382"/>
      <c r="AA28" s="1382"/>
      <c r="AB28" s="1382"/>
      <c r="AC28" s="1382"/>
      <c r="AD28" s="1382"/>
      <c r="AE28" s="1382"/>
      <c r="AF28" s="1382"/>
      <c r="AG28" s="1382"/>
      <c r="AH28" s="1382"/>
      <c r="AI28" s="1382"/>
      <c r="AJ28" s="1382"/>
      <c r="AK28" s="551"/>
      <c r="AL28" s="551"/>
      <c r="AM28" s="551"/>
      <c r="AN28" s="551"/>
      <c r="AO28" s="551"/>
      <c r="AP28" s="551"/>
      <c r="AQ28" s="551"/>
      <c r="AR28" s="551"/>
      <c r="AS28" s="551"/>
      <c r="AT28" s="551"/>
      <c r="AU28" s="551"/>
      <c r="AV28" s="551"/>
    </row>
    <row r="29" spans="1:48" s="545" customFormat="1" ht="15" customHeight="1" x14ac:dyDescent="0.25">
      <c r="A29" s="1407"/>
      <c r="B29" s="554"/>
      <c r="C29" s="921"/>
      <c r="D29" s="1946"/>
      <c r="E29" s="1969" t="s">
        <v>37</v>
      </c>
      <c r="F29" s="917"/>
      <c r="G29" s="287"/>
      <c r="H29" s="340" t="s">
        <v>1203</v>
      </c>
      <c r="I29" s="552"/>
      <c r="J29" s="228"/>
      <c r="K29" s="1381"/>
      <c r="L29" s="1382"/>
      <c r="M29" s="1382"/>
      <c r="N29" s="1382"/>
      <c r="O29" s="1382"/>
      <c r="P29" s="1382"/>
      <c r="Q29" s="1382"/>
      <c r="R29" s="1382"/>
      <c r="S29" s="1382"/>
      <c r="T29" s="1382"/>
      <c r="U29" s="1382"/>
      <c r="V29" s="1382"/>
      <c r="W29" s="1382"/>
      <c r="X29" s="1382"/>
      <c r="Y29" s="1382"/>
      <c r="Z29" s="1382"/>
      <c r="AA29" s="1382"/>
      <c r="AB29" s="1382"/>
      <c r="AC29" s="1382"/>
      <c r="AD29" s="1382"/>
      <c r="AE29" s="1382"/>
      <c r="AF29" s="1382"/>
      <c r="AG29" s="1382"/>
      <c r="AH29" s="1382"/>
      <c r="AI29" s="1382"/>
      <c r="AJ29" s="1382"/>
      <c r="AK29" s="551"/>
      <c r="AL29" s="551"/>
      <c r="AM29" s="551"/>
      <c r="AN29" s="551"/>
      <c r="AO29" s="551"/>
      <c r="AP29" s="551"/>
      <c r="AQ29" s="551"/>
      <c r="AR29" s="551"/>
      <c r="AS29" s="551"/>
      <c r="AT29" s="551"/>
      <c r="AU29" s="551"/>
      <c r="AV29" s="551"/>
    </row>
    <row r="30" spans="1:48" s="545" customFormat="1" ht="15" customHeight="1" x14ac:dyDescent="0.25">
      <c r="A30" s="1407"/>
      <c r="B30" s="554"/>
      <c r="C30" s="921"/>
      <c r="D30" s="1946"/>
      <c r="E30" s="1969" t="s">
        <v>37</v>
      </c>
      <c r="F30" s="917"/>
      <c r="G30" s="287"/>
      <c r="H30" s="340" t="s">
        <v>478</v>
      </c>
      <c r="I30" s="552"/>
      <c r="J30" s="228"/>
      <c r="K30" s="1381"/>
      <c r="L30" s="1382"/>
      <c r="M30" s="1382"/>
      <c r="N30" s="1382"/>
      <c r="O30" s="1382"/>
      <c r="P30" s="1382"/>
      <c r="Q30" s="1382"/>
      <c r="R30" s="1382"/>
      <c r="S30" s="1382"/>
      <c r="T30" s="1382"/>
      <c r="U30" s="1382"/>
      <c r="V30" s="1382"/>
      <c r="W30" s="1382"/>
      <c r="X30" s="1382"/>
      <c r="Y30" s="1382"/>
      <c r="Z30" s="1382"/>
      <c r="AA30" s="1382"/>
      <c r="AB30" s="1382"/>
      <c r="AC30" s="1382"/>
      <c r="AD30" s="1382"/>
      <c r="AE30" s="1382"/>
      <c r="AF30" s="1382"/>
      <c r="AG30" s="1382"/>
      <c r="AH30" s="1382"/>
      <c r="AI30" s="1382"/>
      <c r="AJ30" s="1382"/>
      <c r="AK30" s="551"/>
      <c r="AL30" s="551"/>
      <c r="AM30" s="551"/>
      <c r="AN30" s="551"/>
      <c r="AO30" s="551"/>
      <c r="AP30" s="551"/>
      <c r="AQ30" s="551"/>
      <c r="AR30" s="551"/>
      <c r="AS30" s="551"/>
      <c r="AT30" s="551"/>
      <c r="AU30" s="551"/>
      <c r="AV30" s="551"/>
    </row>
    <row r="31" spans="1:48" s="30" customFormat="1" ht="18.75" customHeight="1" x14ac:dyDescent="0.25">
      <c r="A31" s="1407"/>
      <c r="B31" s="191"/>
      <c r="C31" s="921"/>
      <c r="D31" s="922"/>
      <c r="E31" s="923"/>
      <c r="F31" s="923"/>
      <c r="G31" s="288"/>
      <c r="H31" s="799" t="s">
        <v>939</v>
      </c>
      <c r="I31" s="186"/>
      <c r="J31" s="192"/>
      <c r="K31" s="1274"/>
      <c r="L31" s="1382"/>
      <c r="M31" s="1382"/>
      <c r="N31" s="1382"/>
      <c r="O31" s="1382"/>
      <c r="P31" s="1382"/>
      <c r="Q31" s="1382"/>
      <c r="R31" s="1382"/>
      <c r="S31" s="1382"/>
      <c r="T31" s="1382"/>
      <c r="U31" s="1382"/>
      <c r="V31" s="1382"/>
      <c r="W31" s="1382"/>
      <c r="X31" s="1382"/>
      <c r="Y31" s="1382"/>
      <c r="Z31" s="1382"/>
      <c r="AA31" s="1382"/>
      <c r="AB31" s="1382"/>
      <c r="AC31" s="1382"/>
      <c r="AD31" s="1382"/>
      <c r="AE31" s="1382"/>
      <c r="AF31" s="1382"/>
      <c r="AG31" s="1382"/>
      <c r="AH31" s="1382"/>
      <c r="AI31" s="1382"/>
      <c r="AJ31" s="1382"/>
      <c r="AK31" s="181"/>
      <c r="AL31" s="181"/>
      <c r="AM31" s="181"/>
      <c r="AN31" s="181"/>
      <c r="AO31" s="181"/>
      <c r="AP31" s="181"/>
      <c r="AQ31" s="181"/>
      <c r="AR31" s="181"/>
      <c r="AS31" s="181"/>
      <c r="AT31" s="181"/>
      <c r="AU31" s="181"/>
      <c r="AV31" s="181"/>
    </row>
    <row r="32" spans="1:48" s="30" customFormat="1" ht="18.75" x14ac:dyDescent="0.25">
      <c r="A32" s="1407"/>
      <c r="B32" s="191"/>
      <c r="C32" s="915"/>
      <c r="D32" s="916" t="s">
        <v>37</v>
      </c>
      <c r="E32" s="917"/>
      <c r="F32" s="918"/>
      <c r="G32" s="287" t="s">
        <v>691</v>
      </c>
      <c r="H32" s="800" t="str">
        <f>IF(Applies_Schedule_Feas_Concept_Only="n","Project Schedule Not Used in this Design Phase","Project Schedule (Proposed Durations of Activities)")</f>
        <v>Project Schedule (Proposed Durations of Activities)</v>
      </c>
      <c r="I32" s="184"/>
      <c r="J32" s="228"/>
      <c r="K32" s="1381" t="str">
        <f>IF(OR(Feasibility_Concept="Feasibility Study",Feasibility_Concept="Memorandum or Short Report"),"&lt;----(USUALLY APPLIES) Use DROP DOWN to chose it Deliverable/Master Item Applies","&lt;----Use DROP DOWN to chose it Deliverable/Master Item Applies")</f>
        <v>&lt;----Use DROP DOWN to chose it Deliverable/Master Item Applies</v>
      </c>
      <c r="L32" s="1382"/>
      <c r="M32" s="1382"/>
      <c r="N32" s="1382"/>
      <c r="O32" s="1382"/>
      <c r="P32" s="1382"/>
      <c r="Q32" s="1382"/>
      <c r="R32" s="1382"/>
      <c r="S32" s="1382"/>
      <c r="T32" s="1382"/>
      <c r="U32" s="1382"/>
      <c r="V32" s="1382"/>
      <c r="W32" s="1382"/>
      <c r="X32" s="1382"/>
      <c r="Y32" s="1382"/>
      <c r="Z32" s="1382"/>
      <c r="AA32" s="1382"/>
      <c r="AB32" s="1382"/>
      <c r="AC32" s="1382"/>
      <c r="AD32" s="1382"/>
      <c r="AE32" s="1382"/>
      <c r="AF32" s="1382"/>
      <c r="AG32" s="1382"/>
      <c r="AH32" s="1382"/>
      <c r="AI32" s="1382"/>
      <c r="AJ32" s="1382"/>
      <c r="AK32" s="181"/>
      <c r="AL32" s="181"/>
      <c r="AM32" s="181"/>
      <c r="AN32" s="181"/>
      <c r="AO32" s="181"/>
      <c r="AP32" s="181"/>
      <c r="AQ32" s="181"/>
      <c r="AR32" s="181"/>
      <c r="AS32" s="181"/>
      <c r="AT32" s="181"/>
      <c r="AU32" s="181"/>
      <c r="AV32" s="181"/>
    </row>
    <row r="33" spans="1:48" s="545" customFormat="1" ht="15" customHeight="1" x14ac:dyDescent="0.25">
      <c r="A33" s="1407"/>
      <c r="B33" s="554"/>
      <c r="C33" s="921"/>
      <c r="D33" s="1946"/>
      <c r="E33" s="1969" t="s">
        <v>37</v>
      </c>
      <c r="F33" s="917"/>
      <c r="G33" s="287"/>
      <c r="H33" s="1970" t="s">
        <v>19</v>
      </c>
      <c r="I33" s="552"/>
      <c r="J33" s="228"/>
      <c r="K33" s="1381"/>
      <c r="L33" s="1382"/>
      <c r="M33" s="1382"/>
      <c r="N33" s="1382"/>
      <c r="O33" s="1382"/>
      <c r="P33" s="1382"/>
      <c r="Q33" s="1382"/>
      <c r="R33" s="1382"/>
      <c r="S33" s="1382"/>
      <c r="T33" s="1382"/>
      <c r="U33" s="1382"/>
      <c r="V33" s="1382"/>
      <c r="W33" s="1382"/>
      <c r="X33" s="1382"/>
      <c r="Y33" s="1382"/>
      <c r="Z33" s="1382"/>
      <c r="AA33" s="1382"/>
      <c r="AB33" s="1382"/>
      <c r="AC33" s="1382"/>
      <c r="AD33" s="1382"/>
      <c r="AE33" s="1382"/>
      <c r="AF33" s="1382"/>
      <c r="AG33" s="1382"/>
      <c r="AH33" s="1382"/>
      <c r="AI33" s="1382"/>
      <c r="AJ33" s="1382"/>
      <c r="AK33" s="551"/>
      <c r="AL33" s="551"/>
      <c r="AM33" s="551"/>
      <c r="AN33" s="551"/>
      <c r="AO33" s="551"/>
      <c r="AP33" s="551"/>
      <c r="AQ33" s="551"/>
      <c r="AR33" s="551"/>
      <c r="AS33" s="551"/>
      <c r="AT33" s="551"/>
      <c r="AU33" s="551"/>
      <c r="AV33" s="551"/>
    </row>
    <row r="34" spans="1:48" s="545" customFormat="1" ht="15" customHeight="1" x14ac:dyDescent="0.25">
      <c r="A34" s="1407"/>
      <c r="B34" s="554"/>
      <c r="C34" s="921"/>
      <c r="D34" s="1946"/>
      <c r="E34" s="1969" t="s">
        <v>37</v>
      </c>
      <c r="F34" s="917"/>
      <c r="G34" s="287"/>
      <c r="H34" s="1970" t="s">
        <v>1202</v>
      </c>
      <c r="I34" s="552"/>
      <c r="J34" s="228"/>
      <c r="K34" s="1381"/>
      <c r="L34" s="1382"/>
      <c r="M34" s="1382"/>
      <c r="N34" s="1382"/>
      <c r="O34" s="1382"/>
      <c r="P34" s="1382"/>
      <c r="Q34" s="1382"/>
      <c r="R34" s="1382"/>
      <c r="S34" s="1382"/>
      <c r="T34" s="1382"/>
      <c r="U34" s="1382"/>
      <c r="V34" s="1382"/>
      <c r="W34" s="1382"/>
      <c r="X34" s="1382"/>
      <c r="Y34" s="1382"/>
      <c r="Z34" s="1382"/>
      <c r="AA34" s="1382"/>
      <c r="AB34" s="1382"/>
      <c r="AC34" s="1382"/>
      <c r="AD34" s="1382"/>
      <c r="AE34" s="1382"/>
      <c r="AF34" s="1382"/>
      <c r="AG34" s="1382"/>
      <c r="AH34" s="1382"/>
      <c r="AI34" s="1382"/>
      <c r="AJ34" s="1382"/>
      <c r="AK34" s="551"/>
      <c r="AL34" s="551"/>
      <c r="AM34" s="551"/>
      <c r="AN34" s="551"/>
      <c r="AO34" s="551"/>
      <c r="AP34" s="551"/>
      <c r="AQ34" s="551"/>
      <c r="AR34" s="551"/>
      <c r="AS34" s="551"/>
      <c r="AT34" s="551"/>
      <c r="AU34" s="551"/>
      <c r="AV34" s="551"/>
    </row>
    <row r="35" spans="1:48" s="545" customFormat="1" ht="15" customHeight="1" x14ac:dyDescent="0.25">
      <c r="A35" s="1407"/>
      <c r="B35" s="554"/>
      <c r="C35" s="921"/>
      <c r="D35" s="1946"/>
      <c r="E35" s="1969" t="s">
        <v>37</v>
      </c>
      <c r="F35" s="917"/>
      <c r="G35" s="287"/>
      <c r="H35" s="1970" t="s">
        <v>1201</v>
      </c>
      <c r="I35" s="552"/>
      <c r="J35" s="228"/>
      <c r="K35" s="1381"/>
      <c r="L35" s="1382"/>
      <c r="M35" s="1382"/>
      <c r="N35" s="1382"/>
      <c r="O35" s="1382"/>
      <c r="P35" s="1382"/>
      <c r="Q35" s="1382"/>
      <c r="R35" s="1382"/>
      <c r="S35" s="1382"/>
      <c r="T35" s="1382"/>
      <c r="U35" s="1382"/>
      <c r="V35" s="1382"/>
      <c r="W35" s="1382"/>
      <c r="X35" s="1382"/>
      <c r="Y35" s="1382"/>
      <c r="Z35" s="1382"/>
      <c r="AA35" s="1382"/>
      <c r="AB35" s="1382"/>
      <c r="AC35" s="1382"/>
      <c r="AD35" s="1382"/>
      <c r="AE35" s="1382"/>
      <c r="AF35" s="1382"/>
      <c r="AG35" s="1382"/>
      <c r="AH35" s="1382"/>
      <c r="AI35" s="1382"/>
      <c r="AJ35" s="1382"/>
      <c r="AK35" s="551"/>
      <c r="AL35" s="551"/>
      <c r="AM35" s="551"/>
      <c r="AN35" s="551"/>
      <c r="AO35" s="551"/>
      <c r="AP35" s="551"/>
      <c r="AQ35" s="551"/>
      <c r="AR35" s="551"/>
      <c r="AS35" s="551"/>
      <c r="AT35" s="551"/>
      <c r="AU35" s="551"/>
      <c r="AV35" s="551"/>
    </row>
    <row r="36" spans="1:48" s="30" customFormat="1" x14ac:dyDescent="0.25">
      <c r="A36" s="1407"/>
      <c r="B36" s="191"/>
      <c r="C36" s="921"/>
      <c r="D36" s="922"/>
      <c r="E36" s="923"/>
      <c r="F36" s="923"/>
      <c r="G36" s="288"/>
      <c r="H36" s="289"/>
      <c r="I36" s="186"/>
      <c r="J36" s="192"/>
      <c r="K36" s="1274"/>
      <c r="L36" s="1382"/>
      <c r="M36" s="1382"/>
      <c r="N36" s="1382"/>
      <c r="O36" s="1382"/>
      <c r="P36" s="1382"/>
      <c r="Q36" s="1382"/>
      <c r="R36" s="1382"/>
      <c r="S36" s="1382"/>
      <c r="T36" s="1382"/>
      <c r="U36" s="1382"/>
      <c r="V36" s="1382"/>
      <c r="W36" s="1382"/>
      <c r="X36" s="1382"/>
      <c r="Y36" s="1382"/>
      <c r="Z36" s="1382"/>
      <c r="AA36" s="1382"/>
      <c r="AB36" s="1382"/>
      <c r="AC36" s="1382"/>
      <c r="AD36" s="1382"/>
      <c r="AE36" s="1382"/>
      <c r="AF36" s="1382"/>
      <c r="AG36" s="1382"/>
      <c r="AH36" s="1382"/>
      <c r="AI36" s="1382"/>
      <c r="AJ36" s="1382"/>
      <c r="AK36" s="181"/>
      <c r="AL36" s="181"/>
      <c r="AM36" s="181"/>
      <c r="AN36" s="181"/>
      <c r="AO36" s="181"/>
      <c r="AP36" s="181"/>
      <c r="AQ36" s="181"/>
      <c r="AR36" s="181"/>
      <c r="AS36" s="181"/>
      <c r="AT36" s="181"/>
      <c r="AU36" s="181"/>
      <c r="AV36" s="181"/>
    </row>
    <row r="37" spans="1:48" s="30" customFormat="1" ht="18.75" x14ac:dyDescent="0.25">
      <c r="A37" s="1407"/>
      <c r="B37" s="191"/>
      <c r="C37" s="915"/>
      <c r="D37" s="916" t="s">
        <v>37</v>
      </c>
      <c r="E37" s="917"/>
      <c r="F37" s="918"/>
      <c r="G37" s="287" t="s">
        <v>642</v>
      </c>
      <c r="H37" s="800" t="s">
        <v>20</v>
      </c>
      <c r="I37" s="184"/>
      <c r="J37" s="228"/>
      <c r="K37" s="1381" t="str">
        <f>IF(OR(Feasibility_Concept="Feasibility Study",Feasibility_Concept="Memorandum or Short Report"),"&lt;----(USUALLY APPLIES) Use DROP DOWN to chose it Deliverable/Master Item Applies","&lt;----Use DROP DOWN to chose it Deliverable/Master Item Applies")</f>
        <v>&lt;----Use DROP DOWN to chose it Deliverable/Master Item Applies</v>
      </c>
      <c r="L37" s="1382"/>
      <c r="M37" s="1382"/>
      <c r="N37" s="1382"/>
      <c r="O37" s="1382"/>
      <c r="P37" s="1382"/>
      <c r="Q37" s="1382"/>
      <c r="R37" s="1382"/>
      <c r="S37" s="1382"/>
      <c r="T37" s="1382"/>
      <c r="U37" s="1382"/>
      <c r="V37" s="1382"/>
      <c r="W37" s="1382"/>
      <c r="X37" s="1382"/>
      <c r="Y37" s="1382"/>
      <c r="Z37" s="1382"/>
      <c r="AA37" s="1382"/>
      <c r="AB37" s="1382"/>
      <c r="AC37" s="1382"/>
      <c r="AD37" s="1382"/>
      <c r="AE37" s="1382"/>
      <c r="AF37" s="1382"/>
      <c r="AG37" s="1382"/>
      <c r="AH37" s="1382"/>
      <c r="AI37" s="1382"/>
      <c r="AJ37" s="1382"/>
      <c r="AK37" s="181"/>
      <c r="AL37" s="181"/>
      <c r="AM37" s="181"/>
      <c r="AN37" s="181"/>
      <c r="AO37" s="181"/>
      <c r="AP37" s="181"/>
      <c r="AQ37" s="181"/>
      <c r="AR37" s="181"/>
      <c r="AS37" s="181"/>
      <c r="AT37" s="181"/>
      <c r="AU37" s="181"/>
      <c r="AV37" s="181"/>
    </row>
    <row r="38" spans="1:48" s="30" customFormat="1" x14ac:dyDescent="0.25">
      <c r="A38" s="1407"/>
      <c r="B38" s="191"/>
      <c r="C38" s="921"/>
      <c r="D38" s="922"/>
      <c r="E38" s="923"/>
      <c r="F38" s="923"/>
      <c r="G38" s="288"/>
      <c r="H38" s="289"/>
      <c r="I38" s="186"/>
      <c r="J38" s="192"/>
      <c r="K38" s="1382"/>
      <c r="L38" s="1382"/>
      <c r="M38" s="1382"/>
      <c r="N38" s="1382"/>
      <c r="O38" s="1382"/>
      <c r="P38" s="1382"/>
      <c r="Q38" s="1382"/>
      <c r="R38" s="1382"/>
      <c r="S38" s="1382"/>
      <c r="T38" s="1382"/>
      <c r="U38" s="1382"/>
      <c r="V38" s="1382"/>
      <c r="W38" s="1382"/>
      <c r="X38" s="1382"/>
      <c r="Y38" s="1382"/>
      <c r="Z38" s="1382"/>
      <c r="AA38" s="1382"/>
      <c r="AB38" s="1382"/>
      <c r="AC38" s="1382"/>
      <c r="AD38" s="1382"/>
      <c r="AE38" s="1382"/>
      <c r="AF38" s="1382"/>
      <c r="AG38" s="1382"/>
      <c r="AH38" s="1382"/>
      <c r="AI38" s="1382"/>
      <c r="AJ38" s="1382"/>
      <c r="AK38" s="181"/>
      <c r="AL38" s="181"/>
      <c r="AM38" s="181"/>
      <c r="AN38" s="181"/>
      <c r="AO38" s="181"/>
      <c r="AP38" s="181"/>
      <c r="AQ38" s="181"/>
      <c r="AR38" s="181"/>
      <c r="AS38" s="181"/>
      <c r="AT38" s="181"/>
      <c r="AU38" s="181"/>
      <c r="AV38" s="181"/>
    </row>
    <row r="39" spans="1:48" s="30" customFormat="1" ht="38.25" customHeight="1" x14ac:dyDescent="0.25">
      <c r="A39" s="1408"/>
      <c r="B39" s="191"/>
      <c r="C39" s="921"/>
      <c r="D39" s="924" t="s">
        <v>37</v>
      </c>
      <c r="E39" s="925"/>
      <c r="F39" s="926"/>
      <c r="G39" s="342" t="s">
        <v>692</v>
      </c>
      <c r="H39" s="293" t="str">
        <f>IF(Applies_BOD_PS_Feas_Concept_Only="n","Basis of Design (BOD) / Program Statement Not Used in this Design Phase",CONCATENATE("Basis of Design (BOD) / Program Statement (",Feasibility_Concept,IF(ISNUMBER(SEARCH("report",Feasibility_Concept))=TRUE,")"," Report)")))</f>
        <v>Basis of Design (BOD) / Program Statement (Conceptualization Report)</v>
      </c>
      <c r="I39" s="184"/>
      <c r="J39" s="230"/>
      <c r="K39" s="1381" t="str">
        <f>IF(OR(Feasibility_Concept="Feasibility Study",Feasibility_Concept="Memorandum or Short Report"),"&lt;----(ALWAYS APPLIES) Use DROP DOWN to chose it Deliverable/Master Item Applies","&lt;----Use DROP DOWN to chose it Deliverable/Master Item Applies")</f>
        <v>&lt;----Use DROP DOWN to chose it Deliverable/Master Item Applies</v>
      </c>
      <c r="L39" s="1382"/>
      <c r="M39" s="1382"/>
      <c r="N39" s="1382"/>
      <c r="O39" s="1382"/>
      <c r="P39" s="1382"/>
      <c r="Q39" s="1382"/>
      <c r="R39" s="1382"/>
      <c r="S39" s="1382"/>
      <c r="T39" s="1382"/>
      <c r="U39" s="1382"/>
      <c r="V39" s="1382"/>
      <c r="W39" s="1382"/>
      <c r="X39" s="1382"/>
      <c r="Y39" s="1382"/>
      <c r="Z39" s="1382"/>
      <c r="AA39" s="1382"/>
      <c r="AB39" s="1382"/>
      <c r="AC39" s="1382"/>
      <c r="AD39" s="1382"/>
      <c r="AE39" s="1382"/>
      <c r="AF39" s="1382"/>
      <c r="AG39" s="1382"/>
      <c r="AH39" s="1382"/>
      <c r="AI39" s="1382"/>
      <c r="AJ39" s="1382"/>
      <c r="AK39" s="181"/>
      <c r="AL39" s="181"/>
      <c r="AM39" s="181"/>
      <c r="AN39" s="181"/>
      <c r="AO39" s="181"/>
      <c r="AP39" s="181"/>
      <c r="AQ39" s="181"/>
      <c r="AR39" s="181"/>
      <c r="AS39" s="181"/>
      <c r="AT39" s="181"/>
      <c r="AU39" s="181"/>
      <c r="AV39" s="181"/>
    </row>
    <row r="40" spans="1:48" s="30" customFormat="1" ht="31.5" customHeight="1" x14ac:dyDescent="0.25">
      <c r="A40" s="1402"/>
      <c r="B40" s="191"/>
      <c r="C40" s="343" t="s">
        <v>261</v>
      </c>
      <c r="D40" s="2067" t="str">
        <f>IF(Applies_BOD_PS_Feas_Concept_Only="N","",IF(COUNTIF(E41:E221,"Y")&gt;1,"Error - choose only 1",IF(COUNTIF(E41:E221,"Y")&lt;1,"Choose at least 1","Selection =")))</f>
        <v>Error - choose only 1</v>
      </c>
      <c r="E40" s="2068"/>
      <c r="F40" s="2068"/>
      <c r="G40" s="2068"/>
      <c r="H40" s="344" t="str">
        <f>IF(Applies_BOD_PS_Feas_Concept_Only="N","",IF(COUNTIF(E41:E221,"Y")&gt;1,CONCATENATE(IF(Applies_Rpt_Type1_Feas_Concept_Only="Y",H41,"-")," / ",IF(Applies_Rpt_Type2_Feas_Concept_Only="Y",H155,"-")," / ",IF(Applies_Rpt_Type3_Feas_Concept_Only="Y",H179,"-")," / ",IF(Applies_Rpt_Type4_Feas_Concept_Only="Y",H199,"-")),IF(COUNTIF(E41:E221,"Y")&lt;1,"No choice made",IF(Applies_Rpt_Type1_Feas_Concept_Only="Y",H41,IF(Applies_Rpt_Type2_Feas_Concept_Only="Y",H155,IF(Applies_Rpt_Type3_Feas_Concept_Only="Y",H179,IF(Applies_Rpt_Type4_Feas_Concept_Only="Y",H199,"")))))))</f>
        <v>Report Type 1 - BOD/PS (SIMILAR COMPONENTS AS CONCEPTUALIZATION REPORT) - default / Report Type 2 - CONDITION AND/OR CAPACITY ASSESSMENTS (Overall system and general components)  / Report Type 3 - STRUCTURAL ASSESSMENTS AND RECOMMENDATIONS OF POTENTIAL STRENGTHENING / Report Type 4 - SITE, PARKING, LANDSCAPE, HARDSCAPE &amp; STORMWATER ASSESSMENT &amp; RECOMMENDATIONS</v>
      </c>
      <c r="I40" s="197"/>
      <c r="J40" s="229"/>
      <c r="K40" s="1383" t="str">
        <f>IF(ISNUMBER(SEARCH("Error",D40))=TRUE,"&lt;----Choose only 1 of the 4 report types",IF(ISNUMBER(SEARCH("at least",D40))=TRUE,"&lt;----Choose at least 1 of the report types",""))</f>
        <v>&lt;----Choose only 1 of the 4 report types</v>
      </c>
      <c r="L40" s="1382"/>
      <c r="M40" s="1382"/>
      <c r="N40" s="1382"/>
      <c r="O40" s="1382"/>
      <c r="P40" s="1382"/>
      <c r="Q40" s="1382"/>
      <c r="R40" s="1382"/>
      <c r="S40" s="1382"/>
      <c r="T40" s="1382"/>
      <c r="U40" s="1382"/>
      <c r="V40" s="1382"/>
      <c r="W40" s="1382"/>
      <c r="X40" s="1382"/>
      <c r="Y40" s="1382"/>
      <c r="Z40" s="1382"/>
      <c r="AA40" s="1382"/>
      <c r="AB40" s="1382"/>
      <c r="AC40" s="1382"/>
      <c r="AD40" s="1382"/>
      <c r="AE40" s="1382"/>
      <c r="AF40" s="1382"/>
      <c r="AG40" s="1382"/>
      <c r="AH40" s="1382"/>
      <c r="AI40" s="1382"/>
      <c r="AJ40" s="1382"/>
      <c r="AK40" s="181"/>
      <c r="AL40" s="181"/>
      <c r="AM40" s="181"/>
      <c r="AN40" s="181"/>
      <c r="AO40" s="181"/>
      <c r="AP40" s="181"/>
      <c r="AQ40" s="181"/>
      <c r="AR40" s="181"/>
      <c r="AS40" s="181"/>
      <c r="AT40" s="181"/>
      <c r="AU40" s="181"/>
      <c r="AV40" s="181"/>
    </row>
    <row r="41" spans="1:48" s="30" customFormat="1" ht="28.5" customHeight="1" x14ac:dyDescent="0.25">
      <c r="A41" s="1408"/>
      <c r="B41" s="191"/>
      <c r="C41" s="921"/>
      <c r="D41" s="2073" t="s">
        <v>588</v>
      </c>
      <c r="E41" s="935" t="s">
        <v>37</v>
      </c>
      <c r="F41" s="917"/>
      <c r="G41" s="918"/>
      <c r="H41" s="339" t="s">
        <v>586</v>
      </c>
      <c r="I41" s="196"/>
      <c r="J41" s="229"/>
      <c r="K41" s="1384" t="str">
        <f>IF(Applies_Rpt_Type1_Feas_Concept_Only="N",CONCATENATE("&lt;----HIDE ROW Because Report Type 1 &amp; E",ROW(Applies_Rpt_Type1_Feas_Concept_Only)," is ''N''"),"&lt;----Use DROP DOWN to chose it Deliverable/Master Item Applies")</f>
        <v>&lt;----Use DROP DOWN to chose it Deliverable/Master Item Applies</v>
      </c>
      <c r="L41" s="1382"/>
      <c r="M41" s="1382"/>
      <c r="N41" s="1382"/>
      <c r="O41" s="1382"/>
      <c r="P41" s="1382"/>
      <c r="Q41" s="1382"/>
      <c r="R41" s="1382"/>
      <c r="S41" s="1382"/>
      <c r="T41" s="1382"/>
      <c r="U41" s="1382"/>
      <c r="V41" s="1382"/>
      <c r="W41" s="1382"/>
      <c r="X41" s="1382"/>
      <c r="Y41" s="1382"/>
      <c r="Z41" s="1382"/>
      <c r="AA41" s="1382"/>
      <c r="AB41" s="1382"/>
      <c r="AC41" s="1382"/>
      <c r="AD41" s="1382"/>
      <c r="AE41" s="1382"/>
      <c r="AF41" s="1382"/>
      <c r="AG41" s="1382"/>
      <c r="AH41" s="1382"/>
      <c r="AI41" s="1382"/>
      <c r="AJ41" s="1382"/>
      <c r="AK41" s="181"/>
      <c r="AL41" s="181"/>
      <c r="AM41" s="181"/>
      <c r="AN41" s="181"/>
      <c r="AO41" s="181"/>
      <c r="AP41" s="181"/>
      <c r="AQ41" s="181"/>
      <c r="AR41" s="181"/>
      <c r="AS41" s="181"/>
      <c r="AT41" s="181"/>
      <c r="AU41" s="181"/>
      <c r="AV41" s="181"/>
    </row>
    <row r="42" spans="1:48" s="30" customFormat="1" ht="15" customHeight="1" x14ac:dyDescent="0.25">
      <c r="A42" s="1408"/>
      <c r="B42" s="191"/>
      <c r="C42" s="921"/>
      <c r="D42" s="2074"/>
      <c r="E42" s="923"/>
      <c r="F42" s="933" t="s">
        <v>37</v>
      </c>
      <c r="G42" s="940"/>
      <c r="H42" s="340" t="s">
        <v>507</v>
      </c>
      <c r="I42" s="196"/>
      <c r="J42" s="229"/>
      <c r="K42" s="1385" t="str">
        <f t="shared" ref="K42:K51" si="0">IF(Applies_Rpt_Type1_Feas_Concept_Only="N",CONCATENATE("&lt;----HIDE ROW Because Report Type 1 &amp; E",ROW(Applies_Rpt_Type1_Feas_Concept_Only)," is ''N''"),"&lt;----Use DROP DOWN to chose if Component Item Applies")</f>
        <v>&lt;----Use DROP DOWN to chose if Component Item Applies</v>
      </c>
      <c r="L42" s="1382"/>
      <c r="M42" s="1382"/>
      <c r="N42" s="1382"/>
      <c r="O42" s="1382"/>
      <c r="P42" s="1382"/>
      <c r="Q42" s="1382"/>
      <c r="R42" s="1382"/>
      <c r="S42" s="1382"/>
      <c r="T42" s="1382"/>
      <c r="U42" s="1382"/>
      <c r="V42" s="1382"/>
      <c r="W42" s="1382"/>
      <c r="X42" s="1382"/>
      <c r="Y42" s="1382"/>
      <c r="Z42" s="1382"/>
      <c r="AA42" s="1382"/>
      <c r="AB42" s="1382"/>
      <c r="AC42" s="1382"/>
      <c r="AD42" s="1382"/>
      <c r="AE42" s="1382"/>
      <c r="AF42" s="1382"/>
      <c r="AG42" s="1382"/>
      <c r="AH42" s="1382"/>
      <c r="AI42" s="1382"/>
      <c r="AJ42" s="1382"/>
      <c r="AK42" s="181"/>
      <c r="AL42" s="181"/>
      <c r="AM42" s="181"/>
      <c r="AN42" s="181"/>
      <c r="AO42" s="181"/>
      <c r="AP42" s="181"/>
      <c r="AQ42" s="181"/>
      <c r="AR42" s="181"/>
      <c r="AS42" s="181"/>
      <c r="AT42" s="181"/>
      <c r="AU42" s="181"/>
      <c r="AV42" s="181"/>
    </row>
    <row r="43" spans="1:48" s="30" customFormat="1" x14ac:dyDescent="0.25">
      <c r="A43" s="1408"/>
      <c r="B43" s="191"/>
      <c r="C43" s="921"/>
      <c r="D43" s="2074"/>
      <c r="E43" s="923"/>
      <c r="F43" s="933" t="s">
        <v>37</v>
      </c>
      <c r="G43" s="934"/>
      <c r="H43" s="340" t="s">
        <v>22</v>
      </c>
      <c r="I43" s="193"/>
      <c r="J43" s="229"/>
      <c r="K43" s="1385" t="str">
        <f t="shared" si="0"/>
        <v>&lt;----Use DROP DOWN to chose if Component Item Applies</v>
      </c>
      <c r="L43" s="1382"/>
      <c r="M43" s="1382"/>
      <c r="N43" s="1382"/>
      <c r="O43" s="1382"/>
      <c r="P43" s="1382"/>
      <c r="Q43" s="1382"/>
      <c r="R43" s="1382"/>
      <c r="S43" s="1382"/>
      <c r="T43" s="1274"/>
      <c r="U43" s="1274"/>
      <c r="V43" s="1382"/>
      <c r="W43" s="1382"/>
      <c r="X43" s="1382"/>
      <c r="Y43" s="1382"/>
      <c r="Z43" s="1382"/>
      <c r="AA43" s="1382"/>
      <c r="AB43" s="1382"/>
      <c r="AC43" s="1382"/>
      <c r="AD43" s="1382"/>
      <c r="AE43" s="1382"/>
      <c r="AF43" s="1382"/>
      <c r="AG43" s="1382"/>
      <c r="AH43" s="1382"/>
      <c r="AI43" s="1382"/>
      <c r="AJ43" s="1382"/>
      <c r="AK43" s="181"/>
      <c r="AL43" s="181"/>
      <c r="AM43" s="181"/>
      <c r="AN43" s="181"/>
      <c r="AO43" s="181"/>
      <c r="AP43" s="181"/>
      <c r="AQ43" s="181"/>
      <c r="AR43" s="181"/>
      <c r="AS43" s="181"/>
      <c r="AT43" s="181"/>
      <c r="AU43" s="181"/>
      <c r="AV43" s="181"/>
    </row>
    <row r="44" spans="1:48" s="30" customFormat="1" x14ac:dyDescent="0.25">
      <c r="A44" s="1408"/>
      <c r="B44" s="191"/>
      <c r="C44" s="921"/>
      <c r="D44" s="2074"/>
      <c r="E44" s="923"/>
      <c r="F44" s="933" t="s">
        <v>37</v>
      </c>
      <c r="G44" s="940"/>
      <c r="H44" s="340" t="s">
        <v>846</v>
      </c>
      <c r="I44" s="196"/>
      <c r="J44" s="229"/>
      <c r="K44" s="1385" t="str">
        <f t="shared" si="0"/>
        <v>&lt;----Use DROP DOWN to chose if Component Item Applies</v>
      </c>
      <c r="L44" s="1382"/>
      <c r="M44" s="1382"/>
      <c r="N44" s="1382"/>
      <c r="O44" s="1382"/>
      <c r="P44" s="1382"/>
      <c r="Q44" s="1382"/>
      <c r="R44" s="1382"/>
      <c r="S44" s="1382"/>
      <c r="T44" s="1382"/>
      <c r="U44" s="1382"/>
      <c r="V44" s="1382"/>
      <c r="W44" s="1382"/>
      <c r="X44" s="1382"/>
      <c r="Y44" s="1382"/>
      <c r="Z44" s="1382"/>
      <c r="AA44" s="1382"/>
      <c r="AB44" s="1382"/>
      <c r="AC44" s="1382"/>
      <c r="AD44" s="1382"/>
      <c r="AE44" s="1382"/>
      <c r="AF44" s="1382"/>
      <c r="AG44" s="1382"/>
      <c r="AH44" s="1382"/>
      <c r="AI44" s="1382"/>
      <c r="AJ44" s="1382"/>
      <c r="AK44" s="181"/>
      <c r="AL44" s="181"/>
      <c r="AM44" s="181"/>
      <c r="AN44" s="181"/>
      <c r="AO44" s="181"/>
      <c r="AP44" s="181"/>
      <c r="AQ44" s="181"/>
      <c r="AR44" s="181"/>
      <c r="AS44" s="181"/>
      <c r="AT44" s="181"/>
      <c r="AU44" s="181"/>
      <c r="AV44" s="181"/>
    </row>
    <row r="45" spans="1:48" s="30" customFormat="1" x14ac:dyDescent="0.25">
      <c r="A45" s="1408"/>
      <c r="B45" s="191"/>
      <c r="C45" s="921"/>
      <c r="D45" s="2074"/>
      <c r="E45" s="923"/>
      <c r="F45" s="933" t="s">
        <v>37</v>
      </c>
      <c r="G45" s="934"/>
      <c r="H45" s="340" t="s">
        <v>24</v>
      </c>
      <c r="I45" s="193"/>
      <c r="J45" s="229"/>
      <c r="K45" s="1385" t="str">
        <f t="shared" si="0"/>
        <v>&lt;----Use DROP DOWN to chose if Component Item Applies</v>
      </c>
      <c r="L45" s="1382"/>
      <c r="M45" s="1382"/>
      <c r="N45" s="1382"/>
      <c r="O45" s="1382"/>
      <c r="P45" s="1382"/>
      <c r="Q45" s="1382"/>
      <c r="R45" s="1382"/>
      <c r="S45" s="1382"/>
      <c r="T45" s="1382"/>
      <c r="U45" s="1274"/>
      <c r="V45" s="1382"/>
      <c r="W45" s="1382"/>
      <c r="X45" s="1382"/>
      <c r="Y45" s="1382"/>
      <c r="Z45" s="1382"/>
      <c r="AA45" s="1382"/>
      <c r="AB45" s="1382"/>
      <c r="AC45" s="1382"/>
      <c r="AD45" s="1382"/>
      <c r="AE45" s="1382"/>
      <c r="AF45" s="1382"/>
      <c r="AG45" s="1382"/>
      <c r="AH45" s="1382"/>
      <c r="AI45" s="1382"/>
      <c r="AJ45" s="1382"/>
      <c r="AK45" s="181"/>
      <c r="AL45" s="181"/>
      <c r="AM45" s="181"/>
      <c r="AN45" s="181"/>
      <c r="AO45" s="181"/>
      <c r="AP45" s="181"/>
      <c r="AQ45" s="181"/>
      <c r="AR45" s="181"/>
      <c r="AS45" s="181"/>
      <c r="AT45" s="181"/>
      <c r="AU45" s="181"/>
      <c r="AV45" s="181"/>
    </row>
    <row r="46" spans="1:48" s="30" customFormat="1" x14ac:dyDescent="0.25">
      <c r="A46" s="1408"/>
      <c r="B46" s="191"/>
      <c r="C46" s="921"/>
      <c r="D46" s="2074"/>
      <c r="E46" s="923"/>
      <c r="F46" s="933" t="s">
        <v>37</v>
      </c>
      <c r="G46" s="934"/>
      <c r="H46" s="340" t="s">
        <v>23</v>
      </c>
      <c r="I46" s="193"/>
      <c r="J46" s="229"/>
      <c r="K46" s="1385" t="str">
        <f t="shared" si="0"/>
        <v>&lt;----Use DROP DOWN to chose if Component Item Applies</v>
      </c>
      <c r="L46" s="1382"/>
      <c r="M46" s="1382"/>
      <c r="N46" s="1382"/>
      <c r="O46" s="1382"/>
      <c r="P46" s="1382"/>
      <c r="Q46" s="1382"/>
      <c r="R46" s="1382"/>
      <c r="S46" s="1382"/>
      <c r="T46" s="1382"/>
      <c r="U46" s="1274"/>
      <c r="V46" s="1382"/>
      <c r="W46" s="1382"/>
      <c r="X46" s="1382"/>
      <c r="Y46" s="1382"/>
      <c r="Z46" s="1382"/>
      <c r="AA46" s="1382"/>
      <c r="AB46" s="1382"/>
      <c r="AC46" s="1382"/>
      <c r="AD46" s="1382"/>
      <c r="AE46" s="1382"/>
      <c r="AF46" s="1382"/>
      <c r="AG46" s="1382"/>
      <c r="AH46" s="1382"/>
      <c r="AI46" s="1382"/>
      <c r="AJ46" s="1382"/>
      <c r="AK46" s="181"/>
      <c r="AL46" s="181"/>
      <c r="AM46" s="181"/>
      <c r="AN46" s="181"/>
      <c r="AO46" s="181"/>
      <c r="AP46" s="181"/>
      <c r="AQ46" s="181"/>
      <c r="AR46" s="181"/>
      <c r="AS46" s="181"/>
      <c r="AT46" s="181"/>
      <c r="AU46" s="181"/>
      <c r="AV46" s="181"/>
    </row>
    <row r="47" spans="1:48" s="30" customFormat="1" x14ac:dyDescent="0.25">
      <c r="A47" s="1402"/>
      <c r="B47" s="191"/>
      <c r="C47" s="921"/>
      <c r="D47" s="2074"/>
      <c r="E47" s="936"/>
      <c r="F47" s="933" t="s">
        <v>37</v>
      </c>
      <c r="G47" s="940"/>
      <c r="H47" s="238" t="s">
        <v>246</v>
      </c>
      <c r="I47" s="197"/>
      <c r="J47" s="229"/>
      <c r="K47" s="1385" t="str">
        <f t="shared" si="0"/>
        <v>&lt;----Use DROP DOWN to chose if Component Item Applies</v>
      </c>
      <c r="L47" s="1382"/>
      <c r="M47" s="1382"/>
      <c r="N47" s="1382"/>
      <c r="O47" s="1382"/>
      <c r="P47" s="1382"/>
      <c r="Q47" s="1382"/>
      <c r="R47" s="1382"/>
      <c r="S47" s="1382"/>
      <c r="T47" s="1382"/>
      <c r="U47" s="1382"/>
      <c r="V47" s="1382"/>
      <c r="W47" s="1382"/>
      <c r="X47" s="1382"/>
      <c r="Y47" s="1382"/>
      <c r="Z47" s="1382"/>
      <c r="AA47" s="1382"/>
      <c r="AB47" s="1382"/>
      <c r="AC47" s="1382"/>
      <c r="AD47" s="1382"/>
      <c r="AE47" s="1382"/>
      <c r="AF47" s="1382"/>
      <c r="AG47" s="1382"/>
      <c r="AH47" s="1382"/>
      <c r="AI47" s="1382"/>
      <c r="AJ47" s="1382"/>
      <c r="AK47" s="181"/>
      <c r="AL47" s="181"/>
      <c r="AM47" s="181"/>
      <c r="AN47" s="181"/>
      <c r="AO47" s="181"/>
      <c r="AP47" s="181"/>
      <c r="AQ47" s="181"/>
      <c r="AR47" s="181"/>
      <c r="AS47" s="181"/>
      <c r="AT47" s="181"/>
      <c r="AU47" s="181"/>
      <c r="AV47" s="181"/>
    </row>
    <row r="48" spans="1:48" s="30" customFormat="1" x14ac:dyDescent="0.25">
      <c r="A48" s="1408"/>
      <c r="B48" s="191"/>
      <c r="C48" s="921"/>
      <c r="D48" s="2074"/>
      <c r="E48" s="923"/>
      <c r="F48" s="933" t="s">
        <v>37</v>
      </c>
      <c r="G48" s="934"/>
      <c r="H48" s="340" t="s">
        <v>873</v>
      </c>
      <c r="I48" s="193"/>
      <c r="J48" s="229"/>
      <c r="K48" s="1385" t="str">
        <f t="shared" ref="K48:K63" si="1">IF(Applies_Rpt_Type1_Feas_Concept_Only="N",CONCATENATE("&lt;----HIDE ROW Because Report Type 1 &amp; E",ROW(Applies_Rpt_Type1_Feas_Concept_Only)," is ''N''"),"&lt;----Use DROP DOWN to chose if Component Item Applies")</f>
        <v>&lt;----Use DROP DOWN to chose if Component Item Applies</v>
      </c>
      <c r="L48" s="1382"/>
      <c r="M48" s="1382"/>
      <c r="N48" s="1382"/>
      <c r="O48" s="1382"/>
      <c r="P48" s="1382"/>
      <c r="Q48" s="1382"/>
      <c r="R48" s="1382"/>
      <c r="S48" s="1382"/>
      <c r="T48" s="1382"/>
      <c r="U48" s="1274"/>
      <c r="V48" s="1382"/>
      <c r="W48" s="1382"/>
      <c r="X48" s="1382"/>
      <c r="Y48" s="1382"/>
      <c r="Z48" s="1382"/>
      <c r="AA48" s="1382"/>
      <c r="AB48" s="1382"/>
      <c r="AC48" s="1382"/>
      <c r="AD48" s="1382"/>
      <c r="AE48" s="1382"/>
      <c r="AF48" s="1382"/>
      <c r="AG48" s="1382"/>
      <c r="AH48" s="1382"/>
      <c r="AI48" s="1382"/>
      <c r="AJ48" s="1382"/>
      <c r="AK48" s="181"/>
      <c r="AL48" s="181"/>
      <c r="AM48" s="181"/>
      <c r="AN48" s="181"/>
      <c r="AO48" s="181"/>
      <c r="AP48" s="181"/>
      <c r="AQ48" s="181"/>
      <c r="AR48" s="181"/>
      <c r="AS48" s="181"/>
      <c r="AT48" s="181"/>
      <c r="AU48" s="181"/>
      <c r="AV48" s="181"/>
    </row>
    <row r="49" spans="1:48" s="30" customFormat="1" x14ac:dyDescent="0.25">
      <c r="A49" s="1402"/>
      <c r="B49" s="191"/>
      <c r="C49" s="921"/>
      <c r="D49" s="2074"/>
      <c r="E49" s="936"/>
      <c r="F49" s="933" t="s">
        <v>37</v>
      </c>
      <c r="G49" s="940"/>
      <c r="H49" s="238" t="s">
        <v>245</v>
      </c>
      <c r="I49" s="197"/>
      <c r="J49" s="229"/>
      <c r="K49" s="1385" t="str">
        <f t="shared" si="0"/>
        <v>&lt;----Use DROP DOWN to chose if Component Item Applies</v>
      </c>
      <c r="L49" s="1382"/>
      <c r="M49" s="1382"/>
      <c r="N49" s="1382"/>
      <c r="O49" s="1382"/>
      <c r="P49" s="1382"/>
      <c r="Q49" s="1382"/>
      <c r="R49" s="1382"/>
      <c r="S49" s="1382"/>
      <c r="T49" s="1382"/>
      <c r="U49" s="1382"/>
      <c r="V49" s="1382"/>
      <c r="W49" s="1382"/>
      <c r="X49" s="1382"/>
      <c r="Y49" s="1382"/>
      <c r="Z49" s="1382"/>
      <c r="AA49" s="1382"/>
      <c r="AB49" s="1382"/>
      <c r="AC49" s="1382"/>
      <c r="AD49" s="1382"/>
      <c r="AE49" s="1382"/>
      <c r="AF49" s="1382"/>
      <c r="AG49" s="1382"/>
      <c r="AH49" s="1382"/>
      <c r="AI49" s="1382"/>
      <c r="AJ49" s="1382"/>
      <c r="AK49" s="181"/>
      <c r="AL49" s="181"/>
      <c r="AM49" s="181"/>
      <c r="AN49" s="181"/>
      <c r="AO49" s="181"/>
      <c r="AP49" s="181"/>
      <c r="AQ49" s="181"/>
      <c r="AR49" s="181"/>
      <c r="AS49" s="181"/>
      <c r="AT49" s="181"/>
      <c r="AU49" s="181"/>
      <c r="AV49" s="181"/>
    </row>
    <row r="50" spans="1:48" s="30" customFormat="1" x14ac:dyDescent="0.25">
      <c r="A50" s="1402"/>
      <c r="B50" s="191"/>
      <c r="C50" s="921"/>
      <c r="D50" s="2074"/>
      <c r="E50" s="936"/>
      <c r="F50" s="933" t="s">
        <v>37</v>
      </c>
      <c r="G50" s="940"/>
      <c r="H50" s="238" t="s">
        <v>795</v>
      </c>
      <c r="I50" s="197"/>
      <c r="J50" s="229"/>
      <c r="K50" s="1385" t="str">
        <f t="shared" si="0"/>
        <v>&lt;----Use DROP DOWN to chose if Component Item Applies</v>
      </c>
      <c r="L50" s="1382"/>
      <c r="M50" s="1382"/>
      <c r="N50" s="1382"/>
      <c r="O50" s="1382"/>
      <c r="P50" s="1382"/>
      <c r="Q50" s="1382"/>
      <c r="R50" s="1382"/>
      <c r="S50" s="1382"/>
      <c r="T50" s="1382"/>
      <c r="U50" s="1382"/>
      <c r="V50" s="1382"/>
      <c r="W50" s="1382"/>
      <c r="X50" s="1382"/>
      <c r="Y50" s="1382"/>
      <c r="Z50" s="1382"/>
      <c r="AA50" s="1382"/>
      <c r="AB50" s="1382"/>
      <c r="AC50" s="1382"/>
      <c r="AD50" s="1382"/>
      <c r="AE50" s="1382"/>
      <c r="AF50" s="1382"/>
      <c r="AG50" s="1382"/>
      <c r="AH50" s="1382"/>
      <c r="AI50" s="1382"/>
      <c r="AJ50" s="1382"/>
      <c r="AK50" s="181"/>
      <c r="AL50" s="181"/>
      <c r="AM50" s="181"/>
      <c r="AN50" s="181"/>
      <c r="AO50" s="181"/>
      <c r="AP50" s="181"/>
      <c r="AQ50" s="181"/>
      <c r="AR50" s="181"/>
      <c r="AS50" s="181"/>
      <c r="AT50" s="181"/>
      <c r="AU50" s="181"/>
      <c r="AV50" s="181"/>
    </row>
    <row r="51" spans="1:48" s="30" customFormat="1" x14ac:dyDescent="0.25">
      <c r="A51" s="1408"/>
      <c r="B51" s="191"/>
      <c r="C51" s="921"/>
      <c r="D51" s="2074"/>
      <c r="E51" s="923"/>
      <c r="F51" s="933" t="s">
        <v>37</v>
      </c>
      <c r="G51" s="934"/>
      <c r="H51" s="242" t="s">
        <v>848</v>
      </c>
      <c r="I51" s="196"/>
      <c r="J51" s="229"/>
      <c r="K51" s="1386" t="str">
        <f t="shared" si="0"/>
        <v>&lt;----Use DROP DOWN to chose if Component Item Applies</v>
      </c>
      <c r="L51" s="1382"/>
      <c r="M51" s="1382"/>
      <c r="N51" s="1382"/>
      <c r="O51" s="1382"/>
      <c r="P51" s="1382"/>
      <c r="Q51" s="1382"/>
      <c r="R51" s="1382"/>
      <c r="S51" s="1382"/>
      <c r="T51" s="1382"/>
      <c r="U51" s="1274"/>
      <c r="V51" s="1382"/>
      <c r="W51" s="1382"/>
      <c r="X51" s="1382"/>
      <c r="Y51" s="1382"/>
      <c r="Z51" s="1382"/>
      <c r="AA51" s="1382"/>
      <c r="AB51" s="1382"/>
      <c r="AC51" s="1382"/>
      <c r="AD51" s="1382"/>
      <c r="AE51" s="1382"/>
      <c r="AF51" s="1382"/>
      <c r="AG51" s="1382"/>
      <c r="AH51" s="1382"/>
      <c r="AI51" s="1382"/>
      <c r="AJ51" s="1382"/>
      <c r="AK51" s="181"/>
      <c r="AL51" s="181"/>
      <c r="AM51" s="181"/>
      <c r="AN51" s="181"/>
      <c r="AO51" s="181"/>
      <c r="AP51" s="181"/>
      <c r="AQ51" s="181"/>
      <c r="AR51" s="181"/>
      <c r="AS51" s="181"/>
      <c r="AT51" s="181"/>
      <c r="AU51" s="181"/>
      <c r="AV51" s="181"/>
    </row>
    <row r="52" spans="1:48" s="30" customFormat="1" x14ac:dyDescent="0.25">
      <c r="A52" s="1402"/>
      <c r="B52" s="191"/>
      <c r="C52" s="921"/>
      <c r="D52" s="2074"/>
      <c r="E52" s="936"/>
      <c r="F52" s="936"/>
      <c r="G52" s="933" t="s">
        <v>37</v>
      </c>
      <c r="H52" s="414" t="s">
        <v>241</v>
      </c>
      <c r="I52" s="197"/>
      <c r="J52" s="229"/>
      <c r="K52" s="1387" t="str">
        <f>IF(Applies_Rpt_Type1_Feas_Concept_Only="N",CONCATENATE("&lt;----HIDE ROW Because Report Type 1 &amp; E",ROW(Applies_Rpt_Type1_Feas_Concept_Only)," is ''N''"),"&lt;----Use DROP DOWN to chose if Subset Item Applies")</f>
        <v>&lt;----Use DROP DOWN to chose if Subset Item Applies</v>
      </c>
      <c r="L52" s="1382"/>
      <c r="M52" s="1382"/>
      <c r="N52" s="1382"/>
      <c r="O52" s="1382"/>
      <c r="P52" s="1382"/>
      <c r="Q52" s="1382"/>
      <c r="R52" s="1382"/>
      <c r="S52" s="1382"/>
      <c r="T52" s="1382"/>
      <c r="U52" s="1382"/>
      <c r="V52" s="1382"/>
      <c r="W52" s="1382"/>
      <c r="X52" s="1382"/>
      <c r="Y52" s="1382"/>
      <c r="Z52" s="1382"/>
      <c r="AA52" s="1382"/>
      <c r="AB52" s="1382"/>
      <c r="AC52" s="1382"/>
      <c r="AD52" s="1382"/>
      <c r="AE52" s="1382"/>
      <c r="AF52" s="1382"/>
      <c r="AG52" s="1382"/>
      <c r="AH52" s="1382"/>
      <c r="AI52" s="1382"/>
      <c r="AJ52" s="1382"/>
      <c r="AK52" s="181"/>
      <c r="AL52" s="181"/>
      <c r="AM52" s="181"/>
      <c r="AN52" s="181"/>
      <c r="AO52" s="181"/>
      <c r="AP52" s="181"/>
      <c r="AQ52" s="181"/>
      <c r="AR52" s="181"/>
      <c r="AS52" s="181"/>
      <c r="AT52" s="181"/>
      <c r="AU52" s="181"/>
      <c r="AV52" s="181"/>
    </row>
    <row r="53" spans="1:48" s="30" customFormat="1" x14ac:dyDescent="0.25">
      <c r="A53" s="1402"/>
      <c r="B53" s="191"/>
      <c r="C53" s="921"/>
      <c r="D53" s="2074"/>
      <c r="E53" s="936"/>
      <c r="F53" s="936"/>
      <c r="G53" s="933" t="s">
        <v>37</v>
      </c>
      <c r="H53" s="414" t="s">
        <v>242</v>
      </c>
      <c r="I53" s="197"/>
      <c r="J53" s="229"/>
      <c r="K53" s="1387" t="str">
        <f>IF(Applies_Rpt_Type1_Feas_Concept_Only="N",CONCATENATE("&lt;----HIDE ROW Because Report Type 1 &amp; E",ROW(Applies_Rpt_Type1_Feas_Concept_Only)," is ''N''"),"&lt;----Use DROP DOWN to chose if Subset Item Applies")</f>
        <v>&lt;----Use DROP DOWN to chose if Subset Item Applies</v>
      </c>
      <c r="L53" s="1382"/>
      <c r="M53" s="1382"/>
      <c r="N53" s="1382"/>
      <c r="O53" s="1382"/>
      <c r="P53" s="1382"/>
      <c r="Q53" s="1382"/>
      <c r="R53" s="1382"/>
      <c r="S53" s="1382"/>
      <c r="T53" s="1382"/>
      <c r="U53" s="1382"/>
      <c r="V53" s="1382"/>
      <c r="W53" s="1382"/>
      <c r="X53" s="1382"/>
      <c r="Y53" s="1382"/>
      <c r="Z53" s="1382"/>
      <c r="AA53" s="1382"/>
      <c r="AB53" s="1382"/>
      <c r="AC53" s="1382"/>
      <c r="AD53" s="1382"/>
      <c r="AE53" s="1382"/>
      <c r="AF53" s="1382"/>
      <c r="AG53" s="1382"/>
      <c r="AH53" s="1382"/>
      <c r="AI53" s="1382"/>
      <c r="AJ53" s="1382"/>
      <c r="AK53" s="181"/>
      <c r="AL53" s="181"/>
      <c r="AM53" s="181"/>
      <c r="AN53" s="181"/>
      <c r="AO53" s="181"/>
      <c r="AP53" s="181"/>
      <c r="AQ53" s="181"/>
      <c r="AR53" s="181"/>
      <c r="AS53" s="181"/>
      <c r="AT53" s="181"/>
      <c r="AU53" s="181"/>
      <c r="AV53" s="181"/>
    </row>
    <row r="54" spans="1:48" s="30" customFormat="1" x14ac:dyDescent="0.25">
      <c r="A54" s="1402"/>
      <c r="B54" s="191"/>
      <c r="C54" s="921"/>
      <c r="D54" s="2074"/>
      <c r="E54" s="936"/>
      <c r="F54" s="936"/>
      <c r="G54" s="933" t="s">
        <v>37</v>
      </c>
      <c r="H54" s="414" t="s">
        <v>243</v>
      </c>
      <c r="I54" s="197"/>
      <c r="J54" s="229"/>
      <c r="K54" s="1387" t="str">
        <f>IF(Applies_Rpt_Type1_Feas_Concept_Only="N",CONCATENATE("&lt;----HIDE ROW Because Report Type 1 &amp; E",ROW(Applies_Rpt_Type1_Feas_Concept_Only)," is ''N''"),"&lt;----Use DROP DOWN to chose if Subset Item Applies")</f>
        <v>&lt;----Use DROP DOWN to chose if Subset Item Applies</v>
      </c>
      <c r="L54" s="1382"/>
      <c r="M54" s="1382"/>
      <c r="N54" s="1382"/>
      <c r="O54" s="1382"/>
      <c r="P54" s="1382"/>
      <c r="Q54" s="1382"/>
      <c r="R54" s="1382"/>
      <c r="S54" s="1382"/>
      <c r="T54" s="1382"/>
      <c r="U54" s="1382"/>
      <c r="V54" s="1382"/>
      <c r="W54" s="1382"/>
      <c r="X54" s="1382"/>
      <c r="Y54" s="1382"/>
      <c r="Z54" s="1382"/>
      <c r="AA54" s="1382"/>
      <c r="AB54" s="1382"/>
      <c r="AC54" s="1382"/>
      <c r="AD54" s="1382"/>
      <c r="AE54" s="1382"/>
      <c r="AF54" s="1382"/>
      <c r="AG54" s="1382"/>
      <c r="AH54" s="1382"/>
      <c r="AI54" s="1382"/>
      <c r="AJ54" s="1382"/>
      <c r="AK54" s="181"/>
      <c r="AL54" s="181"/>
      <c r="AM54" s="181"/>
      <c r="AN54" s="181"/>
      <c r="AO54" s="181"/>
      <c r="AP54" s="181"/>
      <c r="AQ54" s="181"/>
      <c r="AR54" s="181"/>
      <c r="AS54" s="181"/>
      <c r="AT54" s="181"/>
      <c r="AU54" s="181"/>
      <c r="AV54" s="181"/>
    </row>
    <row r="55" spans="1:48" s="30" customFormat="1" x14ac:dyDescent="0.25">
      <c r="A55" s="1402"/>
      <c r="B55" s="191"/>
      <c r="C55" s="921"/>
      <c r="D55" s="2074"/>
      <c r="E55" s="936"/>
      <c r="F55" s="936"/>
      <c r="G55" s="933" t="s">
        <v>21</v>
      </c>
      <c r="H55" s="414" t="s">
        <v>244</v>
      </c>
      <c r="I55" s="197"/>
      <c r="J55" s="229"/>
      <c r="K55" s="1387" t="str">
        <f>IF(Applies_Rpt_Type1_Feas_Concept_Only="N",CONCATENATE("&lt;----HIDE ROW Because Report Type 1 &amp; E",ROW(Applies_Rpt_Type1_Feas_Concept_Only)," is ''N''"),"&lt;----Use DROP DOWN to chose if Subset Item Applies")</f>
        <v>&lt;----Use DROP DOWN to chose if Subset Item Applies</v>
      </c>
      <c r="L55" s="1382"/>
      <c r="M55" s="1382"/>
      <c r="N55" s="1382"/>
      <c r="O55" s="1382"/>
      <c r="P55" s="1382"/>
      <c r="Q55" s="1382"/>
      <c r="R55" s="1382"/>
      <c r="S55" s="1382"/>
      <c r="T55" s="1382"/>
      <c r="U55" s="1382"/>
      <c r="V55" s="1382"/>
      <c r="W55" s="1382"/>
      <c r="X55" s="1382"/>
      <c r="Y55" s="1382"/>
      <c r="Z55" s="1382"/>
      <c r="AA55" s="1382"/>
      <c r="AB55" s="1382"/>
      <c r="AC55" s="1382"/>
      <c r="AD55" s="1382"/>
      <c r="AE55" s="1382"/>
      <c r="AF55" s="1382"/>
      <c r="AG55" s="1382"/>
      <c r="AH55" s="1382"/>
      <c r="AI55" s="1382"/>
      <c r="AJ55" s="1382"/>
      <c r="AK55" s="181"/>
      <c r="AL55" s="181"/>
      <c r="AM55" s="181"/>
      <c r="AN55" s="181"/>
      <c r="AO55" s="181"/>
      <c r="AP55" s="181"/>
      <c r="AQ55" s="181"/>
      <c r="AR55" s="181"/>
      <c r="AS55" s="181"/>
      <c r="AT55" s="181"/>
      <c r="AU55" s="181"/>
      <c r="AV55" s="181"/>
    </row>
    <row r="56" spans="1:48" s="30" customFormat="1" x14ac:dyDescent="0.25">
      <c r="A56" s="1402"/>
      <c r="B56" s="191"/>
      <c r="C56" s="921"/>
      <c r="D56" s="2074"/>
      <c r="E56" s="936"/>
      <c r="F56" s="936"/>
      <c r="G56" s="933" t="s">
        <v>21</v>
      </c>
      <c r="H56" s="932" t="s">
        <v>26</v>
      </c>
      <c r="I56" s="197"/>
      <c r="J56" s="229"/>
      <c r="K56" s="1387" t="str">
        <f>IF(Applies_Rpt_Type1_Feas_Concept_Only="N",CONCATENATE("&lt;----HIDE ROW Because Report Type 1 &amp; E",ROW(Applies_Rpt_Type1_Feas_Concept_Only)," is ''N''"),"&lt;----Use DROP DOWN to chose if Subset Item Applies")</f>
        <v>&lt;----Use DROP DOWN to chose if Subset Item Applies</v>
      </c>
      <c r="L56" s="1382"/>
      <c r="M56" s="1382"/>
      <c r="N56" s="1382"/>
      <c r="O56" s="1382"/>
      <c r="P56" s="1382"/>
      <c r="Q56" s="1382"/>
      <c r="R56" s="1382"/>
      <c r="S56" s="1382"/>
      <c r="T56" s="1382"/>
      <c r="U56" s="1382"/>
      <c r="V56" s="1382"/>
      <c r="W56" s="1382"/>
      <c r="X56" s="1382"/>
      <c r="Y56" s="1382"/>
      <c r="Z56" s="1382"/>
      <c r="AA56" s="1382"/>
      <c r="AB56" s="1382"/>
      <c r="AC56" s="1382"/>
      <c r="AD56" s="1382"/>
      <c r="AE56" s="1382"/>
      <c r="AF56" s="1382"/>
      <c r="AG56" s="1382"/>
      <c r="AH56" s="1382"/>
      <c r="AI56" s="1382"/>
      <c r="AJ56" s="1382"/>
      <c r="AK56" s="181"/>
      <c r="AL56" s="181"/>
      <c r="AM56" s="181"/>
      <c r="AN56" s="181"/>
      <c r="AO56" s="181"/>
      <c r="AP56" s="181"/>
      <c r="AQ56" s="181"/>
      <c r="AR56" s="181"/>
      <c r="AS56" s="181"/>
      <c r="AT56" s="181"/>
      <c r="AU56" s="181"/>
      <c r="AV56" s="181"/>
    </row>
    <row r="57" spans="1:48" s="30" customFormat="1" ht="15" customHeight="1" x14ac:dyDescent="0.25">
      <c r="A57" s="1409"/>
      <c r="B57" s="191"/>
      <c r="C57" s="921"/>
      <c r="D57" s="2074"/>
      <c r="E57" s="923"/>
      <c r="F57" s="933" t="s">
        <v>37</v>
      </c>
      <c r="G57" s="934"/>
      <c r="H57" s="1072" t="s">
        <v>478</v>
      </c>
      <c r="I57" s="193"/>
      <c r="J57" s="229"/>
      <c r="K57" s="1385" t="str">
        <f t="shared" ref="K57:K133" si="2">IF(Applies_Rpt_Type1_Feas_Concept_Only="N",CONCATENATE("&lt;----HIDE ROW Because Report Type 1 &amp; E",ROW(Applies_Rpt_Type1_Feas_Concept_Only)," is ''N''"),"&lt;----Use DROP DOWN to chose if Component Item Applies")</f>
        <v>&lt;----Use DROP DOWN to chose if Component Item Applies</v>
      </c>
      <c r="L57" s="1382"/>
      <c r="M57" s="1382"/>
      <c r="N57" s="1382"/>
      <c r="O57" s="1382"/>
      <c r="P57" s="1382"/>
      <c r="Q57" s="1382"/>
      <c r="R57" s="1382"/>
      <c r="S57" s="1382"/>
      <c r="T57" s="1382"/>
      <c r="U57" s="1274"/>
      <c r="V57" s="1382"/>
      <c r="W57" s="1382"/>
      <c r="X57" s="1382"/>
      <c r="Y57" s="1382"/>
      <c r="Z57" s="1382"/>
      <c r="AA57" s="1382"/>
      <c r="AB57" s="1382"/>
      <c r="AC57" s="1382"/>
      <c r="AD57" s="1382"/>
      <c r="AE57" s="1382"/>
      <c r="AF57" s="1382"/>
      <c r="AG57" s="1382"/>
      <c r="AH57" s="1382"/>
      <c r="AI57" s="1382"/>
      <c r="AJ57" s="1382"/>
      <c r="AK57" s="181"/>
      <c r="AL57" s="181"/>
      <c r="AM57" s="181"/>
      <c r="AN57" s="181"/>
      <c r="AO57" s="181"/>
      <c r="AP57" s="181"/>
      <c r="AQ57" s="181"/>
      <c r="AR57" s="181"/>
      <c r="AS57" s="181"/>
      <c r="AT57" s="181"/>
      <c r="AU57" s="181"/>
      <c r="AV57" s="181"/>
    </row>
    <row r="58" spans="1:48" s="30" customFormat="1" x14ac:dyDescent="0.25">
      <c r="A58" s="1408"/>
      <c r="B58" s="191"/>
      <c r="C58" s="921"/>
      <c r="D58" s="2074"/>
      <c r="E58" s="923"/>
      <c r="F58" s="933" t="s">
        <v>37</v>
      </c>
      <c r="G58" s="934"/>
      <c r="H58" s="340" t="s">
        <v>25</v>
      </c>
      <c r="I58" s="193"/>
      <c r="J58" s="229"/>
      <c r="K58" s="1385" t="str">
        <f t="shared" si="1"/>
        <v>&lt;----Use DROP DOWN to chose if Component Item Applies</v>
      </c>
      <c r="L58" s="1382"/>
      <c r="M58" s="1382"/>
      <c r="N58" s="1382"/>
      <c r="O58" s="1382"/>
      <c r="P58" s="1382"/>
      <c r="Q58" s="1382"/>
      <c r="R58" s="1382"/>
      <c r="S58" s="1382"/>
      <c r="T58" s="1382"/>
      <c r="U58" s="1274"/>
      <c r="V58" s="1382"/>
      <c r="W58" s="1382"/>
      <c r="X58" s="1382"/>
      <c r="Y58" s="1382"/>
      <c r="Z58" s="1382"/>
      <c r="AA58" s="1382"/>
      <c r="AB58" s="1382"/>
      <c r="AC58" s="1382"/>
      <c r="AD58" s="1382"/>
      <c r="AE58" s="1382"/>
      <c r="AF58" s="1382"/>
      <c r="AG58" s="1382"/>
      <c r="AH58" s="1382"/>
      <c r="AI58" s="1382"/>
      <c r="AJ58" s="1382"/>
      <c r="AK58" s="181"/>
      <c r="AL58" s="181"/>
      <c r="AM58" s="181"/>
      <c r="AN58" s="181"/>
      <c r="AO58" s="181"/>
      <c r="AP58" s="181"/>
      <c r="AQ58" s="181"/>
      <c r="AR58" s="181"/>
      <c r="AS58" s="181"/>
      <c r="AT58" s="181"/>
      <c r="AU58" s="181"/>
      <c r="AV58" s="181"/>
    </row>
    <row r="59" spans="1:48" s="30" customFormat="1" x14ac:dyDescent="0.25">
      <c r="A59" s="1408"/>
      <c r="B59" s="191"/>
      <c r="C59" s="921"/>
      <c r="D59" s="2074"/>
      <c r="E59" s="923"/>
      <c r="F59" s="933" t="s">
        <v>37</v>
      </c>
      <c r="G59" s="934"/>
      <c r="H59" s="340" t="s">
        <v>508</v>
      </c>
      <c r="I59" s="193"/>
      <c r="J59" s="229"/>
      <c r="K59" s="1385" t="str">
        <f t="shared" si="1"/>
        <v>&lt;----Use DROP DOWN to chose if Component Item Applies</v>
      </c>
      <c r="L59" s="1382"/>
      <c r="M59" s="1382"/>
      <c r="N59" s="1382"/>
      <c r="O59" s="1382"/>
      <c r="P59" s="1382"/>
      <c r="Q59" s="1382"/>
      <c r="R59" s="1382"/>
      <c r="S59" s="1382"/>
      <c r="T59" s="1382"/>
      <c r="U59" s="1274"/>
      <c r="V59" s="1382"/>
      <c r="W59" s="1382"/>
      <c r="X59" s="1382"/>
      <c r="Y59" s="1382"/>
      <c r="Z59" s="1382"/>
      <c r="AA59" s="1382"/>
      <c r="AB59" s="1382"/>
      <c r="AC59" s="1382"/>
      <c r="AD59" s="1382"/>
      <c r="AE59" s="1382"/>
      <c r="AF59" s="1382"/>
      <c r="AG59" s="1382"/>
      <c r="AH59" s="1382"/>
      <c r="AI59" s="1382"/>
      <c r="AJ59" s="1382"/>
      <c r="AK59" s="181"/>
      <c r="AL59" s="181"/>
      <c r="AM59" s="181"/>
      <c r="AN59" s="181"/>
      <c r="AO59" s="181"/>
      <c r="AP59" s="181"/>
      <c r="AQ59" s="181"/>
      <c r="AR59" s="181"/>
      <c r="AS59" s="181"/>
      <c r="AT59" s="181"/>
      <c r="AU59" s="181"/>
      <c r="AV59" s="181"/>
    </row>
    <row r="60" spans="1:48" s="30" customFormat="1" x14ac:dyDescent="0.25">
      <c r="A60" s="1402"/>
      <c r="B60" s="191"/>
      <c r="C60" s="921"/>
      <c r="D60" s="2074"/>
      <c r="E60" s="936"/>
      <c r="F60" s="933" t="s">
        <v>37</v>
      </c>
      <c r="G60" s="940"/>
      <c r="H60" s="238" t="s">
        <v>240</v>
      </c>
      <c r="I60" s="197"/>
      <c r="J60" s="229"/>
      <c r="K60" s="1385" t="str">
        <f t="shared" si="1"/>
        <v>&lt;----Use DROP DOWN to chose if Component Item Applies</v>
      </c>
      <c r="L60" s="1382"/>
      <c r="M60" s="1382"/>
      <c r="N60" s="1382"/>
      <c r="O60" s="1382"/>
      <c r="P60" s="1382"/>
      <c r="Q60" s="1382"/>
      <c r="R60" s="1382"/>
      <c r="S60" s="1382"/>
      <c r="T60" s="1382"/>
      <c r="U60" s="1382"/>
      <c r="V60" s="1382"/>
      <c r="W60" s="1382"/>
      <c r="X60" s="1382"/>
      <c r="Y60" s="1382"/>
      <c r="Z60" s="1382"/>
      <c r="AA60" s="1382"/>
      <c r="AB60" s="1382"/>
      <c r="AC60" s="1382"/>
      <c r="AD60" s="1382"/>
      <c r="AE60" s="1382"/>
      <c r="AF60" s="1382"/>
      <c r="AG60" s="1382"/>
      <c r="AH60" s="1382"/>
      <c r="AI60" s="1382"/>
      <c r="AJ60" s="1382"/>
      <c r="AK60" s="181"/>
      <c r="AL60" s="181"/>
      <c r="AM60" s="181"/>
      <c r="AN60" s="181"/>
      <c r="AO60" s="181"/>
      <c r="AP60" s="181"/>
      <c r="AQ60" s="181"/>
      <c r="AR60" s="181"/>
      <c r="AS60" s="181"/>
      <c r="AT60" s="181"/>
      <c r="AU60" s="181"/>
      <c r="AV60" s="181"/>
    </row>
    <row r="61" spans="1:48" s="30" customFormat="1" x14ac:dyDescent="0.25">
      <c r="A61" s="1408"/>
      <c r="B61" s="191"/>
      <c r="C61" s="921"/>
      <c r="D61" s="2074"/>
      <c r="E61" s="923"/>
      <c r="F61" s="933" t="s">
        <v>37</v>
      </c>
      <c r="G61" s="934"/>
      <c r="H61" s="340" t="s">
        <v>847</v>
      </c>
      <c r="I61" s="193"/>
      <c r="J61" s="229"/>
      <c r="K61" s="1385" t="str">
        <f t="shared" si="1"/>
        <v>&lt;----Use DROP DOWN to chose if Component Item Applies</v>
      </c>
      <c r="L61" s="1382"/>
      <c r="M61" s="1382"/>
      <c r="N61" s="1382"/>
      <c r="O61" s="1382"/>
      <c r="P61" s="1382"/>
      <c r="Q61" s="1382"/>
      <c r="R61" s="1382"/>
      <c r="S61" s="1382"/>
      <c r="T61" s="1382"/>
      <c r="U61" s="1274"/>
      <c r="V61" s="1382"/>
      <c r="W61" s="1382"/>
      <c r="X61" s="1382"/>
      <c r="Y61" s="1382"/>
      <c r="Z61" s="1382"/>
      <c r="AA61" s="1382"/>
      <c r="AB61" s="1382"/>
      <c r="AC61" s="1382"/>
      <c r="AD61" s="1382"/>
      <c r="AE61" s="1382"/>
      <c r="AF61" s="1382"/>
      <c r="AG61" s="1382"/>
      <c r="AH61" s="1382"/>
      <c r="AI61" s="1382"/>
      <c r="AJ61" s="1382"/>
      <c r="AK61" s="181"/>
      <c r="AL61" s="181"/>
      <c r="AM61" s="181"/>
      <c r="AN61" s="181"/>
      <c r="AO61" s="181"/>
      <c r="AP61" s="181"/>
      <c r="AQ61" s="181"/>
      <c r="AR61" s="181"/>
      <c r="AS61" s="181"/>
      <c r="AT61" s="181"/>
      <c r="AU61" s="181"/>
      <c r="AV61" s="181"/>
    </row>
    <row r="62" spans="1:48" s="545" customFormat="1" ht="28.5" x14ac:dyDescent="0.25">
      <c r="A62" s="1408"/>
      <c r="B62" s="554"/>
      <c r="C62" s="945"/>
      <c r="D62" s="2074"/>
      <c r="E62" s="1067"/>
      <c r="F62" s="933" t="s">
        <v>37</v>
      </c>
      <c r="G62" s="996"/>
      <c r="H62" s="340" t="s">
        <v>491</v>
      </c>
      <c r="I62" s="193"/>
      <c r="J62" s="229"/>
      <c r="K62" s="1385" t="str">
        <f t="shared" si="1"/>
        <v>&lt;----Use DROP DOWN to chose if Component Item Applies</v>
      </c>
      <c r="L62" s="1382"/>
      <c r="M62" s="1382"/>
      <c r="N62" s="1382"/>
      <c r="O62" s="1382"/>
      <c r="P62" s="1382"/>
      <c r="Q62" s="1382"/>
      <c r="R62" s="1382"/>
      <c r="S62" s="1382"/>
      <c r="T62" s="1382"/>
      <c r="U62" s="1274"/>
      <c r="V62" s="1382"/>
      <c r="W62" s="1382"/>
      <c r="X62" s="1382"/>
      <c r="Y62" s="1382"/>
      <c r="Z62" s="1382"/>
      <c r="AA62" s="1382"/>
      <c r="AB62" s="1382"/>
      <c r="AC62" s="1382"/>
      <c r="AD62" s="1382"/>
      <c r="AE62" s="1382"/>
      <c r="AF62" s="1382"/>
      <c r="AG62" s="1382"/>
      <c r="AH62" s="1382"/>
      <c r="AI62" s="1382"/>
      <c r="AJ62" s="1382"/>
      <c r="AK62" s="551"/>
      <c r="AL62" s="551"/>
      <c r="AM62" s="551"/>
      <c r="AN62" s="551"/>
      <c r="AO62" s="551"/>
      <c r="AP62" s="551"/>
      <c r="AQ62" s="551"/>
      <c r="AR62" s="551"/>
      <c r="AS62" s="551"/>
      <c r="AT62" s="551"/>
      <c r="AU62" s="551"/>
      <c r="AV62" s="551"/>
    </row>
    <row r="63" spans="1:48" s="30" customFormat="1" ht="12.95" customHeight="1" x14ac:dyDescent="0.25">
      <c r="A63" s="1402"/>
      <c r="B63" s="191"/>
      <c r="C63" s="945"/>
      <c r="D63" s="2071" t="s">
        <v>874</v>
      </c>
      <c r="E63" s="1068"/>
      <c r="F63" s="933" t="s">
        <v>37</v>
      </c>
      <c r="G63" s="1069"/>
      <c r="H63" s="451" t="s">
        <v>247</v>
      </c>
      <c r="I63" s="197"/>
      <c r="J63" s="229"/>
      <c r="K63" s="1386" t="str">
        <f t="shared" si="1"/>
        <v>&lt;----Use DROP DOWN to chose if Component Item Applies</v>
      </c>
      <c r="L63" s="1382"/>
      <c r="M63" s="1382"/>
      <c r="N63" s="1382"/>
      <c r="O63" s="1382"/>
      <c r="P63" s="1382"/>
      <c r="Q63" s="1382"/>
      <c r="R63" s="1382"/>
      <c r="S63" s="1382"/>
      <c r="T63" s="1382"/>
      <c r="U63" s="1382"/>
      <c r="V63" s="1382"/>
      <c r="W63" s="1382"/>
      <c r="X63" s="1382"/>
      <c r="Y63" s="1382"/>
      <c r="Z63" s="1382"/>
      <c r="AA63" s="1382"/>
      <c r="AB63" s="1382"/>
      <c r="AC63" s="1382"/>
      <c r="AD63" s="1382"/>
      <c r="AE63" s="1382"/>
      <c r="AF63" s="1382"/>
      <c r="AG63" s="1382"/>
      <c r="AH63" s="1382"/>
      <c r="AI63" s="1382"/>
      <c r="AJ63" s="1382"/>
      <c r="AK63" s="181"/>
      <c r="AL63" s="181"/>
      <c r="AM63" s="181"/>
      <c r="AN63" s="181"/>
      <c r="AO63" s="181"/>
      <c r="AP63" s="181"/>
      <c r="AQ63" s="181"/>
      <c r="AR63" s="181"/>
      <c r="AS63" s="181"/>
      <c r="AT63" s="181"/>
      <c r="AU63" s="181"/>
      <c r="AV63" s="181"/>
    </row>
    <row r="64" spans="1:48" s="30" customFormat="1" x14ac:dyDescent="0.25">
      <c r="A64" s="1402"/>
      <c r="B64" s="191"/>
      <c r="C64" s="945"/>
      <c r="D64" s="2071"/>
      <c r="E64" s="1068"/>
      <c r="F64" s="1067"/>
      <c r="G64" s="933" t="s">
        <v>37</v>
      </c>
      <c r="H64" s="414" t="s">
        <v>248</v>
      </c>
      <c r="I64" s="197"/>
      <c r="J64" s="229"/>
      <c r="K64" s="1387" t="str">
        <f>IF(Applies_Rpt_Type1_Feas_Concept_Only="N",CONCATENATE("&lt;----HIDE ROW Because Report Type 1 &amp; E",ROW(Applies_Rpt_Type1_Feas_Concept_Only)," is ''N''"),"&lt;----Use DROP DOWN to chose if Subset Item Applies")</f>
        <v>&lt;----Use DROP DOWN to chose if Subset Item Applies</v>
      </c>
      <c r="L64" s="1382"/>
      <c r="M64" s="1382"/>
      <c r="N64" s="1382"/>
      <c r="O64" s="1382"/>
      <c r="P64" s="1382"/>
      <c r="Q64" s="1382"/>
      <c r="R64" s="1382"/>
      <c r="S64" s="1382"/>
      <c r="T64" s="1382"/>
      <c r="U64" s="1382"/>
      <c r="V64" s="1382"/>
      <c r="W64" s="1382"/>
      <c r="X64" s="1382"/>
      <c r="Y64" s="1382"/>
      <c r="Z64" s="1382"/>
      <c r="AA64" s="1382"/>
      <c r="AB64" s="1382"/>
      <c r="AC64" s="1382"/>
      <c r="AD64" s="1382"/>
      <c r="AE64" s="1382"/>
      <c r="AF64" s="1382"/>
      <c r="AG64" s="1382"/>
      <c r="AH64" s="1382"/>
      <c r="AI64" s="1382"/>
      <c r="AJ64" s="1382"/>
      <c r="AK64" s="181"/>
      <c r="AL64" s="181"/>
      <c r="AM64" s="181"/>
      <c r="AN64" s="181"/>
      <c r="AO64" s="181"/>
      <c r="AP64" s="181"/>
      <c r="AQ64" s="181"/>
      <c r="AR64" s="181"/>
      <c r="AS64" s="181"/>
      <c r="AT64" s="181"/>
      <c r="AU64" s="181"/>
      <c r="AV64" s="181"/>
    </row>
    <row r="65" spans="1:48" s="30" customFormat="1" x14ac:dyDescent="0.25">
      <c r="A65" s="1402"/>
      <c r="B65" s="191"/>
      <c r="C65" s="945"/>
      <c r="D65" s="2071"/>
      <c r="E65" s="1068"/>
      <c r="F65" s="1067"/>
      <c r="G65" s="933" t="s">
        <v>37</v>
      </c>
      <c r="H65" s="414" t="s">
        <v>249</v>
      </c>
      <c r="I65" s="197"/>
      <c r="J65" s="229"/>
      <c r="K65" s="1387" t="str">
        <f>IF(Applies_Rpt_Type1_Feas_Concept_Only="N",CONCATENATE("&lt;----HIDE ROW Because Report Type 1 &amp; E",ROW(Applies_Rpt_Type1_Feas_Concept_Only)," is ''N''"),"&lt;----Use DROP DOWN to chose if Subset Item Applies")</f>
        <v>&lt;----Use DROP DOWN to chose if Subset Item Applies</v>
      </c>
      <c r="L65" s="1382"/>
      <c r="M65" s="1382"/>
      <c r="N65" s="1382"/>
      <c r="O65" s="1382"/>
      <c r="P65" s="1382"/>
      <c r="Q65" s="1382"/>
      <c r="R65" s="1382"/>
      <c r="S65" s="1382"/>
      <c r="T65" s="1382"/>
      <c r="U65" s="1382"/>
      <c r="V65" s="1382"/>
      <c r="W65" s="1382"/>
      <c r="X65" s="1382"/>
      <c r="Y65" s="1382"/>
      <c r="Z65" s="1382"/>
      <c r="AA65" s="1382"/>
      <c r="AB65" s="1382"/>
      <c r="AC65" s="1382"/>
      <c r="AD65" s="1382"/>
      <c r="AE65" s="1382"/>
      <c r="AF65" s="1382"/>
      <c r="AG65" s="1382"/>
      <c r="AH65" s="1382"/>
      <c r="AI65" s="1382"/>
      <c r="AJ65" s="1382"/>
      <c r="AK65" s="181"/>
      <c r="AL65" s="181"/>
      <c r="AM65" s="181"/>
      <c r="AN65" s="181"/>
      <c r="AO65" s="181"/>
      <c r="AP65" s="181"/>
      <c r="AQ65" s="181"/>
      <c r="AR65" s="181"/>
      <c r="AS65" s="181"/>
      <c r="AT65" s="181"/>
      <c r="AU65" s="181"/>
      <c r="AV65" s="181"/>
    </row>
    <row r="66" spans="1:48" s="30" customFormat="1" x14ac:dyDescent="0.25">
      <c r="A66" s="1402"/>
      <c r="B66" s="191"/>
      <c r="C66" s="945"/>
      <c r="D66" s="2071"/>
      <c r="E66" s="1068"/>
      <c r="F66" s="1067"/>
      <c r="G66" s="933" t="s">
        <v>37</v>
      </c>
      <c r="H66" s="414" t="s">
        <v>250</v>
      </c>
      <c r="I66" s="197"/>
      <c r="J66" s="229"/>
      <c r="K66" s="1387" t="str">
        <f>IF(Applies_Rpt_Type1_Feas_Concept_Only="N",CONCATENATE("&lt;----HIDE ROW Because Report Type 1 &amp; E",ROW(Applies_Rpt_Type1_Feas_Concept_Only)," is ''N''"),"&lt;----Use DROP DOWN to chose if Subset Item Applies")</f>
        <v>&lt;----Use DROP DOWN to chose if Subset Item Applies</v>
      </c>
      <c r="L66" s="1382"/>
      <c r="M66" s="1382"/>
      <c r="N66" s="1382"/>
      <c r="O66" s="1382"/>
      <c r="P66" s="1382"/>
      <c r="Q66" s="1382"/>
      <c r="R66" s="1382"/>
      <c r="S66" s="1382"/>
      <c r="T66" s="1382"/>
      <c r="U66" s="1382"/>
      <c r="V66" s="1382"/>
      <c r="W66" s="1382"/>
      <c r="X66" s="1382"/>
      <c r="Y66" s="1382"/>
      <c r="Z66" s="1382"/>
      <c r="AA66" s="1382"/>
      <c r="AB66" s="1382"/>
      <c r="AC66" s="1382"/>
      <c r="AD66" s="1382"/>
      <c r="AE66" s="1382"/>
      <c r="AF66" s="1382"/>
      <c r="AG66" s="1382"/>
      <c r="AH66" s="1382"/>
      <c r="AI66" s="1382"/>
      <c r="AJ66" s="1382"/>
      <c r="AK66" s="181"/>
      <c r="AL66" s="181"/>
      <c r="AM66" s="181"/>
      <c r="AN66" s="181"/>
      <c r="AO66" s="181"/>
      <c r="AP66" s="181"/>
      <c r="AQ66" s="181"/>
      <c r="AR66" s="181"/>
      <c r="AS66" s="181"/>
      <c r="AT66" s="181"/>
      <c r="AU66" s="181"/>
      <c r="AV66" s="181"/>
    </row>
    <row r="67" spans="1:48" s="30" customFormat="1" x14ac:dyDescent="0.25">
      <c r="A67" s="1402"/>
      <c r="B67" s="191"/>
      <c r="C67" s="945"/>
      <c r="D67" s="2071"/>
      <c r="E67" s="1068"/>
      <c r="F67" s="1067"/>
      <c r="G67" s="933" t="s">
        <v>37</v>
      </c>
      <c r="H67" s="414" t="s">
        <v>251</v>
      </c>
      <c r="I67" s="197"/>
      <c r="J67" s="229"/>
      <c r="K67" s="1387" t="str">
        <f>IF(Applies_Rpt_Type1_Feas_Concept_Only="N",CONCATENATE("&lt;----HIDE ROW Because Report Type 1 &amp; E",ROW(Applies_Rpt_Type1_Feas_Concept_Only)," is ''N''"),"&lt;----Use DROP DOWN to chose if Subset Item Applies")</f>
        <v>&lt;----Use DROP DOWN to chose if Subset Item Applies</v>
      </c>
      <c r="L67" s="1382"/>
      <c r="M67" s="1382"/>
      <c r="N67" s="1382"/>
      <c r="O67" s="1382"/>
      <c r="P67" s="1382"/>
      <c r="Q67" s="1382"/>
      <c r="R67" s="1382"/>
      <c r="S67" s="1382"/>
      <c r="T67" s="1382"/>
      <c r="U67" s="1382"/>
      <c r="V67" s="1382"/>
      <c r="W67" s="1382"/>
      <c r="X67" s="1382"/>
      <c r="Y67" s="1382"/>
      <c r="Z67" s="1382"/>
      <c r="AA67" s="1382"/>
      <c r="AB67" s="1382"/>
      <c r="AC67" s="1382"/>
      <c r="AD67" s="1382"/>
      <c r="AE67" s="1382"/>
      <c r="AF67" s="1382"/>
      <c r="AG67" s="1382"/>
      <c r="AH67" s="1382"/>
      <c r="AI67" s="1382"/>
      <c r="AJ67" s="1382"/>
      <c r="AK67" s="181"/>
      <c r="AL67" s="181"/>
      <c r="AM67" s="181"/>
      <c r="AN67" s="181"/>
      <c r="AO67" s="181"/>
      <c r="AP67" s="181"/>
      <c r="AQ67" s="181"/>
      <c r="AR67" s="181"/>
      <c r="AS67" s="181"/>
      <c r="AT67" s="181"/>
      <c r="AU67" s="181"/>
      <c r="AV67" s="181"/>
    </row>
    <row r="68" spans="1:48" s="30" customFormat="1" x14ac:dyDescent="0.25">
      <c r="A68" s="1408"/>
      <c r="B68" s="191"/>
      <c r="C68" s="945"/>
      <c r="D68" s="2071"/>
      <c r="E68" s="1067"/>
      <c r="F68" s="933" t="s">
        <v>37</v>
      </c>
      <c r="G68" s="996"/>
      <c r="H68" s="242" t="s">
        <v>484</v>
      </c>
      <c r="I68" s="206"/>
      <c r="J68" s="229"/>
      <c r="K68" s="1386" t="str">
        <f>IF(Applies_Rpt_Type1_Feas_Concept_Only="N",CONCATENATE("&lt;----HIDE ROW Because Report Type 1 &amp; E",ROW(Applies_Rpt_Type1_Feas_Concept_Only)," is ''N''"),"&lt;----Use DROP DOWN to chose if Component Item Applies")</f>
        <v>&lt;----Use DROP DOWN to chose if Component Item Applies</v>
      </c>
      <c r="L68" s="1382"/>
      <c r="M68" s="1382"/>
      <c r="N68" s="1382"/>
      <c r="O68" s="1382"/>
      <c r="P68" s="1382"/>
      <c r="Q68" s="1382"/>
      <c r="R68" s="1382"/>
      <c r="S68" s="1382"/>
      <c r="T68" s="1382"/>
      <c r="U68" s="1274"/>
      <c r="V68" s="1382"/>
      <c r="W68" s="1382"/>
      <c r="X68" s="1382"/>
      <c r="Y68" s="1382"/>
      <c r="Z68" s="1382"/>
      <c r="AA68" s="1382"/>
      <c r="AB68" s="1382"/>
      <c r="AC68" s="1382"/>
      <c r="AD68" s="1382"/>
      <c r="AE68" s="1382"/>
      <c r="AF68" s="1382"/>
      <c r="AG68" s="1382"/>
      <c r="AH68" s="1382"/>
      <c r="AI68" s="1382"/>
      <c r="AJ68" s="1382"/>
      <c r="AK68" s="181"/>
      <c r="AL68" s="181"/>
      <c r="AM68" s="181"/>
      <c r="AN68" s="181"/>
      <c r="AO68" s="181"/>
      <c r="AP68" s="181"/>
      <c r="AQ68" s="181"/>
      <c r="AR68" s="181"/>
      <c r="AS68" s="181"/>
      <c r="AT68" s="181"/>
      <c r="AU68" s="181"/>
      <c r="AV68" s="181"/>
    </row>
    <row r="69" spans="1:48" s="30" customFormat="1" ht="30" x14ac:dyDescent="0.25">
      <c r="A69" s="1402"/>
      <c r="B69" s="191"/>
      <c r="C69" s="945"/>
      <c r="D69" s="2071"/>
      <c r="E69" s="1067"/>
      <c r="F69" s="1067"/>
      <c r="G69" s="1065"/>
      <c r="H69" s="1048" t="s">
        <v>556</v>
      </c>
      <c r="I69" s="197"/>
      <c r="J69" s="229"/>
      <c r="K69" s="1387" t="str">
        <f t="shared" ref="K69:K126" si="3">IF(Applies_Rpt_Type1_Feas_Concept_Only="N",CONCATENATE("&lt;----HIDE ROW Because Report Type 1 &amp; E",ROW(Applies_Rpt_Type1_Feas_Concept_Only)," is ''N''"),"&lt;----Use DROP DOWN to chose if Subset Item Applies")</f>
        <v>&lt;----Use DROP DOWN to chose if Subset Item Applies</v>
      </c>
      <c r="L69" s="1382"/>
      <c r="M69" s="1382"/>
      <c r="N69" s="1382"/>
      <c r="O69" s="1382"/>
      <c r="P69" s="1382"/>
      <c r="Q69" s="1382"/>
      <c r="R69" s="1382"/>
      <c r="S69" s="1382"/>
      <c r="T69" s="1382"/>
      <c r="U69" s="1274"/>
      <c r="V69" s="1382"/>
      <c r="W69" s="1382"/>
      <c r="X69" s="1382"/>
      <c r="Y69" s="1382"/>
      <c r="Z69" s="1382"/>
      <c r="AA69" s="1382"/>
      <c r="AB69" s="1382"/>
      <c r="AC69" s="1382"/>
      <c r="AD69" s="1382"/>
      <c r="AE69" s="1382"/>
      <c r="AF69" s="1382"/>
      <c r="AG69" s="1382"/>
      <c r="AH69" s="1382"/>
      <c r="AI69" s="1382"/>
      <c r="AJ69" s="1382"/>
      <c r="AK69" s="181"/>
      <c r="AL69" s="181"/>
      <c r="AM69" s="181"/>
      <c r="AN69" s="181"/>
      <c r="AO69" s="181"/>
      <c r="AP69" s="181"/>
      <c r="AQ69" s="181"/>
      <c r="AR69" s="181"/>
      <c r="AS69" s="181"/>
      <c r="AT69" s="181"/>
      <c r="AU69" s="181"/>
      <c r="AV69" s="181"/>
    </row>
    <row r="70" spans="1:48" s="30" customFormat="1" ht="45" x14ac:dyDescent="0.25">
      <c r="A70" s="1402"/>
      <c r="B70" s="191"/>
      <c r="C70" s="945"/>
      <c r="D70" s="2071"/>
      <c r="E70" s="1067"/>
      <c r="F70" s="1067"/>
      <c r="G70" s="933" t="s">
        <v>37</v>
      </c>
      <c r="H70" s="1886" t="s">
        <v>861</v>
      </c>
      <c r="I70" s="197"/>
      <c r="J70" s="229"/>
      <c r="K70" s="1387" t="str">
        <f t="shared" si="3"/>
        <v>&lt;----Use DROP DOWN to chose if Subset Item Applies</v>
      </c>
      <c r="L70" s="1382"/>
      <c r="M70" s="1382"/>
      <c r="N70" s="1382"/>
      <c r="O70" s="1382"/>
      <c r="P70" s="1382"/>
      <c r="Q70" s="1382"/>
      <c r="R70" s="1382"/>
      <c r="S70" s="1382"/>
      <c r="T70" s="1382"/>
      <c r="U70" s="1274"/>
      <c r="V70" s="1382"/>
      <c r="W70" s="1382"/>
      <c r="X70" s="1382"/>
      <c r="Y70" s="1382"/>
      <c r="Z70" s="1382"/>
      <c r="AA70" s="1382"/>
      <c r="AB70" s="1382"/>
      <c r="AC70" s="1382"/>
      <c r="AD70" s="1382"/>
      <c r="AE70" s="1382"/>
      <c r="AF70" s="1382"/>
      <c r="AG70" s="1382"/>
      <c r="AH70" s="1382"/>
      <c r="AI70" s="1382"/>
      <c r="AJ70" s="1382"/>
      <c r="AK70" s="181"/>
      <c r="AL70" s="181"/>
      <c r="AM70" s="181"/>
      <c r="AN70" s="181"/>
      <c r="AO70" s="181"/>
      <c r="AP70" s="181"/>
      <c r="AQ70" s="181"/>
      <c r="AR70" s="181"/>
      <c r="AS70" s="181"/>
      <c r="AT70" s="181"/>
      <c r="AU70" s="181"/>
      <c r="AV70" s="181"/>
    </row>
    <row r="71" spans="1:48" s="30" customFormat="1" ht="15.75" customHeight="1" x14ac:dyDescent="0.25">
      <c r="A71" s="1402"/>
      <c r="B71" s="191"/>
      <c r="C71" s="945"/>
      <c r="D71" s="2071"/>
      <c r="E71" s="1067"/>
      <c r="F71" s="1067"/>
      <c r="G71" s="933" t="s">
        <v>37</v>
      </c>
      <c r="H71" s="361" t="s">
        <v>863</v>
      </c>
      <c r="I71" s="197"/>
      <c r="J71" s="229"/>
      <c r="K71" s="1387" t="str">
        <f t="shared" si="3"/>
        <v>&lt;----Use DROP DOWN to chose if Subset Item Applies</v>
      </c>
      <c r="L71" s="1382"/>
      <c r="M71" s="1382"/>
      <c r="N71" s="1382"/>
      <c r="O71" s="1382"/>
      <c r="P71" s="1382"/>
      <c r="Q71" s="1382"/>
      <c r="R71" s="1382"/>
      <c r="S71" s="1382"/>
      <c r="T71" s="1382"/>
      <c r="U71" s="1382"/>
      <c r="V71" s="1382"/>
      <c r="W71" s="1382"/>
      <c r="X71" s="1382"/>
      <c r="Y71" s="1382"/>
      <c r="Z71" s="1382"/>
      <c r="AA71" s="1382"/>
      <c r="AB71" s="1382"/>
      <c r="AC71" s="1382"/>
      <c r="AD71" s="1382"/>
      <c r="AE71" s="1382"/>
      <c r="AF71" s="1382"/>
      <c r="AG71" s="1382"/>
      <c r="AH71" s="1382"/>
      <c r="AI71" s="1382"/>
      <c r="AJ71" s="1382"/>
      <c r="AK71" s="181"/>
      <c r="AL71" s="181"/>
      <c r="AM71" s="181"/>
      <c r="AN71" s="181"/>
      <c r="AO71" s="181"/>
      <c r="AP71" s="181"/>
      <c r="AQ71" s="181"/>
      <c r="AR71" s="181"/>
      <c r="AS71" s="181"/>
      <c r="AT71" s="181"/>
      <c r="AU71" s="181"/>
      <c r="AV71" s="181"/>
    </row>
    <row r="72" spans="1:48" s="545" customFormat="1" x14ac:dyDescent="0.25">
      <c r="A72" s="1402"/>
      <c r="B72" s="554"/>
      <c r="C72" s="945"/>
      <c r="D72" s="2071"/>
      <c r="E72" s="1068"/>
      <c r="F72" s="1067"/>
      <c r="G72" s="933" t="s">
        <v>37</v>
      </c>
      <c r="H72" s="361" t="s">
        <v>862</v>
      </c>
      <c r="I72" s="197"/>
      <c r="J72" s="229"/>
      <c r="K72" s="1387" t="str">
        <f t="shared" si="3"/>
        <v>&lt;----Use DROP DOWN to chose if Subset Item Applies</v>
      </c>
      <c r="L72" s="1382"/>
      <c r="M72" s="1382"/>
      <c r="N72" s="1382"/>
      <c r="O72" s="1382"/>
      <c r="P72" s="1382"/>
      <c r="Q72" s="1382"/>
      <c r="R72" s="1382"/>
      <c r="S72" s="1382"/>
      <c r="T72" s="1382"/>
      <c r="U72" s="1382"/>
      <c r="V72" s="1382"/>
      <c r="W72" s="1382"/>
      <c r="X72" s="1382"/>
      <c r="Y72" s="1382"/>
      <c r="Z72" s="1382"/>
      <c r="AA72" s="1382"/>
      <c r="AB72" s="1382"/>
      <c r="AC72" s="1382"/>
      <c r="AD72" s="1382"/>
      <c r="AE72" s="1382"/>
      <c r="AF72" s="1382"/>
      <c r="AG72" s="1382"/>
      <c r="AH72" s="1382"/>
      <c r="AI72" s="1382"/>
      <c r="AJ72" s="1382"/>
      <c r="AK72" s="551"/>
      <c r="AL72" s="551"/>
      <c r="AM72" s="551"/>
      <c r="AN72" s="551"/>
      <c r="AO72" s="551"/>
      <c r="AP72" s="551"/>
      <c r="AQ72" s="551"/>
      <c r="AR72" s="551"/>
      <c r="AS72" s="551"/>
      <c r="AT72" s="551"/>
      <c r="AU72" s="551"/>
      <c r="AV72" s="551"/>
    </row>
    <row r="73" spans="1:48" s="30" customFormat="1" x14ac:dyDescent="0.25">
      <c r="A73" s="1402"/>
      <c r="B73" s="191"/>
      <c r="C73" s="945"/>
      <c r="D73" s="2071"/>
      <c r="E73" s="1067"/>
      <c r="F73" s="1067"/>
      <c r="G73" s="933" t="s">
        <v>37</v>
      </c>
      <c r="H73" s="469" t="s">
        <v>560</v>
      </c>
      <c r="I73" s="197"/>
      <c r="J73" s="229"/>
      <c r="K73" s="1387" t="str">
        <f t="shared" si="3"/>
        <v>&lt;----Use DROP DOWN to chose if Subset Item Applies</v>
      </c>
      <c r="L73" s="1382"/>
      <c r="M73" s="1382"/>
      <c r="N73" s="1382"/>
      <c r="O73" s="1382"/>
      <c r="P73" s="1382"/>
      <c r="Q73" s="1382"/>
      <c r="R73" s="1382"/>
      <c r="S73" s="1382"/>
      <c r="T73" s="1382"/>
      <c r="U73" s="1382"/>
      <c r="V73" s="1382"/>
      <c r="W73" s="1382"/>
      <c r="X73" s="1382"/>
      <c r="Y73" s="1382"/>
      <c r="Z73" s="1382"/>
      <c r="AA73" s="1382"/>
      <c r="AB73" s="1382"/>
      <c r="AC73" s="1382"/>
      <c r="AD73" s="1382"/>
      <c r="AE73" s="1382"/>
      <c r="AF73" s="1382"/>
      <c r="AG73" s="1382"/>
      <c r="AH73" s="1382"/>
      <c r="AI73" s="1382"/>
      <c r="AJ73" s="1382"/>
      <c r="AK73" s="181"/>
      <c r="AL73" s="181"/>
      <c r="AM73" s="181"/>
      <c r="AN73" s="181"/>
      <c r="AO73" s="181"/>
      <c r="AP73" s="181"/>
      <c r="AQ73" s="181"/>
      <c r="AR73" s="181"/>
      <c r="AS73" s="181"/>
      <c r="AT73" s="181"/>
      <c r="AU73" s="181"/>
      <c r="AV73" s="181"/>
    </row>
    <row r="74" spans="1:48" s="30" customFormat="1" x14ac:dyDescent="0.25">
      <c r="A74" s="1402"/>
      <c r="B74" s="191"/>
      <c r="C74" s="945"/>
      <c r="D74" s="2071"/>
      <c r="E74" s="1067"/>
      <c r="F74" s="1067"/>
      <c r="G74" s="933" t="s">
        <v>37</v>
      </c>
      <c r="H74" s="469" t="s">
        <v>561</v>
      </c>
      <c r="I74" s="197"/>
      <c r="J74" s="229"/>
      <c r="K74" s="1387" t="str">
        <f t="shared" si="3"/>
        <v>&lt;----Use DROP DOWN to chose if Subset Item Applies</v>
      </c>
      <c r="L74" s="1382"/>
      <c r="M74" s="1382"/>
      <c r="N74" s="1382"/>
      <c r="O74" s="1382"/>
      <c r="P74" s="1382"/>
      <c r="Q74" s="1382"/>
      <c r="R74" s="1382"/>
      <c r="S74" s="1382"/>
      <c r="T74" s="1382"/>
      <c r="U74" s="1382"/>
      <c r="V74" s="1382"/>
      <c r="W74" s="1382"/>
      <c r="X74" s="1382"/>
      <c r="Y74" s="1382"/>
      <c r="Z74" s="1382"/>
      <c r="AA74" s="1382"/>
      <c r="AB74" s="1382"/>
      <c r="AC74" s="1382"/>
      <c r="AD74" s="1382"/>
      <c r="AE74" s="1382"/>
      <c r="AF74" s="1382"/>
      <c r="AG74" s="1382"/>
      <c r="AH74" s="1382"/>
      <c r="AI74" s="1382"/>
      <c r="AJ74" s="1382"/>
      <c r="AK74" s="181"/>
      <c r="AL74" s="181"/>
      <c r="AM74" s="181"/>
      <c r="AN74" s="181"/>
      <c r="AO74" s="181"/>
      <c r="AP74" s="181"/>
      <c r="AQ74" s="181"/>
      <c r="AR74" s="181"/>
      <c r="AS74" s="181"/>
      <c r="AT74" s="181"/>
      <c r="AU74" s="181"/>
      <c r="AV74" s="181"/>
    </row>
    <row r="75" spans="1:48" s="30" customFormat="1" x14ac:dyDescent="0.25">
      <c r="A75" s="1402"/>
      <c r="B75" s="191"/>
      <c r="C75" s="945"/>
      <c r="D75" s="2071"/>
      <c r="E75" s="1067"/>
      <c r="F75" s="1067"/>
      <c r="G75" s="933" t="s">
        <v>37</v>
      </c>
      <c r="H75" s="469" t="s">
        <v>562</v>
      </c>
      <c r="I75" s="197"/>
      <c r="J75" s="229"/>
      <c r="K75" s="1387" t="str">
        <f t="shared" si="3"/>
        <v>&lt;----Use DROP DOWN to chose if Subset Item Applies</v>
      </c>
      <c r="L75" s="1382"/>
      <c r="M75" s="1382"/>
      <c r="N75" s="1382"/>
      <c r="O75" s="1382"/>
      <c r="P75" s="1382"/>
      <c r="Q75" s="1382"/>
      <c r="R75" s="1382"/>
      <c r="S75" s="1382"/>
      <c r="T75" s="1382"/>
      <c r="U75" s="1382"/>
      <c r="V75" s="1382"/>
      <c r="W75" s="1382"/>
      <c r="X75" s="1382"/>
      <c r="Y75" s="1382"/>
      <c r="Z75" s="1382"/>
      <c r="AA75" s="1382"/>
      <c r="AB75" s="1382"/>
      <c r="AC75" s="1382"/>
      <c r="AD75" s="1382"/>
      <c r="AE75" s="1382"/>
      <c r="AF75" s="1382"/>
      <c r="AG75" s="1382"/>
      <c r="AH75" s="1382"/>
      <c r="AI75" s="1382"/>
      <c r="AJ75" s="1382"/>
      <c r="AK75" s="181"/>
      <c r="AL75" s="181"/>
      <c r="AM75" s="181"/>
      <c r="AN75" s="181"/>
      <c r="AO75" s="181"/>
      <c r="AP75" s="181"/>
      <c r="AQ75" s="181"/>
      <c r="AR75" s="181"/>
      <c r="AS75" s="181"/>
      <c r="AT75" s="181"/>
      <c r="AU75" s="181"/>
      <c r="AV75" s="181"/>
    </row>
    <row r="76" spans="1:48" s="30" customFormat="1" x14ac:dyDescent="0.25">
      <c r="A76" s="1402"/>
      <c r="B76" s="191"/>
      <c r="C76" s="945"/>
      <c r="D76" s="2071"/>
      <c r="E76" s="1067"/>
      <c r="F76" s="1067"/>
      <c r="G76" s="933" t="s">
        <v>37</v>
      </c>
      <c r="H76" s="469" t="s">
        <v>563</v>
      </c>
      <c r="I76" s="197"/>
      <c r="J76" s="229"/>
      <c r="K76" s="1387" t="str">
        <f t="shared" si="3"/>
        <v>&lt;----Use DROP DOWN to chose if Subset Item Applies</v>
      </c>
      <c r="L76" s="1382"/>
      <c r="M76" s="1382"/>
      <c r="N76" s="1382"/>
      <c r="O76" s="1382"/>
      <c r="P76" s="1382"/>
      <c r="Q76" s="1382"/>
      <c r="R76" s="1382"/>
      <c r="S76" s="1382"/>
      <c r="T76" s="1382"/>
      <c r="U76" s="1382"/>
      <c r="V76" s="1382"/>
      <c r="W76" s="1382"/>
      <c r="X76" s="1382"/>
      <c r="Y76" s="1382"/>
      <c r="Z76" s="1382"/>
      <c r="AA76" s="1382"/>
      <c r="AB76" s="1382"/>
      <c r="AC76" s="1382"/>
      <c r="AD76" s="1382"/>
      <c r="AE76" s="1382"/>
      <c r="AF76" s="1382"/>
      <c r="AG76" s="1382"/>
      <c r="AH76" s="1382"/>
      <c r="AI76" s="1382"/>
      <c r="AJ76" s="1382"/>
      <c r="AK76" s="181"/>
      <c r="AL76" s="181"/>
      <c r="AM76" s="181"/>
      <c r="AN76" s="181"/>
      <c r="AO76" s="181"/>
      <c r="AP76" s="181"/>
      <c r="AQ76" s="181"/>
      <c r="AR76" s="181"/>
      <c r="AS76" s="181"/>
      <c r="AT76" s="181"/>
      <c r="AU76" s="181"/>
      <c r="AV76" s="181"/>
    </row>
    <row r="77" spans="1:48" s="30" customFormat="1" x14ac:dyDescent="0.25">
      <c r="A77" s="1402"/>
      <c r="B77" s="191"/>
      <c r="C77" s="945"/>
      <c r="D77" s="2071"/>
      <c r="E77" s="1067"/>
      <c r="F77" s="1067"/>
      <c r="G77" s="933" t="s">
        <v>37</v>
      </c>
      <c r="H77" s="1887" t="s">
        <v>564</v>
      </c>
      <c r="I77" s="197"/>
      <c r="J77" s="229"/>
      <c r="K77" s="1387" t="str">
        <f t="shared" si="3"/>
        <v>&lt;----Use DROP DOWN to chose if Subset Item Applies</v>
      </c>
      <c r="L77" s="1382"/>
      <c r="M77" s="1382"/>
      <c r="N77" s="1382"/>
      <c r="O77" s="1382"/>
      <c r="P77" s="1382"/>
      <c r="Q77" s="1382"/>
      <c r="R77" s="1382"/>
      <c r="S77" s="1382"/>
      <c r="T77" s="1382"/>
      <c r="U77" s="1382"/>
      <c r="V77" s="1382"/>
      <c r="W77" s="1382"/>
      <c r="X77" s="1382"/>
      <c r="Y77" s="1382"/>
      <c r="Z77" s="1382"/>
      <c r="AA77" s="1382"/>
      <c r="AB77" s="1382"/>
      <c r="AC77" s="1382"/>
      <c r="AD77" s="1382"/>
      <c r="AE77" s="1382"/>
      <c r="AF77" s="1382"/>
      <c r="AG77" s="1382"/>
      <c r="AH77" s="1382"/>
      <c r="AI77" s="1382"/>
      <c r="AJ77" s="1382"/>
      <c r="AK77" s="181"/>
      <c r="AL77" s="181"/>
      <c r="AM77" s="181"/>
      <c r="AN77" s="181"/>
      <c r="AO77" s="181"/>
      <c r="AP77" s="181"/>
      <c r="AQ77" s="181"/>
      <c r="AR77" s="181"/>
      <c r="AS77" s="181"/>
      <c r="AT77" s="181"/>
      <c r="AU77" s="181"/>
      <c r="AV77" s="181"/>
    </row>
    <row r="78" spans="1:48" s="30" customFormat="1" x14ac:dyDescent="0.25">
      <c r="A78" s="1402"/>
      <c r="B78" s="191"/>
      <c r="C78" s="945"/>
      <c r="D78" s="2071"/>
      <c r="E78" s="1067"/>
      <c r="F78" s="1067"/>
      <c r="G78" s="933" t="s">
        <v>37</v>
      </c>
      <c r="H78" s="1886" t="s">
        <v>860</v>
      </c>
      <c r="I78" s="197"/>
      <c r="J78" s="229"/>
      <c r="K78" s="1387" t="str">
        <f t="shared" si="3"/>
        <v>&lt;----Use DROP DOWN to chose if Subset Item Applies</v>
      </c>
      <c r="L78" s="1382"/>
      <c r="M78" s="1382"/>
      <c r="N78" s="1382"/>
      <c r="O78" s="1382"/>
      <c r="P78" s="1382"/>
      <c r="Q78" s="1382"/>
      <c r="R78" s="1382"/>
      <c r="S78" s="1382"/>
      <c r="T78" s="1382"/>
      <c r="U78" s="1382"/>
      <c r="V78" s="1382"/>
      <c r="W78" s="1382"/>
      <c r="X78" s="1382"/>
      <c r="Y78" s="1382"/>
      <c r="Z78" s="1382"/>
      <c r="AA78" s="1382"/>
      <c r="AB78" s="1382"/>
      <c r="AC78" s="1382"/>
      <c r="AD78" s="1382"/>
      <c r="AE78" s="1382"/>
      <c r="AF78" s="1382"/>
      <c r="AG78" s="1382"/>
      <c r="AH78" s="1382"/>
      <c r="AI78" s="1382"/>
      <c r="AJ78" s="1382"/>
      <c r="AK78" s="181"/>
      <c r="AL78" s="181"/>
      <c r="AM78" s="181"/>
      <c r="AN78" s="181"/>
      <c r="AO78" s="181"/>
      <c r="AP78" s="181"/>
      <c r="AQ78" s="181"/>
      <c r="AR78" s="181"/>
      <c r="AS78" s="181"/>
      <c r="AT78" s="181"/>
      <c r="AU78" s="181"/>
      <c r="AV78" s="181"/>
    </row>
    <row r="79" spans="1:48" s="30" customFormat="1" x14ac:dyDescent="0.25">
      <c r="A79" s="1402"/>
      <c r="B79" s="191"/>
      <c r="C79" s="945"/>
      <c r="D79" s="2071"/>
      <c r="E79" s="1067"/>
      <c r="F79" s="1067"/>
      <c r="G79" s="933" t="s">
        <v>37</v>
      </c>
      <c r="H79" s="469" t="s">
        <v>284</v>
      </c>
      <c r="I79" s="197"/>
      <c r="J79" s="229"/>
      <c r="K79" s="1387" t="str">
        <f t="shared" si="3"/>
        <v>&lt;----Use DROP DOWN to chose if Subset Item Applies</v>
      </c>
      <c r="L79" s="1382"/>
      <c r="M79" s="1382"/>
      <c r="N79" s="1382"/>
      <c r="O79" s="1382"/>
      <c r="P79" s="1382"/>
      <c r="Q79" s="1382"/>
      <c r="R79" s="1382"/>
      <c r="S79" s="1382"/>
      <c r="T79" s="1382"/>
      <c r="U79" s="1382"/>
      <c r="V79" s="1382"/>
      <c r="W79" s="1382"/>
      <c r="X79" s="1382"/>
      <c r="Y79" s="1382"/>
      <c r="Z79" s="1382"/>
      <c r="AA79" s="1382"/>
      <c r="AB79" s="1382"/>
      <c r="AC79" s="1382"/>
      <c r="AD79" s="1382"/>
      <c r="AE79" s="1382"/>
      <c r="AF79" s="1382"/>
      <c r="AG79" s="1382"/>
      <c r="AH79" s="1382"/>
      <c r="AI79" s="1382"/>
      <c r="AJ79" s="1382"/>
      <c r="AK79" s="181"/>
      <c r="AL79" s="181"/>
      <c r="AM79" s="181"/>
      <c r="AN79" s="181"/>
      <c r="AO79" s="181"/>
      <c r="AP79" s="181"/>
      <c r="AQ79" s="181"/>
      <c r="AR79" s="181"/>
      <c r="AS79" s="181"/>
      <c r="AT79" s="181"/>
      <c r="AU79" s="181"/>
      <c r="AV79" s="181"/>
    </row>
    <row r="80" spans="1:48" s="30" customFormat="1" ht="30" x14ac:dyDescent="0.25">
      <c r="A80" s="1402"/>
      <c r="B80" s="191"/>
      <c r="C80" s="945"/>
      <c r="D80" s="2071"/>
      <c r="E80" s="1067"/>
      <c r="F80" s="1067"/>
      <c r="G80" s="933" t="s">
        <v>37</v>
      </c>
      <c r="H80" s="469" t="s">
        <v>321</v>
      </c>
      <c r="I80" s="197"/>
      <c r="J80" s="229"/>
      <c r="K80" s="1387" t="str">
        <f t="shared" si="3"/>
        <v>&lt;----Use DROP DOWN to chose if Subset Item Applies</v>
      </c>
      <c r="L80" s="1382"/>
      <c r="M80" s="1382"/>
      <c r="N80" s="1382"/>
      <c r="O80" s="1382"/>
      <c r="P80" s="1382"/>
      <c r="Q80" s="1382"/>
      <c r="R80" s="1382"/>
      <c r="S80" s="1382"/>
      <c r="T80" s="1382"/>
      <c r="U80" s="1382"/>
      <c r="V80" s="1382"/>
      <c r="W80" s="1382"/>
      <c r="X80" s="1382"/>
      <c r="Y80" s="1382"/>
      <c r="Z80" s="1382"/>
      <c r="AA80" s="1382"/>
      <c r="AB80" s="1382"/>
      <c r="AC80" s="1382"/>
      <c r="AD80" s="1382"/>
      <c r="AE80" s="1382"/>
      <c r="AF80" s="1382"/>
      <c r="AG80" s="1382"/>
      <c r="AH80" s="1382"/>
      <c r="AI80" s="1382"/>
      <c r="AJ80" s="1382"/>
      <c r="AK80" s="181"/>
      <c r="AL80" s="181"/>
      <c r="AM80" s="181"/>
      <c r="AN80" s="181"/>
      <c r="AO80" s="181"/>
      <c r="AP80" s="181"/>
      <c r="AQ80" s="181"/>
      <c r="AR80" s="181"/>
      <c r="AS80" s="181"/>
      <c r="AT80" s="181"/>
      <c r="AU80" s="181"/>
      <c r="AV80" s="181"/>
    </row>
    <row r="81" spans="1:48" s="30" customFormat="1" x14ac:dyDescent="0.25">
      <c r="A81" s="1402"/>
      <c r="B81" s="191"/>
      <c r="C81" s="945"/>
      <c r="D81" s="2071"/>
      <c r="E81" s="1067"/>
      <c r="F81" s="1067"/>
      <c r="G81" s="933" t="s">
        <v>37</v>
      </c>
      <c r="H81" s="469" t="s">
        <v>276</v>
      </c>
      <c r="I81" s="197"/>
      <c r="J81" s="229"/>
      <c r="K81" s="1387" t="str">
        <f t="shared" si="3"/>
        <v>&lt;----Use DROP DOWN to chose if Subset Item Applies</v>
      </c>
      <c r="L81" s="1382"/>
      <c r="M81" s="1382"/>
      <c r="N81" s="1382"/>
      <c r="O81" s="1382"/>
      <c r="P81" s="1382"/>
      <c r="Q81" s="1382"/>
      <c r="R81" s="1382"/>
      <c r="S81" s="1382"/>
      <c r="T81" s="1382"/>
      <c r="U81" s="1382"/>
      <c r="V81" s="1382"/>
      <c r="W81" s="1382"/>
      <c r="X81" s="1382"/>
      <c r="Y81" s="1382"/>
      <c r="Z81" s="1382"/>
      <c r="AA81" s="1382"/>
      <c r="AB81" s="1382"/>
      <c r="AC81" s="1382"/>
      <c r="AD81" s="1382"/>
      <c r="AE81" s="1382"/>
      <c r="AF81" s="1382"/>
      <c r="AG81" s="1382"/>
      <c r="AH81" s="1382"/>
      <c r="AI81" s="1382"/>
      <c r="AJ81" s="1382"/>
      <c r="AK81" s="181"/>
      <c r="AL81" s="181"/>
      <c r="AM81" s="181"/>
      <c r="AN81" s="181"/>
      <c r="AO81" s="181"/>
      <c r="AP81" s="181"/>
      <c r="AQ81" s="181"/>
      <c r="AR81" s="181"/>
      <c r="AS81" s="181"/>
      <c r="AT81" s="181"/>
      <c r="AU81" s="181"/>
      <c r="AV81" s="181"/>
    </row>
    <row r="82" spans="1:48" s="30" customFormat="1" x14ac:dyDescent="0.25">
      <c r="A82" s="1402"/>
      <c r="B82" s="191"/>
      <c r="C82" s="945"/>
      <c r="D82" s="2071"/>
      <c r="E82" s="1068"/>
      <c r="F82" s="1067"/>
      <c r="G82" s="933" t="s">
        <v>37</v>
      </c>
      <c r="H82" s="361" t="s">
        <v>282</v>
      </c>
      <c r="I82" s="197"/>
      <c r="J82" s="229"/>
      <c r="K82" s="1387" t="str">
        <f t="shared" si="3"/>
        <v>&lt;----Use DROP DOWN to chose if Subset Item Applies</v>
      </c>
      <c r="L82" s="1382"/>
      <c r="M82" s="1382"/>
      <c r="N82" s="1382"/>
      <c r="O82" s="1382"/>
      <c r="P82" s="1382"/>
      <c r="Q82" s="1382"/>
      <c r="R82" s="1382"/>
      <c r="S82" s="1382"/>
      <c r="T82" s="1382"/>
      <c r="U82" s="1382"/>
      <c r="V82" s="1382"/>
      <c r="W82" s="1382"/>
      <c r="X82" s="1382"/>
      <c r="Y82" s="1382"/>
      <c r="Z82" s="1382"/>
      <c r="AA82" s="1382"/>
      <c r="AB82" s="1382"/>
      <c r="AC82" s="1382"/>
      <c r="AD82" s="1382"/>
      <c r="AE82" s="1382"/>
      <c r="AF82" s="1382"/>
      <c r="AG82" s="1382"/>
      <c r="AH82" s="1382"/>
      <c r="AI82" s="1382"/>
      <c r="AJ82" s="1382"/>
      <c r="AK82" s="181"/>
      <c r="AL82" s="181"/>
      <c r="AM82" s="181"/>
      <c r="AN82" s="181"/>
      <c r="AO82" s="181"/>
      <c r="AP82" s="181"/>
      <c r="AQ82" s="181"/>
      <c r="AR82" s="181"/>
      <c r="AS82" s="181"/>
      <c r="AT82" s="181"/>
      <c r="AU82" s="181"/>
      <c r="AV82" s="181"/>
    </row>
    <row r="83" spans="1:48" s="30" customFormat="1" x14ac:dyDescent="0.25">
      <c r="A83" s="1402"/>
      <c r="B83" s="191"/>
      <c r="C83" s="945"/>
      <c r="D83" s="2071"/>
      <c r="E83" s="1067"/>
      <c r="F83" s="1067"/>
      <c r="G83" s="933" t="s">
        <v>37</v>
      </c>
      <c r="H83" s="469" t="s">
        <v>322</v>
      </c>
      <c r="I83" s="197"/>
      <c r="J83" s="229"/>
      <c r="K83" s="1387" t="str">
        <f t="shared" si="3"/>
        <v>&lt;----Use DROP DOWN to chose if Subset Item Applies</v>
      </c>
      <c r="L83" s="1382"/>
      <c r="M83" s="1382"/>
      <c r="N83" s="1382"/>
      <c r="O83" s="1382"/>
      <c r="P83" s="1382"/>
      <c r="Q83" s="1382"/>
      <c r="R83" s="1382"/>
      <c r="S83" s="1382"/>
      <c r="T83" s="1382"/>
      <c r="U83" s="1382"/>
      <c r="V83" s="1382"/>
      <c r="W83" s="1382"/>
      <c r="X83" s="1382"/>
      <c r="Y83" s="1382"/>
      <c r="Z83" s="1382"/>
      <c r="AA83" s="1382"/>
      <c r="AB83" s="1382"/>
      <c r="AC83" s="1382"/>
      <c r="AD83" s="1382"/>
      <c r="AE83" s="1382"/>
      <c r="AF83" s="1382"/>
      <c r="AG83" s="1382"/>
      <c r="AH83" s="1382"/>
      <c r="AI83" s="1382"/>
      <c r="AJ83" s="1382"/>
      <c r="AK83" s="181"/>
      <c r="AL83" s="181"/>
      <c r="AM83" s="181"/>
      <c r="AN83" s="181"/>
      <c r="AO83" s="181"/>
      <c r="AP83" s="181"/>
      <c r="AQ83" s="181"/>
      <c r="AR83" s="181"/>
      <c r="AS83" s="181"/>
      <c r="AT83" s="181"/>
      <c r="AU83" s="181"/>
      <c r="AV83" s="181"/>
    </row>
    <row r="84" spans="1:48" s="30" customFormat="1" x14ac:dyDescent="0.25">
      <c r="A84" s="1402"/>
      <c r="B84" s="191"/>
      <c r="C84" s="945"/>
      <c r="D84" s="2071"/>
      <c r="E84" s="1068"/>
      <c r="F84" s="1067"/>
      <c r="G84" s="933" t="s">
        <v>37</v>
      </c>
      <c r="H84" s="1888" t="s">
        <v>279</v>
      </c>
      <c r="I84" s="197"/>
      <c r="J84" s="229"/>
      <c r="K84" s="1387" t="str">
        <f t="shared" si="3"/>
        <v>&lt;----Use DROP DOWN to chose if Subset Item Applies</v>
      </c>
      <c r="L84" s="1382"/>
      <c r="M84" s="1382"/>
      <c r="N84" s="1382"/>
      <c r="O84" s="1382"/>
      <c r="P84" s="1382"/>
      <c r="Q84" s="1382"/>
      <c r="R84" s="1382"/>
      <c r="S84" s="1382"/>
      <c r="T84" s="1382"/>
      <c r="U84" s="1382"/>
      <c r="V84" s="1382"/>
      <c r="W84" s="1382"/>
      <c r="X84" s="1382"/>
      <c r="Y84" s="1382"/>
      <c r="Z84" s="1382"/>
      <c r="AA84" s="1382"/>
      <c r="AB84" s="1382"/>
      <c r="AC84" s="1382"/>
      <c r="AD84" s="1382"/>
      <c r="AE84" s="1382"/>
      <c r="AF84" s="1382"/>
      <c r="AG84" s="1382"/>
      <c r="AH84" s="1382"/>
      <c r="AI84" s="1382"/>
      <c r="AJ84" s="1382"/>
      <c r="AK84" s="181"/>
      <c r="AL84" s="181"/>
      <c r="AM84" s="181"/>
      <c r="AN84" s="181"/>
      <c r="AO84" s="181"/>
      <c r="AP84" s="181"/>
      <c r="AQ84" s="181"/>
      <c r="AR84" s="181"/>
      <c r="AS84" s="181"/>
      <c r="AT84" s="181"/>
      <c r="AU84" s="181"/>
      <c r="AV84" s="181"/>
    </row>
    <row r="85" spans="1:48" s="545" customFormat="1" x14ac:dyDescent="0.25">
      <c r="A85" s="1402"/>
      <c r="B85" s="554"/>
      <c r="C85" s="945"/>
      <c r="D85" s="2071"/>
      <c r="E85" s="1068"/>
      <c r="F85" s="1067"/>
      <c r="G85" s="933" t="s">
        <v>37</v>
      </c>
      <c r="H85" s="1888" t="s">
        <v>279</v>
      </c>
      <c r="I85" s="197"/>
      <c r="J85" s="229"/>
      <c r="K85" s="1387" t="str">
        <f t="shared" si="3"/>
        <v>&lt;----Use DROP DOWN to chose if Subset Item Applies</v>
      </c>
      <c r="L85" s="1382"/>
      <c r="M85" s="1382"/>
      <c r="N85" s="1382"/>
      <c r="O85" s="1382"/>
      <c r="P85" s="1382"/>
      <c r="Q85" s="1382"/>
      <c r="R85" s="1382"/>
      <c r="S85" s="1382"/>
      <c r="T85" s="1382"/>
      <c r="U85" s="1382"/>
      <c r="V85" s="1382"/>
      <c r="W85" s="1382"/>
      <c r="X85" s="1382"/>
      <c r="Y85" s="1382"/>
      <c r="Z85" s="1382"/>
      <c r="AA85" s="1382"/>
      <c r="AB85" s="1382"/>
      <c r="AC85" s="1382"/>
      <c r="AD85" s="1382"/>
      <c r="AE85" s="1382"/>
      <c r="AF85" s="1382"/>
      <c r="AG85" s="1382"/>
      <c r="AH85" s="1382"/>
      <c r="AI85" s="1382"/>
      <c r="AJ85" s="1382"/>
      <c r="AK85" s="551"/>
      <c r="AL85" s="551"/>
      <c r="AM85" s="551"/>
      <c r="AN85" s="551"/>
      <c r="AO85" s="551"/>
      <c r="AP85" s="551"/>
      <c r="AQ85" s="551"/>
      <c r="AR85" s="551"/>
      <c r="AS85" s="551"/>
      <c r="AT85" s="551"/>
      <c r="AU85" s="551"/>
      <c r="AV85" s="551"/>
    </row>
    <row r="86" spans="1:48" s="545" customFormat="1" x14ac:dyDescent="0.25">
      <c r="A86" s="1402"/>
      <c r="B86" s="554"/>
      <c r="C86" s="945"/>
      <c r="D86" s="2071"/>
      <c r="E86" s="1068"/>
      <c r="F86" s="1067"/>
      <c r="G86" s="933" t="s">
        <v>37</v>
      </c>
      <c r="H86" s="1847" t="s">
        <v>849</v>
      </c>
      <c r="I86" s="197"/>
      <c r="J86" s="229"/>
      <c r="K86" s="1387" t="str">
        <f t="shared" si="3"/>
        <v>&lt;----Use DROP DOWN to chose if Subset Item Applies</v>
      </c>
      <c r="L86" s="1382"/>
      <c r="M86" s="1382"/>
      <c r="N86" s="1382"/>
      <c r="O86" s="1382"/>
      <c r="P86" s="1382"/>
      <c r="Q86" s="1382"/>
      <c r="R86" s="1382"/>
      <c r="S86" s="1382"/>
      <c r="T86" s="1382"/>
      <c r="U86" s="1382"/>
      <c r="V86" s="1382"/>
      <c r="W86" s="1382"/>
      <c r="X86" s="1382"/>
      <c r="Y86" s="1382"/>
      <c r="Z86" s="1382"/>
      <c r="AA86" s="1382"/>
      <c r="AB86" s="1382"/>
      <c r="AC86" s="1382"/>
      <c r="AD86" s="1382"/>
      <c r="AE86" s="1382"/>
      <c r="AF86" s="1382"/>
      <c r="AG86" s="1382"/>
      <c r="AH86" s="1382"/>
      <c r="AI86" s="1382"/>
      <c r="AJ86" s="1382"/>
      <c r="AK86" s="551"/>
      <c r="AL86" s="551"/>
      <c r="AM86" s="551"/>
      <c r="AN86" s="551"/>
      <c r="AO86" s="551"/>
      <c r="AP86" s="551"/>
      <c r="AQ86" s="551"/>
      <c r="AR86" s="551"/>
      <c r="AS86" s="551"/>
      <c r="AT86" s="551"/>
      <c r="AU86" s="551"/>
      <c r="AV86" s="551"/>
    </row>
    <row r="87" spans="1:48" s="545" customFormat="1" x14ac:dyDescent="0.25">
      <c r="A87" s="1402"/>
      <c r="B87" s="554"/>
      <c r="C87" s="945"/>
      <c r="D87" s="2071"/>
      <c r="E87" s="1068"/>
      <c r="F87" s="1067"/>
      <c r="G87" s="933" t="s">
        <v>37</v>
      </c>
      <c r="H87" s="361" t="s">
        <v>274</v>
      </c>
      <c r="I87" s="197"/>
      <c r="J87" s="229"/>
      <c r="K87" s="1387" t="str">
        <f t="shared" si="3"/>
        <v>&lt;----Use DROP DOWN to chose if Subset Item Applies</v>
      </c>
      <c r="L87" s="1382"/>
      <c r="M87" s="1382"/>
      <c r="N87" s="1382"/>
      <c r="O87" s="1382"/>
      <c r="P87" s="1382"/>
      <c r="Q87" s="1382"/>
      <c r="R87" s="1382"/>
      <c r="S87" s="1382"/>
      <c r="T87" s="1382"/>
      <c r="U87" s="1382"/>
      <c r="V87" s="1382"/>
      <c r="W87" s="1382"/>
      <c r="X87" s="1382"/>
      <c r="Y87" s="1382"/>
      <c r="Z87" s="1382"/>
      <c r="AA87" s="1382"/>
      <c r="AB87" s="1382"/>
      <c r="AC87" s="1382"/>
      <c r="AD87" s="1382"/>
      <c r="AE87" s="1382"/>
      <c r="AF87" s="1382"/>
      <c r="AG87" s="1382"/>
      <c r="AH87" s="1382"/>
      <c r="AI87" s="1382"/>
      <c r="AJ87" s="1382"/>
      <c r="AK87" s="551"/>
      <c r="AL87" s="551"/>
      <c r="AM87" s="551"/>
      <c r="AN87" s="551"/>
      <c r="AO87" s="551"/>
      <c r="AP87" s="551"/>
      <c r="AQ87" s="551"/>
      <c r="AR87" s="551"/>
      <c r="AS87" s="551"/>
      <c r="AT87" s="551"/>
      <c r="AU87" s="551"/>
      <c r="AV87" s="551"/>
    </row>
    <row r="88" spans="1:48" s="545" customFormat="1" x14ac:dyDescent="0.25">
      <c r="A88" s="1402"/>
      <c r="B88" s="554"/>
      <c r="C88" s="945"/>
      <c r="D88" s="2071"/>
      <c r="E88" s="1068"/>
      <c r="F88" s="1067"/>
      <c r="G88" s="933" t="s">
        <v>37</v>
      </c>
      <c r="H88" s="361" t="s">
        <v>275</v>
      </c>
      <c r="I88" s="197"/>
      <c r="J88" s="229"/>
      <c r="K88" s="1387" t="str">
        <f t="shared" si="3"/>
        <v>&lt;----Use DROP DOWN to chose if Subset Item Applies</v>
      </c>
      <c r="L88" s="1382"/>
      <c r="M88" s="1382"/>
      <c r="N88" s="1382"/>
      <c r="O88" s="1382"/>
      <c r="P88" s="1382"/>
      <c r="Q88" s="1382"/>
      <c r="R88" s="1382"/>
      <c r="S88" s="1382"/>
      <c r="T88" s="1382"/>
      <c r="U88" s="1382"/>
      <c r="V88" s="1382"/>
      <c r="W88" s="1382"/>
      <c r="X88" s="1382"/>
      <c r="Y88" s="1382"/>
      <c r="Z88" s="1382"/>
      <c r="AA88" s="1382"/>
      <c r="AB88" s="1382"/>
      <c r="AC88" s="1382"/>
      <c r="AD88" s="1382"/>
      <c r="AE88" s="1382"/>
      <c r="AF88" s="1382"/>
      <c r="AG88" s="1382"/>
      <c r="AH88" s="1382"/>
      <c r="AI88" s="1382"/>
      <c r="AJ88" s="1382"/>
      <c r="AK88" s="551"/>
      <c r="AL88" s="551"/>
      <c r="AM88" s="551"/>
      <c r="AN88" s="551"/>
      <c r="AO88" s="551"/>
      <c r="AP88" s="551"/>
      <c r="AQ88" s="551"/>
      <c r="AR88" s="551"/>
      <c r="AS88" s="551"/>
      <c r="AT88" s="551"/>
      <c r="AU88" s="551"/>
      <c r="AV88" s="551"/>
    </row>
    <row r="89" spans="1:48" s="545" customFormat="1" x14ac:dyDescent="0.25">
      <c r="A89" s="1402"/>
      <c r="B89" s="554"/>
      <c r="C89" s="945"/>
      <c r="D89" s="2071"/>
      <c r="E89" s="1068"/>
      <c r="F89" s="1067"/>
      <c r="G89" s="933" t="s">
        <v>37</v>
      </c>
      <c r="H89" s="361" t="s">
        <v>278</v>
      </c>
      <c r="I89" s="197"/>
      <c r="J89" s="229"/>
      <c r="K89" s="1387" t="str">
        <f t="shared" si="3"/>
        <v>&lt;----Use DROP DOWN to chose if Subset Item Applies</v>
      </c>
      <c r="L89" s="1382"/>
      <c r="M89" s="1382"/>
      <c r="N89" s="1382"/>
      <c r="O89" s="1382"/>
      <c r="P89" s="1382"/>
      <c r="Q89" s="1382"/>
      <c r="R89" s="1382"/>
      <c r="S89" s="1382"/>
      <c r="T89" s="1382"/>
      <c r="U89" s="1382"/>
      <c r="V89" s="1382"/>
      <c r="W89" s="1382"/>
      <c r="X89" s="1382"/>
      <c r="Y89" s="1382"/>
      <c r="Z89" s="1382"/>
      <c r="AA89" s="1382"/>
      <c r="AB89" s="1382"/>
      <c r="AC89" s="1382"/>
      <c r="AD89" s="1382"/>
      <c r="AE89" s="1382"/>
      <c r="AF89" s="1382"/>
      <c r="AG89" s="1382"/>
      <c r="AH89" s="1382"/>
      <c r="AI89" s="1382"/>
      <c r="AJ89" s="1382"/>
      <c r="AK89" s="551"/>
      <c r="AL89" s="551"/>
      <c r="AM89" s="551"/>
      <c r="AN89" s="551"/>
      <c r="AO89" s="551"/>
      <c r="AP89" s="551"/>
      <c r="AQ89" s="551"/>
      <c r="AR89" s="551"/>
      <c r="AS89" s="551"/>
      <c r="AT89" s="551"/>
      <c r="AU89" s="551"/>
      <c r="AV89" s="551"/>
    </row>
    <row r="90" spans="1:48" s="545" customFormat="1" ht="18.75" customHeight="1" x14ac:dyDescent="0.25">
      <c r="A90" s="1402"/>
      <c r="B90" s="554"/>
      <c r="C90" s="945"/>
      <c r="D90" s="2071"/>
      <c r="E90" s="1068"/>
      <c r="F90" s="1067"/>
      <c r="G90" s="933" t="s">
        <v>37</v>
      </c>
      <c r="H90" s="361" t="s">
        <v>304</v>
      </c>
      <c r="I90" s="197"/>
      <c r="J90" s="229"/>
      <c r="K90" s="1387" t="str">
        <f t="shared" si="3"/>
        <v>&lt;----Use DROP DOWN to chose if Subset Item Applies</v>
      </c>
      <c r="L90" s="1382"/>
      <c r="M90" s="1382"/>
      <c r="N90" s="1382"/>
      <c r="O90" s="1382"/>
      <c r="P90" s="1382"/>
      <c r="Q90" s="1382"/>
      <c r="R90" s="1382"/>
      <c r="S90" s="1382"/>
      <c r="T90" s="1382"/>
      <c r="U90" s="1382"/>
      <c r="V90" s="1382"/>
      <c r="W90" s="1382"/>
      <c r="X90" s="1382"/>
      <c r="Y90" s="1382"/>
      <c r="Z90" s="1382"/>
      <c r="AA90" s="1382"/>
      <c r="AB90" s="1382"/>
      <c r="AC90" s="1382"/>
      <c r="AD90" s="1382"/>
      <c r="AE90" s="1382"/>
      <c r="AF90" s="1382"/>
      <c r="AG90" s="1382"/>
      <c r="AH90" s="1382"/>
      <c r="AI90" s="1382"/>
      <c r="AJ90" s="1382"/>
      <c r="AK90" s="551"/>
      <c r="AL90" s="551"/>
      <c r="AM90" s="551"/>
      <c r="AN90" s="551"/>
      <c r="AO90" s="551"/>
      <c r="AP90" s="551"/>
      <c r="AQ90" s="551"/>
      <c r="AR90" s="551"/>
      <c r="AS90" s="551"/>
      <c r="AT90" s="551"/>
      <c r="AU90" s="551"/>
      <c r="AV90" s="551"/>
    </row>
    <row r="91" spans="1:48" s="545" customFormat="1" x14ac:dyDescent="0.25">
      <c r="A91" s="1402"/>
      <c r="B91" s="554"/>
      <c r="C91" s="945"/>
      <c r="D91" s="2071"/>
      <c r="E91" s="1068"/>
      <c r="F91" s="1067"/>
      <c r="G91" s="933" t="s">
        <v>37</v>
      </c>
      <c r="H91" s="1888" t="s">
        <v>280</v>
      </c>
      <c r="I91" s="197"/>
      <c r="J91" s="229"/>
      <c r="K91" s="1387" t="str">
        <f t="shared" si="3"/>
        <v>&lt;----Use DROP DOWN to chose if Subset Item Applies</v>
      </c>
      <c r="L91" s="1382"/>
      <c r="M91" s="1382"/>
      <c r="N91" s="1382"/>
      <c r="O91" s="1382"/>
      <c r="P91" s="1382"/>
      <c r="Q91" s="1382"/>
      <c r="R91" s="1382"/>
      <c r="S91" s="1382"/>
      <c r="T91" s="1382"/>
      <c r="U91" s="1382"/>
      <c r="V91" s="1382"/>
      <c r="W91" s="1382"/>
      <c r="X91" s="1382"/>
      <c r="Y91" s="1382"/>
      <c r="Z91" s="1382"/>
      <c r="AA91" s="1382"/>
      <c r="AB91" s="1382"/>
      <c r="AC91" s="1382"/>
      <c r="AD91" s="1382"/>
      <c r="AE91" s="1382"/>
      <c r="AF91" s="1382"/>
      <c r="AG91" s="1382"/>
      <c r="AH91" s="1382"/>
      <c r="AI91" s="1382"/>
      <c r="AJ91" s="1382"/>
      <c r="AK91" s="551"/>
      <c r="AL91" s="551"/>
      <c r="AM91" s="551"/>
      <c r="AN91" s="551"/>
      <c r="AO91" s="551"/>
      <c r="AP91" s="551"/>
      <c r="AQ91" s="551"/>
      <c r="AR91" s="551"/>
      <c r="AS91" s="551"/>
      <c r="AT91" s="551"/>
      <c r="AU91" s="551"/>
      <c r="AV91" s="551"/>
    </row>
    <row r="92" spans="1:48" s="545" customFormat="1" x14ac:dyDescent="0.25">
      <c r="A92" s="1402"/>
      <c r="B92" s="554"/>
      <c r="C92" s="945"/>
      <c r="D92" s="2071"/>
      <c r="E92" s="1068"/>
      <c r="F92" s="1067"/>
      <c r="G92" s="933" t="s">
        <v>37</v>
      </c>
      <c r="H92" s="1888" t="s">
        <v>280</v>
      </c>
      <c r="I92" s="197"/>
      <c r="J92" s="229"/>
      <c r="K92" s="1387" t="str">
        <f t="shared" si="3"/>
        <v>&lt;----Use DROP DOWN to chose if Subset Item Applies</v>
      </c>
      <c r="L92" s="1382"/>
      <c r="M92" s="1382"/>
      <c r="N92" s="1382"/>
      <c r="O92" s="1382"/>
      <c r="P92" s="1382"/>
      <c r="Q92" s="1382"/>
      <c r="R92" s="1382"/>
      <c r="S92" s="1382"/>
      <c r="T92" s="1382"/>
      <c r="U92" s="1382"/>
      <c r="V92" s="1382"/>
      <c r="W92" s="1382"/>
      <c r="X92" s="1382"/>
      <c r="Y92" s="1382"/>
      <c r="Z92" s="1382"/>
      <c r="AA92" s="1382"/>
      <c r="AB92" s="1382"/>
      <c r="AC92" s="1382"/>
      <c r="AD92" s="1382"/>
      <c r="AE92" s="1382"/>
      <c r="AF92" s="1382"/>
      <c r="AG92" s="1382"/>
      <c r="AH92" s="1382"/>
      <c r="AI92" s="1382"/>
      <c r="AJ92" s="1382"/>
      <c r="AK92" s="551"/>
      <c r="AL92" s="551"/>
      <c r="AM92" s="551"/>
      <c r="AN92" s="551"/>
      <c r="AO92" s="551"/>
      <c r="AP92" s="551"/>
      <c r="AQ92" s="551"/>
      <c r="AR92" s="551"/>
      <c r="AS92" s="551"/>
      <c r="AT92" s="551"/>
      <c r="AU92" s="551"/>
      <c r="AV92" s="551"/>
    </row>
    <row r="93" spans="1:48" s="545" customFormat="1" x14ac:dyDescent="0.25">
      <c r="A93" s="1402"/>
      <c r="B93" s="554"/>
      <c r="C93" s="945"/>
      <c r="D93" s="2071"/>
      <c r="E93" s="1068"/>
      <c r="F93" s="1067"/>
      <c r="G93" s="933" t="s">
        <v>37</v>
      </c>
      <c r="H93" s="1847" t="s">
        <v>850</v>
      </c>
      <c r="I93" s="197"/>
      <c r="J93" s="229"/>
      <c r="K93" s="1387" t="str">
        <f t="shared" si="3"/>
        <v>&lt;----Use DROP DOWN to chose if Subset Item Applies</v>
      </c>
      <c r="L93" s="1382"/>
      <c r="M93" s="1382"/>
      <c r="N93" s="1382"/>
      <c r="O93" s="1382"/>
      <c r="P93" s="1382"/>
      <c r="Q93" s="1382"/>
      <c r="R93" s="1382"/>
      <c r="S93" s="1382"/>
      <c r="T93" s="1382"/>
      <c r="U93" s="1382"/>
      <c r="V93" s="1382"/>
      <c r="W93" s="1382"/>
      <c r="X93" s="1382"/>
      <c r="Y93" s="1382"/>
      <c r="Z93" s="1382"/>
      <c r="AA93" s="1382"/>
      <c r="AB93" s="1382"/>
      <c r="AC93" s="1382"/>
      <c r="AD93" s="1382"/>
      <c r="AE93" s="1382"/>
      <c r="AF93" s="1382"/>
      <c r="AG93" s="1382"/>
      <c r="AH93" s="1382"/>
      <c r="AI93" s="1382"/>
      <c r="AJ93" s="1382"/>
      <c r="AK93" s="551"/>
      <c r="AL93" s="551"/>
      <c r="AM93" s="551"/>
      <c r="AN93" s="551"/>
      <c r="AO93" s="551"/>
      <c r="AP93" s="551"/>
      <c r="AQ93" s="551"/>
      <c r="AR93" s="551"/>
      <c r="AS93" s="551"/>
      <c r="AT93" s="551"/>
      <c r="AU93" s="551"/>
      <c r="AV93" s="551"/>
    </row>
    <row r="94" spans="1:48" s="545" customFormat="1" x14ac:dyDescent="0.25">
      <c r="A94" s="1402"/>
      <c r="B94" s="554"/>
      <c r="C94" s="945"/>
      <c r="D94" s="2071"/>
      <c r="E94" s="1068"/>
      <c r="F94" s="1067"/>
      <c r="G94" s="933" t="s">
        <v>37</v>
      </c>
      <c r="H94" s="361" t="s">
        <v>632</v>
      </c>
      <c r="I94" s="197"/>
      <c r="J94" s="229"/>
      <c r="K94" s="1387" t="str">
        <f t="shared" si="3"/>
        <v>&lt;----Use DROP DOWN to chose if Subset Item Applies</v>
      </c>
      <c r="L94" s="1382"/>
      <c r="M94" s="1382"/>
      <c r="N94" s="1382"/>
      <c r="O94" s="1382"/>
      <c r="P94" s="1382"/>
      <c r="Q94" s="1382"/>
      <c r="R94" s="1382"/>
      <c r="S94" s="1382"/>
      <c r="T94" s="1382"/>
      <c r="U94" s="1382"/>
      <c r="V94" s="1382"/>
      <c r="W94" s="1382"/>
      <c r="X94" s="1382"/>
      <c r="Y94" s="1382"/>
      <c r="Z94" s="1382"/>
      <c r="AA94" s="1382"/>
      <c r="AB94" s="1382"/>
      <c r="AC94" s="1382"/>
      <c r="AD94" s="1382"/>
      <c r="AE94" s="1382"/>
      <c r="AF94" s="1382"/>
      <c r="AG94" s="1382"/>
      <c r="AH94" s="1382"/>
      <c r="AI94" s="1382"/>
      <c r="AJ94" s="1382"/>
      <c r="AK94" s="551"/>
      <c r="AL94" s="551"/>
      <c r="AM94" s="551"/>
      <c r="AN94" s="551"/>
      <c r="AO94" s="551"/>
      <c r="AP94" s="551"/>
      <c r="AQ94" s="551"/>
      <c r="AR94" s="551"/>
      <c r="AS94" s="551"/>
      <c r="AT94" s="551"/>
      <c r="AU94" s="551"/>
      <c r="AV94" s="551"/>
    </row>
    <row r="95" spans="1:48" s="545" customFormat="1" x14ac:dyDescent="0.25">
      <c r="A95" s="1402"/>
      <c r="B95" s="554"/>
      <c r="C95" s="945"/>
      <c r="D95" s="2071"/>
      <c r="E95" s="1068"/>
      <c r="F95" s="1067"/>
      <c r="G95" s="933" t="s">
        <v>37</v>
      </c>
      <c r="H95" s="361" t="s">
        <v>633</v>
      </c>
      <c r="I95" s="197"/>
      <c r="J95" s="229"/>
      <c r="K95" s="1387" t="str">
        <f t="shared" si="3"/>
        <v>&lt;----Use DROP DOWN to chose if Subset Item Applies</v>
      </c>
      <c r="L95" s="1382"/>
      <c r="M95" s="1382"/>
      <c r="N95" s="1382"/>
      <c r="O95" s="1382"/>
      <c r="P95" s="1382"/>
      <c r="Q95" s="1382"/>
      <c r="R95" s="1382"/>
      <c r="S95" s="1382"/>
      <c r="T95" s="1382"/>
      <c r="U95" s="1382"/>
      <c r="V95" s="1382"/>
      <c r="W95" s="1382"/>
      <c r="X95" s="1382"/>
      <c r="Y95" s="1382"/>
      <c r="Z95" s="1382"/>
      <c r="AA95" s="1382"/>
      <c r="AB95" s="1382"/>
      <c r="AC95" s="1382"/>
      <c r="AD95" s="1382"/>
      <c r="AE95" s="1382"/>
      <c r="AF95" s="1382"/>
      <c r="AG95" s="1382"/>
      <c r="AH95" s="1382"/>
      <c r="AI95" s="1382"/>
      <c r="AJ95" s="1382"/>
      <c r="AK95" s="551"/>
      <c r="AL95" s="551"/>
      <c r="AM95" s="551"/>
      <c r="AN95" s="551"/>
      <c r="AO95" s="551"/>
      <c r="AP95" s="551"/>
      <c r="AQ95" s="551"/>
      <c r="AR95" s="551"/>
      <c r="AS95" s="551"/>
      <c r="AT95" s="551"/>
      <c r="AU95" s="551"/>
      <c r="AV95" s="551"/>
    </row>
    <row r="96" spans="1:48" s="545" customFormat="1" x14ac:dyDescent="0.25">
      <c r="A96" s="1402"/>
      <c r="B96" s="554"/>
      <c r="C96" s="945"/>
      <c r="D96" s="2071"/>
      <c r="E96" s="1068"/>
      <c r="F96" s="1067"/>
      <c r="G96" s="933" t="s">
        <v>37</v>
      </c>
      <c r="H96" s="361" t="s">
        <v>634</v>
      </c>
      <c r="I96" s="197"/>
      <c r="J96" s="229"/>
      <c r="K96" s="1387" t="str">
        <f t="shared" si="3"/>
        <v>&lt;----Use DROP DOWN to chose if Subset Item Applies</v>
      </c>
      <c r="L96" s="1382"/>
      <c r="M96" s="1382"/>
      <c r="N96" s="1382"/>
      <c r="O96" s="1382"/>
      <c r="P96" s="1382"/>
      <c r="Q96" s="1382"/>
      <c r="R96" s="1382"/>
      <c r="S96" s="1382"/>
      <c r="T96" s="1382"/>
      <c r="U96" s="1382"/>
      <c r="V96" s="1382"/>
      <c r="W96" s="1382"/>
      <c r="X96" s="1382"/>
      <c r="Y96" s="1382"/>
      <c r="Z96" s="1382"/>
      <c r="AA96" s="1382"/>
      <c r="AB96" s="1382"/>
      <c r="AC96" s="1382"/>
      <c r="AD96" s="1382"/>
      <c r="AE96" s="1382"/>
      <c r="AF96" s="1382"/>
      <c r="AG96" s="1382"/>
      <c r="AH96" s="1382"/>
      <c r="AI96" s="1382"/>
      <c r="AJ96" s="1382"/>
      <c r="AK96" s="551"/>
      <c r="AL96" s="551"/>
      <c r="AM96" s="551"/>
      <c r="AN96" s="551"/>
      <c r="AO96" s="551"/>
      <c r="AP96" s="551"/>
      <c r="AQ96" s="551"/>
      <c r="AR96" s="551"/>
      <c r="AS96" s="551"/>
      <c r="AT96" s="551"/>
      <c r="AU96" s="551"/>
      <c r="AV96" s="551"/>
    </row>
    <row r="97" spans="1:48" s="545" customFormat="1" x14ac:dyDescent="0.25">
      <c r="A97" s="1402"/>
      <c r="B97" s="554"/>
      <c r="C97" s="945"/>
      <c r="D97" s="2071"/>
      <c r="E97" s="1068"/>
      <c r="F97" s="1067"/>
      <c r="G97" s="933" t="s">
        <v>37</v>
      </c>
      <c r="H97" s="361" t="s">
        <v>635</v>
      </c>
      <c r="I97" s="197"/>
      <c r="J97" s="229"/>
      <c r="K97" s="1387" t="str">
        <f t="shared" si="3"/>
        <v>&lt;----Use DROP DOWN to chose if Subset Item Applies</v>
      </c>
      <c r="L97" s="1382"/>
      <c r="M97" s="1382"/>
      <c r="N97" s="1382"/>
      <c r="O97" s="1382"/>
      <c r="P97" s="1382"/>
      <c r="Q97" s="1382"/>
      <c r="R97" s="1382"/>
      <c r="S97" s="1382"/>
      <c r="T97" s="1382"/>
      <c r="U97" s="1382"/>
      <c r="V97" s="1382"/>
      <c r="W97" s="1382"/>
      <c r="X97" s="1382"/>
      <c r="Y97" s="1382"/>
      <c r="Z97" s="1382"/>
      <c r="AA97" s="1382"/>
      <c r="AB97" s="1382"/>
      <c r="AC97" s="1382"/>
      <c r="AD97" s="1382"/>
      <c r="AE97" s="1382"/>
      <c r="AF97" s="1382"/>
      <c r="AG97" s="1382"/>
      <c r="AH97" s="1382"/>
      <c r="AI97" s="1382"/>
      <c r="AJ97" s="1382"/>
      <c r="AK97" s="551"/>
      <c r="AL97" s="551"/>
      <c r="AM97" s="551"/>
      <c r="AN97" s="551"/>
      <c r="AO97" s="551"/>
      <c r="AP97" s="551"/>
      <c r="AQ97" s="551"/>
      <c r="AR97" s="551"/>
      <c r="AS97" s="551"/>
      <c r="AT97" s="551"/>
      <c r="AU97" s="551"/>
      <c r="AV97" s="551"/>
    </row>
    <row r="98" spans="1:48" s="545" customFormat="1" x14ac:dyDescent="0.25">
      <c r="A98" s="1402"/>
      <c r="B98" s="554"/>
      <c r="C98" s="945"/>
      <c r="D98" s="2071"/>
      <c r="E98" s="1068"/>
      <c r="F98" s="1067"/>
      <c r="G98" s="933" t="s">
        <v>37</v>
      </c>
      <c r="H98" s="1888" t="s">
        <v>667</v>
      </c>
      <c r="I98" s="197"/>
      <c r="J98" s="229"/>
      <c r="K98" s="1387" t="str">
        <f t="shared" si="3"/>
        <v>&lt;----Use DROP DOWN to chose if Subset Item Applies</v>
      </c>
      <c r="L98" s="1382"/>
      <c r="M98" s="1382"/>
      <c r="N98" s="1382"/>
      <c r="O98" s="1382"/>
      <c r="P98" s="1382"/>
      <c r="Q98" s="1382"/>
      <c r="R98" s="1382"/>
      <c r="S98" s="1382"/>
      <c r="T98" s="1382"/>
      <c r="U98" s="1382"/>
      <c r="V98" s="1382"/>
      <c r="W98" s="1382"/>
      <c r="X98" s="1382"/>
      <c r="Y98" s="1382"/>
      <c r="Z98" s="1382"/>
      <c r="AA98" s="1382"/>
      <c r="AB98" s="1382"/>
      <c r="AC98" s="1382"/>
      <c r="AD98" s="1382"/>
      <c r="AE98" s="1382"/>
      <c r="AF98" s="1382"/>
      <c r="AG98" s="1382"/>
      <c r="AH98" s="1382"/>
      <c r="AI98" s="1382"/>
      <c r="AJ98" s="1382"/>
      <c r="AK98" s="551"/>
      <c r="AL98" s="551"/>
      <c r="AM98" s="551"/>
      <c r="AN98" s="551"/>
      <c r="AO98" s="551"/>
      <c r="AP98" s="551"/>
      <c r="AQ98" s="551"/>
      <c r="AR98" s="551"/>
      <c r="AS98" s="551"/>
      <c r="AT98" s="551"/>
      <c r="AU98" s="551"/>
      <c r="AV98" s="551"/>
    </row>
    <row r="99" spans="1:48" s="545" customFormat="1" x14ac:dyDescent="0.25">
      <c r="A99" s="1402"/>
      <c r="B99" s="554"/>
      <c r="C99" s="945"/>
      <c r="D99" s="2071"/>
      <c r="E99" s="1068"/>
      <c r="F99" s="1067"/>
      <c r="G99" s="933" t="s">
        <v>37</v>
      </c>
      <c r="H99" s="1847" t="s">
        <v>851</v>
      </c>
      <c r="I99" s="197"/>
      <c r="J99" s="229"/>
      <c r="K99" s="1387" t="str">
        <f t="shared" si="3"/>
        <v>&lt;----Use DROP DOWN to chose if Subset Item Applies</v>
      </c>
      <c r="L99" s="1382"/>
      <c r="M99" s="1382"/>
      <c r="N99" s="1382"/>
      <c r="O99" s="1382"/>
      <c r="P99" s="1382"/>
      <c r="Q99" s="1382"/>
      <c r="R99" s="1382"/>
      <c r="S99" s="1382"/>
      <c r="T99" s="1382"/>
      <c r="U99" s="1382"/>
      <c r="V99" s="1382"/>
      <c r="W99" s="1382"/>
      <c r="X99" s="1382"/>
      <c r="Y99" s="1382"/>
      <c r="Z99" s="1382"/>
      <c r="AA99" s="1382"/>
      <c r="AB99" s="1382"/>
      <c r="AC99" s="1382"/>
      <c r="AD99" s="1382"/>
      <c r="AE99" s="1382"/>
      <c r="AF99" s="1382"/>
      <c r="AG99" s="1382"/>
      <c r="AH99" s="1382"/>
      <c r="AI99" s="1382"/>
      <c r="AJ99" s="1382"/>
      <c r="AK99" s="551"/>
      <c r="AL99" s="551"/>
      <c r="AM99" s="551"/>
      <c r="AN99" s="551"/>
      <c r="AO99" s="551"/>
      <c r="AP99" s="551"/>
      <c r="AQ99" s="551"/>
      <c r="AR99" s="551"/>
      <c r="AS99" s="551"/>
      <c r="AT99" s="551"/>
      <c r="AU99" s="551"/>
      <c r="AV99" s="551"/>
    </row>
    <row r="100" spans="1:48" s="545" customFormat="1" x14ac:dyDescent="0.25">
      <c r="A100" s="1402"/>
      <c r="B100" s="554"/>
      <c r="C100" s="945"/>
      <c r="D100" s="2071"/>
      <c r="E100" s="1068"/>
      <c r="F100" s="1067"/>
      <c r="G100" s="933" t="s">
        <v>37</v>
      </c>
      <c r="H100" s="1847" t="s">
        <v>852</v>
      </c>
      <c r="I100" s="197"/>
      <c r="J100" s="229"/>
      <c r="K100" s="1387" t="str">
        <f t="shared" si="3"/>
        <v>&lt;----Use DROP DOWN to chose if Subset Item Applies</v>
      </c>
      <c r="L100" s="1382"/>
      <c r="M100" s="1382"/>
      <c r="N100" s="1382"/>
      <c r="O100" s="1382"/>
      <c r="P100" s="1382"/>
      <c r="Q100" s="1382"/>
      <c r="R100" s="1382"/>
      <c r="S100" s="1382"/>
      <c r="T100" s="1382"/>
      <c r="U100" s="1382"/>
      <c r="V100" s="1382"/>
      <c r="W100" s="1382"/>
      <c r="X100" s="1382"/>
      <c r="Y100" s="1382"/>
      <c r="Z100" s="1382"/>
      <c r="AA100" s="1382"/>
      <c r="AB100" s="1382"/>
      <c r="AC100" s="1382"/>
      <c r="AD100" s="1382"/>
      <c r="AE100" s="1382"/>
      <c r="AF100" s="1382"/>
      <c r="AG100" s="1382"/>
      <c r="AH100" s="1382"/>
      <c r="AI100" s="1382"/>
      <c r="AJ100" s="1382"/>
      <c r="AK100" s="551"/>
      <c r="AL100" s="551"/>
      <c r="AM100" s="551"/>
      <c r="AN100" s="551"/>
      <c r="AO100" s="551"/>
      <c r="AP100" s="551"/>
      <c r="AQ100" s="551"/>
      <c r="AR100" s="551"/>
      <c r="AS100" s="551"/>
      <c r="AT100" s="551"/>
      <c r="AU100" s="551"/>
      <c r="AV100" s="551"/>
    </row>
    <row r="101" spans="1:48" s="545" customFormat="1" x14ac:dyDescent="0.25">
      <c r="A101" s="1402"/>
      <c r="B101" s="554"/>
      <c r="C101" s="945"/>
      <c r="D101" s="2071"/>
      <c r="E101" s="1068"/>
      <c r="F101" s="1067"/>
      <c r="G101" s="933" t="s">
        <v>37</v>
      </c>
      <c r="H101" s="361" t="s">
        <v>660</v>
      </c>
      <c r="I101" s="197"/>
      <c r="J101" s="229"/>
      <c r="K101" s="1387" t="str">
        <f t="shared" si="3"/>
        <v>&lt;----Use DROP DOWN to chose if Subset Item Applies</v>
      </c>
      <c r="L101" s="1382"/>
      <c r="M101" s="1382"/>
      <c r="N101" s="1382"/>
      <c r="O101" s="1382"/>
      <c r="P101" s="1382"/>
      <c r="Q101" s="1382"/>
      <c r="R101" s="1382"/>
      <c r="S101" s="1382"/>
      <c r="T101" s="1382"/>
      <c r="U101" s="1382"/>
      <c r="V101" s="1382"/>
      <c r="W101" s="1382"/>
      <c r="X101" s="1382"/>
      <c r="Y101" s="1382"/>
      <c r="Z101" s="1382"/>
      <c r="AA101" s="1382"/>
      <c r="AB101" s="1382"/>
      <c r="AC101" s="1382"/>
      <c r="AD101" s="1382"/>
      <c r="AE101" s="1382"/>
      <c r="AF101" s="1382"/>
      <c r="AG101" s="1382"/>
      <c r="AH101" s="1382"/>
      <c r="AI101" s="1382"/>
      <c r="AJ101" s="1382"/>
      <c r="AK101" s="551"/>
      <c r="AL101" s="551"/>
      <c r="AM101" s="551"/>
      <c r="AN101" s="551"/>
      <c r="AO101" s="551"/>
      <c r="AP101" s="551"/>
      <c r="AQ101" s="551"/>
      <c r="AR101" s="551"/>
      <c r="AS101" s="551"/>
      <c r="AT101" s="551"/>
      <c r="AU101" s="551"/>
      <c r="AV101" s="551"/>
    </row>
    <row r="102" spans="1:48" s="545" customFormat="1" x14ac:dyDescent="0.25">
      <c r="A102" s="1402"/>
      <c r="B102" s="554"/>
      <c r="C102" s="945"/>
      <c r="D102" s="2071"/>
      <c r="E102" s="1068"/>
      <c r="F102" s="1067"/>
      <c r="G102" s="933" t="s">
        <v>37</v>
      </c>
      <c r="H102" s="361" t="s">
        <v>661</v>
      </c>
      <c r="I102" s="197"/>
      <c r="J102" s="229"/>
      <c r="K102" s="1387" t="str">
        <f t="shared" si="3"/>
        <v>&lt;----Use DROP DOWN to chose if Subset Item Applies</v>
      </c>
      <c r="L102" s="1382"/>
      <c r="M102" s="1382"/>
      <c r="N102" s="1382"/>
      <c r="O102" s="1382"/>
      <c r="P102" s="1382"/>
      <c r="Q102" s="1382"/>
      <c r="R102" s="1382"/>
      <c r="S102" s="1382"/>
      <c r="T102" s="1382"/>
      <c r="U102" s="1382"/>
      <c r="V102" s="1382"/>
      <c r="W102" s="1382"/>
      <c r="X102" s="1382"/>
      <c r="Y102" s="1382"/>
      <c r="Z102" s="1382"/>
      <c r="AA102" s="1382"/>
      <c r="AB102" s="1382"/>
      <c r="AC102" s="1382"/>
      <c r="AD102" s="1382"/>
      <c r="AE102" s="1382"/>
      <c r="AF102" s="1382"/>
      <c r="AG102" s="1382"/>
      <c r="AH102" s="1382"/>
      <c r="AI102" s="1382"/>
      <c r="AJ102" s="1382"/>
      <c r="AK102" s="551"/>
      <c r="AL102" s="551"/>
      <c r="AM102" s="551"/>
      <c r="AN102" s="551"/>
      <c r="AO102" s="551"/>
      <c r="AP102" s="551"/>
      <c r="AQ102" s="551"/>
      <c r="AR102" s="551"/>
      <c r="AS102" s="551"/>
      <c r="AT102" s="551"/>
      <c r="AU102" s="551"/>
      <c r="AV102" s="551"/>
    </row>
    <row r="103" spans="1:48" s="545" customFormat="1" x14ac:dyDescent="0.25">
      <c r="A103" s="1402"/>
      <c r="B103" s="554"/>
      <c r="C103" s="945"/>
      <c r="D103" s="2071"/>
      <c r="E103" s="1068"/>
      <c r="F103" s="1067"/>
      <c r="G103" s="933" t="s">
        <v>37</v>
      </c>
      <c r="H103" s="1888" t="s">
        <v>666</v>
      </c>
      <c r="I103" s="197"/>
      <c r="J103" s="229"/>
      <c r="K103" s="1387" t="str">
        <f t="shared" si="3"/>
        <v>&lt;----Use DROP DOWN to chose if Subset Item Applies</v>
      </c>
      <c r="L103" s="1382"/>
      <c r="M103" s="1382"/>
      <c r="N103" s="1382"/>
      <c r="O103" s="1382"/>
      <c r="P103" s="1382"/>
      <c r="Q103" s="1382"/>
      <c r="R103" s="1382"/>
      <c r="S103" s="1382"/>
      <c r="T103" s="1382"/>
      <c r="U103" s="1382"/>
      <c r="V103" s="1382"/>
      <c r="W103" s="1382"/>
      <c r="X103" s="1382"/>
      <c r="Y103" s="1382"/>
      <c r="Z103" s="1382"/>
      <c r="AA103" s="1382"/>
      <c r="AB103" s="1382"/>
      <c r="AC103" s="1382"/>
      <c r="AD103" s="1382"/>
      <c r="AE103" s="1382"/>
      <c r="AF103" s="1382"/>
      <c r="AG103" s="1382"/>
      <c r="AH103" s="1382"/>
      <c r="AI103" s="1382"/>
      <c r="AJ103" s="1382"/>
      <c r="AK103" s="551"/>
      <c r="AL103" s="551"/>
      <c r="AM103" s="551"/>
      <c r="AN103" s="551"/>
      <c r="AO103" s="551"/>
      <c r="AP103" s="551"/>
      <c r="AQ103" s="551"/>
      <c r="AR103" s="551"/>
      <c r="AS103" s="551"/>
      <c r="AT103" s="551"/>
      <c r="AU103" s="551"/>
      <c r="AV103" s="551"/>
    </row>
    <row r="104" spans="1:48" s="545" customFormat="1" x14ac:dyDescent="0.25">
      <c r="A104" s="1402"/>
      <c r="B104" s="554"/>
      <c r="C104" s="945"/>
      <c r="D104" s="2071"/>
      <c r="E104" s="1068"/>
      <c r="F104" s="1067"/>
      <c r="G104" s="933" t="s">
        <v>37</v>
      </c>
      <c r="H104" s="1847" t="s">
        <v>853</v>
      </c>
      <c r="I104" s="197"/>
      <c r="J104" s="229"/>
      <c r="K104" s="1387" t="str">
        <f t="shared" si="3"/>
        <v>&lt;----Use DROP DOWN to chose if Subset Item Applies</v>
      </c>
      <c r="L104" s="1382"/>
      <c r="M104" s="1382"/>
      <c r="N104" s="1382"/>
      <c r="O104" s="1382"/>
      <c r="P104" s="1382"/>
      <c r="Q104" s="1382"/>
      <c r="R104" s="1382"/>
      <c r="S104" s="1382"/>
      <c r="T104" s="1382"/>
      <c r="U104" s="1382"/>
      <c r="V104" s="1382"/>
      <c r="W104" s="1382"/>
      <c r="X104" s="1382"/>
      <c r="Y104" s="1382"/>
      <c r="Z104" s="1382"/>
      <c r="AA104" s="1382"/>
      <c r="AB104" s="1382"/>
      <c r="AC104" s="1382"/>
      <c r="AD104" s="1382"/>
      <c r="AE104" s="1382"/>
      <c r="AF104" s="1382"/>
      <c r="AG104" s="1382"/>
      <c r="AH104" s="1382"/>
      <c r="AI104" s="1382"/>
      <c r="AJ104" s="1382"/>
      <c r="AK104" s="551"/>
      <c r="AL104" s="551"/>
      <c r="AM104" s="551"/>
      <c r="AN104" s="551"/>
      <c r="AO104" s="551"/>
      <c r="AP104" s="551"/>
      <c r="AQ104" s="551"/>
      <c r="AR104" s="551"/>
      <c r="AS104" s="551"/>
      <c r="AT104" s="551"/>
      <c r="AU104" s="551"/>
      <c r="AV104" s="551"/>
    </row>
    <row r="105" spans="1:48" s="545" customFormat="1" x14ac:dyDescent="0.25">
      <c r="A105" s="1402"/>
      <c r="B105" s="554"/>
      <c r="C105" s="945"/>
      <c r="D105" s="2071"/>
      <c r="E105" s="1068"/>
      <c r="F105" s="1067"/>
      <c r="G105" s="933" t="s">
        <v>37</v>
      </c>
      <c r="H105" s="361" t="s">
        <v>663</v>
      </c>
      <c r="I105" s="197"/>
      <c r="J105" s="229"/>
      <c r="K105" s="1387" t="str">
        <f t="shared" si="3"/>
        <v>&lt;----Use DROP DOWN to chose if Subset Item Applies</v>
      </c>
      <c r="L105" s="1382"/>
      <c r="M105" s="1382"/>
      <c r="N105" s="1382"/>
      <c r="O105" s="1382"/>
      <c r="P105" s="1382"/>
      <c r="Q105" s="1382"/>
      <c r="R105" s="1382"/>
      <c r="S105" s="1382"/>
      <c r="T105" s="1382"/>
      <c r="U105" s="1382"/>
      <c r="V105" s="1382"/>
      <c r="W105" s="1382"/>
      <c r="X105" s="1382"/>
      <c r="Y105" s="1382"/>
      <c r="Z105" s="1382"/>
      <c r="AA105" s="1382"/>
      <c r="AB105" s="1382"/>
      <c r="AC105" s="1382"/>
      <c r="AD105" s="1382"/>
      <c r="AE105" s="1382"/>
      <c r="AF105" s="1382"/>
      <c r="AG105" s="1382"/>
      <c r="AH105" s="1382"/>
      <c r="AI105" s="1382"/>
      <c r="AJ105" s="1382"/>
      <c r="AK105" s="551"/>
      <c r="AL105" s="551"/>
      <c r="AM105" s="551"/>
      <c r="AN105" s="551"/>
      <c r="AO105" s="551"/>
      <c r="AP105" s="551"/>
      <c r="AQ105" s="551"/>
      <c r="AR105" s="551"/>
      <c r="AS105" s="551"/>
      <c r="AT105" s="551"/>
      <c r="AU105" s="551"/>
      <c r="AV105" s="551"/>
    </row>
    <row r="106" spans="1:48" s="545" customFormat="1" x14ac:dyDescent="0.25">
      <c r="A106" s="1402"/>
      <c r="B106" s="554"/>
      <c r="C106" s="945"/>
      <c r="D106" s="2071"/>
      <c r="E106" s="1068"/>
      <c r="F106" s="1067"/>
      <c r="G106" s="933" t="s">
        <v>37</v>
      </c>
      <c r="H106" s="361" t="s">
        <v>664</v>
      </c>
      <c r="I106" s="197"/>
      <c r="J106" s="229"/>
      <c r="K106" s="1387" t="str">
        <f t="shared" si="3"/>
        <v>&lt;----Use DROP DOWN to chose if Subset Item Applies</v>
      </c>
      <c r="L106" s="1382"/>
      <c r="M106" s="1382"/>
      <c r="N106" s="1382"/>
      <c r="O106" s="1382"/>
      <c r="P106" s="1382"/>
      <c r="Q106" s="1382"/>
      <c r="R106" s="1382"/>
      <c r="S106" s="1382"/>
      <c r="T106" s="1382"/>
      <c r="U106" s="1382"/>
      <c r="V106" s="1382"/>
      <c r="W106" s="1382"/>
      <c r="X106" s="1382"/>
      <c r="Y106" s="1382"/>
      <c r="Z106" s="1382"/>
      <c r="AA106" s="1382"/>
      <c r="AB106" s="1382"/>
      <c r="AC106" s="1382"/>
      <c r="AD106" s="1382"/>
      <c r="AE106" s="1382"/>
      <c r="AF106" s="1382"/>
      <c r="AG106" s="1382"/>
      <c r="AH106" s="1382"/>
      <c r="AI106" s="1382"/>
      <c r="AJ106" s="1382"/>
      <c r="AK106" s="551"/>
      <c r="AL106" s="551"/>
      <c r="AM106" s="551"/>
      <c r="AN106" s="551"/>
      <c r="AO106" s="551"/>
      <c r="AP106" s="551"/>
      <c r="AQ106" s="551"/>
      <c r="AR106" s="551"/>
      <c r="AS106" s="551"/>
      <c r="AT106" s="551"/>
      <c r="AU106" s="551"/>
      <c r="AV106" s="551"/>
    </row>
    <row r="107" spans="1:48" s="545" customFormat="1" x14ac:dyDescent="0.25">
      <c r="A107" s="1402"/>
      <c r="B107" s="554"/>
      <c r="C107" s="945"/>
      <c r="D107" s="2071"/>
      <c r="E107" s="1068"/>
      <c r="F107" s="1067"/>
      <c r="G107" s="933" t="s">
        <v>37</v>
      </c>
      <c r="H107" s="1888" t="s">
        <v>665</v>
      </c>
      <c r="I107" s="197"/>
      <c r="J107" s="229"/>
      <c r="K107" s="1387" t="str">
        <f t="shared" si="3"/>
        <v>&lt;----Use DROP DOWN to chose if Subset Item Applies</v>
      </c>
      <c r="L107" s="1382"/>
      <c r="M107" s="1382"/>
      <c r="N107" s="1382"/>
      <c r="O107" s="1382"/>
      <c r="P107" s="1382"/>
      <c r="Q107" s="1382"/>
      <c r="R107" s="1382"/>
      <c r="S107" s="1382"/>
      <c r="T107" s="1382"/>
      <c r="U107" s="1382"/>
      <c r="V107" s="1382"/>
      <c r="W107" s="1382"/>
      <c r="X107" s="1382"/>
      <c r="Y107" s="1382"/>
      <c r="Z107" s="1382"/>
      <c r="AA107" s="1382"/>
      <c r="AB107" s="1382"/>
      <c r="AC107" s="1382"/>
      <c r="AD107" s="1382"/>
      <c r="AE107" s="1382"/>
      <c r="AF107" s="1382"/>
      <c r="AG107" s="1382"/>
      <c r="AH107" s="1382"/>
      <c r="AI107" s="1382"/>
      <c r="AJ107" s="1382"/>
      <c r="AK107" s="551"/>
      <c r="AL107" s="551"/>
      <c r="AM107" s="551"/>
      <c r="AN107" s="551"/>
      <c r="AO107" s="551"/>
      <c r="AP107" s="551"/>
      <c r="AQ107" s="551"/>
      <c r="AR107" s="551"/>
      <c r="AS107" s="551"/>
      <c r="AT107" s="551"/>
      <c r="AU107" s="551"/>
      <c r="AV107" s="551"/>
    </row>
    <row r="108" spans="1:48" s="545" customFormat="1" ht="15" customHeight="1" x14ac:dyDescent="0.25">
      <c r="A108" s="1402"/>
      <c r="B108" s="554"/>
      <c r="C108" s="945"/>
      <c r="D108" s="2071"/>
      <c r="E108" s="1068"/>
      <c r="F108" s="1067"/>
      <c r="G108" s="933" t="s">
        <v>37</v>
      </c>
      <c r="H108" s="1847" t="s">
        <v>854</v>
      </c>
      <c r="I108" s="197"/>
      <c r="J108" s="229"/>
      <c r="K108" s="1387" t="str">
        <f t="shared" si="3"/>
        <v>&lt;----Use DROP DOWN to chose if Subset Item Applies</v>
      </c>
      <c r="L108" s="1382"/>
      <c r="M108" s="1382"/>
      <c r="N108" s="1382"/>
      <c r="O108" s="1382"/>
      <c r="P108" s="1382"/>
      <c r="Q108" s="1382"/>
      <c r="R108" s="1382"/>
      <c r="S108" s="1382"/>
      <c r="T108" s="1382"/>
      <c r="U108" s="1382"/>
      <c r="V108" s="1382"/>
      <c r="W108" s="1382"/>
      <c r="X108" s="1382"/>
      <c r="Y108" s="1382"/>
      <c r="Z108" s="1382"/>
      <c r="AA108" s="1382"/>
      <c r="AB108" s="1382"/>
      <c r="AC108" s="1382"/>
      <c r="AD108" s="1382"/>
      <c r="AE108" s="1382"/>
      <c r="AF108" s="1382"/>
      <c r="AG108" s="1382"/>
      <c r="AH108" s="1382"/>
      <c r="AI108" s="1382"/>
      <c r="AJ108" s="1382"/>
      <c r="AK108" s="551"/>
      <c r="AL108" s="551"/>
      <c r="AM108" s="551"/>
      <c r="AN108" s="551"/>
      <c r="AO108" s="551"/>
      <c r="AP108" s="551"/>
      <c r="AQ108" s="551"/>
      <c r="AR108" s="551"/>
      <c r="AS108" s="551"/>
      <c r="AT108" s="551"/>
      <c r="AU108" s="551"/>
      <c r="AV108" s="551"/>
    </row>
    <row r="109" spans="1:48" s="545" customFormat="1" x14ac:dyDescent="0.25">
      <c r="A109" s="1402"/>
      <c r="B109" s="554"/>
      <c r="C109" s="945"/>
      <c r="D109" s="2071"/>
      <c r="E109" s="1068"/>
      <c r="F109" s="1067"/>
      <c r="G109" s="933" t="s">
        <v>37</v>
      </c>
      <c r="H109" s="361" t="s">
        <v>324</v>
      </c>
      <c r="I109" s="197"/>
      <c r="J109" s="229"/>
      <c r="K109" s="1387" t="str">
        <f t="shared" si="3"/>
        <v>&lt;----Use DROP DOWN to chose if Subset Item Applies</v>
      </c>
      <c r="L109" s="1382"/>
      <c r="M109" s="1382"/>
      <c r="N109" s="1382"/>
      <c r="O109" s="1382"/>
      <c r="P109" s="1382"/>
      <c r="Q109" s="1382"/>
      <c r="R109" s="1382"/>
      <c r="S109" s="1382"/>
      <c r="T109" s="1382"/>
      <c r="U109" s="1382"/>
      <c r="V109" s="1382"/>
      <c r="W109" s="1382"/>
      <c r="X109" s="1382"/>
      <c r="Y109" s="1382"/>
      <c r="Z109" s="1382"/>
      <c r="AA109" s="1382"/>
      <c r="AB109" s="1382"/>
      <c r="AC109" s="1382"/>
      <c r="AD109" s="1382"/>
      <c r="AE109" s="1382"/>
      <c r="AF109" s="1382"/>
      <c r="AG109" s="1382"/>
      <c r="AH109" s="1382"/>
      <c r="AI109" s="1382"/>
      <c r="AJ109" s="1382"/>
      <c r="AK109" s="551"/>
      <c r="AL109" s="551"/>
      <c r="AM109" s="551"/>
      <c r="AN109" s="551"/>
      <c r="AO109" s="551"/>
      <c r="AP109" s="551"/>
      <c r="AQ109" s="551"/>
      <c r="AR109" s="551"/>
      <c r="AS109" s="551"/>
      <c r="AT109" s="551"/>
      <c r="AU109" s="551"/>
      <c r="AV109" s="551"/>
    </row>
    <row r="110" spans="1:48" s="545" customFormat="1" x14ac:dyDescent="0.25">
      <c r="A110" s="1402"/>
      <c r="B110" s="554"/>
      <c r="C110" s="945"/>
      <c r="D110" s="2071"/>
      <c r="E110" s="1068"/>
      <c r="F110" s="1067"/>
      <c r="G110" s="933" t="s">
        <v>37</v>
      </c>
      <c r="H110" s="361" t="s">
        <v>325</v>
      </c>
      <c r="I110" s="197"/>
      <c r="J110" s="229"/>
      <c r="K110" s="1387" t="str">
        <f t="shared" si="3"/>
        <v>&lt;----Use DROP DOWN to chose if Subset Item Applies</v>
      </c>
      <c r="L110" s="1382"/>
      <c r="M110" s="1382"/>
      <c r="N110" s="1382"/>
      <c r="O110" s="1382"/>
      <c r="P110" s="1382"/>
      <c r="Q110" s="1382"/>
      <c r="R110" s="1382"/>
      <c r="S110" s="1382"/>
      <c r="T110" s="1382"/>
      <c r="U110" s="1382"/>
      <c r="V110" s="1382"/>
      <c r="W110" s="1382"/>
      <c r="X110" s="1382"/>
      <c r="Y110" s="1382"/>
      <c r="Z110" s="1382"/>
      <c r="AA110" s="1382"/>
      <c r="AB110" s="1382"/>
      <c r="AC110" s="1382"/>
      <c r="AD110" s="1382"/>
      <c r="AE110" s="1382"/>
      <c r="AF110" s="1382"/>
      <c r="AG110" s="1382"/>
      <c r="AH110" s="1382"/>
      <c r="AI110" s="1382"/>
      <c r="AJ110" s="1382"/>
      <c r="AK110" s="551"/>
      <c r="AL110" s="551"/>
      <c r="AM110" s="551"/>
      <c r="AN110" s="551"/>
      <c r="AO110" s="551"/>
      <c r="AP110" s="551"/>
      <c r="AQ110" s="551"/>
      <c r="AR110" s="551"/>
      <c r="AS110" s="551"/>
      <c r="AT110" s="551"/>
      <c r="AU110" s="551"/>
      <c r="AV110" s="551"/>
    </row>
    <row r="111" spans="1:48" s="545" customFormat="1" x14ac:dyDescent="0.25">
      <c r="A111" s="1402"/>
      <c r="B111" s="554"/>
      <c r="C111" s="945"/>
      <c r="D111" s="2071"/>
      <c r="E111" s="1068"/>
      <c r="F111" s="1067"/>
      <c r="G111" s="933" t="s">
        <v>37</v>
      </c>
      <c r="H111" s="361" t="s">
        <v>326</v>
      </c>
      <c r="I111" s="197"/>
      <c r="J111" s="229"/>
      <c r="K111" s="1387" t="str">
        <f t="shared" si="3"/>
        <v>&lt;----Use DROP DOWN to chose if Subset Item Applies</v>
      </c>
      <c r="L111" s="1382"/>
      <c r="M111" s="1382"/>
      <c r="N111" s="1382"/>
      <c r="O111" s="1382"/>
      <c r="P111" s="1382"/>
      <c r="Q111" s="1382"/>
      <c r="R111" s="1382"/>
      <c r="S111" s="1382"/>
      <c r="T111" s="1382"/>
      <c r="U111" s="1382"/>
      <c r="V111" s="1382"/>
      <c r="W111" s="1382"/>
      <c r="X111" s="1382"/>
      <c r="Y111" s="1382"/>
      <c r="Z111" s="1382"/>
      <c r="AA111" s="1382"/>
      <c r="AB111" s="1382"/>
      <c r="AC111" s="1382"/>
      <c r="AD111" s="1382"/>
      <c r="AE111" s="1382"/>
      <c r="AF111" s="1382"/>
      <c r="AG111" s="1382"/>
      <c r="AH111" s="1382"/>
      <c r="AI111" s="1382"/>
      <c r="AJ111" s="1382"/>
      <c r="AK111" s="551"/>
      <c r="AL111" s="551"/>
      <c r="AM111" s="551"/>
      <c r="AN111" s="551"/>
      <c r="AO111" s="551"/>
      <c r="AP111" s="551"/>
      <c r="AQ111" s="551"/>
      <c r="AR111" s="551"/>
      <c r="AS111" s="551"/>
      <c r="AT111" s="551"/>
      <c r="AU111" s="551"/>
      <c r="AV111" s="551"/>
    </row>
    <row r="112" spans="1:48" s="545" customFormat="1" x14ac:dyDescent="0.25">
      <c r="A112" s="1402"/>
      <c r="B112" s="554"/>
      <c r="C112" s="945"/>
      <c r="D112" s="2071"/>
      <c r="E112" s="1068"/>
      <c r="F112" s="1067"/>
      <c r="G112" s="933" t="s">
        <v>37</v>
      </c>
      <c r="H112" s="361" t="s">
        <v>327</v>
      </c>
      <c r="I112" s="197"/>
      <c r="J112" s="229"/>
      <c r="K112" s="1387" t="str">
        <f t="shared" si="3"/>
        <v>&lt;----Use DROP DOWN to chose if Subset Item Applies</v>
      </c>
      <c r="L112" s="1382"/>
      <c r="M112" s="1382"/>
      <c r="N112" s="1382"/>
      <c r="O112" s="1382"/>
      <c r="P112" s="1382"/>
      <c r="Q112" s="1382"/>
      <c r="R112" s="1382"/>
      <c r="S112" s="1382"/>
      <c r="T112" s="1382"/>
      <c r="U112" s="1382"/>
      <c r="V112" s="1382"/>
      <c r="W112" s="1382"/>
      <c r="X112" s="1382"/>
      <c r="Y112" s="1382"/>
      <c r="Z112" s="1382"/>
      <c r="AA112" s="1382"/>
      <c r="AB112" s="1382"/>
      <c r="AC112" s="1382"/>
      <c r="AD112" s="1382"/>
      <c r="AE112" s="1382"/>
      <c r="AF112" s="1382"/>
      <c r="AG112" s="1382"/>
      <c r="AH112" s="1382"/>
      <c r="AI112" s="1382"/>
      <c r="AJ112" s="1382"/>
      <c r="AK112" s="551"/>
      <c r="AL112" s="551"/>
      <c r="AM112" s="551"/>
      <c r="AN112" s="551"/>
      <c r="AO112" s="551"/>
      <c r="AP112" s="551"/>
      <c r="AQ112" s="551"/>
      <c r="AR112" s="551"/>
      <c r="AS112" s="551"/>
      <c r="AT112" s="551"/>
      <c r="AU112" s="551"/>
      <c r="AV112" s="551"/>
    </row>
    <row r="113" spans="1:48" s="545" customFormat="1" x14ac:dyDescent="0.25">
      <c r="A113" s="1402"/>
      <c r="B113" s="554"/>
      <c r="C113" s="945"/>
      <c r="D113" s="2071"/>
      <c r="E113" s="1068"/>
      <c r="F113" s="1067"/>
      <c r="G113" s="933" t="s">
        <v>37</v>
      </c>
      <c r="H113" s="361" t="s">
        <v>525</v>
      </c>
      <c r="I113" s="197"/>
      <c r="J113" s="229"/>
      <c r="K113" s="1387" t="str">
        <f t="shared" si="3"/>
        <v>&lt;----Use DROP DOWN to chose if Subset Item Applies</v>
      </c>
      <c r="L113" s="1382"/>
      <c r="M113" s="1382"/>
      <c r="N113" s="1382"/>
      <c r="O113" s="1382"/>
      <c r="P113" s="1382"/>
      <c r="Q113" s="1382"/>
      <c r="R113" s="1382"/>
      <c r="S113" s="1382"/>
      <c r="T113" s="1382"/>
      <c r="U113" s="1382"/>
      <c r="V113" s="1382"/>
      <c r="W113" s="1382"/>
      <c r="X113" s="1382"/>
      <c r="Y113" s="1382"/>
      <c r="Z113" s="1382"/>
      <c r="AA113" s="1382"/>
      <c r="AB113" s="1382"/>
      <c r="AC113" s="1382"/>
      <c r="AD113" s="1382"/>
      <c r="AE113" s="1382"/>
      <c r="AF113" s="1382"/>
      <c r="AG113" s="1382"/>
      <c r="AH113" s="1382"/>
      <c r="AI113" s="1382"/>
      <c r="AJ113" s="1382"/>
      <c r="AK113" s="551"/>
      <c r="AL113" s="551"/>
      <c r="AM113" s="551"/>
      <c r="AN113" s="551"/>
      <c r="AO113" s="551"/>
      <c r="AP113" s="551"/>
      <c r="AQ113" s="551"/>
      <c r="AR113" s="551"/>
      <c r="AS113" s="551"/>
      <c r="AT113" s="551"/>
      <c r="AU113" s="551"/>
      <c r="AV113" s="551"/>
    </row>
    <row r="114" spans="1:48" s="545" customFormat="1" x14ac:dyDescent="0.25">
      <c r="A114" s="1402"/>
      <c r="B114" s="554"/>
      <c r="C114" s="945"/>
      <c r="D114" s="2071"/>
      <c r="E114" s="1068"/>
      <c r="F114" s="1067"/>
      <c r="G114" s="933" t="s">
        <v>37</v>
      </c>
      <c r="H114" s="1888" t="s">
        <v>292</v>
      </c>
      <c r="I114" s="197"/>
      <c r="J114" s="229"/>
      <c r="K114" s="1387" t="str">
        <f t="shared" si="3"/>
        <v>&lt;----Use DROP DOWN to chose if Subset Item Applies</v>
      </c>
      <c r="L114" s="1382"/>
      <c r="M114" s="1382"/>
      <c r="N114" s="1382"/>
      <c r="O114" s="1382"/>
      <c r="P114" s="1382"/>
      <c r="Q114" s="1382"/>
      <c r="R114" s="1382"/>
      <c r="S114" s="1382"/>
      <c r="T114" s="1382"/>
      <c r="U114" s="1382"/>
      <c r="V114" s="1382"/>
      <c r="W114" s="1382"/>
      <c r="X114" s="1382"/>
      <c r="Y114" s="1382"/>
      <c r="Z114" s="1382"/>
      <c r="AA114" s="1382"/>
      <c r="AB114" s="1382"/>
      <c r="AC114" s="1382"/>
      <c r="AD114" s="1382"/>
      <c r="AE114" s="1382"/>
      <c r="AF114" s="1382"/>
      <c r="AG114" s="1382"/>
      <c r="AH114" s="1382"/>
      <c r="AI114" s="1382"/>
      <c r="AJ114" s="1382"/>
      <c r="AK114" s="551"/>
      <c r="AL114" s="551"/>
      <c r="AM114" s="551"/>
      <c r="AN114" s="551"/>
      <c r="AO114" s="551"/>
      <c r="AP114" s="551"/>
      <c r="AQ114" s="551"/>
      <c r="AR114" s="551"/>
      <c r="AS114" s="551"/>
      <c r="AT114" s="551"/>
      <c r="AU114" s="551"/>
      <c r="AV114" s="551"/>
    </row>
    <row r="115" spans="1:48" s="545" customFormat="1" x14ac:dyDescent="0.25">
      <c r="A115" s="1402"/>
      <c r="B115" s="554"/>
      <c r="C115" s="945"/>
      <c r="D115" s="2071"/>
      <c r="E115" s="1068"/>
      <c r="F115" s="1067"/>
      <c r="G115" s="933" t="s">
        <v>37</v>
      </c>
      <c r="H115" s="1888" t="s">
        <v>292</v>
      </c>
      <c r="I115" s="197"/>
      <c r="J115" s="229"/>
      <c r="K115" s="1387" t="str">
        <f t="shared" si="3"/>
        <v>&lt;----Use DROP DOWN to chose if Subset Item Applies</v>
      </c>
      <c r="L115" s="1382"/>
      <c r="M115" s="1382"/>
      <c r="N115" s="1382"/>
      <c r="O115" s="1382"/>
      <c r="P115" s="1382"/>
      <c r="Q115" s="1382"/>
      <c r="R115" s="1382"/>
      <c r="S115" s="1382"/>
      <c r="T115" s="1382"/>
      <c r="U115" s="1382"/>
      <c r="V115" s="1382"/>
      <c r="W115" s="1382"/>
      <c r="X115" s="1382"/>
      <c r="Y115" s="1382"/>
      <c r="Z115" s="1382"/>
      <c r="AA115" s="1382"/>
      <c r="AB115" s="1382"/>
      <c r="AC115" s="1382"/>
      <c r="AD115" s="1382"/>
      <c r="AE115" s="1382"/>
      <c r="AF115" s="1382"/>
      <c r="AG115" s="1382"/>
      <c r="AH115" s="1382"/>
      <c r="AI115" s="1382"/>
      <c r="AJ115" s="1382"/>
      <c r="AK115" s="551"/>
      <c r="AL115" s="551"/>
      <c r="AM115" s="551"/>
      <c r="AN115" s="551"/>
      <c r="AO115" s="551"/>
      <c r="AP115" s="551"/>
      <c r="AQ115" s="551"/>
      <c r="AR115" s="551"/>
      <c r="AS115" s="551"/>
      <c r="AT115" s="551"/>
      <c r="AU115" s="551"/>
      <c r="AV115" s="551"/>
    </row>
    <row r="116" spans="1:48" s="545" customFormat="1" ht="12.95" customHeight="1" x14ac:dyDescent="0.25">
      <c r="A116" s="1402"/>
      <c r="B116" s="554"/>
      <c r="C116" s="945"/>
      <c r="D116" s="2071" t="s">
        <v>875</v>
      </c>
      <c r="E116" s="1068"/>
      <c r="F116" s="1067"/>
      <c r="G116" s="933" t="s">
        <v>37</v>
      </c>
      <c r="H116" s="1847" t="s">
        <v>855</v>
      </c>
      <c r="I116" s="197"/>
      <c r="J116" s="229"/>
      <c r="K116" s="1387" t="str">
        <f t="shared" si="3"/>
        <v>&lt;----Use DROP DOWN to chose if Subset Item Applies</v>
      </c>
      <c r="L116" s="1382"/>
      <c r="M116" s="1382"/>
      <c r="N116" s="1382"/>
      <c r="O116" s="1382"/>
      <c r="P116" s="1382"/>
      <c r="Q116" s="1382"/>
      <c r="R116" s="1382"/>
      <c r="S116" s="1382"/>
      <c r="T116" s="1382"/>
      <c r="U116" s="1382"/>
      <c r="V116" s="1382"/>
      <c r="W116" s="1382"/>
      <c r="X116" s="1382"/>
      <c r="Y116" s="1382"/>
      <c r="Z116" s="1382"/>
      <c r="AA116" s="1382"/>
      <c r="AB116" s="1382"/>
      <c r="AC116" s="1382"/>
      <c r="AD116" s="1382"/>
      <c r="AE116" s="1382"/>
      <c r="AF116" s="1382"/>
      <c r="AG116" s="1382"/>
      <c r="AH116" s="1382"/>
      <c r="AI116" s="1382"/>
      <c r="AJ116" s="1382"/>
      <c r="AK116" s="551"/>
      <c r="AL116" s="551"/>
      <c r="AM116" s="551"/>
      <c r="AN116" s="551"/>
      <c r="AO116" s="551"/>
      <c r="AP116" s="551"/>
      <c r="AQ116" s="551"/>
      <c r="AR116" s="551"/>
      <c r="AS116" s="551"/>
      <c r="AT116" s="551"/>
      <c r="AU116" s="551"/>
      <c r="AV116" s="551"/>
    </row>
    <row r="117" spans="1:48" s="545" customFormat="1" x14ac:dyDescent="0.25">
      <c r="A117" s="1402"/>
      <c r="B117" s="554"/>
      <c r="C117" s="945"/>
      <c r="D117" s="2071"/>
      <c r="E117" s="1068"/>
      <c r="F117" s="1067"/>
      <c r="G117" s="933" t="s">
        <v>37</v>
      </c>
      <c r="H117" s="361" t="s">
        <v>806</v>
      </c>
      <c r="I117" s="197"/>
      <c r="J117" s="229"/>
      <c r="K117" s="1387" t="str">
        <f t="shared" si="3"/>
        <v>&lt;----Use DROP DOWN to chose if Subset Item Applies</v>
      </c>
      <c r="L117" s="1382"/>
      <c r="M117" s="1382"/>
      <c r="N117" s="1382"/>
      <c r="O117" s="1382"/>
      <c r="P117" s="1382"/>
      <c r="Q117" s="1382"/>
      <c r="R117" s="1382"/>
      <c r="S117" s="1382"/>
      <c r="T117" s="1382"/>
      <c r="U117" s="1382"/>
      <c r="V117" s="1382"/>
      <c r="W117" s="1382"/>
      <c r="X117" s="1382"/>
      <c r="Y117" s="1382"/>
      <c r="Z117" s="1382"/>
      <c r="AA117" s="1382"/>
      <c r="AB117" s="1382"/>
      <c r="AC117" s="1382"/>
      <c r="AD117" s="1382"/>
      <c r="AE117" s="1382"/>
      <c r="AF117" s="1382"/>
      <c r="AG117" s="1382"/>
      <c r="AH117" s="1382"/>
      <c r="AI117" s="1382"/>
      <c r="AJ117" s="1382"/>
      <c r="AK117" s="551"/>
      <c r="AL117" s="551"/>
      <c r="AM117" s="551"/>
      <c r="AN117" s="551"/>
      <c r="AO117" s="551"/>
      <c r="AP117" s="551"/>
      <c r="AQ117" s="551"/>
      <c r="AR117" s="551"/>
      <c r="AS117" s="551"/>
      <c r="AT117" s="551"/>
      <c r="AU117" s="551"/>
      <c r="AV117" s="551"/>
    </row>
    <row r="118" spans="1:48" s="545" customFormat="1" x14ac:dyDescent="0.25">
      <c r="A118" s="1402"/>
      <c r="B118" s="554"/>
      <c r="C118" s="945"/>
      <c r="D118" s="2071"/>
      <c r="E118" s="1068"/>
      <c r="F118" s="1067"/>
      <c r="G118" s="933" t="s">
        <v>37</v>
      </c>
      <c r="H118" s="361" t="s">
        <v>807</v>
      </c>
      <c r="I118" s="197"/>
      <c r="J118" s="229"/>
      <c r="K118" s="1387" t="str">
        <f t="shared" si="3"/>
        <v>&lt;----Use DROP DOWN to chose if Subset Item Applies</v>
      </c>
      <c r="L118" s="1382"/>
      <c r="M118" s="1382"/>
      <c r="N118" s="1382"/>
      <c r="O118" s="1382"/>
      <c r="P118" s="1382"/>
      <c r="Q118" s="1382"/>
      <c r="R118" s="1382"/>
      <c r="S118" s="1382"/>
      <c r="T118" s="1382"/>
      <c r="U118" s="1382"/>
      <c r="V118" s="1382"/>
      <c r="W118" s="1382"/>
      <c r="X118" s="1382"/>
      <c r="Y118" s="1382"/>
      <c r="Z118" s="1382"/>
      <c r="AA118" s="1382"/>
      <c r="AB118" s="1382"/>
      <c r="AC118" s="1382"/>
      <c r="AD118" s="1382"/>
      <c r="AE118" s="1382"/>
      <c r="AF118" s="1382"/>
      <c r="AG118" s="1382"/>
      <c r="AH118" s="1382"/>
      <c r="AI118" s="1382"/>
      <c r="AJ118" s="1382"/>
      <c r="AK118" s="551"/>
      <c r="AL118" s="551"/>
      <c r="AM118" s="551"/>
      <c r="AN118" s="551"/>
      <c r="AO118" s="551"/>
      <c r="AP118" s="551"/>
      <c r="AQ118" s="551"/>
      <c r="AR118" s="551"/>
      <c r="AS118" s="551"/>
      <c r="AT118" s="551"/>
      <c r="AU118" s="551"/>
      <c r="AV118" s="551"/>
    </row>
    <row r="119" spans="1:48" s="545" customFormat="1" x14ac:dyDescent="0.25">
      <c r="A119" s="1402"/>
      <c r="B119" s="554"/>
      <c r="C119" s="945"/>
      <c r="D119" s="2071"/>
      <c r="E119" s="1068"/>
      <c r="F119" s="1067"/>
      <c r="G119" s="933" t="s">
        <v>37</v>
      </c>
      <c r="H119" s="1888" t="s">
        <v>808</v>
      </c>
      <c r="I119" s="197"/>
      <c r="J119" s="229"/>
      <c r="K119" s="1387" t="str">
        <f t="shared" si="3"/>
        <v>&lt;----Use DROP DOWN to chose if Subset Item Applies</v>
      </c>
      <c r="L119" s="1382"/>
      <c r="M119" s="1382"/>
      <c r="N119" s="1382"/>
      <c r="O119" s="1382"/>
      <c r="P119" s="1382"/>
      <c r="Q119" s="1382"/>
      <c r="R119" s="1382"/>
      <c r="S119" s="1382"/>
      <c r="T119" s="1382"/>
      <c r="U119" s="1382"/>
      <c r="V119" s="1382"/>
      <c r="W119" s="1382"/>
      <c r="X119" s="1382"/>
      <c r="Y119" s="1382"/>
      <c r="Z119" s="1382"/>
      <c r="AA119" s="1382"/>
      <c r="AB119" s="1382"/>
      <c r="AC119" s="1382"/>
      <c r="AD119" s="1382"/>
      <c r="AE119" s="1382"/>
      <c r="AF119" s="1382"/>
      <c r="AG119" s="1382"/>
      <c r="AH119" s="1382"/>
      <c r="AI119" s="1382"/>
      <c r="AJ119" s="1382"/>
      <c r="AK119" s="551"/>
      <c r="AL119" s="551"/>
      <c r="AM119" s="551"/>
      <c r="AN119" s="551"/>
      <c r="AO119" s="551"/>
      <c r="AP119" s="551"/>
      <c r="AQ119" s="551"/>
      <c r="AR119" s="551"/>
      <c r="AS119" s="551"/>
      <c r="AT119" s="551"/>
      <c r="AU119" s="551"/>
      <c r="AV119" s="551"/>
    </row>
    <row r="120" spans="1:48" s="545" customFormat="1" x14ac:dyDescent="0.25">
      <c r="A120" s="1402"/>
      <c r="B120" s="554"/>
      <c r="C120" s="945"/>
      <c r="D120" s="2071"/>
      <c r="E120" s="1068"/>
      <c r="F120" s="1067"/>
      <c r="G120" s="933" t="s">
        <v>37</v>
      </c>
      <c r="H120" s="1847" t="s">
        <v>856</v>
      </c>
      <c r="I120" s="197"/>
      <c r="J120" s="229"/>
      <c r="K120" s="1387" t="str">
        <f t="shared" si="3"/>
        <v>&lt;----Use DROP DOWN to chose if Subset Item Applies</v>
      </c>
      <c r="L120" s="1382"/>
      <c r="M120" s="1382"/>
      <c r="N120" s="1382"/>
      <c r="O120" s="1382"/>
      <c r="P120" s="1382"/>
      <c r="Q120" s="1382"/>
      <c r="R120" s="1382"/>
      <c r="S120" s="1382"/>
      <c r="T120" s="1382"/>
      <c r="U120" s="1382"/>
      <c r="V120" s="1382"/>
      <c r="W120" s="1382"/>
      <c r="X120" s="1382"/>
      <c r="Y120" s="1382"/>
      <c r="Z120" s="1382"/>
      <c r="AA120" s="1382"/>
      <c r="AB120" s="1382"/>
      <c r="AC120" s="1382"/>
      <c r="AD120" s="1382"/>
      <c r="AE120" s="1382"/>
      <c r="AF120" s="1382"/>
      <c r="AG120" s="1382"/>
      <c r="AH120" s="1382"/>
      <c r="AI120" s="1382"/>
      <c r="AJ120" s="1382"/>
      <c r="AK120" s="551"/>
      <c r="AL120" s="551"/>
      <c r="AM120" s="551"/>
      <c r="AN120" s="551"/>
      <c r="AO120" s="551"/>
      <c r="AP120" s="551"/>
      <c r="AQ120" s="551"/>
      <c r="AR120" s="551"/>
      <c r="AS120" s="551"/>
      <c r="AT120" s="551"/>
      <c r="AU120" s="551"/>
      <c r="AV120" s="551"/>
    </row>
    <row r="121" spans="1:48" s="545" customFormat="1" x14ac:dyDescent="0.25">
      <c r="A121" s="1402"/>
      <c r="B121" s="554"/>
      <c r="C121" s="945"/>
      <c r="D121" s="2071"/>
      <c r="E121" s="1068"/>
      <c r="F121" s="1067"/>
      <c r="G121" s="933" t="s">
        <v>37</v>
      </c>
      <c r="H121" s="1888" t="s">
        <v>295</v>
      </c>
      <c r="I121" s="197"/>
      <c r="J121" s="229"/>
      <c r="K121" s="1387" t="str">
        <f t="shared" si="3"/>
        <v>&lt;----Use DROP DOWN to chose if Subset Item Applies</v>
      </c>
      <c r="L121" s="1382"/>
      <c r="M121" s="1382"/>
      <c r="N121" s="1382"/>
      <c r="O121" s="1382"/>
      <c r="P121" s="1382"/>
      <c r="Q121" s="1382"/>
      <c r="R121" s="1382"/>
      <c r="S121" s="1382"/>
      <c r="T121" s="1382"/>
      <c r="U121" s="1382"/>
      <c r="V121" s="1382"/>
      <c r="W121" s="1382"/>
      <c r="X121" s="1382"/>
      <c r="Y121" s="1382"/>
      <c r="Z121" s="1382"/>
      <c r="AA121" s="1382"/>
      <c r="AB121" s="1382"/>
      <c r="AC121" s="1382"/>
      <c r="AD121" s="1382"/>
      <c r="AE121" s="1382"/>
      <c r="AF121" s="1382"/>
      <c r="AG121" s="1382"/>
      <c r="AH121" s="1382"/>
      <c r="AI121" s="1382"/>
      <c r="AJ121" s="1382"/>
      <c r="AK121" s="551"/>
      <c r="AL121" s="551"/>
      <c r="AM121" s="551"/>
      <c r="AN121" s="551"/>
      <c r="AO121" s="551"/>
      <c r="AP121" s="551"/>
      <c r="AQ121" s="551"/>
      <c r="AR121" s="551"/>
      <c r="AS121" s="551"/>
      <c r="AT121" s="551"/>
      <c r="AU121" s="551"/>
      <c r="AV121" s="551"/>
    </row>
    <row r="122" spans="1:48" s="545" customFormat="1" x14ac:dyDescent="0.25">
      <c r="A122" s="1402"/>
      <c r="B122" s="554"/>
      <c r="C122" s="945"/>
      <c r="D122" s="2071"/>
      <c r="E122" s="1068"/>
      <c r="F122" s="1067"/>
      <c r="G122" s="933" t="s">
        <v>37</v>
      </c>
      <c r="H122" s="1847" t="s">
        <v>857</v>
      </c>
      <c r="I122" s="197"/>
      <c r="J122" s="229"/>
      <c r="K122" s="1387" t="str">
        <f t="shared" si="3"/>
        <v>&lt;----Use DROP DOWN to chose if Subset Item Applies</v>
      </c>
      <c r="L122" s="1382"/>
      <c r="M122" s="1382"/>
      <c r="N122" s="1382"/>
      <c r="O122" s="1382"/>
      <c r="P122" s="1382"/>
      <c r="Q122" s="1382"/>
      <c r="R122" s="1382"/>
      <c r="S122" s="1382"/>
      <c r="T122" s="1382"/>
      <c r="U122" s="1382"/>
      <c r="V122" s="1382"/>
      <c r="W122" s="1382"/>
      <c r="X122" s="1382"/>
      <c r="Y122" s="1382"/>
      <c r="Z122" s="1382"/>
      <c r="AA122" s="1382"/>
      <c r="AB122" s="1382"/>
      <c r="AC122" s="1382"/>
      <c r="AD122" s="1382"/>
      <c r="AE122" s="1382"/>
      <c r="AF122" s="1382"/>
      <c r="AG122" s="1382"/>
      <c r="AH122" s="1382"/>
      <c r="AI122" s="1382"/>
      <c r="AJ122" s="1382"/>
      <c r="AK122" s="551"/>
      <c r="AL122" s="551"/>
      <c r="AM122" s="551"/>
      <c r="AN122" s="551"/>
      <c r="AO122" s="551"/>
      <c r="AP122" s="551"/>
      <c r="AQ122" s="551"/>
      <c r="AR122" s="551"/>
      <c r="AS122" s="551"/>
      <c r="AT122" s="551"/>
      <c r="AU122" s="551"/>
      <c r="AV122" s="551"/>
    </row>
    <row r="123" spans="1:48" s="545" customFormat="1" x14ac:dyDescent="0.25">
      <c r="A123" s="1402"/>
      <c r="B123" s="554"/>
      <c r="C123" s="945"/>
      <c r="D123" s="2071"/>
      <c r="E123" s="1068"/>
      <c r="F123" s="1067"/>
      <c r="G123" s="933" t="s">
        <v>37</v>
      </c>
      <c r="H123" s="1888" t="s">
        <v>293</v>
      </c>
      <c r="I123" s="197"/>
      <c r="J123" s="229"/>
      <c r="K123" s="1387" t="str">
        <f t="shared" si="3"/>
        <v>&lt;----Use DROP DOWN to chose if Subset Item Applies</v>
      </c>
      <c r="L123" s="1382"/>
      <c r="M123" s="1382"/>
      <c r="N123" s="1382"/>
      <c r="O123" s="1382"/>
      <c r="P123" s="1382"/>
      <c r="Q123" s="1382"/>
      <c r="R123" s="1382"/>
      <c r="S123" s="1382"/>
      <c r="T123" s="1382"/>
      <c r="U123" s="1382"/>
      <c r="V123" s="1382"/>
      <c r="W123" s="1382"/>
      <c r="X123" s="1382"/>
      <c r="Y123" s="1382"/>
      <c r="Z123" s="1382"/>
      <c r="AA123" s="1382"/>
      <c r="AB123" s="1382"/>
      <c r="AC123" s="1382"/>
      <c r="AD123" s="1382"/>
      <c r="AE123" s="1382"/>
      <c r="AF123" s="1382"/>
      <c r="AG123" s="1382"/>
      <c r="AH123" s="1382"/>
      <c r="AI123" s="1382"/>
      <c r="AJ123" s="1382"/>
      <c r="AK123" s="551"/>
      <c r="AL123" s="551"/>
      <c r="AM123" s="551"/>
      <c r="AN123" s="551"/>
      <c r="AO123" s="551"/>
      <c r="AP123" s="551"/>
      <c r="AQ123" s="551"/>
      <c r="AR123" s="551"/>
      <c r="AS123" s="551"/>
      <c r="AT123" s="551"/>
      <c r="AU123" s="551"/>
      <c r="AV123" s="551"/>
    </row>
    <row r="124" spans="1:48" s="545" customFormat="1" x14ac:dyDescent="0.25">
      <c r="A124" s="1402"/>
      <c r="B124" s="554"/>
      <c r="C124" s="945"/>
      <c r="D124" s="2071"/>
      <c r="E124" s="1068"/>
      <c r="F124" s="1067"/>
      <c r="G124" s="933" t="s">
        <v>37</v>
      </c>
      <c r="H124" s="1847" t="s">
        <v>858</v>
      </c>
      <c r="I124" s="197"/>
      <c r="J124" s="229"/>
      <c r="K124" s="1387" t="str">
        <f t="shared" si="3"/>
        <v>&lt;----Use DROP DOWN to chose if Subset Item Applies</v>
      </c>
      <c r="L124" s="1382"/>
      <c r="M124" s="1382"/>
      <c r="N124" s="1382"/>
      <c r="O124" s="1382"/>
      <c r="P124" s="1382"/>
      <c r="Q124" s="1382"/>
      <c r="R124" s="1382"/>
      <c r="S124" s="1382"/>
      <c r="T124" s="1382"/>
      <c r="U124" s="1382"/>
      <c r="V124" s="1382"/>
      <c r="W124" s="1382"/>
      <c r="X124" s="1382"/>
      <c r="Y124" s="1382"/>
      <c r="Z124" s="1382"/>
      <c r="AA124" s="1382"/>
      <c r="AB124" s="1382"/>
      <c r="AC124" s="1382"/>
      <c r="AD124" s="1382"/>
      <c r="AE124" s="1382"/>
      <c r="AF124" s="1382"/>
      <c r="AG124" s="1382"/>
      <c r="AH124" s="1382"/>
      <c r="AI124" s="1382"/>
      <c r="AJ124" s="1382"/>
      <c r="AK124" s="551"/>
      <c r="AL124" s="551"/>
      <c r="AM124" s="551"/>
      <c r="AN124" s="551"/>
      <c r="AO124" s="551"/>
      <c r="AP124" s="551"/>
      <c r="AQ124" s="551"/>
      <c r="AR124" s="551"/>
      <c r="AS124" s="551"/>
      <c r="AT124" s="551"/>
      <c r="AU124" s="551"/>
      <c r="AV124" s="551"/>
    </row>
    <row r="125" spans="1:48" s="545" customFormat="1" x14ac:dyDescent="0.25">
      <c r="A125" s="1402"/>
      <c r="B125" s="554"/>
      <c r="C125" s="945"/>
      <c r="D125" s="2071"/>
      <c r="E125" s="1068"/>
      <c r="F125" s="1067"/>
      <c r="G125" s="933" t="s">
        <v>37</v>
      </c>
      <c r="H125" s="1888" t="s">
        <v>294</v>
      </c>
      <c r="I125" s="197"/>
      <c r="J125" s="229"/>
      <c r="K125" s="1387" t="str">
        <f t="shared" si="3"/>
        <v>&lt;----Use DROP DOWN to chose if Subset Item Applies</v>
      </c>
      <c r="L125" s="1382"/>
      <c r="M125" s="1382"/>
      <c r="N125" s="1382"/>
      <c r="O125" s="1382"/>
      <c r="P125" s="1382"/>
      <c r="Q125" s="1382"/>
      <c r="R125" s="1382"/>
      <c r="S125" s="1382"/>
      <c r="T125" s="1382"/>
      <c r="U125" s="1382"/>
      <c r="V125" s="1382"/>
      <c r="W125" s="1382"/>
      <c r="X125" s="1382"/>
      <c r="Y125" s="1382"/>
      <c r="Z125" s="1382"/>
      <c r="AA125" s="1382"/>
      <c r="AB125" s="1382"/>
      <c r="AC125" s="1382"/>
      <c r="AD125" s="1382"/>
      <c r="AE125" s="1382"/>
      <c r="AF125" s="1382"/>
      <c r="AG125" s="1382"/>
      <c r="AH125" s="1382"/>
      <c r="AI125" s="1382"/>
      <c r="AJ125" s="1382"/>
      <c r="AK125" s="551"/>
      <c r="AL125" s="551"/>
      <c r="AM125" s="551"/>
      <c r="AN125" s="551"/>
      <c r="AO125" s="551"/>
      <c r="AP125" s="551"/>
      <c r="AQ125" s="551"/>
      <c r="AR125" s="551"/>
      <c r="AS125" s="551"/>
      <c r="AT125" s="551"/>
      <c r="AU125" s="551"/>
      <c r="AV125" s="551"/>
    </row>
    <row r="126" spans="1:48" s="545" customFormat="1" x14ac:dyDescent="0.25">
      <c r="A126" s="1402"/>
      <c r="B126" s="554"/>
      <c r="C126" s="945"/>
      <c r="D126" s="2071"/>
      <c r="E126" s="1068"/>
      <c r="F126" s="1067"/>
      <c r="G126" s="933" t="s">
        <v>37</v>
      </c>
      <c r="H126" s="1889" t="s">
        <v>859</v>
      </c>
      <c r="I126" s="197"/>
      <c r="J126" s="229"/>
      <c r="K126" s="1387" t="str">
        <f t="shared" si="3"/>
        <v>&lt;----Use DROP DOWN to chose if Subset Item Applies</v>
      </c>
      <c r="L126" s="1382"/>
      <c r="M126" s="1382"/>
      <c r="N126" s="1382"/>
      <c r="O126" s="1382"/>
      <c r="P126" s="1382"/>
      <c r="Q126" s="1382"/>
      <c r="R126" s="1382"/>
      <c r="S126" s="1382"/>
      <c r="T126" s="1382"/>
      <c r="U126" s="1382"/>
      <c r="V126" s="1382"/>
      <c r="W126" s="1382"/>
      <c r="X126" s="1382"/>
      <c r="Y126" s="1382"/>
      <c r="Z126" s="1382"/>
      <c r="AA126" s="1382"/>
      <c r="AB126" s="1382"/>
      <c r="AC126" s="1382"/>
      <c r="AD126" s="1382"/>
      <c r="AE126" s="1382"/>
      <c r="AF126" s="1382"/>
      <c r="AG126" s="1382"/>
      <c r="AH126" s="1382"/>
      <c r="AI126" s="1382"/>
      <c r="AJ126" s="1382"/>
      <c r="AK126" s="551"/>
      <c r="AL126" s="551"/>
      <c r="AM126" s="551"/>
      <c r="AN126" s="551"/>
      <c r="AO126" s="551"/>
      <c r="AP126" s="551"/>
      <c r="AQ126" s="551"/>
      <c r="AR126" s="551"/>
      <c r="AS126" s="551"/>
      <c r="AT126" s="551"/>
      <c r="AU126" s="551"/>
      <c r="AV126" s="551"/>
    </row>
    <row r="127" spans="1:48" s="30" customFormat="1" x14ac:dyDescent="0.25">
      <c r="A127" s="1402"/>
      <c r="B127" s="191"/>
      <c r="C127" s="921"/>
      <c r="D127" s="2071"/>
      <c r="E127" s="936"/>
      <c r="F127" s="933" t="s">
        <v>37</v>
      </c>
      <c r="G127" s="940"/>
      <c r="H127" s="238" t="s">
        <v>257</v>
      </c>
      <c r="I127" s="197"/>
      <c r="J127" s="229"/>
      <c r="K127" s="1385" t="str">
        <f t="shared" si="2"/>
        <v>&lt;----Use DROP DOWN to chose if Component Item Applies</v>
      </c>
      <c r="L127" s="1382"/>
      <c r="M127" s="1382"/>
      <c r="N127" s="1382"/>
      <c r="O127" s="1382"/>
      <c r="P127" s="1382"/>
      <c r="Q127" s="1382"/>
      <c r="R127" s="1382"/>
      <c r="S127" s="1382"/>
      <c r="T127" s="1382"/>
      <c r="U127" s="1382"/>
      <c r="V127" s="1382"/>
      <c r="W127" s="1382"/>
      <c r="X127" s="1382"/>
      <c r="Y127" s="1382"/>
      <c r="Z127" s="1382"/>
      <c r="AA127" s="1382"/>
      <c r="AB127" s="1382"/>
      <c r="AC127" s="1382"/>
      <c r="AD127" s="1382"/>
      <c r="AE127" s="1382"/>
      <c r="AF127" s="1382"/>
      <c r="AG127" s="1382"/>
      <c r="AH127" s="1382"/>
      <c r="AI127" s="1382"/>
      <c r="AJ127" s="1382"/>
      <c r="AK127" s="181"/>
      <c r="AL127" s="181"/>
      <c r="AM127" s="181"/>
      <c r="AN127" s="181"/>
      <c r="AO127" s="181"/>
      <c r="AP127" s="181"/>
      <c r="AQ127" s="181"/>
      <c r="AR127" s="181"/>
      <c r="AS127" s="181"/>
      <c r="AT127" s="181"/>
      <c r="AU127" s="181"/>
      <c r="AV127" s="181"/>
    </row>
    <row r="128" spans="1:48" s="30" customFormat="1" x14ac:dyDescent="0.25">
      <c r="A128" s="1402"/>
      <c r="B128" s="191"/>
      <c r="C128" s="921"/>
      <c r="D128" s="2071"/>
      <c r="E128" s="936"/>
      <c r="F128" s="933" t="s">
        <v>37</v>
      </c>
      <c r="G128" s="940"/>
      <c r="H128" s="238" t="s">
        <v>845</v>
      </c>
      <c r="I128" s="197"/>
      <c r="J128" s="229"/>
      <c r="K128" s="1385" t="str">
        <f t="shared" si="2"/>
        <v>&lt;----Use DROP DOWN to chose if Component Item Applies</v>
      </c>
      <c r="L128" s="1382"/>
      <c r="M128" s="1382"/>
      <c r="N128" s="1382"/>
      <c r="O128" s="1382"/>
      <c r="P128" s="1382"/>
      <c r="Q128" s="1382"/>
      <c r="R128" s="1382"/>
      <c r="S128" s="1382"/>
      <c r="T128" s="1382"/>
      <c r="U128" s="1382"/>
      <c r="V128" s="1382"/>
      <c r="W128" s="1382"/>
      <c r="X128" s="1382"/>
      <c r="Y128" s="1382"/>
      <c r="Z128" s="1382"/>
      <c r="AA128" s="1382"/>
      <c r="AB128" s="1382"/>
      <c r="AC128" s="1382"/>
      <c r="AD128" s="1382"/>
      <c r="AE128" s="1382"/>
      <c r="AF128" s="1382"/>
      <c r="AG128" s="1382"/>
      <c r="AH128" s="1382"/>
      <c r="AI128" s="1382"/>
      <c r="AJ128" s="1382"/>
      <c r="AK128" s="181"/>
      <c r="AL128" s="181"/>
      <c r="AM128" s="181"/>
      <c r="AN128" s="181"/>
      <c r="AO128" s="181"/>
      <c r="AP128" s="181"/>
      <c r="AQ128" s="181"/>
      <c r="AR128" s="181"/>
      <c r="AS128" s="181"/>
      <c r="AT128" s="181"/>
      <c r="AU128" s="181"/>
      <c r="AV128" s="181"/>
    </row>
    <row r="129" spans="1:48" s="30" customFormat="1" x14ac:dyDescent="0.25">
      <c r="A129" s="1408"/>
      <c r="B129" s="191"/>
      <c r="C129" s="921"/>
      <c r="D129" s="2071"/>
      <c r="E129" s="923"/>
      <c r="F129" s="933" t="s">
        <v>37</v>
      </c>
      <c r="G129" s="934"/>
      <c r="H129" s="340" t="s">
        <v>132</v>
      </c>
      <c r="I129" s="193"/>
      <c r="J129" s="229"/>
      <c r="K129" s="1385" t="str">
        <f t="shared" si="2"/>
        <v>&lt;----Use DROP DOWN to chose if Component Item Applies</v>
      </c>
      <c r="L129" s="1382"/>
      <c r="M129" s="1382"/>
      <c r="N129" s="1382"/>
      <c r="O129" s="1382"/>
      <c r="P129" s="1382"/>
      <c r="Q129" s="1382"/>
      <c r="R129" s="1382"/>
      <c r="S129" s="1382"/>
      <c r="T129" s="1382"/>
      <c r="U129" s="1382"/>
      <c r="V129" s="1382"/>
      <c r="W129" s="1382"/>
      <c r="X129" s="1382"/>
      <c r="Y129" s="1382"/>
      <c r="Z129" s="1382"/>
      <c r="AA129" s="1382"/>
      <c r="AB129" s="1382"/>
      <c r="AC129" s="1382"/>
      <c r="AD129" s="1382"/>
      <c r="AE129" s="1382"/>
      <c r="AF129" s="1382"/>
      <c r="AG129" s="1382"/>
      <c r="AH129" s="1382"/>
      <c r="AI129" s="1382"/>
      <c r="AJ129" s="1382"/>
      <c r="AK129" s="181"/>
      <c r="AL129" s="181"/>
      <c r="AM129" s="181"/>
      <c r="AN129" s="181"/>
      <c r="AO129" s="181"/>
      <c r="AP129" s="181"/>
      <c r="AQ129" s="181"/>
      <c r="AR129" s="181"/>
      <c r="AS129" s="181"/>
      <c r="AT129" s="181"/>
      <c r="AU129" s="181"/>
      <c r="AV129" s="181"/>
    </row>
    <row r="130" spans="1:48" s="30" customFormat="1" x14ac:dyDescent="0.25">
      <c r="A130" s="1408"/>
      <c r="B130" s="191"/>
      <c r="C130" s="921"/>
      <c r="D130" s="2071"/>
      <c r="E130" s="923"/>
      <c r="F130" s="933" t="s">
        <v>37</v>
      </c>
      <c r="G130" s="934"/>
      <c r="H130" s="340" t="s">
        <v>842</v>
      </c>
      <c r="I130" s="193"/>
      <c r="J130" s="229"/>
      <c r="K130" s="1385" t="str">
        <f t="shared" si="2"/>
        <v>&lt;----Use DROP DOWN to chose if Component Item Applies</v>
      </c>
      <c r="L130" s="1382"/>
      <c r="M130" s="1382"/>
      <c r="N130" s="1382"/>
      <c r="O130" s="1382"/>
      <c r="P130" s="1382"/>
      <c r="Q130" s="1382"/>
      <c r="R130" s="1382"/>
      <c r="S130" s="1382"/>
      <c r="T130" s="1382"/>
      <c r="U130" s="1382"/>
      <c r="V130" s="1382"/>
      <c r="W130" s="1382"/>
      <c r="X130" s="1382"/>
      <c r="Y130" s="1382"/>
      <c r="Z130" s="1382"/>
      <c r="AA130" s="1382"/>
      <c r="AB130" s="1382"/>
      <c r="AC130" s="1382"/>
      <c r="AD130" s="1382"/>
      <c r="AE130" s="1382"/>
      <c r="AF130" s="1382"/>
      <c r="AG130" s="1382"/>
      <c r="AH130" s="1382"/>
      <c r="AI130" s="1382"/>
      <c r="AJ130" s="1382"/>
      <c r="AK130" s="181"/>
      <c r="AL130" s="181"/>
      <c r="AM130" s="181"/>
      <c r="AN130" s="181"/>
      <c r="AO130" s="181"/>
      <c r="AP130" s="181"/>
      <c r="AQ130" s="181"/>
      <c r="AR130" s="181"/>
      <c r="AS130" s="181"/>
      <c r="AT130" s="181"/>
      <c r="AU130" s="181"/>
      <c r="AV130" s="181"/>
    </row>
    <row r="131" spans="1:48" s="30" customFormat="1" ht="28.5" x14ac:dyDescent="0.25">
      <c r="A131" s="1408"/>
      <c r="B131" s="191"/>
      <c r="C131" s="921"/>
      <c r="D131" s="2071"/>
      <c r="E131" s="923"/>
      <c r="F131" s="933" t="s">
        <v>37</v>
      </c>
      <c r="G131" s="934"/>
      <c r="H131" s="340" t="s">
        <v>790</v>
      </c>
      <c r="I131" s="193"/>
      <c r="J131" s="229"/>
      <c r="K131" s="1385" t="str">
        <f t="shared" si="2"/>
        <v>&lt;----Use DROP DOWN to chose if Component Item Applies</v>
      </c>
      <c r="L131" s="1382"/>
      <c r="M131" s="1382"/>
      <c r="N131" s="1382"/>
      <c r="O131" s="1382"/>
      <c r="P131" s="1382"/>
      <c r="Q131" s="1382"/>
      <c r="R131" s="1382"/>
      <c r="S131" s="1382"/>
      <c r="T131" s="1382"/>
      <c r="U131" s="1382"/>
      <c r="V131" s="1382"/>
      <c r="W131" s="1382"/>
      <c r="X131" s="1382"/>
      <c r="Y131" s="1382"/>
      <c r="Z131" s="1382"/>
      <c r="AA131" s="1382"/>
      <c r="AB131" s="1382"/>
      <c r="AC131" s="1382"/>
      <c r="AD131" s="1382"/>
      <c r="AE131" s="1382"/>
      <c r="AF131" s="1382"/>
      <c r="AG131" s="1382"/>
      <c r="AH131" s="1382"/>
      <c r="AI131" s="1382"/>
      <c r="AJ131" s="1382"/>
      <c r="AK131" s="181"/>
      <c r="AL131" s="181"/>
      <c r="AM131" s="181"/>
      <c r="AN131" s="181"/>
      <c r="AO131" s="181"/>
      <c r="AP131" s="181"/>
      <c r="AQ131" s="181"/>
      <c r="AR131" s="181"/>
      <c r="AS131" s="181"/>
      <c r="AT131" s="181"/>
      <c r="AU131" s="181"/>
      <c r="AV131" s="181"/>
    </row>
    <row r="132" spans="1:48" s="30" customFormat="1" ht="15" customHeight="1" x14ac:dyDescent="0.25">
      <c r="A132" s="1402"/>
      <c r="B132" s="191"/>
      <c r="C132" s="921"/>
      <c r="D132" s="2071"/>
      <c r="E132" s="936"/>
      <c r="F132" s="933" t="s">
        <v>37</v>
      </c>
      <c r="G132" s="940"/>
      <c r="H132" s="1070" t="s">
        <v>869</v>
      </c>
      <c r="I132" s="197"/>
      <c r="J132" s="229"/>
      <c r="K132" s="1385" t="str">
        <f t="shared" si="2"/>
        <v>&lt;----Use DROP DOWN to chose if Component Item Applies</v>
      </c>
      <c r="L132" s="1382"/>
      <c r="M132" s="1382"/>
      <c r="N132" s="1382"/>
      <c r="O132" s="1382"/>
      <c r="P132" s="1382"/>
      <c r="Q132" s="1382"/>
      <c r="R132" s="1382"/>
      <c r="S132" s="1382"/>
      <c r="T132" s="1382"/>
      <c r="U132" s="1382"/>
      <c r="V132" s="1382"/>
      <c r="W132" s="1382"/>
      <c r="X132" s="1382"/>
      <c r="Y132" s="1382"/>
      <c r="Z132" s="1382"/>
      <c r="AA132" s="1382"/>
      <c r="AB132" s="1382"/>
      <c r="AC132" s="1382"/>
      <c r="AD132" s="1382"/>
      <c r="AE132" s="1382"/>
      <c r="AF132" s="1382"/>
      <c r="AG132" s="1382"/>
      <c r="AH132" s="1382"/>
      <c r="AI132" s="1382"/>
      <c r="AJ132" s="1382"/>
      <c r="AK132" s="181"/>
      <c r="AL132" s="181"/>
      <c r="AM132" s="181"/>
      <c r="AN132" s="181"/>
      <c r="AO132" s="181"/>
      <c r="AP132" s="181"/>
      <c r="AQ132" s="181"/>
      <c r="AR132" s="181"/>
      <c r="AS132" s="181"/>
      <c r="AT132" s="181"/>
      <c r="AU132" s="181"/>
      <c r="AV132" s="181"/>
    </row>
    <row r="133" spans="1:48" s="30" customFormat="1" ht="14.25" customHeight="1" x14ac:dyDescent="0.25">
      <c r="A133" s="1408"/>
      <c r="B133" s="191"/>
      <c r="C133" s="921"/>
      <c r="D133" s="2071"/>
      <c r="E133" s="923"/>
      <c r="F133" s="933" t="s">
        <v>37</v>
      </c>
      <c r="G133" s="934"/>
      <c r="H133" s="340" t="s">
        <v>134</v>
      </c>
      <c r="I133" s="196"/>
      <c r="J133" s="229"/>
      <c r="K133" s="1386" t="str">
        <f t="shared" si="2"/>
        <v>&lt;----Use DROP DOWN to chose if Component Item Applies</v>
      </c>
      <c r="L133" s="1382"/>
      <c r="M133" s="1382"/>
      <c r="N133" s="1382"/>
      <c r="O133" s="1382"/>
      <c r="P133" s="1382"/>
      <c r="Q133" s="1382"/>
      <c r="R133" s="1382"/>
      <c r="S133" s="1382"/>
      <c r="T133" s="1382"/>
      <c r="U133" s="1382"/>
      <c r="V133" s="1382"/>
      <c r="W133" s="1382"/>
      <c r="X133" s="1382"/>
      <c r="Y133" s="1382"/>
      <c r="Z133" s="1382"/>
      <c r="AA133" s="1382"/>
      <c r="AB133" s="1382"/>
      <c r="AC133" s="1382"/>
      <c r="AD133" s="1382"/>
      <c r="AE133" s="1382"/>
      <c r="AF133" s="1382"/>
      <c r="AG133" s="1382"/>
      <c r="AH133" s="1382"/>
      <c r="AI133" s="1382"/>
      <c r="AJ133" s="1382"/>
      <c r="AK133" s="181"/>
      <c r="AL133" s="181"/>
      <c r="AM133" s="181"/>
      <c r="AN133" s="181"/>
      <c r="AO133" s="181"/>
      <c r="AP133" s="181"/>
      <c r="AQ133" s="181"/>
      <c r="AR133" s="181"/>
      <c r="AS133" s="181"/>
      <c r="AT133" s="181"/>
      <c r="AU133" s="181"/>
      <c r="AV133" s="181"/>
    </row>
    <row r="134" spans="1:48" s="30" customFormat="1" x14ac:dyDescent="0.25">
      <c r="A134" s="1402"/>
      <c r="B134" s="191"/>
      <c r="C134" s="921"/>
      <c r="D134" s="2071"/>
      <c r="E134" s="923"/>
      <c r="F134" s="923"/>
      <c r="G134" s="933" t="s">
        <v>21</v>
      </c>
      <c r="H134" s="989" t="s">
        <v>785</v>
      </c>
      <c r="I134" s="197"/>
      <c r="J134" s="229"/>
      <c r="K134" s="1388" t="str">
        <f t="shared" ref="K134:K139" si="4">IF(Applies_Rpt_Type1_Feas_Concept_Only="N",CONCATENATE("&lt;----HIDE ROW Because Report Type 1 &amp; E",ROW(Applies_Rpt_Type1_Feas_Concept_Only)," is ''N''"),"&lt;----DEFINE CLIENT SubITEM for FINANCIAL ANALYSIS and APPLICABILITY.  Hide Row if not used.")</f>
        <v>&lt;----DEFINE CLIENT SubITEM for FINANCIAL ANALYSIS and APPLICABILITY.  Hide Row if not used.</v>
      </c>
      <c r="L134" s="1382"/>
      <c r="M134" s="1382"/>
      <c r="N134" s="1382"/>
      <c r="O134" s="1382"/>
      <c r="P134" s="1382"/>
      <c r="Q134" s="1382"/>
      <c r="R134" s="1382"/>
      <c r="S134" s="1382"/>
      <c r="T134" s="1382"/>
      <c r="U134" s="1382"/>
      <c r="V134" s="1382"/>
      <c r="W134" s="1382"/>
      <c r="X134" s="1382"/>
      <c r="Y134" s="1382"/>
      <c r="Z134" s="1382"/>
      <c r="AA134" s="1382"/>
      <c r="AB134" s="1382"/>
      <c r="AC134" s="1382"/>
      <c r="AD134" s="1382"/>
      <c r="AE134" s="1382"/>
      <c r="AF134" s="1382"/>
      <c r="AG134" s="1382"/>
      <c r="AH134" s="1382"/>
      <c r="AI134" s="1382"/>
      <c r="AJ134" s="1382"/>
      <c r="AK134" s="181"/>
      <c r="AL134" s="181"/>
      <c r="AM134" s="181"/>
      <c r="AN134" s="181"/>
      <c r="AO134" s="181"/>
      <c r="AP134" s="181"/>
      <c r="AQ134" s="181"/>
      <c r="AR134" s="181"/>
      <c r="AS134" s="181"/>
      <c r="AT134" s="181"/>
      <c r="AU134" s="181"/>
      <c r="AV134" s="181"/>
    </row>
    <row r="135" spans="1:48" s="30" customFormat="1" x14ac:dyDescent="0.25">
      <c r="A135" s="1402"/>
      <c r="B135" s="191"/>
      <c r="C135" s="921"/>
      <c r="D135" s="2071"/>
      <c r="E135" s="923"/>
      <c r="F135" s="923"/>
      <c r="G135" s="933" t="s">
        <v>21</v>
      </c>
      <c r="H135" s="989" t="s">
        <v>786</v>
      </c>
      <c r="I135" s="197"/>
      <c r="J135" s="229"/>
      <c r="K135" s="1388" t="str">
        <f t="shared" si="4"/>
        <v>&lt;----DEFINE CLIENT SubITEM for FINANCIAL ANALYSIS and APPLICABILITY.  Hide Row if not used.</v>
      </c>
      <c r="L135" s="1382"/>
      <c r="M135" s="1382"/>
      <c r="N135" s="1382"/>
      <c r="O135" s="1382"/>
      <c r="P135" s="1382"/>
      <c r="Q135" s="1382"/>
      <c r="R135" s="1382"/>
      <c r="S135" s="1382"/>
      <c r="T135" s="1382"/>
      <c r="U135" s="1382"/>
      <c r="V135" s="1382"/>
      <c r="W135" s="1382"/>
      <c r="X135" s="1382"/>
      <c r="Y135" s="1382"/>
      <c r="Z135" s="1382"/>
      <c r="AA135" s="1382"/>
      <c r="AB135" s="1382"/>
      <c r="AC135" s="1382"/>
      <c r="AD135" s="1382"/>
      <c r="AE135" s="1382"/>
      <c r="AF135" s="1382"/>
      <c r="AG135" s="1382"/>
      <c r="AH135" s="1382"/>
      <c r="AI135" s="1382"/>
      <c r="AJ135" s="1382"/>
      <c r="AK135" s="181"/>
      <c r="AL135" s="181"/>
      <c r="AM135" s="181"/>
      <c r="AN135" s="181"/>
      <c r="AO135" s="181"/>
      <c r="AP135" s="181"/>
      <c r="AQ135" s="181"/>
      <c r="AR135" s="181"/>
      <c r="AS135" s="181"/>
      <c r="AT135" s="181"/>
      <c r="AU135" s="181"/>
      <c r="AV135" s="181"/>
    </row>
    <row r="136" spans="1:48" s="30" customFormat="1" x14ac:dyDescent="0.25">
      <c r="A136" s="1402"/>
      <c r="B136" s="191"/>
      <c r="C136" s="921"/>
      <c r="D136" s="2071"/>
      <c r="E136" s="923"/>
      <c r="F136" s="923"/>
      <c r="G136" s="933" t="s">
        <v>21</v>
      </c>
      <c r="H136" s="989" t="s">
        <v>787</v>
      </c>
      <c r="I136" s="197"/>
      <c r="J136" s="229"/>
      <c r="K136" s="1388" t="str">
        <f t="shared" si="4"/>
        <v>&lt;----DEFINE CLIENT SubITEM for FINANCIAL ANALYSIS and APPLICABILITY.  Hide Row if not used.</v>
      </c>
      <c r="L136" s="1382"/>
      <c r="M136" s="1382"/>
      <c r="N136" s="1382"/>
      <c r="O136" s="1382"/>
      <c r="P136" s="1382"/>
      <c r="Q136" s="1382"/>
      <c r="R136" s="1382"/>
      <c r="S136" s="1382"/>
      <c r="T136" s="1382"/>
      <c r="U136" s="1382"/>
      <c r="V136" s="1382"/>
      <c r="W136" s="1382"/>
      <c r="X136" s="1382"/>
      <c r="Y136" s="1382"/>
      <c r="Z136" s="1382"/>
      <c r="AA136" s="1382"/>
      <c r="AB136" s="1382"/>
      <c r="AC136" s="1382"/>
      <c r="AD136" s="1382"/>
      <c r="AE136" s="1382"/>
      <c r="AF136" s="1382"/>
      <c r="AG136" s="1382"/>
      <c r="AH136" s="1382"/>
      <c r="AI136" s="1382"/>
      <c r="AJ136" s="1382"/>
      <c r="AK136" s="181"/>
      <c r="AL136" s="181"/>
      <c r="AM136" s="181"/>
      <c r="AN136" s="181"/>
      <c r="AO136" s="181"/>
      <c r="AP136" s="181"/>
      <c r="AQ136" s="181"/>
      <c r="AR136" s="181"/>
      <c r="AS136" s="181"/>
      <c r="AT136" s="181"/>
      <c r="AU136" s="181"/>
      <c r="AV136" s="181"/>
    </row>
    <row r="137" spans="1:48" s="30" customFormat="1" x14ac:dyDescent="0.25">
      <c r="A137" s="1402"/>
      <c r="B137" s="191"/>
      <c r="C137" s="921"/>
      <c r="D137" s="2071"/>
      <c r="E137" s="923"/>
      <c r="F137" s="923"/>
      <c r="G137" s="933" t="s">
        <v>21</v>
      </c>
      <c r="H137" s="989" t="s">
        <v>788</v>
      </c>
      <c r="I137" s="197"/>
      <c r="J137" s="229"/>
      <c r="K137" s="1388" t="str">
        <f t="shared" si="4"/>
        <v>&lt;----DEFINE CLIENT SubITEM for FINANCIAL ANALYSIS and APPLICABILITY.  Hide Row if not used.</v>
      </c>
      <c r="L137" s="1382"/>
      <c r="M137" s="1382"/>
      <c r="N137" s="1382"/>
      <c r="O137" s="1382"/>
      <c r="P137" s="1382"/>
      <c r="Q137" s="1382"/>
      <c r="R137" s="1382"/>
      <c r="S137" s="1382"/>
      <c r="T137" s="1382"/>
      <c r="U137" s="1382"/>
      <c r="V137" s="1382"/>
      <c r="W137" s="1382"/>
      <c r="X137" s="1382"/>
      <c r="Y137" s="1382"/>
      <c r="Z137" s="1382"/>
      <c r="AA137" s="1382"/>
      <c r="AB137" s="1382"/>
      <c r="AC137" s="1382"/>
      <c r="AD137" s="1382"/>
      <c r="AE137" s="1382"/>
      <c r="AF137" s="1382"/>
      <c r="AG137" s="1382"/>
      <c r="AH137" s="1382"/>
      <c r="AI137" s="1382"/>
      <c r="AJ137" s="1382"/>
      <c r="AK137" s="181"/>
      <c r="AL137" s="181"/>
      <c r="AM137" s="181"/>
      <c r="AN137" s="181"/>
      <c r="AO137" s="181"/>
      <c r="AP137" s="181"/>
      <c r="AQ137" s="181"/>
      <c r="AR137" s="181"/>
      <c r="AS137" s="181"/>
      <c r="AT137" s="181"/>
      <c r="AU137" s="181"/>
      <c r="AV137" s="181"/>
    </row>
    <row r="138" spans="1:48" s="545" customFormat="1" ht="14.25" customHeight="1" x14ac:dyDescent="0.25">
      <c r="A138" s="1408"/>
      <c r="B138" s="554"/>
      <c r="C138" s="921"/>
      <c r="D138" s="2071"/>
      <c r="E138" s="1067"/>
      <c r="F138" s="1073"/>
      <c r="G138" s="1049" t="s">
        <v>21</v>
      </c>
      <c r="H138" s="989" t="s">
        <v>865</v>
      </c>
      <c r="I138" s="196"/>
      <c r="J138" s="229"/>
      <c r="K138" s="1388" t="str">
        <f t="shared" si="4"/>
        <v>&lt;----DEFINE CLIENT SubITEM for FINANCIAL ANALYSIS and APPLICABILITY.  Hide Row if not used.</v>
      </c>
      <c r="L138" s="1382"/>
      <c r="M138" s="1382"/>
      <c r="N138" s="1382"/>
      <c r="O138" s="1382"/>
      <c r="P138" s="1382"/>
      <c r="Q138" s="1382"/>
      <c r="R138" s="1382"/>
      <c r="S138" s="1382"/>
      <c r="T138" s="1382"/>
      <c r="U138" s="1382"/>
      <c r="V138" s="1382"/>
      <c r="W138" s="1382"/>
      <c r="X138" s="1382"/>
      <c r="Y138" s="1382"/>
      <c r="Z138" s="1382"/>
      <c r="AA138" s="1382"/>
      <c r="AB138" s="1382"/>
      <c r="AC138" s="1382"/>
      <c r="AD138" s="1382"/>
      <c r="AE138" s="1382"/>
      <c r="AF138" s="1382"/>
      <c r="AG138" s="1382"/>
      <c r="AH138" s="1382"/>
      <c r="AI138" s="1382"/>
      <c r="AJ138" s="1382"/>
      <c r="AK138" s="551"/>
      <c r="AL138" s="551"/>
      <c r="AM138" s="551"/>
      <c r="AN138" s="551"/>
      <c r="AO138" s="551"/>
      <c r="AP138" s="551"/>
      <c r="AQ138" s="551"/>
      <c r="AR138" s="551"/>
      <c r="AS138" s="551"/>
      <c r="AT138" s="551"/>
      <c r="AU138" s="551"/>
      <c r="AV138" s="551"/>
    </row>
    <row r="139" spans="1:48" s="545" customFormat="1" ht="14.25" customHeight="1" x14ac:dyDescent="0.25">
      <c r="A139" s="1408"/>
      <c r="B139" s="554"/>
      <c r="C139" s="921"/>
      <c r="D139" s="2071"/>
      <c r="E139" s="1067"/>
      <c r="F139" s="1073"/>
      <c r="G139" s="1049" t="s">
        <v>21</v>
      </c>
      <c r="H139" s="989" t="s">
        <v>866</v>
      </c>
      <c r="I139" s="196"/>
      <c r="J139" s="229"/>
      <c r="K139" s="1388" t="str">
        <f t="shared" si="4"/>
        <v>&lt;----DEFINE CLIENT SubITEM for FINANCIAL ANALYSIS and APPLICABILITY.  Hide Row if not used.</v>
      </c>
      <c r="L139" s="1382"/>
      <c r="M139" s="1382"/>
      <c r="N139" s="1382"/>
      <c r="O139" s="1382"/>
      <c r="P139" s="1382"/>
      <c r="Q139" s="1382"/>
      <c r="R139" s="1382"/>
      <c r="S139" s="1382"/>
      <c r="T139" s="1382"/>
      <c r="U139" s="1382"/>
      <c r="V139" s="1382"/>
      <c r="W139" s="1382"/>
      <c r="X139" s="1382"/>
      <c r="Y139" s="1382"/>
      <c r="Z139" s="1382"/>
      <c r="AA139" s="1382"/>
      <c r="AB139" s="1382"/>
      <c r="AC139" s="1382"/>
      <c r="AD139" s="1382"/>
      <c r="AE139" s="1382"/>
      <c r="AF139" s="1382"/>
      <c r="AG139" s="1382"/>
      <c r="AH139" s="1382"/>
      <c r="AI139" s="1382"/>
      <c r="AJ139" s="1382"/>
      <c r="AK139" s="551"/>
      <c r="AL139" s="551"/>
      <c r="AM139" s="551"/>
      <c r="AN139" s="551"/>
      <c r="AO139" s="551"/>
      <c r="AP139" s="551"/>
      <c r="AQ139" s="551"/>
      <c r="AR139" s="551"/>
      <c r="AS139" s="551"/>
      <c r="AT139" s="551"/>
      <c r="AU139" s="551"/>
      <c r="AV139" s="551"/>
    </row>
    <row r="140" spans="1:48" s="30" customFormat="1" ht="14.25" customHeight="1" x14ac:dyDescent="0.25">
      <c r="A140" s="1408"/>
      <c r="B140" s="191"/>
      <c r="C140" s="921"/>
      <c r="D140" s="2071"/>
      <c r="E140" s="923"/>
      <c r="F140" s="933" t="s">
        <v>37</v>
      </c>
      <c r="G140" s="934"/>
      <c r="H140" s="931" t="s">
        <v>478</v>
      </c>
      <c r="I140" s="196"/>
      <c r="J140" s="229"/>
      <c r="K140" s="1389" t="str">
        <f>IF(Applies_Rpt_Type1_Feas_Concept_Only="N",CONCATENATE("&lt;----HIDE ROW Because Report Type 1 &amp; E",ROW(Applies_Rpt_Type1_Feas_Concept_Only)," is ''N''"),"&lt;----DEFINE CLIENT ITEM and APPLICABILITY.  Hide Row if not used.")</f>
        <v>&lt;----DEFINE CLIENT ITEM and APPLICABILITY.  Hide Row if not used.</v>
      </c>
      <c r="L140" s="1382"/>
      <c r="M140" s="1382"/>
      <c r="N140" s="1382"/>
      <c r="O140" s="1382"/>
      <c r="P140" s="1382"/>
      <c r="Q140" s="1382"/>
      <c r="R140" s="1382"/>
      <c r="S140" s="1382"/>
      <c r="T140" s="1382"/>
      <c r="U140" s="1382"/>
      <c r="V140" s="1382"/>
      <c r="W140" s="1382"/>
      <c r="X140" s="1382"/>
      <c r="Y140" s="1382"/>
      <c r="Z140" s="1382"/>
      <c r="AA140" s="1382"/>
      <c r="AB140" s="1382"/>
      <c r="AC140" s="1382"/>
      <c r="AD140" s="1382"/>
      <c r="AE140" s="1382"/>
      <c r="AF140" s="1382"/>
      <c r="AG140" s="1382"/>
      <c r="AH140" s="1382"/>
      <c r="AI140" s="1382"/>
      <c r="AJ140" s="1382"/>
      <c r="AK140" s="181"/>
      <c r="AL140" s="181"/>
      <c r="AM140" s="181"/>
      <c r="AN140" s="181"/>
      <c r="AO140" s="181"/>
      <c r="AP140" s="181"/>
      <c r="AQ140" s="181"/>
      <c r="AR140" s="181"/>
      <c r="AS140" s="181"/>
      <c r="AT140" s="181"/>
      <c r="AU140" s="181"/>
      <c r="AV140" s="181"/>
    </row>
    <row r="141" spans="1:48" s="30" customFormat="1" ht="14.25" customHeight="1" x14ac:dyDescent="0.25">
      <c r="A141" s="1408"/>
      <c r="B141" s="191"/>
      <c r="C141" s="921"/>
      <c r="D141" s="2071"/>
      <c r="E141" s="923"/>
      <c r="F141" s="933" t="s">
        <v>21</v>
      </c>
      <c r="G141" s="934"/>
      <c r="H141" s="931" t="s">
        <v>478</v>
      </c>
      <c r="I141" s="196"/>
      <c r="J141" s="229"/>
      <c r="K141" s="1389" t="str">
        <f>IF(Applies_Rpt_Type1_Feas_Concept_Only="N",CONCATENATE("&lt;----HIDE ROW Because Report Type 1 &amp; E",ROW(Applies_Rpt_Type1_Feas_Concept_Only)," is ''N''"),"&lt;----DEFINE CLIENT ITEM and APPLICABILITY.  Hide Row if not used.")</f>
        <v>&lt;----DEFINE CLIENT ITEM and APPLICABILITY.  Hide Row if not used.</v>
      </c>
      <c r="L141" s="1382"/>
      <c r="M141" s="1382"/>
      <c r="N141" s="1382"/>
      <c r="O141" s="1382"/>
      <c r="P141" s="1382"/>
      <c r="Q141" s="1382"/>
      <c r="R141" s="1382"/>
      <c r="S141" s="1382"/>
      <c r="T141" s="1382"/>
      <c r="U141" s="1382"/>
      <c r="V141" s="1382"/>
      <c r="W141" s="1382"/>
      <c r="X141" s="1382"/>
      <c r="Y141" s="1382"/>
      <c r="Z141" s="1382"/>
      <c r="AA141" s="1382"/>
      <c r="AB141" s="1382"/>
      <c r="AC141" s="1382"/>
      <c r="AD141" s="1382"/>
      <c r="AE141" s="1382"/>
      <c r="AF141" s="1382"/>
      <c r="AG141" s="1382"/>
      <c r="AH141" s="1382"/>
      <c r="AI141" s="1382"/>
      <c r="AJ141" s="1382"/>
      <c r="AK141" s="181"/>
      <c r="AL141" s="181"/>
      <c r="AM141" s="181"/>
      <c r="AN141" s="181"/>
      <c r="AO141" s="181"/>
      <c r="AP141" s="181"/>
      <c r="AQ141" s="181"/>
      <c r="AR141" s="181"/>
      <c r="AS141" s="181"/>
      <c r="AT141" s="181"/>
      <c r="AU141" s="181"/>
      <c r="AV141" s="181"/>
    </row>
    <row r="142" spans="1:48" s="30" customFormat="1" ht="14.25" customHeight="1" x14ac:dyDescent="0.25">
      <c r="A142" s="1408"/>
      <c r="B142" s="191"/>
      <c r="C142" s="921"/>
      <c r="D142" s="2071"/>
      <c r="E142" s="923"/>
      <c r="F142" s="933" t="s">
        <v>21</v>
      </c>
      <c r="G142" s="934"/>
      <c r="H142" s="931" t="s">
        <v>478</v>
      </c>
      <c r="I142" s="196"/>
      <c r="J142" s="229"/>
      <c r="K142" s="1389" t="str">
        <f>IF(Applies_Rpt_Type1_Feas_Concept_Only="N",CONCATENATE("&lt;----HIDE ROW Because Report Type 1 &amp; E",ROW(Applies_Rpt_Type1_Feas_Concept_Only)," is ''N''"),"&lt;----DEFINE CLIENT ITEM and APPLICABILITY.  Hide Row if not used.")</f>
        <v>&lt;----DEFINE CLIENT ITEM and APPLICABILITY.  Hide Row if not used.</v>
      </c>
      <c r="L142" s="1382"/>
      <c r="M142" s="1382"/>
      <c r="N142" s="1382"/>
      <c r="O142" s="1382"/>
      <c r="P142" s="1382"/>
      <c r="Q142" s="1382"/>
      <c r="R142" s="1382"/>
      <c r="S142" s="1382"/>
      <c r="T142" s="1382"/>
      <c r="U142" s="1382"/>
      <c r="V142" s="1382"/>
      <c r="W142" s="1382"/>
      <c r="X142" s="1382"/>
      <c r="Y142" s="1382"/>
      <c r="Z142" s="1382"/>
      <c r="AA142" s="1382"/>
      <c r="AB142" s="1382"/>
      <c r="AC142" s="1382"/>
      <c r="AD142" s="1382"/>
      <c r="AE142" s="1382"/>
      <c r="AF142" s="1382"/>
      <c r="AG142" s="1382"/>
      <c r="AH142" s="1382"/>
      <c r="AI142" s="1382"/>
      <c r="AJ142" s="1382"/>
      <c r="AK142" s="181"/>
      <c r="AL142" s="181"/>
      <c r="AM142" s="181"/>
      <c r="AN142" s="181"/>
      <c r="AO142" s="181"/>
      <c r="AP142" s="181"/>
      <c r="AQ142" s="181"/>
      <c r="AR142" s="181"/>
      <c r="AS142" s="181"/>
      <c r="AT142" s="181"/>
      <c r="AU142" s="181"/>
      <c r="AV142" s="181"/>
    </row>
    <row r="143" spans="1:48" s="30" customFormat="1" ht="14.25" customHeight="1" x14ac:dyDescent="0.25">
      <c r="A143" s="1408"/>
      <c r="B143" s="191"/>
      <c r="C143" s="921"/>
      <c r="D143" s="2071"/>
      <c r="E143" s="923"/>
      <c r="F143" s="933" t="s">
        <v>21</v>
      </c>
      <c r="G143" s="934"/>
      <c r="H143" s="988" t="s">
        <v>478</v>
      </c>
      <c r="I143" s="196"/>
      <c r="J143" s="229"/>
      <c r="K143" s="1390" t="str">
        <f>IF(Applies_Rpt_Type1_Feas_Concept_Only="N",CONCATENATE("&lt;----HIDE ROW Because Report Type 1 &amp; E",ROW(Applies_Rpt_Type1_Feas_Concept_Only)," is ''N''"),"&lt;----DEFINE CLIENT ITEM and APPLICABILITY.  Hide Row if not used.")</f>
        <v>&lt;----DEFINE CLIENT ITEM and APPLICABILITY.  Hide Row if not used.</v>
      </c>
      <c r="L143" s="1382"/>
      <c r="M143" s="1382"/>
      <c r="N143" s="1382"/>
      <c r="O143" s="1382"/>
      <c r="P143" s="1382"/>
      <c r="Q143" s="1382"/>
      <c r="R143" s="1382"/>
      <c r="S143" s="1382"/>
      <c r="T143" s="1382"/>
      <c r="U143" s="1382"/>
      <c r="V143" s="1382"/>
      <c r="W143" s="1382"/>
      <c r="X143" s="1382"/>
      <c r="Y143" s="1382"/>
      <c r="Z143" s="1382"/>
      <c r="AA143" s="1382"/>
      <c r="AB143" s="1382"/>
      <c r="AC143" s="1382"/>
      <c r="AD143" s="1382"/>
      <c r="AE143" s="1382"/>
      <c r="AF143" s="1382"/>
      <c r="AG143" s="1382"/>
      <c r="AH143" s="1382"/>
      <c r="AI143" s="1382"/>
      <c r="AJ143" s="1382"/>
      <c r="AK143" s="181"/>
      <c r="AL143" s="181"/>
      <c r="AM143" s="181"/>
      <c r="AN143" s="181"/>
      <c r="AO143" s="181"/>
      <c r="AP143" s="181"/>
      <c r="AQ143" s="181"/>
      <c r="AR143" s="181"/>
      <c r="AS143" s="181"/>
      <c r="AT143" s="181"/>
      <c r="AU143" s="181"/>
      <c r="AV143" s="181"/>
    </row>
    <row r="144" spans="1:48" s="30" customFormat="1" x14ac:dyDescent="0.25">
      <c r="A144" s="1402"/>
      <c r="B144" s="191"/>
      <c r="C144" s="921"/>
      <c r="D144" s="2071"/>
      <c r="E144" s="923"/>
      <c r="F144" s="923"/>
      <c r="G144" s="933" t="s">
        <v>21</v>
      </c>
      <c r="H144" s="989" t="s">
        <v>784</v>
      </c>
      <c r="I144" s="197"/>
      <c r="J144" s="229"/>
      <c r="K144" s="1388" t="str">
        <f>IF(Applies_Rpt_Type1_Feas_Concept_Only="N",CONCATENATE("&lt;----HIDE ROW Because Report Type 1 &amp; E",ROW(Applies_Rpt_Type1_Feas_Concept_Only)," is ''N''"),"&lt;----DEFINE CLIENT SubITEM and APPLICABILITY.  Hide Row if not used.")</f>
        <v>&lt;----DEFINE CLIENT SubITEM and APPLICABILITY.  Hide Row if not used.</v>
      </c>
      <c r="L144" s="1382"/>
      <c r="M144" s="1382"/>
      <c r="N144" s="1382"/>
      <c r="O144" s="1382"/>
      <c r="P144" s="1382"/>
      <c r="Q144" s="1382"/>
      <c r="R144" s="1382"/>
      <c r="S144" s="1382"/>
      <c r="T144" s="1382"/>
      <c r="U144" s="1382"/>
      <c r="V144" s="1382"/>
      <c r="W144" s="1382"/>
      <c r="X144" s="1382"/>
      <c r="Y144" s="1382"/>
      <c r="Z144" s="1382"/>
      <c r="AA144" s="1382"/>
      <c r="AB144" s="1382"/>
      <c r="AC144" s="1382"/>
      <c r="AD144" s="1382"/>
      <c r="AE144" s="1382"/>
      <c r="AF144" s="1382"/>
      <c r="AG144" s="1382"/>
      <c r="AH144" s="1382"/>
      <c r="AI144" s="1382"/>
      <c r="AJ144" s="1382"/>
      <c r="AK144" s="181"/>
      <c r="AL144" s="181"/>
      <c r="AM144" s="181"/>
      <c r="AN144" s="181"/>
      <c r="AO144" s="181"/>
      <c r="AP144" s="181"/>
      <c r="AQ144" s="181"/>
      <c r="AR144" s="181"/>
      <c r="AS144" s="181"/>
      <c r="AT144" s="181"/>
      <c r="AU144" s="181"/>
      <c r="AV144" s="181"/>
    </row>
    <row r="145" spans="1:48" s="30" customFormat="1" x14ac:dyDescent="0.25">
      <c r="A145" s="1402"/>
      <c r="B145" s="191"/>
      <c r="C145" s="921"/>
      <c r="D145" s="2071"/>
      <c r="E145" s="923"/>
      <c r="F145" s="923"/>
      <c r="G145" s="933" t="s">
        <v>21</v>
      </c>
      <c r="H145" s="989" t="s">
        <v>784</v>
      </c>
      <c r="I145" s="197"/>
      <c r="J145" s="229"/>
      <c r="K145" s="1388" t="str">
        <f>IF(Applies_Rpt_Type1_Feas_Concept_Only="N",CONCATENATE("&lt;----HIDE ROW Because Report Type 1 &amp; E",ROW(Applies_Rpt_Type1_Feas_Concept_Only)," is ''N''"),"&lt;----DEFINE CLIENT SubITEM and APPLICABILITY.  Hide Row if not used.")</f>
        <v>&lt;----DEFINE CLIENT SubITEM and APPLICABILITY.  Hide Row if not used.</v>
      </c>
      <c r="L145" s="1382"/>
      <c r="M145" s="1382"/>
      <c r="N145" s="1382"/>
      <c r="O145" s="1382"/>
      <c r="P145" s="1382"/>
      <c r="Q145" s="1382"/>
      <c r="R145" s="1382"/>
      <c r="S145" s="1382"/>
      <c r="T145" s="1382"/>
      <c r="U145" s="1382"/>
      <c r="V145" s="1382"/>
      <c r="W145" s="1382"/>
      <c r="X145" s="1382"/>
      <c r="Y145" s="1382"/>
      <c r="Z145" s="1382"/>
      <c r="AA145" s="1382"/>
      <c r="AB145" s="1382"/>
      <c r="AC145" s="1382"/>
      <c r="AD145" s="1382"/>
      <c r="AE145" s="1382"/>
      <c r="AF145" s="1382"/>
      <c r="AG145" s="1382"/>
      <c r="AH145" s="1382"/>
      <c r="AI145" s="1382"/>
      <c r="AJ145" s="1382"/>
      <c r="AK145" s="181"/>
      <c r="AL145" s="181"/>
      <c r="AM145" s="181"/>
      <c r="AN145" s="181"/>
      <c r="AO145" s="181"/>
      <c r="AP145" s="181"/>
      <c r="AQ145" s="181"/>
      <c r="AR145" s="181"/>
      <c r="AS145" s="181"/>
      <c r="AT145" s="181"/>
      <c r="AU145" s="181"/>
      <c r="AV145" s="181"/>
    </row>
    <row r="146" spans="1:48" s="30" customFormat="1" x14ac:dyDescent="0.25">
      <c r="A146" s="1402"/>
      <c r="B146" s="191"/>
      <c r="C146" s="921"/>
      <c r="D146" s="2071"/>
      <c r="E146" s="923"/>
      <c r="F146" s="923"/>
      <c r="G146" s="933" t="s">
        <v>21</v>
      </c>
      <c r="H146" s="989" t="s">
        <v>784</v>
      </c>
      <c r="I146" s="197"/>
      <c r="J146" s="229"/>
      <c r="K146" s="1388" t="str">
        <f>IF(Applies_Rpt_Type1_Feas_Concept_Only="N",CONCATENATE("&lt;----HIDE ROW Because Report Type 1 &amp; E",ROW(Applies_Rpt_Type1_Feas_Concept_Only)," is ''N''"),"&lt;----DEFINE CLIENT SubITEM and APPLICABILITY.  Hide Row if not used.")</f>
        <v>&lt;----DEFINE CLIENT SubITEM and APPLICABILITY.  Hide Row if not used.</v>
      </c>
      <c r="L146" s="1382"/>
      <c r="M146" s="1382"/>
      <c r="N146" s="1382"/>
      <c r="O146" s="1382"/>
      <c r="P146" s="1382"/>
      <c r="Q146" s="1382"/>
      <c r="R146" s="1382"/>
      <c r="S146" s="1382"/>
      <c r="T146" s="1382"/>
      <c r="U146" s="1382"/>
      <c r="V146" s="1382"/>
      <c r="W146" s="1382"/>
      <c r="X146" s="1382"/>
      <c r="Y146" s="1382"/>
      <c r="Z146" s="1382"/>
      <c r="AA146" s="1382"/>
      <c r="AB146" s="1382"/>
      <c r="AC146" s="1382"/>
      <c r="AD146" s="1382"/>
      <c r="AE146" s="1382"/>
      <c r="AF146" s="1382"/>
      <c r="AG146" s="1382"/>
      <c r="AH146" s="1382"/>
      <c r="AI146" s="1382"/>
      <c r="AJ146" s="1382"/>
      <c r="AK146" s="181"/>
      <c r="AL146" s="181"/>
      <c r="AM146" s="181"/>
      <c r="AN146" s="181"/>
      <c r="AO146" s="181"/>
      <c r="AP146" s="181"/>
      <c r="AQ146" s="181"/>
      <c r="AR146" s="181"/>
      <c r="AS146" s="181"/>
      <c r="AT146" s="181"/>
      <c r="AU146" s="181"/>
      <c r="AV146" s="181"/>
    </row>
    <row r="147" spans="1:48" s="30" customFormat="1" x14ac:dyDescent="0.25">
      <c r="A147" s="1402"/>
      <c r="B147" s="191"/>
      <c r="C147" s="921"/>
      <c r="D147" s="2071"/>
      <c r="E147" s="923"/>
      <c r="F147" s="923"/>
      <c r="G147" s="933" t="s">
        <v>21</v>
      </c>
      <c r="H147" s="989" t="s">
        <v>784</v>
      </c>
      <c r="I147" s="197"/>
      <c r="J147" s="229"/>
      <c r="K147" s="1388" t="str">
        <f>IF(Applies_Rpt_Type1_Feas_Concept_Only="N",CONCATENATE("&lt;----HIDE ROW Because Report Type 1 &amp; E",ROW(Applies_Rpt_Type1_Feas_Concept_Only)," is ''N''"),"&lt;----DEFINE CLIENT SubITEM and APPLICABILITY.  Hide Row if not used.")</f>
        <v>&lt;----DEFINE CLIENT SubITEM and APPLICABILITY.  Hide Row if not used.</v>
      </c>
      <c r="L147" s="1382"/>
      <c r="M147" s="1382"/>
      <c r="N147" s="1382"/>
      <c r="O147" s="1382"/>
      <c r="P147" s="1382"/>
      <c r="Q147" s="1382"/>
      <c r="R147" s="1382"/>
      <c r="S147" s="1382"/>
      <c r="T147" s="1382"/>
      <c r="U147" s="1382"/>
      <c r="V147" s="1382"/>
      <c r="W147" s="1382"/>
      <c r="X147" s="1382"/>
      <c r="Y147" s="1382"/>
      <c r="Z147" s="1382"/>
      <c r="AA147" s="1382"/>
      <c r="AB147" s="1382"/>
      <c r="AC147" s="1382"/>
      <c r="AD147" s="1382"/>
      <c r="AE147" s="1382"/>
      <c r="AF147" s="1382"/>
      <c r="AG147" s="1382"/>
      <c r="AH147" s="1382"/>
      <c r="AI147" s="1382"/>
      <c r="AJ147" s="1382"/>
      <c r="AK147" s="181"/>
      <c r="AL147" s="181"/>
      <c r="AM147" s="181"/>
      <c r="AN147" s="181"/>
      <c r="AO147" s="181"/>
      <c r="AP147" s="181"/>
      <c r="AQ147" s="181"/>
      <c r="AR147" s="181"/>
      <c r="AS147" s="181"/>
      <c r="AT147" s="181"/>
      <c r="AU147" s="181"/>
      <c r="AV147" s="181"/>
    </row>
    <row r="148" spans="1:48" s="30" customFormat="1" ht="14.25" customHeight="1" x14ac:dyDescent="0.25">
      <c r="A148" s="1408"/>
      <c r="B148" s="191"/>
      <c r="C148" s="921"/>
      <c r="D148" s="2071"/>
      <c r="E148" s="923"/>
      <c r="F148" s="933" t="s">
        <v>21</v>
      </c>
      <c r="G148" s="934"/>
      <c r="H148" s="988" t="s">
        <v>478</v>
      </c>
      <c r="I148" s="196"/>
      <c r="J148" s="229"/>
      <c r="K148" s="1390" t="str">
        <f>IF(Applies_Rpt_Type1_Feas_Concept_Only="N",CONCATENATE("&lt;----HIDE ROW Because Report Type 1 &amp; E",ROW(Applies_Rpt_Type1_Feas_Concept_Only)," is ''N''"),"&lt;----DEFINE CLIENT ITEM and APPLICABILITY.  Hide Row if not used.")</f>
        <v>&lt;----DEFINE CLIENT ITEM and APPLICABILITY.  Hide Row if not used.</v>
      </c>
      <c r="L148" s="1382"/>
      <c r="M148" s="1382"/>
      <c r="N148" s="1382"/>
      <c r="O148" s="1382"/>
      <c r="P148" s="1382"/>
      <c r="Q148" s="1382"/>
      <c r="R148" s="1382"/>
      <c r="S148" s="1382"/>
      <c r="T148" s="1382"/>
      <c r="U148" s="1382"/>
      <c r="V148" s="1382"/>
      <c r="W148" s="1382"/>
      <c r="X148" s="1382"/>
      <c r="Y148" s="1382"/>
      <c r="Z148" s="1382"/>
      <c r="AA148" s="1382"/>
      <c r="AB148" s="1382"/>
      <c r="AC148" s="1382"/>
      <c r="AD148" s="1382"/>
      <c r="AE148" s="1382"/>
      <c r="AF148" s="1382"/>
      <c r="AG148" s="1382"/>
      <c r="AH148" s="1382"/>
      <c r="AI148" s="1382"/>
      <c r="AJ148" s="1382"/>
      <c r="AK148" s="181"/>
      <c r="AL148" s="181"/>
      <c r="AM148" s="181"/>
      <c r="AN148" s="181"/>
      <c r="AO148" s="181"/>
      <c r="AP148" s="181"/>
      <c r="AQ148" s="181"/>
      <c r="AR148" s="181"/>
      <c r="AS148" s="181"/>
      <c r="AT148" s="181"/>
      <c r="AU148" s="181"/>
      <c r="AV148" s="181"/>
    </row>
    <row r="149" spans="1:48" s="30" customFormat="1" x14ac:dyDescent="0.25">
      <c r="A149" s="1402"/>
      <c r="B149" s="191"/>
      <c r="C149" s="921"/>
      <c r="D149" s="2071"/>
      <c r="E149" s="923"/>
      <c r="F149" s="923"/>
      <c r="G149" s="933" t="s">
        <v>21</v>
      </c>
      <c r="H149" s="989" t="s">
        <v>784</v>
      </c>
      <c r="I149" s="197"/>
      <c r="J149" s="229"/>
      <c r="K149" s="1388" t="str">
        <f>IF(Applies_Rpt_Type1_Feas_Concept_Only="N",CONCATENATE("&lt;----HIDE ROW Because Report Type 1 &amp; E",ROW(Applies_Rpt_Type1_Feas_Concept_Only)," is ''N''"),"&lt;----DEFINE CLIENT SubITEM and APPLICABILITY.  Hide Row if not used.")</f>
        <v>&lt;----DEFINE CLIENT SubITEM and APPLICABILITY.  Hide Row if not used.</v>
      </c>
      <c r="L149" s="1382"/>
      <c r="M149" s="1382"/>
      <c r="N149" s="1382"/>
      <c r="O149" s="1382"/>
      <c r="P149" s="1382"/>
      <c r="Q149" s="1382"/>
      <c r="R149" s="1382"/>
      <c r="S149" s="1382"/>
      <c r="T149" s="1382"/>
      <c r="U149" s="1382"/>
      <c r="V149" s="1382"/>
      <c r="W149" s="1382"/>
      <c r="X149" s="1382"/>
      <c r="Y149" s="1382"/>
      <c r="Z149" s="1382"/>
      <c r="AA149" s="1382"/>
      <c r="AB149" s="1382"/>
      <c r="AC149" s="1382"/>
      <c r="AD149" s="1382"/>
      <c r="AE149" s="1382"/>
      <c r="AF149" s="1382"/>
      <c r="AG149" s="1382"/>
      <c r="AH149" s="1382"/>
      <c r="AI149" s="1382"/>
      <c r="AJ149" s="1382"/>
      <c r="AK149" s="181"/>
      <c r="AL149" s="181"/>
      <c r="AM149" s="181"/>
      <c r="AN149" s="181"/>
      <c r="AO149" s="181"/>
      <c r="AP149" s="181"/>
      <c r="AQ149" s="181"/>
      <c r="AR149" s="181"/>
      <c r="AS149" s="181"/>
      <c r="AT149" s="181"/>
      <c r="AU149" s="181"/>
      <c r="AV149" s="181"/>
    </row>
    <row r="150" spans="1:48" s="30" customFormat="1" x14ac:dyDescent="0.25">
      <c r="A150" s="1402"/>
      <c r="B150" s="191"/>
      <c r="C150" s="921"/>
      <c r="D150" s="2071"/>
      <c r="E150" s="923"/>
      <c r="F150" s="923"/>
      <c r="G150" s="933" t="s">
        <v>21</v>
      </c>
      <c r="H150" s="989" t="s">
        <v>784</v>
      </c>
      <c r="I150" s="197"/>
      <c r="J150" s="229"/>
      <c r="K150" s="1388" t="str">
        <f>IF(Applies_Rpt_Type1_Feas_Concept_Only="N",CONCATENATE("&lt;----HIDE ROW Because Report Type 1 &amp; E",ROW(Applies_Rpt_Type1_Feas_Concept_Only)," is ''N''"),"&lt;----DEFINE CLIENT SubITEM and APPLICABILITY.  Hide Row if not used.")</f>
        <v>&lt;----DEFINE CLIENT SubITEM and APPLICABILITY.  Hide Row if not used.</v>
      </c>
      <c r="L150" s="1382"/>
      <c r="M150" s="1382"/>
      <c r="N150" s="1382"/>
      <c r="O150" s="1382"/>
      <c r="P150" s="1382"/>
      <c r="Q150" s="1382"/>
      <c r="R150" s="1382"/>
      <c r="S150" s="1382"/>
      <c r="T150" s="1382"/>
      <c r="U150" s="1382"/>
      <c r="V150" s="1382"/>
      <c r="W150" s="1382"/>
      <c r="X150" s="1382"/>
      <c r="Y150" s="1382"/>
      <c r="Z150" s="1382"/>
      <c r="AA150" s="1382"/>
      <c r="AB150" s="1382"/>
      <c r="AC150" s="1382"/>
      <c r="AD150" s="1382"/>
      <c r="AE150" s="1382"/>
      <c r="AF150" s="1382"/>
      <c r="AG150" s="1382"/>
      <c r="AH150" s="1382"/>
      <c r="AI150" s="1382"/>
      <c r="AJ150" s="1382"/>
      <c r="AK150" s="181"/>
      <c r="AL150" s="181"/>
      <c r="AM150" s="181"/>
      <c r="AN150" s="181"/>
      <c r="AO150" s="181"/>
      <c r="AP150" s="181"/>
      <c r="AQ150" s="181"/>
      <c r="AR150" s="181"/>
      <c r="AS150" s="181"/>
      <c r="AT150" s="181"/>
      <c r="AU150" s="181"/>
      <c r="AV150" s="181"/>
    </row>
    <row r="151" spans="1:48" s="30" customFormat="1" x14ac:dyDescent="0.25">
      <c r="A151" s="1402"/>
      <c r="B151" s="191"/>
      <c r="C151" s="921"/>
      <c r="D151" s="2071"/>
      <c r="E151" s="923"/>
      <c r="F151" s="923"/>
      <c r="G151" s="933" t="s">
        <v>21</v>
      </c>
      <c r="H151" s="989" t="s">
        <v>784</v>
      </c>
      <c r="I151" s="197"/>
      <c r="J151" s="229"/>
      <c r="K151" s="1388" t="str">
        <f>IF(Applies_Rpt_Type1_Feas_Concept_Only="N",CONCATENATE("&lt;----HIDE ROW Because Report Type 1 &amp; E",ROW(Applies_Rpt_Type1_Feas_Concept_Only)," is ''N''"),"&lt;----DEFINE CLIENT SubITEM and APPLICABILITY.  Hide Row if not used.")</f>
        <v>&lt;----DEFINE CLIENT SubITEM and APPLICABILITY.  Hide Row if not used.</v>
      </c>
      <c r="L151" s="1382"/>
      <c r="M151" s="1382"/>
      <c r="N151" s="1382"/>
      <c r="O151" s="1382"/>
      <c r="P151" s="1382"/>
      <c r="Q151" s="1382"/>
      <c r="R151" s="1382"/>
      <c r="S151" s="1382"/>
      <c r="T151" s="1382"/>
      <c r="U151" s="1382"/>
      <c r="V151" s="1382"/>
      <c r="W151" s="1382"/>
      <c r="X151" s="1382"/>
      <c r="Y151" s="1382"/>
      <c r="Z151" s="1382"/>
      <c r="AA151" s="1382"/>
      <c r="AB151" s="1382"/>
      <c r="AC151" s="1382"/>
      <c r="AD151" s="1382"/>
      <c r="AE151" s="1382"/>
      <c r="AF151" s="1382"/>
      <c r="AG151" s="1382"/>
      <c r="AH151" s="1382"/>
      <c r="AI151" s="1382"/>
      <c r="AJ151" s="1382"/>
      <c r="AK151" s="181"/>
      <c r="AL151" s="181"/>
      <c r="AM151" s="181"/>
      <c r="AN151" s="181"/>
      <c r="AO151" s="181"/>
      <c r="AP151" s="181"/>
      <c r="AQ151" s="181"/>
      <c r="AR151" s="181"/>
      <c r="AS151" s="181"/>
      <c r="AT151" s="181"/>
      <c r="AU151" s="181"/>
      <c r="AV151" s="181"/>
    </row>
    <row r="152" spans="1:48" s="30" customFormat="1" x14ac:dyDescent="0.25">
      <c r="A152" s="1402"/>
      <c r="B152" s="191"/>
      <c r="C152" s="921"/>
      <c r="D152" s="2071"/>
      <c r="E152" s="923"/>
      <c r="F152" s="923"/>
      <c r="G152" s="991" t="s">
        <v>21</v>
      </c>
      <c r="H152" s="990" t="s">
        <v>784</v>
      </c>
      <c r="I152" s="197"/>
      <c r="J152" s="229"/>
      <c r="K152" s="1388" t="str">
        <f>IF(Applies_Rpt_Type1_Feas_Concept_Only="N",CONCATENATE("&lt;----HIDE ROW Because Report Type 1 &amp; E",ROW(Applies_Rpt_Type1_Feas_Concept_Only)," is ''N''"),"&lt;----DEFINE CLIENT SubITEM and APPLICABILITY.  Hide Row if not used.")</f>
        <v>&lt;----DEFINE CLIENT SubITEM and APPLICABILITY.  Hide Row if not used.</v>
      </c>
      <c r="L152" s="1382"/>
      <c r="M152" s="1382"/>
      <c r="N152" s="1382"/>
      <c r="O152" s="1382"/>
      <c r="P152" s="1382"/>
      <c r="Q152" s="1382"/>
      <c r="R152" s="1382"/>
      <c r="S152" s="1382"/>
      <c r="T152" s="1382"/>
      <c r="U152" s="1382"/>
      <c r="V152" s="1382"/>
      <c r="W152" s="1382"/>
      <c r="X152" s="1382"/>
      <c r="Y152" s="1382"/>
      <c r="Z152" s="1382"/>
      <c r="AA152" s="1382"/>
      <c r="AB152" s="1382"/>
      <c r="AC152" s="1382"/>
      <c r="AD152" s="1382"/>
      <c r="AE152" s="1382"/>
      <c r="AF152" s="1382"/>
      <c r="AG152" s="1382"/>
      <c r="AH152" s="1382"/>
      <c r="AI152" s="1382"/>
      <c r="AJ152" s="1382"/>
      <c r="AK152" s="181"/>
      <c r="AL152" s="181"/>
      <c r="AM152" s="181"/>
      <c r="AN152" s="181"/>
      <c r="AO152" s="181"/>
      <c r="AP152" s="181"/>
      <c r="AQ152" s="181"/>
      <c r="AR152" s="181"/>
      <c r="AS152" s="181"/>
      <c r="AT152" s="181"/>
      <c r="AU152" s="181"/>
      <c r="AV152" s="181"/>
    </row>
    <row r="153" spans="1:48" s="545" customFormat="1" ht="14.25" customHeight="1" x14ac:dyDescent="0.25">
      <c r="A153" s="1408"/>
      <c r="B153" s="554"/>
      <c r="C153" s="921"/>
      <c r="D153" s="2071"/>
      <c r="E153" s="994"/>
      <c r="F153" s="933" t="s">
        <v>37</v>
      </c>
      <c r="G153" s="996"/>
      <c r="H153" s="997" t="s">
        <v>796</v>
      </c>
      <c r="I153" s="196"/>
      <c r="J153" s="229"/>
      <c r="K153" s="1386" t="str">
        <f>IF(Applies_Rpt_Type1_Feas_Concept_Only="N",CONCATENATE("&lt;----HIDE ROW Because Report Type 1 &amp; E",ROW(Applies_Rpt_Type1_Feas_Concept_Only)," is ''N''"),"&lt;----Use DROP DOWN to chose if Component Item Applies")</f>
        <v>&lt;----Use DROP DOWN to chose if Component Item Applies</v>
      </c>
      <c r="L153" s="1382"/>
      <c r="M153" s="1382"/>
      <c r="N153" s="1382"/>
      <c r="O153" s="1382"/>
      <c r="P153" s="1382"/>
      <c r="Q153" s="1382"/>
      <c r="R153" s="1382"/>
      <c r="S153" s="1382"/>
      <c r="T153" s="1382"/>
      <c r="U153" s="1382"/>
      <c r="V153" s="1382"/>
      <c r="W153" s="1382"/>
      <c r="X153" s="1382"/>
      <c r="Y153" s="1382"/>
      <c r="Z153" s="1382"/>
      <c r="AA153" s="1382"/>
      <c r="AB153" s="1382"/>
      <c r="AC153" s="1382"/>
      <c r="AD153" s="1382"/>
      <c r="AE153" s="1382"/>
      <c r="AF153" s="1382"/>
      <c r="AG153" s="1382"/>
      <c r="AH153" s="1382"/>
      <c r="AI153" s="1382"/>
      <c r="AJ153" s="1382"/>
      <c r="AK153" s="551"/>
      <c r="AL153" s="551"/>
      <c r="AM153" s="551"/>
      <c r="AN153" s="551"/>
      <c r="AO153" s="551"/>
      <c r="AP153" s="551"/>
      <c r="AQ153" s="551"/>
      <c r="AR153" s="551"/>
      <c r="AS153" s="551"/>
      <c r="AT153" s="551"/>
      <c r="AU153" s="551"/>
      <c r="AV153" s="551"/>
    </row>
    <row r="154" spans="1:48" s="545" customFormat="1" ht="14.25" customHeight="1" x14ac:dyDescent="0.25">
      <c r="A154" s="1408"/>
      <c r="B154" s="554"/>
      <c r="C154" s="921"/>
      <c r="D154" s="2072"/>
      <c r="E154" s="937"/>
      <c r="F154" s="992" t="s">
        <v>37</v>
      </c>
      <c r="G154" s="998"/>
      <c r="H154" s="993" t="s">
        <v>797</v>
      </c>
      <c r="I154" s="196"/>
      <c r="J154" s="229"/>
      <c r="K154" s="1386" t="str">
        <f>IF(Applies_Rpt_Type1_Feas_Concept_Only="N",CONCATENATE("&lt;----HIDE ROW Because Report Type 1 &amp; E",ROW(Applies_Rpt_Type1_Feas_Concept_Only)," is ''N''"),"&lt;----Use DROP DOWN to chose if Component Item Applies")</f>
        <v>&lt;----Use DROP DOWN to chose if Component Item Applies</v>
      </c>
      <c r="L154" s="1382"/>
      <c r="M154" s="1382"/>
      <c r="N154" s="1382"/>
      <c r="O154" s="1382"/>
      <c r="P154" s="1382"/>
      <c r="Q154" s="1382"/>
      <c r="R154" s="1382"/>
      <c r="S154" s="1382"/>
      <c r="T154" s="1382"/>
      <c r="U154" s="1382"/>
      <c r="V154" s="1382"/>
      <c r="W154" s="1382"/>
      <c r="X154" s="1382"/>
      <c r="Y154" s="1382"/>
      <c r="Z154" s="1382"/>
      <c r="AA154" s="1382"/>
      <c r="AB154" s="1382"/>
      <c r="AC154" s="1382"/>
      <c r="AD154" s="1382"/>
      <c r="AE154" s="1382"/>
      <c r="AF154" s="1382"/>
      <c r="AG154" s="1382"/>
      <c r="AH154" s="1382"/>
      <c r="AI154" s="1382"/>
      <c r="AJ154" s="1382"/>
      <c r="AK154" s="551"/>
      <c r="AL154" s="551"/>
      <c r="AM154" s="551"/>
      <c r="AN154" s="551"/>
      <c r="AO154" s="551"/>
      <c r="AP154" s="551"/>
      <c r="AQ154" s="551"/>
      <c r="AR154" s="551"/>
      <c r="AS154" s="551"/>
      <c r="AT154" s="551"/>
      <c r="AU154" s="551"/>
      <c r="AV154" s="551"/>
    </row>
    <row r="155" spans="1:48" s="30" customFormat="1" ht="30.75" customHeight="1" x14ac:dyDescent="0.25">
      <c r="A155" s="1408"/>
      <c r="B155" s="191"/>
      <c r="C155" s="921"/>
      <c r="D155" s="2079" t="s">
        <v>589</v>
      </c>
      <c r="E155" s="935" t="s">
        <v>37</v>
      </c>
      <c r="F155" s="917"/>
      <c r="G155" s="178"/>
      <c r="H155" s="452" t="s">
        <v>509</v>
      </c>
      <c r="I155" s="206"/>
      <c r="J155" s="229"/>
      <c r="K155" s="1384" t="str">
        <f>IF(Applies_Rpt_Type2_Feas_Concept_Only="N",CONCATENATE("&lt;----HIDE ROW Because Report Type 2 &amp; E",ROW(Applies_Rpt_Type2_Feas_Concept_Only)," is ''N''"),"&lt;----Use DROP DOWN to chose it Deliverable/Master Item Applies")</f>
        <v>&lt;----Use DROP DOWN to chose it Deliverable/Master Item Applies</v>
      </c>
      <c r="L155" s="1382"/>
      <c r="M155" s="1382"/>
      <c r="N155" s="1382"/>
      <c r="O155" s="1382"/>
      <c r="P155" s="1382"/>
      <c r="Q155" s="1382"/>
      <c r="R155" s="1382"/>
      <c r="S155" s="1382"/>
      <c r="T155" s="1382"/>
      <c r="U155" s="1382"/>
      <c r="V155" s="1382"/>
      <c r="W155" s="1382"/>
      <c r="X155" s="1382"/>
      <c r="Y155" s="1382"/>
      <c r="Z155" s="1382"/>
      <c r="AA155" s="1382"/>
      <c r="AB155" s="1382"/>
      <c r="AC155" s="1382"/>
      <c r="AD155" s="1382"/>
      <c r="AE155" s="1382"/>
      <c r="AF155" s="1382"/>
      <c r="AG155" s="1382"/>
      <c r="AH155" s="1382"/>
      <c r="AI155" s="1382"/>
      <c r="AJ155" s="1382"/>
      <c r="AK155" s="181"/>
      <c r="AL155" s="181"/>
      <c r="AM155" s="181"/>
      <c r="AN155" s="181"/>
      <c r="AO155" s="181"/>
      <c r="AP155" s="181"/>
      <c r="AQ155" s="181"/>
      <c r="AR155" s="181"/>
      <c r="AS155" s="181"/>
      <c r="AT155" s="181"/>
      <c r="AU155" s="181"/>
      <c r="AV155" s="181"/>
    </row>
    <row r="156" spans="1:48" s="30" customFormat="1" ht="15.75" x14ac:dyDescent="0.25">
      <c r="A156" s="1408"/>
      <c r="B156" s="191"/>
      <c r="C156" s="921"/>
      <c r="D156" s="2080"/>
      <c r="E156" s="923"/>
      <c r="F156" s="918"/>
      <c r="G156" s="178"/>
      <c r="H156" s="941" t="s">
        <v>198</v>
      </c>
      <c r="I156" s="206"/>
      <c r="J156" s="229"/>
      <c r="K156" s="1384" t="str">
        <f>IF(Applies_Rpt_Type2_Feas_Concept_Only="N",CONCATENATE("&lt;----HIDE ROW Because Report Type 2 &amp; E",ROW(Applies_Rpt_Type2_Feas_Concept_Only)," is ''N''"),IF(ISNUMBER(SEARCH("INSERT",$H156))=TRUE,"&lt;----INSERT APPLICABLE DISCIPLINE NAME(S)","&lt;----VERIFY applicable discipline name(s)"))</f>
        <v>&lt;----INSERT APPLICABLE DISCIPLINE NAME(S)</v>
      </c>
      <c r="L156" s="1382"/>
      <c r="M156" s="1382"/>
      <c r="N156" s="1382"/>
      <c r="O156" s="1382"/>
      <c r="P156" s="1382"/>
      <c r="Q156" s="1382"/>
      <c r="R156" s="1382"/>
      <c r="S156" s="1382"/>
      <c r="T156" s="1382"/>
      <c r="U156" s="1382"/>
      <c r="V156" s="1382"/>
      <c r="W156" s="1382"/>
      <c r="X156" s="1382"/>
      <c r="Y156" s="1382"/>
      <c r="Z156" s="1382"/>
      <c r="AA156" s="1382"/>
      <c r="AB156" s="1382"/>
      <c r="AC156" s="1382"/>
      <c r="AD156" s="1382"/>
      <c r="AE156" s="1382"/>
      <c r="AF156" s="1382"/>
      <c r="AG156" s="1382"/>
      <c r="AH156" s="1382"/>
      <c r="AI156" s="1382"/>
      <c r="AJ156" s="1382"/>
      <c r="AK156" s="181"/>
      <c r="AL156" s="181"/>
      <c r="AM156" s="181"/>
      <c r="AN156" s="181"/>
      <c r="AO156" s="181"/>
      <c r="AP156" s="181"/>
      <c r="AQ156" s="181"/>
      <c r="AR156" s="181"/>
      <c r="AS156" s="181"/>
      <c r="AT156" s="181"/>
      <c r="AU156" s="181"/>
      <c r="AV156" s="181"/>
    </row>
    <row r="157" spans="1:48" s="30" customFormat="1" x14ac:dyDescent="0.25">
      <c r="A157" s="1402"/>
      <c r="B157" s="191"/>
      <c r="C157" s="921"/>
      <c r="D157" s="2080"/>
      <c r="E157" s="923"/>
      <c r="F157" s="933" t="s">
        <v>37</v>
      </c>
      <c r="G157" s="194"/>
      <c r="H157" s="340" t="s">
        <v>507</v>
      </c>
      <c r="I157" s="197"/>
      <c r="J157" s="229"/>
      <c r="K157" s="1391" t="str">
        <f t="shared" ref="K157:K173" si="5">IF(Applies_Rpt_Type2_Feas_Concept_Only="N",CONCATENATE("&lt;----HIDE ROW Because Report Type 2 &amp; E",ROW(Applies_Rpt_Type2_Feas_Concept_Only)," is ''N''"),"&lt;----Use DROP DOWN to chose if Subset Item Applies")</f>
        <v>&lt;----Use DROP DOWN to chose if Subset Item Applies</v>
      </c>
      <c r="L157" s="1382"/>
      <c r="M157" s="1382"/>
      <c r="N157" s="1382"/>
      <c r="O157" s="1382"/>
      <c r="P157" s="1382"/>
      <c r="Q157" s="1382"/>
      <c r="R157" s="1382"/>
      <c r="S157" s="1382"/>
      <c r="T157" s="1382"/>
      <c r="U157" s="1382"/>
      <c r="V157" s="1382"/>
      <c r="W157" s="1382"/>
      <c r="X157" s="1382"/>
      <c r="Y157" s="1382"/>
      <c r="Z157" s="1382"/>
      <c r="AA157" s="1382"/>
      <c r="AB157" s="1382"/>
      <c r="AC157" s="1382"/>
      <c r="AD157" s="1382"/>
      <c r="AE157" s="1382"/>
      <c r="AF157" s="1382"/>
      <c r="AG157" s="1382"/>
      <c r="AH157" s="1382"/>
      <c r="AI157" s="1382"/>
      <c r="AJ157" s="1382"/>
      <c r="AK157" s="181"/>
      <c r="AL157" s="181"/>
      <c r="AM157" s="181"/>
      <c r="AN157" s="181"/>
      <c r="AO157" s="181"/>
      <c r="AP157" s="181"/>
      <c r="AQ157" s="181"/>
      <c r="AR157" s="181"/>
      <c r="AS157" s="181"/>
      <c r="AT157" s="181"/>
      <c r="AU157" s="181"/>
      <c r="AV157" s="181"/>
    </row>
    <row r="158" spans="1:48" s="30" customFormat="1" x14ac:dyDescent="0.25">
      <c r="A158" s="1402"/>
      <c r="B158" s="191"/>
      <c r="C158" s="921"/>
      <c r="D158" s="2080"/>
      <c r="E158" s="923"/>
      <c r="F158" s="933" t="s">
        <v>37</v>
      </c>
      <c r="G158" s="194"/>
      <c r="H158" s="340" t="s">
        <v>183</v>
      </c>
      <c r="I158" s="197"/>
      <c r="J158" s="229"/>
      <c r="K158" s="1391" t="str">
        <f t="shared" si="5"/>
        <v>&lt;----Use DROP DOWN to chose if Subset Item Applies</v>
      </c>
      <c r="L158" s="1382"/>
      <c r="M158" s="1382"/>
      <c r="N158" s="1382"/>
      <c r="O158" s="1382"/>
      <c r="P158" s="1382"/>
      <c r="Q158" s="1382"/>
      <c r="R158" s="1382"/>
      <c r="S158" s="1382"/>
      <c r="T158" s="1382"/>
      <c r="U158" s="1382"/>
      <c r="V158" s="1382"/>
      <c r="W158" s="1382"/>
      <c r="X158" s="1382"/>
      <c r="Y158" s="1382"/>
      <c r="Z158" s="1382"/>
      <c r="AA158" s="1382"/>
      <c r="AB158" s="1382"/>
      <c r="AC158" s="1382"/>
      <c r="AD158" s="1382"/>
      <c r="AE158" s="1382"/>
      <c r="AF158" s="1382"/>
      <c r="AG158" s="1382"/>
      <c r="AH158" s="1382"/>
      <c r="AI158" s="1382"/>
      <c r="AJ158" s="1382"/>
      <c r="AK158" s="181"/>
      <c r="AL158" s="181"/>
      <c r="AM158" s="181"/>
      <c r="AN158" s="181"/>
      <c r="AO158" s="181"/>
      <c r="AP158" s="181"/>
      <c r="AQ158" s="181"/>
      <c r="AR158" s="181"/>
      <c r="AS158" s="181"/>
      <c r="AT158" s="181"/>
      <c r="AU158" s="181"/>
      <c r="AV158" s="181"/>
    </row>
    <row r="159" spans="1:48" s="30" customFormat="1" x14ac:dyDescent="0.25">
      <c r="A159" s="1402"/>
      <c r="B159" s="191"/>
      <c r="C159" s="921"/>
      <c r="D159" s="2080"/>
      <c r="E159" s="923"/>
      <c r="F159" s="933" t="s">
        <v>37</v>
      </c>
      <c r="G159" s="194"/>
      <c r="H159" s="340" t="s">
        <v>184</v>
      </c>
      <c r="I159" s="197"/>
      <c r="J159" s="229"/>
      <c r="K159" s="1391" t="str">
        <f t="shared" si="5"/>
        <v>&lt;----Use DROP DOWN to chose if Subset Item Applies</v>
      </c>
      <c r="L159" s="1382"/>
      <c r="M159" s="1382"/>
      <c r="N159" s="1382"/>
      <c r="O159" s="1382"/>
      <c r="P159" s="1382"/>
      <c r="Q159" s="1382"/>
      <c r="R159" s="1382"/>
      <c r="S159" s="1382"/>
      <c r="T159" s="1382"/>
      <c r="U159" s="1382"/>
      <c r="V159" s="1382"/>
      <c r="W159" s="1382"/>
      <c r="X159" s="1382"/>
      <c r="Y159" s="1382"/>
      <c r="Z159" s="1382"/>
      <c r="AA159" s="1382"/>
      <c r="AB159" s="1382"/>
      <c r="AC159" s="1382"/>
      <c r="AD159" s="1382"/>
      <c r="AE159" s="1382"/>
      <c r="AF159" s="1382"/>
      <c r="AG159" s="1382"/>
      <c r="AH159" s="1382"/>
      <c r="AI159" s="1382"/>
      <c r="AJ159" s="1382"/>
      <c r="AK159" s="181"/>
      <c r="AL159" s="181"/>
      <c r="AM159" s="181"/>
      <c r="AN159" s="181"/>
      <c r="AO159" s="181"/>
      <c r="AP159" s="181"/>
      <c r="AQ159" s="181"/>
      <c r="AR159" s="181"/>
      <c r="AS159" s="181"/>
      <c r="AT159" s="181"/>
      <c r="AU159" s="181"/>
      <c r="AV159" s="181"/>
    </row>
    <row r="160" spans="1:48" s="30" customFormat="1" x14ac:dyDescent="0.25">
      <c r="A160" s="1402"/>
      <c r="B160" s="191"/>
      <c r="C160" s="921"/>
      <c r="D160" s="2080"/>
      <c r="E160" s="923"/>
      <c r="F160" s="933" t="s">
        <v>37</v>
      </c>
      <c r="G160" s="194"/>
      <c r="H160" s="340" t="s">
        <v>182</v>
      </c>
      <c r="I160" s="197"/>
      <c r="J160" s="229"/>
      <c r="K160" s="1391" t="str">
        <f t="shared" si="5"/>
        <v>&lt;----Use DROP DOWN to chose if Subset Item Applies</v>
      </c>
      <c r="L160" s="1382"/>
      <c r="M160" s="1382"/>
      <c r="N160" s="1382"/>
      <c r="O160" s="1382"/>
      <c r="P160" s="1382"/>
      <c r="Q160" s="1382"/>
      <c r="R160" s="1382"/>
      <c r="S160" s="1382"/>
      <c r="T160" s="1382"/>
      <c r="U160" s="1382"/>
      <c r="V160" s="1382"/>
      <c r="W160" s="1382"/>
      <c r="X160" s="1382"/>
      <c r="Y160" s="1382"/>
      <c r="Z160" s="1382"/>
      <c r="AA160" s="1382"/>
      <c r="AB160" s="1382"/>
      <c r="AC160" s="1382"/>
      <c r="AD160" s="1382"/>
      <c r="AE160" s="1382"/>
      <c r="AF160" s="1382"/>
      <c r="AG160" s="1382"/>
      <c r="AH160" s="1382"/>
      <c r="AI160" s="1382"/>
      <c r="AJ160" s="1382"/>
      <c r="AK160" s="181"/>
      <c r="AL160" s="181"/>
      <c r="AM160" s="181"/>
      <c r="AN160" s="181"/>
      <c r="AO160" s="181"/>
      <c r="AP160" s="181"/>
      <c r="AQ160" s="181"/>
      <c r="AR160" s="181"/>
      <c r="AS160" s="181"/>
      <c r="AT160" s="181"/>
      <c r="AU160" s="181"/>
      <c r="AV160" s="181"/>
    </row>
    <row r="161" spans="1:48" s="30" customFormat="1" x14ac:dyDescent="0.25">
      <c r="A161" s="1402"/>
      <c r="B161" s="191"/>
      <c r="C161" s="921"/>
      <c r="D161" s="2080"/>
      <c r="E161" s="923"/>
      <c r="F161" s="933" t="s">
        <v>37</v>
      </c>
      <c r="G161" s="194"/>
      <c r="H161" s="340" t="s">
        <v>188</v>
      </c>
      <c r="I161" s="197"/>
      <c r="J161" s="229"/>
      <c r="K161" s="1391" t="str">
        <f t="shared" si="5"/>
        <v>&lt;----Use DROP DOWN to chose if Subset Item Applies</v>
      </c>
      <c r="L161" s="1382"/>
      <c r="M161" s="1382"/>
      <c r="N161" s="1382"/>
      <c r="O161" s="1382"/>
      <c r="P161" s="1382"/>
      <c r="Q161" s="1382"/>
      <c r="R161" s="1382"/>
      <c r="S161" s="1382"/>
      <c r="T161" s="1382"/>
      <c r="U161" s="1382"/>
      <c r="V161" s="1382"/>
      <c r="W161" s="1382"/>
      <c r="X161" s="1382"/>
      <c r="Y161" s="1382"/>
      <c r="Z161" s="1382"/>
      <c r="AA161" s="1382"/>
      <c r="AB161" s="1382"/>
      <c r="AC161" s="1382"/>
      <c r="AD161" s="1382"/>
      <c r="AE161" s="1382"/>
      <c r="AF161" s="1382"/>
      <c r="AG161" s="1382"/>
      <c r="AH161" s="1382"/>
      <c r="AI161" s="1382"/>
      <c r="AJ161" s="1382"/>
      <c r="AK161" s="181"/>
      <c r="AL161" s="181"/>
      <c r="AM161" s="181"/>
      <c r="AN161" s="181"/>
      <c r="AO161" s="181"/>
      <c r="AP161" s="181"/>
      <c r="AQ161" s="181"/>
      <c r="AR161" s="181"/>
      <c r="AS161" s="181"/>
      <c r="AT161" s="181"/>
      <c r="AU161" s="181"/>
      <c r="AV161" s="181"/>
    </row>
    <row r="162" spans="1:48" s="30" customFormat="1" x14ac:dyDescent="0.25">
      <c r="A162" s="1402"/>
      <c r="B162" s="191"/>
      <c r="C162" s="921"/>
      <c r="D162" s="2080"/>
      <c r="E162" s="923"/>
      <c r="F162" s="933" t="s">
        <v>37</v>
      </c>
      <c r="G162" s="194"/>
      <c r="H162" s="340" t="s">
        <v>218</v>
      </c>
      <c r="I162" s="197"/>
      <c r="J162" s="229"/>
      <c r="K162" s="1391" t="str">
        <f t="shared" si="5"/>
        <v>&lt;----Use DROP DOWN to chose if Subset Item Applies</v>
      </c>
      <c r="L162" s="1382"/>
      <c r="M162" s="1382"/>
      <c r="N162" s="1382"/>
      <c r="O162" s="1382"/>
      <c r="P162" s="1382"/>
      <c r="Q162" s="1382"/>
      <c r="R162" s="1382"/>
      <c r="S162" s="1382"/>
      <c r="T162" s="1382"/>
      <c r="U162" s="1382"/>
      <c r="V162" s="1382"/>
      <c r="W162" s="1382"/>
      <c r="X162" s="1382"/>
      <c r="Y162" s="1382"/>
      <c r="Z162" s="1382"/>
      <c r="AA162" s="1382"/>
      <c r="AB162" s="1382"/>
      <c r="AC162" s="1382"/>
      <c r="AD162" s="1382"/>
      <c r="AE162" s="1382"/>
      <c r="AF162" s="1382"/>
      <c r="AG162" s="1382"/>
      <c r="AH162" s="1382"/>
      <c r="AI162" s="1382"/>
      <c r="AJ162" s="1382"/>
      <c r="AK162" s="181"/>
      <c r="AL162" s="181"/>
      <c r="AM162" s="181"/>
      <c r="AN162" s="181"/>
      <c r="AO162" s="181"/>
      <c r="AP162" s="181"/>
      <c r="AQ162" s="181"/>
      <c r="AR162" s="181"/>
      <c r="AS162" s="181"/>
      <c r="AT162" s="181"/>
      <c r="AU162" s="181"/>
      <c r="AV162" s="181"/>
    </row>
    <row r="163" spans="1:48" s="30" customFormat="1" x14ac:dyDescent="0.25">
      <c r="A163" s="1402"/>
      <c r="B163" s="191"/>
      <c r="C163" s="921"/>
      <c r="D163" s="2080"/>
      <c r="E163" s="923"/>
      <c r="F163" s="933" t="s">
        <v>37</v>
      </c>
      <c r="G163" s="194"/>
      <c r="H163" s="340" t="s">
        <v>189</v>
      </c>
      <c r="I163" s="197"/>
      <c r="J163" s="229"/>
      <c r="K163" s="1391" t="str">
        <f t="shared" si="5"/>
        <v>&lt;----Use DROP DOWN to chose if Subset Item Applies</v>
      </c>
      <c r="L163" s="1382"/>
      <c r="M163" s="1382"/>
      <c r="N163" s="1382"/>
      <c r="O163" s="1382"/>
      <c r="P163" s="1382"/>
      <c r="Q163" s="1382"/>
      <c r="R163" s="1382"/>
      <c r="S163" s="1382"/>
      <c r="T163" s="1382"/>
      <c r="U163" s="1382"/>
      <c r="V163" s="1382"/>
      <c r="W163" s="1382"/>
      <c r="X163" s="1382"/>
      <c r="Y163" s="1382"/>
      <c r="Z163" s="1382"/>
      <c r="AA163" s="1382"/>
      <c r="AB163" s="1382"/>
      <c r="AC163" s="1382"/>
      <c r="AD163" s="1382"/>
      <c r="AE163" s="1382"/>
      <c r="AF163" s="1382"/>
      <c r="AG163" s="1382"/>
      <c r="AH163" s="1382"/>
      <c r="AI163" s="1382"/>
      <c r="AJ163" s="1382"/>
      <c r="AK163" s="181"/>
      <c r="AL163" s="181"/>
      <c r="AM163" s="181"/>
      <c r="AN163" s="181"/>
      <c r="AO163" s="181"/>
      <c r="AP163" s="181"/>
      <c r="AQ163" s="181"/>
      <c r="AR163" s="181"/>
      <c r="AS163" s="181"/>
      <c r="AT163" s="181"/>
      <c r="AU163" s="181"/>
      <c r="AV163" s="181"/>
    </row>
    <row r="164" spans="1:48" s="30" customFormat="1" x14ac:dyDescent="0.25">
      <c r="A164" s="1402"/>
      <c r="B164" s="191"/>
      <c r="C164" s="921"/>
      <c r="D164" s="2080"/>
      <c r="E164" s="923"/>
      <c r="F164" s="933" t="s">
        <v>37</v>
      </c>
      <c r="G164" s="194"/>
      <c r="H164" s="340" t="s">
        <v>185</v>
      </c>
      <c r="I164" s="197"/>
      <c r="J164" s="229"/>
      <c r="K164" s="1391" t="str">
        <f t="shared" si="5"/>
        <v>&lt;----Use DROP DOWN to chose if Subset Item Applies</v>
      </c>
      <c r="L164" s="1382"/>
      <c r="M164" s="1382"/>
      <c r="N164" s="1382"/>
      <c r="O164" s="1382"/>
      <c r="P164" s="1382"/>
      <c r="Q164" s="1382"/>
      <c r="R164" s="1382"/>
      <c r="S164" s="1382"/>
      <c r="T164" s="1382"/>
      <c r="U164" s="1382"/>
      <c r="V164" s="1382"/>
      <c r="W164" s="1382"/>
      <c r="X164" s="1382"/>
      <c r="Y164" s="1382"/>
      <c r="Z164" s="1382"/>
      <c r="AA164" s="1382"/>
      <c r="AB164" s="1382"/>
      <c r="AC164" s="1382"/>
      <c r="AD164" s="1382"/>
      <c r="AE164" s="1382"/>
      <c r="AF164" s="1382"/>
      <c r="AG164" s="1382"/>
      <c r="AH164" s="1382"/>
      <c r="AI164" s="1382"/>
      <c r="AJ164" s="1382"/>
      <c r="AK164" s="181"/>
      <c r="AL164" s="181"/>
      <c r="AM164" s="181"/>
      <c r="AN164" s="181"/>
      <c r="AO164" s="181"/>
      <c r="AP164" s="181"/>
      <c r="AQ164" s="181"/>
      <c r="AR164" s="181"/>
      <c r="AS164" s="181"/>
      <c r="AT164" s="181"/>
      <c r="AU164" s="181"/>
      <c r="AV164" s="181"/>
    </row>
    <row r="165" spans="1:48" s="30" customFormat="1" x14ac:dyDescent="0.25">
      <c r="A165" s="1402"/>
      <c r="B165" s="191"/>
      <c r="C165" s="921"/>
      <c r="D165" s="2080"/>
      <c r="E165" s="923"/>
      <c r="F165" s="933" t="s">
        <v>37</v>
      </c>
      <c r="G165" s="194"/>
      <c r="H165" s="340" t="s">
        <v>259</v>
      </c>
      <c r="I165" s="197"/>
      <c r="J165" s="229"/>
      <c r="K165" s="1391" t="str">
        <f t="shared" si="5"/>
        <v>&lt;----Use DROP DOWN to chose if Subset Item Applies</v>
      </c>
      <c r="L165" s="1382"/>
      <c r="M165" s="1382"/>
      <c r="N165" s="1382"/>
      <c r="O165" s="1382"/>
      <c r="P165" s="1382"/>
      <c r="Q165" s="1382"/>
      <c r="R165" s="1382"/>
      <c r="S165" s="1382"/>
      <c r="T165" s="1382"/>
      <c r="U165" s="1382"/>
      <c r="V165" s="1382"/>
      <c r="W165" s="1382"/>
      <c r="X165" s="1382"/>
      <c r="Y165" s="1382"/>
      <c r="Z165" s="1382"/>
      <c r="AA165" s="1382"/>
      <c r="AB165" s="1382"/>
      <c r="AC165" s="1382"/>
      <c r="AD165" s="1382"/>
      <c r="AE165" s="1382"/>
      <c r="AF165" s="1382"/>
      <c r="AG165" s="1382"/>
      <c r="AH165" s="1382"/>
      <c r="AI165" s="1382"/>
      <c r="AJ165" s="1382"/>
      <c r="AK165" s="181"/>
      <c r="AL165" s="181"/>
      <c r="AM165" s="181"/>
      <c r="AN165" s="181"/>
      <c r="AO165" s="181"/>
      <c r="AP165" s="181"/>
      <c r="AQ165" s="181"/>
      <c r="AR165" s="181"/>
      <c r="AS165" s="181"/>
      <c r="AT165" s="181"/>
      <c r="AU165" s="181"/>
      <c r="AV165" s="181"/>
    </row>
    <row r="166" spans="1:48" s="30" customFormat="1" x14ac:dyDescent="0.25">
      <c r="A166" s="1402"/>
      <c r="B166" s="191"/>
      <c r="C166" s="921"/>
      <c r="D166" s="2080"/>
      <c r="E166" s="936"/>
      <c r="F166" s="933" t="s">
        <v>37</v>
      </c>
      <c r="G166" s="329"/>
      <c r="H166" s="238" t="s">
        <v>789</v>
      </c>
      <c r="I166" s="197"/>
      <c r="J166" s="229"/>
      <c r="K166" s="1391" t="str">
        <f t="shared" si="5"/>
        <v>&lt;----Use DROP DOWN to chose if Subset Item Applies</v>
      </c>
      <c r="L166" s="1382"/>
      <c r="M166" s="1382"/>
      <c r="N166" s="1382"/>
      <c r="O166" s="1382"/>
      <c r="P166" s="1382"/>
      <c r="Q166" s="1382"/>
      <c r="R166" s="1382"/>
      <c r="S166" s="1382"/>
      <c r="T166" s="1382"/>
      <c r="U166" s="1382"/>
      <c r="V166" s="1382"/>
      <c r="W166" s="1382"/>
      <c r="X166" s="1382"/>
      <c r="Y166" s="1382"/>
      <c r="Z166" s="1382"/>
      <c r="AA166" s="1382"/>
      <c r="AB166" s="1382"/>
      <c r="AC166" s="1382"/>
      <c r="AD166" s="1382"/>
      <c r="AE166" s="1382"/>
      <c r="AF166" s="1382"/>
      <c r="AG166" s="1382"/>
      <c r="AH166" s="1382"/>
      <c r="AI166" s="1382"/>
      <c r="AJ166" s="1382"/>
      <c r="AK166" s="181"/>
      <c r="AL166" s="181"/>
      <c r="AM166" s="181"/>
      <c r="AN166" s="181"/>
      <c r="AO166" s="181"/>
      <c r="AP166" s="181"/>
      <c r="AQ166" s="181"/>
      <c r="AR166" s="181"/>
      <c r="AS166" s="181"/>
      <c r="AT166" s="181"/>
      <c r="AU166" s="181"/>
      <c r="AV166" s="181"/>
    </row>
    <row r="167" spans="1:48" s="30" customFormat="1" x14ac:dyDescent="0.25">
      <c r="A167" s="1402"/>
      <c r="B167" s="191"/>
      <c r="C167" s="921"/>
      <c r="D167" s="2080"/>
      <c r="E167" s="923"/>
      <c r="F167" s="933" t="s">
        <v>37</v>
      </c>
      <c r="G167" s="194"/>
      <c r="H167" s="340" t="s">
        <v>197</v>
      </c>
      <c r="I167" s="197"/>
      <c r="J167" s="229"/>
      <c r="K167" s="1391" t="str">
        <f t="shared" si="5"/>
        <v>&lt;----Use DROP DOWN to chose if Subset Item Applies</v>
      </c>
      <c r="L167" s="1382"/>
      <c r="M167" s="1382"/>
      <c r="N167" s="1382"/>
      <c r="O167" s="1382"/>
      <c r="P167" s="1382"/>
      <c r="Q167" s="1382"/>
      <c r="R167" s="1382"/>
      <c r="S167" s="1382"/>
      <c r="T167" s="1382"/>
      <c r="U167" s="1382"/>
      <c r="V167" s="1382"/>
      <c r="W167" s="1382"/>
      <c r="X167" s="1382"/>
      <c r="Y167" s="1382"/>
      <c r="Z167" s="1382"/>
      <c r="AA167" s="1382"/>
      <c r="AB167" s="1382"/>
      <c r="AC167" s="1382"/>
      <c r="AD167" s="1382"/>
      <c r="AE167" s="1382"/>
      <c r="AF167" s="1382"/>
      <c r="AG167" s="1382"/>
      <c r="AH167" s="1382"/>
      <c r="AI167" s="1382"/>
      <c r="AJ167" s="1382"/>
      <c r="AK167" s="181"/>
      <c r="AL167" s="181"/>
      <c r="AM167" s="181"/>
      <c r="AN167" s="181"/>
      <c r="AO167" s="181"/>
      <c r="AP167" s="181"/>
      <c r="AQ167" s="181"/>
      <c r="AR167" s="181"/>
      <c r="AS167" s="181"/>
      <c r="AT167" s="181"/>
      <c r="AU167" s="181"/>
      <c r="AV167" s="181"/>
    </row>
    <row r="168" spans="1:48" s="30" customFormat="1" x14ac:dyDescent="0.25">
      <c r="A168" s="1402"/>
      <c r="B168" s="191"/>
      <c r="C168" s="921"/>
      <c r="D168" s="2080"/>
      <c r="E168" s="923"/>
      <c r="F168" s="933" t="s">
        <v>37</v>
      </c>
      <c r="G168" s="194"/>
      <c r="H168" s="340" t="s">
        <v>186</v>
      </c>
      <c r="I168" s="197"/>
      <c r="J168" s="229"/>
      <c r="K168" s="1391" t="str">
        <f t="shared" si="5"/>
        <v>&lt;----Use DROP DOWN to chose if Subset Item Applies</v>
      </c>
      <c r="L168" s="1382"/>
      <c r="M168" s="1382"/>
      <c r="N168" s="1382"/>
      <c r="O168" s="1382"/>
      <c r="P168" s="1382"/>
      <c r="Q168" s="1382"/>
      <c r="R168" s="1382"/>
      <c r="S168" s="1382"/>
      <c r="T168" s="1382"/>
      <c r="U168" s="1382"/>
      <c r="V168" s="1382"/>
      <c r="W168" s="1382"/>
      <c r="X168" s="1382"/>
      <c r="Y168" s="1382"/>
      <c r="Z168" s="1382"/>
      <c r="AA168" s="1382"/>
      <c r="AB168" s="1382"/>
      <c r="AC168" s="1382"/>
      <c r="AD168" s="1382"/>
      <c r="AE168" s="1382"/>
      <c r="AF168" s="1382"/>
      <c r="AG168" s="1382"/>
      <c r="AH168" s="1382"/>
      <c r="AI168" s="1382"/>
      <c r="AJ168" s="1382"/>
      <c r="AK168" s="181"/>
      <c r="AL168" s="181"/>
      <c r="AM168" s="181"/>
      <c r="AN168" s="181"/>
      <c r="AO168" s="181"/>
      <c r="AP168" s="181"/>
      <c r="AQ168" s="181"/>
      <c r="AR168" s="181"/>
      <c r="AS168" s="181"/>
      <c r="AT168" s="181"/>
      <c r="AU168" s="181"/>
      <c r="AV168" s="181"/>
    </row>
    <row r="169" spans="1:48" s="30" customFormat="1" x14ac:dyDescent="0.25">
      <c r="A169" s="1402"/>
      <c r="B169" s="191"/>
      <c r="C169" s="921"/>
      <c r="D169" s="2080"/>
      <c r="E169" s="936"/>
      <c r="F169" s="933" t="s">
        <v>37</v>
      </c>
      <c r="G169" s="329"/>
      <c r="H169" s="238" t="s">
        <v>256</v>
      </c>
      <c r="I169" s="197"/>
      <c r="J169" s="229"/>
      <c r="K169" s="1391" t="str">
        <f t="shared" si="5"/>
        <v>&lt;----Use DROP DOWN to chose if Subset Item Applies</v>
      </c>
      <c r="L169" s="1382"/>
      <c r="M169" s="1382"/>
      <c r="N169" s="1382"/>
      <c r="O169" s="1382"/>
      <c r="P169" s="1382"/>
      <c r="Q169" s="1382"/>
      <c r="R169" s="1382"/>
      <c r="S169" s="1382"/>
      <c r="T169" s="1382"/>
      <c r="U169" s="1382"/>
      <c r="V169" s="1382"/>
      <c r="W169" s="1382"/>
      <c r="X169" s="1382"/>
      <c r="Y169" s="1382"/>
      <c r="Z169" s="1382"/>
      <c r="AA169" s="1382"/>
      <c r="AB169" s="1382"/>
      <c r="AC169" s="1382"/>
      <c r="AD169" s="1382"/>
      <c r="AE169" s="1382"/>
      <c r="AF169" s="1382"/>
      <c r="AG169" s="1382"/>
      <c r="AH169" s="1382"/>
      <c r="AI169" s="1382"/>
      <c r="AJ169" s="1382"/>
      <c r="AK169" s="181"/>
      <c r="AL169" s="181"/>
      <c r="AM169" s="181"/>
      <c r="AN169" s="181"/>
      <c r="AO169" s="181"/>
      <c r="AP169" s="181"/>
      <c r="AQ169" s="181"/>
      <c r="AR169" s="181"/>
      <c r="AS169" s="181"/>
      <c r="AT169" s="181"/>
      <c r="AU169" s="181"/>
      <c r="AV169" s="181"/>
    </row>
    <row r="170" spans="1:48" s="30" customFormat="1" x14ac:dyDescent="0.25">
      <c r="A170" s="1402"/>
      <c r="B170" s="191"/>
      <c r="C170" s="921"/>
      <c r="D170" s="2080"/>
      <c r="E170" s="936"/>
      <c r="F170" s="933" t="s">
        <v>37</v>
      </c>
      <c r="G170" s="329"/>
      <c r="H170" s="238" t="s">
        <v>254</v>
      </c>
      <c r="I170" s="197"/>
      <c r="J170" s="229"/>
      <c r="K170" s="1391" t="str">
        <f t="shared" si="5"/>
        <v>&lt;----Use DROP DOWN to chose if Subset Item Applies</v>
      </c>
      <c r="L170" s="1382"/>
      <c r="M170" s="1382"/>
      <c r="N170" s="1382"/>
      <c r="O170" s="1382"/>
      <c r="P170" s="1382"/>
      <c r="Q170" s="1382"/>
      <c r="R170" s="1382"/>
      <c r="S170" s="1382"/>
      <c r="T170" s="1382"/>
      <c r="U170" s="1382"/>
      <c r="V170" s="1382"/>
      <c r="W170" s="1382"/>
      <c r="X170" s="1382"/>
      <c r="Y170" s="1382"/>
      <c r="Z170" s="1382"/>
      <c r="AA170" s="1382"/>
      <c r="AB170" s="1382"/>
      <c r="AC170" s="1382"/>
      <c r="AD170" s="1382"/>
      <c r="AE170" s="1382"/>
      <c r="AF170" s="1382"/>
      <c r="AG170" s="1382"/>
      <c r="AH170" s="1382"/>
      <c r="AI170" s="1382"/>
      <c r="AJ170" s="1382"/>
      <c r="AK170" s="181"/>
      <c r="AL170" s="181"/>
      <c r="AM170" s="181"/>
      <c r="AN170" s="181"/>
      <c r="AO170" s="181"/>
      <c r="AP170" s="181"/>
      <c r="AQ170" s="181"/>
      <c r="AR170" s="181"/>
      <c r="AS170" s="181"/>
      <c r="AT170" s="181"/>
      <c r="AU170" s="181"/>
      <c r="AV170" s="181"/>
    </row>
    <row r="171" spans="1:48" s="30" customFormat="1" x14ac:dyDescent="0.25">
      <c r="A171" s="1402"/>
      <c r="B171" s="191"/>
      <c r="C171" s="921"/>
      <c r="D171" s="2080"/>
      <c r="E171" s="923"/>
      <c r="F171" s="933" t="s">
        <v>37</v>
      </c>
      <c r="G171" s="194"/>
      <c r="H171" s="340" t="s">
        <v>187</v>
      </c>
      <c r="I171" s="197"/>
      <c r="J171" s="229"/>
      <c r="K171" s="1391" t="str">
        <f t="shared" si="5"/>
        <v>&lt;----Use DROP DOWN to chose if Subset Item Applies</v>
      </c>
      <c r="L171" s="1382"/>
      <c r="M171" s="1382"/>
      <c r="N171" s="1382"/>
      <c r="O171" s="1382"/>
      <c r="P171" s="1382"/>
      <c r="Q171" s="1382"/>
      <c r="R171" s="1382"/>
      <c r="S171" s="1382"/>
      <c r="T171" s="1382"/>
      <c r="U171" s="1382"/>
      <c r="V171" s="1382"/>
      <c r="W171" s="1382"/>
      <c r="X171" s="1382"/>
      <c r="Y171" s="1382"/>
      <c r="Z171" s="1382"/>
      <c r="AA171" s="1382"/>
      <c r="AB171" s="1382"/>
      <c r="AC171" s="1382"/>
      <c r="AD171" s="1382"/>
      <c r="AE171" s="1382"/>
      <c r="AF171" s="1382"/>
      <c r="AG171" s="1382"/>
      <c r="AH171" s="1382"/>
      <c r="AI171" s="1382"/>
      <c r="AJ171" s="1382"/>
      <c r="AK171" s="181"/>
      <c r="AL171" s="181"/>
      <c r="AM171" s="181"/>
      <c r="AN171" s="181"/>
      <c r="AO171" s="181"/>
      <c r="AP171" s="181"/>
      <c r="AQ171" s="181"/>
      <c r="AR171" s="181"/>
      <c r="AS171" s="181"/>
      <c r="AT171" s="181"/>
      <c r="AU171" s="181"/>
      <c r="AV171" s="181"/>
    </row>
    <row r="172" spans="1:48" s="545" customFormat="1" x14ac:dyDescent="0.25">
      <c r="A172" s="1402"/>
      <c r="B172" s="554"/>
      <c r="C172" s="921"/>
      <c r="D172" s="2080"/>
      <c r="E172" s="923"/>
      <c r="F172" s="933" t="s">
        <v>37</v>
      </c>
      <c r="G172" s="995"/>
      <c r="H172" s="340" t="s">
        <v>796</v>
      </c>
      <c r="I172" s="197"/>
      <c r="J172" s="229"/>
      <c r="K172" s="1391" t="str">
        <f t="shared" si="5"/>
        <v>&lt;----Use DROP DOWN to chose if Subset Item Applies</v>
      </c>
      <c r="L172" s="1382"/>
      <c r="M172" s="1382"/>
      <c r="N172" s="1382"/>
      <c r="O172" s="1382"/>
      <c r="P172" s="1382"/>
      <c r="Q172" s="1382"/>
      <c r="R172" s="1382"/>
      <c r="S172" s="1382"/>
      <c r="T172" s="1382"/>
      <c r="U172" s="1382"/>
      <c r="V172" s="1382"/>
      <c r="W172" s="1382"/>
      <c r="X172" s="1382"/>
      <c r="Y172" s="1382"/>
      <c r="Z172" s="1382"/>
      <c r="AA172" s="1382"/>
      <c r="AB172" s="1382"/>
      <c r="AC172" s="1382"/>
      <c r="AD172" s="1382"/>
      <c r="AE172" s="1382"/>
      <c r="AF172" s="1382"/>
      <c r="AG172" s="1382"/>
      <c r="AH172" s="1382"/>
      <c r="AI172" s="1382"/>
      <c r="AJ172" s="1382"/>
      <c r="AK172" s="551"/>
      <c r="AL172" s="551"/>
      <c r="AM172" s="551"/>
      <c r="AN172" s="551"/>
      <c r="AO172" s="551"/>
      <c r="AP172" s="551"/>
      <c r="AQ172" s="551"/>
      <c r="AR172" s="551"/>
      <c r="AS172" s="551"/>
      <c r="AT172" s="551"/>
      <c r="AU172" s="551"/>
      <c r="AV172" s="551"/>
    </row>
    <row r="173" spans="1:48" s="545" customFormat="1" x14ac:dyDescent="0.25">
      <c r="A173" s="1402"/>
      <c r="B173" s="554"/>
      <c r="C173" s="921"/>
      <c r="D173" s="2080"/>
      <c r="E173" s="923"/>
      <c r="F173" s="933" t="s">
        <v>37</v>
      </c>
      <c r="G173" s="995"/>
      <c r="H173" s="340" t="s">
        <v>797</v>
      </c>
      <c r="I173" s="197"/>
      <c r="J173" s="229"/>
      <c r="K173" s="1391" t="str">
        <f t="shared" si="5"/>
        <v>&lt;----Use DROP DOWN to chose if Subset Item Applies</v>
      </c>
      <c r="L173" s="1382"/>
      <c r="M173" s="1382"/>
      <c r="N173" s="1382"/>
      <c r="O173" s="1382"/>
      <c r="P173" s="1382"/>
      <c r="Q173" s="1382"/>
      <c r="R173" s="1382"/>
      <c r="S173" s="1382"/>
      <c r="T173" s="1382"/>
      <c r="U173" s="1382"/>
      <c r="V173" s="1382"/>
      <c r="W173" s="1382"/>
      <c r="X173" s="1382"/>
      <c r="Y173" s="1382"/>
      <c r="Z173" s="1382"/>
      <c r="AA173" s="1382"/>
      <c r="AB173" s="1382"/>
      <c r="AC173" s="1382"/>
      <c r="AD173" s="1382"/>
      <c r="AE173" s="1382"/>
      <c r="AF173" s="1382"/>
      <c r="AG173" s="1382"/>
      <c r="AH173" s="1382"/>
      <c r="AI173" s="1382"/>
      <c r="AJ173" s="1382"/>
      <c r="AK173" s="551"/>
      <c r="AL173" s="551"/>
      <c r="AM173" s="551"/>
      <c r="AN173" s="551"/>
      <c r="AO173" s="551"/>
      <c r="AP173" s="551"/>
      <c r="AQ173" s="551"/>
      <c r="AR173" s="551"/>
      <c r="AS173" s="551"/>
      <c r="AT173" s="551"/>
      <c r="AU173" s="551"/>
      <c r="AV173" s="551"/>
    </row>
    <row r="174" spans="1:48" s="30" customFormat="1" x14ac:dyDescent="0.25">
      <c r="A174" s="1402"/>
      <c r="B174" s="191"/>
      <c r="C174" s="921"/>
      <c r="D174" s="2080"/>
      <c r="E174" s="923"/>
      <c r="F174" s="933" t="s">
        <v>37</v>
      </c>
      <c r="G174" s="194"/>
      <c r="H174" s="929" t="s">
        <v>478</v>
      </c>
      <c r="I174" s="197"/>
      <c r="J174" s="229"/>
      <c r="K174" s="1391" t="str">
        <f>IF(Applies_Rpt_Type2_Feas_Concept_Only="N",CONCATENATE("&lt;----HIDE ROW Because Report Type 2 &amp; E",ROW(Applies_Rpt_Type2_Feas_Concept_Only)," is ''N''"),"&lt;----Define Subset ITEM choose applicability.  Hide Row if not in use.")</f>
        <v>&lt;----Define Subset ITEM choose applicability.  Hide Row if not in use.</v>
      </c>
      <c r="L174" s="1382"/>
      <c r="M174" s="1382"/>
      <c r="N174" s="1382"/>
      <c r="O174" s="1382"/>
      <c r="P174" s="1382"/>
      <c r="Q174" s="1382"/>
      <c r="R174" s="1382"/>
      <c r="S174" s="1382"/>
      <c r="T174" s="1382"/>
      <c r="U174" s="1382"/>
      <c r="V174" s="1382"/>
      <c r="W174" s="1382"/>
      <c r="X174" s="1382"/>
      <c r="Y174" s="1382"/>
      <c r="Z174" s="1382"/>
      <c r="AA174" s="1382"/>
      <c r="AB174" s="1382"/>
      <c r="AC174" s="1382"/>
      <c r="AD174" s="1382"/>
      <c r="AE174" s="1382"/>
      <c r="AF174" s="1382"/>
      <c r="AG174" s="1382"/>
      <c r="AH174" s="1382"/>
      <c r="AI174" s="1382"/>
      <c r="AJ174" s="1382"/>
      <c r="AK174" s="181"/>
      <c r="AL174" s="181"/>
      <c r="AM174" s="181"/>
      <c r="AN174" s="181"/>
      <c r="AO174" s="181"/>
      <c r="AP174" s="181"/>
      <c r="AQ174" s="181"/>
      <c r="AR174" s="181"/>
      <c r="AS174" s="181"/>
      <c r="AT174" s="181"/>
      <c r="AU174" s="181"/>
      <c r="AV174" s="181"/>
    </row>
    <row r="175" spans="1:48" s="30" customFormat="1" x14ac:dyDescent="0.25">
      <c r="A175" s="1402"/>
      <c r="B175" s="191"/>
      <c r="C175" s="921"/>
      <c r="D175" s="2080"/>
      <c r="E175" s="923"/>
      <c r="F175" s="933" t="s">
        <v>37</v>
      </c>
      <c r="G175" s="194"/>
      <c r="H175" s="929" t="s">
        <v>478</v>
      </c>
      <c r="I175" s="197"/>
      <c r="J175" s="229"/>
      <c r="K175" s="1391" t="str">
        <f>IF(Applies_Rpt_Type2_Feas_Concept_Only="N",CONCATENATE("&lt;----HIDE ROW Because Report Type 2 &amp; E",ROW(Applies_Rpt_Type2_Feas_Concept_Only)," is ''N''"),"&lt;----Define Subset ITEM choose applicability.  Hide Row if not in use.")</f>
        <v>&lt;----Define Subset ITEM choose applicability.  Hide Row if not in use.</v>
      </c>
      <c r="L175" s="1382"/>
      <c r="M175" s="1382"/>
      <c r="N175" s="1382"/>
      <c r="O175" s="1382"/>
      <c r="P175" s="1382"/>
      <c r="Q175" s="1382"/>
      <c r="R175" s="1382"/>
      <c r="S175" s="1382"/>
      <c r="T175" s="1382"/>
      <c r="U175" s="1382"/>
      <c r="V175" s="1382"/>
      <c r="W175" s="1382"/>
      <c r="X175" s="1382"/>
      <c r="Y175" s="1382"/>
      <c r="Z175" s="1382"/>
      <c r="AA175" s="1382"/>
      <c r="AB175" s="1382"/>
      <c r="AC175" s="1382"/>
      <c r="AD175" s="1382"/>
      <c r="AE175" s="1382"/>
      <c r="AF175" s="1382"/>
      <c r="AG175" s="1382"/>
      <c r="AH175" s="1382"/>
      <c r="AI175" s="1382"/>
      <c r="AJ175" s="1382"/>
      <c r="AK175" s="181"/>
      <c r="AL175" s="181"/>
      <c r="AM175" s="181"/>
      <c r="AN175" s="181"/>
      <c r="AO175" s="181"/>
      <c r="AP175" s="181"/>
      <c r="AQ175" s="181"/>
      <c r="AR175" s="181"/>
      <c r="AS175" s="181"/>
      <c r="AT175" s="181"/>
      <c r="AU175" s="181"/>
      <c r="AV175" s="181"/>
    </row>
    <row r="176" spans="1:48" s="30" customFormat="1" x14ac:dyDescent="0.25">
      <c r="A176" s="1402"/>
      <c r="B176" s="191"/>
      <c r="C176" s="921"/>
      <c r="D176" s="2080"/>
      <c r="E176" s="923"/>
      <c r="F176" s="933" t="s">
        <v>37</v>
      </c>
      <c r="G176" s="194"/>
      <c r="H176" s="929" t="s">
        <v>478</v>
      </c>
      <c r="I176" s="197"/>
      <c r="J176" s="229"/>
      <c r="K176" s="1391" t="str">
        <f>IF(Applies_Rpt_Type2_Feas_Concept_Only="N",CONCATENATE("&lt;----HIDE ROW Because Report Type 2 &amp; E",ROW(Applies_Rpt_Type2_Feas_Concept_Only)," is ''N''"),"&lt;----Define Subset ITEM choose applicability.  Hide Row if not in use.")</f>
        <v>&lt;----Define Subset ITEM choose applicability.  Hide Row if not in use.</v>
      </c>
      <c r="L176" s="1382"/>
      <c r="M176" s="1382"/>
      <c r="N176" s="1382"/>
      <c r="O176" s="1382"/>
      <c r="P176" s="1382"/>
      <c r="Q176" s="1382"/>
      <c r="R176" s="1382"/>
      <c r="S176" s="1382"/>
      <c r="T176" s="1382"/>
      <c r="U176" s="1382"/>
      <c r="V176" s="1382"/>
      <c r="W176" s="1382"/>
      <c r="X176" s="1382"/>
      <c r="Y176" s="1382"/>
      <c r="Z176" s="1382"/>
      <c r="AA176" s="1382"/>
      <c r="AB176" s="1382"/>
      <c r="AC176" s="1382"/>
      <c r="AD176" s="1382"/>
      <c r="AE176" s="1382"/>
      <c r="AF176" s="1382"/>
      <c r="AG176" s="1382"/>
      <c r="AH176" s="1382"/>
      <c r="AI176" s="1382"/>
      <c r="AJ176" s="1382"/>
      <c r="AK176" s="181"/>
      <c r="AL176" s="181"/>
      <c r="AM176" s="181"/>
      <c r="AN176" s="181"/>
      <c r="AO176" s="181"/>
      <c r="AP176" s="181"/>
      <c r="AQ176" s="181"/>
      <c r="AR176" s="181"/>
      <c r="AS176" s="181"/>
      <c r="AT176" s="181"/>
      <c r="AU176" s="181"/>
      <c r="AV176" s="181"/>
    </row>
    <row r="177" spans="1:48" s="30" customFormat="1" x14ac:dyDescent="0.25">
      <c r="A177" s="1402"/>
      <c r="B177" s="191"/>
      <c r="C177" s="921"/>
      <c r="D177" s="2080"/>
      <c r="E177" s="923"/>
      <c r="F177" s="933" t="s">
        <v>37</v>
      </c>
      <c r="G177" s="194"/>
      <c r="H177" s="929" t="s">
        <v>478</v>
      </c>
      <c r="I177" s="197"/>
      <c r="J177" s="229"/>
      <c r="K177" s="1391" t="str">
        <f>IF(Applies_Rpt_Type2_Feas_Concept_Only="N",CONCATENATE("&lt;----HIDE ROW Because Report Type 2 &amp; E",ROW(Applies_Rpt_Type2_Feas_Concept_Only)," is ''N''"),"&lt;----Define Subset ITEM choose applicability.  Hide Row if not in use.")</f>
        <v>&lt;----Define Subset ITEM choose applicability.  Hide Row if not in use.</v>
      </c>
      <c r="L177" s="1382"/>
      <c r="M177" s="1382"/>
      <c r="N177" s="1382"/>
      <c r="O177" s="1382"/>
      <c r="P177" s="1382"/>
      <c r="Q177" s="1382"/>
      <c r="R177" s="1382"/>
      <c r="S177" s="1382"/>
      <c r="T177" s="1382"/>
      <c r="U177" s="1382"/>
      <c r="V177" s="1382"/>
      <c r="W177" s="1382"/>
      <c r="X177" s="1382"/>
      <c r="Y177" s="1382"/>
      <c r="Z177" s="1382"/>
      <c r="AA177" s="1382"/>
      <c r="AB177" s="1382"/>
      <c r="AC177" s="1382"/>
      <c r="AD177" s="1382"/>
      <c r="AE177" s="1382"/>
      <c r="AF177" s="1382"/>
      <c r="AG177" s="1382"/>
      <c r="AH177" s="1382"/>
      <c r="AI177" s="1382"/>
      <c r="AJ177" s="1382"/>
      <c r="AK177" s="181"/>
      <c r="AL177" s="181"/>
      <c r="AM177" s="181"/>
      <c r="AN177" s="181"/>
      <c r="AO177" s="181"/>
      <c r="AP177" s="181"/>
      <c r="AQ177" s="181"/>
      <c r="AR177" s="181"/>
      <c r="AS177" s="181"/>
      <c r="AT177" s="181"/>
      <c r="AU177" s="181"/>
      <c r="AV177" s="181"/>
    </row>
    <row r="178" spans="1:48" s="30" customFormat="1" x14ac:dyDescent="0.25">
      <c r="A178" s="1402"/>
      <c r="B178" s="191"/>
      <c r="C178" s="921"/>
      <c r="D178" s="2081"/>
      <c r="E178" s="937"/>
      <c r="F178" s="938" t="s">
        <v>37</v>
      </c>
      <c r="G178" s="330"/>
      <c r="H178" s="930" t="s">
        <v>478</v>
      </c>
      <c r="I178" s="197"/>
      <c r="J178" s="229"/>
      <c r="K178" s="1391" t="str">
        <f>IF(Applies_Rpt_Type2_Feas_Concept_Only="N",CONCATENATE("&lt;----HIDE ROW Because Report Type 2 &amp; E",ROW(Applies_Rpt_Type2_Feas_Concept_Only)," is ''N''"),"&lt;----Define Subset ITEM choose applicability.  Hide Row if not in use.")</f>
        <v>&lt;----Define Subset ITEM choose applicability.  Hide Row if not in use.</v>
      </c>
      <c r="L178" s="1382"/>
      <c r="M178" s="1382"/>
      <c r="N178" s="1382"/>
      <c r="O178" s="1382"/>
      <c r="P178" s="1382"/>
      <c r="Q178" s="1382"/>
      <c r="R178" s="1382"/>
      <c r="S178" s="1382"/>
      <c r="T178" s="1382"/>
      <c r="U178" s="1382"/>
      <c r="V178" s="1382"/>
      <c r="W178" s="1382"/>
      <c r="X178" s="1382"/>
      <c r="Y178" s="1382"/>
      <c r="Z178" s="1382"/>
      <c r="AA178" s="1382"/>
      <c r="AB178" s="1382"/>
      <c r="AC178" s="1382"/>
      <c r="AD178" s="1382"/>
      <c r="AE178" s="1382"/>
      <c r="AF178" s="1382"/>
      <c r="AG178" s="1382"/>
      <c r="AH178" s="1382"/>
      <c r="AI178" s="1382"/>
      <c r="AJ178" s="1382"/>
      <c r="AK178" s="181"/>
      <c r="AL178" s="181"/>
      <c r="AM178" s="181"/>
      <c r="AN178" s="181"/>
      <c r="AO178" s="181"/>
      <c r="AP178" s="181"/>
      <c r="AQ178" s="181"/>
      <c r="AR178" s="181"/>
      <c r="AS178" s="181"/>
      <c r="AT178" s="181"/>
      <c r="AU178" s="181"/>
      <c r="AV178" s="181"/>
    </row>
    <row r="179" spans="1:48" s="30" customFormat="1" ht="31.5" customHeight="1" x14ac:dyDescent="0.25">
      <c r="A179" s="1408"/>
      <c r="B179" s="191"/>
      <c r="C179" s="921"/>
      <c r="D179" s="2064" t="s">
        <v>590</v>
      </c>
      <c r="E179" s="935" t="s">
        <v>37</v>
      </c>
      <c r="F179" s="917"/>
      <c r="G179" s="178"/>
      <c r="H179" s="452" t="s">
        <v>510</v>
      </c>
      <c r="I179" s="206"/>
      <c r="J179" s="229"/>
      <c r="K179" s="1384" t="str">
        <f>IF(Applies_Rpt_Type3_Feas_Concept_Only="N",CONCATENATE("&lt;----HIDE ROW Because Report Type 3 &amp; E",ROW(Applies_Rpt_Type3_Feas_Concept_Only)," is ''N''"),"&lt;----Use DROP DOWN to chose it Deliverable/Master Item Applies")</f>
        <v>&lt;----Use DROP DOWN to chose it Deliverable/Master Item Applies</v>
      </c>
      <c r="L179" s="1382"/>
      <c r="M179" s="1382"/>
      <c r="N179" s="1382"/>
      <c r="O179" s="1382"/>
      <c r="P179" s="1382"/>
      <c r="Q179" s="1382"/>
      <c r="R179" s="1382"/>
      <c r="S179" s="1382"/>
      <c r="T179" s="1382"/>
      <c r="U179" s="1382"/>
      <c r="V179" s="1382"/>
      <c r="W179" s="1382"/>
      <c r="X179" s="1382"/>
      <c r="Y179" s="1382"/>
      <c r="Z179" s="1382"/>
      <c r="AA179" s="1382"/>
      <c r="AB179" s="1382"/>
      <c r="AC179" s="1382"/>
      <c r="AD179" s="1382"/>
      <c r="AE179" s="1382"/>
      <c r="AF179" s="1382"/>
      <c r="AG179" s="1382"/>
      <c r="AH179" s="1382"/>
      <c r="AI179" s="1382"/>
      <c r="AJ179" s="1382"/>
      <c r="AK179" s="181"/>
      <c r="AL179" s="181"/>
      <c r="AM179" s="181"/>
      <c r="AN179" s="181"/>
      <c r="AO179" s="181"/>
      <c r="AP179" s="181"/>
      <c r="AQ179" s="181"/>
      <c r="AR179" s="181"/>
      <c r="AS179" s="181"/>
      <c r="AT179" s="181"/>
      <c r="AU179" s="181"/>
      <c r="AV179" s="181"/>
    </row>
    <row r="180" spans="1:48" s="30" customFormat="1" x14ac:dyDescent="0.25">
      <c r="A180" s="1402"/>
      <c r="B180" s="191"/>
      <c r="C180" s="921"/>
      <c r="D180" s="2065"/>
      <c r="E180" s="923"/>
      <c r="F180" s="933" t="s">
        <v>37</v>
      </c>
      <c r="G180" s="194"/>
      <c r="H180" s="340" t="s">
        <v>507</v>
      </c>
      <c r="I180" s="197"/>
      <c r="J180" s="229"/>
      <c r="K180" s="1391" t="str">
        <f t="shared" ref="K180:K193" si="6">IF(Applies_Rpt_Type3_Feas_Concept_Only="N",CONCATENATE("&lt;----HIDE ROW Because Report Type 3 &amp; E",ROW(Applies_Rpt_Type3_Feas_Concept_Only)," is ''N''"),"&lt;----Use DROP DOWN to chose if Subset Item Applies")</f>
        <v>&lt;----Use DROP DOWN to chose if Subset Item Applies</v>
      </c>
      <c r="L180" s="1382"/>
      <c r="M180" s="1382"/>
      <c r="N180" s="1382"/>
      <c r="O180" s="1382"/>
      <c r="P180" s="1382"/>
      <c r="Q180" s="1382"/>
      <c r="R180" s="1382"/>
      <c r="S180" s="1382"/>
      <c r="T180" s="1382"/>
      <c r="U180" s="1382"/>
      <c r="V180" s="1382"/>
      <c r="W180" s="1382"/>
      <c r="X180" s="1382"/>
      <c r="Y180" s="1382"/>
      <c r="Z180" s="1382"/>
      <c r="AA180" s="1382"/>
      <c r="AB180" s="1382"/>
      <c r="AC180" s="1382"/>
      <c r="AD180" s="1382"/>
      <c r="AE180" s="1382"/>
      <c r="AF180" s="1382"/>
      <c r="AG180" s="1382"/>
      <c r="AH180" s="1382"/>
      <c r="AI180" s="1382"/>
      <c r="AJ180" s="1382"/>
      <c r="AK180" s="181"/>
      <c r="AL180" s="181"/>
      <c r="AM180" s="181"/>
      <c r="AN180" s="181"/>
      <c r="AO180" s="181"/>
      <c r="AP180" s="181"/>
      <c r="AQ180" s="181"/>
      <c r="AR180" s="181"/>
      <c r="AS180" s="181"/>
      <c r="AT180" s="181"/>
      <c r="AU180" s="181"/>
      <c r="AV180" s="181"/>
    </row>
    <row r="181" spans="1:48" s="30" customFormat="1" x14ac:dyDescent="0.25">
      <c r="A181" s="1402"/>
      <c r="B181" s="191"/>
      <c r="C181" s="921"/>
      <c r="D181" s="2065"/>
      <c r="E181" s="923"/>
      <c r="F181" s="933" t="s">
        <v>37</v>
      </c>
      <c r="G181" s="194"/>
      <c r="H181" s="340" t="s">
        <v>183</v>
      </c>
      <c r="I181" s="197"/>
      <c r="J181" s="229"/>
      <c r="K181" s="1391" t="str">
        <f t="shared" si="6"/>
        <v>&lt;----Use DROP DOWN to chose if Subset Item Applies</v>
      </c>
      <c r="L181" s="1382"/>
      <c r="M181" s="1382"/>
      <c r="N181" s="1382"/>
      <c r="O181" s="1382"/>
      <c r="P181" s="1382"/>
      <c r="Q181" s="1382"/>
      <c r="R181" s="1382"/>
      <c r="S181" s="1382"/>
      <c r="T181" s="1382"/>
      <c r="U181" s="1382"/>
      <c r="V181" s="1382"/>
      <c r="W181" s="1382"/>
      <c r="X181" s="1382"/>
      <c r="Y181" s="1382"/>
      <c r="Z181" s="1382"/>
      <c r="AA181" s="1382"/>
      <c r="AB181" s="1382"/>
      <c r="AC181" s="1382"/>
      <c r="AD181" s="1382"/>
      <c r="AE181" s="1382"/>
      <c r="AF181" s="1382"/>
      <c r="AG181" s="1382"/>
      <c r="AH181" s="1382"/>
      <c r="AI181" s="1382"/>
      <c r="AJ181" s="1382"/>
      <c r="AK181" s="181"/>
      <c r="AL181" s="181"/>
      <c r="AM181" s="181"/>
      <c r="AN181" s="181"/>
      <c r="AO181" s="181"/>
      <c r="AP181" s="181"/>
      <c r="AQ181" s="181"/>
      <c r="AR181" s="181"/>
      <c r="AS181" s="181"/>
      <c r="AT181" s="181"/>
      <c r="AU181" s="181"/>
      <c r="AV181" s="181"/>
    </row>
    <row r="182" spans="1:48" s="30" customFormat="1" x14ac:dyDescent="0.25">
      <c r="A182" s="1402"/>
      <c r="B182" s="191"/>
      <c r="C182" s="921"/>
      <c r="D182" s="2065"/>
      <c r="E182" s="923"/>
      <c r="F182" s="933" t="s">
        <v>37</v>
      </c>
      <c r="G182" s="194"/>
      <c r="H182" s="340" t="s">
        <v>190</v>
      </c>
      <c r="I182" s="197"/>
      <c r="J182" s="229"/>
      <c r="K182" s="1391" t="str">
        <f t="shared" si="6"/>
        <v>&lt;----Use DROP DOWN to chose if Subset Item Applies</v>
      </c>
      <c r="L182" s="1382"/>
      <c r="M182" s="1382"/>
      <c r="N182" s="1382"/>
      <c r="O182" s="1382"/>
      <c r="P182" s="1382"/>
      <c r="Q182" s="1382"/>
      <c r="R182" s="1382"/>
      <c r="S182" s="1382"/>
      <c r="T182" s="1382"/>
      <c r="U182" s="1382"/>
      <c r="V182" s="1382"/>
      <c r="W182" s="1382"/>
      <c r="X182" s="1382"/>
      <c r="Y182" s="1382"/>
      <c r="Z182" s="1382"/>
      <c r="AA182" s="1382"/>
      <c r="AB182" s="1382"/>
      <c r="AC182" s="1382"/>
      <c r="AD182" s="1382"/>
      <c r="AE182" s="1382"/>
      <c r="AF182" s="1382"/>
      <c r="AG182" s="1382"/>
      <c r="AH182" s="1382"/>
      <c r="AI182" s="1382"/>
      <c r="AJ182" s="1382"/>
      <c r="AK182" s="181"/>
      <c r="AL182" s="181"/>
      <c r="AM182" s="181"/>
      <c r="AN182" s="181"/>
      <c r="AO182" s="181"/>
      <c r="AP182" s="181"/>
      <c r="AQ182" s="181"/>
      <c r="AR182" s="181"/>
      <c r="AS182" s="181"/>
      <c r="AT182" s="181"/>
      <c r="AU182" s="181"/>
      <c r="AV182" s="181"/>
    </row>
    <row r="183" spans="1:48" s="30" customFormat="1" x14ac:dyDescent="0.25">
      <c r="A183" s="1402"/>
      <c r="B183" s="191"/>
      <c r="C183" s="921"/>
      <c r="D183" s="2065"/>
      <c r="E183" s="923"/>
      <c r="F183" s="933" t="s">
        <v>37</v>
      </c>
      <c r="G183" s="194"/>
      <c r="H183" s="340" t="s">
        <v>192</v>
      </c>
      <c r="I183" s="197"/>
      <c r="J183" s="229"/>
      <c r="K183" s="1391" t="str">
        <f t="shared" si="6"/>
        <v>&lt;----Use DROP DOWN to chose if Subset Item Applies</v>
      </c>
      <c r="L183" s="1382"/>
      <c r="M183" s="1382"/>
      <c r="N183" s="1382"/>
      <c r="O183" s="1382"/>
      <c r="P183" s="1382"/>
      <c r="Q183" s="1382"/>
      <c r="R183" s="1382"/>
      <c r="S183" s="1382"/>
      <c r="T183" s="1382"/>
      <c r="U183" s="1382"/>
      <c r="V183" s="1382"/>
      <c r="W183" s="1382"/>
      <c r="X183" s="1382"/>
      <c r="Y183" s="1382"/>
      <c r="Z183" s="1382"/>
      <c r="AA183" s="1382"/>
      <c r="AB183" s="1382"/>
      <c r="AC183" s="1382"/>
      <c r="AD183" s="1382"/>
      <c r="AE183" s="1382"/>
      <c r="AF183" s="1382"/>
      <c r="AG183" s="1382"/>
      <c r="AH183" s="1382"/>
      <c r="AI183" s="1382"/>
      <c r="AJ183" s="1382"/>
      <c r="AK183" s="181"/>
      <c r="AL183" s="181"/>
      <c r="AM183" s="181"/>
      <c r="AN183" s="181"/>
      <c r="AO183" s="181"/>
      <c r="AP183" s="181"/>
      <c r="AQ183" s="181"/>
      <c r="AR183" s="181"/>
      <c r="AS183" s="181"/>
      <c r="AT183" s="181"/>
      <c r="AU183" s="181"/>
      <c r="AV183" s="181"/>
    </row>
    <row r="184" spans="1:48" s="30" customFormat="1" x14ac:dyDescent="0.25">
      <c r="A184" s="1402"/>
      <c r="B184" s="191"/>
      <c r="C184" s="921"/>
      <c r="D184" s="2065"/>
      <c r="E184" s="923"/>
      <c r="F184" s="933" t="s">
        <v>37</v>
      </c>
      <c r="G184" s="194"/>
      <c r="H184" s="340" t="s">
        <v>196</v>
      </c>
      <c r="I184" s="197"/>
      <c r="J184" s="229"/>
      <c r="K184" s="1391" t="str">
        <f t="shared" si="6"/>
        <v>&lt;----Use DROP DOWN to chose if Subset Item Applies</v>
      </c>
      <c r="L184" s="1382"/>
      <c r="M184" s="1382"/>
      <c r="N184" s="1382"/>
      <c r="O184" s="1382"/>
      <c r="P184" s="1382"/>
      <c r="Q184" s="1382"/>
      <c r="R184" s="1382"/>
      <c r="S184" s="1382"/>
      <c r="T184" s="1382"/>
      <c r="U184" s="1382"/>
      <c r="V184" s="1382"/>
      <c r="W184" s="1382"/>
      <c r="X184" s="1382"/>
      <c r="Y184" s="1382"/>
      <c r="Z184" s="1382"/>
      <c r="AA184" s="1382"/>
      <c r="AB184" s="1382"/>
      <c r="AC184" s="1382"/>
      <c r="AD184" s="1382"/>
      <c r="AE184" s="1382"/>
      <c r="AF184" s="1382"/>
      <c r="AG184" s="1382"/>
      <c r="AH184" s="1382"/>
      <c r="AI184" s="1382"/>
      <c r="AJ184" s="1382"/>
      <c r="AK184" s="181"/>
      <c r="AL184" s="181"/>
      <c r="AM184" s="181"/>
      <c r="AN184" s="181"/>
      <c r="AO184" s="181"/>
      <c r="AP184" s="181"/>
      <c r="AQ184" s="181"/>
      <c r="AR184" s="181"/>
      <c r="AS184" s="181"/>
      <c r="AT184" s="181"/>
      <c r="AU184" s="181"/>
      <c r="AV184" s="181"/>
    </row>
    <row r="185" spans="1:48" s="30" customFormat="1" x14ac:dyDescent="0.25">
      <c r="A185" s="1402"/>
      <c r="B185" s="191"/>
      <c r="C185" s="921"/>
      <c r="D185" s="2065"/>
      <c r="E185" s="923"/>
      <c r="F185" s="933" t="s">
        <v>37</v>
      </c>
      <c r="G185" s="194"/>
      <c r="H185" s="340" t="s">
        <v>194</v>
      </c>
      <c r="I185" s="197"/>
      <c r="J185" s="229"/>
      <c r="K185" s="1391" t="str">
        <f t="shared" si="6"/>
        <v>&lt;----Use DROP DOWN to chose if Subset Item Applies</v>
      </c>
      <c r="L185" s="1382"/>
      <c r="M185" s="1382"/>
      <c r="N185" s="1382"/>
      <c r="O185" s="1382"/>
      <c r="P185" s="1382"/>
      <c r="Q185" s="1382"/>
      <c r="R185" s="1382"/>
      <c r="S185" s="1382"/>
      <c r="T185" s="1382"/>
      <c r="U185" s="1382"/>
      <c r="V185" s="1382"/>
      <c r="W185" s="1382"/>
      <c r="X185" s="1382"/>
      <c r="Y185" s="1382"/>
      <c r="Z185" s="1382"/>
      <c r="AA185" s="1382"/>
      <c r="AB185" s="1382"/>
      <c r="AC185" s="1382"/>
      <c r="AD185" s="1382"/>
      <c r="AE185" s="1382"/>
      <c r="AF185" s="1382"/>
      <c r="AG185" s="1382"/>
      <c r="AH185" s="1382"/>
      <c r="AI185" s="1382"/>
      <c r="AJ185" s="1382"/>
      <c r="AK185" s="181"/>
      <c r="AL185" s="181"/>
      <c r="AM185" s="181"/>
      <c r="AN185" s="181"/>
      <c r="AO185" s="181"/>
      <c r="AP185" s="181"/>
      <c r="AQ185" s="181"/>
      <c r="AR185" s="181"/>
      <c r="AS185" s="181"/>
      <c r="AT185" s="181"/>
      <c r="AU185" s="181"/>
      <c r="AV185" s="181"/>
    </row>
    <row r="186" spans="1:48" s="30" customFormat="1" x14ac:dyDescent="0.25">
      <c r="A186" s="1402"/>
      <c r="B186" s="191"/>
      <c r="C186" s="921"/>
      <c r="D186" s="2065"/>
      <c r="E186" s="923"/>
      <c r="F186" s="933" t="s">
        <v>37</v>
      </c>
      <c r="G186" s="194"/>
      <c r="H186" s="340" t="s">
        <v>191</v>
      </c>
      <c r="I186" s="197"/>
      <c r="J186" s="229"/>
      <c r="K186" s="1391" t="str">
        <f t="shared" si="6"/>
        <v>&lt;----Use DROP DOWN to chose if Subset Item Applies</v>
      </c>
      <c r="L186" s="1382"/>
      <c r="M186" s="1382"/>
      <c r="N186" s="1382"/>
      <c r="O186" s="1382"/>
      <c r="P186" s="1382"/>
      <c r="Q186" s="1382"/>
      <c r="R186" s="1382"/>
      <c r="S186" s="1382"/>
      <c r="T186" s="1382"/>
      <c r="U186" s="1382"/>
      <c r="V186" s="1382"/>
      <c r="W186" s="1382"/>
      <c r="X186" s="1382"/>
      <c r="Y186" s="1382"/>
      <c r="Z186" s="1382"/>
      <c r="AA186" s="1382"/>
      <c r="AB186" s="1382"/>
      <c r="AC186" s="1382"/>
      <c r="AD186" s="1382"/>
      <c r="AE186" s="1382"/>
      <c r="AF186" s="1382"/>
      <c r="AG186" s="1382"/>
      <c r="AH186" s="1382"/>
      <c r="AI186" s="1382"/>
      <c r="AJ186" s="1382"/>
      <c r="AK186" s="181"/>
      <c r="AL186" s="181"/>
      <c r="AM186" s="181"/>
      <c r="AN186" s="181"/>
      <c r="AO186" s="181"/>
      <c r="AP186" s="181"/>
      <c r="AQ186" s="181"/>
      <c r="AR186" s="181"/>
      <c r="AS186" s="181"/>
      <c r="AT186" s="181"/>
      <c r="AU186" s="181"/>
      <c r="AV186" s="181"/>
    </row>
    <row r="187" spans="1:48" s="30" customFormat="1" x14ac:dyDescent="0.25">
      <c r="A187" s="1402"/>
      <c r="B187" s="191"/>
      <c r="C187" s="921"/>
      <c r="D187" s="2065"/>
      <c r="E187" s="923"/>
      <c r="F187" s="933" t="s">
        <v>37</v>
      </c>
      <c r="G187" s="194"/>
      <c r="H187" s="340" t="s">
        <v>193</v>
      </c>
      <c r="I187" s="197"/>
      <c r="J187" s="229"/>
      <c r="K187" s="1391" t="str">
        <f t="shared" si="6"/>
        <v>&lt;----Use DROP DOWN to chose if Subset Item Applies</v>
      </c>
      <c r="L187" s="1382"/>
      <c r="M187" s="1382"/>
      <c r="N187" s="1382"/>
      <c r="O187" s="1382"/>
      <c r="P187" s="1382"/>
      <c r="Q187" s="1382"/>
      <c r="R187" s="1382"/>
      <c r="S187" s="1382"/>
      <c r="T187" s="1382"/>
      <c r="U187" s="1382"/>
      <c r="V187" s="1382"/>
      <c r="W187" s="1382"/>
      <c r="X187" s="1382"/>
      <c r="Y187" s="1382"/>
      <c r="Z187" s="1382"/>
      <c r="AA187" s="1382"/>
      <c r="AB187" s="1382"/>
      <c r="AC187" s="1382"/>
      <c r="AD187" s="1382"/>
      <c r="AE187" s="1382"/>
      <c r="AF187" s="1382"/>
      <c r="AG187" s="1382"/>
      <c r="AH187" s="1382"/>
      <c r="AI187" s="1382"/>
      <c r="AJ187" s="1382"/>
      <c r="AK187" s="181"/>
      <c r="AL187" s="181"/>
      <c r="AM187" s="181"/>
      <c r="AN187" s="181"/>
      <c r="AO187" s="181"/>
      <c r="AP187" s="181"/>
      <c r="AQ187" s="181"/>
      <c r="AR187" s="181"/>
      <c r="AS187" s="181"/>
      <c r="AT187" s="181"/>
      <c r="AU187" s="181"/>
      <c r="AV187" s="181"/>
    </row>
    <row r="188" spans="1:48" s="30" customFormat="1" x14ac:dyDescent="0.25">
      <c r="A188" s="1402"/>
      <c r="B188" s="191"/>
      <c r="C188" s="921"/>
      <c r="D188" s="2065"/>
      <c r="E188" s="923"/>
      <c r="F188" s="933" t="s">
        <v>37</v>
      </c>
      <c r="G188" s="194"/>
      <c r="H188" s="340" t="s">
        <v>1114</v>
      </c>
      <c r="I188" s="197"/>
      <c r="J188" s="229"/>
      <c r="K188" s="1391" t="str">
        <f t="shared" si="6"/>
        <v>&lt;----Use DROP DOWN to chose if Subset Item Applies</v>
      </c>
      <c r="L188" s="1382"/>
      <c r="M188" s="1382"/>
      <c r="N188" s="1382"/>
      <c r="O188" s="1382"/>
      <c r="P188" s="1382"/>
      <c r="Q188" s="1382"/>
      <c r="R188" s="1382"/>
      <c r="S188" s="1382"/>
      <c r="T188" s="1382"/>
      <c r="U188" s="1382"/>
      <c r="V188" s="1382"/>
      <c r="W188" s="1382"/>
      <c r="X188" s="1382"/>
      <c r="Y188" s="1382"/>
      <c r="Z188" s="1382"/>
      <c r="AA188" s="1382"/>
      <c r="AB188" s="1382"/>
      <c r="AC188" s="1382"/>
      <c r="AD188" s="1382"/>
      <c r="AE188" s="1382"/>
      <c r="AF188" s="1382"/>
      <c r="AG188" s="1382"/>
      <c r="AH188" s="1382"/>
      <c r="AI188" s="1382"/>
      <c r="AJ188" s="1382"/>
      <c r="AK188" s="181"/>
      <c r="AL188" s="181"/>
      <c r="AM188" s="181"/>
      <c r="AN188" s="181"/>
      <c r="AO188" s="181"/>
      <c r="AP188" s="181"/>
      <c r="AQ188" s="181"/>
      <c r="AR188" s="181"/>
      <c r="AS188" s="181"/>
      <c r="AT188" s="181"/>
      <c r="AU188" s="181"/>
      <c r="AV188" s="181"/>
    </row>
    <row r="189" spans="1:48" s="30" customFormat="1" x14ac:dyDescent="0.25">
      <c r="A189" s="1402"/>
      <c r="B189" s="191"/>
      <c r="C189" s="921"/>
      <c r="D189" s="2065"/>
      <c r="E189" s="923"/>
      <c r="F189" s="933" t="s">
        <v>37</v>
      </c>
      <c r="G189" s="194"/>
      <c r="H189" s="340" t="s">
        <v>195</v>
      </c>
      <c r="I189" s="197"/>
      <c r="J189" s="229"/>
      <c r="K189" s="1391" t="str">
        <f t="shared" si="6"/>
        <v>&lt;----Use DROP DOWN to chose if Subset Item Applies</v>
      </c>
      <c r="L189" s="1382"/>
      <c r="M189" s="1382"/>
      <c r="N189" s="1382"/>
      <c r="O189" s="1382"/>
      <c r="P189" s="1382"/>
      <c r="Q189" s="1382"/>
      <c r="R189" s="1382"/>
      <c r="S189" s="1382"/>
      <c r="T189" s="1382"/>
      <c r="U189" s="1382"/>
      <c r="V189" s="1382"/>
      <c r="W189" s="1382"/>
      <c r="X189" s="1382"/>
      <c r="Y189" s="1382"/>
      <c r="Z189" s="1382"/>
      <c r="AA189" s="1382"/>
      <c r="AB189" s="1382"/>
      <c r="AC189" s="1382"/>
      <c r="AD189" s="1382"/>
      <c r="AE189" s="1382"/>
      <c r="AF189" s="1382"/>
      <c r="AG189" s="1382"/>
      <c r="AH189" s="1382"/>
      <c r="AI189" s="1382"/>
      <c r="AJ189" s="1382"/>
      <c r="AK189" s="181"/>
      <c r="AL189" s="181"/>
      <c r="AM189" s="181"/>
      <c r="AN189" s="181"/>
      <c r="AO189" s="181"/>
      <c r="AP189" s="181"/>
      <c r="AQ189" s="181"/>
      <c r="AR189" s="181"/>
      <c r="AS189" s="181"/>
      <c r="AT189" s="181"/>
      <c r="AU189" s="181"/>
      <c r="AV189" s="181"/>
    </row>
    <row r="190" spans="1:48" s="30" customFormat="1" x14ac:dyDescent="0.25">
      <c r="A190" s="1402"/>
      <c r="B190" s="191"/>
      <c r="C190" s="921"/>
      <c r="D190" s="2065"/>
      <c r="E190" s="923"/>
      <c r="F190" s="933" t="s">
        <v>37</v>
      </c>
      <c r="G190" s="194"/>
      <c r="H190" s="340" t="s">
        <v>256</v>
      </c>
      <c r="I190" s="197"/>
      <c r="J190" s="229"/>
      <c r="K190" s="1391" t="str">
        <f t="shared" si="6"/>
        <v>&lt;----Use DROP DOWN to chose if Subset Item Applies</v>
      </c>
      <c r="L190" s="1382"/>
      <c r="M190" s="1382"/>
      <c r="N190" s="1382"/>
      <c r="O190" s="1382"/>
      <c r="P190" s="1382"/>
      <c r="Q190" s="1382"/>
      <c r="R190" s="1382"/>
      <c r="S190" s="1382"/>
      <c r="T190" s="1382"/>
      <c r="U190" s="1382"/>
      <c r="V190" s="1382"/>
      <c r="W190" s="1382"/>
      <c r="X190" s="1382"/>
      <c r="Y190" s="1382"/>
      <c r="Z190" s="1382"/>
      <c r="AA190" s="1382"/>
      <c r="AB190" s="1382"/>
      <c r="AC190" s="1382"/>
      <c r="AD190" s="1382"/>
      <c r="AE190" s="1382"/>
      <c r="AF190" s="1382"/>
      <c r="AG190" s="1382"/>
      <c r="AH190" s="1382"/>
      <c r="AI190" s="1382"/>
      <c r="AJ190" s="1382"/>
      <c r="AK190" s="181"/>
      <c r="AL190" s="181"/>
      <c r="AM190" s="181"/>
      <c r="AN190" s="181"/>
      <c r="AO190" s="181"/>
      <c r="AP190" s="181"/>
      <c r="AQ190" s="181"/>
      <c r="AR190" s="181"/>
      <c r="AS190" s="181"/>
      <c r="AT190" s="181"/>
      <c r="AU190" s="181"/>
      <c r="AV190" s="181"/>
    </row>
    <row r="191" spans="1:48" s="30" customFormat="1" x14ac:dyDescent="0.25">
      <c r="A191" s="1402"/>
      <c r="B191" s="191"/>
      <c r="C191" s="921"/>
      <c r="D191" s="2065"/>
      <c r="E191" s="936"/>
      <c r="F191" s="933" t="s">
        <v>37</v>
      </c>
      <c r="G191" s="329"/>
      <c r="H191" s="238" t="s">
        <v>255</v>
      </c>
      <c r="I191" s="197"/>
      <c r="J191" s="229"/>
      <c r="K191" s="1391" t="str">
        <f t="shared" si="6"/>
        <v>&lt;----Use DROP DOWN to chose if Subset Item Applies</v>
      </c>
      <c r="L191" s="1382"/>
      <c r="M191" s="1382"/>
      <c r="N191" s="1382"/>
      <c r="O191" s="1382"/>
      <c r="P191" s="1382"/>
      <c r="Q191" s="1382"/>
      <c r="R191" s="1382"/>
      <c r="S191" s="1382"/>
      <c r="T191" s="1382"/>
      <c r="U191" s="1382"/>
      <c r="V191" s="1382"/>
      <c r="W191" s="1382"/>
      <c r="X191" s="1382"/>
      <c r="Y191" s="1382"/>
      <c r="Z191" s="1382"/>
      <c r="AA191" s="1382"/>
      <c r="AB191" s="1382"/>
      <c r="AC191" s="1382"/>
      <c r="AD191" s="1382"/>
      <c r="AE191" s="1382"/>
      <c r="AF191" s="1382"/>
      <c r="AG191" s="1382"/>
      <c r="AH191" s="1382"/>
      <c r="AI191" s="1382"/>
      <c r="AJ191" s="1382"/>
      <c r="AK191" s="181"/>
      <c r="AL191" s="181"/>
      <c r="AM191" s="181"/>
      <c r="AN191" s="181"/>
      <c r="AO191" s="181"/>
      <c r="AP191" s="181"/>
      <c r="AQ191" s="181"/>
      <c r="AR191" s="181"/>
      <c r="AS191" s="181"/>
      <c r="AT191" s="181"/>
      <c r="AU191" s="181"/>
      <c r="AV191" s="181"/>
    </row>
    <row r="192" spans="1:48" s="30" customFormat="1" x14ac:dyDescent="0.25">
      <c r="A192" s="1402"/>
      <c r="B192" s="191"/>
      <c r="C192" s="921"/>
      <c r="D192" s="2065"/>
      <c r="E192" s="936"/>
      <c r="F192" s="933" t="s">
        <v>37</v>
      </c>
      <c r="G192" s="329"/>
      <c r="H192" s="238" t="s">
        <v>796</v>
      </c>
      <c r="I192" s="197"/>
      <c r="J192" s="229"/>
      <c r="K192" s="1391" t="str">
        <f t="shared" si="6"/>
        <v>&lt;----Use DROP DOWN to chose if Subset Item Applies</v>
      </c>
      <c r="L192" s="1382"/>
      <c r="M192" s="1382"/>
      <c r="N192" s="1382"/>
      <c r="O192" s="1382"/>
      <c r="P192" s="1382"/>
      <c r="Q192" s="1382"/>
      <c r="R192" s="1382"/>
      <c r="S192" s="1382"/>
      <c r="T192" s="1382"/>
      <c r="U192" s="1382"/>
      <c r="V192" s="1382"/>
      <c r="W192" s="1382"/>
      <c r="X192" s="1382"/>
      <c r="Y192" s="1382"/>
      <c r="Z192" s="1382"/>
      <c r="AA192" s="1382"/>
      <c r="AB192" s="1382"/>
      <c r="AC192" s="1382"/>
      <c r="AD192" s="1382"/>
      <c r="AE192" s="1382"/>
      <c r="AF192" s="1382"/>
      <c r="AG192" s="1382"/>
      <c r="AH192" s="1382"/>
      <c r="AI192" s="1382"/>
      <c r="AJ192" s="1382"/>
      <c r="AK192" s="181"/>
      <c r="AL192" s="181"/>
      <c r="AM192" s="181"/>
      <c r="AN192" s="181"/>
      <c r="AO192" s="181"/>
      <c r="AP192" s="181"/>
      <c r="AQ192" s="181"/>
      <c r="AR192" s="181"/>
      <c r="AS192" s="181"/>
      <c r="AT192" s="181"/>
      <c r="AU192" s="181"/>
      <c r="AV192" s="181"/>
    </row>
    <row r="193" spans="1:48" s="30" customFormat="1" x14ac:dyDescent="0.25">
      <c r="A193" s="1402"/>
      <c r="B193" s="191"/>
      <c r="C193" s="921"/>
      <c r="D193" s="2065"/>
      <c r="E193" s="923"/>
      <c r="F193" s="933" t="s">
        <v>37</v>
      </c>
      <c r="G193" s="194"/>
      <c r="H193" s="340" t="s">
        <v>797</v>
      </c>
      <c r="I193" s="197"/>
      <c r="J193" s="229"/>
      <c r="K193" s="1391" t="str">
        <f t="shared" si="6"/>
        <v>&lt;----Use DROP DOWN to chose if Subset Item Applies</v>
      </c>
      <c r="L193" s="1382"/>
      <c r="M193" s="1382"/>
      <c r="N193" s="1382"/>
      <c r="O193" s="1382"/>
      <c r="P193" s="1382"/>
      <c r="Q193" s="1382"/>
      <c r="R193" s="1382"/>
      <c r="S193" s="1382"/>
      <c r="T193" s="1382"/>
      <c r="U193" s="1382"/>
      <c r="V193" s="1382"/>
      <c r="W193" s="1382"/>
      <c r="X193" s="1382"/>
      <c r="Y193" s="1382"/>
      <c r="Z193" s="1382"/>
      <c r="AA193" s="1382"/>
      <c r="AB193" s="1382"/>
      <c r="AC193" s="1382"/>
      <c r="AD193" s="1382"/>
      <c r="AE193" s="1382"/>
      <c r="AF193" s="1382"/>
      <c r="AG193" s="1382"/>
      <c r="AH193" s="1382"/>
      <c r="AI193" s="1382"/>
      <c r="AJ193" s="1382"/>
      <c r="AK193" s="181"/>
      <c r="AL193" s="181"/>
      <c r="AM193" s="181"/>
      <c r="AN193" s="181"/>
      <c r="AO193" s="181"/>
      <c r="AP193" s="181"/>
      <c r="AQ193" s="181"/>
      <c r="AR193" s="181"/>
      <c r="AS193" s="181"/>
      <c r="AT193" s="181"/>
      <c r="AU193" s="181"/>
      <c r="AV193" s="181"/>
    </row>
    <row r="194" spans="1:48" s="30" customFormat="1" x14ac:dyDescent="0.25">
      <c r="A194" s="1402"/>
      <c r="B194" s="191"/>
      <c r="C194" s="921"/>
      <c r="D194" s="2065"/>
      <c r="E194" s="923"/>
      <c r="F194" s="933" t="s">
        <v>37</v>
      </c>
      <c r="G194" s="194"/>
      <c r="H194" s="929" t="s">
        <v>478</v>
      </c>
      <c r="I194" s="197"/>
      <c r="J194" s="229"/>
      <c r="K194" s="1391" t="str">
        <f>IF(Applies_Rpt_Type3_Feas_Concept_Only="N",CONCATENATE("&lt;----HIDE ROW Because Report Type 3 &amp; E",ROW(Applies_Rpt_Type3_Feas_Concept_Only)," is ''N''"),"&lt;----Define Subset ITEM choose applicability.  Hide Row if not in use.")</f>
        <v>&lt;----Define Subset ITEM choose applicability.  Hide Row if not in use.</v>
      </c>
      <c r="L194" s="1382"/>
      <c r="M194" s="1382"/>
      <c r="N194" s="1382"/>
      <c r="O194" s="1382"/>
      <c r="P194" s="1382"/>
      <c r="Q194" s="1382"/>
      <c r="R194" s="1382"/>
      <c r="S194" s="1382"/>
      <c r="T194" s="1382"/>
      <c r="U194" s="1382"/>
      <c r="V194" s="1382"/>
      <c r="W194" s="1382"/>
      <c r="X194" s="1382"/>
      <c r="Y194" s="1382"/>
      <c r="Z194" s="1382"/>
      <c r="AA194" s="1382"/>
      <c r="AB194" s="1382"/>
      <c r="AC194" s="1382"/>
      <c r="AD194" s="1382"/>
      <c r="AE194" s="1382"/>
      <c r="AF194" s="1382"/>
      <c r="AG194" s="1382"/>
      <c r="AH194" s="1382"/>
      <c r="AI194" s="1382"/>
      <c r="AJ194" s="1382"/>
      <c r="AK194" s="181"/>
      <c r="AL194" s="181"/>
      <c r="AM194" s="181"/>
      <c r="AN194" s="181"/>
      <c r="AO194" s="181"/>
      <c r="AP194" s="181"/>
      <c r="AQ194" s="181"/>
      <c r="AR194" s="181"/>
      <c r="AS194" s="181"/>
      <c r="AT194" s="181"/>
      <c r="AU194" s="181"/>
      <c r="AV194" s="181"/>
    </row>
    <row r="195" spans="1:48" s="30" customFormat="1" x14ac:dyDescent="0.25">
      <c r="A195" s="1402"/>
      <c r="B195" s="191"/>
      <c r="C195" s="921"/>
      <c r="D195" s="2065"/>
      <c r="E195" s="923"/>
      <c r="F195" s="933" t="s">
        <v>37</v>
      </c>
      <c r="G195" s="194"/>
      <c r="H195" s="929" t="s">
        <v>478</v>
      </c>
      <c r="I195" s="197"/>
      <c r="J195" s="229"/>
      <c r="K195" s="1391" t="str">
        <f>IF(Applies_Rpt_Type3_Feas_Concept_Only="N",CONCATENATE("&lt;----HIDE ROW Because Report Type 3 &amp; E",ROW(Applies_Rpt_Type3_Feas_Concept_Only)," is ''N''"),"&lt;----Define Subset ITEM choose applicability.  Hide Row if not in use.")</f>
        <v>&lt;----Define Subset ITEM choose applicability.  Hide Row if not in use.</v>
      </c>
      <c r="L195" s="1382"/>
      <c r="M195" s="1382"/>
      <c r="N195" s="1382"/>
      <c r="O195" s="1382"/>
      <c r="P195" s="1382"/>
      <c r="Q195" s="1382"/>
      <c r="R195" s="1382"/>
      <c r="S195" s="1382"/>
      <c r="T195" s="1382"/>
      <c r="U195" s="1382"/>
      <c r="V195" s="1382"/>
      <c r="W195" s="1382"/>
      <c r="X195" s="1382"/>
      <c r="Y195" s="1382"/>
      <c r="Z195" s="1382"/>
      <c r="AA195" s="1382"/>
      <c r="AB195" s="1382"/>
      <c r="AC195" s="1382"/>
      <c r="AD195" s="1382"/>
      <c r="AE195" s="1382"/>
      <c r="AF195" s="1382"/>
      <c r="AG195" s="1382"/>
      <c r="AH195" s="1382"/>
      <c r="AI195" s="1382"/>
      <c r="AJ195" s="1382"/>
      <c r="AK195" s="181"/>
      <c r="AL195" s="181"/>
      <c r="AM195" s="181"/>
      <c r="AN195" s="181"/>
      <c r="AO195" s="181"/>
      <c r="AP195" s="181"/>
      <c r="AQ195" s="181"/>
      <c r="AR195" s="181"/>
      <c r="AS195" s="181"/>
      <c r="AT195" s="181"/>
      <c r="AU195" s="181"/>
      <c r="AV195" s="181"/>
    </row>
    <row r="196" spans="1:48" s="30" customFormat="1" x14ac:dyDescent="0.25">
      <c r="A196" s="1402"/>
      <c r="B196" s="191"/>
      <c r="C196" s="921"/>
      <c r="D196" s="2065"/>
      <c r="E196" s="923"/>
      <c r="F196" s="933" t="s">
        <v>37</v>
      </c>
      <c r="G196" s="194"/>
      <c r="H196" s="929" t="s">
        <v>478</v>
      </c>
      <c r="I196" s="197"/>
      <c r="J196" s="229"/>
      <c r="K196" s="1391" t="str">
        <f>IF(Applies_Rpt_Type3_Feas_Concept_Only="N",CONCATENATE("&lt;----HIDE ROW Because Report Type 3 &amp; E",ROW(Applies_Rpt_Type3_Feas_Concept_Only)," is ''N''"),"&lt;----Define Subset ITEM choose applicability.  Hide Row if not in use.")</f>
        <v>&lt;----Define Subset ITEM choose applicability.  Hide Row if not in use.</v>
      </c>
      <c r="L196" s="1382"/>
      <c r="M196" s="1382"/>
      <c r="N196" s="1382"/>
      <c r="O196" s="1382"/>
      <c r="P196" s="1382"/>
      <c r="Q196" s="1382"/>
      <c r="R196" s="1382"/>
      <c r="S196" s="1382"/>
      <c r="T196" s="1382"/>
      <c r="U196" s="1382"/>
      <c r="V196" s="1382"/>
      <c r="W196" s="1382"/>
      <c r="X196" s="1382"/>
      <c r="Y196" s="1382"/>
      <c r="Z196" s="1382"/>
      <c r="AA196" s="1382"/>
      <c r="AB196" s="1382"/>
      <c r="AC196" s="1382"/>
      <c r="AD196" s="1382"/>
      <c r="AE196" s="1382"/>
      <c r="AF196" s="1382"/>
      <c r="AG196" s="1382"/>
      <c r="AH196" s="1382"/>
      <c r="AI196" s="1382"/>
      <c r="AJ196" s="1382"/>
      <c r="AK196" s="181"/>
      <c r="AL196" s="181"/>
      <c r="AM196" s="181"/>
      <c r="AN196" s="181"/>
      <c r="AO196" s="181"/>
      <c r="AP196" s="181"/>
      <c r="AQ196" s="181"/>
      <c r="AR196" s="181"/>
      <c r="AS196" s="181"/>
      <c r="AT196" s="181"/>
      <c r="AU196" s="181"/>
      <c r="AV196" s="181"/>
    </row>
    <row r="197" spans="1:48" s="30" customFormat="1" x14ac:dyDescent="0.25">
      <c r="A197" s="1402"/>
      <c r="B197" s="191"/>
      <c r="C197" s="921"/>
      <c r="D197" s="2065"/>
      <c r="E197" s="923"/>
      <c r="F197" s="933" t="s">
        <v>37</v>
      </c>
      <c r="G197" s="194"/>
      <c r="H197" s="929" t="s">
        <v>478</v>
      </c>
      <c r="I197" s="197"/>
      <c r="J197" s="229"/>
      <c r="K197" s="1391" t="str">
        <f>IF(Applies_Rpt_Type3_Feas_Concept_Only="N",CONCATENATE("&lt;----HIDE ROW Because Report Type 3 &amp; E",ROW(Applies_Rpt_Type3_Feas_Concept_Only)," is ''N''"),"&lt;----Define Subset ITEM choose applicability.  Hide Row if not in use.")</f>
        <v>&lt;----Define Subset ITEM choose applicability.  Hide Row if not in use.</v>
      </c>
      <c r="L197" s="1382"/>
      <c r="M197" s="1382"/>
      <c r="N197" s="1382"/>
      <c r="O197" s="1382"/>
      <c r="P197" s="1382"/>
      <c r="Q197" s="1382"/>
      <c r="R197" s="1382"/>
      <c r="S197" s="1382"/>
      <c r="T197" s="1382"/>
      <c r="U197" s="1382"/>
      <c r="V197" s="1382"/>
      <c r="W197" s="1382"/>
      <c r="X197" s="1382"/>
      <c r="Y197" s="1382"/>
      <c r="Z197" s="1382"/>
      <c r="AA197" s="1382"/>
      <c r="AB197" s="1382"/>
      <c r="AC197" s="1382"/>
      <c r="AD197" s="1382"/>
      <c r="AE197" s="1382"/>
      <c r="AF197" s="1382"/>
      <c r="AG197" s="1382"/>
      <c r="AH197" s="1382"/>
      <c r="AI197" s="1382"/>
      <c r="AJ197" s="1382"/>
      <c r="AK197" s="181"/>
      <c r="AL197" s="181"/>
      <c r="AM197" s="181"/>
      <c r="AN197" s="181"/>
      <c r="AO197" s="181"/>
      <c r="AP197" s="181"/>
      <c r="AQ197" s="181"/>
      <c r="AR197" s="181"/>
      <c r="AS197" s="181"/>
      <c r="AT197" s="181"/>
      <c r="AU197" s="181"/>
      <c r="AV197" s="181"/>
    </row>
    <row r="198" spans="1:48" s="30" customFormat="1" x14ac:dyDescent="0.25">
      <c r="A198" s="1402"/>
      <c r="B198" s="191"/>
      <c r="C198" s="921"/>
      <c r="D198" s="2066"/>
      <c r="E198" s="923"/>
      <c r="F198" s="933" t="s">
        <v>37</v>
      </c>
      <c r="G198" s="194"/>
      <c r="H198" s="929" t="s">
        <v>478</v>
      </c>
      <c r="I198" s="197"/>
      <c r="J198" s="229"/>
      <c r="K198" s="1391" t="str">
        <f>IF(Applies_Rpt_Type3_Feas_Concept_Only="N",CONCATENATE("&lt;----HIDE ROW Because Report Type 3 &amp; E",ROW(Applies_Rpt_Type3_Feas_Concept_Only)," is ''N''"),"&lt;----Define Subset ITEM choose applicability.  Hide Row if not in use.")</f>
        <v>&lt;----Define Subset ITEM choose applicability.  Hide Row if not in use.</v>
      </c>
      <c r="L198" s="1382"/>
      <c r="M198" s="1382"/>
      <c r="N198" s="1382"/>
      <c r="O198" s="1382"/>
      <c r="P198" s="1382"/>
      <c r="Q198" s="1382"/>
      <c r="R198" s="1382"/>
      <c r="S198" s="1382"/>
      <c r="T198" s="1382"/>
      <c r="U198" s="1382"/>
      <c r="V198" s="1382"/>
      <c r="W198" s="1382"/>
      <c r="X198" s="1382"/>
      <c r="Y198" s="1382"/>
      <c r="Z198" s="1382"/>
      <c r="AA198" s="1382"/>
      <c r="AB198" s="1382"/>
      <c r="AC198" s="1382"/>
      <c r="AD198" s="1382"/>
      <c r="AE198" s="1382"/>
      <c r="AF198" s="1382"/>
      <c r="AG198" s="1382"/>
      <c r="AH198" s="1382"/>
      <c r="AI198" s="1382"/>
      <c r="AJ198" s="1382"/>
      <c r="AK198" s="181"/>
      <c r="AL198" s="181"/>
      <c r="AM198" s="181"/>
      <c r="AN198" s="181"/>
      <c r="AO198" s="181"/>
      <c r="AP198" s="181"/>
      <c r="AQ198" s="181"/>
      <c r="AR198" s="181"/>
      <c r="AS198" s="181"/>
      <c r="AT198" s="181"/>
      <c r="AU198" s="181"/>
      <c r="AV198" s="181"/>
    </row>
    <row r="199" spans="1:48" s="30" customFormat="1" ht="31.5" customHeight="1" x14ac:dyDescent="0.25">
      <c r="A199" s="1408"/>
      <c r="B199" s="191"/>
      <c r="C199" s="921"/>
      <c r="D199" s="2076" t="s">
        <v>591</v>
      </c>
      <c r="E199" s="939" t="s">
        <v>37</v>
      </c>
      <c r="F199" s="917"/>
      <c r="G199" s="178"/>
      <c r="H199" s="452" t="s">
        <v>511</v>
      </c>
      <c r="I199" s="206"/>
      <c r="J199" s="229"/>
      <c r="K199" s="1384" t="str">
        <f>IF(Applies_Rpt_Type4_Feas_Concept_Only="N",CONCATENATE("&lt;----HIDE ROW Because Report Type 4 &amp; E",ROW(Applies_Rpt_Type4_Feas_Concept_Only)," is ''N''"),"&lt;----Use DROP DOWN to chose it Deliverable/Master Item Applies")</f>
        <v>&lt;----Use DROP DOWN to chose it Deliverable/Master Item Applies</v>
      </c>
      <c r="L199" s="1382"/>
      <c r="M199" s="1382"/>
      <c r="N199" s="1382"/>
      <c r="O199" s="1382"/>
      <c r="P199" s="1382"/>
      <c r="Q199" s="1382"/>
      <c r="R199" s="1274"/>
      <c r="S199" s="1382"/>
      <c r="T199" s="1382"/>
      <c r="U199" s="1382"/>
      <c r="V199" s="1382"/>
      <c r="W199" s="1382"/>
      <c r="X199" s="1382"/>
      <c r="Y199" s="1382"/>
      <c r="Z199" s="1382"/>
      <c r="AA199" s="1382"/>
      <c r="AB199" s="1382"/>
      <c r="AC199" s="1382"/>
      <c r="AD199" s="1382"/>
      <c r="AE199" s="1382"/>
      <c r="AF199" s="1382"/>
      <c r="AG199" s="1382"/>
      <c r="AH199" s="1382"/>
      <c r="AI199" s="1382"/>
      <c r="AJ199" s="1382"/>
      <c r="AK199" s="181"/>
      <c r="AL199" s="181"/>
      <c r="AM199" s="181"/>
      <c r="AN199" s="181"/>
      <c r="AO199" s="181"/>
      <c r="AP199" s="181"/>
      <c r="AQ199" s="181"/>
      <c r="AR199" s="181"/>
      <c r="AS199" s="181"/>
      <c r="AT199" s="181"/>
      <c r="AU199" s="181"/>
      <c r="AV199" s="181"/>
    </row>
    <row r="200" spans="1:48" s="30" customFormat="1" x14ac:dyDescent="0.25">
      <c r="A200" s="1402"/>
      <c r="B200" s="191"/>
      <c r="C200" s="921"/>
      <c r="D200" s="2077"/>
      <c r="E200" s="923"/>
      <c r="F200" s="933" t="s">
        <v>37</v>
      </c>
      <c r="G200" s="194"/>
      <c r="H200" s="340" t="s">
        <v>507</v>
      </c>
      <c r="I200" s="197"/>
      <c r="J200" s="229"/>
      <c r="K200" s="1391" t="str">
        <f t="shared" ref="K200:K216" si="7">IF(Applies_Rpt_Type4_Feas_Concept_Only="N",CONCATENATE("&lt;----HIDE ROW Because Report Type 4 &amp; E",ROW(Applies_Rpt_Type4_Feas_Concept_Only)," is ''N''"),"&lt;----Use DROP DOWN to chose if Subset Item Applies")</f>
        <v>&lt;----Use DROP DOWN to chose if Subset Item Applies</v>
      </c>
      <c r="L200" s="1382"/>
      <c r="M200" s="1382"/>
      <c r="N200" s="1382"/>
      <c r="O200" s="1382"/>
      <c r="P200" s="1382"/>
      <c r="Q200" s="1382"/>
      <c r="R200" s="1382"/>
      <c r="S200" s="1382"/>
      <c r="T200" s="1382"/>
      <c r="U200" s="1382"/>
      <c r="V200" s="1382"/>
      <c r="W200" s="1382"/>
      <c r="X200" s="1382"/>
      <c r="Y200" s="1382"/>
      <c r="Z200" s="1382"/>
      <c r="AA200" s="1382"/>
      <c r="AB200" s="1382"/>
      <c r="AC200" s="1382"/>
      <c r="AD200" s="1382"/>
      <c r="AE200" s="1382"/>
      <c r="AF200" s="1382"/>
      <c r="AG200" s="1382"/>
      <c r="AH200" s="1382"/>
      <c r="AI200" s="1382"/>
      <c r="AJ200" s="1382"/>
      <c r="AK200" s="181"/>
      <c r="AL200" s="181"/>
      <c r="AM200" s="181"/>
      <c r="AN200" s="181"/>
      <c r="AO200" s="181"/>
      <c r="AP200" s="181"/>
      <c r="AQ200" s="181"/>
      <c r="AR200" s="181"/>
      <c r="AS200" s="181"/>
      <c r="AT200" s="181"/>
      <c r="AU200" s="181"/>
      <c r="AV200" s="181"/>
    </row>
    <row r="201" spans="1:48" s="30" customFormat="1" x14ac:dyDescent="0.25">
      <c r="A201" s="1402"/>
      <c r="B201" s="191"/>
      <c r="C201" s="921"/>
      <c r="D201" s="2077"/>
      <c r="E201" s="923"/>
      <c r="F201" s="933" t="s">
        <v>37</v>
      </c>
      <c r="G201" s="194"/>
      <c r="H201" s="340" t="s">
        <v>183</v>
      </c>
      <c r="I201" s="197"/>
      <c r="J201" s="229"/>
      <c r="K201" s="1391" t="str">
        <f t="shared" si="7"/>
        <v>&lt;----Use DROP DOWN to chose if Subset Item Applies</v>
      </c>
      <c r="L201" s="1382"/>
      <c r="M201" s="1382"/>
      <c r="N201" s="1382"/>
      <c r="O201" s="1382"/>
      <c r="P201" s="1382"/>
      <c r="Q201" s="1382"/>
      <c r="R201" s="1382"/>
      <c r="S201" s="1382"/>
      <c r="T201" s="1382"/>
      <c r="U201" s="1382"/>
      <c r="V201" s="1382"/>
      <c r="W201" s="1382"/>
      <c r="X201" s="1382"/>
      <c r="Y201" s="1382"/>
      <c r="Z201" s="1382"/>
      <c r="AA201" s="1382"/>
      <c r="AB201" s="1382"/>
      <c r="AC201" s="1382"/>
      <c r="AD201" s="1382"/>
      <c r="AE201" s="1382"/>
      <c r="AF201" s="1382"/>
      <c r="AG201" s="1382"/>
      <c r="AH201" s="1382"/>
      <c r="AI201" s="1382"/>
      <c r="AJ201" s="1382"/>
      <c r="AK201" s="181"/>
      <c r="AL201" s="181"/>
      <c r="AM201" s="181"/>
      <c r="AN201" s="181"/>
      <c r="AO201" s="181"/>
      <c r="AP201" s="181"/>
      <c r="AQ201" s="181"/>
      <c r="AR201" s="181"/>
      <c r="AS201" s="181"/>
      <c r="AT201" s="181"/>
      <c r="AU201" s="181"/>
      <c r="AV201" s="181"/>
    </row>
    <row r="202" spans="1:48" s="30" customFormat="1" x14ac:dyDescent="0.25">
      <c r="A202" s="1402"/>
      <c r="B202" s="191"/>
      <c r="C202" s="921"/>
      <c r="D202" s="2077"/>
      <c r="E202" s="923"/>
      <c r="F202" s="933" t="s">
        <v>37</v>
      </c>
      <c r="G202" s="194"/>
      <c r="H202" s="340" t="s">
        <v>190</v>
      </c>
      <c r="I202" s="197"/>
      <c r="J202" s="229"/>
      <c r="K202" s="1391" t="str">
        <f t="shared" si="7"/>
        <v>&lt;----Use DROP DOWN to chose if Subset Item Applies</v>
      </c>
      <c r="L202" s="1382"/>
      <c r="M202" s="1382"/>
      <c r="N202" s="1382"/>
      <c r="O202" s="1382"/>
      <c r="P202" s="1382"/>
      <c r="Q202" s="1382"/>
      <c r="R202" s="1382"/>
      <c r="S202" s="1382"/>
      <c r="T202" s="1382"/>
      <c r="U202" s="1382"/>
      <c r="V202" s="1382"/>
      <c r="W202" s="1382"/>
      <c r="X202" s="1382"/>
      <c r="Y202" s="1382"/>
      <c r="Z202" s="1382"/>
      <c r="AA202" s="1382"/>
      <c r="AB202" s="1382"/>
      <c r="AC202" s="1382"/>
      <c r="AD202" s="1382"/>
      <c r="AE202" s="1382"/>
      <c r="AF202" s="1382"/>
      <c r="AG202" s="1382"/>
      <c r="AH202" s="1382"/>
      <c r="AI202" s="1382"/>
      <c r="AJ202" s="1382"/>
      <c r="AK202" s="181"/>
      <c r="AL202" s="181"/>
      <c r="AM202" s="181"/>
      <c r="AN202" s="181"/>
      <c r="AO202" s="181"/>
      <c r="AP202" s="181"/>
      <c r="AQ202" s="181"/>
      <c r="AR202" s="181"/>
      <c r="AS202" s="181"/>
      <c r="AT202" s="181"/>
      <c r="AU202" s="181"/>
      <c r="AV202" s="181"/>
    </row>
    <row r="203" spans="1:48" s="30" customFormat="1" x14ac:dyDescent="0.25">
      <c r="A203" s="1402"/>
      <c r="B203" s="191"/>
      <c r="C203" s="921"/>
      <c r="D203" s="2077"/>
      <c r="E203" s="923"/>
      <c r="F203" s="933" t="s">
        <v>37</v>
      </c>
      <c r="G203" s="194"/>
      <c r="H203" s="340" t="s">
        <v>201</v>
      </c>
      <c r="I203" s="197"/>
      <c r="J203" s="229"/>
      <c r="K203" s="1391" t="str">
        <f t="shared" si="7"/>
        <v>&lt;----Use DROP DOWN to chose if Subset Item Applies</v>
      </c>
      <c r="L203" s="1382"/>
      <c r="M203" s="1382"/>
      <c r="N203" s="1382"/>
      <c r="O203" s="1382"/>
      <c r="P203" s="1382"/>
      <c r="Q203" s="1382"/>
      <c r="R203" s="1382"/>
      <c r="S203" s="1382"/>
      <c r="T203" s="1382"/>
      <c r="U203" s="1382"/>
      <c r="V203" s="1382"/>
      <c r="W203" s="1382"/>
      <c r="X203" s="1382"/>
      <c r="Y203" s="1382"/>
      <c r="Z203" s="1382"/>
      <c r="AA203" s="1382"/>
      <c r="AB203" s="1382"/>
      <c r="AC203" s="1382"/>
      <c r="AD203" s="1382"/>
      <c r="AE203" s="1382"/>
      <c r="AF203" s="1382"/>
      <c r="AG203" s="1382"/>
      <c r="AH203" s="1382"/>
      <c r="AI203" s="1382"/>
      <c r="AJ203" s="1382"/>
      <c r="AK203" s="181"/>
      <c r="AL203" s="181"/>
      <c r="AM203" s="181"/>
      <c r="AN203" s="181"/>
      <c r="AO203" s="181"/>
      <c r="AP203" s="181"/>
      <c r="AQ203" s="181"/>
      <c r="AR203" s="181"/>
      <c r="AS203" s="181"/>
      <c r="AT203" s="181"/>
      <c r="AU203" s="181"/>
      <c r="AV203" s="181"/>
    </row>
    <row r="204" spans="1:48" s="30" customFormat="1" x14ac:dyDescent="0.25">
      <c r="A204" s="1402"/>
      <c r="B204" s="191"/>
      <c r="C204" s="921"/>
      <c r="D204" s="2077"/>
      <c r="E204" s="923"/>
      <c r="F204" s="933" t="s">
        <v>37</v>
      </c>
      <c r="G204" s="194"/>
      <c r="H204" s="340" t="s">
        <v>202</v>
      </c>
      <c r="I204" s="197"/>
      <c r="J204" s="229"/>
      <c r="K204" s="1391" t="str">
        <f t="shared" si="7"/>
        <v>&lt;----Use DROP DOWN to chose if Subset Item Applies</v>
      </c>
      <c r="L204" s="1382"/>
      <c r="M204" s="1382"/>
      <c r="N204" s="1382"/>
      <c r="O204" s="1382"/>
      <c r="P204" s="1382"/>
      <c r="Q204" s="1382"/>
      <c r="R204" s="1382"/>
      <c r="S204" s="1382"/>
      <c r="T204" s="1382"/>
      <c r="U204" s="1382"/>
      <c r="V204" s="1382"/>
      <c r="W204" s="1382"/>
      <c r="X204" s="1382"/>
      <c r="Y204" s="1382"/>
      <c r="Z204" s="1382"/>
      <c r="AA204" s="1382"/>
      <c r="AB204" s="1382"/>
      <c r="AC204" s="1382"/>
      <c r="AD204" s="1382"/>
      <c r="AE204" s="1382"/>
      <c r="AF204" s="1382"/>
      <c r="AG204" s="1382"/>
      <c r="AH204" s="1382"/>
      <c r="AI204" s="1382"/>
      <c r="AJ204" s="1382"/>
      <c r="AK204" s="181"/>
      <c r="AL204" s="181"/>
      <c r="AM204" s="181"/>
      <c r="AN204" s="181"/>
      <c r="AO204" s="181"/>
      <c r="AP204" s="181"/>
      <c r="AQ204" s="181"/>
      <c r="AR204" s="181"/>
      <c r="AS204" s="181"/>
      <c r="AT204" s="181"/>
      <c r="AU204" s="181"/>
      <c r="AV204" s="181"/>
    </row>
    <row r="205" spans="1:48" s="30" customFormat="1" x14ac:dyDescent="0.25">
      <c r="A205" s="1402"/>
      <c r="B205" s="191"/>
      <c r="C205" s="921"/>
      <c r="D205" s="2077"/>
      <c r="E205" s="923"/>
      <c r="F205" s="933" t="s">
        <v>37</v>
      </c>
      <c r="G205" s="194"/>
      <c r="H205" s="340" t="s">
        <v>199</v>
      </c>
      <c r="I205" s="197"/>
      <c r="J205" s="229"/>
      <c r="K205" s="1391" t="str">
        <f t="shared" si="7"/>
        <v>&lt;----Use DROP DOWN to chose if Subset Item Applies</v>
      </c>
      <c r="L205" s="1382"/>
      <c r="M205" s="1382"/>
      <c r="N205" s="1382"/>
      <c r="O205" s="1382"/>
      <c r="P205" s="1382"/>
      <c r="Q205" s="1382"/>
      <c r="R205" s="1382"/>
      <c r="S205" s="1382"/>
      <c r="T205" s="1382"/>
      <c r="U205" s="1382"/>
      <c r="V205" s="1382"/>
      <c r="W205" s="1382"/>
      <c r="X205" s="1382"/>
      <c r="Y205" s="1382"/>
      <c r="Z205" s="1382"/>
      <c r="AA205" s="1382"/>
      <c r="AB205" s="1382"/>
      <c r="AC205" s="1382"/>
      <c r="AD205" s="1382"/>
      <c r="AE205" s="1382"/>
      <c r="AF205" s="1382"/>
      <c r="AG205" s="1382"/>
      <c r="AH205" s="1382"/>
      <c r="AI205" s="1382"/>
      <c r="AJ205" s="1382"/>
      <c r="AK205" s="181"/>
      <c r="AL205" s="181"/>
      <c r="AM205" s="181"/>
      <c r="AN205" s="181"/>
      <c r="AO205" s="181"/>
      <c r="AP205" s="181"/>
      <c r="AQ205" s="181"/>
      <c r="AR205" s="181"/>
      <c r="AS205" s="181"/>
      <c r="AT205" s="181"/>
      <c r="AU205" s="181"/>
      <c r="AV205" s="181"/>
    </row>
    <row r="206" spans="1:48" s="30" customFormat="1" x14ac:dyDescent="0.25">
      <c r="A206" s="1402"/>
      <c r="B206" s="191"/>
      <c r="C206" s="921"/>
      <c r="D206" s="2077"/>
      <c r="E206" s="923"/>
      <c r="F206" s="933" t="s">
        <v>37</v>
      </c>
      <c r="G206" s="194"/>
      <c r="H206" s="340" t="s">
        <v>203</v>
      </c>
      <c r="I206" s="197"/>
      <c r="J206" s="229"/>
      <c r="K206" s="1391" t="str">
        <f t="shared" si="7"/>
        <v>&lt;----Use DROP DOWN to chose if Subset Item Applies</v>
      </c>
      <c r="L206" s="1382"/>
      <c r="M206" s="1382"/>
      <c r="N206" s="1382"/>
      <c r="O206" s="1382"/>
      <c r="P206" s="1382"/>
      <c r="Q206" s="1382"/>
      <c r="R206" s="1382"/>
      <c r="S206" s="1382"/>
      <c r="T206" s="1382"/>
      <c r="U206" s="1382"/>
      <c r="V206" s="1382"/>
      <c r="W206" s="1382"/>
      <c r="X206" s="1382"/>
      <c r="Y206" s="1382"/>
      <c r="Z206" s="1382"/>
      <c r="AA206" s="1382"/>
      <c r="AB206" s="1382"/>
      <c r="AC206" s="1382"/>
      <c r="AD206" s="1382"/>
      <c r="AE206" s="1382"/>
      <c r="AF206" s="1382"/>
      <c r="AG206" s="1382"/>
      <c r="AH206" s="1382"/>
      <c r="AI206" s="1382"/>
      <c r="AJ206" s="1382"/>
      <c r="AK206" s="181"/>
      <c r="AL206" s="181"/>
      <c r="AM206" s="181"/>
      <c r="AN206" s="181"/>
      <c r="AO206" s="181"/>
      <c r="AP206" s="181"/>
      <c r="AQ206" s="181"/>
      <c r="AR206" s="181"/>
      <c r="AS206" s="181"/>
      <c r="AT206" s="181"/>
      <c r="AU206" s="181"/>
      <c r="AV206" s="181"/>
    </row>
    <row r="207" spans="1:48" s="30" customFormat="1" x14ac:dyDescent="0.25">
      <c r="A207" s="1402"/>
      <c r="B207" s="191"/>
      <c r="C207" s="921"/>
      <c r="D207" s="2077"/>
      <c r="E207" s="923"/>
      <c r="F207" s="933" t="s">
        <v>37</v>
      </c>
      <c r="G207" s="194"/>
      <c r="H207" s="340" t="s">
        <v>587</v>
      </c>
      <c r="I207" s="197"/>
      <c r="J207" s="229"/>
      <c r="K207" s="1391" t="str">
        <f t="shared" si="7"/>
        <v>&lt;----Use DROP DOWN to chose if Subset Item Applies</v>
      </c>
      <c r="L207" s="1382"/>
      <c r="M207" s="1382"/>
      <c r="N207" s="1382"/>
      <c r="O207" s="1382"/>
      <c r="P207" s="1382"/>
      <c r="Q207" s="1382"/>
      <c r="R207" s="1382"/>
      <c r="S207" s="1382"/>
      <c r="T207" s="1382"/>
      <c r="U207" s="1382"/>
      <c r="V207" s="1382"/>
      <c r="W207" s="1382"/>
      <c r="X207" s="1382"/>
      <c r="Y207" s="1382"/>
      <c r="Z207" s="1382"/>
      <c r="AA207" s="1382"/>
      <c r="AB207" s="1382"/>
      <c r="AC207" s="1382"/>
      <c r="AD207" s="1382"/>
      <c r="AE207" s="1382"/>
      <c r="AF207" s="1382"/>
      <c r="AG207" s="1382"/>
      <c r="AH207" s="1382"/>
      <c r="AI207" s="1382"/>
      <c r="AJ207" s="1382"/>
      <c r="AK207" s="181"/>
      <c r="AL207" s="181"/>
      <c r="AM207" s="181"/>
      <c r="AN207" s="181"/>
      <c r="AO207" s="181"/>
      <c r="AP207" s="181"/>
      <c r="AQ207" s="181"/>
      <c r="AR207" s="181"/>
      <c r="AS207" s="181"/>
      <c r="AT207" s="181"/>
      <c r="AU207" s="181"/>
      <c r="AV207" s="181"/>
    </row>
    <row r="208" spans="1:48" s="30" customFormat="1" ht="28.5" x14ac:dyDescent="0.25">
      <c r="A208" s="1402"/>
      <c r="B208" s="191"/>
      <c r="C208" s="921"/>
      <c r="D208" s="2077"/>
      <c r="E208" s="936"/>
      <c r="F208" s="933" t="s">
        <v>37</v>
      </c>
      <c r="G208" s="329"/>
      <c r="H208" s="238" t="s">
        <v>204</v>
      </c>
      <c r="I208" s="197"/>
      <c r="J208" s="229"/>
      <c r="K208" s="1391" t="str">
        <f t="shared" si="7"/>
        <v>&lt;----Use DROP DOWN to chose if Subset Item Applies</v>
      </c>
      <c r="L208" s="1382"/>
      <c r="M208" s="1382"/>
      <c r="N208" s="1382"/>
      <c r="O208" s="1382"/>
      <c r="P208" s="1382"/>
      <c r="Q208" s="1382"/>
      <c r="R208" s="1382"/>
      <c r="S208" s="1382"/>
      <c r="T208" s="1382"/>
      <c r="U208" s="1382"/>
      <c r="V208" s="1382"/>
      <c r="W208" s="1382"/>
      <c r="X208" s="1382"/>
      <c r="Y208" s="1382"/>
      <c r="Z208" s="1382"/>
      <c r="AA208" s="1382"/>
      <c r="AB208" s="1382"/>
      <c r="AC208" s="1382"/>
      <c r="AD208" s="1382"/>
      <c r="AE208" s="1382"/>
      <c r="AF208" s="1382"/>
      <c r="AG208" s="1382"/>
      <c r="AH208" s="1382"/>
      <c r="AI208" s="1382"/>
      <c r="AJ208" s="1382"/>
      <c r="AK208" s="181"/>
      <c r="AL208" s="181"/>
      <c r="AM208" s="181"/>
      <c r="AN208" s="181"/>
      <c r="AO208" s="181"/>
      <c r="AP208" s="181"/>
      <c r="AQ208" s="181"/>
      <c r="AR208" s="181"/>
      <c r="AS208" s="181"/>
      <c r="AT208" s="181"/>
      <c r="AU208" s="181"/>
      <c r="AV208" s="181"/>
    </row>
    <row r="209" spans="1:48" s="30" customFormat="1" ht="28.5" x14ac:dyDescent="0.25">
      <c r="A209" s="1402"/>
      <c r="B209" s="191"/>
      <c r="C209" s="921"/>
      <c r="D209" s="2077"/>
      <c r="E209" s="923"/>
      <c r="F209" s="933" t="s">
        <v>37</v>
      </c>
      <c r="G209" s="194"/>
      <c r="H209" s="340" t="s">
        <v>260</v>
      </c>
      <c r="I209" s="197"/>
      <c r="J209" s="229"/>
      <c r="K209" s="1391" t="str">
        <f t="shared" si="7"/>
        <v>&lt;----Use DROP DOWN to chose if Subset Item Applies</v>
      </c>
      <c r="L209" s="1382"/>
      <c r="M209" s="1382"/>
      <c r="N209" s="1382"/>
      <c r="O209" s="1382"/>
      <c r="P209" s="1382"/>
      <c r="Q209" s="1382"/>
      <c r="R209" s="1382"/>
      <c r="S209" s="1382"/>
      <c r="T209" s="1382"/>
      <c r="U209" s="1382"/>
      <c r="V209" s="1382"/>
      <c r="W209" s="1382"/>
      <c r="X209" s="1382"/>
      <c r="Y209" s="1382"/>
      <c r="Z209" s="1382"/>
      <c r="AA209" s="1382"/>
      <c r="AB209" s="1382"/>
      <c r="AC209" s="1382"/>
      <c r="AD209" s="1382"/>
      <c r="AE209" s="1382"/>
      <c r="AF209" s="1382"/>
      <c r="AG209" s="1382"/>
      <c r="AH209" s="1382"/>
      <c r="AI209" s="1382"/>
      <c r="AJ209" s="1382"/>
      <c r="AK209" s="181"/>
      <c r="AL209" s="181"/>
      <c r="AM209" s="181"/>
      <c r="AN209" s="181"/>
      <c r="AO209" s="181"/>
      <c r="AP209" s="181"/>
      <c r="AQ209" s="181"/>
      <c r="AR209" s="181"/>
      <c r="AS209" s="181"/>
      <c r="AT209" s="181"/>
      <c r="AU209" s="181"/>
      <c r="AV209" s="181"/>
    </row>
    <row r="210" spans="1:48" s="30" customFormat="1" x14ac:dyDescent="0.25">
      <c r="A210" s="1402"/>
      <c r="B210" s="191"/>
      <c r="C210" s="921"/>
      <c r="D210" s="2077"/>
      <c r="E210" s="923"/>
      <c r="F210" s="933" t="s">
        <v>37</v>
      </c>
      <c r="G210" s="194"/>
      <c r="H210" s="340" t="s">
        <v>791</v>
      </c>
      <c r="I210" s="197"/>
      <c r="J210" s="229"/>
      <c r="K210" s="1391" t="str">
        <f t="shared" si="7"/>
        <v>&lt;----Use DROP DOWN to chose if Subset Item Applies</v>
      </c>
      <c r="L210" s="1382"/>
      <c r="M210" s="1382"/>
      <c r="N210" s="1382"/>
      <c r="O210" s="1382"/>
      <c r="P210" s="1382"/>
      <c r="Q210" s="1382"/>
      <c r="R210" s="1382"/>
      <c r="S210" s="1382"/>
      <c r="T210" s="1382"/>
      <c r="U210" s="1382"/>
      <c r="V210" s="1382"/>
      <c r="W210" s="1382"/>
      <c r="X210" s="1382"/>
      <c r="Y210" s="1382"/>
      <c r="Z210" s="1382"/>
      <c r="AA210" s="1382"/>
      <c r="AB210" s="1382"/>
      <c r="AC210" s="1382"/>
      <c r="AD210" s="1382"/>
      <c r="AE210" s="1382"/>
      <c r="AF210" s="1382"/>
      <c r="AG210" s="1382"/>
      <c r="AH210" s="1382"/>
      <c r="AI210" s="1382"/>
      <c r="AJ210" s="1382"/>
      <c r="AK210" s="181"/>
      <c r="AL210" s="181"/>
      <c r="AM210" s="181"/>
      <c r="AN210" s="181"/>
      <c r="AO210" s="181"/>
      <c r="AP210" s="181"/>
      <c r="AQ210" s="181"/>
      <c r="AR210" s="181"/>
      <c r="AS210" s="181"/>
      <c r="AT210" s="181"/>
      <c r="AU210" s="181"/>
      <c r="AV210" s="181"/>
    </row>
    <row r="211" spans="1:48" s="30" customFormat="1" x14ac:dyDescent="0.25">
      <c r="A211" s="1402"/>
      <c r="B211" s="191"/>
      <c r="C211" s="921"/>
      <c r="D211" s="2077"/>
      <c r="E211" s="923"/>
      <c r="F211" s="933" t="s">
        <v>37</v>
      </c>
      <c r="G211" s="194"/>
      <c r="H211" s="340" t="s">
        <v>193</v>
      </c>
      <c r="I211" s="197"/>
      <c r="J211" s="229"/>
      <c r="K211" s="1391" t="str">
        <f t="shared" si="7"/>
        <v>&lt;----Use DROP DOWN to chose if Subset Item Applies</v>
      </c>
      <c r="L211" s="1382"/>
      <c r="M211" s="1382"/>
      <c r="N211" s="1382"/>
      <c r="O211" s="1382"/>
      <c r="P211" s="1382"/>
      <c r="Q211" s="1382"/>
      <c r="R211" s="1382"/>
      <c r="S211" s="1382"/>
      <c r="T211" s="1382"/>
      <c r="U211" s="1382"/>
      <c r="V211" s="1382"/>
      <c r="W211" s="1382"/>
      <c r="X211" s="1382"/>
      <c r="Y211" s="1382"/>
      <c r="Z211" s="1382"/>
      <c r="AA211" s="1382"/>
      <c r="AB211" s="1382"/>
      <c r="AC211" s="1382"/>
      <c r="AD211" s="1382"/>
      <c r="AE211" s="1382"/>
      <c r="AF211" s="1382"/>
      <c r="AG211" s="1382"/>
      <c r="AH211" s="1382"/>
      <c r="AI211" s="1382"/>
      <c r="AJ211" s="1382"/>
      <c r="AK211" s="181"/>
      <c r="AL211" s="181"/>
      <c r="AM211" s="181"/>
      <c r="AN211" s="181"/>
      <c r="AO211" s="181"/>
      <c r="AP211" s="181"/>
      <c r="AQ211" s="181"/>
      <c r="AR211" s="181"/>
      <c r="AS211" s="181"/>
      <c r="AT211" s="181"/>
      <c r="AU211" s="181"/>
      <c r="AV211" s="181"/>
    </row>
    <row r="212" spans="1:48" s="30" customFormat="1" x14ac:dyDescent="0.25">
      <c r="A212" s="1402"/>
      <c r="B212" s="191"/>
      <c r="C212" s="921"/>
      <c r="D212" s="2077"/>
      <c r="E212" s="936"/>
      <c r="F212" s="933" t="s">
        <v>37</v>
      </c>
      <c r="G212" s="329"/>
      <c r="H212" s="238" t="s">
        <v>200</v>
      </c>
      <c r="I212" s="197"/>
      <c r="J212" s="229"/>
      <c r="K212" s="1391" t="str">
        <f t="shared" si="7"/>
        <v>&lt;----Use DROP DOWN to chose if Subset Item Applies</v>
      </c>
      <c r="L212" s="1382"/>
      <c r="M212" s="1382"/>
      <c r="N212" s="1382"/>
      <c r="O212" s="1382"/>
      <c r="P212" s="1382"/>
      <c r="Q212" s="1382"/>
      <c r="R212" s="1382"/>
      <c r="S212" s="1382"/>
      <c r="T212" s="1382"/>
      <c r="U212" s="1382"/>
      <c r="V212" s="1382"/>
      <c r="W212" s="1382"/>
      <c r="X212" s="1382"/>
      <c r="Y212" s="1382"/>
      <c r="Z212" s="1382"/>
      <c r="AA212" s="1382"/>
      <c r="AB212" s="1382"/>
      <c r="AC212" s="1382"/>
      <c r="AD212" s="1382"/>
      <c r="AE212" s="1382"/>
      <c r="AF212" s="1382"/>
      <c r="AG212" s="1382"/>
      <c r="AH212" s="1382"/>
      <c r="AI212" s="1382"/>
      <c r="AJ212" s="1382"/>
      <c r="AK212" s="181"/>
      <c r="AL212" s="181"/>
      <c r="AM212" s="181"/>
      <c r="AN212" s="181"/>
      <c r="AO212" s="181"/>
      <c r="AP212" s="181"/>
      <c r="AQ212" s="181"/>
      <c r="AR212" s="181"/>
      <c r="AS212" s="181"/>
      <c r="AT212" s="181"/>
      <c r="AU212" s="181"/>
      <c r="AV212" s="181"/>
    </row>
    <row r="213" spans="1:48" s="30" customFormat="1" x14ac:dyDescent="0.25">
      <c r="A213" s="1402"/>
      <c r="B213" s="191"/>
      <c r="C213" s="921"/>
      <c r="D213" s="2077"/>
      <c r="E213" s="923"/>
      <c r="F213" s="933" t="s">
        <v>37</v>
      </c>
      <c r="G213" s="194"/>
      <c r="H213" s="340" t="s">
        <v>258</v>
      </c>
      <c r="I213" s="197"/>
      <c r="J213" s="229"/>
      <c r="K213" s="1391" t="str">
        <f t="shared" si="7"/>
        <v>&lt;----Use DROP DOWN to chose if Subset Item Applies</v>
      </c>
      <c r="L213" s="1382"/>
      <c r="M213" s="1382"/>
      <c r="N213" s="1382"/>
      <c r="O213" s="1382"/>
      <c r="P213" s="1382"/>
      <c r="Q213" s="1382"/>
      <c r="R213" s="1382"/>
      <c r="S213" s="1382"/>
      <c r="T213" s="1382"/>
      <c r="U213" s="1382"/>
      <c r="V213" s="1382"/>
      <c r="W213" s="1382"/>
      <c r="X213" s="1382"/>
      <c r="Y213" s="1382"/>
      <c r="Z213" s="1382"/>
      <c r="AA213" s="1382"/>
      <c r="AB213" s="1382"/>
      <c r="AC213" s="1382"/>
      <c r="AD213" s="1382"/>
      <c r="AE213" s="1382"/>
      <c r="AF213" s="1382"/>
      <c r="AG213" s="1382"/>
      <c r="AH213" s="1382"/>
      <c r="AI213" s="1382"/>
      <c r="AJ213" s="1382"/>
      <c r="AK213" s="181"/>
      <c r="AL213" s="181"/>
      <c r="AM213" s="181"/>
      <c r="AN213" s="181"/>
      <c r="AO213" s="181"/>
      <c r="AP213" s="181"/>
      <c r="AQ213" s="181"/>
      <c r="AR213" s="181"/>
      <c r="AS213" s="181"/>
      <c r="AT213" s="181"/>
      <c r="AU213" s="181"/>
      <c r="AV213" s="181"/>
    </row>
    <row r="214" spans="1:48" s="545" customFormat="1" x14ac:dyDescent="0.25">
      <c r="A214" s="1402"/>
      <c r="B214" s="554"/>
      <c r="C214" s="921"/>
      <c r="D214" s="2077"/>
      <c r="E214" s="923"/>
      <c r="F214" s="933" t="s">
        <v>37</v>
      </c>
      <c r="G214" s="194"/>
      <c r="H214" s="340" t="s">
        <v>187</v>
      </c>
      <c r="I214" s="197"/>
      <c r="J214" s="229"/>
      <c r="K214" s="1391" t="str">
        <f t="shared" si="7"/>
        <v>&lt;----Use DROP DOWN to chose if Subset Item Applies</v>
      </c>
      <c r="L214" s="1382"/>
      <c r="M214" s="1382"/>
      <c r="N214" s="1382"/>
      <c r="O214" s="1382"/>
      <c r="P214" s="1382"/>
      <c r="Q214" s="1382"/>
      <c r="R214" s="1382"/>
      <c r="S214" s="1382"/>
      <c r="T214" s="1382"/>
      <c r="U214" s="1382"/>
      <c r="V214" s="1382"/>
      <c r="W214" s="1382"/>
      <c r="X214" s="1382"/>
      <c r="Y214" s="1382"/>
      <c r="Z214" s="1382"/>
      <c r="AA214" s="1382"/>
      <c r="AB214" s="1382"/>
      <c r="AC214" s="1382"/>
      <c r="AD214" s="1382"/>
      <c r="AE214" s="1382"/>
      <c r="AF214" s="1382"/>
      <c r="AG214" s="1382"/>
      <c r="AH214" s="1382"/>
      <c r="AI214" s="1382"/>
      <c r="AJ214" s="1382"/>
      <c r="AK214" s="551"/>
      <c r="AL214" s="551"/>
      <c r="AM214" s="551"/>
      <c r="AN214" s="551"/>
      <c r="AO214" s="551"/>
      <c r="AP214" s="551"/>
      <c r="AQ214" s="551"/>
      <c r="AR214" s="551"/>
      <c r="AS214" s="551"/>
      <c r="AT214" s="551"/>
      <c r="AU214" s="551"/>
      <c r="AV214" s="551"/>
    </row>
    <row r="215" spans="1:48" s="545" customFormat="1" x14ac:dyDescent="0.25">
      <c r="A215" s="1402"/>
      <c r="B215" s="554"/>
      <c r="C215" s="921"/>
      <c r="D215" s="2077"/>
      <c r="E215" s="923"/>
      <c r="F215" s="933" t="s">
        <v>37</v>
      </c>
      <c r="G215" s="194"/>
      <c r="H215" s="340" t="s">
        <v>796</v>
      </c>
      <c r="I215" s="197"/>
      <c r="J215" s="229"/>
      <c r="K215" s="1391" t="str">
        <f t="shared" si="7"/>
        <v>&lt;----Use DROP DOWN to chose if Subset Item Applies</v>
      </c>
      <c r="L215" s="1382"/>
      <c r="M215" s="1382"/>
      <c r="N215" s="1382"/>
      <c r="O215" s="1382"/>
      <c r="P215" s="1382"/>
      <c r="Q215" s="1382"/>
      <c r="R215" s="1382"/>
      <c r="S215" s="1382"/>
      <c r="T215" s="1382"/>
      <c r="U215" s="1382"/>
      <c r="V215" s="1382"/>
      <c r="W215" s="1382"/>
      <c r="X215" s="1382"/>
      <c r="Y215" s="1382"/>
      <c r="Z215" s="1382"/>
      <c r="AA215" s="1382"/>
      <c r="AB215" s="1382"/>
      <c r="AC215" s="1382"/>
      <c r="AD215" s="1382"/>
      <c r="AE215" s="1382"/>
      <c r="AF215" s="1382"/>
      <c r="AG215" s="1382"/>
      <c r="AH215" s="1382"/>
      <c r="AI215" s="1382"/>
      <c r="AJ215" s="1382"/>
      <c r="AK215" s="551"/>
      <c r="AL215" s="551"/>
      <c r="AM215" s="551"/>
      <c r="AN215" s="551"/>
      <c r="AO215" s="551"/>
      <c r="AP215" s="551"/>
      <c r="AQ215" s="551"/>
      <c r="AR215" s="551"/>
      <c r="AS215" s="551"/>
      <c r="AT215" s="551"/>
      <c r="AU215" s="551"/>
      <c r="AV215" s="551"/>
    </row>
    <row r="216" spans="1:48" s="545" customFormat="1" x14ac:dyDescent="0.25">
      <c r="A216" s="1402"/>
      <c r="B216" s="554"/>
      <c r="C216" s="921"/>
      <c r="D216" s="2077"/>
      <c r="E216" s="923"/>
      <c r="F216" s="933" t="s">
        <v>37</v>
      </c>
      <c r="G216" s="194"/>
      <c r="H216" s="340" t="s">
        <v>797</v>
      </c>
      <c r="I216" s="197"/>
      <c r="J216" s="229"/>
      <c r="K216" s="1391" t="str">
        <f t="shared" si="7"/>
        <v>&lt;----Use DROP DOWN to chose if Subset Item Applies</v>
      </c>
      <c r="L216" s="1382"/>
      <c r="M216" s="1382"/>
      <c r="N216" s="1382"/>
      <c r="O216" s="1382"/>
      <c r="P216" s="1382"/>
      <c r="Q216" s="1382"/>
      <c r="R216" s="1382"/>
      <c r="S216" s="1382"/>
      <c r="T216" s="1382"/>
      <c r="U216" s="1382"/>
      <c r="V216" s="1382"/>
      <c r="W216" s="1382"/>
      <c r="X216" s="1382"/>
      <c r="Y216" s="1382"/>
      <c r="Z216" s="1382"/>
      <c r="AA216" s="1382"/>
      <c r="AB216" s="1382"/>
      <c r="AC216" s="1382"/>
      <c r="AD216" s="1382"/>
      <c r="AE216" s="1382"/>
      <c r="AF216" s="1382"/>
      <c r="AG216" s="1382"/>
      <c r="AH216" s="1382"/>
      <c r="AI216" s="1382"/>
      <c r="AJ216" s="1382"/>
      <c r="AK216" s="551"/>
      <c r="AL216" s="551"/>
      <c r="AM216" s="551"/>
      <c r="AN216" s="551"/>
      <c r="AO216" s="551"/>
      <c r="AP216" s="551"/>
      <c r="AQ216" s="551"/>
      <c r="AR216" s="551"/>
      <c r="AS216" s="551"/>
      <c r="AT216" s="551"/>
      <c r="AU216" s="551"/>
      <c r="AV216" s="551"/>
    </row>
    <row r="217" spans="1:48" s="30" customFormat="1" x14ac:dyDescent="0.25">
      <c r="A217" s="1402"/>
      <c r="B217" s="191"/>
      <c r="C217" s="921"/>
      <c r="D217" s="2077"/>
      <c r="E217" s="923"/>
      <c r="F217" s="933" t="s">
        <v>37</v>
      </c>
      <c r="G217" s="194"/>
      <c r="H217" s="929" t="s">
        <v>478</v>
      </c>
      <c r="I217" s="197"/>
      <c r="J217" s="229"/>
      <c r="K217" s="1391" t="str">
        <f>IF(Applies_Rpt_Type4_Feas_Concept_Only="N",CONCATENATE("&lt;----HIDE ROW Because Report Type 4 &amp; E",ROW(Applies_Rpt_Type4_Feas_Concept_Only)," is ''N''"),"&lt;----Define Subset ITEM choose applicability.  Hide Row if not in use.")</f>
        <v>&lt;----Define Subset ITEM choose applicability.  Hide Row if not in use.</v>
      </c>
      <c r="L217" s="1382"/>
      <c r="M217" s="1382"/>
      <c r="N217" s="1382"/>
      <c r="O217" s="1382"/>
      <c r="P217" s="1382"/>
      <c r="Q217" s="1382"/>
      <c r="R217" s="1382"/>
      <c r="S217" s="1382"/>
      <c r="T217" s="1382"/>
      <c r="U217" s="1382"/>
      <c r="V217" s="1382"/>
      <c r="W217" s="1382"/>
      <c r="X217" s="1382"/>
      <c r="Y217" s="1382"/>
      <c r="Z217" s="1382"/>
      <c r="AA217" s="1382"/>
      <c r="AB217" s="1382"/>
      <c r="AC217" s="1382"/>
      <c r="AD217" s="1382"/>
      <c r="AE217" s="1382"/>
      <c r="AF217" s="1382"/>
      <c r="AG217" s="1382"/>
      <c r="AH217" s="1382"/>
      <c r="AI217" s="1382"/>
      <c r="AJ217" s="1382"/>
      <c r="AK217" s="181"/>
      <c r="AL217" s="181"/>
      <c r="AM217" s="181"/>
      <c r="AN217" s="181"/>
      <c r="AO217" s="181"/>
      <c r="AP217" s="181"/>
      <c r="AQ217" s="181"/>
      <c r="AR217" s="181"/>
      <c r="AS217" s="181"/>
      <c r="AT217" s="181"/>
      <c r="AU217" s="181"/>
      <c r="AV217" s="181"/>
    </row>
    <row r="218" spans="1:48" s="30" customFormat="1" x14ac:dyDescent="0.25">
      <c r="A218" s="1402"/>
      <c r="B218" s="191"/>
      <c r="C218" s="921"/>
      <c r="D218" s="2077"/>
      <c r="E218" s="923"/>
      <c r="F218" s="933" t="s">
        <v>37</v>
      </c>
      <c r="G218" s="194"/>
      <c r="H218" s="929" t="s">
        <v>478</v>
      </c>
      <c r="I218" s="197"/>
      <c r="J218" s="229"/>
      <c r="K218" s="1391" t="str">
        <f>IF(Applies_Rpt_Type4_Feas_Concept_Only="N",CONCATENATE("&lt;----HIDE ROW Because Report Type 4 &amp; E",ROW(Applies_Rpt_Type4_Feas_Concept_Only)," is ''N''"),"&lt;----Define Subset ITEM choose applicability.  Hide Row if not in use.")</f>
        <v>&lt;----Define Subset ITEM choose applicability.  Hide Row if not in use.</v>
      </c>
      <c r="L218" s="1382"/>
      <c r="M218" s="1382"/>
      <c r="N218" s="1382"/>
      <c r="O218" s="1382"/>
      <c r="P218" s="1382"/>
      <c r="Q218" s="1382"/>
      <c r="R218" s="1382"/>
      <c r="S218" s="1382"/>
      <c r="T218" s="1382"/>
      <c r="U218" s="1382"/>
      <c r="V218" s="1382"/>
      <c r="W218" s="1382"/>
      <c r="X218" s="1382"/>
      <c r="Y218" s="1382"/>
      <c r="Z218" s="1382"/>
      <c r="AA218" s="1382"/>
      <c r="AB218" s="1382"/>
      <c r="AC218" s="1382"/>
      <c r="AD218" s="1382"/>
      <c r="AE218" s="1382"/>
      <c r="AF218" s="1382"/>
      <c r="AG218" s="1382"/>
      <c r="AH218" s="1382"/>
      <c r="AI218" s="1382"/>
      <c r="AJ218" s="1382"/>
      <c r="AK218" s="181"/>
      <c r="AL218" s="181"/>
      <c r="AM218" s="181"/>
      <c r="AN218" s="181"/>
      <c r="AO218" s="181"/>
      <c r="AP218" s="181"/>
      <c r="AQ218" s="181"/>
      <c r="AR218" s="181"/>
      <c r="AS218" s="181"/>
      <c r="AT218" s="181"/>
      <c r="AU218" s="181"/>
      <c r="AV218" s="181"/>
    </row>
    <row r="219" spans="1:48" s="30" customFormat="1" x14ac:dyDescent="0.25">
      <c r="A219" s="1402"/>
      <c r="B219" s="191"/>
      <c r="C219" s="921"/>
      <c r="D219" s="2077"/>
      <c r="E219" s="923"/>
      <c r="F219" s="933" t="s">
        <v>37</v>
      </c>
      <c r="G219" s="194"/>
      <c r="H219" s="929" t="s">
        <v>478</v>
      </c>
      <c r="I219" s="197"/>
      <c r="J219" s="229"/>
      <c r="K219" s="1391" t="str">
        <f>IF(Applies_Rpt_Type4_Feas_Concept_Only="N",CONCATENATE("&lt;----HIDE ROW Because Report Type 4 &amp; E",ROW(Applies_Rpt_Type4_Feas_Concept_Only)," is ''N''"),"&lt;----Define Subset ITEM choose applicability.  Hide Row if not in use.")</f>
        <v>&lt;----Define Subset ITEM choose applicability.  Hide Row if not in use.</v>
      </c>
      <c r="L219" s="1382"/>
      <c r="M219" s="1382"/>
      <c r="N219" s="1382"/>
      <c r="O219" s="1382"/>
      <c r="P219" s="1382"/>
      <c r="Q219" s="1382"/>
      <c r="R219" s="1382"/>
      <c r="S219" s="1382"/>
      <c r="T219" s="1382"/>
      <c r="U219" s="1382"/>
      <c r="V219" s="1382"/>
      <c r="W219" s="1382"/>
      <c r="X219" s="1382"/>
      <c r="Y219" s="1382"/>
      <c r="Z219" s="1382"/>
      <c r="AA219" s="1382"/>
      <c r="AB219" s="1382"/>
      <c r="AC219" s="1382"/>
      <c r="AD219" s="1382"/>
      <c r="AE219" s="1382"/>
      <c r="AF219" s="1382"/>
      <c r="AG219" s="1382"/>
      <c r="AH219" s="1382"/>
      <c r="AI219" s="1382"/>
      <c r="AJ219" s="1382"/>
      <c r="AK219" s="181"/>
      <c r="AL219" s="181"/>
      <c r="AM219" s="181"/>
      <c r="AN219" s="181"/>
      <c r="AO219" s="181"/>
      <c r="AP219" s="181"/>
      <c r="AQ219" s="181"/>
      <c r="AR219" s="181"/>
      <c r="AS219" s="181"/>
      <c r="AT219" s="181"/>
      <c r="AU219" s="181"/>
      <c r="AV219" s="181"/>
    </row>
    <row r="220" spans="1:48" s="30" customFormat="1" x14ac:dyDescent="0.25">
      <c r="A220" s="1402"/>
      <c r="B220" s="191"/>
      <c r="C220" s="921"/>
      <c r="D220" s="2078"/>
      <c r="E220" s="923"/>
      <c r="F220" s="933" t="s">
        <v>37</v>
      </c>
      <c r="G220" s="194"/>
      <c r="H220" s="929" t="s">
        <v>478</v>
      </c>
      <c r="I220" s="197"/>
      <c r="J220" s="229"/>
      <c r="K220" s="1391" t="str">
        <f>IF(Applies_Rpt_Type4_Feas_Concept_Only="N",CONCATENATE("&lt;----HIDE ROW Because Report Type 4 &amp; E",ROW(Applies_Rpt_Type4_Feas_Concept_Only)," is ''N''"),"&lt;----Define Subset ITEM choose applicability.  Hide Row if not in use.")</f>
        <v>&lt;----Define Subset ITEM choose applicability.  Hide Row if not in use.</v>
      </c>
      <c r="L220" s="1382"/>
      <c r="M220" s="1382"/>
      <c r="N220" s="1382"/>
      <c r="O220" s="1382"/>
      <c r="P220" s="1382"/>
      <c r="Q220" s="1382"/>
      <c r="R220" s="1382"/>
      <c r="S220" s="1382"/>
      <c r="T220" s="1382"/>
      <c r="U220" s="1382"/>
      <c r="V220" s="1382"/>
      <c r="W220" s="1382"/>
      <c r="X220" s="1382"/>
      <c r="Y220" s="1382"/>
      <c r="Z220" s="1382"/>
      <c r="AA220" s="1382"/>
      <c r="AB220" s="1382"/>
      <c r="AC220" s="1382"/>
      <c r="AD220" s="1382"/>
      <c r="AE220" s="1382"/>
      <c r="AF220" s="1382"/>
      <c r="AG220" s="1382"/>
      <c r="AH220" s="1382"/>
      <c r="AI220" s="1382"/>
      <c r="AJ220" s="1382"/>
      <c r="AK220" s="181"/>
      <c r="AL220" s="181"/>
      <c r="AM220" s="181"/>
      <c r="AN220" s="181"/>
      <c r="AO220" s="181"/>
      <c r="AP220" s="181"/>
      <c r="AQ220" s="181"/>
      <c r="AR220" s="181"/>
      <c r="AS220" s="181"/>
      <c r="AT220" s="181"/>
      <c r="AU220" s="181"/>
      <c r="AV220" s="181"/>
    </row>
    <row r="221" spans="1:48" s="30" customFormat="1" x14ac:dyDescent="0.25">
      <c r="A221" s="1407"/>
      <c r="B221" s="191"/>
      <c r="C221" s="921"/>
      <c r="D221" s="923"/>
      <c r="E221" s="923"/>
      <c r="F221" s="923"/>
      <c r="G221" s="204"/>
      <c r="H221" s="289"/>
      <c r="I221" s="186"/>
      <c r="J221" s="229"/>
      <c r="K221" s="1274"/>
      <c r="L221" s="1382"/>
      <c r="M221" s="1382"/>
      <c r="N221" s="1382"/>
      <c r="O221" s="1382"/>
      <c r="P221" s="1382"/>
      <c r="Q221" s="1382"/>
      <c r="R221" s="1382"/>
      <c r="S221" s="1382"/>
      <c r="T221" s="1382"/>
      <c r="U221" s="1382"/>
      <c r="V221" s="1382"/>
      <c r="W221" s="1382"/>
      <c r="X221" s="1382"/>
      <c r="Y221" s="1382"/>
      <c r="Z221" s="1382"/>
      <c r="AA221" s="1382"/>
      <c r="AB221" s="1382"/>
      <c r="AC221" s="1382"/>
      <c r="AD221" s="1382"/>
      <c r="AE221" s="1382"/>
      <c r="AF221" s="1382"/>
      <c r="AG221" s="1382"/>
      <c r="AH221" s="1382"/>
      <c r="AI221" s="1382"/>
      <c r="AJ221" s="1382"/>
      <c r="AK221" s="181"/>
      <c r="AL221" s="181"/>
      <c r="AM221" s="181"/>
      <c r="AN221" s="181"/>
      <c r="AO221" s="181"/>
      <c r="AP221" s="181"/>
      <c r="AQ221" s="181"/>
      <c r="AR221" s="181"/>
      <c r="AS221" s="181"/>
      <c r="AT221" s="181"/>
      <c r="AU221" s="181"/>
      <c r="AV221" s="181"/>
    </row>
    <row r="222" spans="1:48" s="30" customFormat="1" ht="18.75" x14ac:dyDescent="0.25">
      <c r="A222" s="1407"/>
      <c r="B222" s="191"/>
      <c r="C222" s="921"/>
      <c r="D222" s="916" t="s">
        <v>37</v>
      </c>
      <c r="E222" s="917"/>
      <c r="F222" s="918"/>
      <c r="G222" s="207" t="s">
        <v>643</v>
      </c>
      <c r="H222" s="290" t="str">
        <f>(CONCATENATE('C-Design&amp;Const'!Z126,IF(Applies_Info_Calcs_Feas_Concept_Only="N"," Not Used In This Design Phase",J133)))</f>
        <v>Project Applicable Information / Calculations</v>
      </c>
      <c r="I222" s="180"/>
      <c r="J222" s="230"/>
      <c r="K222" s="1274"/>
      <c r="L222" s="1382"/>
      <c r="M222" s="1382"/>
      <c r="N222" s="1382"/>
      <c r="O222" s="1382"/>
      <c r="P222" s="1382"/>
      <c r="Q222" s="1382"/>
      <c r="R222" s="1382"/>
      <c r="S222" s="1382"/>
      <c r="T222" s="1382"/>
      <c r="U222" s="1382"/>
      <c r="V222" s="1382"/>
      <c r="W222" s="1382"/>
      <c r="X222" s="1382"/>
      <c r="Y222" s="1382"/>
      <c r="Z222" s="1382"/>
      <c r="AA222" s="1382"/>
      <c r="AB222" s="1382"/>
      <c r="AC222" s="1382"/>
      <c r="AD222" s="1382"/>
      <c r="AE222" s="1382"/>
      <c r="AF222" s="1382"/>
      <c r="AG222" s="1382"/>
      <c r="AH222" s="1382"/>
      <c r="AI222" s="1382"/>
      <c r="AJ222" s="1382"/>
      <c r="AK222" s="181"/>
      <c r="AL222" s="181"/>
      <c r="AM222" s="181"/>
      <c r="AN222" s="181"/>
      <c r="AO222" s="181"/>
      <c r="AP222" s="181"/>
      <c r="AQ222" s="181"/>
      <c r="AR222" s="181"/>
      <c r="AS222" s="181"/>
      <c r="AT222" s="181"/>
      <c r="AU222" s="181"/>
      <c r="AV222" s="181"/>
    </row>
    <row r="223" spans="1:48" s="30" customFormat="1" ht="14.25" customHeight="1" x14ac:dyDescent="0.25">
      <c r="A223" s="1408"/>
      <c r="B223" s="191"/>
      <c r="C223" s="921"/>
      <c r="D223" s="922"/>
      <c r="E223" s="933" t="s">
        <v>21</v>
      </c>
      <c r="F223" s="934"/>
      <c r="G223" s="205"/>
      <c r="H223" s="793" t="str">
        <f>CONCATENATE(IF(E223="N","PLACEHOLDER ROW - ",""),'C-Design&amp;Const'!Z127,IF(E223="N","",J134))</f>
        <v>Occupancy calculations between existing and proposed; breaking down the FTE</v>
      </c>
      <c r="I223" s="196"/>
      <c r="J223" s="231"/>
      <c r="K223" s="1274"/>
      <c r="L223" s="1382"/>
      <c r="M223" s="1382"/>
      <c r="N223" s="1382"/>
      <c r="O223" s="1382"/>
      <c r="P223" s="1382"/>
      <c r="Q223" s="1382"/>
      <c r="R223" s="1382"/>
      <c r="S223" s="1382"/>
      <c r="T223" s="1382"/>
      <c r="U223" s="1382"/>
      <c r="V223" s="1382"/>
      <c r="W223" s="1382"/>
      <c r="X223" s="1382"/>
      <c r="Y223" s="1382"/>
      <c r="Z223" s="1382"/>
      <c r="AA223" s="1382"/>
      <c r="AB223" s="1382"/>
      <c r="AC223" s="1382"/>
      <c r="AD223" s="1382"/>
      <c r="AE223" s="1382"/>
      <c r="AF223" s="1382"/>
      <c r="AG223" s="1382"/>
      <c r="AH223" s="1382"/>
      <c r="AI223" s="1382"/>
      <c r="AJ223" s="1382"/>
      <c r="AK223" s="181"/>
      <c r="AL223" s="181"/>
      <c r="AM223" s="181"/>
      <c r="AN223" s="181"/>
      <c r="AO223" s="181"/>
      <c r="AP223" s="181"/>
      <c r="AQ223" s="181"/>
      <c r="AR223" s="181"/>
      <c r="AS223" s="181"/>
      <c r="AT223" s="181"/>
      <c r="AU223" s="181"/>
      <c r="AV223" s="181"/>
    </row>
    <row r="224" spans="1:48" s="30" customFormat="1" ht="14.25" customHeight="1" x14ac:dyDescent="0.25">
      <c r="A224" s="1408"/>
      <c r="B224" s="191"/>
      <c r="C224" s="921"/>
      <c r="D224" s="922"/>
      <c r="E224" s="933" t="s">
        <v>21</v>
      </c>
      <c r="F224" s="934"/>
      <c r="G224" s="205"/>
      <c r="H224" s="793" t="str">
        <f>CONCATENATE(IF(E224="N","PLACEHOLDER ROW - ",""),'C-Design&amp;Const'!Z128,IF(E224="N","",J135))</f>
        <v>Soil Borings and Soils Report</v>
      </c>
      <c r="I224" s="196"/>
      <c r="J224" s="231"/>
      <c r="K224" s="1274"/>
      <c r="L224" s="1382"/>
      <c r="M224" s="1382"/>
      <c r="N224" s="1382"/>
      <c r="O224" s="1382"/>
      <c r="P224" s="1382"/>
      <c r="Q224" s="1382"/>
      <c r="R224" s="1382"/>
      <c r="S224" s="1382"/>
      <c r="T224" s="1382"/>
      <c r="U224" s="1382"/>
      <c r="V224" s="1382"/>
      <c r="W224" s="1382"/>
      <c r="X224" s="1382"/>
      <c r="Y224" s="1382"/>
      <c r="Z224" s="1382"/>
      <c r="AA224" s="1382"/>
      <c r="AB224" s="1382"/>
      <c r="AC224" s="1382"/>
      <c r="AD224" s="1382"/>
      <c r="AE224" s="1382"/>
      <c r="AF224" s="1382"/>
      <c r="AG224" s="1382"/>
      <c r="AH224" s="1382"/>
      <c r="AI224" s="1382"/>
      <c r="AJ224" s="1382"/>
      <c r="AK224" s="181"/>
      <c r="AL224" s="181"/>
      <c r="AM224" s="181"/>
      <c r="AN224" s="181"/>
      <c r="AO224" s="181"/>
      <c r="AP224" s="181"/>
      <c r="AQ224" s="181"/>
      <c r="AR224" s="181"/>
      <c r="AS224" s="181"/>
      <c r="AT224" s="181"/>
      <c r="AU224" s="181"/>
      <c r="AV224" s="181"/>
    </row>
    <row r="225" spans="1:48" s="30" customFormat="1" ht="14.25" customHeight="1" x14ac:dyDescent="0.25">
      <c r="A225" s="1408"/>
      <c r="B225" s="191"/>
      <c r="C225" s="921"/>
      <c r="D225" s="922"/>
      <c r="E225" s="933" t="s">
        <v>21</v>
      </c>
      <c r="F225" s="934"/>
      <c r="G225" s="205"/>
      <c r="H225" s="793" t="str">
        <f>CONCATENATE(IF(E225="N","PLACEHOLDER ROW - ",""),'C-Design&amp;Const'!Z129,IF(E225="N","",J136))</f>
        <v>Stormwater Runoff Rate Calculation/Model Results and Water Detention</v>
      </c>
      <c r="I225" s="196"/>
      <c r="J225" s="231"/>
      <c r="K225" s="1274"/>
      <c r="L225" s="1382"/>
      <c r="M225" s="1382"/>
      <c r="N225" s="1382"/>
      <c r="O225" s="1382"/>
      <c r="P225" s="1382"/>
      <c r="Q225" s="1382"/>
      <c r="R225" s="1382"/>
      <c r="S225" s="1382"/>
      <c r="T225" s="1382"/>
      <c r="U225" s="1382"/>
      <c r="V225" s="1382"/>
      <c r="W225" s="1382"/>
      <c r="X225" s="1382"/>
      <c r="Y225" s="1382"/>
      <c r="Z225" s="1382"/>
      <c r="AA225" s="1382"/>
      <c r="AB225" s="1382"/>
      <c r="AC225" s="1382"/>
      <c r="AD225" s="1382"/>
      <c r="AE225" s="1382"/>
      <c r="AF225" s="1382"/>
      <c r="AG225" s="1382"/>
      <c r="AH225" s="1382"/>
      <c r="AI225" s="1382"/>
      <c r="AJ225" s="1382"/>
      <c r="AK225" s="181"/>
      <c r="AL225" s="181"/>
      <c r="AM225" s="181"/>
      <c r="AN225" s="181"/>
      <c r="AO225" s="181"/>
      <c r="AP225" s="181"/>
      <c r="AQ225" s="181"/>
      <c r="AR225" s="181"/>
      <c r="AS225" s="181"/>
      <c r="AT225" s="181"/>
      <c r="AU225" s="181"/>
      <c r="AV225" s="181"/>
    </row>
    <row r="226" spans="1:48" s="30" customFormat="1" ht="14.25" customHeight="1" x14ac:dyDescent="0.25">
      <c r="A226" s="1408"/>
      <c r="B226" s="191"/>
      <c r="C226" s="921"/>
      <c r="D226" s="922"/>
      <c r="E226" s="933" t="s">
        <v>21</v>
      </c>
      <c r="F226" s="934"/>
      <c r="G226" s="205"/>
      <c r="H226" s="793" t="str">
        <f>CONCATENATE(IF(E226="N","PLACEHOLDER ROW - ",""),'C-Design&amp;Const'!Z130,IF(E226="N","",J137))</f>
        <v>Asbestos and Lead Survey and Recommendations</v>
      </c>
      <c r="I226" s="196"/>
      <c r="J226" s="231"/>
      <c r="K226" s="1274"/>
      <c r="L226" s="1382"/>
      <c r="M226" s="1382"/>
      <c r="N226" s="1382"/>
      <c r="O226" s="1382"/>
      <c r="P226" s="1382"/>
      <c r="Q226" s="1382"/>
      <c r="R226" s="1382"/>
      <c r="S226" s="1382"/>
      <c r="T226" s="1382"/>
      <c r="U226" s="1382"/>
      <c r="V226" s="1382"/>
      <c r="W226" s="1382"/>
      <c r="X226" s="1382"/>
      <c r="Y226" s="1382"/>
      <c r="Z226" s="1382"/>
      <c r="AA226" s="1382"/>
      <c r="AB226" s="1382"/>
      <c r="AC226" s="1382"/>
      <c r="AD226" s="1382"/>
      <c r="AE226" s="1382"/>
      <c r="AF226" s="1382"/>
      <c r="AG226" s="1382"/>
      <c r="AH226" s="1382"/>
      <c r="AI226" s="1382"/>
      <c r="AJ226" s="1382"/>
      <c r="AK226" s="181"/>
      <c r="AL226" s="181"/>
      <c r="AM226" s="181"/>
      <c r="AN226" s="181"/>
      <c r="AO226" s="181"/>
      <c r="AP226" s="181"/>
      <c r="AQ226" s="181"/>
      <c r="AR226" s="181"/>
      <c r="AS226" s="181"/>
      <c r="AT226" s="181"/>
      <c r="AU226" s="181"/>
      <c r="AV226" s="181"/>
    </row>
    <row r="227" spans="1:48" s="30" customFormat="1" ht="14.25" customHeight="1" x14ac:dyDescent="0.25">
      <c r="A227" s="1408"/>
      <c r="B227" s="191"/>
      <c r="C227" s="921"/>
      <c r="D227" s="922"/>
      <c r="E227" s="933" t="s">
        <v>21</v>
      </c>
      <c r="F227" s="934"/>
      <c r="G227" s="205"/>
      <c r="H227" s="793" t="str">
        <f>CONCATENATE(IF(E227="N","PLACEHOLDER ROW - ",""),'C-Design&amp;Const'!Z131,IF(E227="N","",J140))</f>
        <v>Results of Hazardous Materials Testing and Hazardous Materials Mediation Plan</v>
      </c>
      <c r="I227" s="196"/>
      <c r="J227" s="231"/>
      <c r="K227" s="1274"/>
      <c r="L227" s="1382"/>
      <c r="M227" s="1382"/>
      <c r="N227" s="1382"/>
      <c r="O227" s="1382"/>
      <c r="P227" s="1382"/>
      <c r="Q227" s="1382"/>
      <c r="R227" s="1382"/>
      <c r="S227" s="1382"/>
      <c r="T227" s="1382"/>
      <c r="U227" s="1382"/>
      <c r="V227" s="1382"/>
      <c r="W227" s="1382"/>
      <c r="X227" s="1382"/>
      <c r="Y227" s="1382"/>
      <c r="Z227" s="1382"/>
      <c r="AA227" s="1382"/>
      <c r="AB227" s="1382"/>
      <c r="AC227" s="1382"/>
      <c r="AD227" s="1382"/>
      <c r="AE227" s="1382"/>
      <c r="AF227" s="1382"/>
      <c r="AG227" s="1382"/>
      <c r="AH227" s="1382"/>
      <c r="AI227" s="1382"/>
      <c r="AJ227" s="1382"/>
      <c r="AK227" s="181"/>
      <c r="AL227" s="181"/>
      <c r="AM227" s="181"/>
      <c r="AN227" s="181"/>
      <c r="AO227" s="181"/>
      <c r="AP227" s="181"/>
      <c r="AQ227" s="181"/>
      <c r="AR227" s="181"/>
      <c r="AS227" s="181"/>
      <c r="AT227" s="181"/>
      <c r="AU227" s="181"/>
      <c r="AV227" s="181"/>
    </row>
    <row r="228" spans="1:48" s="30" customFormat="1" ht="14.25" customHeight="1" x14ac:dyDescent="0.25">
      <c r="A228" s="1408"/>
      <c r="B228" s="191"/>
      <c r="C228" s="921"/>
      <c r="D228" s="922"/>
      <c r="E228" s="933" t="s">
        <v>38</v>
      </c>
      <c r="F228" s="934"/>
      <c r="G228" s="205"/>
      <c r="H228" s="793" t="str">
        <f>CONCATENATE(IF(E228="N","PLACEHOLDER ROW - ",""),'C-Design&amp;Const'!Z132,IF(E228="N","",J141))</f>
        <v>PLACEHOLDER ROW - EPA &amp; State Permits (including but not limited to SWPPP)</v>
      </c>
      <c r="I228" s="196"/>
      <c r="J228" s="231"/>
      <c r="K228" s="1274"/>
      <c r="L228" s="1382"/>
      <c r="M228" s="1382"/>
      <c r="N228" s="1382"/>
      <c r="O228" s="1382"/>
      <c r="P228" s="1382"/>
      <c r="Q228" s="1382"/>
      <c r="R228" s="1382"/>
      <c r="S228" s="1382"/>
      <c r="T228" s="1382"/>
      <c r="U228" s="1382"/>
      <c r="V228" s="1382"/>
      <c r="W228" s="1382"/>
      <c r="X228" s="1382"/>
      <c r="Y228" s="1382"/>
      <c r="Z228" s="1382"/>
      <c r="AA228" s="1382"/>
      <c r="AB228" s="1382"/>
      <c r="AC228" s="1382"/>
      <c r="AD228" s="1382"/>
      <c r="AE228" s="1382"/>
      <c r="AF228" s="1382"/>
      <c r="AG228" s="1382"/>
      <c r="AH228" s="1382"/>
      <c r="AI228" s="1382"/>
      <c r="AJ228" s="1382"/>
      <c r="AK228" s="181"/>
      <c r="AL228" s="181"/>
      <c r="AM228" s="181"/>
      <c r="AN228" s="181"/>
      <c r="AO228" s="181"/>
      <c r="AP228" s="181"/>
      <c r="AQ228" s="181"/>
      <c r="AR228" s="181"/>
      <c r="AS228" s="181"/>
      <c r="AT228" s="181"/>
      <c r="AU228" s="181"/>
      <c r="AV228" s="181"/>
    </row>
    <row r="229" spans="1:48" s="30" customFormat="1" ht="14.25" customHeight="1" x14ac:dyDescent="0.25">
      <c r="A229" s="1408"/>
      <c r="B229" s="191"/>
      <c r="C229" s="921"/>
      <c r="D229" s="922"/>
      <c r="E229" s="933" t="s">
        <v>38</v>
      </c>
      <c r="F229" s="934"/>
      <c r="G229" s="205"/>
      <c r="H229" s="793" t="str">
        <f>CONCATENATE(IF(E229="N","PLACEHOLDER ROW - ",""),'C-Design&amp;Const'!Z133,IF(E229="N","",J142))</f>
        <v xml:space="preserve">PLACEHOLDER ROW - Saftey &amp; Compliance / Environmental - Checklist   </v>
      </c>
      <c r="I229" s="196"/>
      <c r="J229" s="231"/>
      <c r="K229" s="1274"/>
      <c r="L229" s="1382"/>
      <c r="M229" s="1382"/>
      <c r="N229" s="1382"/>
      <c r="O229" s="1382"/>
      <c r="P229" s="1382"/>
      <c r="Q229" s="1382"/>
      <c r="R229" s="1382"/>
      <c r="S229" s="1382"/>
      <c r="T229" s="1382"/>
      <c r="U229" s="1382"/>
      <c r="V229" s="1382"/>
      <c r="W229" s="1382"/>
      <c r="X229" s="1382"/>
      <c r="Y229" s="1382"/>
      <c r="Z229" s="1382"/>
      <c r="AA229" s="1382"/>
      <c r="AB229" s="1382"/>
      <c r="AC229" s="1382"/>
      <c r="AD229" s="1382"/>
      <c r="AE229" s="1382"/>
      <c r="AF229" s="1382"/>
      <c r="AG229" s="1382"/>
      <c r="AH229" s="1382"/>
      <c r="AI229" s="1382"/>
      <c r="AJ229" s="1382"/>
      <c r="AK229" s="181"/>
      <c r="AL229" s="181"/>
      <c r="AM229" s="181"/>
      <c r="AN229" s="181"/>
      <c r="AO229" s="181"/>
      <c r="AP229" s="181"/>
      <c r="AQ229" s="181"/>
      <c r="AR229" s="181"/>
      <c r="AS229" s="181"/>
      <c r="AT229" s="181"/>
      <c r="AU229" s="181"/>
      <c r="AV229" s="181"/>
    </row>
    <row r="230" spans="1:48" s="30" customFormat="1" ht="14.25" customHeight="1" x14ac:dyDescent="0.25">
      <c r="A230" s="1408"/>
      <c r="B230" s="191"/>
      <c r="C230" s="921"/>
      <c r="D230" s="922"/>
      <c r="E230" s="933" t="s">
        <v>38</v>
      </c>
      <c r="F230" s="934"/>
      <c r="G230" s="205"/>
      <c r="H230" s="793" t="str">
        <f>CONCATENATE(IF(E230="N","PLACEHOLDER ROW - ",""),'C-Design&amp;Const'!Z134,IF(E230="N","",J143))</f>
        <v>PLACEHOLDER ROW - Excel files of all equipment schedules for all disciplines.</v>
      </c>
      <c r="I230" s="196"/>
      <c r="J230" s="231"/>
      <c r="K230" s="1274"/>
      <c r="L230" s="1382"/>
      <c r="M230" s="1382"/>
      <c r="N230" s="1382"/>
      <c r="O230" s="1382"/>
      <c r="P230" s="1382"/>
      <c r="Q230" s="1382"/>
      <c r="R230" s="1382"/>
      <c r="S230" s="1382"/>
      <c r="T230" s="1382"/>
      <c r="U230" s="1382"/>
      <c r="V230" s="1382"/>
      <c r="W230" s="1382"/>
      <c r="X230" s="1382"/>
      <c r="Y230" s="1382"/>
      <c r="Z230" s="1382"/>
      <c r="AA230" s="1382"/>
      <c r="AB230" s="1382"/>
      <c r="AC230" s="1382"/>
      <c r="AD230" s="1382"/>
      <c r="AE230" s="1382"/>
      <c r="AF230" s="1382"/>
      <c r="AG230" s="1382"/>
      <c r="AH230" s="1382"/>
      <c r="AI230" s="1382"/>
      <c r="AJ230" s="1382"/>
      <c r="AK230" s="181"/>
      <c r="AL230" s="181"/>
      <c r="AM230" s="181"/>
      <c r="AN230" s="181"/>
      <c r="AO230" s="181"/>
      <c r="AP230" s="181"/>
      <c r="AQ230" s="181"/>
      <c r="AR230" s="181"/>
      <c r="AS230" s="181"/>
      <c r="AT230" s="181"/>
      <c r="AU230" s="181"/>
      <c r="AV230" s="181"/>
    </row>
    <row r="231" spans="1:48" s="30" customFormat="1" ht="14.25" customHeight="1" x14ac:dyDescent="0.25">
      <c r="A231" s="1408"/>
      <c r="B231" s="191"/>
      <c r="C231" s="921"/>
      <c r="D231" s="922"/>
      <c r="E231" s="933" t="s">
        <v>37</v>
      </c>
      <c r="F231" s="934"/>
      <c r="G231" s="205"/>
      <c r="H231" s="793" t="str">
        <f>CONCATENATE(IF(E231="N","PLACEHOLDER ROW - ",""),'C-Design&amp;Const'!Z135,IF(E231="N","",J144))</f>
        <v>Results of existing exterior envelope material tests or strengths (i.e. brick and mortar tests, pull tests of existing mechanical fasteners, etc…)</v>
      </c>
      <c r="I231" s="196"/>
      <c r="J231" s="231"/>
      <c r="K231" s="1274"/>
      <c r="L231" s="1382"/>
      <c r="M231" s="1382"/>
      <c r="N231" s="1382"/>
      <c r="O231" s="1382"/>
      <c r="P231" s="1382"/>
      <c r="Q231" s="1382"/>
      <c r="R231" s="1382"/>
      <c r="S231" s="1382"/>
      <c r="T231" s="1382"/>
      <c r="U231" s="1382"/>
      <c r="V231" s="1382"/>
      <c r="W231" s="1382"/>
      <c r="X231" s="1382"/>
      <c r="Y231" s="1382"/>
      <c r="Z231" s="1382"/>
      <c r="AA231" s="1382"/>
      <c r="AB231" s="1382"/>
      <c r="AC231" s="1382"/>
      <c r="AD231" s="1382"/>
      <c r="AE231" s="1382"/>
      <c r="AF231" s="1382"/>
      <c r="AG231" s="1382"/>
      <c r="AH231" s="1382"/>
      <c r="AI231" s="1382"/>
      <c r="AJ231" s="1382"/>
      <c r="AK231" s="181"/>
      <c r="AL231" s="181"/>
      <c r="AM231" s="181"/>
      <c r="AN231" s="181"/>
      <c r="AO231" s="181"/>
      <c r="AP231" s="181"/>
      <c r="AQ231" s="181"/>
      <c r="AR231" s="181"/>
      <c r="AS231" s="181"/>
      <c r="AT231" s="181"/>
      <c r="AU231" s="181"/>
      <c r="AV231" s="181"/>
    </row>
    <row r="232" spans="1:48" s="30" customFormat="1" ht="14.25" customHeight="1" x14ac:dyDescent="0.25">
      <c r="A232" s="1408"/>
      <c r="B232" s="191"/>
      <c r="C232" s="921"/>
      <c r="D232" s="922"/>
      <c r="E232" s="933" t="s">
        <v>21</v>
      </c>
      <c r="F232" s="934"/>
      <c r="G232" s="205"/>
      <c r="H232" s="793" t="str">
        <f>CONCATENATE(IF(E232="N","PLACEHOLDER ROW - ",""),'C-Design&amp;Const'!Z136,IF(E232="N","",J145))</f>
        <v>Results of any existing structural materials tests or verification / scans of structure layout.</v>
      </c>
      <c r="I232" s="196"/>
      <c r="J232" s="231"/>
      <c r="K232" s="1274"/>
      <c r="L232" s="1382"/>
      <c r="M232" s="1382"/>
      <c r="N232" s="1382"/>
      <c r="O232" s="1382"/>
      <c r="P232" s="1382"/>
      <c r="Q232" s="1382"/>
      <c r="R232" s="1382"/>
      <c r="S232" s="1382"/>
      <c r="T232" s="1382"/>
      <c r="U232" s="1382"/>
      <c r="V232" s="1382"/>
      <c r="W232" s="1382"/>
      <c r="X232" s="1382"/>
      <c r="Y232" s="1382"/>
      <c r="Z232" s="1382"/>
      <c r="AA232" s="1382"/>
      <c r="AB232" s="1382"/>
      <c r="AC232" s="1382"/>
      <c r="AD232" s="1382"/>
      <c r="AE232" s="1382"/>
      <c r="AF232" s="1382"/>
      <c r="AG232" s="1382"/>
      <c r="AH232" s="1382"/>
      <c r="AI232" s="1382"/>
      <c r="AJ232" s="1382"/>
      <c r="AK232" s="181"/>
      <c r="AL232" s="181"/>
      <c r="AM232" s="181"/>
      <c r="AN232" s="181"/>
      <c r="AO232" s="181"/>
      <c r="AP232" s="181"/>
      <c r="AQ232" s="181"/>
      <c r="AR232" s="181"/>
      <c r="AS232" s="181"/>
      <c r="AT232" s="181"/>
      <c r="AU232" s="181"/>
      <c r="AV232" s="181"/>
    </row>
    <row r="233" spans="1:48" s="30" customFormat="1" ht="14.25" customHeight="1" x14ac:dyDescent="0.25">
      <c r="A233" s="1408"/>
      <c r="B233" s="191"/>
      <c r="C233" s="921"/>
      <c r="D233" s="922"/>
      <c r="E233" s="933" t="s">
        <v>21</v>
      </c>
      <c r="F233" s="934"/>
      <c r="G233" s="205"/>
      <c r="H233" s="793" t="str">
        <f>CONCATENATE(IF(E233="N","PLACEHOLDER ROW - ",""),'C-Design&amp;Const'!Z137,IF(E233="N","",J146))</f>
        <v>Summary of floor analysis for required strengthening (for new walls, materials, mechanical equipment change in use).</v>
      </c>
      <c r="I233" s="196"/>
      <c r="J233" s="231"/>
      <c r="K233" s="1274"/>
      <c r="L233" s="1382"/>
      <c r="M233" s="1382"/>
      <c r="N233" s="1382"/>
      <c r="O233" s="1382"/>
      <c r="P233" s="1382"/>
      <c r="Q233" s="1382"/>
      <c r="R233" s="1382"/>
      <c r="S233" s="1382"/>
      <c r="T233" s="1382"/>
      <c r="U233" s="1382"/>
      <c r="V233" s="1382"/>
      <c r="W233" s="1382"/>
      <c r="X233" s="1382"/>
      <c r="Y233" s="1382"/>
      <c r="Z233" s="1382"/>
      <c r="AA233" s="1382"/>
      <c r="AB233" s="1382"/>
      <c r="AC233" s="1382"/>
      <c r="AD233" s="1382"/>
      <c r="AE233" s="1382"/>
      <c r="AF233" s="1382"/>
      <c r="AG233" s="1382"/>
      <c r="AH233" s="1382"/>
      <c r="AI233" s="1382"/>
      <c r="AJ233" s="1382"/>
      <c r="AK233" s="181"/>
      <c r="AL233" s="181"/>
      <c r="AM233" s="181"/>
      <c r="AN233" s="181"/>
      <c r="AO233" s="181"/>
      <c r="AP233" s="181"/>
      <c r="AQ233" s="181"/>
      <c r="AR233" s="181"/>
      <c r="AS233" s="181"/>
      <c r="AT233" s="181"/>
      <c r="AU233" s="181"/>
      <c r="AV233" s="181"/>
    </row>
    <row r="234" spans="1:48" s="30" customFormat="1" ht="14.25" customHeight="1" x14ac:dyDescent="0.25">
      <c r="A234" s="1408"/>
      <c r="B234" s="191"/>
      <c r="C234" s="921"/>
      <c r="D234" s="922"/>
      <c r="E234" s="933" t="s">
        <v>21</v>
      </c>
      <c r="F234" s="934"/>
      <c r="G234" s="205"/>
      <c r="H234" s="793" t="str">
        <f>CONCATENATE(IF(E234="N","PLACEHOLDER ROW - ",""),'C-Design&amp;Const'!Z138,IF(E234="N","",J147))</f>
        <v>Summary of lateral force resisting systems (for new tributary load or compromising of existing system).</v>
      </c>
      <c r="I234" s="196"/>
      <c r="J234" s="231"/>
      <c r="K234" s="1274"/>
      <c r="L234" s="1382"/>
      <c r="M234" s="1382"/>
      <c r="N234" s="1382"/>
      <c r="O234" s="1382"/>
      <c r="P234" s="1382"/>
      <c r="Q234" s="1382"/>
      <c r="R234" s="1382"/>
      <c r="S234" s="1382"/>
      <c r="T234" s="1382"/>
      <c r="U234" s="1382"/>
      <c r="V234" s="1382"/>
      <c r="W234" s="1382"/>
      <c r="X234" s="1382"/>
      <c r="Y234" s="1382"/>
      <c r="Z234" s="1382"/>
      <c r="AA234" s="1382"/>
      <c r="AB234" s="1382"/>
      <c r="AC234" s="1382"/>
      <c r="AD234" s="1382"/>
      <c r="AE234" s="1382"/>
      <c r="AF234" s="1382"/>
      <c r="AG234" s="1382"/>
      <c r="AH234" s="1382"/>
      <c r="AI234" s="1382"/>
      <c r="AJ234" s="1382"/>
      <c r="AK234" s="181"/>
      <c r="AL234" s="181"/>
      <c r="AM234" s="181"/>
      <c r="AN234" s="181"/>
      <c r="AO234" s="181"/>
      <c r="AP234" s="181"/>
      <c r="AQ234" s="181"/>
      <c r="AR234" s="181"/>
      <c r="AS234" s="181"/>
      <c r="AT234" s="181"/>
      <c r="AU234" s="181"/>
      <c r="AV234" s="181"/>
    </row>
    <row r="235" spans="1:48" s="30" customFormat="1" ht="14.25" customHeight="1" x14ac:dyDescent="0.25">
      <c r="A235" s="1408"/>
      <c r="B235" s="191"/>
      <c r="C235" s="921"/>
      <c r="D235" s="922"/>
      <c r="E235" s="933" t="s">
        <v>38</v>
      </c>
      <c r="F235" s="934"/>
      <c r="G235" s="205"/>
      <c r="H235" s="793" t="str">
        <f>CONCATENATE(IF(E235="N","PLACEHOLDER ROW - ",""),'C-Design&amp;Const'!Z139,IF(E235="N","",J148))</f>
        <v>PLACEHOLDER ROW - LEED Version (v4) Prerequisites Narrative</v>
      </c>
      <c r="I235" s="196"/>
      <c r="J235" s="231"/>
      <c r="K235" s="1274"/>
      <c r="L235" s="1382"/>
      <c r="M235" s="1382"/>
      <c r="N235" s="1382"/>
      <c r="O235" s="1382"/>
      <c r="P235" s="1382"/>
      <c r="Q235" s="1382"/>
      <c r="R235" s="1382"/>
      <c r="S235" s="1382"/>
      <c r="T235" s="1382"/>
      <c r="U235" s="1382"/>
      <c r="V235" s="1382"/>
      <c r="W235" s="1382"/>
      <c r="X235" s="1382"/>
      <c r="Y235" s="1382"/>
      <c r="Z235" s="1382"/>
      <c r="AA235" s="1382"/>
      <c r="AB235" s="1382"/>
      <c r="AC235" s="1382"/>
      <c r="AD235" s="1382"/>
      <c r="AE235" s="1382"/>
      <c r="AF235" s="1382"/>
      <c r="AG235" s="1382"/>
      <c r="AH235" s="1382"/>
      <c r="AI235" s="1382"/>
      <c r="AJ235" s="1382"/>
      <c r="AK235" s="181"/>
      <c r="AL235" s="181"/>
      <c r="AM235" s="181"/>
      <c r="AN235" s="181"/>
      <c r="AO235" s="181"/>
      <c r="AP235" s="181"/>
      <c r="AQ235" s="181"/>
      <c r="AR235" s="181"/>
      <c r="AS235" s="181"/>
      <c r="AT235" s="181"/>
      <c r="AU235" s="181"/>
      <c r="AV235" s="181"/>
    </row>
    <row r="236" spans="1:48" s="30" customFormat="1" ht="14.25" customHeight="1" x14ac:dyDescent="0.25">
      <c r="A236" s="1408"/>
      <c r="B236" s="191"/>
      <c r="C236" s="921"/>
      <c r="D236" s="922"/>
      <c r="E236" s="933" t="s">
        <v>38</v>
      </c>
      <c r="F236" s="934"/>
      <c r="G236" s="205"/>
      <c r="H236" s="793" t="str">
        <f>CONCATENATE(IF(E236="N","PLACEHOLDER ROW - ",""),'C-Design&amp;Const'!Z140,IF(E236="N","",J149))</f>
        <v>PLACEHOLDER ROW - LEED Minimum Silver or better Registration (&gt;10,000 sqft and/or Capital Projects &gt;= $5million; Major renovations or New Construction)</v>
      </c>
      <c r="I236" s="196"/>
      <c r="J236" s="231"/>
      <c r="K236" s="1274"/>
      <c r="L236" s="1382"/>
      <c r="M236" s="1382"/>
      <c r="N236" s="1382"/>
      <c r="O236" s="1382"/>
      <c r="P236" s="1382"/>
      <c r="Q236" s="1382"/>
      <c r="R236" s="1382"/>
      <c r="S236" s="1382"/>
      <c r="T236" s="1382"/>
      <c r="U236" s="1382"/>
      <c r="V236" s="1382"/>
      <c r="W236" s="1382"/>
      <c r="X236" s="1382"/>
      <c r="Y236" s="1382"/>
      <c r="Z236" s="1382"/>
      <c r="AA236" s="1382"/>
      <c r="AB236" s="1382"/>
      <c r="AC236" s="1382"/>
      <c r="AD236" s="1382"/>
      <c r="AE236" s="1382"/>
      <c r="AF236" s="1382"/>
      <c r="AG236" s="1382"/>
      <c r="AH236" s="1382"/>
      <c r="AI236" s="1382"/>
      <c r="AJ236" s="1382"/>
      <c r="AK236" s="181"/>
      <c r="AL236" s="181"/>
      <c r="AM236" s="181"/>
      <c r="AN236" s="181"/>
      <c r="AO236" s="181"/>
      <c r="AP236" s="181"/>
      <c r="AQ236" s="181"/>
      <c r="AR236" s="181"/>
      <c r="AS236" s="181"/>
      <c r="AT236" s="181"/>
      <c r="AU236" s="181"/>
      <c r="AV236" s="181"/>
    </row>
    <row r="237" spans="1:48" s="30" customFormat="1" ht="14.25" customHeight="1" x14ac:dyDescent="0.25">
      <c r="A237" s="1408"/>
      <c r="B237" s="191"/>
      <c r="C237" s="921"/>
      <c r="D237" s="922"/>
      <c r="E237" s="933" t="s">
        <v>38</v>
      </c>
      <c r="F237" s="934"/>
      <c r="G237" s="205"/>
      <c r="H237" s="793" t="str">
        <f>CONCATENATE(IF(E237="N","PLACEHOLDER ROW - ",""),'C-Design&amp;Const'!Z141,IF(E237="N","",J150))</f>
        <v xml:space="preserve">PLACEHOLDER ROW - LEED Project Checklist - (previously referred to as LEED Scorecard) </v>
      </c>
      <c r="I237" s="196"/>
      <c r="J237" s="231"/>
      <c r="K237" s="1274"/>
      <c r="L237" s="1382"/>
      <c r="M237" s="1382"/>
      <c r="N237" s="1382"/>
      <c r="O237" s="1382"/>
      <c r="P237" s="1382"/>
      <c r="Q237" s="1382"/>
      <c r="R237" s="1382"/>
      <c r="S237" s="1382"/>
      <c r="T237" s="1382"/>
      <c r="U237" s="1382"/>
      <c r="V237" s="1382"/>
      <c r="W237" s="1382"/>
      <c r="X237" s="1382"/>
      <c r="Y237" s="1382"/>
      <c r="Z237" s="1382"/>
      <c r="AA237" s="1382"/>
      <c r="AB237" s="1382"/>
      <c r="AC237" s="1382"/>
      <c r="AD237" s="1382"/>
      <c r="AE237" s="1382"/>
      <c r="AF237" s="1382"/>
      <c r="AG237" s="1382"/>
      <c r="AH237" s="1382"/>
      <c r="AI237" s="1382"/>
      <c r="AJ237" s="1382"/>
      <c r="AK237" s="181"/>
      <c r="AL237" s="181"/>
      <c r="AM237" s="181"/>
      <c r="AN237" s="181"/>
      <c r="AO237" s="181"/>
      <c r="AP237" s="181"/>
      <c r="AQ237" s="181"/>
      <c r="AR237" s="181"/>
      <c r="AS237" s="181"/>
      <c r="AT237" s="181"/>
      <c r="AU237" s="181"/>
      <c r="AV237" s="181"/>
    </row>
    <row r="238" spans="1:48" s="30" customFormat="1" ht="14.25" customHeight="1" x14ac:dyDescent="0.25">
      <c r="A238" s="1408"/>
      <c r="B238" s="191"/>
      <c r="C238" s="921"/>
      <c r="D238" s="922"/>
      <c r="E238" s="933" t="s">
        <v>38</v>
      </c>
      <c r="F238" s="934"/>
      <c r="G238" s="205"/>
      <c r="H238" s="793" t="str">
        <f>CONCATENATE(IF(E238="N","PLACEHOLDER ROW - ",""),'C-Design&amp;Const'!Z142,IF(E238="N","",J151))</f>
        <v xml:space="preserve">PLACEHOLDER ROW - Energy Model (per ASHRAE 90.1, version from 2013  ) </v>
      </c>
      <c r="I238" s="196"/>
      <c r="J238" s="231"/>
      <c r="K238" s="1274"/>
      <c r="L238" s="1382"/>
      <c r="M238" s="1382"/>
      <c r="N238" s="1382"/>
      <c r="O238" s="1382"/>
      <c r="P238" s="1382"/>
      <c r="Q238" s="1382"/>
      <c r="R238" s="1382"/>
      <c r="S238" s="1382"/>
      <c r="T238" s="1382"/>
      <c r="U238" s="1382"/>
      <c r="V238" s="1382"/>
      <c r="W238" s="1382"/>
      <c r="X238" s="1382"/>
      <c r="Y238" s="1382"/>
      <c r="Z238" s="1382"/>
      <c r="AA238" s="1382"/>
      <c r="AB238" s="1382"/>
      <c r="AC238" s="1382"/>
      <c r="AD238" s="1382"/>
      <c r="AE238" s="1382"/>
      <c r="AF238" s="1382"/>
      <c r="AG238" s="1382"/>
      <c r="AH238" s="1382"/>
      <c r="AI238" s="1382"/>
      <c r="AJ238" s="1382"/>
      <c r="AK238" s="181"/>
      <c r="AL238" s="181"/>
      <c r="AM238" s="181"/>
      <c r="AN238" s="181"/>
      <c r="AO238" s="181"/>
      <c r="AP238" s="181"/>
      <c r="AQ238" s="181"/>
      <c r="AR238" s="181"/>
      <c r="AS238" s="181"/>
      <c r="AT238" s="181"/>
      <c r="AU238" s="181"/>
      <c r="AV238" s="181"/>
    </row>
    <row r="239" spans="1:48" s="30" customFormat="1" ht="14.25" customHeight="1" x14ac:dyDescent="0.25">
      <c r="A239" s="1408"/>
      <c r="B239" s="191"/>
      <c r="C239" s="921"/>
      <c r="D239" s="922"/>
      <c r="E239" s="933" t="s">
        <v>21</v>
      </c>
      <c r="F239" s="934"/>
      <c r="G239" s="205"/>
      <c r="H239" s="793" t="str">
        <f>CONCATENATE(IF(E239="N","PLACEHOLDER ROW - ",""),'C-Design&amp;Const'!Z143,IF(E239="N","",J152))</f>
        <v>Life Cycle Cost Analysis for selected systems (for projects exceeding 25,000 SF)</v>
      </c>
      <c r="I239" s="196"/>
      <c r="J239" s="231"/>
      <c r="K239" s="1274"/>
      <c r="L239" s="1382"/>
      <c r="M239" s="1382"/>
      <c r="N239" s="1382"/>
      <c r="O239" s="1382"/>
      <c r="P239" s="1382"/>
      <c r="Q239" s="1382"/>
      <c r="R239" s="1382"/>
      <c r="S239" s="1382"/>
      <c r="T239" s="1382"/>
      <c r="U239" s="1382"/>
      <c r="V239" s="1382"/>
      <c r="W239" s="1382"/>
      <c r="X239" s="1382"/>
      <c r="Y239" s="1382"/>
      <c r="Z239" s="1382"/>
      <c r="AA239" s="1382"/>
      <c r="AB239" s="1382"/>
      <c r="AC239" s="1382"/>
      <c r="AD239" s="1382"/>
      <c r="AE239" s="1382"/>
      <c r="AF239" s="1382"/>
      <c r="AG239" s="1382"/>
      <c r="AH239" s="1382"/>
      <c r="AI239" s="1382"/>
      <c r="AJ239" s="1382"/>
      <c r="AK239" s="181"/>
      <c r="AL239" s="181"/>
      <c r="AM239" s="181"/>
      <c r="AN239" s="181"/>
      <c r="AO239" s="181"/>
      <c r="AP239" s="181"/>
      <c r="AQ239" s="181"/>
      <c r="AR239" s="181"/>
      <c r="AS239" s="181"/>
      <c r="AT239" s="181"/>
      <c r="AU239" s="181"/>
      <c r="AV239" s="181"/>
    </row>
    <row r="240" spans="1:48" s="30" customFormat="1" ht="14.25" customHeight="1" x14ac:dyDescent="0.25">
      <c r="A240" s="1408"/>
      <c r="B240" s="191"/>
      <c r="C240" s="921"/>
      <c r="D240" s="922"/>
      <c r="E240" s="933" t="s">
        <v>38</v>
      </c>
      <c r="F240" s="934"/>
      <c r="G240" s="205"/>
      <c r="H240" s="793" t="str">
        <f>CONCATENATE(IF(E240="N","PLACEHOLDER ROW - ",""),'C-Design&amp;Const'!Z144,IF(E240="N","",J155))</f>
        <v xml:space="preserve">PLACEHOLDER ROW - Energy Budget </v>
      </c>
      <c r="I240" s="196"/>
      <c r="J240" s="231"/>
      <c r="K240" s="1274"/>
      <c r="L240" s="1382"/>
      <c r="M240" s="1382"/>
      <c r="N240" s="1382"/>
      <c r="O240" s="1382"/>
      <c r="P240" s="1382"/>
      <c r="Q240" s="1382"/>
      <c r="R240" s="1382"/>
      <c r="S240" s="1382"/>
      <c r="T240" s="1382"/>
      <c r="U240" s="1382"/>
      <c r="V240" s="1382"/>
      <c r="W240" s="1382"/>
      <c r="X240" s="1382"/>
      <c r="Y240" s="1382"/>
      <c r="Z240" s="1382"/>
      <c r="AA240" s="1382"/>
      <c r="AB240" s="1382"/>
      <c r="AC240" s="1382"/>
      <c r="AD240" s="1382"/>
      <c r="AE240" s="1382"/>
      <c r="AF240" s="1382"/>
      <c r="AG240" s="1382"/>
      <c r="AH240" s="1382"/>
      <c r="AI240" s="1382"/>
      <c r="AJ240" s="1382"/>
      <c r="AK240" s="181"/>
      <c r="AL240" s="181"/>
      <c r="AM240" s="181"/>
      <c r="AN240" s="181"/>
      <c r="AO240" s="181"/>
      <c r="AP240" s="181"/>
      <c r="AQ240" s="181"/>
      <c r="AR240" s="181"/>
      <c r="AS240" s="181"/>
      <c r="AT240" s="181"/>
      <c r="AU240" s="181"/>
      <c r="AV240" s="181"/>
    </row>
    <row r="241" spans="1:48" s="30" customFormat="1" ht="14.25" customHeight="1" x14ac:dyDescent="0.25">
      <c r="A241" s="1408"/>
      <c r="B241" s="191"/>
      <c r="C241" s="921"/>
      <c r="D241" s="922"/>
      <c r="E241" s="933" t="s">
        <v>21</v>
      </c>
      <c r="F241" s="934"/>
      <c r="G241" s="205"/>
      <c r="H241" s="793" t="str">
        <f>CONCATENATE(IF(E241="N","PLACEHOLDER ROW - ",""),'C-Design&amp;Const'!Z145,IF(E241="N","",J156))</f>
        <v>Utilities Peak Load Estimates</v>
      </c>
      <c r="I241" s="196"/>
      <c r="J241" s="231"/>
      <c r="K241" s="1274"/>
      <c r="L241" s="1382"/>
      <c r="M241" s="1382"/>
      <c r="N241" s="1382"/>
      <c r="O241" s="1382"/>
      <c r="P241" s="1382"/>
      <c r="Q241" s="1382"/>
      <c r="R241" s="1382"/>
      <c r="S241" s="1382"/>
      <c r="T241" s="1382"/>
      <c r="U241" s="1382"/>
      <c r="V241" s="1382"/>
      <c r="W241" s="1382"/>
      <c r="X241" s="1382"/>
      <c r="Y241" s="1382"/>
      <c r="Z241" s="1382"/>
      <c r="AA241" s="1382"/>
      <c r="AB241" s="1382"/>
      <c r="AC241" s="1382"/>
      <c r="AD241" s="1382"/>
      <c r="AE241" s="1382"/>
      <c r="AF241" s="1382"/>
      <c r="AG241" s="1382"/>
      <c r="AH241" s="1382"/>
      <c r="AI241" s="1382"/>
      <c r="AJ241" s="1382"/>
      <c r="AK241" s="181"/>
      <c r="AL241" s="181"/>
      <c r="AM241" s="181"/>
      <c r="AN241" s="181"/>
      <c r="AO241" s="181"/>
      <c r="AP241" s="181"/>
      <c r="AQ241" s="181"/>
      <c r="AR241" s="181"/>
      <c r="AS241" s="181"/>
      <c r="AT241" s="181"/>
      <c r="AU241" s="181"/>
      <c r="AV241" s="181"/>
    </row>
    <row r="242" spans="1:48" s="30" customFormat="1" ht="14.25" customHeight="1" x14ac:dyDescent="0.25">
      <c r="A242" s="1408"/>
      <c r="B242" s="191"/>
      <c r="C242" s="921"/>
      <c r="D242" s="922"/>
      <c r="E242" s="933" t="s">
        <v>38</v>
      </c>
      <c r="F242" s="934"/>
      <c r="G242" s="205"/>
      <c r="H242" s="793" t="str">
        <f>CONCATENATE(IF(E242="N","PLACEHOLDER ROW - ",""),'C-Design&amp;Const'!Z147,IF(E242="N","",J157))</f>
        <v xml:space="preserve">PLACEHOLDER ROW - Energy Standards – proof of compliance </v>
      </c>
      <c r="I242" s="196"/>
      <c r="J242" s="231"/>
      <c r="K242" s="1274"/>
      <c r="L242" s="1382"/>
      <c r="M242" s="1382"/>
      <c r="N242" s="1382"/>
      <c r="O242" s="1382"/>
      <c r="P242" s="1382"/>
      <c r="Q242" s="1382"/>
      <c r="R242" s="1382"/>
      <c r="S242" s="1382"/>
      <c r="T242" s="1382"/>
      <c r="U242" s="1382"/>
      <c r="V242" s="1382"/>
      <c r="W242" s="1382"/>
      <c r="X242" s="1382"/>
      <c r="Y242" s="1382"/>
      <c r="Z242" s="1382"/>
      <c r="AA242" s="1382"/>
      <c r="AB242" s="1382"/>
      <c r="AC242" s="1382"/>
      <c r="AD242" s="1382"/>
      <c r="AE242" s="1382"/>
      <c r="AF242" s="1382"/>
      <c r="AG242" s="1382"/>
      <c r="AH242" s="1382"/>
      <c r="AI242" s="1382"/>
      <c r="AJ242" s="1382"/>
      <c r="AK242" s="181"/>
      <c r="AL242" s="181"/>
      <c r="AM242" s="181"/>
      <c r="AN242" s="181"/>
      <c r="AO242" s="181"/>
      <c r="AP242" s="181"/>
      <c r="AQ242" s="181"/>
      <c r="AR242" s="181"/>
      <c r="AS242" s="181"/>
      <c r="AT242" s="181"/>
      <c r="AU242" s="181"/>
      <c r="AV242" s="181"/>
    </row>
    <row r="243" spans="1:48" s="30" customFormat="1" ht="14.25" customHeight="1" x14ac:dyDescent="0.25">
      <c r="A243" s="1408"/>
      <c r="B243" s="191"/>
      <c r="C243" s="921"/>
      <c r="D243" s="922"/>
      <c r="E243" s="933" t="s">
        <v>21</v>
      </c>
      <c r="F243" s="934"/>
      <c r="G243" s="205"/>
      <c r="H243" s="793" t="str">
        <f>CONCATENATE(IF(E243="N","PLACEHOLDER ROW - ",""),'C-Design&amp;Const'!Z148,IF(E243="N","",J158))</f>
        <v xml:space="preserve">Hydraulic Analysis for water and waste - ** calculations available upon request </v>
      </c>
      <c r="I243" s="196"/>
      <c r="J243" s="231"/>
      <c r="K243" s="1274"/>
      <c r="L243" s="1382"/>
      <c r="M243" s="1382"/>
      <c r="N243" s="1382"/>
      <c r="O243" s="1382"/>
      <c r="P243" s="1382"/>
      <c r="Q243" s="1382"/>
      <c r="R243" s="1382"/>
      <c r="S243" s="1382"/>
      <c r="T243" s="1382"/>
      <c r="U243" s="1382"/>
      <c r="V243" s="1382"/>
      <c r="W243" s="1382"/>
      <c r="X243" s="1382"/>
      <c r="Y243" s="1382"/>
      <c r="Z243" s="1382"/>
      <c r="AA243" s="1382"/>
      <c r="AB243" s="1382"/>
      <c r="AC243" s="1382"/>
      <c r="AD243" s="1382"/>
      <c r="AE243" s="1382"/>
      <c r="AF243" s="1382"/>
      <c r="AG243" s="1382"/>
      <c r="AH243" s="1382"/>
      <c r="AI243" s="1382"/>
      <c r="AJ243" s="1382"/>
      <c r="AK243" s="181"/>
      <c r="AL243" s="181"/>
      <c r="AM243" s="181"/>
      <c r="AN243" s="181"/>
      <c r="AO243" s="181"/>
      <c r="AP243" s="181"/>
      <c r="AQ243" s="181"/>
      <c r="AR243" s="181"/>
      <c r="AS243" s="181"/>
      <c r="AT243" s="181"/>
      <c r="AU243" s="181"/>
      <c r="AV243" s="181"/>
    </row>
    <row r="244" spans="1:48" s="30" customFormat="1" ht="14.25" customHeight="1" x14ac:dyDescent="0.25">
      <c r="A244" s="1408"/>
      <c r="B244" s="191"/>
      <c r="C244" s="921"/>
      <c r="D244" s="922"/>
      <c r="E244" s="933" t="s">
        <v>21</v>
      </c>
      <c r="F244" s="934"/>
      <c r="G244" s="205"/>
      <c r="H244" s="793" t="str">
        <f>CONCATENATE(IF(E244="N","PLACEHOLDER ROW - ",""),'C-Design&amp;Const'!Z149,IF(E244="N","",J160))</f>
        <v xml:space="preserve">Hydraulic Analysis for fire protection - ** calculations available upon request </v>
      </c>
      <c r="I244" s="196"/>
      <c r="J244" s="231"/>
      <c r="K244" s="1274"/>
      <c r="L244" s="1382"/>
      <c r="M244" s="1382"/>
      <c r="N244" s="1382"/>
      <c r="O244" s="1382"/>
      <c r="P244" s="1382"/>
      <c r="Q244" s="1382"/>
      <c r="R244" s="1382"/>
      <c r="S244" s="1382"/>
      <c r="T244" s="1382"/>
      <c r="U244" s="1382"/>
      <c r="V244" s="1382"/>
      <c r="W244" s="1382"/>
      <c r="X244" s="1382"/>
      <c r="Y244" s="1382"/>
      <c r="Z244" s="1382"/>
      <c r="AA244" s="1382"/>
      <c r="AB244" s="1382"/>
      <c r="AC244" s="1382"/>
      <c r="AD244" s="1382"/>
      <c r="AE244" s="1382"/>
      <c r="AF244" s="1382"/>
      <c r="AG244" s="1382"/>
      <c r="AH244" s="1382"/>
      <c r="AI244" s="1382"/>
      <c r="AJ244" s="1382"/>
      <c r="AK244" s="181"/>
      <c r="AL244" s="181"/>
      <c r="AM244" s="181"/>
      <c r="AN244" s="181"/>
      <c r="AO244" s="181"/>
      <c r="AP244" s="181"/>
      <c r="AQ244" s="181"/>
      <c r="AR244" s="181"/>
      <c r="AS244" s="181"/>
      <c r="AT244" s="181"/>
      <c r="AU244" s="181"/>
      <c r="AV244" s="181"/>
    </row>
    <row r="245" spans="1:48" s="30" customFormat="1" ht="14.25" customHeight="1" x14ac:dyDescent="0.25">
      <c r="A245" s="1408"/>
      <c r="B245" s="191"/>
      <c r="C245" s="921"/>
      <c r="D245" s="922"/>
      <c r="E245" s="933" t="s">
        <v>38</v>
      </c>
      <c r="F245" s="934"/>
      <c r="G245" s="205"/>
      <c r="H245" s="793" t="str">
        <f>CONCATENATE(IF(E245="N","PLACEHOLDER ROW - ",""),'C-Design&amp;Const'!Z150,IF(E245="N","",J161))</f>
        <v>PLACEHOLDER ROW - Harmonic Analysis Report for VFDs (N/A till construction)</v>
      </c>
      <c r="I245" s="196"/>
      <c r="J245" s="231"/>
      <c r="K245" s="1274"/>
      <c r="L245" s="1382"/>
      <c r="M245" s="1382"/>
      <c r="N245" s="1382"/>
      <c r="O245" s="1382"/>
      <c r="P245" s="1382"/>
      <c r="Q245" s="1382"/>
      <c r="R245" s="1382"/>
      <c r="S245" s="1382"/>
      <c r="T245" s="1382"/>
      <c r="U245" s="1382"/>
      <c r="V245" s="1382"/>
      <c r="W245" s="1382"/>
      <c r="X245" s="1382"/>
      <c r="Y245" s="1382"/>
      <c r="Z245" s="1382"/>
      <c r="AA245" s="1382"/>
      <c r="AB245" s="1382"/>
      <c r="AC245" s="1382"/>
      <c r="AD245" s="1382"/>
      <c r="AE245" s="1382"/>
      <c r="AF245" s="1382"/>
      <c r="AG245" s="1382"/>
      <c r="AH245" s="1382"/>
      <c r="AI245" s="1382"/>
      <c r="AJ245" s="1382"/>
      <c r="AK245" s="181"/>
      <c r="AL245" s="181"/>
      <c r="AM245" s="181"/>
      <c r="AN245" s="181"/>
      <c r="AO245" s="181"/>
      <c r="AP245" s="181"/>
      <c r="AQ245" s="181"/>
      <c r="AR245" s="181"/>
      <c r="AS245" s="181"/>
      <c r="AT245" s="181"/>
      <c r="AU245" s="181"/>
      <c r="AV245" s="181"/>
    </row>
    <row r="246" spans="1:48" s="30" customFormat="1" ht="14.25" customHeight="1" x14ac:dyDescent="0.25">
      <c r="A246" s="1408"/>
      <c r="B246" s="191"/>
      <c r="C246" s="921"/>
      <c r="D246" s="922"/>
      <c r="E246" s="933" t="s">
        <v>21</v>
      </c>
      <c r="F246" s="934"/>
      <c r="G246" s="205"/>
      <c r="H246" s="793" t="str">
        <f>CONCATENATE(IF(E246="N","PLACEHOLDER ROW - ",""),'C-Design&amp;Const'!Z151,IF(E246="N","",J159))</f>
        <v xml:space="preserve">Results of Emergency Generator Load Calculation - ** calculations available upon request </v>
      </c>
      <c r="I246" s="196"/>
      <c r="J246" s="231"/>
      <c r="K246" s="1274"/>
      <c r="L246" s="1382"/>
      <c r="M246" s="1382"/>
      <c r="N246" s="1382"/>
      <c r="O246" s="1382"/>
      <c r="P246" s="1382"/>
      <c r="Q246" s="1382"/>
      <c r="R246" s="1382"/>
      <c r="S246" s="1382"/>
      <c r="T246" s="1382"/>
      <c r="U246" s="1382"/>
      <c r="V246" s="1382"/>
      <c r="W246" s="1382"/>
      <c r="X246" s="1382"/>
      <c r="Y246" s="1382"/>
      <c r="Z246" s="1382"/>
      <c r="AA246" s="1382"/>
      <c r="AB246" s="1382"/>
      <c r="AC246" s="1382"/>
      <c r="AD246" s="1382"/>
      <c r="AE246" s="1382"/>
      <c r="AF246" s="1382"/>
      <c r="AG246" s="1382"/>
      <c r="AH246" s="1382"/>
      <c r="AI246" s="1382"/>
      <c r="AJ246" s="1382"/>
      <c r="AK246" s="181"/>
      <c r="AL246" s="181"/>
      <c r="AM246" s="181"/>
      <c r="AN246" s="181"/>
      <c r="AO246" s="181"/>
      <c r="AP246" s="181"/>
      <c r="AQ246" s="181"/>
      <c r="AR246" s="181"/>
      <c r="AS246" s="181"/>
      <c r="AT246" s="181"/>
      <c r="AU246" s="181"/>
      <c r="AV246" s="181"/>
    </row>
    <row r="247" spans="1:48" s="30" customFormat="1" ht="14.25" customHeight="1" x14ac:dyDescent="0.25">
      <c r="A247" s="1408"/>
      <c r="B247" s="191"/>
      <c r="C247" s="921"/>
      <c r="D247" s="922"/>
      <c r="E247" s="933" t="s">
        <v>21</v>
      </c>
      <c r="F247" s="934"/>
      <c r="G247" s="205"/>
      <c r="H247" s="1071" t="s">
        <v>138</v>
      </c>
      <c r="I247" s="196"/>
      <c r="J247" s="231"/>
      <c r="K247" s="1274"/>
      <c r="L247" s="1382"/>
      <c r="M247" s="1382"/>
      <c r="N247" s="1382"/>
      <c r="O247" s="1382"/>
      <c r="P247" s="1382"/>
      <c r="Q247" s="1382"/>
      <c r="R247" s="1382"/>
      <c r="S247" s="1382"/>
      <c r="T247" s="1382"/>
      <c r="U247" s="1382"/>
      <c r="V247" s="1382"/>
      <c r="W247" s="1382"/>
      <c r="X247" s="1382"/>
      <c r="Y247" s="1382"/>
      <c r="Z247" s="1382"/>
      <c r="AA247" s="1382"/>
      <c r="AB247" s="1382"/>
      <c r="AC247" s="1382"/>
      <c r="AD247" s="1382"/>
      <c r="AE247" s="1382"/>
      <c r="AF247" s="1382"/>
      <c r="AG247" s="1382"/>
      <c r="AH247" s="1382"/>
      <c r="AI247" s="1382"/>
      <c r="AJ247" s="1382"/>
      <c r="AK247" s="181"/>
      <c r="AL247" s="181"/>
      <c r="AM247" s="181"/>
      <c r="AN247" s="181"/>
      <c r="AO247" s="181"/>
      <c r="AP247" s="181"/>
      <c r="AQ247" s="181"/>
      <c r="AR247" s="181"/>
      <c r="AS247" s="181"/>
      <c r="AT247" s="181"/>
      <c r="AU247" s="181"/>
      <c r="AV247" s="181"/>
    </row>
    <row r="248" spans="1:48" s="30" customFormat="1" ht="14.25" customHeight="1" x14ac:dyDescent="0.25">
      <c r="A248" s="1408"/>
      <c r="B248" s="191"/>
      <c r="C248" s="921"/>
      <c r="D248" s="922"/>
      <c r="E248" s="933" t="s">
        <v>21</v>
      </c>
      <c r="F248" s="934"/>
      <c r="G248" s="205"/>
      <c r="H248" s="793" t="str">
        <f>CONCATENATE(IF(E248="N","PLACEHOLDER ROW - ",""),'C-Design&amp;Const'!Z153,IF(E248="N","",J163))</f>
        <v xml:space="preserve">Results of Transformer Load Calculation -** calculations available upon request </v>
      </c>
      <c r="I248" s="196"/>
      <c r="J248" s="231"/>
      <c r="K248" s="1274"/>
      <c r="L248" s="1382"/>
      <c r="M248" s="1382"/>
      <c r="N248" s="1382"/>
      <c r="O248" s="1382"/>
      <c r="P248" s="1382"/>
      <c r="Q248" s="1382"/>
      <c r="R248" s="1382"/>
      <c r="S248" s="1382"/>
      <c r="T248" s="1382"/>
      <c r="U248" s="1382"/>
      <c r="V248" s="1382"/>
      <c r="W248" s="1382"/>
      <c r="X248" s="1382"/>
      <c r="Y248" s="1382"/>
      <c r="Z248" s="1382"/>
      <c r="AA248" s="1382"/>
      <c r="AB248" s="1382"/>
      <c r="AC248" s="1382"/>
      <c r="AD248" s="1382"/>
      <c r="AE248" s="1382"/>
      <c r="AF248" s="1382"/>
      <c r="AG248" s="1382"/>
      <c r="AH248" s="1382"/>
      <c r="AI248" s="1382"/>
      <c r="AJ248" s="1382"/>
      <c r="AK248" s="181"/>
      <c r="AL248" s="181"/>
      <c r="AM248" s="181"/>
      <c r="AN248" s="181"/>
      <c r="AO248" s="181"/>
      <c r="AP248" s="181"/>
      <c r="AQ248" s="181"/>
      <c r="AR248" s="181"/>
      <c r="AS248" s="181"/>
      <c r="AT248" s="181"/>
      <c r="AU248" s="181"/>
      <c r="AV248" s="181"/>
    </row>
    <row r="249" spans="1:48" s="30" customFormat="1" ht="28.5" x14ac:dyDescent="0.25">
      <c r="A249" s="1408"/>
      <c r="B249" s="191"/>
      <c r="C249" s="921"/>
      <c r="D249" s="922"/>
      <c r="E249" s="933" t="s">
        <v>21</v>
      </c>
      <c r="F249" s="934"/>
      <c r="G249" s="205"/>
      <c r="H249" s="793" t="str">
        <f>CONCATENATE(IF(E249="N","PLACEHOLDER ROW - ",""),'C-Design&amp;Const'!Z154,IF(E249="N","",J164))</f>
        <v xml:space="preserve">Results of Short-Circuit (Fault) Analysis of Building Electrical System- ** calculations available upon request </v>
      </c>
      <c r="I249" s="196"/>
      <c r="J249" s="231"/>
      <c r="K249" s="1274"/>
      <c r="L249" s="1382"/>
      <c r="M249" s="1382"/>
      <c r="N249" s="1382"/>
      <c r="O249" s="1382"/>
      <c r="P249" s="1382"/>
      <c r="Q249" s="1382"/>
      <c r="R249" s="1382"/>
      <c r="S249" s="1382"/>
      <c r="T249" s="1382"/>
      <c r="U249" s="1382"/>
      <c r="V249" s="1382"/>
      <c r="W249" s="1382"/>
      <c r="X249" s="1382"/>
      <c r="Y249" s="1382"/>
      <c r="Z249" s="1382"/>
      <c r="AA249" s="1382"/>
      <c r="AB249" s="1382"/>
      <c r="AC249" s="1382"/>
      <c r="AD249" s="1382"/>
      <c r="AE249" s="1382"/>
      <c r="AF249" s="1382"/>
      <c r="AG249" s="1382"/>
      <c r="AH249" s="1382"/>
      <c r="AI249" s="1382"/>
      <c r="AJ249" s="1382"/>
      <c r="AK249" s="181"/>
      <c r="AL249" s="181"/>
      <c r="AM249" s="181"/>
      <c r="AN249" s="181"/>
      <c r="AO249" s="181"/>
      <c r="AP249" s="181"/>
      <c r="AQ249" s="181"/>
      <c r="AR249" s="181"/>
      <c r="AS249" s="181"/>
      <c r="AT249" s="181"/>
      <c r="AU249" s="181"/>
      <c r="AV249" s="181"/>
    </row>
    <row r="250" spans="1:48" s="30" customFormat="1" ht="28.5" x14ac:dyDescent="0.25">
      <c r="A250" s="1408"/>
      <c r="B250" s="191"/>
      <c r="C250" s="921"/>
      <c r="D250" s="922"/>
      <c r="E250" s="933" t="s">
        <v>38</v>
      </c>
      <c r="F250" s="934"/>
      <c r="G250" s="205"/>
      <c r="H250" s="793" t="str">
        <f>CONCATENATE(IF(E250="N","PLACEHOLDER ROW - ",""),'C-Design&amp;Const'!Z155,IF(E250="N","",J165))</f>
        <v xml:space="preserve">PLACEHOLDER ROW - Extensions of Primary Electrical Distribution-** calculations available upon request </v>
      </c>
      <c r="I250" s="196"/>
      <c r="J250" s="231"/>
      <c r="K250" s="1274"/>
      <c r="L250" s="1382"/>
      <c r="M250" s="1382"/>
      <c r="N250" s="1382"/>
      <c r="O250" s="1382"/>
      <c r="P250" s="1382"/>
      <c r="Q250" s="1382"/>
      <c r="R250" s="1382"/>
      <c r="S250" s="1382"/>
      <c r="T250" s="1382"/>
      <c r="U250" s="1382"/>
      <c r="V250" s="1382"/>
      <c r="W250" s="1382"/>
      <c r="X250" s="1382"/>
      <c r="Y250" s="1382"/>
      <c r="Z250" s="1382"/>
      <c r="AA250" s="1382"/>
      <c r="AB250" s="1382"/>
      <c r="AC250" s="1382"/>
      <c r="AD250" s="1382"/>
      <c r="AE250" s="1382"/>
      <c r="AF250" s="1382"/>
      <c r="AG250" s="1382"/>
      <c r="AH250" s="1382"/>
      <c r="AI250" s="1382"/>
      <c r="AJ250" s="1382"/>
      <c r="AK250" s="181"/>
      <c r="AL250" s="181"/>
      <c r="AM250" s="181"/>
      <c r="AN250" s="181"/>
      <c r="AO250" s="181"/>
      <c r="AP250" s="181"/>
      <c r="AQ250" s="181"/>
      <c r="AR250" s="181"/>
      <c r="AS250" s="181"/>
      <c r="AT250" s="181"/>
      <c r="AU250" s="181"/>
      <c r="AV250" s="181"/>
    </row>
    <row r="251" spans="1:48" s="30" customFormat="1" ht="42.75" x14ac:dyDescent="0.25">
      <c r="A251" s="1408"/>
      <c r="B251" s="191"/>
      <c r="C251" s="921"/>
      <c r="D251" s="922"/>
      <c r="E251" s="933" t="s">
        <v>38</v>
      </c>
      <c r="F251" s="934"/>
      <c r="G251" s="205"/>
      <c r="H251" s="793" t="str">
        <f>CONCATENATE(IF(E251="N","PLACEHOLDER ROW - ",""),'C-Design&amp;Const'!Z156,IF(E251="N","",J166))</f>
        <v xml:space="preserve">PLACEHOLDER ROW - Results of Proposed Lighting Power Density Calculation (output from COMcheck software or similar) showing Compliance with Energy Codes and Standards -** calculations available upon request </v>
      </c>
      <c r="I251" s="196"/>
      <c r="J251" s="231"/>
      <c r="K251" s="1274"/>
      <c r="L251" s="1382"/>
      <c r="M251" s="1382"/>
      <c r="N251" s="1382"/>
      <c r="O251" s="1382"/>
      <c r="P251" s="1382"/>
      <c r="Q251" s="1382"/>
      <c r="R251" s="1382"/>
      <c r="S251" s="1382"/>
      <c r="T251" s="1382"/>
      <c r="U251" s="1382"/>
      <c r="V251" s="1382"/>
      <c r="W251" s="1382"/>
      <c r="X251" s="1382"/>
      <c r="Y251" s="1382"/>
      <c r="Z251" s="1382"/>
      <c r="AA251" s="1382"/>
      <c r="AB251" s="1382"/>
      <c r="AC251" s="1382"/>
      <c r="AD251" s="1382"/>
      <c r="AE251" s="1382"/>
      <c r="AF251" s="1382"/>
      <c r="AG251" s="1382"/>
      <c r="AH251" s="1382"/>
      <c r="AI251" s="1382"/>
      <c r="AJ251" s="1382"/>
      <c r="AK251" s="181"/>
      <c r="AL251" s="181"/>
      <c r="AM251" s="181"/>
      <c r="AN251" s="181"/>
      <c r="AO251" s="181"/>
      <c r="AP251" s="181"/>
      <c r="AQ251" s="181"/>
      <c r="AR251" s="181"/>
      <c r="AS251" s="181"/>
      <c r="AT251" s="181"/>
      <c r="AU251" s="181"/>
      <c r="AV251" s="181"/>
    </row>
    <row r="252" spans="1:48" s="30" customFormat="1" ht="28.5" x14ac:dyDescent="0.25">
      <c r="A252" s="1408"/>
      <c r="B252" s="191"/>
      <c r="C252" s="921"/>
      <c r="D252" s="922"/>
      <c r="E252" s="933" t="s">
        <v>38</v>
      </c>
      <c r="F252" s="934"/>
      <c r="G252" s="205"/>
      <c r="H252" s="793" t="str">
        <f>CONCATENATE(IF(E252="N","PLACEHOLDER ROW - ",""),'C-Design&amp;Const'!Z157,IF(E252="N","",J167))</f>
        <v>PLACEHOLDER ROW - Results of Point-by-Point Exterior Lighting Calculations Showing Compliance with IESNA Recommendations</v>
      </c>
      <c r="I252" s="196"/>
      <c r="J252" s="231"/>
      <c r="K252" s="1274"/>
      <c r="L252" s="1382"/>
      <c r="M252" s="1382"/>
      <c r="N252" s="1382"/>
      <c r="O252" s="1382"/>
      <c r="P252" s="1382"/>
      <c r="Q252" s="1382"/>
      <c r="R252" s="1382"/>
      <c r="S252" s="1382"/>
      <c r="T252" s="1382"/>
      <c r="U252" s="1382"/>
      <c r="V252" s="1382"/>
      <c r="W252" s="1382"/>
      <c r="X252" s="1382"/>
      <c r="Y252" s="1382"/>
      <c r="Z252" s="1382"/>
      <c r="AA252" s="1382"/>
      <c r="AB252" s="1382"/>
      <c r="AC252" s="1382"/>
      <c r="AD252" s="1382"/>
      <c r="AE252" s="1382"/>
      <c r="AF252" s="1382"/>
      <c r="AG252" s="1382"/>
      <c r="AH252" s="1382"/>
      <c r="AI252" s="1382"/>
      <c r="AJ252" s="1382"/>
      <c r="AK252" s="181"/>
      <c r="AL252" s="181"/>
      <c r="AM252" s="181"/>
      <c r="AN252" s="181"/>
      <c r="AO252" s="181"/>
      <c r="AP252" s="181"/>
      <c r="AQ252" s="181"/>
      <c r="AR252" s="181"/>
      <c r="AS252" s="181"/>
      <c r="AT252" s="181"/>
      <c r="AU252" s="181"/>
      <c r="AV252" s="181"/>
    </row>
    <row r="253" spans="1:48" s="30" customFormat="1" ht="18" customHeight="1" x14ac:dyDescent="0.25">
      <c r="A253" s="1408"/>
      <c r="B253" s="191"/>
      <c r="C253" s="921"/>
      <c r="D253" s="922"/>
      <c r="E253" s="933" t="s">
        <v>38</v>
      </c>
      <c r="F253" s="934"/>
      <c r="G253" s="205"/>
      <c r="H253" s="793" t="str">
        <f>CONCATENATE(IF(E253="N","PLACEHOLDER ROW - ",""),'C-Design&amp;Const'!Z158,IF(E253="N","",J168))</f>
        <v>PLACEHOLDER ROW - Results of Point-by-Point Interior Lighting Calculations for Each Typical Space</v>
      </c>
      <c r="I253" s="196"/>
      <c r="J253" s="231"/>
      <c r="K253" s="1274"/>
      <c r="L253" s="1382"/>
      <c r="M253" s="1382"/>
      <c r="N253" s="1382"/>
      <c r="O253" s="1382"/>
      <c r="P253" s="1382"/>
      <c r="Q253" s="1382"/>
      <c r="R253" s="1382"/>
      <c r="S253" s="1382"/>
      <c r="T253" s="1382"/>
      <c r="U253" s="1382"/>
      <c r="V253" s="1382"/>
      <c r="W253" s="1382"/>
      <c r="X253" s="1382"/>
      <c r="Y253" s="1382"/>
      <c r="Z253" s="1382"/>
      <c r="AA253" s="1382"/>
      <c r="AB253" s="1382"/>
      <c r="AC253" s="1382"/>
      <c r="AD253" s="1382"/>
      <c r="AE253" s="1382"/>
      <c r="AF253" s="1382"/>
      <c r="AG253" s="1382"/>
      <c r="AH253" s="1382"/>
      <c r="AI253" s="1382"/>
      <c r="AJ253" s="1382"/>
      <c r="AK253" s="181"/>
      <c r="AL253" s="181"/>
      <c r="AM253" s="181"/>
      <c r="AN253" s="181"/>
      <c r="AO253" s="181"/>
      <c r="AP253" s="181"/>
      <c r="AQ253" s="181"/>
      <c r="AR253" s="181"/>
      <c r="AS253" s="181"/>
      <c r="AT253" s="181"/>
      <c r="AU253" s="181"/>
      <c r="AV253" s="181"/>
    </row>
    <row r="254" spans="1:48" s="30" customFormat="1" x14ac:dyDescent="0.25">
      <c r="A254" s="1408"/>
      <c r="B254" s="191"/>
      <c r="C254" s="921"/>
      <c r="D254" s="922"/>
      <c r="E254" s="933" t="s">
        <v>21</v>
      </c>
      <c r="F254" s="934"/>
      <c r="G254" s="205"/>
      <c r="H254" s="793" t="str">
        <f>CONCATENATE(IF(E254="N","PLACEHOLDER ROW - ",""),'C-Design&amp;Const'!Z159,IF(E254="N","",J169))</f>
        <v xml:space="preserve">Extensions of Primary Building Automation Systems </v>
      </c>
      <c r="I254" s="196"/>
      <c r="J254" s="231"/>
      <c r="K254" s="1274"/>
      <c r="L254" s="1382"/>
      <c r="M254" s="1382"/>
      <c r="N254" s="1382"/>
      <c r="O254" s="1382"/>
      <c r="P254" s="1382"/>
      <c r="Q254" s="1382"/>
      <c r="R254" s="1382"/>
      <c r="S254" s="1382"/>
      <c r="T254" s="1382"/>
      <c r="U254" s="1382"/>
      <c r="V254" s="1382"/>
      <c r="W254" s="1382"/>
      <c r="X254" s="1382"/>
      <c r="Y254" s="1382"/>
      <c r="Z254" s="1382"/>
      <c r="AA254" s="1382"/>
      <c r="AB254" s="1382"/>
      <c r="AC254" s="1382"/>
      <c r="AD254" s="1382"/>
      <c r="AE254" s="1382"/>
      <c r="AF254" s="1382"/>
      <c r="AG254" s="1382"/>
      <c r="AH254" s="1382"/>
      <c r="AI254" s="1382"/>
      <c r="AJ254" s="1382"/>
      <c r="AK254" s="181"/>
      <c r="AL254" s="181"/>
      <c r="AM254" s="181"/>
      <c r="AN254" s="181"/>
      <c r="AO254" s="181"/>
      <c r="AP254" s="181"/>
      <c r="AQ254" s="181"/>
      <c r="AR254" s="181"/>
      <c r="AS254" s="181"/>
      <c r="AT254" s="181"/>
      <c r="AU254" s="181"/>
      <c r="AV254" s="181"/>
    </row>
    <row r="255" spans="1:48" s="30" customFormat="1" ht="14.25" customHeight="1" x14ac:dyDescent="0.25">
      <c r="A255" s="1408"/>
      <c r="B255" s="191"/>
      <c r="C255" s="921"/>
      <c r="D255" s="922"/>
      <c r="E255" s="933" t="s">
        <v>21</v>
      </c>
      <c r="F255" s="934"/>
      <c r="G255" s="205"/>
      <c r="H255" s="929" t="s">
        <v>138</v>
      </c>
      <c r="I255" s="196"/>
      <c r="J255" s="231"/>
      <c r="K255" s="1274"/>
      <c r="L255" s="1382"/>
      <c r="M255" s="1382"/>
      <c r="N255" s="1382"/>
      <c r="O255" s="1382"/>
      <c r="P255" s="1382"/>
      <c r="Q255" s="1382"/>
      <c r="R255" s="1382"/>
      <c r="S255" s="1382"/>
      <c r="T255" s="1382"/>
      <c r="U255" s="1382"/>
      <c r="V255" s="1382"/>
      <c r="W255" s="1382"/>
      <c r="X255" s="1382"/>
      <c r="Y255" s="1382"/>
      <c r="Z255" s="1382"/>
      <c r="AA255" s="1382"/>
      <c r="AB255" s="1382"/>
      <c r="AC255" s="1382"/>
      <c r="AD255" s="1382"/>
      <c r="AE255" s="1382"/>
      <c r="AF255" s="1382"/>
      <c r="AG255" s="1382"/>
      <c r="AH255" s="1382"/>
      <c r="AI255" s="1382"/>
      <c r="AJ255" s="1382"/>
      <c r="AK255" s="181"/>
      <c r="AL255" s="181"/>
      <c r="AM255" s="181"/>
      <c r="AN255" s="181"/>
      <c r="AO255" s="181"/>
      <c r="AP255" s="181"/>
      <c r="AQ255" s="181"/>
      <c r="AR255" s="181"/>
      <c r="AS255" s="181"/>
      <c r="AT255" s="181"/>
      <c r="AU255" s="181"/>
      <c r="AV255" s="181"/>
    </row>
    <row r="256" spans="1:48" s="30" customFormat="1" ht="14.25" customHeight="1" x14ac:dyDescent="0.25">
      <c r="A256" s="1408"/>
      <c r="B256" s="191"/>
      <c r="C256" s="921"/>
      <c r="D256" s="922"/>
      <c r="E256" s="933" t="s">
        <v>21</v>
      </c>
      <c r="F256" s="934"/>
      <c r="G256" s="240"/>
      <c r="H256" s="929" t="s">
        <v>138</v>
      </c>
      <c r="I256" s="196"/>
      <c r="J256" s="231"/>
      <c r="K256" s="1274"/>
      <c r="L256" s="1382"/>
      <c r="M256" s="1382"/>
      <c r="N256" s="1382"/>
      <c r="O256" s="1382"/>
      <c r="P256" s="1382"/>
      <c r="Q256" s="1382"/>
      <c r="R256" s="1382"/>
      <c r="S256" s="1382"/>
      <c r="T256" s="1382"/>
      <c r="U256" s="1382"/>
      <c r="V256" s="1382"/>
      <c r="W256" s="1382"/>
      <c r="X256" s="1382"/>
      <c r="Y256" s="1382"/>
      <c r="Z256" s="1382"/>
      <c r="AA256" s="1382"/>
      <c r="AB256" s="1382"/>
      <c r="AC256" s="1382"/>
      <c r="AD256" s="1382"/>
      <c r="AE256" s="1382"/>
      <c r="AF256" s="1382"/>
      <c r="AG256" s="1382"/>
      <c r="AH256" s="1382"/>
      <c r="AI256" s="1382"/>
      <c r="AJ256" s="1382"/>
      <c r="AK256" s="181"/>
      <c r="AL256" s="181"/>
      <c r="AM256" s="181"/>
      <c r="AN256" s="181"/>
      <c r="AO256" s="181"/>
      <c r="AP256" s="181"/>
      <c r="AQ256" s="181"/>
      <c r="AR256" s="181"/>
      <c r="AS256" s="181"/>
      <c r="AT256" s="181"/>
      <c r="AU256" s="181"/>
      <c r="AV256" s="181"/>
    </row>
    <row r="257" spans="1:48" s="30" customFormat="1" ht="14.25" customHeight="1" x14ac:dyDescent="0.25">
      <c r="A257" s="1408"/>
      <c r="B257" s="191"/>
      <c r="C257" s="921"/>
      <c r="D257" s="922"/>
      <c r="E257" s="933" t="s">
        <v>21</v>
      </c>
      <c r="F257" s="934"/>
      <c r="G257" s="240"/>
      <c r="H257" s="929" t="s">
        <v>138</v>
      </c>
      <c r="I257" s="196"/>
      <c r="J257" s="231"/>
      <c r="K257" s="1274"/>
      <c r="L257" s="1382"/>
      <c r="M257" s="1382"/>
      <c r="N257" s="1382"/>
      <c r="O257" s="1382"/>
      <c r="P257" s="1382"/>
      <c r="Q257" s="1382"/>
      <c r="R257" s="1382"/>
      <c r="S257" s="1382"/>
      <c r="T257" s="1382"/>
      <c r="U257" s="1382"/>
      <c r="V257" s="1382"/>
      <c r="W257" s="1382"/>
      <c r="X257" s="1382"/>
      <c r="Y257" s="1382"/>
      <c r="Z257" s="1382"/>
      <c r="AA257" s="1382"/>
      <c r="AB257" s="1382"/>
      <c r="AC257" s="1382"/>
      <c r="AD257" s="1382"/>
      <c r="AE257" s="1382"/>
      <c r="AF257" s="1382"/>
      <c r="AG257" s="1382"/>
      <c r="AH257" s="1382"/>
      <c r="AI257" s="1382"/>
      <c r="AJ257" s="1382"/>
      <c r="AK257" s="181"/>
      <c r="AL257" s="181"/>
      <c r="AM257" s="181"/>
      <c r="AN257" s="181"/>
      <c r="AO257" s="181"/>
      <c r="AP257" s="181"/>
      <c r="AQ257" s="181"/>
      <c r="AR257" s="181"/>
      <c r="AS257" s="181"/>
      <c r="AT257" s="181"/>
      <c r="AU257" s="181"/>
      <c r="AV257" s="181"/>
    </row>
    <row r="258" spans="1:48" s="30" customFormat="1" ht="14.25" customHeight="1" x14ac:dyDescent="0.25">
      <c r="A258" s="1408"/>
      <c r="B258" s="191"/>
      <c r="C258" s="921"/>
      <c r="D258" s="922"/>
      <c r="E258" s="933" t="s">
        <v>21</v>
      </c>
      <c r="F258" s="934"/>
      <c r="G258" s="240"/>
      <c r="H258" s="929" t="s">
        <v>138</v>
      </c>
      <c r="I258" s="196"/>
      <c r="J258" s="231"/>
      <c r="K258" s="1274"/>
      <c r="L258" s="1382"/>
      <c r="M258" s="1382"/>
      <c r="N258" s="1382"/>
      <c r="O258" s="1382"/>
      <c r="P258" s="1382"/>
      <c r="Q258" s="1382"/>
      <c r="R258" s="1382"/>
      <c r="S258" s="1382"/>
      <c r="T258" s="1382"/>
      <c r="U258" s="1382"/>
      <c r="V258" s="1382"/>
      <c r="W258" s="1382"/>
      <c r="X258" s="1382"/>
      <c r="Y258" s="1382"/>
      <c r="Z258" s="1382"/>
      <c r="AA258" s="1382"/>
      <c r="AB258" s="1382"/>
      <c r="AC258" s="1382"/>
      <c r="AD258" s="1382"/>
      <c r="AE258" s="1382"/>
      <c r="AF258" s="1382"/>
      <c r="AG258" s="1382"/>
      <c r="AH258" s="1382"/>
      <c r="AI258" s="1382"/>
      <c r="AJ258" s="1382"/>
      <c r="AK258" s="181"/>
      <c r="AL258" s="181"/>
      <c r="AM258" s="181"/>
      <c r="AN258" s="181"/>
      <c r="AO258" s="181"/>
      <c r="AP258" s="181"/>
      <c r="AQ258" s="181"/>
      <c r="AR258" s="181"/>
      <c r="AS258" s="181"/>
      <c r="AT258" s="181"/>
      <c r="AU258" s="181"/>
      <c r="AV258" s="181"/>
    </row>
    <row r="259" spans="1:48" s="30" customFormat="1" ht="14.25" customHeight="1" x14ac:dyDescent="0.25">
      <c r="A259" s="1408"/>
      <c r="B259" s="191"/>
      <c r="C259" s="921"/>
      <c r="D259" s="922"/>
      <c r="E259" s="933" t="s">
        <v>21</v>
      </c>
      <c r="F259" s="934"/>
      <c r="G259" s="240"/>
      <c r="H259" s="929" t="s">
        <v>138</v>
      </c>
      <c r="I259" s="196"/>
      <c r="J259" s="231"/>
      <c r="K259" s="1274"/>
      <c r="L259" s="1382"/>
      <c r="M259" s="1382"/>
      <c r="N259" s="1382"/>
      <c r="O259" s="1382"/>
      <c r="P259" s="1382"/>
      <c r="Q259" s="1382"/>
      <c r="R259" s="1382"/>
      <c r="S259" s="1382"/>
      <c r="T259" s="1382"/>
      <c r="U259" s="1382"/>
      <c r="V259" s="1382"/>
      <c r="W259" s="1382"/>
      <c r="X259" s="1382"/>
      <c r="Y259" s="1382"/>
      <c r="Z259" s="1382"/>
      <c r="AA259" s="1382"/>
      <c r="AB259" s="1382"/>
      <c r="AC259" s="1382"/>
      <c r="AD259" s="1382"/>
      <c r="AE259" s="1382"/>
      <c r="AF259" s="1382"/>
      <c r="AG259" s="1382"/>
      <c r="AH259" s="1382"/>
      <c r="AI259" s="1382"/>
      <c r="AJ259" s="1382"/>
      <c r="AK259" s="181"/>
      <c r="AL259" s="181"/>
      <c r="AM259" s="181"/>
      <c r="AN259" s="181"/>
      <c r="AO259" s="181"/>
      <c r="AP259" s="181"/>
      <c r="AQ259" s="181"/>
      <c r="AR259" s="181"/>
      <c r="AS259" s="181"/>
      <c r="AT259" s="181"/>
      <c r="AU259" s="181"/>
      <c r="AV259" s="181"/>
    </row>
    <row r="260" spans="1:48" s="30" customFormat="1" ht="14.25" customHeight="1" x14ac:dyDescent="0.25">
      <c r="A260" s="1408"/>
      <c r="B260" s="191"/>
      <c r="C260" s="921"/>
      <c r="D260" s="922"/>
      <c r="E260" s="933" t="s">
        <v>21</v>
      </c>
      <c r="F260" s="934"/>
      <c r="G260" s="240"/>
      <c r="H260" s="929" t="s">
        <v>138</v>
      </c>
      <c r="I260" s="196"/>
      <c r="J260" s="231"/>
      <c r="K260" s="1274"/>
      <c r="L260" s="1382"/>
      <c r="M260" s="1382"/>
      <c r="N260" s="1382"/>
      <c r="O260" s="1382"/>
      <c r="P260" s="1382"/>
      <c r="Q260" s="1382"/>
      <c r="R260" s="1382"/>
      <c r="S260" s="1382"/>
      <c r="T260" s="1382"/>
      <c r="U260" s="1382"/>
      <c r="V260" s="1382"/>
      <c r="W260" s="1382"/>
      <c r="X260" s="1382"/>
      <c r="Y260" s="1382"/>
      <c r="Z260" s="1382"/>
      <c r="AA260" s="1382"/>
      <c r="AB260" s="1382"/>
      <c r="AC260" s="1382"/>
      <c r="AD260" s="1382"/>
      <c r="AE260" s="1382"/>
      <c r="AF260" s="1382"/>
      <c r="AG260" s="1382"/>
      <c r="AH260" s="1382"/>
      <c r="AI260" s="1382"/>
      <c r="AJ260" s="1382"/>
      <c r="AK260" s="181"/>
      <c r="AL260" s="181"/>
      <c r="AM260" s="181"/>
      <c r="AN260" s="181"/>
      <c r="AO260" s="181"/>
      <c r="AP260" s="181"/>
      <c r="AQ260" s="181"/>
      <c r="AR260" s="181"/>
      <c r="AS260" s="181"/>
      <c r="AT260" s="181"/>
      <c r="AU260" s="181"/>
      <c r="AV260" s="181"/>
    </row>
    <row r="261" spans="1:48" s="30" customFormat="1" x14ac:dyDescent="0.25">
      <c r="A261" s="1407"/>
      <c r="B261" s="191"/>
      <c r="C261" s="921"/>
      <c r="D261" s="147"/>
      <c r="E261" s="32"/>
      <c r="F261" s="32"/>
      <c r="G261" s="208"/>
      <c r="H261" s="411"/>
      <c r="I261" s="186"/>
      <c r="J261" s="231"/>
      <c r="K261" s="1274"/>
      <c r="L261" s="1382"/>
      <c r="M261" s="1382"/>
      <c r="N261" s="1382"/>
      <c r="O261" s="1382"/>
      <c r="P261" s="1382"/>
      <c r="Q261" s="1382"/>
      <c r="R261" s="1382"/>
      <c r="S261" s="1382"/>
      <c r="T261" s="1382"/>
      <c r="U261" s="1382"/>
      <c r="V261" s="1382"/>
      <c r="W261" s="1382"/>
      <c r="X261" s="1382"/>
      <c r="Y261" s="1382"/>
      <c r="Z261" s="1382"/>
      <c r="AA261" s="1382"/>
      <c r="AB261" s="1382"/>
      <c r="AC261" s="1382"/>
      <c r="AD261" s="1382"/>
      <c r="AE261" s="1382"/>
      <c r="AF261" s="1382"/>
      <c r="AG261" s="1382"/>
      <c r="AH261" s="1382"/>
      <c r="AI261" s="1382"/>
      <c r="AJ261" s="1382"/>
      <c r="AK261" s="181"/>
      <c r="AL261" s="181"/>
      <c r="AM261" s="181"/>
      <c r="AN261" s="181"/>
      <c r="AO261" s="181"/>
      <c r="AP261" s="181"/>
      <c r="AQ261" s="181"/>
      <c r="AR261" s="181"/>
      <c r="AS261" s="181"/>
      <c r="AT261" s="181"/>
      <c r="AU261" s="181"/>
      <c r="AV261" s="181"/>
    </row>
    <row r="262" spans="1:48" s="30" customFormat="1" ht="18.75" x14ac:dyDescent="0.25">
      <c r="A262" s="1407"/>
      <c r="B262" s="191"/>
      <c r="C262" s="928"/>
      <c r="D262" s="307" t="s">
        <v>38</v>
      </c>
      <c r="E262" s="31"/>
      <c r="F262" s="178"/>
      <c r="G262" s="179" t="s">
        <v>206</v>
      </c>
      <c r="H262" s="290" t="str">
        <f>IF(Applies_FinishesBinder_Feas_Concept_Only="n","Finishes Binder/Finishes Boards Not Used in this Design Phase","Finishes Binder(s)/Finishes Board(s)")</f>
        <v>Finishes Binder/Finishes Boards Not Used in this Design Phase</v>
      </c>
      <c r="I262" s="185"/>
      <c r="J262" s="231"/>
      <c r="K262" s="1274"/>
      <c r="L262" s="1382"/>
      <c r="M262" s="1382"/>
      <c r="N262" s="1382"/>
      <c r="O262" s="1382"/>
      <c r="P262" s="1382"/>
      <c r="Q262" s="1382"/>
      <c r="R262" s="1382"/>
      <c r="S262" s="1382"/>
      <c r="T262" s="1382"/>
      <c r="U262" s="1382"/>
      <c r="V262" s="1382"/>
      <c r="W262" s="1382"/>
      <c r="X262" s="1382"/>
      <c r="Y262" s="1382"/>
      <c r="Z262" s="1382"/>
      <c r="AA262" s="1382"/>
      <c r="AB262" s="1382"/>
      <c r="AC262" s="1382"/>
      <c r="AD262" s="1382"/>
      <c r="AE262" s="1382"/>
      <c r="AF262" s="1382"/>
      <c r="AG262" s="1382"/>
      <c r="AH262" s="1382"/>
      <c r="AI262" s="1382"/>
      <c r="AJ262" s="1382"/>
      <c r="AK262" s="181"/>
      <c r="AL262" s="181"/>
      <c r="AM262" s="181"/>
      <c r="AN262" s="181"/>
      <c r="AO262" s="181"/>
      <c r="AP262" s="181"/>
      <c r="AQ262" s="181"/>
      <c r="AR262" s="181"/>
      <c r="AS262" s="181"/>
      <c r="AT262" s="181"/>
      <c r="AU262" s="181"/>
      <c r="AV262" s="181"/>
    </row>
    <row r="263" spans="1:48" s="30" customFormat="1" ht="18.75" x14ac:dyDescent="0.3">
      <c r="A263" s="1407"/>
      <c r="B263" s="191"/>
      <c r="C263" s="928"/>
      <c r="D263" s="307" t="s">
        <v>38</v>
      </c>
      <c r="E263" s="31"/>
      <c r="F263" s="178"/>
      <c r="G263" s="179" t="s">
        <v>207</v>
      </c>
      <c r="H263" s="453" t="str">
        <f>IF(Applies_FFE_Binder_Feas_Concept_Only="n","FF&amp;E Binder Not Used in this Design Phase","Furnitures, Fixtures, and Equipment Binder(s)")</f>
        <v>FF&amp;E Binder Not Used in this Design Phase</v>
      </c>
      <c r="I263" s="185"/>
      <c r="J263" s="231"/>
      <c r="K263" s="1274"/>
      <c r="L263" s="1382"/>
      <c r="M263" s="1382"/>
      <c r="N263" s="1382"/>
      <c r="O263" s="1382"/>
      <c r="P263" s="1382"/>
      <c r="Q263" s="1382"/>
      <c r="R263" s="1382"/>
      <c r="S263" s="1382"/>
      <c r="T263" s="1382"/>
      <c r="U263" s="1382"/>
      <c r="V263" s="1382"/>
      <c r="W263" s="1382"/>
      <c r="X263" s="1382"/>
      <c r="Y263" s="1382"/>
      <c r="Z263" s="1382"/>
      <c r="AA263" s="1382"/>
      <c r="AB263" s="1382"/>
      <c r="AC263" s="1382"/>
      <c r="AD263" s="1382"/>
      <c r="AE263" s="1382"/>
      <c r="AF263" s="1382"/>
      <c r="AG263" s="1382"/>
      <c r="AH263" s="1382"/>
      <c r="AI263" s="1382"/>
      <c r="AJ263" s="1382"/>
      <c r="AK263" s="181"/>
      <c r="AL263" s="181"/>
      <c r="AM263" s="181"/>
      <c r="AN263" s="181"/>
      <c r="AO263" s="181"/>
      <c r="AP263" s="181"/>
      <c r="AQ263" s="181"/>
      <c r="AR263" s="181"/>
      <c r="AS263" s="181"/>
      <c r="AT263" s="181"/>
      <c r="AU263" s="181"/>
      <c r="AV263" s="181"/>
    </row>
    <row r="264" spans="1:48" s="30" customFormat="1" x14ac:dyDescent="0.25">
      <c r="A264" s="1407"/>
      <c r="B264" s="191"/>
      <c r="C264" s="921"/>
      <c r="D264" s="147"/>
      <c r="E264" s="32"/>
      <c r="F264" s="32"/>
      <c r="G264" s="208"/>
      <c r="H264" s="411"/>
      <c r="I264" s="186"/>
      <c r="J264" s="231"/>
      <c r="K264" s="1274"/>
      <c r="L264" s="1382"/>
      <c r="M264" s="1382"/>
      <c r="N264" s="1382"/>
      <c r="O264" s="1382"/>
      <c r="P264" s="1382"/>
      <c r="Q264" s="1382"/>
      <c r="R264" s="1382"/>
      <c r="S264" s="1382"/>
      <c r="T264" s="1382"/>
      <c r="U264" s="1382"/>
      <c r="V264" s="1382"/>
      <c r="W264" s="1382"/>
      <c r="X264" s="1382"/>
      <c r="Y264" s="1382"/>
      <c r="Z264" s="1382"/>
      <c r="AA264" s="1382"/>
      <c r="AB264" s="1382"/>
      <c r="AC264" s="1382"/>
      <c r="AD264" s="1382"/>
      <c r="AE264" s="1382"/>
      <c r="AF264" s="1382"/>
      <c r="AG264" s="1382"/>
      <c r="AH264" s="1382"/>
      <c r="AI264" s="1382"/>
      <c r="AJ264" s="1382"/>
      <c r="AK264" s="181"/>
      <c r="AL264" s="181"/>
      <c r="AM264" s="181"/>
      <c r="AN264" s="181"/>
      <c r="AO264" s="181"/>
      <c r="AP264" s="181"/>
      <c r="AQ264" s="181"/>
      <c r="AR264" s="181"/>
      <c r="AS264" s="181"/>
      <c r="AT264" s="181"/>
      <c r="AU264" s="181"/>
      <c r="AV264" s="181"/>
    </row>
    <row r="265" spans="1:48" s="30" customFormat="1" ht="18.75" x14ac:dyDescent="0.25">
      <c r="A265" s="1407"/>
      <c r="B265" s="191"/>
      <c r="C265" s="921"/>
      <c r="D265" s="307" t="s">
        <v>38</v>
      </c>
      <c r="E265" s="31"/>
      <c r="F265" s="178"/>
      <c r="G265" s="237" t="s">
        <v>43</v>
      </c>
      <c r="H265" s="290" t="str">
        <f>IF(Applies_ProjectManual_Feas_Conept_Only="n","Project Manual Not Used in this Design Phase","Project Manual")</f>
        <v>Project Manual Not Used in this Design Phase</v>
      </c>
      <c r="I265" s="180"/>
      <c r="J265" s="230"/>
      <c r="K265" s="1274"/>
      <c r="L265" s="1382"/>
      <c r="M265" s="1382"/>
      <c r="N265" s="1382"/>
      <c r="O265" s="1382"/>
      <c r="P265" s="1382"/>
      <c r="Q265" s="1382"/>
      <c r="R265" s="1382"/>
      <c r="S265" s="1382"/>
      <c r="T265" s="1382"/>
      <c r="U265" s="1382"/>
      <c r="V265" s="1382"/>
      <c r="W265" s="1382"/>
      <c r="X265" s="1382"/>
      <c r="Y265" s="1382"/>
      <c r="Z265" s="1382"/>
      <c r="AA265" s="1382"/>
      <c r="AB265" s="1382"/>
      <c r="AC265" s="1382"/>
      <c r="AD265" s="1382"/>
      <c r="AE265" s="1382"/>
      <c r="AF265" s="1382"/>
      <c r="AG265" s="1382"/>
      <c r="AH265" s="1382"/>
      <c r="AI265" s="1382"/>
      <c r="AJ265" s="1382"/>
      <c r="AK265" s="181"/>
      <c r="AL265" s="181"/>
      <c r="AM265" s="181"/>
      <c r="AN265" s="181"/>
      <c r="AO265" s="181"/>
      <c r="AP265" s="181"/>
      <c r="AQ265" s="181"/>
      <c r="AR265" s="181"/>
      <c r="AS265" s="181"/>
      <c r="AT265" s="181"/>
      <c r="AU265" s="181"/>
      <c r="AV265" s="181"/>
    </row>
    <row r="266" spans="1:48" s="30" customFormat="1" ht="14.25" hidden="1" customHeight="1" x14ac:dyDescent="0.25">
      <c r="A266" s="1408"/>
      <c r="B266" s="191"/>
      <c r="C266" s="921"/>
      <c r="D266" s="147"/>
      <c r="E266" s="29" t="s">
        <v>38</v>
      </c>
      <c r="F266" s="194"/>
      <c r="G266" s="240"/>
      <c r="H266" s="454" t="s">
        <v>138</v>
      </c>
      <c r="I266" s="196"/>
      <c r="J266" s="231"/>
      <c r="K266" s="1274"/>
      <c r="L266" s="1382"/>
      <c r="M266" s="1382"/>
      <c r="N266" s="1382"/>
      <c r="O266" s="1382"/>
      <c r="P266" s="1382"/>
      <c r="Q266" s="1382"/>
      <c r="R266" s="1382"/>
      <c r="S266" s="1382"/>
      <c r="T266" s="1382"/>
      <c r="U266" s="1382"/>
      <c r="V266" s="1382"/>
      <c r="W266" s="1382"/>
      <c r="X266" s="1382"/>
      <c r="Y266" s="1382"/>
      <c r="Z266" s="1382"/>
      <c r="AA266" s="1382"/>
      <c r="AB266" s="1382"/>
      <c r="AC266" s="1382"/>
      <c r="AD266" s="1382"/>
      <c r="AE266" s="1382"/>
      <c r="AF266" s="1382"/>
      <c r="AG266" s="1382"/>
      <c r="AH266" s="1382"/>
      <c r="AI266" s="1382"/>
      <c r="AJ266" s="1382"/>
      <c r="AK266" s="181"/>
      <c r="AL266" s="181"/>
      <c r="AM266" s="181"/>
      <c r="AN266" s="181"/>
      <c r="AO266" s="181"/>
      <c r="AP266" s="181"/>
      <c r="AQ266" s="181"/>
      <c r="AR266" s="181"/>
      <c r="AS266" s="181"/>
      <c r="AT266" s="181"/>
      <c r="AU266" s="181"/>
      <c r="AV266" s="181"/>
    </row>
    <row r="267" spans="1:48" s="30" customFormat="1" ht="14.25" hidden="1" customHeight="1" x14ac:dyDescent="0.25">
      <c r="A267" s="1408"/>
      <c r="B267" s="191"/>
      <c r="C267" s="921"/>
      <c r="D267" s="147"/>
      <c r="E267" s="29" t="s">
        <v>38</v>
      </c>
      <c r="F267" s="194"/>
      <c r="G267" s="240"/>
      <c r="H267" s="454" t="s">
        <v>138</v>
      </c>
      <c r="I267" s="196"/>
      <c r="J267" s="231"/>
      <c r="K267" s="1274"/>
      <c r="L267" s="1382"/>
      <c r="M267" s="1382"/>
      <c r="N267" s="1382"/>
      <c r="O267" s="1382"/>
      <c r="P267" s="1382"/>
      <c r="Q267" s="1382"/>
      <c r="R267" s="1382"/>
      <c r="S267" s="1382"/>
      <c r="T267" s="1382"/>
      <c r="U267" s="1382"/>
      <c r="V267" s="1382"/>
      <c r="W267" s="1382"/>
      <c r="X267" s="1382"/>
      <c r="Y267" s="1382"/>
      <c r="Z267" s="1382"/>
      <c r="AA267" s="1382"/>
      <c r="AB267" s="1382"/>
      <c r="AC267" s="1382"/>
      <c r="AD267" s="1382"/>
      <c r="AE267" s="1382"/>
      <c r="AF267" s="1382"/>
      <c r="AG267" s="1382"/>
      <c r="AH267" s="1382"/>
      <c r="AI267" s="1382"/>
      <c r="AJ267" s="1382"/>
      <c r="AK267" s="181"/>
      <c r="AL267" s="181"/>
      <c r="AM267" s="181"/>
      <c r="AN267" s="181"/>
      <c r="AO267" s="181"/>
      <c r="AP267" s="181"/>
      <c r="AQ267" s="181"/>
      <c r="AR267" s="181"/>
      <c r="AS267" s="181"/>
      <c r="AT267" s="181"/>
      <c r="AU267" s="181"/>
      <c r="AV267" s="181"/>
    </row>
    <row r="268" spans="1:48" s="30" customFormat="1" ht="14.25" hidden="1" customHeight="1" x14ac:dyDescent="0.25">
      <c r="A268" s="1408"/>
      <c r="B268" s="191"/>
      <c r="C268" s="921"/>
      <c r="D268" s="147"/>
      <c r="E268" s="29" t="s">
        <v>38</v>
      </c>
      <c r="F268" s="194"/>
      <c r="G268" s="240"/>
      <c r="H268" s="454" t="s">
        <v>138</v>
      </c>
      <c r="I268" s="196"/>
      <c r="J268" s="231"/>
      <c r="K268" s="1274"/>
      <c r="L268" s="1382"/>
      <c r="M268" s="1382"/>
      <c r="N268" s="1382"/>
      <c r="O268" s="1382"/>
      <c r="P268" s="1382"/>
      <c r="Q268" s="1382"/>
      <c r="R268" s="1382"/>
      <c r="S268" s="1382"/>
      <c r="T268" s="1382"/>
      <c r="U268" s="1382"/>
      <c r="V268" s="1382"/>
      <c r="W268" s="1382"/>
      <c r="X268" s="1382"/>
      <c r="Y268" s="1382"/>
      <c r="Z268" s="1382"/>
      <c r="AA268" s="1382"/>
      <c r="AB268" s="1382"/>
      <c r="AC268" s="1382"/>
      <c r="AD268" s="1382"/>
      <c r="AE268" s="1382"/>
      <c r="AF268" s="1382"/>
      <c r="AG268" s="1382"/>
      <c r="AH268" s="1382"/>
      <c r="AI268" s="1382"/>
      <c r="AJ268" s="1382"/>
      <c r="AK268" s="181"/>
      <c r="AL268" s="181"/>
      <c r="AM268" s="181"/>
      <c r="AN268" s="181"/>
      <c r="AO268" s="181"/>
      <c r="AP268" s="181"/>
      <c r="AQ268" s="181"/>
      <c r="AR268" s="181"/>
      <c r="AS268" s="181"/>
      <c r="AT268" s="181"/>
      <c r="AU268" s="181"/>
      <c r="AV268" s="181"/>
    </row>
    <row r="269" spans="1:48" s="30" customFormat="1" ht="14.25" hidden="1" customHeight="1" x14ac:dyDescent="0.25">
      <c r="A269" s="1408"/>
      <c r="B269" s="191"/>
      <c r="C269" s="921"/>
      <c r="D269" s="147"/>
      <c r="E269" s="29" t="s">
        <v>38</v>
      </c>
      <c r="F269" s="194"/>
      <c r="G269" s="240"/>
      <c r="H269" s="454" t="s">
        <v>138</v>
      </c>
      <c r="I269" s="196"/>
      <c r="J269" s="231"/>
      <c r="K269" s="1274"/>
      <c r="L269" s="1382"/>
      <c r="M269" s="1382"/>
      <c r="N269" s="1382"/>
      <c r="O269" s="1382"/>
      <c r="P269" s="1382"/>
      <c r="Q269" s="1382"/>
      <c r="R269" s="1382"/>
      <c r="S269" s="1382"/>
      <c r="T269" s="1382"/>
      <c r="U269" s="1382"/>
      <c r="V269" s="1382"/>
      <c r="W269" s="1382"/>
      <c r="X269" s="1382"/>
      <c r="Y269" s="1382"/>
      <c r="Z269" s="1382"/>
      <c r="AA269" s="1382"/>
      <c r="AB269" s="1382"/>
      <c r="AC269" s="1382"/>
      <c r="AD269" s="1382"/>
      <c r="AE269" s="1382"/>
      <c r="AF269" s="1382"/>
      <c r="AG269" s="1382"/>
      <c r="AH269" s="1382"/>
      <c r="AI269" s="1382"/>
      <c r="AJ269" s="1382"/>
      <c r="AK269" s="181"/>
      <c r="AL269" s="181"/>
      <c r="AM269" s="181"/>
      <c r="AN269" s="181"/>
      <c r="AO269" s="181"/>
      <c r="AP269" s="181"/>
      <c r="AQ269" s="181"/>
      <c r="AR269" s="181"/>
      <c r="AS269" s="181"/>
      <c r="AT269" s="181"/>
      <c r="AU269" s="181"/>
      <c r="AV269" s="181"/>
    </row>
    <row r="270" spans="1:48" s="30" customFormat="1" ht="14.25" hidden="1" customHeight="1" x14ac:dyDescent="0.25">
      <c r="A270" s="1408"/>
      <c r="B270" s="191"/>
      <c r="C270" s="921"/>
      <c r="D270" s="147"/>
      <c r="E270" s="29" t="s">
        <v>38</v>
      </c>
      <c r="F270" s="194"/>
      <c r="G270" s="240"/>
      <c r="H270" s="454" t="s">
        <v>138</v>
      </c>
      <c r="I270" s="196"/>
      <c r="J270" s="231"/>
      <c r="K270" s="1274"/>
      <c r="L270" s="1382"/>
      <c r="M270" s="1382"/>
      <c r="N270" s="1382"/>
      <c r="O270" s="1382"/>
      <c r="P270" s="1382"/>
      <c r="Q270" s="1382"/>
      <c r="R270" s="1382"/>
      <c r="S270" s="1382"/>
      <c r="T270" s="1382"/>
      <c r="U270" s="1382"/>
      <c r="V270" s="1382"/>
      <c r="W270" s="1382"/>
      <c r="X270" s="1382"/>
      <c r="Y270" s="1382"/>
      <c r="Z270" s="1382"/>
      <c r="AA270" s="1382"/>
      <c r="AB270" s="1382"/>
      <c r="AC270" s="1382"/>
      <c r="AD270" s="1382"/>
      <c r="AE270" s="1382"/>
      <c r="AF270" s="1382"/>
      <c r="AG270" s="1382"/>
      <c r="AH270" s="1382"/>
      <c r="AI270" s="1382"/>
      <c r="AJ270" s="1382"/>
      <c r="AK270" s="181"/>
      <c r="AL270" s="181"/>
      <c r="AM270" s="181"/>
      <c r="AN270" s="181"/>
      <c r="AO270" s="181"/>
      <c r="AP270" s="181"/>
      <c r="AQ270" s="181"/>
      <c r="AR270" s="181"/>
      <c r="AS270" s="181"/>
      <c r="AT270" s="181"/>
      <c r="AU270" s="181"/>
      <c r="AV270" s="181"/>
    </row>
    <row r="271" spans="1:48" s="30" customFormat="1" ht="14.25" hidden="1" customHeight="1" x14ac:dyDescent="0.25">
      <c r="A271" s="1408"/>
      <c r="B271" s="191"/>
      <c r="C271" s="921"/>
      <c r="D271" s="147"/>
      <c r="E271" s="29" t="s">
        <v>38</v>
      </c>
      <c r="F271" s="194"/>
      <c r="G271" s="240"/>
      <c r="H271" s="454" t="s">
        <v>138</v>
      </c>
      <c r="I271" s="196"/>
      <c r="J271" s="231"/>
      <c r="K271" s="1274"/>
      <c r="L271" s="1382"/>
      <c r="M271" s="1382"/>
      <c r="N271" s="1382"/>
      <c r="O271" s="1382"/>
      <c r="P271" s="1382"/>
      <c r="Q271" s="1382"/>
      <c r="R271" s="1382"/>
      <c r="S271" s="1382"/>
      <c r="T271" s="1382"/>
      <c r="U271" s="1382"/>
      <c r="V271" s="1382"/>
      <c r="W271" s="1382"/>
      <c r="X271" s="1382"/>
      <c r="Y271" s="1382"/>
      <c r="Z271" s="1382"/>
      <c r="AA271" s="1382"/>
      <c r="AB271" s="1382"/>
      <c r="AC271" s="1382"/>
      <c r="AD271" s="1382"/>
      <c r="AE271" s="1382"/>
      <c r="AF271" s="1382"/>
      <c r="AG271" s="1382"/>
      <c r="AH271" s="1382"/>
      <c r="AI271" s="1382"/>
      <c r="AJ271" s="1382"/>
      <c r="AK271" s="181"/>
      <c r="AL271" s="181"/>
      <c r="AM271" s="181"/>
      <c r="AN271" s="181"/>
      <c r="AO271" s="181"/>
      <c r="AP271" s="181"/>
      <c r="AQ271" s="181"/>
      <c r="AR271" s="181"/>
      <c r="AS271" s="181"/>
      <c r="AT271" s="181"/>
      <c r="AU271" s="181"/>
      <c r="AV271" s="181"/>
    </row>
    <row r="272" spans="1:48" s="30" customFormat="1" ht="14.25" hidden="1" customHeight="1" x14ac:dyDescent="0.25">
      <c r="A272" s="1408"/>
      <c r="B272" s="191"/>
      <c r="C272" s="921"/>
      <c r="D272" s="147"/>
      <c r="E272" s="29" t="s">
        <v>38</v>
      </c>
      <c r="F272" s="194"/>
      <c r="G272" s="240"/>
      <c r="H272" s="454" t="s">
        <v>138</v>
      </c>
      <c r="I272" s="196"/>
      <c r="J272" s="231"/>
      <c r="K272" s="1274"/>
      <c r="L272" s="1382"/>
      <c r="M272" s="1382"/>
      <c r="N272" s="1382"/>
      <c r="O272" s="1382"/>
      <c r="P272" s="1382"/>
      <c r="Q272" s="1382"/>
      <c r="R272" s="1382"/>
      <c r="S272" s="1382"/>
      <c r="T272" s="1382"/>
      <c r="U272" s="1382"/>
      <c r="V272" s="1382"/>
      <c r="W272" s="1382"/>
      <c r="X272" s="1382"/>
      <c r="Y272" s="1382"/>
      <c r="Z272" s="1382"/>
      <c r="AA272" s="1382"/>
      <c r="AB272" s="1382"/>
      <c r="AC272" s="1382"/>
      <c r="AD272" s="1382"/>
      <c r="AE272" s="1382"/>
      <c r="AF272" s="1382"/>
      <c r="AG272" s="1382"/>
      <c r="AH272" s="1382"/>
      <c r="AI272" s="1382"/>
      <c r="AJ272" s="1382"/>
      <c r="AK272" s="181"/>
      <c r="AL272" s="181"/>
      <c r="AM272" s="181"/>
      <c r="AN272" s="181"/>
      <c r="AO272" s="181"/>
      <c r="AP272" s="181"/>
      <c r="AQ272" s="181"/>
      <c r="AR272" s="181"/>
      <c r="AS272" s="181"/>
      <c r="AT272" s="181"/>
      <c r="AU272" s="181"/>
      <c r="AV272" s="181"/>
    </row>
    <row r="273" spans="1:48" s="30" customFormat="1" ht="14.25" hidden="1" customHeight="1" x14ac:dyDescent="0.25">
      <c r="A273" s="1408"/>
      <c r="B273" s="191"/>
      <c r="C273" s="921"/>
      <c r="D273" s="147"/>
      <c r="E273" s="29" t="s">
        <v>38</v>
      </c>
      <c r="F273" s="194"/>
      <c r="G273" s="240"/>
      <c r="H273" s="454" t="s">
        <v>138</v>
      </c>
      <c r="I273" s="196"/>
      <c r="J273" s="231"/>
      <c r="K273" s="1274"/>
      <c r="L273" s="1382"/>
      <c r="M273" s="1382"/>
      <c r="N273" s="1382"/>
      <c r="O273" s="1382"/>
      <c r="P273" s="1382"/>
      <c r="Q273" s="1382"/>
      <c r="R273" s="1382"/>
      <c r="S273" s="1382"/>
      <c r="T273" s="1382"/>
      <c r="U273" s="1382"/>
      <c r="V273" s="1382"/>
      <c r="W273" s="1382"/>
      <c r="X273" s="1382"/>
      <c r="Y273" s="1382"/>
      <c r="Z273" s="1382"/>
      <c r="AA273" s="1382"/>
      <c r="AB273" s="1382"/>
      <c r="AC273" s="1382"/>
      <c r="AD273" s="1382"/>
      <c r="AE273" s="1382"/>
      <c r="AF273" s="1382"/>
      <c r="AG273" s="1382"/>
      <c r="AH273" s="1382"/>
      <c r="AI273" s="1382"/>
      <c r="AJ273" s="1382"/>
      <c r="AK273" s="181"/>
      <c r="AL273" s="181"/>
      <c r="AM273" s="181"/>
      <c r="AN273" s="181"/>
      <c r="AO273" s="181"/>
      <c r="AP273" s="181"/>
      <c r="AQ273" s="181"/>
      <c r="AR273" s="181"/>
      <c r="AS273" s="181"/>
      <c r="AT273" s="181"/>
      <c r="AU273" s="181"/>
      <c r="AV273" s="181"/>
    </row>
    <row r="274" spans="1:48" s="30" customFormat="1" ht="14.25" hidden="1" customHeight="1" x14ac:dyDescent="0.25">
      <c r="A274" s="1408"/>
      <c r="B274" s="191"/>
      <c r="C274" s="921"/>
      <c r="D274" s="147"/>
      <c r="E274" s="29" t="s">
        <v>38</v>
      </c>
      <c r="F274" s="194"/>
      <c r="G274" s="240"/>
      <c r="H274" s="454" t="s">
        <v>138</v>
      </c>
      <c r="I274" s="196"/>
      <c r="J274" s="231"/>
      <c r="K274" s="1274"/>
      <c r="L274" s="1382"/>
      <c r="M274" s="1382"/>
      <c r="N274" s="1382"/>
      <c r="O274" s="1382"/>
      <c r="P274" s="1382"/>
      <c r="Q274" s="1382"/>
      <c r="R274" s="1382"/>
      <c r="S274" s="1382"/>
      <c r="T274" s="1382"/>
      <c r="U274" s="1382"/>
      <c r="V274" s="1382"/>
      <c r="W274" s="1382"/>
      <c r="X274" s="1382"/>
      <c r="Y274" s="1382"/>
      <c r="Z274" s="1382"/>
      <c r="AA274" s="1382"/>
      <c r="AB274" s="1382"/>
      <c r="AC274" s="1382"/>
      <c r="AD274" s="1382"/>
      <c r="AE274" s="1382"/>
      <c r="AF274" s="1382"/>
      <c r="AG274" s="1382"/>
      <c r="AH274" s="1382"/>
      <c r="AI274" s="1382"/>
      <c r="AJ274" s="1382"/>
      <c r="AK274" s="181"/>
      <c r="AL274" s="181"/>
      <c r="AM274" s="181"/>
      <c r="AN274" s="181"/>
      <c r="AO274" s="181"/>
      <c r="AP274" s="181"/>
      <c r="AQ274" s="181"/>
      <c r="AR274" s="181"/>
      <c r="AS274" s="181"/>
      <c r="AT274" s="181"/>
      <c r="AU274" s="181"/>
      <c r="AV274" s="181"/>
    </row>
    <row r="275" spans="1:48" s="30" customFormat="1" ht="14.25" hidden="1" customHeight="1" x14ac:dyDescent="0.25">
      <c r="A275" s="1408"/>
      <c r="B275" s="191"/>
      <c r="C275" s="921"/>
      <c r="D275" s="147"/>
      <c r="E275" s="29" t="s">
        <v>38</v>
      </c>
      <c r="F275" s="194"/>
      <c r="G275" s="240"/>
      <c r="H275" s="454" t="s">
        <v>138</v>
      </c>
      <c r="I275" s="196"/>
      <c r="J275" s="231"/>
      <c r="K275" s="1274"/>
      <c r="L275" s="1382"/>
      <c r="M275" s="1382"/>
      <c r="N275" s="1382"/>
      <c r="O275" s="1382"/>
      <c r="P275" s="1382"/>
      <c r="Q275" s="1382"/>
      <c r="R275" s="1382"/>
      <c r="S275" s="1382"/>
      <c r="T275" s="1382"/>
      <c r="U275" s="1382"/>
      <c r="V275" s="1382"/>
      <c r="W275" s="1382"/>
      <c r="X275" s="1382"/>
      <c r="Y275" s="1382"/>
      <c r="Z275" s="1382"/>
      <c r="AA275" s="1382"/>
      <c r="AB275" s="1382"/>
      <c r="AC275" s="1382"/>
      <c r="AD275" s="1382"/>
      <c r="AE275" s="1382"/>
      <c r="AF275" s="1382"/>
      <c r="AG275" s="1382"/>
      <c r="AH275" s="1382"/>
      <c r="AI275" s="1382"/>
      <c r="AJ275" s="1382"/>
      <c r="AK275" s="181"/>
      <c r="AL275" s="181"/>
      <c r="AM275" s="181"/>
      <c r="AN275" s="181"/>
      <c r="AO275" s="181"/>
      <c r="AP275" s="181"/>
      <c r="AQ275" s="181"/>
      <c r="AR275" s="181"/>
      <c r="AS275" s="181"/>
      <c r="AT275" s="181"/>
      <c r="AU275" s="181"/>
      <c r="AV275" s="181"/>
    </row>
    <row r="276" spans="1:48" s="30" customFormat="1" ht="14.25" hidden="1" customHeight="1" x14ac:dyDescent="0.25">
      <c r="A276" s="1408"/>
      <c r="B276" s="191"/>
      <c r="C276" s="921"/>
      <c r="D276" s="147"/>
      <c r="E276" s="29" t="s">
        <v>38</v>
      </c>
      <c r="F276" s="194"/>
      <c r="G276" s="240"/>
      <c r="H276" s="454" t="s">
        <v>138</v>
      </c>
      <c r="I276" s="196"/>
      <c r="J276" s="231"/>
      <c r="K276" s="1274"/>
      <c r="L276" s="1382"/>
      <c r="M276" s="1382"/>
      <c r="N276" s="1382"/>
      <c r="O276" s="1382"/>
      <c r="P276" s="1382"/>
      <c r="Q276" s="1382"/>
      <c r="R276" s="1382"/>
      <c r="S276" s="1382"/>
      <c r="T276" s="1382"/>
      <c r="U276" s="1382"/>
      <c r="V276" s="1382"/>
      <c r="W276" s="1382"/>
      <c r="X276" s="1382"/>
      <c r="Y276" s="1382"/>
      <c r="Z276" s="1382"/>
      <c r="AA276" s="1382"/>
      <c r="AB276" s="1382"/>
      <c r="AC276" s="1382"/>
      <c r="AD276" s="1382"/>
      <c r="AE276" s="1382"/>
      <c r="AF276" s="1382"/>
      <c r="AG276" s="1382"/>
      <c r="AH276" s="1382"/>
      <c r="AI276" s="1382"/>
      <c r="AJ276" s="1382"/>
      <c r="AK276" s="181"/>
      <c r="AL276" s="181"/>
      <c r="AM276" s="181"/>
      <c r="AN276" s="181"/>
      <c r="AO276" s="181"/>
      <c r="AP276" s="181"/>
      <c r="AQ276" s="181"/>
      <c r="AR276" s="181"/>
      <c r="AS276" s="181"/>
      <c r="AT276" s="181"/>
      <c r="AU276" s="181"/>
      <c r="AV276" s="181"/>
    </row>
    <row r="277" spans="1:48" s="30" customFormat="1" ht="14.25" hidden="1" customHeight="1" x14ac:dyDescent="0.25">
      <c r="A277" s="1408"/>
      <c r="B277" s="191"/>
      <c r="C277" s="921"/>
      <c r="D277" s="147"/>
      <c r="E277" s="29" t="s">
        <v>38</v>
      </c>
      <c r="F277" s="194"/>
      <c r="G277" s="240"/>
      <c r="H277" s="454" t="s">
        <v>138</v>
      </c>
      <c r="I277" s="196"/>
      <c r="J277" s="231"/>
      <c r="K277" s="1274"/>
      <c r="L277" s="1382"/>
      <c r="M277" s="1382"/>
      <c r="N277" s="1382"/>
      <c r="O277" s="1382"/>
      <c r="P277" s="1382"/>
      <c r="Q277" s="1382"/>
      <c r="R277" s="1382"/>
      <c r="S277" s="1382"/>
      <c r="T277" s="1382"/>
      <c r="U277" s="1382"/>
      <c r="V277" s="1382"/>
      <c r="W277" s="1382"/>
      <c r="X277" s="1382"/>
      <c r="Y277" s="1382"/>
      <c r="Z277" s="1382"/>
      <c r="AA277" s="1382"/>
      <c r="AB277" s="1382"/>
      <c r="AC277" s="1382"/>
      <c r="AD277" s="1382"/>
      <c r="AE277" s="1382"/>
      <c r="AF277" s="1382"/>
      <c r="AG277" s="1382"/>
      <c r="AH277" s="1382"/>
      <c r="AI277" s="1382"/>
      <c r="AJ277" s="1382"/>
      <c r="AK277" s="181"/>
      <c r="AL277" s="181"/>
      <c r="AM277" s="181"/>
      <c r="AN277" s="181"/>
      <c r="AO277" s="181"/>
      <c r="AP277" s="181"/>
      <c r="AQ277" s="181"/>
      <c r="AR277" s="181"/>
      <c r="AS277" s="181"/>
      <c r="AT277" s="181"/>
      <c r="AU277" s="181"/>
      <c r="AV277" s="181"/>
    </row>
    <row r="278" spans="1:48" s="30" customFormat="1" ht="14.25" hidden="1" customHeight="1" x14ac:dyDescent="0.25">
      <c r="A278" s="1408"/>
      <c r="B278" s="191"/>
      <c r="C278" s="921"/>
      <c r="D278" s="147"/>
      <c r="E278" s="29" t="s">
        <v>38</v>
      </c>
      <c r="F278" s="194"/>
      <c r="G278" s="240"/>
      <c r="H278" s="454" t="s">
        <v>138</v>
      </c>
      <c r="I278" s="196"/>
      <c r="J278" s="231"/>
      <c r="K278" s="1274"/>
      <c r="L278" s="1382"/>
      <c r="M278" s="1382"/>
      <c r="N278" s="1382"/>
      <c r="O278" s="1382"/>
      <c r="P278" s="1382"/>
      <c r="Q278" s="1382"/>
      <c r="R278" s="1382"/>
      <c r="S278" s="1382"/>
      <c r="T278" s="1382"/>
      <c r="U278" s="1382"/>
      <c r="V278" s="1382"/>
      <c r="W278" s="1382"/>
      <c r="X278" s="1382"/>
      <c r="Y278" s="1382"/>
      <c r="Z278" s="1382"/>
      <c r="AA278" s="1382"/>
      <c r="AB278" s="1382"/>
      <c r="AC278" s="1382"/>
      <c r="AD278" s="1382"/>
      <c r="AE278" s="1382"/>
      <c r="AF278" s="1382"/>
      <c r="AG278" s="1382"/>
      <c r="AH278" s="1382"/>
      <c r="AI278" s="1382"/>
      <c r="AJ278" s="1382"/>
      <c r="AK278" s="181"/>
      <c r="AL278" s="181"/>
      <c r="AM278" s="181"/>
      <c r="AN278" s="181"/>
      <c r="AO278" s="181"/>
      <c r="AP278" s="181"/>
      <c r="AQ278" s="181"/>
      <c r="AR278" s="181"/>
      <c r="AS278" s="181"/>
      <c r="AT278" s="181"/>
      <c r="AU278" s="181"/>
      <c r="AV278" s="181"/>
    </row>
    <row r="279" spans="1:48" s="30" customFormat="1" ht="14.25" hidden="1" customHeight="1" x14ac:dyDescent="0.25">
      <c r="A279" s="1408"/>
      <c r="B279" s="191"/>
      <c r="C279" s="921"/>
      <c r="D279" s="147"/>
      <c r="E279" s="29" t="s">
        <v>38</v>
      </c>
      <c r="F279" s="194"/>
      <c r="G279" s="240"/>
      <c r="H279" s="454" t="s">
        <v>138</v>
      </c>
      <c r="I279" s="196"/>
      <c r="J279" s="231"/>
      <c r="K279" s="1274"/>
      <c r="L279" s="1382"/>
      <c r="M279" s="1382"/>
      <c r="N279" s="1382"/>
      <c r="O279" s="1382"/>
      <c r="P279" s="1382"/>
      <c r="Q279" s="1382"/>
      <c r="R279" s="1382"/>
      <c r="S279" s="1382"/>
      <c r="T279" s="1382"/>
      <c r="U279" s="1382"/>
      <c r="V279" s="1382"/>
      <c r="W279" s="1382"/>
      <c r="X279" s="1382"/>
      <c r="Y279" s="1382"/>
      <c r="Z279" s="1382"/>
      <c r="AA279" s="1382"/>
      <c r="AB279" s="1382"/>
      <c r="AC279" s="1382"/>
      <c r="AD279" s="1382"/>
      <c r="AE279" s="1382"/>
      <c r="AF279" s="1382"/>
      <c r="AG279" s="1382"/>
      <c r="AH279" s="1382"/>
      <c r="AI279" s="1382"/>
      <c r="AJ279" s="1382"/>
      <c r="AK279" s="181"/>
      <c r="AL279" s="181"/>
      <c r="AM279" s="181"/>
      <c r="AN279" s="181"/>
      <c r="AO279" s="181"/>
      <c r="AP279" s="181"/>
      <c r="AQ279" s="181"/>
      <c r="AR279" s="181"/>
      <c r="AS279" s="181"/>
      <c r="AT279" s="181"/>
      <c r="AU279" s="181"/>
      <c r="AV279" s="181"/>
    </row>
    <row r="280" spans="1:48" s="30" customFormat="1" ht="14.25" hidden="1" customHeight="1" x14ac:dyDescent="0.25">
      <c r="A280" s="1408"/>
      <c r="B280" s="191"/>
      <c r="C280" s="921"/>
      <c r="D280" s="147"/>
      <c r="E280" s="29" t="s">
        <v>38</v>
      </c>
      <c r="F280" s="194"/>
      <c r="G280" s="240"/>
      <c r="H280" s="454" t="s">
        <v>138</v>
      </c>
      <c r="I280" s="196"/>
      <c r="J280" s="231"/>
      <c r="K280" s="1274"/>
      <c r="L280" s="1382"/>
      <c r="M280" s="1382"/>
      <c r="N280" s="1382"/>
      <c r="O280" s="1382"/>
      <c r="P280" s="1382"/>
      <c r="Q280" s="1382"/>
      <c r="R280" s="1382"/>
      <c r="S280" s="1382"/>
      <c r="T280" s="1382"/>
      <c r="U280" s="1382"/>
      <c r="V280" s="1382"/>
      <c r="W280" s="1382"/>
      <c r="X280" s="1382"/>
      <c r="Y280" s="1382"/>
      <c r="Z280" s="1382"/>
      <c r="AA280" s="1382"/>
      <c r="AB280" s="1382"/>
      <c r="AC280" s="1382"/>
      <c r="AD280" s="1382"/>
      <c r="AE280" s="1382"/>
      <c r="AF280" s="1382"/>
      <c r="AG280" s="1382"/>
      <c r="AH280" s="1382"/>
      <c r="AI280" s="1382"/>
      <c r="AJ280" s="1382"/>
      <c r="AK280" s="181"/>
      <c r="AL280" s="181"/>
      <c r="AM280" s="181"/>
      <c r="AN280" s="181"/>
      <c r="AO280" s="181"/>
      <c r="AP280" s="181"/>
      <c r="AQ280" s="181"/>
      <c r="AR280" s="181"/>
      <c r="AS280" s="181"/>
      <c r="AT280" s="181"/>
      <c r="AU280" s="181"/>
      <c r="AV280" s="181"/>
    </row>
    <row r="281" spans="1:48" s="30" customFormat="1" ht="14.25" hidden="1" customHeight="1" x14ac:dyDescent="0.25">
      <c r="A281" s="1408"/>
      <c r="B281" s="191"/>
      <c r="C281" s="921"/>
      <c r="D281" s="147"/>
      <c r="E281" s="29" t="s">
        <v>38</v>
      </c>
      <c r="F281" s="194"/>
      <c r="G281" s="240"/>
      <c r="H281" s="454" t="s">
        <v>138</v>
      </c>
      <c r="I281" s="196"/>
      <c r="J281" s="231"/>
      <c r="K281" s="1274"/>
      <c r="L281" s="1382"/>
      <c r="M281" s="1382"/>
      <c r="N281" s="1382"/>
      <c r="O281" s="1382"/>
      <c r="P281" s="1382"/>
      <c r="Q281" s="1382"/>
      <c r="R281" s="1382"/>
      <c r="S281" s="1382"/>
      <c r="T281" s="1382"/>
      <c r="U281" s="1382"/>
      <c r="V281" s="1382"/>
      <c r="W281" s="1382"/>
      <c r="X281" s="1382"/>
      <c r="Y281" s="1382"/>
      <c r="Z281" s="1382"/>
      <c r="AA281" s="1382"/>
      <c r="AB281" s="1382"/>
      <c r="AC281" s="1382"/>
      <c r="AD281" s="1382"/>
      <c r="AE281" s="1382"/>
      <c r="AF281" s="1382"/>
      <c r="AG281" s="1382"/>
      <c r="AH281" s="1382"/>
      <c r="AI281" s="1382"/>
      <c r="AJ281" s="1382"/>
      <c r="AK281" s="181"/>
      <c r="AL281" s="181"/>
      <c r="AM281" s="181"/>
      <c r="AN281" s="181"/>
      <c r="AO281" s="181"/>
      <c r="AP281" s="181"/>
      <c r="AQ281" s="181"/>
      <c r="AR281" s="181"/>
      <c r="AS281" s="181"/>
      <c r="AT281" s="181"/>
      <c r="AU281" s="181"/>
      <c r="AV281" s="181"/>
    </row>
    <row r="282" spans="1:48" s="30" customFormat="1" ht="14.25" hidden="1" customHeight="1" x14ac:dyDescent="0.25">
      <c r="A282" s="1408"/>
      <c r="B282" s="191"/>
      <c r="C282" s="921"/>
      <c r="D282" s="147"/>
      <c r="E282" s="29" t="s">
        <v>38</v>
      </c>
      <c r="F282" s="194"/>
      <c r="G282" s="240"/>
      <c r="H282" s="454" t="s">
        <v>138</v>
      </c>
      <c r="I282" s="196"/>
      <c r="J282" s="231"/>
      <c r="K282" s="1274"/>
      <c r="L282" s="1382"/>
      <c r="M282" s="1382"/>
      <c r="N282" s="1382"/>
      <c r="O282" s="1382"/>
      <c r="P282" s="1382"/>
      <c r="Q282" s="1382"/>
      <c r="R282" s="1382"/>
      <c r="S282" s="1382"/>
      <c r="T282" s="1382"/>
      <c r="U282" s="1382"/>
      <c r="V282" s="1382"/>
      <c r="W282" s="1382"/>
      <c r="X282" s="1382"/>
      <c r="Y282" s="1382"/>
      <c r="Z282" s="1382"/>
      <c r="AA282" s="1382"/>
      <c r="AB282" s="1382"/>
      <c r="AC282" s="1382"/>
      <c r="AD282" s="1382"/>
      <c r="AE282" s="1382"/>
      <c r="AF282" s="1382"/>
      <c r="AG282" s="1382"/>
      <c r="AH282" s="1382"/>
      <c r="AI282" s="1382"/>
      <c r="AJ282" s="1382"/>
      <c r="AK282" s="181"/>
      <c r="AL282" s="181"/>
      <c r="AM282" s="181"/>
      <c r="AN282" s="181"/>
      <c r="AO282" s="181"/>
      <c r="AP282" s="181"/>
      <c r="AQ282" s="181"/>
      <c r="AR282" s="181"/>
      <c r="AS282" s="181"/>
      <c r="AT282" s="181"/>
      <c r="AU282" s="181"/>
      <c r="AV282" s="181"/>
    </row>
    <row r="283" spans="1:48" s="30" customFormat="1" ht="14.25" hidden="1" customHeight="1" x14ac:dyDescent="0.25">
      <c r="A283" s="1408"/>
      <c r="B283" s="191"/>
      <c r="C283" s="921"/>
      <c r="D283" s="147"/>
      <c r="E283" s="29" t="s">
        <v>38</v>
      </c>
      <c r="F283" s="194"/>
      <c r="G283" s="240"/>
      <c r="H283" s="454" t="s">
        <v>138</v>
      </c>
      <c r="I283" s="196"/>
      <c r="J283" s="231"/>
      <c r="K283" s="1274"/>
      <c r="L283" s="1382"/>
      <c r="M283" s="1382"/>
      <c r="N283" s="1382"/>
      <c r="O283" s="1382"/>
      <c r="P283" s="1382"/>
      <c r="Q283" s="1382"/>
      <c r="R283" s="1382"/>
      <c r="S283" s="1382"/>
      <c r="T283" s="1382"/>
      <c r="U283" s="1382"/>
      <c r="V283" s="1382"/>
      <c r="W283" s="1382"/>
      <c r="X283" s="1382"/>
      <c r="Y283" s="1382"/>
      <c r="Z283" s="1382"/>
      <c r="AA283" s="1382"/>
      <c r="AB283" s="1382"/>
      <c r="AC283" s="1382"/>
      <c r="AD283" s="1382"/>
      <c r="AE283" s="1382"/>
      <c r="AF283" s="1382"/>
      <c r="AG283" s="1382"/>
      <c r="AH283" s="1382"/>
      <c r="AI283" s="1382"/>
      <c r="AJ283" s="1382"/>
      <c r="AK283" s="181"/>
      <c r="AL283" s="181"/>
      <c r="AM283" s="181"/>
      <c r="AN283" s="181"/>
      <c r="AO283" s="181"/>
      <c r="AP283" s="181"/>
      <c r="AQ283" s="181"/>
      <c r="AR283" s="181"/>
      <c r="AS283" s="181"/>
      <c r="AT283" s="181"/>
      <c r="AU283" s="181"/>
      <c r="AV283" s="181"/>
    </row>
    <row r="284" spans="1:48" s="30" customFormat="1" ht="14.25" hidden="1" customHeight="1" x14ac:dyDescent="0.25">
      <c r="A284" s="1408"/>
      <c r="B284" s="191"/>
      <c r="C284" s="921"/>
      <c r="D284" s="147"/>
      <c r="E284" s="29" t="s">
        <v>38</v>
      </c>
      <c r="F284" s="194"/>
      <c r="G284" s="240"/>
      <c r="H284" s="454" t="s">
        <v>138</v>
      </c>
      <c r="I284" s="196"/>
      <c r="J284" s="231"/>
      <c r="K284" s="1274"/>
      <c r="L284" s="1382"/>
      <c r="M284" s="1382"/>
      <c r="N284" s="1382"/>
      <c r="O284" s="1382"/>
      <c r="P284" s="1382"/>
      <c r="Q284" s="1382"/>
      <c r="R284" s="1382"/>
      <c r="S284" s="1382"/>
      <c r="T284" s="1382"/>
      <c r="U284" s="1382"/>
      <c r="V284" s="1382"/>
      <c r="W284" s="1382"/>
      <c r="X284" s="1382"/>
      <c r="Y284" s="1382"/>
      <c r="Z284" s="1382"/>
      <c r="AA284" s="1382"/>
      <c r="AB284" s="1382"/>
      <c r="AC284" s="1382"/>
      <c r="AD284" s="1382"/>
      <c r="AE284" s="1382"/>
      <c r="AF284" s="1382"/>
      <c r="AG284" s="1382"/>
      <c r="AH284" s="1382"/>
      <c r="AI284" s="1382"/>
      <c r="AJ284" s="1382"/>
      <c r="AK284" s="181"/>
      <c r="AL284" s="181"/>
      <c r="AM284" s="181"/>
      <c r="AN284" s="181"/>
      <c r="AO284" s="181"/>
      <c r="AP284" s="181"/>
      <c r="AQ284" s="181"/>
      <c r="AR284" s="181"/>
      <c r="AS284" s="181"/>
      <c r="AT284" s="181"/>
      <c r="AU284" s="181"/>
      <c r="AV284" s="181"/>
    </row>
    <row r="285" spans="1:48" s="30" customFormat="1" ht="14.25" hidden="1" customHeight="1" x14ac:dyDescent="0.25">
      <c r="A285" s="1408"/>
      <c r="B285" s="191"/>
      <c r="C285" s="921"/>
      <c r="D285" s="147"/>
      <c r="E285" s="29" t="s">
        <v>38</v>
      </c>
      <c r="F285" s="194"/>
      <c r="G285" s="240"/>
      <c r="H285" s="454" t="s">
        <v>138</v>
      </c>
      <c r="I285" s="196"/>
      <c r="J285" s="231"/>
      <c r="K285" s="1274"/>
      <c r="L285" s="1382"/>
      <c r="M285" s="1382"/>
      <c r="N285" s="1382"/>
      <c r="O285" s="1382"/>
      <c r="P285" s="1382"/>
      <c r="Q285" s="1382"/>
      <c r="R285" s="1382"/>
      <c r="S285" s="1382"/>
      <c r="T285" s="1382"/>
      <c r="U285" s="1382"/>
      <c r="V285" s="1382"/>
      <c r="W285" s="1382"/>
      <c r="X285" s="1382"/>
      <c r="Y285" s="1382"/>
      <c r="Z285" s="1382"/>
      <c r="AA285" s="1382"/>
      <c r="AB285" s="1382"/>
      <c r="AC285" s="1382"/>
      <c r="AD285" s="1382"/>
      <c r="AE285" s="1382"/>
      <c r="AF285" s="1382"/>
      <c r="AG285" s="1382"/>
      <c r="AH285" s="1382"/>
      <c r="AI285" s="1382"/>
      <c r="AJ285" s="1382"/>
      <c r="AK285" s="181"/>
      <c r="AL285" s="181"/>
      <c r="AM285" s="181"/>
      <c r="AN285" s="181"/>
      <c r="AO285" s="181"/>
      <c r="AP285" s="181"/>
      <c r="AQ285" s="181"/>
      <c r="AR285" s="181"/>
      <c r="AS285" s="181"/>
      <c r="AT285" s="181"/>
      <c r="AU285" s="181"/>
      <c r="AV285" s="181"/>
    </row>
    <row r="286" spans="1:48" s="30" customFormat="1" ht="14.25" hidden="1" customHeight="1" x14ac:dyDescent="0.25">
      <c r="A286" s="1408"/>
      <c r="B286" s="191"/>
      <c r="C286" s="921"/>
      <c r="D286" s="147"/>
      <c r="E286" s="29" t="s">
        <v>38</v>
      </c>
      <c r="F286" s="194"/>
      <c r="G286" s="240"/>
      <c r="H286" s="454" t="s">
        <v>138</v>
      </c>
      <c r="I286" s="196"/>
      <c r="J286" s="231"/>
      <c r="K286" s="1274"/>
      <c r="L286" s="1382"/>
      <c r="M286" s="1382"/>
      <c r="N286" s="1382"/>
      <c r="O286" s="1382"/>
      <c r="P286" s="1382"/>
      <c r="Q286" s="1382"/>
      <c r="R286" s="1382"/>
      <c r="S286" s="1382"/>
      <c r="T286" s="1382"/>
      <c r="U286" s="1382"/>
      <c r="V286" s="1382"/>
      <c r="W286" s="1382"/>
      <c r="X286" s="1382"/>
      <c r="Y286" s="1382"/>
      <c r="Z286" s="1382"/>
      <c r="AA286" s="1382"/>
      <c r="AB286" s="1382"/>
      <c r="AC286" s="1382"/>
      <c r="AD286" s="1382"/>
      <c r="AE286" s="1382"/>
      <c r="AF286" s="1382"/>
      <c r="AG286" s="1382"/>
      <c r="AH286" s="1382"/>
      <c r="AI286" s="1382"/>
      <c r="AJ286" s="1382"/>
      <c r="AK286" s="181"/>
      <c r="AL286" s="181"/>
      <c r="AM286" s="181"/>
      <c r="AN286" s="181"/>
      <c r="AO286" s="181"/>
      <c r="AP286" s="181"/>
      <c r="AQ286" s="181"/>
      <c r="AR286" s="181"/>
      <c r="AS286" s="181"/>
      <c r="AT286" s="181"/>
      <c r="AU286" s="181"/>
      <c r="AV286" s="181"/>
    </row>
    <row r="287" spans="1:48" s="30" customFormat="1" ht="14.25" hidden="1" customHeight="1" x14ac:dyDescent="0.25">
      <c r="A287" s="1408"/>
      <c r="B287" s="191"/>
      <c r="C287" s="921"/>
      <c r="D287" s="147"/>
      <c r="E287" s="29" t="s">
        <v>38</v>
      </c>
      <c r="F287" s="194"/>
      <c r="G287" s="240"/>
      <c r="H287" s="454" t="s">
        <v>138</v>
      </c>
      <c r="I287" s="196"/>
      <c r="J287" s="231"/>
      <c r="K287" s="1274"/>
      <c r="L287" s="1382"/>
      <c r="M287" s="1382"/>
      <c r="N287" s="1382"/>
      <c r="O287" s="1382"/>
      <c r="P287" s="1382"/>
      <c r="Q287" s="1382"/>
      <c r="R287" s="1382"/>
      <c r="S287" s="1382"/>
      <c r="T287" s="1382"/>
      <c r="U287" s="1382"/>
      <c r="V287" s="1382"/>
      <c r="W287" s="1382"/>
      <c r="X287" s="1382"/>
      <c r="Y287" s="1382"/>
      <c r="Z287" s="1382"/>
      <c r="AA287" s="1382"/>
      <c r="AB287" s="1382"/>
      <c r="AC287" s="1382"/>
      <c r="AD287" s="1382"/>
      <c r="AE287" s="1382"/>
      <c r="AF287" s="1382"/>
      <c r="AG287" s="1382"/>
      <c r="AH287" s="1382"/>
      <c r="AI287" s="1382"/>
      <c r="AJ287" s="1382"/>
      <c r="AK287" s="181"/>
      <c r="AL287" s="181"/>
      <c r="AM287" s="181"/>
      <c r="AN287" s="181"/>
      <c r="AO287" s="181"/>
      <c r="AP287" s="181"/>
      <c r="AQ287" s="181"/>
      <c r="AR287" s="181"/>
      <c r="AS287" s="181"/>
      <c r="AT287" s="181"/>
      <c r="AU287" s="181"/>
      <c r="AV287" s="181"/>
    </row>
    <row r="288" spans="1:48" s="30" customFormat="1" ht="14.25" hidden="1" customHeight="1" x14ac:dyDescent="0.25">
      <c r="A288" s="1408"/>
      <c r="B288" s="191"/>
      <c r="C288" s="921"/>
      <c r="D288" s="147"/>
      <c r="E288" s="29" t="s">
        <v>38</v>
      </c>
      <c r="F288" s="194"/>
      <c r="G288" s="240"/>
      <c r="H288" s="454" t="s">
        <v>138</v>
      </c>
      <c r="I288" s="196"/>
      <c r="J288" s="231"/>
      <c r="K288" s="1274"/>
      <c r="L288" s="1382"/>
      <c r="M288" s="1382"/>
      <c r="N288" s="1382"/>
      <c r="O288" s="1382"/>
      <c r="P288" s="1382"/>
      <c r="Q288" s="1382"/>
      <c r="R288" s="1382"/>
      <c r="S288" s="1382"/>
      <c r="T288" s="1382"/>
      <c r="U288" s="1382"/>
      <c r="V288" s="1382"/>
      <c r="W288" s="1382"/>
      <c r="X288" s="1382"/>
      <c r="Y288" s="1382"/>
      <c r="Z288" s="1382"/>
      <c r="AA288" s="1382"/>
      <c r="AB288" s="1382"/>
      <c r="AC288" s="1382"/>
      <c r="AD288" s="1382"/>
      <c r="AE288" s="1382"/>
      <c r="AF288" s="1382"/>
      <c r="AG288" s="1382"/>
      <c r="AH288" s="1382"/>
      <c r="AI288" s="1382"/>
      <c r="AJ288" s="1382"/>
      <c r="AK288" s="181"/>
      <c r="AL288" s="181"/>
      <c r="AM288" s="181"/>
      <c r="AN288" s="181"/>
      <c r="AO288" s="181"/>
      <c r="AP288" s="181"/>
      <c r="AQ288" s="181"/>
      <c r="AR288" s="181"/>
      <c r="AS288" s="181"/>
      <c r="AT288" s="181"/>
      <c r="AU288" s="181"/>
      <c r="AV288" s="181"/>
    </row>
    <row r="289" spans="1:48" s="30" customFormat="1" ht="14.25" hidden="1" customHeight="1" x14ac:dyDescent="0.25">
      <c r="A289" s="1408"/>
      <c r="B289" s="191"/>
      <c r="C289" s="921"/>
      <c r="D289" s="147"/>
      <c r="E289" s="29" t="s">
        <v>38</v>
      </c>
      <c r="F289" s="194"/>
      <c r="G289" s="240"/>
      <c r="H289" s="454" t="s">
        <v>138</v>
      </c>
      <c r="I289" s="196"/>
      <c r="J289" s="231"/>
      <c r="K289" s="1274"/>
      <c r="L289" s="1382"/>
      <c r="M289" s="1382"/>
      <c r="N289" s="1382"/>
      <c r="O289" s="1382"/>
      <c r="P289" s="1382"/>
      <c r="Q289" s="1382"/>
      <c r="R289" s="1382"/>
      <c r="S289" s="1382"/>
      <c r="T289" s="1382"/>
      <c r="U289" s="1382"/>
      <c r="V289" s="1382"/>
      <c r="W289" s="1382"/>
      <c r="X289" s="1382"/>
      <c r="Y289" s="1382"/>
      <c r="Z289" s="1382"/>
      <c r="AA289" s="1382"/>
      <c r="AB289" s="1382"/>
      <c r="AC289" s="1382"/>
      <c r="AD289" s="1382"/>
      <c r="AE289" s="1382"/>
      <c r="AF289" s="1382"/>
      <c r="AG289" s="1382"/>
      <c r="AH289" s="1382"/>
      <c r="AI289" s="1382"/>
      <c r="AJ289" s="1382"/>
      <c r="AK289" s="181"/>
      <c r="AL289" s="181"/>
      <c r="AM289" s="181"/>
      <c r="AN289" s="181"/>
      <c r="AO289" s="181"/>
      <c r="AP289" s="181"/>
      <c r="AQ289" s="181"/>
      <c r="AR289" s="181"/>
      <c r="AS289" s="181"/>
      <c r="AT289" s="181"/>
      <c r="AU289" s="181"/>
      <c r="AV289" s="181"/>
    </row>
    <row r="290" spans="1:48" s="30" customFormat="1" ht="14.25" hidden="1" customHeight="1" x14ac:dyDescent="0.25">
      <c r="A290" s="1408"/>
      <c r="B290" s="191"/>
      <c r="C290" s="921"/>
      <c r="D290" s="147"/>
      <c r="E290" s="29" t="s">
        <v>38</v>
      </c>
      <c r="F290" s="194"/>
      <c r="G290" s="240"/>
      <c r="H290" s="454" t="s">
        <v>138</v>
      </c>
      <c r="I290" s="196"/>
      <c r="J290" s="231"/>
      <c r="K290" s="1274"/>
      <c r="L290" s="1382"/>
      <c r="M290" s="1382"/>
      <c r="N290" s="1382"/>
      <c r="O290" s="1382"/>
      <c r="P290" s="1382"/>
      <c r="Q290" s="1382"/>
      <c r="R290" s="1382"/>
      <c r="S290" s="1382"/>
      <c r="T290" s="1382"/>
      <c r="U290" s="1382"/>
      <c r="V290" s="1382"/>
      <c r="W290" s="1382"/>
      <c r="X290" s="1382"/>
      <c r="Y290" s="1382"/>
      <c r="Z290" s="1382"/>
      <c r="AA290" s="1382"/>
      <c r="AB290" s="1382"/>
      <c r="AC290" s="1382"/>
      <c r="AD290" s="1382"/>
      <c r="AE290" s="1382"/>
      <c r="AF290" s="1382"/>
      <c r="AG290" s="1382"/>
      <c r="AH290" s="1382"/>
      <c r="AI290" s="1382"/>
      <c r="AJ290" s="1382"/>
      <c r="AK290" s="181"/>
      <c r="AL290" s="181"/>
      <c r="AM290" s="181"/>
      <c r="AN290" s="181"/>
      <c r="AO290" s="181"/>
      <c r="AP290" s="181"/>
      <c r="AQ290" s="181"/>
      <c r="AR290" s="181"/>
      <c r="AS290" s="181"/>
      <c r="AT290" s="181"/>
      <c r="AU290" s="181"/>
      <c r="AV290" s="181"/>
    </row>
    <row r="291" spans="1:48" s="30" customFormat="1" ht="14.25" hidden="1" customHeight="1" x14ac:dyDescent="0.25">
      <c r="A291" s="1408"/>
      <c r="B291" s="191"/>
      <c r="C291" s="921"/>
      <c r="D291" s="147"/>
      <c r="E291" s="29" t="s">
        <v>38</v>
      </c>
      <c r="F291" s="194"/>
      <c r="G291" s="240"/>
      <c r="H291" s="454" t="s">
        <v>138</v>
      </c>
      <c r="I291" s="196"/>
      <c r="J291" s="231"/>
      <c r="K291" s="1274"/>
      <c r="L291" s="1382"/>
      <c r="M291" s="1382"/>
      <c r="N291" s="1382"/>
      <c r="O291" s="1382"/>
      <c r="P291" s="1382"/>
      <c r="Q291" s="1382"/>
      <c r="R291" s="1382"/>
      <c r="S291" s="1382"/>
      <c r="T291" s="1382"/>
      <c r="U291" s="1382"/>
      <c r="V291" s="1382"/>
      <c r="W291" s="1382"/>
      <c r="X291" s="1382"/>
      <c r="Y291" s="1382"/>
      <c r="Z291" s="1382"/>
      <c r="AA291" s="1382"/>
      <c r="AB291" s="1382"/>
      <c r="AC291" s="1382"/>
      <c r="AD291" s="1382"/>
      <c r="AE291" s="1382"/>
      <c r="AF291" s="1382"/>
      <c r="AG291" s="1382"/>
      <c r="AH291" s="1382"/>
      <c r="AI291" s="1382"/>
      <c r="AJ291" s="1382"/>
      <c r="AK291" s="181"/>
      <c r="AL291" s="181"/>
      <c r="AM291" s="181"/>
      <c r="AN291" s="181"/>
      <c r="AO291" s="181"/>
      <c r="AP291" s="181"/>
      <c r="AQ291" s="181"/>
      <c r="AR291" s="181"/>
      <c r="AS291" s="181"/>
      <c r="AT291" s="181"/>
      <c r="AU291" s="181"/>
      <c r="AV291" s="181"/>
    </row>
    <row r="292" spans="1:48" s="30" customFormat="1" ht="14.25" hidden="1" customHeight="1" x14ac:dyDescent="0.25">
      <c r="A292" s="1408"/>
      <c r="B292" s="191"/>
      <c r="C292" s="921"/>
      <c r="D292" s="147"/>
      <c r="E292" s="29" t="s">
        <v>38</v>
      </c>
      <c r="F292" s="194"/>
      <c r="G292" s="240"/>
      <c r="H292" s="454" t="s">
        <v>138</v>
      </c>
      <c r="I292" s="196"/>
      <c r="J292" s="231"/>
      <c r="K292" s="1274"/>
      <c r="L292" s="1382"/>
      <c r="M292" s="1382"/>
      <c r="N292" s="1382"/>
      <c r="O292" s="1382"/>
      <c r="P292" s="1382"/>
      <c r="Q292" s="1382"/>
      <c r="R292" s="1382"/>
      <c r="S292" s="1382"/>
      <c r="T292" s="1382"/>
      <c r="U292" s="1382"/>
      <c r="V292" s="1382"/>
      <c r="W292" s="1382"/>
      <c r="X292" s="1382"/>
      <c r="Y292" s="1382"/>
      <c r="Z292" s="1382"/>
      <c r="AA292" s="1382"/>
      <c r="AB292" s="1382"/>
      <c r="AC292" s="1382"/>
      <c r="AD292" s="1382"/>
      <c r="AE292" s="1382"/>
      <c r="AF292" s="1382"/>
      <c r="AG292" s="1382"/>
      <c r="AH292" s="1382"/>
      <c r="AI292" s="1382"/>
      <c r="AJ292" s="1382"/>
      <c r="AK292" s="181"/>
      <c r="AL292" s="181"/>
      <c r="AM292" s="181"/>
      <c r="AN292" s="181"/>
      <c r="AO292" s="181"/>
      <c r="AP292" s="181"/>
      <c r="AQ292" s="181"/>
      <c r="AR292" s="181"/>
      <c r="AS292" s="181"/>
      <c r="AT292" s="181"/>
      <c r="AU292" s="181"/>
      <c r="AV292" s="181"/>
    </row>
    <row r="293" spans="1:48" s="30" customFormat="1" ht="14.25" hidden="1" customHeight="1" x14ac:dyDescent="0.25">
      <c r="A293" s="1408"/>
      <c r="B293" s="191"/>
      <c r="C293" s="921"/>
      <c r="D293" s="147"/>
      <c r="E293" s="29" t="s">
        <v>38</v>
      </c>
      <c r="F293" s="194"/>
      <c r="G293" s="240"/>
      <c r="H293" s="454" t="s">
        <v>138</v>
      </c>
      <c r="I293" s="196"/>
      <c r="J293" s="231"/>
      <c r="K293" s="1274"/>
      <c r="L293" s="1382"/>
      <c r="M293" s="1382"/>
      <c r="N293" s="1382"/>
      <c r="O293" s="1382"/>
      <c r="P293" s="1382"/>
      <c r="Q293" s="1382"/>
      <c r="R293" s="1382"/>
      <c r="S293" s="1382"/>
      <c r="T293" s="1382"/>
      <c r="U293" s="1382"/>
      <c r="V293" s="1382"/>
      <c r="W293" s="1382"/>
      <c r="X293" s="1382"/>
      <c r="Y293" s="1382"/>
      <c r="Z293" s="1382"/>
      <c r="AA293" s="1382"/>
      <c r="AB293" s="1382"/>
      <c r="AC293" s="1382"/>
      <c r="AD293" s="1382"/>
      <c r="AE293" s="1382"/>
      <c r="AF293" s="1382"/>
      <c r="AG293" s="1382"/>
      <c r="AH293" s="1382"/>
      <c r="AI293" s="1382"/>
      <c r="AJ293" s="1382"/>
      <c r="AK293" s="181"/>
      <c r="AL293" s="181"/>
      <c r="AM293" s="181"/>
      <c r="AN293" s="181"/>
      <c r="AO293" s="181"/>
      <c r="AP293" s="181"/>
      <c r="AQ293" s="181"/>
      <c r="AR293" s="181"/>
      <c r="AS293" s="181"/>
      <c r="AT293" s="181"/>
      <c r="AU293" s="181"/>
      <c r="AV293" s="181"/>
    </row>
    <row r="294" spans="1:48" s="30" customFormat="1" ht="14.25" hidden="1" customHeight="1" x14ac:dyDescent="0.25">
      <c r="A294" s="1408"/>
      <c r="B294" s="191"/>
      <c r="C294" s="921"/>
      <c r="D294" s="147"/>
      <c r="E294" s="29" t="s">
        <v>38</v>
      </c>
      <c r="F294" s="194"/>
      <c r="G294" s="240"/>
      <c r="H294" s="454" t="s">
        <v>138</v>
      </c>
      <c r="I294" s="196"/>
      <c r="J294" s="231"/>
      <c r="K294" s="1274"/>
      <c r="L294" s="1382"/>
      <c r="M294" s="1382"/>
      <c r="N294" s="1382"/>
      <c r="O294" s="1382"/>
      <c r="P294" s="1382"/>
      <c r="Q294" s="1382"/>
      <c r="R294" s="1382"/>
      <c r="S294" s="1382"/>
      <c r="T294" s="1382"/>
      <c r="U294" s="1382"/>
      <c r="V294" s="1382"/>
      <c r="W294" s="1382"/>
      <c r="X294" s="1382"/>
      <c r="Y294" s="1382"/>
      <c r="Z294" s="1382"/>
      <c r="AA294" s="1382"/>
      <c r="AB294" s="1382"/>
      <c r="AC294" s="1382"/>
      <c r="AD294" s="1382"/>
      <c r="AE294" s="1382"/>
      <c r="AF294" s="1382"/>
      <c r="AG294" s="1382"/>
      <c r="AH294" s="1382"/>
      <c r="AI294" s="1382"/>
      <c r="AJ294" s="1382"/>
      <c r="AK294" s="181"/>
      <c r="AL294" s="181"/>
      <c r="AM294" s="181"/>
      <c r="AN294" s="181"/>
      <c r="AO294" s="181"/>
      <c r="AP294" s="181"/>
      <c r="AQ294" s="181"/>
      <c r="AR294" s="181"/>
      <c r="AS294" s="181"/>
      <c r="AT294" s="181"/>
      <c r="AU294" s="181"/>
      <c r="AV294" s="181"/>
    </row>
    <row r="295" spans="1:48" s="30" customFormat="1" ht="14.25" hidden="1" customHeight="1" x14ac:dyDescent="0.25">
      <c r="A295" s="1408"/>
      <c r="B295" s="191"/>
      <c r="C295" s="921"/>
      <c r="D295" s="147"/>
      <c r="E295" s="29" t="s">
        <v>38</v>
      </c>
      <c r="F295" s="194"/>
      <c r="G295" s="240"/>
      <c r="H295" s="454" t="s">
        <v>138</v>
      </c>
      <c r="I295" s="196"/>
      <c r="J295" s="231"/>
      <c r="K295" s="1274"/>
      <c r="L295" s="1382"/>
      <c r="M295" s="1382"/>
      <c r="N295" s="1382"/>
      <c r="O295" s="1382"/>
      <c r="P295" s="1382"/>
      <c r="Q295" s="1382"/>
      <c r="R295" s="1382"/>
      <c r="S295" s="1382"/>
      <c r="T295" s="1382"/>
      <c r="U295" s="1382"/>
      <c r="V295" s="1382"/>
      <c r="W295" s="1382"/>
      <c r="X295" s="1382"/>
      <c r="Y295" s="1382"/>
      <c r="Z295" s="1382"/>
      <c r="AA295" s="1382"/>
      <c r="AB295" s="1382"/>
      <c r="AC295" s="1382"/>
      <c r="AD295" s="1382"/>
      <c r="AE295" s="1382"/>
      <c r="AF295" s="1382"/>
      <c r="AG295" s="1382"/>
      <c r="AH295" s="1382"/>
      <c r="AI295" s="1382"/>
      <c r="AJ295" s="1382"/>
      <c r="AK295" s="181"/>
      <c r="AL295" s="181"/>
      <c r="AM295" s="181"/>
      <c r="AN295" s="181"/>
      <c r="AO295" s="181"/>
      <c r="AP295" s="181"/>
      <c r="AQ295" s="181"/>
      <c r="AR295" s="181"/>
      <c r="AS295" s="181"/>
      <c r="AT295" s="181"/>
      <c r="AU295" s="181"/>
      <c r="AV295" s="181"/>
    </row>
    <row r="296" spans="1:48" s="30" customFormat="1" ht="14.25" hidden="1" customHeight="1" x14ac:dyDescent="0.25">
      <c r="A296" s="1408"/>
      <c r="B296" s="191"/>
      <c r="C296" s="921"/>
      <c r="D296" s="147"/>
      <c r="E296" s="29" t="s">
        <v>38</v>
      </c>
      <c r="F296" s="194"/>
      <c r="G296" s="240"/>
      <c r="H296" s="454" t="s">
        <v>138</v>
      </c>
      <c r="I296" s="196"/>
      <c r="J296" s="231"/>
      <c r="K296" s="1274"/>
      <c r="L296" s="1382"/>
      <c r="M296" s="1382"/>
      <c r="N296" s="1382"/>
      <c r="O296" s="1382"/>
      <c r="P296" s="1382"/>
      <c r="Q296" s="1382"/>
      <c r="R296" s="1382"/>
      <c r="S296" s="1382"/>
      <c r="T296" s="1382"/>
      <c r="U296" s="1382"/>
      <c r="V296" s="1382"/>
      <c r="W296" s="1382"/>
      <c r="X296" s="1382"/>
      <c r="Y296" s="1382"/>
      <c r="Z296" s="1382"/>
      <c r="AA296" s="1382"/>
      <c r="AB296" s="1382"/>
      <c r="AC296" s="1382"/>
      <c r="AD296" s="1382"/>
      <c r="AE296" s="1382"/>
      <c r="AF296" s="1382"/>
      <c r="AG296" s="1382"/>
      <c r="AH296" s="1382"/>
      <c r="AI296" s="1382"/>
      <c r="AJ296" s="1382"/>
      <c r="AK296" s="181"/>
      <c r="AL296" s="181"/>
      <c r="AM296" s="181"/>
      <c r="AN296" s="181"/>
      <c r="AO296" s="181"/>
      <c r="AP296" s="181"/>
      <c r="AQ296" s="181"/>
      <c r="AR296" s="181"/>
      <c r="AS296" s="181"/>
      <c r="AT296" s="181"/>
      <c r="AU296" s="181"/>
      <c r="AV296" s="181"/>
    </row>
    <row r="297" spans="1:48" s="30" customFormat="1" ht="14.25" hidden="1" customHeight="1" x14ac:dyDescent="0.25">
      <c r="A297" s="1408"/>
      <c r="B297" s="191"/>
      <c r="C297" s="921"/>
      <c r="D297" s="147"/>
      <c r="E297" s="29" t="s">
        <v>38</v>
      </c>
      <c r="F297" s="194"/>
      <c r="G297" s="240"/>
      <c r="H297" s="454" t="s">
        <v>138</v>
      </c>
      <c r="I297" s="196"/>
      <c r="J297" s="231"/>
      <c r="K297" s="1274"/>
      <c r="L297" s="1382"/>
      <c r="M297" s="1382"/>
      <c r="N297" s="1382"/>
      <c r="O297" s="1382"/>
      <c r="P297" s="1382"/>
      <c r="Q297" s="1382"/>
      <c r="R297" s="1382"/>
      <c r="S297" s="1382"/>
      <c r="T297" s="1382"/>
      <c r="U297" s="1382"/>
      <c r="V297" s="1382"/>
      <c r="W297" s="1382"/>
      <c r="X297" s="1382"/>
      <c r="Y297" s="1382"/>
      <c r="Z297" s="1382"/>
      <c r="AA297" s="1382"/>
      <c r="AB297" s="1382"/>
      <c r="AC297" s="1382"/>
      <c r="AD297" s="1382"/>
      <c r="AE297" s="1382"/>
      <c r="AF297" s="1382"/>
      <c r="AG297" s="1382"/>
      <c r="AH297" s="1382"/>
      <c r="AI297" s="1382"/>
      <c r="AJ297" s="1382"/>
      <c r="AK297" s="181"/>
      <c r="AL297" s="181"/>
      <c r="AM297" s="181"/>
      <c r="AN297" s="181"/>
      <c r="AO297" s="181"/>
      <c r="AP297" s="181"/>
      <c r="AQ297" s="181"/>
      <c r="AR297" s="181"/>
      <c r="AS297" s="181"/>
      <c r="AT297" s="181"/>
      <c r="AU297" s="181"/>
      <c r="AV297" s="181"/>
    </row>
    <row r="298" spans="1:48" s="30" customFormat="1" ht="14.25" hidden="1" customHeight="1" x14ac:dyDescent="0.25">
      <c r="A298" s="1408"/>
      <c r="B298" s="191"/>
      <c r="C298" s="921"/>
      <c r="D298" s="147"/>
      <c r="E298" s="29" t="s">
        <v>38</v>
      </c>
      <c r="F298" s="194"/>
      <c r="G298" s="240"/>
      <c r="H298" s="454" t="s">
        <v>138</v>
      </c>
      <c r="I298" s="196"/>
      <c r="J298" s="231"/>
      <c r="K298" s="1274"/>
      <c r="L298" s="1382"/>
      <c r="M298" s="1382"/>
      <c r="N298" s="1382"/>
      <c r="O298" s="1382"/>
      <c r="P298" s="1382"/>
      <c r="Q298" s="1382"/>
      <c r="R298" s="1382"/>
      <c r="S298" s="1382"/>
      <c r="T298" s="1382"/>
      <c r="U298" s="1382"/>
      <c r="V298" s="1382"/>
      <c r="W298" s="1382"/>
      <c r="X298" s="1382"/>
      <c r="Y298" s="1382"/>
      <c r="Z298" s="1382"/>
      <c r="AA298" s="1382"/>
      <c r="AB298" s="1382"/>
      <c r="AC298" s="1382"/>
      <c r="AD298" s="1382"/>
      <c r="AE298" s="1382"/>
      <c r="AF298" s="1382"/>
      <c r="AG298" s="1382"/>
      <c r="AH298" s="1382"/>
      <c r="AI298" s="1382"/>
      <c r="AJ298" s="1382"/>
      <c r="AK298" s="181"/>
      <c r="AL298" s="181"/>
      <c r="AM298" s="181"/>
      <c r="AN298" s="181"/>
      <c r="AO298" s="181"/>
      <c r="AP298" s="181"/>
      <c r="AQ298" s="181"/>
      <c r="AR298" s="181"/>
      <c r="AS298" s="181"/>
      <c r="AT298" s="181"/>
      <c r="AU298" s="181"/>
      <c r="AV298" s="181"/>
    </row>
    <row r="299" spans="1:48" s="30" customFormat="1" ht="14.25" hidden="1" customHeight="1" x14ac:dyDescent="0.25">
      <c r="A299" s="1408"/>
      <c r="B299" s="191"/>
      <c r="C299" s="921"/>
      <c r="D299" s="147"/>
      <c r="E299" s="29" t="s">
        <v>38</v>
      </c>
      <c r="F299" s="194"/>
      <c r="G299" s="240"/>
      <c r="H299" s="454" t="s">
        <v>138</v>
      </c>
      <c r="I299" s="196"/>
      <c r="J299" s="231"/>
      <c r="K299" s="1274"/>
      <c r="L299" s="1382"/>
      <c r="M299" s="1382"/>
      <c r="N299" s="1382"/>
      <c r="O299" s="1382"/>
      <c r="P299" s="1382"/>
      <c r="Q299" s="1382"/>
      <c r="R299" s="1382"/>
      <c r="S299" s="1382"/>
      <c r="T299" s="1382"/>
      <c r="U299" s="1382"/>
      <c r="V299" s="1382"/>
      <c r="W299" s="1382"/>
      <c r="X299" s="1382"/>
      <c r="Y299" s="1382"/>
      <c r="Z299" s="1382"/>
      <c r="AA299" s="1382"/>
      <c r="AB299" s="1382"/>
      <c r="AC299" s="1382"/>
      <c r="AD299" s="1382"/>
      <c r="AE299" s="1382"/>
      <c r="AF299" s="1382"/>
      <c r="AG299" s="1382"/>
      <c r="AH299" s="1382"/>
      <c r="AI299" s="1382"/>
      <c r="AJ299" s="1382"/>
      <c r="AK299" s="181"/>
      <c r="AL299" s="181"/>
      <c r="AM299" s="181"/>
      <c r="AN299" s="181"/>
      <c r="AO299" s="181"/>
      <c r="AP299" s="181"/>
      <c r="AQ299" s="181"/>
      <c r="AR299" s="181"/>
      <c r="AS299" s="181"/>
      <c r="AT299" s="181"/>
      <c r="AU299" s="181"/>
      <c r="AV299" s="181"/>
    </row>
    <row r="300" spans="1:48" s="30" customFormat="1" ht="14.25" hidden="1" customHeight="1" x14ac:dyDescent="0.25">
      <c r="A300" s="1408"/>
      <c r="B300" s="191"/>
      <c r="C300" s="921"/>
      <c r="D300" s="147"/>
      <c r="E300" s="29" t="s">
        <v>38</v>
      </c>
      <c r="F300" s="194"/>
      <c r="G300" s="240"/>
      <c r="H300" s="454" t="s">
        <v>138</v>
      </c>
      <c r="I300" s="196"/>
      <c r="J300" s="231"/>
      <c r="K300" s="1274"/>
      <c r="L300" s="1382"/>
      <c r="M300" s="1382"/>
      <c r="N300" s="1382"/>
      <c r="O300" s="1382"/>
      <c r="P300" s="1382"/>
      <c r="Q300" s="1382"/>
      <c r="R300" s="1382"/>
      <c r="S300" s="1382"/>
      <c r="T300" s="1382"/>
      <c r="U300" s="1382"/>
      <c r="V300" s="1382"/>
      <c r="W300" s="1382"/>
      <c r="X300" s="1382"/>
      <c r="Y300" s="1382"/>
      <c r="Z300" s="1382"/>
      <c r="AA300" s="1382"/>
      <c r="AB300" s="1382"/>
      <c r="AC300" s="1382"/>
      <c r="AD300" s="1382"/>
      <c r="AE300" s="1382"/>
      <c r="AF300" s="1382"/>
      <c r="AG300" s="1382"/>
      <c r="AH300" s="1382"/>
      <c r="AI300" s="1382"/>
      <c r="AJ300" s="1382"/>
      <c r="AK300" s="181"/>
      <c r="AL300" s="181"/>
      <c r="AM300" s="181"/>
      <c r="AN300" s="181"/>
      <c r="AO300" s="181"/>
      <c r="AP300" s="181"/>
      <c r="AQ300" s="181"/>
      <c r="AR300" s="181"/>
      <c r="AS300" s="181"/>
      <c r="AT300" s="181"/>
      <c r="AU300" s="181"/>
      <c r="AV300" s="181"/>
    </row>
    <row r="301" spans="1:48" s="30" customFormat="1" ht="14.25" hidden="1" customHeight="1" x14ac:dyDescent="0.25">
      <c r="A301" s="1408"/>
      <c r="B301" s="191"/>
      <c r="C301" s="921"/>
      <c r="D301" s="147"/>
      <c r="E301" s="29" t="s">
        <v>38</v>
      </c>
      <c r="F301" s="194"/>
      <c r="G301" s="240"/>
      <c r="H301" s="454" t="s">
        <v>138</v>
      </c>
      <c r="I301" s="196"/>
      <c r="J301" s="231"/>
      <c r="K301" s="1274"/>
      <c r="L301" s="1382"/>
      <c r="M301" s="1382"/>
      <c r="N301" s="1382"/>
      <c r="O301" s="1382"/>
      <c r="P301" s="1382"/>
      <c r="Q301" s="1382"/>
      <c r="R301" s="1382"/>
      <c r="S301" s="1382"/>
      <c r="T301" s="1382"/>
      <c r="U301" s="1382"/>
      <c r="V301" s="1382"/>
      <c r="W301" s="1382"/>
      <c r="X301" s="1382"/>
      <c r="Y301" s="1382"/>
      <c r="Z301" s="1382"/>
      <c r="AA301" s="1382"/>
      <c r="AB301" s="1382"/>
      <c r="AC301" s="1382"/>
      <c r="AD301" s="1382"/>
      <c r="AE301" s="1382"/>
      <c r="AF301" s="1382"/>
      <c r="AG301" s="1382"/>
      <c r="AH301" s="1382"/>
      <c r="AI301" s="1382"/>
      <c r="AJ301" s="1382"/>
      <c r="AK301" s="181"/>
      <c r="AL301" s="181"/>
      <c r="AM301" s="181"/>
      <c r="AN301" s="181"/>
      <c r="AO301" s="181"/>
      <c r="AP301" s="181"/>
      <c r="AQ301" s="181"/>
      <c r="AR301" s="181"/>
      <c r="AS301" s="181"/>
      <c r="AT301" s="181"/>
      <c r="AU301" s="181"/>
      <c r="AV301" s="181"/>
    </row>
    <row r="302" spans="1:48" s="30" customFormat="1" x14ac:dyDescent="0.25">
      <c r="A302" s="1407"/>
      <c r="B302" s="191"/>
      <c r="C302" s="921"/>
      <c r="D302" s="147"/>
      <c r="E302" s="32"/>
      <c r="F302" s="32"/>
      <c r="G302" s="208"/>
      <c r="H302" s="411"/>
      <c r="I302" s="186"/>
      <c r="J302" s="231"/>
      <c r="K302" s="1274"/>
      <c r="L302" s="1382"/>
      <c r="M302" s="1382"/>
      <c r="N302" s="1382"/>
      <c r="O302" s="1382"/>
      <c r="P302" s="1382"/>
      <c r="Q302" s="1382"/>
      <c r="R302" s="1382"/>
      <c r="S302" s="1382"/>
      <c r="T302" s="1382"/>
      <c r="U302" s="1382"/>
      <c r="V302" s="1382"/>
      <c r="W302" s="1382"/>
      <c r="X302" s="1382"/>
      <c r="Y302" s="1382"/>
      <c r="Z302" s="1382"/>
      <c r="AA302" s="1382"/>
      <c r="AB302" s="1382"/>
      <c r="AC302" s="1382"/>
      <c r="AD302" s="1382"/>
      <c r="AE302" s="1382"/>
      <c r="AF302" s="1382"/>
      <c r="AG302" s="1382"/>
      <c r="AH302" s="1382"/>
      <c r="AI302" s="1382"/>
      <c r="AJ302" s="1382"/>
      <c r="AK302" s="181"/>
      <c r="AL302" s="181"/>
      <c r="AM302" s="181"/>
      <c r="AN302" s="181"/>
      <c r="AO302" s="181"/>
      <c r="AP302" s="181"/>
      <c r="AQ302" s="181"/>
      <c r="AR302" s="181"/>
      <c r="AS302" s="181"/>
      <c r="AT302" s="181"/>
      <c r="AU302" s="181"/>
      <c r="AV302" s="181"/>
    </row>
    <row r="303" spans="1:48" s="30" customFormat="1" ht="18.75" x14ac:dyDescent="0.25">
      <c r="A303" s="1407"/>
      <c r="B303" s="191"/>
      <c r="C303" s="915"/>
      <c r="D303" s="307" t="s">
        <v>38</v>
      </c>
      <c r="E303" s="31"/>
      <c r="F303" s="178"/>
      <c r="G303" s="179" t="s">
        <v>145</v>
      </c>
      <c r="H303" s="290" t="str">
        <f>IF(Applies_Drawings_Feas_Concept_Only="N","Drawing Set Not Used in this Design Phase","Drawing Set - as applies to Feasibility Study")</f>
        <v>Drawing Set Not Used in this Design Phase</v>
      </c>
      <c r="I303" s="184"/>
      <c r="J303" s="230"/>
      <c r="K303" s="1274"/>
      <c r="L303" s="1382"/>
      <c r="M303" s="1382"/>
      <c r="N303" s="1382"/>
      <c r="O303" s="1382"/>
      <c r="P303" s="1382"/>
      <c r="Q303" s="1382"/>
      <c r="R303" s="1382"/>
      <c r="S303" s="1382"/>
      <c r="T303" s="1382"/>
      <c r="U303" s="1382"/>
      <c r="V303" s="1382"/>
      <c r="W303" s="1382"/>
      <c r="X303" s="1382"/>
      <c r="Y303" s="1382"/>
      <c r="Z303" s="1382"/>
      <c r="AA303" s="1382"/>
      <c r="AB303" s="1382"/>
      <c r="AC303" s="1382"/>
      <c r="AD303" s="1382"/>
      <c r="AE303" s="1382"/>
      <c r="AF303" s="1382"/>
      <c r="AG303" s="1382"/>
      <c r="AH303" s="1382"/>
      <c r="AI303" s="1382"/>
      <c r="AJ303" s="1382"/>
      <c r="AK303" s="181"/>
      <c r="AL303" s="181"/>
      <c r="AM303" s="181"/>
      <c r="AN303" s="181"/>
      <c r="AO303" s="181"/>
      <c r="AP303" s="181"/>
      <c r="AQ303" s="181"/>
      <c r="AR303" s="181"/>
      <c r="AS303" s="181"/>
      <c r="AT303" s="181"/>
      <c r="AU303" s="181"/>
      <c r="AV303" s="181"/>
    </row>
    <row r="304" spans="1:48" s="30" customFormat="1" ht="14.25" hidden="1" customHeight="1" x14ac:dyDescent="0.25">
      <c r="A304" s="1408"/>
      <c r="B304" s="191"/>
      <c r="C304" s="921"/>
      <c r="D304" s="147"/>
      <c r="E304" s="29" t="s">
        <v>38</v>
      </c>
      <c r="F304" s="194"/>
      <c r="G304" s="240"/>
      <c r="H304" s="454" t="s">
        <v>138</v>
      </c>
      <c r="I304" s="196"/>
      <c r="J304" s="231"/>
      <c r="K304" s="1274"/>
      <c r="L304" s="1382"/>
      <c r="M304" s="1382"/>
      <c r="N304" s="1382"/>
      <c r="O304" s="1382"/>
      <c r="P304" s="1382"/>
      <c r="Q304" s="1382"/>
      <c r="R304" s="1382"/>
      <c r="S304" s="1382"/>
      <c r="T304" s="1382"/>
      <c r="U304" s="1382"/>
      <c r="V304" s="1382"/>
      <c r="W304" s="1382"/>
      <c r="X304" s="1382"/>
      <c r="Y304" s="1382"/>
      <c r="Z304" s="1382"/>
      <c r="AA304" s="1382"/>
      <c r="AB304" s="1382"/>
      <c r="AC304" s="1382"/>
      <c r="AD304" s="1382"/>
      <c r="AE304" s="1382"/>
      <c r="AF304" s="1382"/>
      <c r="AG304" s="1382"/>
      <c r="AH304" s="1382"/>
      <c r="AI304" s="1382"/>
      <c r="AJ304" s="1382"/>
      <c r="AK304" s="181"/>
      <c r="AL304" s="181"/>
      <c r="AM304" s="181"/>
      <c r="AN304" s="181"/>
      <c r="AO304" s="181"/>
      <c r="AP304" s="181"/>
      <c r="AQ304" s="181"/>
      <c r="AR304" s="181"/>
      <c r="AS304" s="181"/>
      <c r="AT304" s="181"/>
      <c r="AU304" s="181"/>
      <c r="AV304" s="181"/>
    </row>
    <row r="305" spans="1:48" s="30" customFormat="1" ht="14.25" hidden="1" customHeight="1" x14ac:dyDescent="0.25">
      <c r="A305" s="1408"/>
      <c r="B305" s="191"/>
      <c r="C305" s="921"/>
      <c r="D305" s="147"/>
      <c r="E305" s="29" t="s">
        <v>38</v>
      </c>
      <c r="F305" s="194"/>
      <c r="G305" s="240"/>
      <c r="H305" s="454" t="s">
        <v>138</v>
      </c>
      <c r="I305" s="196"/>
      <c r="J305" s="231"/>
      <c r="K305" s="1274"/>
      <c r="L305" s="1382"/>
      <c r="M305" s="1382"/>
      <c r="N305" s="1382"/>
      <c r="O305" s="1382"/>
      <c r="P305" s="1382"/>
      <c r="Q305" s="1382"/>
      <c r="R305" s="1382"/>
      <c r="S305" s="1382"/>
      <c r="T305" s="1382"/>
      <c r="U305" s="1382"/>
      <c r="V305" s="1382"/>
      <c r="W305" s="1382"/>
      <c r="X305" s="1382"/>
      <c r="Y305" s="1382"/>
      <c r="Z305" s="1382"/>
      <c r="AA305" s="1382"/>
      <c r="AB305" s="1382"/>
      <c r="AC305" s="1382"/>
      <c r="AD305" s="1382"/>
      <c r="AE305" s="1382"/>
      <c r="AF305" s="1382"/>
      <c r="AG305" s="1382"/>
      <c r="AH305" s="1382"/>
      <c r="AI305" s="1382"/>
      <c r="AJ305" s="1382"/>
      <c r="AK305" s="181"/>
      <c r="AL305" s="181"/>
      <c r="AM305" s="181"/>
      <c r="AN305" s="181"/>
      <c r="AO305" s="181"/>
      <c r="AP305" s="181"/>
      <c r="AQ305" s="181"/>
      <c r="AR305" s="181"/>
      <c r="AS305" s="181"/>
      <c r="AT305" s="181"/>
      <c r="AU305" s="181"/>
      <c r="AV305" s="181"/>
    </row>
    <row r="306" spans="1:48" s="30" customFormat="1" ht="14.25" hidden="1" customHeight="1" x14ac:dyDescent="0.25">
      <c r="A306" s="1408"/>
      <c r="B306" s="191"/>
      <c r="C306" s="921"/>
      <c r="D306" s="147"/>
      <c r="E306" s="29" t="s">
        <v>38</v>
      </c>
      <c r="F306" s="194"/>
      <c r="G306" s="240"/>
      <c r="H306" s="454" t="s">
        <v>138</v>
      </c>
      <c r="I306" s="196"/>
      <c r="J306" s="231"/>
      <c r="K306" s="1274"/>
      <c r="L306" s="1382"/>
      <c r="M306" s="1382"/>
      <c r="N306" s="1382"/>
      <c r="O306" s="1382"/>
      <c r="P306" s="1382"/>
      <c r="Q306" s="1382"/>
      <c r="R306" s="1382"/>
      <c r="S306" s="1382"/>
      <c r="T306" s="1382"/>
      <c r="U306" s="1382"/>
      <c r="V306" s="1382"/>
      <c r="W306" s="1382"/>
      <c r="X306" s="1382"/>
      <c r="Y306" s="1382"/>
      <c r="Z306" s="1382"/>
      <c r="AA306" s="1382"/>
      <c r="AB306" s="1382"/>
      <c r="AC306" s="1382"/>
      <c r="AD306" s="1382"/>
      <c r="AE306" s="1382"/>
      <c r="AF306" s="1382"/>
      <c r="AG306" s="1382"/>
      <c r="AH306" s="1382"/>
      <c r="AI306" s="1382"/>
      <c r="AJ306" s="1382"/>
      <c r="AK306" s="181"/>
      <c r="AL306" s="181"/>
      <c r="AM306" s="181"/>
      <c r="AN306" s="181"/>
      <c r="AO306" s="181"/>
      <c r="AP306" s="181"/>
      <c r="AQ306" s="181"/>
      <c r="AR306" s="181"/>
      <c r="AS306" s="181"/>
      <c r="AT306" s="181"/>
      <c r="AU306" s="181"/>
      <c r="AV306" s="181"/>
    </row>
    <row r="307" spans="1:48" s="30" customFormat="1" ht="14.25" hidden="1" customHeight="1" x14ac:dyDescent="0.25">
      <c r="A307" s="1408"/>
      <c r="B307" s="191"/>
      <c r="C307" s="921"/>
      <c r="D307" s="147"/>
      <c r="E307" s="29" t="s">
        <v>38</v>
      </c>
      <c r="F307" s="194"/>
      <c r="G307" s="240"/>
      <c r="H307" s="454" t="s">
        <v>138</v>
      </c>
      <c r="I307" s="196"/>
      <c r="J307" s="231"/>
      <c r="K307" s="1274"/>
      <c r="L307" s="1382"/>
      <c r="M307" s="1382"/>
      <c r="N307" s="1382"/>
      <c r="O307" s="1382"/>
      <c r="P307" s="1382"/>
      <c r="Q307" s="1382"/>
      <c r="R307" s="1382"/>
      <c r="S307" s="1382"/>
      <c r="T307" s="1382"/>
      <c r="U307" s="1382"/>
      <c r="V307" s="1382"/>
      <c r="W307" s="1382"/>
      <c r="X307" s="1382"/>
      <c r="Y307" s="1382"/>
      <c r="Z307" s="1382"/>
      <c r="AA307" s="1382"/>
      <c r="AB307" s="1382"/>
      <c r="AC307" s="1382"/>
      <c r="AD307" s="1382"/>
      <c r="AE307" s="1382"/>
      <c r="AF307" s="1382"/>
      <c r="AG307" s="1382"/>
      <c r="AH307" s="1382"/>
      <c r="AI307" s="1382"/>
      <c r="AJ307" s="1382"/>
      <c r="AK307" s="181"/>
      <c r="AL307" s="181"/>
      <c r="AM307" s="181"/>
      <c r="AN307" s="181"/>
      <c r="AO307" s="181"/>
      <c r="AP307" s="181"/>
      <c r="AQ307" s="181"/>
      <c r="AR307" s="181"/>
      <c r="AS307" s="181"/>
      <c r="AT307" s="181"/>
      <c r="AU307" s="181"/>
      <c r="AV307" s="181"/>
    </row>
    <row r="308" spans="1:48" s="30" customFormat="1" ht="14.25" hidden="1" customHeight="1" x14ac:dyDescent="0.25">
      <c r="A308" s="1408"/>
      <c r="B308" s="191"/>
      <c r="C308" s="921"/>
      <c r="D308" s="147"/>
      <c r="E308" s="29" t="s">
        <v>38</v>
      </c>
      <c r="F308" s="194"/>
      <c r="G308" s="240"/>
      <c r="H308" s="454" t="s">
        <v>138</v>
      </c>
      <c r="I308" s="196"/>
      <c r="J308" s="231"/>
      <c r="K308" s="1274"/>
      <c r="L308" s="1382"/>
      <c r="M308" s="1382"/>
      <c r="N308" s="1382"/>
      <c r="O308" s="1382"/>
      <c r="P308" s="1382"/>
      <c r="Q308" s="1382"/>
      <c r="R308" s="1382"/>
      <c r="S308" s="1382"/>
      <c r="T308" s="1382"/>
      <c r="U308" s="1382"/>
      <c r="V308" s="1382"/>
      <c r="W308" s="1382"/>
      <c r="X308" s="1382"/>
      <c r="Y308" s="1382"/>
      <c r="Z308" s="1382"/>
      <c r="AA308" s="1382"/>
      <c r="AB308" s="1382"/>
      <c r="AC308" s="1382"/>
      <c r="AD308" s="1382"/>
      <c r="AE308" s="1382"/>
      <c r="AF308" s="1382"/>
      <c r="AG308" s="1382"/>
      <c r="AH308" s="1382"/>
      <c r="AI308" s="1382"/>
      <c r="AJ308" s="1382"/>
      <c r="AK308" s="181"/>
      <c r="AL308" s="181"/>
      <c r="AM308" s="181"/>
      <c r="AN308" s="181"/>
      <c r="AO308" s="181"/>
      <c r="AP308" s="181"/>
      <c r="AQ308" s="181"/>
      <c r="AR308" s="181"/>
      <c r="AS308" s="181"/>
      <c r="AT308" s="181"/>
      <c r="AU308" s="181"/>
      <c r="AV308" s="181"/>
    </row>
    <row r="309" spans="1:48" s="30" customFormat="1" ht="14.25" hidden="1" customHeight="1" x14ac:dyDescent="0.25">
      <c r="A309" s="1408"/>
      <c r="B309" s="191"/>
      <c r="C309" s="921"/>
      <c r="D309" s="147"/>
      <c r="E309" s="29" t="s">
        <v>38</v>
      </c>
      <c r="F309" s="194"/>
      <c r="G309" s="240"/>
      <c r="H309" s="454" t="s">
        <v>138</v>
      </c>
      <c r="I309" s="196"/>
      <c r="J309" s="231"/>
      <c r="K309" s="1274"/>
      <c r="L309" s="1382"/>
      <c r="M309" s="1382"/>
      <c r="N309" s="1382"/>
      <c r="O309" s="1382"/>
      <c r="P309" s="1382"/>
      <c r="Q309" s="1382"/>
      <c r="R309" s="1382"/>
      <c r="S309" s="1382"/>
      <c r="T309" s="1382"/>
      <c r="U309" s="1382"/>
      <c r="V309" s="1382"/>
      <c r="W309" s="1382"/>
      <c r="X309" s="1382"/>
      <c r="Y309" s="1382"/>
      <c r="Z309" s="1382"/>
      <c r="AA309" s="1382"/>
      <c r="AB309" s="1382"/>
      <c r="AC309" s="1382"/>
      <c r="AD309" s="1382"/>
      <c r="AE309" s="1382"/>
      <c r="AF309" s="1382"/>
      <c r="AG309" s="1382"/>
      <c r="AH309" s="1382"/>
      <c r="AI309" s="1382"/>
      <c r="AJ309" s="1382"/>
      <c r="AK309" s="181"/>
      <c r="AL309" s="181"/>
      <c r="AM309" s="181"/>
      <c r="AN309" s="181"/>
      <c r="AO309" s="181"/>
      <c r="AP309" s="181"/>
      <c r="AQ309" s="181"/>
      <c r="AR309" s="181"/>
      <c r="AS309" s="181"/>
      <c r="AT309" s="181"/>
      <c r="AU309" s="181"/>
      <c r="AV309" s="181"/>
    </row>
    <row r="310" spans="1:48" s="30" customFormat="1" ht="14.25" hidden="1" customHeight="1" x14ac:dyDescent="0.25">
      <c r="A310" s="1408"/>
      <c r="B310" s="191"/>
      <c r="C310" s="921"/>
      <c r="D310" s="147"/>
      <c r="E310" s="29" t="s">
        <v>38</v>
      </c>
      <c r="F310" s="194"/>
      <c r="G310" s="240"/>
      <c r="H310" s="454" t="s">
        <v>138</v>
      </c>
      <c r="I310" s="196"/>
      <c r="J310" s="231"/>
      <c r="K310" s="1274"/>
      <c r="L310" s="1382"/>
      <c r="M310" s="1382"/>
      <c r="N310" s="1382"/>
      <c r="O310" s="1382"/>
      <c r="P310" s="1382"/>
      <c r="Q310" s="1382"/>
      <c r="R310" s="1382"/>
      <c r="S310" s="1382"/>
      <c r="T310" s="1382"/>
      <c r="U310" s="1382"/>
      <c r="V310" s="1382"/>
      <c r="W310" s="1382"/>
      <c r="X310" s="1382"/>
      <c r="Y310" s="1382"/>
      <c r="Z310" s="1382"/>
      <c r="AA310" s="1382"/>
      <c r="AB310" s="1382"/>
      <c r="AC310" s="1382"/>
      <c r="AD310" s="1382"/>
      <c r="AE310" s="1382"/>
      <c r="AF310" s="1382"/>
      <c r="AG310" s="1382"/>
      <c r="AH310" s="1382"/>
      <c r="AI310" s="1382"/>
      <c r="AJ310" s="1382"/>
      <c r="AK310" s="181"/>
      <c r="AL310" s="181"/>
      <c r="AM310" s="181"/>
      <c r="AN310" s="181"/>
      <c r="AO310" s="181"/>
      <c r="AP310" s="181"/>
      <c r="AQ310" s="181"/>
      <c r="AR310" s="181"/>
      <c r="AS310" s="181"/>
      <c r="AT310" s="181"/>
      <c r="AU310" s="181"/>
      <c r="AV310" s="181"/>
    </row>
    <row r="311" spans="1:48" s="30" customFormat="1" ht="14.25" hidden="1" customHeight="1" x14ac:dyDescent="0.25">
      <c r="A311" s="1408"/>
      <c r="B311" s="191"/>
      <c r="C311" s="921"/>
      <c r="D311" s="147"/>
      <c r="E311" s="29" t="s">
        <v>38</v>
      </c>
      <c r="F311" s="194"/>
      <c r="G311" s="240"/>
      <c r="H311" s="454" t="s">
        <v>138</v>
      </c>
      <c r="I311" s="196"/>
      <c r="J311" s="231"/>
      <c r="K311" s="1274"/>
      <c r="L311" s="1382"/>
      <c r="M311" s="1382"/>
      <c r="N311" s="1382"/>
      <c r="O311" s="1382"/>
      <c r="P311" s="1382"/>
      <c r="Q311" s="1382"/>
      <c r="R311" s="1382"/>
      <c r="S311" s="1382"/>
      <c r="T311" s="1382"/>
      <c r="U311" s="1382"/>
      <c r="V311" s="1382"/>
      <c r="W311" s="1382"/>
      <c r="X311" s="1382"/>
      <c r="Y311" s="1382"/>
      <c r="Z311" s="1382"/>
      <c r="AA311" s="1382"/>
      <c r="AB311" s="1382"/>
      <c r="AC311" s="1382"/>
      <c r="AD311" s="1382"/>
      <c r="AE311" s="1382"/>
      <c r="AF311" s="1382"/>
      <c r="AG311" s="1382"/>
      <c r="AH311" s="1382"/>
      <c r="AI311" s="1382"/>
      <c r="AJ311" s="1382"/>
      <c r="AK311" s="181"/>
      <c r="AL311" s="181"/>
      <c r="AM311" s="181"/>
      <c r="AN311" s="181"/>
      <c r="AO311" s="181"/>
      <c r="AP311" s="181"/>
      <c r="AQ311" s="181"/>
      <c r="AR311" s="181"/>
      <c r="AS311" s="181"/>
      <c r="AT311" s="181"/>
      <c r="AU311" s="181"/>
      <c r="AV311" s="181"/>
    </row>
    <row r="312" spans="1:48" s="30" customFormat="1" ht="14.25" hidden="1" customHeight="1" x14ac:dyDescent="0.25">
      <c r="A312" s="1408"/>
      <c r="B312" s="191"/>
      <c r="C312" s="921"/>
      <c r="D312" s="147"/>
      <c r="E312" s="29" t="s">
        <v>38</v>
      </c>
      <c r="F312" s="194"/>
      <c r="G312" s="240"/>
      <c r="H312" s="454" t="s">
        <v>138</v>
      </c>
      <c r="I312" s="196"/>
      <c r="J312" s="231"/>
      <c r="K312" s="1274"/>
      <c r="L312" s="1382"/>
      <c r="M312" s="1382"/>
      <c r="N312" s="1382"/>
      <c r="O312" s="1382"/>
      <c r="P312" s="1382"/>
      <c r="Q312" s="1382"/>
      <c r="R312" s="1382"/>
      <c r="S312" s="1382"/>
      <c r="T312" s="1382"/>
      <c r="U312" s="1382"/>
      <c r="V312" s="1382"/>
      <c r="W312" s="1382"/>
      <c r="X312" s="1382"/>
      <c r="Y312" s="1382"/>
      <c r="Z312" s="1382"/>
      <c r="AA312" s="1382"/>
      <c r="AB312" s="1382"/>
      <c r="AC312" s="1382"/>
      <c r="AD312" s="1382"/>
      <c r="AE312" s="1382"/>
      <c r="AF312" s="1382"/>
      <c r="AG312" s="1382"/>
      <c r="AH312" s="1382"/>
      <c r="AI312" s="1382"/>
      <c r="AJ312" s="1382"/>
      <c r="AK312" s="181"/>
      <c r="AL312" s="181"/>
      <c r="AM312" s="181"/>
      <c r="AN312" s="181"/>
      <c r="AO312" s="181"/>
      <c r="AP312" s="181"/>
      <c r="AQ312" s="181"/>
      <c r="AR312" s="181"/>
      <c r="AS312" s="181"/>
      <c r="AT312" s="181"/>
      <c r="AU312" s="181"/>
      <c r="AV312" s="181"/>
    </row>
    <row r="313" spans="1:48" s="30" customFormat="1" ht="14.25" hidden="1" customHeight="1" x14ac:dyDescent="0.25">
      <c r="A313" s="1408"/>
      <c r="B313" s="191"/>
      <c r="C313" s="921"/>
      <c r="D313" s="147"/>
      <c r="E313" s="29" t="s">
        <v>38</v>
      </c>
      <c r="F313" s="194"/>
      <c r="G313" s="240"/>
      <c r="H313" s="454" t="s">
        <v>138</v>
      </c>
      <c r="I313" s="196"/>
      <c r="J313" s="231"/>
      <c r="K313" s="1274"/>
      <c r="L313" s="1382"/>
      <c r="M313" s="1382"/>
      <c r="N313" s="1382"/>
      <c r="O313" s="1382"/>
      <c r="P313" s="1382"/>
      <c r="Q313" s="1382"/>
      <c r="R313" s="1382"/>
      <c r="S313" s="1382"/>
      <c r="T313" s="1382"/>
      <c r="U313" s="1382"/>
      <c r="V313" s="1382"/>
      <c r="W313" s="1382"/>
      <c r="X313" s="1382"/>
      <c r="Y313" s="1382"/>
      <c r="Z313" s="1382"/>
      <c r="AA313" s="1382"/>
      <c r="AB313" s="1382"/>
      <c r="AC313" s="1382"/>
      <c r="AD313" s="1382"/>
      <c r="AE313" s="1382"/>
      <c r="AF313" s="1382"/>
      <c r="AG313" s="1382"/>
      <c r="AH313" s="1382"/>
      <c r="AI313" s="1382"/>
      <c r="AJ313" s="1382"/>
      <c r="AK313" s="181"/>
      <c r="AL313" s="181"/>
      <c r="AM313" s="181"/>
      <c r="AN313" s="181"/>
      <c r="AO313" s="181"/>
      <c r="AP313" s="181"/>
      <c r="AQ313" s="181"/>
      <c r="AR313" s="181"/>
      <c r="AS313" s="181"/>
      <c r="AT313" s="181"/>
      <c r="AU313" s="181"/>
      <c r="AV313" s="181"/>
    </row>
    <row r="314" spans="1:48" s="30" customFormat="1" ht="14.25" hidden="1" customHeight="1" x14ac:dyDescent="0.25">
      <c r="A314" s="1408"/>
      <c r="B314" s="191"/>
      <c r="C314" s="921"/>
      <c r="D314" s="147"/>
      <c r="E314" s="29" t="s">
        <v>38</v>
      </c>
      <c r="F314" s="194"/>
      <c r="G314" s="240"/>
      <c r="H314" s="454" t="s">
        <v>138</v>
      </c>
      <c r="I314" s="196"/>
      <c r="J314" s="231"/>
      <c r="K314" s="1274"/>
      <c r="L314" s="1382"/>
      <c r="M314" s="1382"/>
      <c r="N314" s="1382"/>
      <c r="O314" s="1382"/>
      <c r="P314" s="1382"/>
      <c r="Q314" s="1382"/>
      <c r="R314" s="1382"/>
      <c r="S314" s="1382"/>
      <c r="T314" s="1382"/>
      <c r="U314" s="1382"/>
      <c r="V314" s="1382"/>
      <c r="W314" s="1382"/>
      <c r="X314" s="1382"/>
      <c r="Y314" s="1382"/>
      <c r="Z314" s="1382"/>
      <c r="AA314" s="1382"/>
      <c r="AB314" s="1382"/>
      <c r="AC314" s="1382"/>
      <c r="AD314" s="1382"/>
      <c r="AE314" s="1382"/>
      <c r="AF314" s="1382"/>
      <c r="AG314" s="1382"/>
      <c r="AH314" s="1382"/>
      <c r="AI314" s="1382"/>
      <c r="AJ314" s="1382"/>
      <c r="AK314" s="181"/>
      <c r="AL314" s="181"/>
      <c r="AM314" s="181"/>
      <c r="AN314" s="181"/>
      <c r="AO314" s="181"/>
      <c r="AP314" s="181"/>
      <c r="AQ314" s="181"/>
      <c r="AR314" s="181"/>
      <c r="AS314" s="181"/>
      <c r="AT314" s="181"/>
      <c r="AU314" s="181"/>
      <c r="AV314" s="181"/>
    </row>
    <row r="315" spans="1:48" s="30" customFormat="1" ht="14.25" hidden="1" customHeight="1" x14ac:dyDescent="0.25">
      <c r="A315" s="1408"/>
      <c r="B315" s="191"/>
      <c r="C315" s="921"/>
      <c r="D315" s="147"/>
      <c r="E315" s="29" t="s">
        <v>38</v>
      </c>
      <c r="F315" s="194"/>
      <c r="G315" s="240"/>
      <c r="H315" s="454" t="s">
        <v>138</v>
      </c>
      <c r="I315" s="196"/>
      <c r="J315" s="231"/>
      <c r="K315" s="1274"/>
      <c r="L315" s="1382"/>
      <c r="M315" s="1382"/>
      <c r="N315" s="1382"/>
      <c r="O315" s="1382"/>
      <c r="P315" s="1382"/>
      <c r="Q315" s="1382"/>
      <c r="R315" s="1382"/>
      <c r="S315" s="1382"/>
      <c r="T315" s="1382"/>
      <c r="U315" s="1382"/>
      <c r="V315" s="1382"/>
      <c r="W315" s="1382"/>
      <c r="X315" s="1382"/>
      <c r="Y315" s="1382"/>
      <c r="Z315" s="1382"/>
      <c r="AA315" s="1382"/>
      <c r="AB315" s="1382"/>
      <c r="AC315" s="1382"/>
      <c r="AD315" s="1382"/>
      <c r="AE315" s="1382"/>
      <c r="AF315" s="1382"/>
      <c r="AG315" s="1382"/>
      <c r="AH315" s="1382"/>
      <c r="AI315" s="1382"/>
      <c r="AJ315" s="1382"/>
      <c r="AK315" s="181"/>
      <c r="AL315" s="181"/>
      <c r="AM315" s="181"/>
      <c r="AN315" s="181"/>
      <c r="AO315" s="181"/>
      <c r="AP315" s="181"/>
      <c r="AQ315" s="181"/>
      <c r="AR315" s="181"/>
      <c r="AS315" s="181"/>
      <c r="AT315" s="181"/>
      <c r="AU315" s="181"/>
      <c r="AV315" s="181"/>
    </row>
    <row r="316" spans="1:48" s="30" customFormat="1" ht="14.25" hidden="1" customHeight="1" x14ac:dyDescent="0.25">
      <c r="A316" s="1408"/>
      <c r="B316" s="191"/>
      <c r="C316" s="921"/>
      <c r="D316" s="147"/>
      <c r="E316" s="29" t="s">
        <v>38</v>
      </c>
      <c r="F316" s="194"/>
      <c r="G316" s="240"/>
      <c r="H316" s="454" t="s">
        <v>138</v>
      </c>
      <c r="I316" s="196"/>
      <c r="J316" s="231"/>
      <c r="K316" s="1274"/>
      <c r="L316" s="1382"/>
      <c r="M316" s="1382"/>
      <c r="N316" s="1382"/>
      <c r="O316" s="1382"/>
      <c r="P316" s="1382"/>
      <c r="Q316" s="1382"/>
      <c r="R316" s="1382"/>
      <c r="S316" s="1382"/>
      <c r="T316" s="1382"/>
      <c r="U316" s="1382"/>
      <c r="V316" s="1382"/>
      <c r="W316" s="1382"/>
      <c r="X316" s="1382"/>
      <c r="Y316" s="1382"/>
      <c r="Z316" s="1382"/>
      <c r="AA316" s="1382"/>
      <c r="AB316" s="1382"/>
      <c r="AC316" s="1382"/>
      <c r="AD316" s="1382"/>
      <c r="AE316" s="1382"/>
      <c r="AF316" s="1382"/>
      <c r="AG316" s="1382"/>
      <c r="AH316" s="1382"/>
      <c r="AI316" s="1382"/>
      <c r="AJ316" s="1382"/>
      <c r="AK316" s="181"/>
      <c r="AL316" s="181"/>
      <c r="AM316" s="181"/>
      <c r="AN316" s="181"/>
      <c r="AO316" s="181"/>
      <c r="AP316" s="181"/>
      <c r="AQ316" s="181"/>
      <c r="AR316" s="181"/>
      <c r="AS316" s="181"/>
      <c r="AT316" s="181"/>
      <c r="AU316" s="181"/>
      <c r="AV316" s="181"/>
    </row>
    <row r="317" spans="1:48" s="30" customFormat="1" ht="14.25" hidden="1" customHeight="1" x14ac:dyDescent="0.25">
      <c r="A317" s="1408"/>
      <c r="B317" s="191"/>
      <c r="C317" s="921"/>
      <c r="D317" s="147"/>
      <c r="E317" s="29" t="s">
        <v>38</v>
      </c>
      <c r="F317" s="194"/>
      <c r="G317" s="240"/>
      <c r="H317" s="454" t="s">
        <v>138</v>
      </c>
      <c r="I317" s="196"/>
      <c r="J317" s="231"/>
      <c r="K317" s="1274"/>
      <c r="L317" s="1382"/>
      <c r="M317" s="1382"/>
      <c r="N317" s="1382"/>
      <c r="O317" s="1382"/>
      <c r="P317" s="1382"/>
      <c r="Q317" s="1382"/>
      <c r="R317" s="1382"/>
      <c r="S317" s="1382"/>
      <c r="T317" s="1382"/>
      <c r="U317" s="1382"/>
      <c r="V317" s="1382"/>
      <c r="W317" s="1382"/>
      <c r="X317" s="1382"/>
      <c r="Y317" s="1382"/>
      <c r="Z317" s="1382"/>
      <c r="AA317" s="1382"/>
      <c r="AB317" s="1382"/>
      <c r="AC317" s="1382"/>
      <c r="AD317" s="1382"/>
      <c r="AE317" s="1382"/>
      <c r="AF317" s="1382"/>
      <c r="AG317" s="1382"/>
      <c r="AH317" s="1382"/>
      <c r="AI317" s="1382"/>
      <c r="AJ317" s="1382"/>
      <c r="AK317" s="181"/>
      <c r="AL317" s="181"/>
      <c r="AM317" s="181"/>
      <c r="AN317" s="181"/>
      <c r="AO317" s="181"/>
      <c r="AP317" s="181"/>
      <c r="AQ317" s="181"/>
      <c r="AR317" s="181"/>
      <c r="AS317" s="181"/>
      <c r="AT317" s="181"/>
      <c r="AU317" s="181"/>
      <c r="AV317" s="181"/>
    </row>
    <row r="318" spans="1:48" s="30" customFormat="1" ht="14.25" hidden="1" customHeight="1" x14ac:dyDescent="0.25">
      <c r="A318" s="1408"/>
      <c r="B318" s="191"/>
      <c r="C318" s="921"/>
      <c r="D318" s="147"/>
      <c r="E318" s="29" t="s">
        <v>38</v>
      </c>
      <c r="F318" s="194"/>
      <c r="G318" s="240"/>
      <c r="H318" s="454" t="s">
        <v>138</v>
      </c>
      <c r="I318" s="196"/>
      <c r="J318" s="231"/>
      <c r="K318" s="1274"/>
      <c r="L318" s="1382"/>
      <c r="M318" s="1382"/>
      <c r="N318" s="1382"/>
      <c r="O318" s="1382"/>
      <c r="P318" s="1382"/>
      <c r="Q318" s="1382"/>
      <c r="R318" s="1382"/>
      <c r="S318" s="1382"/>
      <c r="T318" s="1382"/>
      <c r="U318" s="1382"/>
      <c r="V318" s="1382"/>
      <c r="W318" s="1382"/>
      <c r="X318" s="1382"/>
      <c r="Y318" s="1382"/>
      <c r="Z318" s="1382"/>
      <c r="AA318" s="1382"/>
      <c r="AB318" s="1382"/>
      <c r="AC318" s="1382"/>
      <c r="AD318" s="1382"/>
      <c r="AE318" s="1382"/>
      <c r="AF318" s="1382"/>
      <c r="AG318" s="1382"/>
      <c r="AH318" s="1382"/>
      <c r="AI318" s="1382"/>
      <c r="AJ318" s="1382"/>
      <c r="AK318" s="181"/>
      <c r="AL318" s="181"/>
      <c r="AM318" s="181"/>
      <c r="AN318" s="181"/>
      <c r="AO318" s="181"/>
      <c r="AP318" s="181"/>
      <c r="AQ318" s="181"/>
      <c r="AR318" s="181"/>
      <c r="AS318" s="181"/>
      <c r="AT318" s="181"/>
      <c r="AU318" s="181"/>
      <c r="AV318" s="181"/>
    </row>
    <row r="319" spans="1:48" s="30" customFormat="1" ht="14.25" hidden="1" customHeight="1" x14ac:dyDescent="0.25">
      <c r="A319" s="1408"/>
      <c r="B319" s="191"/>
      <c r="C319" s="921"/>
      <c r="D319" s="147"/>
      <c r="E319" s="29" t="s">
        <v>38</v>
      </c>
      <c r="F319" s="194"/>
      <c r="G319" s="240"/>
      <c r="H319" s="454" t="s">
        <v>138</v>
      </c>
      <c r="I319" s="196"/>
      <c r="J319" s="231"/>
      <c r="K319" s="1274"/>
      <c r="L319" s="1382"/>
      <c r="M319" s="1382"/>
      <c r="N319" s="1382"/>
      <c r="O319" s="1382"/>
      <c r="P319" s="1382"/>
      <c r="Q319" s="1382"/>
      <c r="R319" s="1382"/>
      <c r="S319" s="1382"/>
      <c r="T319" s="1382"/>
      <c r="U319" s="1382"/>
      <c r="V319" s="1382"/>
      <c r="W319" s="1382"/>
      <c r="X319" s="1382"/>
      <c r="Y319" s="1382"/>
      <c r="Z319" s="1382"/>
      <c r="AA319" s="1382"/>
      <c r="AB319" s="1382"/>
      <c r="AC319" s="1382"/>
      <c r="AD319" s="1382"/>
      <c r="AE319" s="1382"/>
      <c r="AF319" s="1382"/>
      <c r="AG319" s="1382"/>
      <c r="AH319" s="1382"/>
      <c r="AI319" s="1382"/>
      <c r="AJ319" s="1382"/>
      <c r="AK319" s="181"/>
      <c r="AL319" s="181"/>
      <c r="AM319" s="181"/>
      <c r="AN319" s="181"/>
      <c r="AO319" s="181"/>
      <c r="AP319" s="181"/>
      <c r="AQ319" s="181"/>
      <c r="AR319" s="181"/>
      <c r="AS319" s="181"/>
      <c r="AT319" s="181"/>
      <c r="AU319" s="181"/>
      <c r="AV319" s="181"/>
    </row>
    <row r="320" spans="1:48" s="30" customFormat="1" ht="14.25" hidden="1" customHeight="1" x14ac:dyDescent="0.25">
      <c r="A320" s="1408"/>
      <c r="B320" s="191"/>
      <c r="C320" s="921"/>
      <c r="D320" s="147"/>
      <c r="E320" s="29" t="s">
        <v>38</v>
      </c>
      <c r="F320" s="194"/>
      <c r="G320" s="240"/>
      <c r="H320" s="454" t="s">
        <v>138</v>
      </c>
      <c r="I320" s="196"/>
      <c r="J320" s="231"/>
      <c r="K320" s="1274"/>
      <c r="L320" s="1382"/>
      <c r="M320" s="1382"/>
      <c r="N320" s="1382"/>
      <c r="O320" s="1382"/>
      <c r="P320" s="1382"/>
      <c r="Q320" s="1382"/>
      <c r="R320" s="1382"/>
      <c r="S320" s="1382"/>
      <c r="T320" s="1382"/>
      <c r="U320" s="1382"/>
      <c r="V320" s="1382"/>
      <c r="W320" s="1382"/>
      <c r="X320" s="1382"/>
      <c r="Y320" s="1382"/>
      <c r="Z320" s="1382"/>
      <c r="AA320" s="1382"/>
      <c r="AB320" s="1382"/>
      <c r="AC320" s="1382"/>
      <c r="AD320" s="1382"/>
      <c r="AE320" s="1382"/>
      <c r="AF320" s="1382"/>
      <c r="AG320" s="1382"/>
      <c r="AH320" s="1382"/>
      <c r="AI320" s="1382"/>
      <c r="AJ320" s="1382"/>
      <c r="AK320" s="181"/>
      <c r="AL320" s="181"/>
      <c r="AM320" s="181"/>
      <c r="AN320" s="181"/>
      <c r="AO320" s="181"/>
      <c r="AP320" s="181"/>
      <c r="AQ320" s="181"/>
      <c r="AR320" s="181"/>
      <c r="AS320" s="181"/>
      <c r="AT320" s="181"/>
      <c r="AU320" s="181"/>
      <c r="AV320" s="181"/>
    </row>
    <row r="321" spans="1:48" s="30" customFormat="1" ht="14.25" hidden="1" customHeight="1" x14ac:dyDescent="0.25">
      <c r="A321" s="1408"/>
      <c r="B321" s="191"/>
      <c r="C321" s="921"/>
      <c r="D321" s="147"/>
      <c r="E321" s="29" t="s">
        <v>38</v>
      </c>
      <c r="F321" s="194"/>
      <c r="G321" s="240"/>
      <c r="H321" s="454" t="s">
        <v>138</v>
      </c>
      <c r="I321" s="196"/>
      <c r="J321" s="231"/>
      <c r="K321" s="1274"/>
      <c r="L321" s="1382"/>
      <c r="M321" s="1382"/>
      <c r="N321" s="1382"/>
      <c r="O321" s="1382"/>
      <c r="P321" s="1382"/>
      <c r="Q321" s="1382"/>
      <c r="R321" s="1382"/>
      <c r="S321" s="1382"/>
      <c r="T321" s="1382"/>
      <c r="U321" s="1382"/>
      <c r="V321" s="1382"/>
      <c r="W321" s="1382"/>
      <c r="X321" s="1382"/>
      <c r="Y321" s="1382"/>
      <c r="Z321" s="1382"/>
      <c r="AA321" s="1382"/>
      <c r="AB321" s="1382"/>
      <c r="AC321" s="1382"/>
      <c r="AD321" s="1382"/>
      <c r="AE321" s="1382"/>
      <c r="AF321" s="1382"/>
      <c r="AG321" s="1382"/>
      <c r="AH321" s="1382"/>
      <c r="AI321" s="1382"/>
      <c r="AJ321" s="1382"/>
      <c r="AK321" s="181"/>
      <c r="AL321" s="181"/>
      <c r="AM321" s="181"/>
      <c r="AN321" s="181"/>
      <c r="AO321" s="181"/>
      <c r="AP321" s="181"/>
      <c r="AQ321" s="181"/>
      <c r="AR321" s="181"/>
      <c r="AS321" s="181"/>
      <c r="AT321" s="181"/>
      <c r="AU321" s="181"/>
      <c r="AV321" s="181"/>
    </row>
    <row r="322" spans="1:48" s="30" customFormat="1" ht="14.25" hidden="1" customHeight="1" x14ac:dyDescent="0.25">
      <c r="A322" s="1408"/>
      <c r="B322" s="191"/>
      <c r="C322" s="921"/>
      <c r="D322" s="147"/>
      <c r="E322" s="29" t="s">
        <v>38</v>
      </c>
      <c r="F322" s="194"/>
      <c r="G322" s="240"/>
      <c r="H322" s="454" t="s">
        <v>138</v>
      </c>
      <c r="I322" s="196"/>
      <c r="J322" s="231"/>
      <c r="K322" s="1274"/>
      <c r="L322" s="1382"/>
      <c r="M322" s="1382"/>
      <c r="N322" s="1382"/>
      <c r="O322" s="1382"/>
      <c r="P322" s="1382"/>
      <c r="Q322" s="1382"/>
      <c r="R322" s="1382"/>
      <c r="S322" s="1382"/>
      <c r="T322" s="1382"/>
      <c r="U322" s="1382"/>
      <c r="V322" s="1382"/>
      <c r="W322" s="1382"/>
      <c r="X322" s="1382"/>
      <c r="Y322" s="1382"/>
      <c r="Z322" s="1382"/>
      <c r="AA322" s="1382"/>
      <c r="AB322" s="1382"/>
      <c r="AC322" s="1382"/>
      <c r="AD322" s="1382"/>
      <c r="AE322" s="1382"/>
      <c r="AF322" s="1382"/>
      <c r="AG322" s="1382"/>
      <c r="AH322" s="1382"/>
      <c r="AI322" s="1382"/>
      <c r="AJ322" s="1382"/>
      <c r="AK322" s="181"/>
      <c r="AL322" s="181"/>
      <c r="AM322" s="181"/>
      <c r="AN322" s="181"/>
      <c r="AO322" s="181"/>
      <c r="AP322" s="181"/>
      <c r="AQ322" s="181"/>
      <c r="AR322" s="181"/>
      <c r="AS322" s="181"/>
      <c r="AT322" s="181"/>
      <c r="AU322" s="181"/>
      <c r="AV322" s="181"/>
    </row>
    <row r="323" spans="1:48" s="30" customFormat="1" ht="14.25" hidden="1" customHeight="1" x14ac:dyDescent="0.25">
      <c r="A323" s="1408"/>
      <c r="B323" s="191"/>
      <c r="C323" s="921"/>
      <c r="D323" s="147"/>
      <c r="E323" s="29" t="s">
        <v>38</v>
      </c>
      <c r="F323" s="194"/>
      <c r="G323" s="240"/>
      <c r="H323" s="454" t="s">
        <v>138</v>
      </c>
      <c r="I323" s="196"/>
      <c r="J323" s="231"/>
      <c r="K323" s="1274"/>
      <c r="L323" s="1382"/>
      <c r="M323" s="1382"/>
      <c r="N323" s="1382"/>
      <c r="O323" s="1382"/>
      <c r="P323" s="1382"/>
      <c r="Q323" s="1382"/>
      <c r="R323" s="1382"/>
      <c r="S323" s="1382"/>
      <c r="T323" s="1382"/>
      <c r="U323" s="1382"/>
      <c r="V323" s="1382"/>
      <c r="W323" s="1382"/>
      <c r="X323" s="1382"/>
      <c r="Y323" s="1382"/>
      <c r="Z323" s="1382"/>
      <c r="AA323" s="1382"/>
      <c r="AB323" s="1382"/>
      <c r="AC323" s="1382"/>
      <c r="AD323" s="1382"/>
      <c r="AE323" s="1382"/>
      <c r="AF323" s="1382"/>
      <c r="AG323" s="1382"/>
      <c r="AH323" s="1382"/>
      <c r="AI323" s="1382"/>
      <c r="AJ323" s="1382"/>
      <c r="AK323" s="181"/>
      <c r="AL323" s="181"/>
      <c r="AM323" s="181"/>
      <c r="AN323" s="181"/>
      <c r="AO323" s="181"/>
      <c r="AP323" s="181"/>
      <c r="AQ323" s="181"/>
      <c r="AR323" s="181"/>
      <c r="AS323" s="181"/>
      <c r="AT323" s="181"/>
      <c r="AU323" s="181"/>
      <c r="AV323" s="181"/>
    </row>
    <row r="324" spans="1:48" s="30" customFormat="1" ht="14.25" hidden="1" customHeight="1" x14ac:dyDescent="0.25">
      <c r="A324" s="1408"/>
      <c r="B324" s="191"/>
      <c r="C324" s="921"/>
      <c r="D324" s="147"/>
      <c r="E324" s="29" t="s">
        <v>38</v>
      </c>
      <c r="F324" s="194"/>
      <c r="G324" s="240"/>
      <c r="H324" s="454" t="s">
        <v>138</v>
      </c>
      <c r="I324" s="196"/>
      <c r="J324" s="231"/>
      <c r="K324" s="1274"/>
      <c r="L324" s="1382"/>
      <c r="M324" s="1382"/>
      <c r="N324" s="1382"/>
      <c r="O324" s="1382"/>
      <c r="P324" s="1382"/>
      <c r="Q324" s="1382"/>
      <c r="R324" s="1382"/>
      <c r="S324" s="1382"/>
      <c r="T324" s="1382"/>
      <c r="U324" s="1382"/>
      <c r="V324" s="1382"/>
      <c r="W324" s="1382"/>
      <c r="X324" s="1382"/>
      <c r="Y324" s="1382"/>
      <c r="Z324" s="1382"/>
      <c r="AA324" s="1382"/>
      <c r="AB324" s="1382"/>
      <c r="AC324" s="1382"/>
      <c r="AD324" s="1382"/>
      <c r="AE324" s="1382"/>
      <c r="AF324" s="1382"/>
      <c r="AG324" s="1382"/>
      <c r="AH324" s="1382"/>
      <c r="AI324" s="1382"/>
      <c r="AJ324" s="1382"/>
      <c r="AK324" s="181"/>
      <c r="AL324" s="181"/>
      <c r="AM324" s="181"/>
      <c r="AN324" s="181"/>
      <c r="AO324" s="181"/>
      <c r="AP324" s="181"/>
      <c r="AQ324" s="181"/>
      <c r="AR324" s="181"/>
      <c r="AS324" s="181"/>
      <c r="AT324" s="181"/>
      <c r="AU324" s="181"/>
      <c r="AV324" s="181"/>
    </row>
    <row r="325" spans="1:48" s="30" customFormat="1" ht="14.25" hidden="1" customHeight="1" x14ac:dyDescent="0.25">
      <c r="A325" s="1408"/>
      <c r="B325" s="191"/>
      <c r="C325" s="921"/>
      <c r="D325" s="147"/>
      <c r="E325" s="29" t="s">
        <v>38</v>
      </c>
      <c r="F325" s="194"/>
      <c r="G325" s="240"/>
      <c r="H325" s="454" t="s">
        <v>138</v>
      </c>
      <c r="I325" s="196"/>
      <c r="J325" s="231"/>
      <c r="K325" s="1274"/>
      <c r="L325" s="1382"/>
      <c r="M325" s="1382"/>
      <c r="N325" s="1382"/>
      <c r="O325" s="1382"/>
      <c r="P325" s="1382"/>
      <c r="Q325" s="1382"/>
      <c r="R325" s="1382"/>
      <c r="S325" s="1382"/>
      <c r="T325" s="1382"/>
      <c r="U325" s="1382"/>
      <c r="V325" s="1382"/>
      <c r="W325" s="1382"/>
      <c r="X325" s="1382"/>
      <c r="Y325" s="1382"/>
      <c r="Z325" s="1382"/>
      <c r="AA325" s="1382"/>
      <c r="AB325" s="1382"/>
      <c r="AC325" s="1382"/>
      <c r="AD325" s="1382"/>
      <c r="AE325" s="1382"/>
      <c r="AF325" s="1382"/>
      <c r="AG325" s="1382"/>
      <c r="AH325" s="1382"/>
      <c r="AI325" s="1382"/>
      <c r="AJ325" s="1382"/>
      <c r="AK325" s="181"/>
      <c r="AL325" s="181"/>
      <c r="AM325" s="181"/>
      <c r="AN325" s="181"/>
      <c r="AO325" s="181"/>
      <c r="AP325" s="181"/>
      <c r="AQ325" s="181"/>
      <c r="AR325" s="181"/>
      <c r="AS325" s="181"/>
      <c r="AT325" s="181"/>
      <c r="AU325" s="181"/>
      <c r="AV325" s="181"/>
    </row>
    <row r="326" spans="1:48" s="30" customFormat="1" ht="14.25" hidden="1" customHeight="1" x14ac:dyDescent="0.25">
      <c r="A326" s="1408"/>
      <c r="B326" s="191"/>
      <c r="C326" s="921"/>
      <c r="D326" s="147"/>
      <c r="E326" s="29" t="s">
        <v>38</v>
      </c>
      <c r="F326" s="194"/>
      <c r="G326" s="240"/>
      <c r="H326" s="454" t="s">
        <v>138</v>
      </c>
      <c r="I326" s="196"/>
      <c r="J326" s="231"/>
      <c r="K326" s="1274"/>
      <c r="L326" s="1382"/>
      <c r="M326" s="1382"/>
      <c r="N326" s="1382"/>
      <c r="O326" s="1382"/>
      <c r="P326" s="1382"/>
      <c r="Q326" s="1382"/>
      <c r="R326" s="1382"/>
      <c r="S326" s="1382"/>
      <c r="T326" s="1382"/>
      <c r="U326" s="1382"/>
      <c r="V326" s="1382"/>
      <c r="W326" s="1382"/>
      <c r="X326" s="1382"/>
      <c r="Y326" s="1382"/>
      <c r="Z326" s="1382"/>
      <c r="AA326" s="1382"/>
      <c r="AB326" s="1382"/>
      <c r="AC326" s="1382"/>
      <c r="AD326" s="1382"/>
      <c r="AE326" s="1382"/>
      <c r="AF326" s="1382"/>
      <c r="AG326" s="1382"/>
      <c r="AH326" s="1382"/>
      <c r="AI326" s="1382"/>
      <c r="AJ326" s="1382"/>
      <c r="AK326" s="181"/>
      <c r="AL326" s="181"/>
      <c r="AM326" s="181"/>
      <c r="AN326" s="181"/>
      <c r="AO326" s="181"/>
      <c r="AP326" s="181"/>
      <c r="AQ326" s="181"/>
      <c r="AR326" s="181"/>
      <c r="AS326" s="181"/>
      <c r="AT326" s="181"/>
      <c r="AU326" s="181"/>
      <c r="AV326" s="181"/>
    </row>
    <row r="327" spans="1:48" s="30" customFormat="1" ht="14.25" hidden="1" customHeight="1" x14ac:dyDescent="0.25">
      <c r="A327" s="1408"/>
      <c r="B327" s="191"/>
      <c r="C327" s="921"/>
      <c r="D327" s="147"/>
      <c r="E327" s="29" t="s">
        <v>38</v>
      </c>
      <c r="F327" s="194"/>
      <c r="G327" s="240"/>
      <c r="H327" s="454" t="s">
        <v>138</v>
      </c>
      <c r="I327" s="196"/>
      <c r="J327" s="231"/>
      <c r="K327" s="1274"/>
      <c r="L327" s="1382"/>
      <c r="M327" s="1382"/>
      <c r="N327" s="1382"/>
      <c r="O327" s="1382"/>
      <c r="P327" s="1382"/>
      <c r="Q327" s="1382"/>
      <c r="R327" s="1382"/>
      <c r="S327" s="1382"/>
      <c r="T327" s="1382"/>
      <c r="U327" s="1382"/>
      <c r="V327" s="1382"/>
      <c r="W327" s="1382"/>
      <c r="X327" s="1382"/>
      <c r="Y327" s="1382"/>
      <c r="Z327" s="1382"/>
      <c r="AA327" s="1382"/>
      <c r="AB327" s="1382"/>
      <c r="AC327" s="1382"/>
      <c r="AD327" s="1382"/>
      <c r="AE327" s="1382"/>
      <c r="AF327" s="1382"/>
      <c r="AG327" s="1382"/>
      <c r="AH327" s="1382"/>
      <c r="AI327" s="1382"/>
      <c r="AJ327" s="1382"/>
      <c r="AK327" s="181"/>
      <c r="AL327" s="181"/>
      <c r="AM327" s="181"/>
      <c r="AN327" s="181"/>
      <c r="AO327" s="181"/>
      <c r="AP327" s="181"/>
      <c r="AQ327" s="181"/>
      <c r="AR327" s="181"/>
      <c r="AS327" s="181"/>
      <c r="AT327" s="181"/>
      <c r="AU327" s="181"/>
      <c r="AV327" s="181"/>
    </row>
    <row r="328" spans="1:48" s="30" customFormat="1" ht="14.25" hidden="1" customHeight="1" x14ac:dyDescent="0.25">
      <c r="A328" s="1408"/>
      <c r="B328" s="191"/>
      <c r="C328" s="921"/>
      <c r="D328" s="147"/>
      <c r="E328" s="29" t="s">
        <v>38</v>
      </c>
      <c r="F328" s="194"/>
      <c r="G328" s="240"/>
      <c r="H328" s="454" t="s">
        <v>138</v>
      </c>
      <c r="I328" s="196"/>
      <c r="J328" s="231"/>
      <c r="K328" s="1274"/>
      <c r="L328" s="1382"/>
      <c r="M328" s="1382"/>
      <c r="N328" s="1382"/>
      <c r="O328" s="1382"/>
      <c r="P328" s="1382"/>
      <c r="Q328" s="1382"/>
      <c r="R328" s="1382"/>
      <c r="S328" s="1382"/>
      <c r="T328" s="1382"/>
      <c r="U328" s="1382"/>
      <c r="V328" s="1382"/>
      <c r="W328" s="1382"/>
      <c r="X328" s="1382"/>
      <c r="Y328" s="1382"/>
      <c r="Z328" s="1382"/>
      <c r="AA328" s="1382"/>
      <c r="AB328" s="1382"/>
      <c r="AC328" s="1382"/>
      <c r="AD328" s="1382"/>
      <c r="AE328" s="1382"/>
      <c r="AF328" s="1382"/>
      <c r="AG328" s="1382"/>
      <c r="AH328" s="1382"/>
      <c r="AI328" s="1382"/>
      <c r="AJ328" s="1382"/>
      <c r="AK328" s="181"/>
      <c r="AL328" s="181"/>
      <c r="AM328" s="181"/>
      <c r="AN328" s="181"/>
      <c r="AO328" s="181"/>
      <c r="AP328" s="181"/>
      <c r="AQ328" s="181"/>
      <c r="AR328" s="181"/>
      <c r="AS328" s="181"/>
      <c r="AT328" s="181"/>
      <c r="AU328" s="181"/>
      <c r="AV328" s="181"/>
    </row>
    <row r="329" spans="1:48" s="30" customFormat="1" ht="14.25" hidden="1" customHeight="1" x14ac:dyDescent="0.25">
      <c r="A329" s="1408"/>
      <c r="B329" s="191"/>
      <c r="C329" s="921"/>
      <c r="D329" s="147"/>
      <c r="E329" s="29" t="s">
        <v>38</v>
      </c>
      <c r="F329" s="194"/>
      <c r="G329" s="240"/>
      <c r="H329" s="454" t="s">
        <v>138</v>
      </c>
      <c r="I329" s="196"/>
      <c r="J329" s="231"/>
      <c r="K329" s="1274"/>
      <c r="L329" s="1382"/>
      <c r="M329" s="1382"/>
      <c r="N329" s="1382"/>
      <c r="O329" s="1382"/>
      <c r="P329" s="1382"/>
      <c r="Q329" s="1382"/>
      <c r="R329" s="1382"/>
      <c r="S329" s="1382"/>
      <c r="T329" s="1382"/>
      <c r="U329" s="1382"/>
      <c r="V329" s="1382"/>
      <c r="W329" s="1382"/>
      <c r="X329" s="1382"/>
      <c r="Y329" s="1382"/>
      <c r="Z329" s="1382"/>
      <c r="AA329" s="1382"/>
      <c r="AB329" s="1382"/>
      <c r="AC329" s="1382"/>
      <c r="AD329" s="1382"/>
      <c r="AE329" s="1382"/>
      <c r="AF329" s="1382"/>
      <c r="AG329" s="1382"/>
      <c r="AH329" s="1382"/>
      <c r="AI329" s="1382"/>
      <c r="AJ329" s="1382"/>
      <c r="AK329" s="181"/>
      <c r="AL329" s="181"/>
      <c r="AM329" s="181"/>
      <c r="AN329" s="181"/>
      <c r="AO329" s="181"/>
      <c r="AP329" s="181"/>
      <c r="AQ329" s="181"/>
      <c r="AR329" s="181"/>
      <c r="AS329" s="181"/>
      <c r="AT329" s="181"/>
      <c r="AU329" s="181"/>
      <c r="AV329" s="181"/>
    </row>
    <row r="330" spans="1:48" s="30" customFormat="1" ht="14.25" hidden="1" customHeight="1" x14ac:dyDescent="0.25">
      <c r="A330" s="1408"/>
      <c r="B330" s="191"/>
      <c r="C330" s="921"/>
      <c r="D330" s="147"/>
      <c r="E330" s="29" t="s">
        <v>38</v>
      </c>
      <c r="F330" s="194"/>
      <c r="G330" s="240"/>
      <c r="H330" s="454" t="s">
        <v>138</v>
      </c>
      <c r="I330" s="196"/>
      <c r="J330" s="231"/>
      <c r="K330" s="1274"/>
      <c r="L330" s="1382"/>
      <c r="M330" s="1382"/>
      <c r="N330" s="1382"/>
      <c r="O330" s="1382"/>
      <c r="P330" s="1382"/>
      <c r="Q330" s="1382"/>
      <c r="R330" s="1382"/>
      <c r="S330" s="1382"/>
      <c r="T330" s="1382"/>
      <c r="U330" s="1382"/>
      <c r="V330" s="1382"/>
      <c r="W330" s="1382"/>
      <c r="X330" s="1382"/>
      <c r="Y330" s="1382"/>
      <c r="Z330" s="1382"/>
      <c r="AA330" s="1382"/>
      <c r="AB330" s="1382"/>
      <c r="AC330" s="1382"/>
      <c r="AD330" s="1382"/>
      <c r="AE330" s="1382"/>
      <c r="AF330" s="1382"/>
      <c r="AG330" s="1382"/>
      <c r="AH330" s="1382"/>
      <c r="AI330" s="1382"/>
      <c r="AJ330" s="1382"/>
      <c r="AK330" s="181"/>
      <c r="AL330" s="181"/>
      <c r="AM330" s="181"/>
      <c r="AN330" s="181"/>
      <c r="AO330" s="181"/>
      <c r="AP330" s="181"/>
      <c r="AQ330" s="181"/>
      <c r="AR330" s="181"/>
      <c r="AS330" s="181"/>
      <c r="AT330" s="181"/>
      <c r="AU330" s="181"/>
      <c r="AV330" s="181"/>
    </row>
    <row r="331" spans="1:48" s="30" customFormat="1" ht="14.25" hidden="1" customHeight="1" x14ac:dyDescent="0.25">
      <c r="A331" s="1408"/>
      <c r="B331" s="191"/>
      <c r="C331" s="921"/>
      <c r="D331" s="147"/>
      <c r="E331" s="29" t="s">
        <v>38</v>
      </c>
      <c r="F331" s="194"/>
      <c r="G331" s="240"/>
      <c r="H331" s="454" t="s">
        <v>138</v>
      </c>
      <c r="I331" s="196"/>
      <c r="J331" s="231"/>
      <c r="K331" s="1274"/>
      <c r="L331" s="1382"/>
      <c r="M331" s="1382"/>
      <c r="N331" s="1382"/>
      <c r="O331" s="1382"/>
      <c r="P331" s="1382"/>
      <c r="Q331" s="1382"/>
      <c r="R331" s="1382"/>
      <c r="S331" s="1382"/>
      <c r="T331" s="1382"/>
      <c r="U331" s="1382"/>
      <c r="V331" s="1382"/>
      <c r="W331" s="1382"/>
      <c r="X331" s="1382"/>
      <c r="Y331" s="1382"/>
      <c r="Z331" s="1382"/>
      <c r="AA331" s="1382"/>
      <c r="AB331" s="1382"/>
      <c r="AC331" s="1382"/>
      <c r="AD331" s="1382"/>
      <c r="AE331" s="1382"/>
      <c r="AF331" s="1382"/>
      <c r="AG331" s="1382"/>
      <c r="AH331" s="1382"/>
      <c r="AI331" s="1382"/>
      <c r="AJ331" s="1382"/>
      <c r="AK331" s="181"/>
      <c r="AL331" s="181"/>
      <c r="AM331" s="181"/>
      <c r="AN331" s="181"/>
      <c r="AO331" s="181"/>
      <c r="AP331" s="181"/>
      <c r="AQ331" s="181"/>
      <c r="AR331" s="181"/>
      <c r="AS331" s="181"/>
      <c r="AT331" s="181"/>
      <c r="AU331" s="181"/>
      <c r="AV331" s="181"/>
    </row>
    <row r="332" spans="1:48" s="30" customFormat="1" ht="14.25" hidden="1" customHeight="1" x14ac:dyDescent="0.25">
      <c r="A332" s="1408"/>
      <c r="B332" s="191"/>
      <c r="C332" s="921"/>
      <c r="D332" s="147"/>
      <c r="E332" s="29" t="s">
        <v>38</v>
      </c>
      <c r="F332" s="194"/>
      <c r="G332" s="240"/>
      <c r="H332" s="454" t="s">
        <v>138</v>
      </c>
      <c r="I332" s="196"/>
      <c r="J332" s="231"/>
      <c r="K332" s="1274"/>
      <c r="L332" s="1382"/>
      <c r="M332" s="1382"/>
      <c r="N332" s="1382"/>
      <c r="O332" s="1382"/>
      <c r="P332" s="1382"/>
      <c r="Q332" s="1382"/>
      <c r="R332" s="1382"/>
      <c r="S332" s="1382"/>
      <c r="T332" s="1382"/>
      <c r="U332" s="1382"/>
      <c r="V332" s="1382"/>
      <c r="W332" s="1382"/>
      <c r="X332" s="1382"/>
      <c r="Y332" s="1382"/>
      <c r="Z332" s="1382"/>
      <c r="AA332" s="1382"/>
      <c r="AB332" s="1382"/>
      <c r="AC332" s="1382"/>
      <c r="AD332" s="1382"/>
      <c r="AE332" s="1382"/>
      <c r="AF332" s="1382"/>
      <c r="AG332" s="1382"/>
      <c r="AH332" s="1382"/>
      <c r="AI332" s="1382"/>
      <c r="AJ332" s="1382"/>
      <c r="AK332" s="181"/>
      <c r="AL332" s="181"/>
      <c r="AM332" s="181"/>
      <c r="AN332" s="181"/>
      <c r="AO332" s="181"/>
      <c r="AP332" s="181"/>
      <c r="AQ332" s="181"/>
      <c r="AR332" s="181"/>
      <c r="AS332" s="181"/>
      <c r="AT332" s="181"/>
      <c r="AU332" s="181"/>
      <c r="AV332" s="181"/>
    </row>
    <row r="333" spans="1:48" s="30" customFormat="1" ht="14.25" hidden="1" customHeight="1" x14ac:dyDescent="0.25">
      <c r="A333" s="1408"/>
      <c r="B333" s="191"/>
      <c r="C333" s="921"/>
      <c r="D333" s="147"/>
      <c r="E333" s="29" t="s">
        <v>38</v>
      </c>
      <c r="F333" s="194"/>
      <c r="G333" s="240"/>
      <c r="H333" s="454" t="s">
        <v>138</v>
      </c>
      <c r="I333" s="196"/>
      <c r="J333" s="231"/>
      <c r="K333" s="1274"/>
      <c r="L333" s="1382"/>
      <c r="M333" s="1382"/>
      <c r="N333" s="1382"/>
      <c r="O333" s="1382"/>
      <c r="P333" s="1382"/>
      <c r="Q333" s="1382"/>
      <c r="R333" s="1382"/>
      <c r="S333" s="1382"/>
      <c r="T333" s="1382"/>
      <c r="U333" s="1382"/>
      <c r="V333" s="1382"/>
      <c r="W333" s="1382"/>
      <c r="X333" s="1382"/>
      <c r="Y333" s="1382"/>
      <c r="Z333" s="1382"/>
      <c r="AA333" s="1382"/>
      <c r="AB333" s="1382"/>
      <c r="AC333" s="1382"/>
      <c r="AD333" s="1382"/>
      <c r="AE333" s="1382"/>
      <c r="AF333" s="1382"/>
      <c r="AG333" s="1382"/>
      <c r="AH333" s="1382"/>
      <c r="AI333" s="1382"/>
      <c r="AJ333" s="1382"/>
      <c r="AK333" s="181"/>
      <c r="AL333" s="181"/>
      <c r="AM333" s="181"/>
      <c r="AN333" s="181"/>
      <c r="AO333" s="181"/>
      <c r="AP333" s="181"/>
      <c r="AQ333" s="181"/>
      <c r="AR333" s="181"/>
      <c r="AS333" s="181"/>
      <c r="AT333" s="181"/>
      <c r="AU333" s="181"/>
      <c r="AV333" s="181"/>
    </row>
    <row r="334" spans="1:48" s="30" customFormat="1" ht="14.25" hidden="1" customHeight="1" x14ac:dyDescent="0.25">
      <c r="A334" s="1408"/>
      <c r="B334" s="191"/>
      <c r="C334" s="921"/>
      <c r="D334" s="147"/>
      <c r="E334" s="29" t="s">
        <v>38</v>
      </c>
      <c r="F334" s="194"/>
      <c r="G334" s="240"/>
      <c r="H334" s="454" t="s">
        <v>138</v>
      </c>
      <c r="I334" s="196"/>
      <c r="J334" s="231"/>
      <c r="K334" s="1274"/>
      <c r="L334" s="1382"/>
      <c r="M334" s="1382"/>
      <c r="N334" s="1382"/>
      <c r="O334" s="1382"/>
      <c r="P334" s="1382"/>
      <c r="Q334" s="1382"/>
      <c r="R334" s="1382"/>
      <c r="S334" s="1382"/>
      <c r="T334" s="1382"/>
      <c r="U334" s="1382"/>
      <c r="V334" s="1382"/>
      <c r="W334" s="1382"/>
      <c r="X334" s="1382"/>
      <c r="Y334" s="1382"/>
      <c r="Z334" s="1382"/>
      <c r="AA334" s="1382"/>
      <c r="AB334" s="1382"/>
      <c r="AC334" s="1382"/>
      <c r="AD334" s="1382"/>
      <c r="AE334" s="1382"/>
      <c r="AF334" s="1382"/>
      <c r="AG334" s="1382"/>
      <c r="AH334" s="1382"/>
      <c r="AI334" s="1382"/>
      <c r="AJ334" s="1382"/>
      <c r="AK334" s="181"/>
      <c r="AL334" s="181"/>
      <c r="AM334" s="181"/>
      <c r="AN334" s="181"/>
      <c r="AO334" s="181"/>
      <c r="AP334" s="181"/>
      <c r="AQ334" s="181"/>
      <c r="AR334" s="181"/>
      <c r="AS334" s="181"/>
      <c r="AT334" s="181"/>
      <c r="AU334" s="181"/>
      <c r="AV334" s="181"/>
    </row>
    <row r="335" spans="1:48" s="30" customFormat="1" ht="14.25" hidden="1" customHeight="1" x14ac:dyDescent="0.25">
      <c r="A335" s="1408"/>
      <c r="B335" s="191"/>
      <c r="C335" s="921"/>
      <c r="D335" s="147"/>
      <c r="E335" s="29" t="s">
        <v>38</v>
      </c>
      <c r="F335" s="194"/>
      <c r="G335" s="240"/>
      <c r="H335" s="454" t="s">
        <v>138</v>
      </c>
      <c r="I335" s="196"/>
      <c r="J335" s="231"/>
      <c r="K335" s="1274"/>
      <c r="L335" s="1382"/>
      <c r="M335" s="1382"/>
      <c r="N335" s="1382"/>
      <c r="O335" s="1382"/>
      <c r="P335" s="1382"/>
      <c r="Q335" s="1382"/>
      <c r="R335" s="1382"/>
      <c r="S335" s="1382"/>
      <c r="T335" s="1382"/>
      <c r="U335" s="1382"/>
      <c r="V335" s="1382"/>
      <c r="W335" s="1382"/>
      <c r="X335" s="1382"/>
      <c r="Y335" s="1382"/>
      <c r="Z335" s="1382"/>
      <c r="AA335" s="1382"/>
      <c r="AB335" s="1382"/>
      <c r="AC335" s="1382"/>
      <c r="AD335" s="1382"/>
      <c r="AE335" s="1382"/>
      <c r="AF335" s="1382"/>
      <c r="AG335" s="1382"/>
      <c r="AH335" s="1382"/>
      <c r="AI335" s="1382"/>
      <c r="AJ335" s="1382"/>
      <c r="AK335" s="181"/>
      <c r="AL335" s="181"/>
      <c r="AM335" s="181"/>
      <c r="AN335" s="181"/>
      <c r="AO335" s="181"/>
      <c r="AP335" s="181"/>
      <c r="AQ335" s="181"/>
      <c r="AR335" s="181"/>
      <c r="AS335" s="181"/>
      <c r="AT335" s="181"/>
      <c r="AU335" s="181"/>
      <c r="AV335" s="181"/>
    </row>
    <row r="336" spans="1:48" s="30" customFormat="1" ht="14.25" hidden="1" customHeight="1" x14ac:dyDescent="0.25">
      <c r="A336" s="1408"/>
      <c r="B336" s="191"/>
      <c r="C336" s="921"/>
      <c r="D336" s="147"/>
      <c r="E336" s="29" t="s">
        <v>38</v>
      </c>
      <c r="F336" s="194"/>
      <c r="G336" s="240"/>
      <c r="H336" s="454" t="s">
        <v>138</v>
      </c>
      <c r="I336" s="196"/>
      <c r="J336" s="231"/>
      <c r="K336" s="1274"/>
      <c r="L336" s="1382"/>
      <c r="M336" s="1382"/>
      <c r="N336" s="1382"/>
      <c r="O336" s="1382"/>
      <c r="P336" s="1382"/>
      <c r="Q336" s="1382"/>
      <c r="R336" s="1382"/>
      <c r="S336" s="1382"/>
      <c r="T336" s="1382"/>
      <c r="U336" s="1382"/>
      <c r="V336" s="1382"/>
      <c r="W336" s="1382"/>
      <c r="X336" s="1382"/>
      <c r="Y336" s="1382"/>
      <c r="Z336" s="1382"/>
      <c r="AA336" s="1382"/>
      <c r="AB336" s="1382"/>
      <c r="AC336" s="1382"/>
      <c r="AD336" s="1382"/>
      <c r="AE336" s="1382"/>
      <c r="AF336" s="1382"/>
      <c r="AG336" s="1382"/>
      <c r="AH336" s="1382"/>
      <c r="AI336" s="1382"/>
      <c r="AJ336" s="1382"/>
      <c r="AK336" s="181"/>
      <c r="AL336" s="181"/>
      <c r="AM336" s="181"/>
      <c r="AN336" s="181"/>
      <c r="AO336" s="181"/>
      <c r="AP336" s="181"/>
      <c r="AQ336" s="181"/>
      <c r="AR336" s="181"/>
      <c r="AS336" s="181"/>
      <c r="AT336" s="181"/>
      <c r="AU336" s="181"/>
      <c r="AV336" s="181"/>
    </row>
    <row r="337" spans="1:48" s="30" customFormat="1" ht="14.25" hidden="1" customHeight="1" x14ac:dyDescent="0.25">
      <c r="A337" s="1408"/>
      <c r="B337" s="191"/>
      <c r="C337" s="921"/>
      <c r="D337" s="147"/>
      <c r="E337" s="29" t="s">
        <v>38</v>
      </c>
      <c r="F337" s="194"/>
      <c r="G337" s="240"/>
      <c r="H337" s="454" t="s">
        <v>138</v>
      </c>
      <c r="I337" s="196"/>
      <c r="J337" s="231"/>
      <c r="K337" s="1274"/>
      <c r="L337" s="1382"/>
      <c r="M337" s="1382"/>
      <c r="N337" s="1382"/>
      <c r="O337" s="1382"/>
      <c r="P337" s="1382"/>
      <c r="Q337" s="1382"/>
      <c r="R337" s="1382"/>
      <c r="S337" s="1382"/>
      <c r="T337" s="1382"/>
      <c r="U337" s="1382"/>
      <c r="V337" s="1382"/>
      <c r="W337" s="1382"/>
      <c r="X337" s="1382"/>
      <c r="Y337" s="1382"/>
      <c r="Z337" s="1382"/>
      <c r="AA337" s="1382"/>
      <c r="AB337" s="1382"/>
      <c r="AC337" s="1382"/>
      <c r="AD337" s="1382"/>
      <c r="AE337" s="1382"/>
      <c r="AF337" s="1382"/>
      <c r="AG337" s="1382"/>
      <c r="AH337" s="1382"/>
      <c r="AI337" s="1382"/>
      <c r="AJ337" s="1382"/>
      <c r="AK337" s="181"/>
      <c r="AL337" s="181"/>
      <c r="AM337" s="181"/>
      <c r="AN337" s="181"/>
      <c r="AO337" s="181"/>
      <c r="AP337" s="181"/>
      <c r="AQ337" s="181"/>
      <c r="AR337" s="181"/>
      <c r="AS337" s="181"/>
      <c r="AT337" s="181"/>
      <c r="AU337" s="181"/>
      <c r="AV337" s="181"/>
    </row>
    <row r="338" spans="1:48" s="30" customFormat="1" ht="14.25" hidden="1" customHeight="1" x14ac:dyDescent="0.25">
      <c r="A338" s="1408"/>
      <c r="B338" s="191"/>
      <c r="C338" s="921"/>
      <c r="D338" s="147"/>
      <c r="E338" s="29" t="s">
        <v>38</v>
      </c>
      <c r="F338" s="194"/>
      <c r="G338" s="240"/>
      <c r="H338" s="454" t="s">
        <v>138</v>
      </c>
      <c r="I338" s="196"/>
      <c r="J338" s="231"/>
      <c r="K338" s="1274"/>
      <c r="L338" s="1382"/>
      <c r="M338" s="1382"/>
      <c r="N338" s="1382"/>
      <c r="O338" s="1382"/>
      <c r="P338" s="1382"/>
      <c r="Q338" s="1382"/>
      <c r="R338" s="1382"/>
      <c r="S338" s="1382"/>
      <c r="T338" s="1382"/>
      <c r="U338" s="1382"/>
      <c r="V338" s="1382"/>
      <c r="W338" s="1382"/>
      <c r="X338" s="1382"/>
      <c r="Y338" s="1382"/>
      <c r="Z338" s="1382"/>
      <c r="AA338" s="1382"/>
      <c r="AB338" s="1382"/>
      <c r="AC338" s="1382"/>
      <c r="AD338" s="1382"/>
      <c r="AE338" s="1382"/>
      <c r="AF338" s="1382"/>
      <c r="AG338" s="1382"/>
      <c r="AH338" s="1382"/>
      <c r="AI338" s="1382"/>
      <c r="AJ338" s="1382"/>
      <c r="AK338" s="181"/>
      <c r="AL338" s="181"/>
      <c r="AM338" s="181"/>
      <c r="AN338" s="181"/>
      <c r="AO338" s="181"/>
      <c r="AP338" s="181"/>
      <c r="AQ338" s="181"/>
      <c r="AR338" s="181"/>
      <c r="AS338" s="181"/>
      <c r="AT338" s="181"/>
      <c r="AU338" s="181"/>
      <c r="AV338" s="181"/>
    </row>
    <row r="339" spans="1:48" s="30" customFormat="1" ht="14.25" hidden="1" customHeight="1" x14ac:dyDescent="0.25">
      <c r="A339" s="1408"/>
      <c r="B339" s="191"/>
      <c r="C339" s="921"/>
      <c r="D339" s="147"/>
      <c r="E339" s="29" t="s">
        <v>38</v>
      </c>
      <c r="F339" s="194"/>
      <c r="G339" s="240"/>
      <c r="H339" s="454" t="s">
        <v>138</v>
      </c>
      <c r="I339" s="196"/>
      <c r="J339" s="231"/>
      <c r="K339" s="1274"/>
      <c r="L339" s="1382"/>
      <c r="M339" s="1382"/>
      <c r="N339" s="1382"/>
      <c r="O339" s="1382"/>
      <c r="P339" s="1382"/>
      <c r="Q339" s="1382"/>
      <c r="R339" s="1382"/>
      <c r="S339" s="1382"/>
      <c r="T339" s="1382"/>
      <c r="U339" s="1382"/>
      <c r="V339" s="1382"/>
      <c r="W339" s="1382"/>
      <c r="X339" s="1382"/>
      <c r="Y339" s="1382"/>
      <c r="Z339" s="1382"/>
      <c r="AA339" s="1382"/>
      <c r="AB339" s="1382"/>
      <c r="AC339" s="1382"/>
      <c r="AD339" s="1382"/>
      <c r="AE339" s="1382"/>
      <c r="AF339" s="1382"/>
      <c r="AG339" s="1382"/>
      <c r="AH339" s="1382"/>
      <c r="AI339" s="1382"/>
      <c r="AJ339" s="1382"/>
      <c r="AK339" s="181"/>
      <c r="AL339" s="181"/>
      <c r="AM339" s="181"/>
      <c r="AN339" s="181"/>
      <c r="AO339" s="181"/>
      <c r="AP339" s="181"/>
      <c r="AQ339" s="181"/>
      <c r="AR339" s="181"/>
      <c r="AS339" s="181"/>
      <c r="AT339" s="181"/>
      <c r="AU339" s="181"/>
      <c r="AV339" s="181"/>
    </row>
    <row r="340" spans="1:48" s="30" customFormat="1" ht="14.25" hidden="1" customHeight="1" x14ac:dyDescent="0.25">
      <c r="A340" s="1408"/>
      <c r="B340" s="191"/>
      <c r="C340" s="921"/>
      <c r="D340" s="147"/>
      <c r="E340" s="29" t="s">
        <v>38</v>
      </c>
      <c r="F340" s="194"/>
      <c r="G340" s="240"/>
      <c r="H340" s="454" t="s">
        <v>138</v>
      </c>
      <c r="I340" s="196"/>
      <c r="J340" s="231"/>
      <c r="K340" s="1274"/>
      <c r="L340" s="1382"/>
      <c r="M340" s="1382"/>
      <c r="N340" s="1382"/>
      <c r="O340" s="1382"/>
      <c r="P340" s="1382"/>
      <c r="Q340" s="1382"/>
      <c r="R340" s="1382"/>
      <c r="S340" s="1382"/>
      <c r="T340" s="1382"/>
      <c r="U340" s="1382"/>
      <c r="V340" s="1382"/>
      <c r="W340" s="1382"/>
      <c r="X340" s="1382"/>
      <c r="Y340" s="1382"/>
      <c r="Z340" s="1382"/>
      <c r="AA340" s="1382"/>
      <c r="AB340" s="1382"/>
      <c r="AC340" s="1382"/>
      <c r="AD340" s="1382"/>
      <c r="AE340" s="1382"/>
      <c r="AF340" s="1382"/>
      <c r="AG340" s="1382"/>
      <c r="AH340" s="1382"/>
      <c r="AI340" s="1382"/>
      <c r="AJ340" s="1382"/>
      <c r="AK340" s="181"/>
      <c r="AL340" s="181"/>
      <c r="AM340" s="181"/>
      <c r="AN340" s="181"/>
      <c r="AO340" s="181"/>
      <c r="AP340" s="181"/>
      <c r="AQ340" s="181"/>
      <c r="AR340" s="181"/>
      <c r="AS340" s="181"/>
      <c r="AT340" s="181"/>
      <c r="AU340" s="181"/>
      <c r="AV340" s="181"/>
    </row>
    <row r="341" spans="1:48" s="30" customFormat="1" ht="14.25" hidden="1" customHeight="1" x14ac:dyDescent="0.25">
      <c r="A341" s="1408"/>
      <c r="B341" s="191"/>
      <c r="C341" s="921"/>
      <c r="D341" s="147"/>
      <c r="E341" s="29" t="s">
        <v>38</v>
      </c>
      <c r="F341" s="194"/>
      <c r="G341" s="240"/>
      <c r="H341" s="454" t="s">
        <v>138</v>
      </c>
      <c r="I341" s="196"/>
      <c r="J341" s="231"/>
      <c r="K341" s="1274"/>
      <c r="L341" s="1382"/>
      <c r="M341" s="1382"/>
      <c r="N341" s="1382"/>
      <c r="O341" s="1382"/>
      <c r="P341" s="1382"/>
      <c r="Q341" s="1382"/>
      <c r="R341" s="1382"/>
      <c r="S341" s="1382"/>
      <c r="T341" s="1382"/>
      <c r="U341" s="1382"/>
      <c r="V341" s="1382"/>
      <c r="W341" s="1382"/>
      <c r="X341" s="1382"/>
      <c r="Y341" s="1382"/>
      <c r="Z341" s="1382"/>
      <c r="AA341" s="1382"/>
      <c r="AB341" s="1382"/>
      <c r="AC341" s="1382"/>
      <c r="AD341" s="1382"/>
      <c r="AE341" s="1382"/>
      <c r="AF341" s="1382"/>
      <c r="AG341" s="1382"/>
      <c r="AH341" s="1382"/>
      <c r="AI341" s="1382"/>
      <c r="AJ341" s="1382"/>
      <c r="AK341" s="181"/>
      <c r="AL341" s="181"/>
      <c r="AM341" s="181"/>
      <c r="AN341" s="181"/>
      <c r="AO341" s="181"/>
      <c r="AP341" s="181"/>
      <c r="AQ341" s="181"/>
      <c r="AR341" s="181"/>
      <c r="AS341" s="181"/>
      <c r="AT341" s="181"/>
      <c r="AU341" s="181"/>
      <c r="AV341" s="181"/>
    </row>
    <row r="342" spans="1:48" s="30" customFormat="1" ht="14.25" hidden="1" customHeight="1" x14ac:dyDescent="0.25">
      <c r="A342" s="1408"/>
      <c r="B342" s="191"/>
      <c r="C342" s="921"/>
      <c r="D342" s="147"/>
      <c r="E342" s="29" t="s">
        <v>38</v>
      </c>
      <c r="F342" s="194"/>
      <c r="G342" s="240"/>
      <c r="H342" s="454" t="s">
        <v>138</v>
      </c>
      <c r="I342" s="196"/>
      <c r="J342" s="231"/>
      <c r="K342" s="1274"/>
      <c r="L342" s="1382"/>
      <c r="M342" s="1382"/>
      <c r="N342" s="1382"/>
      <c r="O342" s="1382"/>
      <c r="P342" s="1382"/>
      <c r="Q342" s="1382"/>
      <c r="R342" s="1382"/>
      <c r="S342" s="1382"/>
      <c r="T342" s="1382"/>
      <c r="U342" s="1382"/>
      <c r="V342" s="1382"/>
      <c r="W342" s="1382"/>
      <c r="X342" s="1382"/>
      <c r="Y342" s="1382"/>
      <c r="Z342" s="1382"/>
      <c r="AA342" s="1382"/>
      <c r="AB342" s="1382"/>
      <c r="AC342" s="1382"/>
      <c r="AD342" s="1382"/>
      <c r="AE342" s="1382"/>
      <c r="AF342" s="1382"/>
      <c r="AG342" s="1382"/>
      <c r="AH342" s="1382"/>
      <c r="AI342" s="1382"/>
      <c r="AJ342" s="1382"/>
      <c r="AK342" s="181"/>
      <c r="AL342" s="181"/>
      <c r="AM342" s="181"/>
      <c r="AN342" s="181"/>
      <c r="AO342" s="181"/>
      <c r="AP342" s="181"/>
      <c r="AQ342" s="181"/>
      <c r="AR342" s="181"/>
      <c r="AS342" s="181"/>
      <c r="AT342" s="181"/>
      <c r="AU342" s="181"/>
      <c r="AV342" s="181"/>
    </row>
    <row r="343" spans="1:48" s="30" customFormat="1" ht="14.25" hidden="1" customHeight="1" x14ac:dyDescent="0.25">
      <c r="A343" s="1408"/>
      <c r="B343" s="191"/>
      <c r="C343" s="921"/>
      <c r="D343" s="147"/>
      <c r="E343" s="29" t="s">
        <v>38</v>
      </c>
      <c r="F343" s="194"/>
      <c r="G343" s="240"/>
      <c r="H343" s="454" t="s">
        <v>138</v>
      </c>
      <c r="I343" s="196"/>
      <c r="J343" s="231"/>
      <c r="K343" s="1274"/>
      <c r="L343" s="1382"/>
      <c r="M343" s="1382"/>
      <c r="N343" s="1382"/>
      <c r="O343" s="1382"/>
      <c r="P343" s="1382"/>
      <c r="Q343" s="1382"/>
      <c r="R343" s="1382"/>
      <c r="S343" s="1382"/>
      <c r="T343" s="1382"/>
      <c r="U343" s="1382"/>
      <c r="V343" s="1382"/>
      <c r="W343" s="1382"/>
      <c r="X343" s="1382"/>
      <c r="Y343" s="1382"/>
      <c r="Z343" s="1382"/>
      <c r="AA343" s="1382"/>
      <c r="AB343" s="1382"/>
      <c r="AC343" s="1382"/>
      <c r="AD343" s="1382"/>
      <c r="AE343" s="1382"/>
      <c r="AF343" s="1382"/>
      <c r="AG343" s="1382"/>
      <c r="AH343" s="1382"/>
      <c r="AI343" s="1382"/>
      <c r="AJ343" s="1382"/>
      <c r="AK343" s="181"/>
      <c r="AL343" s="181"/>
      <c r="AM343" s="181"/>
      <c r="AN343" s="181"/>
      <c r="AO343" s="181"/>
      <c r="AP343" s="181"/>
      <c r="AQ343" s="181"/>
      <c r="AR343" s="181"/>
      <c r="AS343" s="181"/>
      <c r="AT343" s="181"/>
      <c r="AU343" s="181"/>
      <c r="AV343" s="181"/>
    </row>
    <row r="344" spans="1:48" s="30" customFormat="1" ht="14.25" hidden="1" customHeight="1" x14ac:dyDescent="0.25">
      <c r="A344" s="1408"/>
      <c r="B344" s="191"/>
      <c r="C344" s="921"/>
      <c r="D344" s="147"/>
      <c r="E344" s="29" t="s">
        <v>38</v>
      </c>
      <c r="F344" s="194"/>
      <c r="G344" s="240"/>
      <c r="H344" s="454" t="s">
        <v>138</v>
      </c>
      <c r="I344" s="196"/>
      <c r="J344" s="231"/>
      <c r="K344" s="1274"/>
      <c r="L344" s="1382"/>
      <c r="M344" s="1382"/>
      <c r="N344" s="1382"/>
      <c r="O344" s="1382"/>
      <c r="P344" s="1382"/>
      <c r="Q344" s="1382"/>
      <c r="R344" s="1382"/>
      <c r="S344" s="1382"/>
      <c r="T344" s="1382"/>
      <c r="U344" s="1382"/>
      <c r="V344" s="1382"/>
      <c r="W344" s="1382"/>
      <c r="X344" s="1382"/>
      <c r="Y344" s="1382"/>
      <c r="Z344" s="1382"/>
      <c r="AA344" s="1382"/>
      <c r="AB344" s="1382"/>
      <c r="AC344" s="1382"/>
      <c r="AD344" s="1382"/>
      <c r="AE344" s="1382"/>
      <c r="AF344" s="1382"/>
      <c r="AG344" s="1382"/>
      <c r="AH344" s="1382"/>
      <c r="AI344" s="1382"/>
      <c r="AJ344" s="1382"/>
      <c r="AK344" s="181"/>
      <c r="AL344" s="181"/>
      <c r="AM344" s="181"/>
      <c r="AN344" s="181"/>
      <c r="AO344" s="181"/>
      <c r="AP344" s="181"/>
      <c r="AQ344" s="181"/>
      <c r="AR344" s="181"/>
      <c r="AS344" s="181"/>
      <c r="AT344" s="181"/>
      <c r="AU344" s="181"/>
      <c r="AV344" s="181"/>
    </row>
    <row r="345" spans="1:48" s="30" customFormat="1" ht="14.25" hidden="1" customHeight="1" x14ac:dyDescent="0.25">
      <c r="A345" s="1408"/>
      <c r="B345" s="191"/>
      <c r="C345" s="921"/>
      <c r="D345" s="147"/>
      <c r="E345" s="29" t="s">
        <v>38</v>
      </c>
      <c r="F345" s="194"/>
      <c r="G345" s="240"/>
      <c r="H345" s="454" t="s">
        <v>138</v>
      </c>
      <c r="I345" s="196"/>
      <c r="J345" s="231"/>
      <c r="K345" s="1274"/>
      <c r="L345" s="1382"/>
      <c r="M345" s="1382"/>
      <c r="N345" s="1382"/>
      <c r="O345" s="1382"/>
      <c r="P345" s="1382"/>
      <c r="Q345" s="1382"/>
      <c r="R345" s="1382"/>
      <c r="S345" s="1382"/>
      <c r="T345" s="1382"/>
      <c r="U345" s="1382"/>
      <c r="V345" s="1382"/>
      <c r="W345" s="1382"/>
      <c r="X345" s="1382"/>
      <c r="Y345" s="1382"/>
      <c r="Z345" s="1382"/>
      <c r="AA345" s="1382"/>
      <c r="AB345" s="1382"/>
      <c r="AC345" s="1382"/>
      <c r="AD345" s="1382"/>
      <c r="AE345" s="1382"/>
      <c r="AF345" s="1382"/>
      <c r="AG345" s="1382"/>
      <c r="AH345" s="1382"/>
      <c r="AI345" s="1382"/>
      <c r="AJ345" s="1382"/>
      <c r="AK345" s="181"/>
      <c r="AL345" s="181"/>
      <c r="AM345" s="181"/>
      <c r="AN345" s="181"/>
      <c r="AO345" s="181"/>
      <c r="AP345" s="181"/>
      <c r="AQ345" s="181"/>
      <c r="AR345" s="181"/>
      <c r="AS345" s="181"/>
      <c r="AT345" s="181"/>
      <c r="AU345" s="181"/>
      <c r="AV345" s="181"/>
    </row>
    <row r="346" spans="1:48" s="30" customFormat="1" ht="14.25" hidden="1" customHeight="1" x14ac:dyDescent="0.25">
      <c r="A346" s="1408"/>
      <c r="B346" s="191"/>
      <c r="C346" s="921"/>
      <c r="D346" s="147"/>
      <c r="E346" s="29" t="s">
        <v>38</v>
      </c>
      <c r="F346" s="194"/>
      <c r="G346" s="240"/>
      <c r="H346" s="454" t="s">
        <v>138</v>
      </c>
      <c r="I346" s="196"/>
      <c r="J346" s="231"/>
      <c r="K346" s="1274"/>
      <c r="L346" s="1382"/>
      <c r="M346" s="1382"/>
      <c r="N346" s="1382"/>
      <c r="O346" s="1382"/>
      <c r="P346" s="1382"/>
      <c r="Q346" s="1382"/>
      <c r="R346" s="1382"/>
      <c r="S346" s="1382"/>
      <c r="T346" s="1382"/>
      <c r="U346" s="1382"/>
      <c r="V346" s="1382"/>
      <c r="W346" s="1382"/>
      <c r="X346" s="1382"/>
      <c r="Y346" s="1382"/>
      <c r="Z346" s="1382"/>
      <c r="AA346" s="1382"/>
      <c r="AB346" s="1382"/>
      <c r="AC346" s="1382"/>
      <c r="AD346" s="1382"/>
      <c r="AE346" s="1382"/>
      <c r="AF346" s="1382"/>
      <c r="AG346" s="1382"/>
      <c r="AH346" s="1382"/>
      <c r="AI346" s="1382"/>
      <c r="AJ346" s="1382"/>
      <c r="AK346" s="181"/>
      <c r="AL346" s="181"/>
      <c r="AM346" s="181"/>
      <c r="AN346" s="181"/>
      <c r="AO346" s="181"/>
      <c r="AP346" s="181"/>
      <c r="AQ346" s="181"/>
      <c r="AR346" s="181"/>
      <c r="AS346" s="181"/>
      <c r="AT346" s="181"/>
      <c r="AU346" s="181"/>
      <c r="AV346" s="181"/>
    </row>
    <row r="347" spans="1:48" s="30" customFormat="1" ht="14.25" hidden="1" customHeight="1" x14ac:dyDescent="0.25">
      <c r="A347" s="1408"/>
      <c r="B347" s="191"/>
      <c r="C347" s="921"/>
      <c r="D347" s="147"/>
      <c r="E347" s="29" t="s">
        <v>38</v>
      </c>
      <c r="F347" s="194"/>
      <c r="G347" s="240"/>
      <c r="H347" s="454" t="s">
        <v>138</v>
      </c>
      <c r="I347" s="196"/>
      <c r="J347" s="231"/>
      <c r="K347" s="1274"/>
      <c r="L347" s="1382"/>
      <c r="M347" s="1382"/>
      <c r="N347" s="1382"/>
      <c r="O347" s="1382"/>
      <c r="P347" s="1382"/>
      <c r="Q347" s="1382"/>
      <c r="R347" s="1382"/>
      <c r="S347" s="1382"/>
      <c r="T347" s="1382"/>
      <c r="U347" s="1382"/>
      <c r="V347" s="1382"/>
      <c r="W347" s="1382"/>
      <c r="X347" s="1382"/>
      <c r="Y347" s="1382"/>
      <c r="Z347" s="1382"/>
      <c r="AA347" s="1382"/>
      <c r="AB347" s="1382"/>
      <c r="AC347" s="1382"/>
      <c r="AD347" s="1382"/>
      <c r="AE347" s="1382"/>
      <c r="AF347" s="1382"/>
      <c r="AG347" s="1382"/>
      <c r="AH347" s="1382"/>
      <c r="AI347" s="1382"/>
      <c r="AJ347" s="1382"/>
      <c r="AK347" s="181"/>
      <c r="AL347" s="181"/>
      <c r="AM347" s="181"/>
      <c r="AN347" s="181"/>
      <c r="AO347" s="181"/>
      <c r="AP347" s="181"/>
      <c r="AQ347" s="181"/>
      <c r="AR347" s="181"/>
      <c r="AS347" s="181"/>
      <c r="AT347" s="181"/>
      <c r="AU347" s="181"/>
      <c r="AV347" s="181"/>
    </row>
    <row r="348" spans="1:48" s="30" customFormat="1" ht="14.25" hidden="1" customHeight="1" x14ac:dyDescent="0.25">
      <c r="A348" s="1408"/>
      <c r="B348" s="191"/>
      <c r="C348" s="921"/>
      <c r="D348" s="147"/>
      <c r="E348" s="29" t="s">
        <v>38</v>
      </c>
      <c r="F348" s="194"/>
      <c r="G348" s="240"/>
      <c r="H348" s="454" t="s">
        <v>138</v>
      </c>
      <c r="I348" s="196"/>
      <c r="J348" s="231"/>
      <c r="K348" s="1274"/>
      <c r="L348" s="1382"/>
      <c r="M348" s="1382"/>
      <c r="N348" s="1382"/>
      <c r="O348" s="1382"/>
      <c r="P348" s="1382"/>
      <c r="Q348" s="1382"/>
      <c r="R348" s="1382"/>
      <c r="S348" s="1382"/>
      <c r="T348" s="1382"/>
      <c r="U348" s="1382"/>
      <c r="V348" s="1382"/>
      <c r="W348" s="1382"/>
      <c r="X348" s="1382"/>
      <c r="Y348" s="1382"/>
      <c r="Z348" s="1382"/>
      <c r="AA348" s="1382"/>
      <c r="AB348" s="1382"/>
      <c r="AC348" s="1382"/>
      <c r="AD348" s="1382"/>
      <c r="AE348" s="1382"/>
      <c r="AF348" s="1382"/>
      <c r="AG348" s="1382"/>
      <c r="AH348" s="1382"/>
      <c r="AI348" s="1382"/>
      <c r="AJ348" s="1382"/>
      <c r="AK348" s="181"/>
      <c r="AL348" s="181"/>
      <c r="AM348" s="181"/>
      <c r="AN348" s="181"/>
      <c r="AO348" s="181"/>
      <c r="AP348" s="181"/>
      <c r="AQ348" s="181"/>
      <c r="AR348" s="181"/>
      <c r="AS348" s="181"/>
      <c r="AT348" s="181"/>
      <c r="AU348" s="181"/>
      <c r="AV348" s="181"/>
    </row>
    <row r="349" spans="1:48" s="30" customFormat="1" ht="14.25" hidden="1" customHeight="1" x14ac:dyDescent="0.25">
      <c r="A349" s="1408"/>
      <c r="B349" s="191"/>
      <c r="C349" s="921"/>
      <c r="D349" s="147"/>
      <c r="E349" s="29" t="s">
        <v>38</v>
      </c>
      <c r="F349" s="194"/>
      <c r="G349" s="240"/>
      <c r="H349" s="454" t="s">
        <v>138</v>
      </c>
      <c r="I349" s="196"/>
      <c r="J349" s="231"/>
      <c r="K349" s="1274"/>
      <c r="L349" s="1382"/>
      <c r="M349" s="1382"/>
      <c r="N349" s="1382"/>
      <c r="O349" s="1382"/>
      <c r="P349" s="1382"/>
      <c r="Q349" s="1382"/>
      <c r="R349" s="1382"/>
      <c r="S349" s="1382"/>
      <c r="T349" s="1382"/>
      <c r="U349" s="1382"/>
      <c r="V349" s="1382"/>
      <c r="W349" s="1382"/>
      <c r="X349" s="1382"/>
      <c r="Y349" s="1382"/>
      <c r="Z349" s="1382"/>
      <c r="AA349" s="1382"/>
      <c r="AB349" s="1382"/>
      <c r="AC349" s="1382"/>
      <c r="AD349" s="1382"/>
      <c r="AE349" s="1382"/>
      <c r="AF349" s="1382"/>
      <c r="AG349" s="1382"/>
      <c r="AH349" s="1382"/>
      <c r="AI349" s="1382"/>
      <c r="AJ349" s="1382"/>
      <c r="AK349" s="181"/>
      <c r="AL349" s="181"/>
      <c r="AM349" s="181"/>
      <c r="AN349" s="181"/>
      <c r="AO349" s="181"/>
      <c r="AP349" s="181"/>
      <c r="AQ349" s="181"/>
      <c r="AR349" s="181"/>
      <c r="AS349" s="181"/>
      <c r="AT349" s="181"/>
      <c r="AU349" s="181"/>
      <c r="AV349" s="181"/>
    </row>
    <row r="350" spans="1:48" s="30" customFormat="1" ht="14.25" hidden="1" customHeight="1" x14ac:dyDescent="0.25">
      <c r="A350" s="1408"/>
      <c r="B350" s="191"/>
      <c r="C350" s="921"/>
      <c r="D350" s="147"/>
      <c r="E350" s="29" t="s">
        <v>38</v>
      </c>
      <c r="F350" s="194"/>
      <c r="G350" s="240"/>
      <c r="H350" s="454" t="s">
        <v>138</v>
      </c>
      <c r="I350" s="196"/>
      <c r="J350" s="231"/>
      <c r="K350" s="1274"/>
      <c r="L350" s="1382"/>
      <c r="M350" s="1382"/>
      <c r="N350" s="1382"/>
      <c r="O350" s="1382"/>
      <c r="P350" s="1382"/>
      <c r="Q350" s="1382"/>
      <c r="R350" s="1382"/>
      <c r="S350" s="1382"/>
      <c r="T350" s="1382"/>
      <c r="U350" s="1382"/>
      <c r="V350" s="1382"/>
      <c r="W350" s="1382"/>
      <c r="X350" s="1382"/>
      <c r="Y350" s="1382"/>
      <c r="Z350" s="1382"/>
      <c r="AA350" s="1382"/>
      <c r="AB350" s="1382"/>
      <c r="AC350" s="1382"/>
      <c r="AD350" s="1382"/>
      <c r="AE350" s="1382"/>
      <c r="AF350" s="1382"/>
      <c r="AG350" s="1382"/>
      <c r="AH350" s="1382"/>
      <c r="AI350" s="1382"/>
      <c r="AJ350" s="1382"/>
      <c r="AK350" s="181"/>
      <c r="AL350" s="181"/>
      <c r="AM350" s="181"/>
      <c r="AN350" s="181"/>
      <c r="AO350" s="181"/>
      <c r="AP350" s="181"/>
      <c r="AQ350" s="181"/>
      <c r="AR350" s="181"/>
      <c r="AS350" s="181"/>
      <c r="AT350" s="181"/>
      <c r="AU350" s="181"/>
      <c r="AV350" s="181"/>
    </row>
    <row r="351" spans="1:48" s="30" customFormat="1" ht="14.25" hidden="1" customHeight="1" x14ac:dyDescent="0.25">
      <c r="A351" s="1408"/>
      <c r="B351" s="191"/>
      <c r="C351" s="921"/>
      <c r="D351" s="147"/>
      <c r="E351" s="29" t="s">
        <v>38</v>
      </c>
      <c r="F351" s="194"/>
      <c r="G351" s="240"/>
      <c r="H351" s="454" t="s">
        <v>138</v>
      </c>
      <c r="I351" s="196"/>
      <c r="J351" s="231"/>
      <c r="K351" s="1274"/>
      <c r="L351" s="1382"/>
      <c r="M351" s="1382"/>
      <c r="N351" s="1382"/>
      <c r="O351" s="1382"/>
      <c r="P351" s="1382"/>
      <c r="Q351" s="1382"/>
      <c r="R351" s="1382"/>
      <c r="S351" s="1382"/>
      <c r="T351" s="1382"/>
      <c r="U351" s="1382"/>
      <c r="V351" s="1382"/>
      <c r="W351" s="1382"/>
      <c r="X351" s="1382"/>
      <c r="Y351" s="1382"/>
      <c r="Z351" s="1382"/>
      <c r="AA351" s="1382"/>
      <c r="AB351" s="1382"/>
      <c r="AC351" s="1382"/>
      <c r="AD351" s="1382"/>
      <c r="AE351" s="1382"/>
      <c r="AF351" s="1382"/>
      <c r="AG351" s="1382"/>
      <c r="AH351" s="1382"/>
      <c r="AI351" s="1382"/>
      <c r="AJ351" s="1382"/>
      <c r="AK351" s="181"/>
      <c r="AL351" s="181"/>
      <c r="AM351" s="181"/>
      <c r="AN351" s="181"/>
      <c r="AO351" s="181"/>
      <c r="AP351" s="181"/>
      <c r="AQ351" s="181"/>
      <c r="AR351" s="181"/>
      <c r="AS351" s="181"/>
      <c r="AT351" s="181"/>
      <c r="AU351" s="181"/>
      <c r="AV351" s="181"/>
    </row>
    <row r="352" spans="1:48" s="30" customFormat="1" ht="14.25" hidden="1" customHeight="1" x14ac:dyDescent="0.25">
      <c r="A352" s="1408"/>
      <c r="B352" s="191"/>
      <c r="C352" s="921"/>
      <c r="D352" s="147"/>
      <c r="E352" s="29" t="s">
        <v>38</v>
      </c>
      <c r="F352" s="194"/>
      <c r="G352" s="240"/>
      <c r="H352" s="454" t="s">
        <v>138</v>
      </c>
      <c r="I352" s="196"/>
      <c r="J352" s="231"/>
      <c r="K352" s="1274"/>
      <c r="L352" s="1382"/>
      <c r="M352" s="1382"/>
      <c r="N352" s="1382"/>
      <c r="O352" s="1382"/>
      <c r="P352" s="1382"/>
      <c r="Q352" s="1382"/>
      <c r="R352" s="1382"/>
      <c r="S352" s="1382"/>
      <c r="T352" s="1382"/>
      <c r="U352" s="1382"/>
      <c r="V352" s="1382"/>
      <c r="W352" s="1382"/>
      <c r="X352" s="1382"/>
      <c r="Y352" s="1382"/>
      <c r="Z352" s="1382"/>
      <c r="AA352" s="1382"/>
      <c r="AB352" s="1382"/>
      <c r="AC352" s="1382"/>
      <c r="AD352" s="1382"/>
      <c r="AE352" s="1382"/>
      <c r="AF352" s="1382"/>
      <c r="AG352" s="1382"/>
      <c r="AH352" s="1382"/>
      <c r="AI352" s="1382"/>
      <c r="AJ352" s="1382"/>
      <c r="AK352" s="181"/>
      <c r="AL352" s="181"/>
      <c r="AM352" s="181"/>
      <c r="AN352" s="181"/>
      <c r="AO352" s="181"/>
      <c r="AP352" s="181"/>
      <c r="AQ352" s="181"/>
      <c r="AR352" s="181"/>
      <c r="AS352" s="181"/>
      <c r="AT352" s="181"/>
      <c r="AU352" s="181"/>
      <c r="AV352" s="181"/>
    </row>
    <row r="353" spans="1:48" s="30" customFormat="1" ht="14.25" hidden="1" customHeight="1" x14ac:dyDescent="0.25">
      <c r="A353" s="1408"/>
      <c r="B353" s="191"/>
      <c r="C353" s="921"/>
      <c r="D353" s="147"/>
      <c r="E353" s="29" t="s">
        <v>38</v>
      </c>
      <c r="F353" s="194"/>
      <c r="G353" s="240"/>
      <c r="H353" s="454" t="s">
        <v>138</v>
      </c>
      <c r="I353" s="196"/>
      <c r="J353" s="231"/>
      <c r="K353" s="1274"/>
      <c r="L353" s="1382"/>
      <c r="M353" s="1382"/>
      <c r="N353" s="1382"/>
      <c r="O353" s="1382"/>
      <c r="P353" s="1382"/>
      <c r="Q353" s="1382"/>
      <c r="R353" s="1382"/>
      <c r="S353" s="1382"/>
      <c r="T353" s="1382"/>
      <c r="U353" s="1382"/>
      <c r="V353" s="1382"/>
      <c r="W353" s="1382"/>
      <c r="X353" s="1382"/>
      <c r="Y353" s="1382"/>
      <c r="Z353" s="1382"/>
      <c r="AA353" s="1382"/>
      <c r="AB353" s="1382"/>
      <c r="AC353" s="1382"/>
      <c r="AD353" s="1382"/>
      <c r="AE353" s="1382"/>
      <c r="AF353" s="1382"/>
      <c r="AG353" s="1382"/>
      <c r="AH353" s="1382"/>
      <c r="AI353" s="1382"/>
      <c r="AJ353" s="1382"/>
      <c r="AK353" s="181"/>
      <c r="AL353" s="181"/>
      <c r="AM353" s="181"/>
      <c r="AN353" s="181"/>
      <c r="AO353" s="181"/>
      <c r="AP353" s="181"/>
      <c r="AQ353" s="181"/>
      <c r="AR353" s="181"/>
      <c r="AS353" s="181"/>
      <c r="AT353" s="181"/>
      <c r="AU353" s="181"/>
      <c r="AV353" s="181"/>
    </row>
    <row r="354" spans="1:48" s="30" customFormat="1" ht="14.25" hidden="1" customHeight="1" x14ac:dyDescent="0.25">
      <c r="A354" s="1408"/>
      <c r="B354" s="191"/>
      <c r="C354" s="921"/>
      <c r="D354" s="147"/>
      <c r="E354" s="29" t="s">
        <v>38</v>
      </c>
      <c r="F354" s="194"/>
      <c r="G354" s="240"/>
      <c r="H354" s="454" t="s">
        <v>138</v>
      </c>
      <c r="I354" s="196"/>
      <c r="J354" s="231"/>
      <c r="K354" s="1274"/>
      <c r="L354" s="1382"/>
      <c r="M354" s="1382"/>
      <c r="N354" s="1382"/>
      <c r="O354" s="1382"/>
      <c r="P354" s="1382"/>
      <c r="Q354" s="1382"/>
      <c r="R354" s="1382"/>
      <c r="S354" s="1382"/>
      <c r="T354" s="1382"/>
      <c r="U354" s="1382"/>
      <c r="V354" s="1382"/>
      <c r="W354" s="1382"/>
      <c r="X354" s="1382"/>
      <c r="Y354" s="1382"/>
      <c r="Z354" s="1382"/>
      <c r="AA354" s="1382"/>
      <c r="AB354" s="1382"/>
      <c r="AC354" s="1382"/>
      <c r="AD354" s="1382"/>
      <c r="AE354" s="1382"/>
      <c r="AF354" s="1382"/>
      <c r="AG354" s="1382"/>
      <c r="AH354" s="1382"/>
      <c r="AI354" s="1382"/>
      <c r="AJ354" s="1382"/>
      <c r="AK354" s="181"/>
      <c r="AL354" s="181"/>
      <c r="AM354" s="181"/>
      <c r="AN354" s="181"/>
      <c r="AO354" s="181"/>
      <c r="AP354" s="181"/>
      <c r="AQ354" s="181"/>
      <c r="AR354" s="181"/>
      <c r="AS354" s="181"/>
      <c r="AT354" s="181"/>
      <c r="AU354" s="181"/>
      <c r="AV354" s="181"/>
    </row>
    <row r="355" spans="1:48" s="30" customFormat="1" ht="14.25" hidden="1" customHeight="1" x14ac:dyDescent="0.25">
      <c r="A355" s="1408"/>
      <c r="B355" s="191"/>
      <c r="C355" s="921"/>
      <c r="D355" s="147"/>
      <c r="E355" s="29" t="s">
        <v>38</v>
      </c>
      <c r="F355" s="194"/>
      <c r="G355" s="240"/>
      <c r="H355" s="454" t="s">
        <v>138</v>
      </c>
      <c r="I355" s="196"/>
      <c r="J355" s="231"/>
      <c r="K355" s="1274"/>
      <c r="L355" s="1382"/>
      <c r="M355" s="1382"/>
      <c r="N355" s="1382"/>
      <c r="O355" s="1382"/>
      <c r="P355" s="1382"/>
      <c r="Q355" s="1382"/>
      <c r="R355" s="1382"/>
      <c r="S355" s="1382"/>
      <c r="T355" s="1382"/>
      <c r="U355" s="1382"/>
      <c r="V355" s="1382"/>
      <c r="W355" s="1382"/>
      <c r="X355" s="1382"/>
      <c r="Y355" s="1382"/>
      <c r="Z355" s="1382"/>
      <c r="AA355" s="1382"/>
      <c r="AB355" s="1382"/>
      <c r="AC355" s="1382"/>
      <c r="AD355" s="1382"/>
      <c r="AE355" s="1382"/>
      <c r="AF355" s="1382"/>
      <c r="AG355" s="1382"/>
      <c r="AH355" s="1382"/>
      <c r="AI355" s="1382"/>
      <c r="AJ355" s="1382"/>
      <c r="AK355" s="181"/>
      <c r="AL355" s="181"/>
      <c r="AM355" s="181"/>
      <c r="AN355" s="181"/>
      <c r="AO355" s="181"/>
      <c r="AP355" s="181"/>
      <c r="AQ355" s="181"/>
      <c r="AR355" s="181"/>
      <c r="AS355" s="181"/>
      <c r="AT355" s="181"/>
      <c r="AU355" s="181"/>
      <c r="AV355" s="181"/>
    </row>
    <row r="356" spans="1:48" s="30" customFormat="1" ht="14.25" hidden="1" customHeight="1" x14ac:dyDescent="0.25">
      <c r="A356" s="1408"/>
      <c r="B356" s="191"/>
      <c r="C356" s="921"/>
      <c r="D356" s="147"/>
      <c r="E356" s="29" t="s">
        <v>38</v>
      </c>
      <c r="F356" s="194"/>
      <c r="G356" s="240"/>
      <c r="H356" s="454" t="s">
        <v>138</v>
      </c>
      <c r="I356" s="196"/>
      <c r="J356" s="231"/>
      <c r="K356" s="1274"/>
      <c r="L356" s="1382"/>
      <c r="M356" s="1382"/>
      <c r="N356" s="1382"/>
      <c r="O356" s="1382"/>
      <c r="P356" s="1382"/>
      <c r="Q356" s="1382"/>
      <c r="R356" s="1382"/>
      <c r="S356" s="1382"/>
      <c r="T356" s="1382"/>
      <c r="U356" s="1382"/>
      <c r="V356" s="1382"/>
      <c r="W356" s="1382"/>
      <c r="X356" s="1382"/>
      <c r="Y356" s="1382"/>
      <c r="Z356" s="1382"/>
      <c r="AA356" s="1382"/>
      <c r="AB356" s="1382"/>
      <c r="AC356" s="1382"/>
      <c r="AD356" s="1382"/>
      <c r="AE356" s="1382"/>
      <c r="AF356" s="1382"/>
      <c r="AG356" s="1382"/>
      <c r="AH356" s="1382"/>
      <c r="AI356" s="1382"/>
      <c r="AJ356" s="1382"/>
      <c r="AK356" s="181"/>
      <c r="AL356" s="181"/>
      <c r="AM356" s="181"/>
      <c r="AN356" s="181"/>
      <c r="AO356" s="181"/>
      <c r="AP356" s="181"/>
      <c r="AQ356" s="181"/>
      <c r="AR356" s="181"/>
      <c r="AS356" s="181"/>
      <c r="AT356" s="181"/>
      <c r="AU356" s="181"/>
      <c r="AV356" s="181"/>
    </row>
    <row r="357" spans="1:48" s="30" customFormat="1" ht="14.25" hidden="1" customHeight="1" x14ac:dyDescent="0.25">
      <c r="A357" s="1408"/>
      <c r="B357" s="191"/>
      <c r="C357" s="921"/>
      <c r="D357" s="147"/>
      <c r="E357" s="29" t="s">
        <v>38</v>
      </c>
      <c r="F357" s="194"/>
      <c r="G357" s="240"/>
      <c r="H357" s="454" t="s">
        <v>138</v>
      </c>
      <c r="I357" s="196"/>
      <c r="J357" s="231"/>
      <c r="K357" s="1274"/>
      <c r="L357" s="1382"/>
      <c r="M357" s="1382"/>
      <c r="N357" s="1382"/>
      <c r="O357" s="1382"/>
      <c r="P357" s="1382"/>
      <c r="Q357" s="1382"/>
      <c r="R357" s="1382"/>
      <c r="S357" s="1382"/>
      <c r="T357" s="1382"/>
      <c r="U357" s="1382"/>
      <c r="V357" s="1382"/>
      <c r="W357" s="1382"/>
      <c r="X357" s="1382"/>
      <c r="Y357" s="1382"/>
      <c r="Z357" s="1382"/>
      <c r="AA357" s="1382"/>
      <c r="AB357" s="1382"/>
      <c r="AC357" s="1382"/>
      <c r="AD357" s="1382"/>
      <c r="AE357" s="1382"/>
      <c r="AF357" s="1382"/>
      <c r="AG357" s="1382"/>
      <c r="AH357" s="1382"/>
      <c r="AI357" s="1382"/>
      <c r="AJ357" s="1382"/>
      <c r="AK357" s="181"/>
      <c r="AL357" s="181"/>
      <c r="AM357" s="181"/>
      <c r="AN357" s="181"/>
      <c r="AO357" s="181"/>
      <c r="AP357" s="181"/>
      <c r="AQ357" s="181"/>
      <c r="AR357" s="181"/>
      <c r="AS357" s="181"/>
      <c r="AT357" s="181"/>
      <c r="AU357" s="181"/>
      <c r="AV357" s="181"/>
    </row>
    <row r="358" spans="1:48" s="30" customFormat="1" ht="14.25" hidden="1" customHeight="1" x14ac:dyDescent="0.25">
      <c r="A358" s="1408"/>
      <c r="B358" s="191"/>
      <c r="C358" s="921"/>
      <c r="D358" s="147"/>
      <c r="E358" s="29" t="s">
        <v>38</v>
      </c>
      <c r="F358" s="194"/>
      <c r="G358" s="240"/>
      <c r="H358" s="454" t="s">
        <v>138</v>
      </c>
      <c r="I358" s="196"/>
      <c r="J358" s="231"/>
      <c r="K358" s="1274"/>
      <c r="L358" s="1382"/>
      <c r="M358" s="1382"/>
      <c r="N358" s="1382"/>
      <c r="O358" s="1382"/>
      <c r="P358" s="1382"/>
      <c r="Q358" s="1382"/>
      <c r="R358" s="1382"/>
      <c r="S358" s="1382"/>
      <c r="T358" s="1382"/>
      <c r="U358" s="1382"/>
      <c r="V358" s="1382"/>
      <c r="W358" s="1382"/>
      <c r="X358" s="1382"/>
      <c r="Y358" s="1382"/>
      <c r="Z358" s="1382"/>
      <c r="AA358" s="1382"/>
      <c r="AB358" s="1382"/>
      <c r="AC358" s="1382"/>
      <c r="AD358" s="1382"/>
      <c r="AE358" s="1382"/>
      <c r="AF358" s="1382"/>
      <c r="AG358" s="1382"/>
      <c r="AH358" s="1382"/>
      <c r="AI358" s="1382"/>
      <c r="AJ358" s="1382"/>
      <c r="AK358" s="181"/>
      <c r="AL358" s="181"/>
      <c r="AM358" s="181"/>
      <c r="AN358" s="181"/>
      <c r="AO358" s="181"/>
      <c r="AP358" s="181"/>
      <c r="AQ358" s="181"/>
      <c r="AR358" s="181"/>
      <c r="AS358" s="181"/>
      <c r="AT358" s="181"/>
      <c r="AU358" s="181"/>
      <c r="AV358" s="181"/>
    </row>
    <row r="359" spans="1:48" s="30" customFormat="1" ht="14.25" hidden="1" customHeight="1" x14ac:dyDescent="0.25">
      <c r="A359" s="1408"/>
      <c r="B359" s="191"/>
      <c r="C359" s="921"/>
      <c r="D359" s="147"/>
      <c r="E359" s="29" t="s">
        <v>38</v>
      </c>
      <c r="F359" s="194"/>
      <c r="G359" s="240"/>
      <c r="H359" s="454" t="s">
        <v>138</v>
      </c>
      <c r="I359" s="196"/>
      <c r="J359" s="231"/>
      <c r="K359" s="1274"/>
      <c r="L359" s="1382"/>
      <c r="M359" s="1382"/>
      <c r="N359" s="1382"/>
      <c r="O359" s="1382"/>
      <c r="P359" s="1382"/>
      <c r="Q359" s="1382"/>
      <c r="R359" s="1382"/>
      <c r="S359" s="1382"/>
      <c r="T359" s="1382"/>
      <c r="U359" s="1382"/>
      <c r="V359" s="1382"/>
      <c r="W359" s="1382"/>
      <c r="X359" s="1382"/>
      <c r="Y359" s="1382"/>
      <c r="Z359" s="1382"/>
      <c r="AA359" s="1382"/>
      <c r="AB359" s="1382"/>
      <c r="AC359" s="1382"/>
      <c r="AD359" s="1382"/>
      <c r="AE359" s="1382"/>
      <c r="AF359" s="1382"/>
      <c r="AG359" s="1382"/>
      <c r="AH359" s="1382"/>
      <c r="AI359" s="1382"/>
      <c r="AJ359" s="1382"/>
      <c r="AK359" s="181"/>
      <c r="AL359" s="181"/>
      <c r="AM359" s="181"/>
      <c r="AN359" s="181"/>
      <c r="AO359" s="181"/>
      <c r="AP359" s="181"/>
      <c r="AQ359" s="181"/>
      <c r="AR359" s="181"/>
      <c r="AS359" s="181"/>
      <c r="AT359" s="181"/>
      <c r="AU359" s="181"/>
      <c r="AV359" s="181"/>
    </row>
    <row r="360" spans="1:48" s="30" customFormat="1" ht="14.25" hidden="1" customHeight="1" x14ac:dyDescent="0.25">
      <c r="A360" s="1408"/>
      <c r="B360" s="191"/>
      <c r="C360" s="921"/>
      <c r="D360" s="147"/>
      <c r="E360" s="29" t="s">
        <v>38</v>
      </c>
      <c r="F360" s="194"/>
      <c r="G360" s="240"/>
      <c r="H360" s="454" t="s">
        <v>138</v>
      </c>
      <c r="I360" s="196"/>
      <c r="J360" s="231"/>
      <c r="K360" s="1274"/>
      <c r="L360" s="1382"/>
      <c r="M360" s="1382"/>
      <c r="N360" s="1382"/>
      <c r="O360" s="1382"/>
      <c r="P360" s="1382"/>
      <c r="Q360" s="1382"/>
      <c r="R360" s="1382"/>
      <c r="S360" s="1382"/>
      <c r="T360" s="1382"/>
      <c r="U360" s="1382"/>
      <c r="V360" s="1382"/>
      <c r="W360" s="1382"/>
      <c r="X360" s="1382"/>
      <c r="Y360" s="1382"/>
      <c r="Z360" s="1382"/>
      <c r="AA360" s="1382"/>
      <c r="AB360" s="1382"/>
      <c r="AC360" s="1382"/>
      <c r="AD360" s="1382"/>
      <c r="AE360" s="1382"/>
      <c r="AF360" s="1382"/>
      <c r="AG360" s="1382"/>
      <c r="AH360" s="1382"/>
      <c r="AI360" s="1382"/>
      <c r="AJ360" s="1382"/>
      <c r="AK360" s="181"/>
      <c r="AL360" s="181"/>
      <c r="AM360" s="181"/>
      <c r="AN360" s="181"/>
      <c r="AO360" s="181"/>
      <c r="AP360" s="181"/>
      <c r="AQ360" s="181"/>
      <c r="AR360" s="181"/>
      <c r="AS360" s="181"/>
      <c r="AT360" s="181"/>
      <c r="AU360" s="181"/>
      <c r="AV360" s="181"/>
    </row>
    <row r="361" spans="1:48" s="30" customFormat="1" ht="14.25" hidden="1" customHeight="1" x14ac:dyDescent="0.25">
      <c r="A361" s="1408"/>
      <c r="B361" s="191"/>
      <c r="C361" s="921"/>
      <c r="D361" s="147"/>
      <c r="E361" s="29" t="s">
        <v>38</v>
      </c>
      <c r="F361" s="194"/>
      <c r="G361" s="240"/>
      <c r="H361" s="454" t="s">
        <v>138</v>
      </c>
      <c r="I361" s="196"/>
      <c r="J361" s="231"/>
      <c r="K361" s="1274"/>
      <c r="L361" s="1382"/>
      <c r="M361" s="1382"/>
      <c r="N361" s="1382"/>
      <c r="O361" s="1382"/>
      <c r="P361" s="1382"/>
      <c r="Q361" s="1382"/>
      <c r="R361" s="1382"/>
      <c r="S361" s="1382"/>
      <c r="T361" s="1382"/>
      <c r="U361" s="1382"/>
      <c r="V361" s="1382"/>
      <c r="W361" s="1382"/>
      <c r="X361" s="1382"/>
      <c r="Y361" s="1382"/>
      <c r="Z361" s="1382"/>
      <c r="AA361" s="1382"/>
      <c r="AB361" s="1382"/>
      <c r="AC361" s="1382"/>
      <c r="AD361" s="1382"/>
      <c r="AE361" s="1382"/>
      <c r="AF361" s="1382"/>
      <c r="AG361" s="1382"/>
      <c r="AH361" s="1382"/>
      <c r="AI361" s="1382"/>
      <c r="AJ361" s="1382"/>
      <c r="AK361" s="181"/>
      <c r="AL361" s="181"/>
      <c r="AM361" s="181"/>
      <c r="AN361" s="181"/>
      <c r="AO361" s="181"/>
      <c r="AP361" s="181"/>
      <c r="AQ361" s="181"/>
      <c r="AR361" s="181"/>
      <c r="AS361" s="181"/>
      <c r="AT361" s="181"/>
      <c r="AU361" s="181"/>
      <c r="AV361" s="181"/>
    </row>
    <row r="362" spans="1:48" s="30" customFormat="1" ht="14.25" hidden="1" customHeight="1" x14ac:dyDescent="0.25">
      <c r="A362" s="1408"/>
      <c r="B362" s="191"/>
      <c r="C362" s="921"/>
      <c r="D362" s="147"/>
      <c r="E362" s="29" t="s">
        <v>38</v>
      </c>
      <c r="F362" s="194"/>
      <c r="G362" s="240"/>
      <c r="H362" s="454" t="s">
        <v>138</v>
      </c>
      <c r="I362" s="196"/>
      <c r="J362" s="231"/>
      <c r="K362" s="1274"/>
      <c r="L362" s="1382"/>
      <c r="M362" s="1382"/>
      <c r="N362" s="1382"/>
      <c r="O362" s="1382"/>
      <c r="P362" s="1382"/>
      <c r="Q362" s="1382"/>
      <c r="R362" s="1382"/>
      <c r="S362" s="1382"/>
      <c r="T362" s="1382"/>
      <c r="U362" s="1382"/>
      <c r="V362" s="1382"/>
      <c r="W362" s="1382"/>
      <c r="X362" s="1382"/>
      <c r="Y362" s="1382"/>
      <c r="Z362" s="1382"/>
      <c r="AA362" s="1382"/>
      <c r="AB362" s="1382"/>
      <c r="AC362" s="1382"/>
      <c r="AD362" s="1382"/>
      <c r="AE362" s="1382"/>
      <c r="AF362" s="1382"/>
      <c r="AG362" s="1382"/>
      <c r="AH362" s="1382"/>
      <c r="AI362" s="1382"/>
      <c r="AJ362" s="1382"/>
      <c r="AK362" s="181"/>
      <c r="AL362" s="181"/>
      <c r="AM362" s="181"/>
      <c r="AN362" s="181"/>
      <c r="AO362" s="181"/>
      <c r="AP362" s="181"/>
      <c r="AQ362" s="181"/>
      <c r="AR362" s="181"/>
      <c r="AS362" s="181"/>
      <c r="AT362" s="181"/>
      <c r="AU362" s="181"/>
      <c r="AV362" s="181"/>
    </row>
    <row r="363" spans="1:48" s="30" customFormat="1" ht="14.25" hidden="1" customHeight="1" x14ac:dyDescent="0.25">
      <c r="A363" s="1408"/>
      <c r="B363" s="191"/>
      <c r="C363" s="921"/>
      <c r="D363" s="147"/>
      <c r="E363" s="29" t="s">
        <v>38</v>
      </c>
      <c r="F363" s="194"/>
      <c r="G363" s="240"/>
      <c r="H363" s="454" t="s">
        <v>138</v>
      </c>
      <c r="I363" s="196"/>
      <c r="J363" s="231"/>
      <c r="K363" s="1274"/>
      <c r="L363" s="1382"/>
      <c r="M363" s="1382"/>
      <c r="N363" s="1382"/>
      <c r="O363" s="1382"/>
      <c r="P363" s="1382"/>
      <c r="Q363" s="1382"/>
      <c r="R363" s="1382"/>
      <c r="S363" s="1382"/>
      <c r="T363" s="1382"/>
      <c r="U363" s="1382"/>
      <c r="V363" s="1382"/>
      <c r="W363" s="1382"/>
      <c r="X363" s="1382"/>
      <c r="Y363" s="1382"/>
      <c r="Z363" s="1382"/>
      <c r="AA363" s="1382"/>
      <c r="AB363" s="1382"/>
      <c r="AC363" s="1382"/>
      <c r="AD363" s="1382"/>
      <c r="AE363" s="1382"/>
      <c r="AF363" s="1382"/>
      <c r="AG363" s="1382"/>
      <c r="AH363" s="1382"/>
      <c r="AI363" s="1382"/>
      <c r="AJ363" s="1382"/>
      <c r="AK363" s="181"/>
      <c r="AL363" s="181"/>
      <c r="AM363" s="181"/>
      <c r="AN363" s="181"/>
      <c r="AO363" s="181"/>
      <c r="AP363" s="181"/>
      <c r="AQ363" s="181"/>
      <c r="AR363" s="181"/>
      <c r="AS363" s="181"/>
      <c r="AT363" s="181"/>
      <c r="AU363" s="181"/>
      <c r="AV363" s="181"/>
    </row>
    <row r="364" spans="1:48" s="30" customFormat="1" ht="14.25" hidden="1" customHeight="1" x14ac:dyDescent="0.25">
      <c r="A364" s="1408"/>
      <c r="B364" s="191"/>
      <c r="C364" s="921"/>
      <c r="D364" s="147"/>
      <c r="E364" s="29" t="s">
        <v>38</v>
      </c>
      <c r="F364" s="194"/>
      <c r="G364" s="240"/>
      <c r="H364" s="454" t="s">
        <v>138</v>
      </c>
      <c r="I364" s="196"/>
      <c r="J364" s="231"/>
      <c r="K364" s="1274"/>
      <c r="L364" s="1382"/>
      <c r="M364" s="1382"/>
      <c r="N364" s="1382"/>
      <c r="O364" s="1382"/>
      <c r="P364" s="1382"/>
      <c r="Q364" s="1382"/>
      <c r="R364" s="1382"/>
      <c r="S364" s="1382"/>
      <c r="T364" s="1382"/>
      <c r="U364" s="1382"/>
      <c r="V364" s="1382"/>
      <c r="W364" s="1382"/>
      <c r="X364" s="1382"/>
      <c r="Y364" s="1382"/>
      <c r="Z364" s="1382"/>
      <c r="AA364" s="1382"/>
      <c r="AB364" s="1382"/>
      <c r="AC364" s="1382"/>
      <c r="AD364" s="1382"/>
      <c r="AE364" s="1382"/>
      <c r="AF364" s="1382"/>
      <c r="AG364" s="1382"/>
      <c r="AH364" s="1382"/>
      <c r="AI364" s="1382"/>
      <c r="AJ364" s="1382"/>
      <c r="AK364" s="181"/>
      <c r="AL364" s="181"/>
      <c r="AM364" s="181"/>
      <c r="AN364" s="181"/>
      <c r="AO364" s="181"/>
      <c r="AP364" s="181"/>
      <c r="AQ364" s="181"/>
      <c r="AR364" s="181"/>
      <c r="AS364" s="181"/>
      <c r="AT364" s="181"/>
      <c r="AU364" s="181"/>
      <c r="AV364" s="181"/>
    </row>
    <row r="365" spans="1:48" s="30" customFormat="1" ht="14.25" hidden="1" customHeight="1" x14ac:dyDescent="0.25">
      <c r="A365" s="1408"/>
      <c r="B365" s="191"/>
      <c r="C365" s="921"/>
      <c r="D365" s="147"/>
      <c r="E365" s="29" t="s">
        <v>38</v>
      </c>
      <c r="F365" s="194"/>
      <c r="G365" s="240"/>
      <c r="H365" s="454" t="s">
        <v>138</v>
      </c>
      <c r="I365" s="196"/>
      <c r="J365" s="231"/>
      <c r="K365" s="1274"/>
      <c r="L365" s="1382"/>
      <c r="M365" s="1382"/>
      <c r="N365" s="1382"/>
      <c r="O365" s="1382"/>
      <c r="P365" s="1382"/>
      <c r="Q365" s="1382"/>
      <c r="R365" s="1382"/>
      <c r="S365" s="1382"/>
      <c r="T365" s="1382"/>
      <c r="U365" s="1382"/>
      <c r="V365" s="1382"/>
      <c r="W365" s="1382"/>
      <c r="X365" s="1382"/>
      <c r="Y365" s="1382"/>
      <c r="Z365" s="1382"/>
      <c r="AA365" s="1382"/>
      <c r="AB365" s="1382"/>
      <c r="AC365" s="1382"/>
      <c r="AD365" s="1382"/>
      <c r="AE365" s="1382"/>
      <c r="AF365" s="1382"/>
      <c r="AG365" s="1382"/>
      <c r="AH365" s="1382"/>
      <c r="AI365" s="1382"/>
      <c r="AJ365" s="1382"/>
      <c r="AK365" s="181"/>
      <c r="AL365" s="181"/>
      <c r="AM365" s="181"/>
      <c r="AN365" s="181"/>
      <c r="AO365" s="181"/>
      <c r="AP365" s="181"/>
      <c r="AQ365" s="181"/>
      <c r="AR365" s="181"/>
      <c r="AS365" s="181"/>
      <c r="AT365" s="181"/>
      <c r="AU365" s="181"/>
      <c r="AV365" s="181"/>
    </row>
    <row r="366" spans="1:48" s="30" customFormat="1" ht="14.25" hidden="1" customHeight="1" x14ac:dyDescent="0.25">
      <c r="A366" s="1408"/>
      <c r="B366" s="191"/>
      <c r="C366" s="921"/>
      <c r="D366" s="147"/>
      <c r="E366" s="29" t="s">
        <v>38</v>
      </c>
      <c r="F366" s="194"/>
      <c r="G366" s="240"/>
      <c r="H366" s="454" t="s">
        <v>138</v>
      </c>
      <c r="I366" s="196"/>
      <c r="J366" s="231"/>
      <c r="K366" s="1274"/>
      <c r="L366" s="1382"/>
      <c r="M366" s="1382"/>
      <c r="N366" s="1382"/>
      <c r="O366" s="1382"/>
      <c r="P366" s="1382"/>
      <c r="Q366" s="1382"/>
      <c r="R366" s="1382"/>
      <c r="S366" s="1382"/>
      <c r="T366" s="1382"/>
      <c r="U366" s="1382"/>
      <c r="V366" s="1382"/>
      <c r="W366" s="1382"/>
      <c r="X366" s="1382"/>
      <c r="Y366" s="1382"/>
      <c r="Z366" s="1382"/>
      <c r="AA366" s="1382"/>
      <c r="AB366" s="1382"/>
      <c r="AC366" s="1382"/>
      <c r="AD366" s="1382"/>
      <c r="AE366" s="1382"/>
      <c r="AF366" s="1382"/>
      <c r="AG366" s="1382"/>
      <c r="AH366" s="1382"/>
      <c r="AI366" s="1382"/>
      <c r="AJ366" s="1382"/>
      <c r="AK366" s="181"/>
      <c r="AL366" s="181"/>
      <c r="AM366" s="181"/>
      <c r="AN366" s="181"/>
      <c r="AO366" s="181"/>
      <c r="AP366" s="181"/>
      <c r="AQ366" s="181"/>
      <c r="AR366" s="181"/>
      <c r="AS366" s="181"/>
      <c r="AT366" s="181"/>
      <c r="AU366" s="181"/>
      <c r="AV366" s="181"/>
    </row>
    <row r="367" spans="1:48" s="30" customFormat="1" ht="14.25" hidden="1" customHeight="1" x14ac:dyDescent="0.25">
      <c r="A367" s="1408"/>
      <c r="B367" s="191"/>
      <c r="C367" s="921"/>
      <c r="D367" s="147"/>
      <c r="E367" s="29" t="s">
        <v>38</v>
      </c>
      <c r="F367" s="194"/>
      <c r="G367" s="240"/>
      <c r="H367" s="454" t="s">
        <v>138</v>
      </c>
      <c r="I367" s="196"/>
      <c r="J367" s="231"/>
      <c r="K367" s="1274"/>
      <c r="L367" s="1382"/>
      <c r="M367" s="1382"/>
      <c r="N367" s="1382"/>
      <c r="O367" s="1382"/>
      <c r="P367" s="1382"/>
      <c r="Q367" s="1382"/>
      <c r="R367" s="1382"/>
      <c r="S367" s="1382"/>
      <c r="T367" s="1382"/>
      <c r="U367" s="1382"/>
      <c r="V367" s="1382"/>
      <c r="W367" s="1382"/>
      <c r="X367" s="1382"/>
      <c r="Y367" s="1382"/>
      <c r="Z367" s="1382"/>
      <c r="AA367" s="1382"/>
      <c r="AB367" s="1382"/>
      <c r="AC367" s="1382"/>
      <c r="AD367" s="1382"/>
      <c r="AE367" s="1382"/>
      <c r="AF367" s="1382"/>
      <c r="AG367" s="1382"/>
      <c r="AH367" s="1382"/>
      <c r="AI367" s="1382"/>
      <c r="AJ367" s="1382"/>
      <c r="AK367" s="181"/>
      <c r="AL367" s="181"/>
      <c r="AM367" s="181"/>
      <c r="AN367" s="181"/>
      <c r="AO367" s="181"/>
      <c r="AP367" s="181"/>
      <c r="AQ367" s="181"/>
      <c r="AR367" s="181"/>
      <c r="AS367" s="181"/>
      <c r="AT367" s="181"/>
      <c r="AU367" s="181"/>
      <c r="AV367" s="181"/>
    </row>
    <row r="368" spans="1:48" s="30" customFormat="1" ht="14.25" hidden="1" customHeight="1" x14ac:dyDescent="0.25">
      <c r="A368" s="1408"/>
      <c r="B368" s="191"/>
      <c r="C368" s="921"/>
      <c r="D368" s="147"/>
      <c r="E368" s="29" t="s">
        <v>38</v>
      </c>
      <c r="F368" s="194"/>
      <c r="G368" s="240"/>
      <c r="H368" s="454" t="s">
        <v>138</v>
      </c>
      <c r="I368" s="196"/>
      <c r="J368" s="231"/>
      <c r="K368" s="1274"/>
      <c r="L368" s="1382"/>
      <c r="M368" s="1382"/>
      <c r="N368" s="1382"/>
      <c r="O368" s="1382"/>
      <c r="P368" s="1382"/>
      <c r="Q368" s="1382"/>
      <c r="R368" s="1382"/>
      <c r="S368" s="1382"/>
      <c r="T368" s="1382"/>
      <c r="U368" s="1382"/>
      <c r="V368" s="1382"/>
      <c r="W368" s="1382"/>
      <c r="X368" s="1382"/>
      <c r="Y368" s="1382"/>
      <c r="Z368" s="1382"/>
      <c r="AA368" s="1382"/>
      <c r="AB368" s="1382"/>
      <c r="AC368" s="1382"/>
      <c r="AD368" s="1382"/>
      <c r="AE368" s="1382"/>
      <c r="AF368" s="1382"/>
      <c r="AG368" s="1382"/>
      <c r="AH368" s="1382"/>
      <c r="AI368" s="1382"/>
      <c r="AJ368" s="1382"/>
      <c r="AK368" s="181"/>
      <c r="AL368" s="181"/>
      <c r="AM368" s="181"/>
      <c r="AN368" s="181"/>
      <c r="AO368" s="181"/>
      <c r="AP368" s="181"/>
      <c r="AQ368" s="181"/>
      <c r="AR368" s="181"/>
      <c r="AS368" s="181"/>
      <c r="AT368" s="181"/>
      <c r="AU368" s="181"/>
      <c r="AV368" s="181"/>
    </row>
    <row r="369" spans="1:48" s="30" customFormat="1" ht="14.25" hidden="1" customHeight="1" x14ac:dyDescent="0.25">
      <c r="A369" s="1408"/>
      <c r="B369" s="191"/>
      <c r="C369" s="921"/>
      <c r="D369" s="147"/>
      <c r="E369" s="29" t="s">
        <v>38</v>
      </c>
      <c r="F369" s="194"/>
      <c r="G369" s="240"/>
      <c r="H369" s="454" t="s">
        <v>138</v>
      </c>
      <c r="I369" s="196"/>
      <c r="J369" s="231"/>
      <c r="K369" s="1274"/>
      <c r="L369" s="1382"/>
      <c r="M369" s="1382"/>
      <c r="N369" s="1382"/>
      <c r="O369" s="1382"/>
      <c r="P369" s="1382"/>
      <c r="Q369" s="1382"/>
      <c r="R369" s="1382"/>
      <c r="S369" s="1382"/>
      <c r="T369" s="1382"/>
      <c r="U369" s="1382"/>
      <c r="V369" s="1382"/>
      <c r="W369" s="1382"/>
      <c r="X369" s="1382"/>
      <c r="Y369" s="1382"/>
      <c r="Z369" s="1382"/>
      <c r="AA369" s="1382"/>
      <c r="AB369" s="1382"/>
      <c r="AC369" s="1382"/>
      <c r="AD369" s="1382"/>
      <c r="AE369" s="1382"/>
      <c r="AF369" s="1382"/>
      <c r="AG369" s="1382"/>
      <c r="AH369" s="1382"/>
      <c r="AI369" s="1382"/>
      <c r="AJ369" s="1382"/>
      <c r="AK369" s="181"/>
      <c r="AL369" s="181"/>
      <c r="AM369" s="181"/>
      <c r="AN369" s="181"/>
      <c r="AO369" s="181"/>
      <c r="AP369" s="181"/>
      <c r="AQ369" s="181"/>
      <c r="AR369" s="181"/>
      <c r="AS369" s="181"/>
      <c r="AT369" s="181"/>
      <c r="AU369" s="181"/>
      <c r="AV369" s="181"/>
    </row>
    <row r="370" spans="1:48" s="30" customFormat="1" ht="14.25" hidden="1" customHeight="1" x14ac:dyDescent="0.25">
      <c r="A370" s="1408"/>
      <c r="B370" s="191"/>
      <c r="C370" s="921"/>
      <c r="D370" s="147"/>
      <c r="E370" s="29" t="s">
        <v>38</v>
      </c>
      <c r="F370" s="194"/>
      <c r="G370" s="240"/>
      <c r="H370" s="454" t="s">
        <v>138</v>
      </c>
      <c r="I370" s="196"/>
      <c r="J370" s="231"/>
      <c r="K370" s="1274"/>
      <c r="L370" s="1382"/>
      <c r="M370" s="1382"/>
      <c r="N370" s="1382"/>
      <c r="O370" s="1382"/>
      <c r="P370" s="1382"/>
      <c r="Q370" s="1382"/>
      <c r="R370" s="1382"/>
      <c r="S370" s="1382"/>
      <c r="T370" s="1382"/>
      <c r="U370" s="1382"/>
      <c r="V370" s="1382"/>
      <c r="W370" s="1382"/>
      <c r="X370" s="1382"/>
      <c r="Y370" s="1382"/>
      <c r="Z370" s="1382"/>
      <c r="AA370" s="1382"/>
      <c r="AB370" s="1382"/>
      <c r="AC370" s="1382"/>
      <c r="AD370" s="1382"/>
      <c r="AE370" s="1382"/>
      <c r="AF370" s="1382"/>
      <c r="AG370" s="1382"/>
      <c r="AH370" s="1382"/>
      <c r="AI370" s="1382"/>
      <c r="AJ370" s="1382"/>
      <c r="AK370" s="181"/>
      <c r="AL370" s="181"/>
      <c r="AM370" s="181"/>
      <c r="AN370" s="181"/>
      <c r="AO370" s="181"/>
      <c r="AP370" s="181"/>
      <c r="AQ370" s="181"/>
      <c r="AR370" s="181"/>
      <c r="AS370" s="181"/>
      <c r="AT370" s="181"/>
      <c r="AU370" s="181"/>
      <c r="AV370" s="181"/>
    </row>
    <row r="371" spans="1:48" s="30" customFormat="1" ht="14.25" hidden="1" customHeight="1" x14ac:dyDescent="0.25">
      <c r="A371" s="1408"/>
      <c r="B371" s="191"/>
      <c r="C371" s="921"/>
      <c r="D371" s="147"/>
      <c r="E371" s="29" t="s">
        <v>38</v>
      </c>
      <c r="F371" s="194"/>
      <c r="G371" s="240"/>
      <c r="H371" s="454" t="s">
        <v>138</v>
      </c>
      <c r="I371" s="196"/>
      <c r="J371" s="231"/>
      <c r="K371" s="1274"/>
      <c r="L371" s="1382"/>
      <c r="M371" s="1382"/>
      <c r="N371" s="1382"/>
      <c r="O371" s="1382"/>
      <c r="P371" s="1382"/>
      <c r="Q371" s="1382"/>
      <c r="R371" s="1382"/>
      <c r="S371" s="1382"/>
      <c r="T371" s="1382"/>
      <c r="U371" s="1382"/>
      <c r="V371" s="1382"/>
      <c r="W371" s="1382"/>
      <c r="X371" s="1382"/>
      <c r="Y371" s="1382"/>
      <c r="Z371" s="1382"/>
      <c r="AA371" s="1382"/>
      <c r="AB371" s="1382"/>
      <c r="AC371" s="1382"/>
      <c r="AD371" s="1382"/>
      <c r="AE371" s="1382"/>
      <c r="AF371" s="1382"/>
      <c r="AG371" s="1382"/>
      <c r="AH371" s="1382"/>
      <c r="AI371" s="1382"/>
      <c r="AJ371" s="1382"/>
      <c r="AK371" s="181"/>
      <c r="AL371" s="181"/>
      <c r="AM371" s="181"/>
      <c r="AN371" s="181"/>
      <c r="AO371" s="181"/>
      <c r="AP371" s="181"/>
      <c r="AQ371" s="181"/>
      <c r="AR371" s="181"/>
      <c r="AS371" s="181"/>
      <c r="AT371" s="181"/>
      <c r="AU371" s="181"/>
      <c r="AV371" s="181"/>
    </row>
    <row r="372" spans="1:48" s="30" customFormat="1" ht="14.25" hidden="1" customHeight="1" x14ac:dyDescent="0.25">
      <c r="A372" s="1408"/>
      <c r="B372" s="191"/>
      <c r="C372" s="921"/>
      <c r="D372" s="147"/>
      <c r="E372" s="29" t="s">
        <v>38</v>
      </c>
      <c r="F372" s="194"/>
      <c r="G372" s="240"/>
      <c r="H372" s="454" t="s">
        <v>138</v>
      </c>
      <c r="I372" s="196"/>
      <c r="J372" s="231"/>
      <c r="K372" s="1274"/>
      <c r="L372" s="1382"/>
      <c r="M372" s="1382"/>
      <c r="N372" s="1382"/>
      <c r="O372" s="1382"/>
      <c r="P372" s="1382"/>
      <c r="Q372" s="1382"/>
      <c r="R372" s="1382"/>
      <c r="S372" s="1382"/>
      <c r="T372" s="1382"/>
      <c r="U372" s="1382"/>
      <c r="V372" s="1382"/>
      <c r="W372" s="1382"/>
      <c r="X372" s="1382"/>
      <c r="Y372" s="1382"/>
      <c r="Z372" s="1382"/>
      <c r="AA372" s="1382"/>
      <c r="AB372" s="1382"/>
      <c r="AC372" s="1382"/>
      <c r="AD372" s="1382"/>
      <c r="AE372" s="1382"/>
      <c r="AF372" s="1382"/>
      <c r="AG372" s="1382"/>
      <c r="AH372" s="1382"/>
      <c r="AI372" s="1382"/>
      <c r="AJ372" s="1382"/>
      <c r="AK372" s="181"/>
      <c r="AL372" s="181"/>
      <c r="AM372" s="181"/>
      <c r="AN372" s="181"/>
      <c r="AO372" s="181"/>
      <c r="AP372" s="181"/>
      <c r="AQ372" s="181"/>
      <c r="AR372" s="181"/>
      <c r="AS372" s="181"/>
      <c r="AT372" s="181"/>
      <c r="AU372" s="181"/>
      <c r="AV372" s="181"/>
    </row>
    <row r="373" spans="1:48" s="30" customFormat="1" ht="14.25" hidden="1" customHeight="1" x14ac:dyDescent="0.25">
      <c r="A373" s="1408"/>
      <c r="B373" s="191"/>
      <c r="C373" s="921"/>
      <c r="D373" s="147"/>
      <c r="E373" s="29" t="s">
        <v>38</v>
      </c>
      <c r="F373" s="194"/>
      <c r="G373" s="240"/>
      <c r="H373" s="454" t="s">
        <v>138</v>
      </c>
      <c r="I373" s="196"/>
      <c r="J373" s="231"/>
      <c r="K373" s="1274"/>
      <c r="L373" s="1382"/>
      <c r="M373" s="1382"/>
      <c r="N373" s="1382"/>
      <c r="O373" s="1382"/>
      <c r="P373" s="1382"/>
      <c r="Q373" s="1382"/>
      <c r="R373" s="1382"/>
      <c r="S373" s="1382"/>
      <c r="T373" s="1382"/>
      <c r="U373" s="1382"/>
      <c r="V373" s="1382"/>
      <c r="W373" s="1382"/>
      <c r="X373" s="1382"/>
      <c r="Y373" s="1382"/>
      <c r="Z373" s="1382"/>
      <c r="AA373" s="1382"/>
      <c r="AB373" s="1382"/>
      <c r="AC373" s="1382"/>
      <c r="AD373" s="1382"/>
      <c r="AE373" s="1382"/>
      <c r="AF373" s="1382"/>
      <c r="AG373" s="1382"/>
      <c r="AH373" s="1382"/>
      <c r="AI373" s="1382"/>
      <c r="AJ373" s="1382"/>
      <c r="AK373" s="181"/>
      <c r="AL373" s="181"/>
      <c r="AM373" s="181"/>
      <c r="AN373" s="181"/>
      <c r="AO373" s="181"/>
      <c r="AP373" s="181"/>
      <c r="AQ373" s="181"/>
      <c r="AR373" s="181"/>
      <c r="AS373" s="181"/>
      <c r="AT373" s="181"/>
      <c r="AU373" s="181"/>
      <c r="AV373" s="181"/>
    </row>
    <row r="374" spans="1:48" s="30" customFormat="1" ht="14.25" hidden="1" customHeight="1" x14ac:dyDescent="0.25">
      <c r="A374" s="1408"/>
      <c r="B374" s="191"/>
      <c r="C374" s="921"/>
      <c r="D374" s="147"/>
      <c r="E374" s="29" t="s">
        <v>38</v>
      </c>
      <c r="F374" s="194"/>
      <c r="G374" s="240"/>
      <c r="H374" s="454" t="s">
        <v>138</v>
      </c>
      <c r="I374" s="196"/>
      <c r="J374" s="231"/>
      <c r="K374" s="1274"/>
      <c r="L374" s="1382"/>
      <c r="M374" s="1382"/>
      <c r="N374" s="1382"/>
      <c r="O374" s="1382"/>
      <c r="P374" s="1382"/>
      <c r="Q374" s="1382"/>
      <c r="R374" s="1382"/>
      <c r="S374" s="1382"/>
      <c r="T374" s="1382"/>
      <c r="U374" s="1382"/>
      <c r="V374" s="1382"/>
      <c r="W374" s="1382"/>
      <c r="X374" s="1382"/>
      <c r="Y374" s="1382"/>
      <c r="Z374" s="1382"/>
      <c r="AA374" s="1382"/>
      <c r="AB374" s="1382"/>
      <c r="AC374" s="1382"/>
      <c r="AD374" s="1382"/>
      <c r="AE374" s="1382"/>
      <c r="AF374" s="1382"/>
      <c r="AG374" s="1382"/>
      <c r="AH374" s="1382"/>
      <c r="AI374" s="1382"/>
      <c r="AJ374" s="1382"/>
      <c r="AK374" s="181"/>
      <c r="AL374" s="181"/>
      <c r="AM374" s="181"/>
      <c r="AN374" s="181"/>
      <c r="AO374" s="181"/>
      <c r="AP374" s="181"/>
      <c r="AQ374" s="181"/>
      <c r="AR374" s="181"/>
      <c r="AS374" s="181"/>
      <c r="AT374" s="181"/>
      <c r="AU374" s="181"/>
      <c r="AV374" s="181"/>
    </row>
    <row r="375" spans="1:48" s="30" customFormat="1" ht="14.25" hidden="1" customHeight="1" x14ac:dyDescent="0.25">
      <c r="A375" s="1408"/>
      <c r="B375" s="191"/>
      <c r="C375" s="921"/>
      <c r="D375" s="147"/>
      <c r="E375" s="29" t="s">
        <v>38</v>
      </c>
      <c r="F375" s="194"/>
      <c r="G375" s="240"/>
      <c r="H375" s="454" t="s">
        <v>138</v>
      </c>
      <c r="I375" s="196"/>
      <c r="J375" s="231"/>
      <c r="K375" s="1274"/>
      <c r="L375" s="1382"/>
      <c r="M375" s="1382"/>
      <c r="N375" s="1382"/>
      <c r="O375" s="1382"/>
      <c r="P375" s="1382"/>
      <c r="Q375" s="1382"/>
      <c r="R375" s="1382"/>
      <c r="S375" s="1382"/>
      <c r="T375" s="1382"/>
      <c r="U375" s="1382"/>
      <c r="V375" s="1382"/>
      <c r="W375" s="1382"/>
      <c r="X375" s="1382"/>
      <c r="Y375" s="1382"/>
      <c r="Z375" s="1382"/>
      <c r="AA375" s="1382"/>
      <c r="AB375" s="1382"/>
      <c r="AC375" s="1382"/>
      <c r="AD375" s="1382"/>
      <c r="AE375" s="1382"/>
      <c r="AF375" s="1382"/>
      <c r="AG375" s="1382"/>
      <c r="AH375" s="1382"/>
      <c r="AI375" s="1382"/>
      <c r="AJ375" s="1382"/>
      <c r="AK375" s="181"/>
      <c r="AL375" s="181"/>
      <c r="AM375" s="181"/>
      <c r="AN375" s="181"/>
      <c r="AO375" s="181"/>
      <c r="AP375" s="181"/>
      <c r="AQ375" s="181"/>
      <c r="AR375" s="181"/>
      <c r="AS375" s="181"/>
      <c r="AT375" s="181"/>
      <c r="AU375" s="181"/>
      <c r="AV375" s="181"/>
    </row>
    <row r="376" spans="1:48" s="30" customFormat="1" ht="14.25" hidden="1" customHeight="1" x14ac:dyDescent="0.25">
      <c r="A376" s="1408"/>
      <c r="B376" s="191"/>
      <c r="C376" s="921"/>
      <c r="D376" s="147"/>
      <c r="E376" s="29" t="s">
        <v>38</v>
      </c>
      <c r="F376" s="194"/>
      <c r="G376" s="240"/>
      <c r="H376" s="454" t="s">
        <v>138</v>
      </c>
      <c r="I376" s="196"/>
      <c r="J376" s="231"/>
      <c r="K376" s="1274"/>
      <c r="L376" s="1382"/>
      <c r="M376" s="1382"/>
      <c r="N376" s="1382"/>
      <c r="O376" s="1382"/>
      <c r="P376" s="1382"/>
      <c r="Q376" s="1382"/>
      <c r="R376" s="1382"/>
      <c r="S376" s="1382"/>
      <c r="T376" s="1382"/>
      <c r="U376" s="1382"/>
      <c r="V376" s="1382"/>
      <c r="W376" s="1382"/>
      <c r="X376" s="1382"/>
      <c r="Y376" s="1382"/>
      <c r="Z376" s="1382"/>
      <c r="AA376" s="1382"/>
      <c r="AB376" s="1382"/>
      <c r="AC376" s="1382"/>
      <c r="AD376" s="1382"/>
      <c r="AE376" s="1382"/>
      <c r="AF376" s="1382"/>
      <c r="AG376" s="1382"/>
      <c r="AH376" s="1382"/>
      <c r="AI376" s="1382"/>
      <c r="AJ376" s="1382"/>
      <c r="AK376" s="181"/>
      <c r="AL376" s="181"/>
      <c r="AM376" s="181"/>
      <c r="AN376" s="181"/>
      <c r="AO376" s="181"/>
      <c r="AP376" s="181"/>
      <c r="AQ376" s="181"/>
      <c r="AR376" s="181"/>
      <c r="AS376" s="181"/>
      <c r="AT376" s="181"/>
      <c r="AU376" s="181"/>
      <c r="AV376" s="181"/>
    </row>
    <row r="377" spans="1:48" s="30" customFormat="1" ht="14.25" hidden="1" customHeight="1" x14ac:dyDescent="0.25">
      <c r="A377" s="1408"/>
      <c r="B377" s="191"/>
      <c r="C377" s="921"/>
      <c r="D377" s="147"/>
      <c r="E377" s="29" t="s">
        <v>38</v>
      </c>
      <c r="F377" s="194"/>
      <c r="G377" s="240"/>
      <c r="H377" s="454" t="s">
        <v>138</v>
      </c>
      <c r="I377" s="196"/>
      <c r="J377" s="231"/>
      <c r="K377" s="1274"/>
      <c r="L377" s="1382"/>
      <c r="M377" s="1382"/>
      <c r="N377" s="1382"/>
      <c r="O377" s="1382"/>
      <c r="P377" s="1382"/>
      <c r="Q377" s="1382"/>
      <c r="R377" s="1382"/>
      <c r="S377" s="1382"/>
      <c r="T377" s="1382"/>
      <c r="U377" s="1382"/>
      <c r="V377" s="1382"/>
      <c r="W377" s="1382"/>
      <c r="X377" s="1382"/>
      <c r="Y377" s="1382"/>
      <c r="Z377" s="1382"/>
      <c r="AA377" s="1382"/>
      <c r="AB377" s="1382"/>
      <c r="AC377" s="1382"/>
      <c r="AD377" s="1382"/>
      <c r="AE377" s="1382"/>
      <c r="AF377" s="1382"/>
      <c r="AG377" s="1382"/>
      <c r="AH377" s="1382"/>
      <c r="AI377" s="1382"/>
      <c r="AJ377" s="1382"/>
      <c r="AK377" s="181"/>
      <c r="AL377" s="181"/>
      <c r="AM377" s="181"/>
      <c r="AN377" s="181"/>
      <c r="AO377" s="181"/>
      <c r="AP377" s="181"/>
      <c r="AQ377" s="181"/>
      <c r="AR377" s="181"/>
      <c r="AS377" s="181"/>
      <c r="AT377" s="181"/>
      <c r="AU377" s="181"/>
      <c r="AV377" s="181"/>
    </row>
    <row r="378" spans="1:48" s="30" customFormat="1" ht="14.25" hidden="1" customHeight="1" x14ac:dyDescent="0.25">
      <c r="A378" s="1408"/>
      <c r="B378" s="191"/>
      <c r="C378" s="921"/>
      <c r="D378" s="147"/>
      <c r="E378" s="29" t="s">
        <v>38</v>
      </c>
      <c r="F378" s="194"/>
      <c r="G378" s="240"/>
      <c r="H378" s="454" t="s">
        <v>138</v>
      </c>
      <c r="I378" s="196"/>
      <c r="J378" s="231"/>
      <c r="K378" s="1274"/>
      <c r="L378" s="1382"/>
      <c r="M378" s="1382"/>
      <c r="N378" s="1382"/>
      <c r="O378" s="1382"/>
      <c r="P378" s="1382"/>
      <c r="Q378" s="1382"/>
      <c r="R378" s="1382"/>
      <c r="S378" s="1382"/>
      <c r="T378" s="1382"/>
      <c r="U378" s="1382"/>
      <c r="V378" s="1382"/>
      <c r="W378" s="1382"/>
      <c r="X378" s="1382"/>
      <c r="Y378" s="1382"/>
      <c r="Z378" s="1382"/>
      <c r="AA378" s="1382"/>
      <c r="AB378" s="1382"/>
      <c r="AC378" s="1382"/>
      <c r="AD378" s="1382"/>
      <c r="AE378" s="1382"/>
      <c r="AF378" s="1382"/>
      <c r="AG378" s="1382"/>
      <c r="AH378" s="1382"/>
      <c r="AI378" s="1382"/>
      <c r="AJ378" s="1382"/>
      <c r="AK378" s="181"/>
      <c r="AL378" s="181"/>
      <c r="AM378" s="181"/>
      <c r="AN378" s="181"/>
      <c r="AO378" s="181"/>
      <c r="AP378" s="181"/>
      <c r="AQ378" s="181"/>
      <c r="AR378" s="181"/>
      <c r="AS378" s="181"/>
      <c r="AT378" s="181"/>
      <c r="AU378" s="181"/>
      <c r="AV378" s="181"/>
    </row>
    <row r="379" spans="1:48" s="30" customFormat="1" ht="14.25" hidden="1" customHeight="1" x14ac:dyDescent="0.25">
      <c r="A379" s="1408"/>
      <c r="B379" s="191"/>
      <c r="C379" s="921"/>
      <c r="D379" s="147"/>
      <c r="E379" s="29" t="s">
        <v>38</v>
      </c>
      <c r="F379" s="194"/>
      <c r="G379" s="240"/>
      <c r="H379" s="454" t="s">
        <v>138</v>
      </c>
      <c r="I379" s="196"/>
      <c r="J379" s="231"/>
      <c r="K379" s="1274"/>
      <c r="L379" s="1382"/>
      <c r="M379" s="1382"/>
      <c r="N379" s="1382"/>
      <c r="O379" s="1382"/>
      <c r="P379" s="1382"/>
      <c r="Q379" s="1382"/>
      <c r="R379" s="1382"/>
      <c r="S379" s="1382"/>
      <c r="T379" s="1382"/>
      <c r="U379" s="1382"/>
      <c r="V379" s="1382"/>
      <c r="W379" s="1382"/>
      <c r="X379" s="1382"/>
      <c r="Y379" s="1382"/>
      <c r="Z379" s="1382"/>
      <c r="AA379" s="1382"/>
      <c r="AB379" s="1382"/>
      <c r="AC379" s="1382"/>
      <c r="AD379" s="1382"/>
      <c r="AE379" s="1382"/>
      <c r="AF379" s="1382"/>
      <c r="AG379" s="1382"/>
      <c r="AH379" s="1382"/>
      <c r="AI379" s="1382"/>
      <c r="AJ379" s="1382"/>
      <c r="AK379" s="181"/>
      <c r="AL379" s="181"/>
      <c r="AM379" s="181"/>
      <c r="AN379" s="181"/>
      <c r="AO379" s="181"/>
      <c r="AP379" s="181"/>
      <c r="AQ379" s="181"/>
      <c r="AR379" s="181"/>
      <c r="AS379" s="181"/>
      <c r="AT379" s="181"/>
      <c r="AU379" s="181"/>
      <c r="AV379" s="181"/>
    </row>
    <row r="380" spans="1:48" s="30" customFormat="1" ht="14.25" hidden="1" customHeight="1" x14ac:dyDescent="0.25">
      <c r="A380" s="1408"/>
      <c r="B380" s="191"/>
      <c r="C380" s="921"/>
      <c r="D380" s="147"/>
      <c r="E380" s="29" t="s">
        <v>38</v>
      </c>
      <c r="F380" s="194"/>
      <c r="G380" s="240"/>
      <c r="H380" s="454" t="s">
        <v>138</v>
      </c>
      <c r="I380" s="196"/>
      <c r="J380" s="231"/>
      <c r="K380" s="1274"/>
      <c r="L380" s="1382"/>
      <c r="M380" s="1382"/>
      <c r="N380" s="1382"/>
      <c r="O380" s="1382"/>
      <c r="P380" s="1382"/>
      <c r="Q380" s="1382"/>
      <c r="R380" s="1382"/>
      <c r="S380" s="1382"/>
      <c r="T380" s="1382"/>
      <c r="U380" s="1382"/>
      <c r="V380" s="1382"/>
      <c r="W380" s="1382"/>
      <c r="X380" s="1382"/>
      <c r="Y380" s="1382"/>
      <c r="Z380" s="1382"/>
      <c r="AA380" s="1382"/>
      <c r="AB380" s="1382"/>
      <c r="AC380" s="1382"/>
      <c r="AD380" s="1382"/>
      <c r="AE380" s="1382"/>
      <c r="AF380" s="1382"/>
      <c r="AG380" s="1382"/>
      <c r="AH380" s="1382"/>
      <c r="AI380" s="1382"/>
      <c r="AJ380" s="1382"/>
      <c r="AK380" s="181"/>
      <c r="AL380" s="181"/>
      <c r="AM380" s="181"/>
      <c r="AN380" s="181"/>
      <c r="AO380" s="181"/>
      <c r="AP380" s="181"/>
      <c r="AQ380" s="181"/>
      <c r="AR380" s="181"/>
      <c r="AS380" s="181"/>
      <c r="AT380" s="181"/>
      <c r="AU380" s="181"/>
      <c r="AV380" s="181"/>
    </row>
    <row r="381" spans="1:48" s="30" customFormat="1" ht="14.25" hidden="1" customHeight="1" x14ac:dyDescent="0.25">
      <c r="A381" s="1408"/>
      <c r="B381" s="191"/>
      <c r="C381" s="921"/>
      <c r="D381" s="147"/>
      <c r="E381" s="29" t="s">
        <v>38</v>
      </c>
      <c r="F381" s="194"/>
      <c r="G381" s="240"/>
      <c r="H381" s="454" t="s">
        <v>138</v>
      </c>
      <c r="I381" s="196"/>
      <c r="J381" s="231"/>
      <c r="K381" s="1274"/>
      <c r="L381" s="1382"/>
      <c r="M381" s="1382"/>
      <c r="N381" s="1382"/>
      <c r="O381" s="1382"/>
      <c r="P381" s="1382"/>
      <c r="Q381" s="1382"/>
      <c r="R381" s="1382"/>
      <c r="S381" s="1382"/>
      <c r="T381" s="1382"/>
      <c r="U381" s="1382"/>
      <c r="V381" s="1382"/>
      <c r="W381" s="1382"/>
      <c r="X381" s="1382"/>
      <c r="Y381" s="1382"/>
      <c r="Z381" s="1382"/>
      <c r="AA381" s="1382"/>
      <c r="AB381" s="1382"/>
      <c r="AC381" s="1382"/>
      <c r="AD381" s="1382"/>
      <c r="AE381" s="1382"/>
      <c r="AF381" s="1382"/>
      <c r="AG381" s="1382"/>
      <c r="AH381" s="1382"/>
      <c r="AI381" s="1382"/>
      <c r="AJ381" s="1382"/>
      <c r="AK381" s="181"/>
      <c r="AL381" s="181"/>
      <c r="AM381" s="181"/>
      <c r="AN381" s="181"/>
      <c r="AO381" s="181"/>
      <c r="AP381" s="181"/>
      <c r="AQ381" s="181"/>
      <c r="AR381" s="181"/>
      <c r="AS381" s="181"/>
      <c r="AT381" s="181"/>
      <c r="AU381" s="181"/>
      <c r="AV381" s="181"/>
    </row>
    <row r="382" spans="1:48" s="30" customFormat="1" ht="14.25" hidden="1" customHeight="1" x14ac:dyDescent="0.25">
      <c r="A382" s="1408"/>
      <c r="B382" s="191"/>
      <c r="C382" s="921"/>
      <c r="D382" s="147"/>
      <c r="E382" s="29" t="s">
        <v>38</v>
      </c>
      <c r="F382" s="194"/>
      <c r="G382" s="240"/>
      <c r="H382" s="454" t="s">
        <v>138</v>
      </c>
      <c r="I382" s="196"/>
      <c r="J382" s="231"/>
      <c r="K382" s="1274"/>
      <c r="L382" s="1382"/>
      <c r="M382" s="1382"/>
      <c r="N382" s="1382"/>
      <c r="O382" s="1382"/>
      <c r="P382" s="1382"/>
      <c r="Q382" s="1382"/>
      <c r="R382" s="1382"/>
      <c r="S382" s="1382"/>
      <c r="T382" s="1382"/>
      <c r="U382" s="1382"/>
      <c r="V382" s="1382"/>
      <c r="W382" s="1382"/>
      <c r="X382" s="1382"/>
      <c r="Y382" s="1382"/>
      <c r="Z382" s="1382"/>
      <c r="AA382" s="1382"/>
      <c r="AB382" s="1382"/>
      <c r="AC382" s="1382"/>
      <c r="AD382" s="1382"/>
      <c r="AE382" s="1382"/>
      <c r="AF382" s="1382"/>
      <c r="AG382" s="1382"/>
      <c r="AH382" s="1382"/>
      <c r="AI382" s="1382"/>
      <c r="AJ382" s="1382"/>
      <c r="AK382" s="181"/>
      <c r="AL382" s="181"/>
      <c r="AM382" s="181"/>
      <c r="AN382" s="181"/>
      <c r="AO382" s="181"/>
      <c r="AP382" s="181"/>
      <c r="AQ382" s="181"/>
      <c r="AR382" s="181"/>
      <c r="AS382" s="181"/>
      <c r="AT382" s="181"/>
      <c r="AU382" s="181"/>
      <c r="AV382" s="181"/>
    </row>
    <row r="383" spans="1:48" s="30" customFormat="1" ht="14.25" hidden="1" customHeight="1" x14ac:dyDescent="0.25">
      <c r="A383" s="1408"/>
      <c r="B383" s="191"/>
      <c r="C383" s="921"/>
      <c r="D383" s="147"/>
      <c r="E383" s="29" t="s">
        <v>38</v>
      </c>
      <c r="F383" s="194"/>
      <c r="G383" s="240"/>
      <c r="H383" s="454" t="s">
        <v>138</v>
      </c>
      <c r="I383" s="196"/>
      <c r="J383" s="231"/>
      <c r="K383" s="1274"/>
      <c r="L383" s="1382"/>
      <c r="M383" s="1382"/>
      <c r="N383" s="1382"/>
      <c r="O383" s="1382"/>
      <c r="P383" s="1382"/>
      <c r="Q383" s="1382"/>
      <c r="R383" s="1382"/>
      <c r="S383" s="1382"/>
      <c r="T383" s="1382"/>
      <c r="U383" s="1382"/>
      <c r="V383" s="1382"/>
      <c r="W383" s="1382"/>
      <c r="X383" s="1382"/>
      <c r="Y383" s="1382"/>
      <c r="Z383" s="1382"/>
      <c r="AA383" s="1382"/>
      <c r="AB383" s="1382"/>
      <c r="AC383" s="1382"/>
      <c r="AD383" s="1382"/>
      <c r="AE383" s="1382"/>
      <c r="AF383" s="1382"/>
      <c r="AG383" s="1382"/>
      <c r="AH383" s="1382"/>
      <c r="AI383" s="1382"/>
      <c r="AJ383" s="1382"/>
      <c r="AK383" s="181"/>
      <c r="AL383" s="181"/>
      <c r="AM383" s="181"/>
      <c r="AN383" s="181"/>
      <c r="AO383" s="181"/>
      <c r="AP383" s="181"/>
      <c r="AQ383" s="181"/>
      <c r="AR383" s="181"/>
      <c r="AS383" s="181"/>
      <c r="AT383" s="181"/>
      <c r="AU383" s="181"/>
      <c r="AV383" s="181"/>
    </row>
    <row r="384" spans="1:48" s="30" customFormat="1" ht="14.25" hidden="1" customHeight="1" x14ac:dyDescent="0.25">
      <c r="A384" s="1408"/>
      <c r="B384" s="191"/>
      <c r="C384" s="921"/>
      <c r="D384" s="147"/>
      <c r="E384" s="29" t="s">
        <v>38</v>
      </c>
      <c r="F384" s="194"/>
      <c r="G384" s="240"/>
      <c r="H384" s="454" t="s">
        <v>138</v>
      </c>
      <c r="I384" s="196"/>
      <c r="J384" s="231"/>
      <c r="K384" s="1274"/>
      <c r="L384" s="1382"/>
      <c r="M384" s="1382"/>
      <c r="N384" s="1382"/>
      <c r="O384" s="1382"/>
      <c r="P384" s="1382"/>
      <c r="Q384" s="1382"/>
      <c r="R384" s="1382"/>
      <c r="S384" s="1382"/>
      <c r="T384" s="1382"/>
      <c r="U384" s="1382"/>
      <c r="V384" s="1382"/>
      <c r="W384" s="1382"/>
      <c r="X384" s="1382"/>
      <c r="Y384" s="1382"/>
      <c r="Z384" s="1382"/>
      <c r="AA384" s="1382"/>
      <c r="AB384" s="1382"/>
      <c r="AC384" s="1382"/>
      <c r="AD384" s="1382"/>
      <c r="AE384" s="1382"/>
      <c r="AF384" s="1382"/>
      <c r="AG384" s="1382"/>
      <c r="AH384" s="1382"/>
      <c r="AI384" s="1382"/>
      <c r="AJ384" s="1382"/>
      <c r="AK384" s="181"/>
      <c r="AL384" s="181"/>
      <c r="AM384" s="181"/>
      <c r="AN384" s="181"/>
      <c r="AO384" s="181"/>
      <c r="AP384" s="181"/>
      <c r="AQ384" s="181"/>
      <c r="AR384" s="181"/>
      <c r="AS384" s="181"/>
      <c r="AT384" s="181"/>
      <c r="AU384" s="181"/>
      <c r="AV384" s="181"/>
    </row>
    <row r="385" spans="1:48" s="30" customFormat="1" ht="14.25" hidden="1" customHeight="1" x14ac:dyDescent="0.25">
      <c r="A385" s="1408"/>
      <c r="B385" s="191"/>
      <c r="C385" s="921"/>
      <c r="D385" s="147"/>
      <c r="E385" s="29" t="s">
        <v>38</v>
      </c>
      <c r="F385" s="194"/>
      <c r="G385" s="240"/>
      <c r="H385" s="454" t="s">
        <v>138</v>
      </c>
      <c r="I385" s="196"/>
      <c r="J385" s="231"/>
      <c r="K385" s="1274"/>
      <c r="L385" s="1382"/>
      <c r="M385" s="1382"/>
      <c r="N385" s="1382"/>
      <c r="O385" s="1382"/>
      <c r="P385" s="1382"/>
      <c r="Q385" s="1382"/>
      <c r="R385" s="1382"/>
      <c r="S385" s="1382"/>
      <c r="T385" s="1382"/>
      <c r="U385" s="1382"/>
      <c r="V385" s="1382"/>
      <c r="W385" s="1382"/>
      <c r="X385" s="1382"/>
      <c r="Y385" s="1382"/>
      <c r="Z385" s="1382"/>
      <c r="AA385" s="1382"/>
      <c r="AB385" s="1382"/>
      <c r="AC385" s="1382"/>
      <c r="AD385" s="1382"/>
      <c r="AE385" s="1382"/>
      <c r="AF385" s="1382"/>
      <c r="AG385" s="1382"/>
      <c r="AH385" s="1382"/>
      <c r="AI385" s="1382"/>
      <c r="AJ385" s="1382"/>
      <c r="AK385" s="181"/>
      <c r="AL385" s="181"/>
      <c r="AM385" s="181"/>
      <c r="AN385" s="181"/>
      <c r="AO385" s="181"/>
      <c r="AP385" s="181"/>
      <c r="AQ385" s="181"/>
      <c r="AR385" s="181"/>
      <c r="AS385" s="181"/>
      <c r="AT385" s="181"/>
      <c r="AU385" s="181"/>
      <c r="AV385" s="181"/>
    </row>
    <row r="386" spans="1:48" s="30" customFormat="1" ht="14.25" hidden="1" customHeight="1" x14ac:dyDescent="0.25">
      <c r="A386" s="1408"/>
      <c r="B386" s="191"/>
      <c r="C386" s="921"/>
      <c r="D386" s="147"/>
      <c r="E386" s="29" t="s">
        <v>38</v>
      </c>
      <c r="F386" s="194"/>
      <c r="G386" s="240"/>
      <c r="H386" s="454" t="s">
        <v>138</v>
      </c>
      <c r="I386" s="196"/>
      <c r="J386" s="231"/>
      <c r="K386" s="1274"/>
      <c r="L386" s="1382"/>
      <c r="M386" s="1382"/>
      <c r="N386" s="1382"/>
      <c r="O386" s="1382"/>
      <c r="P386" s="1382"/>
      <c r="Q386" s="1382"/>
      <c r="R386" s="1382"/>
      <c r="S386" s="1382"/>
      <c r="T386" s="1382"/>
      <c r="U386" s="1382"/>
      <c r="V386" s="1382"/>
      <c r="W386" s="1382"/>
      <c r="X386" s="1382"/>
      <c r="Y386" s="1382"/>
      <c r="Z386" s="1382"/>
      <c r="AA386" s="1382"/>
      <c r="AB386" s="1382"/>
      <c r="AC386" s="1382"/>
      <c r="AD386" s="1382"/>
      <c r="AE386" s="1382"/>
      <c r="AF386" s="1382"/>
      <c r="AG386" s="1382"/>
      <c r="AH386" s="1382"/>
      <c r="AI386" s="1382"/>
      <c r="AJ386" s="1382"/>
      <c r="AK386" s="181"/>
      <c r="AL386" s="181"/>
      <c r="AM386" s="181"/>
      <c r="AN386" s="181"/>
      <c r="AO386" s="181"/>
      <c r="AP386" s="181"/>
      <c r="AQ386" s="181"/>
      <c r="AR386" s="181"/>
      <c r="AS386" s="181"/>
      <c r="AT386" s="181"/>
      <c r="AU386" s="181"/>
      <c r="AV386" s="181"/>
    </row>
    <row r="387" spans="1:48" s="30" customFormat="1" ht="14.25" hidden="1" customHeight="1" x14ac:dyDescent="0.25">
      <c r="A387" s="1408"/>
      <c r="B387" s="191"/>
      <c r="C387" s="921"/>
      <c r="D387" s="147"/>
      <c r="E387" s="29" t="s">
        <v>38</v>
      </c>
      <c r="F387" s="194"/>
      <c r="G387" s="240"/>
      <c r="H387" s="454" t="s">
        <v>138</v>
      </c>
      <c r="I387" s="196"/>
      <c r="J387" s="231"/>
      <c r="K387" s="1274"/>
      <c r="L387" s="1382"/>
      <c r="M387" s="1382"/>
      <c r="N387" s="1382"/>
      <c r="O387" s="1382"/>
      <c r="P387" s="1382"/>
      <c r="Q387" s="1382"/>
      <c r="R387" s="1382"/>
      <c r="S387" s="1382"/>
      <c r="T387" s="1382"/>
      <c r="U387" s="1382"/>
      <c r="V387" s="1382"/>
      <c r="W387" s="1382"/>
      <c r="X387" s="1382"/>
      <c r="Y387" s="1382"/>
      <c r="Z387" s="1382"/>
      <c r="AA387" s="1382"/>
      <c r="AB387" s="1382"/>
      <c r="AC387" s="1382"/>
      <c r="AD387" s="1382"/>
      <c r="AE387" s="1382"/>
      <c r="AF387" s="1382"/>
      <c r="AG387" s="1382"/>
      <c r="AH387" s="1382"/>
      <c r="AI387" s="1382"/>
      <c r="AJ387" s="1382"/>
      <c r="AK387" s="181"/>
      <c r="AL387" s="181"/>
      <c r="AM387" s="181"/>
      <c r="AN387" s="181"/>
      <c r="AO387" s="181"/>
      <c r="AP387" s="181"/>
      <c r="AQ387" s="181"/>
      <c r="AR387" s="181"/>
      <c r="AS387" s="181"/>
      <c r="AT387" s="181"/>
      <c r="AU387" s="181"/>
      <c r="AV387" s="181"/>
    </row>
    <row r="388" spans="1:48" s="30" customFormat="1" ht="14.25" hidden="1" customHeight="1" x14ac:dyDescent="0.25">
      <c r="A388" s="1408"/>
      <c r="B388" s="191"/>
      <c r="C388" s="921"/>
      <c r="D388" s="147"/>
      <c r="E388" s="29" t="s">
        <v>38</v>
      </c>
      <c r="F388" s="194"/>
      <c r="G388" s="240"/>
      <c r="H388" s="454" t="s">
        <v>138</v>
      </c>
      <c r="I388" s="196"/>
      <c r="J388" s="231"/>
      <c r="K388" s="1274"/>
      <c r="L388" s="1382"/>
      <c r="M388" s="1382"/>
      <c r="N388" s="1382"/>
      <c r="O388" s="1382"/>
      <c r="P388" s="1382"/>
      <c r="Q388" s="1382"/>
      <c r="R388" s="1382"/>
      <c r="S388" s="1382"/>
      <c r="T388" s="1382"/>
      <c r="U388" s="1382"/>
      <c r="V388" s="1382"/>
      <c r="W388" s="1382"/>
      <c r="X388" s="1382"/>
      <c r="Y388" s="1382"/>
      <c r="Z388" s="1382"/>
      <c r="AA388" s="1382"/>
      <c r="AB388" s="1382"/>
      <c r="AC388" s="1382"/>
      <c r="AD388" s="1382"/>
      <c r="AE388" s="1382"/>
      <c r="AF388" s="1382"/>
      <c r="AG388" s="1382"/>
      <c r="AH388" s="1382"/>
      <c r="AI388" s="1382"/>
      <c r="AJ388" s="1382"/>
      <c r="AK388" s="181"/>
      <c r="AL388" s="181"/>
      <c r="AM388" s="181"/>
      <c r="AN388" s="181"/>
      <c r="AO388" s="181"/>
      <c r="AP388" s="181"/>
      <c r="AQ388" s="181"/>
      <c r="AR388" s="181"/>
      <c r="AS388" s="181"/>
      <c r="AT388" s="181"/>
      <c r="AU388" s="181"/>
      <c r="AV388" s="181"/>
    </row>
    <row r="389" spans="1:48" s="30" customFormat="1" ht="14.25" hidden="1" customHeight="1" x14ac:dyDescent="0.25">
      <c r="A389" s="1408"/>
      <c r="B389" s="191"/>
      <c r="C389" s="921"/>
      <c r="D389" s="147"/>
      <c r="E389" s="29" t="s">
        <v>38</v>
      </c>
      <c r="F389" s="194"/>
      <c r="G389" s="240"/>
      <c r="H389" s="454" t="s">
        <v>138</v>
      </c>
      <c r="I389" s="196"/>
      <c r="J389" s="231"/>
      <c r="K389" s="1274"/>
      <c r="L389" s="1382"/>
      <c r="M389" s="1382"/>
      <c r="N389" s="1382"/>
      <c r="O389" s="1382"/>
      <c r="P389" s="1382"/>
      <c r="Q389" s="1382"/>
      <c r="R389" s="1382"/>
      <c r="S389" s="1382"/>
      <c r="T389" s="1382"/>
      <c r="U389" s="1382"/>
      <c r="V389" s="1382"/>
      <c r="W389" s="1382"/>
      <c r="X389" s="1382"/>
      <c r="Y389" s="1382"/>
      <c r="Z389" s="1382"/>
      <c r="AA389" s="1382"/>
      <c r="AB389" s="1382"/>
      <c r="AC389" s="1382"/>
      <c r="AD389" s="1382"/>
      <c r="AE389" s="1382"/>
      <c r="AF389" s="1382"/>
      <c r="AG389" s="1382"/>
      <c r="AH389" s="1382"/>
      <c r="AI389" s="1382"/>
      <c r="AJ389" s="1382"/>
      <c r="AK389" s="181"/>
      <c r="AL389" s="181"/>
      <c r="AM389" s="181"/>
      <c r="AN389" s="181"/>
      <c r="AO389" s="181"/>
      <c r="AP389" s="181"/>
      <c r="AQ389" s="181"/>
      <c r="AR389" s="181"/>
      <c r="AS389" s="181"/>
      <c r="AT389" s="181"/>
      <c r="AU389" s="181"/>
      <c r="AV389" s="181"/>
    </row>
    <row r="390" spans="1:48" s="30" customFormat="1" ht="14.25" hidden="1" customHeight="1" x14ac:dyDescent="0.25">
      <c r="A390" s="1408"/>
      <c r="B390" s="191"/>
      <c r="C390" s="921"/>
      <c r="D390" s="147"/>
      <c r="E390" s="29" t="s">
        <v>38</v>
      </c>
      <c r="F390" s="194"/>
      <c r="G390" s="240"/>
      <c r="H390" s="454" t="s">
        <v>138</v>
      </c>
      <c r="I390" s="196"/>
      <c r="J390" s="231"/>
      <c r="K390" s="1274"/>
      <c r="L390" s="1382"/>
      <c r="M390" s="1382"/>
      <c r="N390" s="1382"/>
      <c r="O390" s="1382"/>
      <c r="P390" s="1382"/>
      <c r="Q390" s="1382"/>
      <c r="R390" s="1382"/>
      <c r="S390" s="1382"/>
      <c r="T390" s="1382"/>
      <c r="U390" s="1382"/>
      <c r="V390" s="1382"/>
      <c r="W390" s="1382"/>
      <c r="X390" s="1382"/>
      <c r="Y390" s="1382"/>
      <c r="Z390" s="1382"/>
      <c r="AA390" s="1382"/>
      <c r="AB390" s="1382"/>
      <c r="AC390" s="1382"/>
      <c r="AD390" s="1382"/>
      <c r="AE390" s="1382"/>
      <c r="AF390" s="1382"/>
      <c r="AG390" s="1382"/>
      <c r="AH390" s="1382"/>
      <c r="AI390" s="1382"/>
      <c r="AJ390" s="1382"/>
      <c r="AK390" s="181"/>
      <c r="AL390" s="181"/>
      <c r="AM390" s="181"/>
      <c r="AN390" s="181"/>
      <c r="AO390" s="181"/>
      <c r="AP390" s="181"/>
      <c r="AQ390" s="181"/>
      <c r="AR390" s="181"/>
      <c r="AS390" s="181"/>
      <c r="AT390" s="181"/>
      <c r="AU390" s="181"/>
      <c r="AV390" s="181"/>
    </row>
    <row r="391" spans="1:48" s="30" customFormat="1" ht="14.25" hidden="1" customHeight="1" x14ac:dyDescent="0.25">
      <c r="A391" s="1408"/>
      <c r="B391" s="191"/>
      <c r="C391" s="921"/>
      <c r="D391" s="147"/>
      <c r="E391" s="29" t="s">
        <v>38</v>
      </c>
      <c r="F391" s="194"/>
      <c r="G391" s="240"/>
      <c r="H391" s="454" t="s">
        <v>138</v>
      </c>
      <c r="I391" s="196"/>
      <c r="J391" s="231"/>
      <c r="K391" s="1274"/>
      <c r="L391" s="1382"/>
      <c r="M391" s="1382"/>
      <c r="N391" s="1382"/>
      <c r="O391" s="1382"/>
      <c r="P391" s="1382"/>
      <c r="Q391" s="1382"/>
      <c r="R391" s="1382"/>
      <c r="S391" s="1382"/>
      <c r="T391" s="1382"/>
      <c r="U391" s="1382"/>
      <c r="V391" s="1382"/>
      <c r="W391" s="1382"/>
      <c r="X391" s="1382"/>
      <c r="Y391" s="1382"/>
      <c r="Z391" s="1382"/>
      <c r="AA391" s="1382"/>
      <c r="AB391" s="1382"/>
      <c r="AC391" s="1382"/>
      <c r="AD391" s="1382"/>
      <c r="AE391" s="1382"/>
      <c r="AF391" s="1382"/>
      <c r="AG391" s="1382"/>
      <c r="AH391" s="1382"/>
      <c r="AI391" s="1382"/>
      <c r="AJ391" s="1382"/>
      <c r="AK391" s="181"/>
      <c r="AL391" s="181"/>
      <c r="AM391" s="181"/>
      <c r="AN391" s="181"/>
      <c r="AO391" s="181"/>
      <c r="AP391" s="181"/>
      <c r="AQ391" s="181"/>
      <c r="AR391" s="181"/>
      <c r="AS391" s="181"/>
      <c r="AT391" s="181"/>
      <c r="AU391" s="181"/>
      <c r="AV391" s="181"/>
    </row>
    <row r="392" spans="1:48" s="30" customFormat="1" ht="14.25" hidden="1" customHeight="1" x14ac:dyDescent="0.25">
      <c r="A392" s="1408"/>
      <c r="B392" s="191"/>
      <c r="C392" s="921"/>
      <c r="D392" s="147"/>
      <c r="E392" s="29" t="s">
        <v>38</v>
      </c>
      <c r="F392" s="194"/>
      <c r="G392" s="240"/>
      <c r="H392" s="454" t="s">
        <v>138</v>
      </c>
      <c r="I392" s="196"/>
      <c r="J392" s="231"/>
      <c r="K392" s="1274"/>
      <c r="L392" s="1382"/>
      <c r="M392" s="1382"/>
      <c r="N392" s="1382"/>
      <c r="O392" s="1382"/>
      <c r="P392" s="1382"/>
      <c r="Q392" s="1382"/>
      <c r="R392" s="1382"/>
      <c r="S392" s="1382"/>
      <c r="T392" s="1382"/>
      <c r="U392" s="1382"/>
      <c r="V392" s="1382"/>
      <c r="W392" s="1382"/>
      <c r="X392" s="1382"/>
      <c r="Y392" s="1382"/>
      <c r="Z392" s="1382"/>
      <c r="AA392" s="1382"/>
      <c r="AB392" s="1382"/>
      <c r="AC392" s="1382"/>
      <c r="AD392" s="1382"/>
      <c r="AE392" s="1382"/>
      <c r="AF392" s="1382"/>
      <c r="AG392" s="1382"/>
      <c r="AH392" s="1382"/>
      <c r="AI392" s="1382"/>
      <c r="AJ392" s="1382"/>
      <c r="AK392" s="181"/>
      <c r="AL392" s="181"/>
      <c r="AM392" s="181"/>
      <c r="AN392" s="181"/>
      <c r="AO392" s="181"/>
      <c r="AP392" s="181"/>
      <c r="AQ392" s="181"/>
      <c r="AR392" s="181"/>
      <c r="AS392" s="181"/>
      <c r="AT392" s="181"/>
      <c r="AU392" s="181"/>
      <c r="AV392" s="181"/>
    </row>
    <row r="393" spans="1:48" s="30" customFormat="1" ht="14.25" hidden="1" customHeight="1" x14ac:dyDescent="0.25">
      <c r="A393" s="1408"/>
      <c r="B393" s="191"/>
      <c r="C393" s="921"/>
      <c r="D393" s="147"/>
      <c r="E393" s="29" t="s">
        <v>38</v>
      </c>
      <c r="F393" s="194"/>
      <c r="G393" s="240"/>
      <c r="H393" s="454" t="s">
        <v>138</v>
      </c>
      <c r="I393" s="196"/>
      <c r="J393" s="231"/>
      <c r="K393" s="1274"/>
      <c r="L393" s="1382"/>
      <c r="M393" s="1382"/>
      <c r="N393" s="1382"/>
      <c r="O393" s="1382"/>
      <c r="P393" s="1382"/>
      <c r="Q393" s="1382"/>
      <c r="R393" s="1382"/>
      <c r="S393" s="1382"/>
      <c r="T393" s="1382"/>
      <c r="U393" s="1382"/>
      <c r="V393" s="1382"/>
      <c r="W393" s="1382"/>
      <c r="X393" s="1382"/>
      <c r="Y393" s="1382"/>
      <c r="Z393" s="1382"/>
      <c r="AA393" s="1382"/>
      <c r="AB393" s="1382"/>
      <c r="AC393" s="1382"/>
      <c r="AD393" s="1382"/>
      <c r="AE393" s="1382"/>
      <c r="AF393" s="1382"/>
      <c r="AG393" s="1382"/>
      <c r="AH393" s="1382"/>
      <c r="AI393" s="1382"/>
      <c r="AJ393" s="1382"/>
      <c r="AK393" s="181"/>
      <c r="AL393" s="181"/>
      <c r="AM393" s="181"/>
      <c r="AN393" s="181"/>
      <c r="AO393" s="181"/>
      <c r="AP393" s="181"/>
      <c r="AQ393" s="181"/>
      <c r="AR393" s="181"/>
      <c r="AS393" s="181"/>
      <c r="AT393" s="181"/>
      <c r="AU393" s="181"/>
      <c r="AV393" s="181"/>
    </row>
    <row r="394" spans="1:48" s="30" customFormat="1" ht="14.25" hidden="1" customHeight="1" x14ac:dyDescent="0.25">
      <c r="A394" s="1408"/>
      <c r="B394" s="191"/>
      <c r="C394" s="921"/>
      <c r="D394" s="147"/>
      <c r="E394" s="29" t="s">
        <v>38</v>
      </c>
      <c r="F394" s="194"/>
      <c r="G394" s="240"/>
      <c r="H394" s="454" t="s">
        <v>138</v>
      </c>
      <c r="I394" s="196"/>
      <c r="J394" s="231"/>
      <c r="K394" s="1274"/>
      <c r="L394" s="1382"/>
      <c r="M394" s="1382"/>
      <c r="N394" s="1382"/>
      <c r="O394" s="1382"/>
      <c r="P394" s="1382"/>
      <c r="Q394" s="1382"/>
      <c r="R394" s="1382"/>
      <c r="S394" s="1382"/>
      <c r="T394" s="1382"/>
      <c r="U394" s="1382"/>
      <c r="V394" s="1382"/>
      <c r="W394" s="1382"/>
      <c r="X394" s="1382"/>
      <c r="Y394" s="1382"/>
      <c r="Z394" s="1382"/>
      <c r="AA394" s="1382"/>
      <c r="AB394" s="1382"/>
      <c r="AC394" s="1382"/>
      <c r="AD394" s="1382"/>
      <c r="AE394" s="1382"/>
      <c r="AF394" s="1382"/>
      <c r="AG394" s="1382"/>
      <c r="AH394" s="1382"/>
      <c r="AI394" s="1382"/>
      <c r="AJ394" s="1382"/>
      <c r="AK394" s="181"/>
      <c r="AL394" s="181"/>
      <c r="AM394" s="181"/>
      <c r="AN394" s="181"/>
      <c r="AO394" s="181"/>
      <c r="AP394" s="181"/>
      <c r="AQ394" s="181"/>
      <c r="AR394" s="181"/>
      <c r="AS394" s="181"/>
      <c r="AT394" s="181"/>
      <c r="AU394" s="181"/>
      <c r="AV394" s="181"/>
    </row>
    <row r="395" spans="1:48" s="30" customFormat="1" ht="14.25" hidden="1" customHeight="1" x14ac:dyDescent="0.25">
      <c r="A395" s="1408"/>
      <c r="B395" s="191"/>
      <c r="C395" s="921"/>
      <c r="D395" s="147"/>
      <c r="E395" s="29" t="s">
        <v>38</v>
      </c>
      <c r="F395" s="194"/>
      <c r="G395" s="240"/>
      <c r="H395" s="454" t="s">
        <v>138</v>
      </c>
      <c r="I395" s="196"/>
      <c r="J395" s="231"/>
      <c r="K395" s="1274"/>
      <c r="L395" s="1382"/>
      <c r="M395" s="1382"/>
      <c r="N395" s="1382"/>
      <c r="O395" s="1382"/>
      <c r="P395" s="1382"/>
      <c r="Q395" s="1382"/>
      <c r="R395" s="1382"/>
      <c r="S395" s="1382"/>
      <c r="T395" s="1382"/>
      <c r="U395" s="1382"/>
      <c r="V395" s="1382"/>
      <c r="W395" s="1382"/>
      <c r="X395" s="1382"/>
      <c r="Y395" s="1382"/>
      <c r="Z395" s="1382"/>
      <c r="AA395" s="1382"/>
      <c r="AB395" s="1382"/>
      <c r="AC395" s="1382"/>
      <c r="AD395" s="1382"/>
      <c r="AE395" s="1382"/>
      <c r="AF395" s="1382"/>
      <c r="AG395" s="1382"/>
      <c r="AH395" s="1382"/>
      <c r="AI395" s="1382"/>
      <c r="AJ395" s="1382"/>
      <c r="AK395" s="181"/>
      <c r="AL395" s="181"/>
      <c r="AM395" s="181"/>
      <c r="AN395" s="181"/>
      <c r="AO395" s="181"/>
      <c r="AP395" s="181"/>
      <c r="AQ395" s="181"/>
      <c r="AR395" s="181"/>
      <c r="AS395" s="181"/>
      <c r="AT395" s="181"/>
      <c r="AU395" s="181"/>
      <c r="AV395" s="181"/>
    </row>
    <row r="396" spans="1:48" s="30" customFormat="1" ht="14.25" hidden="1" customHeight="1" x14ac:dyDescent="0.25">
      <c r="A396" s="1408"/>
      <c r="B396" s="191"/>
      <c r="C396" s="921"/>
      <c r="D396" s="147"/>
      <c r="E396" s="29" t="s">
        <v>38</v>
      </c>
      <c r="F396" s="194"/>
      <c r="G396" s="240"/>
      <c r="H396" s="454" t="s">
        <v>138</v>
      </c>
      <c r="I396" s="196"/>
      <c r="J396" s="231"/>
      <c r="K396" s="1274"/>
      <c r="L396" s="1382"/>
      <c r="M396" s="1382"/>
      <c r="N396" s="1382"/>
      <c r="O396" s="1382"/>
      <c r="P396" s="1382"/>
      <c r="Q396" s="1382"/>
      <c r="R396" s="1382"/>
      <c r="S396" s="1382"/>
      <c r="T396" s="1382"/>
      <c r="U396" s="1382"/>
      <c r="V396" s="1382"/>
      <c r="W396" s="1382"/>
      <c r="X396" s="1382"/>
      <c r="Y396" s="1382"/>
      <c r="Z396" s="1382"/>
      <c r="AA396" s="1382"/>
      <c r="AB396" s="1382"/>
      <c r="AC396" s="1382"/>
      <c r="AD396" s="1382"/>
      <c r="AE396" s="1382"/>
      <c r="AF396" s="1382"/>
      <c r="AG396" s="1382"/>
      <c r="AH396" s="1382"/>
      <c r="AI396" s="1382"/>
      <c r="AJ396" s="1382"/>
      <c r="AK396" s="181"/>
      <c r="AL396" s="181"/>
      <c r="AM396" s="181"/>
      <c r="AN396" s="181"/>
      <c r="AO396" s="181"/>
      <c r="AP396" s="181"/>
      <c r="AQ396" s="181"/>
      <c r="AR396" s="181"/>
      <c r="AS396" s="181"/>
      <c r="AT396" s="181"/>
      <c r="AU396" s="181"/>
      <c r="AV396" s="181"/>
    </row>
    <row r="397" spans="1:48" s="30" customFormat="1" ht="14.25" hidden="1" customHeight="1" x14ac:dyDescent="0.25">
      <c r="A397" s="1408"/>
      <c r="B397" s="191"/>
      <c r="C397" s="921"/>
      <c r="D397" s="147"/>
      <c r="E397" s="29" t="s">
        <v>38</v>
      </c>
      <c r="F397" s="194"/>
      <c r="G397" s="240"/>
      <c r="H397" s="454" t="s">
        <v>138</v>
      </c>
      <c r="I397" s="196"/>
      <c r="J397" s="231"/>
      <c r="K397" s="1274"/>
      <c r="L397" s="1382"/>
      <c r="M397" s="1382"/>
      <c r="N397" s="1382"/>
      <c r="O397" s="1382"/>
      <c r="P397" s="1382"/>
      <c r="Q397" s="1382"/>
      <c r="R397" s="1382"/>
      <c r="S397" s="1382"/>
      <c r="T397" s="1382"/>
      <c r="U397" s="1382"/>
      <c r="V397" s="1382"/>
      <c r="W397" s="1382"/>
      <c r="X397" s="1382"/>
      <c r="Y397" s="1382"/>
      <c r="Z397" s="1382"/>
      <c r="AA397" s="1382"/>
      <c r="AB397" s="1382"/>
      <c r="AC397" s="1382"/>
      <c r="AD397" s="1382"/>
      <c r="AE397" s="1382"/>
      <c r="AF397" s="1382"/>
      <c r="AG397" s="1382"/>
      <c r="AH397" s="1382"/>
      <c r="AI397" s="1382"/>
      <c r="AJ397" s="1382"/>
      <c r="AK397" s="181"/>
      <c r="AL397" s="181"/>
      <c r="AM397" s="181"/>
      <c r="AN397" s="181"/>
      <c r="AO397" s="181"/>
      <c r="AP397" s="181"/>
      <c r="AQ397" s="181"/>
      <c r="AR397" s="181"/>
      <c r="AS397" s="181"/>
      <c r="AT397" s="181"/>
      <c r="AU397" s="181"/>
      <c r="AV397" s="181"/>
    </row>
    <row r="398" spans="1:48" s="30" customFormat="1" ht="14.25" hidden="1" customHeight="1" x14ac:dyDescent="0.25">
      <c r="A398" s="1408"/>
      <c r="B398" s="191"/>
      <c r="C398" s="921"/>
      <c r="D398" s="147"/>
      <c r="E398" s="29" t="s">
        <v>38</v>
      </c>
      <c r="F398" s="194"/>
      <c r="G398" s="240"/>
      <c r="H398" s="454" t="s">
        <v>138</v>
      </c>
      <c r="I398" s="196"/>
      <c r="J398" s="231"/>
      <c r="K398" s="1274"/>
      <c r="L398" s="1382"/>
      <c r="M398" s="1382"/>
      <c r="N398" s="1382"/>
      <c r="O398" s="1382"/>
      <c r="P398" s="1382"/>
      <c r="Q398" s="1382"/>
      <c r="R398" s="1382"/>
      <c r="S398" s="1382"/>
      <c r="T398" s="1382"/>
      <c r="U398" s="1382"/>
      <c r="V398" s="1382"/>
      <c r="W398" s="1382"/>
      <c r="X398" s="1382"/>
      <c r="Y398" s="1382"/>
      <c r="Z398" s="1382"/>
      <c r="AA398" s="1382"/>
      <c r="AB398" s="1382"/>
      <c r="AC398" s="1382"/>
      <c r="AD398" s="1382"/>
      <c r="AE398" s="1382"/>
      <c r="AF398" s="1382"/>
      <c r="AG398" s="1382"/>
      <c r="AH398" s="1382"/>
      <c r="AI398" s="1382"/>
      <c r="AJ398" s="1382"/>
      <c r="AK398" s="181"/>
      <c r="AL398" s="181"/>
      <c r="AM398" s="181"/>
      <c r="AN398" s="181"/>
      <c r="AO398" s="181"/>
      <c r="AP398" s="181"/>
      <c r="AQ398" s="181"/>
      <c r="AR398" s="181"/>
      <c r="AS398" s="181"/>
      <c r="AT398" s="181"/>
      <c r="AU398" s="181"/>
      <c r="AV398" s="181"/>
    </row>
    <row r="399" spans="1:48" s="30" customFormat="1" ht="14.25" hidden="1" customHeight="1" x14ac:dyDescent="0.25">
      <c r="A399" s="1408"/>
      <c r="B399" s="191"/>
      <c r="C399" s="921"/>
      <c r="D399" s="147"/>
      <c r="E399" s="29" t="s">
        <v>38</v>
      </c>
      <c r="F399" s="194"/>
      <c r="G399" s="240"/>
      <c r="H399" s="454" t="s">
        <v>138</v>
      </c>
      <c r="I399" s="196"/>
      <c r="J399" s="231"/>
      <c r="K399" s="1274"/>
      <c r="L399" s="1382"/>
      <c r="M399" s="1382"/>
      <c r="N399" s="1382"/>
      <c r="O399" s="1382"/>
      <c r="P399" s="1382"/>
      <c r="Q399" s="1382"/>
      <c r="R399" s="1382"/>
      <c r="S399" s="1382"/>
      <c r="T399" s="1382"/>
      <c r="U399" s="1382"/>
      <c r="V399" s="1382"/>
      <c r="W399" s="1382"/>
      <c r="X399" s="1382"/>
      <c r="Y399" s="1382"/>
      <c r="Z399" s="1382"/>
      <c r="AA399" s="1382"/>
      <c r="AB399" s="1382"/>
      <c r="AC399" s="1382"/>
      <c r="AD399" s="1382"/>
      <c r="AE399" s="1382"/>
      <c r="AF399" s="1382"/>
      <c r="AG399" s="1382"/>
      <c r="AH399" s="1382"/>
      <c r="AI399" s="1382"/>
      <c r="AJ399" s="1382"/>
      <c r="AK399" s="181"/>
      <c r="AL399" s="181"/>
      <c r="AM399" s="181"/>
      <c r="AN399" s="181"/>
      <c r="AO399" s="181"/>
      <c r="AP399" s="181"/>
      <c r="AQ399" s="181"/>
      <c r="AR399" s="181"/>
      <c r="AS399" s="181"/>
      <c r="AT399" s="181"/>
      <c r="AU399" s="181"/>
      <c r="AV399" s="181"/>
    </row>
    <row r="400" spans="1:48" s="30" customFormat="1" ht="14.25" hidden="1" customHeight="1" x14ac:dyDescent="0.25">
      <c r="A400" s="1408"/>
      <c r="B400" s="191"/>
      <c r="C400" s="921"/>
      <c r="D400" s="147"/>
      <c r="E400" s="29" t="s">
        <v>38</v>
      </c>
      <c r="F400" s="194"/>
      <c r="G400" s="240"/>
      <c r="H400" s="454" t="s">
        <v>138</v>
      </c>
      <c r="I400" s="196"/>
      <c r="J400" s="231"/>
      <c r="K400" s="1274"/>
      <c r="L400" s="1382"/>
      <c r="M400" s="1382"/>
      <c r="N400" s="1382"/>
      <c r="O400" s="1382"/>
      <c r="P400" s="1382"/>
      <c r="Q400" s="1382"/>
      <c r="R400" s="1382"/>
      <c r="S400" s="1382"/>
      <c r="T400" s="1382"/>
      <c r="U400" s="1382"/>
      <c r="V400" s="1382"/>
      <c r="W400" s="1382"/>
      <c r="X400" s="1382"/>
      <c r="Y400" s="1382"/>
      <c r="Z400" s="1382"/>
      <c r="AA400" s="1382"/>
      <c r="AB400" s="1382"/>
      <c r="AC400" s="1382"/>
      <c r="AD400" s="1382"/>
      <c r="AE400" s="1382"/>
      <c r="AF400" s="1382"/>
      <c r="AG400" s="1382"/>
      <c r="AH400" s="1382"/>
      <c r="AI400" s="1382"/>
      <c r="AJ400" s="1382"/>
      <c r="AK400" s="181"/>
      <c r="AL400" s="181"/>
      <c r="AM400" s="181"/>
      <c r="AN400" s="181"/>
      <c r="AO400" s="181"/>
      <c r="AP400" s="181"/>
      <c r="AQ400" s="181"/>
      <c r="AR400" s="181"/>
      <c r="AS400" s="181"/>
      <c r="AT400" s="181"/>
      <c r="AU400" s="181"/>
      <c r="AV400" s="181"/>
    </row>
    <row r="401" spans="1:48" s="30" customFormat="1" ht="14.25" hidden="1" customHeight="1" x14ac:dyDescent="0.25">
      <c r="A401" s="1408"/>
      <c r="B401" s="191"/>
      <c r="C401" s="921"/>
      <c r="D401" s="147"/>
      <c r="E401" s="29" t="s">
        <v>38</v>
      </c>
      <c r="F401" s="194"/>
      <c r="G401" s="240"/>
      <c r="H401" s="454" t="s">
        <v>138</v>
      </c>
      <c r="I401" s="196"/>
      <c r="J401" s="231"/>
      <c r="K401" s="1274"/>
      <c r="L401" s="1382"/>
      <c r="M401" s="1382"/>
      <c r="N401" s="1382"/>
      <c r="O401" s="1382"/>
      <c r="P401" s="1382"/>
      <c r="Q401" s="1382"/>
      <c r="R401" s="1382"/>
      <c r="S401" s="1382"/>
      <c r="T401" s="1382"/>
      <c r="U401" s="1382"/>
      <c r="V401" s="1382"/>
      <c r="W401" s="1382"/>
      <c r="X401" s="1382"/>
      <c r="Y401" s="1382"/>
      <c r="Z401" s="1382"/>
      <c r="AA401" s="1382"/>
      <c r="AB401" s="1382"/>
      <c r="AC401" s="1382"/>
      <c r="AD401" s="1382"/>
      <c r="AE401" s="1382"/>
      <c r="AF401" s="1382"/>
      <c r="AG401" s="1382"/>
      <c r="AH401" s="1382"/>
      <c r="AI401" s="1382"/>
      <c r="AJ401" s="1382"/>
      <c r="AK401" s="181"/>
      <c r="AL401" s="181"/>
      <c r="AM401" s="181"/>
      <c r="AN401" s="181"/>
      <c r="AO401" s="181"/>
      <c r="AP401" s="181"/>
      <c r="AQ401" s="181"/>
      <c r="AR401" s="181"/>
      <c r="AS401" s="181"/>
      <c r="AT401" s="181"/>
      <c r="AU401" s="181"/>
      <c r="AV401" s="181"/>
    </row>
    <row r="402" spans="1:48" s="30" customFormat="1" ht="14.25" hidden="1" customHeight="1" x14ac:dyDescent="0.25">
      <c r="A402" s="1408"/>
      <c r="B402" s="191"/>
      <c r="C402" s="921"/>
      <c r="D402" s="147"/>
      <c r="E402" s="29" t="s">
        <v>38</v>
      </c>
      <c r="F402" s="194"/>
      <c r="G402" s="240"/>
      <c r="H402" s="454" t="s">
        <v>138</v>
      </c>
      <c r="I402" s="196"/>
      <c r="J402" s="231"/>
      <c r="K402" s="1274"/>
      <c r="L402" s="1382"/>
      <c r="M402" s="1382"/>
      <c r="N402" s="1382"/>
      <c r="O402" s="1382"/>
      <c r="P402" s="1382"/>
      <c r="Q402" s="1382"/>
      <c r="R402" s="1382"/>
      <c r="S402" s="1382"/>
      <c r="T402" s="1382"/>
      <c r="U402" s="1382"/>
      <c r="V402" s="1382"/>
      <c r="W402" s="1382"/>
      <c r="X402" s="1382"/>
      <c r="Y402" s="1382"/>
      <c r="Z402" s="1382"/>
      <c r="AA402" s="1382"/>
      <c r="AB402" s="1382"/>
      <c r="AC402" s="1382"/>
      <c r="AD402" s="1382"/>
      <c r="AE402" s="1382"/>
      <c r="AF402" s="1382"/>
      <c r="AG402" s="1382"/>
      <c r="AH402" s="1382"/>
      <c r="AI402" s="1382"/>
      <c r="AJ402" s="1382"/>
      <c r="AK402" s="181"/>
      <c r="AL402" s="181"/>
      <c r="AM402" s="181"/>
      <c r="AN402" s="181"/>
      <c r="AO402" s="181"/>
      <c r="AP402" s="181"/>
      <c r="AQ402" s="181"/>
      <c r="AR402" s="181"/>
      <c r="AS402" s="181"/>
      <c r="AT402" s="181"/>
      <c r="AU402" s="181"/>
      <c r="AV402" s="181"/>
    </row>
    <row r="403" spans="1:48" s="30" customFormat="1" ht="14.25" hidden="1" customHeight="1" x14ac:dyDescent="0.25">
      <c r="A403" s="1408"/>
      <c r="B403" s="191"/>
      <c r="C403" s="921"/>
      <c r="D403" s="147"/>
      <c r="E403" s="29" t="s">
        <v>38</v>
      </c>
      <c r="F403" s="194"/>
      <c r="G403" s="240"/>
      <c r="H403" s="454" t="s">
        <v>138</v>
      </c>
      <c r="I403" s="196"/>
      <c r="J403" s="231"/>
      <c r="K403" s="1274"/>
      <c r="L403" s="1382"/>
      <c r="M403" s="1382"/>
      <c r="N403" s="1382"/>
      <c r="O403" s="1382"/>
      <c r="P403" s="1382"/>
      <c r="Q403" s="1382"/>
      <c r="R403" s="1382"/>
      <c r="S403" s="1382"/>
      <c r="T403" s="1382"/>
      <c r="U403" s="1382"/>
      <c r="V403" s="1382"/>
      <c r="W403" s="1382"/>
      <c r="X403" s="1382"/>
      <c r="Y403" s="1382"/>
      <c r="Z403" s="1382"/>
      <c r="AA403" s="1382"/>
      <c r="AB403" s="1382"/>
      <c r="AC403" s="1382"/>
      <c r="AD403" s="1382"/>
      <c r="AE403" s="1382"/>
      <c r="AF403" s="1382"/>
      <c r="AG403" s="1382"/>
      <c r="AH403" s="1382"/>
      <c r="AI403" s="1382"/>
      <c r="AJ403" s="1382"/>
      <c r="AK403" s="181"/>
      <c r="AL403" s="181"/>
      <c r="AM403" s="181"/>
      <c r="AN403" s="181"/>
      <c r="AO403" s="181"/>
      <c r="AP403" s="181"/>
      <c r="AQ403" s="181"/>
      <c r="AR403" s="181"/>
      <c r="AS403" s="181"/>
      <c r="AT403" s="181"/>
      <c r="AU403" s="181"/>
      <c r="AV403" s="181"/>
    </row>
    <row r="404" spans="1:48" s="30" customFormat="1" x14ac:dyDescent="0.25">
      <c r="A404" s="1407"/>
      <c r="B404" s="191"/>
      <c r="C404" s="921"/>
      <c r="D404" s="147"/>
      <c r="E404" s="32"/>
      <c r="F404" s="32"/>
      <c r="G404" s="208"/>
      <c r="H404" s="411"/>
      <c r="I404" s="186"/>
      <c r="J404" s="231"/>
      <c r="K404" s="1274"/>
      <c r="L404" s="1382"/>
      <c r="M404" s="1382"/>
      <c r="N404" s="1382"/>
      <c r="O404" s="1382"/>
      <c r="P404" s="1382"/>
      <c r="Q404" s="1382"/>
      <c r="R404" s="1382"/>
      <c r="S404" s="1382"/>
      <c r="T404" s="1382"/>
      <c r="U404" s="1382"/>
      <c r="V404" s="1382"/>
      <c r="W404" s="1382"/>
      <c r="X404" s="1382"/>
      <c r="Y404" s="1382"/>
      <c r="Z404" s="1382"/>
      <c r="AA404" s="1382"/>
      <c r="AB404" s="1382"/>
      <c r="AC404" s="1382"/>
      <c r="AD404" s="1382"/>
      <c r="AE404" s="1382"/>
      <c r="AF404" s="1382"/>
      <c r="AG404" s="1382"/>
      <c r="AH404" s="1382"/>
      <c r="AI404" s="1382"/>
      <c r="AJ404" s="1382"/>
      <c r="AK404" s="181"/>
      <c r="AL404" s="181"/>
      <c r="AM404" s="181"/>
      <c r="AN404" s="181"/>
      <c r="AO404" s="181"/>
      <c r="AP404" s="181"/>
      <c r="AQ404" s="181"/>
      <c r="AR404" s="181"/>
      <c r="AS404" s="181"/>
      <c r="AT404" s="181"/>
      <c r="AU404" s="181"/>
      <c r="AV404" s="181"/>
    </row>
    <row r="405" spans="1:48" s="30" customFormat="1" ht="18.75" x14ac:dyDescent="0.25">
      <c r="A405" s="1407"/>
      <c r="B405" s="191"/>
      <c r="C405" s="915"/>
      <c r="D405" s="307" t="s">
        <v>38</v>
      </c>
      <c r="E405" s="31"/>
      <c r="F405" s="178"/>
      <c r="G405" s="179" t="s">
        <v>144</v>
      </c>
      <c r="H405" s="290" t="str">
        <f>IF(Applies_BIM_Feas_Concept_Onlyl="N","BIM Not Used in this Design Phase","Building Information Modeling (BIM)")</f>
        <v>BIM Not Used in this Design Phase</v>
      </c>
      <c r="I405" s="184"/>
      <c r="J405" s="230"/>
      <c r="K405" s="1274"/>
      <c r="L405" s="1382"/>
      <c r="M405" s="1382"/>
      <c r="N405" s="1382"/>
      <c r="O405" s="1382"/>
      <c r="P405" s="1382"/>
      <c r="Q405" s="1382"/>
      <c r="R405" s="1382"/>
      <c r="S405" s="1382"/>
      <c r="T405" s="1382"/>
      <c r="U405" s="1382"/>
      <c r="V405" s="1382"/>
      <c r="W405" s="1382"/>
      <c r="X405" s="1382"/>
      <c r="Y405" s="1382"/>
      <c r="Z405" s="1382"/>
      <c r="AA405" s="1382"/>
      <c r="AB405" s="1382"/>
      <c r="AC405" s="1382"/>
      <c r="AD405" s="1382"/>
      <c r="AE405" s="1382"/>
      <c r="AF405" s="1382"/>
      <c r="AG405" s="1382"/>
      <c r="AH405" s="1382"/>
      <c r="AI405" s="1382"/>
      <c r="AJ405" s="1382"/>
      <c r="AK405" s="181"/>
      <c r="AL405" s="181"/>
      <c r="AM405" s="181"/>
      <c r="AN405" s="181"/>
      <c r="AO405" s="181"/>
      <c r="AP405" s="181"/>
      <c r="AQ405" s="181"/>
      <c r="AR405" s="181"/>
      <c r="AS405" s="181"/>
      <c r="AT405" s="181"/>
      <c r="AU405" s="181"/>
      <c r="AV405" s="181"/>
    </row>
    <row r="406" spans="1:48" s="30" customFormat="1" x14ac:dyDescent="0.25">
      <c r="A406" s="1407"/>
      <c r="B406" s="191"/>
      <c r="C406" s="921"/>
      <c r="D406" s="147"/>
      <c r="E406" s="32"/>
      <c r="F406" s="32"/>
      <c r="G406" s="241"/>
      <c r="H406" s="411"/>
      <c r="I406" s="186"/>
      <c r="J406" s="231"/>
      <c r="K406" s="1274"/>
      <c r="L406" s="1382"/>
      <c r="M406" s="1382"/>
      <c r="N406" s="1382"/>
      <c r="O406" s="1382"/>
      <c r="P406" s="1382"/>
      <c r="Q406" s="1382"/>
      <c r="R406" s="1382"/>
      <c r="S406" s="1382"/>
      <c r="T406" s="1382"/>
      <c r="U406" s="1382"/>
      <c r="V406" s="1382"/>
      <c r="W406" s="1382"/>
      <c r="X406" s="1382"/>
      <c r="Y406" s="1382"/>
      <c r="Z406" s="1382"/>
      <c r="AA406" s="1382"/>
      <c r="AB406" s="1382"/>
      <c r="AC406" s="1382"/>
      <c r="AD406" s="1382"/>
      <c r="AE406" s="1382"/>
      <c r="AF406" s="1382"/>
      <c r="AG406" s="1382"/>
      <c r="AH406" s="1382"/>
      <c r="AI406" s="1382"/>
      <c r="AJ406" s="1382"/>
      <c r="AK406" s="181"/>
      <c r="AL406" s="181"/>
      <c r="AM406" s="181"/>
      <c r="AN406" s="181"/>
      <c r="AO406" s="181"/>
      <c r="AP406" s="181"/>
      <c r="AQ406" s="181"/>
      <c r="AR406" s="181"/>
      <c r="AS406" s="181"/>
      <c r="AT406" s="181"/>
      <c r="AU406" s="181"/>
      <c r="AV406" s="181"/>
    </row>
    <row r="407" spans="1:48" s="30" customFormat="1" ht="18.75" x14ac:dyDescent="0.25">
      <c r="A407" s="1407"/>
      <c r="B407" s="191"/>
      <c r="C407" s="915"/>
      <c r="D407" s="307" t="s">
        <v>21</v>
      </c>
      <c r="E407" s="31"/>
      <c r="F407" s="178"/>
      <c r="G407" s="291" t="s">
        <v>44</v>
      </c>
      <c r="H407" s="290" t="str">
        <f>IF(Applies_Presentation_Feas_Concept_Only="n","Design Presentation of Draft Report to Owner Not Used in this Design Phase","Design Presentation of Draft Report to Owner and Capital Programs")</f>
        <v>Design Presentation of Draft Report to Owner and Capital Programs</v>
      </c>
      <c r="I407" s="209"/>
      <c r="J407" s="230"/>
      <c r="K407" s="1274"/>
      <c r="L407" s="1382"/>
      <c r="M407" s="1382"/>
      <c r="N407" s="1382"/>
      <c r="O407" s="1382"/>
      <c r="P407" s="1382"/>
      <c r="Q407" s="1382"/>
      <c r="R407" s="1382"/>
      <c r="S407" s="1382"/>
      <c r="T407" s="1382"/>
      <c r="U407" s="1382"/>
      <c r="V407" s="1382"/>
      <c r="W407" s="1382"/>
      <c r="X407" s="1382"/>
      <c r="Y407" s="1382"/>
      <c r="Z407" s="1382"/>
      <c r="AA407" s="1382"/>
      <c r="AB407" s="1382"/>
      <c r="AC407" s="1382"/>
      <c r="AD407" s="1382"/>
      <c r="AE407" s="1382"/>
      <c r="AF407" s="1382"/>
      <c r="AG407" s="1382"/>
      <c r="AH407" s="1382"/>
      <c r="AI407" s="1382"/>
      <c r="AJ407" s="1382"/>
      <c r="AK407" s="181"/>
      <c r="AL407" s="181"/>
      <c r="AM407" s="181"/>
      <c r="AN407" s="181"/>
      <c r="AO407" s="181"/>
      <c r="AP407" s="181"/>
      <c r="AQ407" s="181"/>
      <c r="AR407" s="181"/>
      <c r="AS407" s="181"/>
      <c r="AT407" s="181"/>
      <c r="AU407" s="181"/>
      <c r="AV407" s="181"/>
    </row>
    <row r="408" spans="1:48" s="30" customFormat="1" ht="14.25" customHeight="1" x14ac:dyDescent="0.25">
      <c r="A408" s="1408"/>
      <c r="B408" s="191"/>
      <c r="C408" s="921"/>
      <c r="D408" s="147"/>
      <c r="E408" s="29" t="s">
        <v>21</v>
      </c>
      <c r="F408" s="194"/>
      <c r="G408" s="240"/>
      <c r="H408" s="454" t="s">
        <v>944</v>
      </c>
      <c r="I408" s="196"/>
      <c r="J408" s="231"/>
      <c r="K408" s="1274"/>
      <c r="L408" s="1382"/>
      <c r="M408" s="1382"/>
      <c r="N408" s="1382"/>
      <c r="O408" s="1382"/>
      <c r="P408" s="1382"/>
      <c r="Q408" s="1382"/>
      <c r="R408" s="1382"/>
      <c r="S408" s="1382"/>
      <c r="T408" s="1382"/>
      <c r="U408" s="1382"/>
      <c r="V408" s="1382"/>
      <c r="W408" s="1382"/>
      <c r="X408" s="1382"/>
      <c r="Y408" s="1382"/>
      <c r="Z408" s="1382"/>
      <c r="AA408" s="1382"/>
      <c r="AB408" s="1382"/>
      <c r="AC408" s="1382"/>
      <c r="AD408" s="1382"/>
      <c r="AE408" s="1382"/>
      <c r="AF408" s="1382"/>
      <c r="AG408" s="1382"/>
      <c r="AH408" s="1382"/>
      <c r="AI408" s="1382"/>
      <c r="AJ408" s="1382"/>
      <c r="AK408" s="181"/>
      <c r="AL408" s="181"/>
      <c r="AM408" s="181"/>
      <c r="AN408" s="181"/>
      <c r="AO408" s="181"/>
      <c r="AP408" s="181"/>
      <c r="AQ408" s="181"/>
      <c r="AR408" s="181"/>
      <c r="AS408" s="181"/>
      <c r="AT408" s="181"/>
      <c r="AU408" s="181"/>
      <c r="AV408" s="181"/>
    </row>
    <row r="409" spans="1:48" s="30" customFormat="1" ht="14.25" customHeight="1" x14ac:dyDescent="0.25">
      <c r="A409" s="1408"/>
      <c r="B409" s="191"/>
      <c r="C409" s="921"/>
      <c r="D409" s="147"/>
      <c r="E409" s="29" t="s">
        <v>21</v>
      </c>
      <c r="F409" s="194"/>
      <c r="G409" s="240"/>
      <c r="H409" s="454" t="s">
        <v>945</v>
      </c>
      <c r="I409" s="196"/>
      <c r="J409" s="231"/>
      <c r="K409" s="1274"/>
      <c r="L409" s="1382"/>
      <c r="M409" s="1382"/>
      <c r="N409" s="1382"/>
      <c r="O409" s="1382"/>
      <c r="P409" s="1382"/>
      <c r="Q409" s="1382"/>
      <c r="R409" s="1382"/>
      <c r="S409" s="1382"/>
      <c r="T409" s="1382"/>
      <c r="U409" s="1382"/>
      <c r="V409" s="1382"/>
      <c r="W409" s="1382"/>
      <c r="X409" s="1382"/>
      <c r="Y409" s="1382"/>
      <c r="Z409" s="1382"/>
      <c r="AA409" s="1382"/>
      <c r="AB409" s="1382"/>
      <c r="AC409" s="1382"/>
      <c r="AD409" s="1382"/>
      <c r="AE409" s="1382"/>
      <c r="AF409" s="1382"/>
      <c r="AG409" s="1382"/>
      <c r="AH409" s="1382"/>
      <c r="AI409" s="1382"/>
      <c r="AJ409" s="1382"/>
      <c r="AK409" s="181"/>
      <c r="AL409" s="181"/>
      <c r="AM409" s="181"/>
      <c r="AN409" s="181"/>
      <c r="AO409" s="181"/>
      <c r="AP409" s="181"/>
      <c r="AQ409" s="181"/>
      <c r="AR409" s="181"/>
      <c r="AS409" s="181"/>
      <c r="AT409" s="181"/>
      <c r="AU409" s="181"/>
      <c r="AV409" s="181"/>
    </row>
    <row r="410" spans="1:48" s="30" customFormat="1" ht="14.25" customHeight="1" x14ac:dyDescent="0.25">
      <c r="A410" s="1408"/>
      <c r="B410" s="191"/>
      <c r="C410" s="921"/>
      <c r="D410" s="147"/>
      <c r="E410" s="1672"/>
      <c r="F410" s="1671" t="s">
        <v>21</v>
      </c>
      <c r="G410" s="240"/>
      <c r="H410" s="358" t="s">
        <v>976</v>
      </c>
      <c r="I410" s="196"/>
      <c r="J410" s="231"/>
      <c r="K410" s="1274"/>
      <c r="L410" s="1382"/>
      <c r="M410" s="1382"/>
      <c r="N410" s="1382"/>
      <c r="O410" s="1382"/>
      <c r="P410" s="1382"/>
      <c r="Q410" s="1382"/>
      <c r="R410" s="1382"/>
      <c r="S410" s="1382"/>
      <c r="T410" s="1382"/>
      <c r="U410" s="1382"/>
      <c r="V410" s="1382"/>
      <c r="W410" s="1382"/>
      <c r="X410" s="1382"/>
      <c r="Y410" s="1382"/>
      <c r="Z410" s="1382"/>
      <c r="AA410" s="1382"/>
      <c r="AB410" s="1382"/>
      <c r="AC410" s="1382"/>
      <c r="AD410" s="1382"/>
      <c r="AE410" s="1382"/>
      <c r="AF410" s="1382"/>
      <c r="AG410" s="1382"/>
      <c r="AH410" s="1382"/>
      <c r="AI410" s="1382"/>
      <c r="AJ410" s="1382"/>
      <c r="AK410" s="181"/>
      <c r="AL410" s="181"/>
      <c r="AM410" s="181"/>
      <c r="AN410" s="181"/>
      <c r="AO410" s="181"/>
      <c r="AP410" s="181"/>
      <c r="AQ410" s="181"/>
      <c r="AR410" s="181"/>
      <c r="AS410" s="181"/>
      <c r="AT410" s="181"/>
      <c r="AU410" s="181"/>
      <c r="AV410" s="181"/>
    </row>
    <row r="411" spans="1:48" s="30" customFormat="1" ht="14.25" customHeight="1" x14ac:dyDescent="0.25">
      <c r="A411" s="1408"/>
      <c r="B411" s="191"/>
      <c r="C411" s="921"/>
      <c r="D411" s="147"/>
      <c r="E411" s="1673"/>
      <c r="F411" s="1671" t="s">
        <v>21</v>
      </c>
      <c r="G411" s="240"/>
      <c r="H411" s="358" t="s">
        <v>977</v>
      </c>
      <c r="I411" s="196"/>
      <c r="J411" s="231"/>
      <c r="K411" s="1274"/>
      <c r="L411" s="1382"/>
      <c r="M411" s="1382"/>
      <c r="N411" s="1382"/>
      <c r="O411" s="1382"/>
      <c r="P411" s="1382"/>
      <c r="Q411" s="1382"/>
      <c r="R411" s="1382"/>
      <c r="S411" s="1382"/>
      <c r="T411" s="1382"/>
      <c r="U411" s="1382"/>
      <c r="V411" s="1382"/>
      <c r="W411" s="1382"/>
      <c r="X411" s="1382"/>
      <c r="Y411" s="1382"/>
      <c r="Z411" s="1382"/>
      <c r="AA411" s="1382"/>
      <c r="AB411" s="1382"/>
      <c r="AC411" s="1382"/>
      <c r="AD411" s="1382"/>
      <c r="AE411" s="1382"/>
      <c r="AF411" s="1382"/>
      <c r="AG411" s="1382"/>
      <c r="AH411" s="1382"/>
      <c r="AI411" s="1382"/>
      <c r="AJ411" s="1382"/>
      <c r="AK411" s="181"/>
      <c r="AL411" s="181"/>
      <c r="AM411" s="181"/>
      <c r="AN411" s="181"/>
      <c r="AO411" s="181"/>
      <c r="AP411" s="181"/>
      <c r="AQ411" s="181"/>
      <c r="AR411" s="181"/>
      <c r="AS411" s="181"/>
      <c r="AT411" s="181"/>
      <c r="AU411" s="181"/>
      <c r="AV411" s="181"/>
    </row>
    <row r="412" spans="1:48" s="30" customFormat="1" ht="14.25" customHeight="1" x14ac:dyDescent="0.25">
      <c r="A412" s="1408"/>
      <c r="B412" s="191"/>
      <c r="C412" s="921"/>
      <c r="D412" s="147"/>
      <c r="E412" s="1674"/>
      <c r="F412" s="1671" t="s">
        <v>21</v>
      </c>
      <c r="G412" s="240"/>
      <c r="H412" s="358" t="s">
        <v>978</v>
      </c>
      <c r="I412" s="196"/>
      <c r="J412" s="231"/>
      <c r="K412" s="1274"/>
      <c r="L412" s="1382"/>
      <c r="M412" s="1382"/>
      <c r="N412" s="1382"/>
      <c r="O412" s="1382"/>
      <c r="P412" s="1382"/>
      <c r="Q412" s="1382"/>
      <c r="R412" s="1382"/>
      <c r="S412" s="1382"/>
      <c r="T412" s="1382"/>
      <c r="U412" s="1382"/>
      <c r="V412" s="1382"/>
      <c r="W412" s="1382"/>
      <c r="X412" s="1382"/>
      <c r="Y412" s="1382"/>
      <c r="Z412" s="1382"/>
      <c r="AA412" s="1382"/>
      <c r="AB412" s="1382"/>
      <c r="AC412" s="1382"/>
      <c r="AD412" s="1382"/>
      <c r="AE412" s="1382"/>
      <c r="AF412" s="1382"/>
      <c r="AG412" s="1382"/>
      <c r="AH412" s="1382"/>
      <c r="AI412" s="1382"/>
      <c r="AJ412" s="1382"/>
      <c r="AK412" s="181"/>
      <c r="AL412" s="181"/>
      <c r="AM412" s="181"/>
      <c r="AN412" s="181"/>
      <c r="AO412" s="181"/>
      <c r="AP412" s="181"/>
      <c r="AQ412" s="181"/>
      <c r="AR412" s="181"/>
      <c r="AS412" s="181"/>
      <c r="AT412" s="181"/>
      <c r="AU412" s="181"/>
      <c r="AV412" s="181"/>
    </row>
    <row r="413" spans="1:48" s="30" customFormat="1" ht="14.25" customHeight="1" x14ac:dyDescent="0.25">
      <c r="A413" s="1408"/>
      <c r="B413" s="191"/>
      <c r="C413" s="921"/>
      <c r="D413" s="147"/>
      <c r="E413" s="29" t="s">
        <v>21</v>
      </c>
      <c r="F413" s="194"/>
      <c r="G413" s="240"/>
      <c r="H413" s="454" t="s">
        <v>114</v>
      </c>
      <c r="I413" s="196"/>
      <c r="J413" s="231"/>
      <c r="K413" s="1274"/>
      <c r="L413" s="1382"/>
      <c r="M413" s="1382"/>
      <c r="N413" s="1382"/>
      <c r="O413" s="1382"/>
      <c r="P413" s="1382"/>
      <c r="Q413" s="1382"/>
      <c r="R413" s="1382"/>
      <c r="S413" s="1382"/>
      <c r="T413" s="1382"/>
      <c r="U413" s="1382"/>
      <c r="V413" s="1382"/>
      <c r="W413" s="1382"/>
      <c r="X413" s="1382"/>
      <c r="Y413" s="1382"/>
      <c r="Z413" s="1382"/>
      <c r="AA413" s="1382"/>
      <c r="AB413" s="1382"/>
      <c r="AC413" s="1382"/>
      <c r="AD413" s="1382"/>
      <c r="AE413" s="1382"/>
      <c r="AF413" s="1382"/>
      <c r="AG413" s="1382"/>
      <c r="AH413" s="1382"/>
      <c r="AI413" s="1382"/>
      <c r="AJ413" s="1382"/>
      <c r="AK413" s="181"/>
      <c r="AL413" s="181"/>
      <c r="AM413" s="181"/>
      <c r="AN413" s="181"/>
      <c r="AO413" s="181"/>
      <c r="AP413" s="181"/>
      <c r="AQ413" s="181"/>
      <c r="AR413" s="181"/>
      <c r="AS413" s="181"/>
      <c r="AT413" s="181"/>
      <c r="AU413" s="181"/>
      <c r="AV413" s="181"/>
    </row>
    <row r="414" spans="1:48" s="30" customFormat="1" ht="14.25" customHeight="1" x14ac:dyDescent="0.25">
      <c r="A414" s="1408"/>
      <c r="B414" s="191"/>
      <c r="C414" s="921"/>
      <c r="D414" s="147"/>
      <c r="E414" s="29" t="s">
        <v>21</v>
      </c>
      <c r="F414" s="194"/>
      <c r="G414" s="240"/>
      <c r="H414" s="454" t="s">
        <v>112</v>
      </c>
      <c r="I414" s="196"/>
      <c r="J414" s="231"/>
      <c r="K414" s="1274"/>
      <c r="L414" s="1382"/>
      <c r="M414" s="1382"/>
      <c r="N414" s="1382"/>
      <c r="O414" s="1382"/>
      <c r="P414" s="1382"/>
      <c r="Q414" s="1382"/>
      <c r="R414" s="1382"/>
      <c r="S414" s="1382"/>
      <c r="T414" s="1382"/>
      <c r="U414" s="1382"/>
      <c r="V414" s="1382"/>
      <c r="W414" s="1382"/>
      <c r="X414" s="1382"/>
      <c r="Y414" s="1382"/>
      <c r="Z414" s="1382"/>
      <c r="AA414" s="1382"/>
      <c r="AB414" s="1382"/>
      <c r="AC414" s="1382"/>
      <c r="AD414" s="1382"/>
      <c r="AE414" s="1382"/>
      <c r="AF414" s="1382"/>
      <c r="AG414" s="1382"/>
      <c r="AH414" s="1382"/>
      <c r="AI414" s="1382"/>
      <c r="AJ414" s="1382"/>
      <c r="AK414" s="181"/>
      <c r="AL414" s="181"/>
      <c r="AM414" s="181"/>
      <c r="AN414" s="181"/>
      <c r="AO414" s="181"/>
      <c r="AP414" s="181"/>
      <c r="AQ414" s="181"/>
      <c r="AR414" s="181"/>
      <c r="AS414" s="181"/>
      <c r="AT414" s="181"/>
      <c r="AU414" s="181"/>
      <c r="AV414" s="181"/>
    </row>
    <row r="415" spans="1:48" s="30" customFormat="1" ht="14.25" customHeight="1" x14ac:dyDescent="0.25">
      <c r="A415" s="1408"/>
      <c r="B415" s="191"/>
      <c r="C415" s="921"/>
      <c r="D415" s="147"/>
      <c r="E415" s="1672"/>
      <c r="F415" s="1671" t="s">
        <v>21</v>
      </c>
      <c r="G415" s="240"/>
      <c r="H415" s="358" t="s">
        <v>946</v>
      </c>
      <c r="I415" s="196"/>
      <c r="J415" s="231"/>
      <c r="K415" s="1274"/>
      <c r="L415" s="1382"/>
      <c r="M415" s="1382"/>
      <c r="N415" s="1382"/>
      <c r="O415" s="1382"/>
      <c r="P415" s="1382"/>
      <c r="Q415" s="1382"/>
      <c r="R415" s="1382"/>
      <c r="S415" s="1382"/>
      <c r="T415" s="1382"/>
      <c r="U415" s="1382"/>
      <c r="V415" s="1382"/>
      <c r="W415" s="1382"/>
      <c r="X415" s="1382"/>
      <c r="Y415" s="1382"/>
      <c r="Z415" s="1382"/>
      <c r="AA415" s="1382"/>
      <c r="AB415" s="1382"/>
      <c r="AC415" s="1382"/>
      <c r="AD415" s="1382"/>
      <c r="AE415" s="1382"/>
      <c r="AF415" s="1382"/>
      <c r="AG415" s="1382"/>
      <c r="AH415" s="1382"/>
      <c r="AI415" s="1382"/>
      <c r="AJ415" s="1382"/>
      <c r="AK415" s="181"/>
      <c r="AL415" s="181"/>
      <c r="AM415" s="181"/>
      <c r="AN415" s="181"/>
      <c r="AO415" s="181"/>
      <c r="AP415" s="181"/>
      <c r="AQ415" s="181"/>
      <c r="AR415" s="181"/>
      <c r="AS415" s="181"/>
      <c r="AT415" s="181"/>
      <c r="AU415" s="181"/>
      <c r="AV415" s="181"/>
    </row>
    <row r="416" spans="1:48" s="30" customFormat="1" ht="14.25" customHeight="1" x14ac:dyDescent="0.25">
      <c r="A416" s="1408"/>
      <c r="B416" s="191"/>
      <c r="C416" s="921"/>
      <c r="D416" s="147"/>
      <c r="E416" s="1673"/>
      <c r="F416" s="1671" t="s">
        <v>21</v>
      </c>
      <c r="G416" s="240"/>
      <c r="H416" s="358" t="s">
        <v>948</v>
      </c>
      <c r="I416" s="196"/>
      <c r="J416" s="231"/>
      <c r="K416" s="1274"/>
      <c r="L416" s="1382"/>
      <c r="M416" s="1382"/>
      <c r="N416" s="1382"/>
      <c r="O416" s="1382"/>
      <c r="P416" s="1382"/>
      <c r="Q416" s="1382"/>
      <c r="R416" s="1382"/>
      <c r="S416" s="1382"/>
      <c r="T416" s="1382"/>
      <c r="U416" s="1382"/>
      <c r="V416" s="1382"/>
      <c r="W416" s="1382"/>
      <c r="X416" s="1382"/>
      <c r="Y416" s="1382"/>
      <c r="Z416" s="1382"/>
      <c r="AA416" s="1382"/>
      <c r="AB416" s="1382"/>
      <c r="AC416" s="1382"/>
      <c r="AD416" s="1382"/>
      <c r="AE416" s="1382"/>
      <c r="AF416" s="1382"/>
      <c r="AG416" s="1382"/>
      <c r="AH416" s="1382"/>
      <c r="AI416" s="1382"/>
      <c r="AJ416" s="1382"/>
      <c r="AK416" s="181"/>
      <c r="AL416" s="181"/>
      <c r="AM416" s="181"/>
      <c r="AN416" s="181"/>
      <c r="AO416" s="181"/>
      <c r="AP416" s="181"/>
      <c r="AQ416" s="181"/>
      <c r="AR416" s="181"/>
      <c r="AS416" s="181"/>
      <c r="AT416" s="181"/>
      <c r="AU416" s="181"/>
      <c r="AV416" s="181"/>
    </row>
    <row r="417" spans="1:48" s="30" customFormat="1" ht="14.25" customHeight="1" x14ac:dyDescent="0.25">
      <c r="A417" s="1408"/>
      <c r="B417" s="191"/>
      <c r="C417" s="921"/>
      <c r="D417" s="147"/>
      <c r="E417" s="1673"/>
      <c r="F417" s="1671" t="s">
        <v>21</v>
      </c>
      <c r="G417" s="240"/>
      <c r="H417" s="358" t="s">
        <v>947</v>
      </c>
      <c r="I417" s="196"/>
      <c r="J417" s="231"/>
      <c r="K417" s="1274"/>
      <c r="L417" s="1382"/>
      <c r="M417" s="1382"/>
      <c r="N417" s="1382"/>
      <c r="O417" s="1382"/>
      <c r="P417" s="1382"/>
      <c r="Q417" s="1382"/>
      <c r="R417" s="1382"/>
      <c r="S417" s="1382"/>
      <c r="T417" s="1382"/>
      <c r="U417" s="1382"/>
      <c r="V417" s="1382"/>
      <c r="W417" s="1382"/>
      <c r="X417" s="1382"/>
      <c r="Y417" s="1382"/>
      <c r="Z417" s="1382"/>
      <c r="AA417" s="1382"/>
      <c r="AB417" s="1382"/>
      <c r="AC417" s="1382"/>
      <c r="AD417" s="1382"/>
      <c r="AE417" s="1382"/>
      <c r="AF417" s="1382"/>
      <c r="AG417" s="1382"/>
      <c r="AH417" s="1382"/>
      <c r="AI417" s="1382"/>
      <c r="AJ417" s="1382"/>
      <c r="AK417" s="181"/>
      <c r="AL417" s="181"/>
      <c r="AM417" s="181"/>
      <c r="AN417" s="181"/>
      <c r="AO417" s="181"/>
      <c r="AP417" s="181"/>
      <c r="AQ417" s="181"/>
      <c r="AR417" s="181"/>
      <c r="AS417" s="181"/>
      <c r="AT417" s="181"/>
      <c r="AU417" s="181"/>
      <c r="AV417" s="181"/>
    </row>
    <row r="418" spans="1:48" s="30" customFormat="1" ht="14.25" customHeight="1" x14ac:dyDescent="0.25">
      <c r="A418" s="1408"/>
      <c r="B418" s="191"/>
      <c r="C418" s="921"/>
      <c r="D418" s="147"/>
      <c r="E418" s="1674"/>
      <c r="F418" s="1671" t="s">
        <v>21</v>
      </c>
      <c r="G418" s="240"/>
      <c r="H418" s="358" t="s">
        <v>949</v>
      </c>
      <c r="I418" s="196"/>
      <c r="J418" s="231"/>
      <c r="K418" s="1274"/>
      <c r="L418" s="1382"/>
      <c r="M418" s="1382"/>
      <c r="N418" s="1382"/>
      <c r="O418" s="1382"/>
      <c r="P418" s="1382"/>
      <c r="Q418" s="1382"/>
      <c r="R418" s="1382"/>
      <c r="S418" s="1382"/>
      <c r="T418" s="1382"/>
      <c r="U418" s="1382"/>
      <c r="V418" s="1382"/>
      <c r="W418" s="1382"/>
      <c r="X418" s="1382"/>
      <c r="Y418" s="1382"/>
      <c r="Z418" s="1382"/>
      <c r="AA418" s="1382"/>
      <c r="AB418" s="1382"/>
      <c r="AC418" s="1382"/>
      <c r="AD418" s="1382"/>
      <c r="AE418" s="1382"/>
      <c r="AF418" s="1382"/>
      <c r="AG418" s="1382"/>
      <c r="AH418" s="1382"/>
      <c r="AI418" s="1382"/>
      <c r="AJ418" s="1382"/>
      <c r="AK418" s="181"/>
      <c r="AL418" s="181"/>
      <c r="AM418" s="181"/>
      <c r="AN418" s="181"/>
      <c r="AO418" s="181"/>
      <c r="AP418" s="181"/>
      <c r="AQ418" s="181"/>
      <c r="AR418" s="181"/>
      <c r="AS418" s="181"/>
      <c r="AT418" s="181"/>
      <c r="AU418" s="181"/>
      <c r="AV418" s="181"/>
    </row>
    <row r="419" spans="1:48" s="30" customFormat="1" ht="14.25" customHeight="1" x14ac:dyDescent="0.25">
      <c r="A419" s="1408"/>
      <c r="B419" s="191"/>
      <c r="C419" s="921"/>
      <c r="D419" s="147"/>
      <c r="E419" s="29" t="s">
        <v>21</v>
      </c>
      <c r="F419" s="194"/>
      <c r="G419" s="240"/>
      <c r="H419" s="454" t="s">
        <v>1024</v>
      </c>
      <c r="I419" s="196"/>
      <c r="J419" s="231"/>
      <c r="K419" s="1274"/>
      <c r="L419" s="1382"/>
      <c r="M419" s="1382"/>
      <c r="N419" s="1382"/>
      <c r="O419" s="1382"/>
      <c r="P419" s="1382"/>
      <c r="Q419" s="1382"/>
      <c r="R419" s="1382"/>
      <c r="S419" s="1382"/>
      <c r="T419" s="1382"/>
      <c r="U419" s="1382"/>
      <c r="V419" s="1382"/>
      <c r="W419" s="1382"/>
      <c r="X419" s="1382"/>
      <c r="Y419" s="1382"/>
      <c r="Z419" s="1382"/>
      <c r="AA419" s="1382"/>
      <c r="AB419" s="1382"/>
      <c r="AC419" s="1382"/>
      <c r="AD419" s="1382"/>
      <c r="AE419" s="1382"/>
      <c r="AF419" s="1382"/>
      <c r="AG419" s="1382"/>
      <c r="AH419" s="1382"/>
      <c r="AI419" s="1382"/>
      <c r="AJ419" s="1382"/>
      <c r="AK419" s="181"/>
      <c r="AL419" s="181"/>
      <c r="AM419" s="181"/>
      <c r="AN419" s="181"/>
      <c r="AO419" s="181"/>
      <c r="AP419" s="181"/>
      <c r="AQ419" s="181"/>
      <c r="AR419" s="181"/>
      <c r="AS419" s="181"/>
      <c r="AT419" s="181"/>
      <c r="AU419" s="181"/>
      <c r="AV419" s="181"/>
    </row>
    <row r="420" spans="1:48" s="30" customFormat="1" ht="14.25" customHeight="1" x14ac:dyDescent="0.25">
      <c r="A420" s="1408"/>
      <c r="B420" s="191"/>
      <c r="C420" s="921"/>
      <c r="D420" s="147"/>
      <c r="E420" s="29" t="s">
        <v>21</v>
      </c>
      <c r="F420" s="194"/>
      <c r="G420" s="240"/>
      <c r="H420" s="1670" t="s">
        <v>1025</v>
      </c>
      <c r="I420" s="196"/>
      <c r="J420" s="231"/>
      <c r="K420" s="1274"/>
      <c r="L420" s="1382"/>
      <c r="M420" s="1382"/>
      <c r="N420" s="1382"/>
      <c r="O420" s="1382"/>
      <c r="P420" s="1382"/>
      <c r="Q420" s="1382"/>
      <c r="R420" s="1382"/>
      <c r="S420" s="1382"/>
      <c r="T420" s="1382"/>
      <c r="U420" s="1382"/>
      <c r="V420" s="1382"/>
      <c r="W420" s="1382"/>
      <c r="X420" s="1382"/>
      <c r="Y420" s="1382"/>
      <c r="Z420" s="1382"/>
      <c r="AA420" s="1382"/>
      <c r="AB420" s="1382"/>
      <c r="AC420" s="1382"/>
      <c r="AD420" s="1382"/>
      <c r="AE420" s="1382"/>
      <c r="AF420" s="1382"/>
      <c r="AG420" s="1382"/>
      <c r="AH420" s="1382"/>
      <c r="AI420" s="1382"/>
      <c r="AJ420" s="1382"/>
      <c r="AK420" s="181"/>
      <c r="AL420" s="181"/>
      <c r="AM420" s="181"/>
      <c r="AN420" s="181"/>
      <c r="AO420" s="181"/>
      <c r="AP420" s="181"/>
      <c r="AQ420" s="181"/>
      <c r="AR420" s="181"/>
      <c r="AS420" s="181"/>
      <c r="AT420" s="181"/>
      <c r="AU420" s="181"/>
      <c r="AV420" s="181"/>
    </row>
    <row r="421" spans="1:48" s="30" customFormat="1" ht="14.25" customHeight="1" x14ac:dyDescent="0.25">
      <c r="A421" s="1408"/>
      <c r="B421" s="191"/>
      <c r="C421" s="921"/>
      <c r="D421" s="147"/>
      <c r="E421" s="29" t="s">
        <v>21</v>
      </c>
      <c r="F421" s="194"/>
      <c r="G421" s="240"/>
      <c r="H421" s="1670" t="s">
        <v>478</v>
      </c>
      <c r="I421" s="196"/>
      <c r="J421" s="231"/>
      <c r="K421" s="1274"/>
      <c r="L421" s="1382"/>
      <c r="M421" s="1382"/>
      <c r="N421" s="1382"/>
      <c r="O421" s="1382"/>
      <c r="P421" s="1382"/>
      <c r="Q421" s="1382"/>
      <c r="R421" s="1382"/>
      <c r="S421" s="1382"/>
      <c r="T421" s="1382"/>
      <c r="U421" s="1382"/>
      <c r="V421" s="1382"/>
      <c r="W421" s="1382"/>
      <c r="X421" s="1382"/>
      <c r="Y421" s="1382"/>
      <c r="Z421" s="1382"/>
      <c r="AA421" s="1382"/>
      <c r="AB421" s="1382"/>
      <c r="AC421" s="1382"/>
      <c r="AD421" s="1382"/>
      <c r="AE421" s="1382"/>
      <c r="AF421" s="1382"/>
      <c r="AG421" s="1382"/>
      <c r="AH421" s="1382"/>
      <c r="AI421" s="1382"/>
      <c r="AJ421" s="1382"/>
      <c r="AK421" s="181"/>
      <c r="AL421" s="181"/>
      <c r="AM421" s="181"/>
      <c r="AN421" s="181"/>
      <c r="AO421" s="181"/>
      <c r="AP421" s="181"/>
      <c r="AQ421" s="181"/>
      <c r="AR421" s="181"/>
      <c r="AS421" s="181"/>
      <c r="AT421" s="181"/>
      <c r="AU421" s="181"/>
      <c r="AV421" s="181"/>
    </row>
    <row r="422" spans="1:48" s="30" customFormat="1" ht="14.25" customHeight="1" x14ac:dyDescent="0.25">
      <c r="A422" s="1408"/>
      <c r="B422" s="191"/>
      <c r="C422" s="921"/>
      <c r="D422" s="147"/>
      <c r="E422" s="29" t="s">
        <v>21</v>
      </c>
      <c r="F422" s="194"/>
      <c r="G422" s="240"/>
      <c r="H422" s="1670" t="s">
        <v>478</v>
      </c>
      <c r="I422" s="196"/>
      <c r="J422" s="231"/>
      <c r="K422" s="1274"/>
      <c r="L422" s="1382"/>
      <c r="M422" s="1382"/>
      <c r="N422" s="1382"/>
      <c r="O422" s="1382"/>
      <c r="P422" s="1382"/>
      <c r="Q422" s="1382"/>
      <c r="R422" s="1382"/>
      <c r="S422" s="1382"/>
      <c r="T422" s="1382"/>
      <c r="U422" s="1382"/>
      <c r="V422" s="1382"/>
      <c r="W422" s="1382"/>
      <c r="X422" s="1382"/>
      <c r="Y422" s="1382"/>
      <c r="Z422" s="1382"/>
      <c r="AA422" s="1382"/>
      <c r="AB422" s="1382"/>
      <c r="AC422" s="1382"/>
      <c r="AD422" s="1382"/>
      <c r="AE422" s="1382"/>
      <c r="AF422" s="1382"/>
      <c r="AG422" s="1382"/>
      <c r="AH422" s="1382"/>
      <c r="AI422" s="1382"/>
      <c r="AJ422" s="1382"/>
      <c r="AK422" s="181"/>
      <c r="AL422" s="181"/>
      <c r="AM422" s="181"/>
      <c r="AN422" s="181"/>
      <c r="AO422" s="181"/>
      <c r="AP422" s="181"/>
      <c r="AQ422" s="181"/>
      <c r="AR422" s="181"/>
      <c r="AS422" s="181"/>
      <c r="AT422" s="181"/>
      <c r="AU422" s="181"/>
      <c r="AV422" s="181"/>
    </row>
    <row r="423" spans="1:48" s="30" customFormat="1" ht="14.25" customHeight="1" x14ac:dyDescent="0.25">
      <c r="A423" s="1408"/>
      <c r="B423" s="191"/>
      <c r="C423" s="921"/>
      <c r="D423" s="147"/>
      <c r="E423" s="29" t="s">
        <v>21</v>
      </c>
      <c r="F423" s="194"/>
      <c r="G423" s="240"/>
      <c r="H423" s="1670" t="s">
        <v>478</v>
      </c>
      <c r="I423" s="196"/>
      <c r="J423" s="231"/>
      <c r="K423" s="1274"/>
      <c r="L423" s="1382"/>
      <c r="M423" s="1382"/>
      <c r="N423" s="1382"/>
      <c r="O423" s="1382"/>
      <c r="P423" s="1382"/>
      <c r="Q423" s="1382"/>
      <c r="R423" s="1382"/>
      <c r="S423" s="1382"/>
      <c r="T423" s="1382"/>
      <c r="U423" s="1382"/>
      <c r="V423" s="1382"/>
      <c r="W423" s="1382"/>
      <c r="X423" s="1382"/>
      <c r="Y423" s="1382"/>
      <c r="Z423" s="1382"/>
      <c r="AA423" s="1382"/>
      <c r="AB423" s="1382"/>
      <c r="AC423" s="1382"/>
      <c r="AD423" s="1382"/>
      <c r="AE423" s="1382"/>
      <c r="AF423" s="1382"/>
      <c r="AG423" s="1382"/>
      <c r="AH423" s="1382"/>
      <c r="AI423" s="1382"/>
      <c r="AJ423" s="1382"/>
      <c r="AK423" s="181"/>
      <c r="AL423" s="181"/>
      <c r="AM423" s="181"/>
      <c r="AN423" s="181"/>
      <c r="AO423" s="181"/>
      <c r="AP423" s="181"/>
      <c r="AQ423" s="181"/>
      <c r="AR423" s="181"/>
      <c r="AS423" s="181"/>
      <c r="AT423" s="181"/>
      <c r="AU423" s="181"/>
      <c r="AV423" s="181"/>
    </row>
    <row r="424" spans="1:48" s="30" customFormat="1" ht="14.25" customHeight="1" x14ac:dyDescent="0.25">
      <c r="A424" s="1408"/>
      <c r="B424" s="191"/>
      <c r="C424" s="921"/>
      <c r="D424" s="147"/>
      <c r="E424" s="29" t="s">
        <v>21</v>
      </c>
      <c r="F424" s="194"/>
      <c r="G424" s="240"/>
      <c r="H424" s="1670" t="s">
        <v>478</v>
      </c>
      <c r="I424" s="196"/>
      <c r="J424" s="231"/>
      <c r="K424" s="1274"/>
      <c r="L424" s="1382"/>
      <c r="M424" s="1382"/>
      <c r="N424" s="1382"/>
      <c r="O424" s="1382"/>
      <c r="P424" s="1382"/>
      <c r="Q424" s="1333"/>
      <c r="R424" s="1382"/>
      <c r="S424" s="1382"/>
      <c r="T424" s="1382"/>
      <c r="U424" s="1382"/>
      <c r="V424" s="1382"/>
      <c r="W424" s="1382"/>
      <c r="X424" s="1382"/>
      <c r="Y424" s="1382"/>
      <c r="Z424" s="1382"/>
      <c r="AA424" s="1382"/>
      <c r="AB424" s="1382"/>
      <c r="AC424" s="1382"/>
      <c r="AD424" s="1382"/>
      <c r="AE424" s="1382"/>
      <c r="AF424" s="1382"/>
      <c r="AG424" s="1382"/>
      <c r="AH424" s="1382"/>
      <c r="AI424" s="1382"/>
      <c r="AJ424" s="1382"/>
      <c r="AK424" s="181"/>
      <c r="AL424" s="181"/>
      <c r="AM424" s="181"/>
      <c r="AN424" s="181"/>
      <c r="AO424" s="181"/>
      <c r="AP424" s="181"/>
      <c r="AQ424" s="181"/>
      <c r="AR424" s="181"/>
      <c r="AS424" s="181"/>
      <c r="AT424" s="181"/>
      <c r="AU424" s="181"/>
      <c r="AV424" s="181"/>
    </row>
    <row r="425" spans="1:48" s="30" customFormat="1" ht="14.25" customHeight="1" x14ac:dyDescent="0.25">
      <c r="A425" s="1408"/>
      <c r="B425" s="191"/>
      <c r="C425" s="921"/>
      <c r="D425" s="147"/>
      <c r="E425" s="29" t="s">
        <v>21</v>
      </c>
      <c r="F425" s="194"/>
      <c r="G425" s="240"/>
      <c r="H425" s="1670" t="s">
        <v>478</v>
      </c>
      <c r="I425" s="196"/>
      <c r="J425" s="231"/>
      <c r="K425" s="1274"/>
      <c r="L425" s="1382"/>
      <c r="M425" s="1382"/>
      <c r="N425" s="1382"/>
      <c r="O425" s="1382"/>
      <c r="P425" s="1382"/>
      <c r="Q425" s="1382"/>
      <c r="R425" s="1382"/>
      <c r="S425" s="1382"/>
      <c r="T425" s="1382"/>
      <c r="U425" s="1382"/>
      <c r="V425" s="1382"/>
      <c r="W425" s="1382"/>
      <c r="X425" s="1382"/>
      <c r="Y425" s="1382"/>
      <c r="Z425" s="1382"/>
      <c r="AA425" s="1382"/>
      <c r="AB425" s="1382"/>
      <c r="AC425" s="1382"/>
      <c r="AD425" s="1382"/>
      <c r="AE425" s="1382"/>
      <c r="AF425" s="1382"/>
      <c r="AG425" s="1382"/>
      <c r="AH425" s="1382"/>
      <c r="AI425" s="1382"/>
      <c r="AJ425" s="1382"/>
      <c r="AK425" s="181"/>
      <c r="AL425" s="181"/>
      <c r="AM425" s="181"/>
      <c r="AN425" s="181"/>
      <c r="AO425" s="181"/>
      <c r="AP425" s="181"/>
      <c r="AQ425" s="181"/>
      <c r="AR425" s="181"/>
      <c r="AS425" s="181"/>
      <c r="AT425" s="181"/>
      <c r="AU425" s="181"/>
      <c r="AV425" s="181"/>
    </row>
    <row r="426" spans="1:48" s="30" customFormat="1" ht="14.25" customHeight="1" x14ac:dyDescent="0.25">
      <c r="A426" s="1408"/>
      <c r="B426" s="191"/>
      <c r="C426" s="921"/>
      <c r="D426" s="147"/>
      <c r="E426" s="29" t="s">
        <v>21</v>
      </c>
      <c r="F426" s="194"/>
      <c r="G426" s="240"/>
      <c r="H426" s="1670" t="s">
        <v>478</v>
      </c>
      <c r="I426" s="196"/>
      <c r="J426" s="231"/>
      <c r="K426" s="1274"/>
      <c r="L426" s="1382"/>
      <c r="M426" s="1382"/>
      <c r="N426" s="1382"/>
      <c r="O426" s="1382"/>
      <c r="P426" s="1382"/>
      <c r="Q426" s="1382"/>
      <c r="R426" s="1382"/>
      <c r="S426" s="1382"/>
      <c r="T426" s="1382"/>
      <c r="U426" s="1382"/>
      <c r="V426" s="1382"/>
      <c r="W426" s="1382"/>
      <c r="X426" s="1382"/>
      <c r="Y426" s="1382"/>
      <c r="Z426" s="1382"/>
      <c r="AA426" s="1382"/>
      <c r="AB426" s="1382"/>
      <c r="AC426" s="1382"/>
      <c r="AD426" s="1382"/>
      <c r="AE426" s="1382"/>
      <c r="AF426" s="1382"/>
      <c r="AG426" s="1382"/>
      <c r="AH426" s="1382"/>
      <c r="AI426" s="1382"/>
      <c r="AJ426" s="1382"/>
      <c r="AK426" s="181"/>
      <c r="AL426" s="181"/>
      <c r="AM426" s="181"/>
      <c r="AN426" s="181"/>
      <c r="AO426" s="181"/>
      <c r="AP426" s="181"/>
      <c r="AQ426" s="181"/>
      <c r="AR426" s="181"/>
      <c r="AS426" s="181"/>
      <c r="AT426" s="181"/>
      <c r="AU426" s="181"/>
      <c r="AV426" s="181"/>
    </row>
    <row r="427" spans="1:48" s="30" customFormat="1" ht="14.25" customHeight="1" x14ac:dyDescent="0.25">
      <c r="A427" s="1408"/>
      <c r="B427" s="191"/>
      <c r="C427" s="921"/>
      <c r="D427" s="147"/>
      <c r="E427" s="29" t="s">
        <v>21</v>
      </c>
      <c r="F427" s="194"/>
      <c r="G427" s="240"/>
      <c r="H427" s="1670" t="s">
        <v>478</v>
      </c>
      <c r="I427" s="196"/>
      <c r="J427" s="231"/>
      <c r="K427" s="1274"/>
      <c r="L427" s="1382"/>
      <c r="M427" s="1382"/>
      <c r="N427" s="1382"/>
      <c r="O427" s="1382"/>
      <c r="P427" s="1382"/>
      <c r="Q427" s="1382"/>
      <c r="R427" s="1382"/>
      <c r="S427" s="1382"/>
      <c r="T427" s="1382"/>
      <c r="U427" s="1382"/>
      <c r="V427" s="1382"/>
      <c r="W427" s="1382"/>
      <c r="X427" s="1382"/>
      <c r="Y427" s="1382"/>
      <c r="Z427" s="1382"/>
      <c r="AA427" s="1382"/>
      <c r="AB427" s="1382"/>
      <c r="AC427" s="1382"/>
      <c r="AD427" s="1382"/>
      <c r="AE427" s="1382"/>
      <c r="AF427" s="1382"/>
      <c r="AG427" s="1382"/>
      <c r="AH427" s="1382"/>
      <c r="AI427" s="1382"/>
      <c r="AJ427" s="1382"/>
      <c r="AK427" s="181"/>
      <c r="AL427" s="181"/>
      <c r="AM427" s="181"/>
      <c r="AN427" s="181"/>
      <c r="AO427" s="181"/>
      <c r="AP427" s="181"/>
      <c r="AQ427" s="181"/>
      <c r="AR427" s="181"/>
      <c r="AS427" s="181"/>
      <c r="AT427" s="181"/>
      <c r="AU427" s="181"/>
      <c r="AV427" s="181"/>
    </row>
    <row r="428" spans="1:48" s="30" customFormat="1" ht="14.25" customHeight="1" x14ac:dyDescent="0.25">
      <c r="A428" s="1408"/>
      <c r="B428" s="191"/>
      <c r="C428" s="921"/>
      <c r="D428" s="147"/>
      <c r="E428" s="29" t="s">
        <v>21</v>
      </c>
      <c r="F428" s="194"/>
      <c r="G428" s="240"/>
      <c r="H428" s="1670" t="s">
        <v>478</v>
      </c>
      <c r="I428" s="196"/>
      <c r="J428" s="231"/>
      <c r="K428" s="1274"/>
      <c r="L428" s="1382"/>
      <c r="M428" s="1382"/>
      <c r="N428" s="1382"/>
      <c r="O428" s="1382"/>
      <c r="P428" s="1382"/>
      <c r="Q428" s="1333"/>
      <c r="R428" s="1382"/>
      <c r="S428" s="1382"/>
      <c r="T428" s="1382"/>
      <c r="U428" s="1382"/>
      <c r="V428" s="1382"/>
      <c r="W428" s="1382"/>
      <c r="X428" s="1382"/>
      <c r="Y428" s="1382"/>
      <c r="Z428" s="1382"/>
      <c r="AA428" s="1382"/>
      <c r="AB428" s="1382"/>
      <c r="AC428" s="1382"/>
      <c r="AD428" s="1382"/>
      <c r="AE428" s="1382"/>
      <c r="AF428" s="1382"/>
      <c r="AG428" s="1382"/>
      <c r="AH428" s="1382"/>
      <c r="AI428" s="1382"/>
      <c r="AJ428" s="1382"/>
      <c r="AK428" s="181"/>
      <c r="AL428" s="181"/>
      <c r="AM428" s="181"/>
      <c r="AN428" s="181"/>
      <c r="AO428" s="181"/>
      <c r="AP428" s="181"/>
      <c r="AQ428" s="181"/>
      <c r="AR428" s="181"/>
      <c r="AS428" s="181"/>
      <c r="AT428" s="181"/>
      <c r="AU428" s="181"/>
      <c r="AV428" s="181"/>
    </row>
    <row r="429" spans="1:48" s="30" customFormat="1" ht="14.25" customHeight="1" x14ac:dyDescent="0.25">
      <c r="A429" s="1408"/>
      <c r="B429" s="191"/>
      <c r="C429" s="921"/>
      <c r="D429" s="147"/>
      <c r="E429" s="29" t="s">
        <v>21</v>
      </c>
      <c r="F429" s="194"/>
      <c r="G429" s="240"/>
      <c r="H429" s="1670" t="s">
        <v>478</v>
      </c>
      <c r="I429" s="196"/>
      <c r="J429" s="231"/>
      <c r="K429" s="1274"/>
      <c r="L429" s="1382"/>
      <c r="M429" s="1382"/>
      <c r="N429" s="1382"/>
      <c r="O429" s="1382"/>
      <c r="P429" s="1382"/>
      <c r="Q429" s="1333"/>
      <c r="R429" s="1382"/>
      <c r="S429" s="1382"/>
      <c r="T429" s="1382"/>
      <c r="U429" s="1382"/>
      <c r="V429" s="1382"/>
      <c r="W429" s="1382"/>
      <c r="X429" s="1382"/>
      <c r="Y429" s="1382"/>
      <c r="Z429" s="1382"/>
      <c r="AA429" s="1382"/>
      <c r="AB429" s="1382"/>
      <c r="AC429" s="1382"/>
      <c r="AD429" s="1382"/>
      <c r="AE429" s="1382"/>
      <c r="AF429" s="1382"/>
      <c r="AG429" s="1382"/>
      <c r="AH429" s="1382"/>
      <c r="AI429" s="1382"/>
      <c r="AJ429" s="1382"/>
      <c r="AK429" s="181"/>
      <c r="AL429" s="181"/>
      <c r="AM429" s="181"/>
      <c r="AN429" s="181"/>
      <c r="AO429" s="181"/>
      <c r="AP429" s="181"/>
      <c r="AQ429" s="181"/>
      <c r="AR429" s="181"/>
      <c r="AS429" s="181"/>
      <c r="AT429" s="181"/>
      <c r="AU429" s="181"/>
      <c r="AV429" s="181"/>
    </row>
    <row r="430" spans="1:48" s="30" customFormat="1" ht="14.25" hidden="1" customHeight="1" x14ac:dyDescent="0.25">
      <c r="A430" s="1408"/>
      <c r="B430" s="191"/>
      <c r="C430" s="921"/>
      <c r="D430" s="147"/>
      <c r="E430" s="29" t="s">
        <v>21</v>
      </c>
      <c r="F430" s="194"/>
      <c r="G430" s="240"/>
      <c r="H430" s="1670" t="s">
        <v>478</v>
      </c>
      <c r="I430" s="196"/>
      <c r="J430" s="231"/>
      <c r="K430" s="1274"/>
      <c r="L430" s="1382"/>
      <c r="M430" s="1382"/>
      <c r="N430" s="1382"/>
      <c r="O430" s="1382"/>
      <c r="P430" s="1382"/>
      <c r="Q430" s="1333"/>
      <c r="R430" s="1382"/>
      <c r="S430" s="1382"/>
      <c r="T430" s="1382"/>
      <c r="U430" s="1382"/>
      <c r="V430" s="1382"/>
      <c r="W430" s="1382"/>
      <c r="X430" s="1382"/>
      <c r="Y430" s="1382"/>
      <c r="Z430" s="1382"/>
      <c r="AA430" s="1382"/>
      <c r="AB430" s="1382"/>
      <c r="AC430" s="1382"/>
      <c r="AD430" s="1382"/>
      <c r="AE430" s="1382"/>
      <c r="AF430" s="1382"/>
      <c r="AG430" s="1382"/>
      <c r="AH430" s="1382"/>
      <c r="AI430" s="1382"/>
      <c r="AJ430" s="1382"/>
      <c r="AK430" s="181"/>
      <c r="AL430" s="181"/>
      <c r="AM430" s="181"/>
      <c r="AN430" s="181"/>
      <c r="AO430" s="181"/>
      <c r="AP430" s="181"/>
      <c r="AQ430" s="181"/>
      <c r="AR430" s="181"/>
      <c r="AS430" s="181"/>
      <c r="AT430" s="181"/>
      <c r="AU430" s="181"/>
      <c r="AV430" s="181"/>
    </row>
    <row r="431" spans="1:48" s="30" customFormat="1" ht="14.25" hidden="1" customHeight="1" x14ac:dyDescent="0.25">
      <c r="A431" s="1408"/>
      <c r="B431" s="191"/>
      <c r="C431" s="921"/>
      <c r="D431" s="147"/>
      <c r="E431" s="29" t="s">
        <v>21</v>
      </c>
      <c r="F431" s="194"/>
      <c r="G431" s="240"/>
      <c r="H431" s="1670" t="s">
        <v>478</v>
      </c>
      <c r="I431" s="196"/>
      <c r="J431" s="231"/>
      <c r="K431" s="1274"/>
      <c r="L431" s="1382"/>
      <c r="M431" s="1382"/>
      <c r="N431" s="1382"/>
      <c r="O431" s="1382"/>
      <c r="P431" s="1382"/>
      <c r="Q431" s="1333"/>
      <c r="R431" s="1382"/>
      <c r="S431" s="1382"/>
      <c r="T431" s="1382"/>
      <c r="U431" s="1382"/>
      <c r="V431" s="1382"/>
      <c r="W431" s="1382"/>
      <c r="X431" s="1382"/>
      <c r="Y431" s="1382"/>
      <c r="Z431" s="1382"/>
      <c r="AA431" s="1382"/>
      <c r="AB431" s="1382"/>
      <c r="AC431" s="1382"/>
      <c r="AD431" s="1382"/>
      <c r="AE431" s="1382"/>
      <c r="AF431" s="1382"/>
      <c r="AG431" s="1382"/>
      <c r="AH431" s="1382"/>
      <c r="AI431" s="1382"/>
      <c r="AJ431" s="1382"/>
      <c r="AK431" s="181"/>
      <c r="AL431" s="181"/>
      <c r="AM431" s="181"/>
      <c r="AN431" s="181"/>
      <c r="AO431" s="181"/>
      <c r="AP431" s="181"/>
      <c r="AQ431" s="181"/>
      <c r="AR431" s="181"/>
      <c r="AS431" s="181"/>
      <c r="AT431" s="181"/>
      <c r="AU431" s="181"/>
      <c r="AV431" s="181"/>
    </row>
    <row r="432" spans="1:48" s="30" customFormat="1" ht="14.25" hidden="1" customHeight="1" x14ac:dyDescent="0.25">
      <c r="A432" s="1408"/>
      <c r="B432" s="191"/>
      <c r="C432" s="921"/>
      <c r="D432" s="147"/>
      <c r="E432" s="29" t="s">
        <v>21</v>
      </c>
      <c r="F432" s="194"/>
      <c r="G432" s="240"/>
      <c r="H432" s="1670" t="s">
        <v>478</v>
      </c>
      <c r="I432" s="196"/>
      <c r="J432" s="231"/>
      <c r="K432" s="1274"/>
      <c r="L432" s="1382"/>
      <c r="M432" s="1382"/>
      <c r="N432" s="1382"/>
      <c r="O432" s="1382"/>
      <c r="P432" s="1382"/>
      <c r="Q432" s="1333"/>
      <c r="R432" s="1382"/>
      <c r="S432" s="1382"/>
      <c r="T432" s="1382"/>
      <c r="U432" s="1382"/>
      <c r="V432" s="1382"/>
      <c r="W432" s="1382"/>
      <c r="X432" s="1382"/>
      <c r="Y432" s="1382"/>
      <c r="Z432" s="1382"/>
      <c r="AA432" s="1382"/>
      <c r="AB432" s="1382"/>
      <c r="AC432" s="1382"/>
      <c r="AD432" s="1382"/>
      <c r="AE432" s="1382"/>
      <c r="AF432" s="1382"/>
      <c r="AG432" s="1382"/>
      <c r="AH432" s="1382"/>
      <c r="AI432" s="1382"/>
      <c r="AJ432" s="1382"/>
      <c r="AK432" s="181"/>
      <c r="AL432" s="181"/>
      <c r="AM432" s="181"/>
      <c r="AN432" s="181"/>
      <c r="AO432" s="181"/>
      <c r="AP432" s="181"/>
      <c r="AQ432" s="181"/>
      <c r="AR432" s="181"/>
      <c r="AS432" s="181"/>
      <c r="AT432" s="181"/>
      <c r="AU432" s="181"/>
      <c r="AV432" s="181"/>
    </row>
    <row r="433" spans="1:48" s="30" customFormat="1" ht="14.25" hidden="1" customHeight="1" x14ac:dyDescent="0.25">
      <c r="A433" s="1408"/>
      <c r="B433" s="191"/>
      <c r="C433" s="921"/>
      <c r="D433" s="147"/>
      <c r="E433" s="29" t="s">
        <v>21</v>
      </c>
      <c r="F433" s="194"/>
      <c r="G433" s="240"/>
      <c r="H433" s="1670" t="s">
        <v>478</v>
      </c>
      <c r="I433" s="196"/>
      <c r="J433" s="231"/>
      <c r="K433" s="1274"/>
      <c r="L433" s="1382"/>
      <c r="M433" s="1382"/>
      <c r="N433" s="1382"/>
      <c r="O433" s="1382"/>
      <c r="P433" s="1382"/>
      <c r="Q433" s="1333"/>
      <c r="R433" s="1382"/>
      <c r="S433" s="1382"/>
      <c r="T433" s="1382"/>
      <c r="U433" s="1382"/>
      <c r="V433" s="1382"/>
      <c r="W433" s="1382"/>
      <c r="X433" s="1382"/>
      <c r="Y433" s="1382"/>
      <c r="Z433" s="1382"/>
      <c r="AA433" s="1382"/>
      <c r="AB433" s="1382"/>
      <c r="AC433" s="1382"/>
      <c r="AD433" s="1382"/>
      <c r="AE433" s="1382"/>
      <c r="AF433" s="1382"/>
      <c r="AG433" s="1382"/>
      <c r="AH433" s="1382"/>
      <c r="AI433" s="1382"/>
      <c r="AJ433" s="1382"/>
      <c r="AK433" s="181"/>
      <c r="AL433" s="181"/>
      <c r="AM433" s="181"/>
      <c r="AN433" s="181"/>
      <c r="AO433" s="181"/>
      <c r="AP433" s="181"/>
      <c r="AQ433" s="181"/>
      <c r="AR433" s="181"/>
      <c r="AS433" s="181"/>
      <c r="AT433" s="181"/>
      <c r="AU433" s="181"/>
      <c r="AV433" s="181"/>
    </row>
    <row r="434" spans="1:48" s="30" customFormat="1" ht="14.25" hidden="1" customHeight="1" x14ac:dyDescent="0.25">
      <c r="A434" s="1408"/>
      <c r="B434" s="191"/>
      <c r="C434" s="921"/>
      <c r="D434" s="147"/>
      <c r="E434" s="29" t="s">
        <v>21</v>
      </c>
      <c r="F434" s="194"/>
      <c r="G434" s="240"/>
      <c r="H434" s="1670" t="s">
        <v>478</v>
      </c>
      <c r="I434" s="196"/>
      <c r="J434" s="231"/>
      <c r="K434" s="1274"/>
      <c r="L434" s="1382"/>
      <c r="M434" s="1382"/>
      <c r="N434" s="1382"/>
      <c r="O434" s="1382"/>
      <c r="P434" s="1382"/>
      <c r="Q434" s="1333"/>
      <c r="R434" s="1382"/>
      <c r="S434" s="1382"/>
      <c r="T434" s="1382"/>
      <c r="U434" s="1382"/>
      <c r="V434" s="1382"/>
      <c r="W434" s="1382"/>
      <c r="X434" s="1382"/>
      <c r="Y434" s="1382"/>
      <c r="Z434" s="1382"/>
      <c r="AA434" s="1382"/>
      <c r="AB434" s="1382"/>
      <c r="AC434" s="1382"/>
      <c r="AD434" s="1382"/>
      <c r="AE434" s="1382"/>
      <c r="AF434" s="1382"/>
      <c r="AG434" s="1382"/>
      <c r="AH434" s="1382"/>
      <c r="AI434" s="1382"/>
      <c r="AJ434" s="1382"/>
      <c r="AK434" s="181"/>
      <c r="AL434" s="181"/>
      <c r="AM434" s="181"/>
      <c r="AN434" s="181"/>
      <c r="AO434" s="181"/>
      <c r="AP434" s="181"/>
      <c r="AQ434" s="181"/>
      <c r="AR434" s="181"/>
      <c r="AS434" s="181"/>
      <c r="AT434" s="181"/>
      <c r="AU434" s="181"/>
      <c r="AV434" s="181"/>
    </row>
    <row r="435" spans="1:48" s="30" customFormat="1" ht="14.25" hidden="1" customHeight="1" x14ac:dyDescent="0.25">
      <c r="A435" s="1408"/>
      <c r="B435" s="191"/>
      <c r="C435" s="921"/>
      <c r="D435" s="147"/>
      <c r="E435" s="29" t="s">
        <v>21</v>
      </c>
      <c r="F435" s="194"/>
      <c r="G435" s="240"/>
      <c r="H435" s="1670" t="s">
        <v>478</v>
      </c>
      <c r="I435" s="196"/>
      <c r="J435" s="231"/>
      <c r="K435" s="1274"/>
      <c r="L435" s="1382"/>
      <c r="M435" s="1382"/>
      <c r="N435" s="1382"/>
      <c r="O435" s="1382"/>
      <c r="P435" s="1382"/>
      <c r="Q435" s="1333"/>
      <c r="R435" s="1382"/>
      <c r="S435" s="1382"/>
      <c r="T435" s="1382"/>
      <c r="U435" s="1382"/>
      <c r="V435" s="1382"/>
      <c r="W435" s="1382"/>
      <c r="X435" s="1382"/>
      <c r="Y435" s="1382"/>
      <c r="Z435" s="1382"/>
      <c r="AA435" s="1382"/>
      <c r="AB435" s="1382"/>
      <c r="AC435" s="1382"/>
      <c r="AD435" s="1382"/>
      <c r="AE435" s="1382"/>
      <c r="AF435" s="1382"/>
      <c r="AG435" s="1382"/>
      <c r="AH435" s="1382"/>
      <c r="AI435" s="1382"/>
      <c r="AJ435" s="1382"/>
      <c r="AK435" s="181"/>
      <c r="AL435" s="181"/>
      <c r="AM435" s="181"/>
      <c r="AN435" s="181"/>
      <c r="AO435" s="181"/>
      <c r="AP435" s="181"/>
      <c r="AQ435" s="181"/>
      <c r="AR435" s="181"/>
      <c r="AS435" s="181"/>
      <c r="AT435" s="181"/>
      <c r="AU435" s="181"/>
      <c r="AV435" s="181"/>
    </row>
    <row r="436" spans="1:48" s="30" customFormat="1" ht="14.25" hidden="1" customHeight="1" x14ac:dyDescent="0.25">
      <c r="A436" s="1408"/>
      <c r="B436" s="191"/>
      <c r="C436" s="921"/>
      <c r="D436" s="147"/>
      <c r="E436" s="29" t="s">
        <v>21</v>
      </c>
      <c r="F436" s="194"/>
      <c r="G436" s="240"/>
      <c r="H436" s="1670" t="s">
        <v>478</v>
      </c>
      <c r="I436" s="196"/>
      <c r="J436" s="231"/>
      <c r="K436" s="1274"/>
      <c r="L436" s="1382"/>
      <c r="M436" s="1382"/>
      <c r="N436" s="1382"/>
      <c r="O436" s="1382"/>
      <c r="P436" s="1382"/>
      <c r="Q436" s="1333"/>
      <c r="R436" s="1382"/>
      <c r="S436" s="1382"/>
      <c r="T436" s="1382"/>
      <c r="U436" s="1382"/>
      <c r="V436" s="1382"/>
      <c r="W436" s="1382"/>
      <c r="X436" s="1382"/>
      <c r="Y436" s="1382"/>
      <c r="Z436" s="1382"/>
      <c r="AA436" s="1382"/>
      <c r="AB436" s="1382"/>
      <c r="AC436" s="1382"/>
      <c r="AD436" s="1382"/>
      <c r="AE436" s="1382"/>
      <c r="AF436" s="1382"/>
      <c r="AG436" s="1382"/>
      <c r="AH436" s="1382"/>
      <c r="AI436" s="1382"/>
      <c r="AJ436" s="1382"/>
      <c r="AK436" s="181"/>
      <c r="AL436" s="181"/>
      <c r="AM436" s="181"/>
      <c r="AN436" s="181"/>
      <c r="AO436" s="181"/>
      <c r="AP436" s="181"/>
      <c r="AQ436" s="181"/>
      <c r="AR436" s="181"/>
      <c r="AS436" s="181"/>
      <c r="AT436" s="181"/>
      <c r="AU436" s="181"/>
      <c r="AV436" s="181"/>
    </row>
    <row r="437" spans="1:48" s="30" customFormat="1" ht="14.25" hidden="1" customHeight="1" x14ac:dyDescent="0.25">
      <c r="A437" s="1408"/>
      <c r="B437" s="191"/>
      <c r="C437" s="921"/>
      <c r="D437" s="147"/>
      <c r="E437" s="29" t="s">
        <v>21</v>
      </c>
      <c r="F437" s="194"/>
      <c r="G437" s="240"/>
      <c r="H437" s="1670" t="s">
        <v>478</v>
      </c>
      <c r="I437" s="196"/>
      <c r="J437" s="231"/>
      <c r="K437" s="1274"/>
      <c r="L437" s="1382"/>
      <c r="M437" s="1382"/>
      <c r="N437" s="1382"/>
      <c r="O437" s="1382"/>
      <c r="P437" s="1382"/>
      <c r="Q437" s="1333"/>
      <c r="R437" s="1382"/>
      <c r="S437" s="1382"/>
      <c r="T437" s="1382"/>
      <c r="U437" s="1382"/>
      <c r="V437" s="1382"/>
      <c r="W437" s="1382"/>
      <c r="X437" s="1382"/>
      <c r="Y437" s="1382"/>
      <c r="Z437" s="1382"/>
      <c r="AA437" s="1382"/>
      <c r="AB437" s="1382"/>
      <c r="AC437" s="1382"/>
      <c r="AD437" s="1382"/>
      <c r="AE437" s="1382"/>
      <c r="AF437" s="1382"/>
      <c r="AG437" s="1382"/>
      <c r="AH437" s="1382"/>
      <c r="AI437" s="1382"/>
      <c r="AJ437" s="1382"/>
      <c r="AK437" s="181"/>
      <c r="AL437" s="181"/>
      <c r="AM437" s="181"/>
      <c r="AN437" s="181"/>
      <c r="AO437" s="181"/>
      <c r="AP437" s="181"/>
      <c r="AQ437" s="181"/>
      <c r="AR437" s="181"/>
      <c r="AS437" s="181"/>
      <c r="AT437" s="181"/>
      <c r="AU437" s="181"/>
      <c r="AV437" s="181"/>
    </row>
    <row r="438" spans="1:48" s="30" customFormat="1" ht="14.25" hidden="1" customHeight="1" x14ac:dyDescent="0.25">
      <c r="A438" s="1408"/>
      <c r="B438" s="191"/>
      <c r="C438" s="921"/>
      <c r="D438" s="147"/>
      <c r="E438" s="29" t="s">
        <v>21</v>
      </c>
      <c r="F438" s="194"/>
      <c r="G438" s="240"/>
      <c r="H438" s="1670" t="s">
        <v>478</v>
      </c>
      <c r="I438" s="196"/>
      <c r="J438" s="231"/>
      <c r="K438" s="1274"/>
      <c r="L438" s="1382"/>
      <c r="M438" s="1382"/>
      <c r="N438" s="1382"/>
      <c r="O438" s="1382"/>
      <c r="P438" s="1382"/>
      <c r="Q438" s="1333"/>
      <c r="R438" s="1382"/>
      <c r="S438" s="1382"/>
      <c r="T438" s="1382"/>
      <c r="U438" s="1382"/>
      <c r="V438" s="1382"/>
      <c r="W438" s="1382"/>
      <c r="X438" s="1382"/>
      <c r="Y438" s="1382"/>
      <c r="Z438" s="1382"/>
      <c r="AA438" s="1382"/>
      <c r="AB438" s="1382"/>
      <c r="AC438" s="1382"/>
      <c r="AD438" s="1382"/>
      <c r="AE438" s="1382"/>
      <c r="AF438" s="1382"/>
      <c r="AG438" s="1382"/>
      <c r="AH438" s="1382"/>
      <c r="AI438" s="1382"/>
      <c r="AJ438" s="1382"/>
      <c r="AK438" s="181"/>
      <c r="AL438" s="181"/>
      <c r="AM438" s="181"/>
      <c r="AN438" s="181"/>
      <c r="AO438" s="181"/>
      <c r="AP438" s="181"/>
      <c r="AQ438" s="181"/>
      <c r="AR438" s="181"/>
      <c r="AS438" s="181"/>
      <c r="AT438" s="181"/>
      <c r="AU438" s="181"/>
      <c r="AV438" s="181"/>
    </row>
    <row r="439" spans="1:48" s="30" customFormat="1" ht="14.25" hidden="1" customHeight="1" x14ac:dyDescent="0.25">
      <c r="A439" s="1408"/>
      <c r="B439" s="191"/>
      <c r="C439" s="921"/>
      <c r="D439" s="147"/>
      <c r="E439" s="29" t="s">
        <v>21</v>
      </c>
      <c r="F439" s="194"/>
      <c r="G439" s="240"/>
      <c r="H439" s="1670" t="s">
        <v>478</v>
      </c>
      <c r="I439" s="196"/>
      <c r="J439" s="231"/>
      <c r="K439" s="1274"/>
      <c r="L439" s="1382"/>
      <c r="M439" s="1382"/>
      <c r="N439" s="1382"/>
      <c r="O439" s="1382"/>
      <c r="P439" s="1382"/>
      <c r="Q439" s="1333"/>
      <c r="R439" s="1382"/>
      <c r="S439" s="1382"/>
      <c r="T439" s="1382"/>
      <c r="U439" s="1382"/>
      <c r="V439" s="1382"/>
      <c r="W439" s="1382"/>
      <c r="X439" s="1382"/>
      <c r="Y439" s="1382"/>
      <c r="Z439" s="1382"/>
      <c r="AA439" s="1382"/>
      <c r="AB439" s="1382"/>
      <c r="AC439" s="1382"/>
      <c r="AD439" s="1382"/>
      <c r="AE439" s="1382"/>
      <c r="AF439" s="1382"/>
      <c r="AG439" s="1382"/>
      <c r="AH439" s="1382"/>
      <c r="AI439" s="1382"/>
      <c r="AJ439" s="1382"/>
      <c r="AK439" s="181"/>
      <c r="AL439" s="181"/>
      <c r="AM439" s="181"/>
      <c r="AN439" s="181"/>
      <c r="AO439" s="181"/>
      <c r="AP439" s="181"/>
      <c r="AQ439" s="181"/>
      <c r="AR439" s="181"/>
      <c r="AS439" s="181"/>
      <c r="AT439" s="181"/>
      <c r="AU439" s="181"/>
      <c r="AV439" s="181"/>
    </row>
    <row r="440" spans="1:48" s="30" customFormat="1" ht="14.25" hidden="1" customHeight="1" x14ac:dyDescent="0.25">
      <c r="A440" s="1408"/>
      <c r="B440" s="191"/>
      <c r="C440" s="921"/>
      <c r="D440" s="147"/>
      <c r="E440" s="29" t="s">
        <v>21</v>
      </c>
      <c r="F440" s="194"/>
      <c r="G440" s="240"/>
      <c r="H440" s="1670" t="s">
        <v>478</v>
      </c>
      <c r="I440" s="196"/>
      <c r="J440" s="231"/>
      <c r="K440" s="1274"/>
      <c r="L440" s="1382"/>
      <c r="M440" s="1382"/>
      <c r="N440" s="1382"/>
      <c r="O440" s="1382"/>
      <c r="P440" s="1382"/>
      <c r="Q440" s="1333"/>
      <c r="R440" s="1382"/>
      <c r="S440" s="1382"/>
      <c r="T440" s="1382"/>
      <c r="U440" s="1382"/>
      <c r="V440" s="1382"/>
      <c r="W440" s="1382"/>
      <c r="X440" s="1382"/>
      <c r="Y440" s="1382"/>
      <c r="Z440" s="1382"/>
      <c r="AA440" s="1382"/>
      <c r="AB440" s="1382"/>
      <c r="AC440" s="1382"/>
      <c r="AD440" s="1382"/>
      <c r="AE440" s="1382"/>
      <c r="AF440" s="1382"/>
      <c r="AG440" s="1382"/>
      <c r="AH440" s="1382"/>
      <c r="AI440" s="1382"/>
      <c r="AJ440" s="1382"/>
      <c r="AK440" s="181"/>
      <c r="AL440" s="181"/>
      <c r="AM440" s="181"/>
      <c r="AN440" s="181"/>
      <c r="AO440" s="181"/>
      <c r="AP440" s="181"/>
      <c r="AQ440" s="181"/>
      <c r="AR440" s="181"/>
      <c r="AS440" s="181"/>
      <c r="AT440" s="181"/>
      <c r="AU440" s="181"/>
      <c r="AV440" s="181"/>
    </row>
    <row r="441" spans="1:48" s="30" customFormat="1" ht="14.25" hidden="1" customHeight="1" x14ac:dyDescent="0.25">
      <c r="A441" s="1408"/>
      <c r="B441" s="191"/>
      <c r="C441" s="921"/>
      <c r="D441" s="147"/>
      <c r="E441" s="29" t="s">
        <v>21</v>
      </c>
      <c r="F441" s="194"/>
      <c r="G441" s="240"/>
      <c r="H441" s="1670" t="s">
        <v>478</v>
      </c>
      <c r="I441" s="196"/>
      <c r="J441" s="231"/>
      <c r="K441" s="1274"/>
      <c r="L441" s="1382"/>
      <c r="M441" s="1382"/>
      <c r="N441" s="1382"/>
      <c r="O441" s="1382"/>
      <c r="P441" s="1382"/>
      <c r="Q441" s="1333"/>
      <c r="R441" s="1382"/>
      <c r="S441" s="1382"/>
      <c r="T441" s="1382"/>
      <c r="U441" s="1382"/>
      <c r="V441" s="1382"/>
      <c r="W441" s="1382"/>
      <c r="X441" s="1382"/>
      <c r="Y441" s="1382"/>
      <c r="Z441" s="1382"/>
      <c r="AA441" s="1382"/>
      <c r="AB441" s="1382"/>
      <c r="AC441" s="1382"/>
      <c r="AD441" s="1382"/>
      <c r="AE441" s="1382"/>
      <c r="AF441" s="1382"/>
      <c r="AG441" s="1382"/>
      <c r="AH441" s="1382"/>
      <c r="AI441" s="1382"/>
      <c r="AJ441" s="1382"/>
      <c r="AK441" s="181"/>
      <c r="AL441" s="181"/>
      <c r="AM441" s="181"/>
      <c r="AN441" s="181"/>
      <c r="AO441" s="181"/>
      <c r="AP441" s="181"/>
      <c r="AQ441" s="181"/>
      <c r="AR441" s="181"/>
      <c r="AS441" s="181"/>
      <c r="AT441" s="181"/>
      <c r="AU441" s="181"/>
      <c r="AV441" s="181"/>
    </row>
    <row r="442" spans="1:48" s="30" customFormat="1" ht="14.25" hidden="1" customHeight="1" x14ac:dyDescent="0.25">
      <c r="A442" s="1408"/>
      <c r="B442" s="191"/>
      <c r="C442" s="921"/>
      <c r="D442" s="147"/>
      <c r="E442" s="29" t="s">
        <v>21</v>
      </c>
      <c r="F442" s="194"/>
      <c r="G442" s="240"/>
      <c r="H442" s="1670" t="s">
        <v>478</v>
      </c>
      <c r="I442" s="196"/>
      <c r="J442" s="231"/>
      <c r="K442" s="1274"/>
      <c r="L442" s="1382"/>
      <c r="M442" s="1382"/>
      <c r="N442" s="1382"/>
      <c r="O442" s="1382"/>
      <c r="P442" s="1382"/>
      <c r="Q442" s="1333"/>
      <c r="R442" s="1382"/>
      <c r="S442" s="1382"/>
      <c r="T442" s="1382"/>
      <c r="U442" s="1382"/>
      <c r="V442" s="1382"/>
      <c r="W442" s="1382"/>
      <c r="X442" s="1382"/>
      <c r="Y442" s="1382"/>
      <c r="Z442" s="1382"/>
      <c r="AA442" s="1382"/>
      <c r="AB442" s="1382"/>
      <c r="AC442" s="1382"/>
      <c r="AD442" s="1382"/>
      <c r="AE442" s="1382"/>
      <c r="AF442" s="1382"/>
      <c r="AG442" s="1382"/>
      <c r="AH442" s="1382"/>
      <c r="AI442" s="1382"/>
      <c r="AJ442" s="1382"/>
      <c r="AK442" s="181"/>
      <c r="AL442" s="181"/>
      <c r="AM442" s="181"/>
      <c r="AN442" s="181"/>
      <c r="AO442" s="181"/>
      <c r="AP442" s="181"/>
      <c r="AQ442" s="181"/>
      <c r="AR442" s="181"/>
      <c r="AS442" s="181"/>
      <c r="AT442" s="181"/>
      <c r="AU442" s="181"/>
      <c r="AV442" s="181"/>
    </row>
    <row r="443" spans="1:48" s="30" customFormat="1" ht="14.25" hidden="1" customHeight="1" x14ac:dyDescent="0.25">
      <c r="A443" s="1408"/>
      <c r="B443" s="191"/>
      <c r="C443" s="921"/>
      <c r="D443" s="147"/>
      <c r="E443" s="29" t="s">
        <v>21</v>
      </c>
      <c r="F443" s="194"/>
      <c r="G443" s="240"/>
      <c r="H443" s="1670" t="s">
        <v>478</v>
      </c>
      <c r="I443" s="196"/>
      <c r="J443" s="231"/>
      <c r="K443" s="1274"/>
      <c r="L443" s="1382"/>
      <c r="M443" s="1382"/>
      <c r="N443" s="1382"/>
      <c r="O443" s="1382"/>
      <c r="P443" s="1382"/>
      <c r="Q443" s="1333"/>
      <c r="R443" s="1382"/>
      <c r="S443" s="1382"/>
      <c r="T443" s="1382"/>
      <c r="U443" s="1382"/>
      <c r="V443" s="1382"/>
      <c r="W443" s="1382"/>
      <c r="X443" s="1382"/>
      <c r="Y443" s="1382"/>
      <c r="Z443" s="1382"/>
      <c r="AA443" s="1382"/>
      <c r="AB443" s="1382"/>
      <c r="AC443" s="1382"/>
      <c r="AD443" s="1382"/>
      <c r="AE443" s="1382"/>
      <c r="AF443" s="1382"/>
      <c r="AG443" s="1382"/>
      <c r="AH443" s="1382"/>
      <c r="AI443" s="1382"/>
      <c r="AJ443" s="1382"/>
      <c r="AK443" s="181"/>
      <c r="AL443" s="181"/>
      <c r="AM443" s="181"/>
      <c r="AN443" s="181"/>
      <c r="AO443" s="181"/>
      <c r="AP443" s="181"/>
      <c r="AQ443" s="181"/>
      <c r="AR443" s="181"/>
      <c r="AS443" s="181"/>
      <c r="AT443" s="181"/>
      <c r="AU443" s="181"/>
      <c r="AV443" s="181"/>
    </row>
    <row r="444" spans="1:48" s="30" customFormat="1" ht="14.25" hidden="1" customHeight="1" x14ac:dyDescent="0.25">
      <c r="A444" s="1408"/>
      <c r="B444" s="191"/>
      <c r="C444" s="921"/>
      <c r="D444" s="147"/>
      <c r="E444" s="29" t="s">
        <v>21</v>
      </c>
      <c r="F444" s="194"/>
      <c r="G444" s="240"/>
      <c r="H444" s="1670" t="s">
        <v>478</v>
      </c>
      <c r="I444" s="196"/>
      <c r="J444" s="231"/>
      <c r="K444" s="1274"/>
      <c r="L444" s="1382"/>
      <c r="M444" s="1382"/>
      <c r="N444" s="1382"/>
      <c r="O444" s="1382"/>
      <c r="P444" s="1382"/>
      <c r="Q444" s="1333"/>
      <c r="R444" s="1382"/>
      <c r="S444" s="1382"/>
      <c r="T444" s="1382"/>
      <c r="U444" s="1382"/>
      <c r="V444" s="1382"/>
      <c r="W444" s="1382"/>
      <c r="X444" s="1382"/>
      <c r="Y444" s="1382"/>
      <c r="Z444" s="1382"/>
      <c r="AA444" s="1382"/>
      <c r="AB444" s="1382"/>
      <c r="AC444" s="1382"/>
      <c r="AD444" s="1382"/>
      <c r="AE444" s="1382"/>
      <c r="AF444" s="1382"/>
      <c r="AG444" s="1382"/>
      <c r="AH444" s="1382"/>
      <c r="AI444" s="1382"/>
      <c r="AJ444" s="1382"/>
      <c r="AK444" s="181"/>
      <c r="AL444" s="181"/>
      <c r="AM444" s="181"/>
      <c r="AN444" s="181"/>
      <c r="AO444" s="181"/>
      <c r="AP444" s="181"/>
      <c r="AQ444" s="181"/>
      <c r="AR444" s="181"/>
      <c r="AS444" s="181"/>
      <c r="AT444" s="181"/>
      <c r="AU444" s="181"/>
      <c r="AV444" s="181"/>
    </row>
    <row r="445" spans="1:48" s="30" customFormat="1" ht="14.25" hidden="1" customHeight="1" x14ac:dyDescent="0.25">
      <c r="A445" s="1408"/>
      <c r="B445" s="191"/>
      <c r="C445" s="921"/>
      <c r="D445" s="147"/>
      <c r="E445" s="29" t="s">
        <v>21</v>
      </c>
      <c r="F445" s="194"/>
      <c r="G445" s="240"/>
      <c r="H445" s="1670" t="s">
        <v>478</v>
      </c>
      <c r="I445" s="196"/>
      <c r="J445" s="231"/>
      <c r="K445" s="1274"/>
      <c r="L445" s="1382"/>
      <c r="M445" s="1382"/>
      <c r="N445" s="1382"/>
      <c r="O445" s="1382"/>
      <c r="P445" s="1382"/>
      <c r="Q445" s="1333"/>
      <c r="R445" s="1382"/>
      <c r="S445" s="1382"/>
      <c r="T445" s="1382"/>
      <c r="U445" s="1382"/>
      <c r="V445" s="1382"/>
      <c r="W445" s="1382"/>
      <c r="X445" s="1382"/>
      <c r="Y445" s="1382"/>
      <c r="Z445" s="1382"/>
      <c r="AA445" s="1382"/>
      <c r="AB445" s="1382"/>
      <c r="AC445" s="1382"/>
      <c r="AD445" s="1382"/>
      <c r="AE445" s="1382"/>
      <c r="AF445" s="1382"/>
      <c r="AG445" s="1382"/>
      <c r="AH445" s="1382"/>
      <c r="AI445" s="1382"/>
      <c r="AJ445" s="1382"/>
      <c r="AK445" s="181"/>
      <c r="AL445" s="181"/>
      <c r="AM445" s="181"/>
      <c r="AN445" s="181"/>
      <c r="AO445" s="181"/>
      <c r="AP445" s="181"/>
      <c r="AQ445" s="181"/>
      <c r="AR445" s="181"/>
      <c r="AS445" s="181"/>
      <c r="AT445" s="181"/>
      <c r="AU445" s="181"/>
      <c r="AV445" s="181"/>
    </row>
    <row r="446" spans="1:48" s="30" customFormat="1" ht="14.25" hidden="1" customHeight="1" x14ac:dyDescent="0.25">
      <c r="A446" s="1408"/>
      <c r="B446" s="191"/>
      <c r="C446" s="921"/>
      <c r="D446" s="147"/>
      <c r="E446" s="29" t="s">
        <v>21</v>
      </c>
      <c r="F446" s="194"/>
      <c r="G446" s="240"/>
      <c r="H446" s="1670" t="s">
        <v>478</v>
      </c>
      <c r="I446" s="196"/>
      <c r="J446" s="231"/>
      <c r="K446" s="1274"/>
      <c r="L446" s="1382"/>
      <c r="M446" s="1382"/>
      <c r="N446" s="1382"/>
      <c r="O446" s="1382"/>
      <c r="P446" s="1382"/>
      <c r="Q446" s="1333"/>
      <c r="R446" s="1382"/>
      <c r="S446" s="1382"/>
      <c r="T446" s="1382"/>
      <c r="U446" s="1382"/>
      <c r="V446" s="1382"/>
      <c r="W446" s="1382"/>
      <c r="X446" s="1382"/>
      <c r="Y446" s="1382"/>
      <c r="Z446" s="1382"/>
      <c r="AA446" s="1382"/>
      <c r="AB446" s="1382"/>
      <c r="AC446" s="1382"/>
      <c r="AD446" s="1382"/>
      <c r="AE446" s="1382"/>
      <c r="AF446" s="1382"/>
      <c r="AG446" s="1382"/>
      <c r="AH446" s="1382"/>
      <c r="AI446" s="1382"/>
      <c r="AJ446" s="1382"/>
      <c r="AK446" s="181"/>
      <c r="AL446" s="181"/>
      <c r="AM446" s="181"/>
      <c r="AN446" s="181"/>
      <c r="AO446" s="181"/>
      <c r="AP446" s="181"/>
      <c r="AQ446" s="181"/>
      <c r="AR446" s="181"/>
      <c r="AS446" s="181"/>
      <c r="AT446" s="181"/>
      <c r="AU446" s="181"/>
      <c r="AV446" s="181"/>
    </row>
    <row r="447" spans="1:48" s="30" customFormat="1" ht="14.25" hidden="1" customHeight="1" x14ac:dyDescent="0.25">
      <c r="A447" s="1408"/>
      <c r="B447" s="191"/>
      <c r="C447" s="921"/>
      <c r="D447" s="147"/>
      <c r="E447" s="29" t="s">
        <v>21</v>
      </c>
      <c r="F447" s="194"/>
      <c r="G447" s="240"/>
      <c r="H447" s="1670" t="s">
        <v>478</v>
      </c>
      <c r="I447" s="196"/>
      <c r="J447" s="231"/>
      <c r="K447" s="1274"/>
      <c r="L447" s="1382"/>
      <c r="M447" s="1382"/>
      <c r="N447" s="1382"/>
      <c r="O447" s="1382"/>
      <c r="P447" s="1382"/>
      <c r="Q447" s="1333"/>
      <c r="R447" s="1382"/>
      <c r="S447" s="1382"/>
      <c r="T447" s="1382"/>
      <c r="U447" s="1382"/>
      <c r="V447" s="1382"/>
      <c r="W447" s="1382"/>
      <c r="X447" s="1382"/>
      <c r="Y447" s="1382"/>
      <c r="Z447" s="1382"/>
      <c r="AA447" s="1382"/>
      <c r="AB447" s="1382"/>
      <c r="AC447" s="1382"/>
      <c r="AD447" s="1382"/>
      <c r="AE447" s="1382"/>
      <c r="AF447" s="1382"/>
      <c r="AG447" s="1382"/>
      <c r="AH447" s="1382"/>
      <c r="AI447" s="1382"/>
      <c r="AJ447" s="1382"/>
      <c r="AK447" s="181"/>
      <c r="AL447" s="181"/>
      <c r="AM447" s="181"/>
      <c r="AN447" s="181"/>
      <c r="AO447" s="181"/>
      <c r="AP447" s="181"/>
      <c r="AQ447" s="181"/>
      <c r="AR447" s="181"/>
      <c r="AS447" s="181"/>
      <c r="AT447" s="181"/>
      <c r="AU447" s="181"/>
      <c r="AV447" s="181"/>
    </row>
    <row r="448" spans="1:48" s="30" customFormat="1" ht="14.25" hidden="1" customHeight="1" x14ac:dyDescent="0.25">
      <c r="A448" s="1408"/>
      <c r="B448" s="191"/>
      <c r="C448" s="921"/>
      <c r="D448" s="147"/>
      <c r="E448" s="29" t="s">
        <v>21</v>
      </c>
      <c r="F448" s="194"/>
      <c r="G448" s="240"/>
      <c r="H448" s="1670" t="s">
        <v>478</v>
      </c>
      <c r="I448" s="196"/>
      <c r="J448" s="231"/>
      <c r="K448" s="1274"/>
      <c r="L448" s="1382"/>
      <c r="M448" s="1382"/>
      <c r="N448" s="1382"/>
      <c r="O448" s="1382"/>
      <c r="P448" s="1382"/>
      <c r="Q448" s="1333"/>
      <c r="R448" s="1382"/>
      <c r="S448" s="1382"/>
      <c r="T448" s="1382"/>
      <c r="U448" s="1382"/>
      <c r="V448" s="1382"/>
      <c r="W448" s="1382"/>
      <c r="X448" s="1382"/>
      <c r="Y448" s="1382"/>
      <c r="Z448" s="1382"/>
      <c r="AA448" s="1382"/>
      <c r="AB448" s="1382"/>
      <c r="AC448" s="1382"/>
      <c r="AD448" s="1382"/>
      <c r="AE448" s="1382"/>
      <c r="AF448" s="1382"/>
      <c r="AG448" s="1382"/>
      <c r="AH448" s="1382"/>
      <c r="AI448" s="1382"/>
      <c r="AJ448" s="1382"/>
      <c r="AK448" s="181"/>
      <c r="AL448" s="181"/>
      <c r="AM448" s="181"/>
      <c r="AN448" s="181"/>
      <c r="AO448" s="181"/>
      <c r="AP448" s="181"/>
      <c r="AQ448" s="181"/>
      <c r="AR448" s="181"/>
      <c r="AS448" s="181"/>
      <c r="AT448" s="181"/>
      <c r="AU448" s="181"/>
      <c r="AV448" s="181"/>
    </row>
    <row r="449" spans="1:48" s="30" customFormat="1" ht="14.25" hidden="1" customHeight="1" x14ac:dyDescent="0.25">
      <c r="A449" s="1408"/>
      <c r="B449" s="191"/>
      <c r="C449" s="921"/>
      <c r="D449" s="147"/>
      <c r="E449" s="29" t="s">
        <v>21</v>
      </c>
      <c r="F449" s="194"/>
      <c r="G449" s="240"/>
      <c r="H449" s="1670" t="s">
        <v>478</v>
      </c>
      <c r="I449" s="196"/>
      <c r="J449" s="231"/>
      <c r="K449" s="1274"/>
      <c r="L449" s="1382"/>
      <c r="M449" s="1382"/>
      <c r="N449" s="1382"/>
      <c r="O449" s="1382"/>
      <c r="P449" s="1382"/>
      <c r="Q449" s="1333"/>
      <c r="R449" s="1382"/>
      <c r="S449" s="1382"/>
      <c r="T449" s="1382"/>
      <c r="U449" s="1382"/>
      <c r="V449" s="1382"/>
      <c r="W449" s="1382"/>
      <c r="X449" s="1382"/>
      <c r="Y449" s="1382"/>
      <c r="Z449" s="1382"/>
      <c r="AA449" s="1382"/>
      <c r="AB449" s="1382"/>
      <c r="AC449" s="1382"/>
      <c r="AD449" s="1382"/>
      <c r="AE449" s="1382"/>
      <c r="AF449" s="1382"/>
      <c r="AG449" s="1382"/>
      <c r="AH449" s="1382"/>
      <c r="AI449" s="1382"/>
      <c r="AJ449" s="1382"/>
      <c r="AK449" s="181"/>
      <c r="AL449" s="181"/>
      <c r="AM449" s="181"/>
      <c r="AN449" s="181"/>
      <c r="AO449" s="181"/>
      <c r="AP449" s="181"/>
      <c r="AQ449" s="181"/>
      <c r="AR449" s="181"/>
      <c r="AS449" s="181"/>
      <c r="AT449" s="181"/>
      <c r="AU449" s="181"/>
      <c r="AV449" s="181"/>
    </row>
    <row r="450" spans="1:48" s="30" customFormat="1" ht="14.25" hidden="1" customHeight="1" x14ac:dyDescent="0.25">
      <c r="A450" s="1408"/>
      <c r="B450" s="191"/>
      <c r="C450" s="921"/>
      <c r="D450" s="147"/>
      <c r="E450" s="29" t="s">
        <v>21</v>
      </c>
      <c r="F450" s="194"/>
      <c r="G450" s="240"/>
      <c r="H450" s="1670" t="s">
        <v>478</v>
      </c>
      <c r="I450" s="196"/>
      <c r="J450" s="231"/>
      <c r="K450" s="1274"/>
      <c r="L450" s="1382"/>
      <c r="M450" s="1382"/>
      <c r="N450" s="1382"/>
      <c r="O450" s="1382"/>
      <c r="P450" s="1382"/>
      <c r="Q450" s="1333"/>
      <c r="R450" s="1382"/>
      <c r="S450" s="1382"/>
      <c r="T450" s="1382"/>
      <c r="U450" s="1382"/>
      <c r="V450" s="1382"/>
      <c r="W450" s="1382"/>
      <c r="X450" s="1382"/>
      <c r="Y450" s="1382"/>
      <c r="Z450" s="1382"/>
      <c r="AA450" s="1382"/>
      <c r="AB450" s="1382"/>
      <c r="AC450" s="1382"/>
      <c r="AD450" s="1382"/>
      <c r="AE450" s="1382"/>
      <c r="AF450" s="1382"/>
      <c r="AG450" s="1382"/>
      <c r="AH450" s="1382"/>
      <c r="AI450" s="1382"/>
      <c r="AJ450" s="1382"/>
      <c r="AK450" s="181"/>
      <c r="AL450" s="181"/>
      <c r="AM450" s="181"/>
      <c r="AN450" s="181"/>
      <c r="AO450" s="181"/>
      <c r="AP450" s="181"/>
      <c r="AQ450" s="181"/>
      <c r="AR450" s="181"/>
      <c r="AS450" s="181"/>
      <c r="AT450" s="181"/>
      <c r="AU450" s="181"/>
      <c r="AV450" s="181"/>
    </row>
    <row r="451" spans="1:48" s="30" customFormat="1" ht="14.25" hidden="1" customHeight="1" x14ac:dyDescent="0.25">
      <c r="A451" s="1408"/>
      <c r="B451" s="191"/>
      <c r="C451" s="921"/>
      <c r="D451" s="147"/>
      <c r="E451" s="29" t="s">
        <v>21</v>
      </c>
      <c r="F451" s="194"/>
      <c r="G451" s="240"/>
      <c r="H451" s="1670" t="s">
        <v>478</v>
      </c>
      <c r="I451" s="196"/>
      <c r="J451" s="231"/>
      <c r="K451" s="1274"/>
      <c r="L451" s="1382"/>
      <c r="M451" s="1382"/>
      <c r="N451" s="1382"/>
      <c r="O451" s="1382"/>
      <c r="P451" s="1382"/>
      <c r="Q451" s="1333"/>
      <c r="R451" s="1382"/>
      <c r="S451" s="1382"/>
      <c r="T451" s="1382"/>
      <c r="U451" s="1382"/>
      <c r="V451" s="1382"/>
      <c r="W451" s="1382"/>
      <c r="X451" s="1382"/>
      <c r="Y451" s="1382"/>
      <c r="Z451" s="1382"/>
      <c r="AA451" s="1382"/>
      <c r="AB451" s="1382"/>
      <c r="AC451" s="1382"/>
      <c r="AD451" s="1382"/>
      <c r="AE451" s="1382"/>
      <c r="AF451" s="1382"/>
      <c r="AG451" s="1382"/>
      <c r="AH451" s="1382"/>
      <c r="AI451" s="1382"/>
      <c r="AJ451" s="1382"/>
      <c r="AK451" s="181"/>
      <c r="AL451" s="181"/>
      <c r="AM451" s="181"/>
      <c r="AN451" s="181"/>
      <c r="AO451" s="181"/>
      <c r="AP451" s="181"/>
      <c r="AQ451" s="181"/>
      <c r="AR451" s="181"/>
      <c r="AS451" s="181"/>
      <c r="AT451" s="181"/>
      <c r="AU451" s="181"/>
      <c r="AV451" s="181"/>
    </row>
    <row r="452" spans="1:48" s="30" customFormat="1" ht="14.25" hidden="1" customHeight="1" x14ac:dyDescent="0.25">
      <c r="A452" s="1408"/>
      <c r="B452" s="191"/>
      <c r="C452" s="921"/>
      <c r="D452" s="147"/>
      <c r="E452" s="29" t="s">
        <v>21</v>
      </c>
      <c r="F452" s="194"/>
      <c r="G452" s="240"/>
      <c r="H452" s="1670" t="s">
        <v>478</v>
      </c>
      <c r="I452" s="196"/>
      <c r="J452" s="231"/>
      <c r="K452" s="1274"/>
      <c r="L452" s="1382"/>
      <c r="M452" s="1382"/>
      <c r="N452" s="1382"/>
      <c r="O452" s="1382"/>
      <c r="P452" s="1382"/>
      <c r="Q452" s="1333"/>
      <c r="R452" s="1382"/>
      <c r="S452" s="1382"/>
      <c r="T452" s="1382"/>
      <c r="U452" s="1382"/>
      <c r="V452" s="1382"/>
      <c r="W452" s="1382"/>
      <c r="X452" s="1382"/>
      <c r="Y452" s="1382"/>
      <c r="Z452" s="1382"/>
      <c r="AA452" s="1382"/>
      <c r="AB452" s="1382"/>
      <c r="AC452" s="1382"/>
      <c r="AD452" s="1382"/>
      <c r="AE452" s="1382"/>
      <c r="AF452" s="1382"/>
      <c r="AG452" s="1382"/>
      <c r="AH452" s="1382"/>
      <c r="AI452" s="1382"/>
      <c r="AJ452" s="1382"/>
      <c r="AK452" s="181"/>
      <c r="AL452" s="181"/>
      <c r="AM452" s="181"/>
      <c r="AN452" s="181"/>
      <c r="AO452" s="181"/>
      <c r="AP452" s="181"/>
      <c r="AQ452" s="181"/>
      <c r="AR452" s="181"/>
      <c r="AS452" s="181"/>
      <c r="AT452" s="181"/>
      <c r="AU452" s="181"/>
      <c r="AV452" s="181"/>
    </row>
    <row r="453" spans="1:48" s="30" customFormat="1" ht="14.25" hidden="1" customHeight="1" x14ac:dyDescent="0.25">
      <c r="A453" s="1408"/>
      <c r="B453" s="191"/>
      <c r="C453" s="921"/>
      <c r="D453" s="147"/>
      <c r="E453" s="29" t="s">
        <v>21</v>
      </c>
      <c r="F453" s="194"/>
      <c r="G453" s="240"/>
      <c r="H453" s="1670" t="s">
        <v>478</v>
      </c>
      <c r="I453" s="196"/>
      <c r="J453" s="231"/>
      <c r="K453" s="1274"/>
      <c r="L453" s="1382"/>
      <c r="M453" s="1382"/>
      <c r="N453" s="1382"/>
      <c r="O453" s="1382"/>
      <c r="P453" s="1382"/>
      <c r="Q453" s="1333"/>
      <c r="R453" s="1382"/>
      <c r="S453" s="1382"/>
      <c r="T453" s="1382"/>
      <c r="U453" s="1382"/>
      <c r="V453" s="1382"/>
      <c r="W453" s="1382"/>
      <c r="X453" s="1382"/>
      <c r="Y453" s="1382"/>
      <c r="Z453" s="1382"/>
      <c r="AA453" s="1382"/>
      <c r="AB453" s="1382"/>
      <c r="AC453" s="1382"/>
      <c r="AD453" s="1382"/>
      <c r="AE453" s="1382"/>
      <c r="AF453" s="1382"/>
      <c r="AG453" s="1382"/>
      <c r="AH453" s="1382"/>
      <c r="AI453" s="1382"/>
      <c r="AJ453" s="1382"/>
      <c r="AK453" s="181"/>
      <c r="AL453" s="181"/>
      <c r="AM453" s="181"/>
      <c r="AN453" s="181"/>
      <c r="AO453" s="181"/>
      <c r="AP453" s="181"/>
      <c r="AQ453" s="181"/>
      <c r="AR453" s="181"/>
      <c r="AS453" s="181"/>
      <c r="AT453" s="181"/>
      <c r="AU453" s="181"/>
      <c r="AV453" s="181"/>
    </row>
    <row r="454" spans="1:48" s="30" customFormat="1" ht="14.25" hidden="1" customHeight="1" x14ac:dyDescent="0.25">
      <c r="A454" s="1408"/>
      <c r="B454" s="191"/>
      <c r="C454" s="921"/>
      <c r="D454" s="147"/>
      <c r="E454" s="29" t="s">
        <v>21</v>
      </c>
      <c r="F454" s="194"/>
      <c r="G454" s="240"/>
      <c r="H454" s="1670" t="s">
        <v>478</v>
      </c>
      <c r="I454" s="196"/>
      <c r="J454" s="231"/>
      <c r="K454" s="1274"/>
      <c r="L454" s="1382"/>
      <c r="M454" s="1382"/>
      <c r="N454" s="1382"/>
      <c r="O454" s="1382"/>
      <c r="P454" s="1382"/>
      <c r="Q454" s="1333"/>
      <c r="R454" s="1382"/>
      <c r="S454" s="1382"/>
      <c r="T454" s="1382"/>
      <c r="U454" s="1382"/>
      <c r="V454" s="1382"/>
      <c r="W454" s="1382"/>
      <c r="X454" s="1382"/>
      <c r="Y454" s="1382"/>
      <c r="Z454" s="1382"/>
      <c r="AA454" s="1382"/>
      <c r="AB454" s="1382"/>
      <c r="AC454" s="1382"/>
      <c r="AD454" s="1382"/>
      <c r="AE454" s="1382"/>
      <c r="AF454" s="1382"/>
      <c r="AG454" s="1382"/>
      <c r="AH454" s="1382"/>
      <c r="AI454" s="1382"/>
      <c r="AJ454" s="1382"/>
      <c r="AK454" s="181"/>
      <c r="AL454" s="181"/>
      <c r="AM454" s="181"/>
      <c r="AN454" s="181"/>
      <c r="AO454" s="181"/>
      <c r="AP454" s="181"/>
      <c r="AQ454" s="181"/>
      <c r="AR454" s="181"/>
      <c r="AS454" s="181"/>
      <c r="AT454" s="181"/>
      <c r="AU454" s="181"/>
      <c r="AV454" s="181"/>
    </row>
    <row r="455" spans="1:48" s="30" customFormat="1" ht="14.25" hidden="1" customHeight="1" x14ac:dyDescent="0.25">
      <c r="A455" s="1408"/>
      <c r="B455" s="191"/>
      <c r="C455" s="921"/>
      <c r="D455" s="147"/>
      <c r="E455" s="29" t="s">
        <v>21</v>
      </c>
      <c r="F455" s="194"/>
      <c r="G455" s="240"/>
      <c r="H455" s="1670" t="s">
        <v>478</v>
      </c>
      <c r="I455" s="196"/>
      <c r="J455" s="231"/>
      <c r="K455" s="1274"/>
      <c r="L455" s="1382"/>
      <c r="M455" s="1382"/>
      <c r="N455" s="1382"/>
      <c r="O455" s="1382"/>
      <c r="P455" s="1382"/>
      <c r="Q455" s="1333"/>
      <c r="R455" s="1382"/>
      <c r="S455" s="1382"/>
      <c r="T455" s="1382"/>
      <c r="U455" s="1382"/>
      <c r="V455" s="1382"/>
      <c r="W455" s="1382"/>
      <c r="X455" s="1382"/>
      <c r="Y455" s="1382"/>
      <c r="Z455" s="1382"/>
      <c r="AA455" s="1382"/>
      <c r="AB455" s="1382"/>
      <c r="AC455" s="1382"/>
      <c r="AD455" s="1382"/>
      <c r="AE455" s="1382"/>
      <c r="AF455" s="1382"/>
      <c r="AG455" s="1382"/>
      <c r="AH455" s="1382"/>
      <c r="AI455" s="1382"/>
      <c r="AJ455" s="1382"/>
      <c r="AK455" s="181"/>
      <c r="AL455" s="181"/>
      <c r="AM455" s="181"/>
      <c r="AN455" s="181"/>
      <c r="AO455" s="181"/>
      <c r="AP455" s="181"/>
      <c r="AQ455" s="181"/>
      <c r="AR455" s="181"/>
      <c r="AS455" s="181"/>
      <c r="AT455" s="181"/>
      <c r="AU455" s="181"/>
      <c r="AV455" s="181"/>
    </row>
    <row r="456" spans="1:48" s="30" customFormat="1" ht="14.25" hidden="1" customHeight="1" x14ac:dyDescent="0.25">
      <c r="A456" s="1408"/>
      <c r="B456" s="191"/>
      <c r="C456" s="921"/>
      <c r="D456" s="147"/>
      <c r="E456" s="29" t="s">
        <v>21</v>
      </c>
      <c r="F456" s="194"/>
      <c r="G456" s="240"/>
      <c r="H456" s="1670" t="s">
        <v>478</v>
      </c>
      <c r="I456" s="196"/>
      <c r="J456" s="231"/>
      <c r="K456" s="1274"/>
      <c r="L456" s="1382"/>
      <c r="M456" s="1382"/>
      <c r="N456" s="1382"/>
      <c r="O456" s="1382"/>
      <c r="P456" s="1382"/>
      <c r="Q456" s="1333"/>
      <c r="R456" s="1382"/>
      <c r="S456" s="1382"/>
      <c r="T456" s="1382"/>
      <c r="U456" s="1382"/>
      <c r="V456" s="1382"/>
      <c r="W456" s="1382"/>
      <c r="X456" s="1382"/>
      <c r="Y456" s="1382"/>
      <c r="Z456" s="1382"/>
      <c r="AA456" s="1382"/>
      <c r="AB456" s="1382"/>
      <c r="AC456" s="1382"/>
      <c r="AD456" s="1382"/>
      <c r="AE456" s="1382"/>
      <c r="AF456" s="1382"/>
      <c r="AG456" s="1382"/>
      <c r="AH456" s="1382"/>
      <c r="AI456" s="1382"/>
      <c r="AJ456" s="1382"/>
      <c r="AK456" s="181"/>
      <c r="AL456" s="181"/>
      <c r="AM456" s="181"/>
      <c r="AN456" s="181"/>
      <c r="AO456" s="181"/>
      <c r="AP456" s="181"/>
      <c r="AQ456" s="181"/>
      <c r="AR456" s="181"/>
      <c r="AS456" s="181"/>
      <c r="AT456" s="181"/>
      <c r="AU456" s="181"/>
      <c r="AV456" s="181"/>
    </row>
    <row r="457" spans="1:48" s="30" customFormat="1" ht="14.25" hidden="1" customHeight="1" x14ac:dyDescent="0.25">
      <c r="A457" s="1408"/>
      <c r="B457" s="191"/>
      <c r="C457" s="921"/>
      <c r="D457" s="147"/>
      <c r="E457" s="29" t="s">
        <v>21</v>
      </c>
      <c r="F457" s="194"/>
      <c r="G457" s="240"/>
      <c r="H457" s="1670" t="s">
        <v>478</v>
      </c>
      <c r="I457" s="196"/>
      <c r="J457" s="231"/>
      <c r="K457" s="1274"/>
      <c r="L457" s="1382"/>
      <c r="M457" s="1382"/>
      <c r="N457" s="1382"/>
      <c r="O457" s="1382"/>
      <c r="P457" s="1382"/>
      <c r="Q457" s="1333"/>
      <c r="R457" s="1382"/>
      <c r="S457" s="1382"/>
      <c r="T457" s="1382"/>
      <c r="U457" s="1382"/>
      <c r="V457" s="1382"/>
      <c r="W457" s="1382"/>
      <c r="X457" s="1382"/>
      <c r="Y457" s="1382"/>
      <c r="Z457" s="1382"/>
      <c r="AA457" s="1382"/>
      <c r="AB457" s="1382"/>
      <c r="AC457" s="1382"/>
      <c r="AD457" s="1382"/>
      <c r="AE457" s="1382"/>
      <c r="AF457" s="1382"/>
      <c r="AG457" s="1382"/>
      <c r="AH457" s="1382"/>
      <c r="AI457" s="1382"/>
      <c r="AJ457" s="1382"/>
      <c r="AK457" s="181"/>
      <c r="AL457" s="181"/>
      <c r="AM457" s="181"/>
      <c r="AN457" s="181"/>
      <c r="AO457" s="181"/>
      <c r="AP457" s="181"/>
      <c r="AQ457" s="181"/>
      <c r="AR457" s="181"/>
      <c r="AS457" s="181"/>
      <c r="AT457" s="181"/>
      <c r="AU457" s="181"/>
      <c r="AV457" s="181"/>
    </row>
    <row r="458" spans="1:48" s="30" customFormat="1" ht="14.25" hidden="1" customHeight="1" x14ac:dyDescent="0.25">
      <c r="A458" s="1408"/>
      <c r="B458" s="191"/>
      <c r="C458" s="921"/>
      <c r="D458" s="147"/>
      <c r="E458" s="29" t="s">
        <v>21</v>
      </c>
      <c r="F458" s="194"/>
      <c r="G458" s="240"/>
      <c r="H458" s="1670" t="s">
        <v>478</v>
      </c>
      <c r="I458" s="196"/>
      <c r="J458" s="231"/>
      <c r="K458" s="1274"/>
      <c r="L458" s="1382"/>
      <c r="M458" s="1382"/>
      <c r="N458" s="1382"/>
      <c r="O458" s="1382"/>
      <c r="P458" s="1382"/>
      <c r="Q458" s="1333"/>
      <c r="R458" s="1382"/>
      <c r="S458" s="1382"/>
      <c r="T458" s="1382"/>
      <c r="U458" s="1382"/>
      <c r="V458" s="1382"/>
      <c r="W458" s="1382"/>
      <c r="X458" s="1382"/>
      <c r="Y458" s="1382"/>
      <c r="Z458" s="1382"/>
      <c r="AA458" s="1382"/>
      <c r="AB458" s="1382"/>
      <c r="AC458" s="1382"/>
      <c r="AD458" s="1382"/>
      <c r="AE458" s="1382"/>
      <c r="AF458" s="1382"/>
      <c r="AG458" s="1382"/>
      <c r="AH458" s="1382"/>
      <c r="AI458" s="1382"/>
      <c r="AJ458" s="1382"/>
      <c r="AK458" s="181"/>
      <c r="AL458" s="181"/>
      <c r="AM458" s="181"/>
      <c r="AN458" s="181"/>
      <c r="AO458" s="181"/>
      <c r="AP458" s="181"/>
      <c r="AQ458" s="181"/>
      <c r="AR458" s="181"/>
      <c r="AS458" s="181"/>
      <c r="AT458" s="181"/>
      <c r="AU458" s="181"/>
      <c r="AV458" s="181"/>
    </row>
    <row r="459" spans="1:48" s="30" customFormat="1" ht="14.25" hidden="1" customHeight="1" x14ac:dyDescent="0.25">
      <c r="A459" s="1408"/>
      <c r="B459" s="191"/>
      <c r="C459" s="921"/>
      <c r="D459" s="147"/>
      <c r="E459" s="29" t="s">
        <v>21</v>
      </c>
      <c r="F459" s="194"/>
      <c r="G459" s="240"/>
      <c r="H459" s="1670" t="s">
        <v>478</v>
      </c>
      <c r="I459" s="196"/>
      <c r="J459" s="231"/>
      <c r="K459" s="1274"/>
      <c r="L459" s="1382"/>
      <c r="M459" s="1382"/>
      <c r="N459" s="1382"/>
      <c r="O459" s="1382"/>
      <c r="P459" s="1382"/>
      <c r="Q459" s="1333"/>
      <c r="R459" s="1382"/>
      <c r="S459" s="1382"/>
      <c r="T459" s="1382"/>
      <c r="U459" s="1382"/>
      <c r="V459" s="1382"/>
      <c r="W459" s="1382"/>
      <c r="X459" s="1382"/>
      <c r="Y459" s="1382"/>
      <c r="Z459" s="1382"/>
      <c r="AA459" s="1382"/>
      <c r="AB459" s="1382"/>
      <c r="AC459" s="1382"/>
      <c r="AD459" s="1382"/>
      <c r="AE459" s="1382"/>
      <c r="AF459" s="1382"/>
      <c r="AG459" s="1382"/>
      <c r="AH459" s="1382"/>
      <c r="AI459" s="1382"/>
      <c r="AJ459" s="1382"/>
      <c r="AK459" s="181"/>
      <c r="AL459" s="181"/>
      <c r="AM459" s="181"/>
      <c r="AN459" s="181"/>
      <c r="AO459" s="181"/>
      <c r="AP459" s="181"/>
      <c r="AQ459" s="181"/>
      <c r="AR459" s="181"/>
      <c r="AS459" s="181"/>
      <c r="AT459" s="181"/>
      <c r="AU459" s="181"/>
      <c r="AV459" s="181"/>
    </row>
    <row r="460" spans="1:48" s="30" customFormat="1" ht="14.25" hidden="1" customHeight="1" x14ac:dyDescent="0.25">
      <c r="A460" s="1408"/>
      <c r="B460" s="191"/>
      <c r="C460" s="921"/>
      <c r="D460" s="147"/>
      <c r="E460" s="29" t="s">
        <v>21</v>
      </c>
      <c r="F460" s="194"/>
      <c r="G460" s="240"/>
      <c r="H460" s="1670" t="s">
        <v>478</v>
      </c>
      <c r="I460" s="196"/>
      <c r="J460" s="231"/>
      <c r="K460" s="1274"/>
      <c r="L460" s="1382"/>
      <c r="M460" s="1382"/>
      <c r="N460" s="1382"/>
      <c r="O460" s="1382"/>
      <c r="P460" s="1382"/>
      <c r="Q460" s="1333"/>
      <c r="R460" s="1382"/>
      <c r="S460" s="1382"/>
      <c r="T460" s="1382"/>
      <c r="U460" s="1382"/>
      <c r="V460" s="1382"/>
      <c r="W460" s="1382"/>
      <c r="X460" s="1382"/>
      <c r="Y460" s="1382"/>
      <c r="Z460" s="1382"/>
      <c r="AA460" s="1382"/>
      <c r="AB460" s="1382"/>
      <c r="AC460" s="1382"/>
      <c r="AD460" s="1382"/>
      <c r="AE460" s="1382"/>
      <c r="AF460" s="1382"/>
      <c r="AG460" s="1382"/>
      <c r="AH460" s="1382"/>
      <c r="AI460" s="1382"/>
      <c r="AJ460" s="1382"/>
      <c r="AK460" s="181"/>
      <c r="AL460" s="181"/>
      <c r="AM460" s="181"/>
      <c r="AN460" s="181"/>
      <c r="AO460" s="181"/>
      <c r="AP460" s="181"/>
      <c r="AQ460" s="181"/>
      <c r="AR460" s="181"/>
      <c r="AS460" s="181"/>
      <c r="AT460" s="181"/>
      <c r="AU460" s="181"/>
      <c r="AV460" s="181"/>
    </row>
    <row r="461" spans="1:48" s="30" customFormat="1" x14ac:dyDescent="0.25">
      <c r="A461" s="1407"/>
      <c r="B461" s="191"/>
      <c r="C461" s="921"/>
      <c r="D461" s="147"/>
      <c r="E461" s="32"/>
      <c r="F461" s="32"/>
      <c r="G461" s="241"/>
      <c r="H461" s="411"/>
      <c r="I461" s="186"/>
      <c r="J461" s="231"/>
      <c r="K461" s="1274"/>
      <c r="L461" s="1382"/>
      <c r="M461" s="1382"/>
      <c r="N461" s="1382"/>
      <c r="O461" s="1382"/>
      <c r="P461" s="1382"/>
      <c r="Q461" s="1333"/>
      <c r="R461" s="1382"/>
      <c r="S461" s="1382"/>
      <c r="T461" s="1382"/>
      <c r="U461" s="1382"/>
      <c r="V461" s="1382"/>
      <c r="W461" s="1382"/>
      <c r="X461" s="1382"/>
      <c r="Y461" s="1382"/>
      <c r="Z461" s="1382"/>
      <c r="AA461" s="1382"/>
      <c r="AB461" s="1382"/>
      <c r="AC461" s="1382"/>
      <c r="AD461" s="1382"/>
      <c r="AE461" s="1382"/>
      <c r="AF461" s="1382"/>
      <c r="AG461" s="1382"/>
      <c r="AH461" s="1382"/>
      <c r="AI461" s="1382"/>
      <c r="AJ461" s="1382"/>
      <c r="AK461" s="181"/>
      <c r="AL461" s="181"/>
      <c r="AM461" s="181"/>
      <c r="AN461" s="181"/>
      <c r="AO461" s="181"/>
      <c r="AP461" s="181"/>
      <c r="AQ461" s="181"/>
      <c r="AR461" s="181"/>
      <c r="AS461" s="181"/>
      <c r="AT461" s="181"/>
      <c r="AU461" s="181"/>
      <c r="AV461" s="181"/>
    </row>
    <row r="462" spans="1:48" s="30" customFormat="1" ht="37.5" x14ac:dyDescent="0.25">
      <c r="A462" s="1407"/>
      <c r="B462" s="191"/>
      <c r="C462" s="915"/>
      <c r="D462" s="307" t="s">
        <v>38</v>
      </c>
      <c r="E462" s="31"/>
      <c r="F462" s="178"/>
      <c r="G462" s="179" t="s">
        <v>139</v>
      </c>
      <c r="H462" s="290" t="str">
        <f>IF(Applies_ISHPO_Feas_Concept_Only="N","Illinois State Historic Preservation Office (ISHPO) Not Used in this Design Phase","Illinois State Historic Preservation Office (ISHPO)")</f>
        <v>Illinois State Historic Preservation Office (ISHPO) Not Used in this Design Phase</v>
      </c>
      <c r="I462" s="209"/>
      <c r="J462" s="231"/>
      <c r="K462" s="1274"/>
      <c r="L462" s="1382"/>
      <c r="M462" s="1382"/>
      <c r="N462" s="1382"/>
      <c r="O462" s="1382"/>
      <c r="P462" s="1382"/>
      <c r="Q462" s="1333"/>
      <c r="R462" s="1382"/>
      <c r="S462" s="1382"/>
      <c r="T462" s="1382"/>
      <c r="U462" s="1382"/>
      <c r="V462" s="1382"/>
      <c r="W462" s="1382"/>
      <c r="X462" s="1382"/>
      <c r="Y462" s="1382"/>
      <c r="Z462" s="1382"/>
      <c r="AA462" s="1382"/>
      <c r="AB462" s="1382"/>
      <c r="AC462" s="1382"/>
      <c r="AD462" s="1382"/>
      <c r="AE462" s="1382"/>
      <c r="AF462" s="1382"/>
      <c r="AG462" s="1382"/>
      <c r="AH462" s="1382"/>
      <c r="AI462" s="1382"/>
      <c r="AJ462" s="1382"/>
      <c r="AK462" s="181"/>
      <c r="AL462" s="181"/>
      <c r="AM462" s="181"/>
      <c r="AN462" s="181"/>
      <c r="AO462" s="181"/>
      <c r="AP462" s="181"/>
      <c r="AQ462" s="181"/>
      <c r="AR462" s="181"/>
      <c r="AS462" s="181"/>
      <c r="AT462" s="181"/>
      <c r="AU462" s="181"/>
      <c r="AV462" s="181"/>
    </row>
    <row r="463" spans="1:48" ht="18.75" x14ac:dyDescent="0.25">
      <c r="A463" s="1331"/>
      <c r="B463" s="1393"/>
      <c r="C463" s="1394"/>
      <c r="D463" s="1395"/>
      <c r="E463" s="1396"/>
      <c r="F463" s="1397"/>
      <c r="G463" s="1398"/>
      <c r="H463" s="1399"/>
      <c r="I463" s="1400"/>
      <c r="J463" s="1401"/>
      <c r="K463" s="1274"/>
      <c r="L463" s="1333"/>
      <c r="M463" s="1333"/>
      <c r="N463" s="1333"/>
      <c r="O463" s="1333"/>
      <c r="P463" s="1333"/>
      <c r="Q463" s="1333"/>
      <c r="R463" s="1333"/>
      <c r="S463" s="1333"/>
      <c r="T463" s="1333"/>
      <c r="U463" s="1333"/>
      <c r="V463" s="1333"/>
      <c r="W463" s="1333"/>
      <c r="X463" s="1333"/>
      <c r="Y463" s="1333"/>
      <c r="Z463" s="1333"/>
      <c r="AA463" s="1333"/>
      <c r="AB463" s="1333"/>
      <c r="AC463" s="1333"/>
      <c r="AD463" s="1333"/>
      <c r="AE463" s="1333"/>
      <c r="AF463" s="1333"/>
      <c r="AG463" s="1333"/>
      <c r="AH463" s="1333"/>
      <c r="AI463" s="1333"/>
      <c r="AJ463" s="1333"/>
    </row>
    <row r="464" spans="1:48" s="30" customFormat="1" x14ac:dyDescent="0.25">
      <c r="A464" s="1402"/>
      <c r="B464" s="1273"/>
      <c r="C464" s="1291"/>
      <c r="D464" s="1284"/>
      <c r="E464" s="1303"/>
      <c r="F464" s="1364"/>
      <c r="G464" s="1365"/>
      <c r="H464" s="1333"/>
      <c r="I464" s="1403"/>
      <c r="J464" s="1404"/>
      <c r="K464" s="1274"/>
      <c r="L464" s="1382"/>
      <c r="M464" s="1382"/>
      <c r="N464" s="1382"/>
      <c r="O464" s="1382"/>
      <c r="P464" s="1382"/>
      <c r="Q464" s="1333"/>
      <c r="R464" s="1382"/>
      <c r="S464" s="1382"/>
      <c r="T464" s="1382"/>
      <c r="U464" s="1382"/>
      <c r="V464" s="1382"/>
      <c r="W464" s="1382"/>
      <c r="X464" s="1382"/>
      <c r="Y464" s="1382"/>
      <c r="Z464" s="1382"/>
      <c r="AA464" s="1382"/>
      <c r="AB464" s="1382"/>
      <c r="AC464" s="1382"/>
      <c r="AD464" s="1382"/>
      <c r="AE464" s="1382"/>
      <c r="AF464" s="1382"/>
      <c r="AG464" s="1382"/>
      <c r="AH464" s="1382"/>
      <c r="AI464" s="1382"/>
      <c r="AJ464" s="1382"/>
      <c r="AK464" s="181"/>
      <c r="AL464" s="181"/>
      <c r="AM464" s="181"/>
      <c r="AN464" s="181"/>
      <c r="AO464" s="181"/>
      <c r="AP464" s="181"/>
      <c r="AQ464" s="181"/>
      <c r="AR464" s="181"/>
      <c r="AS464" s="181"/>
      <c r="AT464" s="181"/>
      <c r="AU464" s="181"/>
      <c r="AV464" s="181"/>
    </row>
    <row r="465" spans="1:48" s="30" customFormat="1" x14ac:dyDescent="0.25">
      <c r="A465" s="1402"/>
      <c r="B465" s="1273"/>
      <c r="C465" s="1284"/>
      <c r="D465" s="1364"/>
      <c r="E465" s="1364"/>
      <c r="F465" s="1364"/>
      <c r="G465" s="1365"/>
      <c r="H465" s="1333"/>
      <c r="I465" s="1403"/>
      <c r="J465" s="1404"/>
      <c r="K465" s="1274"/>
      <c r="L465" s="1382"/>
      <c r="M465" s="1382"/>
      <c r="N465" s="1382"/>
      <c r="O465" s="1382"/>
      <c r="P465" s="1382"/>
      <c r="Q465" s="1333"/>
      <c r="R465" s="1382"/>
      <c r="S465" s="1382"/>
      <c r="T465" s="1382"/>
      <c r="U465" s="1382"/>
      <c r="V465" s="1382"/>
      <c r="W465" s="1382"/>
      <c r="X465" s="1382"/>
      <c r="Y465" s="1382"/>
      <c r="Z465" s="1382"/>
      <c r="AA465" s="1382"/>
      <c r="AB465" s="1382"/>
      <c r="AC465" s="1382"/>
      <c r="AD465" s="1382"/>
      <c r="AE465" s="1382"/>
      <c r="AF465" s="1382"/>
      <c r="AG465" s="1382"/>
      <c r="AH465" s="1382"/>
      <c r="AI465" s="1382"/>
      <c r="AJ465" s="1382"/>
      <c r="AK465" s="181"/>
      <c r="AL465" s="181"/>
      <c r="AM465" s="181"/>
      <c r="AN465" s="181"/>
      <c r="AO465" s="181"/>
      <c r="AP465" s="181"/>
      <c r="AQ465" s="181"/>
      <c r="AR465" s="181"/>
      <c r="AS465" s="181"/>
      <c r="AT465" s="181"/>
      <c r="AU465" s="181"/>
      <c r="AV465" s="181"/>
    </row>
    <row r="466" spans="1:48" s="30" customFormat="1" x14ac:dyDescent="0.25">
      <c r="A466" s="1402"/>
      <c r="B466" s="1273"/>
      <c r="C466" s="1291"/>
      <c r="D466" s="1284"/>
      <c r="E466" s="1303"/>
      <c r="F466" s="1364"/>
      <c r="G466" s="1365"/>
      <c r="H466" s="1333"/>
      <c r="I466" s="1403"/>
      <c r="J466" s="1404"/>
      <c r="K466" s="1274"/>
      <c r="L466" s="1382"/>
      <c r="M466" s="1382"/>
      <c r="N466" s="1382"/>
      <c r="O466" s="1382"/>
      <c r="P466" s="1382"/>
      <c r="Q466" s="1333"/>
      <c r="R466" s="1382"/>
      <c r="S466" s="1382"/>
      <c r="T466" s="1382"/>
      <c r="U466" s="1382"/>
      <c r="V466" s="1382"/>
      <c r="W466" s="1382"/>
      <c r="X466" s="1382"/>
      <c r="Y466" s="1382"/>
      <c r="Z466" s="1382"/>
      <c r="AA466" s="1382"/>
      <c r="AB466" s="1382"/>
      <c r="AC466" s="1382"/>
      <c r="AD466" s="1382"/>
      <c r="AE466" s="1382"/>
      <c r="AF466" s="1382"/>
      <c r="AG466" s="1382"/>
      <c r="AH466" s="1382"/>
      <c r="AI466" s="1382"/>
      <c r="AJ466" s="1382"/>
      <c r="AK466" s="181"/>
      <c r="AL466" s="181"/>
      <c r="AM466" s="181"/>
      <c r="AN466" s="181"/>
      <c r="AO466" s="181"/>
      <c r="AP466" s="181"/>
      <c r="AQ466" s="181"/>
      <c r="AR466" s="181"/>
      <c r="AS466" s="181"/>
      <c r="AT466" s="181"/>
      <c r="AU466" s="181"/>
      <c r="AV466" s="181"/>
    </row>
    <row r="467" spans="1:48" ht="6" customHeight="1" x14ac:dyDescent="0.25">
      <c r="A467" s="1331"/>
      <c r="B467" s="1405"/>
      <c r="C467" s="1284"/>
      <c r="D467" s="1364"/>
      <c r="E467" s="1303"/>
      <c r="F467" s="1364"/>
      <c r="G467" s="1365"/>
      <c r="H467" s="1333"/>
      <c r="I467" s="1406"/>
      <c r="J467" s="1401"/>
      <c r="K467" s="1333"/>
      <c r="L467" s="1333"/>
      <c r="M467" s="1333"/>
      <c r="N467" s="1333"/>
      <c r="O467" s="1333"/>
      <c r="P467" s="1333"/>
      <c r="Q467" s="1333"/>
      <c r="R467" s="1333"/>
      <c r="S467" s="1333"/>
      <c r="T467" s="1333"/>
      <c r="U467" s="1333"/>
      <c r="V467" s="1333"/>
      <c r="W467" s="1333"/>
      <c r="X467" s="1333"/>
      <c r="Y467" s="1333"/>
      <c r="Z467" s="1333"/>
      <c r="AA467" s="1333"/>
      <c r="AB467" s="1333"/>
      <c r="AC467" s="1333"/>
      <c r="AD467" s="1333"/>
      <c r="AE467" s="1333"/>
      <c r="AF467" s="1333"/>
      <c r="AG467" s="1333"/>
      <c r="AH467" s="1333"/>
      <c r="AI467" s="1333"/>
      <c r="AJ467" s="1333"/>
    </row>
    <row r="468" spans="1:48" x14ac:dyDescent="0.25">
      <c r="A468" s="1370"/>
      <c r="B468" s="1285"/>
      <c r="C468" s="1371"/>
      <c r="D468" s="1372"/>
      <c r="E468" s="1372"/>
      <c r="F468" s="1372"/>
      <c r="G468" s="1373"/>
      <c r="H468" s="1374"/>
      <c r="I468" s="1351"/>
      <c r="J468" s="1401"/>
      <c r="K468" s="1392"/>
      <c r="L468" s="1374"/>
      <c r="M468" s="1333"/>
      <c r="N468" s="1333"/>
      <c r="O468" s="1333"/>
      <c r="P468" s="1333"/>
      <c r="Q468" s="1333"/>
      <c r="R468" s="1333"/>
      <c r="S468" s="1333"/>
      <c r="T468" s="1333"/>
      <c r="U468" s="1333"/>
      <c r="V468" s="1333"/>
      <c r="W468" s="1333"/>
      <c r="X468" s="1333"/>
      <c r="Y468" s="1333"/>
      <c r="Z468" s="1333"/>
      <c r="AA468" s="1333"/>
      <c r="AB468" s="1333"/>
      <c r="AC468" s="1333"/>
      <c r="AD468" s="1333"/>
      <c r="AE468" s="1333"/>
      <c r="AF468" s="1333"/>
      <c r="AG468" s="1333"/>
      <c r="AH468" s="1333"/>
      <c r="AI468" s="1333"/>
      <c r="AJ468" s="1333"/>
    </row>
    <row r="469" spans="1:48" x14ac:dyDescent="0.25">
      <c r="A469" s="1342"/>
      <c r="B469" s="1285"/>
      <c r="C469" s="1287" t="str">
        <f ca="1">CONCATENATE("UIUC Template Change Log hidden below for TAB [",MID(CELL("filename",C38),FIND("]",CELL("filename",C38))+1,255),"] :")</f>
        <v>UIUC Template Change Log hidden below for TAB [B-Studies or Concept only] :</v>
      </c>
      <c r="D469" s="1364"/>
      <c r="E469" s="1364"/>
      <c r="F469" s="1364"/>
      <c r="G469" s="1365"/>
      <c r="H469" s="1333"/>
      <c r="I469" s="1351"/>
      <c r="J469" s="1401"/>
      <c r="K469" s="1358"/>
      <c r="L469" s="1351"/>
      <c r="M469" s="1333"/>
      <c r="N469" s="1333"/>
      <c r="O469" s="1333"/>
      <c r="P469" s="1333"/>
      <c r="Q469" s="1333"/>
      <c r="R469" s="1333"/>
      <c r="S469" s="1333"/>
      <c r="T469" s="1333"/>
      <c r="U469" s="1333"/>
      <c r="V469" s="1333"/>
      <c r="W469" s="1333"/>
      <c r="X469" s="1333"/>
      <c r="Y469" s="1333"/>
      <c r="Z469" s="1333"/>
      <c r="AA469" s="1333"/>
      <c r="AB469" s="1333"/>
      <c r="AC469" s="1333"/>
      <c r="AD469" s="1333"/>
      <c r="AE469" s="1333"/>
      <c r="AF469" s="1333"/>
      <c r="AG469" s="1333"/>
      <c r="AH469" s="1333"/>
      <c r="AI469" s="1333"/>
      <c r="AJ469" s="1333"/>
    </row>
    <row r="470" spans="1:48" x14ac:dyDescent="0.25">
      <c r="A470" s="1342"/>
      <c r="B470" s="1285"/>
      <c r="C470" s="1284"/>
      <c r="D470" s="1364"/>
      <c r="E470" s="1364"/>
      <c r="F470" s="1364"/>
      <c r="G470" s="1365"/>
      <c r="H470" s="1333"/>
      <c r="I470" s="1351"/>
      <c r="J470" s="1401"/>
      <c r="K470" s="1358"/>
      <c r="L470" s="1351"/>
      <c r="M470" s="1333"/>
      <c r="N470" s="1333"/>
      <c r="O470" s="1333"/>
      <c r="P470" s="1333"/>
      <c r="Q470" s="1333"/>
      <c r="R470" s="1333"/>
      <c r="S470" s="1333"/>
      <c r="T470" s="1333"/>
      <c r="U470" s="1333"/>
      <c r="V470" s="1333"/>
      <c r="W470" s="1333"/>
      <c r="X470" s="1333"/>
      <c r="Y470" s="1333"/>
      <c r="Z470" s="1333"/>
      <c r="AA470" s="1333"/>
      <c r="AB470" s="1333"/>
      <c r="AC470" s="1333"/>
      <c r="AD470" s="1333"/>
      <c r="AE470" s="1333"/>
      <c r="AF470" s="1333"/>
      <c r="AG470" s="1333"/>
      <c r="AH470" s="1333"/>
      <c r="AI470" s="1333"/>
      <c r="AJ470" s="1333"/>
    </row>
    <row r="471" spans="1:48" hidden="1" x14ac:dyDescent="0.25">
      <c r="A471" s="1331"/>
      <c r="B471" s="1284"/>
      <c r="C471" s="2062">
        <v>42496</v>
      </c>
      <c r="D471" s="2062"/>
      <c r="E471" s="2062"/>
      <c r="F471" s="1297"/>
      <c r="G471" s="1297" t="s">
        <v>722</v>
      </c>
      <c r="H471" s="1333"/>
      <c r="I471" s="1333"/>
      <c r="J471" s="1401"/>
      <c r="K471" s="1333"/>
      <c r="L471" s="1333"/>
      <c r="M471" s="1333"/>
      <c r="N471" s="1333"/>
      <c r="O471" s="1333"/>
      <c r="P471" s="1333"/>
      <c r="Q471" s="1333"/>
      <c r="R471" s="1333"/>
      <c r="S471" s="1333"/>
      <c r="T471" s="1333"/>
      <c r="U471" s="1333"/>
      <c r="V471" s="1333"/>
      <c r="W471" s="1333"/>
      <c r="X471" s="1333"/>
      <c r="Y471" s="1333"/>
      <c r="Z471" s="1333"/>
      <c r="AA471" s="1333"/>
      <c r="AB471" s="1333"/>
      <c r="AC471" s="1333"/>
      <c r="AD471" s="1333"/>
      <c r="AE471" s="1333"/>
      <c r="AF471" s="1333"/>
      <c r="AG471" s="1333"/>
      <c r="AH471" s="1333"/>
      <c r="AI471" s="1333"/>
      <c r="AJ471" s="1333"/>
    </row>
    <row r="472" spans="1:48" hidden="1" x14ac:dyDescent="0.25">
      <c r="A472" s="1331"/>
      <c r="B472" s="1284"/>
      <c r="C472" s="2062"/>
      <c r="D472" s="2062"/>
      <c r="E472" s="2062"/>
      <c r="F472" s="1297"/>
      <c r="G472" s="1297"/>
      <c r="H472" s="1333"/>
      <c r="I472" s="1333"/>
      <c r="J472" s="1401"/>
      <c r="K472" s="1333"/>
      <c r="L472" s="1333"/>
      <c r="M472" s="1333"/>
      <c r="N472" s="1333"/>
      <c r="O472" s="1333"/>
      <c r="P472" s="1333"/>
      <c r="Q472" s="1333"/>
      <c r="R472" s="1333"/>
      <c r="S472" s="1333"/>
      <c r="T472" s="1333"/>
      <c r="U472" s="1333"/>
      <c r="V472" s="1333"/>
      <c r="W472" s="1333"/>
      <c r="X472" s="1333"/>
      <c r="Y472" s="1333"/>
      <c r="Z472" s="1333"/>
      <c r="AA472" s="1333"/>
      <c r="AB472" s="1333"/>
      <c r="AC472" s="1333"/>
      <c r="AD472" s="1333"/>
      <c r="AE472" s="1333"/>
      <c r="AF472" s="1333"/>
      <c r="AG472" s="1333"/>
      <c r="AH472" s="1333"/>
      <c r="AI472" s="1333"/>
      <c r="AJ472" s="1333"/>
    </row>
    <row r="473" spans="1:48" hidden="1" x14ac:dyDescent="0.25">
      <c r="A473" s="1331"/>
      <c r="B473" s="1284"/>
      <c r="C473" s="2062">
        <v>42513</v>
      </c>
      <c r="D473" s="2062"/>
      <c r="E473" s="2062"/>
      <c r="F473" s="1297"/>
      <c r="G473" s="1297" t="s">
        <v>798</v>
      </c>
      <c r="H473" s="1333"/>
      <c r="I473" s="1333"/>
      <c r="J473" s="1401"/>
      <c r="K473" s="1333"/>
      <c r="L473" s="1333"/>
      <c r="M473" s="1333"/>
      <c r="N473" s="1333"/>
      <c r="O473" s="1333"/>
      <c r="P473" s="1333"/>
      <c r="Q473" s="1333"/>
      <c r="R473" s="1333"/>
      <c r="S473" s="1333"/>
      <c r="T473" s="1333"/>
      <c r="U473" s="1333"/>
      <c r="V473" s="1333"/>
      <c r="W473" s="1333"/>
      <c r="X473" s="1333"/>
      <c r="Y473" s="1333"/>
      <c r="Z473" s="1333"/>
      <c r="AA473" s="1333"/>
      <c r="AB473" s="1333"/>
      <c r="AC473" s="1333"/>
      <c r="AD473" s="1333"/>
      <c r="AE473" s="1333"/>
      <c r="AF473" s="1333"/>
      <c r="AG473" s="1333"/>
      <c r="AH473" s="1333"/>
      <c r="AI473" s="1333"/>
      <c r="AJ473" s="1333"/>
    </row>
    <row r="474" spans="1:48" hidden="1" x14ac:dyDescent="0.25">
      <c r="A474" s="1331"/>
      <c r="B474" s="1284"/>
      <c r="C474" s="2062"/>
      <c r="D474" s="2062"/>
      <c r="E474" s="2062"/>
      <c r="F474" s="1297"/>
      <c r="G474" s="1297"/>
      <c r="H474" s="1333"/>
      <c r="I474" s="1333"/>
      <c r="J474" s="1401"/>
      <c r="K474" s="1333"/>
      <c r="L474" s="1333"/>
      <c r="M474" s="1333"/>
      <c r="N474" s="1333"/>
      <c r="O474" s="1333"/>
      <c r="P474" s="1333"/>
      <c r="Q474" s="1333"/>
      <c r="R474" s="1333"/>
      <c r="S474" s="1333"/>
      <c r="T474" s="1333"/>
      <c r="U474" s="1333"/>
      <c r="V474" s="1333"/>
      <c r="W474" s="1333"/>
      <c r="X474" s="1333"/>
      <c r="Y474" s="1333"/>
      <c r="Z474" s="1333"/>
      <c r="AA474" s="1333"/>
      <c r="AB474" s="1333"/>
      <c r="AC474" s="1333"/>
      <c r="AD474" s="1333"/>
      <c r="AE474" s="1333"/>
      <c r="AF474" s="1333"/>
      <c r="AG474" s="1333"/>
      <c r="AH474" s="1333"/>
      <c r="AI474" s="1333"/>
      <c r="AJ474" s="1333"/>
    </row>
    <row r="475" spans="1:48" hidden="1" x14ac:dyDescent="0.25">
      <c r="A475" s="1331"/>
      <c r="B475" s="1284"/>
      <c r="C475" s="2062">
        <v>42608</v>
      </c>
      <c r="D475" s="2062"/>
      <c r="E475" s="2062"/>
      <c r="F475" s="1297"/>
      <c r="G475" s="1297" t="s">
        <v>836</v>
      </c>
      <c r="H475" s="1333"/>
      <c r="I475" s="1333"/>
      <c r="J475" s="1401"/>
      <c r="K475" s="1333"/>
      <c r="L475" s="1333"/>
      <c r="M475" s="1333"/>
      <c r="N475" s="1333"/>
      <c r="O475" s="1333"/>
      <c r="P475" s="1333"/>
      <c r="Q475" s="1333"/>
      <c r="R475" s="1333"/>
      <c r="S475" s="1333"/>
      <c r="T475" s="1333"/>
      <c r="U475" s="1333"/>
      <c r="V475" s="1333"/>
      <c r="W475" s="1333"/>
      <c r="X475" s="1333"/>
      <c r="Y475" s="1333"/>
      <c r="Z475" s="1333"/>
      <c r="AA475" s="1333"/>
      <c r="AB475" s="1333"/>
      <c r="AC475" s="1333"/>
      <c r="AD475" s="1333"/>
      <c r="AE475" s="1333"/>
      <c r="AF475" s="1333"/>
      <c r="AG475" s="1333"/>
      <c r="AH475" s="1333"/>
      <c r="AI475" s="1333"/>
      <c r="AJ475" s="1333"/>
    </row>
    <row r="476" spans="1:48" hidden="1" x14ac:dyDescent="0.25">
      <c r="A476" s="1331"/>
      <c r="B476" s="1284"/>
      <c r="C476" s="2062"/>
      <c r="D476" s="2062"/>
      <c r="E476" s="2062"/>
      <c r="F476" s="1297"/>
      <c r="G476" s="1297" t="s">
        <v>837</v>
      </c>
      <c r="H476" s="1333"/>
      <c r="I476" s="1333"/>
      <c r="J476" s="1401"/>
      <c r="K476" s="1333"/>
      <c r="L476" s="1333"/>
      <c r="M476" s="1333"/>
      <c r="N476" s="1333"/>
      <c r="O476" s="1333"/>
      <c r="P476" s="1333"/>
      <c r="Q476" s="1333"/>
      <c r="R476" s="1333"/>
      <c r="S476" s="1333"/>
      <c r="T476" s="1333"/>
      <c r="U476" s="1333"/>
      <c r="V476" s="1333"/>
      <c r="W476" s="1333"/>
      <c r="X476" s="1333"/>
      <c r="Y476" s="1333"/>
      <c r="Z476" s="1333"/>
      <c r="AA476" s="1333"/>
      <c r="AB476" s="1333"/>
      <c r="AC476" s="1333"/>
      <c r="AD476" s="1333"/>
      <c r="AE476" s="1333"/>
      <c r="AF476" s="1333"/>
      <c r="AG476" s="1333"/>
      <c r="AH476" s="1333"/>
      <c r="AI476" s="1333"/>
      <c r="AJ476" s="1333"/>
    </row>
    <row r="477" spans="1:48" hidden="1" x14ac:dyDescent="0.25">
      <c r="A477" s="1331"/>
      <c r="B477" s="1284"/>
      <c r="C477" s="2062"/>
      <c r="D477" s="2062"/>
      <c r="E477" s="2062"/>
      <c r="F477" s="1297"/>
      <c r="G477" s="1297"/>
      <c r="H477" s="1333"/>
      <c r="I477" s="1333"/>
      <c r="J477" s="1401"/>
      <c r="K477" s="1333"/>
      <c r="L477" s="1333"/>
      <c r="M477" s="1333"/>
      <c r="N477" s="1333"/>
      <c r="O477" s="1333"/>
      <c r="P477" s="1333"/>
      <c r="Q477" s="1333"/>
      <c r="R477" s="1333"/>
      <c r="S477" s="1333"/>
      <c r="T477" s="1333"/>
      <c r="U477" s="1333"/>
      <c r="V477" s="1333"/>
      <c r="W477" s="1333"/>
      <c r="X477" s="1333"/>
      <c r="Y477" s="1333"/>
      <c r="Z477" s="1333"/>
      <c r="AA477" s="1333"/>
      <c r="AB477" s="1333"/>
      <c r="AC477" s="1333"/>
      <c r="AD477" s="1333"/>
      <c r="AE477" s="1333"/>
      <c r="AF477" s="1333"/>
      <c r="AG477" s="1333"/>
      <c r="AH477" s="1333"/>
      <c r="AI477" s="1333"/>
      <c r="AJ477" s="1333"/>
    </row>
    <row r="478" spans="1:48" hidden="1" x14ac:dyDescent="0.25">
      <c r="A478" s="1331"/>
      <c r="B478" s="1284"/>
      <c r="C478" s="2062">
        <v>42653</v>
      </c>
      <c r="D478" s="2062"/>
      <c r="E478" s="2062"/>
      <c r="F478" s="1297"/>
      <c r="G478" s="1297" t="s">
        <v>867</v>
      </c>
      <c r="H478" s="1333"/>
      <c r="I478" s="1333"/>
      <c r="J478" s="1401"/>
      <c r="K478" s="1333"/>
      <c r="L478" s="1333"/>
      <c r="M478" s="1333"/>
      <c r="N478" s="1333"/>
      <c r="O478" s="1333"/>
      <c r="P478" s="1333"/>
      <c r="Q478" s="1333"/>
      <c r="R478" s="1333"/>
      <c r="S478" s="1333"/>
      <c r="T478" s="1333"/>
      <c r="U478" s="1333"/>
      <c r="V478" s="1333"/>
      <c r="W478" s="1333"/>
      <c r="X478" s="1333"/>
      <c r="Y478" s="1333"/>
      <c r="Z478" s="1333"/>
      <c r="AA478" s="1333"/>
      <c r="AB478" s="1333"/>
      <c r="AC478" s="1333"/>
      <c r="AD478" s="1333"/>
      <c r="AE478" s="1333"/>
      <c r="AF478" s="1333"/>
      <c r="AG478" s="1333"/>
      <c r="AH478" s="1333"/>
      <c r="AI478" s="1333"/>
      <c r="AJ478" s="1333"/>
    </row>
    <row r="479" spans="1:48" hidden="1" x14ac:dyDescent="0.25">
      <c r="A479" s="1331"/>
      <c r="B479" s="1284"/>
      <c r="C479" s="2062"/>
      <c r="D479" s="2062"/>
      <c r="E479" s="2062"/>
      <c r="F479" s="1297"/>
      <c r="G479" s="1297" t="s">
        <v>877</v>
      </c>
      <c r="H479" s="1333"/>
      <c r="I479" s="1333"/>
      <c r="J479" s="1401"/>
      <c r="K479" s="1333"/>
      <c r="L479" s="1333"/>
      <c r="M479" s="1333"/>
      <c r="N479" s="1333"/>
      <c r="O479" s="1333"/>
      <c r="P479" s="1333"/>
      <c r="Q479" s="1333"/>
      <c r="R479" s="1333"/>
      <c r="S479" s="1333"/>
      <c r="T479" s="1333"/>
      <c r="U479" s="1333"/>
      <c r="V479" s="1333"/>
      <c r="W479" s="1333"/>
      <c r="X479" s="1333"/>
      <c r="Y479" s="1333"/>
      <c r="Z479" s="1333"/>
      <c r="AA479" s="1333"/>
      <c r="AB479" s="1333"/>
      <c r="AC479" s="1333"/>
      <c r="AD479" s="1333"/>
      <c r="AE479" s="1333"/>
      <c r="AF479" s="1333"/>
      <c r="AG479" s="1333"/>
      <c r="AH479" s="1333"/>
      <c r="AI479" s="1333"/>
      <c r="AJ479" s="1333"/>
    </row>
    <row r="480" spans="1:48" hidden="1" x14ac:dyDescent="0.25">
      <c r="A480" s="1331"/>
      <c r="B480" s="1284"/>
      <c r="C480" s="2062"/>
      <c r="D480" s="2062"/>
      <c r="E480" s="2062"/>
      <c r="F480" s="1297"/>
      <c r="G480" s="1297"/>
      <c r="H480" s="1333"/>
      <c r="I480" s="1333"/>
      <c r="J480" s="1401"/>
      <c r="K480" s="1333"/>
      <c r="L480" s="1333"/>
      <c r="M480" s="1333"/>
      <c r="N480" s="1333"/>
      <c r="O480" s="1333"/>
      <c r="P480" s="1333"/>
      <c r="Q480" s="1333"/>
      <c r="R480" s="1333"/>
      <c r="S480" s="1333"/>
      <c r="T480" s="1333"/>
      <c r="U480" s="1333"/>
      <c r="V480" s="1333"/>
      <c r="W480" s="1333"/>
      <c r="X480" s="1333"/>
      <c r="Y480" s="1333"/>
      <c r="Z480" s="1333"/>
      <c r="AA480" s="1333"/>
      <c r="AB480" s="1333"/>
      <c r="AC480" s="1333"/>
      <c r="AD480" s="1333"/>
      <c r="AE480" s="1333"/>
      <c r="AF480" s="1333"/>
      <c r="AG480" s="1333"/>
      <c r="AH480" s="1333"/>
      <c r="AI480" s="1333"/>
      <c r="AJ480" s="1333"/>
    </row>
    <row r="481" spans="1:36" hidden="1" x14ac:dyDescent="0.25">
      <c r="A481" s="1331"/>
      <c r="B481" s="1284"/>
      <c r="C481" s="2075">
        <v>42696</v>
      </c>
      <c r="D481" s="2075"/>
      <c r="E481" s="2075"/>
      <c r="F481" s="1297"/>
      <c r="G481" s="1289" t="s">
        <v>890</v>
      </c>
      <c r="H481" s="1333"/>
      <c r="I481" s="1333"/>
      <c r="J481" s="1401"/>
      <c r="K481" s="1333"/>
      <c r="L481" s="1333"/>
      <c r="M481" s="1333"/>
      <c r="N481" s="1333"/>
      <c r="O481" s="1333"/>
      <c r="P481" s="1333"/>
      <c r="Q481" s="1333"/>
      <c r="R481" s="1333"/>
      <c r="S481" s="1333"/>
      <c r="T481" s="1333"/>
      <c r="U481" s="1333"/>
      <c r="V481" s="1333"/>
      <c r="W481" s="1333"/>
      <c r="X481" s="1333"/>
      <c r="Y481" s="1333"/>
      <c r="Z481" s="1333"/>
      <c r="AA481" s="1333"/>
      <c r="AB481" s="1333"/>
      <c r="AC481" s="1333"/>
      <c r="AD481" s="1333"/>
      <c r="AE481" s="1333"/>
      <c r="AF481" s="1333"/>
      <c r="AG481" s="1333"/>
      <c r="AH481" s="1333"/>
      <c r="AI481" s="1333"/>
      <c r="AJ481" s="1333"/>
    </row>
    <row r="482" spans="1:36" hidden="1" x14ac:dyDescent="0.25">
      <c r="A482" s="1331"/>
      <c r="B482" s="1284"/>
      <c r="C482" s="2062"/>
      <c r="D482" s="2062"/>
      <c r="E482" s="2062"/>
      <c r="F482" s="1297"/>
      <c r="G482" s="1297"/>
      <c r="H482" s="1333"/>
      <c r="I482" s="1333"/>
      <c r="J482" s="1401"/>
      <c r="K482" s="1333"/>
      <c r="L482" s="1333"/>
      <c r="M482" s="1333"/>
      <c r="N482" s="1333"/>
      <c r="O482" s="1333"/>
      <c r="P482" s="1333"/>
      <c r="Q482" s="1333"/>
      <c r="R482" s="1333"/>
      <c r="S482" s="1333"/>
      <c r="T482" s="1333"/>
      <c r="U482" s="1333"/>
      <c r="V482" s="1333"/>
      <c r="W482" s="1333"/>
      <c r="X482" s="1333"/>
      <c r="Y482" s="1333"/>
      <c r="Z482" s="1333"/>
      <c r="AA482" s="1333"/>
      <c r="AB482" s="1333"/>
      <c r="AC482" s="1333"/>
      <c r="AD482" s="1333"/>
      <c r="AE482" s="1333"/>
      <c r="AF482" s="1333"/>
      <c r="AG482" s="1333"/>
      <c r="AH482" s="1333"/>
      <c r="AI482" s="1333"/>
      <c r="AJ482" s="1333"/>
    </row>
    <row r="483" spans="1:36" hidden="1" x14ac:dyDescent="0.25">
      <c r="A483" s="1331"/>
      <c r="B483" s="1284"/>
      <c r="C483" s="2062">
        <v>42947</v>
      </c>
      <c r="D483" s="2062"/>
      <c r="E483" s="2062"/>
      <c r="F483" s="1297"/>
      <c r="G483" s="1297" t="s">
        <v>962</v>
      </c>
      <c r="H483" s="1333"/>
      <c r="I483" s="1333"/>
      <c r="J483" s="1401"/>
      <c r="K483" s="1333"/>
      <c r="L483" s="1333"/>
      <c r="M483" s="1333"/>
      <c r="N483" s="1333"/>
      <c r="O483" s="1333"/>
      <c r="P483" s="1333"/>
      <c r="Q483" s="1333"/>
      <c r="R483" s="1333"/>
      <c r="S483" s="1333"/>
      <c r="T483" s="1333"/>
      <c r="U483" s="1333"/>
      <c r="V483" s="1333"/>
      <c r="W483" s="1333"/>
      <c r="X483" s="1333"/>
      <c r="Y483" s="1333"/>
      <c r="Z483" s="1333"/>
      <c r="AA483" s="1333"/>
      <c r="AB483" s="1333"/>
      <c r="AC483" s="1333"/>
      <c r="AD483" s="1333"/>
      <c r="AE483" s="1333"/>
      <c r="AF483" s="1333"/>
      <c r="AG483" s="1333"/>
      <c r="AH483" s="1333"/>
      <c r="AI483" s="1333"/>
      <c r="AJ483" s="1333"/>
    </row>
    <row r="484" spans="1:36" hidden="1" x14ac:dyDescent="0.25">
      <c r="A484" s="1331"/>
      <c r="B484" s="1284"/>
      <c r="C484" s="2062"/>
      <c r="D484" s="2062"/>
      <c r="E484" s="2062"/>
      <c r="F484" s="1297"/>
      <c r="G484" s="1297" t="s">
        <v>1026</v>
      </c>
      <c r="H484" s="1333"/>
      <c r="I484" s="1333"/>
      <c r="J484" s="1401"/>
      <c r="K484" s="1333"/>
      <c r="L484" s="1333"/>
      <c r="M484" s="1333"/>
      <c r="N484" s="1333"/>
      <c r="O484" s="1333"/>
      <c r="P484" s="1333"/>
      <c r="Q484" s="1333"/>
      <c r="R484" s="1333"/>
      <c r="S484" s="1333"/>
      <c r="T484" s="1333"/>
      <c r="U484" s="1333"/>
      <c r="V484" s="1333"/>
      <c r="W484" s="1333"/>
      <c r="X484" s="1333"/>
      <c r="Y484" s="1333"/>
      <c r="Z484" s="1333"/>
      <c r="AA484" s="1333"/>
      <c r="AB484" s="1333"/>
      <c r="AC484" s="1333"/>
      <c r="AD484" s="1333"/>
      <c r="AE484" s="1333"/>
      <c r="AF484" s="1333"/>
      <c r="AG484" s="1333"/>
      <c r="AH484" s="1333"/>
      <c r="AI484" s="1333"/>
      <c r="AJ484" s="1333"/>
    </row>
    <row r="485" spans="1:36" hidden="1" x14ac:dyDescent="0.25">
      <c r="A485" s="1331"/>
      <c r="B485" s="1284"/>
      <c r="C485" s="2062"/>
      <c r="D485" s="2062"/>
      <c r="E485" s="2062"/>
      <c r="F485" s="1297"/>
      <c r="G485" s="1297"/>
      <c r="H485" s="1333"/>
      <c r="I485" s="1333"/>
      <c r="J485" s="1401"/>
      <c r="K485" s="1333"/>
      <c r="L485" s="1333"/>
      <c r="M485" s="1333"/>
      <c r="N485" s="1333"/>
      <c r="O485" s="1333"/>
      <c r="P485" s="1333"/>
      <c r="Q485" s="1333"/>
      <c r="R485" s="1333"/>
      <c r="S485" s="1333"/>
      <c r="T485" s="1333"/>
      <c r="U485" s="1333"/>
      <c r="V485" s="1333"/>
      <c r="W485" s="1333"/>
      <c r="X485" s="1333"/>
      <c r="Y485" s="1333"/>
      <c r="Z485" s="1333"/>
      <c r="AA485" s="1333"/>
      <c r="AB485" s="1333"/>
      <c r="AC485" s="1333"/>
      <c r="AD485" s="1333"/>
      <c r="AE485" s="1333"/>
      <c r="AF485" s="1333"/>
      <c r="AG485" s="1333"/>
      <c r="AH485" s="1333"/>
      <c r="AI485" s="1333"/>
      <c r="AJ485" s="1333"/>
    </row>
    <row r="486" spans="1:36" hidden="1" x14ac:dyDescent="0.25">
      <c r="A486" s="1331"/>
      <c r="B486" s="1284"/>
      <c r="C486" s="2062">
        <v>42965</v>
      </c>
      <c r="D486" s="2062"/>
      <c r="E486" s="2062"/>
      <c r="F486" s="1297"/>
      <c r="G486" s="1303" t="s">
        <v>1066</v>
      </c>
      <c r="H486" s="1333"/>
      <c r="I486" s="1333"/>
      <c r="J486" s="1401"/>
      <c r="K486" s="1333"/>
      <c r="L486" s="1333"/>
      <c r="M486" s="1333"/>
      <c r="N486" s="1333"/>
      <c r="O486" s="1333"/>
      <c r="P486" s="1333"/>
      <c r="Q486" s="1333"/>
      <c r="R486" s="1333"/>
      <c r="S486" s="1333"/>
      <c r="T486" s="1333"/>
      <c r="U486" s="1333"/>
      <c r="V486" s="1333"/>
      <c r="W486" s="1333"/>
      <c r="X486" s="1333"/>
      <c r="Y486" s="1333"/>
      <c r="Z486" s="1333"/>
      <c r="AA486" s="1333"/>
      <c r="AB486" s="1333"/>
      <c r="AC486" s="1333"/>
      <c r="AD486" s="1333"/>
      <c r="AE486" s="1333"/>
      <c r="AF486" s="1333"/>
      <c r="AG486" s="1333"/>
      <c r="AH486" s="1333"/>
      <c r="AI486" s="1333"/>
      <c r="AJ486" s="1333"/>
    </row>
    <row r="487" spans="1:36" hidden="1" x14ac:dyDescent="0.25">
      <c r="A487" s="1331"/>
      <c r="B487" s="1284"/>
      <c r="C487" s="1302"/>
      <c r="D487" s="1284"/>
      <c r="E487" s="1303"/>
      <c r="F487" s="1297"/>
      <c r="G487" s="1303" t="s">
        <v>1067</v>
      </c>
      <c r="H487" s="1333"/>
      <c r="I487" s="1333"/>
      <c r="J487" s="1401"/>
      <c r="K487" s="1333"/>
      <c r="L487" s="1333"/>
      <c r="M487" s="1333"/>
      <c r="N487" s="1333"/>
      <c r="O487" s="1333"/>
      <c r="P487" s="1333"/>
      <c r="Q487" s="1333"/>
      <c r="R487" s="1333"/>
      <c r="S487" s="1333"/>
      <c r="T487" s="1333"/>
      <c r="U487" s="1333"/>
      <c r="V487" s="1333"/>
      <c r="W487" s="1333"/>
      <c r="X487" s="1333"/>
      <c r="Y487" s="1333"/>
      <c r="Z487" s="1333"/>
      <c r="AA487" s="1333"/>
      <c r="AB487" s="1333"/>
      <c r="AC487" s="1333"/>
      <c r="AD487" s="1333"/>
      <c r="AE487" s="1333"/>
      <c r="AF487" s="1333"/>
      <c r="AG487" s="1333"/>
      <c r="AH487" s="1333"/>
      <c r="AI487" s="1333"/>
      <c r="AJ487" s="1333"/>
    </row>
    <row r="488" spans="1:36" hidden="1" x14ac:dyDescent="0.25">
      <c r="A488" s="1331"/>
      <c r="B488" s="1284"/>
      <c r="C488" s="2062"/>
      <c r="D488" s="2062"/>
      <c r="E488" s="2062"/>
      <c r="F488" s="1297"/>
      <c r="G488" s="1297" t="s">
        <v>1068</v>
      </c>
      <c r="H488" s="1333"/>
      <c r="I488" s="1333"/>
      <c r="J488" s="1401"/>
      <c r="K488" s="1333"/>
      <c r="L488" s="1333"/>
      <c r="M488" s="1333"/>
      <c r="N488" s="1333"/>
      <c r="O488" s="1333"/>
      <c r="P488" s="1333"/>
      <c r="Q488" s="1333"/>
      <c r="R488" s="1333"/>
      <c r="S488" s="1333"/>
      <c r="T488" s="1333"/>
      <c r="U488" s="1333"/>
      <c r="V488" s="1333"/>
      <c r="W488" s="1333"/>
      <c r="X488" s="1333"/>
      <c r="Y488" s="1333"/>
      <c r="Z488" s="1333"/>
      <c r="AA488" s="1333"/>
      <c r="AB488" s="1333"/>
      <c r="AC488" s="1333"/>
      <c r="AD488" s="1333"/>
      <c r="AE488" s="1333"/>
      <c r="AF488" s="1333"/>
      <c r="AG488" s="1333"/>
      <c r="AH488" s="1333"/>
      <c r="AI488" s="1333"/>
      <c r="AJ488" s="1333"/>
    </row>
    <row r="489" spans="1:36" hidden="1" x14ac:dyDescent="0.25">
      <c r="A489" s="1331"/>
      <c r="B489" s="1284"/>
      <c r="C489" s="2062"/>
      <c r="D489" s="2062"/>
      <c r="E489" s="2062"/>
      <c r="F489" s="1297"/>
      <c r="G489" s="1297"/>
      <c r="H489" s="1333"/>
      <c r="I489" s="1333"/>
      <c r="J489" s="1401"/>
      <c r="K489" s="1333"/>
      <c r="L489" s="1333"/>
      <c r="M489" s="1333"/>
      <c r="N489" s="1333"/>
      <c r="O489" s="1333"/>
      <c r="P489" s="1333"/>
      <c r="Q489" s="1333"/>
      <c r="R489" s="1333"/>
      <c r="S489" s="1333"/>
      <c r="T489" s="1333"/>
      <c r="U489" s="1333"/>
      <c r="V489" s="1333"/>
      <c r="W489" s="1333"/>
      <c r="X489" s="1333"/>
      <c r="Y489" s="1333"/>
      <c r="Z489" s="1333"/>
      <c r="AA489" s="1333"/>
      <c r="AB489" s="1333"/>
      <c r="AC489" s="1333"/>
      <c r="AD489" s="1333"/>
      <c r="AE489" s="1333"/>
      <c r="AF489" s="1333"/>
      <c r="AG489" s="1333"/>
      <c r="AH489" s="1333"/>
      <c r="AI489" s="1333"/>
      <c r="AJ489" s="1333"/>
    </row>
    <row r="490" spans="1:36" hidden="1" x14ac:dyDescent="0.25">
      <c r="A490" s="1331"/>
      <c r="B490" s="1284"/>
      <c r="C490" s="2062"/>
      <c r="D490" s="2062"/>
      <c r="E490" s="2062"/>
      <c r="F490" s="1297"/>
      <c r="G490" s="1297"/>
      <c r="H490" s="1333"/>
      <c r="I490" s="1333"/>
      <c r="J490" s="1401"/>
      <c r="K490" s="1333"/>
      <c r="L490" s="1333"/>
      <c r="M490" s="1333"/>
      <c r="N490" s="1333"/>
      <c r="O490" s="1333"/>
      <c r="P490" s="1333"/>
      <c r="Q490" s="1333"/>
      <c r="R490" s="1333"/>
      <c r="S490" s="1333"/>
      <c r="T490" s="1333"/>
      <c r="U490" s="1333"/>
      <c r="V490" s="1333"/>
      <c r="W490" s="1333"/>
      <c r="X490" s="1333"/>
      <c r="Y490" s="1333"/>
      <c r="Z490" s="1333"/>
      <c r="AA490" s="1333"/>
      <c r="AB490" s="1333"/>
      <c r="AC490" s="1333"/>
      <c r="AD490" s="1333"/>
      <c r="AE490" s="1333"/>
      <c r="AF490" s="1333"/>
      <c r="AG490" s="1333"/>
      <c r="AH490" s="1333"/>
      <c r="AI490" s="1333"/>
      <c r="AJ490" s="1333"/>
    </row>
    <row r="491" spans="1:36" hidden="1" x14ac:dyDescent="0.25">
      <c r="A491" s="1331"/>
      <c r="B491" s="1284"/>
      <c r="C491" s="2062"/>
      <c r="D491" s="2062"/>
      <c r="E491" s="2062"/>
      <c r="F491" s="1297"/>
      <c r="G491" s="1297"/>
      <c r="H491" s="1333"/>
      <c r="I491" s="1333"/>
      <c r="J491" s="1401"/>
      <c r="K491" s="1333"/>
      <c r="L491" s="1333"/>
      <c r="M491" s="1333"/>
      <c r="N491" s="1333"/>
      <c r="O491" s="1333"/>
      <c r="P491" s="1333"/>
      <c r="Q491" s="1333"/>
      <c r="R491" s="1333"/>
      <c r="S491" s="1333"/>
      <c r="T491" s="1333"/>
      <c r="U491" s="1333"/>
      <c r="V491" s="1333"/>
      <c r="W491" s="1333"/>
      <c r="X491" s="1333"/>
      <c r="Y491" s="1333"/>
      <c r="Z491" s="1333"/>
      <c r="AA491" s="1333"/>
      <c r="AB491" s="1333"/>
      <c r="AC491" s="1333"/>
      <c r="AD491" s="1333"/>
      <c r="AE491" s="1333"/>
      <c r="AF491" s="1333"/>
      <c r="AG491" s="1333"/>
      <c r="AH491" s="1333"/>
      <c r="AI491" s="1333"/>
      <c r="AJ491" s="1333"/>
    </row>
    <row r="492" spans="1:36" x14ac:dyDescent="0.25">
      <c r="A492" s="1331"/>
      <c r="B492" s="1284"/>
      <c r="C492" s="2062"/>
      <c r="D492" s="2062"/>
      <c r="E492" s="2062"/>
      <c r="F492" s="1297"/>
      <c r="G492" s="1297"/>
      <c r="H492" s="1333"/>
      <c r="I492" s="1333"/>
      <c r="J492" s="1401"/>
      <c r="K492" s="1333"/>
      <c r="L492" s="1333"/>
      <c r="M492" s="1333"/>
      <c r="N492" s="1333"/>
      <c r="O492" s="1333"/>
      <c r="P492" s="1333"/>
      <c r="Q492" s="1333"/>
      <c r="R492" s="1333"/>
      <c r="S492" s="1333"/>
      <c r="T492" s="1333"/>
      <c r="U492" s="1333"/>
      <c r="V492" s="1333"/>
      <c r="W492" s="1333"/>
      <c r="X492" s="1333"/>
      <c r="Y492" s="1333"/>
      <c r="Z492" s="1333"/>
      <c r="AA492" s="1333"/>
      <c r="AB492" s="1333"/>
      <c r="AC492" s="1333"/>
      <c r="AD492" s="1333"/>
      <c r="AE492" s="1333"/>
      <c r="AF492" s="1333"/>
      <c r="AG492" s="1333"/>
      <c r="AH492" s="1333"/>
      <c r="AI492" s="1333"/>
      <c r="AJ492" s="1333"/>
    </row>
    <row r="493" spans="1:36" x14ac:dyDescent="0.25">
      <c r="A493" s="1331"/>
      <c r="B493" s="1284"/>
      <c r="C493" s="2062"/>
      <c r="D493" s="2062"/>
      <c r="E493" s="2062"/>
      <c r="F493" s="1297"/>
      <c r="G493" s="1297"/>
      <c r="H493" s="1333"/>
      <c r="I493" s="1333"/>
      <c r="J493" s="1401"/>
      <c r="K493" s="1333"/>
      <c r="L493" s="1333"/>
      <c r="M493" s="1333"/>
      <c r="N493" s="1333"/>
      <c r="O493" s="1333"/>
      <c r="P493" s="1333"/>
      <c r="Q493" s="1333"/>
      <c r="R493" s="1333"/>
      <c r="S493" s="1333"/>
      <c r="T493" s="1333"/>
      <c r="U493" s="1333"/>
      <c r="V493" s="1333"/>
      <c r="W493" s="1333"/>
      <c r="X493" s="1333"/>
      <c r="Y493" s="1333"/>
      <c r="Z493" s="1333"/>
      <c r="AA493" s="1333"/>
      <c r="AB493" s="1333"/>
      <c r="AC493" s="1333"/>
      <c r="AD493" s="1333"/>
      <c r="AE493" s="1333"/>
      <c r="AF493" s="1333"/>
      <c r="AG493" s="1333"/>
      <c r="AH493" s="1333"/>
      <c r="AI493" s="1333"/>
      <c r="AJ493" s="1333"/>
    </row>
    <row r="494" spans="1:36" x14ac:dyDescent="0.25">
      <c r="A494" s="1331"/>
      <c r="B494" s="1284"/>
      <c r="C494" s="2062"/>
      <c r="D494" s="2062"/>
      <c r="E494" s="2062"/>
      <c r="F494" s="1297"/>
      <c r="G494" s="1297"/>
      <c r="H494" s="1333"/>
      <c r="I494" s="1333"/>
      <c r="J494" s="1401"/>
      <c r="K494" s="1333"/>
      <c r="L494" s="1333"/>
      <c r="M494" s="1333"/>
      <c r="N494" s="1333"/>
      <c r="O494" s="1333"/>
      <c r="P494" s="1333"/>
      <c r="Q494" s="1333"/>
      <c r="R494" s="1333"/>
      <c r="S494" s="1333"/>
      <c r="T494" s="1333"/>
      <c r="U494" s="1333"/>
      <c r="V494" s="1333"/>
      <c r="W494" s="1333"/>
      <c r="X494" s="1333"/>
      <c r="Y494" s="1333"/>
      <c r="Z494" s="1333"/>
      <c r="AA494" s="1333"/>
      <c r="AB494" s="1333"/>
      <c r="AC494" s="1333"/>
      <c r="AD494" s="1333"/>
      <c r="AE494" s="1333"/>
      <c r="AF494" s="1333"/>
      <c r="AG494" s="1333"/>
      <c r="AH494" s="1333"/>
      <c r="AI494" s="1333"/>
      <c r="AJ494" s="1333"/>
    </row>
    <row r="495" spans="1:36" x14ac:dyDescent="0.25">
      <c r="A495" s="1331"/>
      <c r="B495" s="1284"/>
      <c r="C495" s="2062"/>
      <c r="D495" s="2062"/>
      <c r="E495" s="2062"/>
      <c r="F495" s="1297"/>
      <c r="G495" s="1297"/>
      <c r="H495" s="1333"/>
      <c r="I495" s="1333"/>
      <c r="J495" s="1401"/>
      <c r="K495" s="1333"/>
      <c r="L495" s="1333"/>
      <c r="M495" s="1333"/>
      <c r="N495" s="1333"/>
      <c r="O495" s="1333"/>
      <c r="P495" s="1333"/>
      <c r="Q495" s="1333"/>
      <c r="R495" s="1333"/>
      <c r="S495" s="1333"/>
      <c r="T495" s="1333"/>
      <c r="U495" s="1333"/>
      <c r="V495" s="1333"/>
      <c r="W495" s="1333"/>
      <c r="X495" s="1333"/>
      <c r="Y495" s="1333"/>
      <c r="Z495" s="1333"/>
      <c r="AA495" s="1333"/>
      <c r="AB495" s="1333"/>
      <c r="AC495" s="1333"/>
      <c r="AD495" s="1333"/>
      <c r="AE495" s="1333"/>
      <c r="AF495" s="1333"/>
      <c r="AG495" s="1333"/>
      <c r="AH495" s="1333"/>
      <c r="AI495" s="1333"/>
      <c r="AJ495" s="1333"/>
    </row>
    <row r="496" spans="1:36" x14ac:dyDescent="0.25">
      <c r="A496" s="1331"/>
      <c r="B496" s="1284"/>
      <c r="C496" s="2062"/>
      <c r="D496" s="2062"/>
      <c r="E496" s="2062"/>
      <c r="F496" s="1297"/>
      <c r="G496" s="1297"/>
      <c r="H496" s="1333"/>
      <c r="I496" s="1333"/>
      <c r="J496" s="1401"/>
      <c r="K496" s="1333"/>
      <c r="L496" s="1333"/>
      <c r="M496" s="1333"/>
      <c r="N496" s="1333"/>
      <c r="O496" s="1333"/>
      <c r="P496" s="1333"/>
      <c r="Q496" s="1333"/>
      <c r="R496" s="1333"/>
      <c r="S496" s="1333"/>
      <c r="T496" s="1333"/>
      <c r="U496" s="1333"/>
      <c r="V496" s="1333"/>
      <c r="W496" s="1333"/>
      <c r="X496" s="1333"/>
      <c r="Y496" s="1333"/>
      <c r="Z496" s="1333"/>
      <c r="AA496" s="1333"/>
      <c r="AB496" s="1333"/>
      <c r="AC496" s="1333"/>
      <c r="AD496" s="1333"/>
      <c r="AE496" s="1333"/>
      <c r="AF496" s="1333"/>
      <c r="AG496" s="1333"/>
      <c r="AH496" s="1333"/>
      <c r="AI496" s="1333"/>
      <c r="AJ496" s="1333"/>
    </row>
    <row r="497" spans="1:36" x14ac:dyDescent="0.25">
      <c r="A497" s="1331"/>
      <c r="B497" s="1284"/>
      <c r="C497" s="2062"/>
      <c r="D497" s="2062"/>
      <c r="E497" s="2062"/>
      <c r="F497" s="1297"/>
      <c r="G497" s="1297"/>
      <c r="H497" s="1333"/>
      <c r="I497" s="1333"/>
      <c r="J497" s="1401"/>
      <c r="K497" s="1333"/>
      <c r="L497" s="1333"/>
      <c r="M497" s="1333"/>
      <c r="N497" s="1333"/>
      <c r="O497" s="1333"/>
      <c r="P497" s="1333"/>
      <c r="Q497" s="1333"/>
      <c r="R497" s="1333"/>
      <c r="S497" s="1333"/>
      <c r="T497" s="1333"/>
      <c r="U497" s="1333"/>
      <c r="V497" s="1333"/>
      <c r="W497" s="1333"/>
      <c r="X497" s="1333"/>
      <c r="Y497" s="1333"/>
      <c r="Z497" s="1333"/>
      <c r="AA497" s="1333"/>
      <c r="AB497" s="1333"/>
      <c r="AC497" s="1333"/>
      <c r="AD497" s="1333"/>
      <c r="AE497" s="1333"/>
      <c r="AF497" s="1333"/>
      <c r="AG497" s="1333"/>
      <c r="AH497" s="1333"/>
      <c r="AI497" s="1333"/>
      <c r="AJ497" s="1333"/>
    </row>
    <row r="498" spans="1:36" x14ac:dyDescent="0.25">
      <c r="A498" s="1331"/>
      <c r="B498" s="1284"/>
      <c r="C498" s="2062"/>
      <c r="D498" s="2062"/>
      <c r="E498" s="2062"/>
      <c r="F498" s="1297"/>
      <c r="G498" s="1297"/>
      <c r="H498" s="1333"/>
      <c r="I498" s="1333"/>
      <c r="J498" s="1401"/>
      <c r="K498" s="1333"/>
      <c r="L498" s="1333"/>
      <c r="M498" s="1333"/>
      <c r="N498" s="1333"/>
      <c r="O498" s="1333"/>
      <c r="P498" s="1333"/>
      <c r="Q498" s="1333"/>
      <c r="R498" s="1333"/>
      <c r="S498" s="1333"/>
      <c r="T498" s="1333"/>
      <c r="U498" s="1333"/>
      <c r="V498" s="1333"/>
      <c r="W498" s="1333"/>
      <c r="X498" s="1333"/>
      <c r="Y498" s="1333"/>
      <c r="Z498" s="1333"/>
      <c r="AA498" s="1333"/>
      <c r="AB498" s="1333"/>
      <c r="AC498" s="1333"/>
      <c r="AD498" s="1333"/>
      <c r="AE498" s="1333"/>
      <c r="AF498" s="1333"/>
      <c r="AG498" s="1333"/>
      <c r="AH498" s="1333"/>
      <c r="AI498" s="1333"/>
      <c r="AJ498" s="1333"/>
    </row>
    <row r="499" spans="1:36" x14ac:dyDescent="0.25">
      <c r="A499" s="1331"/>
      <c r="B499" s="1284"/>
      <c r="C499" s="2062"/>
      <c r="D499" s="2062"/>
      <c r="E499" s="2062"/>
      <c r="F499" s="1297"/>
      <c r="G499" s="1297"/>
      <c r="H499" s="1333"/>
      <c r="I499" s="1333"/>
      <c r="J499" s="1401"/>
      <c r="K499" s="1333"/>
      <c r="L499" s="1333"/>
      <c r="M499" s="1333"/>
      <c r="N499" s="1333"/>
      <c r="O499" s="1333"/>
      <c r="P499" s="1333"/>
      <c r="Q499" s="1333"/>
      <c r="R499" s="1333"/>
      <c r="S499" s="1333"/>
      <c r="T499" s="1333"/>
      <c r="U499" s="1333"/>
      <c r="V499" s="1333"/>
      <c r="W499" s="1333"/>
      <c r="X499" s="1333"/>
      <c r="Y499" s="1333"/>
      <c r="Z499" s="1333"/>
      <c r="AA499" s="1333"/>
      <c r="AB499" s="1333"/>
      <c r="AC499" s="1333"/>
      <c r="AD499" s="1333"/>
      <c r="AE499" s="1333"/>
      <c r="AF499" s="1333"/>
      <c r="AG499" s="1333"/>
      <c r="AH499" s="1333"/>
      <c r="AI499" s="1333"/>
      <c r="AJ499" s="1333"/>
    </row>
    <row r="500" spans="1:36" x14ac:dyDescent="0.25">
      <c r="A500" s="1331"/>
      <c r="B500" s="1284"/>
      <c r="C500" s="2062"/>
      <c r="D500" s="2062"/>
      <c r="E500" s="2062"/>
      <c r="F500" s="1297"/>
      <c r="G500" s="1297"/>
      <c r="H500" s="1333"/>
      <c r="I500" s="1333"/>
      <c r="J500" s="1401"/>
      <c r="K500" s="1333"/>
      <c r="L500" s="1333"/>
      <c r="M500" s="1333"/>
      <c r="N500" s="1333"/>
      <c r="O500" s="1333"/>
      <c r="P500" s="1333"/>
      <c r="Q500" s="1333"/>
      <c r="R500" s="1333"/>
      <c r="S500" s="1333"/>
      <c r="T500" s="1333"/>
      <c r="U500" s="1333"/>
      <c r="V500" s="1333"/>
      <c r="W500" s="1333"/>
      <c r="X500" s="1333"/>
      <c r="Y500" s="1333"/>
      <c r="Z500" s="1333"/>
      <c r="AA500" s="1333"/>
      <c r="AB500" s="1333"/>
      <c r="AC500" s="1333"/>
      <c r="AD500" s="1333"/>
      <c r="AE500" s="1333"/>
      <c r="AF500" s="1333"/>
      <c r="AG500" s="1333"/>
      <c r="AH500" s="1333"/>
      <c r="AI500" s="1333"/>
      <c r="AJ500" s="1333"/>
    </row>
    <row r="501" spans="1:36" x14ac:dyDescent="0.25">
      <c r="A501" s="1331"/>
      <c r="B501" s="1284"/>
      <c r="C501" s="2062"/>
      <c r="D501" s="2062"/>
      <c r="E501" s="2062"/>
      <c r="F501" s="1297"/>
      <c r="G501" s="1297"/>
      <c r="H501" s="1333"/>
      <c r="I501" s="1333"/>
      <c r="J501" s="1401"/>
      <c r="K501" s="1333"/>
      <c r="L501" s="1333"/>
      <c r="M501" s="1333"/>
      <c r="N501" s="1333"/>
      <c r="O501" s="1333"/>
      <c r="P501" s="1333"/>
      <c r="Q501" s="1333"/>
      <c r="R501" s="1333"/>
      <c r="S501" s="1333"/>
      <c r="T501" s="1333"/>
      <c r="U501" s="1333"/>
      <c r="V501" s="1333"/>
      <c r="W501" s="1333"/>
      <c r="X501" s="1333"/>
      <c r="Y501" s="1333"/>
      <c r="Z501" s="1333"/>
      <c r="AA501" s="1333"/>
      <c r="AB501" s="1333"/>
      <c r="AC501" s="1333"/>
      <c r="AD501" s="1333"/>
      <c r="AE501" s="1333"/>
      <c r="AF501" s="1333"/>
      <c r="AG501" s="1333"/>
      <c r="AH501" s="1333"/>
      <c r="AI501" s="1333"/>
      <c r="AJ501" s="1333"/>
    </row>
    <row r="502" spans="1:36" x14ac:dyDescent="0.25">
      <c r="A502" s="1331"/>
      <c r="B502" s="1284"/>
      <c r="C502" s="2062"/>
      <c r="D502" s="2062"/>
      <c r="E502" s="2062"/>
      <c r="F502" s="1297"/>
      <c r="G502" s="1297"/>
      <c r="H502" s="1333"/>
      <c r="I502" s="1333"/>
      <c r="J502" s="1401"/>
      <c r="K502" s="1333"/>
      <c r="L502" s="1333"/>
      <c r="M502" s="1333"/>
      <c r="N502" s="1333"/>
      <c r="O502" s="1333"/>
      <c r="P502" s="1333"/>
      <c r="Q502" s="1333"/>
      <c r="R502" s="1333"/>
      <c r="S502" s="1333"/>
      <c r="T502" s="1333"/>
      <c r="U502" s="1333"/>
      <c r="V502" s="1333"/>
      <c r="W502" s="1333"/>
      <c r="X502" s="1333"/>
      <c r="Y502" s="1333"/>
      <c r="Z502" s="1333"/>
      <c r="AA502" s="1333"/>
      <c r="AB502" s="1333"/>
      <c r="AC502" s="1333"/>
      <c r="AD502" s="1333"/>
      <c r="AE502" s="1333"/>
      <c r="AF502" s="1333"/>
      <c r="AG502" s="1333"/>
      <c r="AH502" s="1333"/>
      <c r="AI502" s="1333"/>
      <c r="AJ502" s="1333"/>
    </row>
    <row r="503" spans="1:36" x14ac:dyDescent="0.25">
      <c r="A503" s="1331"/>
      <c r="B503" s="1284"/>
      <c r="C503" s="2062"/>
      <c r="D503" s="2062"/>
      <c r="E503" s="2062"/>
      <c r="F503" s="1297"/>
      <c r="G503" s="1297"/>
      <c r="H503" s="1333"/>
      <c r="I503" s="1333"/>
      <c r="J503" s="1401"/>
      <c r="K503" s="1333"/>
      <c r="L503" s="1333"/>
      <c r="M503" s="1333"/>
      <c r="N503" s="1333"/>
      <c r="O503" s="1333"/>
      <c r="P503" s="1333"/>
      <c r="Q503" s="1333"/>
      <c r="R503" s="1333"/>
      <c r="S503" s="1333"/>
      <c r="T503" s="1333"/>
      <c r="U503" s="1333"/>
      <c r="V503" s="1333"/>
      <c r="W503" s="1333"/>
      <c r="X503" s="1333"/>
      <c r="Y503" s="1333"/>
      <c r="Z503" s="1333"/>
      <c r="AA503" s="1333"/>
      <c r="AB503" s="1333"/>
      <c r="AC503" s="1333"/>
      <c r="AD503" s="1333"/>
      <c r="AE503" s="1333"/>
      <c r="AF503" s="1333"/>
      <c r="AG503" s="1333"/>
      <c r="AH503" s="1333"/>
      <c r="AI503" s="1333"/>
      <c r="AJ503" s="1333"/>
    </row>
    <row r="504" spans="1:36" x14ac:dyDescent="0.25">
      <c r="A504" s="1331"/>
      <c r="B504" s="1284"/>
      <c r="C504" s="2062"/>
      <c r="D504" s="2062"/>
      <c r="E504" s="2062"/>
      <c r="F504" s="1297"/>
      <c r="G504" s="1297"/>
      <c r="H504" s="1333"/>
      <c r="I504" s="1333"/>
      <c r="J504" s="1401"/>
      <c r="K504" s="1333"/>
      <c r="L504" s="1333"/>
      <c r="M504" s="1333"/>
      <c r="N504" s="1333"/>
      <c r="O504" s="1333"/>
      <c r="P504" s="1333"/>
      <c r="Q504" s="1333"/>
      <c r="R504" s="1333"/>
      <c r="S504" s="1333"/>
      <c r="T504" s="1333"/>
      <c r="U504" s="1333"/>
      <c r="V504" s="1333"/>
      <c r="W504" s="1333"/>
      <c r="X504" s="1333"/>
      <c r="Y504" s="1333"/>
      <c r="Z504" s="1333"/>
      <c r="AA504" s="1333"/>
      <c r="AB504" s="1333"/>
      <c r="AC504" s="1333"/>
      <c r="AD504" s="1333"/>
      <c r="AE504" s="1333"/>
      <c r="AF504" s="1333"/>
      <c r="AG504" s="1333"/>
      <c r="AH504" s="1333"/>
      <c r="AI504" s="1333"/>
      <c r="AJ504" s="1333"/>
    </row>
    <row r="505" spans="1:36" x14ac:dyDescent="0.25">
      <c r="A505" s="1331"/>
      <c r="B505" s="1284"/>
      <c r="C505" s="2062"/>
      <c r="D505" s="2062"/>
      <c r="E505" s="2062"/>
      <c r="F505" s="1297"/>
      <c r="G505" s="1297"/>
      <c r="H505" s="1333"/>
      <c r="I505" s="1333"/>
      <c r="J505" s="1401"/>
      <c r="K505" s="1333"/>
      <c r="L505" s="1333"/>
      <c r="M505" s="1333"/>
      <c r="N505" s="1333"/>
      <c r="O505" s="1333"/>
      <c r="P505" s="1333"/>
      <c r="Q505" s="1333"/>
      <c r="R505" s="1333"/>
      <c r="S505" s="1333"/>
      <c r="T505" s="1333"/>
      <c r="U505" s="1333"/>
      <c r="V505" s="1333"/>
      <c r="W505" s="1333"/>
      <c r="X505" s="1333"/>
      <c r="Y505" s="1333"/>
      <c r="Z505" s="1333"/>
      <c r="AA505" s="1333"/>
      <c r="AB505" s="1333"/>
      <c r="AC505" s="1333"/>
      <c r="AD505" s="1333"/>
      <c r="AE505" s="1333"/>
      <c r="AF505" s="1333"/>
      <c r="AG505" s="1333"/>
      <c r="AH505" s="1333"/>
      <c r="AI505" s="1333"/>
      <c r="AJ505" s="1333"/>
    </row>
    <row r="506" spans="1:36" x14ac:dyDescent="0.25">
      <c r="A506" s="1331"/>
      <c r="B506" s="1284"/>
      <c r="C506" s="2062"/>
      <c r="D506" s="2062"/>
      <c r="E506" s="2062"/>
      <c r="F506" s="1297"/>
      <c r="G506" s="1297"/>
      <c r="H506" s="1333"/>
      <c r="I506" s="1333"/>
      <c r="J506" s="1401"/>
      <c r="K506" s="1333"/>
      <c r="L506" s="1333"/>
      <c r="M506" s="1333"/>
      <c r="N506" s="1333"/>
      <c r="O506" s="1333"/>
      <c r="P506" s="1333"/>
      <c r="Q506" s="1333"/>
      <c r="R506" s="1333"/>
      <c r="S506" s="1333"/>
      <c r="T506" s="1333"/>
      <c r="U506" s="1333"/>
      <c r="V506" s="1333"/>
      <c r="W506" s="1333"/>
      <c r="X506" s="1333"/>
      <c r="Y506" s="1333"/>
      <c r="Z506" s="1333"/>
      <c r="AA506" s="1333"/>
      <c r="AB506" s="1333"/>
      <c r="AC506" s="1333"/>
      <c r="AD506" s="1333"/>
      <c r="AE506" s="1333"/>
      <c r="AF506" s="1333"/>
      <c r="AG506" s="1333"/>
      <c r="AH506" s="1333"/>
      <c r="AI506" s="1333"/>
      <c r="AJ506" s="1333"/>
    </row>
    <row r="507" spans="1:36" x14ac:dyDescent="0.25">
      <c r="A507" s="1331"/>
      <c r="B507" s="1284"/>
      <c r="C507" s="2062"/>
      <c r="D507" s="2062"/>
      <c r="E507" s="2062"/>
      <c r="F507" s="1297"/>
      <c r="G507" s="1297"/>
      <c r="H507" s="1333"/>
      <c r="I507" s="1333"/>
      <c r="J507" s="1401"/>
      <c r="K507" s="1333"/>
      <c r="L507" s="1333"/>
      <c r="M507" s="1333"/>
      <c r="N507" s="1333"/>
      <c r="O507" s="1333"/>
      <c r="P507" s="1333"/>
      <c r="Q507" s="1333"/>
      <c r="R507" s="1333"/>
      <c r="S507" s="1333"/>
      <c r="T507" s="1333"/>
      <c r="U507" s="1333"/>
      <c r="V507" s="1333"/>
      <c r="W507" s="1333"/>
      <c r="X507" s="1333"/>
      <c r="Y507" s="1333"/>
      <c r="Z507" s="1333"/>
      <c r="AA507" s="1333"/>
      <c r="AB507" s="1333"/>
      <c r="AC507" s="1333"/>
      <c r="AD507" s="1333"/>
      <c r="AE507" s="1333"/>
      <c r="AF507" s="1333"/>
      <c r="AG507" s="1333"/>
      <c r="AH507" s="1333"/>
      <c r="AI507" s="1333"/>
      <c r="AJ507" s="1333"/>
    </row>
    <row r="508" spans="1:36" x14ac:dyDescent="0.25">
      <c r="A508" s="1331"/>
      <c r="B508" s="1284"/>
      <c r="C508" s="2062"/>
      <c r="D508" s="2062"/>
      <c r="E508" s="2062"/>
      <c r="F508" s="1297"/>
      <c r="G508" s="1297"/>
      <c r="H508" s="1333"/>
      <c r="I508" s="1333"/>
      <c r="J508" s="1401"/>
      <c r="K508" s="1333"/>
      <c r="L508" s="1333"/>
      <c r="M508" s="1333"/>
      <c r="N508" s="1333"/>
      <c r="O508" s="1333"/>
      <c r="P508" s="1333"/>
      <c r="Q508" s="1333"/>
      <c r="R508" s="1333"/>
      <c r="S508" s="1333"/>
      <c r="T508" s="1333"/>
      <c r="U508" s="1333"/>
      <c r="V508" s="1333"/>
      <c r="W508" s="1333"/>
      <c r="X508" s="1333"/>
      <c r="Y508" s="1333"/>
      <c r="Z508" s="1333"/>
      <c r="AA508" s="1333"/>
      <c r="AB508" s="1333"/>
      <c r="AC508" s="1333"/>
      <c r="AD508" s="1333"/>
      <c r="AE508" s="1333"/>
      <c r="AF508" s="1333"/>
      <c r="AG508" s="1333"/>
      <c r="AH508" s="1333"/>
      <c r="AI508" s="1333"/>
      <c r="AJ508" s="1333"/>
    </row>
    <row r="509" spans="1:36" x14ac:dyDescent="0.25">
      <c r="A509" s="1331"/>
      <c r="B509" s="1284"/>
      <c r="C509" s="2062"/>
      <c r="D509" s="2062"/>
      <c r="E509" s="2062"/>
      <c r="F509" s="1297"/>
      <c r="G509" s="1297"/>
      <c r="H509" s="1333"/>
      <c r="I509" s="1333"/>
      <c r="J509" s="1401"/>
      <c r="K509" s="1333"/>
      <c r="L509" s="1333"/>
      <c r="M509" s="1333"/>
      <c r="N509" s="1333"/>
      <c r="O509" s="1333"/>
      <c r="P509" s="1333"/>
      <c r="Q509" s="1333"/>
      <c r="R509" s="1333"/>
      <c r="S509" s="1333"/>
      <c r="T509" s="1333"/>
      <c r="U509" s="1333"/>
      <c r="V509" s="1333"/>
      <c r="W509" s="1333"/>
      <c r="X509" s="1333"/>
      <c r="Y509" s="1333"/>
      <c r="Z509" s="1333"/>
      <c r="AA509" s="1333"/>
      <c r="AB509" s="1333"/>
      <c r="AC509" s="1333"/>
      <c r="AD509" s="1333"/>
      <c r="AE509" s="1333"/>
      <c r="AF509" s="1333"/>
      <c r="AG509" s="1333"/>
      <c r="AH509" s="1333"/>
      <c r="AI509" s="1333"/>
      <c r="AJ509" s="1333"/>
    </row>
    <row r="510" spans="1:36" x14ac:dyDescent="0.25">
      <c r="A510" s="1331"/>
      <c r="B510" s="1284"/>
      <c r="C510" s="2062"/>
      <c r="D510" s="2062"/>
      <c r="E510" s="2062"/>
      <c r="F510" s="1297"/>
      <c r="G510" s="1297"/>
      <c r="H510" s="1333"/>
      <c r="I510" s="1333"/>
      <c r="J510" s="1401"/>
      <c r="K510" s="1333"/>
      <c r="L510" s="1333"/>
      <c r="M510" s="1333"/>
      <c r="N510" s="1333"/>
      <c r="O510" s="1333"/>
      <c r="P510" s="1333"/>
      <c r="Q510" s="1333"/>
      <c r="R510" s="1333"/>
      <c r="S510" s="1333"/>
      <c r="T510" s="1333"/>
      <c r="U510" s="1333"/>
      <c r="V510" s="1333"/>
      <c r="W510" s="1333"/>
      <c r="X510" s="1333"/>
      <c r="Y510" s="1333"/>
      <c r="Z510" s="1333"/>
      <c r="AA510" s="1333"/>
      <c r="AB510" s="1333"/>
      <c r="AC510" s="1333"/>
      <c r="AD510" s="1333"/>
      <c r="AE510" s="1333"/>
      <c r="AF510" s="1333"/>
      <c r="AG510" s="1333"/>
      <c r="AH510" s="1333"/>
      <c r="AI510" s="1333"/>
      <c r="AJ510" s="1333"/>
    </row>
    <row r="511" spans="1:36" x14ac:dyDescent="0.25">
      <c r="A511" s="1331"/>
      <c r="B511" s="1284"/>
      <c r="C511" s="2062"/>
      <c r="D511" s="2062"/>
      <c r="E511" s="2062"/>
      <c r="F511" s="1297"/>
      <c r="G511" s="1297"/>
      <c r="H511" s="1333"/>
      <c r="I511" s="1333"/>
      <c r="J511" s="1401"/>
      <c r="K511" s="1333"/>
      <c r="L511" s="1333"/>
      <c r="M511" s="1333"/>
      <c r="N511" s="1333"/>
      <c r="O511" s="1333"/>
      <c r="P511" s="1333"/>
      <c r="Q511" s="1333"/>
      <c r="R511" s="1333"/>
      <c r="S511" s="1333"/>
      <c r="T511" s="1333"/>
      <c r="U511" s="1333"/>
      <c r="V511" s="1333"/>
      <c r="W511" s="1333"/>
      <c r="X511" s="1333"/>
      <c r="Y511" s="1333"/>
      <c r="Z511" s="1333"/>
      <c r="AA511" s="1333"/>
      <c r="AB511" s="1333"/>
      <c r="AC511" s="1333"/>
      <c r="AD511" s="1333"/>
      <c r="AE511" s="1333"/>
      <c r="AF511" s="1333"/>
      <c r="AG511" s="1333"/>
      <c r="AH511" s="1333"/>
      <c r="AI511" s="1333"/>
      <c r="AJ511" s="1333"/>
    </row>
    <row r="512" spans="1:36" x14ac:dyDescent="0.25">
      <c r="A512" s="1331"/>
      <c r="B512" s="1284"/>
      <c r="C512" s="2062"/>
      <c r="D512" s="2062"/>
      <c r="E512" s="2062"/>
      <c r="F512" s="1297"/>
      <c r="G512" s="1297"/>
      <c r="H512" s="1333"/>
      <c r="I512" s="1333"/>
      <c r="J512" s="1401"/>
      <c r="K512" s="1333"/>
      <c r="L512" s="1333"/>
      <c r="M512" s="1333"/>
      <c r="N512" s="1333"/>
      <c r="O512" s="1333"/>
      <c r="P512" s="1333"/>
      <c r="Q512" s="1333"/>
      <c r="R512" s="1333"/>
      <c r="S512" s="1333"/>
      <c r="T512" s="1333"/>
      <c r="U512" s="1333"/>
      <c r="V512" s="1333"/>
      <c r="W512" s="1333"/>
      <c r="X512" s="1333"/>
      <c r="Y512" s="1333"/>
      <c r="Z512" s="1333"/>
      <c r="AA512" s="1333"/>
      <c r="AB512" s="1333"/>
      <c r="AC512" s="1333"/>
      <c r="AD512" s="1333"/>
      <c r="AE512" s="1333"/>
      <c r="AF512" s="1333"/>
      <c r="AG512" s="1333"/>
      <c r="AH512" s="1333"/>
      <c r="AI512" s="1333"/>
      <c r="AJ512" s="1333"/>
    </row>
    <row r="513" spans="1:36" x14ac:dyDescent="0.25">
      <c r="A513" s="1331"/>
      <c r="B513" s="1284"/>
      <c r="C513" s="2062"/>
      <c r="D513" s="2062"/>
      <c r="E513" s="2062"/>
      <c r="F513" s="1297"/>
      <c r="G513" s="1297"/>
      <c r="H513" s="1333"/>
      <c r="I513" s="1333"/>
      <c r="J513" s="1401"/>
      <c r="K513" s="1333"/>
      <c r="L513" s="1333"/>
      <c r="M513" s="1333"/>
      <c r="N513" s="1333"/>
      <c r="O513" s="1333"/>
      <c r="P513" s="1333"/>
      <c r="Q513" s="1333"/>
      <c r="R513" s="1333"/>
      <c r="S513" s="1333"/>
      <c r="T513" s="1333"/>
      <c r="U513" s="1333"/>
      <c r="V513" s="1333"/>
      <c r="W513" s="1333"/>
      <c r="X513" s="1333"/>
      <c r="Y513" s="1333"/>
      <c r="Z513" s="1333"/>
      <c r="AA513" s="1333"/>
      <c r="AB513" s="1333"/>
      <c r="AC513" s="1333"/>
      <c r="AD513" s="1333"/>
      <c r="AE513" s="1333"/>
      <c r="AF513" s="1333"/>
      <c r="AG513" s="1333"/>
      <c r="AH513" s="1333"/>
      <c r="AI513" s="1333"/>
      <c r="AJ513" s="1333"/>
    </row>
    <row r="514" spans="1:36" x14ac:dyDescent="0.25">
      <c r="A514" s="1331"/>
      <c r="B514" s="1284"/>
      <c r="C514" s="2062"/>
      <c r="D514" s="2062"/>
      <c r="E514" s="2062"/>
      <c r="F514" s="1297"/>
      <c r="G514" s="1297"/>
      <c r="H514" s="1333"/>
      <c r="I514" s="1333"/>
      <c r="J514" s="1401"/>
      <c r="K514" s="1333"/>
      <c r="L514" s="1333"/>
      <c r="M514" s="1333"/>
      <c r="N514" s="1333"/>
      <c r="O514" s="1333"/>
      <c r="P514" s="1333"/>
      <c r="Q514" s="1333"/>
      <c r="R514" s="1333"/>
      <c r="S514" s="1333"/>
      <c r="T514" s="1333"/>
      <c r="U514" s="1333"/>
      <c r="V514" s="1333"/>
      <c r="W514" s="1333"/>
      <c r="X514" s="1333"/>
      <c r="Y514" s="1333"/>
      <c r="Z514" s="1333"/>
      <c r="AA514" s="1333"/>
      <c r="AB514" s="1333"/>
      <c r="AC514" s="1333"/>
      <c r="AD514" s="1333"/>
      <c r="AE514" s="1333"/>
      <c r="AF514" s="1333"/>
      <c r="AG514" s="1333"/>
      <c r="AH514" s="1333"/>
      <c r="AI514" s="1333"/>
      <c r="AJ514" s="1333"/>
    </row>
    <row r="515" spans="1:36" x14ac:dyDescent="0.25">
      <c r="A515" s="1331"/>
      <c r="B515" s="1284"/>
      <c r="C515" s="2062"/>
      <c r="D515" s="2062"/>
      <c r="E515" s="2062"/>
      <c r="F515" s="1297"/>
      <c r="G515" s="1297"/>
      <c r="H515" s="1333"/>
      <c r="I515" s="1333"/>
      <c r="J515" s="1401"/>
      <c r="K515" s="1333"/>
      <c r="L515" s="1333"/>
      <c r="M515" s="1333"/>
      <c r="N515" s="1333"/>
      <c r="O515" s="1333"/>
      <c r="P515" s="1333"/>
      <c r="Q515" s="1333"/>
      <c r="R515" s="1333"/>
      <c r="S515" s="1333"/>
      <c r="T515" s="1333"/>
      <c r="U515" s="1333"/>
      <c r="V515" s="1333"/>
      <c r="W515" s="1333"/>
      <c r="X515" s="1333"/>
      <c r="Y515" s="1333"/>
      <c r="Z515" s="1333"/>
      <c r="AA515" s="1333"/>
      <c r="AB515" s="1333"/>
      <c r="AC515" s="1333"/>
      <c r="AD515" s="1333"/>
      <c r="AE515" s="1333"/>
      <c r="AF515" s="1333"/>
      <c r="AG515" s="1333"/>
      <c r="AH515" s="1333"/>
      <c r="AI515" s="1333"/>
      <c r="AJ515" s="1333"/>
    </row>
    <row r="516" spans="1:36" x14ac:dyDescent="0.25">
      <c r="A516" s="1331"/>
      <c r="B516" s="1284"/>
      <c r="C516" s="2062"/>
      <c r="D516" s="2062"/>
      <c r="E516" s="2062"/>
      <c r="F516" s="1297"/>
      <c r="G516" s="1297"/>
      <c r="H516" s="1333"/>
      <c r="I516" s="1333"/>
      <c r="J516" s="1401"/>
      <c r="K516" s="1333"/>
      <c r="L516" s="1333"/>
      <c r="M516" s="1333"/>
      <c r="N516" s="1333"/>
      <c r="O516" s="1333"/>
      <c r="P516" s="1333"/>
      <c r="Q516" s="1333"/>
      <c r="R516" s="1333"/>
      <c r="S516" s="1333"/>
      <c r="T516" s="1333"/>
      <c r="U516" s="1333"/>
      <c r="V516" s="1333"/>
      <c r="W516" s="1333"/>
      <c r="X516" s="1333"/>
      <c r="Y516" s="1333"/>
      <c r="Z516" s="1333"/>
      <c r="AA516" s="1333"/>
      <c r="AB516" s="1333"/>
      <c r="AC516" s="1333"/>
      <c r="AD516" s="1333"/>
      <c r="AE516" s="1333"/>
      <c r="AF516" s="1333"/>
      <c r="AG516" s="1333"/>
      <c r="AH516" s="1333"/>
      <c r="AI516" s="1333"/>
      <c r="AJ516" s="1333"/>
    </row>
    <row r="517" spans="1:36" x14ac:dyDescent="0.25">
      <c r="A517" s="1331"/>
      <c r="B517" s="1284"/>
      <c r="C517" s="2062"/>
      <c r="D517" s="2062"/>
      <c r="E517" s="2062"/>
      <c r="F517" s="1297"/>
      <c r="G517" s="1297"/>
      <c r="H517" s="1333"/>
      <c r="I517" s="1333"/>
      <c r="J517" s="1401"/>
      <c r="K517" s="1333"/>
      <c r="L517" s="1333"/>
      <c r="M517" s="1333"/>
      <c r="N517" s="1333"/>
      <c r="O517" s="1333"/>
      <c r="P517" s="1333"/>
      <c r="Q517" s="1333"/>
      <c r="R517" s="1333"/>
      <c r="S517" s="1333"/>
      <c r="T517" s="1333"/>
      <c r="U517" s="1333"/>
      <c r="V517" s="1333"/>
      <c r="W517" s="1333"/>
      <c r="X517" s="1333"/>
      <c r="Y517" s="1333"/>
      <c r="Z517" s="1333"/>
      <c r="AA517" s="1333"/>
      <c r="AB517" s="1333"/>
      <c r="AC517" s="1333"/>
      <c r="AD517" s="1333"/>
      <c r="AE517" s="1333"/>
      <c r="AF517" s="1333"/>
      <c r="AG517" s="1333"/>
      <c r="AH517" s="1333"/>
      <c r="AI517" s="1333"/>
      <c r="AJ517" s="1333"/>
    </row>
    <row r="518" spans="1:36" x14ac:dyDescent="0.25">
      <c r="A518" s="1331"/>
      <c r="B518" s="1284"/>
      <c r="C518" s="2062"/>
      <c r="D518" s="2062"/>
      <c r="E518" s="2062"/>
      <c r="F518" s="1297"/>
      <c r="G518" s="1297"/>
      <c r="H518" s="1333"/>
      <c r="I518" s="1333"/>
      <c r="J518" s="1401"/>
      <c r="K518" s="1333"/>
      <c r="L518" s="1333"/>
      <c r="M518" s="1333"/>
      <c r="N518" s="1333"/>
      <c r="O518" s="1333"/>
      <c r="P518" s="1333"/>
      <c r="Q518" s="1333"/>
      <c r="R518" s="1333"/>
      <c r="S518" s="1333"/>
      <c r="T518" s="1333"/>
      <c r="U518" s="1333"/>
      <c r="V518" s="1333"/>
      <c r="W518" s="1333"/>
      <c r="X518" s="1333"/>
      <c r="Y518" s="1333"/>
      <c r="Z518" s="1333"/>
      <c r="AA518" s="1333"/>
      <c r="AB518" s="1333"/>
      <c r="AC518" s="1333"/>
      <c r="AD518" s="1333"/>
      <c r="AE518" s="1333"/>
      <c r="AF518" s="1333"/>
      <c r="AG518" s="1333"/>
      <c r="AH518" s="1333"/>
      <c r="AI518" s="1333"/>
      <c r="AJ518" s="1333"/>
    </row>
    <row r="519" spans="1:36" x14ac:dyDescent="0.25">
      <c r="A519" s="1331"/>
      <c r="B519" s="1284"/>
      <c r="C519" s="2062"/>
      <c r="D519" s="2062"/>
      <c r="E519" s="2062"/>
      <c r="F519" s="1297"/>
      <c r="G519" s="1297"/>
      <c r="H519" s="1333"/>
      <c r="I519" s="1333"/>
      <c r="J519" s="1401"/>
      <c r="K519" s="1333"/>
      <c r="L519" s="1333"/>
      <c r="M519" s="1333"/>
      <c r="N519" s="1333"/>
      <c r="O519" s="1333"/>
      <c r="P519" s="1333"/>
      <c r="Q519" s="1333"/>
      <c r="R519" s="1333"/>
      <c r="S519" s="1333"/>
      <c r="T519" s="1333"/>
      <c r="U519" s="1333"/>
      <c r="V519" s="1333"/>
      <c r="W519" s="1333"/>
      <c r="X519" s="1333"/>
      <c r="Y519" s="1333"/>
      <c r="Z519" s="1333"/>
      <c r="AA519" s="1333"/>
      <c r="AB519" s="1333"/>
      <c r="AC519" s="1333"/>
      <c r="AD519" s="1333"/>
      <c r="AE519" s="1333"/>
      <c r="AF519" s="1333"/>
      <c r="AG519" s="1333"/>
      <c r="AH519" s="1333"/>
      <c r="AI519" s="1333"/>
      <c r="AJ519" s="1333"/>
    </row>
    <row r="520" spans="1:36" x14ac:dyDescent="0.25">
      <c r="A520" s="1331"/>
      <c r="B520" s="1284"/>
      <c r="C520" s="2062"/>
      <c r="D520" s="2062"/>
      <c r="E520" s="2062"/>
      <c r="F520" s="1297"/>
      <c r="G520" s="1297"/>
      <c r="H520" s="1333"/>
      <c r="I520" s="1333"/>
      <c r="J520" s="1401"/>
      <c r="K520" s="1333"/>
      <c r="L520" s="1333"/>
      <c r="M520" s="1333"/>
      <c r="N520" s="1333"/>
      <c r="O520" s="1333"/>
      <c r="P520" s="1333"/>
      <c r="Q520" s="1333"/>
      <c r="R520" s="1333"/>
      <c r="S520" s="1333"/>
      <c r="T520" s="1333"/>
      <c r="U520" s="1333"/>
      <c r="V520" s="1333"/>
      <c r="W520" s="1333"/>
      <c r="X520" s="1333"/>
      <c r="Y520" s="1333"/>
      <c r="Z520" s="1333"/>
      <c r="AA520" s="1333"/>
      <c r="AB520" s="1333"/>
      <c r="AC520" s="1333"/>
      <c r="AD520" s="1333"/>
      <c r="AE520" s="1333"/>
      <c r="AF520" s="1333"/>
      <c r="AG520" s="1333"/>
      <c r="AH520" s="1333"/>
      <c r="AI520" s="1333"/>
      <c r="AJ520" s="1333"/>
    </row>
    <row r="521" spans="1:36" x14ac:dyDescent="0.25">
      <c r="A521" s="1331"/>
      <c r="B521" s="1284"/>
      <c r="C521" s="2062"/>
      <c r="D521" s="2062"/>
      <c r="E521" s="2062"/>
      <c r="F521" s="1297"/>
      <c r="G521" s="1297"/>
      <c r="H521" s="1333"/>
      <c r="I521" s="1333"/>
      <c r="J521" s="1401"/>
      <c r="K521" s="1333"/>
      <c r="L521" s="1333"/>
      <c r="M521" s="1333"/>
      <c r="N521" s="1333"/>
      <c r="O521" s="1333"/>
      <c r="P521" s="1333"/>
      <c r="Q521" s="1333"/>
      <c r="R521" s="1333"/>
      <c r="S521" s="1333"/>
      <c r="T521" s="1333"/>
      <c r="U521" s="1333"/>
      <c r="V521" s="1333"/>
      <c r="W521" s="1333"/>
      <c r="X521" s="1333"/>
      <c r="Y521" s="1333"/>
      <c r="Z521" s="1333"/>
      <c r="AA521" s="1333"/>
      <c r="AB521" s="1333"/>
      <c r="AC521" s="1333"/>
      <c r="AD521" s="1333"/>
      <c r="AE521" s="1333"/>
      <c r="AF521" s="1333"/>
      <c r="AG521" s="1333"/>
      <c r="AH521" s="1333"/>
      <c r="AI521" s="1333"/>
      <c r="AJ521" s="1333"/>
    </row>
    <row r="522" spans="1:36" x14ac:dyDescent="0.25">
      <c r="A522" s="1331"/>
      <c r="B522" s="1284"/>
      <c r="C522" s="2062"/>
      <c r="D522" s="2062"/>
      <c r="E522" s="2062"/>
      <c r="F522" s="1297"/>
      <c r="G522" s="1297"/>
      <c r="H522" s="1333"/>
      <c r="I522" s="1333"/>
      <c r="J522" s="1401"/>
      <c r="K522" s="1333"/>
      <c r="L522" s="1333"/>
      <c r="M522" s="1333"/>
      <c r="N522" s="1333"/>
      <c r="O522" s="1333"/>
      <c r="P522" s="1333"/>
      <c r="Q522" s="1333"/>
      <c r="R522" s="1333"/>
      <c r="S522" s="1333"/>
      <c r="T522" s="1333"/>
      <c r="U522" s="1333"/>
      <c r="V522" s="1333"/>
      <c r="W522" s="1333"/>
      <c r="X522" s="1333"/>
      <c r="Y522" s="1333"/>
      <c r="Z522" s="1333"/>
      <c r="AA522" s="1333"/>
      <c r="AB522" s="1333"/>
      <c r="AC522" s="1333"/>
      <c r="AD522" s="1333"/>
      <c r="AE522" s="1333"/>
      <c r="AF522" s="1333"/>
      <c r="AG522" s="1333"/>
      <c r="AH522" s="1333"/>
      <c r="AI522" s="1333"/>
      <c r="AJ522" s="1333"/>
    </row>
    <row r="523" spans="1:36" x14ac:dyDescent="0.25">
      <c r="A523" s="1331"/>
      <c r="B523" s="1284"/>
      <c r="C523" s="2062"/>
      <c r="D523" s="2062"/>
      <c r="E523" s="2062"/>
      <c r="F523" s="1297"/>
      <c r="G523" s="1297"/>
      <c r="H523" s="1333"/>
      <c r="I523" s="1333"/>
      <c r="J523" s="1401"/>
      <c r="K523" s="1333"/>
      <c r="L523" s="1333"/>
      <c r="M523" s="1333"/>
      <c r="N523" s="1333"/>
      <c r="O523" s="1333"/>
      <c r="P523" s="1333"/>
      <c r="Q523" s="1333"/>
      <c r="R523" s="1333"/>
      <c r="S523" s="1333"/>
      <c r="T523" s="1333"/>
      <c r="U523" s="1333"/>
      <c r="V523" s="1333"/>
      <c r="W523" s="1333"/>
      <c r="X523" s="1333"/>
      <c r="Y523" s="1333"/>
      <c r="Z523" s="1333"/>
      <c r="AA523" s="1333"/>
      <c r="AB523" s="1333"/>
      <c r="AC523" s="1333"/>
      <c r="AD523" s="1333"/>
      <c r="AE523" s="1333"/>
      <c r="AF523" s="1333"/>
      <c r="AG523" s="1333"/>
      <c r="AH523" s="1333"/>
      <c r="AI523" s="1333"/>
      <c r="AJ523" s="1333"/>
    </row>
    <row r="524" spans="1:36" x14ac:dyDescent="0.25">
      <c r="A524" s="1331"/>
      <c r="B524" s="1284"/>
      <c r="C524" s="2062"/>
      <c r="D524" s="2062"/>
      <c r="E524" s="2062"/>
      <c r="F524" s="1297"/>
      <c r="G524" s="1297"/>
      <c r="H524" s="1333"/>
      <c r="I524" s="1333"/>
      <c r="J524" s="1401"/>
      <c r="K524" s="1333"/>
      <c r="L524" s="1333"/>
      <c r="M524" s="1333"/>
      <c r="N524" s="1333"/>
      <c r="O524" s="1333"/>
      <c r="P524" s="1333"/>
      <c r="Q524" s="1333"/>
      <c r="R524" s="1333"/>
      <c r="S524" s="1333"/>
      <c r="T524" s="1333"/>
      <c r="U524" s="1333"/>
      <c r="V524" s="1333"/>
      <c r="W524" s="1333"/>
      <c r="X524" s="1333"/>
      <c r="Y524" s="1333"/>
      <c r="Z524" s="1333"/>
      <c r="AA524" s="1333"/>
      <c r="AB524" s="1333"/>
      <c r="AC524" s="1333"/>
      <c r="AD524" s="1333"/>
      <c r="AE524" s="1333"/>
      <c r="AF524" s="1333"/>
      <c r="AG524" s="1333"/>
      <c r="AH524" s="1333"/>
      <c r="AI524" s="1333"/>
      <c r="AJ524" s="1333"/>
    </row>
    <row r="525" spans="1:36" x14ac:dyDescent="0.25">
      <c r="A525" s="1331"/>
      <c r="B525" s="1284"/>
      <c r="C525" s="2062"/>
      <c r="D525" s="2062"/>
      <c r="E525" s="2062"/>
      <c r="F525" s="1297"/>
      <c r="G525" s="1297"/>
      <c r="H525" s="1333"/>
      <c r="I525" s="1333"/>
      <c r="J525" s="1401"/>
      <c r="K525" s="1333"/>
      <c r="L525" s="1333"/>
      <c r="M525" s="1333"/>
      <c r="N525" s="1333"/>
      <c r="O525" s="1333"/>
      <c r="P525" s="1333"/>
      <c r="Q525" s="1333"/>
      <c r="R525" s="1333"/>
      <c r="S525" s="1333"/>
      <c r="T525" s="1333"/>
      <c r="U525" s="1333"/>
      <c r="V525" s="1333"/>
      <c r="W525" s="1333"/>
      <c r="X525" s="1333"/>
      <c r="Y525" s="1333"/>
      <c r="Z525" s="1333"/>
      <c r="AA525" s="1333"/>
      <c r="AB525" s="1333"/>
      <c r="AC525" s="1333"/>
      <c r="AD525" s="1333"/>
      <c r="AE525" s="1333"/>
      <c r="AF525" s="1333"/>
      <c r="AG525" s="1333"/>
      <c r="AH525" s="1333"/>
      <c r="AI525" s="1333"/>
      <c r="AJ525" s="1333"/>
    </row>
    <row r="526" spans="1:36" x14ac:dyDescent="0.25">
      <c r="A526" s="1331"/>
      <c r="B526" s="1284"/>
      <c r="C526" s="2062"/>
      <c r="D526" s="2062"/>
      <c r="E526" s="2062"/>
      <c r="F526" s="1297"/>
      <c r="G526" s="1297"/>
      <c r="H526" s="1333"/>
      <c r="I526" s="1333"/>
      <c r="J526" s="1401"/>
      <c r="K526" s="1333"/>
      <c r="L526" s="1333"/>
      <c r="M526" s="1333"/>
      <c r="N526" s="1333"/>
      <c r="O526" s="1333"/>
      <c r="P526" s="1333"/>
      <c r="Q526" s="1333"/>
      <c r="R526" s="1333"/>
      <c r="S526" s="1333"/>
      <c r="T526" s="1333"/>
      <c r="U526" s="1333"/>
      <c r="V526" s="1333"/>
      <c r="W526" s="1333"/>
      <c r="X526" s="1333"/>
      <c r="Y526" s="1333"/>
      <c r="Z526" s="1333"/>
      <c r="AA526" s="1333"/>
      <c r="AB526" s="1333"/>
      <c r="AC526" s="1333"/>
      <c r="AD526" s="1333"/>
      <c r="AE526" s="1333"/>
      <c r="AF526" s="1333"/>
      <c r="AG526" s="1333"/>
      <c r="AH526" s="1333"/>
      <c r="AI526" s="1333"/>
      <c r="AJ526" s="1333"/>
    </row>
    <row r="527" spans="1:36" x14ac:dyDescent="0.25">
      <c r="A527" s="1331"/>
      <c r="B527" s="1284"/>
      <c r="C527" s="2062"/>
      <c r="D527" s="2062"/>
      <c r="E527" s="2062"/>
      <c r="F527" s="1297"/>
      <c r="G527" s="1297"/>
      <c r="H527" s="1333"/>
      <c r="I527" s="1333"/>
      <c r="J527" s="1401"/>
      <c r="K527" s="1333"/>
      <c r="L527" s="1333"/>
      <c r="M527" s="1333"/>
      <c r="N527" s="1333"/>
      <c r="O527" s="1333"/>
      <c r="P527" s="1333"/>
      <c r="Q527" s="1333"/>
      <c r="R527" s="1333"/>
      <c r="S527" s="1333"/>
      <c r="T527" s="1333"/>
      <c r="U527" s="1333"/>
      <c r="V527" s="1333"/>
      <c r="W527" s="1333"/>
      <c r="X527" s="1333"/>
      <c r="Y527" s="1333"/>
      <c r="Z527" s="1333"/>
      <c r="AA527" s="1333"/>
      <c r="AB527" s="1333"/>
      <c r="AC527" s="1333"/>
      <c r="AD527" s="1333"/>
      <c r="AE527" s="1333"/>
      <c r="AF527" s="1333"/>
      <c r="AG527" s="1333"/>
      <c r="AH527" s="1333"/>
      <c r="AI527" s="1333"/>
      <c r="AJ527" s="1333"/>
    </row>
    <row r="528" spans="1:36" x14ac:dyDescent="0.25">
      <c r="A528" s="1331"/>
      <c r="B528" s="1284"/>
      <c r="C528" s="2062"/>
      <c r="D528" s="2062"/>
      <c r="E528" s="2062"/>
      <c r="F528" s="1297"/>
      <c r="G528" s="1297"/>
      <c r="H528" s="1333"/>
      <c r="I528" s="1333"/>
      <c r="J528" s="1401"/>
      <c r="K528" s="1333"/>
      <c r="L528" s="1333"/>
      <c r="M528" s="1333"/>
      <c r="N528" s="1333"/>
      <c r="O528" s="1333"/>
      <c r="P528" s="1333"/>
      <c r="Q528" s="1333"/>
      <c r="R528" s="1333"/>
      <c r="S528" s="1333"/>
      <c r="T528" s="1333"/>
      <c r="U528" s="1333"/>
      <c r="V528" s="1333"/>
      <c r="W528" s="1333"/>
      <c r="X528" s="1333"/>
      <c r="Y528" s="1333"/>
      <c r="Z528" s="1333"/>
      <c r="AA528" s="1333"/>
      <c r="AB528" s="1333"/>
      <c r="AC528" s="1333"/>
      <c r="AD528" s="1333"/>
      <c r="AE528" s="1333"/>
      <c r="AF528" s="1333"/>
      <c r="AG528" s="1333"/>
      <c r="AH528" s="1333"/>
      <c r="AI528" s="1333"/>
      <c r="AJ528" s="1333"/>
    </row>
    <row r="529" spans="1:36" x14ac:dyDescent="0.25">
      <c r="A529" s="1331"/>
      <c r="B529" s="1284"/>
      <c r="C529" s="2062"/>
      <c r="D529" s="2062"/>
      <c r="E529" s="2062"/>
      <c r="F529" s="1297"/>
      <c r="G529" s="1297"/>
      <c r="H529" s="1333"/>
      <c r="I529" s="1333"/>
      <c r="J529" s="1401"/>
      <c r="K529" s="1333"/>
      <c r="L529" s="1333"/>
      <c r="M529" s="1333"/>
      <c r="N529" s="1333"/>
      <c r="O529" s="1333"/>
      <c r="P529" s="1333"/>
      <c r="Q529" s="1333"/>
      <c r="R529" s="1333"/>
      <c r="S529" s="1333"/>
      <c r="T529" s="1333"/>
      <c r="U529" s="1333"/>
      <c r="V529" s="1333"/>
      <c r="W529" s="1333"/>
      <c r="X529" s="1333"/>
      <c r="Y529" s="1333"/>
      <c r="Z529" s="1333"/>
      <c r="AA529" s="1333"/>
      <c r="AB529" s="1333"/>
      <c r="AC529" s="1333"/>
      <c r="AD529" s="1333"/>
      <c r="AE529" s="1333"/>
      <c r="AF529" s="1333"/>
      <c r="AG529" s="1333"/>
      <c r="AH529" s="1333"/>
      <c r="AI529" s="1333"/>
      <c r="AJ529" s="1333"/>
    </row>
    <row r="530" spans="1:36" x14ac:dyDescent="0.25">
      <c r="A530" s="1331"/>
      <c r="B530" s="1284"/>
      <c r="C530" s="2062"/>
      <c r="D530" s="2062"/>
      <c r="E530" s="2062"/>
      <c r="F530" s="1297"/>
      <c r="G530" s="1297"/>
      <c r="H530" s="1333"/>
      <c r="I530" s="1333"/>
      <c r="J530" s="1401"/>
      <c r="K530" s="1333"/>
      <c r="L530" s="1333"/>
      <c r="M530" s="1333"/>
      <c r="N530" s="1333"/>
      <c r="O530" s="1333"/>
      <c r="P530" s="1333"/>
      <c r="Q530" s="1333"/>
      <c r="R530" s="1333"/>
      <c r="S530" s="1333"/>
      <c r="T530" s="1333"/>
      <c r="U530" s="1333"/>
      <c r="V530" s="1333"/>
      <c r="W530" s="1333"/>
      <c r="X530" s="1333"/>
      <c r="Y530" s="1333"/>
      <c r="Z530" s="1333"/>
      <c r="AA530" s="1333"/>
      <c r="AB530" s="1333"/>
      <c r="AC530" s="1333"/>
      <c r="AD530" s="1333"/>
      <c r="AE530" s="1333"/>
      <c r="AF530" s="1333"/>
      <c r="AG530" s="1333"/>
      <c r="AH530" s="1333"/>
      <c r="AI530" s="1333"/>
      <c r="AJ530" s="1333"/>
    </row>
    <row r="531" spans="1:36" x14ac:dyDescent="0.25">
      <c r="A531" s="1331"/>
      <c r="B531" s="1284"/>
      <c r="C531" s="2062"/>
      <c r="D531" s="2062"/>
      <c r="E531" s="2062"/>
      <c r="F531" s="1297"/>
      <c r="G531" s="1297"/>
      <c r="H531" s="1333"/>
      <c r="I531" s="1333"/>
      <c r="J531" s="1401"/>
      <c r="K531" s="1333"/>
      <c r="L531" s="1333"/>
      <c r="M531" s="1333"/>
      <c r="N531" s="1333"/>
      <c r="O531" s="1333"/>
      <c r="P531" s="1333"/>
      <c r="Q531" s="1333"/>
      <c r="R531" s="1333"/>
      <c r="S531" s="1333"/>
      <c r="T531" s="1333"/>
      <c r="U531" s="1333"/>
      <c r="V531" s="1333"/>
      <c r="W531" s="1333"/>
      <c r="X531" s="1333"/>
      <c r="Y531" s="1333"/>
      <c r="Z531" s="1333"/>
      <c r="AA531" s="1333"/>
      <c r="AB531" s="1333"/>
      <c r="AC531" s="1333"/>
      <c r="AD531" s="1333"/>
      <c r="AE531" s="1333"/>
      <c r="AF531" s="1333"/>
      <c r="AG531" s="1333"/>
      <c r="AH531" s="1333"/>
      <c r="AI531" s="1333"/>
      <c r="AJ531" s="1333"/>
    </row>
    <row r="532" spans="1:36" x14ac:dyDescent="0.25">
      <c r="A532" s="1331"/>
      <c r="B532" s="1284"/>
      <c r="C532" s="2062"/>
      <c r="D532" s="2062"/>
      <c r="E532" s="2062"/>
      <c r="F532" s="1297"/>
      <c r="G532" s="1297"/>
      <c r="H532" s="1333"/>
      <c r="I532" s="1333"/>
      <c r="J532" s="1401"/>
      <c r="K532" s="1333"/>
      <c r="L532" s="1333"/>
      <c r="M532" s="1333"/>
      <c r="N532" s="1333"/>
      <c r="O532" s="1333"/>
      <c r="P532" s="1333"/>
      <c r="Q532" s="1333"/>
      <c r="R532" s="1333"/>
      <c r="S532" s="1333"/>
      <c r="T532" s="1333"/>
      <c r="U532" s="1333"/>
      <c r="V532" s="1333"/>
      <c r="W532" s="1333"/>
      <c r="X532" s="1333"/>
      <c r="Y532" s="1333"/>
      <c r="Z532" s="1333"/>
      <c r="AA532" s="1333"/>
      <c r="AB532" s="1333"/>
      <c r="AC532" s="1333"/>
      <c r="AD532" s="1333"/>
      <c r="AE532" s="1333"/>
      <c r="AF532" s="1333"/>
      <c r="AG532" s="1333"/>
      <c r="AH532" s="1333"/>
      <c r="AI532" s="1333"/>
      <c r="AJ532" s="1333"/>
    </row>
    <row r="533" spans="1:36" x14ac:dyDescent="0.25">
      <c r="A533" s="1331"/>
      <c r="B533" s="1284"/>
      <c r="C533" s="2062"/>
      <c r="D533" s="2062"/>
      <c r="E533" s="2062"/>
      <c r="F533" s="1297"/>
      <c r="G533" s="1297"/>
      <c r="H533" s="1333"/>
      <c r="I533" s="1333"/>
      <c r="J533" s="1401"/>
      <c r="K533" s="1333"/>
      <c r="L533" s="1333"/>
      <c r="M533" s="1333"/>
      <c r="N533" s="1333"/>
      <c r="O533" s="1333"/>
      <c r="P533" s="1333"/>
      <c r="Q533" s="1333"/>
      <c r="R533" s="1333"/>
      <c r="S533" s="1333"/>
      <c r="T533" s="1333"/>
      <c r="U533" s="1333"/>
      <c r="V533" s="1333"/>
      <c r="W533" s="1333"/>
      <c r="X533" s="1333"/>
      <c r="Y533" s="1333"/>
      <c r="Z533" s="1333"/>
      <c r="AA533" s="1333"/>
      <c r="AB533" s="1333"/>
      <c r="AC533" s="1333"/>
      <c r="AD533" s="1333"/>
      <c r="AE533" s="1333"/>
      <c r="AF533" s="1333"/>
      <c r="AG533" s="1333"/>
      <c r="AH533" s="1333"/>
      <c r="AI533" s="1333"/>
      <c r="AJ533" s="1333"/>
    </row>
    <row r="534" spans="1:36" x14ac:dyDescent="0.25">
      <c r="A534" s="1331"/>
      <c r="B534" s="1284"/>
      <c r="C534" s="2062"/>
      <c r="D534" s="2062"/>
      <c r="E534" s="2062"/>
      <c r="F534" s="1297"/>
      <c r="G534" s="1297"/>
      <c r="H534" s="1333"/>
      <c r="I534" s="1333"/>
      <c r="J534" s="1401"/>
      <c r="K534" s="1333"/>
      <c r="L534" s="1333"/>
      <c r="M534" s="1333"/>
      <c r="N534" s="1333"/>
      <c r="O534" s="1333"/>
      <c r="P534" s="1333"/>
      <c r="Q534" s="1333"/>
      <c r="R534" s="1333"/>
      <c r="S534" s="1333"/>
      <c r="T534" s="1333"/>
      <c r="U534" s="1333"/>
      <c r="V534" s="1333"/>
      <c r="W534" s="1333"/>
      <c r="X534" s="1333"/>
      <c r="Y534" s="1333"/>
      <c r="Z534" s="1333"/>
      <c r="AA534" s="1333"/>
      <c r="AB534" s="1333"/>
      <c r="AC534" s="1333"/>
      <c r="AD534" s="1333"/>
      <c r="AE534" s="1333"/>
      <c r="AF534" s="1333"/>
      <c r="AG534" s="1333"/>
      <c r="AH534" s="1333"/>
      <c r="AI534" s="1333"/>
      <c r="AJ534" s="1333"/>
    </row>
    <row r="535" spans="1:36" x14ac:dyDescent="0.25">
      <c r="A535" s="1331"/>
      <c r="B535" s="1284"/>
      <c r="C535" s="2062"/>
      <c r="D535" s="2062"/>
      <c r="E535" s="2062"/>
      <c r="F535" s="1297"/>
      <c r="G535" s="1297"/>
      <c r="H535" s="1333"/>
      <c r="I535" s="1333"/>
      <c r="J535" s="1401"/>
      <c r="K535" s="1333"/>
      <c r="L535" s="1333"/>
      <c r="M535" s="1333"/>
      <c r="N535" s="1333"/>
      <c r="O535" s="1333"/>
      <c r="P535" s="1333"/>
      <c r="Q535" s="1333"/>
      <c r="R535" s="1333"/>
      <c r="S535" s="1333"/>
      <c r="T535" s="1333"/>
      <c r="U535" s="1333"/>
      <c r="V535" s="1333"/>
      <c r="W535" s="1333"/>
      <c r="X535" s="1333"/>
      <c r="Y535" s="1333"/>
      <c r="Z535" s="1333"/>
      <c r="AA535" s="1333"/>
      <c r="AB535" s="1333"/>
      <c r="AC535" s="1333"/>
      <c r="AD535" s="1333"/>
      <c r="AE535" s="1333"/>
      <c r="AF535" s="1333"/>
      <c r="AG535" s="1333"/>
      <c r="AH535" s="1333"/>
      <c r="AI535" s="1333"/>
      <c r="AJ535" s="1333"/>
    </row>
    <row r="536" spans="1:36" x14ac:dyDescent="0.25">
      <c r="A536" s="1331"/>
      <c r="B536" s="1284"/>
      <c r="C536" s="2062"/>
      <c r="D536" s="2062"/>
      <c r="E536" s="2062"/>
      <c r="F536" s="1297"/>
      <c r="G536" s="1297"/>
      <c r="H536" s="1333"/>
      <c r="I536" s="1333"/>
      <c r="J536" s="1401"/>
      <c r="K536" s="1333"/>
      <c r="L536" s="1333"/>
      <c r="M536" s="1333"/>
      <c r="N536" s="1333"/>
      <c r="O536" s="1333"/>
      <c r="P536" s="1333"/>
      <c r="Q536" s="1333"/>
      <c r="R536" s="1333"/>
      <c r="S536" s="1333"/>
      <c r="T536" s="1333"/>
      <c r="U536" s="1333"/>
      <c r="V536" s="1333"/>
      <c r="W536" s="1333"/>
      <c r="X536" s="1333"/>
      <c r="Y536" s="1333"/>
      <c r="Z536" s="1333"/>
      <c r="AA536" s="1333"/>
      <c r="AB536" s="1333"/>
      <c r="AC536" s="1333"/>
      <c r="AD536" s="1333"/>
      <c r="AE536" s="1333"/>
      <c r="AF536" s="1333"/>
      <c r="AG536" s="1333"/>
      <c r="AH536" s="1333"/>
      <c r="AI536" s="1333"/>
      <c r="AJ536" s="1333"/>
    </row>
    <row r="537" spans="1:36" x14ac:dyDescent="0.25">
      <c r="A537" s="1331"/>
      <c r="B537" s="1284"/>
      <c r="C537" s="2062"/>
      <c r="D537" s="2062"/>
      <c r="E537" s="2062"/>
      <c r="F537" s="1297"/>
      <c r="G537" s="1297"/>
      <c r="H537" s="1333"/>
      <c r="I537" s="1333"/>
      <c r="J537" s="1401"/>
      <c r="K537" s="1333"/>
      <c r="L537" s="1333"/>
      <c r="M537" s="1333"/>
      <c r="N537" s="1333"/>
      <c r="O537" s="1333"/>
      <c r="P537" s="1333"/>
      <c r="Q537" s="1333"/>
      <c r="R537" s="1333"/>
      <c r="S537" s="1333"/>
      <c r="T537" s="1333"/>
      <c r="U537" s="1333"/>
      <c r="V537" s="1333"/>
      <c r="W537" s="1333"/>
      <c r="X537" s="1333"/>
      <c r="Y537" s="1333"/>
      <c r="Z537" s="1333"/>
      <c r="AA537" s="1333"/>
      <c r="AB537" s="1333"/>
      <c r="AC537" s="1333"/>
      <c r="AD537" s="1333"/>
      <c r="AE537" s="1333"/>
      <c r="AF537" s="1333"/>
      <c r="AG537" s="1333"/>
      <c r="AH537" s="1333"/>
      <c r="AI537" s="1333"/>
      <c r="AJ537" s="1333"/>
    </row>
    <row r="538" spans="1:36" x14ac:dyDescent="0.25">
      <c r="A538" s="1331"/>
      <c r="B538" s="1284"/>
      <c r="C538" s="2062"/>
      <c r="D538" s="2062"/>
      <c r="E538" s="2062"/>
      <c r="F538" s="1297"/>
      <c r="G538" s="1297"/>
      <c r="H538" s="1333"/>
      <c r="I538" s="1333"/>
      <c r="J538" s="1401"/>
      <c r="K538" s="1333"/>
      <c r="L538" s="1333"/>
      <c r="M538" s="1333"/>
      <c r="N538" s="1333"/>
      <c r="O538" s="1333"/>
      <c r="P538" s="1333"/>
      <c r="Q538" s="1333"/>
      <c r="R538" s="1333"/>
      <c r="S538" s="1333"/>
      <c r="T538" s="1333"/>
      <c r="U538" s="1333"/>
      <c r="V538" s="1333"/>
      <c r="W538" s="1333"/>
      <c r="X538" s="1333"/>
      <c r="Y538" s="1333"/>
      <c r="Z538" s="1333"/>
      <c r="AA538" s="1333"/>
      <c r="AB538" s="1333"/>
      <c r="AC538" s="1333"/>
      <c r="AD538" s="1333"/>
      <c r="AE538" s="1333"/>
      <c r="AF538" s="1333"/>
      <c r="AG538" s="1333"/>
      <c r="AH538" s="1333"/>
      <c r="AI538" s="1333"/>
      <c r="AJ538" s="1333"/>
    </row>
    <row r="539" spans="1:36" x14ac:dyDescent="0.25">
      <c r="A539" s="1331"/>
      <c r="B539" s="1284"/>
      <c r="C539" s="1291"/>
      <c r="D539" s="1284"/>
      <c r="E539" s="1291"/>
      <c r="F539" s="1291"/>
      <c r="G539" s="1284"/>
      <c r="H539" s="1291"/>
      <c r="I539" s="1333"/>
      <c r="J539" s="1401"/>
      <c r="K539" s="1333"/>
      <c r="L539" s="1333"/>
      <c r="M539" s="1333"/>
      <c r="N539" s="1333"/>
      <c r="O539" s="1333"/>
      <c r="P539" s="1333"/>
      <c r="Q539" s="1333"/>
      <c r="R539" s="1333"/>
      <c r="S539" s="1333"/>
      <c r="T539" s="1333"/>
      <c r="U539" s="1333"/>
      <c r="V539" s="1333"/>
      <c r="W539" s="1333"/>
      <c r="X539" s="1333"/>
      <c r="Y539" s="1333"/>
      <c r="Z539" s="1333"/>
      <c r="AA539" s="1333"/>
      <c r="AB539" s="1333"/>
      <c r="AC539" s="1333"/>
      <c r="AD539" s="1333"/>
      <c r="AE539" s="1333"/>
      <c r="AF539" s="1333"/>
      <c r="AG539" s="1333"/>
      <c r="AH539" s="1333"/>
      <c r="AI539" s="1333"/>
      <c r="AJ539" s="1333"/>
    </row>
    <row r="540" spans="1:36" x14ac:dyDescent="0.25">
      <c r="A540" s="1331"/>
      <c r="B540" s="1284"/>
      <c r="C540" s="1291"/>
      <c r="D540" s="1284"/>
      <c r="E540" s="1291"/>
      <c r="F540" s="1291"/>
      <c r="G540" s="1284"/>
      <c r="H540" s="1291"/>
      <c r="I540" s="1333"/>
      <c r="J540" s="1401"/>
      <c r="K540" s="1333"/>
      <c r="L540" s="1333"/>
      <c r="M540" s="1333"/>
      <c r="N540" s="1333"/>
      <c r="O540" s="1333"/>
      <c r="P540" s="1333"/>
      <c r="Q540" s="1333"/>
      <c r="R540" s="1333"/>
      <c r="S540" s="1333"/>
      <c r="T540" s="1333"/>
      <c r="U540" s="1333"/>
      <c r="V540" s="1333"/>
      <c r="W540" s="1333"/>
      <c r="X540" s="1333"/>
      <c r="Y540" s="1333"/>
      <c r="Z540" s="1333"/>
      <c r="AA540" s="1333"/>
      <c r="AB540" s="1333"/>
      <c r="AC540" s="1333"/>
      <c r="AD540" s="1333"/>
      <c r="AE540" s="1333"/>
      <c r="AF540" s="1333"/>
      <c r="AG540" s="1333"/>
      <c r="AH540" s="1333"/>
      <c r="AI540" s="1333"/>
      <c r="AJ540" s="1333"/>
    </row>
    <row r="541" spans="1:36" x14ac:dyDescent="0.25">
      <c r="A541" s="1331"/>
      <c r="B541" s="1284"/>
      <c r="C541" s="1291"/>
      <c r="D541" s="1284"/>
      <c r="E541" s="1291"/>
      <c r="F541" s="1291"/>
      <c r="G541" s="1284"/>
      <c r="H541" s="1291"/>
      <c r="I541" s="1333"/>
      <c r="J541" s="1401"/>
      <c r="K541" s="1333"/>
      <c r="L541" s="1333"/>
      <c r="M541" s="1333"/>
      <c r="N541" s="1333"/>
      <c r="O541" s="1333"/>
      <c r="P541" s="1333"/>
      <c r="Q541" s="1333"/>
      <c r="R541" s="1333"/>
      <c r="S541" s="1333"/>
      <c r="T541" s="1333"/>
      <c r="U541" s="1333"/>
      <c r="V541" s="1333"/>
      <c r="W541" s="1333"/>
      <c r="X541" s="1333"/>
      <c r="Y541" s="1333"/>
      <c r="Z541" s="1333"/>
      <c r="AA541" s="1333"/>
      <c r="AB541" s="1333"/>
      <c r="AC541" s="1333"/>
      <c r="AD541" s="1333"/>
      <c r="AE541" s="1333"/>
      <c r="AF541" s="1333"/>
      <c r="AG541" s="1333"/>
      <c r="AH541" s="1333"/>
      <c r="AI541" s="1333"/>
      <c r="AJ541" s="1333"/>
    </row>
    <row r="542" spans="1:36" x14ac:dyDescent="0.25">
      <c r="A542" s="1331"/>
      <c r="B542" s="1284"/>
      <c r="C542" s="1291"/>
      <c r="D542" s="1284"/>
      <c r="E542" s="1291"/>
      <c r="F542" s="1291"/>
      <c r="G542" s="1284"/>
      <c r="H542" s="1291"/>
      <c r="I542" s="1333"/>
      <c r="J542" s="1401"/>
      <c r="K542" s="1333"/>
      <c r="L542" s="1333"/>
      <c r="M542" s="1333"/>
      <c r="N542" s="1333"/>
      <c r="O542" s="1333"/>
      <c r="P542" s="1333"/>
      <c r="Q542" s="1333"/>
      <c r="R542" s="1333"/>
      <c r="S542" s="1333"/>
      <c r="T542" s="1333"/>
      <c r="U542" s="1333"/>
      <c r="V542" s="1333"/>
      <c r="W542" s="1333"/>
      <c r="X542" s="1333"/>
      <c r="Y542" s="1333"/>
      <c r="Z542" s="1333"/>
      <c r="AA542" s="1333"/>
      <c r="AB542" s="1333"/>
      <c r="AC542" s="1333"/>
      <c r="AD542" s="1333"/>
      <c r="AE542" s="1333"/>
      <c r="AF542" s="1333"/>
      <c r="AG542" s="1333"/>
      <c r="AH542" s="1333"/>
      <c r="AI542" s="1333"/>
      <c r="AJ542" s="1333"/>
    </row>
    <row r="543" spans="1:36" x14ac:dyDescent="0.25">
      <c r="A543" s="1331"/>
      <c r="B543" s="1284"/>
      <c r="C543" s="1291"/>
      <c r="D543" s="1284"/>
      <c r="E543" s="1291"/>
      <c r="F543" s="1291"/>
      <c r="G543" s="1284"/>
      <c r="H543" s="1291"/>
      <c r="I543" s="1333"/>
      <c r="J543" s="1401"/>
      <c r="K543" s="1333"/>
      <c r="L543" s="1333"/>
      <c r="M543" s="1333"/>
      <c r="N543" s="1333"/>
      <c r="O543" s="1333"/>
      <c r="P543" s="1333"/>
      <c r="Q543" s="1333"/>
      <c r="R543" s="1333"/>
      <c r="S543" s="1333"/>
      <c r="T543" s="1333"/>
      <c r="U543" s="1333"/>
      <c r="V543" s="1333"/>
      <c r="W543" s="1333"/>
      <c r="X543" s="1333"/>
      <c r="Y543" s="1333"/>
      <c r="Z543" s="1333"/>
      <c r="AA543" s="1333"/>
      <c r="AB543" s="1333"/>
      <c r="AC543" s="1333"/>
      <c r="AD543" s="1333"/>
      <c r="AE543" s="1333"/>
      <c r="AF543" s="1333"/>
      <c r="AG543" s="1333"/>
      <c r="AH543" s="1333"/>
      <c r="AI543" s="1333"/>
      <c r="AJ543" s="1333"/>
    </row>
    <row r="544" spans="1:36" x14ac:dyDescent="0.25">
      <c r="A544" s="1331"/>
      <c r="B544" s="1284"/>
      <c r="C544" s="1291"/>
      <c r="D544" s="1284"/>
      <c r="E544" s="1291"/>
      <c r="F544" s="1291"/>
      <c r="G544" s="1284"/>
      <c r="H544" s="1291"/>
      <c r="I544" s="1333"/>
      <c r="J544" s="1401"/>
      <c r="K544" s="1333"/>
      <c r="L544" s="1333"/>
      <c r="M544" s="1333"/>
      <c r="N544" s="1333"/>
      <c r="O544" s="1333"/>
      <c r="P544" s="1333"/>
      <c r="Q544" s="1333"/>
      <c r="R544" s="1333"/>
      <c r="S544" s="1333"/>
      <c r="T544" s="1333"/>
      <c r="U544" s="1333"/>
      <c r="V544" s="1333"/>
      <c r="W544" s="1333"/>
      <c r="X544" s="1333"/>
      <c r="Y544" s="1333"/>
      <c r="Z544" s="1333"/>
      <c r="AA544" s="1333"/>
      <c r="AB544" s="1333"/>
      <c r="AC544" s="1333"/>
      <c r="AD544" s="1333"/>
      <c r="AE544" s="1333"/>
      <c r="AF544" s="1333"/>
      <c r="AG544" s="1333"/>
      <c r="AH544" s="1333"/>
      <c r="AI544" s="1333"/>
      <c r="AJ544" s="1333"/>
    </row>
    <row r="545" spans="1:36" x14ac:dyDescent="0.25">
      <c r="A545" s="1331"/>
      <c r="B545" s="1284"/>
      <c r="C545" s="1291"/>
      <c r="D545" s="1284"/>
      <c r="E545" s="1291"/>
      <c r="F545" s="1291"/>
      <c r="G545" s="1284"/>
      <c r="H545" s="1291"/>
      <c r="I545" s="1333"/>
      <c r="J545" s="1401"/>
      <c r="K545" s="1333"/>
      <c r="L545" s="1333"/>
      <c r="M545" s="1333"/>
      <c r="N545" s="1333"/>
      <c r="O545" s="1333"/>
      <c r="P545" s="1333"/>
      <c r="Q545" s="1333"/>
      <c r="R545" s="1333"/>
      <c r="S545" s="1333"/>
      <c r="T545" s="1333"/>
      <c r="U545" s="1333"/>
      <c r="V545" s="1333"/>
      <c r="W545" s="1333"/>
      <c r="X545" s="1333"/>
      <c r="Y545" s="1333"/>
      <c r="Z545" s="1333"/>
      <c r="AA545" s="1333"/>
      <c r="AB545" s="1333"/>
      <c r="AC545" s="1333"/>
      <c r="AD545" s="1333"/>
      <c r="AE545" s="1333"/>
      <c r="AF545" s="1333"/>
      <c r="AG545" s="1333"/>
      <c r="AH545" s="1333"/>
      <c r="AI545" s="1333"/>
      <c r="AJ545" s="1333"/>
    </row>
    <row r="546" spans="1:36" x14ac:dyDescent="0.25">
      <c r="A546" s="1331"/>
      <c r="B546" s="1284"/>
      <c r="C546" s="1291"/>
      <c r="D546" s="1284"/>
      <c r="E546" s="1291"/>
      <c r="F546" s="1291"/>
      <c r="G546" s="1284"/>
      <c r="H546" s="1291"/>
      <c r="I546" s="1333"/>
      <c r="J546" s="1401"/>
      <c r="K546" s="1333"/>
      <c r="L546" s="1333"/>
      <c r="M546" s="1333"/>
      <c r="N546" s="1333"/>
      <c r="O546" s="1333"/>
      <c r="P546" s="1333"/>
      <c r="Q546" s="1333"/>
      <c r="R546" s="1333"/>
      <c r="S546" s="1333"/>
      <c r="T546" s="1333"/>
      <c r="U546" s="1333"/>
      <c r="V546" s="1333"/>
      <c r="W546" s="1333"/>
      <c r="X546" s="1333"/>
      <c r="Y546" s="1333"/>
      <c r="Z546" s="1333"/>
      <c r="AA546" s="1333"/>
      <c r="AB546" s="1333"/>
      <c r="AC546" s="1333"/>
      <c r="AD546" s="1333"/>
      <c r="AE546" s="1333"/>
      <c r="AF546" s="1333"/>
      <c r="AG546" s="1333"/>
      <c r="AH546" s="1333"/>
      <c r="AI546" s="1333"/>
      <c r="AJ546" s="1333"/>
    </row>
    <row r="547" spans="1:36" x14ac:dyDescent="0.25">
      <c r="A547" s="1331"/>
      <c r="B547" s="1284"/>
      <c r="C547" s="1291"/>
      <c r="D547" s="1284"/>
      <c r="E547" s="1291"/>
      <c r="F547" s="1291"/>
      <c r="G547" s="1284"/>
      <c r="H547" s="1291"/>
      <c r="I547" s="1333"/>
      <c r="J547" s="1401"/>
      <c r="K547" s="1333"/>
      <c r="L547" s="1333"/>
      <c r="M547" s="1333"/>
      <c r="N547" s="1333"/>
      <c r="O547" s="1333"/>
      <c r="P547" s="1333"/>
      <c r="Q547" s="1333"/>
      <c r="R547" s="1333"/>
      <c r="S547" s="1333"/>
      <c r="T547" s="1333"/>
      <c r="U547" s="1333"/>
      <c r="V547" s="1333"/>
      <c r="W547" s="1333"/>
      <c r="X547" s="1333"/>
      <c r="Y547" s="1333"/>
      <c r="Z547" s="1333"/>
      <c r="AA547" s="1333"/>
      <c r="AB547" s="1333"/>
      <c r="AC547" s="1333"/>
      <c r="AD547" s="1333"/>
      <c r="AE547" s="1333"/>
      <c r="AF547" s="1333"/>
      <c r="AG547" s="1333"/>
      <c r="AH547" s="1333"/>
      <c r="AI547" s="1333"/>
      <c r="AJ547" s="1333"/>
    </row>
    <row r="548" spans="1:36" x14ac:dyDescent="0.25">
      <c r="C548" s="171"/>
      <c r="D548" s="1"/>
      <c r="E548" s="171"/>
      <c r="F548" s="171"/>
      <c r="G548" s="1"/>
      <c r="H548" s="171"/>
      <c r="J548" s="231"/>
    </row>
    <row r="549" spans="1:36" x14ac:dyDescent="0.25">
      <c r="C549" s="171"/>
      <c r="D549" s="1"/>
      <c r="E549" s="171"/>
      <c r="F549" s="171"/>
      <c r="G549" s="1"/>
      <c r="H549" s="171"/>
      <c r="J549" s="231"/>
    </row>
    <row r="550" spans="1:36" x14ac:dyDescent="0.25">
      <c r="C550" s="171"/>
      <c r="D550" s="1"/>
      <c r="E550" s="171"/>
      <c r="F550" s="171"/>
      <c r="G550" s="1"/>
      <c r="H550" s="171"/>
      <c r="J550" s="231"/>
    </row>
    <row r="551" spans="1:36" x14ac:dyDescent="0.25">
      <c r="C551" s="171"/>
      <c r="D551" s="1"/>
      <c r="E551" s="171"/>
      <c r="F551" s="171"/>
      <c r="G551" s="1"/>
      <c r="H551" s="171"/>
      <c r="J551" s="231"/>
    </row>
    <row r="552" spans="1:36" x14ac:dyDescent="0.25">
      <c r="C552" s="171"/>
      <c r="D552" s="1"/>
      <c r="E552" s="171"/>
      <c r="F552" s="171"/>
      <c r="G552" s="1"/>
      <c r="H552" s="171"/>
      <c r="J552" s="231"/>
    </row>
    <row r="553" spans="1:36" x14ac:dyDescent="0.25">
      <c r="C553" s="171"/>
      <c r="D553" s="1"/>
      <c r="E553" s="171"/>
      <c r="F553" s="171"/>
      <c r="G553" s="1"/>
      <c r="H553" s="171"/>
      <c r="J553" s="231"/>
    </row>
    <row r="554" spans="1:36" x14ac:dyDescent="0.25">
      <c r="C554" s="171"/>
      <c r="D554" s="1"/>
      <c r="E554" s="171"/>
      <c r="F554" s="171"/>
      <c r="G554" s="1"/>
      <c r="H554" s="171"/>
      <c r="J554" s="231"/>
    </row>
    <row r="555" spans="1:36" x14ac:dyDescent="0.25">
      <c r="C555" s="171"/>
      <c r="D555" s="1"/>
      <c r="E555" s="171"/>
      <c r="F555" s="171"/>
      <c r="G555" s="1"/>
      <c r="H555" s="171"/>
      <c r="J555" s="231"/>
    </row>
    <row r="556" spans="1:36" x14ac:dyDescent="0.25">
      <c r="C556" s="171"/>
      <c r="D556" s="1"/>
      <c r="E556" s="171"/>
      <c r="F556" s="171"/>
      <c r="G556" s="1"/>
      <c r="H556" s="171"/>
      <c r="J556" s="231"/>
    </row>
    <row r="557" spans="1:36" x14ac:dyDescent="0.25">
      <c r="C557" s="171"/>
      <c r="D557" s="1"/>
      <c r="E557" s="171"/>
      <c r="F557" s="171"/>
      <c r="G557" s="1"/>
      <c r="H557" s="171"/>
      <c r="J557" s="231"/>
    </row>
    <row r="558" spans="1:36" x14ac:dyDescent="0.25">
      <c r="C558" s="171"/>
      <c r="D558" s="1"/>
      <c r="E558" s="171"/>
      <c r="F558" s="171"/>
      <c r="G558" s="1"/>
      <c r="H558" s="171"/>
      <c r="J558" s="231"/>
    </row>
    <row r="559" spans="1:36" x14ac:dyDescent="0.25">
      <c r="C559" s="171"/>
      <c r="D559" s="1"/>
      <c r="E559" s="171"/>
      <c r="F559" s="171"/>
      <c r="G559" s="1"/>
      <c r="H559" s="171"/>
      <c r="J559" s="231"/>
    </row>
    <row r="560" spans="1:36" x14ac:dyDescent="0.25">
      <c r="C560" s="171"/>
      <c r="D560" s="1"/>
      <c r="E560" s="171"/>
      <c r="F560" s="171"/>
      <c r="G560" s="1"/>
      <c r="H560" s="171"/>
      <c r="J560" s="231"/>
    </row>
    <row r="561" spans="3:10" x14ac:dyDescent="0.25">
      <c r="C561" s="171"/>
      <c r="D561" s="1"/>
      <c r="E561" s="171"/>
      <c r="F561" s="171"/>
      <c r="G561" s="1"/>
      <c r="H561" s="171"/>
      <c r="J561" s="231"/>
    </row>
    <row r="562" spans="3:10" x14ac:dyDescent="0.25">
      <c r="C562" s="171"/>
      <c r="D562" s="1"/>
      <c r="E562" s="171"/>
      <c r="F562" s="171"/>
      <c r="G562" s="1"/>
      <c r="H562" s="171"/>
      <c r="J562" s="231"/>
    </row>
    <row r="563" spans="3:10" x14ac:dyDescent="0.25">
      <c r="C563" s="171"/>
      <c r="D563" s="1"/>
      <c r="E563" s="171"/>
      <c r="F563" s="171"/>
      <c r="G563" s="1"/>
      <c r="H563" s="171"/>
      <c r="J563" s="231"/>
    </row>
    <row r="564" spans="3:10" x14ac:dyDescent="0.25">
      <c r="C564" s="171"/>
      <c r="D564" s="1"/>
      <c r="E564" s="171"/>
      <c r="F564" s="171"/>
      <c r="G564" s="1"/>
      <c r="H564" s="171"/>
      <c r="J564" s="231"/>
    </row>
    <row r="565" spans="3:10" x14ac:dyDescent="0.25">
      <c r="C565" s="171"/>
      <c r="D565" s="1"/>
      <c r="E565" s="171"/>
      <c r="F565" s="171"/>
      <c r="G565" s="1"/>
      <c r="H565" s="171"/>
      <c r="J565" s="231"/>
    </row>
    <row r="566" spans="3:10" x14ac:dyDescent="0.25">
      <c r="C566" s="171"/>
      <c r="D566" s="1"/>
      <c r="E566" s="171"/>
      <c r="F566" s="171"/>
      <c r="G566" s="1"/>
      <c r="H566" s="171"/>
      <c r="J566" s="231"/>
    </row>
    <row r="567" spans="3:10" x14ac:dyDescent="0.25">
      <c r="C567" s="171"/>
      <c r="D567" s="1"/>
      <c r="E567" s="171"/>
      <c r="F567" s="171"/>
      <c r="G567" s="1"/>
      <c r="H567" s="171"/>
      <c r="J567" s="231"/>
    </row>
    <row r="568" spans="3:10" x14ac:dyDescent="0.25">
      <c r="C568" s="171"/>
      <c r="D568" s="1"/>
      <c r="E568" s="171"/>
      <c r="F568" s="171"/>
      <c r="G568" s="1"/>
      <c r="H568" s="171"/>
      <c r="J568" s="231"/>
    </row>
    <row r="569" spans="3:10" x14ac:dyDescent="0.25">
      <c r="C569" s="171"/>
      <c r="D569" s="1"/>
      <c r="E569" s="171"/>
      <c r="F569" s="171"/>
      <c r="G569" s="1"/>
      <c r="H569" s="171"/>
      <c r="J569" s="231"/>
    </row>
    <row r="570" spans="3:10" x14ac:dyDescent="0.25">
      <c r="C570" s="171"/>
      <c r="D570" s="1"/>
      <c r="E570" s="171"/>
      <c r="F570" s="171"/>
      <c r="G570" s="1"/>
      <c r="H570" s="171"/>
      <c r="J570" s="231"/>
    </row>
    <row r="571" spans="3:10" x14ac:dyDescent="0.25">
      <c r="C571" s="171"/>
      <c r="D571" s="1"/>
      <c r="E571" s="171"/>
      <c r="F571" s="171"/>
      <c r="G571" s="1"/>
      <c r="H571" s="171"/>
      <c r="J571" s="231"/>
    </row>
    <row r="572" spans="3:10" x14ac:dyDescent="0.25">
      <c r="C572" s="171"/>
      <c r="D572" s="1"/>
      <c r="E572" s="171"/>
      <c r="F572" s="171"/>
      <c r="G572" s="1"/>
      <c r="H572" s="171"/>
      <c r="J572" s="231"/>
    </row>
    <row r="573" spans="3:10" x14ac:dyDescent="0.25">
      <c r="C573" s="171"/>
      <c r="D573" s="1"/>
      <c r="E573" s="171"/>
      <c r="F573" s="171"/>
      <c r="G573" s="1"/>
      <c r="H573" s="171"/>
      <c r="J573" s="231"/>
    </row>
    <row r="574" spans="3:10" x14ac:dyDescent="0.25">
      <c r="C574" s="171"/>
      <c r="D574" s="1"/>
      <c r="E574" s="171"/>
      <c r="F574" s="171"/>
      <c r="G574" s="1"/>
      <c r="H574" s="171"/>
      <c r="J574" s="231"/>
    </row>
    <row r="575" spans="3:10" x14ac:dyDescent="0.25">
      <c r="C575" s="171"/>
      <c r="D575" s="1"/>
      <c r="E575" s="171"/>
      <c r="F575" s="171"/>
      <c r="G575" s="1"/>
      <c r="H575" s="171"/>
      <c r="J575" s="231"/>
    </row>
    <row r="576" spans="3:10" x14ac:dyDescent="0.25">
      <c r="C576" s="171"/>
      <c r="D576" s="1"/>
      <c r="E576" s="171"/>
      <c r="F576" s="171"/>
      <c r="G576" s="1"/>
      <c r="H576" s="171"/>
      <c r="J576" s="231"/>
    </row>
    <row r="577" spans="3:10" x14ac:dyDescent="0.25">
      <c r="C577" s="171"/>
      <c r="D577" s="1"/>
      <c r="E577" s="171"/>
      <c r="F577" s="171"/>
      <c r="G577" s="1"/>
      <c r="H577" s="171"/>
      <c r="J577" s="231"/>
    </row>
    <row r="578" spans="3:10" x14ac:dyDescent="0.25">
      <c r="C578" s="171"/>
      <c r="D578" s="1"/>
      <c r="E578" s="171"/>
      <c r="F578" s="171"/>
      <c r="G578" s="1"/>
      <c r="H578" s="171"/>
      <c r="J578" s="231"/>
    </row>
    <row r="579" spans="3:10" x14ac:dyDescent="0.25">
      <c r="C579" s="171"/>
      <c r="D579" s="1"/>
      <c r="E579" s="171"/>
      <c r="F579" s="171"/>
      <c r="G579" s="1"/>
      <c r="H579" s="171"/>
      <c r="J579" s="231"/>
    </row>
    <row r="580" spans="3:10" x14ac:dyDescent="0.25">
      <c r="C580" s="171"/>
      <c r="D580" s="1"/>
      <c r="E580" s="171"/>
      <c r="F580" s="171"/>
      <c r="G580" s="1"/>
      <c r="H580" s="171"/>
      <c r="J580" s="231"/>
    </row>
    <row r="581" spans="3:10" x14ac:dyDescent="0.25">
      <c r="C581" s="171"/>
      <c r="D581" s="1"/>
      <c r="E581" s="171"/>
      <c r="F581" s="171"/>
      <c r="G581" s="1"/>
      <c r="H581" s="171"/>
      <c r="J581" s="231"/>
    </row>
    <row r="582" spans="3:10" x14ac:dyDescent="0.25">
      <c r="C582" s="171"/>
      <c r="D582" s="1"/>
      <c r="E582" s="171"/>
      <c r="F582" s="171"/>
      <c r="G582" s="1"/>
      <c r="H582" s="171"/>
      <c r="J582" s="231"/>
    </row>
    <row r="583" spans="3:10" x14ac:dyDescent="0.25">
      <c r="C583" s="171"/>
      <c r="D583" s="1"/>
      <c r="E583" s="171"/>
      <c r="F583" s="171"/>
      <c r="G583" s="1"/>
      <c r="H583" s="171"/>
      <c r="J583" s="231"/>
    </row>
    <row r="584" spans="3:10" x14ac:dyDescent="0.25">
      <c r="C584" s="171"/>
      <c r="D584" s="1"/>
      <c r="E584" s="171"/>
      <c r="F584" s="171"/>
      <c r="G584" s="1"/>
      <c r="H584" s="171"/>
      <c r="J584" s="231"/>
    </row>
    <row r="585" spans="3:10" x14ac:dyDescent="0.25">
      <c r="C585" s="171"/>
      <c r="D585" s="1"/>
      <c r="E585" s="171"/>
      <c r="F585" s="171"/>
      <c r="G585" s="1"/>
      <c r="H585" s="171"/>
      <c r="J585" s="231"/>
    </row>
    <row r="586" spans="3:10" x14ac:dyDescent="0.25">
      <c r="J586" s="231"/>
    </row>
    <row r="587" spans="3:10" x14ac:dyDescent="0.25">
      <c r="J587" s="231"/>
    </row>
    <row r="588" spans="3:10" x14ac:dyDescent="0.25">
      <c r="J588" s="231"/>
    </row>
    <row r="589" spans="3:10" x14ac:dyDescent="0.25">
      <c r="J589" s="231"/>
    </row>
    <row r="590" spans="3:10" x14ac:dyDescent="0.25">
      <c r="J590" s="231"/>
    </row>
    <row r="591" spans="3:10" x14ac:dyDescent="0.25">
      <c r="J591" s="231"/>
    </row>
    <row r="592" spans="3:10" x14ac:dyDescent="0.25">
      <c r="J592" s="231"/>
    </row>
    <row r="593" spans="10:10" x14ac:dyDescent="0.25">
      <c r="J593" s="231"/>
    </row>
    <row r="594" spans="10:10" x14ac:dyDescent="0.25">
      <c r="J594" s="231"/>
    </row>
    <row r="595" spans="10:10" x14ac:dyDescent="0.25">
      <c r="J595" s="231"/>
    </row>
    <row r="596" spans="10:10" x14ac:dyDescent="0.25">
      <c r="J596" s="231"/>
    </row>
    <row r="597" spans="10:10" x14ac:dyDescent="0.25">
      <c r="J597" s="231"/>
    </row>
    <row r="598" spans="10:10" x14ac:dyDescent="0.25">
      <c r="J598" s="231"/>
    </row>
    <row r="599" spans="10:10" x14ac:dyDescent="0.25">
      <c r="J599" s="231"/>
    </row>
    <row r="600" spans="10:10" x14ac:dyDescent="0.25">
      <c r="J600" s="231"/>
    </row>
    <row r="601" spans="10:10" x14ac:dyDescent="0.25">
      <c r="J601" s="231"/>
    </row>
    <row r="602" spans="10:10" x14ac:dyDescent="0.25">
      <c r="J602" s="231"/>
    </row>
    <row r="603" spans="10:10" x14ac:dyDescent="0.25">
      <c r="J603" s="231"/>
    </row>
    <row r="604" spans="10:10" x14ac:dyDescent="0.25">
      <c r="J604" s="231"/>
    </row>
    <row r="605" spans="10:10" x14ac:dyDescent="0.25">
      <c r="J605" s="231"/>
    </row>
    <row r="606" spans="10:10" x14ac:dyDescent="0.25">
      <c r="J606" s="231"/>
    </row>
    <row r="607" spans="10:10" x14ac:dyDescent="0.25">
      <c r="J607" s="231"/>
    </row>
    <row r="608" spans="10:10" x14ac:dyDescent="0.25">
      <c r="J608" s="231"/>
    </row>
    <row r="609" spans="10:10" x14ac:dyDescent="0.25">
      <c r="J609" s="231"/>
    </row>
    <row r="610" spans="10:10" x14ac:dyDescent="0.25">
      <c r="J610" s="231"/>
    </row>
    <row r="611" spans="10:10" x14ac:dyDescent="0.25">
      <c r="J611" s="229"/>
    </row>
    <row r="612" spans="10:10" x14ac:dyDescent="0.25">
      <c r="J612" s="229"/>
    </row>
    <row r="613" spans="10:10" x14ac:dyDescent="0.25">
      <c r="J613" s="229"/>
    </row>
    <row r="614" spans="10:10" x14ac:dyDescent="0.25">
      <c r="J614" s="229"/>
    </row>
    <row r="615" spans="10:10" x14ac:dyDescent="0.25">
      <c r="J615" s="229"/>
    </row>
    <row r="616" spans="10:10" x14ac:dyDescent="0.25">
      <c r="J616" s="229"/>
    </row>
    <row r="617" spans="10:10" x14ac:dyDescent="0.25">
      <c r="J617" s="229"/>
    </row>
    <row r="618" spans="10:10" x14ac:dyDescent="0.25">
      <c r="J618" s="229"/>
    </row>
    <row r="619" spans="10:10" x14ac:dyDescent="0.25">
      <c r="J619" s="229"/>
    </row>
    <row r="620" spans="10:10" x14ac:dyDescent="0.25">
      <c r="J620" s="229"/>
    </row>
    <row r="621" spans="10:10" x14ac:dyDescent="0.25">
      <c r="J621" s="229"/>
    </row>
    <row r="622" spans="10:10" x14ac:dyDescent="0.25">
      <c r="J622" s="229"/>
    </row>
    <row r="623" spans="10:10" x14ac:dyDescent="0.25">
      <c r="J623" s="229"/>
    </row>
    <row r="624" spans="10:10" x14ac:dyDescent="0.25">
      <c r="J624" s="229"/>
    </row>
    <row r="625" spans="10:10" x14ac:dyDescent="0.25">
      <c r="J625" s="229"/>
    </row>
    <row r="626" spans="10:10" x14ac:dyDescent="0.25">
      <c r="J626" s="229"/>
    </row>
    <row r="627" spans="10:10" x14ac:dyDescent="0.25">
      <c r="J627" s="229"/>
    </row>
    <row r="628" spans="10:10" x14ac:dyDescent="0.25">
      <c r="J628" s="229"/>
    </row>
    <row r="629" spans="10:10" x14ac:dyDescent="0.25">
      <c r="J629" s="229"/>
    </row>
    <row r="630" spans="10:10" x14ac:dyDescent="0.25">
      <c r="J630" s="229"/>
    </row>
    <row r="631" spans="10:10" x14ac:dyDescent="0.25">
      <c r="J631" s="229"/>
    </row>
    <row r="632" spans="10:10" x14ac:dyDescent="0.25">
      <c r="J632" s="229"/>
    </row>
    <row r="633" spans="10:10" x14ac:dyDescent="0.25">
      <c r="J633" s="229"/>
    </row>
    <row r="634" spans="10:10" x14ac:dyDescent="0.25">
      <c r="J634" s="229"/>
    </row>
    <row r="635" spans="10:10" x14ac:dyDescent="0.25">
      <c r="J635" s="229"/>
    </row>
    <row r="636" spans="10:10" x14ac:dyDescent="0.25">
      <c r="J636" s="229"/>
    </row>
    <row r="637" spans="10:10" x14ac:dyDescent="0.25">
      <c r="J637" s="229"/>
    </row>
    <row r="638" spans="10:10" x14ac:dyDescent="0.25">
      <c r="J638" s="229"/>
    </row>
    <row r="639" spans="10:10" x14ac:dyDescent="0.25">
      <c r="J639" s="229"/>
    </row>
    <row r="640" spans="10:10" x14ac:dyDescent="0.25">
      <c r="J640" s="229"/>
    </row>
    <row r="641" spans="10:10" x14ac:dyDescent="0.25">
      <c r="J641" s="229"/>
    </row>
    <row r="642" spans="10:10" x14ac:dyDescent="0.25">
      <c r="J642" s="229"/>
    </row>
    <row r="643" spans="10:10" x14ac:dyDescent="0.25">
      <c r="J643" s="229"/>
    </row>
    <row r="644" spans="10:10" x14ac:dyDescent="0.25">
      <c r="J644" s="229"/>
    </row>
    <row r="645" spans="10:10" x14ac:dyDescent="0.25">
      <c r="J645" s="229"/>
    </row>
    <row r="646" spans="10:10" x14ac:dyDescent="0.25">
      <c r="J646" s="229"/>
    </row>
    <row r="647" spans="10:10" x14ac:dyDescent="0.25">
      <c r="J647" s="229"/>
    </row>
    <row r="648" spans="10:10" x14ac:dyDescent="0.25">
      <c r="J648" s="229"/>
    </row>
    <row r="649" spans="10:10" x14ac:dyDescent="0.25">
      <c r="J649" s="229"/>
    </row>
    <row r="650" spans="10:10" x14ac:dyDescent="0.25">
      <c r="J650" s="229"/>
    </row>
    <row r="651" spans="10:10" x14ac:dyDescent="0.25">
      <c r="J651" s="229"/>
    </row>
    <row r="652" spans="10:10" x14ac:dyDescent="0.25">
      <c r="J652" s="229"/>
    </row>
    <row r="653" spans="10:10" x14ac:dyDescent="0.25">
      <c r="J653" s="229"/>
    </row>
    <row r="654" spans="10:10" x14ac:dyDescent="0.25">
      <c r="J654" s="229"/>
    </row>
    <row r="655" spans="10:10" x14ac:dyDescent="0.25">
      <c r="J655" s="229"/>
    </row>
    <row r="656" spans="10:10" x14ac:dyDescent="0.25">
      <c r="J656" s="229"/>
    </row>
    <row r="657" spans="10:10" x14ac:dyDescent="0.25">
      <c r="J657" s="229"/>
    </row>
    <row r="658" spans="10:10" x14ac:dyDescent="0.25">
      <c r="J658" s="229"/>
    </row>
    <row r="659" spans="10:10" x14ac:dyDescent="0.25">
      <c r="J659" s="229"/>
    </row>
    <row r="660" spans="10:10" x14ac:dyDescent="0.25">
      <c r="J660" s="229"/>
    </row>
    <row r="661" spans="10:10" x14ac:dyDescent="0.25">
      <c r="J661" s="229"/>
    </row>
    <row r="662" spans="10:10" x14ac:dyDescent="0.25">
      <c r="J662" s="229"/>
    </row>
    <row r="663" spans="10:10" x14ac:dyDescent="0.25">
      <c r="J663" s="229"/>
    </row>
    <row r="664" spans="10:10" x14ac:dyDescent="0.25">
      <c r="J664" s="229"/>
    </row>
    <row r="665" spans="10:10" x14ac:dyDescent="0.25">
      <c r="J665" s="229"/>
    </row>
    <row r="666" spans="10:10" x14ac:dyDescent="0.25">
      <c r="J666" s="229"/>
    </row>
    <row r="667" spans="10:10" x14ac:dyDescent="0.25">
      <c r="J667" s="229"/>
    </row>
    <row r="668" spans="10:10" x14ac:dyDescent="0.25">
      <c r="J668" s="229"/>
    </row>
    <row r="669" spans="10:10" x14ac:dyDescent="0.25">
      <c r="J669" s="229"/>
    </row>
    <row r="670" spans="10:10" x14ac:dyDescent="0.25">
      <c r="J670" s="229"/>
    </row>
    <row r="671" spans="10:10" x14ac:dyDescent="0.25">
      <c r="J671" s="229"/>
    </row>
    <row r="672" spans="10:10" x14ac:dyDescent="0.25">
      <c r="J672" s="229"/>
    </row>
    <row r="673" spans="10:10" x14ac:dyDescent="0.25">
      <c r="J673" s="229"/>
    </row>
    <row r="674" spans="10:10" x14ac:dyDescent="0.25">
      <c r="J674" s="229"/>
    </row>
    <row r="675" spans="10:10" x14ac:dyDescent="0.25">
      <c r="J675" s="229"/>
    </row>
    <row r="676" spans="10:10" x14ac:dyDescent="0.25">
      <c r="J676" s="229"/>
    </row>
    <row r="677" spans="10:10" x14ac:dyDescent="0.25">
      <c r="J677" s="229"/>
    </row>
  </sheetData>
  <sheetProtection formatCells="0" formatRows="0" selectLockedCells="1"/>
  <mergeCells count="86">
    <mergeCell ref="C537:E537"/>
    <mergeCell ref="C538:E538"/>
    <mergeCell ref="D199:D220"/>
    <mergeCell ref="D155:D178"/>
    <mergeCell ref="C532:E532"/>
    <mergeCell ref="C533:E533"/>
    <mergeCell ref="C534:E534"/>
    <mergeCell ref="C535:E535"/>
    <mergeCell ref="C536:E536"/>
    <mergeCell ref="C527:E527"/>
    <mergeCell ref="C528:E528"/>
    <mergeCell ref="C529:E529"/>
    <mergeCell ref="C530:E530"/>
    <mergeCell ref="C531:E531"/>
    <mergeCell ref="C522:E522"/>
    <mergeCell ref="C523:E523"/>
    <mergeCell ref="C524:E524"/>
    <mergeCell ref="C525:E525"/>
    <mergeCell ref="C526:E526"/>
    <mergeCell ref="C517:E517"/>
    <mergeCell ref="C518:E518"/>
    <mergeCell ref="C519:E519"/>
    <mergeCell ref="C520:E520"/>
    <mergeCell ref="C521:E521"/>
    <mergeCell ref="C512:E512"/>
    <mergeCell ref="C513:E513"/>
    <mergeCell ref="C514:E514"/>
    <mergeCell ref="C515:E515"/>
    <mergeCell ref="C516:E516"/>
    <mergeCell ref="C507:E507"/>
    <mergeCell ref="C508:E508"/>
    <mergeCell ref="C509:E509"/>
    <mergeCell ref="C510:E510"/>
    <mergeCell ref="C511:E511"/>
    <mergeCell ref="C502:E502"/>
    <mergeCell ref="C503:E503"/>
    <mergeCell ref="C504:E504"/>
    <mergeCell ref="C505:E505"/>
    <mergeCell ref="C506:E506"/>
    <mergeCell ref="C497:E497"/>
    <mergeCell ref="C498:E498"/>
    <mergeCell ref="C499:E499"/>
    <mergeCell ref="C500:E500"/>
    <mergeCell ref="C501:E501"/>
    <mergeCell ref="C492:E492"/>
    <mergeCell ref="C493:E493"/>
    <mergeCell ref="C494:E494"/>
    <mergeCell ref="C495:E495"/>
    <mergeCell ref="C496:E496"/>
    <mergeCell ref="C488:E488"/>
    <mergeCell ref="C489:E489"/>
    <mergeCell ref="C490:E490"/>
    <mergeCell ref="C491:E491"/>
    <mergeCell ref="C482:E482"/>
    <mergeCell ref="C483:E483"/>
    <mergeCell ref="C484:E484"/>
    <mergeCell ref="C485:E485"/>
    <mergeCell ref="C486:E486"/>
    <mergeCell ref="C477:E477"/>
    <mergeCell ref="C478:E478"/>
    <mergeCell ref="C479:E479"/>
    <mergeCell ref="C480:E480"/>
    <mergeCell ref="C481:E481"/>
    <mergeCell ref="C472:E472"/>
    <mergeCell ref="C473:E473"/>
    <mergeCell ref="C474:E474"/>
    <mergeCell ref="C475:E475"/>
    <mergeCell ref="C476:E476"/>
    <mergeCell ref="C471:E471"/>
    <mergeCell ref="F3:L3"/>
    <mergeCell ref="D179:D198"/>
    <mergeCell ref="D40:G40"/>
    <mergeCell ref="G23:H23"/>
    <mergeCell ref="D116:D154"/>
    <mergeCell ref="D41:D62"/>
    <mergeCell ref="D63:D115"/>
    <mergeCell ref="A15:A23"/>
    <mergeCell ref="C15:H15"/>
    <mergeCell ref="C16:H16"/>
    <mergeCell ref="C18:H18"/>
    <mergeCell ref="C19:H19"/>
    <mergeCell ref="C21:D21"/>
    <mergeCell ref="F21:G21"/>
    <mergeCell ref="C22:D22"/>
    <mergeCell ref="F22:G22"/>
    <mergeCell ref="D23:F23"/>
  </mergeCells>
  <conditionalFormatting sqref="D4">
    <cfRule type="cellIs" dxfId="1638" priority="1236" operator="equal">
      <formula>"?"</formula>
    </cfRule>
    <cfRule type="cellIs" dxfId="1637" priority="1237" operator="equal">
      <formula>"Y"</formula>
    </cfRule>
  </conditionalFormatting>
  <conditionalFormatting sqref="E5">
    <cfRule type="cellIs" dxfId="1636" priority="1234" operator="equal">
      <formula>"?"</formula>
    </cfRule>
    <cfRule type="cellIs" dxfId="1635" priority="1235" operator="equal">
      <formula>"Y"</formula>
    </cfRule>
  </conditionalFormatting>
  <conditionalFormatting sqref="F6">
    <cfRule type="cellIs" dxfId="1634" priority="1232" operator="equal">
      <formula>"?"</formula>
    </cfRule>
    <cfRule type="cellIs" dxfId="1633" priority="1233" operator="equal">
      <formula>"Y"</formula>
    </cfRule>
  </conditionalFormatting>
  <conditionalFormatting sqref="C16:J16">
    <cfRule type="cellIs" dxfId="1632" priority="140" operator="equal">
      <formula>"PROJECT IS DESIGN &amp; CONSTRUCTION - NO FEAS. STUDY, MEMO, OR CONCEPT ONLY"</formula>
    </cfRule>
  </conditionalFormatting>
  <conditionalFormatting sqref="E265:H265">
    <cfRule type="expression" dxfId="1631" priority="1211">
      <formula>$D$265="N"</formula>
    </cfRule>
  </conditionalFormatting>
  <conditionalFormatting sqref="D222:H222">
    <cfRule type="expression" dxfId="1630" priority="1205">
      <formula>$D$222="N"</formula>
    </cfRule>
  </conditionalFormatting>
  <conditionalFormatting sqref="E303:I303">
    <cfRule type="expression" dxfId="1629" priority="1222">
      <formula>$D$303="N"</formula>
    </cfRule>
  </conditionalFormatting>
  <conditionalFormatting sqref="G262:H262">
    <cfRule type="expression" dxfId="1628" priority="1208">
      <formula>$D$262="N"</formula>
    </cfRule>
  </conditionalFormatting>
  <conditionalFormatting sqref="E407:H407">
    <cfRule type="expression" dxfId="1627" priority="1509">
      <formula>$D$407="n"</formula>
    </cfRule>
  </conditionalFormatting>
  <conditionalFormatting sqref="E33:H35">
    <cfRule type="expression" dxfId="1626" priority="952">
      <formula>$D$32="n"</formula>
    </cfRule>
  </conditionalFormatting>
  <conditionalFormatting sqref="E39:H39">
    <cfRule type="expression" dxfId="1625" priority="984">
      <formula>$D$39="N"</formula>
    </cfRule>
  </conditionalFormatting>
  <conditionalFormatting sqref="E25:H466">
    <cfRule type="expression" dxfId="1624" priority="139">
      <formula>$D25="N"</formula>
    </cfRule>
  </conditionalFormatting>
  <conditionalFormatting sqref="E25:H25">
    <cfRule type="expression" dxfId="1623" priority="940">
      <formula>$D$25="N"</formula>
    </cfRule>
  </conditionalFormatting>
  <conditionalFormatting sqref="C18:H466">
    <cfRule type="expression" dxfId="1622" priority="1">
      <formula>$C$16="PROJECT IS DESIGN &amp; CONSTRUCTION - NO FEAS. STUDY, MEMO, OR CONCEPT ONLY"</formula>
    </cfRule>
  </conditionalFormatting>
  <conditionalFormatting sqref="G133:H139">
    <cfRule type="expression" dxfId="1621" priority="1029">
      <formula>$F$133="N"</formula>
    </cfRule>
  </conditionalFormatting>
  <conditionalFormatting sqref="G143:H147">
    <cfRule type="expression" dxfId="1620" priority="1031">
      <formula>$F$143="N"</formula>
    </cfRule>
  </conditionalFormatting>
  <conditionalFormatting sqref="G148:H152">
    <cfRule type="expression" dxfId="1619" priority="1033">
      <formula>$F$148="N"</formula>
    </cfRule>
  </conditionalFormatting>
  <conditionalFormatting sqref="D42:H154">
    <cfRule type="expression" dxfId="1618" priority="986">
      <formula>$D$39="N"</formula>
    </cfRule>
  </conditionalFormatting>
  <conditionalFormatting sqref="E28:H30">
    <cfRule type="expression" dxfId="1617" priority="498">
      <formula>$D$27="N"</formula>
    </cfRule>
  </conditionalFormatting>
  <conditionalFormatting sqref="E37:H37">
    <cfRule type="expression" dxfId="1616" priority="954">
      <formula>$D$37="N"</formula>
    </cfRule>
  </conditionalFormatting>
  <conditionalFormatting sqref="E222:H261">
    <cfRule type="expression" dxfId="1615" priority="39643">
      <formula>$D$222="N"</formula>
    </cfRule>
  </conditionalFormatting>
  <conditionalFormatting sqref="E265:H301">
    <cfRule type="expression" dxfId="1614" priority="1217">
      <formula>$D$265="N"</formula>
    </cfRule>
  </conditionalFormatting>
  <conditionalFormatting sqref="E303:H403">
    <cfRule type="expression" dxfId="1613" priority="1229">
      <formula>$D$303="N"</formula>
    </cfRule>
  </conditionalFormatting>
  <conditionalFormatting sqref="G68:H126">
    <cfRule type="expression" dxfId="1612" priority="1027">
      <formula>$F$68="N"</formula>
    </cfRule>
  </conditionalFormatting>
  <conditionalFormatting sqref="E407:H460">
    <cfRule type="expression" dxfId="1611" priority="1513">
      <formula>$D$407="N"</formula>
    </cfRule>
  </conditionalFormatting>
  <conditionalFormatting sqref="E462:H462">
    <cfRule type="expression" dxfId="1610" priority="1517">
      <formula>$D$462="N"</formula>
    </cfRule>
  </conditionalFormatting>
  <conditionalFormatting sqref="E405:H405">
    <cfRule type="expression" dxfId="1609" priority="1485">
      <formula>$D$405="N"</formula>
    </cfRule>
  </conditionalFormatting>
  <conditionalFormatting sqref="K41">
    <cfRule type="cellIs" dxfId="1608" priority="1026" operator="equal">
      <formula>"&lt;---NOT RECOMMENDED for Memo or Short Report.  Chose one of the A LA CARTE ASSESSMENTS instead."</formula>
    </cfRule>
  </conditionalFormatting>
  <conditionalFormatting sqref="F41:H154">
    <cfRule type="expression" dxfId="1607" priority="1021">
      <formula>$E$41="N"</formula>
    </cfRule>
  </conditionalFormatting>
  <conditionalFormatting sqref="F155:H178">
    <cfRule type="expression" dxfId="1606" priority="1092">
      <formula>$E$155="N"</formula>
    </cfRule>
  </conditionalFormatting>
  <conditionalFormatting sqref="E179:H198">
    <cfRule type="expression" dxfId="1605" priority="1202">
      <formula>$E$179="N"</formula>
    </cfRule>
  </conditionalFormatting>
  <conditionalFormatting sqref="E199:H220">
    <cfRule type="expression" dxfId="1604" priority="1204">
      <formula>$E$199="N"</formula>
    </cfRule>
  </conditionalFormatting>
  <conditionalFormatting sqref="F25:H466">
    <cfRule type="expression" dxfId="1603" priority="141">
      <formula>$E25="N"</formula>
    </cfRule>
  </conditionalFormatting>
  <conditionalFormatting sqref="G25:H466">
    <cfRule type="expression" dxfId="1602" priority="142">
      <formula>$F25="N"</formula>
    </cfRule>
  </conditionalFormatting>
  <conditionalFormatting sqref="F155:H156">
    <cfRule type="expression" dxfId="1601" priority="1076">
      <formula>$E$155="N"</formula>
    </cfRule>
  </conditionalFormatting>
  <conditionalFormatting sqref="F179:H179">
    <cfRule type="expression" dxfId="1600" priority="1106">
      <formula>$E$179="N"</formula>
    </cfRule>
  </conditionalFormatting>
  <conditionalFormatting sqref="F199:H199">
    <cfRule type="expression" dxfId="1599" priority="1203">
      <formula>$E$199="N"</formula>
    </cfRule>
  </conditionalFormatting>
  <conditionalFormatting sqref="H25:H466">
    <cfRule type="expression" dxfId="1598" priority="180">
      <formula>$G25="N"</formula>
    </cfRule>
  </conditionalFormatting>
  <conditionalFormatting sqref="G51:H56">
    <cfRule type="expression" dxfId="1597" priority="1024">
      <formula>$F$51="N"</formula>
    </cfRule>
  </conditionalFormatting>
  <conditionalFormatting sqref="G63:H67">
    <cfRule type="expression" dxfId="1596" priority="1025">
      <formula>$F$63="N"</formula>
    </cfRule>
  </conditionalFormatting>
  <conditionalFormatting sqref="C40:H40">
    <cfRule type="expression" dxfId="1595" priority="985">
      <formula>ISNUMBER(SEARCH("choose",$D$40))=TRUE</formula>
    </cfRule>
  </conditionalFormatting>
  <conditionalFormatting sqref="G263:H263">
    <cfRule type="expression" dxfId="1594" priority="1209">
      <formula>$D$263="N"</formula>
    </cfRule>
  </conditionalFormatting>
  <conditionalFormatting sqref="K27:K30 K37 K39 K25">
    <cfRule type="expression" dxfId="1593" priority="136">
      <formula>$D25="N"</formula>
    </cfRule>
  </conditionalFormatting>
  <conditionalFormatting sqref="K40">
    <cfRule type="expression" dxfId="1592" priority="132">
      <formula>$D40="N"</formula>
    </cfRule>
  </conditionalFormatting>
  <conditionalFormatting sqref="C15:H16 C18:H18">
    <cfRule type="containsText" dxfId="1591" priority="130" operator="containsText" text="Insert">
      <formula>NOT(ISERROR(SEARCH("Insert",C15)))</formula>
    </cfRule>
    <cfRule type="containsText" dxfId="1590" priority="131" operator="containsText" text="##">
      <formula>NOT(ISERROR(SEARCH("##",C15)))</formula>
    </cfRule>
    <cfRule type="containsText" dxfId="1589" priority="135" operator="containsText" text="Choose">
      <formula>NOT(ISERROR(SEARCH("Choose",C15)))</formula>
    </cfRule>
  </conditionalFormatting>
  <conditionalFormatting sqref="Q21">
    <cfRule type="containsText" dxfId="1588" priority="127" operator="containsText" text="&lt;----Fill in information">
      <formula>NOT(ISERROR(SEARCH("&lt;----Fill in information",Q21)))</formula>
    </cfRule>
  </conditionalFormatting>
  <conditionalFormatting sqref="E132:H132">
    <cfRule type="expression" dxfId="1587" priority="1028">
      <formula>$D108="N"</formula>
    </cfRule>
  </conditionalFormatting>
  <conditionalFormatting sqref="C25:C466">
    <cfRule type="expression" dxfId="1586" priority="2">
      <formula>$D25="Y"</formula>
    </cfRule>
    <cfRule type="expression" dxfId="1585" priority="129">
      <formula>$E25="Y"</formula>
    </cfRule>
    <cfRule type="expression" dxfId="1584" priority="138">
      <formula>$F25="Y"</formula>
    </cfRule>
  </conditionalFormatting>
  <conditionalFormatting sqref="D25:G466">
    <cfRule type="cellIs" dxfId="1583" priority="181" operator="equal">
      <formula>"?"</formula>
    </cfRule>
    <cfRule type="cellIs" dxfId="1582" priority="450" operator="equal">
      <formula>"Y"</formula>
    </cfRule>
  </conditionalFormatting>
  <conditionalFormatting sqref="K25:K464">
    <cfRule type="containsText" dxfId="1581" priority="74" operator="containsText" text="Insert">
      <formula>NOT(ISERROR(SEARCH("Insert",K25)))</formula>
    </cfRule>
    <cfRule type="containsText" dxfId="1580" priority="81" operator="containsText" text="Hide">
      <formula>NOT(ISERROR(SEARCH("Hide",K25)))</formula>
    </cfRule>
  </conditionalFormatting>
  <conditionalFormatting sqref="K15:K19">
    <cfRule type="containsText" dxfId="1579" priority="3" operator="containsText" text="&lt;----Fill in information">
      <formula>NOT(ISERROR(SEARCH("&lt;----Fill in information",K15)))</formula>
    </cfRule>
  </conditionalFormatting>
  <conditionalFormatting sqref="D28:H30">
    <cfRule type="expression" dxfId="1578" priority="499">
      <formula>$D$27="N"</formula>
    </cfRule>
  </conditionalFormatting>
  <conditionalFormatting sqref="D33:H35">
    <cfRule type="expression" dxfId="1577" priority="953">
      <formula>$D$32="N"</formula>
    </cfRule>
  </conditionalFormatting>
  <dataValidations count="4">
    <dataValidation type="list" allowBlank="1" showInputMessage="1" showErrorMessage="1" sqref="F21:G21">
      <formula1>$H$8:$H$10</formula1>
    </dataValidation>
    <dataValidation type="list" allowBlank="1" showInputMessage="1" showErrorMessage="1" sqref="C23">
      <formula1>$C$8:$C$11</formula1>
    </dataValidation>
    <dataValidation type="list" allowBlank="1" showInputMessage="1" showErrorMessage="1" sqref="D462:D463 F68 F200:F220 F138:F143 E266:E301 F180:F198 G149:G152 D262:D263 E179 E41 E155 G64:G67 E304:E403 D303 D265 D222 G69:G126 G144:G147 F148 D405 E199 F6 E5 D4 D407 D32:D35 E223:E260 F153:F154 F157:F178 G134:G139 G52:G56 F57:F63 F127:F133 F42:F51 E408:F460">
      <formula1>$D$8:$D$10</formula1>
    </dataValidation>
    <dataValidation type="list" allowBlank="1" showInputMessage="1" showErrorMessage="1" sqref="D39 D37 D27:D30 D25">
      <formula1>$D$8:$D$8</formula1>
    </dataValidation>
  </dataValidations>
  <printOptions horizontalCentered="1"/>
  <pageMargins left="0.45" right="0.45" top="0.5" bottom="0.5" header="0.3" footer="0.3"/>
  <pageSetup scale="73" fitToHeight="2" orientation="portrait" r:id="rId1"/>
  <headerFooter>
    <oddFooter>&amp;L&amp;"Ebrima,Bold"&amp;10TAB &amp;A&amp;C&amp;8&amp;P of &amp;N&amp;R&amp;G</oddFooter>
  </headerFooter>
  <rowBreaks count="5" manualBreakCount="5">
    <brk id="62" min="2" max="7" man="1"/>
    <brk id="115" min="2" max="7" man="1"/>
    <brk id="154" min="2" max="7" man="1"/>
    <brk id="198" min="2" max="7" man="1"/>
    <brk id="221" min="2" max="7" man="1"/>
  </rowBreaks>
  <legacyDrawing r:id="rId2"/>
  <legacyDrawingHF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9BBF9"/>
    <pageSetUpPr fitToPage="1"/>
  </sheetPr>
  <dimension ref="A1:BX711"/>
  <sheetViews>
    <sheetView showGridLines="0" view="pageBreakPreview" zoomScale="85" zoomScaleNormal="100" zoomScaleSheetLayoutView="85" workbookViewId="0">
      <pane ySplit="22" topLeftCell="A23" activePane="bottomLeft" state="frozen"/>
      <selection pane="bottomLeft" activeCell="AH36" sqref="AH36"/>
    </sheetView>
  </sheetViews>
  <sheetFormatPr defaultRowHeight="15" x14ac:dyDescent="0.25"/>
  <cols>
    <col min="1" max="1" width="1.5703125" style="542" customWidth="1"/>
    <col min="2" max="2" width="4.140625" style="553" hidden="1" customWidth="1"/>
    <col min="3" max="3" width="3.5703125" style="17" hidden="1" customWidth="1"/>
    <col min="4" max="4" width="5.7109375" style="91" customWidth="1"/>
    <col min="5" max="5" width="5.140625" style="885" hidden="1" customWidth="1"/>
    <col min="6" max="6" width="0.85546875" customWidth="1"/>
    <col min="7" max="7" width="6" customWidth="1"/>
    <col min="8" max="8" width="6" style="332" hidden="1" customWidth="1"/>
    <col min="9" max="9" width="6" customWidth="1"/>
    <col min="10" max="10" width="6" style="332" hidden="1" customWidth="1"/>
    <col min="11" max="11" width="6" customWidth="1"/>
    <col min="12" max="12" width="6" style="332" hidden="1" customWidth="1"/>
    <col min="13" max="13" width="6" customWidth="1"/>
    <col min="14" max="14" width="6" style="332" hidden="1" customWidth="1"/>
    <col min="15" max="15" width="6" customWidth="1"/>
    <col min="16" max="16" width="6" style="332" hidden="1" customWidth="1"/>
    <col min="17" max="17" width="6" customWidth="1"/>
    <col min="18" max="18" width="6" style="332" hidden="1" customWidth="1"/>
    <col min="19" max="19" width="6" customWidth="1"/>
    <col min="20" max="20" width="6" style="332" hidden="1" customWidth="1"/>
    <col min="21" max="21" width="6" customWidth="1"/>
    <col min="22" max="22" width="6" style="332" hidden="1" customWidth="1"/>
    <col min="23" max="23" width="6" customWidth="1"/>
    <col min="24" max="24" width="6" style="332" hidden="1" customWidth="1"/>
    <col min="25" max="25" width="7.7109375" style="19" customWidth="1"/>
    <col min="26" max="26" width="86" style="17" customWidth="1"/>
    <col min="27" max="27" width="5.5703125" style="19" customWidth="1"/>
    <col min="28" max="28" width="6.42578125" style="17" customWidth="1"/>
    <col min="29" max="29" width="0.85546875" style="17" customWidth="1"/>
    <col min="30" max="30" width="11.42578125" style="17" customWidth="1"/>
    <col min="31" max="35" width="14.5703125" style="17" customWidth="1"/>
    <col min="36" max="36" width="8.42578125" style="17" customWidth="1"/>
    <col min="37" max="37" width="14.5703125" style="17" customWidth="1"/>
    <col min="38" max="39" width="9.140625" style="17" customWidth="1"/>
    <col min="40" max="40" width="83.85546875" style="17" customWidth="1"/>
    <col min="41" max="42" width="9.140625" style="17" customWidth="1"/>
    <col min="43" max="43" width="9.140625" style="17"/>
    <col min="44" max="44" width="9.140625" style="255"/>
    <col min="45" max="74" width="9.140625" style="17"/>
  </cols>
  <sheetData>
    <row r="1" spans="2:74" ht="32.25" customHeight="1" x14ac:dyDescent="0.25">
      <c r="B1" s="1579"/>
      <c r="C1" s="1078"/>
      <c r="D1" s="1083"/>
      <c r="E1" s="1084"/>
      <c r="F1" s="1163"/>
      <c r="G1" s="2150" t="s">
        <v>725</v>
      </c>
      <c r="H1" s="2150"/>
      <c r="I1" s="2150"/>
      <c r="J1" s="2150"/>
      <c r="K1" s="2150"/>
      <c r="L1" s="1167"/>
      <c r="M1" s="2160" t="s">
        <v>1039</v>
      </c>
      <c r="N1" s="2160"/>
      <c r="O1" s="2160"/>
      <c r="P1" s="2160"/>
      <c r="Q1" s="2160"/>
      <c r="R1" s="2160"/>
      <c r="S1" s="2160"/>
      <c r="T1" s="2160"/>
      <c r="U1" s="2160"/>
      <c r="V1" s="2160"/>
      <c r="W1" s="2160"/>
      <c r="X1" s="2160"/>
      <c r="Y1" s="2160"/>
      <c r="Z1" s="2160"/>
      <c r="AA1" s="2160"/>
      <c r="AB1" s="1088"/>
      <c r="AC1" s="1168"/>
      <c r="AD1" s="1088"/>
      <c r="AE1" s="1088"/>
      <c r="AF1" s="1088"/>
      <c r="AG1" s="1088"/>
      <c r="AH1" s="1088"/>
      <c r="AI1" s="1088"/>
      <c r="AJ1" s="1088"/>
      <c r="AK1" s="1088"/>
      <c r="AL1" s="1089"/>
      <c r="AM1" s="1089"/>
      <c r="AN1" s="1078"/>
      <c r="AO1" s="1078"/>
      <c r="AP1" s="1078"/>
      <c r="AQ1" s="1078"/>
      <c r="AR1" s="1102"/>
      <c r="AS1" s="1078"/>
      <c r="BV1"/>
    </row>
    <row r="2" spans="2:74" ht="13.5" hidden="1" customHeight="1" x14ac:dyDescent="0.25">
      <c r="B2" s="1579"/>
      <c r="C2" s="1078"/>
      <c r="D2" s="2101" t="s">
        <v>768</v>
      </c>
      <c r="E2" s="1085"/>
      <c r="F2" s="1163"/>
      <c r="G2" s="2105" t="s">
        <v>364</v>
      </c>
      <c r="H2" s="2118" t="s">
        <v>760</v>
      </c>
      <c r="I2" s="2107" t="s">
        <v>365</v>
      </c>
      <c r="J2" s="2120" t="s">
        <v>577</v>
      </c>
      <c r="K2" s="2109" t="s">
        <v>366</v>
      </c>
      <c r="L2" s="2123" t="s">
        <v>382</v>
      </c>
      <c r="M2" s="2111" t="s">
        <v>367</v>
      </c>
      <c r="N2" s="2085" t="s">
        <v>383</v>
      </c>
      <c r="O2" s="2114" t="s">
        <v>368</v>
      </c>
      <c r="P2" s="2088" t="s">
        <v>384</v>
      </c>
      <c r="Q2" s="2142" t="s">
        <v>369</v>
      </c>
      <c r="R2" s="2126" t="s">
        <v>385</v>
      </c>
      <c r="S2" s="2145" t="s">
        <v>370</v>
      </c>
      <c r="T2" s="2129" t="s">
        <v>696</v>
      </c>
      <c r="U2" s="2161" t="s">
        <v>1047</v>
      </c>
      <c r="V2" s="2132" t="s">
        <v>386</v>
      </c>
      <c r="W2" s="2138" t="s">
        <v>371</v>
      </c>
      <c r="X2" s="2135" t="s">
        <v>697</v>
      </c>
      <c r="Y2" s="1169"/>
      <c r="Z2" s="1170" t="s">
        <v>107</v>
      </c>
      <c r="AA2" s="1171"/>
      <c r="AB2" s="1090"/>
      <c r="AC2" s="1172"/>
      <c r="AD2" s="1090"/>
      <c r="AE2" s="1090"/>
      <c r="AF2" s="1090"/>
      <c r="AG2" s="1090"/>
      <c r="AH2" s="1090"/>
      <c r="AI2" s="1090"/>
      <c r="AJ2" s="1090"/>
      <c r="AK2" s="1090"/>
      <c r="AL2" s="1089"/>
      <c r="AM2" s="1089"/>
      <c r="AN2" s="1078"/>
      <c r="AO2" s="1078"/>
      <c r="AP2" s="1078"/>
      <c r="AQ2" s="1078"/>
      <c r="AR2" s="1102"/>
      <c r="AS2" s="1078"/>
    </row>
    <row r="3" spans="2:74" ht="13.5" hidden="1" customHeight="1" x14ac:dyDescent="0.25">
      <c r="B3" s="1579"/>
      <c r="C3" s="1078"/>
      <c r="D3" s="2102"/>
      <c r="E3" s="1085"/>
      <c r="F3" s="1163"/>
      <c r="G3" s="2105"/>
      <c r="H3" s="2118"/>
      <c r="I3" s="2107"/>
      <c r="J3" s="2120"/>
      <c r="K3" s="2109"/>
      <c r="L3" s="2124"/>
      <c r="M3" s="2112"/>
      <c r="N3" s="2086"/>
      <c r="O3" s="2115"/>
      <c r="P3" s="2089"/>
      <c r="Q3" s="2143"/>
      <c r="R3" s="2127"/>
      <c r="S3" s="2146"/>
      <c r="T3" s="2130"/>
      <c r="U3" s="2162"/>
      <c r="V3" s="2133"/>
      <c r="W3" s="2139"/>
      <c r="X3" s="2136"/>
      <c r="Y3" s="1169"/>
      <c r="Z3" s="1173" t="s">
        <v>268</v>
      </c>
      <c r="AA3" s="1171"/>
      <c r="AB3" s="1089"/>
      <c r="AC3" s="1174"/>
      <c r="AD3" s="1089"/>
      <c r="AE3" s="1089"/>
      <c r="AF3" s="1089"/>
      <c r="AG3" s="1089"/>
      <c r="AH3" s="1089"/>
      <c r="AI3" s="1089"/>
      <c r="AJ3" s="1089"/>
      <c r="AK3" s="1089"/>
      <c r="AL3" s="2151" t="s">
        <v>373</v>
      </c>
      <c r="AM3" s="1089"/>
      <c r="AN3" s="1078"/>
      <c r="AO3" s="1078"/>
      <c r="AP3" s="1078"/>
      <c r="AQ3" s="1078"/>
      <c r="AR3" s="1102"/>
      <c r="AS3" s="1078"/>
    </row>
    <row r="4" spans="2:74" ht="13.5" hidden="1" customHeight="1" x14ac:dyDescent="0.25">
      <c r="B4" s="1579"/>
      <c r="C4" s="1078"/>
      <c r="D4" s="2102"/>
      <c r="E4" s="1085"/>
      <c r="F4" s="1163"/>
      <c r="G4" s="2105"/>
      <c r="H4" s="2118"/>
      <c r="I4" s="2107"/>
      <c r="J4" s="2120"/>
      <c r="K4" s="2109"/>
      <c r="L4" s="2124"/>
      <c r="M4" s="2112"/>
      <c r="N4" s="2086"/>
      <c r="O4" s="2115"/>
      <c r="P4" s="2089"/>
      <c r="Q4" s="2143"/>
      <c r="R4" s="2127"/>
      <c r="S4" s="2146"/>
      <c r="T4" s="2130"/>
      <c r="U4" s="2162"/>
      <c r="V4" s="2133"/>
      <c r="W4" s="2139"/>
      <c r="X4" s="2136"/>
      <c r="Y4" s="1169"/>
      <c r="Z4" s="1173" t="s">
        <v>53</v>
      </c>
      <c r="AA4" s="1171"/>
      <c r="AB4" s="1089"/>
      <c r="AC4" s="1174"/>
      <c r="AD4" s="1089"/>
      <c r="AE4" s="1089"/>
      <c r="AF4" s="1089"/>
      <c r="AG4" s="1089"/>
      <c r="AH4" s="1089"/>
      <c r="AI4" s="1089"/>
      <c r="AJ4" s="1089"/>
      <c r="AK4" s="1089"/>
      <c r="AL4" s="2151"/>
      <c r="AM4" s="1089"/>
      <c r="AN4" s="1078"/>
      <c r="AO4" s="1078"/>
      <c r="AP4" s="1078"/>
      <c r="AQ4" s="1078"/>
      <c r="AR4" s="1102"/>
      <c r="AS4" s="1078"/>
    </row>
    <row r="5" spans="2:74" ht="13.5" hidden="1" customHeight="1" x14ac:dyDescent="0.25">
      <c r="B5" s="1579"/>
      <c r="C5" s="1078"/>
      <c r="D5" s="2102"/>
      <c r="E5" s="1085"/>
      <c r="F5" s="1163"/>
      <c r="G5" s="2105"/>
      <c r="H5" s="2118"/>
      <c r="I5" s="2107"/>
      <c r="J5" s="2120"/>
      <c r="K5" s="2109"/>
      <c r="L5" s="2124"/>
      <c r="M5" s="2112"/>
      <c r="N5" s="2086"/>
      <c r="O5" s="2115"/>
      <c r="P5" s="2089"/>
      <c r="Q5" s="2143"/>
      <c r="R5" s="2127"/>
      <c r="S5" s="2146"/>
      <c r="T5" s="2130"/>
      <c r="U5" s="2162"/>
      <c r="V5" s="2133"/>
      <c r="W5" s="2139"/>
      <c r="X5" s="2136"/>
      <c r="Y5" s="1169"/>
      <c r="Z5" s="1173" t="s">
        <v>109</v>
      </c>
      <c r="AA5" s="1171"/>
      <c r="AB5" s="1089"/>
      <c r="AC5" s="1174"/>
      <c r="AD5" s="1089"/>
      <c r="AE5" s="1089"/>
      <c r="AF5" s="1089"/>
      <c r="AG5" s="1089"/>
      <c r="AH5" s="1089"/>
      <c r="AI5" s="1089"/>
      <c r="AJ5" s="1089"/>
      <c r="AK5" s="1089"/>
      <c r="AL5" s="2151"/>
      <c r="AM5" s="1089"/>
      <c r="AN5" s="1078"/>
      <c r="AO5" s="1078"/>
      <c r="AP5" s="1078"/>
      <c r="AQ5" s="1078"/>
      <c r="AR5" s="1102"/>
      <c r="AS5" s="1078"/>
    </row>
    <row r="6" spans="2:74" ht="13.5" hidden="1" customHeight="1" x14ac:dyDescent="0.25">
      <c r="B6" s="1579"/>
      <c r="C6" s="1078"/>
      <c r="D6" s="2102"/>
      <c r="E6" s="1085"/>
      <c r="F6" s="1163"/>
      <c r="G6" s="2106"/>
      <c r="H6" s="2119"/>
      <c r="I6" s="2108"/>
      <c r="J6" s="2121"/>
      <c r="K6" s="2110"/>
      <c r="L6" s="2125"/>
      <c r="M6" s="2113"/>
      <c r="N6" s="2087"/>
      <c r="O6" s="2116"/>
      <c r="P6" s="2090"/>
      <c r="Q6" s="2144"/>
      <c r="R6" s="2128"/>
      <c r="S6" s="2147"/>
      <c r="T6" s="2131"/>
      <c r="U6" s="2163"/>
      <c r="V6" s="2134"/>
      <c r="W6" s="2140"/>
      <c r="X6" s="2137"/>
      <c r="Y6" s="1169"/>
      <c r="Z6" s="1173" t="s">
        <v>558</v>
      </c>
      <c r="AA6" s="1171"/>
      <c r="AB6" s="1089"/>
      <c r="AC6" s="1174"/>
      <c r="AD6" s="1089"/>
      <c r="AE6" s="1089"/>
      <c r="AF6" s="1089"/>
      <c r="AG6" s="1089"/>
      <c r="AH6" s="1089"/>
      <c r="AI6" s="1089"/>
      <c r="AJ6" s="1089"/>
      <c r="AK6" s="1089"/>
      <c r="AL6" s="2151"/>
      <c r="AM6" s="1089"/>
      <c r="AN6" s="1078"/>
      <c r="AO6" s="1078"/>
      <c r="AP6" s="1078"/>
      <c r="AQ6" s="1078"/>
      <c r="AR6" s="1102"/>
      <c r="AS6" s="1078"/>
    </row>
    <row r="7" spans="2:74" ht="13.5" hidden="1" customHeight="1" x14ac:dyDescent="0.25">
      <c r="B7" s="1579"/>
      <c r="C7" s="1078"/>
      <c r="D7" s="2102"/>
      <c r="E7" s="1085"/>
      <c r="F7" s="1163"/>
      <c r="G7" s="1175" t="str">
        <f>IF(_00_apply="Yes","Y","-")</f>
        <v>Y</v>
      </c>
      <c r="H7" s="1176"/>
      <c r="I7" s="1177" t="str">
        <f>IF(_01_apply="Yes","Y","-")</f>
        <v>Y</v>
      </c>
      <c r="J7" s="1176"/>
      <c r="K7" s="1178" t="str">
        <f>IF(_02_apply="Yes","Y","-")</f>
        <v>Y</v>
      </c>
      <c r="L7" s="1176"/>
      <c r="M7" s="1179" t="str">
        <f>IF(_03_apply="Yes","Y","-")</f>
        <v>Y</v>
      </c>
      <c r="N7" s="1176"/>
      <c r="O7" s="1180" t="str">
        <f>IF(_04_apply="Yes","Y","-")</f>
        <v>Y</v>
      </c>
      <c r="P7" s="1176"/>
      <c r="Q7" s="1181" t="str">
        <f>IF(_05_apply="Yes","Y","-")</f>
        <v>Y</v>
      </c>
      <c r="R7" s="1176"/>
      <c r="S7" s="1182" t="str">
        <f>IF(_06_apply="Yes","Y","-")</f>
        <v>Y</v>
      </c>
      <c r="T7" s="1176"/>
      <c r="U7" s="1183" t="str">
        <f>IF(_07_apply="Yes","Y","-")</f>
        <v>Y</v>
      </c>
      <c r="V7" s="1176"/>
      <c r="W7" s="1184" t="str">
        <f>IF(_08_apply="Yes","Y","-")</f>
        <v>Y</v>
      </c>
      <c r="X7" s="1176"/>
      <c r="Y7" s="1185"/>
      <c r="Z7" s="1186"/>
      <c r="AA7" s="1169"/>
      <c r="AB7" s="1089"/>
      <c r="AC7" s="1174"/>
      <c r="AD7" s="1089"/>
      <c r="AE7" s="1089"/>
      <c r="AF7" s="1089"/>
      <c r="AG7" s="1089"/>
      <c r="AH7" s="1089"/>
      <c r="AI7" s="1089"/>
      <c r="AJ7" s="1089"/>
      <c r="AK7" s="1089"/>
      <c r="AL7" s="2151"/>
      <c r="AM7" s="1089"/>
      <c r="AN7" s="1078"/>
      <c r="AO7" s="1078"/>
      <c r="AP7" s="1078"/>
      <c r="AQ7" s="1078"/>
      <c r="AR7" s="1102"/>
      <c r="AS7" s="1078"/>
    </row>
    <row r="8" spans="2:74" ht="13.5" hidden="1" customHeight="1" x14ac:dyDescent="0.25">
      <c r="B8" s="1579"/>
      <c r="C8" s="1078"/>
      <c r="D8" s="2102"/>
      <c r="E8" s="1085"/>
      <c r="F8" s="1163"/>
      <c r="G8" s="1175" t="s">
        <v>38</v>
      </c>
      <c r="H8" s="1176"/>
      <c r="I8" s="1177" t="s">
        <v>38</v>
      </c>
      <c r="J8" s="1176"/>
      <c r="K8" s="1178" t="s">
        <v>38</v>
      </c>
      <c r="L8" s="1176"/>
      <c r="M8" s="1179" t="s">
        <v>38</v>
      </c>
      <c r="N8" s="1176"/>
      <c r="O8" s="1180" t="s">
        <v>38</v>
      </c>
      <c r="P8" s="1176"/>
      <c r="Q8" s="1181" t="s">
        <v>38</v>
      </c>
      <c r="R8" s="1176"/>
      <c r="S8" s="1182" t="s">
        <v>38</v>
      </c>
      <c r="T8" s="1176"/>
      <c r="U8" s="1183" t="s">
        <v>38</v>
      </c>
      <c r="V8" s="1176"/>
      <c r="W8" s="1184" t="s">
        <v>38</v>
      </c>
      <c r="X8" s="1176"/>
      <c r="Y8" s="1185"/>
      <c r="Z8" s="1170" t="s">
        <v>372</v>
      </c>
      <c r="AA8" s="1169"/>
      <c r="AB8" s="1089"/>
      <c r="AC8" s="1174"/>
      <c r="AD8" s="1089"/>
      <c r="AE8" s="1089"/>
      <c r="AF8" s="1089"/>
      <c r="AG8" s="1089"/>
      <c r="AH8" s="1089"/>
      <c r="AI8" s="1089"/>
      <c r="AJ8" s="1089"/>
      <c r="AK8" s="1089"/>
      <c r="AL8" s="2151"/>
      <c r="AM8" s="1089"/>
      <c r="AN8" s="1078"/>
      <c r="AO8" s="1078"/>
      <c r="AP8" s="1078"/>
      <c r="AQ8" s="1078"/>
      <c r="AR8" s="1102"/>
      <c r="AS8" s="1078"/>
    </row>
    <row r="9" spans="2:74" ht="13.5" hidden="1" customHeight="1" x14ac:dyDescent="0.25">
      <c r="B9" s="1579"/>
      <c r="C9" s="1078"/>
      <c r="D9" s="2102"/>
      <c r="E9" s="1085"/>
      <c r="F9" s="1163"/>
      <c r="G9" s="1175" t="s">
        <v>21</v>
      </c>
      <c r="H9" s="1176"/>
      <c r="I9" s="1177" t="s">
        <v>21</v>
      </c>
      <c r="J9" s="1176"/>
      <c r="K9" s="1178" t="s">
        <v>21</v>
      </c>
      <c r="L9" s="1176"/>
      <c r="M9" s="1179" t="s">
        <v>21</v>
      </c>
      <c r="N9" s="1176"/>
      <c r="O9" s="1180" t="s">
        <v>21</v>
      </c>
      <c r="P9" s="1176"/>
      <c r="Q9" s="1181" t="s">
        <v>21</v>
      </c>
      <c r="R9" s="1176"/>
      <c r="S9" s="1182" t="s">
        <v>21</v>
      </c>
      <c r="T9" s="1176"/>
      <c r="U9" s="1183" t="s">
        <v>21</v>
      </c>
      <c r="V9" s="1176"/>
      <c r="W9" s="1184" t="s">
        <v>21</v>
      </c>
      <c r="X9" s="1176"/>
      <c r="Y9" s="1187"/>
      <c r="Z9" s="1173" t="s">
        <v>37</v>
      </c>
      <c r="AA9" s="1188"/>
      <c r="AB9" s="1089"/>
      <c r="AC9" s="1174"/>
      <c r="AD9" s="1089"/>
      <c r="AE9" s="1089"/>
      <c r="AF9" s="1089"/>
      <c r="AG9" s="1089"/>
      <c r="AH9" s="1089"/>
      <c r="AI9" s="1089"/>
      <c r="AJ9" s="1089"/>
      <c r="AK9" s="1089"/>
      <c r="AL9" s="2151"/>
      <c r="AM9" s="1089"/>
      <c r="AN9" s="1078"/>
      <c r="AO9" s="1078"/>
      <c r="AP9" s="1078"/>
      <c r="AQ9" s="1078"/>
      <c r="AR9" s="1102"/>
      <c r="AS9" s="1078"/>
    </row>
    <row r="10" spans="2:74" ht="13.5" hidden="1" customHeight="1" x14ac:dyDescent="0.25">
      <c r="B10" s="1579"/>
      <c r="C10" s="1078"/>
      <c r="D10" s="2102"/>
      <c r="E10" s="1085"/>
      <c r="F10" s="1163"/>
      <c r="G10" s="1175" t="s">
        <v>229</v>
      </c>
      <c r="H10" s="1176"/>
      <c r="I10" s="1177" t="s">
        <v>229</v>
      </c>
      <c r="J10" s="1176"/>
      <c r="K10" s="1178" t="s">
        <v>229</v>
      </c>
      <c r="L10" s="1176"/>
      <c r="M10" s="1179" t="s">
        <v>229</v>
      </c>
      <c r="N10" s="1176"/>
      <c r="O10" s="1180" t="s">
        <v>229</v>
      </c>
      <c r="P10" s="1176"/>
      <c r="Q10" s="1181" t="s">
        <v>229</v>
      </c>
      <c r="R10" s="1176"/>
      <c r="S10" s="1182" t="s">
        <v>229</v>
      </c>
      <c r="T10" s="1176"/>
      <c r="U10" s="1183" t="s">
        <v>229</v>
      </c>
      <c r="V10" s="1176"/>
      <c r="W10" s="1184" t="s">
        <v>229</v>
      </c>
      <c r="X10" s="1176"/>
      <c r="Y10" s="1187"/>
      <c r="Z10" s="1173" t="s">
        <v>38</v>
      </c>
      <c r="AA10" s="1188"/>
      <c r="AB10" s="1089"/>
      <c r="AC10" s="1174"/>
      <c r="AD10" s="1089"/>
      <c r="AE10" s="1089"/>
      <c r="AF10" s="1089"/>
      <c r="AG10" s="1089"/>
      <c r="AH10" s="1089"/>
      <c r="AI10" s="1089"/>
      <c r="AJ10" s="1089"/>
      <c r="AK10" s="1089"/>
      <c r="AL10" s="2151"/>
      <c r="AM10" s="1089"/>
      <c r="AN10" s="1078"/>
      <c r="AO10" s="1078"/>
      <c r="AP10" s="1078"/>
      <c r="AQ10" s="1078"/>
      <c r="AR10" s="1102"/>
      <c r="AS10" s="1078"/>
    </row>
    <row r="11" spans="2:74" ht="13.5" hidden="1" customHeight="1" x14ac:dyDescent="0.25">
      <c r="B11" s="1579"/>
      <c r="C11" s="1078"/>
      <c r="D11" s="2102"/>
      <c r="E11" s="1085"/>
      <c r="F11" s="1163"/>
      <c r="G11" s="1185"/>
      <c r="H11" s="1176"/>
      <c r="I11" s="1185"/>
      <c r="J11" s="1176"/>
      <c r="K11" s="1185"/>
      <c r="L11" s="1176"/>
      <c r="M11" s="1185"/>
      <c r="N11" s="1176"/>
      <c r="O11" s="1185"/>
      <c r="P11" s="1176"/>
      <c r="Q11" s="1185"/>
      <c r="R11" s="1176"/>
      <c r="S11" s="1185"/>
      <c r="T11" s="1176"/>
      <c r="U11" s="1185"/>
      <c r="V11" s="1176"/>
      <c r="W11" s="1185"/>
      <c r="X11" s="1176"/>
      <c r="Y11" s="1187"/>
      <c r="Z11" s="1173" t="s">
        <v>21</v>
      </c>
      <c r="AA11" s="1188"/>
      <c r="AB11" s="1089"/>
      <c r="AC11" s="1174"/>
      <c r="AD11" s="1089"/>
      <c r="AE11" s="1089"/>
      <c r="AF11" s="1089"/>
      <c r="AG11" s="1089"/>
      <c r="AH11" s="1089"/>
      <c r="AI11" s="1089"/>
      <c r="AJ11" s="1089"/>
      <c r="AK11" s="1089"/>
      <c r="AL11" s="2151"/>
      <c r="AM11" s="1089"/>
      <c r="AN11" s="1078"/>
      <c r="AO11" s="1078"/>
      <c r="AP11" s="1078"/>
      <c r="AQ11" s="1078"/>
      <c r="AR11" s="1102"/>
      <c r="AS11" s="1078"/>
    </row>
    <row r="12" spans="2:74" ht="13.5" hidden="1" customHeight="1" x14ac:dyDescent="0.25">
      <c r="B12" s="1579"/>
      <c r="C12" s="1078"/>
      <c r="D12" s="2102"/>
      <c r="E12" s="1085"/>
      <c r="F12" s="1163"/>
      <c r="G12" s="2117"/>
      <c r="H12" s="2117"/>
      <c r="I12" s="2122"/>
      <c r="J12" s="2122"/>
      <c r="K12" s="2091"/>
      <c r="L12" s="2091"/>
      <c r="M12" s="2092"/>
      <c r="N12" s="2092"/>
      <c r="O12" s="2104"/>
      <c r="P12" s="2104"/>
      <c r="Q12" s="2164"/>
      <c r="R12" s="2164"/>
      <c r="S12" s="2141"/>
      <c r="T12" s="2141"/>
      <c r="U12" s="2099"/>
      <c r="V12" s="2099"/>
      <c r="W12" s="2100"/>
      <c r="X12" s="2100"/>
      <c r="Y12" s="1187"/>
      <c r="Z12" s="1173"/>
      <c r="AA12" s="1188"/>
      <c r="AB12" s="1089"/>
      <c r="AC12" s="1174"/>
      <c r="AD12" s="1089"/>
      <c r="AE12" s="1089"/>
      <c r="AF12" s="1089"/>
      <c r="AG12" s="1089"/>
      <c r="AH12" s="1089"/>
      <c r="AI12" s="1089"/>
      <c r="AJ12" s="1089"/>
      <c r="AK12" s="1089"/>
      <c r="AL12" s="2151"/>
      <c r="AM12" s="1089"/>
      <c r="AN12" s="1078"/>
      <c r="AO12" s="1078"/>
      <c r="AP12" s="1078"/>
      <c r="AQ12" s="1078"/>
      <c r="AR12" s="1102"/>
      <c r="AS12" s="1078"/>
    </row>
    <row r="13" spans="2:74" ht="13.5" hidden="1" customHeight="1" thickBot="1" x14ac:dyDescent="0.3">
      <c r="B13" s="1579"/>
      <c r="C13" s="1078"/>
      <c r="D13" s="2102"/>
      <c r="E13" s="1085"/>
      <c r="F13" s="1163"/>
      <c r="G13" s="2117" t="s">
        <v>761</v>
      </c>
      <c r="H13" s="2117"/>
      <c r="I13" s="2122" t="s">
        <v>592</v>
      </c>
      <c r="J13" s="2122"/>
      <c r="K13" s="2091" t="s">
        <v>377</v>
      </c>
      <c r="L13" s="2091"/>
      <c r="M13" s="2092" t="s">
        <v>378</v>
      </c>
      <c r="N13" s="2092"/>
      <c r="O13" s="2104" t="s">
        <v>379</v>
      </c>
      <c r="P13" s="2104"/>
      <c r="Q13" s="2164" t="s">
        <v>380</v>
      </c>
      <c r="R13" s="2164"/>
      <c r="S13" s="2141" t="s">
        <v>698</v>
      </c>
      <c r="T13" s="2141"/>
      <c r="U13" s="2099" t="s">
        <v>381</v>
      </c>
      <c r="V13" s="2099"/>
      <c r="W13" s="2100" t="s">
        <v>699</v>
      </c>
      <c r="X13" s="2100"/>
      <c r="Y13" s="1187"/>
      <c r="Z13" s="1170" t="s">
        <v>769</v>
      </c>
      <c r="AA13" s="1188"/>
      <c r="AB13" s="1089"/>
      <c r="AC13" s="1174"/>
      <c r="AD13" s="1089"/>
      <c r="AE13" s="1089"/>
      <c r="AF13" s="1089"/>
      <c r="AG13" s="1089"/>
      <c r="AH13" s="1089"/>
      <c r="AI13" s="1089"/>
      <c r="AJ13" s="1089"/>
      <c r="AK13" s="1089"/>
      <c r="AL13" s="2151"/>
      <c r="AM13" s="1089"/>
      <c r="AN13" s="1078"/>
      <c r="AO13" s="1078"/>
      <c r="AP13" s="1078"/>
      <c r="AQ13" s="1078"/>
      <c r="AR13" s="1102"/>
      <c r="AS13" s="1078"/>
    </row>
    <row r="14" spans="2:74" ht="14.25" hidden="1" customHeight="1" thickBot="1" x14ac:dyDescent="0.3">
      <c r="B14" s="1579"/>
      <c r="C14" s="1078"/>
      <c r="D14" s="2103"/>
      <c r="E14" s="1085"/>
      <c r="F14" s="1163"/>
      <c r="G14" s="1189" t="str">
        <f>IF(Feasibility_Concept="Conceptualization","Yes","No")</f>
        <v>Yes</v>
      </c>
      <c r="H14" s="1190" t="str">
        <f>_00_apply</f>
        <v>Yes</v>
      </c>
      <c r="I14" s="1189" t="str">
        <f>IF(OR(Design="Design does not apply",Construction="Construction does not apply",Feasibility_Concept="Conceptualization Only",Feasibility_Concept="Feasibility Study"),"NO",IF(SD_apply="NO","No","Yes"))</f>
        <v>Yes</v>
      </c>
      <c r="J14" s="1190" t="str">
        <f>_01_apply</f>
        <v>Yes</v>
      </c>
      <c r="K14" s="1191" t="str">
        <f>IF(OR(Design="Design does not apply",Construction="Construction does not apply",Feasibility_Concept="Conceptualization Only",Feasibility_Concept="Feasibility Study"),"NO",IF(DD_apply="NO","No","Yes"))</f>
        <v>Yes</v>
      </c>
      <c r="L14" s="1192" t="str">
        <f>_02_apply</f>
        <v>Yes</v>
      </c>
      <c r="M14" s="1193" t="str">
        <f>IF(OR(Design="Design does not apply",Construction="Construction does not apply",Feasibility_Concept="Conceptualization Only",Feasibility_Concept="Feasibility Study"),"NO",IF(CD50_apply="NO","No","Yes"))</f>
        <v>Yes</v>
      </c>
      <c r="N14" s="1194" t="str">
        <f>_03_apply</f>
        <v>Yes</v>
      </c>
      <c r="O14" s="1195" t="str">
        <f>IF(OR(Design="Design does not apply",Construction="Construction does not apply",Feasibility_Concept="Conceptualization Only",Feasibility_Concept="Feasibility Study"),"NO",IF(CD95_apply="NO","No","Yes"))</f>
        <v>Yes</v>
      </c>
      <c r="P14" s="1196" t="str">
        <f>_04_apply</f>
        <v>Yes</v>
      </c>
      <c r="Q14" s="1197" t="str">
        <f>IF(OR(Design="Design does not apply",Construction="Construction does not apply",Feasibility_Concept="Conceptualization Only",Feasibility_Concept="Feasibility Study"),"NO",IF(bid_apply="NO","No","Yes"))</f>
        <v>Yes</v>
      </c>
      <c r="R14" s="1198" t="str">
        <f>_05_apply</f>
        <v>Yes</v>
      </c>
      <c r="S14" s="1199" t="str">
        <f>IF(OR(Design="Design does not apply",Construction="Construction does not apply",Feasibility_Concept="Conceptualization Only",Feasibility_Concept="Feasibility Study"),"NO",IF(Const_apply="NO","No","Yes"))</f>
        <v>Yes</v>
      </c>
      <c r="T14" s="1200" t="str">
        <f>_06_apply</f>
        <v>Yes</v>
      </c>
      <c r="U14" s="1201" t="str">
        <f>IF(OR(Design="Design does not apply",Construction="Construction does not apply",Feasibility_Concept="Conceptualization Only",Feasibility_Concept="Feasibility Study"),"NO",IF(Close_Out_apply="NO","No","Yes"))</f>
        <v>Yes</v>
      </c>
      <c r="V14" s="1202" t="str">
        <f>_07_apply</f>
        <v>Yes</v>
      </c>
      <c r="W14" s="1203" t="str">
        <f>IF(OR(Design="Design does not apply",Construction="Construction does not apply",Feasibility_Concept="Conceptualization Only",Feasibility_Concept="Feasibility Study"),"NO",IF(Post_Const_Apply="NO","No","Yes"))</f>
        <v>Yes</v>
      </c>
      <c r="X14" s="1204" t="str">
        <f>_08_apply</f>
        <v>Yes</v>
      </c>
      <c r="Y14" s="1188"/>
      <c r="Z14" s="1205" t="str">
        <f>IF(OR(Feasibility_Concept="Feasibility Study",Design="Design does not apply",Construction="Construction does not apply"),"STUDY - No Design &amp; Construction",IF(Feasibility_Concept="Conceptualization Only","Conceptualization Only","Design &amp; Construction"))</f>
        <v>Design &amp; Construction</v>
      </c>
      <c r="AA14" s="1206"/>
      <c r="AB14" s="1089"/>
      <c r="AC14" s="1174"/>
      <c r="AD14" s="1089"/>
      <c r="AE14" s="1089"/>
      <c r="AF14" s="1089"/>
      <c r="AG14" s="1089"/>
      <c r="AH14" s="1089"/>
      <c r="AI14" s="1089"/>
      <c r="AJ14" s="1089"/>
      <c r="AK14" s="1089"/>
      <c r="AL14" s="2151"/>
      <c r="AM14" s="1089"/>
      <c r="AN14" s="1078"/>
      <c r="AO14" s="1078"/>
      <c r="AP14" s="1078"/>
      <c r="AQ14" s="1078"/>
      <c r="AR14" s="1102"/>
      <c r="AS14" s="1078"/>
    </row>
    <row r="15" spans="2:74" ht="3.75" customHeight="1" x14ac:dyDescent="0.25">
      <c r="B15" s="1579"/>
      <c r="C15" s="1078"/>
      <c r="D15" s="1086"/>
      <c r="E15" s="1087"/>
      <c r="F15" s="1164"/>
      <c r="G15" s="1185"/>
      <c r="H15" s="1176"/>
      <c r="I15" s="1185"/>
      <c r="J15" s="1176"/>
      <c r="K15" s="1185"/>
      <c r="L15" s="1176"/>
      <c r="M15" s="1185"/>
      <c r="N15" s="1176"/>
      <c r="O15" s="1185"/>
      <c r="P15" s="1176"/>
      <c r="Q15" s="1185"/>
      <c r="R15" s="1176"/>
      <c r="S15" s="1185"/>
      <c r="T15" s="1176"/>
      <c r="U15" s="1185"/>
      <c r="V15" s="1176"/>
      <c r="W15" s="1185"/>
      <c r="X15" s="1176"/>
      <c r="Y15" s="1187"/>
      <c r="Z15" s="1186"/>
      <c r="AA15" s="1187"/>
      <c r="AB15" s="1078"/>
      <c r="AC15" s="1174"/>
      <c r="AD15" s="1078"/>
      <c r="AE15" s="1078"/>
      <c r="AF15" s="1078"/>
      <c r="AG15" s="1078"/>
      <c r="AH15" s="1078"/>
      <c r="AI15" s="1078"/>
      <c r="AJ15" s="1078"/>
      <c r="AK15" s="1078"/>
      <c r="AL15" s="2152"/>
      <c r="AM15" s="1091"/>
      <c r="AN15" s="1078"/>
      <c r="AO15" s="1078"/>
      <c r="AP15" s="1078"/>
      <c r="AQ15" s="1078"/>
      <c r="AR15" s="1102"/>
      <c r="AS15" s="1078"/>
    </row>
    <row r="16" spans="2:74" ht="7.5" customHeight="1" x14ac:dyDescent="0.25">
      <c r="B16" s="1579"/>
      <c r="C16" s="1078"/>
      <c r="D16" s="1137"/>
      <c r="E16" s="1138"/>
      <c r="F16" s="1165"/>
      <c r="G16" s="120"/>
      <c r="H16" s="425"/>
      <c r="I16" s="120"/>
      <c r="J16" s="425"/>
      <c r="K16" s="120"/>
      <c r="L16" s="425"/>
      <c r="M16" s="120"/>
      <c r="N16" s="425"/>
      <c r="O16" s="120"/>
      <c r="P16" s="425"/>
      <c r="Q16" s="120"/>
      <c r="R16" s="425"/>
      <c r="S16" s="120"/>
      <c r="T16" s="425"/>
      <c r="U16" s="120"/>
      <c r="V16" s="425"/>
      <c r="W16" s="120"/>
      <c r="X16" s="425"/>
      <c r="Y16" s="122"/>
      <c r="Z16" s="123"/>
      <c r="AA16" s="122"/>
      <c r="AB16" s="1092"/>
      <c r="AC16" s="1207"/>
      <c r="AD16" s="1092"/>
      <c r="AE16" s="1092"/>
      <c r="AF16" s="1092"/>
      <c r="AG16" s="1092"/>
      <c r="AH16" s="1092"/>
      <c r="AI16" s="1092"/>
      <c r="AJ16" s="1092"/>
      <c r="AK16" s="1092"/>
      <c r="AL16" s="1078"/>
      <c r="AM16" s="1078"/>
      <c r="AN16" s="1078"/>
      <c r="AO16" s="1078"/>
      <c r="AP16" s="1078"/>
      <c r="AQ16" s="1078"/>
      <c r="AR16" s="1102"/>
      <c r="AS16" s="1078"/>
    </row>
    <row r="17" spans="1:74" s="542" customFormat="1" ht="19.5" customHeight="1" x14ac:dyDescent="0.25">
      <c r="B17" s="1579"/>
      <c r="C17" s="1078"/>
      <c r="D17" s="1137"/>
      <c r="E17" s="2093" t="s">
        <v>767</v>
      </c>
      <c r="F17" s="1163"/>
      <c r="G17" s="2157" t="s">
        <v>557</v>
      </c>
      <c r="H17" s="2157"/>
      <c r="I17" s="2156">
        <v>44069</v>
      </c>
      <c r="J17" s="2156"/>
      <c r="K17" s="2156"/>
      <c r="L17" s="1930"/>
      <c r="M17" s="2157" t="s">
        <v>655</v>
      </c>
      <c r="N17" s="2157"/>
      <c r="O17" s="2157"/>
      <c r="P17" s="2153" t="s">
        <v>109</v>
      </c>
      <c r="Q17" s="2153"/>
      <c r="R17" s="2153"/>
      <c r="S17" s="2153"/>
      <c r="T17" s="2153"/>
      <c r="U17" s="1930"/>
      <c r="V17" s="1930"/>
      <c r="W17" s="32"/>
      <c r="X17" s="32"/>
      <c r="Y17" s="1931" t="s">
        <v>654</v>
      </c>
      <c r="Z17" s="893" t="s">
        <v>1240</v>
      </c>
      <c r="AA17" s="1931"/>
      <c r="AB17" s="139"/>
      <c r="AC17" s="1208"/>
      <c r="AD17" s="1089"/>
      <c r="AE17" s="1089"/>
      <c r="AF17" s="1089"/>
      <c r="AG17" s="1089"/>
      <c r="AH17" s="1089"/>
      <c r="AI17" s="1089"/>
      <c r="AJ17" s="1089"/>
      <c r="AK17" s="1089"/>
      <c r="AL17" s="1093" t="str">
        <f>IF(OR(ISBLANK(I17)=TRUE,ISBLANK(Z17)=TRUE),"&lt;--Complete editor information","&lt;--Update Editor Info")</f>
        <v>&lt;--Update Editor Info</v>
      </c>
      <c r="AM17" s="1078"/>
      <c r="AN17" s="1078"/>
      <c r="AO17" s="1078"/>
      <c r="AP17" s="1078"/>
      <c r="AQ17" s="1078"/>
      <c r="AR17" s="1102"/>
      <c r="AS17" s="1078"/>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row>
    <row r="18" spans="1:74" s="542" customFormat="1" ht="4.5" customHeight="1" x14ac:dyDescent="0.25">
      <c r="B18" s="1579"/>
      <c r="C18" s="1078"/>
      <c r="D18" s="1137"/>
      <c r="E18" s="2093"/>
      <c r="F18" s="1163"/>
      <c r="G18" s="1931"/>
      <c r="H18" s="1931"/>
      <c r="I18" s="1931"/>
      <c r="J18" s="1931"/>
      <c r="K18" s="1931"/>
      <c r="L18" s="1931"/>
      <c r="M18" s="1931"/>
      <c r="N18" s="1931"/>
      <c r="O18" s="1931"/>
      <c r="P18" s="1931"/>
      <c r="Q18" s="1931"/>
      <c r="R18" s="1931"/>
      <c r="S18" s="1931"/>
      <c r="T18" s="1931"/>
      <c r="U18" s="1931"/>
      <c r="V18" s="1931"/>
      <c r="W18" s="1931"/>
      <c r="X18" s="1931"/>
      <c r="Y18" s="1931"/>
      <c r="Z18" s="1931"/>
      <c r="AA18" s="1931"/>
      <c r="AB18" s="139"/>
      <c r="AC18" s="1208"/>
      <c r="AD18" s="1089"/>
      <c r="AE18" s="1089"/>
      <c r="AF18" s="1089"/>
      <c r="AG18" s="1089"/>
      <c r="AH18" s="1089"/>
      <c r="AI18" s="1089"/>
      <c r="AJ18" s="1089"/>
      <c r="AK18" s="1089"/>
      <c r="AL18" s="1078"/>
      <c r="AM18" s="1078"/>
      <c r="AN18" s="1078"/>
      <c r="AO18" s="1078"/>
      <c r="AP18" s="1078"/>
      <c r="AQ18" s="1078"/>
      <c r="AR18" s="1102"/>
      <c r="AS18" s="1078"/>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row>
    <row r="19" spans="1:74" ht="36" customHeight="1" thickBot="1" x14ac:dyDescent="0.3">
      <c r="B19" s="1579"/>
      <c r="C19" s="1078"/>
      <c r="D19" s="1141"/>
      <c r="E19" s="2093"/>
      <c r="F19" s="1163"/>
      <c r="G19" s="2094" t="str">
        <f>IF(OR(ISNUMBER(SEARCH("insert",Project_Name))=TRUE,ISNUMBER(SEARCH("###",Project_No))=TRUE),"Insert Project Information (Project Name &amp; #) in TAB A",CONCATENATE("Comparision between MLD requirements in phases for ",Project_No,"-",Project_Name))</f>
        <v>Comparision between MLD requirements in phases for U12345-Davenport Hall Addition &amp; Remodel - Example</v>
      </c>
      <c r="H19" s="2095"/>
      <c r="I19" s="2095"/>
      <c r="J19" s="2095"/>
      <c r="K19" s="2095"/>
      <c r="L19" s="2095"/>
      <c r="M19" s="2095"/>
      <c r="N19" s="2095"/>
      <c r="O19" s="2095"/>
      <c r="P19" s="2095"/>
      <c r="Q19" s="2095"/>
      <c r="R19" s="2095"/>
      <c r="S19" s="2095"/>
      <c r="T19" s="2095"/>
      <c r="U19" s="2095"/>
      <c r="V19" s="2095"/>
      <c r="W19" s="2095"/>
      <c r="X19" s="2095"/>
      <c r="Y19" s="2095"/>
      <c r="Z19" s="2095"/>
      <c r="AA19" s="2095"/>
      <c r="AB19" s="2095"/>
      <c r="AC19" s="1932"/>
      <c r="AD19" s="2168"/>
      <c r="AE19" s="2169"/>
      <c r="AF19" s="2169"/>
      <c r="AG19" s="2169"/>
      <c r="AH19" s="2169"/>
      <c r="AI19" s="2169"/>
      <c r="AJ19" s="2169"/>
      <c r="AK19" s="2170"/>
      <c r="AL19" s="1093" t="str">
        <f>IF(OR(ISNUMBER(SEARCH("Insert",G19))=TRUE,ISNUMBER(SEARCH("###",G19))=TRUE),"&lt;--Complete Peach Cells at the top of TAB 00a","")</f>
        <v/>
      </c>
      <c r="AM19" s="1078"/>
      <c r="AN19" s="1078"/>
      <c r="AO19" s="1094"/>
      <c r="AP19" s="1078"/>
      <c r="AQ19" s="1078"/>
      <c r="AR19" s="1102"/>
      <c r="AS19" s="1078"/>
    </row>
    <row r="20" spans="1:74" ht="18.75" customHeight="1" thickTop="1" thickBot="1" x14ac:dyDescent="0.3">
      <c r="B20" s="1579"/>
      <c r="C20" s="1078"/>
      <c r="D20" s="1141"/>
      <c r="E20" s="2093"/>
      <c r="F20" s="1163"/>
      <c r="G20" s="2096" t="str">
        <f>IF(OR(ISNUMBER(SEARCH("####",'A-Info, Phases, Recip.'!C8))=TRUE,ISNUMBER(SEARCH("choose",Const_Delivery_Method))=TRUE,ISNUMBER(SEARCH("choose",Const_Type))=TRUE,ISNUMBER(SEARCH("choose",LEED_Goal))=TRUE,ISNUMBER(SEARCH("Selected",ISHPO_Project))=TRUE,ISNUMBER(SEARCH("Selected",BOT_project))=TRUE,ISNUMBER(SEARCH("Selected",CDB_Project))=TRUE),"Insert Project Information (i.e. Const. Delivery &amp; Method, BOT?, ISHPO?, CDB?, ....) in TAB A",CONCATENATE("Bldg, Lot, Utility = ",Bldg_No_or_Utility,"; Delivery = ",Const_Delivery_Method,"; Type = ",Const_Type,"; LEED Goal = ",IF(LEED_Goal="None","N/A",LEED_Goal)," ; BOT = ",BOT_project,"; ISHPO = ",ISHPO_Project,";  CDB = ",CDB_Project))</f>
        <v>Bldg, Lot, Utility = 0001; Delivery = BID; Type = Remodeling/Addition; LEED Goal = Silver - Certified ; BOT = Yes; ISHPO = Yes;  CDB = No</v>
      </c>
      <c r="H20" s="2097"/>
      <c r="I20" s="2097"/>
      <c r="J20" s="2097"/>
      <c r="K20" s="2097"/>
      <c r="L20" s="2097"/>
      <c r="M20" s="2097"/>
      <c r="N20" s="2097"/>
      <c r="O20" s="2097"/>
      <c r="P20" s="2097"/>
      <c r="Q20" s="2097"/>
      <c r="R20" s="2097"/>
      <c r="S20" s="2097"/>
      <c r="T20" s="2097"/>
      <c r="U20" s="2097"/>
      <c r="V20" s="2097"/>
      <c r="W20" s="2097"/>
      <c r="X20" s="2097"/>
      <c r="Y20" s="2097"/>
      <c r="Z20" s="2097"/>
      <c r="AA20" s="2097"/>
      <c r="AB20" s="2097"/>
      <c r="AC20" s="1932"/>
      <c r="AD20" s="2165" t="s">
        <v>872</v>
      </c>
      <c r="AE20" s="2166"/>
      <c r="AF20" s="2166"/>
      <c r="AG20" s="2166"/>
      <c r="AH20" s="2166"/>
      <c r="AI20" s="2166"/>
      <c r="AJ20" s="2166"/>
      <c r="AK20" s="2167"/>
      <c r="AL20" s="2148" t="str">
        <f>IF(OR(ISNUMBER(SEARCH("select",G20))=TRUE,ISNUMBER(SEARCH("insert",G20))=TRUE,ISNUMBER(SEARCH("choose",G20))=TRUE),"&lt;--Complete Peach Cells at the top of TAB 00a","")</f>
        <v/>
      </c>
      <c r="AM20" s="2149"/>
      <c r="AN20" s="2149"/>
      <c r="AO20" s="1094"/>
      <c r="AP20" s="1078"/>
      <c r="AQ20" s="1078"/>
      <c r="AR20" s="1102"/>
      <c r="AS20" s="1078"/>
    </row>
    <row r="21" spans="1:74" ht="15" customHeight="1" thickTop="1" thickBot="1" x14ac:dyDescent="0.3">
      <c r="B21" s="1579"/>
      <c r="C21" s="1078"/>
      <c r="D21" s="1141"/>
      <c r="E21" s="2093"/>
      <c r="F21" s="1163"/>
      <c r="G21" s="762" t="s">
        <v>760</v>
      </c>
      <c r="H21" s="763" t="s">
        <v>760</v>
      </c>
      <c r="I21" s="764" t="s">
        <v>577</v>
      </c>
      <c r="J21" s="765" t="s">
        <v>577</v>
      </c>
      <c r="K21" s="766" t="s">
        <v>382</v>
      </c>
      <c r="L21" s="767" t="s">
        <v>382</v>
      </c>
      <c r="M21" s="768" t="s">
        <v>383</v>
      </c>
      <c r="N21" s="769" t="s">
        <v>383</v>
      </c>
      <c r="O21" s="770" t="s">
        <v>384</v>
      </c>
      <c r="P21" s="771" t="s">
        <v>384</v>
      </c>
      <c r="Q21" s="772" t="s">
        <v>385</v>
      </c>
      <c r="R21" s="773" t="s">
        <v>385</v>
      </c>
      <c r="S21" s="1823" t="s">
        <v>696</v>
      </c>
      <c r="T21" s="774" t="s">
        <v>696</v>
      </c>
      <c r="U21" s="775" t="s">
        <v>386</v>
      </c>
      <c r="V21" s="776" t="s">
        <v>386</v>
      </c>
      <c r="W21" s="777" t="s">
        <v>697</v>
      </c>
      <c r="X21" s="965" t="s">
        <v>697</v>
      </c>
      <c r="Y21" s="2154" t="str">
        <f>CONCATENATE("Master Template last updated on: ",TEXT(Form_Update,"MM/DD/YYYY"))</f>
        <v>Master Template last updated on: 08/31/2020</v>
      </c>
      <c r="Z21" s="2155"/>
      <c r="AA21" s="967"/>
      <c r="AB21" s="2082" t="s">
        <v>1178</v>
      </c>
      <c r="AC21" s="1209"/>
      <c r="AD21" s="1221"/>
      <c r="AE21" s="1221"/>
      <c r="AF21" s="1221"/>
      <c r="AG21" s="1221"/>
      <c r="AH21" s="1221"/>
      <c r="AI21" s="1221"/>
      <c r="AJ21" s="1221"/>
      <c r="AK21" s="1221"/>
      <c r="AL21" s="1078"/>
      <c r="AM21" s="1094"/>
      <c r="AN21" s="1078"/>
      <c r="AO21" s="1094"/>
      <c r="AP21" s="1078"/>
      <c r="AQ21" s="1078"/>
      <c r="AR21" s="1102"/>
      <c r="AS21" s="1078"/>
    </row>
    <row r="22" spans="1:74" ht="75" customHeight="1" thickTop="1" thickBot="1" x14ac:dyDescent="0.3">
      <c r="B22" s="1580" t="s">
        <v>905</v>
      </c>
      <c r="C22" s="1078"/>
      <c r="D22" s="1141" t="s">
        <v>375</v>
      </c>
      <c r="E22" s="2093"/>
      <c r="F22" s="1163"/>
      <c r="G22" s="778" t="str">
        <f>IF(Feasibility_Concept="Conceptualization","Conceptualization - Not Basic Services","Conceptualization DOES NOT APPLY")</f>
        <v>Conceptualization - Not Basic Services</v>
      </c>
      <c r="H22" s="829" t="str">
        <f>IF(Feasibility_Concept="Conceptualization","Conceptualization (DEFAULT)","Conceptualization DOES NOT APPLY")</f>
        <v>Conceptualization (DEFAULT)</v>
      </c>
      <c r="I22" s="779" t="str">
        <f>IF(OR(Design="Design does not apply",Construction="Construction does not apply",Feasibility_Concept="Conceptualization Only",Feasibility_Concept="Feasibility Study",),"NO DESIGN - NO Schematic Design",IF(SD_apply="NO","Schematic Design DOES NOT APPLY","Schematic Design"))</f>
        <v>Schematic Design</v>
      </c>
      <c r="J22" s="826" t="str">
        <f>IF(Design="Design does not apply","NO DESIGN - NO Schematic Design",IF(SD_apply="NO","Schematic Design DOES NOT APPLY","Schematic Design (DEFAULT)"))</f>
        <v>Schematic Design (DEFAULT)</v>
      </c>
      <c r="K22" s="780" t="str">
        <f>IF(OR(Design="Design does not apply",Construction="Construction does not apply",Feasibility_Concept="Conceptualization Only",Feasibility_Concept="Feasibility Study"),"NO DESIGN - NO Design Development",IF(DD_apply="NO","Design Development DOES NOT APPLY",VLOOKUP(DD_placeholder,'A-Info, Phases, Recip.'!$E$126:$F$145,2,FALSE)))</f>
        <v>Design Development</v>
      </c>
      <c r="L22" s="825" t="str">
        <f>IF(Design="Design does not apply","NO DESIGN - NO Design Development",IF(DD_apply="NO","Design Development DOES NOT APPLY","Design Development (DEFAULT)"))</f>
        <v>Design Development (DEFAULT)</v>
      </c>
      <c r="M22" s="781" t="str">
        <f>IF(OR(Design="Design does not apply",Construction="Construction does not apply",Feasibility_Concept="Conceptualization Only",Feasibility_Concept="Feasibility Study"),"NO DESIGN - NO 50% CD",IF(CD50_apply="NO","50% CD DOES NOT APPLY",VLOOKUP(_50CD_placeholder,'A-Info, Phases, Recip.'!$E$126:$F$145,2,FALSE)))</f>
        <v>50% CD</v>
      </c>
      <c r="N22" s="824" t="str">
        <f>IF(Design="Design does not apply","NO DESIGN - NO 50% CD",IF(CD50_apply="NO","50% CD DOES NOT APPLY","50% CD (DEFAULT)"))</f>
        <v>50% CD (DEFAULT)</v>
      </c>
      <c r="O22" s="782" t="str">
        <f>IF(OR(Design="Design does not apply",Construction="Construction does not apply",Feasibility_Concept="Conceptualization Only",Feasibility_Concept="Feasibility Study"),"NO DESIGN - NO 95% CD",IF(CD95_apply="NO","95% CD DOES NOT APPLY",VLOOKUP(_95CD_placeholder,'A-Info, Phases, Recip.'!$E$126:$F$145,2,FALSE)))</f>
        <v>95% CD</v>
      </c>
      <c r="P22" s="823" t="str">
        <f>IF(Design="Design does not apply","NO DESIGN - NO 95% CD",IF(CD95_apply="NO","95% CD DOES NOT APPLY","95% CD (DEFAULT)"))</f>
        <v>95% CD (DEFAULT)</v>
      </c>
      <c r="Q22" s="783" t="str">
        <f>IF(OR(Feasibility_Concept="Feasibility Study",Feasibility_Concept="Conceptualization Only",Construction="Construction does not apply"),"NO CONST. - NO Bid &amp; Award",IF(bid_apply="NO","BID &amp; AWARD DOES NOT APPLY","Bid &amp; Award "))</f>
        <v xml:space="preserve">Bid &amp; Award </v>
      </c>
      <c r="R22" s="827" t="str">
        <f>IF(Construction="Construction does not apply","NO CONST. - NO Bid &amp; Award",IF(bid_apply="NO","BID &amp; AWARD DOES NOT APPLY","Bid &amp; Award (DEFAULT)"))</f>
        <v>Bid &amp; Award (DEFAULT)</v>
      </c>
      <c r="S22" s="1824" t="str">
        <f>IF(OR(Design="Design does not apply",Feasibility_Concept="Conceptualization Only",Feasibility_Concept="Feasibility Study",Construction="Construction does not apply"),"NO CONST. - NO CONST PHASE",IF(Const_apply="NO","CONSTRUCTION DOES NOT APPLY","Construction"))</f>
        <v>Construction</v>
      </c>
      <c r="T22" s="828" t="str">
        <f>IF(Construction="Construction does not apply","NO CONST. - NO CONST PHASE",IF(Const_apply="NO","CONSTRUCTION DOES NOT APPLY","Construction (DEFAULT)"))</f>
        <v>Construction (DEFAULT)</v>
      </c>
      <c r="U22" s="784" t="str">
        <f>IF(OR(Design="Design does not apply",Feasibility_Concept="Conceptualization Only",Feasibility_Concept="Feasibility Study",Construction="Construction does not apply"),"NO CONST. - NO CLOSEOUT",IF(Close_Out_apply="NO","CLOSE OUT DOES NOT APPLY","Closeout"))</f>
        <v>Closeout</v>
      </c>
      <c r="V22" s="822" t="str">
        <f>IF(Construction="Construction does not apply","NO CONST. - NO CLOSEOUT",IF(Close_Out_apply="NO","CLOSEOUT DOES NOT APPLY","Closeout (DEFAULT)"))</f>
        <v>Closeout (DEFAULT)</v>
      </c>
      <c r="W22" s="785" t="str">
        <f>IF(OR(Design="Design does not apply",Feasibility_Concept="Conceptualization Only",Feasibility_Concept="Feasibility Study",Construction="Construction does not apply"),"NO CONST. - NO POST CONST.",IF(Post_Const_Apply="NO","POST CONST. DOES NOT APPLY","Post Construction-
Not Basic Services "))</f>
        <v xml:space="preserve">Post Construction-
Not Basic Services </v>
      </c>
      <c r="X22" s="966" t="str">
        <f>IF(Construction="Construction does not apply","NO CONST. - NO POST CONST.",IF(Post_Const_Apply="NO","POST CONST. DOES NOT APPLY","Post Construction (DEFAULT)"))</f>
        <v>Post Construction (DEFAULT)</v>
      </c>
      <c r="Y22" s="2158" t="s">
        <v>1189</v>
      </c>
      <c r="Z22" s="2159"/>
      <c r="AA22" s="968" t="s">
        <v>766</v>
      </c>
      <c r="AB22" s="2083"/>
      <c r="AC22" s="1209"/>
      <c r="AD22" s="787" t="str">
        <f>IF(Feasibility_Concept="Conceptualization","Conceptualization","Conceptualization DOES NOT APPLY")</f>
        <v>Conceptualization</v>
      </c>
      <c r="AE22" s="788" t="str">
        <f>IF(Design="Design does not apply","NO DESIGN - NO Schematic Design",IF(SD_apply="NO","Schematic Design DOES NOT APPLY","Schematic Design"))</f>
        <v>Schematic Design</v>
      </c>
      <c r="AF22" s="789" t="str">
        <f>IF(Design="Design does not apply","NO DESIGN - NO Design Development",IF(DD_apply="NO","Design Development DOES NOT APPLY","Design Development"))</f>
        <v>Design Development</v>
      </c>
      <c r="AG22" s="790" t="str">
        <f>IF(Design="Design does not apply","NO DESIGN - NO 50% CD",IF(CD50_apply="NO","50% CD DOES NOT APPLY","50% CD"))</f>
        <v>50% CD</v>
      </c>
      <c r="AH22" s="791" t="str">
        <f>IF(Design="Design does not apply","NO DESIGN - NO 95% CD",IF(CD95_apply="NO","95% CD DOES NOT APPLY","95% CD "))</f>
        <v xml:space="preserve">95% CD </v>
      </c>
      <c r="AI22" s="1758" t="str">
        <f>IF(Construction="Construction does not apply","NO CONST. - NO Bid &amp; Award",IF(bid_apply="NO","BID &amp; AWARD DOES NOT APPLY","Bid &amp; Award "))</f>
        <v xml:space="preserve">Bid &amp; Award </v>
      </c>
      <c r="AJ22" s="1759" t="str">
        <f>IF(Construction="Construction does not apply","NO CONST. - NO CONST. PHASE",IF(Const_apply="NO","CONST DOES NOT APPLY","Construction "))</f>
        <v xml:space="preserve">Construction </v>
      </c>
      <c r="AK22" s="792" t="str">
        <f>IF(Construction="Construction does not apply","NO CONST. - NO CLOSE OUT",IF(Close_Out_apply="NO","CLOSE OUT DOES NOT APPLY","Close Out"))</f>
        <v>Close Out</v>
      </c>
      <c r="AL22" s="2148" t="s">
        <v>497</v>
      </c>
      <c r="AM22" s="2149"/>
      <c r="AN22" s="2149"/>
      <c r="AO22" s="1094"/>
      <c r="AP22" s="1078"/>
      <c r="AQ22" s="1078"/>
      <c r="AR22" s="1102"/>
      <c r="AS22" s="1078"/>
    </row>
    <row r="23" spans="1:74" s="1" customFormat="1" ht="6.75" customHeight="1" thickTop="1" x14ac:dyDescent="0.25">
      <c r="B23" s="1579"/>
      <c r="C23" s="1078"/>
      <c r="D23" s="1137" t="str">
        <f>IF(COUNTIF('04 - 95% CD'!D24:G24,"Y")&gt;0,"Y","")</f>
        <v/>
      </c>
      <c r="E23" s="1138"/>
      <c r="F23" s="1163"/>
      <c r="G23" s="421"/>
      <c r="H23" s="426"/>
      <c r="I23" s="421"/>
      <c r="J23" s="422"/>
      <c r="K23" s="421"/>
      <c r="L23" s="426"/>
      <c r="M23" s="421"/>
      <c r="N23" s="426"/>
      <c r="O23" s="421"/>
      <c r="P23" s="443"/>
      <c r="Q23" s="417"/>
      <c r="R23" s="426"/>
      <c r="S23" s="421"/>
      <c r="T23" s="426"/>
      <c r="U23" s="421"/>
      <c r="V23" s="426"/>
      <c r="W23" s="421"/>
      <c r="X23" s="422"/>
      <c r="Y23" s="607"/>
      <c r="Z23" s="608"/>
      <c r="AA23" s="969"/>
      <c r="AB23" s="1908"/>
      <c r="AC23" s="1210"/>
      <c r="AD23" s="1225"/>
      <c r="AE23" s="1226"/>
      <c r="AF23" s="1226"/>
      <c r="AG23" s="1226"/>
      <c r="AH23" s="1226"/>
      <c r="AI23" s="1226"/>
      <c r="AJ23" s="1226"/>
      <c r="AK23" s="1226"/>
      <c r="AL23" s="1078"/>
      <c r="AM23" s="1078"/>
      <c r="AN23" s="1078"/>
      <c r="AO23" s="1078"/>
      <c r="AP23" s="1078"/>
      <c r="AQ23" s="1078"/>
      <c r="AR23" s="1102"/>
      <c r="AS23" s="1078"/>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row>
    <row r="24" spans="1:74" s="1" customFormat="1" ht="6.75" customHeight="1" x14ac:dyDescent="0.25">
      <c r="B24" s="1579"/>
      <c r="C24" s="1078"/>
      <c r="D24" s="1137"/>
      <c r="E24" s="1138"/>
      <c r="F24" s="1163"/>
      <c r="G24" s="421"/>
      <c r="H24" s="426"/>
      <c r="I24" s="421"/>
      <c r="J24" s="422"/>
      <c r="K24" s="421"/>
      <c r="L24" s="426"/>
      <c r="M24" s="421"/>
      <c r="N24" s="426"/>
      <c r="O24" s="421"/>
      <c r="P24" s="443"/>
      <c r="Q24" s="417"/>
      <c r="R24" s="426"/>
      <c r="S24" s="421"/>
      <c r="T24" s="422"/>
      <c r="U24" s="421"/>
      <c r="V24" s="426"/>
      <c r="W24" s="421"/>
      <c r="X24" s="422"/>
      <c r="Y24" s="607"/>
      <c r="Z24" s="608"/>
      <c r="AA24" s="969"/>
      <c r="AB24" s="1908"/>
      <c r="AC24" s="1210"/>
      <c r="AD24" s="1225"/>
      <c r="AE24" s="1226"/>
      <c r="AF24" s="1226"/>
      <c r="AG24" s="1226"/>
      <c r="AH24" s="1226"/>
      <c r="AI24" s="1226"/>
      <c r="AJ24" s="1226"/>
      <c r="AK24" s="1226"/>
      <c r="AL24" s="1078"/>
      <c r="AM24" s="1078"/>
      <c r="AN24" s="1078"/>
      <c r="AO24" s="1078"/>
      <c r="AP24" s="1078"/>
      <c r="AQ24" s="1078"/>
      <c r="AR24" s="1102"/>
      <c r="AS24" s="1078"/>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row>
    <row r="25" spans="1:74" s="181" customFormat="1" ht="18.75" x14ac:dyDescent="0.25">
      <c r="A25" s="551"/>
      <c r="B25" s="1578"/>
      <c r="C25" s="1095"/>
      <c r="D25" s="1142" t="s">
        <v>127</v>
      </c>
      <c r="E25" s="1143" t="str">
        <f t="shared" ref="E25:E99" si="0">IF(Z25="","",IF(OR(AND(OR(G25="Y",G25="?"),_00_apply="Yes"),AND(OR(I25="Y",I25="?"),_01_apply="Yes"),AND(OR(K25="Y",K25="?"),_02_apply="Yes"),AND(OR(M25="Y",M25="?"),_03_apply="Yes"),AND(OR(O25="Y",O25="?"),_04_apply="Yes"),AND(OR(Q25="Y",Q25="?"),_05_apply="Yes"),AND(OR(S25="?",S25="Y"),_06_apply="Yes"),AND(OR(U25="?",U25="Y"),_07_apply="Yes"),AND(OR(W25="Y",W25="?"),_08_apply="Yes")),"","N"))</f>
        <v/>
      </c>
      <c r="F25" s="1166"/>
      <c r="G25" s="1680" t="s">
        <v>37</v>
      </c>
      <c r="H25" s="1681" t="s">
        <v>37</v>
      </c>
      <c r="I25" s="1680" t="s">
        <v>37</v>
      </c>
      <c r="J25" s="1682" t="s">
        <v>37</v>
      </c>
      <c r="K25" s="1680" t="s">
        <v>37</v>
      </c>
      <c r="L25" s="1681" t="str">
        <f>IF(L14="No","N","Y")</f>
        <v>Y</v>
      </c>
      <c r="M25" s="1680" t="s">
        <v>37</v>
      </c>
      <c r="N25" s="1681" t="s">
        <v>37</v>
      </c>
      <c r="O25" s="1680" t="s">
        <v>37</v>
      </c>
      <c r="P25" s="1683" t="s">
        <v>37</v>
      </c>
      <c r="Q25" s="1684" t="s">
        <v>37</v>
      </c>
      <c r="R25" s="1681" t="s">
        <v>37</v>
      </c>
      <c r="S25" s="1680" t="s">
        <v>37</v>
      </c>
      <c r="T25" s="1682" t="s">
        <v>37</v>
      </c>
      <c r="U25" s="1680" t="s">
        <v>37</v>
      </c>
      <c r="V25" s="1681" t="s">
        <v>37</v>
      </c>
      <c r="W25" s="1680" t="s">
        <v>37</v>
      </c>
      <c r="X25" s="810" t="s">
        <v>37</v>
      </c>
      <c r="Y25" s="428" t="s">
        <v>650</v>
      </c>
      <c r="Z25" s="579" t="s">
        <v>603</v>
      </c>
      <c r="AA25" s="970" t="s">
        <v>37</v>
      </c>
      <c r="AB25" s="1910"/>
      <c r="AC25" s="1211"/>
      <c r="AD25" s="1227"/>
      <c r="AE25" s="1228" t="s">
        <v>604</v>
      </c>
      <c r="AF25" s="1228" t="s">
        <v>604</v>
      </c>
      <c r="AG25" s="1228" t="s">
        <v>604</v>
      </c>
      <c r="AH25" s="1778" t="s">
        <v>604</v>
      </c>
      <c r="AI25" s="1760" t="s">
        <v>604</v>
      </c>
      <c r="AJ25" s="1228" t="s">
        <v>604</v>
      </c>
      <c r="AK25" s="1228" t="s">
        <v>604</v>
      </c>
      <c r="AL25" s="1095"/>
      <c r="AM25" s="1095"/>
      <c r="AN25" s="1095"/>
      <c r="AO25" s="1095"/>
      <c r="AP25" s="1095"/>
      <c r="AQ25" s="1095"/>
      <c r="AR25" s="1095"/>
      <c r="AS25" s="1095"/>
    </row>
    <row r="26" spans="1:74" s="181" customFormat="1" ht="17.25" customHeight="1" x14ac:dyDescent="0.25">
      <c r="A26" s="551"/>
      <c r="B26" s="1578"/>
      <c r="C26" s="1097"/>
      <c r="D26" s="1142"/>
      <c r="E26" s="1144" t="str">
        <f t="shared" si="0"/>
        <v/>
      </c>
      <c r="F26" s="1166"/>
      <c r="G26" s="1685" t="s">
        <v>208</v>
      </c>
      <c r="H26" s="1686" t="s">
        <v>208</v>
      </c>
      <c r="I26" s="1685" t="s">
        <v>208</v>
      </c>
      <c r="J26" s="1687" t="s">
        <v>208</v>
      </c>
      <c r="K26" s="1685" t="s">
        <v>208</v>
      </c>
      <c r="L26" s="1686" t="s">
        <v>208</v>
      </c>
      <c r="M26" s="1685" t="s">
        <v>208</v>
      </c>
      <c r="N26" s="1686" t="s">
        <v>208</v>
      </c>
      <c r="O26" s="1685" t="s">
        <v>208</v>
      </c>
      <c r="P26" s="1688" t="s">
        <v>208</v>
      </c>
      <c r="Q26" s="1689" t="s">
        <v>208</v>
      </c>
      <c r="R26" s="1686" t="s">
        <v>208</v>
      </c>
      <c r="S26" s="1685" t="s">
        <v>208</v>
      </c>
      <c r="T26" s="1690" t="s">
        <v>208</v>
      </c>
      <c r="U26" s="1685" t="s">
        <v>208</v>
      </c>
      <c r="V26" s="1686" t="s">
        <v>208</v>
      </c>
      <c r="W26" s="1685" t="s">
        <v>208</v>
      </c>
      <c r="X26" s="811" t="s">
        <v>208</v>
      </c>
      <c r="Y26" s="429"/>
      <c r="Z26" s="580"/>
      <c r="AA26" s="971" t="s">
        <v>208</v>
      </c>
      <c r="AB26" s="1909"/>
      <c r="AC26" s="1125"/>
      <c r="AD26" s="1229"/>
      <c r="AE26" s="1230"/>
      <c r="AF26" s="1231"/>
      <c r="AG26" s="1230"/>
      <c r="AH26" s="1779"/>
      <c r="AI26" s="1761"/>
      <c r="AJ26" s="1230"/>
      <c r="AK26" s="1230"/>
      <c r="AL26" s="1095"/>
      <c r="AM26" s="1095"/>
      <c r="AN26" s="1095"/>
      <c r="AO26" s="1095"/>
      <c r="AP26" s="1095"/>
      <c r="AQ26" s="1103"/>
      <c r="AR26" s="1097"/>
      <c r="AS26" s="1097"/>
    </row>
    <row r="27" spans="1:74" s="181" customFormat="1" ht="18.75" x14ac:dyDescent="0.25">
      <c r="A27" s="551"/>
      <c r="B27" s="1578"/>
      <c r="C27" s="1097"/>
      <c r="D27" s="1142" t="s">
        <v>39</v>
      </c>
      <c r="E27" s="1146" t="str">
        <f t="shared" si="0"/>
        <v/>
      </c>
      <c r="F27" s="1166"/>
      <c r="G27" s="1680" t="s">
        <v>37</v>
      </c>
      <c r="H27" s="1681" t="s">
        <v>37</v>
      </c>
      <c r="I27" s="1680" t="s">
        <v>37</v>
      </c>
      <c r="J27" s="1682" t="s">
        <v>37</v>
      </c>
      <c r="K27" s="1680" t="s">
        <v>37</v>
      </c>
      <c r="L27" s="1681" t="s">
        <v>37</v>
      </c>
      <c r="M27" s="1680" t="s">
        <v>37</v>
      </c>
      <c r="N27" s="1681" t="s">
        <v>37</v>
      </c>
      <c r="O27" s="1680" t="s">
        <v>37</v>
      </c>
      <c r="P27" s="1683" t="s">
        <v>37</v>
      </c>
      <c r="Q27" s="1684" t="s">
        <v>37</v>
      </c>
      <c r="R27" s="1681" t="s">
        <v>37</v>
      </c>
      <c r="S27" s="1680" t="s">
        <v>37</v>
      </c>
      <c r="T27" s="1682" t="s">
        <v>38</v>
      </c>
      <c r="U27" s="1680" t="s">
        <v>38</v>
      </c>
      <c r="V27" s="1681" t="s">
        <v>38</v>
      </c>
      <c r="W27" s="1680" t="s">
        <v>38</v>
      </c>
      <c r="X27" s="810" t="s">
        <v>38</v>
      </c>
      <c r="Y27" s="428" t="s">
        <v>641</v>
      </c>
      <c r="Z27" s="579" t="s">
        <v>599</v>
      </c>
      <c r="AA27" s="970" t="s">
        <v>37</v>
      </c>
      <c r="AB27" s="1910"/>
      <c r="AC27" s="1212"/>
      <c r="AD27" s="1232" t="s">
        <v>623</v>
      </c>
      <c r="AE27" s="1233" t="s">
        <v>623</v>
      </c>
      <c r="AF27" s="1233" t="s">
        <v>801</v>
      </c>
      <c r="AG27" s="1233" t="s">
        <v>802</v>
      </c>
      <c r="AH27" s="1780" t="s">
        <v>802</v>
      </c>
      <c r="AI27" s="1762" t="s">
        <v>803</v>
      </c>
      <c r="AJ27" s="1233"/>
      <c r="AK27" s="1233"/>
      <c r="AL27" s="1095"/>
      <c r="AM27" s="1095"/>
      <c r="AN27" s="1095"/>
      <c r="AO27" s="1095"/>
      <c r="AP27" s="1095"/>
      <c r="AQ27" s="1104"/>
      <c r="AR27" s="1105"/>
      <c r="AS27" s="1097"/>
    </row>
    <row r="28" spans="1:74" s="551" customFormat="1" ht="18.75" x14ac:dyDescent="0.25">
      <c r="B28" s="1578"/>
      <c r="C28" s="1097"/>
      <c r="D28" s="1968" t="s">
        <v>1217</v>
      </c>
      <c r="E28" s="1146" t="str">
        <f t="shared" si="0"/>
        <v/>
      </c>
      <c r="F28" s="1166"/>
      <c r="G28" s="886" t="s">
        <v>38</v>
      </c>
      <c r="H28" s="962"/>
      <c r="I28" s="886" t="s">
        <v>37</v>
      </c>
      <c r="J28" s="963" t="s">
        <v>37</v>
      </c>
      <c r="K28" s="886" t="s">
        <v>37</v>
      </c>
      <c r="L28" s="962"/>
      <c r="M28" s="886" t="s">
        <v>37</v>
      </c>
      <c r="N28" s="962" t="s">
        <v>37</v>
      </c>
      <c r="O28" s="886" t="s">
        <v>37</v>
      </c>
      <c r="P28" s="964" t="s">
        <v>37</v>
      </c>
      <c r="Q28" s="985" t="s">
        <v>37</v>
      </c>
      <c r="R28" s="962" t="s">
        <v>38</v>
      </c>
      <c r="S28" s="886" t="s">
        <v>38</v>
      </c>
      <c r="T28" s="963" t="s">
        <v>38</v>
      </c>
      <c r="U28" s="886" t="s">
        <v>38</v>
      </c>
      <c r="V28" s="962" t="s">
        <v>38</v>
      </c>
      <c r="W28" s="886" t="s">
        <v>38</v>
      </c>
      <c r="X28" s="812"/>
      <c r="Y28" s="748"/>
      <c r="Z28" s="583" t="s">
        <v>599</v>
      </c>
      <c r="AA28" s="970" t="s">
        <v>37</v>
      </c>
      <c r="AB28" s="1910"/>
      <c r="AC28" s="1212"/>
      <c r="AD28" s="1240" t="s">
        <v>623</v>
      </c>
      <c r="AE28" s="1239" t="str">
        <f t="shared" ref="AE28:AE30" si="1">IF(Feasibility_Concept="Conceptualization"," (Updates to) "," ")</f>
        <v xml:space="preserve"> (Updates to) </v>
      </c>
      <c r="AF28" s="1239" t="str">
        <f t="shared" ref="AF28:AF30" si="2">IF(SD_apply="Yes"," (Updates to) "," ")</f>
        <v xml:space="preserve"> (Updates to) </v>
      </c>
      <c r="AG28" s="1239" t="str">
        <f t="shared" ref="AG28:AG30" si="3">IF(OR(DD_apply="Yes",SD_apply="Yes")," (Updates to) "," ")</f>
        <v xml:space="preserve"> (Updates to) </v>
      </c>
      <c r="AH28" s="1783" t="str">
        <f t="shared" ref="AH28:AH30" si="4">IF(OR(DD_apply="Yes",SD_apply="Yes",CD50_apply="Yes")," (Updates to) "," ")</f>
        <v xml:space="preserve"> (Updates to) </v>
      </c>
      <c r="AI28" s="1765" t="s">
        <v>574</v>
      </c>
      <c r="AJ28" s="1239"/>
      <c r="AK28" s="1239" t="s">
        <v>702</v>
      </c>
      <c r="AL28" s="1095"/>
      <c r="AM28" s="1095"/>
      <c r="AN28" s="1095"/>
      <c r="AO28" s="1095"/>
      <c r="AP28" s="1095"/>
      <c r="AQ28" s="1104"/>
      <c r="AR28" s="1105"/>
      <c r="AS28" s="1097"/>
    </row>
    <row r="29" spans="1:74" s="551" customFormat="1" ht="18.75" x14ac:dyDescent="0.25">
      <c r="B29" s="1578"/>
      <c r="C29" s="1097"/>
      <c r="D29" s="1968" t="s">
        <v>1217</v>
      </c>
      <c r="E29" s="1146" t="str">
        <f t="shared" si="0"/>
        <v/>
      </c>
      <c r="F29" s="1166"/>
      <c r="G29" s="886" t="s">
        <v>38</v>
      </c>
      <c r="H29" s="962"/>
      <c r="I29" s="886" t="s">
        <v>37</v>
      </c>
      <c r="J29" s="963" t="s">
        <v>37</v>
      </c>
      <c r="K29" s="886" t="s">
        <v>37</v>
      </c>
      <c r="L29" s="962"/>
      <c r="M29" s="886" t="s">
        <v>37</v>
      </c>
      <c r="N29" s="962" t="s">
        <v>38</v>
      </c>
      <c r="O29" s="886" t="s">
        <v>38</v>
      </c>
      <c r="P29" s="964" t="s">
        <v>38</v>
      </c>
      <c r="Q29" s="985" t="s">
        <v>38</v>
      </c>
      <c r="R29" s="962" t="s">
        <v>38</v>
      </c>
      <c r="S29" s="886" t="s">
        <v>38</v>
      </c>
      <c r="T29" s="963" t="s">
        <v>38</v>
      </c>
      <c r="U29" s="886" t="s">
        <v>38</v>
      </c>
      <c r="V29" s="962" t="s">
        <v>38</v>
      </c>
      <c r="W29" s="886" t="s">
        <v>38</v>
      </c>
      <c r="X29" s="812"/>
      <c r="Y29" s="748"/>
      <c r="Z29" s="583" t="s">
        <v>1203</v>
      </c>
      <c r="AA29" s="970" t="s">
        <v>37</v>
      </c>
      <c r="AB29" s="1910"/>
      <c r="AC29" s="1212"/>
      <c r="AD29" s="1240"/>
      <c r="AE29" s="1239" t="str">
        <f t="shared" si="1"/>
        <v xml:space="preserve"> (Updates to) </v>
      </c>
      <c r="AF29" s="1239" t="str">
        <f t="shared" si="2"/>
        <v xml:space="preserve"> (Updates to) </v>
      </c>
      <c r="AG29" s="1239" t="str">
        <f t="shared" si="3"/>
        <v xml:space="preserve"> (Updates to) </v>
      </c>
      <c r="AH29" s="1783" t="str">
        <f t="shared" si="4"/>
        <v xml:space="preserve"> (Updates to) </v>
      </c>
      <c r="AI29" s="1765" t="s">
        <v>574</v>
      </c>
      <c r="AJ29" s="1239"/>
      <c r="AK29" s="1239" t="s">
        <v>702</v>
      </c>
      <c r="AL29" s="1095"/>
      <c r="AM29" s="1095"/>
      <c r="AN29" s="1095"/>
      <c r="AO29" s="1095"/>
      <c r="AP29" s="1095"/>
      <c r="AQ29" s="1104"/>
      <c r="AR29" s="1105"/>
      <c r="AS29" s="1097"/>
    </row>
    <row r="30" spans="1:74" s="551" customFormat="1" ht="18.75" x14ac:dyDescent="0.25">
      <c r="B30" s="1578"/>
      <c r="C30" s="1097"/>
      <c r="D30" s="1968" t="s">
        <v>1217</v>
      </c>
      <c r="E30" s="1146" t="str">
        <f t="shared" si="0"/>
        <v>N</v>
      </c>
      <c r="F30" s="1166"/>
      <c r="G30" s="886" t="s">
        <v>38</v>
      </c>
      <c r="H30" s="962"/>
      <c r="I30" s="886" t="s">
        <v>38</v>
      </c>
      <c r="J30" s="963" t="s">
        <v>38</v>
      </c>
      <c r="K30" s="886" t="s">
        <v>38</v>
      </c>
      <c r="L30" s="962" t="s">
        <v>38</v>
      </c>
      <c r="M30" s="886" t="s">
        <v>38</v>
      </c>
      <c r="N30" s="962" t="s">
        <v>38</v>
      </c>
      <c r="O30" s="886" t="s">
        <v>38</v>
      </c>
      <c r="P30" s="964" t="s">
        <v>38</v>
      </c>
      <c r="Q30" s="985" t="s">
        <v>38</v>
      </c>
      <c r="R30" s="962" t="s">
        <v>38</v>
      </c>
      <c r="S30" s="886" t="s">
        <v>38</v>
      </c>
      <c r="T30" s="963" t="s">
        <v>38</v>
      </c>
      <c r="U30" s="886" t="s">
        <v>38</v>
      </c>
      <c r="V30" s="962" t="s">
        <v>38</v>
      </c>
      <c r="W30" s="886" t="s">
        <v>38</v>
      </c>
      <c r="X30" s="812"/>
      <c r="Y30" s="748"/>
      <c r="Z30" s="583" t="s">
        <v>478</v>
      </c>
      <c r="AA30" s="970" t="s">
        <v>38</v>
      </c>
      <c r="AB30" s="1910"/>
      <c r="AC30" s="1212"/>
      <c r="AD30" s="1240"/>
      <c r="AE30" s="1239" t="str">
        <f t="shared" si="1"/>
        <v xml:space="preserve"> (Updates to) </v>
      </c>
      <c r="AF30" s="1239" t="str">
        <f t="shared" si="2"/>
        <v xml:space="preserve"> (Updates to) </v>
      </c>
      <c r="AG30" s="1239" t="str">
        <f t="shared" si="3"/>
        <v xml:space="preserve"> (Updates to) </v>
      </c>
      <c r="AH30" s="1783" t="str">
        <f t="shared" si="4"/>
        <v xml:space="preserve"> (Updates to) </v>
      </c>
      <c r="AI30" s="1765" t="s">
        <v>574</v>
      </c>
      <c r="AJ30" s="1239"/>
      <c r="AK30" s="1239" t="s">
        <v>702</v>
      </c>
      <c r="AL30" s="1095"/>
      <c r="AM30" s="1095"/>
      <c r="AN30" s="1095"/>
      <c r="AO30" s="1095"/>
      <c r="AP30" s="1095"/>
      <c r="AQ30" s="1104"/>
      <c r="AR30" s="1105"/>
      <c r="AS30" s="1097"/>
    </row>
    <row r="31" spans="1:74" s="181" customFormat="1" ht="18.75" customHeight="1" x14ac:dyDescent="0.25">
      <c r="A31" s="551"/>
      <c r="B31" s="1578"/>
      <c r="C31" s="1097"/>
      <c r="D31" s="1142"/>
      <c r="E31" s="1144" t="s">
        <v>940</v>
      </c>
      <c r="F31" s="1166"/>
      <c r="G31" s="1685" t="s">
        <v>208</v>
      </c>
      <c r="H31" s="1686" t="s">
        <v>208</v>
      </c>
      <c r="I31" s="1685" t="s">
        <v>208</v>
      </c>
      <c r="J31" s="1687" t="s">
        <v>208</v>
      </c>
      <c r="K31" s="1685" t="s">
        <v>208</v>
      </c>
      <c r="L31" s="1686" t="s">
        <v>208</v>
      </c>
      <c r="M31" s="1685" t="s">
        <v>208</v>
      </c>
      <c r="N31" s="1686" t="s">
        <v>208</v>
      </c>
      <c r="O31" s="1685" t="s">
        <v>208</v>
      </c>
      <c r="P31" s="1688" t="s">
        <v>208</v>
      </c>
      <c r="Q31" s="1689" t="s">
        <v>208</v>
      </c>
      <c r="R31" s="1686" t="s">
        <v>208</v>
      </c>
      <c r="S31" s="1685" t="s">
        <v>208</v>
      </c>
      <c r="T31" s="1690" t="s">
        <v>208</v>
      </c>
      <c r="U31" s="1685" t="s">
        <v>208</v>
      </c>
      <c r="V31" s="1686" t="s">
        <v>208</v>
      </c>
      <c r="W31" s="1685" t="s">
        <v>208</v>
      </c>
      <c r="X31" s="811" t="s">
        <v>208</v>
      </c>
      <c r="Y31" s="429"/>
      <c r="Z31" s="1618" t="s">
        <v>939</v>
      </c>
      <c r="AA31" s="971" t="s">
        <v>208</v>
      </c>
      <c r="AB31" s="1909"/>
      <c r="AC31" s="1125"/>
      <c r="AD31" s="1229"/>
      <c r="AE31" s="1230"/>
      <c r="AF31" s="1231"/>
      <c r="AG31" s="1230"/>
      <c r="AH31" s="1779"/>
      <c r="AI31" s="1761"/>
      <c r="AJ31" s="1230"/>
      <c r="AK31" s="1230"/>
      <c r="AL31" s="1095"/>
      <c r="AM31" s="1096"/>
      <c r="AN31" s="1095"/>
      <c r="AO31" s="1095"/>
      <c r="AP31" s="1095"/>
      <c r="AQ31" s="1103"/>
      <c r="AR31" s="1097"/>
      <c r="AS31" s="1097"/>
    </row>
    <row r="32" spans="1:74" s="181" customFormat="1" ht="18.75" x14ac:dyDescent="0.25">
      <c r="A32" s="551"/>
      <c r="B32" s="1578"/>
      <c r="C32" s="1097"/>
      <c r="D32" s="1142" t="s">
        <v>41</v>
      </c>
      <c r="E32" s="1146" t="str">
        <f t="shared" si="0"/>
        <v/>
      </c>
      <c r="F32" s="1166"/>
      <c r="G32" s="1680" t="s">
        <v>37</v>
      </c>
      <c r="H32" s="1681" t="s">
        <v>37</v>
      </c>
      <c r="I32" s="1680" t="s">
        <v>37</v>
      </c>
      <c r="J32" s="1682" t="s">
        <v>37</v>
      </c>
      <c r="K32" s="1680" t="s">
        <v>37</v>
      </c>
      <c r="L32" s="1681" t="s">
        <v>38</v>
      </c>
      <c r="M32" s="1680" t="s">
        <v>37</v>
      </c>
      <c r="N32" s="1681" t="s">
        <v>38</v>
      </c>
      <c r="O32" s="1680" t="s">
        <v>37</v>
      </c>
      <c r="P32" s="1683" t="s">
        <v>37</v>
      </c>
      <c r="Q32" s="1684" t="s">
        <v>37</v>
      </c>
      <c r="R32" s="1681" t="s">
        <v>37</v>
      </c>
      <c r="S32" s="1680" t="s">
        <v>38</v>
      </c>
      <c r="T32" s="1682" t="s">
        <v>38</v>
      </c>
      <c r="U32" s="1680" t="s">
        <v>38</v>
      </c>
      <c r="V32" s="1681" t="s">
        <v>38</v>
      </c>
      <c r="W32" s="1680" t="s">
        <v>38</v>
      </c>
      <c r="X32" s="810" t="s">
        <v>38</v>
      </c>
      <c r="Y32" s="428" t="s">
        <v>653</v>
      </c>
      <c r="Z32" s="579" t="s">
        <v>19</v>
      </c>
      <c r="AA32" s="970" t="s">
        <v>37</v>
      </c>
      <c r="AB32" s="1910"/>
      <c r="AC32" s="1211"/>
      <c r="AD32" s="1232"/>
      <c r="AE32" s="1233" t="str">
        <f>IF(Feasibility_Concept="Conceptualization"," - Updated"," ")</f>
        <v xml:space="preserve"> - Updated</v>
      </c>
      <c r="AF32" s="1233" t="str">
        <f>IF(SD_apply="Yes"," - Updated"," ")</f>
        <v xml:space="preserve"> - Updated</v>
      </c>
      <c r="AG32" s="1233" t="str">
        <f>IF(OR(DD_apply="Yes",SD_apply="Yes")," - Updated"," ")</f>
        <v xml:space="preserve"> - Updated</v>
      </c>
      <c r="AH32" s="1780" t="str">
        <f>IF(OR(DD_apply="Yes",SD_apply="Yes",CD50_apply="Yes")," - Updated"," ")</f>
        <v xml:space="preserve"> - Updated</v>
      </c>
      <c r="AI32" s="1762" t="s">
        <v>601</v>
      </c>
      <c r="AJ32" s="1233"/>
      <c r="AK32" s="1233"/>
      <c r="AL32" s="1095"/>
      <c r="AM32" s="1095"/>
      <c r="AN32" s="1095"/>
      <c r="AO32" s="1095"/>
      <c r="AP32" s="1095"/>
      <c r="AQ32" s="1104"/>
      <c r="AR32" s="1105"/>
      <c r="AS32" s="1097"/>
    </row>
    <row r="33" spans="1:75" s="551" customFormat="1" ht="18.75" x14ac:dyDescent="0.25">
      <c r="B33" s="1578"/>
      <c r="C33" s="1097"/>
      <c r="D33" s="1968" t="s">
        <v>1218</v>
      </c>
      <c r="E33" s="1146" t="str">
        <f t="shared" si="0"/>
        <v/>
      </c>
      <c r="F33" s="1166"/>
      <c r="G33" s="886" t="s">
        <v>38</v>
      </c>
      <c r="H33" s="962"/>
      <c r="I33" s="886" t="s">
        <v>37</v>
      </c>
      <c r="J33" s="963" t="s">
        <v>37</v>
      </c>
      <c r="K33" s="886" t="s">
        <v>37</v>
      </c>
      <c r="L33" s="962"/>
      <c r="M33" s="886" t="s">
        <v>37</v>
      </c>
      <c r="N33" s="962" t="s">
        <v>37</v>
      </c>
      <c r="O33" s="886" t="s">
        <v>37</v>
      </c>
      <c r="P33" s="964" t="s">
        <v>37</v>
      </c>
      <c r="Q33" s="985" t="s">
        <v>37</v>
      </c>
      <c r="R33" s="962" t="s">
        <v>38</v>
      </c>
      <c r="S33" s="886" t="s">
        <v>38</v>
      </c>
      <c r="T33" s="963" t="s">
        <v>38</v>
      </c>
      <c r="U33" s="886" t="s">
        <v>38</v>
      </c>
      <c r="V33" s="962" t="s">
        <v>38</v>
      </c>
      <c r="W33" s="886" t="s">
        <v>38</v>
      </c>
      <c r="X33" s="812"/>
      <c r="Y33" s="748"/>
      <c r="Z33" s="583" t="s">
        <v>19</v>
      </c>
      <c r="AA33" s="970" t="s">
        <v>37</v>
      </c>
      <c r="AB33" s="1910"/>
      <c r="AC33" s="1211"/>
      <c r="AD33" s="1240"/>
      <c r="AE33" s="1239" t="str">
        <f t="shared" ref="AE33:AE35" si="5">IF(Feasibility_Concept="Conceptualization"," (Updates to) "," ")</f>
        <v xml:space="preserve"> (Updates to) </v>
      </c>
      <c r="AF33" s="1239" t="str">
        <f t="shared" ref="AF33:AF35" si="6">IF(SD_apply="Yes"," (Updates to) "," ")</f>
        <v xml:space="preserve"> (Updates to) </v>
      </c>
      <c r="AG33" s="1239" t="str">
        <f t="shared" ref="AG33:AG35" si="7">IF(OR(DD_apply="Yes",SD_apply="Yes")," (Updates to) "," ")</f>
        <v xml:space="preserve"> (Updates to) </v>
      </c>
      <c r="AH33" s="1783" t="str">
        <f t="shared" ref="AH33:AH35" si="8">IF(OR(DD_apply="Yes",SD_apply="Yes",CD50_apply="Yes")," (Updates to) "," ")</f>
        <v xml:space="preserve"> (Updates to) </v>
      </c>
      <c r="AI33" s="1765" t="s">
        <v>574</v>
      </c>
      <c r="AJ33" s="1239"/>
      <c r="AK33" s="1239" t="s">
        <v>702</v>
      </c>
      <c r="AL33" s="1095"/>
      <c r="AM33" s="1095"/>
      <c r="AN33" s="1095"/>
      <c r="AO33" s="1095"/>
      <c r="AP33" s="1095"/>
      <c r="AQ33" s="1104"/>
      <c r="AR33" s="1105"/>
      <c r="AS33" s="1097"/>
    </row>
    <row r="34" spans="1:75" s="551" customFormat="1" ht="18.75" x14ac:dyDescent="0.25">
      <c r="B34" s="1578"/>
      <c r="C34" s="1097"/>
      <c r="D34" s="1968" t="s">
        <v>1218</v>
      </c>
      <c r="E34" s="1146" t="str">
        <f t="shared" si="0"/>
        <v/>
      </c>
      <c r="F34" s="1166"/>
      <c r="G34" s="886" t="s">
        <v>38</v>
      </c>
      <c r="H34" s="962"/>
      <c r="I34" s="886" t="s">
        <v>37</v>
      </c>
      <c r="J34" s="963" t="s">
        <v>37</v>
      </c>
      <c r="K34" s="886" t="s">
        <v>37</v>
      </c>
      <c r="L34" s="962"/>
      <c r="M34" s="886" t="s">
        <v>37</v>
      </c>
      <c r="N34" s="962" t="s">
        <v>38</v>
      </c>
      <c r="O34" s="886" t="s">
        <v>38</v>
      </c>
      <c r="P34" s="964" t="s">
        <v>38</v>
      </c>
      <c r="Q34" s="985" t="s">
        <v>38</v>
      </c>
      <c r="R34" s="962" t="s">
        <v>38</v>
      </c>
      <c r="S34" s="886" t="s">
        <v>38</v>
      </c>
      <c r="T34" s="963" t="s">
        <v>38</v>
      </c>
      <c r="U34" s="886" t="s">
        <v>38</v>
      </c>
      <c r="V34" s="962" t="s">
        <v>38</v>
      </c>
      <c r="W34" s="886" t="s">
        <v>38</v>
      </c>
      <c r="X34" s="812"/>
      <c r="Y34" s="748"/>
      <c r="Z34" s="583" t="s">
        <v>1202</v>
      </c>
      <c r="AA34" s="970" t="s">
        <v>37</v>
      </c>
      <c r="AB34" s="1910"/>
      <c r="AC34" s="1211"/>
      <c r="AD34" s="1240"/>
      <c r="AE34" s="1239" t="str">
        <f t="shared" si="5"/>
        <v xml:space="preserve"> (Updates to) </v>
      </c>
      <c r="AF34" s="1239" t="str">
        <f t="shared" si="6"/>
        <v xml:space="preserve"> (Updates to) </v>
      </c>
      <c r="AG34" s="1239" t="str">
        <f t="shared" si="7"/>
        <v xml:space="preserve"> (Updates to) </v>
      </c>
      <c r="AH34" s="1783" t="str">
        <f t="shared" si="8"/>
        <v xml:space="preserve"> (Updates to) </v>
      </c>
      <c r="AI34" s="1765" t="s">
        <v>574</v>
      </c>
      <c r="AJ34" s="1239"/>
      <c r="AK34" s="1239" t="s">
        <v>702</v>
      </c>
      <c r="AL34" s="1095"/>
      <c r="AM34" s="1095"/>
      <c r="AN34" s="1095"/>
      <c r="AO34" s="1095"/>
      <c r="AP34" s="1095"/>
      <c r="AQ34" s="1104"/>
      <c r="AR34" s="1105"/>
      <c r="AS34" s="1097"/>
    </row>
    <row r="35" spans="1:75" s="551" customFormat="1" ht="18.75" x14ac:dyDescent="0.25">
      <c r="B35" s="1578"/>
      <c r="C35" s="1097"/>
      <c r="D35" s="1968" t="s">
        <v>1218</v>
      </c>
      <c r="E35" s="1146" t="str">
        <f t="shared" si="0"/>
        <v>N</v>
      </c>
      <c r="F35" s="1166"/>
      <c r="G35" s="886" t="s">
        <v>38</v>
      </c>
      <c r="H35" s="962"/>
      <c r="I35" s="886" t="s">
        <v>38</v>
      </c>
      <c r="J35" s="963" t="s">
        <v>38</v>
      </c>
      <c r="K35" s="886" t="s">
        <v>38</v>
      </c>
      <c r="L35" s="962" t="s">
        <v>38</v>
      </c>
      <c r="M35" s="886" t="s">
        <v>38</v>
      </c>
      <c r="N35" s="962" t="s">
        <v>38</v>
      </c>
      <c r="O35" s="886" t="s">
        <v>38</v>
      </c>
      <c r="P35" s="964" t="s">
        <v>38</v>
      </c>
      <c r="Q35" s="985" t="s">
        <v>38</v>
      </c>
      <c r="R35" s="962" t="s">
        <v>38</v>
      </c>
      <c r="S35" s="886" t="s">
        <v>38</v>
      </c>
      <c r="T35" s="963" t="s">
        <v>38</v>
      </c>
      <c r="U35" s="886" t="s">
        <v>38</v>
      </c>
      <c r="V35" s="962" t="s">
        <v>38</v>
      </c>
      <c r="W35" s="886" t="s">
        <v>38</v>
      </c>
      <c r="X35" s="812"/>
      <c r="Y35" s="748"/>
      <c r="Z35" s="583" t="s">
        <v>1201</v>
      </c>
      <c r="AA35" s="970" t="s">
        <v>38</v>
      </c>
      <c r="AB35" s="1910"/>
      <c r="AC35" s="1211"/>
      <c r="AD35" s="1240"/>
      <c r="AE35" s="1239" t="str">
        <f t="shared" si="5"/>
        <v xml:space="preserve"> (Updates to) </v>
      </c>
      <c r="AF35" s="1239" t="str">
        <f t="shared" si="6"/>
        <v xml:space="preserve"> (Updates to) </v>
      </c>
      <c r="AG35" s="1239" t="str">
        <f t="shared" si="7"/>
        <v xml:space="preserve"> (Updates to) </v>
      </c>
      <c r="AH35" s="1783" t="str">
        <f t="shared" si="8"/>
        <v xml:space="preserve"> (Updates to) </v>
      </c>
      <c r="AI35" s="1765" t="s">
        <v>574</v>
      </c>
      <c r="AJ35" s="1239"/>
      <c r="AK35" s="1239" t="s">
        <v>702</v>
      </c>
      <c r="AL35" s="1095"/>
      <c r="AM35" s="1095"/>
      <c r="AN35" s="1095"/>
      <c r="AO35" s="1095"/>
      <c r="AP35" s="1095"/>
      <c r="AQ35" s="1104"/>
      <c r="AR35" s="1105"/>
      <c r="AS35" s="1097"/>
    </row>
    <row r="36" spans="1:75" s="181" customFormat="1" ht="15.75" x14ac:dyDescent="0.25">
      <c r="A36" s="551"/>
      <c r="B36" s="1578"/>
      <c r="C36" s="1097"/>
      <c r="D36" s="1142"/>
      <c r="E36" s="1146" t="str">
        <f t="shared" si="0"/>
        <v/>
      </c>
      <c r="F36" s="1166"/>
      <c r="G36" s="1685" t="s">
        <v>208</v>
      </c>
      <c r="H36" s="1686" t="s">
        <v>208</v>
      </c>
      <c r="I36" s="1685" t="s">
        <v>208</v>
      </c>
      <c r="J36" s="1687" t="s">
        <v>208</v>
      </c>
      <c r="K36" s="1685" t="s">
        <v>208</v>
      </c>
      <c r="L36" s="1686" t="s">
        <v>208</v>
      </c>
      <c r="M36" s="1685" t="s">
        <v>208</v>
      </c>
      <c r="N36" s="1686" t="s">
        <v>208</v>
      </c>
      <c r="O36" s="1685" t="s">
        <v>208</v>
      </c>
      <c r="P36" s="1688" t="s">
        <v>208</v>
      </c>
      <c r="Q36" s="1689" t="s">
        <v>208</v>
      </c>
      <c r="R36" s="1686" t="s">
        <v>208</v>
      </c>
      <c r="S36" s="1685" t="s">
        <v>208</v>
      </c>
      <c r="T36" s="1690" t="s">
        <v>208</v>
      </c>
      <c r="U36" s="1685" t="s">
        <v>208</v>
      </c>
      <c r="V36" s="1686" t="s">
        <v>208</v>
      </c>
      <c r="W36" s="1685" t="s">
        <v>208</v>
      </c>
      <c r="X36" s="811" t="s">
        <v>208</v>
      </c>
      <c r="Y36" s="429"/>
      <c r="Z36" s="581"/>
      <c r="AA36" s="971" t="s">
        <v>208</v>
      </c>
      <c r="AB36" s="1909"/>
      <c r="AC36" s="1125"/>
      <c r="AD36" s="1229"/>
      <c r="AE36" s="1230"/>
      <c r="AF36" s="1231"/>
      <c r="AG36" s="1230"/>
      <c r="AH36" s="1779"/>
      <c r="AI36" s="1761"/>
      <c r="AJ36" s="1230"/>
      <c r="AK36" s="1230"/>
      <c r="AL36" s="1095"/>
      <c r="AM36" s="1095"/>
      <c r="AN36" s="1095"/>
      <c r="AO36" s="1095"/>
      <c r="AP36" s="1095"/>
      <c r="AQ36" s="1103"/>
      <c r="AR36" s="1097"/>
      <c r="AS36" s="1097"/>
    </row>
    <row r="37" spans="1:75" s="181" customFormat="1" ht="18.75" x14ac:dyDescent="0.25">
      <c r="A37" s="551"/>
      <c r="B37" s="1578"/>
      <c r="C37" s="1097"/>
      <c r="D37" s="1142" t="s">
        <v>42</v>
      </c>
      <c r="E37" s="1146" t="str">
        <f t="shared" si="0"/>
        <v/>
      </c>
      <c r="F37" s="1166"/>
      <c r="G37" s="1680" t="s">
        <v>37</v>
      </c>
      <c r="H37" s="1681" t="s">
        <v>37</v>
      </c>
      <c r="I37" s="1680" t="s">
        <v>37</v>
      </c>
      <c r="J37" s="1682" t="s">
        <v>37</v>
      </c>
      <c r="K37" s="1680" t="s">
        <v>37</v>
      </c>
      <c r="L37" s="1681" t="str">
        <f>IF(L20="No","N","Y")</f>
        <v>Y</v>
      </c>
      <c r="M37" s="1680" t="s">
        <v>37</v>
      </c>
      <c r="N37" s="1681" t="s">
        <v>37</v>
      </c>
      <c r="O37" s="1680" t="s">
        <v>37</v>
      </c>
      <c r="P37" s="1683" t="s">
        <v>37</v>
      </c>
      <c r="Q37" s="1684" t="s">
        <v>37</v>
      </c>
      <c r="R37" s="1681" t="s">
        <v>37</v>
      </c>
      <c r="S37" s="1680" t="s">
        <v>38</v>
      </c>
      <c r="T37" s="1682" t="s">
        <v>38</v>
      </c>
      <c r="U37" s="1680" t="s">
        <v>38</v>
      </c>
      <c r="V37" s="1681" t="s">
        <v>38</v>
      </c>
      <c r="W37" s="1680" t="s">
        <v>38</v>
      </c>
      <c r="X37" s="810" t="s">
        <v>38</v>
      </c>
      <c r="Y37" s="428" t="s">
        <v>642</v>
      </c>
      <c r="Z37" s="582" t="s">
        <v>799</v>
      </c>
      <c r="AA37" s="970" t="s">
        <v>37</v>
      </c>
      <c r="AB37" s="1911"/>
      <c r="AC37" s="1211"/>
      <c r="AD37" s="1234"/>
      <c r="AE37" s="1235"/>
      <c r="AF37" s="1254"/>
      <c r="AG37" s="1235"/>
      <c r="AH37" s="1781"/>
      <c r="AI37" s="1763"/>
      <c r="AJ37" s="1235"/>
      <c r="AK37" s="1235"/>
      <c r="AL37" s="1095"/>
      <c r="AM37" s="1095"/>
      <c r="AN37" s="1095"/>
      <c r="AO37" s="1095"/>
      <c r="AP37" s="1095"/>
      <c r="AQ37" s="1104"/>
      <c r="AR37" s="1105"/>
      <c r="AS37" s="1097"/>
    </row>
    <row r="38" spans="1:75" s="181" customFormat="1" ht="15.75" x14ac:dyDescent="0.25">
      <c r="A38" s="551"/>
      <c r="B38" s="1578"/>
      <c r="C38" s="1097"/>
      <c r="D38" s="1142"/>
      <c r="E38" s="1146" t="str">
        <f t="shared" si="0"/>
        <v/>
      </c>
      <c r="F38" s="1166"/>
      <c r="G38" s="1685" t="s">
        <v>208</v>
      </c>
      <c r="H38" s="1686" t="s">
        <v>208</v>
      </c>
      <c r="I38" s="1685" t="s">
        <v>208</v>
      </c>
      <c r="J38" s="1687" t="s">
        <v>208</v>
      </c>
      <c r="K38" s="1685" t="s">
        <v>208</v>
      </c>
      <c r="L38" s="1686" t="s">
        <v>208</v>
      </c>
      <c r="M38" s="1685" t="s">
        <v>208</v>
      </c>
      <c r="N38" s="1686" t="s">
        <v>208</v>
      </c>
      <c r="O38" s="1685" t="s">
        <v>208</v>
      </c>
      <c r="P38" s="1688" t="s">
        <v>208</v>
      </c>
      <c r="Q38" s="1689" t="s">
        <v>208</v>
      </c>
      <c r="R38" s="1686" t="s">
        <v>208</v>
      </c>
      <c r="S38" s="1685" t="s">
        <v>208</v>
      </c>
      <c r="T38" s="1690" t="s">
        <v>208</v>
      </c>
      <c r="U38" s="1685" t="s">
        <v>208</v>
      </c>
      <c r="V38" s="1686" t="s">
        <v>208</v>
      </c>
      <c r="W38" s="1685" t="s">
        <v>208</v>
      </c>
      <c r="X38" s="811" t="s">
        <v>208</v>
      </c>
      <c r="Y38" s="429"/>
      <c r="Z38" s="581"/>
      <c r="AA38" s="971" t="s">
        <v>208</v>
      </c>
      <c r="AB38" s="1909"/>
      <c r="AC38" s="1125"/>
      <c r="AD38" s="1229"/>
      <c r="AE38" s="1230"/>
      <c r="AF38" s="1231"/>
      <c r="AG38" s="1230"/>
      <c r="AH38" s="1779"/>
      <c r="AI38" s="1761"/>
      <c r="AJ38" s="1230"/>
      <c r="AK38" s="1230"/>
      <c r="AL38" s="1095"/>
      <c r="AM38" s="1095"/>
      <c r="AN38" s="1095"/>
      <c r="AO38" s="1095"/>
      <c r="AP38" s="1095"/>
      <c r="AQ38" s="1105"/>
      <c r="AR38" s="1097"/>
      <c r="AS38" s="1097"/>
    </row>
    <row r="39" spans="1:75" s="181" customFormat="1" ht="21" customHeight="1" x14ac:dyDescent="0.25">
      <c r="A39" s="551"/>
      <c r="B39" s="1578"/>
      <c r="C39" s="1095"/>
      <c r="D39" s="1142" t="s">
        <v>104</v>
      </c>
      <c r="E39" s="1146" t="str">
        <f t="shared" si="0"/>
        <v/>
      </c>
      <c r="F39" s="1166"/>
      <c r="G39" s="1680" t="s">
        <v>37</v>
      </c>
      <c r="H39" s="1681" t="s">
        <v>37</v>
      </c>
      <c r="I39" s="1680" t="s">
        <v>37</v>
      </c>
      <c r="J39" s="1682" t="s">
        <v>37</v>
      </c>
      <c r="K39" s="1680" t="s">
        <v>37</v>
      </c>
      <c r="L39" s="1681" t="str">
        <f>IF(L22="No","N","Y")</f>
        <v>Y</v>
      </c>
      <c r="M39" s="1680" t="s">
        <v>37</v>
      </c>
      <c r="N39" s="1681" t="s">
        <v>37</v>
      </c>
      <c r="O39" s="1680" t="s">
        <v>37</v>
      </c>
      <c r="P39" s="1683" t="s">
        <v>37</v>
      </c>
      <c r="Q39" s="1684" t="s">
        <v>37</v>
      </c>
      <c r="R39" s="1681" t="s">
        <v>37</v>
      </c>
      <c r="S39" s="1680" t="s">
        <v>38</v>
      </c>
      <c r="T39" s="1682" t="s">
        <v>38</v>
      </c>
      <c r="U39" s="1680" t="s">
        <v>37</v>
      </c>
      <c r="V39" s="1681" t="s">
        <v>37</v>
      </c>
      <c r="W39" s="1680" t="s">
        <v>38</v>
      </c>
      <c r="X39" s="810" t="s">
        <v>38</v>
      </c>
      <c r="Y39" s="428" t="s">
        <v>651</v>
      </c>
      <c r="Z39" s="579" t="s">
        <v>363</v>
      </c>
      <c r="AA39" s="970" t="s">
        <v>37</v>
      </c>
      <c r="AB39" s="1910"/>
      <c r="AC39" s="1213"/>
      <c r="AD39" s="1232" t="s">
        <v>619</v>
      </c>
      <c r="AE39" s="1233" t="str">
        <f>IF(Feasibility_Concept="Conceptualization"," - Updated"," ")</f>
        <v xml:space="preserve"> - Updated</v>
      </c>
      <c r="AF39" s="1233" t="str">
        <f>IF(AND(SD_apply="Yes",Item_apply_SD="Y")," - Updates only"," ")</f>
        <v xml:space="preserve"> - Updates only</v>
      </c>
      <c r="AG39" s="1233" t="str">
        <f>IF(OR(AND(DD_apply="Yes",Item_apply_DD="Y"),AND(SD_apply="Yes",Item_apply_SD="Y"))," - Updates only"," ")</f>
        <v xml:space="preserve"> - Updates only</v>
      </c>
      <c r="AH39" s="1780" t="str">
        <f>IF(OR(AND(DD_apply="Yes",Item_apply_DD="Y"),AND(SD_apply="Yes",Item_apply_SD="Y"),AND(CD50_apply="Yes",Item_apply_50CD))," - Updates only"," ")</f>
        <v xml:space="preserve"> - Updates only</v>
      </c>
      <c r="AI39" s="1762" t="s">
        <v>693</v>
      </c>
      <c r="AJ39" s="1233"/>
      <c r="AK39" s="1233" t="s">
        <v>694</v>
      </c>
      <c r="AL39" s="1095"/>
      <c r="AM39" s="1095"/>
      <c r="AN39" s="1095"/>
      <c r="AO39" s="1095"/>
      <c r="AP39" s="1095"/>
      <c r="AQ39" s="1104"/>
      <c r="AR39" s="1105"/>
      <c r="AS39" s="1095"/>
      <c r="BW39" s="30"/>
    </row>
    <row r="40" spans="1:75" s="30" customFormat="1" ht="15.75" customHeight="1" x14ac:dyDescent="0.25">
      <c r="A40" s="545"/>
      <c r="B40" s="1579"/>
      <c r="C40" s="1095"/>
      <c r="D40" s="1145" t="s">
        <v>104</v>
      </c>
      <c r="E40" s="1146" t="str">
        <f t="shared" si="0"/>
        <v/>
      </c>
      <c r="F40" s="1124"/>
      <c r="G40" s="886" t="s">
        <v>37</v>
      </c>
      <c r="H40" s="962" t="s">
        <v>37</v>
      </c>
      <c r="I40" s="886" t="s">
        <v>37</v>
      </c>
      <c r="J40" s="963" t="s">
        <v>37</v>
      </c>
      <c r="K40" s="886" t="s">
        <v>37</v>
      </c>
      <c r="L40" s="962" t="str">
        <f>IF(L23="No","N","Y")</f>
        <v>Y</v>
      </c>
      <c r="M40" s="886" t="s">
        <v>37</v>
      </c>
      <c r="N40" s="962" t="s">
        <v>37</v>
      </c>
      <c r="O40" s="886" t="s">
        <v>37</v>
      </c>
      <c r="P40" s="964" t="s">
        <v>37</v>
      </c>
      <c r="Q40" s="985" t="s">
        <v>37</v>
      </c>
      <c r="R40" s="962" t="s">
        <v>37</v>
      </c>
      <c r="S40" s="886" t="s">
        <v>38</v>
      </c>
      <c r="T40" s="963" t="s">
        <v>38</v>
      </c>
      <c r="U40" s="886" t="s">
        <v>37</v>
      </c>
      <c r="V40" s="962" t="s">
        <v>37</v>
      </c>
      <c r="W40" s="886" t="s">
        <v>38</v>
      </c>
      <c r="X40" s="812" t="s">
        <v>38</v>
      </c>
      <c r="Y40" s="748" t="s">
        <v>652</v>
      </c>
      <c r="Z40" s="583" t="s">
        <v>490</v>
      </c>
      <c r="AA40" s="972" t="s">
        <v>37</v>
      </c>
      <c r="AB40" s="1912"/>
      <c r="AC40" s="1211"/>
      <c r="AD40" s="1237"/>
      <c r="AE40" s="1238" t="str">
        <f t="shared" ref="AE40:AE47" si="9">IF(Feasibility_Concept="Conceptualization"," (Updates to) "," ")</f>
        <v xml:space="preserve"> (Updates to) </v>
      </c>
      <c r="AF40" s="1239" t="str">
        <f t="shared" ref="AF40:AF54" si="10">IF(SD_apply="Yes"," (Updates to) "," ")</f>
        <v xml:space="preserve"> (Updates to) </v>
      </c>
      <c r="AG40" s="1238" t="str">
        <f t="shared" ref="AG40:AG54" si="11">IF(OR(DD_apply="Yes",SD_apply="Yes")," (Updates to) "," ")</f>
        <v xml:space="preserve"> (Updates to) </v>
      </c>
      <c r="AH40" s="1782" t="str">
        <f t="shared" ref="AH40:AH54" si="12">IF(OR(DD_apply="Yes",SD_apply="Yes",CD50_apply="Yes")," (Updates to) "," ")</f>
        <v xml:space="preserve"> (Updates to) </v>
      </c>
      <c r="AI40" s="1764" t="s">
        <v>574</v>
      </c>
      <c r="AJ40" s="1238"/>
      <c r="AK40" s="1239" t="s">
        <v>702</v>
      </c>
      <c r="AL40" s="1095"/>
      <c r="AM40" s="1097"/>
      <c r="AN40" s="1095"/>
      <c r="AO40" s="1095"/>
      <c r="AP40" s="1095"/>
      <c r="AQ40" s="1095"/>
      <c r="AR40" s="1095"/>
      <c r="AS40" s="1095"/>
      <c r="AT40" s="181"/>
      <c r="AU40" s="181"/>
      <c r="AV40" s="181"/>
      <c r="AW40" s="181"/>
      <c r="AX40" s="181"/>
      <c r="AY40" s="181"/>
      <c r="AZ40" s="181"/>
      <c r="BA40" s="181"/>
      <c r="BB40" s="181"/>
      <c r="BC40" s="181"/>
      <c r="BD40" s="181"/>
      <c r="BE40" s="181"/>
      <c r="BF40" s="181"/>
      <c r="BG40" s="181"/>
      <c r="BH40" s="181"/>
      <c r="BI40" s="181"/>
      <c r="BJ40" s="181"/>
      <c r="BK40" s="181"/>
      <c r="BL40" s="181"/>
      <c r="BM40" s="181"/>
      <c r="BN40" s="181"/>
      <c r="BO40" s="181"/>
      <c r="BP40" s="181"/>
      <c r="BQ40" s="181"/>
      <c r="BR40" s="181"/>
      <c r="BS40" s="181"/>
      <c r="BT40" s="181"/>
      <c r="BU40" s="181"/>
      <c r="BV40" s="181"/>
    </row>
    <row r="41" spans="1:75" s="30" customFormat="1" ht="15.75" customHeight="1" x14ac:dyDescent="0.25">
      <c r="A41" s="545"/>
      <c r="B41" s="1579"/>
      <c r="C41" s="1095"/>
      <c r="D41" s="1145" t="s">
        <v>104</v>
      </c>
      <c r="E41" s="1146" t="str">
        <f t="shared" si="0"/>
        <v/>
      </c>
      <c r="F41" s="1124"/>
      <c r="G41" s="886" t="s">
        <v>37</v>
      </c>
      <c r="H41" s="962" t="s">
        <v>37</v>
      </c>
      <c r="I41" s="886" t="s">
        <v>37</v>
      </c>
      <c r="J41" s="963" t="s">
        <v>37</v>
      </c>
      <c r="K41" s="886" t="s">
        <v>37</v>
      </c>
      <c r="L41" s="962" t="str">
        <f>IF(L25="No","N","Y")</f>
        <v>Y</v>
      </c>
      <c r="M41" s="1691" t="s">
        <v>38</v>
      </c>
      <c r="N41" s="1692" t="s">
        <v>38</v>
      </c>
      <c r="O41" s="886" t="s">
        <v>38</v>
      </c>
      <c r="P41" s="964" t="s">
        <v>38</v>
      </c>
      <c r="Q41" s="985" t="s">
        <v>38</v>
      </c>
      <c r="R41" s="962" t="s">
        <v>38</v>
      </c>
      <c r="S41" s="886" t="s">
        <v>38</v>
      </c>
      <c r="T41" s="963" t="s">
        <v>38</v>
      </c>
      <c r="U41" s="886" t="s">
        <v>38</v>
      </c>
      <c r="V41" s="962" t="s">
        <v>38</v>
      </c>
      <c r="W41" s="886" t="s">
        <v>38</v>
      </c>
      <c r="X41" s="812" t="s">
        <v>38</v>
      </c>
      <c r="Y41" s="748" t="s">
        <v>652</v>
      </c>
      <c r="Z41" s="583" t="s">
        <v>489</v>
      </c>
      <c r="AA41" s="972" t="s">
        <v>37</v>
      </c>
      <c r="AB41" s="1912"/>
      <c r="AC41" s="1211"/>
      <c r="AD41" s="1237"/>
      <c r="AE41" s="1238" t="str">
        <f t="shared" si="9"/>
        <v xml:space="preserve"> (Updates to) </v>
      </c>
      <c r="AF41" s="1239" t="str">
        <f t="shared" si="10"/>
        <v xml:space="preserve"> (Updates to) </v>
      </c>
      <c r="AG41" s="1238" t="str">
        <f t="shared" si="11"/>
        <v xml:space="preserve"> (Updates to) </v>
      </c>
      <c r="AH41" s="1782" t="str">
        <f t="shared" si="12"/>
        <v xml:space="preserve"> (Updates to) </v>
      </c>
      <c r="AI41" s="1764" t="s">
        <v>574</v>
      </c>
      <c r="AJ41" s="1238"/>
      <c r="AK41" s="1239" t="s">
        <v>702</v>
      </c>
      <c r="AL41" s="1095"/>
      <c r="AM41" s="1095"/>
      <c r="AN41" s="1095"/>
      <c r="AO41" s="1095"/>
      <c r="AP41" s="1095"/>
      <c r="AQ41" s="1095"/>
      <c r="AR41" s="1095"/>
      <c r="AS41" s="1095"/>
      <c r="AT41" s="181"/>
      <c r="AU41" s="181"/>
      <c r="AV41" s="181"/>
      <c r="AW41" s="181"/>
      <c r="AX41" s="181"/>
      <c r="AY41" s="181"/>
      <c r="AZ41" s="181"/>
      <c r="BA41" s="181"/>
      <c r="BB41" s="181"/>
      <c r="BC41" s="181"/>
      <c r="BD41" s="181"/>
      <c r="BE41" s="181"/>
      <c r="BF41" s="181"/>
      <c r="BG41" s="181"/>
      <c r="BH41" s="181"/>
      <c r="BI41" s="181"/>
      <c r="BJ41" s="181"/>
      <c r="BK41" s="181"/>
      <c r="BL41" s="181"/>
      <c r="BM41" s="181"/>
      <c r="BN41" s="181"/>
      <c r="BO41" s="181"/>
      <c r="BP41" s="181"/>
      <c r="BQ41" s="181"/>
      <c r="BR41" s="181"/>
      <c r="BS41" s="181"/>
      <c r="BT41" s="181"/>
      <c r="BU41" s="181"/>
      <c r="BV41" s="181"/>
    </row>
    <row r="42" spans="1:75" s="30" customFormat="1" ht="15.75" customHeight="1" x14ac:dyDescent="0.25">
      <c r="A42" s="545"/>
      <c r="B42" s="1579"/>
      <c r="C42" s="1095"/>
      <c r="D42" s="1145" t="s">
        <v>104</v>
      </c>
      <c r="E42" s="1146" t="str">
        <f t="shared" si="0"/>
        <v/>
      </c>
      <c r="F42" s="1124"/>
      <c r="G42" s="886" t="s">
        <v>37</v>
      </c>
      <c r="H42" s="962" t="s">
        <v>37</v>
      </c>
      <c r="I42" s="886" t="s">
        <v>37</v>
      </c>
      <c r="J42" s="963" t="s">
        <v>37</v>
      </c>
      <c r="K42" s="886" t="s">
        <v>37</v>
      </c>
      <c r="L42" s="962" t="str">
        <f>IF(L26="No","N","Y")</f>
        <v>Y</v>
      </c>
      <c r="M42" s="886" t="s">
        <v>38</v>
      </c>
      <c r="N42" s="962" t="s">
        <v>38</v>
      </c>
      <c r="O42" s="886" t="s">
        <v>38</v>
      </c>
      <c r="P42" s="964" t="s">
        <v>38</v>
      </c>
      <c r="Q42" s="985" t="s">
        <v>38</v>
      </c>
      <c r="R42" s="962" t="s">
        <v>38</v>
      </c>
      <c r="S42" s="886" t="s">
        <v>38</v>
      </c>
      <c r="T42" s="963" t="s">
        <v>38</v>
      </c>
      <c r="U42" s="886" t="s">
        <v>38</v>
      </c>
      <c r="V42" s="962" t="s">
        <v>38</v>
      </c>
      <c r="W42" s="886" t="s">
        <v>38</v>
      </c>
      <c r="X42" s="812" t="s">
        <v>38</v>
      </c>
      <c r="Y42" s="748" t="s">
        <v>652</v>
      </c>
      <c r="Z42" s="583" t="s">
        <v>488</v>
      </c>
      <c r="AA42" s="972" t="s">
        <v>37</v>
      </c>
      <c r="AB42" s="1912"/>
      <c r="AC42" s="1211"/>
      <c r="AD42" s="1237"/>
      <c r="AE42" s="1238" t="str">
        <f t="shared" si="9"/>
        <v xml:space="preserve"> (Updates to) </v>
      </c>
      <c r="AF42" s="1239" t="str">
        <f t="shared" si="10"/>
        <v xml:space="preserve"> (Updates to) </v>
      </c>
      <c r="AG42" s="1238" t="str">
        <f t="shared" si="11"/>
        <v xml:space="preserve"> (Updates to) </v>
      </c>
      <c r="AH42" s="1782" t="str">
        <f t="shared" si="12"/>
        <v xml:space="preserve"> (Updates to) </v>
      </c>
      <c r="AI42" s="1764" t="s">
        <v>574</v>
      </c>
      <c r="AJ42" s="1238"/>
      <c r="AK42" s="1239" t="s">
        <v>702</v>
      </c>
      <c r="AL42" s="1095"/>
      <c r="AM42" s="1095"/>
      <c r="AN42" s="1095"/>
      <c r="AO42" s="1095"/>
      <c r="AP42" s="1095"/>
      <c r="AQ42" s="1095"/>
      <c r="AR42" s="1095"/>
      <c r="AS42" s="1095"/>
      <c r="AT42" s="181"/>
      <c r="AU42" s="181"/>
      <c r="AV42" s="181"/>
      <c r="AW42" s="181"/>
      <c r="AX42" s="181"/>
      <c r="AY42" s="181"/>
      <c r="AZ42" s="181"/>
      <c r="BA42" s="181"/>
      <c r="BB42" s="181"/>
      <c r="BC42" s="181"/>
      <c r="BD42" s="181"/>
      <c r="BE42" s="181"/>
      <c r="BF42" s="181"/>
      <c r="BG42" s="181"/>
      <c r="BH42" s="181"/>
      <c r="BI42" s="181"/>
      <c r="BJ42" s="181"/>
      <c r="BK42" s="181"/>
      <c r="BL42" s="181"/>
      <c r="BM42" s="181"/>
      <c r="BN42" s="181"/>
      <c r="BO42" s="181"/>
      <c r="BP42" s="181"/>
      <c r="BQ42" s="181"/>
      <c r="BR42" s="181"/>
      <c r="BS42" s="181"/>
      <c r="BT42" s="181"/>
      <c r="BU42" s="181"/>
      <c r="BV42" s="181"/>
    </row>
    <row r="43" spans="1:75" s="30" customFormat="1" ht="15.75" customHeight="1" x14ac:dyDescent="0.25">
      <c r="A43" s="545"/>
      <c r="B43" s="1579"/>
      <c r="C43" s="1095"/>
      <c r="D43" s="1145" t="s">
        <v>104</v>
      </c>
      <c r="E43" s="1146" t="str">
        <f t="shared" si="0"/>
        <v>N</v>
      </c>
      <c r="F43" s="1124"/>
      <c r="G43" s="886" t="s">
        <v>38</v>
      </c>
      <c r="H43" s="962" t="s">
        <v>38</v>
      </c>
      <c r="I43" s="886" t="s">
        <v>38</v>
      </c>
      <c r="J43" s="963" t="s">
        <v>38</v>
      </c>
      <c r="K43" s="886" t="s">
        <v>38</v>
      </c>
      <c r="L43" s="962" t="s">
        <v>38</v>
      </c>
      <c r="M43" s="886" t="s">
        <v>38</v>
      </c>
      <c r="N43" s="962" t="s">
        <v>38</v>
      </c>
      <c r="O43" s="886" t="s">
        <v>38</v>
      </c>
      <c r="P43" s="964" t="s">
        <v>38</v>
      </c>
      <c r="Q43" s="985" t="s">
        <v>38</v>
      </c>
      <c r="R43" s="962" t="s">
        <v>38</v>
      </c>
      <c r="S43" s="886" t="s">
        <v>38</v>
      </c>
      <c r="T43" s="963" t="s">
        <v>38</v>
      </c>
      <c r="U43" s="886" t="s">
        <v>38</v>
      </c>
      <c r="V43" s="962" t="s">
        <v>38</v>
      </c>
      <c r="W43" s="886" t="s">
        <v>38</v>
      </c>
      <c r="X43" s="812" t="s">
        <v>38</v>
      </c>
      <c r="Y43" s="748" t="s">
        <v>652</v>
      </c>
      <c r="Z43" s="892" t="s">
        <v>269</v>
      </c>
      <c r="AA43" s="972" t="s">
        <v>38</v>
      </c>
      <c r="AB43" s="1912"/>
      <c r="AC43" s="1211"/>
      <c r="AD43" s="1237"/>
      <c r="AE43" s="1238" t="str">
        <f t="shared" si="9"/>
        <v xml:space="preserve"> (Updates to) </v>
      </c>
      <c r="AF43" s="1239" t="str">
        <f t="shared" si="10"/>
        <v xml:space="preserve"> (Updates to) </v>
      </c>
      <c r="AG43" s="1238" t="str">
        <f t="shared" si="11"/>
        <v xml:space="preserve"> (Updates to) </v>
      </c>
      <c r="AH43" s="1782" t="str">
        <f t="shared" si="12"/>
        <v xml:space="preserve"> (Updates to) </v>
      </c>
      <c r="AI43" s="1764" t="s">
        <v>574</v>
      </c>
      <c r="AJ43" s="1238"/>
      <c r="AK43" s="1239" t="s">
        <v>702</v>
      </c>
      <c r="AL43" s="1095"/>
      <c r="AM43" s="1095"/>
      <c r="AN43" s="1095"/>
      <c r="AO43" s="1095"/>
      <c r="AP43" s="1095"/>
      <c r="AQ43" s="1095"/>
      <c r="AR43" s="1095"/>
      <c r="AS43" s="1095"/>
      <c r="AT43" s="181"/>
      <c r="AU43" s="181"/>
      <c r="AV43" s="181"/>
      <c r="AW43" s="181"/>
      <c r="AX43" s="181"/>
      <c r="AY43" s="181"/>
      <c r="AZ43" s="181"/>
      <c r="BA43" s="181"/>
      <c r="BB43" s="181"/>
      <c r="BC43" s="181"/>
      <c r="BD43" s="181"/>
      <c r="BE43" s="181"/>
      <c r="BF43" s="181"/>
      <c r="BG43" s="181"/>
      <c r="BH43" s="181"/>
      <c r="BI43" s="181"/>
      <c r="BJ43" s="181"/>
      <c r="BK43" s="181"/>
      <c r="BL43" s="181"/>
      <c r="BM43" s="181"/>
      <c r="BN43" s="181"/>
      <c r="BO43" s="181"/>
      <c r="BP43" s="181"/>
      <c r="BQ43" s="181"/>
      <c r="BR43" s="181"/>
      <c r="BS43" s="181"/>
      <c r="BT43" s="181"/>
      <c r="BU43" s="181"/>
      <c r="BV43" s="181"/>
    </row>
    <row r="44" spans="1:75" s="30" customFormat="1" ht="15.75" customHeight="1" x14ac:dyDescent="0.25">
      <c r="A44" s="545"/>
      <c r="B44" s="1579"/>
      <c r="C44" s="1095"/>
      <c r="D44" s="1145" t="s">
        <v>104</v>
      </c>
      <c r="E44" s="1146" t="str">
        <f t="shared" si="0"/>
        <v/>
      </c>
      <c r="F44" s="1124"/>
      <c r="G44" s="886" t="s">
        <v>37</v>
      </c>
      <c r="H44" s="962" t="s">
        <v>37</v>
      </c>
      <c r="I44" s="886" t="s">
        <v>37</v>
      </c>
      <c r="J44" s="963" t="s">
        <v>37</v>
      </c>
      <c r="K44" s="886" t="s">
        <v>37</v>
      </c>
      <c r="L44" s="962" t="str">
        <f>IF(L31="No","N","Y")</f>
        <v>Y</v>
      </c>
      <c r="M44" s="886" t="s">
        <v>38</v>
      </c>
      <c r="N44" s="962" t="s">
        <v>38</v>
      </c>
      <c r="O44" s="886" t="s">
        <v>38</v>
      </c>
      <c r="P44" s="964" t="s">
        <v>38</v>
      </c>
      <c r="Q44" s="985" t="s">
        <v>38</v>
      </c>
      <c r="R44" s="962" t="s">
        <v>38</v>
      </c>
      <c r="S44" s="886" t="s">
        <v>38</v>
      </c>
      <c r="T44" s="963" t="s">
        <v>38</v>
      </c>
      <c r="U44" s="886" t="s">
        <v>38</v>
      </c>
      <c r="V44" s="962" t="s">
        <v>38</v>
      </c>
      <c r="W44" s="886" t="s">
        <v>38</v>
      </c>
      <c r="X44" s="812" t="s">
        <v>38</v>
      </c>
      <c r="Y44" s="748" t="s">
        <v>652</v>
      </c>
      <c r="Z44" s="583" t="s">
        <v>487</v>
      </c>
      <c r="AA44" s="972" t="s">
        <v>37</v>
      </c>
      <c r="AB44" s="1912"/>
      <c r="AC44" s="1211"/>
      <c r="AD44" s="1237"/>
      <c r="AE44" s="1238" t="str">
        <f t="shared" si="9"/>
        <v xml:space="preserve"> (Updates to) </v>
      </c>
      <c r="AF44" s="1239" t="str">
        <f t="shared" si="10"/>
        <v xml:space="preserve"> (Updates to) </v>
      </c>
      <c r="AG44" s="1238" t="str">
        <f t="shared" si="11"/>
        <v xml:space="preserve"> (Updates to) </v>
      </c>
      <c r="AH44" s="1782" t="str">
        <f t="shared" si="12"/>
        <v xml:space="preserve"> (Updates to) </v>
      </c>
      <c r="AI44" s="1764" t="s">
        <v>574</v>
      </c>
      <c r="AJ44" s="1238"/>
      <c r="AK44" s="1239" t="s">
        <v>702</v>
      </c>
      <c r="AL44" s="1095"/>
      <c r="AM44" s="1095"/>
      <c r="AN44" s="1095"/>
      <c r="AO44" s="1095"/>
      <c r="AP44" s="1095"/>
      <c r="AQ44" s="1095"/>
      <c r="AR44" s="1095"/>
      <c r="AS44" s="1095"/>
      <c r="AT44" s="181"/>
      <c r="AU44" s="181"/>
      <c r="AV44" s="181"/>
      <c r="AW44" s="181"/>
      <c r="AX44" s="181"/>
      <c r="AY44" s="181"/>
      <c r="AZ44" s="181"/>
      <c r="BA44" s="181"/>
      <c r="BB44" s="181"/>
      <c r="BC44" s="181"/>
      <c r="BD44" s="181"/>
      <c r="BE44" s="181"/>
      <c r="BF44" s="181"/>
      <c r="BG44" s="181"/>
      <c r="BH44" s="181"/>
      <c r="BI44" s="181"/>
      <c r="BJ44" s="181"/>
      <c r="BK44" s="181"/>
      <c r="BL44" s="181"/>
      <c r="BM44" s="181"/>
      <c r="BN44" s="181"/>
      <c r="BO44" s="181"/>
      <c r="BP44" s="181"/>
      <c r="BQ44" s="181"/>
      <c r="BR44" s="181"/>
      <c r="BS44" s="181"/>
      <c r="BT44" s="181"/>
      <c r="BU44" s="181"/>
      <c r="BV44" s="181"/>
    </row>
    <row r="45" spans="1:75" s="30" customFormat="1" ht="15.75" x14ac:dyDescent="0.25">
      <c r="A45" s="545"/>
      <c r="B45" s="1579"/>
      <c r="C45" s="1097"/>
      <c r="D45" s="1145" t="s">
        <v>104</v>
      </c>
      <c r="E45" s="1146" t="str">
        <f t="shared" si="0"/>
        <v/>
      </c>
      <c r="F45" s="1124"/>
      <c r="G45" s="886" t="s">
        <v>37</v>
      </c>
      <c r="H45" s="962" t="s">
        <v>37</v>
      </c>
      <c r="I45" s="886" t="s">
        <v>37</v>
      </c>
      <c r="J45" s="963" t="s">
        <v>37</v>
      </c>
      <c r="K45" s="886" t="s">
        <v>37</v>
      </c>
      <c r="L45" s="962" t="str">
        <f>IF(L32="No","N","Y")</f>
        <v>Y</v>
      </c>
      <c r="M45" s="886" t="s">
        <v>37</v>
      </c>
      <c r="N45" s="962" t="s">
        <v>37</v>
      </c>
      <c r="O45" s="886" t="s">
        <v>37</v>
      </c>
      <c r="P45" s="964" t="s">
        <v>37</v>
      </c>
      <c r="Q45" s="985" t="s">
        <v>37</v>
      </c>
      <c r="R45" s="962" t="s">
        <v>37</v>
      </c>
      <c r="S45" s="886" t="s">
        <v>38</v>
      </c>
      <c r="T45" s="963" t="s">
        <v>38</v>
      </c>
      <c r="U45" s="886" t="s">
        <v>37</v>
      </c>
      <c r="V45" s="962" t="s">
        <v>37</v>
      </c>
      <c r="W45" s="886" t="s">
        <v>38</v>
      </c>
      <c r="X45" s="812" t="s">
        <v>38</v>
      </c>
      <c r="Y45" s="748" t="s">
        <v>652</v>
      </c>
      <c r="Z45" s="583" t="s">
        <v>486</v>
      </c>
      <c r="AA45" s="972" t="s">
        <v>37</v>
      </c>
      <c r="AB45" s="1913"/>
      <c r="AC45" s="1125"/>
      <c r="AD45" s="1240"/>
      <c r="AE45" s="1239" t="str">
        <f t="shared" si="9"/>
        <v xml:space="preserve"> (Updates to) </v>
      </c>
      <c r="AF45" s="1239" t="str">
        <f t="shared" si="10"/>
        <v xml:space="preserve"> (Updates to) </v>
      </c>
      <c r="AG45" s="1239" t="str">
        <f t="shared" si="11"/>
        <v xml:space="preserve"> (Updates to) </v>
      </c>
      <c r="AH45" s="1783" t="str">
        <f t="shared" si="12"/>
        <v xml:space="preserve"> (Updates to) </v>
      </c>
      <c r="AI45" s="1765" t="s">
        <v>574</v>
      </c>
      <c r="AJ45" s="1239"/>
      <c r="AK45" s="1239" t="s">
        <v>702</v>
      </c>
      <c r="AL45" s="1095"/>
      <c r="AM45" s="1095"/>
      <c r="AN45" s="1095"/>
      <c r="AO45" s="1095"/>
      <c r="AP45" s="1095"/>
      <c r="AQ45" s="1106"/>
      <c r="AR45" s="1097"/>
      <c r="AS45" s="1097"/>
      <c r="AT45" s="181"/>
      <c r="AU45" s="181"/>
      <c r="AV45" s="181"/>
      <c r="AW45" s="181"/>
      <c r="AX45" s="181"/>
      <c r="AY45" s="181"/>
      <c r="AZ45" s="181"/>
      <c r="BA45" s="181"/>
      <c r="BB45" s="181"/>
      <c r="BC45" s="181"/>
      <c r="BD45" s="181"/>
      <c r="BE45" s="181"/>
      <c r="BF45" s="181"/>
      <c r="BG45" s="181"/>
      <c r="BH45" s="181"/>
      <c r="BI45" s="181"/>
      <c r="BJ45" s="181"/>
      <c r="BK45" s="181"/>
      <c r="BL45" s="181"/>
      <c r="BM45" s="181"/>
      <c r="BN45" s="181"/>
      <c r="BO45" s="181"/>
      <c r="BP45" s="181"/>
      <c r="BQ45" s="181"/>
      <c r="BR45" s="181"/>
      <c r="BS45" s="181"/>
      <c r="BT45" s="181"/>
      <c r="BU45" s="181"/>
      <c r="BV45" s="181"/>
    </row>
    <row r="46" spans="1:75" s="30" customFormat="1" ht="15.75" x14ac:dyDescent="0.25">
      <c r="A46" s="545"/>
      <c r="B46" s="1579"/>
      <c r="C46" s="1097"/>
      <c r="D46" s="1145" t="s">
        <v>104</v>
      </c>
      <c r="E46" s="1146" t="str">
        <f t="shared" si="0"/>
        <v/>
      </c>
      <c r="F46" s="1124"/>
      <c r="G46" s="886" t="s">
        <v>37</v>
      </c>
      <c r="H46" s="962" t="s">
        <v>37</v>
      </c>
      <c r="I46" s="886" t="s">
        <v>37</v>
      </c>
      <c r="J46" s="963" t="s">
        <v>37</v>
      </c>
      <c r="K46" s="886" t="s">
        <v>37</v>
      </c>
      <c r="L46" s="962" t="str">
        <f t="shared" ref="L46:L49" si="13">IF(L36="No","N","Y")</f>
        <v>Y</v>
      </c>
      <c r="M46" s="886" t="s">
        <v>37</v>
      </c>
      <c r="N46" s="962" t="s">
        <v>37</v>
      </c>
      <c r="O46" s="886" t="s">
        <v>37</v>
      </c>
      <c r="P46" s="964" t="s">
        <v>37</v>
      </c>
      <c r="Q46" s="985" t="s">
        <v>37</v>
      </c>
      <c r="R46" s="962" t="s">
        <v>37</v>
      </c>
      <c r="S46" s="886" t="s">
        <v>38</v>
      </c>
      <c r="T46" s="963" t="s">
        <v>38</v>
      </c>
      <c r="U46" s="886" t="s">
        <v>37</v>
      </c>
      <c r="V46" s="962" t="s">
        <v>37</v>
      </c>
      <c r="W46" s="886" t="s">
        <v>38</v>
      </c>
      <c r="X46" s="812" t="s">
        <v>38</v>
      </c>
      <c r="Y46" s="748" t="s">
        <v>652</v>
      </c>
      <c r="Z46" s="583" t="s">
        <v>900</v>
      </c>
      <c r="AA46" s="972" t="s">
        <v>37</v>
      </c>
      <c r="AB46" s="1913"/>
      <c r="AC46" s="1125"/>
      <c r="AD46" s="1240"/>
      <c r="AE46" s="1239" t="str">
        <f t="shared" si="9"/>
        <v xml:space="preserve"> (Updates to) </v>
      </c>
      <c r="AF46" s="1239" t="str">
        <f t="shared" si="10"/>
        <v xml:space="preserve"> (Updates to) </v>
      </c>
      <c r="AG46" s="1239" t="str">
        <f t="shared" si="11"/>
        <v xml:space="preserve"> (Updates to) </v>
      </c>
      <c r="AH46" s="1783" t="str">
        <f t="shared" si="12"/>
        <v xml:space="preserve"> (Updates to) </v>
      </c>
      <c r="AI46" s="1765" t="s">
        <v>574</v>
      </c>
      <c r="AJ46" s="1239"/>
      <c r="AK46" s="1239" t="s">
        <v>702</v>
      </c>
      <c r="AL46" s="1095"/>
      <c r="AM46" s="1095"/>
      <c r="AN46" s="1095"/>
      <c r="AO46" s="1095"/>
      <c r="AP46" s="1095"/>
      <c r="AQ46" s="1106"/>
      <c r="AR46" s="1097"/>
      <c r="AS46" s="1097"/>
      <c r="AT46" s="181"/>
      <c r="AU46" s="181"/>
      <c r="AV46" s="181"/>
      <c r="AW46" s="181"/>
      <c r="AX46" s="181"/>
      <c r="AY46" s="181"/>
      <c r="AZ46" s="181"/>
      <c r="BA46" s="181"/>
      <c r="BB46" s="181"/>
      <c r="BC46" s="181"/>
      <c r="BD46" s="181"/>
      <c r="BE46" s="181"/>
      <c r="BF46" s="181"/>
      <c r="BG46" s="181"/>
      <c r="BH46" s="181"/>
      <c r="BI46" s="181"/>
      <c r="BJ46" s="181"/>
      <c r="BK46" s="181"/>
      <c r="BL46" s="181"/>
      <c r="BM46" s="181"/>
      <c r="BN46" s="181"/>
      <c r="BO46" s="181"/>
      <c r="BP46" s="181"/>
      <c r="BQ46" s="181"/>
      <c r="BR46" s="181"/>
      <c r="BS46" s="181"/>
      <c r="BT46" s="181"/>
      <c r="BU46" s="181"/>
      <c r="BV46" s="181"/>
    </row>
    <row r="47" spans="1:75" s="30" customFormat="1" ht="15.75" x14ac:dyDescent="0.25">
      <c r="A47" s="545"/>
      <c r="B47" s="1579"/>
      <c r="C47" s="1097"/>
      <c r="D47" s="1145" t="s">
        <v>104</v>
      </c>
      <c r="E47" s="1146" t="str">
        <f t="shared" si="0"/>
        <v/>
      </c>
      <c r="F47" s="1124"/>
      <c r="G47" s="886" t="s">
        <v>37</v>
      </c>
      <c r="H47" s="962" t="s">
        <v>37</v>
      </c>
      <c r="I47" s="886" t="s">
        <v>37</v>
      </c>
      <c r="J47" s="963" t="s">
        <v>37</v>
      </c>
      <c r="K47" s="886" t="s">
        <v>37</v>
      </c>
      <c r="L47" s="962" t="str">
        <f t="shared" si="13"/>
        <v>Y</v>
      </c>
      <c r="M47" s="886" t="s">
        <v>37</v>
      </c>
      <c r="N47" s="962" t="s">
        <v>37</v>
      </c>
      <c r="O47" s="886" t="s">
        <v>37</v>
      </c>
      <c r="P47" s="964" t="s">
        <v>37</v>
      </c>
      <c r="Q47" s="985" t="s">
        <v>37</v>
      </c>
      <c r="R47" s="962" t="s">
        <v>37</v>
      </c>
      <c r="S47" s="886" t="s">
        <v>38</v>
      </c>
      <c r="T47" s="963" t="s">
        <v>38</v>
      </c>
      <c r="U47" s="886" t="s">
        <v>37</v>
      </c>
      <c r="V47" s="962" t="s">
        <v>37</v>
      </c>
      <c r="W47" s="886" t="s">
        <v>38</v>
      </c>
      <c r="X47" s="812" t="s">
        <v>38</v>
      </c>
      <c r="Y47" s="748" t="s">
        <v>652</v>
      </c>
      <c r="Z47" s="583" t="s">
        <v>901</v>
      </c>
      <c r="AA47" s="972" t="s">
        <v>37</v>
      </c>
      <c r="AB47" s="1913"/>
      <c r="AC47" s="1125"/>
      <c r="AD47" s="1240"/>
      <c r="AE47" s="1239" t="str">
        <f t="shared" si="9"/>
        <v xml:space="preserve"> (Updates to) </v>
      </c>
      <c r="AF47" s="1239" t="str">
        <f t="shared" si="10"/>
        <v xml:space="preserve"> (Updates to) </v>
      </c>
      <c r="AG47" s="1239" t="str">
        <f t="shared" si="11"/>
        <v xml:space="preserve"> (Updates to) </v>
      </c>
      <c r="AH47" s="1783" t="str">
        <f t="shared" si="12"/>
        <v xml:space="preserve"> (Updates to) </v>
      </c>
      <c r="AI47" s="1765" t="s">
        <v>574</v>
      </c>
      <c r="AJ47" s="1239"/>
      <c r="AK47" s="1239" t="s">
        <v>702</v>
      </c>
      <c r="AL47" s="1095"/>
      <c r="AM47" s="1095"/>
      <c r="AN47" s="1095"/>
      <c r="AO47" s="1095"/>
      <c r="AP47" s="1095"/>
      <c r="AQ47" s="1106"/>
      <c r="AR47" s="1097"/>
      <c r="AS47" s="1097"/>
      <c r="AT47" s="181"/>
      <c r="AU47" s="181"/>
      <c r="AV47" s="181"/>
      <c r="AW47" s="181"/>
      <c r="AX47" s="181"/>
      <c r="AY47" s="181"/>
      <c r="AZ47" s="181"/>
      <c r="BA47" s="181"/>
      <c r="BB47" s="181"/>
      <c r="BC47" s="181"/>
      <c r="BD47" s="181"/>
      <c r="BE47" s="181"/>
      <c r="BF47" s="181"/>
      <c r="BG47" s="181"/>
      <c r="BH47" s="181"/>
      <c r="BI47" s="181"/>
      <c r="BJ47" s="181"/>
      <c r="BK47" s="181"/>
      <c r="BL47" s="181"/>
      <c r="BM47" s="181"/>
      <c r="BN47" s="181"/>
      <c r="BO47" s="181"/>
      <c r="BP47" s="181"/>
      <c r="BQ47" s="181"/>
      <c r="BR47" s="181"/>
      <c r="BS47" s="181"/>
      <c r="BT47" s="181"/>
      <c r="BU47" s="181"/>
      <c r="BV47" s="181"/>
    </row>
    <row r="48" spans="1:75" s="30" customFormat="1" ht="15.75" x14ac:dyDescent="0.25">
      <c r="A48" s="545"/>
      <c r="B48" s="1579"/>
      <c r="C48" s="1097"/>
      <c r="D48" s="1145" t="s">
        <v>104</v>
      </c>
      <c r="E48" s="1146" t="str">
        <f t="shared" si="0"/>
        <v/>
      </c>
      <c r="F48" s="1124"/>
      <c r="G48" s="886" t="s">
        <v>37</v>
      </c>
      <c r="H48" s="962" t="s">
        <v>37</v>
      </c>
      <c r="I48" s="886" t="s">
        <v>37</v>
      </c>
      <c r="J48" s="963" t="s">
        <v>37</v>
      </c>
      <c r="K48" s="886" t="s">
        <v>37</v>
      </c>
      <c r="L48" s="962" t="str">
        <f t="shared" si="13"/>
        <v>Y</v>
      </c>
      <c r="M48" s="886" t="s">
        <v>37</v>
      </c>
      <c r="N48" s="962" t="s">
        <v>37</v>
      </c>
      <c r="O48" s="886" t="s">
        <v>37</v>
      </c>
      <c r="P48" s="964" t="s">
        <v>37</v>
      </c>
      <c r="Q48" s="985" t="s">
        <v>37</v>
      </c>
      <c r="R48" s="962" t="s">
        <v>37</v>
      </c>
      <c r="S48" s="886" t="s">
        <v>38</v>
      </c>
      <c r="T48" s="963" t="s">
        <v>38</v>
      </c>
      <c r="U48" s="886" t="s">
        <v>37</v>
      </c>
      <c r="V48" s="962" t="s">
        <v>37</v>
      </c>
      <c r="W48" s="886" t="s">
        <v>38</v>
      </c>
      <c r="X48" s="812" t="s">
        <v>38</v>
      </c>
      <c r="Y48" s="748"/>
      <c r="Z48" s="583" t="s">
        <v>902</v>
      </c>
      <c r="AA48" s="972" t="s">
        <v>37</v>
      </c>
      <c r="AB48" s="1913"/>
      <c r="AC48" s="1125"/>
      <c r="AD48" s="1240" t="s">
        <v>531</v>
      </c>
      <c r="AE48" s="1239" t="s">
        <v>530</v>
      </c>
      <c r="AF48" s="1239" t="s">
        <v>530</v>
      </c>
      <c r="AG48" s="1239" t="s">
        <v>529</v>
      </c>
      <c r="AH48" s="1783" t="s">
        <v>528</v>
      </c>
      <c r="AI48" s="1765"/>
      <c r="AJ48" s="1239"/>
      <c r="AK48" s="1239" t="s">
        <v>702</v>
      </c>
      <c r="AL48" s="1095"/>
      <c r="AM48" s="1095"/>
      <c r="AN48" s="1095"/>
      <c r="AO48" s="1095"/>
      <c r="AP48" s="1095"/>
      <c r="AQ48" s="1106"/>
      <c r="AR48" s="1097"/>
      <c r="AS48" s="1097"/>
      <c r="AT48" s="181"/>
      <c r="AU48" s="181"/>
      <c r="AV48" s="181"/>
      <c r="AW48" s="181"/>
      <c r="AX48" s="181"/>
      <c r="AY48" s="181"/>
      <c r="AZ48" s="181"/>
      <c r="BA48" s="181"/>
      <c r="BB48" s="181"/>
      <c r="BC48" s="181"/>
      <c r="BD48" s="181"/>
      <c r="BE48" s="181"/>
      <c r="BF48" s="181"/>
      <c r="BG48" s="181"/>
      <c r="BH48" s="181"/>
      <c r="BI48" s="181"/>
      <c r="BJ48" s="181"/>
      <c r="BK48" s="181"/>
      <c r="BL48" s="181"/>
      <c r="BM48" s="181"/>
      <c r="BN48" s="181"/>
      <c r="BO48" s="181"/>
      <c r="BP48" s="181"/>
      <c r="BQ48" s="181"/>
      <c r="BR48" s="181"/>
      <c r="BS48" s="181"/>
      <c r="BT48" s="181"/>
      <c r="BU48" s="181"/>
      <c r="BV48" s="181"/>
    </row>
    <row r="49" spans="1:74" s="30" customFormat="1" ht="28.5" x14ac:dyDescent="0.25">
      <c r="A49" s="545"/>
      <c r="B49" s="1579"/>
      <c r="C49" s="1097"/>
      <c r="D49" s="1145" t="s">
        <v>104</v>
      </c>
      <c r="E49" s="1146" t="str">
        <f t="shared" si="0"/>
        <v/>
      </c>
      <c r="F49" s="1124"/>
      <c r="G49" s="886" t="s">
        <v>37</v>
      </c>
      <c r="H49" s="962" t="s">
        <v>37</v>
      </c>
      <c r="I49" s="886" t="s">
        <v>37</v>
      </c>
      <c r="J49" s="963" t="s">
        <v>37</v>
      </c>
      <c r="K49" s="886" t="s">
        <v>37</v>
      </c>
      <c r="L49" s="962" t="str">
        <f t="shared" si="13"/>
        <v>Y</v>
      </c>
      <c r="M49" s="886" t="s">
        <v>38</v>
      </c>
      <c r="N49" s="962" t="s">
        <v>38</v>
      </c>
      <c r="O49" s="886" t="s">
        <v>38</v>
      </c>
      <c r="P49" s="964" t="s">
        <v>38</v>
      </c>
      <c r="Q49" s="985" t="s">
        <v>38</v>
      </c>
      <c r="R49" s="962" t="s">
        <v>38</v>
      </c>
      <c r="S49" s="886" t="s">
        <v>38</v>
      </c>
      <c r="T49" s="963" t="s">
        <v>38</v>
      </c>
      <c r="U49" s="886" t="s">
        <v>38</v>
      </c>
      <c r="V49" s="962" t="s">
        <v>38</v>
      </c>
      <c r="W49" s="886" t="s">
        <v>38</v>
      </c>
      <c r="X49" s="812" t="s">
        <v>38</v>
      </c>
      <c r="Y49" s="748" t="s">
        <v>652</v>
      </c>
      <c r="Z49" s="583" t="s">
        <v>491</v>
      </c>
      <c r="AA49" s="972" t="s">
        <v>37</v>
      </c>
      <c r="AB49" s="1913"/>
      <c r="AC49" s="1125"/>
      <c r="AD49" s="1240"/>
      <c r="AE49" s="1239" t="str">
        <f>IF(Feasibility_Concept="Conceptualization"," (Updates to) "," ")</f>
        <v xml:space="preserve"> (Updates to) </v>
      </c>
      <c r="AF49" s="1239" t="str">
        <f t="shared" si="10"/>
        <v xml:space="preserve"> (Updates to) </v>
      </c>
      <c r="AG49" s="1239" t="str">
        <f t="shared" si="11"/>
        <v xml:space="preserve"> (Updates to) </v>
      </c>
      <c r="AH49" s="1783" t="str">
        <f t="shared" si="12"/>
        <v xml:space="preserve"> (Updates to) </v>
      </c>
      <c r="AI49" s="1765" t="s">
        <v>574</v>
      </c>
      <c r="AJ49" s="1239"/>
      <c r="AK49" s="1239" t="s">
        <v>702</v>
      </c>
      <c r="AL49" s="1095"/>
      <c r="AM49" s="1095"/>
      <c r="AN49" s="1095"/>
      <c r="AO49" s="1095"/>
      <c r="AP49" s="1095"/>
      <c r="AQ49" s="1106"/>
      <c r="AR49" s="1097"/>
      <c r="AS49" s="1097"/>
      <c r="AT49" s="181"/>
      <c r="AU49" s="181"/>
      <c r="AV49" s="181"/>
      <c r="AW49" s="181"/>
      <c r="AX49" s="181"/>
      <c r="AY49" s="181"/>
      <c r="AZ49" s="181"/>
      <c r="BA49" s="181"/>
      <c r="BB49" s="181"/>
      <c r="BC49" s="181"/>
      <c r="BD49" s="181"/>
      <c r="BE49" s="181"/>
      <c r="BF49" s="181"/>
      <c r="BG49" s="181"/>
      <c r="BH49" s="181"/>
      <c r="BI49" s="181"/>
      <c r="BJ49" s="181"/>
      <c r="BK49" s="181"/>
      <c r="BL49" s="181"/>
      <c r="BM49" s="181"/>
      <c r="BN49" s="181"/>
      <c r="BO49" s="181"/>
      <c r="BP49" s="181"/>
      <c r="BQ49" s="181"/>
      <c r="BR49" s="181"/>
      <c r="BS49" s="181"/>
      <c r="BT49" s="181"/>
      <c r="BU49" s="181"/>
      <c r="BV49" s="181"/>
    </row>
    <row r="50" spans="1:74" s="30" customFormat="1" ht="15.75" x14ac:dyDescent="0.25">
      <c r="A50" s="545"/>
      <c r="B50" s="1579"/>
      <c r="C50" s="1097"/>
      <c r="D50" s="1145" t="s">
        <v>104</v>
      </c>
      <c r="E50" s="1146" t="str">
        <f t="shared" si="0"/>
        <v/>
      </c>
      <c r="F50" s="1124"/>
      <c r="G50" s="886" t="s">
        <v>37</v>
      </c>
      <c r="H50" s="962" t="s">
        <v>37</v>
      </c>
      <c r="I50" s="886" t="s">
        <v>37</v>
      </c>
      <c r="J50" s="963" t="s">
        <v>37</v>
      </c>
      <c r="K50" s="886" t="s">
        <v>38</v>
      </c>
      <c r="L50" s="962" t="s">
        <v>38</v>
      </c>
      <c r="M50" s="886" t="s">
        <v>38</v>
      </c>
      <c r="N50" s="962" t="s">
        <v>38</v>
      </c>
      <c r="O50" s="886" t="s">
        <v>38</v>
      </c>
      <c r="P50" s="964" t="s">
        <v>38</v>
      </c>
      <c r="Q50" s="985" t="s">
        <v>38</v>
      </c>
      <c r="R50" s="962" t="s">
        <v>38</v>
      </c>
      <c r="S50" s="886" t="s">
        <v>38</v>
      </c>
      <c r="T50" s="963" t="s">
        <v>38</v>
      </c>
      <c r="U50" s="886" t="s">
        <v>38</v>
      </c>
      <c r="V50" s="962" t="s">
        <v>38</v>
      </c>
      <c r="W50" s="886" t="s">
        <v>38</v>
      </c>
      <c r="X50" s="812" t="s">
        <v>38</v>
      </c>
      <c r="Y50" s="748" t="s">
        <v>652</v>
      </c>
      <c r="Z50" s="583" t="s">
        <v>492</v>
      </c>
      <c r="AA50" s="972" t="s">
        <v>37</v>
      </c>
      <c r="AB50" s="1913"/>
      <c r="AC50" s="1125"/>
      <c r="AD50" s="1240"/>
      <c r="AE50" s="1239" t="str">
        <f>IF(Feasibility_Concept="Conceptualization"," (Updates to) "," ")</f>
        <v xml:space="preserve"> (Updates to) </v>
      </c>
      <c r="AF50" s="1239" t="str">
        <f t="shared" si="10"/>
        <v xml:space="preserve"> (Updates to) </v>
      </c>
      <c r="AG50" s="1239" t="str">
        <f t="shared" si="11"/>
        <v xml:space="preserve"> (Updates to) </v>
      </c>
      <c r="AH50" s="1783" t="str">
        <f t="shared" si="12"/>
        <v xml:space="preserve"> (Updates to) </v>
      </c>
      <c r="AI50" s="1765" t="s">
        <v>574</v>
      </c>
      <c r="AJ50" s="1239"/>
      <c r="AK50" s="1239" t="s">
        <v>702</v>
      </c>
      <c r="AL50" s="1095"/>
      <c r="AM50" s="1095"/>
      <c r="AN50" s="1095"/>
      <c r="AO50" s="1095"/>
      <c r="AP50" s="1095"/>
      <c r="AQ50" s="1106"/>
      <c r="AR50" s="1097"/>
      <c r="AS50" s="1097"/>
      <c r="AT50" s="181"/>
      <c r="AU50" s="181"/>
      <c r="AV50" s="181"/>
      <c r="AW50" s="181"/>
      <c r="AX50" s="181"/>
      <c r="AY50" s="181"/>
      <c r="AZ50" s="181"/>
      <c r="BA50" s="181"/>
      <c r="BB50" s="181"/>
      <c r="BC50" s="181"/>
      <c r="BD50" s="181"/>
      <c r="BE50" s="181"/>
      <c r="BF50" s="181"/>
      <c r="BG50" s="181"/>
      <c r="BH50" s="181"/>
      <c r="BI50" s="181"/>
      <c r="BJ50" s="181"/>
      <c r="BK50" s="181"/>
      <c r="BL50" s="181"/>
      <c r="BM50" s="181"/>
      <c r="BN50" s="181"/>
      <c r="BO50" s="181"/>
      <c r="BP50" s="181"/>
      <c r="BQ50" s="181"/>
      <c r="BR50" s="181"/>
      <c r="BS50" s="181"/>
      <c r="BT50" s="181"/>
      <c r="BU50" s="181"/>
      <c r="BV50" s="181"/>
    </row>
    <row r="51" spans="1:74" s="30" customFormat="1" ht="15.75" x14ac:dyDescent="0.25">
      <c r="A51" s="545"/>
      <c r="B51" s="1579"/>
      <c r="C51" s="1097"/>
      <c r="D51" s="1145" t="s">
        <v>104</v>
      </c>
      <c r="E51" s="1146" t="str">
        <f t="shared" si="0"/>
        <v/>
      </c>
      <c r="F51" s="1124"/>
      <c r="G51" s="886" t="s">
        <v>37</v>
      </c>
      <c r="H51" s="962" t="s">
        <v>37</v>
      </c>
      <c r="I51" s="886" t="s">
        <v>37</v>
      </c>
      <c r="J51" s="963" t="s">
        <v>37</v>
      </c>
      <c r="K51" s="886" t="s">
        <v>38</v>
      </c>
      <c r="L51" s="962" t="s">
        <v>38</v>
      </c>
      <c r="M51" s="886" t="s">
        <v>38</v>
      </c>
      <c r="N51" s="962" t="s">
        <v>38</v>
      </c>
      <c r="O51" s="886" t="s">
        <v>38</v>
      </c>
      <c r="P51" s="964" t="s">
        <v>38</v>
      </c>
      <c r="Q51" s="985" t="s">
        <v>38</v>
      </c>
      <c r="R51" s="962" t="s">
        <v>38</v>
      </c>
      <c r="S51" s="886" t="s">
        <v>38</v>
      </c>
      <c r="T51" s="963" t="s">
        <v>38</v>
      </c>
      <c r="U51" s="886" t="s">
        <v>38</v>
      </c>
      <c r="V51" s="962" t="s">
        <v>38</v>
      </c>
      <c r="W51" s="886" t="s">
        <v>38</v>
      </c>
      <c r="X51" s="812" t="s">
        <v>38</v>
      </c>
      <c r="Y51" s="748"/>
      <c r="Z51" s="583" t="s">
        <v>493</v>
      </c>
      <c r="AA51" s="972" t="s">
        <v>37</v>
      </c>
      <c r="AB51" s="1913"/>
      <c r="AC51" s="1125"/>
      <c r="AD51" s="1240" t="s">
        <v>30</v>
      </c>
      <c r="AE51" s="1239" t="s">
        <v>485</v>
      </c>
      <c r="AF51" s="1239"/>
      <c r="AG51" s="1239"/>
      <c r="AH51" s="1783"/>
      <c r="AI51" s="1765"/>
      <c r="AJ51" s="1239"/>
      <c r="AK51" s="1239" t="s">
        <v>702</v>
      </c>
      <c r="AL51" s="1095"/>
      <c r="AM51" s="1095"/>
      <c r="AN51" s="1095"/>
      <c r="AO51" s="1095"/>
      <c r="AP51" s="1095"/>
      <c r="AQ51" s="1106"/>
      <c r="AR51" s="1097"/>
      <c r="AS51" s="1097"/>
      <c r="AT51" s="181"/>
      <c r="AU51" s="181"/>
      <c r="AV51" s="181"/>
      <c r="AW51" s="181"/>
      <c r="AX51" s="181"/>
      <c r="AY51" s="181"/>
      <c r="AZ51" s="181"/>
      <c r="BA51" s="181"/>
      <c r="BB51" s="181"/>
      <c r="BC51" s="181"/>
      <c r="BD51" s="181"/>
      <c r="BE51" s="181"/>
      <c r="BF51" s="181"/>
      <c r="BG51" s="181"/>
      <c r="BH51" s="181"/>
      <c r="BI51" s="181"/>
      <c r="BJ51" s="181"/>
      <c r="BK51" s="181"/>
      <c r="BL51" s="181"/>
      <c r="BM51" s="181"/>
      <c r="BN51" s="181"/>
      <c r="BO51" s="181"/>
      <c r="BP51" s="181"/>
      <c r="BQ51" s="181"/>
      <c r="BR51" s="181"/>
      <c r="BS51" s="181"/>
      <c r="BT51" s="181"/>
      <c r="BU51" s="181"/>
      <c r="BV51" s="181"/>
    </row>
    <row r="52" spans="1:74" s="30" customFormat="1" ht="15.75" x14ac:dyDescent="0.25">
      <c r="A52" s="545"/>
      <c r="B52" s="1579"/>
      <c r="C52" s="1097"/>
      <c r="D52" s="1145" t="s">
        <v>104</v>
      </c>
      <c r="E52" s="1146" t="str">
        <f t="shared" si="0"/>
        <v/>
      </c>
      <c r="F52" s="1124"/>
      <c r="G52" s="886" t="s">
        <v>37</v>
      </c>
      <c r="H52" s="962" t="s">
        <v>37</v>
      </c>
      <c r="I52" s="886" t="s">
        <v>38</v>
      </c>
      <c r="J52" s="963" t="s">
        <v>37</v>
      </c>
      <c r="K52" s="886" t="s">
        <v>38</v>
      </c>
      <c r="L52" s="962" t="s">
        <v>38</v>
      </c>
      <c r="M52" s="886" t="s">
        <v>38</v>
      </c>
      <c r="N52" s="962" t="s">
        <v>38</v>
      </c>
      <c r="O52" s="886" t="s">
        <v>38</v>
      </c>
      <c r="P52" s="964" t="s">
        <v>38</v>
      </c>
      <c r="Q52" s="985" t="s">
        <v>38</v>
      </c>
      <c r="R52" s="962" t="s">
        <v>38</v>
      </c>
      <c r="S52" s="886" t="s">
        <v>38</v>
      </c>
      <c r="T52" s="963" t="s">
        <v>38</v>
      </c>
      <c r="U52" s="886" t="s">
        <v>38</v>
      </c>
      <c r="V52" s="962" t="s">
        <v>38</v>
      </c>
      <c r="W52" s="886" t="s">
        <v>38</v>
      </c>
      <c r="X52" s="812" t="s">
        <v>38</v>
      </c>
      <c r="Y52" s="748"/>
      <c r="Z52" s="583" t="s">
        <v>494</v>
      </c>
      <c r="AA52" s="972" t="s">
        <v>37</v>
      </c>
      <c r="AB52" s="1913"/>
      <c r="AC52" s="1125"/>
      <c r="AD52" s="1240"/>
      <c r="AE52" s="1239" t="str">
        <f>IF(Feasibility_Concept="Conceptualization"," (Updates to) "," ")</f>
        <v xml:space="preserve"> (Updates to) </v>
      </c>
      <c r="AF52" s="1239" t="str">
        <f t="shared" si="10"/>
        <v xml:space="preserve"> (Updates to) </v>
      </c>
      <c r="AG52" s="1239" t="str">
        <f t="shared" si="11"/>
        <v xml:space="preserve"> (Updates to) </v>
      </c>
      <c r="AH52" s="1783" t="str">
        <f t="shared" si="12"/>
        <v xml:space="preserve"> (Updates to) </v>
      </c>
      <c r="AI52" s="1765" t="s">
        <v>574</v>
      </c>
      <c r="AJ52" s="1239"/>
      <c r="AK52" s="1239"/>
      <c r="AL52" s="1095"/>
      <c r="AM52" s="1095"/>
      <c r="AN52" s="1095"/>
      <c r="AO52" s="1095"/>
      <c r="AP52" s="1095"/>
      <c r="AQ52" s="1106"/>
      <c r="AR52" s="1097"/>
      <c r="AS52" s="1097"/>
      <c r="AT52" s="181"/>
      <c r="AU52" s="181"/>
      <c r="AV52" s="181"/>
      <c r="AW52" s="181"/>
      <c r="AX52" s="181"/>
      <c r="AY52" s="181"/>
      <c r="AZ52" s="181"/>
      <c r="BA52" s="181"/>
      <c r="BB52" s="181"/>
      <c r="BC52" s="181"/>
      <c r="BD52" s="181"/>
      <c r="BE52" s="181"/>
      <c r="BF52" s="181"/>
      <c r="BG52" s="181"/>
      <c r="BH52" s="181"/>
      <c r="BI52" s="181"/>
      <c r="BJ52" s="181"/>
      <c r="BK52" s="181"/>
      <c r="BL52" s="181"/>
      <c r="BM52" s="181"/>
      <c r="BN52" s="181"/>
      <c r="BO52" s="181"/>
      <c r="BP52" s="181"/>
      <c r="BQ52" s="181"/>
      <c r="BR52" s="181"/>
      <c r="BS52" s="181"/>
      <c r="BT52" s="181"/>
      <c r="BU52" s="181"/>
      <c r="BV52" s="181"/>
    </row>
    <row r="53" spans="1:74" s="30" customFormat="1" ht="15.75" x14ac:dyDescent="0.25">
      <c r="A53" s="545"/>
      <c r="B53" s="1579"/>
      <c r="C53" s="1097"/>
      <c r="D53" s="1145" t="s">
        <v>104</v>
      </c>
      <c r="E53" s="1146" t="str">
        <f t="shared" si="0"/>
        <v/>
      </c>
      <c r="F53" s="1124"/>
      <c r="G53" s="886" t="s">
        <v>37</v>
      </c>
      <c r="H53" s="962" t="s">
        <v>38</v>
      </c>
      <c r="I53" s="886" t="s">
        <v>37</v>
      </c>
      <c r="J53" s="963" t="s">
        <v>21</v>
      </c>
      <c r="K53" s="886" t="s">
        <v>38</v>
      </c>
      <c r="L53" s="962" t="s">
        <v>38</v>
      </c>
      <c r="M53" s="886" t="s">
        <v>38</v>
      </c>
      <c r="N53" s="962" t="s">
        <v>38</v>
      </c>
      <c r="O53" s="886" t="s">
        <v>38</v>
      </c>
      <c r="P53" s="964" t="s">
        <v>38</v>
      </c>
      <c r="Q53" s="985" t="s">
        <v>38</v>
      </c>
      <c r="R53" s="962" t="s">
        <v>38</v>
      </c>
      <c r="S53" s="886" t="s">
        <v>38</v>
      </c>
      <c r="T53" s="963" t="s">
        <v>38</v>
      </c>
      <c r="U53" s="886" t="s">
        <v>38</v>
      </c>
      <c r="V53" s="962" t="s">
        <v>38</v>
      </c>
      <c r="W53" s="886" t="s">
        <v>38</v>
      </c>
      <c r="X53" s="812" t="s">
        <v>38</v>
      </c>
      <c r="Y53" s="748"/>
      <c r="Z53" s="889" t="s">
        <v>1241</v>
      </c>
      <c r="AA53" s="972" t="s">
        <v>37</v>
      </c>
      <c r="AB53" s="1913"/>
      <c r="AC53" s="1125"/>
      <c r="AD53" s="1240"/>
      <c r="AE53" s="1239" t="str">
        <f>IF(Feasibility_Concept="Conceptualization"," (Updates to) "," ")</f>
        <v xml:space="preserve"> (Updates to) </v>
      </c>
      <c r="AF53" s="1239" t="str">
        <f t="shared" si="10"/>
        <v xml:space="preserve"> (Updates to) </v>
      </c>
      <c r="AG53" s="1239" t="str">
        <f t="shared" si="11"/>
        <v xml:space="preserve"> (Updates to) </v>
      </c>
      <c r="AH53" s="1783" t="str">
        <f t="shared" si="12"/>
        <v xml:space="preserve"> (Updates to) </v>
      </c>
      <c r="AI53" s="1765" t="s">
        <v>574</v>
      </c>
      <c r="AJ53" s="1239"/>
      <c r="AK53" s="1239" t="s">
        <v>702</v>
      </c>
      <c r="AL53" s="1095"/>
      <c r="AM53" s="1095"/>
      <c r="AN53" s="1095"/>
      <c r="AO53" s="1095"/>
      <c r="AP53" s="1095"/>
      <c r="AQ53" s="1106"/>
      <c r="AR53" s="1097"/>
      <c r="AS53" s="1097"/>
      <c r="AT53" s="181"/>
      <c r="AU53" s="181"/>
      <c r="AV53" s="181"/>
      <c r="AW53" s="181"/>
      <c r="AX53" s="181"/>
      <c r="AY53" s="181"/>
      <c r="AZ53" s="181"/>
      <c r="BA53" s="181"/>
      <c r="BB53" s="181"/>
      <c r="BC53" s="181"/>
      <c r="BD53" s="181"/>
      <c r="BE53" s="181"/>
      <c r="BF53" s="181"/>
      <c r="BG53" s="181"/>
      <c r="BH53" s="181"/>
      <c r="BI53" s="181"/>
      <c r="BJ53" s="181"/>
      <c r="BK53" s="181"/>
      <c r="BL53" s="181"/>
      <c r="BM53" s="181"/>
      <c r="BN53" s="181"/>
      <c r="BO53" s="181"/>
      <c r="BP53" s="181"/>
      <c r="BQ53" s="181"/>
      <c r="BR53" s="181"/>
      <c r="BS53" s="181"/>
      <c r="BT53" s="181"/>
      <c r="BU53" s="181"/>
      <c r="BV53" s="181"/>
    </row>
    <row r="54" spans="1:74" s="30" customFormat="1" ht="15.75" x14ac:dyDescent="0.25">
      <c r="A54" s="545"/>
      <c r="B54" s="1579"/>
      <c r="C54" s="1097"/>
      <c r="D54" s="1145" t="s">
        <v>104</v>
      </c>
      <c r="E54" s="1146" t="str">
        <f t="shared" si="0"/>
        <v>N</v>
      </c>
      <c r="F54" s="1124"/>
      <c r="G54" s="886" t="s">
        <v>38</v>
      </c>
      <c r="H54" s="962" t="s">
        <v>38</v>
      </c>
      <c r="I54" s="886" t="s">
        <v>38</v>
      </c>
      <c r="J54" s="963" t="s">
        <v>21</v>
      </c>
      <c r="K54" s="886" t="s">
        <v>38</v>
      </c>
      <c r="L54" s="962" t="s">
        <v>38</v>
      </c>
      <c r="M54" s="886" t="s">
        <v>38</v>
      </c>
      <c r="N54" s="962" t="s">
        <v>38</v>
      </c>
      <c r="O54" s="886" t="s">
        <v>38</v>
      </c>
      <c r="P54" s="964" t="s">
        <v>38</v>
      </c>
      <c r="Q54" s="985" t="s">
        <v>38</v>
      </c>
      <c r="R54" s="962" t="s">
        <v>38</v>
      </c>
      <c r="S54" s="886" t="s">
        <v>38</v>
      </c>
      <c r="T54" s="963" t="s">
        <v>38</v>
      </c>
      <c r="U54" s="886" t="s">
        <v>38</v>
      </c>
      <c r="V54" s="962" t="s">
        <v>38</v>
      </c>
      <c r="W54" s="886" t="s">
        <v>38</v>
      </c>
      <c r="X54" s="812" t="s">
        <v>38</v>
      </c>
      <c r="Y54" s="748"/>
      <c r="Z54" s="889" t="s">
        <v>478</v>
      </c>
      <c r="AA54" s="972" t="s">
        <v>38</v>
      </c>
      <c r="AB54" s="1913"/>
      <c r="AC54" s="1125"/>
      <c r="AD54" s="1240"/>
      <c r="AE54" s="1239" t="str">
        <f>IF(Feasibility_Concept="Conceptualization"," (Updates to) "," ")</f>
        <v xml:space="preserve"> (Updates to) </v>
      </c>
      <c r="AF54" s="1239" t="str">
        <f t="shared" si="10"/>
        <v xml:space="preserve"> (Updates to) </v>
      </c>
      <c r="AG54" s="1239" t="str">
        <f t="shared" si="11"/>
        <v xml:space="preserve"> (Updates to) </v>
      </c>
      <c r="AH54" s="1783" t="str">
        <f t="shared" si="12"/>
        <v xml:space="preserve"> (Updates to) </v>
      </c>
      <c r="AI54" s="1765" t="s">
        <v>574</v>
      </c>
      <c r="AJ54" s="1239"/>
      <c r="AK54" s="1239" t="s">
        <v>702</v>
      </c>
      <c r="AL54" s="1095"/>
      <c r="AM54" s="1095"/>
      <c r="AN54" s="1095"/>
      <c r="AO54" s="1095"/>
      <c r="AP54" s="1095"/>
      <c r="AQ54" s="1106"/>
      <c r="AR54" s="1097"/>
      <c r="AS54" s="1097"/>
      <c r="AT54" s="181"/>
      <c r="AU54" s="181"/>
      <c r="AV54" s="181"/>
      <c r="AW54" s="181"/>
      <c r="AX54" s="181"/>
      <c r="AY54" s="181"/>
      <c r="AZ54" s="181"/>
      <c r="BA54" s="181"/>
      <c r="BB54" s="181"/>
      <c r="BC54" s="181"/>
      <c r="BD54" s="181"/>
      <c r="BE54" s="181"/>
      <c r="BF54" s="181"/>
      <c r="BG54" s="181"/>
      <c r="BH54" s="181"/>
      <c r="BI54" s="181"/>
      <c r="BJ54" s="181"/>
      <c r="BK54" s="181"/>
      <c r="BL54" s="181"/>
      <c r="BM54" s="181"/>
      <c r="BN54" s="181"/>
      <c r="BO54" s="181"/>
      <c r="BP54" s="181"/>
      <c r="BQ54" s="181"/>
      <c r="BR54" s="181"/>
      <c r="BS54" s="181"/>
      <c r="BT54" s="181"/>
      <c r="BU54" s="181"/>
      <c r="BV54" s="181"/>
    </row>
    <row r="55" spans="1:74" s="30" customFormat="1" ht="15.75" hidden="1" x14ac:dyDescent="0.25">
      <c r="A55" s="545"/>
      <c r="B55" s="1579"/>
      <c r="C55" s="1097"/>
      <c r="D55" s="1145" t="s">
        <v>104</v>
      </c>
      <c r="E55" s="1146" t="str">
        <f t="shared" si="0"/>
        <v>N</v>
      </c>
      <c r="F55" s="1124"/>
      <c r="G55" s="886" t="s">
        <v>38</v>
      </c>
      <c r="H55" s="962" t="s">
        <v>38</v>
      </c>
      <c r="I55" s="886" t="s">
        <v>38</v>
      </c>
      <c r="J55" s="963" t="s">
        <v>38</v>
      </c>
      <c r="K55" s="886" t="s">
        <v>38</v>
      </c>
      <c r="L55" s="962" t="s">
        <v>38</v>
      </c>
      <c r="M55" s="886" t="s">
        <v>38</v>
      </c>
      <c r="N55" s="962" t="s">
        <v>38</v>
      </c>
      <c r="O55" s="886" t="s">
        <v>38</v>
      </c>
      <c r="P55" s="964" t="s">
        <v>38</v>
      </c>
      <c r="Q55" s="985" t="s">
        <v>38</v>
      </c>
      <c r="R55" s="962" t="s">
        <v>38</v>
      </c>
      <c r="S55" s="886" t="s">
        <v>38</v>
      </c>
      <c r="T55" s="963" t="s">
        <v>38</v>
      </c>
      <c r="U55" s="886" t="s">
        <v>38</v>
      </c>
      <c r="V55" s="962" t="s">
        <v>38</v>
      </c>
      <c r="W55" s="886" t="s">
        <v>38</v>
      </c>
      <c r="X55" s="812" t="s">
        <v>38</v>
      </c>
      <c r="Y55" s="748"/>
      <c r="Z55" s="584" t="s">
        <v>478</v>
      </c>
      <c r="AA55" s="972" t="s">
        <v>37</v>
      </c>
      <c r="AB55" s="1913"/>
      <c r="AC55" s="1125"/>
      <c r="AD55" s="1240"/>
      <c r="AE55" s="1239"/>
      <c r="AF55" s="1239"/>
      <c r="AG55" s="1239"/>
      <c r="AH55" s="1783"/>
      <c r="AI55" s="1765"/>
      <c r="AJ55" s="1239"/>
      <c r="AK55" s="1239" t="s">
        <v>702</v>
      </c>
      <c r="AL55" s="1095"/>
      <c r="AM55" s="1095"/>
      <c r="AN55" s="1095"/>
      <c r="AO55" s="1095"/>
      <c r="AP55" s="1095"/>
      <c r="AQ55" s="1106"/>
      <c r="AR55" s="1097"/>
      <c r="AS55" s="1097"/>
      <c r="AT55" s="181"/>
      <c r="AU55" s="181"/>
      <c r="AV55" s="181"/>
      <c r="AW55" s="181"/>
      <c r="AX55" s="181"/>
      <c r="AY55" s="181"/>
      <c r="AZ55" s="181"/>
      <c r="BA55" s="181"/>
      <c r="BB55" s="181"/>
      <c r="BC55" s="181"/>
      <c r="BD55" s="181"/>
      <c r="BE55" s="181"/>
      <c r="BF55" s="181"/>
      <c r="BG55" s="181"/>
      <c r="BH55" s="181"/>
      <c r="BI55" s="181"/>
      <c r="BJ55" s="181"/>
      <c r="BK55" s="181"/>
      <c r="BL55" s="181"/>
      <c r="BM55" s="181"/>
      <c r="BN55" s="181"/>
      <c r="BO55" s="181"/>
      <c r="BP55" s="181"/>
      <c r="BQ55" s="181"/>
      <c r="BR55" s="181"/>
      <c r="BS55" s="181"/>
      <c r="BT55" s="181"/>
      <c r="BU55" s="181"/>
      <c r="BV55" s="181"/>
    </row>
    <row r="56" spans="1:74" s="30" customFormat="1" ht="15.75" x14ac:dyDescent="0.25">
      <c r="A56" s="545"/>
      <c r="B56" s="1579"/>
      <c r="C56" s="1097"/>
      <c r="D56" s="1145" t="s">
        <v>104</v>
      </c>
      <c r="E56" s="1146" t="str">
        <f t="shared" si="0"/>
        <v/>
      </c>
      <c r="F56" s="1124"/>
      <c r="G56" s="886" t="s">
        <v>37</v>
      </c>
      <c r="H56" s="962" t="s">
        <v>37</v>
      </c>
      <c r="I56" s="886" t="s">
        <v>37</v>
      </c>
      <c r="J56" s="963" t="s">
        <v>37</v>
      </c>
      <c r="K56" s="886" t="s">
        <v>37</v>
      </c>
      <c r="L56" s="962" t="str">
        <f>IF(L46="No","N","Y")</f>
        <v>Y</v>
      </c>
      <c r="M56" s="886" t="s">
        <v>37</v>
      </c>
      <c r="N56" s="962" t="s">
        <v>37</v>
      </c>
      <c r="O56" s="886" t="s">
        <v>37</v>
      </c>
      <c r="P56" s="964" t="s">
        <v>37</v>
      </c>
      <c r="Q56" s="985" t="s">
        <v>37</v>
      </c>
      <c r="R56" s="962" t="s">
        <v>37</v>
      </c>
      <c r="S56" s="886" t="s">
        <v>38</v>
      </c>
      <c r="T56" s="963" t="s">
        <v>38</v>
      </c>
      <c r="U56" s="886" t="s">
        <v>37</v>
      </c>
      <c r="V56" s="962" t="s">
        <v>37</v>
      </c>
      <c r="W56" s="886" t="s">
        <v>38</v>
      </c>
      <c r="X56" s="812" t="s">
        <v>38</v>
      </c>
      <c r="Y56" s="748" t="s">
        <v>652</v>
      </c>
      <c r="Z56" s="585" t="s">
        <v>484</v>
      </c>
      <c r="AA56" s="972" t="s">
        <v>37</v>
      </c>
      <c r="AB56" s="1913"/>
      <c r="AC56" s="1125"/>
      <c r="AD56" s="1240"/>
      <c r="AE56" s="1239" t="str">
        <f t="shared" ref="AE56:AE93" si="14">IF(Feasibility_Concept="Conceptualization"," (Updates to) "," ")</f>
        <v xml:space="preserve"> (Updates to) </v>
      </c>
      <c r="AF56" s="1239" t="str">
        <f t="shared" ref="AF56:AF93" si="15">IF(SD_apply="Yes"," (Updates to) "," ")</f>
        <v xml:space="preserve"> (Updates to) </v>
      </c>
      <c r="AG56" s="1239" t="str">
        <f t="shared" ref="AG56:AG93" si="16">IF(OR(DD_apply="Yes",SD_apply="Yes")," (Updates to) "," ")</f>
        <v xml:space="preserve"> (Updates to) </v>
      </c>
      <c r="AH56" s="1783" t="s">
        <v>527</v>
      </c>
      <c r="AI56" s="1765" t="s">
        <v>527</v>
      </c>
      <c r="AJ56" s="1239"/>
      <c r="AK56" s="1239" t="s">
        <v>702</v>
      </c>
      <c r="AL56" s="1095"/>
      <c r="AM56" s="1095"/>
      <c r="AN56" s="1095"/>
      <c r="AO56" s="1095"/>
      <c r="AP56" s="1095"/>
      <c r="AQ56" s="1106"/>
      <c r="AR56" s="1097"/>
      <c r="AS56" s="1097"/>
      <c r="AT56" s="181"/>
      <c r="AU56" s="181"/>
      <c r="AV56" s="181"/>
      <c r="AW56" s="181"/>
      <c r="AX56" s="181"/>
      <c r="AY56" s="181"/>
      <c r="AZ56" s="181"/>
      <c r="BA56" s="181"/>
      <c r="BB56" s="181"/>
      <c r="BC56" s="181"/>
      <c r="BD56" s="181"/>
      <c r="BE56" s="181"/>
      <c r="BF56" s="181"/>
      <c r="BG56" s="181"/>
      <c r="BH56" s="181"/>
      <c r="BI56" s="181"/>
      <c r="BJ56" s="181"/>
      <c r="BK56" s="181"/>
      <c r="BL56" s="181"/>
      <c r="BM56" s="181"/>
      <c r="BN56" s="181"/>
      <c r="BO56" s="181"/>
      <c r="BP56" s="181"/>
      <c r="BQ56" s="181"/>
      <c r="BR56" s="181"/>
      <c r="BS56" s="181"/>
      <c r="BT56" s="181"/>
      <c r="BU56" s="181"/>
      <c r="BV56" s="181"/>
    </row>
    <row r="57" spans="1:74" s="30" customFormat="1" ht="28.5" x14ac:dyDescent="0.25">
      <c r="A57" s="545"/>
      <c r="B57" s="1579"/>
      <c r="C57" s="1097"/>
      <c r="D57" s="1145" t="s">
        <v>104</v>
      </c>
      <c r="E57" s="1224" t="s">
        <v>770</v>
      </c>
      <c r="F57" s="1124"/>
      <c r="G57" s="1693" t="s">
        <v>208</v>
      </c>
      <c r="H57" s="1694" t="s">
        <v>208</v>
      </c>
      <c r="I57" s="1693" t="s">
        <v>208</v>
      </c>
      <c r="J57" s="1695" t="s">
        <v>208</v>
      </c>
      <c r="K57" s="1693" t="s">
        <v>208</v>
      </c>
      <c r="L57" s="1694" t="s">
        <v>208</v>
      </c>
      <c r="M57" s="1693" t="s">
        <v>208</v>
      </c>
      <c r="N57" s="1694" t="s">
        <v>208</v>
      </c>
      <c r="O57" s="1693" t="s">
        <v>208</v>
      </c>
      <c r="P57" s="1696" t="s">
        <v>208</v>
      </c>
      <c r="Q57" s="1697" t="s">
        <v>208</v>
      </c>
      <c r="R57" s="1694" t="s">
        <v>208</v>
      </c>
      <c r="S57" s="1693" t="s">
        <v>208</v>
      </c>
      <c r="T57" s="1695" t="s">
        <v>208</v>
      </c>
      <c r="U57" s="1693" t="s">
        <v>208</v>
      </c>
      <c r="V57" s="1694" t="s">
        <v>208</v>
      </c>
      <c r="W57" s="1693" t="s">
        <v>208</v>
      </c>
      <c r="X57" s="813" t="s">
        <v>208</v>
      </c>
      <c r="Y57" s="749"/>
      <c r="Z57" s="648" t="s">
        <v>556</v>
      </c>
      <c r="AA57" s="973" t="s">
        <v>208</v>
      </c>
      <c r="AB57" s="1913"/>
      <c r="AC57" s="1125"/>
      <c r="AD57" s="1240"/>
      <c r="AE57" s="1239"/>
      <c r="AF57" s="1239"/>
      <c r="AG57" s="1239"/>
      <c r="AH57" s="1783"/>
      <c r="AI57" s="1765"/>
      <c r="AJ57" s="1239"/>
      <c r="AK57" s="1239" t="s">
        <v>702</v>
      </c>
      <c r="AL57" s="1095"/>
      <c r="AM57" s="1095"/>
      <c r="AN57" s="1095"/>
      <c r="AO57" s="1095"/>
      <c r="AP57" s="1095"/>
      <c r="AQ57" s="1106"/>
      <c r="AR57" s="1097"/>
      <c r="AS57" s="1097"/>
      <c r="AT57" s="181"/>
      <c r="AU57" s="181"/>
      <c r="AV57" s="181"/>
      <c r="AW57" s="181"/>
      <c r="AX57" s="181"/>
      <c r="AY57" s="181"/>
      <c r="AZ57" s="181"/>
      <c r="BA57" s="181"/>
      <c r="BB57" s="181"/>
      <c r="BC57" s="181"/>
      <c r="BD57" s="181"/>
      <c r="BE57" s="181"/>
      <c r="BF57" s="181"/>
      <c r="BG57" s="181"/>
      <c r="BH57" s="181"/>
      <c r="BI57" s="181"/>
      <c r="BJ57" s="181"/>
      <c r="BK57" s="181"/>
      <c r="BL57" s="181"/>
      <c r="BM57" s="181"/>
      <c r="BN57" s="181"/>
      <c r="BO57" s="181"/>
      <c r="BP57" s="181"/>
      <c r="BQ57" s="181"/>
      <c r="BR57" s="181"/>
      <c r="BS57" s="181"/>
      <c r="BT57" s="181"/>
      <c r="BU57" s="181"/>
      <c r="BV57" s="181"/>
    </row>
    <row r="58" spans="1:74" s="30" customFormat="1" ht="42.75" x14ac:dyDescent="0.25">
      <c r="A58" s="545"/>
      <c r="B58" s="1579"/>
      <c r="C58" s="1097"/>
      <c r="D58" s="1145" t="s">
        <v>104</v>
      </c>
      <c r="E58" s="1147" t="str">
        <f t="shared" si="0"/>
        <v/>
      </c>
      <c r="F58" s="1124"/>
      <c r="G58" s="1698" t="s">
        <v>37</v>
      </c>
      <c r="H58" s="1699" t="s">
        <v>37</v>
      </c>
      <c r="I58" s="1698" t="s">
        <v>37</v>
      </c>
      <c r="J58" s="1700" t="s">
        <v>37</v>
      </c>
      <c r="K58" s="1698" t="s">
        <v>37</v>
      </c>
      <c r="L58" s="1699" t="str">
        <f>IF(L48="No","N","Y")</f>
        <v>Y</v>
      </c>
      <c r="M58" s="1698" t="s">
        <v>37</v>
      </c>
      <c r="N58" s="1699" t="s">
        <v>37</v>
      </c>
      <c r="O58" s="1698" t="s">
        <v>37</v>
      </c>
      <c r="P58" s="1701" t="s">
        <v>37</v>
      </c>
      <c r="Q58" s="1702" t="s">
        <v>37</v>
      </c>
      <c r="R58" s="1699" t="s">
        <v>37</v>
      </c>
      <c r="S58" s="1698" t="s">
        <v>38</v>
      </c>
      <c r="T58" s="1700" t="s">
        <v>38</v>
      </c>
      <c r="U58" s="1698" t="s">
        <v>37</v>
      </c>
      <c r="V58" s="1699" t="s">
        <v>37</v>
      </c>
      <c r="W58" s="1698" t="s">
        <v>38</v>
      </c>
      <c r="X58" s="814" t="s">
        <v>38</v>
      </c>
      <c r="Y58" s="748" t="s">
        <v>652</v>
      </c>
      <c r="Z58" s="586" t="s">
        <v>559</v>
      </c>
      <c r="AA58" s="970" t="s">
        <v>37</v>
      </c>
      <c r="AB58" s="1913"/>
      <c r="AC58" s="1125"/>
      <c r="AD58" s="1240"/>
      <c r="AE58" s="1239" t="str">
        <f t="shared" si="14"/>
        <v xml:space="preserve"> (Updates to) </v>
      </c>
      <c r="AF58" s="1239" t="str">
        <f t="shared" si="15"/>
        <v xml:space="preserve"> (Updates to) </v>
      </c>
      <c r="AG58" s="1239" t="str">
        <f t="shared" si="16"/>
        <v xml:space="preserve"> (Updates to) </v>
      </c>
      <c r="AH58" s="1783" t="str">
        <f t="shared" ref="AH58:AH93" si="17">IF(OR(DD_apply="Yes",SD_apply="Yes",CD50_apply="Yes")," (Updates to) "," ")</f>
        <v xml:space="preserve"> (Updates to) </v>
      </c>
      <c r="AI58" s="1765" t="s">
        <v>574</v>
      </c>
      <c r="AJ58" s="1239"/>
      <c r="AK58" s="1239" t="s">
        <v>702</v>
      </c>
      <c r="AL58" s="1095"/>
      <c r="AM58" s="1095"/>
      <c r="AN58" s="1095"/>
      <c r="AO58" s="1095"/>
      <c r="AP58" s="1095"/>
      <c r="AQ58" s="1106"/>
      <c r="AR58" s="1097"/>
      <c r="AS58" s="1097"/>
      <c r="AT58" s="181"/>
      <c r="AU58" s="181"/>
      <c r="AV58" s="181"/>
      <c r="AW58" s="181"/>
      <c r="AX58" s="181"/>
      <c r="AY58" s="181"/>
      <c r="AZ58" s="181"/>
      <c r="BA58" s="181"/>
      <c r="BB58" s="181"/>
      <c r="BC58" s="181"/>
      <c r="BD58" s="181"/>
      <c r="BE58" s="181"/>
      <c r="BF58" s="181"/>
      <c r="BG58" s="181"/>
      <c r="BH58" s="181"/>
      <c r="BI58" s="181"/>
      <c r="BJ58" s="181"/>
      <c r="BK58" s="181"/>
      <c r="BL58" s="181"/>
      <c r="BM58" s="181"/>
      <c r="BN58" s="181"/>
      <c r="BO58" s="181"/>
      <c r="BP58" s="181"/>
      <c r="BQ58" s="181"/>
      <c r="BR58" s="181"/>
      <c r="BS58" s="181"/>
      <c r="BT58" s="181"/>
      <c r="BU58" s="181"/>
      <c r="BV58" s="181"/>
    </row>
    <row r="59" spans="1:74" s="30" customFormat="1" ht="15.75" x14ac:dyDescent="0.25">
      <c r="A59" s="545"/>
      <c r="B59" s="1579"/>
      <c r="C59" s="1097"/>
      <c r="D59" s="1145" t="s">
        <v>104</v>
      </c>
      <c r="E59" s="1147" t="str">
        <f t="shared" si="0"/>
        <v/>
      </c>
      <c r="F59" s="1124"/>
      <c r="G59" s="1703" t="s">
        <v>37</v>
      </c>
      <c r="H59" s="1704" t="s">
        <v>37</v>
      </c>
      <c r="I59" s="1703" t="s">
        <v>37</v>
      </c>
      <c r="J59" s="1705" t="s">
        <v>37</v>
      </c>
      <c r="K59" s="1703" t="s">
        <v>37</v>
      </c>
      <c r="L59" s="1704" t="str">
        <f t="shared" ref="L59:L60" si="18">IF(L49="No","N","Y")</f>
        <v>Y</v>
      </c>
      <c r="M59" s="1703" t="s">
        <v>37</v>
      </c>
      <c r="N59" s="1704" t="s">
        <v>37</v>
      </c>
      <c r="O59" s="1703" t="s">
        <v>37</v>
      </c>
      <c r="P59" s="1706" t="s">
        <v>37</v>
      </c>
      <c r="Q59" s="1707" t="s">
        <v>37</v>
      </c>
      <c r="R59" s="1704" t="s">
        <v>37</v>
      </c>
      <c r="S59" s="1703" t="s">
        <v>38</v>
      </c>
      <c r="T59" s="1705" t="s">
        <v>38</v>
      </c>
      <c r="U59" s="1703" t="s">
        <v>37</v>
      </c>
      <c r="V59" s="1704" t="s">
        <v>37</v>
      </c>
      <c r="W59" s="1703" t="s">
        <v>38</v>
      </c>
      <c r="X59" s="815" t="s">
        <v>38</v>
      </c>
      <c r="Y59" s="748" t="s">
        <v>652</v>
      </c>
      <c r="Z59" s="586" t="s">
        <v>863</v>
      </c>
      <c r="AA59" s="972" t="s">
        <v>37</v>
      </c>
      <c r="AB59" s="1913"/>
      <c r="AC59" s="1125"/>
      <c r="AD59" s="1240"/>
      <c r="AE59" s="1239" t="str">
        <f t="shared" si="14"/>
        <v xml:space="preserve"> (Updates to) </v>
      </c>
      <c r="AF59" s="1239" t="str">
        <f t="shared" si="15"/>
        <v xml:space="preserve"> (Updates to) </v>
      </c>
      <c r="AG59" s="1239" t="str">
        <f t="shared" si="16"/>
        <v xml:space="preserve"> (Updates to) </v>
      </c>
      <c r="AH59" s="1783" t="str">
        <f t="shared" si="17"/>
        <v xml:space="preserve"> (Updates to) </v>
      </c>
      <c r="AI59" s="1765" t="s">
        <v>574</v>
      </c>
      <c r="AJ59" s="1239"/>
      <c r="AK59" s="1239" t="s">
        <v>702</v>
      </c>
      <c r="AL59" s="1095"/>
      <c r="AM59" s="1095"/>
      <c r="AN59" s="1095"/>
      <c r="AO59" s="1095"/>
      <c r="AP59" s="1095"/>
      <c r="AQ59" s="1106"/>
      <c r="AR59" s="1097"/>
      <c r="AS59" s="1097"/>
      <c r="AT59" s="181"/>
      <c r="AU59" s="181"/>
      <c r="AV59" s="181"/>
      <c r="AW59" s="181"/>
      <c r="AX59" s="181"/>
      <c r="AY59" s="181"/>
      <c r="AZ59" s="181"/>
      <c r="BA59" s="181"/>
      <c r="BB59" s="181"/>
      <c r="BC59" s="181"/>
      <c r="BD59" s="181"/>
      <c r="BE59" s="181"/>
      <c r="BF59" s="181"/>
      <c r="BG59" s="181"/>
      <c r="BH59" s="181"/>
      <c r="BI59" s="181"/>
      <c r="BJ59" s="181"/>
      <c r="BK59" s="181"/>
      <c r="BL59" s="181"/>
      <c r="BM59" s="181"/>
      <c r="BN59" s="181"/>
      <c r="BO59" s="181"/>
      <c r="BP59" s="181"/>
      <c r="BQ59" s="181"/>
      <c r="BR59" s="181"/>
      <c r="BS59" s="181"/>
      <c r="BT59" s="181"/>
      <c r="BU59" s="181"/>
      <c r="BV59" s="181"/>
    </row>
    <row r="60" spans="1:74" s="545" customFormat="1" ht="15.75" x14ac:dyDescent="0.25">
      <c r="B60" s="1579"/>
      <c r="C60" s="1097"/>
      <c r="D60" s="1145" t="s">
        <v>104</v>
      </c>
      <c r="E60" s="1147" t="str">
        <f t="shared" ref="E60" si="19">IF(Z60="","",IF(OR(AND(OR(G60="Y",G60="?"),_00_apply="Yes"),AND(OR(I60="Y",I60="?"),_01_apply="Yes"),AND(OR(K60="Y",K60="?"),_02_apply="Yes"),AND(OR(M60="Y",M60="?"),_03_apply="Yes"),AND(OR(O60="Y",O60="?"),_04_apply="Yes"),AND(OR(Q60="Y",Q60="?"),_05_apply="Yes"),AND(OR(S60="?",S60="Y"),_06_apply="Yes"),AND(OR(U60="?",U60="Y"),_07_apply="Yes"),AND(OR(W60="Y",W60="?"),_08_apply="Yes")),"","N"))</f>
        <v/>
      </c>
      <c r="F60" s="1124"/>
      <c r="G60" s="1703" t="s">
        <v>37</v>
      </c>
      <c r="H60" s="1704" t="s">
        <v>37</v>
      </c>
      <c r="I60" s="1703" t="s">
        <v>37</v>
      </c>
      <c r="J60" s="1705" t="s">
        <v>37</v>
      </c>
      <c r="K60" s="1703" t="s">
        <v>37</v>
      </c>
      <c r="L60" s="1704" t="str">
        <f t="shared" si="18"/>
        <v>Y</v>
      </c>
      <c r="M60" s="1703" t="s">
        <v>37</v>
      </c>
      <c r="N60" s="1704" t="s">
        <v>37</v>
      </c>
      <c r="O60" s="1703" t="s">
        <v>37</v>
      </c>
      <c r="P60" s="1706" t="s">
        <v>37</v>
      </c>
      <c r="Q60" s="1707" t="s">
        <v>37</v>
      </c>
      <c r="R60" s="1704" t="s">
        <v>37</v>
      </c>
      <c r="S60" s="1703" t="s">
        <v>38</v>
      </c>
      <c r="T60" s="1705" t="s">
        <v>38</v>
      </c>
      <c r="U60" s="1703" t="s">
        <v>37</v>
      </c>
      <c r="V60" s="1704" t="s">
        <v>37</v>
      </c>
      <c r="W60" s="1703" t="s">
        <v>38</v>
      </c>
      <c r="X60" s="815" t="s">
        <v>38</v>
      </c>
      <c r="Y60" s="748" t="s">
        <v>652</v>
      </c>
      <c r="Z60" s="586" t="s">
        <v>862</v>
      </c>
      <c r="AA60" s="972" t="s">
        <v>37</v>
      </c>
      <c r="AB60" s="1913"/>
      <c r="AC60" s="1125"/>
      <c r="AD60" s="1240"/>
      <c r="AE60" s="1239" t="str">
        <f t="shared" si="14"/>
        <v xml:space="preserve"> (Updates to) </v>
      </c>
      <c r="AF60" s="1239" t="str">
        <f t="shared" si="15"/>
        <v xml:space="preserve"> (Updates to) </v>
      </c>
      <c r="AG60" s="1239" t="str">
        <f t="shared" si="16"/>
        <v xml:space="preserve"> (Updates to) </v>
      </c>
      <c r="AH60" s="1783" t="str">
        <f t="shared" si="17"/>
        <v xml:space="preserve"> (Updates to) </v>
      </c>
      <c r="AI60" s="1765" t="s">
        <v>574</v>
      </c>
      <c r="AJ60" s="1239"/>
      <c r="AK60" s="1239" t="s">
        <v>702</v>
      </c>
      <c r="AL60" s="1095"/>
      <c r="AM60" s="1095"/>
      <c r="AN60" s="1095"/>
      <c r="AO60" s="1095"/>
      <c r="AP60" s="1095"/>
      <c r="AQ60" s="1106"/>
      <c r="AR60" s="1097"/>
      <c r="AS60" s="1097"/>
      <c r="AT60" s="551"/>
      <c r="AU60" s="551"/>
      <c r="AV60" s="551"/>
      <c r="AW60" s="551"/>
      <c r="AX60" s="551"/>
      <c r="AY60" s="551"/>
      <c r="AZ60" s="551"/>
      <c r="BA60" s="551"/>
      <c r="BB60" s="551"/>
      <c r="BC60" s="551"/>
      <c r="BD60" s="551"/>
      <c r="BE60" s="551"/>
      <c r="BF60" s="551"/>
      <c r="BG60" s="551"/>
      <c r="BH60" s="551"/>
      <c r="BI60" s="551"/>
      <c r="BJ60" s="551"/>
      <c r="BK60" s="551"/>
      <c r="BL60" s="551"/>
      <c r="BM60" s="551"/>
      <c r="BN60" s="551"/>
      <c r="BO60" s="551"/>
      <c r="BP60" s="551"/>
      <c r="BQ60" s="551"/>
      <c r="BR60" s="551"/>
      <c r="BS60" s="551"/>
      <c r="BT60" s="551"/>
      <c r="BU60" s="551"/>
      <c r="BV60" s="551"/>
    </row>
    <row r="61" spans="1:74" s="30" customFormat="1" ht="15.75" x14ac:dyDescent="0.25">
      <c r="A61" s="545"/>
      <c r="B61" s="1579"/>
      <c r="C61" s="1097"/>
      <c r="D61" s="1145" t="s">
        <v>104</v>
      </c>
      <c r="E61" s="1147" t="str">
        <f t="shared" si="0"/>
        <v/>
      </c>
      <c r="F61" s="1124"/>
      <c r="G61" s="1703" t="s">
        <v>37</v>
      </c>
      <c r="H61" s="1704" t="s">
        <v>37</v>
      </c>
      <c r="I61" s="1703" t="s">
        <v>37</v>
      </c>
      <c r="J61" s="1705" t="s">
        <v>37</v>
      </c>
      <c r="K61" s="1703" t="s">
        <v>37</v>
      </c>
      <c r="L61" s="1704" t="str">
        <f>IF(L50="No","N","Y")</f>
        <v>Y</v>
      </c>
      <c r="M61" s="1703" t="s">
        <v>37</v>
      </c>
      <c r="N61" s="1704" t="s">
        <v>37</v>
      </c>
      <c r="O61" s="1703" t="s">
        <v>37</v>
      </c>
      <c r="P61" s="1706" t="s">
        <v>37</v>
      </c>
      <c r="Q61" s="1707" t="s">
        <v>37</v>
      </c>
      <c r="R61" s="1704" t="s">
        <v>37</v>
      </c>
      <c r="S61" s="1703" t="s">
        <v>38</v>
      </c>
      <c r="T61" s="1705" t="s">
        <v>38</v>
      </c>
      <c r="U61" s="1703" t="s">
        <v>37</v>
      </c>
      <c r="V61" s="1704" t="s">
        <v>37</v>
      </c>
      <c r="W61" s="1703" t="s">
        <v>38</v>
      </c>
      <c r="X61" s="815" t="s">
        <v>38</v>
      </c>
      <c r="Y61" s="748" t="s">
        <v>652</v>
      </c>
      <c r="Z61" s="586" t="s">
        <v>560</v>
      </c>
      <c r="AA61" s="972" t="s">
        <v>37</v>
      </c>
      <c r="AB61" s="1913"/>
      <c r="AC61" s="1125"/>
      <c r="AD61" s="1240"/>
      <c r="AE61" s="1239" t="str">
        <f t="shared" si="14"/>
        <v xml:space="preserve"> (Updates to) </v>
      </c>
      <c r="AF61" s="1239" t="str">
        <f t="shared" si="15"/>
        <v xml:space="preserve"> (Updates to) </v>
      </c>
      <c r="AG61" s="1239" t="str">
        <f t="shared" si="16"/>
        <v xml:space="preserve"> (Updates to) </v>
      </c>
      <c r="AH61" s="1783" t="str">
        <f t="shared" si="17"/>
        <v xml:space="preserve"> (Updates to) </v>
      </c>
      <c r="AI61" s="1765" t="s">
        <v>574</v>
      </c>
      <c r="AJ61" s="1239"/>
      <c r="AK61" s="1239" t="s">
        <v>702</v>
      </c>
      <c r="AL61" s="1095"/>
      <c r="AM61" s="1095"/>
      <c r="AN61" s="1095"/>
      <c r="AO61" s="1095"/>
      <c r="AP61" s="1095"/>
      <c r="AQ61" s="1106"/>
      <c r="AR61" s="1097"/>
      <c r="AS61" s="1097"/>
      <c r="AT61" s="181"/>
      <c r="AU61" s="181"/>
      <c r="AV61" s="181"/>
      <c r="AW61" s="181"/>
      <c r="AX61" s="181"/>
      <c r="AY61" s="181"/>
      <c r="AZ61" s="181"/>
      <c r="BA61" s="181"/>
      <c r="BB61" s="181"/>
      <c r="BC61" s="181"/>
      <c r="BD61" s="181"/>
      <c r="BE61" s="181"/>
      <c r="BF61" s="181"/>
      <c r="BG61" s="181"/>
      <c r="BH61" s="181"/>
      <c r="BI61" s="181"/>
      <c r="BJ61" s="181"/>
      <c r="BK61" s="181"/>
      <c r="BL61" s="181"/>
      <c r="BM61" s="181"/>
      <c r="BN61" s="181"/>
      <c r="BO61" s="181"/>
      <c r="BP61" s="181"/>
      <c r="BQ61" s="181"/>
      <c r="BR61" s="181"/>
      <c r="BS61" s="181"/>
      <c r="BT61" s="181"/>
      <c r="BU61" s="181"/>
      <c r="BV61" s="181"/>
    </row>
    <row r="62" spans="1:74" s="30" customFormat="1" ht="15.75" x14ac:dyDescent="0.25">
      <c r="A62" s="545"/>
      <c r="B62" s="1579"/>
      <c r="C62" s="1097"/>
      <c r="D62" s="1145" t="s">
        <v>104</v>
      </c>
      <c r="E62" s="1147" t="str">
        <f t="shared" si="0"/>
        <v/>
      </c>
      <c r="F62" s="1124"/>
      <c r="G62" s="1703" t="s">
        <v>37</v>
      </c>
      <c r="H62" s="1704" t="s">
        <v>37</v>
      </c>
      <c r="I62" s="1703" t="s">
        <v>37</v>
      </c>
      <c r="J62" s="1705" t="s">
        <v>37</v>
      </c>
      <c r="K62" s="1703" t="s">
        <v>37</v>
      </c>
      <c r="L62" s="1704" t="str">
        <f>IF(L51="No","N","Y")</f>
        <v>Y</v>
      </c>
      <c r="M62" s="1703" t="s">
        <v>37</v>
      </c>
      <c r="N62" s="1704" t="s">
        <v>37</v>
      </c>
      <c r="O62" s="1703" t="s">
        <v>37</v>
      </c>
      <c r="P62" s="1706" t="s">
        <v>37</v>
      </c>
      <c r="Q62" s="1707" t="s">
        <v>37</v>
      </c>
      <c r="R62" s="1704" t="s">
        <v>37</v>
      </c>
      <c r="S62" s="1703" t="s">
        <v>38</v>
      </c>
      <c r="T62" s="1705" t="s">
        <v>38</v>
      </c>
      <c r="U62" s="1703" t="s">
        <v>37</v>
      </c>
      <c r="V62" s="1704" t="s">
        <v>37</v>
      </c>
      <c r="W62" s="1703" t="s">
        <v>38</v>
      </c>
      <c r="X62" s="815" t="s">
        <v>38</v>
      </c>
      <c r="Y62" s="748" t="s">
        <v>652</v>
      </c>
      <c r="Z62" s="586" t="s">
        <v>561</v>
      </c>
      <c r="AA62" s="972" t="s">
        <v>37</v>
      </c>
      <c r="AB62" s="1913"/>
      <c r="AC62" s="1125"/>
      <c r="AD62" s="1240"/>
      <c r="AE62" s="1239" t="str">
        <f t="shared" si="14"/>
        <v xml:space="preserve"> (Updates to) </v>
      </c>
      <c r="AF62" s="1239" t="str">
        <f t="shared" si="15"/>
        <v xml:space="preserve"> (Updates to) </v>
      </c>
      <c r="AG62" s="1239" t="str">
        <f t="shared" si="16"/>
        <v xml:space="preserve"> (Updates to) </v>
      </c>
      <c r="AH62" s="1783" t="str">
        <f t="shared" si="17"/>
        <v xml:space="preserve"> (Updates to) </v>
      </c>
      <c r="AI62" s="1765" t="s">
        <v>574</v>
      </c>
      <c r="AJ62" s="1239"/>
      <c r="AK62" s="1239" t="s">
        <v>702</v>
      </c>
      <c r="AL62" s="1095"/>
      <c r="AM62" s="1095"/>
      <c r="AN62" s="1095"/>
      <c r="AO62" s="1095"/>
      <c r="AP62" s="1095"/>
      <c r="AQ62" s="1106"/>
      <c r="AR62" s="1097"/>
      <c r="AS62" s="1097"/>
      <c r="AT62" s="181"/>
      <c r="AU62" s="181"/>
      <c r="AV62" s="181"/>
      <c r="AW62" s="181"/>
      <c r="AX62" s="181"/>
      <c r="AY62" s="181"/>
      <c r="AZ62" s="181"/>
      <c r="BA62" s="181"/>
      <c r="BB62" s="181"/>
      <c r="BC62" s="181"/>
      <c r="BD62" s="181"/>
      <c r="BE62" s="181"/>
      <c r="BF62" s="181"/>
      <c r="BG62" s="181"/>
      <c r="BH62" s="181"/>
      <c r="BI62" s="181"/>
      <c r="BJ62" s="181"/>
      <c r="BK62" s="181"/>
      <c r="BL62" s="181"/>
      <c r="BM62" s="181"/>
      <c r="BN62" s="181"/>
      <c r="BO62" s="181"/>
      <c r="BP62" s="181"/>
      <c r="BQ62" s="181"/>
      <c r="BR62" s="181"/>
      <c r="BS62" s="181"/>
      <c r="BT62" s="181"/>
      <c r="BU62" s="181"/>
      <c r="BV62" s="181"/>
    </row>
    <row r="63" spans="1:74" s="30" customFormat="1" ht="15.75" x14ac:dyDescent="0.25">
      <c r="A63" s="545"/>
      <c r="B63" s="1579"/>
      <c r="C63" s="1097"/>
      <c r="D63" s="1145" t="s">
        <v>104</v>
      </c>
      <c r="E63" s="1147" t="str">
        <f t="shared" si="0"/>
        <v/>
      </c>
      <c r="F63" s="1124"/>
      <c r="G63" s="1703" t="s">
        <v>37</v>
      </c>
      <c r="H63" s="1704" t="s">
        <v>37</v>
      </c>
      <c r="I63" s="1703" t="s">
        <v>37</v>
      </c>
      <c r="J63" s="1705" t="s">
        <v>37</v>
      </c>
      <c r="K63" s="1703" t="s">
        <v>37</v>
      </c>
      <c r="L63" s="1704" t="str">
        <f>IF(L52="No","N","Y")</f>
        <v>Y</v>
      </c>
      <c r="M63" s="1703" t="s">
        <v>37</v>
      </c>
      <c r="N63" s="1704" t="s">
        <v>37</v>
      </c>
      <c r="O63" s="1703" t="s">
        <v>37</v>
      </c>
      <c r="P63" s="1706" t="s">
        <v>37</v>
      </c>
      <c r="Q63" s="1707" t="s">
        <v>37</v>
      </c>
      <c r="R63" s="1704" t="s">
        <v>37</v>
      </c>
      <c r="S63" s="1703" t="s">
        <v>38</v>
      </c>
      <c r="T63" s="1705" t="s">
        <v>38</v>
      </c>
      <c r="U63" s="1703" t="s">
        <v>37</v>
      </c>
      <c r="V63" s="1704" t="s">
        <v>37</v>
      </c>
      <c r="W63" s="1703" t="s">
        <v>38</v>
      </c>
      <c r="X63" s="815" t="s">
        <v>38</v>
      </c>
      <c r="Y63" s="748" t="s">
        <v>652</v>
      </c>
      <c r="Z63" s="586" t="s">
        <v>562</v>
      </c>
      <c r="AA63" s="972" t="s">
        <v>37</v>
      </c>
      <c r="AB63" s="1913"/>
      <c r="AC63" s="1125"/>
      <c r="AD63" s="1240"/>
      <c r="AE63" s="1239" t="str">
        <f t="shared" si="14"/>
        <v xml:space="preserve"> (Updates to) </v>
      </c>
      <c r="AF63" s="1239" t="str">
        <f t="shared" si="15"/>
        <v xml:space="preserve"> (Updates to) </v>
      </c>
      <c r="AG63" s="1239" t="str">
        <f t="shared" si="16"/>
        <v xml:space="preserve"> (Updates to) </v>
      </c>
      <c r="AH63" s="1783" t="str">
        <f t="shared" si="17"/>
        <v xml:space="preserve"> (Updates to) </v>
      </c>
      <c r="AI63" s="1765" t="s">
        <v>574</v>
      </c>
      <c r="AJ63" s="1239"/>
      <c r="AK63" s="1239" t="s">
        <v>702</v>
      </c>
      <c r="AL63" s="1095"/>
      <c r="AM63" s="1095"/>
      <c r="AN63" s="1095"/>
      <c r="AO63" s="1095"/>
      <c r="AP63" s="1095"/>
      <c r="AQ63" s="1106"/>
      <c r="AR63" s="1097"/>
      <c r="AS63" s="1097"/>
      <c r="AT63" s="181"/>
      <c r="AU63" s="181"/>
      <c r="AV63" s="181"/>
      <c r="AW63" s="181"/>
      <c r="AX63" s="181"/>
      <c r="AY63" s="181"/>
      <c r="AZ63" s="181"/>
      <c r="BA63" s="181"/>
      <c r="BB63" s="181"/>
      <c r="BC63" s="181"/>
      <c r="BD63" s="181"/>
      <c r="BE63" s="181"/>
      <c r="BF63" s="181"/>
      <c r="BG63" s="181"/>
      <c r="BH63" s="181"/>
      <c r="BI63" s="181"/>
      <c r="BJ63" s="181"/>
      <c r="BK63" s="181"/>
      <c r="BL63" s="181"/>
      <c r="BM63" s="181"/>
      <c r="BN63" s="181"/>
      <c r="BO63" s="181"/>
      <c r="BP63" s="181"/>
      <c r="BQ63" s="181"/>
      <c r="BR63" s="181"/>
      <c r="BS63" s="181"/>
      <c r="BT63" s="181"/>
      <c r="BU63" s="181"/>
      <c r="BV63" s="181"/>
    </row>
    <row r="64" spans="1:74" s="30" customFormat="1" ht="15.75" x14ac:dyDescent="0.25">
      <c r="A64" s="545"/>
      <c r="B64" s="1579"/>
      <c r="C64" s="1097"/>
      <c r="D64" s="1145" t="s">
        <v>104</v>
      </c>
      <c r="E64" s="1147" t="str">
        <f t="shared" si="0"/>
        <v/>
      </c>
      <c r="F64" s="1124"/>
      <c r="G64" s="1703" t="s">
        <v>37</v>
      </c>
      <c r="H64" s="1704" t="s">
        <v>37</v>
      </c>
      <c r="I64" s="1703" t="s">
        <v>37</v>
      </c>
      <c r="J64" s="1705" t="s">
        <v>37</v>
      </c>
      <c r="K64" s="1703" t="s">
        <v>37</v>
      </c>
      <c r="L64" s="1704" t="str">
        <f>IF(L53="No","N","Y")</f>
        <v>Y</v>
      </c>
      <c r="M64" s="1703" t="s">
        <v>37</v>
      </c>
      <c r="N64" s="1704" t="s">
        <v>37</v>
      </c>
      <c r="O64" s="1703" t="s">
        <v>37</v>
      </c>
      <c r="P64" s="1706" t="s">
        <v>37</v>
      </c>
      <c r="Q64" s="1707" t="s">
        <v>37</v>
      </c>
      <c r="R64" s="1704" t="s">
        <v>37</v>
      </c>
      <c r="S64" s="1703" t="s">
        <v>38</v>
      </c>
      <c r="T64" s="1705" t="s">
        <v>38</v>
      </c>
      <c r="U64" s="1703" t="s">
        <v>37</v>
      </c>
      <c r="V64" s="1704" t="s">
        <v>37</v>
      </c>
      <c r="W64" s="1703" t="s">
        <v>38</v>
      </c>
      <c r="X64" s="815" t="s">
        <v>38</v>
      </c>
      <c r="Y64" s="748" t="s">
        <v>652</v>
      </c>
      <c r="Z64" s="586" t="s">
        <v>563</v>
      </c>
      <c r="AA64" s="972" t="s">
        <v>37</v>
      </c>
      <c r="AB64" s="1913"/>
      <c r="AC64" s="1125"/>
      <c r="AD64" s="1240"/>
      <c r="AE64" s="1239" t="str">
        <f t="shared" si="14"/>
        <v xml:space="preserve"> (Updates to) </v>
      </c>
      <c r="AF64" s="1239" t="str">
        <f t="shared" si="15"/>
        <v xml:space="preserve"> (Updates to) </v>
      </c>
      <c r="AG64" s="1239" t="str">
        <f t="shared" si="16"/>
        <v xml:space="preserve"> (Updates to) </v>
      </c>
      <c r="AH64" s="1783" t="str">
        <f t="shared" si="17"/>
        <v xml:space="preserve"> (Updates to) </v>
      </c>
      <c r="AI64" s="1765" t="s">
        <v>574</v>
      </c>
      <c r="AJ64" s="1239"/>
      <c r="AK64" s="1239" t="s">
        <v>702</v>
      </c>
      <c r="AL64" s="1095"/>
      <c r="AM64" s="1095"/>
      <c r="AN64" s="1095"/>
      <c r="AO64" s="1095"/>
      <c r="AP64" s="1095"/>
      <c r="AQ64" s="1106"/>
      <c r="AR64" s="1097"/>
      <c r="AS64" s="1097"/>
      <c r="AT64" s="181"/>
      <c r="AU64" s="181"/>
      <c r="AV64" s="181"/>
      <c r="AW64" s="181"/>
      <c r="AX64" s="181"/>
      <c r="AY64" s="181"/>
      <c r="AZ64" s="181"/>
      <c r="BA64" s="181"/>
      <c r="BB64" s="181"/>
      <c r="BC64" s="181"/>
      <c r="BD64" s="181"/>
      <c r="BE64" s="181"/>
      <c r="BF64" s="181"/>
      <c r="BG64" s="181"/>
      <c r="BH64" s="181"/>
      <c r="BI64" s="181"/>
      <c r="BJ64" s="181"/>
      <c r="BK64" s="181"/>
      <c r="BL64" s="181"/>
      <c r="BM64" s="181"/>
      <c r="BN64" s="181"/>
      <c r="BO64" s="181"/>
      <c r="BP64" s="181"/>
      <c r="BQ64" s="181"/>
      <c r="BR64" s="181"/>
      <c r="BS64" s="181"/>
      <c r="BT64" s="181"/>
      <c r="BU64" s="181"/>
      <c r="BV64" s="181"/>
    </row>
    <row r="65" spans="1:74" s="30" customFormat="1" ht="15.75" x14ac:dyDescent="0.25">
      <c r="A65" s="545"/>
      <c r="B65" s="1579"/>
      <c r="C65" s="1097"/>
      <c r="D65" s="1145" t="s">
        <v>104</v>
      </c>
      <c r="E65" s="1147" t="str">
        <f t="shared" si="0"/>
        <v>N</v>
      </c>
      <c r="F65" s="1124"/>
      <c r="G65" s="1703" t="s">
        <v>38</v>
      </c>
      <c r="H65" s="1704" t="s">
        <v>38</v>
      </c>
      <c r="I65" s="1703" t="s">
        <v>38</v>
      </c>
      <c r="J65" s="1705" t="s">
        <v>38</v>
      </c>
      <c r="K65" s="1703" t="s">
        <v>38</v>
      </c>
      <c r="L65" s="1704" t="s">
        <v>38</v>
      </c>
      <c r="M65" s="1703" t="s">
        <v>38</v>
      </c>
      <c r="N65" s="1704" t="s">
        <v>38</v>
      </c>
      <c r="O65" s="1703" t="s">
        <v>38</v>
      </c>
      <c r="P65" s="1706" t="s">
        <v>38</v>
      </c>
      <c r="Q65" s="1707" t="s">
        <v>38</v>
      </c>
      <c r="R65" s="1704" t="s">
        <v>38</v>
      </c>
      <c r="S65" s="1703" t="s">
        <v>38</v>
      </c>
      <c r="T65" s="1705" t="s">
        <v>38</v>
      </c>
      <c r="U65" s="1703" t="s">
        <v>38</v>
      </c>
      <c r="V65" s="1704" t="s">
        <v>38</v>
      </c>
      <c r="W65" s="1703" t="s">
        <v>38</v>
      </c>
      <c r="X65" s="815" t="s">
        <v>38</v>
      </c>
      <c r="Y65" s="748" t="s">
        <v>652</v>
      </c>
      <c r="Z65" s="891" t="s">
        <v>564</v>
      </c>
      <c r="AA65" s="972" t="s">
        <v>38</v>
      </c>
      <c r="AB65" s="1913"/>
      <c r="AC65" s="1125"/>
      <c r="AD65" s="1240"/>
      <c r="AE65" s="1239" t="str">
        <f t="shared" si="14"/>
        <v xml:space="preserve"> (Updates to) </v>
      </c>
      <c r="AF65" s="1239" t="str">
        <f t="shared" si="15"/>
        <v xml:space="preserve"> (Updates to) </v>
      </c>
      <c r="AG65" s="1239" t="str">
        <f t="shared" si="16"/>
        <v xml:space="preserve"> (Updates to) </v>
      </c>
      <c r="AH65" s="1783" t="str">
        <f t="shared" si="17"/>
        <v xml:space="preserve"> (Updates to) </v>
      </c>
      <c r="AI65" s="1765" t="s">
        <v>574</v>
      </c>
      <c r="AJ65" s="1239"/>
      <c r="AK65" s="1239" t="s">
        <v>702</v>
      </c>
      <c r="AL65" s="1095"/>
      <c r="AM65" s="1095"/>
      <c r="AN65" s="1095"/>
      <c r="AO65" s="1095"/>
      <c r="AP65" s="1095"/>
      <c r="AQ65" s="1106"/>
      <c r="AR65" s="1097"/>
      <c r="AS65" s="1097"/>
      <c r="AT65" s="181"/>
      <c r="AU65" s="181"/>
      <c r="AV65" s="181"/>
      <c r="AW65" s="181"/>
      <c r="AX65" s="181"/>
      <c r="AY65" s="181"/>
      <c r="AZ65" s="181"/>
      <c r="BA65" s="181"/>
      <c r="BB65" s="181"/>
      <c r="BC65" s="181"/>
      <c r="BD65" s="181"/>
      <c r="BE65" s="181"/>
      <c r="BF65" s="181"/>
      <c r="BG65" s="181"/>
      <c r="BH65" s="181"/>
      <c r="BI65" s="181"/>
      <c r="BJ65" s="181"/>
      <c r="BK65" s="181"/>
      <c r="BL65" s="181"/>
      <c r="BM65" s="181"/>
      <c r="BN65" s="181"/>
      <c r="BO65" s="181"/>
      <c r="BP65" s="181"/>
      <c r="BQ65" s="181"/>
      <c r="BR65" s="181"/>
      <c r="BS65" s="181"/>
      <c r="BT65" s="181"/>
      <c r="BU65" s="181"/>
      <c r="BV65" s="181"/>
    </row>
    <row r="66" spans="1:74" s="545" customFormat="1" ht="15.75" x14ac:dyDescent="0.25">
      <c r="B66" s="1579"/>
      <c r="C66" s="1097"/>
      <c r="D66" s="1145" t="s">
        <v>104</v>
      </c>
      <c r="E66" s="1147" t="str">
        <f t="shared" ref="E66" si="20">IF(Z66="","",IF(OR(AND(OR(G66="Y",G66="?"),_00_apply="Yes"),AND(OR(I66="Y",I66="?"),_01_apply="Yes"),AND(OR(K66="Y",K66="?"),_02_apply="Yes"),AND(OR(M66="Y",M66="?"),_03_apply="Yes"),AND(OR(O66="Y",O66="?"),_04_apply="Yes"),AND(OR(Q66="Y",Q66="?"),_05_apply="Yes"),AND(OR(S66="?",S66="Y"),_06_apply="Yes"),AND(OR(U66="?",U66="Y"),_07_apply="Yes"),AND(OR(W66="Y",W66="?"),_08_apply="Yes")),"","N"))</f>
        <v/>
      </c>
      <c r="F66" s="1124"/>
      <c r="G66" s="1703" t="s">
        <v>37</v>
      </c>
      <c r="H66" s="1704" t="s">
        <v>37</v>
      </c>
      <c r="I66" s="1703" t="s">
        <v>37</v>
      </c>
      <c r="J66" s="1705" t="s">
        <v>37</v>
      </c>
      <c r="K66" s="1703" t="s">
        <v>37</v>
      </c>
      <c r="L66" s="1704" t="str">
        <f>IF(L62="No","N","Y")</f>
        <v>Y</v>
      </c>
      <c r="M66" s="1703" t="s">
        <v>37</v>
      </c>
      <c r="N66" s="1704" t="s">
        <v>37</v>
      </c>
      <c r="O66" s="1703" t="s">
        <v>37</v>
      </c>
      <c r="P66" s="1706" t="s">
        <v>37</v>
      </c>
      <c r="Q66" s="1707" t="s">
        <v>37</v>
      </c>
      <c r="R66" s="1704" t="s">
        <v>37</v>
      </c>
      <c r="S66" s="1703" t="s">
        <v>38</v>
      </c>
      <c r="T66" s="1705" t="s">
        <v>38</v>
      </c>
      <c r="U66" s="1703" t="s">
        <v>37</v>
      </c>
      <c r="V66" s="1704" t="s">
        <v>37</v>
      </c>
      <c r="W66" s="1703" t="s">
        <v>38</v>
      </c>
      <c r="X66" s="1650" t="s">
        <v>38</v>
      </c>
      <c r="Y66" s="748" t="s">
        <v>652</v>
      </c>
      <c r="Z66" s="586" t="s">
        <v>966</v>
      </c>
      <c r="AA66" s="1004" t="s">
        <v>37</v>
      </c>
      <c r="AB66" s="1913"/>
      <c r="AC66" s="1125"/>
      <c r="AD66" s="1240"/>
      <c r="AE66" s="1239" t="str">
        <f t="shared" si="14"/>
        <v xml:space="preserve"> (Updates to) </v>
      </c>
      <c r="AF66" s="1239" t="str">
        <f t="shared" si="15"/>
        <v xml:space="preserve"> (Updates to) </v>
      </c>
      <c r="AG66" s="1239" t="str">
        <f t="shared" si="16"/>
        <v xml:space="preserve"> (Updates to) </v>
      </c>
      <c r="AH66" s="1783" t="str">
        <f t="shared" si="17"/>
        <v xml:space="preserve"> (Updates to) </v>
      </c>
      <c r="AI66" s="1765" t="s">
        <v>574</v>
      </c>
      <c r="AJ66" s="1239"/>
      <c r="AK66" s="1239" t="s">
        <v>702</v>
      </c>
      <c r="AL66" s="1095"/>
      <c r="AM66" s="1095"/>
      <c r="AN66" s="1095"/>
      <c r="AO66" s="1095"/>
      <c r="AP66" s="1095"/>
      <c r="AQ66" s="1106"/>
      <c r="AR66" s="1097"/>
      <c r="AS66" s="1097"/>
      <c r="AT66" s="551"/>
      <c r="AU66" s="551"/>
      <c r="AV66" s="551"/>
      <c r="AW66" s="551"/>
      <c r="AX66" s="551"/>
      <c r="AY66" s="551"/>
      <c r="AZ66" s="551"/>
      <c r="BA66" s="551"/>
      <c r="BB66" s="551"/>
      <c r="BC66" s="551"/>
      <c r="BD66" s="551"/>
      <c r="BE66" s="551"/>
      <c r="BF66" s="551"/>
      <c r="BG66" s="551"/>
      <c r="BH66" s="551"/>
      <c r="BI66" s="551"/>
      <c r="BJ66" s="551"/>
      <c r="BK66" s="551"/>
      <c r="BL66" s="551"/>
      <c r="BM66" s="551"/>
      <c r="BN66" s="551"/>
      <c r="BO66" s="551"/>
      <c r="BP66" s="551"/>
      <c r="BQ66" s="551"/>
      <c r="BR66" s="551"/>
      <c r="BS66" s="551"/>
      <c r="BT66" s="551"/>
      <c r="BU66" s="551"/>
      <c r="BV66" s="551"/>
    </row>
    <row r="67" spans="1:74" s="30" customFormat="1" ht="15.75" x14ac:dyDescent="0.25">
      <c r="A67" s="545"/>
      <c r="B67" s="1579"/>
      <c r="C67" s="1097"/>
      <c r="D67" s="1145" t="s">
        <v>104</v>
      </c>
      <c r="E67" s="1147" t="str">
        <f t="shared" si="0"/>
        <v/>
      </c>
      <c r="F67" s="1124"/>
      <c r="G67" s="1703" t="s">
        <v>37</v>
      </c>
      <c r="H67" s="1704" t="s">
        <v>37</v>
      </c>
      <c r="I67" s="1703" t="s">
        <v>37</v>
      </c>
      <c r="J67" s="1705" t="s">
        <v>37</v>
      </c>
      <c r="K67" s="1703" t="s">
        <v>37</v>
      </c>
      <c r="L67" s="1704" t="str">
        <f>IF(L55="No","N","Y")</f>
        <v>Y</v>
      </c>
      <c r="M67" s="1703" t="s">
        <v>37</v>
      </c>
      <c r="N67" s="1704" t="s">
        <v>37</v>
      </c>
      <c r="O67" s="1703" t="s">
        <v>37</v>
      </c>
      <c r="P67" s="1706" t="s">
        <v>37</v>
      </c>
      <c r="Q67" s="1707" t="s">
        <v>37</v>
      </c>
      <c r="R67" s="1704" t="s">
        <v>37</v>
      </c>
      <c r="S67" s="1703" t="s">
        <v>38</v>
      </c>
      <c r="T67" s="1705" t="s">
        <v>38</v>
      </c>
      <c r="U67" s="1703" t="s">
        <v>37</v>
      </c>
      <c r="V67" s="1704" t="s">
        <v>37</v>
      </c>
      <c r="W67" s="1703" t="s">
        <v>38</v>
      </c>
      <c r="X67" s="815" t="s">
        <v>38</v>
      </c>
      <c r="Y67" s="748" t="s">
        <v>652</v>
      </c>
      <c r="Z67" s="586" t="s">
        <v>277</v>
      </c>
      <c r="AA67" s="972" t="s">
        <v>37</v>
      </c>
      <c r="AB67" s="1913"/>
      <c r="AC67" s="1125"/>
      <c r="AD67" s="1240"/>
      <c r="AE67" s="1239" t="str">
        <f t="shared" si="14"/>
        <v xml:space="preserve"> (Updates to) </v>
      </c>
      <c r="AF67" s="1239" t="str">
        <f t="shared" si="15"/>
        <v xml:space="preserve"> (Updates to) </v>
      </c>
      <c r="AG67" s="1239" t="str">
        <f t="shared" si="16"/>
        <v xml:space="preserve"> (Updates to) </v>
      </c>
      <c r="AH67" s="1783" t="str">
        <f t="shared" si="17"/>
        <v xml:space="preserve"> (Updates to) </v>
      </c>
      <c r="AI67" s="1765" t="s">
        <v>574</v>
      </c>
      <c r="AJ67" s="1239"/>
      <c r="AK67" s="1239" t="s">
        <v>702</v>
      </c>
      <c r="AL67" s="1095"/>
      <c r="AM67" s="1095"/>
      <c r="AN67" s="1095"/>
      <c r="AO67" s="1095"/>
      <c r="AP67" s="1095"/>
      <c r="AQ67" s="1106"/>
      <c r="AR67" s="1097"/>
      <c r="AS67" s="1097"/>
      <c r="AT67" s="181"/>
      <c r="AU67" s="181"/>
      <c r="AV67" s="181"/>
      <c r="AW67" s="181"/>
      <c r="AX67" s="181"/>
      <c r="AY67" s="181"/>
      <c r="AZ67" s="181"/>
      <c r="BA67" s="181"/>
      <c r="BB67" s="181"/>
      <c r="BC67" s="181"/>
      <c r="BD67" s="181"/>
      <c r="BE67" s="181"/>
      <c r="BF67" s="181"/>
      <c r="BG67" s="181"/>
      <c r="BH67" s="181"/>
      <c r="BI67" s="181"/>
      <c r="BJ67" s="181"/>
      <c r="BK67" s="181"/>
      <c r="BL67" s="181"/>
      <c r="BM67" s="181"/>
      <c r="BN67" s="181"/>
      <c r="BO67" s="181"/>
      <c r="BP67" s="181"/>
      <c r="BQ67" s="181"/>
      <c r="BR67" s="181"/>
      <c r="BS67" s="181"/>
      <c r="BT67" s="181"/>
      <c r="BU67" s="181"/>
      <c r="BV67" s="181"/>
    </row>
    <row r="68" spans="1:74" s="30" customFormat="1" ht="15.75" x14ac:dyDescent="0.25">
      <c r="A68" s="545"/>
      <c r="B68" s="1579"/>
      <c r="C68" s="1097"/>
      <c r="D68" s="1145" t="s">
        <v>104</v>
      </c>
      <c r="E68" s="1147" t="str">
        <f t="shared" si="0"/>
        <v/>
      </c>
      <c r="F68" s="1124"/>
      <c r="G68" s="1703" t="s">
        <v>37</v>
      </c>
      <c r="H68" s="1704" t="s">
        <v>37</v>
      </c>
      <c r="I68" s="1703" t="s">
        <v>37</v>
      </c>
      <c r="J68" s="1705" t="s">
        <v>37</v>
      </c>
      <c r="K68" s="1703" t="s">
        <v>37</v>
      </c>
      <c r="L68" s="1704" t="str">
        <f>IF(L56="No","N","Y")</f>
        <v>Y</v>
      </c>
      <c r="M68" s="1703" t="s">
        <v>37</v>
      </c>
      <c r="N68" s="1704" t="s">
        <v>37</v>
      </c>
      <c r="O68" s="1703" t="s">
        <v>37</v>
      </c>
      <c r="P68" s="1706" t="s">
        <v>37</v>
      </c>
      <c r="Q68" s="1707" t="s">
        <v>37</v>
      </c>
      <c r="R68" s="1704" t="s">
        <v>37</v>
      </c>
      <c r="S68" s="1703" t="s">
        <v>38</v>
      </c>
      <c r="T68" s="1705" t="s">
        <v>38</v>
      </c>
      <c r="U68" s="1703" t="s">
        <v>37</v>
      </c>
      <c r="V68" s="1704" t="s">
        <v>37</v>
      </c>
      <c r="W68" s="1703" t="s">
        <v>38</v>
      </c>
      <c r="X68" s="815" t="s">
        <v>38</v>
      </c>
      <c r="Y68" s="748" t="s">
        <v>652</v>
      </c>
      <c r="Z68" s="586" t="s">
        <v>284</v>
      </c>
      <c r="AA68" s="972" t="s">
        <v>37</v>
      </c>
      <c r="AB68" s="1913"/>
      <c r="AC68" s="1125"/>
      <c r="AD68" s="1240"/>
      <c r="AE68" s="1239" t="str">
        <f t="shared" si="14"/>
        <v xml:space="preserve"> (Updates to) </v>
      </c>
      <c r="AF68" s="1239" t="str">
        <f t="shared" si="15"/>
        <v xml:space="preserve"> (Updates to) </v>
      </c>
      <c r="AG68" s="1239" t="str">
        <f t="shared" si="16"/>
        <v xml:space="preserve"> (Updates to) </v>
      </c>
      <c r="AH68" s="1783" t="str">
        <f t="shared" si="17"/>
        <v xml:space="preserve"> (Updates to) </v>
      </c>
      <c r="AI68" s="1765" t="s">
        <v>574</v>
      </c>
      <c r="AJ68" s="1239"/>
      <c r="AK68" s="1239" t="s">
        <v>702</v>
      </c>
      <c r="AL68" s="1095"/>
      <c r="AM68" s="1095"/>
      <c r="AN68" s="1095"/>
      <c r="AO68" s="1095"/>
      <c r="AP68" s="1095"/>
      <c r="AQ68" s="1106"/>
      <c r="AR68" s="1097"/>
      <c r="AS68" s="1097"/>
      <c r="AT68" s="181"/>
      <c r="AU68" s="181"/>
      <c r="AV68" s="181"/>
      <c r="AW68" s="181"/>
      <c r="AX68" s="181"/>
      <c r="AY68" s="181"/>
      <c r="AZ68" s="181"/>
      <c r="BA68" s="181"/>
      <c r="BB68" s="181"/>
      <c r="BC68" s="181"/>
      <c r="BD68" s="181"/>
      <c r="BE68" s="181"/>
      <c r="BF68" s="181"/>
      <c r="BG68" s="181"/>
      <c r="BH68" s="181"/>
      <c r="BI68" s="181"/>
      <c r="BJ68" s="181"/>
      <c r="BK68" s="181"/>
      <c r="BL68" s="181"/>
      <c r="BM68" s="181"/>
      <c r="BN68" s="181"/>
      <c r="BO68" s="181"/>
      <c r="BP68" s="181"/>
      <c r="BQ68" s="181"/>
      <c r="BR68" s="181"/>
      <c r="BS68" s="181"/>
      <c r="BT68" s="181"/>
      <c r="BU68" s="181"/>
      <c r="BV68" s="181"/>
    </row>
    <row r="69" spans="1:74" s="30" customFormat="1" ht="15.75" x14ac:dyDescent="0.25">
      <c r="A69" s="545"/>
      <c r="B69" s="1579"/>
      <c r="C69" s="1097"/>
      <c r="D69" s="1145" t="s">
        <v>104</v>
      </c>
      <c r="E69" s="1147" t="str">
        <f t="shared" si="0"/>
        <v/>
      </c>
      <c r="F69" s="1124"/>
      <c r="G69" s="1703" t="s">
        <v>37</v>
      </c>
      <c r="H69" s="1704" t="s">
        <v>37</v>
      </c>
      <c r="I69" s="1703" t="s">
        <v>37</v>
      </c>
      <c r="J69" s="1705" t="s">
        <v>37</v>
      </c>
      <c r="K69" s="1703" t="s">
        <v>37</v>
      </c>
      <c r="L69" s="1704" t="str">
        <f>IF(L57="No","N","Y")</f>
        <v>Y</v>
      </c>
      <c r="M69" s="1703" t="s">
        <v>37</v>
      </c>
      <c r="N69" s="1704" t="s">
        <v>37</v>
      </c>
      <c r="O69" s="1703" t="s">
        <v>37</v>
      </c>
      <c r="P69" s="1706" t="s">
        <v>37</v>
      </c>
      <c r="Q69" s="1707" t="s">
        <v>37</v>
      </c>
      <c r="R69" s="1704" t="s">
        <v>37</v>
      </c>
      <c r="S69" s="1703" t="s">
        <v>38</v>
      </c>
      <c r="T69" s="1705" t="s">
        <v>38</v>
      </c>
      <c r="U69" s="1703" t="s">
        <v>37</v>
      </c>
      <c r="V69" s="1704" t="s">
        <v>37</v>
      </c>
      <c r="W69" s="1703" t="s">
        <v>38</v>
      </c>
      <c r="X69" s="815" t="s">
        <v>38</v>
      </c>
      <c r="Y69" s="748" t="s">
        <v>652</v>
      </c>
      <c r="Z69" s="586" t="s">
        <v>321</v>
      </c>
      <c r="AA69" s="972" t="s">
        <v>37</v>
      </c>
      <c r="AB69" s="1913"/>
      <c r="AC69" s="1125"/>
      <c r="AD69" s="1240"/>
      <c r="AE69" s="1239" t="str">
        <f t="shared" si="14"/>
        <v xml:space="preserve"> (Updates to) </v>
      </c>
      <c r="AF69" s="1239" t="str">
        <f t="shared" si="15"/>
        <v xml:space="preserve"> (Updates to) </v>
      </c>
      <c r="AG69" s="1239" t="str">
        <f t="shared" si="16"/>
        <v xml:space="preserve"> (Updates to) </v>
      </c>
      <c r="AH69" s="1783" t="str">
        <f t="shared" si="17"/>
        <v xml:space="preserve"> (Updates to) </v>
      </c>
      <c r="AI69" s="1765" t="s">
        <v>574</v>
      </c>
      <c r="AJ69" s="1239"/>
      <c r="AK69" s="1239" t="s">
        <v>702</v>
      </c>
      <c r="AL69" s="1095"/>
      <c r="AM69" s="1095"/>
      <c r="AN69" s="1095"/>
      <c r="AO69" s="1095"/>
      <c r="AP69" s="1095"/>
      <c r="AQ69" s="1106"/>
      <c r="AR69" s="1097"/>
      <c r="AS69" s="1097"/>
      <c r="AT69" s="181"/>
      <c r="AU69" s="181"/>
      <c r="AV69" s="181"/>
      <c r="AW69" s="181"/>
      <c r="AX69" s="181"/>
      <c r="AY69" s="181"/>
      <c r="AZ69" s="181"/>
      <c r="BA69" s="181"/>
      <c r="BB69" s="181"/>
      <c r="BC69" s="181"/>
      <c r="BD69" s="181"/>
      <c r="BE69" s="181"/>
      <c r="BF69" s="181"/>
      <c r="BG69" s="181"/>
      <c r="BH69" s="181"/>
      <c r="BI69" s="181"/>
      <c r="BJ69" s="181"/>
      <c r="BK69" s="181"/>
      <c r="BL69" s="181"/>
      <c r="BM69" s="181"/>
      <c r="BN69" s="181"/>
      <c r="BO69" s="181"/>
      <c r="BP69" s="181"/>
      <c r="BQ69" s="181"/>
      <c r="BR69" s="181"/>
      <c r="BS69" s="181"/>
      <c r="BT69" s="181"/>
      <c r="BU69" s="181"/>
      <c r="BV69" s="181"/>
    </row>
    <row r="70" spans="1:74" s="30" customFormat="1" ht="15.75" x14ac:dyDescent="0.25">
      <c r="A70" s="545"/>
      <c r="B70" s="1579"/>
      <c r="C70" s="1097"/>
      <c r="D70" s="1145" t="s">
        <v>104</v>
      </c>
      <c r="E70" s="1147" t="str">
        <f t="shared" si="0"/>
        <v/>
      </c>
      <c r="F70" s="1124"/>
      <c r="G70" s="1703" t="s">
        <v>37</v>
      </c>
      <c r="H70" s="1704" t="s">
        <v>37</v>
      </c>
      <c r="I70" s="1703" t="s">
        <v>37</v>
      </c>
      <c r="J70" s="1705" t="s">
        <v>37</v>
      </c>
      <c r="K70" s="1703" t="s">
        <v>37</v>
      </c>
      <c r="L70" s="1704" t="str">
        <f>IF(L58="No","N","Y")</f>
        <v>Y</v>
      </c>
      <c r="M70" s="1703" t="s">
        <v>37</v>
      </c>
      <c r="N70" s="1704" t="s">
        <v>37</v>
      </c>
      <c r="O70" s="1703" t="s">
        <v>37</v>
      </c>
      <c r="P70" s="1706" t="s">
        <v>37</v>
      </c>
      <c r="Q70" s="1707" t="s">
        <v>37</v>
      </c>
      <c r="R70" s="1704" t="s">
        <v>37</v>
      </c>
      <c r="S70" s="1703" t="s">
        <v>38</v>
      </c>
      <c r="T70" s="1705" t="s">
        <v>38</v>
      </c>
      <c r="U70" s="1703" t="s">
        <v>37</v>
      </c>
      <c r="V70" s="1704" t="s">
        <v>37</v>
      </c>
      <c r="W70" s="1703" t="s">
        <v>38</v>
      </c>
      <c r="X70" s="815" t="s">
        <v>38</v>
      </c>
      <c r="Y70" s="748" t="s">
        <v>652</v>
      </c>
      <c r="Z70" s="586" t="s">
        <v>276</v>
      </c>
      <c r="AA70" s="972" t="s">
        <v>37</v>
      </c>
      <c r="AB70" s="1913"/>
      <c r="AC70" s="1125"/>
      <c r="AD70" s="1240"/>
      <c r="AE70" s="1239" t="str">
        <f t="shared" si="14"/>
        <v xml:space="preserve"> (Updates to) </v>
      </c>
      <c r="AF70" s="1239" t="str">
        <f t="shared" si="15"/>
        <v xml:space="preserve"> (Updates to) </v>
      </c>
      <c r="AG70" s="1239" t="str">
        <f t="shared" si="16"/>
        <v xml:space="preserve"> (Updates to) </v>
      </c>
      <c r="AH70" s="1783" t="str">
        <f t="shared" si="17"/>
        <v xml:space="preserve"> (Updates to) </v>
      </c>
      <c r="AI70" s="1765" t="s">
        <v>574</v>
      </c>
      <c r="AJ70" s="1239"/>
      <c r="AK70" s="1239" t="s">
        <v>702</v>
      </c>
      <c r="AL70" s="1095"/>
      <c r="AM70" s="1095"/>
      <c r="AN70" s="1095"/>
      <c r="AO70" s="1095"/>
      <c r="AP70" s="1095"/>
      <c r="AQ70" s="1106"/>
      <c r="AR70" s="1097"/>
      <c r="AS70" s="1097"/>
      <c r="AT70" s="181"/>
      <c r="AU70" s="181"/>
      <c r="AV70" s="181"/>
      <c r="AW70" s="181"/>
      <c r="AX70" s="181"/>
      <c r="AY70" s="181"/>
      <c r="AZ70" s="181"/>
      <c r="BA70" s="181"/>
      <c r="BB70" s="181"/>
      <c r="BC70" s="181"/>
      <c r="BD70" s="181"/>
      <c r="BE70" s="181"/>
      <c r="BF70" s="181"/>
      <c r="BG70" s="181"/>
      <c r="BH70" s="181"/>
      <c r="BI70" s="181"/>
      <c r="BJ70" s="181"/>
      <c r="BK70" s="181"/>
      <c r="BL70" s="181"/>
      <c r="BM70" s="181"/>
      <c r="BN70" s="181"/>
      <c r="BO70" s="181"/>
      <c r="BP70" s="181"/>
      <c r="BQ70" s="181"/>
      <c r="BR70" s="181"/>
      <c r="BS70" s="181"/>
      <c r="BT70" s="181"/>
      <c r="BU70" s="181"/>
      <c r="BV70" s="181"/>
    </row>
    <row r="71" spans="1:74" s="30" customFormat="1" ht="15.75" x14ac:dyDescent="0.25">
      <c r="A71" s="545"/>
      <c r="B71" s="1579"/>
      <c r="C71" s="1097"/>
      <c r="D71" s="1145" t="s">
        <v>104</v>
      </c>
      <c r="E71" s="1147" t="str">
        <f t="shared" si="0"/>
        <v/>
      </c>
      <c r="F71" s="1124"/>
      <c r="G71" s="1703" t="s">
        <v>37</v>
      </c>
      <c r="H71" s="1704" t="s">
        <v>37</v>
      </c>
      <c r="I71" s="1703" t="s">
        <v>37</v>
      </c>
      <c r="J71" s="1705" t="s">
        <v>37</v>
      </c>
      <c r="K71" s="1703" t="s">
        <v>37</v>
      </c>
      <c r="L71" s="1704" t="str">
        <f>IF(L59="No","N","Y")</f>
        <v>Y</v>
      </c>
      <c r="M71" s="1703" t="s">
        <v>37</v>
      </c>
      <c r="N71" s="1704" t="s">
        <v>37</v>
      </c>
      <c r="O71" s="1703" t="s">
        <v>37</v>
      </c>
      <c r="P71" s="1706" t="s">
        <v>37</v>
      </c>
      <c r="Q71" s="1707" t="s">
        <v>37</v>
      </c>
      <c r="R71" s="1704" t="s">
        <v>37</v>
      </c>
      <c r="S71" s="1703" t="s">
        <v>38</v>
      </c>
      <c r="T71" s="1705" t="s">
        <v>38</v>
      </c>
      <c r="U71" s="1703" t="s">
        <v>37</v>
      </c>
      <c r="V71" s="1704" t="s">
        <v>37</v>
      </c>
      <c r="W71" s="1703" t="s">
        <v>38</v>
      </c>
      <c r="X71" s="815" t="s">
        <v>38</v>
      </c>
      <c r="Y71" s="748" t="s">
        <v>652</v>
      </c>
      <c r="Z71" s="586" t="s">
        <v>282</v>
      </c>
      <c r="AA71" s="972" t="s">
        <v>37</v>
      </c>
      <c r="AB71" s="1913"/>
      <c r="AC71" s="1125"/>
      <c r="AD71" s="1240"/>
      <c r="AE71" s="1239" t="str">
        <f t="shared" si="14"/>
        <v xml:space="preserve"> (Updates to) </v>
      </c>
      <c r="AF71" s="1239" t="str">
        <f t="shared" si="15"/>
        <v xml:space="preserve"> (Updates to) </v>
      </c>
      <c r="AG71" s="1239" t="str">
        <f t="shared" si="16"/>
        <v xml:space="preserve"> (Updates to) </v>
      </c>
      <c r="AH71" s="1783" t="str">
        <f t="shared" si="17"/>
        <v xml:space="preserve"> (Updates to) </v>
      </c>
      <c r="AI71" s="1765" t="s">
        <v>574</v>
      </c>
      <c r="AJ71" s="1239"/>
      <c r="AK71" s="1239" t="s">
        <v>702</v>
      </c>
      <c r="AL71" s="1095"/>
      <c r="AM71" s="1095"/>
      <c r="AN71" s="1095"/>
      <c r="AO71" s="1095"/>
      <c r="AP71" s="1095"/>
      <c r="AQ71" s="1106"/>
      <c r="AR71" s="1097"/>
      <c r="AS71" s="1097"/>
      <c r="AT71" s="181"/>
      <c r="AU71" s="181"/>
      <c r="AV71" s="181"/>
      <c r="AW71" s="181"/>
      <c r="AX71" s="181"/>
      <c r="AY71" s="181"/>
      <c r="AZ71" s="181"/>
      <c r="BA71" s="181"/>
      <c r="BB71" s="181"/>
      <c r="BC71" s="181"/>
      <c r="BD71" s="181"/>
      <c r="BE71" s="181"/>
      <c r="BF71" s="181"/>
      <c r="BG71" s="181"/>
      <c r="BH71" s="181"/>
      <c r="BI71" s="181"/>
      <c r="BJ71" s="181"/>
      <c r="BK71" s="181"/>
      <c r="BL71" s="181"/>
      <c r="BM71" s="181"/>
      <c r="BN71" s="181"/>
      <c r="BO71" s="181"/>
      <c r="BP71" s="181"/>
      <c r="BQ71" s="181"/>
      <c r="BR71" s="181"/>
      <c r="BS71" s="181"/>
      <c r="BT71" s="181"/>
      <c r="BU71" s="181"/>
      <c r="BV71" s="181"/>
    </row>
    <row r="72" spans="1:74" s="30" customFormat="1" ht="15.75" x14ac:dyDescent="0.25">
      <c r="A72" s="545"/>
      <c r="B72" s="1579"/>
      <c r="C72" s="1097"/>
      <c r="D72" s="1145" t="s">
        <v>104</v>
      </c>
      <c r="E72" s="1147" t="str">
        <f t="shared" si="0"/>
        <v/>
      </c>
      <c r="F72" s="1124"/>
      <c r="G72" s="1703" t="s">
        <v>37</v>
      </c>
      <c r="H72" s="1704" t="s">
        <v>37</v>
      </c>
      <c r="I72" s="1703" t="s">
        <v>37</v>
      </c>
      <c r="J72" s="1705" t="s">
        <v>37</v>
      </c>
      <c r="K72" s="1703" t="s">
        <v>37</v>
      </c>
      <c r="L72" s="1704" t="str">
        <f>IF(L61="No","N","Y")</f>
        <v>Y</v>
      </c>
      <c r="M72" s="1703" t="s">
        <v>37</v>
      </c>
      <c r="N72" s="1704" t="s">
        <v>37</v>
      </c>
      <c r="O72" s="1703" t="s">
        <v>37</v>
      </c>
      <c r="P72" s="1706" t="s">
        <v>37</v>
      </c>
      <c r="Q72" s="1707" t="s">
        <v>37</v>
      </c>
      <c r="R72" s="1704" t="s">
        <v>37</v>
      </c>
      <c r="S72" s="1703" t="s">
        <v>38</v>
      </c>
      <c r="T72" s="1705" t="s">
        <v>38</v>
      </c>
      <c r="U72" s="1703" t="s">
        <v>37</v>
      </c>
      <c r="V72" s="1704" t="s">
        <v>37</v>
      </c>
      <c r="W72" s="1703" t="s">
        <v>38</v>
      </c>
      <c r="X72" s="815" t="s">
        <v>38</v>
      </c>
      <c r="Y72" s="748" t="s">
        <v>652</v>
      </c>
      <c r="Z72" s="586" t="s">
        <v>322</v>
      </c>
      <c r="AA72" s="972" t="s">
        <v>38</v>
      </c>
      <c r="AB72" s="1913"/>
      <c r="AC72" s="1125"/>
      <c r="AD72" s="1240"/>
      <c r="AE72" s="1239" t="str">
        <f t="shared" si="14"/>
        <v xml:space="preserve"> (Updates to) </v>
      </c>
      <c r="AF72" s="1239" t="str">
        <f t="shared" si="15"/>
        <v xml:space="preserve"> (Updates to) </v>
      </c>
      <c r="AG72" s="1239" t="str">
        <f t="shared" si="16"/>
        <v xml:space="preserve"> (Updates to) </v>
      </c>
      <c r="AH72" s="1783" t="str">
        <f t="shared" si="17"/>
        <v xml:space="preserve"> (Updates to) </v>
      </c>
      <c r="AI72" s="1765" t="s">
        <v>574</v>
      </c>
      <c r="AJ72" s="1239"/>
      <c r="AK72" s="1239" t="s">
        <v>702</v>
      </c>
      <c r="AL72" s="1095"/>
      <c r="AM72" s="1095"/>
      <c r="AN72" s="1095"/>
      <c r="AO72" s="1095"/>
      <c r="AP72" s="1095"/>
      <c r="AQ72" s="1106"/>
      <c r="AR72" s="1097"/>
      <c r="AS72" s="1097"/>
      <c r="AT72" s="181"/>
      <c r="AU72" s="181"/>
      <c r="AV72" s="181"/>
      <c r="AW72" s="181"/>
      <c r="AX72" s="181"/>
      <c r="AY72" s="181"/>
      <c r="AZ72" s="181"/>
      <c r="BA72" s="181"/>
      <c r="BB72" s="181"/>
      <c r="BC72" s="181"/>
      <c r="BD72" s="181"/>
      <c r="BE72" s="181"/>
      <c r="BF72" s="181"/>
      <c r="BG72" s="181"/>
      <c r="BH72" s="181"/>
      <c r="BI72" s="181"/>
      <c r="BJ72" s="181"/>
      <c r="BK72" s="181"/>
      <c r="BL72" s="181"/>
      <c r="BM72" s="181"/>
      <c r="BN72" s="181"/>
      <c r="BO72" s="181"/>
      <c r="BP72" s="181"/>
      <c r="BQ72" s="181"/>
      <c r="BR72" s="181"/>
      <c r="BS72" s="181"/>
      <c r="BT72" s="181"/>
      <c r="BU72" s="181"/>
      <c r="BV72" s="181"/>
    </row>
    <row r="73" spans="1:74" s="30" customFormat="1" ht="15.75" x14ac:dyDescent="0.25">
      <c r="A73" s="545"/>
      <c r="B73" s="1579"/>
      <c r="C73" s="1097"/>
      <c r="D73" s="1145" t="s">
        <v>104</v>
      </c>
      <c r="E73" s="1147" t="str">
        <f t="shared" si="0"/>
        <v>N</v>
      </c>
      <c r="F73" s="1124"/>
      <c r="G73" s="1703" t="s">
        <v>38</v>
      </c>
      <c r="H73" s="1704" t="s">
        <v>38</v>
      </c>
      <c r="I73" s="1703" t="s">
        <v>38</v>
      </c>
      <c r="J73" s="1705" t="s">
        <v>38</v>
      </c>
      <c r="K73" s="1703" t="s">
        <v>38</v>
      </c>
      <c r="L73" s="1704" t="s">
        <v>38</v>
      </c>
      <c r="M73" s="1703" t="s">
        <v>38</v>
      </c>
      <c r="N73" s="1704" t="s">
        <v>38</v>
      </c>
      <c r="O73" s="1703" t="s">
        <v>38</v>
      </c>
      <c r="P73" s="1706" t="s">
        <v>38</v>
      </c>
      <c r="Q73" s="1707" t="s">
        <v>38</v>
      </c>
      <c r="R73" s="1704" t="s">
        <v>38</v>
      </c>
      <c r="S73" s="1703" t="s">
        <v>38</v>
      </c>
      <c r="T73" s="1705" t="s">
        <v>38</v>
      </c>
      <c r="U73" s="1703" t="s">
        <v>38</v>
      </c>
      <c r="V73" s="1704" t="s">
        <v>38</v>
      </c>
      <c r="W73" s="1703" t="s">
        <v>38</v>
      </c>
      <c r="X73" s="815" t="s">
        <v>38</v>
      </c>
      <c r="Y73" s="748" t="s">
        <v>652</v>
      </c>
      <c r="Z73" s="891" t="s">
        <v>279</v>
      </c>
      <c r="AA73" s="972" t="s">
        <v>38</v>
      </c>
      <c r="AB73" s="1913"/>
      <c r="AC73" s="1125"/>
      <c r="AD73" s="1240"/>
      <c r="AE73" s="1239" t="str">
        <f t="shared" si="14"/>
        <v xml:space="preserve"> (Updates to) </v>
      </c>
      <c r="AF73" s="1239" t="str">
        <f t="shared" si="15"/>
        <v xml:space="preserve"> (Updates to) </v>
      </c>
      <c r="AG73" s="1239" t="str">
        <f t="shared" si="16"/>
        <v xml:space="preserve"> (Updates to) </v>
      </c>
      <c r="AH73" s="1783" t="str">
        <f t="shared" si="17"/>
        <v xml:space="preserve"> (Updates to) </v>
      </c>
      <c r="AI73" s="1765" t="s">
        <v>574</v>
      </c>
      <c r="AJ73" s="1239"/>
      <c r="AK73" s="1239" t="s">
        <v>702</v>
      </c>
      <c r="AL73" s="1095"/>
      <c r="AM73" s="1095"/>
      <c r="AN73" s="1095"/>
      <c r="AO73" s="1095"/>
      <c r="AP73" s="1095"/>
      <c r="AQ73" s="1106"/>
      <c r="AR73" s="1097"/>
      <c r="AS73" s="1097"/>
      <c r="AT73" s="181"/>
      <c r="AU73" s="181"/>
      <c r="AV73" s="181"/>
      <c r="AW73" s="181"/>
      <c r="AX73" s="181"/>
      <c r="AY73" s="181"/>
      <c r="AZ73" s="181"/>
      <c r="BA73" s="181"/>
      <c r="BB73" s="181"/>
      <c r="BC73" s="181"/>
      <c r="BD73" s="181"/>
      <c r="BE73" s="181"/>
      <c r="BF73" s="181"/>
      <c r="BG73" s="181"/>
      <c r="BH73" s="181"/>
      <c r="BI73" s="181"/>
      <c r="BJ73" s="181"/>
      <c r="BK73" s="181"/>
      <c r="BL73" s="181"/>
      <c r="BM73" s="181"/>
      <c r="BN73" s="181"/>
      <c r="BO73" s="181"/>
      <c r="BP73" s="181"/>
      <c r="BQ73" s="181"/>
      <c r="BR73" s="181"/>
      <c r="BS73" s="181"/>
      <c r="BT73" s="181"/>
      <c r="BU73" s="181"/>
      <c r="BV73" s="181"/>
    </row>
    <row r="74" spans="1:74" s="30" customFormat="1" ht="15.75" x14ac:dyDescent="0.25">
      <c r="A74" s="545"/>
      <c r="B74" s="1579"/>
      <c r="C74" s="1097"/>
      <c r="D74" s="1145" t="s">
        <v>104</v>
      </c>
      <c r="E74" s="1147" t="str">
        <f t="shared" si="0"/>
        <v>N</v>
      </c>
      <c r="F74" s="1124"/>
      <c r="G74" s="1703" t="s">
        <v>38</v>
      </c>
      <c r="H74" s="1704" t="s">
        <v>38</v>
      </c>
      <c r="I74" s="1703" t="s">
        <v>38</v>
      </c>
      <c r="J74" s="1705" t="s">
        <v>38</v>
      </c>
      <c r="K74" s="1703" t="s">
        <v>38</v>
      </c>
      <c r="L74" s="1704" t="s">
        <v>38</v>
      </c>
      <c r="M74" s="1703" t="s">
        <v>38</v>
      </c>
      <c r="N74" s="1704" t="s">
        <v>38</v>
      </c>
      <c r="O74" s="1703" t="s">
        <v>38</v>
      </c>
      <c r="P74" s="1706" t="s">
        <v>38</v>
      </c>
      <c r="Q74" s="1707" t="s">
        <v>38</v>
      </c>
      <c r="R74" s="1704" t="s">
        <v>38</v>
      </c>
      <c r="S74" s="1703" t="s">
        <v>38</v>
      </c>
      <c r="T74" s="1705" t="s">
        <v>38</v>
      </c>
      <c r="U74" s="1703" t="s">
        <v>38</v>
      </c>
      <c r="V74" s="1704" t="s">
        <v>38</v>
      </c>
      <c r="W74" s="1703" t="s">
        <v>38</v>
      </c>
      <c r="X74" s="815" t="s">
        <v>38</v>
      </c>
      <c r="Y74" s="748" t="s">
        <v>652</v>
      </c>
      <c r="Z74" s="891" t="s">
        <v>279</v>
      </c>
      <c r="AA74" s="972" t="s">
        <v>38</v>
      </c>
      <c r="AB74" s="1913"/>
      <c r="AC74" s="1125"/>
      <c r="AD74" s="1240"/>
      <c r="AE74" s="1239" t="str">
        <f t="shared" si="14"/>
        <v xml:space="preserve"> (Updates to) </v>
      </c>
      <c r="AF74" s="1239" t="str">
        <f t="shared" si="15"/>
        <v xml:space="preserve"> (Updates to) </v>
      </c>
      <c r="AG74" s="1239" t="str">
        <f t="shared" si="16"/>
        <v xml:space="preserve"> (Updates to) </v>
      </c>
      <c r="AH74" s="1783" t="str">
        <f t="shared" si="17"/>
        <v xml:space="preserve"> (Updates to) </v>
      </c>
      <c r="AI74" s="1765" t="s">
        <v>574</v>
      </c>
      <c r="AJ74" s="1239"/>
      <c r="AK74" s="1239" t="s">
        <v>702</v>
      </c>
      <c r="AL74" s="1095"/>
      <c r="AM74" s="1095"/>
      <c r="AN74" s="1095"/>
      <c r="AO74" s="1095"/>
      <c r="AP74" s="1095"/>
      <c r="AQ74" s="1106"/>
      <c r="AR74" s="1097"/>
      <c r="AS74" s="1097"/>
      <c r="AT74" s="181"/>
      <c r="AU74" s="181"/>
      <c r="AV74" s="181"/>
      <c r="AW74" s="181"/>
      <c r="AX74" s="181"/>
      <c r="AY74" s="181"/>
      <c r="AZ74" s="181"/>
      <c r="BA74" s="181"/>
      <c r="BB74" s="181"/>
      <c r="BC74" s="181"/>
      <c r="BD74" s="181"/>
      <c r="BE74" s="181"/>
      <c r="BF74" s="181"/>
      <c r="BG74" s="181"/>
      <c r="BH74" s="181"/>
      <c r="BI74" s="181"/>
      <c r="BJ74" s="181"/>
      <c r="BK74" s="181"/>
      <c r="BL74" s="181"/>
      <c r="BM74" s="181"/>
      <c r="BN74" s="181"/>
      <c r="BO74" s="181"/>
      <c r="BP74" s="181"/>
      <c r="BQ74" s="181"/>
      <c r="BR74" s="181"/>
      <c r="BS74" s="181"/>
      <c r="BT74" s="181"/>
      <c r="BU74" s="181"/>
      <c r="BV74" s="181"/>
    </row>
    <row r="75" spans="1:74" s="30" customFormat="1" ht="15.75" x14ac:dyDescent="0.25">
      <c r="A75" s="545"/>
      <c r="B75" s="1579"/>
      <c r="C75" s="1097"/>
      <c r="D75" s="1145" t="s">
        <v>104</v>
      </c>
      <c r="E75" s="1147" t="str">
        <f t="shared" si="0"/>
        <v/>
      </c>
      <c r="F75" s="1124"/>
      <c r="G75" s="1703" t="s">
        <v>37</v>
      </c>
      <c r="H75" s="1704" t="s">
        <v>37</v>
      </c>
      <c r="I75" s="1703" t="s">
        <v>37</v>
      </c>
      <c r="J75" s="1705" t="s">
        <v>37</v>
      </c>
      <c r="K75" s="1703" t="s">
        <v>37</v>
      </c>
      <c r="L75" s="1704" t="str">
        <f>IF(L64="No","N","Y")</f>
        <v>Y</v>
      </c>
      <c r="M75" s="1703" t="s">
        <v>37</v>
      </c>
      <c r="N75" s="1704" t="s">
        <v>37</v>
      </c>
      <c r="O75" s="1703" t="s">
        <v>37</v>
      </c>
      <c r="P75" s="1706" t="s">
        <v>37</v>
      </c>
      <c r="Q75" s="1707" t="s">
        <v>37</v>
      </c>
      <c r="R75" s="1704" t="s">
        <v>37</v>
      </c>
      <c r="S75" s="1703" t="s">
        <v>38</v>
      </c>
      <c r="T75" s="1705" t="s">
        <v>38</v>
      </c>
      <c r="U75" s="1703" t="s">
        <v>37</v>
      </c>
      <c r="V75" s="1704" t="s">
        <v>37</v>
      </c>
      <c r="W75" s="1703" t="s">
        <v>38</v>
      </c>
      <c r="X75" s="815" t="s">
        <v>38</v>
      </c>
      <c r="Y75" s="748" t="s">
        <v>652</v>
      </c>
      <c r="Z75" s="586" t="s">
        <v>281</v>
      </c>
      <c r="AA75" s="972" t="s">
        <v>37</v>
      </c>
      <c r="AB75" s="1913"/>
      <c r="AC75" s="1125"/>
      <c r="AD75" s="1240"/>
      <c r="AE75" s="1239" t="str">
        <f t="shared" si="14"/>
        <v xml:space="preserve"> (Updates to) </v>
      </c>
      <c r="AF75" s="1239" t="str">
        <f t="shared" si="15"/>
        <v xml:space="preserve"> (Updates to) </v>
      </c>
      <c r="AG75" s="1239" t="str">
        <f t="shared" si="16"/>
        <v xml:space="preserve"> (Updates to) </v>
      </c>
      <c r="AH75" s="1783" t="str">
        <f t="shared" si="17"/>
        <v xml:space="preserve"> (Updates to) </v>
      </c>
      <c r="AI75" s="1765" t="s">
        <v>574</v>
      </c>
      <c r="AJ75" s="1239"/>
      <c r="AK75" s="1239" t="s">
        <v>702</v>
      </c>
      <c r="AL75" s="1095"/>
      <c r="AM75" s="1095"/>
      <c r="AN75" s="1095"/>
      <c r="AO75" s="1095"/>
      <c r="AP75" s="1095"/>
      <c r="AQ75" s="1106"/>
      <c r="AR75" s="1097"/>
      <c r="AS75" s="1097"/>
      <c r="AT75" s="181"/>
      <c r="AU75" s="181"/>
      <c r="AV75" s="181"/>
      <c r="AW75" s="181"/>
      <c r="AX75" s="181"/>
      <c r="AY75" s="181"/>
      <c r="AZ75" s="181"/>
      <c r="BA75" s="181"/>
      <c r="BB75" s="181"/>
      <c r="BC75" s="181"/>
      <c r="BD75" s="181"/>
      <c r="BE75" s="181"/>
      <c r="BF75" s="181"/>
      <c r="BG75" s="181"/>
      <c r="BH75" s="181"/>
      <c r="BI75" s="181"/>
      <c r="BJ75" s="181"/>
      <c r="BK75" s="181"/>
      <c r="BL75" s="181"/>
      <c r="BM75" s="181"/>
      <c r="BN75" s="181"/>
      <c r="BO75" s="181"/>
      <c r="BP75" s="181"/>
      <c r="BQ75" s="181"/>
      <c r="BR75" s="181"/>
      <c r="BS75" s="181"/>
      <c r="BT75" s="181"/>
      <c r="BU75" s="181"/>
      <c r="BV75" s="181"/>
    </row>
    <row r="76" spans="1:74" s="30" customFormat="1" ht="15.75" x14ac:dyDescent="0.25">
      <c r="A76" s="545"/>
      <c r="B76" s="1579"/>
      <c r="C76" s="1097"/>
      <c r="D76" s="1145" t="s">
        <v>104</v>
      </c>
      <c r="E76" s="1147" t="str">
        <f t="shared" si="0"/>
        <v/>
      </c>
      <c r="F76" s="1124"/>
      <c r="G76" s="1703" t="s">
        <v>37</v>
      </c>
      <c r="H76" s="1704" t="s">
        <v>37</v>
      </c>
      <c r="I76" s="1703" t="s">
        <v>37</v>
      </c>
      <c r="J76" s="1705" t="s">
        <v>37</v>
      </c>
      <c r="K76" s="1703" t="s">
        <v>37</v>
      </c>
      <c r="L76" s="1704" t="str">
        <f>IF(L65="No","N","Y")</f>
        <v>Y</v>
      </c>
      <c r="M76" s="1703" t="s">
        <v>37</v>
      </c>
      <c r="N76" s="1704" t="s">
        <v>37</v>
      </c>
      <c r="O76" s="1703" t="s">
        <v>37</v>
      </c>
      <c r="P76" s="1706" t="s">
        <v>37</v>
      </c>
      <c r="Q76" s="1707" t="s">
        <v>37</v>
      </c>
      <c r="R76" s="1704" t="s">
        <v>37</v>
      </c>
      <c r="S76" s="1703" t="s">
        <v>38</v>
      </c>
      <c r="T76" s="1705" t="s">
        <v>38</v>
      </c>
      <c r="U76" s="1703" t="s">
        <v>37</v>
      </c>
      <c r="V76" s="1704" t="s">
        <v>37</v>
      </c>
      <c r="W76" s="1703" t="s">
        <v>38</v>
      </c>
      <c r="X76" s="815" t="s">
        <v>38</v>
      </c>
      <c r="Y76" s="748" t="s">
        <v>652</v>
      </c>
      <c r="Z76" s="586" t="s">
        <v>274</v>
      </c>
      <c r="AA76" s="972" t="s">
        <v>37</v>
      </c>
      <c r="AB76" s="1913"/>
      <c r="AC76" s="1125"/>
      <c r="AD76" s="1240"/>
      <c r="AE76" s="1239" t="str">
        <f t="shared" si="14"/>
        <v xml:space="preserve"> (Updates to) </v>
      </c>
      <c r="AF76" s="1239" t="str">
        <f t="shared" si="15"/>
        <v xml:space="preserve"> (Updates to) </v>
      </c>
      <c r="AG76" s="1239" t="str">
        <f t="shared" si="16"/>
        <v xml:space="preserve"> (Updates to) </v>
      </c>
      <c r="AH76" s="1783" t="str">
        <f t="shared" si="17"/>
        <v xml:space="preserve"> (Updates to) </v>
      </c>
      <c r="AI76" s="1765" t="s">
        <v>574</v>
      </c>
      <c r="AJ76" s="1239"/>
      <c r="AK76" s="1239" t="s">
        <v>702</v>
      </c>
      <c r="AL76" s="1095"/>
      <c r="AM76" s="1095"/>
      <c r="AN76" s="1095"/>
      <c r="AO76" s="1095"/>
      <c r="AP76" s="1095"/>
      <c r="AQ76" s="1106"/>
      <c r="AR76" s="1097"/>
      <c r="AS76" s="1097"/>
      <c r="AT76" s="181"/>
      <c r="AU76" s="181"/>
      <c r="AV76" s="181"/>
      <c r="AW76" s="181"/>
      <c r="AX76" s="181"/>
      <c r="AY76" s="181"/>
      <c r="AZ76" s="181"/>
      <c r="BA76" s="181"/>
      <c r="BB76" s="181"/>
      <c r="BC76" s="181"/>
      <c r="BD76" s="181"/>
      <c r="BE76" s="181"/>
      <c r="BF76" s="181"/>
      <c r="BG76" s="181"/>
      <c r="BH76" s="181"/>
      <c r="BI76" s="181"/>
      <c r="BJ76" s="181"/>
      <c r="BK76" s="181"/>
      <c r="BL76" s="181"/>
      <c r="BM76" s="181"/>
      <c r="BN76" s="181"/>
      <c r="BO76" s="181"/>
      <c r="BP76" s="181"/>
      <c r="BQ76" s="181"/>
      <c r="BR76" s="181"/>
      <c r="BS76" s="181"/>
      <c r="BT76" s="181"/>
      <c r="BU76" s="181"/>
      <c r="BV76" s="181"/>
    </row>
    <row r="77" spans="1:74" s="30" customFormat="1" ht="15.75" x14ac:dyDescent="0.25">
      <c r="A77" s="545"/>
      <c r="B77" s="1579"/>
      <c r="C77" s="1097"/>
      <c r="D77" s="1145" t="s">
        <v>104</v>
      </c>
      <c r="E77" s="1147" t="str">
        <f t="shared" si="0"/>
        <v/>
      </c>
      <c r="F77" s="1124"/>
      <c r="G77" s="1703" t="s">
        <v>37</v>
      </c>
      <c r="H77" s="1704" t="s">
        <v>37</v>
      </c>
      <c r="I77" s="1703" t="s">
        <v>37</v>
      </c>
      <c r="J77" s="1705" t="s">
        <v>37</v>
      </c>
      <c r="K77" s="1703" t="s">
        <v>37</v>
      </c>
      <c r="L77" s="1704" t="str">
        <f>IF(L67="No","N","Y")</f>
        <v>Y</v>
      </c>
      <c r="M77" s="1703" t="s">
        <v>37</v>
      </c>
      <c r="N77" s="1704" t="s">
        <v>37</v>
      </c>
      <c r="O77" s="1703" t="s">
        <v>37</v>
      </c>
      <c r="P77" s="1706" t="s">
        <v>37</v>
      </c>
      <c r="Q77" s="1707" t="s">
        <v>37</v>
      </c>
      <c r="R77" s="1704" t="s">
        <v>37</v>
      </c>
      <c r="S77" s="1703" t="s">
        <v>38</v>
      </c>
      <c r="T77" s="1705" t="s">
        <v>38</v>
      </c>
      <c r="U77" s="1703" t="s">
        <v>37</v>
      </c>
      <c r="V77" s="1704" t="s">
        <v>37</v>
      </c>
      <c r="W77" s="1703" t="s">
        <v>38</v>
      </c>
      <c r="X77" s="815" t="s">
        <v>38</v>
      </c>
      <c r="Y77" s="748" t="s">
        <v>652</v>
      </c>
      <c r="Z77" s="586" t="s">
        <v>275</v>
      </c>
      <c r="AA77" s="972" t="s">
        <v>37</v>
      </c>
      <c r="AB77" s="1913"/>
      <c r="AC77" s="1125"/>
      <c r="AD77" s="1240"/>
      <c r="AE77" s="1239" t="str">
        <f t="shared" si="14"/>
        <v xml:space="preserve"> (Updates to) </v>
      </c>
      <c r="AF77" s="1239" t="str">
        <f t="shared" si="15"/>
        <v xml:space="preserve"> (Updates to) </v>
      </c>
      <c r="AG77" s="1239" t="str">
        <f t="shared" si="16"/>
        <v xml:space="preserve"> (Updates to) </v>
      </c>
      <c r="AH77" s="1783" t="str">
        <f t="shared" si="17"/>
        <v xml:space="preserve"> (Updates to) </v>
      </c>
      <c r="AI77" s="1765" t="s">
        <v>574</v>
      </c>
      <c r="AJ77" s="1239"/>
      <c r="AK77" s="1239" t="s">
        <v>702</v>
      </c>
      <c r="AL77" s="1095"/>
      <c r="AM77" s="1095"/>
      <c r="AN77" s="1095"/>
      <c r="AO77" s="1095"/>
      <c r="AP77" s="1095"/>
      <c r="AQ77" s="1106"/>
      <c r="AR77" s="1097"/>
      <c r="AS77" s="1097"/>
      <c r="AT77" s="181"/>
      <c r="AU77" s="181"/>
      <c r="AV77" s="181"/>
      <c r="AW77" s="181"/>
      <c r="AX77" s="181"/>
      <c r="AY77" s="181"/>
      <c r="AZ77" s="181"/>
      <c r="BA77" s="181"/>
      <c r="BB77" s="181"/>
      <c r="BC77" s="181"/>
      <c r="BD77" s="181"/>
      <c r="BE77" s="181"/>
      <c r="BF77" s="181"/>
      <c r="BG77" s="181"/>
      <c r="BH77" s="181"/>
      <c r="BI77" s="181"/>
      <c r="BJ77" s="181"/>
      <c r="BK77" s="181"/>
      <c r="BL77" s="181"/>
      <c r="BM77" s="181"/>
      <c r="BN77" s="181"/>
      <c r="BO77" s="181"/>
      <c r="BP77" s="181"/>
      <c r="BQ77" s="181"/>
      <c r="BR77" s="181"/>
      <c r="BS77" s="181"/>
      <c r="BT77" s="181"/>
      <c r="BU77" s="181"/>
      <c r="BV77" s="181"/>
    </row>
    <row r="78" spans="1:74" s="30" customFormat="1" ht="15.75" x14ac:dyDescent="0.25">
      <c r="A78" s="545"/>
      <c r="B78" s="1579"/>
      <c r="C78" s="1097"/>
      <c r="D78" s="1145" t="s">
        <v>104</v>
      </c>
      <c r="E78" s="1147" t="str">
        <f t="shared" si="0"/>
        <v/>
      </c>
      <c r="F78" s="1124"/>
      <c r="G78" s="1703" t="s">
        <v>37</v>
      </c>
      <c r="H78" s="1704" t="s">
        <v>37</v>
      </c>
      <c r="I78" s="1703" t="s">
        <v>37</v>
      </c>
      <c r="J78" s="1705" t="s">
        <v>37</v>
      </c>
      <c r="K78" s="1703" t="s">
        <v>37</v>
      </c>
      <c r="L78" s="1704" t="str">
        <f>IF(L68="No","N","Y")</f>
        <v>Y</v>
      </c>
      <c r="M78" s="1703" t="s">
        <v>37</v>
      </c>
      <c r="N78" s="1704" t="s">
        <v>37</v>
      </c>
      <c r="O78" s="1703" t="s">
        <v>37</v>
      </c>
      <c r="P78" s="1706" t="s">
        <v>37</v>
      </c>
      <c r="Q78" s="1707" t="s">
        <v>37</v>
      </c>
      <c r="R78" s="1704" t="s">
        <v>37</v>
      </c>
      <c r="S78" s="1703" t="s">
        <v>38</v>
      </c>
      <c r="T78" s="1705" t="s">
        <v>38</v>
      </c>
      <c r="U78" s="1703" t="s">
        <v>37</v>
      </c>
      <c r="V78" s="1704" t="s">
        <v>37</v>
      </c>
      <c r="W78" s="1703" t="s">
        <v>38</v>
      </c>
      <c r="X78" s="815" t="s">
        <v>38</v>
      </c>
      <c r="Y78" s="748" t="s">
        <v>652</v>
      </c>
      <c r="Z78" s="586" t="s">
        <v>278</v>
      </c>
      <c r="AA78" s="972" t="s">
        <v>37</v>
      </c>
      <c r="AB78" s="1913"/>
      <c r="AC78" s="1125"/>
      <c r="AD78" s="1240"/>
      <c r="AE78" s="1239" t="str">
        <f t="shared" si="14"/>
        <v xml:space="preserve"> (Updates to) </v>
      </c>
      <c r="AF78" s="1239" t="str">
        <f t="shared" si="15"/>
        <v xml:space="preserve"> (Updates to) </v>
      </c>
      <c r="AG78" s="1239" t="str">
        <f t="shared" si="16"/>
        <v xml:space="preserve"> (Updates to) </v>
      </c>
      <c r="AH78" s="1783" t="str">
        <f t="shared" si="17"/>
        <v xml:space="preserve"> (Updates to) </v>
      </c>
      <c r="AI78" s="1765" t="s">
        <v>574</v>
      </c>
      <c r="AJ78" s="1239"/>
      <c r="AK78" s="1239" t="s">
        <v>702</v>
      </c>
      <c r="AL78" s="1095"/>
      <c r="AM78" s="1095"/>
      <c r="AN78" s="1095"/>
      <c r="AO78" s="1095"/>
      <c r="AP78" s="1095"/>
      <c r="AQ78" s="1106"/>
      <c r="AR78" s="1097"/>
      <c r="AS78" s="1097"/>
      <c r="AT78" s="181"/>
      <c r="AU78" s="181"/>
      <c r="AV78" s="181"/>
      <c r="AW78" s="181"/>
      <c r="AX78" s="181"/>
      <c r="AY78" s="181"/>
      <c r="AZ78" s="181"/>
      <c r="BA78" s="181"/>
      <c r="BB78" s="181"/>
      <c r="BC78" s="181"/>
      <c r="BD78" s="181"/>
      <c r="BE78" s="181"/>
      <c r="BF78" s="181"/>
      <c r="BG78" s="181"/>
      <c r="BH78" s="181"/>
      <c r="BI78" s="181"/>
      <c r="BJ78" s="181"/>
      <c r="BK78" s="181"/>
      <c r="BL78" s="181"/>
      <c r="BM78" s="181"/>
      <c r="BN78" s="181"/>
      <c r="BO78" s="181"/>
      <c r="BP78" s="181"/>
      <c r="BQ78" s="181"/>
      <c r="BR78" s="181"/>
      <c r="BS78" s="181"/>
      <c r="BT78" s="181"/>
      <c r="BU78" s="181"/>
      <c r="BV78" s="181"/>
    </row>
    <row r="79" spans="1:74" s="30" customFormat="1" ht="18" customHeight="1" x14ac:dyDescent="0.25">
      <c r="A79" s="545"/>
      <c r="B79" s="1579"/>
      <c r="C79" s="1097"/>
      <c r="D79" s="1145" t="s">
        <v>104</v>
      </c>
      <c r="E79" s="1147" t="str">
        <f t="shared" si="0"/>
        <v/>
      </c>
      <c r="F79" s="1124"/>
      <c r="G79" s="1703" t="s">
        <v>37</v>
      </c>
      <c r="H79" s="1704" t="s">
        <v>37</v>
      </c>
      <c r="I79" s="1703" t="s">
        <v>37</v>
      </c>
      <c r="J79" s="1705" t="s">
        <v>37</v>
      </c>
      <c r="K79" s="1703" t="s">
        <v>37</v>
      </c>
      <c r="L79" s="1704" t="str">
        <f>IF(L69="No","N","Y")</f>
        <v>Y</v>
      </c>
      <c r="M79" s="1703" t="s">
        <v>37</v>
      </c>
      <c r="N79" s="1704" t="s">
        <v>37</v>
      </c>
      <c r="O79" s="1703" t="s">
        <v>37</v>
      </c>
      <c r="P79" s="1706" t="s">
        <v>37</v>
      </c>
      <c r="Q79" s="1707" t="s">
        <v>37</v>
      </c>
      <c r="R79" s="1704" t="s">
        <v>37</v>
      </c>
      <c r="S79" s="1703" t="s">
        <v>38</v>
      </c>
      <c r="T79" s="1705" t="s">
        <v>38</v>
      </c>
      <c r="U79" s="1703" t="s">
        <v>37</v>
      </c>
      <c r="V79" s="1704" t="s">
        <v>37</v>
      </c>
      <c r="W79" s="1703" t="s">
        <v>38</v>
      </c>
      <c r="X79" s="815" t="s">
        <v>38</v>
      </c>
      <c r="Y79" s="748" t="s">
        <v>652</v>
      </c>
      <c r="Z79" s="586" t="s">
        <v>304</v>
      </c>
      <c r="AA79" s="972" t="s">
        <v>37</v>
      </c>
      <c r="AB79" s="1913"/>
      <c r="AC79" s="1125"/>
      <c r="AD79" s="1240"/>
      <c r="AE79" s="1239" t="str">
        <f t="shared" si="14"/>
        <v xml:space="preserve"> (Updates to) </v>
      </c>
      <c r="AF79" s="1239" t="str">
        <f t="shared" si="15"/>
        <v xml:space="preserve"> (Updates to) </v>
      </c>
      <c r="AG79" s="1239" t="str">
        <f t="shared" si="16"/>
        <v xml:space="preserve"> (Updates to) </v>
      </c>
      <c r="AH79" s="1783" t="str">
        <f t="shared" si="17"/>
        <v xml:space="preserve"> (Updates to) </v>
      </c>
      <c r="AI79" s="1765" t="s">
        <v>574</v>
      </c>
      <c r="AJ79" s="1239"/>
      <c r="AK79" s="1239" t="s">
        <v>702</v>
      </c>
      <c r="AL79" s="1095"/>
      <c r="AM79" s="1095"/>
      <c r="AN79" s="1095"/>
      <c r="AO79" s="1095"/>
      <c r="AP79" s="1095"/>
      <c r="AQ79" s="1106"/>
      <c r="AR79" s="1097"/>
      <c r="AS79" s="1097"/>
      <c r="AT79" s="181"/>
      <c r="AU79" s="181"/>
      <c r="AV79" s="181"/>
      <c r="AW79" s="181"/>
      <c r="AX79" s="181"/>
      <c r="AY79" s="181"/>
      <c r="AZ79" s="181"/>
      <c r="BA79" s="181"/>
      <c r="BB79" s="181"/>
      <c r="BC79" s="181"/>
      <c r="BD79" s="181"/>
      <c r="BE79" s="181"/>
      <c r="BF79" s="181"/>
      <c r="BG79" s="181"/>
      <c r="BH79" s="181"/>
      <c r="BI79" s="181"/>
      <c r="BJ79" s="181"/>
      <c r="BK79" s="181"/>
      <c r="BL79" s="181"/>
      <c r="BM79" s="181"/>
      <c r="BN79" s="181"/>
      <c r="BO79" s="181"/>
      <c r="BP79" s="181"/>
      <c r="BQ79" s="181"/>
      <c r="BR79" s="181"/>
      <c r="BS79" s="181"/>
      <c r="BT79" s="181"/>
      <c r="BU79" s="181"/>
      <c r="BV79" s="181"/>
    </row>
    <row r="80" spans="1:74" s="30" customFormat="1" ht="15.75" x14ac:dyDescent="0.25">
      <c r="A80" s="545"/>
      <c r="B80" s="1579"/>
      <c r="C80" s="1097"/>
      <c r="D80" s="1145" t="s">
        <v>104</v>
      </c>
      <c r="E80" s="1147" t="str">
        <f t="shared" si="0"/>
        <v>N</v>
      </c>
      <c r="F80" s="1124"/>
      <c r="G80" s="1703" t="s">
        <v>38</v>
      </c>
      <c r="H80" s="1704" t="s">
        <v>38</v>
      </c>
      <c r="I80" s="1703" t="s">
        <v>38</v>
      </c>
      <c r="J80" s="1705" t="s">
        <v>38</v>
      </c>
      <c r="K80" s="1703" t="s">
        <v>38</v>
      </c>
      <c r="L80" s="1704" t="s">
        <v>38</v>
      </c>
      <c r="M80" s="1703" t="s">
        <v>38</v>
      </c>
      <c r="N80" s="1704" t="s">
        <v>38</v>
      </c>
      <c r="O80" s="1703" t="s">
        <v>38</v>
      </c>
      <c r="P80" s="1706" t="s">
        <v>38</v>
      </c>
      <c r="Q80" s="1707" t="s">
        <v>38</v>
      </c>
      <c r="R80" s="1704" t="s">
        <v>38</v>
      </c>
      <c r="S80" s="1703" t="s">
        <v>38</v>
      </c>
      <c r="T80" s="1705" t="s">
        <v>38</v>
      </c>
      <c r="U80" s="1703" t="s">
        <v>38</v>
      </c>
      <c r="V80" s="1704" t="s">
        <v>38</v>
      </c>
      <c r="W80" s="1703" t="s">
        <v>38</v>
      </c>
      <c r="X80" s="815" t="s">
        <v>38</v>
      </c>
      <c r="Y80" s="748" t="s">
        <v>652</v>
      </c>
      <c r="Z80" s="891" t="s">
        <v>280</v>
      </c>
      <c r="AA80" s="972" t="s">
        <v>38</v>
      </c>
      <c r="AB80" s="1913"/>
      <c r="AC80" s="1125"/>
      <c r="AD80" s="1240"/>
      <c r="AE80" s="1239" t="str">
        <f t="shared" si="14"/>
        <v xml:space="preserve"> (Updates to) </v>
      </c>
      <c r="AF80" s="1239" t="str">
        <f t="shared" si="15"/>
        <v xml:space="preserve"> (Updates to) </v>
      </c>
      <c r="AG80" s="1239" t="str">
        <f t="shared" si="16"/>
        <v xml:space="preserve"> (Updates to) </v>
      </c>
      <c r="AH80" s="1783" t="str">
        <f t="shared" si="17"/>
        <v xml:space="preserve"> (Updates to) </v>
      </c>
      <c r="AI80" s="1765" t="s">
        <v>574</v>
      </c>
      <c r="AJ80" s="1239"/>
      <c r="AK80" s="1239" t="s">
        <v>702</v>
      </c>
      <c r="AL80" s="1095"/>
      <c r="AM80" s="1095"/>
      <c r="AN80" s="1095"/>
      <c r="AO80" s="1095"/>
      <c r="AP80" s="1095"/>
      <c r="AQ80" s="1106"/>
      <c r="AR80" s="1097"/>
      <c r="AS80" s="1097"/>
      <c r="AT80" s="181"/>
      <c r="AU80" s="181"/>
      <c r="AV80" s="181"/>
      <c r="AW80" s="181"/>
      <c r="AX80" s="181"/>
      <c r="AY80" s="181"/>
      <c r="AZ80" s="181"/>
      <c r="BA80" s="181"/>
      <c r="BB80" s="181"/>
      <c r="BC80" s="181"/>
      <c r="BD80" s="181"/>
      <c r="BE80" s="181"/>
      <c r="BF80" s="181"/>
      <c r="BG80" s="181"/>
      <c r="BH80" s="181"/>
      <c r="BI80" s="181"/>
      <c r="BJ80" s="181"/>
      <c r="BK80" s="181"/>
      <c r="BL80" s="181"/>
      <c r="BM80" s="181"/>
      <c r="BN80" s="181"/>
      <c r="BO80" s="181"/>
      <c r="BP80" s="181"/>
      <c r="BQ80" s="181"/>
      <c r="BR80" s="181"/>
      <c r="BS80" s="181"/>
      <c r="BT80" s="181"/>
      <c r="BU80" s="181"/>
      <c r="BV80" s="181"/>
    </row>
    <row r="81" spans="1:74" s="30" customFormat="1" ht="15.75" x14ac:dyDescent="0.25">
      <c r="A81" s="545"/>
      <c r="B81" s="1579"/>
      <c r="C81" s="1097"/>
      <c r="D81" s="1145" t="s">
        <v>104</v>
      </c>
      <c r="E81" s="1147" t="str">
        <f t="shared" si="0"/>
        <v>N</v>
      </c>
      <c r="F81" s="1124"/>
      <c r="G81" s="1703" t="s">
        <v>38</v>
      </c>
      <c r="H81" s="1704" t="s">
        <v>38</v>
      </c>
      <c r="I81" s="1703" t="s">
        <v>38</v>
      </c>
      <c r="J81" s="1705" t="s">
        <v>38</v>
      </c>
      <c r="K81" s="1703" t="s">
        <v>38</v>
      </c>
      <c r="L81" s="1704" t="s">
        <v>38</v>
      </c>
      <c r="M81" s="1703" t="s">
        <v>38</v>
      </c>
      <c r="N81" s="1704" t="s">
        <v>38</v>
      </c>
      <c r="O81" s="1703" t="s">
        <v>38</v>
      </c>
      <c r="P81" s="1706" t="s">
        <v>38</v>
      </c>
      <c r="Q81" s="1707" t="s">
        <v>38</v>
      </c>
      <c r="R81" s="1704" t="s">
        <v>38</v>
      </c>
      <c r="S81" s="1703" t="s">
        <v>38</v>
      </c>
      <c r="T81" s="1705" t="s">
        <v>38</v>
      </c>
      <c r="U81" s="1703" t="s">
        <v>38</v>
      </c>
      <c r="V81" s="1704" t="s">
        <v>38</v>
      </c>
      <c r="W81" s="1703" t="s">
        <v>38</v>
      </c>
      <c r="X81" s="815" t="s">
        <v>38</v>
      </c>
      <c r="Y81" s="748" t="s">
        <v>652</v>
      </c>
      <c r="Z81" s="891" t="s">
        <v>280</v>
      </c>
      <c r="AA81" s="972" t="s">
        <v>38</v>
      </c>
      <c r="AB81" s="1913"/>
      <c r="AC81" s="1125"/>
      <c r="AD81" s="1240"/>
      <c r="AE81" s="1239" t="str">
        <f t="shared" si="14"/>
        <v xml:space="preserve"> (Updates to) </v>
      </c>
      <c r="AF81" s="1239" t="str">
        <f t="shared" si="15"/>
        <v xml:space="preserve"> (Updates to) </v>
      </c>
      <c r="AG81" s="1239" t="str">
        <f t="shared" si="16"/>
        <v xml:space="preserve"> (Updates to) </v>
      </c>
      <c r="AH81" s="1783" t="str">
        <f t="shared" si="17"/>
        <v xml:space="preserve"> (Updates to) </v>
      </c>
      <c r="AI81" s="1765" t="s">
        <v>574</v>
      </c>
      <c r="AJ81" s="1239"/>
      <c r="AK81" s="1239" t="s">
        <v>702</v>
      </c>
      <c r="AL81" s="1095"/>
      <c r="AM81" s="1095"/>
      <c r="AN81" s="1095"/>
      <c r="AO81" s="1095"/>
      <c r="AP81" s="1095"/>
      <c r="AQ81" s="1106"/>
      <c r="AR81" s="1097"/>
      <c r="AS81" s="1097"/>
      <c r="AT81" s="181"/>
      <c r="AU81" s="181"/>
      <c r="AV81" s="181"/>
      <c r="AW81" s="181"/>
      <c r="AX81" s="181"/>
      <c r="AY81" s="181"/>
      <c r="AZ81" s="181"/>
      <c r="BA81" s="181"/>
      <c r="BB81" s="181"/>
      <c r="BC81" s="181"/>
      <c r="BD81" s="181"/>
      <c r="BE81" s="181"/>
      <c r="BF81" s="181"/>
      <c r="BG81" s="181"/>
      <c r="BH81" s="181"/>
      <c r="BI81" s="181"/>
      <c r="BJ81" s="181"/>
      <c r="BK81" s="181"/>
      <c r="BL81" s="181"/>
      <c r="BM81" s="181"/>
      <c r="BN81" s="181"/>
      <c r="BO81" s="181"/>
      <c r="BP81" s="181"/>
      <c r="BQ81" s="181"/>
      <c r="BR81" s="181"/>
      <c r="BS81" s="181"/>
      <c r="BT81" s="181"/>
      <c r="BU81" s="181"/>
      <c r="BV81" s="181"/>
    </row>
    <row r="82" spans="1:74" s="30" customFormat="1" ht="15.75" x14ac:dyDescent="0.25">
      <c r="A82" s="545"/>
      <c r="B82" s="1579"/>
      <c r="C82" s="1097"/>
      <c r="D82" s="1145" t="s">
        <v>104</v>
      </c>
      <c r="E82" s="1147" t="str">
        <f t="shared" si="0"/>
        <v/>
      </c>
      <c r="F82" s="1124"/>
      <c r="G82" s="1703" t="s">
        <v>37</v>
      </c>
      <c r="H82" s="1704" t="s">
        <v>37</v>
      </c>
      <c r="I82" s="1703" t="s">
        <v>37</v>
      </c>
      <c r="J82" s="1705" t="s">
        <v>37</v>
      </c>
      <c r="K82" s="1703" t="s">
        <v>37</v>
      </c>
      <c r="L82" s="1704" t="str">
        <f>IF(L72="No","N","Y")</f>
        <v>Y</v>
      </c>
      <c r="M82" s="1703" t="s">
        <v>37</v>
      </c>
      <c r="N82" s="1704" t="s">
        <v>37</v>
      </c>
      <c r="O82" s="1703" t="s">
        <v>37</v>
      </c>
      <c r="P82" s="1706" t="s">
        <v>37</v>
      </c>
      <c r="Q82" s="1707" t="s">
        <v>37</v>
      </c>
      <c r="R82" s="1704" t="s">
        <v>37</v>
      </c>
      <c r="S82" s="1703" t="s">
        <v>38</v>
      </c>
      <c r="T82" s="1705" t="s">
        <v>38</v>
      </c>
      <c r="U82" s="1703" t="s">
        <v>37</v>
      </c>
      <c r="V82" s="1704" t="s">
        <v>37</v>
      </c>
      <c r="W82" s="1703" t="s">
        <v>38</v>
      </c>
      <c r="X82" s="815" t="s">
        <v>38</v>
      </c>
      <c r="Y82" s="748" t="s">
        <v>652</v>
      </c>
      <c r="Z82" s="586" t="s">
        <v>658</v>
      </c>
      <c r="AA82" s="972" t="s">
        <v>37</v>
      </c>
      <c r="AB82" s="1913"/>
      <c r="AC82" s="1125"/>
      <c r="AD82" s="1240"/>
      <c r="AE82" s="1239" t="str">
        <f t="shared" si="14"/>
        <v xml:space="preserve"> (Updates to) </v>
      </c>
      <c r="AF82" s="1239" t="str">
        <f t="shared" si="15"/>
        <v xml:space="preserve"> (Updates to) </v>
      </c>
      <c r="AG82" s="1239" t="str">
        <f t="shared" si="16"/>
        <v xml:space="preserve"> (Updates to) </v>
      </c>
      <c r="AH82" s="1783" t="str">
        <f t="shared" si="17"/>
        <v xml:space="preserve"> (Updates to) </v>
      </c>
      <c r="AI82" s="1765" t="s">
        <v>574</v>
      </c>
      <c r="AJ82" s="1239"/>
      <c r="AK82" s="1239" t="s">
        <v>702</v>
      </c>
      <c r="AL82" s="1095"/>
      <c r="AM82" s="1095"/>
      <c r="AN82" s="1095"/>
      <c r="AO82" s="1095"/>
      <c r="AP82" s="1095"/>
      <c r="AQ82" s="1106"/>
      <c r="AR82" s="1097"/>
      <c r="AS82" s="1097"/>
      <c r="AT82" s="181"/>
      <c r="AU82" s="181"/>
      <c r="AV82" s="181"/>
      <c r="AW82" s="181"/>
      <c r="AX82" s="181"/>
      <c r="AY82" s="181"/>
      <c r="AZ82" s="181"/>
      <c r="BA82" s="181"/>
      <c r="BB82" s="181"/>
      <c r="BC82" s="181"/>
      <c r="BD82" s="181"/>
      <c r="BE82" s="181"/>
      <c r="BF82" s="181"/>
      <c r="BG82" s="181"/>
      <c r="BH82" s="181"/>
      <c r="BI82" s="181"/>
      <c r="BJ82" s="181"/>
      <c r="BK82" s="181"/>
      <c r="BL82" s="181"/>
      <c r="BM82" s="181"/>
      <c r="BN82" s="181"/>
      <c r="BO82" s="181"/>
      <c r="BP82" s="181"/>
      <c r="BQ82" s="181"/>
      <c r="BR82" s="181"/>
      <c r="BS82" s="181"/>
      <c r="BT82" s="181"/>
      <c r="BU82" s="181"/>
      <c r="BV82" s="181"/>
    </row>
    <row r="83" spans="1:74" s="545" customFormat="1" ht="15.75" x14ac:dyDescent="0.25">
      <c r="B83" s="1579"/>
      <c r="C83" s="1097"/>
      <c r="D83" s="1145" t="s">
        <v>104</v>
      </c>
      <c r="E83" s="1147" t="str">
        <f>IF(Z83="","",IF(OR(AND(OR(G83="Y",G83="?"),_00_apply="Yes"),AND(OR(I83="Y",I83="?"),_01_apply="Yes"),AND(OR(K83="Y",K83="?"),_02_apply="Yes"),AND(OR(M83="Y",M83="?"),_03_apply="Yes"),AND(OR(O83="Y",O83="?"),_04_apply="Yes"),AND(OR(Q83="Y",Q83="?"),_05_apply="Yes"),AND(OR(S83="?",S83="Y"),_06_apply="Yes"),AND(OR(U83="?",U83="Y"),_07_apply="Yes"),AND(OR(W83="Y",W83="?"),_08_apply="Yes")),"","N"))</f>
        <v/>
      </c>
      <c r="F83" s="1124"/>
      <c r="G83" s="1703" t="s">
        <v>37</v>
      </c>
      <c r="H83" s="1704" t="s">
        <v>37</v>
      </c>
      <c r="I83" s="1703" t="s">
        <v>37</v>
      </c>
      <c r="J83" s="1705" t="s">
        <v>37</v>
      </c>
      <c r="K83" s="1703" t="s">
        <v>37</v>
      </c>
      <c r="L83" s="1704" t="str">
        <f>IF(L78="No","N","Y")</f>
        <v>Y</v>
      </c>
      <c r="M83" s="1703" t="s">
        <v>37</v>
      </c>
      <c r="N83" s="1704" t="s">
        <v>37</v>
      </c>
      <c r="O83" s="1703" t="s">
        <v>37</v>
      </c>
      <c r="P83" s="1706" t="s">
        <v>37</v>
      </c>
      <c r="Q83" s="1707" t="s">
        <v>37</v>
      </c>
      <c r="R83" s="1704" t="s">
        <v>37</v>
      </c>
      <c r="S83" s="1703" t="s">
        <v>38</v>
      </c>
      <c r="T83" s="1705" t="s">
        <v>38</v>
      </c>
      <c r="U83" s="1703" t="s">
        <v>37</v>
      </c>
      <c r="V83" s="1704" t="s">
        <v>37</v>
      </c>
      <c r="W83" s="1703" t="s">
        <v>38</v>
      </c>
      <c r="X83" s="1650" t="s">
        <v>38</v>
      </c>
      <c r="Y83" s="748" t="s">
        <v>652</v>
      </c>
      <c r="Z83" s="586" t="s">
        <v>967</v>
      </c>
      <c r="AA83" s="1004" t="s">
        <v>37</v>
      </c>
      <c r="AB83" s="1913"/>
      <c r="AC83" s="1125"/>
      <c r="AD83" s="1240"/>
      <c r="AE83" s="1239" t="str">
        <f t="shared" si="14"/>
        <v xml:space="preserve"> (Updates to) </v>
      </c>
      <c r="AF83" s="1239" t="str">
        <f t="shared" si="15"/>
        <v xml:space="preserve"> (Updates to) </v>
      </c>
      <c r="AG83" s="1239" t="str">
        <f t="shared" si="16"/>
        <v xml:space="preserve"> (Updates to) </v>
      </c>
      <c r="AH83" s="1783" t="str">
        <f t="shared" si="17"/>
        <v xml:space="preserve"> (Updates to) </v>
      </c>
      <c r="AI83" s="1765" t="s">
        <v>574</v>
      </c>
      <c r="AJ83" s="1239"/>
      <c r="AK83" s="1239" t="s">
        <v>702</v>
      </c>
      <c r="AL83" s="1095"/>
      <c r="AM83" s="1095"/>
      <c r="AN83" s="1095"/>
      <c r="AO83" s="1095"/>
      <c r="AP83" s="1095"/>
      <c r="AQ83" s="1106"/>
      <c r="AR83" s="1097"/>
      <c r="AS83" s="1097"/>
      <c r="AT83" s="551"/>
      <c r="AU83" s="551"/>
      <c r="AV83" s="551"/>
      <c r="AW83" s="551"/>
      <c r="AX83" s="551"/>
      <c r="AY83" s="551"/>
      <c r="AZ83" s="551"/>
      <c r="BA83" s="551"/>
      <c r="BB83" s="551"/>
      <c r="BC83" s="551"/>
      <c r="BD83" s="551"/>
      <c r="BE83" s="551"/>
      <c r="BF83" s="551"/>
      <c r="BG83" s="551"/>
      <c r="BH83" s="551"/>
      <c r="BI83" s="551"/>
      <c r="BJ83" s="551"/>
      <c r="BK83" s="551"/>
      <c r="BL83" s="551"/>
      <c r="BM83" s="551"/>
      <c r="BN83" s="551"/>
      <c r="BO83" s="551"/>
      <c r="BP83" s="551"/>
      <c r="BQ83" s="551"/>
      <c r="BR83" s="551"/>
      <c r="BS83" s="551"/>
      <c r="BT83" s="551"/>
      <c r="BU83" s="551"/>
      <c r="BV83" s="551"/>
    </row>
    <row r="84" spans="1:74" s="30" customFormat="1" ht="15.75" x14ac:dyDescent="0.25">
      <c r="A84" s="545"/>
      <c r="B84" s="1579"/>
      <c r="C84" s="1097"/>
      <c r="D84" s="1145" t="s">
        <v>104</v>
      </c>
      <c r="E84" s="1147" t="str">
        <f t="shared" si="0"/>
        <v/>
      </c>
      <c r="F84" s="1124"/>
      <c r="G84" s="1703" t="s">
        <v>37</v>
      </c>
      <c r="H84" s="1704" t="s">
        <v>37</v>
      </c>
      <c r="I84" s="1703" t="s">
        <v>37</v>
      </c>
      <c r="J84" s="1705" t="s">
        <v>37</v>
      </c>
      <c r="K84" s="1703" t="s">
        <v>37</v>
      </c>
      <c r="L84" s="1704" t="str">
        <f>IF(L73="No","N","Y")</f>
        <v>Y</v>
      </c>
      <c r="M84" s="1703" t="s">
        <v>37</v>
      </c>
      <c r="N84" s="1704" t="s">
        <v>37</v>
      </c>
      <c r="O84" s="1703" t="s">
        <v>37</v>
      </c>
      <c r="P84" s="1706" t="s">
        <v>37</v>
      </c>
      <c r="Q84" s="1707" t="s">
        <v>37</v>
      </c>
      <c r="R84" s="1704" t="s">
        <v>37</v>
      </c>
      <c r="S84" s="1703" t="s">
        <v>38</v>
      </c>
      <c r="T84" s="1705" t="s">
        <v>38</v>
      </c>
      <c r="U84" s="1703" t="s">
        <v>37</v>
      </c>
      <c r="V84" s="1704" t="s">
        <v>37</v>
      </c>
      <c r="W84" s="1703" t="s">
        <v>38</v>
      </c>
      <c r="X84" s="815" t="s">
        <v>38</v>
      </c>
      <c r="Y84" s="748" t="s">
        <v>652</v>
      </c>
      <c r="Z84" s="586" t="s">
        <v>632</v>
      </c>
      <c r="AA84" s="972" t="s">
        <v>37</v>
      </c>
      <c r="AB84" s="1913"/>
      <c r="AC84" s="1125"/>
      <c r="AD84" s="1240"/>
      <c r="AE84" s="1239" t="str">
        <f t="shared" si="14"/>
        <v xml:space="preserve"> (Updates to) </v>
      </c>
      <c r="AF84" s="1239" t="str">
        <f t="shared" si="15"/>
        <v xml:space="preserve"> (Updates to) </v>
      </c>
      <c r="AG84" s="1239" t="str">
        <f t="shared" si="16"/>
        <v xml:space="preserve"> (Updates to) </v>
      </c>
      <c r="AH84" s="1783" t="str">
        <f t="shared" si="17"/>
        <v xml:space="preserve"> (Updates to) </v>
      </c>
      <c r="AI84" s="1765" t="s">
        <v>574</v>
      </c>
      <c r="AJ84" s="1239"/>
      <c r="AK84" s="1239" t="s">
        <v>702</v>
      </c>
      <c r="AL84" s="1095"/>
      <c r="AM84" s="1095"/>
      <c r="AN84" s="1095"/>
      <c r="AO84" s="1095"/>
      <c r="AP84" s="1095"/>
      <c r="AQ84" s="1106"/>
      <c r="AR84" s="1097"/>
      <c r="AS84" s="1097"/>
      <c r="AT84" s="181"/>
      <c r="AU84" s="181"/>
      <c r="AV84" s="181"/>
      <c r="AW84" s="181"/>
      <c r="AX84" s="181"/>
      <c r="AY84" s="181"/>
      <c r="AZ84" s="181"/>
      <c r="BA84" s="181"/>
      <c r="BB84" s="181"/>
      <c r="BC84" s="181"/>
      <c r="BD84" s="181"/>
      <c r="BE84" s="181"/>
      <c r="BF84" s="181"/>
      <c r="BG84" s="181"/>
      <c r="BH84" s="181"/>
      <c r="BI84" s="181"/>
      <c r="BJ84" s="181"/>
      <c r="BK84" s="181"/>
      <c r="BL84" s="181"/>
      <c r="BM84" s="181"/>
      <c r="BN84" s="181"/>
      <c r="BO84" s="181"/>
      <c r="BP84" s="181"/>
      <c r="BQ84" s="181"/>
      <c r="BR84" s="181"/>
      <c r="BS84" s="181"/>
      <c r="BT84" s="181"/>
      <c r="BU84" s="181"/>
      <c r="BV84" s="181"/>
    </row>
    <row r="85" spans="1:74" s="30" customFormat="1" ht="15.75" x14ac:dyDescent="0.25">
      <c r="A85" s="545"/>
      <c r="B85" s="1579"/>
      <c r="C85" s="1097"/>
      <c r="D85" s="1145" t="s">
        <v>104</v>
      </c>
      <c r="E85" s="1147" t="str">
        <f t="shared" si="0"/>
        <v/>
      </c>
      <c r="F85" s="1124"/>
      <c r="G85" s="1703" t="s">
        <v>37</v>
      </c>
      <c r="H85" s="1704" t="s">
        <v>37</v>
      </c>
      <c r="I85" s="1703" t="s">
        <v>37</v>
      </c>
      <c r="J85" s="1705" t="s">
        <v>37</v>
      </c>
      <c r="K85" s="1703" t="s">
        <v>37</v>
      </c>
      <c r="L85" s="1704" t="str">
        <f>IF(L74="No","N","Y")</f>
        <v>Y</v>
      </c>
      <c r="M85" s="1703" t="s">
        <v>37</v>
      </c>
      <c r="N85" s="1704" t="s">
        <v>37</v>
      </c>
      <c r="O85" s="1703" t="s">
        <v>37</v>
      </c>
      <c r="P85" s="1706" t="s">
        <v>37</v>
      </c>
      <c r="Q85" s="1707" t="s">
        <v>37</v>
      </c>
      <c r="R85" s="1704" t="s">
        <v>37</v>
      </c>
      <c r="S85" s="1703" t="s">
        <v>38</v>
      </c>
      <c r="T85" s="1705" t="s">
        <v>38</v>
      </c>
      <c r="U85" s="1703" t="s">
        <v>37</v>
      </c>
      <c r="V85" s="1704" t="s">
        <v>37</v>
      </c>
      <c r="W85" s="1703" t="s">
        <v>38</v>
      </c>
      <c r="X85" s="815" t="s">
        <v>38</v>
      </c>
      <c r="Y85" s="748" t="s">
        <v>652</v>
      </c>
      <c r="Z85" s="586" t="s">
        <v>633</v>
      </c>
      <c r="AA85" s="972" t="s">
        <v>37</v>
      </c>
      <c r="AB85" s="1913"/>
      <c r="AC85" s="1125"/>
      <c r="AD85" s="1240"/>
      <c r="AE85" s="1239" t="str">
        <f t="shared" si="14"/>
        <v xml:space="preserve"> (Updates to) </v>
      </c>
      <c r="AF85" s="1239" t="str">
        <f t="shared" si="15"/>
        <v xml:space="preserve"> (Updates to) </v>
      </c>
      <c r="AG85" s="1239" t="str">
        <f t="shared" si="16"/>
        <v xml:space="preserve"> (Updates to) </v>
      </c>
      <c r="AH85" s="1783" t="str">
        <f t="shared" si="17"/>
        <v xml:space="preserve"> (Updates to) </v>
      </c>
      <c r="AI85" s="1765" t="s">
        <v>574</v>
      </c>
      <c r="AJ85" s="1239"/>
      <c r="AK85" s="1239" t="s">
        <v>702</v>
      </c>
      <c r="AL85" s="1095"/>
      <c r="AM85" s="1095"/>
      <c r="AN85" s="1095"/>
      <c r="AO85" s="1095"/>
      <c r="AP85" s="1095"/>
      <c r="AQ85" s="1106"/>
      <c r="AR85" s="1097"/>
      <c r="AS85" s="1097"/>
      <c r="AT85" s="181"/>
      <c r="AU85" s="181"/>
      <c r="AV85" s="181"/>
      <c r="AW85" s="181"/>
      <c r="AX85" s="181"/>
      <c r="AY85" s="181"/>
      <c r="AZ85" s="181"/>
      <c r="BA85" s="181"/>
      <c r="BB85" s="181"/>
      <c r="BC85" s="181"/>
      <c r="BD85" s="181"/>
      <c r="BE85" s="181"/>
      <c r="BF85" s="181"/>
      <c r="BG85" s="181"/>
      <c r="BH85" s="181"/>
      <c r="BI85" s="181"/>
      <c r="BJ85" s="181"/>
      <c r="BK85" s="181"/>
      <c r="BL85" s="181"/>
      <c r="BM85" s="181"/>
      <c r="BN85" s="181"/>
      <c r="BO85" s="181"/>
      <c r="BP85" s="181"/>
      <c r="BQ85" s="181"/>
      <c r="BR85" s="181"/>
      <c r="BS85" s="181"/>
      <c r="BT85" s="181"/>
      <c r="BU85" s="181"/>
      <c r="BV85" s="181"/>
    </row>
    <row r="86" spans="1:74" s="30" customFormat="1" ht="15.75" x14ac:dyDescent="0.25">
      <c r="A86" s="545"/>
      <c r="B86" s="1579"/>
      <c r="C86" s="1097"/>
      <c r="D86" s="1145" t="s">
        <v>104</v>
      </c>
      <c r="E86" s="1147" t="str">
        <f t="shared" si="0"/>
        <v/>
      </c>
      <c r="F86" s="1124"/>
      <c r="G86" s="1703" t="s">
        <v>37</v>
      </c>
      <c r="H86" s="1704" t="s">
        <v>37</v>
      </c>
      <c r="I86" s="1703" t="s">
        <v>37</v>
      </c>
      <c r="J86" s="1705" t="s">
        <v>37</v>
      </c>
      <c r="K86" s="1703" t="s">
        <v>37</v>
      </c>
      <c r="L86" s="1704" t="str">
        <f>IF(L75="No","N","Y")</f>
        <v>Y</v>
      </c>
      <c r="M86" s="1703" t="s">
        <v>37</v>
      </c>
      <c r="N86" s="1704" t="s">
        <v>37</v>
      </c>
      <c r="O86" s="1703" t="s">
        <v>37</v>
      </c>
      <c r="P86" s="1706" t="s">
        <v>37</v>
      </c>
      <c r="Q86" s="1707" t="s">
        <v>37</v>
      </c>
      <c r="R86" s="1704" t="s">
        <v>37</v>
      </c>
      <c r="S86" s="1703" t="s">
        <v>38</v>
      </c>
      <c r="T86" s="1705" t="s">
        <v>38</v>
      </c>
      <c r="U86" s="1703" t="s">
        <v>37</v>
      </c>
      <c r="V86" s="1704" t="s">
        <v>37</v>
      </c>
      <c r="W86" s="1703" t="s">
        <v>38</v>
      </c>
      <c r="X86" s="815" t="s">
        <v>38</v>
      </c>
      <c r="Y86" s="748" t="s">
        <v>652</v>
      </c>
      <c r="Z86" s="586" t="s">
        <v>634</v>
      </c>
      <c r="AA86" s="972" t="s">
        <v>37</v>
      </c>
      <c r="AB86" s="1913"/>
      <c r="AC86" s="1125"/>
      <c r="AD86" s="1240"/>
      <c r="AE86" s="1239" t="str">
        <f t="shared" si="14"/>
        <v xml:space="preserve"> (Updates to) </v>
      </c>
      <c r="AF86" s="1239" t="str">
        <f t="shared" si="15"/>
        <v xml:space="preserve"> (Updates to) </v>
      </c>
      <c r="AG86" s="1239" t="str">
        <f t="shared" si="16"/>
        <v xml:space="preserve"> (Updates to) </v>
      </c>
      <c r="AH86" s="1783" t="str">
        <f t="shared" si="17"/>
        <v xml:space="preserve"> (Updates to) </v>
      </c>
      <c r="AI86" s="1765" t="s">
        <v>574</v>
      </c>
      <c r="AJ86" s="1239"/>
      <c r="AK86" s="1239" t="s">
        <v>702</v>
      </c>
      <c r="AL86" s="1095"/>
      <c r="AM86" s="1095"/>
      <c r="AN86" s="1095"/>
      <c r="AO86" s="1095"/>
      <c r="AP86" s="1095"/>
      <c r="AQ86" s="1106"/>
      <c r="AR86" s="1097"/>
      <c r="AS86" s="1097"/>
      <c r="AT86" s="181"/>
      <c r="AU86" s="181"/>
      <c r="AV86" s="181"/>
      <c r="AW86" s="181"/>
      <c r="AX86" s="181"/>
      <c r="AY86" s="181"/>
      <c r="AZ86" s="181"/>
      <c r="BA86" s="181"/>
      <c r="BB86" s="181"/>
      <c r="BC86" s="181"/>
      <c r="BD86" s="181"/>
      <c r="BE86" s="181"/>
      <c r="BF86" s="181"/>
      <c r="BG86" s="181"/>
      <c r="BH86" s="181"/>
      <c r="BI86" s="181"/>
      <c r="BJ86" s="181"/>
      <c r="BK86" s="181"/>
      <c r="BL86" s="181"/>
      <c r="BM86" s="181"/>
      <c r="BN86" s="181"/>
      <c r="BO86" s="181"/>
      <c r="BP86" s="181"/>
      <c r="BQ86" s="181"/>
      <c r="BR86" s="181"/>
      <c r="BS86" s="181"/>
      <c r="BT86" s="181"/>
      <c r="BU86" s="181"/>
      <c r="BV86" s="181"/>
    </row>
    <row r="87" spans="1:74" s="30" customFormat="1" ht="15.75" x14ac:dyDescent="0.25">
      <c r="A87" s="545"/>
      <c r="B87" s="1579"/>
      <c r="C87" s="1097"/>
      <c r="D87" s="1145" t="s">
        <v>104</v>
      </c>
      <c r="E87" s="1147" t="str">
        <f t="shared" si="0"/>
        <v/>
      </c>
      <c r="F87" s="1124"/>
      <c r="G87" s="1703" t="s">
        <v>37</v>
      </c>
      <c r="H87" s="1704" t="s">
        <v>37</v>
      </c>
      <c r="I87" s="1703" t="s">
        <v>37</v>
      </c>
      <c r="J87" s="1705" t="s">
        <v>37</v>
      </c>
      <c r="K87" s="1703" t="s">
        <v>37</v>
      </c>
      <c r="L87" s="1704" t="str">
        <f>IF(L76="No","N","Y")</f>
        <v>Y</v>
      </c>
      <c r="M87" s="1703" t="s">
        <v>37</v>
      </c>
      <c r="N87" s="1704" t="s">
        <v>37</v>
      </c>
      <c r="O87" s="1703" t="s">
        <v>37</v>
      </c>
      <c r="P87" s="1706" t="s">
        <v>37</v>
      </c>
      <c r="Q87" s="1707" t="s">
        <v>37</v>
      </c>
      <c r="R87" s="1704" t="s">
        <v>37</v>
      </c>
      <c r="S87" s="1703" t="s">
        <v>38</v>
      </c>
      <c r="T87" s="1705" t="s">
        <v>38</v>
      </c>
      <c r="U87" s="1703" t="s">
        <v>37</v>
      </c>
      <c r="V87" s="1704" t="s">
        <v>37</v>
      </c>
      <c r="W87" s="1703" t="s">
        <v>38</v>
      </c>
      <c r="X87" s="815" t="s">
        <v>38</v>
      </c>
      <c r="Y87" s="748" t="s">
        <v>652</v>
      </c>
      <c r="Z87" s="586" t="s">
        <v>635</v>
      </c>
      <c r="AA87" s="972" t="s">
        <v>37</v>
      </c>
      <c r="AB87" s="1913"/>
      <c r="AC87" s="1125"/>
      <c r="AD87" s="1240"/>
      <c r="AE87" s="1239" t="str">
        <f t="shared" si="14"/>
        <v xml:space="preserve"> (Updates to) </v>
      </c>
      <c r="AF87" s="1239" t="str">
        <f t="shared" si="15"/>
        <v xml:space="preserve"> (Updates to) </v>
      </c>
      <c r="AG87" s="1239" t="str">
        <f t="shared" si="16"/>
        <v xml:space="preserve"> (Updates to) </v>
      </c>
      <c r="AH87" s="1783" t="str">
        <f t="shared" si="17"/>
        <v xml:space="preserve"> (Updates to) </v>
      </c>
      <c r="AI87" s="1765" t="s">
        <v>574</v>
      </c>
      <c r="AJ87" s="1239"/>
      <c r="AK87" s="1239" t="s">
        <v>702</v>
      </c>
      <c r="AL87" s="1095"/>
      <c r="AM87" s="1095"/>
      <c r="AN87" s="1095"/>
      <c r="AO87" s="1095"/>
      <c r="AP87" s="1095"/>
      <c r="AQ87" s="1106"/>
      <c r="AR87" s="1097"/>
      <c r="AS87" s="1097"/>
      <c r="AT87" s="181"/>
      <c r="AU87" s="181"/>
      <c r="AV87" s="181"/>
      <c r="AW87" s="181"/>
      <c r="AX87" s="181"/>
      <c r="AY87" s="181"/>
      <c r="AZ87" s="181"/>
      <c r="BA87" s="181"/>
      <c r="BB87" s="181"/>
      <c r="BC87" s="181"/>
      <c r="BD87" s="181"/>
      <c r="BE87" s="181"/>
      <c r="BF87" s="181"/>
      <c r="BG87" s="181"/>
      <c r="BH87" s="181"/>
      <c r="BI87" s="181"/>
      <c r="BJ87" s="181"/>
      <c r="BK87" s="181"/>
      <c r="BL87" s="181"/>
      <c r="BM87" s="181"/>
      <c r="BN87" s="181"/>
      <c r="BO87" s="181"/>
      <c r="BP87" s="181"/>
      <c r="BQ87" s="181"/>
      <c r="BR87" s="181"/>
      <c r="BS87" s="181"/>
      <c r="BT87" s="181"/>
      <c r="BU87" s="181"/>
      <c r="BV87" s="181"/>
    </row>
    <row r="88" spans="1:74" s="30" customFormat="1" ht="15.75" x14ac:dyDescent="0.25">
      <c r="A88" s="545"/>
      <c r="B88" s="1579"/>
      <c r="C88" s="1097"/>
      <c r="D88" s="1145" t="s">
        <v>104</v>
      </c>
      <c r="E88" s="1147" t="str">
        <f t="shared" si="0"/>
        <v/>
      </c>
      <c r="F88" s="1124"/>
      <c r="G88" s="1703" t="s">
        <v>21</v>
      </c>
      <c r="H88" s="1704" t="s">
        <v>21</v>
      </c>
      <c r="I88" s="1703" t="s">
        <v>37</v>
      </c>
      <c r="J88" s="1705" t="s">
        <v>21</v>
      </c>
      <c r="K88" s="1703" t="s">
        <v>37</v>
      </c>
      <c r="L88" s="1704" t="s">
        <v>21</v>
      </c>
      <c r="M88" s="1703" t="s">
        <v>38</v>
      </c>
      <c r="N88" s="1704" t="s">
        <v>21</v>
      </c>
      <c r="O88" s="1703" t="s">
        <v>38</v>
      </c>
      <c r="P88" s="1706" t="s">
        <v>21</v>
      </c>
      <c r="Q88" s="1707" t="s">
        <v>38</v>
      </c>
      <c r="R88" s="1704" t="s">
        <v>38</v>
      </c>
      <c r="S88" s="1703" t="s">
        <v>38</v>
      </c>
      <c r="T88" s="1705" t="s">
        <v>38</v>
      </c>
      <c r="U88" s="1703" t="s">
        <v>38</v>
      </c>
      <c r="V88" s="1704" t="s">
        <v>37</v>
      </c>
      <c r="W88" s="1703" t="s">
        <v>38</v>
      </c>
      <c r="X88" s="815" t="s">
        <v>38</v>
      </c>
      <c r="Y88" s="748" t="s">
        <v>652</v>
      </c>
      <c r="Z88" s="891" t="s">
        <v>951</v>
      </c>
      <c r="AA88" s="972" t="s">
        <v>37</v>
      </c>
      <c r="AB88" s="1913"/>
      <c r="AC88" s="1125"/>
      <c r="AD88" s="1240"/>
      <c r="AE88" s="1239" t="str">
        <f t="shared" si="14"/>
        <v xml:space="preserve"> (Updates to) </v>
      </c>
      <c r="AF88" s="1239" t="str">
        <f t="shared" si="15"/>
        <v xml:space="preserve"> (Updates to) </v>
      </c>
      <c r="AG88" s="1239" t="str">
        <f t="shared" si="16"/>
        <v xml:space="preserve"> (Updates to) </v>
      </c>
      <c r="AH88" s="1783" t="str">
        <f t="shared" si="17"/>
        <v xml:space="preserve"> (Updates to) </v>
      </c>
      <c r="AI88" s="1765" t="s">
        <v>574</v>
      </c>
      <c r="AJ88" s="1239"/>
      <c r="AK88" s="1239" t="s">
        <v>702</v>
      </c>
      <c r="AL88" s="1095"/>
      <c r="AM88" s="1095"/>
      <c r="AN88" s="1095"/>
      <c r="AO88" s="1095"/>
      <c r="AP88" s="1095"/>
      <c r="AQ88" s="1106"/>
      <c r="AR88" s="1097"/>
      <c r="AS88" s="1097"/>
      <c r="AT88" s="181"/>
      <c r="AU88" s="181"/>
      <c r="AV88" s="181"/>
      <c r="AW88" s="181"/>
      <c r="AX88" s="181"/>
      <c r="AY88" s="181"/>
      <c r="AZ88" s="181"/>
      <c r="BA88" s="181"/>
      <c r="BB88" s="181"/>
      <c r="BC88" s="181"/>
      <c r="BD88" s="181"/>
      <c r="BE88" s="181"/>
      <c r="BF88" s="181"/>
      <c r="BG88" s="181"/>
      <c r="BH88" s="181"/>
      <c r="BI88" s="181"/>
      <c r="BJ88" s="181"/>
      <c r="BK88" s="181"/>
      <c r="BL88" s="181"/>
      <c r="BM88" s="181"/>
      <c r="BN88" s="181"/>
      <c r="BO88" s="181"/>
      <c r="BP88" s="181"/>
      <c r="BQ88" s="181"/>
      <c r="BR88" s="181"/>
      <c r="BS88" s="181"/>
      <c r="BT88" s="181"/>
      <c r="BU88" s="181"/>
      <c r="BV88" s="181"/>
    </row>
    <row r="89" spans="1:74" s="30" customFormat="1" ht="15.75" x14ac:dyDescent="0.25">
      <c r="A89" s="545"/>
      <c r="B89" s="1579"/>
      <c r="C89" s="1097"/>
      <c r="D89" s="1145" t="s">
        <v>104</v>
      </c>
      <c r="E89" s="1147" t="str">
        <f t="shared" si="0"/>
        <v/>
      </c>
      <c r="F89" s="1124"/>
      <c r="G89" s="1703" t="s">
        <v>37</v>
      </c>
      <c r="H89" s="1704" t="s">
        <v>37</v>
      </c>
      <c r="I89" s="1703" t="s">
        <v>37</v>
      </c>
      <c r="J89" s="1705" t="s">
        <v>37</v>
      </c>
      <c r="K89" s="1703" t="s">
        <v>37</v>
      </c>
      <c r="L89" s="1704" t="str">
        <f>IF(L78="No","N","Y")</f>
        <v>Y</v>
      </c>
      <c r="M89" s="1703" t="s">
        <v>37</v>
      </c>
      <c r="N89" s="1704" t="s">
        <v>37</v>
      </c>
      <c r="O89" s="1703" t="s">
        <v>37</v>
      </c>
      <c r="P89" s="1706" t="s">
        <v>37</v>
      </c>
      <c r="Q89" s="1707" t="s">
        <v>37</v>
      </c>
      <c r="R89" s="1704" t="s">
        <v>37</v>
      </c>
      <c r="S89" s="1703" t="s">
        <v>38</v>
      </c>
      <c r="T89" s="1705" t="s">
        <v>38</v>
      </c>
      <c r="U89" s="1703" t="s">
        <v>37</v>
      </c>
      <c r="V89" s="1704" t="s">
        <v>37</v>
      </c>
      <c r="W89" s="1703" t="s">
        <v>38</v>
      </c>
      <c r="X89" s="815" t="s">
        <v>38</v>
      </c>
      <c r="Y89" s="748" t="s">
        <v>652</v>
      </c>
      <c r="Z89" s="586" t="s">
        <v>636</v>
      </c>
      <c r="AA89" s="972" t="s">
        <v>37</v>
      </c>
      <c r="AB89" s="1913"/>
      <c r="AC89" s="1125"/>
      <c r="AD89" s="1240"/>
      <c r="AE89" s="1239" t="str">
        <f t="shared" si="14"/>
        <v xml:space="preserve"> (Updates to) </v>
      </c>
      <c r="AF89" s="1239" t="str">
        <f t="shared" si="15"/>
        <v xml:space="preserve"> (Updates to) </v>
      </c>
      <c r="AG89" s="1239" t="str">
        <f t="shared" si="16"/>
        <v xml:space="preserve"> (Updates to) </v>
      </c>
      <c r="AH89" s="1783" t="str">
        <f t="shared" si="17"/>
        <v xml:space="preserve"> (Updates to) </v>
      </c>
      <c r="AI89" s="1765" t="s">
        <v>574</v>
      </c>
      <c r="AJ89" s="1239"/>
      <c r="AK89" s="1239" t="s">
        <v>702</v>
      </c>
      <c r="AL89" s="1095"/>
      <c r="AM89" s="1095"/>
      <c r="AN89" s="1095"/>
      <c r="AO89" s="1095"/>
      <c r="AP89" s="1095"/>
      <c r="AQ89" s="1106"/>
      <c r="AR89" s="1097"/>
      <c r="AS89" s="1097"/>
      <c r="AT89" s="181"/>
      <c r="AU89" s="181"/>
      <c r="AV89" s="181"/>
      <c r="AW89" s="181"/>
      <c r="AX89" s="181"/>
      <c r="AY89" s="181"/>
      <c r="AZ89" s="181"/>
      <c r="BA89" s="181"/>
      <c r="BB89" s="181"/>
      <c r="BC89" s="181"/>
      <c r="BD89" s="181"/>
      <c r="BE89" s="181"/>
      <c r="BF89" s="181"/>
      <c r="BG89" s="181"/>
      <c r="BH89" s="181"/>
      <c r="BI89" s="181"/>
      <c r="BJ89" s="181"/>
      <c r="BK89" s="181"/>
      <c r="BL89" s="181"/>
      <c r="BM89" s="181"/>
      <c r="BN89" s="181"/>
      <c r="BO89" s="181"/>
      <c r="BP89" s="181"/>
      <c r="BQ89" s="181"/>
      <c r="BR89" s="181"/>
      <c r="BS89" s="181"/>
      <c r="BT89" s="181"/>
      <c r="BU89" s="181"/>
      <c r="BV89" s="181"/>
    </row>
    <row r="90" spans="1:74" s="30" customFormat="1" ht="15.75" x14ac:dyDescent="0.25">
      <c r="A90" s="545"/>
      <c r="B90" s="1579"/>
      <c r="C90" s="1097"/>
      <c r="D90" s="1145" t="s">
        <v>104</v>
      </c>
      <c r="E90" s="1147" t="str">
        <f t="shared" si="0"/>
        <v/>
      </c>
      <c r="F90" s="1124"/>
      <c r="G90" s="1703" t="s">
        <v>37</v>
      </c>
      <c r="H90" s="1704" t="s">
        <v>37</v>
      </c>
      <c r="I90" s="1703" t="s">
        <v>37</v>
      </c>
      <c r="J90" s="1705" t="s">
        <v>37</v>
      </c>
      <c r="K90" s="1703" t="s">
        <v>37</v>
      </c>
      <c r="L90" s="1704" t="str">
        <f>IF(L79="No","N","Y")</f>
        <v>Y</v>
      </c>
      <c r="M90" s="1703" t="s">
        <v>37</v>
      </c>
      <c r="N90" s="1704" t="s">
        <v>37</v>
      </c>
      <c r="O90" s="1703" t="s">
        <v>37</v>
      </c>
      <c r="P90" s="1706" t="s">
        <v>37</v>
      </c>
      <c r="Q90" s="1707" t="s">
        <v>37</v>
      </c>
      <c r="R90" s="1704" t="s">
        <v>37</v>
      </c>
      <c r="S90" s="1703" t="s">
        <v>38</v>
      </c>
      <c r="T90" s="1705" t="s">
        <v>38</v>
      </c>
      <c r="U90" s="1703" t="s">
        <v>37</v>
      </c>
      <c r="V90" s="1704" t="s">
        <v>37</v>
      </c>
      <c r="W90" s="1703" t="s">
        <v>38</v>
      </c>
      <c r="X90" s="815" t="s">
        <v>38</v>
      </c>
      <c r="Y90" s="748" t="s">
        <v>652</v>
      </c>
      <c r="Z90" s="586" t="s">
        <v>659</v>
      </c>
      <c r="AA90" s="972" t="s">
        <v>37</v>
      </c>
      <c r="AB90" s="1913"/>
      <c r="AC90" s="1125"/>
      <c r="AD90" s="1240"/>
      <c r="AE90" s="1239" t="str">
        <f t="shared" si="14"/>
        <v xml:space="preserve"> (Updates to) </v>
      </c>
      <c r="AF90" s="1239" t="str">
        <f t="shared" si="15"/>
        <v xml:space="preserve"> (Updates to) </v>
      </c>
      <c r="AG90" s="1239" t="str">
        <f t="shared" si="16"/>
        <v xml:space="preserve"> (Updates to) </v>
      </c>
      <c r="AH90" s="1783" t="str">
        <f t="shared" si="17"/>
        <v xml:space="preserve"> (Updates to) </v>
      </c>
      <c r="AI90" s="1765" t="s">
        <v>574</v>
      </c>
      <c r="AJ90" s="1239"/>
      <c r="AK90" s="1239" t="s">
        <v>702</v>
      </c>
      <c r="AL90" s="1095"/>
      <c r="AM90" s="1095"/>
      <c r="AN90" s="1095"/>
      <c r="AO90" s="1095"/>
      <c r="AP90" s="1095"/>
      <c r="AQ90" s="1106"/>
      <c r="AR90" s="1097"/>
      <c r="AS90" s="1097"/>
      <c r="AT90" s="181"/>
      <c r="AU90" s="181"/>
      <c r="AV90" s="181"/>
      <c r="AW90" s="181"/>
      <c r="AX90" s="181"/>
      <c r="AY90" s="181"/>
      <c r="AZ90" s="181"/>
      <c r="BA90" s="181"/>
      <c r="BB90" s="181"/>
      <c r="BC90" s="181"/>
      <c r="BD90" s="181"/>
      <c r="BE90" s="181"/>
      <c r="BF90" s="181"/>
      <c r="BG90" s="181"/>
      <c r="BH90" s="181"/>
      <c r="BI90" s="181"/>
      <c r="BJ90" s="181"/>
      <c r="BK90" s="181"/>
      <c r="BL90" s="181"/>
      <c r="BM90" s="181"/>
      <c r="BN90" s="181"/>
      <c r="BO90" s="181"/>
      <c r="BP90" s="181"/>
      <c r="BQ90" s="181"/>
      <c r="BR90" s="181"/>
      <c r="BS90" s="181"/>
      <c r="BT90" s="181"/>
      <c r="BU90" s="181"/>
      <c r="BV90" s="181"/>
    </row>
    <row r="91" spans="1:74" s="545" customFormat="1" ht="15.75" x14ac:dyDescent="0.25">
      <c r="B91" s="1579"/>
      <c r="C91" s="1097"/>
      <c r="D91" s="1145" t="s">
        <v>104</v>
      </c>
      <c r="E91" s="1147" t="str">
        <f t="shared" ref="E91" si="21">IF(Z91="","",IF(OR(AND(OR(G91="Y",G91="?"),_00_apply="Yes"),AND(OR(I91="Y",I91="?"),_01_apply="Yes"),AND(OR(K91="Y",K91="?"),_02_apply="Yes"),AND(OR(M91="Y",M91="?"),_03_apply="Yes"),AND(OR(O91="Y",O91="?"),_04_apply="Yes"),AND(OR(Q91="Y",Q91="?"),_05_apply="Yes"),AND(OR(S91="?",S91="Y"),_06_apply="Yes"),AND(OR(U91="?",U91="Y"),_07_apply="Yes"),AND(OR(W91="Y",W91="?"),_08_apply="Yes")),"","N"))</f>
        <v/>
      </c>
      <c r="F91" s="1124"/>
      <c r="G91" s="1703" t="s">
        <v>37</v>
      </c>
      <c r="H91" s="1704" t="s">
        <v>37</v>
      </c>
      <c r="I91" s="1703" t="s">
        <v>37</v>
      </c>
      <c r="J91" s="1705" t="s">
        <v>37</v>
      </c>
      <c r="K91" s="1703" t="s">
        <v>37</v>
      </c>
      <c r="L91" s="1704" t="str">
        <f>IF(L87="No","N","Y")</f>
        <v>Y</v>
      </c>
      <c r="M91" s="1703" t="s">
        <v>37</v>
      </c>
      <c r="N91" s="1704" t="s">
        <v>37</v>
      </c>
      <c r="O91" s="1703" t="s">
        <v>37</v>
      </c>
      <c r="P91" s="1706" t="s">
        <v>37</v>
      </c>
      <c r="Q91" s="1707" t="s">
        <v>37</v>
      </c>
      <c r="R91" s="1704" t="s">
        <v>37</v>
      </c>
      <c r="S91" s="1703" t="s">
        <v>38</v>
      </c>
      <c r="T91" s="1705" t="s">
        <v>38</v>
      </c>
      <c r="U91" s="1703" t="s">
        <v>37</v>
      </c>
      <c r="V91" s="1704" t="s">
        <v>37</v>
      </c>
      <c r="W91" s="1703" t="s">
        <v>38</v>
      </c>
      <c r="X91" s="1650" t="s">
        <v>38</v>
      </c>
      <c r="Y91" s="748" t="s">
        <v>652</v>
      </c>
      <c r="Z91" s="586" t="s">
        <v>968</v>
      </c>
      <c r="AA91" s="1004" t="s">
        <v>37</v>
      </c>
      <c r="AB91" s="1913"/>
      <c r="AC91" s="1125"/>
      <c r="AD91" s="1240"/>
      <c r="AE91" s="1239" t="str">
        <f t="shared" si="14"/>
        <v xml:space="preserve"> (Updates to) </v>
      </c>
      <c r="AF91" s="1239" t="str">
        <f t="shared" si="15"/>
        <v xml:space="preserve"> (Updates to) </v>
      </c>
      <c r="AG91" s="1239" t="str">
        <f t="shared" si="16"/>
        <v xml:space="preserve"> (Updates to) </v>
      </c>
      <c r="AH91" s="1783" t="str">
        <f t="shared" si="17"/>
        <v xml:space="preserve"> (Updates to) </v>
      </c>
      <c r="AI91" s="1765" t="s">
        <v>574</v>
      </c>
      <c r="AJ91" s="1239"/>
      <c r="AK91" s="1239" t="s">
        <v>702</v>
      </c>
      <c r="AL91" s="1095"/>
      <c r="AM91" s="1095"/>
      <c r="AN91" s="1095"/>
      <c r="AO91" s="1095"/>
      <c r="AP91" s="1095"/>
      <c r="AQ91" s="1106"/>
      <c r="AR91" s="1097"/>
      <c r="AS91" s="1097"/>
      <c r="AT91" s="551"/>
      <c r="AU91" s="551"/>
      <c r="AV91" s="551"/>
      <c r="AW91" s="551"/>
      <c r="AX91" s="551"/>
      <c r="AY91" s="551"/>
      <c r="AZ91" s="551"/>
      <c r="BA91" s="551"/>
      <c r="BB91" s="551"/>
      <c r="BC91" s="551"/>
      <c r="BD91" s="551"/>
      <c r="BE91" s="551"/>
      <c r="BF91" s="551"/>
      <c r="BG91" s="551"/>
      <c r="BH91" s="551"/>
      <c r="BI91" s="551"/>
      <c r="BJ91" s="551"/>
      <c r="BK91" s="551"/>
      <c r="BL91" s="551"/>
      <c r="BM91" s="551"/>
      <c r="BN91" s="551"/>
      <c r="BO91" s="551"/>
      <c r="BP91" s="551"/>
      <c r="BQ91" s="551"/>
      <c r="BR91" s="551"/>
      <c r="BS91" s="551"/>
      <c r="BT91" s="551"/>
      <c r="BU91" s="551"/>
      <c r="BV91" s="551"/>
    </row>
    <row r="92" spans="1:74" s="30" customFormat="1" ht="15.75" x14ac:dyDescent="0.25">
      <c r="A92" s="545"/>
      <c r="B92" s="1579"/>
      <c r="C92" s="1097"/>
      <c r="D92" s="1145" t="s">
        <v>104</v>
      </c>
      <c r="E92" s="1147" t="str">
        <f t="shared" si="0"/>
        <v/>
      </c>
      <c r="F92" s="1124"/>
      <c r="G92" s="1703" t="s">
        <v>37</v>
      </c>
      <c r="H92" s="1704" t="s">
        <v>37</v>
      </c>
      <c r="I92" s="1703" t="s">
        <v>37</v>
      </c>
      <c r="J92" s="1705" t="s">
        <v>37</v>
      </c>
      <c r="K92" s="1703" t="s">
        <v>37</v>
      </c>
      <c r="L92" s="1704" t="str">
        <f>IF(L80="No","N","Y")</f>
        <v>Y</v>
      </c>
      <c r="M92" s="1703" t="s">
        <v>37</v>
      </c>
      <c r="N92" s="1704" t="s">
        <v>37</v>
      </c>
      <c r="O92" s="1703" t="s">
        <v>37</v>
      </c>
      <c r="P92" s="1706" t="s">
        <v>37</v>
      </c>
      <c r="Q92" s="1707" t="s">
        <v>37</v>
      </c>
      <c r="R92" s="1704" t="s">
        <v>37</v>
      </c>
      <c r="S92" s="1703" t="s">
        <v>38</v>
      </c>
      <c r="T92" s="1705" t="s">
        <v>38</v>
      </c>
      <c r="U92" s="1703" t="s">
        <v>37</v>
      </c>
      <c r="V92" s="1704" t="s">
        <v>37</v>
      </c>
      <c r="W92" s="1703" t="s">
        <v>38</v>
      </c>
      <c r="X92" s="815" t="s">
        <v>38</v>
      </c>
      <c r="Y92" s="748" t="s">
        <v>652</v>
      </c>
      <c r="Z92" s="586" t="s">
        <v>660</v>
      </c>
      <c r="AA92" s="972" t="s">
        <v>37</v>
      </c>
      <c r="AB92" s="1913"/>
      <c r="AC92" s="1125"/>
      <c r="AD92" s="1240"/>
      <c r="AE92" s="1239" t="str">
        <f t="shared" si="14"/>
        <v xml:space="preserve"> (Updates to) </v>
      </c>
      <c r="AF92" s="1239" t="str">
        <f t="shared" si="15"/>
        <v xml:space="preserve"> (Updates to) </v>
      </c>
      <c r="AG92" s="1239" t="str">
        <f t="shared" si="16"/>
        <v xml:space="preserve"> (Updates to) </v>
      </c>
      <c r="AH92" s="1783" t="str">
        <f t="shared" si="17"/>
        <v xml:space="preserve"> (Updates to) </v>
      </c>
      <c r="AI92" s="1765" t="s">
        <v>574</v>
      </c>
      <c r="AJ92" s="1239"/>
      <c r="AK92" s="1239" t="s">
        <v>702</v>
      </c>
      <c r="AL92" s="1095"/>
      <c r="AM92" s="1095"/>
      <c r="AN92" s="1095"/>
      <c r="AO92" s="1095"/>
      <c r="AP92" s="1095"/>
      <c r="AQ92" s="1106"/>
      <c r="AR92" s="1097"/>
      <c r="AS92" s="1097"/>
      <c r="AT92" s="181"/>
      <c r="AU92" s="181"/>
      <c r="AV92" s="181"/>
      <c r="AW92" s="181"/>
      <c r="AX92" s="181"/>
      <c r="AY92" s="181"/>
      <c r="AZ92" s="181"/>
      <c r="BA92" s="181"/>
      <c r="BB92" s="181"/>
      <c r="BC92" s="181"/>
      <c r="BD92" s="181"/>
      <c r="BE92" s="181"/>
      <c r="BF92" s="181"/>
      <c r="BG92" s="181"/>
      <c r="BH92" s="181"/>
      <c r="BI92" s="181"/>
      <c r="BJ92" s="181"/>
      <c r="BK92" s="181"/>
      <c r="BL92" s="181"/>
      <c r="BM92" s="181"/>
      <c r="BN92" s="181"/>
      <c r="BO92" s="181"/>
      <c r="BP92" s="181"/>
      <c r="BQ92" s="181"/>
      <c r="BR92" s="181"/>
      <c r="BS92" s="181"/>
      <c r="BT92" s="181"/>
      <c r="BU92" s="181"/>
      <c r="BV92" s="181"/>
    </row>
    <row r="93" spans="1:74" s="30" customFormat="1" ht="15.75" x14ac:dyDescent="0.25">
      <c r="A93" s="545"/>
      <c r="B93" s="1579"/>
      <c r="C93" s="1097"/>
      <c r="D93" s="1145" t="s">
        <v>104</v>
      </c>
      <c r="E93" s="1147" t="str">
        <f t="shared" si="0"/>
        <v/>
      </c>
      <c r="F93" s="1124"/>
      <c r="G93" s="1703" t="s">
        <v>37</v>
      </c>
      <c r="H93" s="1704" t="s">
        <v>37</v>
      </c>
      <c r="I93" s="1703" t="s">
        <v>37</v>
      </c>
      <c r="J93" s="1705" t="s">
        <v>37</v>
      </c>
      <c r="K93" s="1703" t="s">
        <v>37</v>
      </c>
      <c r="L93" s="1704" t="str">
        <f>IF(L81="No","N","Y")</f>
        <v>Y</v>
      </c>
      <c r="M93" s="1703" t="s">
        <v>37</v>
      </c>
      <c r="N93" s="1704" t="s">
        <v>37</v>
      </c>
      <c r="O93" s="1703" t="s">
        <v>37</v>
      </c>
      <c r="P93" s="1706" t="s">
        <v>37</v>
      </c>
      <c r="Q93" s="1707" t="s">
        <v>37</v>
      </c>
      <c r="R93" s="1704" t="s">
        <v>37</v>
      </c>
      <c r="S93" s="1703" t="s">
        <v>38</v>
      </c>
      <c r="T93" s="1705" t="s">
        <v>38</v>
      </c>
      <c r="U93" s="1703" t="s">
        <v>37</v>
      </c>
      <c r="V93" s="1704" t="s">
        <v>37</v>
      </c>
      <c r="W93" s="1703" t="s">
        <v>38</v>
      </c>
      <c r="X93" s="815" t="s">
        <v>38</v>
      </c>
      <c r="Y93" s="748" t="s">
        <v>652</v>
      </c>
      <c r="Z93" s="586" t="s">
        <v>661</v>
      </c>
      <c r="AA93" s="972" t="s">
        <v>37</v>
      </c>
      <c r="AB93" s="1913"/>
      <c r="AC93" s="1125"/>
      <c r="AD93" s="1240"/>
      <c r="AE93" s="1239" t="str">
        <f t="shared" si="14"/>
        <v xml:space="preserve"> (Updates to) </v>
      </c>
      <c r="AF93" s="1239" t="str">
        <f t="shared" si="15"/>
        <v xml:space="preserve"> (Updates to) </v>
      </c>
      <c r="AG93" s="1239" t="str">
        <f t="shared" si="16"/>
        <v xml:space="preserve"> (Updates to) </v>
      </c>
      <c r="AH93" s="1783" t="str">
        <f t="shared" si="17"/>
        <v xml:space="preserve"> (Updates to) </v>
      </c>
      <c r="AI93" s="1765" t="s">
        <v>574</v>
      </c>
      <c r="AJ93" s="1239"/>
      <c r="AK93" s="1239" t="s">
        <v>702</v>
      </c>
      <c r="AL93" s="1095"/>
      <c r="AM93" s="1095"/>
      <c r="AN93" s="1095"/>
      <c r="AO93" s="1095"/>
      <c r="AP93" s="1095"/>
      <c r="AQ93" s="1106"/>
      <c r="AR93" s="1097"/>
      <c r="AS93" s="1097"/>
      <c r="AT93" s="181"/>
      <c r="AU93" s="181"/>
      <c r="AV93" s="181"/>
      <c r="AW93" s="181"/>
      <c r="AX93" s="181"/>
      <c r="AY93" s="181"/>
      <c r="AZ93" s="181"/>
      <c r="BA93" s="181"/>
      <c r="BB93" s="181"/>
      <c r="BC93" s="181"/>
      <c r="BD93" s="181"/>
      <c r="BE93" s="181"/>
      <c r="BF93" s="181"/>
      <c r="BG93" s="181"/>
      <c r="BH93" s="181"/>
      <c r="BI93" s="181"/>
      <c r="BJ93" s="181"/>
      <c r="BK93" s="181"/>
      <c r="BL93" s="181"/>
      <c r="BM93" s="181"/>
      <c r="BN93" s="181"/>
      <c r="BO93" s="181"/>
      <c r="BP93" s="181"/>
      <c r="BQ93" s="181"/>
      <c r="BR93" s="181"/>
      <c r="BS93" s="181"/>
      <c r="BT93" s="181"/>
      <c r="BU93" s="181"/>
      <c r="BV93" s="181"/>
    </row>
    <row r="94" spans="1:74" s="30" customFormat="1" ht="15.75" x14ac:dyDescent="0.25">
      <c r="A94" s="545"/>
      <c r="B94" s="1579"/>
      <c r="C94" s="1097"/>
      <c r="D94" s="1145" t="s">
        <v>104</v>
      </c>
      <c r="E94" s="1147" t="str">
        <f t="shared" si="0"/>
        <v>N</v>
      </c>
      <c r="F94" s="1124"/>
      <c r="G94" s="1703" t="s">
        <v>38</v>
      </c>
      <c r="H94" s="1704" t="s">
        <v>38</v>
      </c>
      <c r="I94" s="1703" t="s">
        <v>38</v>
      </c>
      <c r="J94" s="1705" t="s">
        <v>38</v>
      </c>
      <c r="K94" s="1703" t="s">
        <v>38</v>
      </c>
      <c r="L94" s="1704" t="s">
        <v>38</v>
      </c>
      <c r="M94" s="1703" t="s">
        <v>38</v>
      </c>
      <c r="N94" s="1704" t="s">
        <v>38</v>
      </c>
      <c r="O94" s="1703" t="s">
        <v>38</v>
      </c>
      <c r="P94" s="1706" t="s">
        <v>38</v>
      </c>
      <c r="Q94" s="1707" t="s">
        <v>38</v>
      </c>
      <c r="R94" s="1704" t="s">
        <v>38</v>
      </c>
      <c r="S94" s="1703" t="s">
        <v>38</v>
      </c>
      <c r="T94" s="1705" t="s">
        <v>38</v>
      </c>
      <c r="U94" s="1703" t="s">
        <v>38</v>
      </c>
      <c r="V94" s="1704" t="s">
        <v>37</v>
      </c>
      <c r="W94" s="1703" t="s">
        <v>38</v>
      </c>
      <c r="X94" s="815" t="s">
        <v>38</v>
      </c>
      <c r="Y94" s="748" t="s">
        <v>652</v>
      </c>
      <c r="Z94" s="891" t="s">
        <v>666</v>
      </c>
      <c r="AA94" s="972" t="s">
        <v>38</v>
      </c>
      <c r="AB94" s="1913"/>
      <c r="AC94" s="1125"/>
      <c r="AD94" s="1240"/>
      <c r="AE94" s="1239" t="str">
        <f t="shared" ref="AE94:AE124" si="22">IF(Feasibility_Concept="Conceptualization"," (Updates to) "," ")</f>
        <v xml:space="preserve"> (Updates to) </v>
      </c>
      <c r="AF94" s="1239" t="str">
        <f t="shared" ref="AF94:AF124" si="23">IF(SD_apply="Yes"," (Updates to) "," ")</f>
        <v xml:space="preserve"> (Updates to) </v>
      </c>
      <c r="AG94" s="1239" t="str">
        <f t="shared" ref="AG94:AG124" si="24">IF(OR(DD_apply="Yes",SD_apply="Yes")," (Updates to) "," ")</f>
        <v xml:space="preserve"> (Updates to) </v>
      </c>
      <c r="AH94" s="1783" t="str">
        <f t="shared" ref="AH94:AH124" si="25">IF(OR(DD_apply="Yes",SD_apply="Yes",CD50_apply="Yes")," (Updates to) "," ")</f>
        <v xml:space="preserve"> (Updates to) </v>
      </c>
      <c r="AI94" s="1765" t="s">
        <v>574</v>
      </c>
      <c r="AJ94" s="1239"/>
      <c r="AK94" s="1239" t="s">
        <v>702</v>
      </c>
      <c r="AL94" s="1095"/>
      <c r="AM94" s="1095"/>
      <c r="AN94" s="1095"/>
      <c r="AO94" s="1095"/>
      <c r="AP94" s="1095"/>
      <c r="AQ94" s="1106"/>
      <c r="AR94" s="1097"/>
      <c r="AS94" s="1097"/>
      <c r="AT94" s="181"/>
      <c r="AU94" s="181"/>
      <c r="AV94" s="181"/>
      <c r="AW94" s="181"/>
      <c r="AX94" s="181"/>
      <c r="AY94" s="181"/>
      <c r="AZ94" s="181"/>
      <c r="BA94" s="181"/>
      <c r="BB94" s="181"/>
      <c r="BC94" s="181"/>
      <c r="BD94" s="181"/>
      <c r="BE94" s="181"/>
      <c r="BF94" s="181"/>
      <c r="BG94" s="181"/>
      <c r="BH94" s="181"/>
      <c r="BI94" s="181"/>
      <c r="BJ94" s="181"/>
      <c r="BK94" s="181"/>
      <c r="BL94" s="181"/>
      <c r="BM94" s="181"/>
      <c r="BN94" s="181"/>
      <c r="BO94" s="181"/>
      <c r="BP94" s="181"/>
      <c r="BQ94" s="181"/>
      <c r="BR94" s="181"/>
      <c r="BS94" s="181"/>
      <c r="BT94" s="181"/>
      <c r="BU94" s="181"/>
      <c r="BV94" s="181"/>
    </row>
    <row r="95" spans="1:74" s="30" customFormat="1" ht="15.75" x14ac:dyDescent="0.25">
      <c r="A95" s="545"/>
      <c r="B95" s="1579"/>
      <c r="C95" s="1097"/>
      <c r="D95" s="1145" t="s">
        <v>104</v>
      </c>
      <c r="E95" s="1147" t="str">
        <f t="shared" si="0"/>
        <v/>
      </c>
      <c r="F95" s="1124"/>
      <c r="G95" s="1703" t="s">
        <v>37</v>
      </c>
      <c r="H95" s="1704" t="s">
        <v>37</v>
      </c>
      <c r="I95" s="1703" t="s">
        <v>37</v>
      </c>
      <c r="J95" s="1705" t="s">
        <v>37</v>
      </c>
      <c r="K95" s="1703" t="s">
        <v>37</v>
      </c>
      <c r="L95" s="1704" t="str">
        <f>IF(L84="No","N","Y")</f>
        <v>Y</v>
      </c>
      <c r="M95" s="1703" t="s">
        <v>37</v>
      </c>
      <c r="N95" s="1704" t="s">
        <v>37</v>
      </c>
      <c r="O95" s="1703" t="s">
        <v>37</v>
      </c>
      <c r="P95" s="1706" t="s">
        <v>37</v>
      </c>
      <c r="Q95" s="1707" t="s">
        <v>37</v>
      </c>
      <c r="R95" s="1704" t="s">
        <v>37</v>
      </c>
      <c r="S95" s="1703" t="s">
        <v>38</v>
      </c>
      <c r="T95" s="1705" t="s">
        <v>38</v>
      </c>
      <c r="U95" s="1703" t="s">
        <v>37</v>
      </c>
      <c r="V95" s="1704" t="s">
        <v>37</v>
      </c>
      <c r="W95" s="1703" t="s">
        <v>38</v>
      </c>
      <c r="X95" s="815" t="s">
        <v>38</v>
      </c>
      <c r="Y95" s="748" t="s">
        <v>652</v>
      </c>
      <c r="Z95" s="586" t="s">
        <v>662</v>
      </c>
      <c r="AA95" s="972" t="s">
        <v>37</v>
      </c>
      <c r="AB95" s="1913"/>
      <c r="AC95" s="1125"/>
      <c r="AD95" s="1240"/>
      <c r="AE95" s="1239" t="str">
        <f t="shared" si="22"/>
        <v xml:space="preserve"> (Updates to) </v>
      </c>
      <c r="AF95" s="1239" t="str">
        <f t="shared" si="23"/>
        <v xml:space="preserve"> (Updates to) </v>
      </c>
      <c r="AG95" s="1239" t="str">
        <f t="shared" si="24"/>
        <v xml:space="preserve"> (Updates to) </v>
      </c>
      <c r="AH95" s="1783" t="str">
        <f t="shared" si="25"/>
        <v xml:space="preserve"> (Updates to) </v>
      </c>
      <c r="AI95" s="1765" t="s">
        <v>574</v>
      </c>
      <c r="AJ95" s="1239"/>
      <c r="AK95" s="1239" t="s">
        <v>702</v>
      </c>
      <c r="AL95" s="1095"/>
      <c r="AM95" s="1095"/>
      <c r="AN95" s="1095"/>
      <c r="AO95" s="1095"/>
      <c r="AP95" s="1095"/>
      <c r="AQ95" s="1106"/>
      <c r="AR95" s="1097"/>
      <c r="AS95" s="1097"/>
      <c r="AT95" s="181"/>
      <c r="AU95" s="181"/>
      <c r="AV95" s="181"/>
      <c r="AW95" s="181"/>
      <c r="AX95" s="181"/>
      <c r="AY95" s="181"/>
      <c r="AZ95" s="181"/>
      <c r="BA95" s="181"/>
      <c r="BB95" s="181"/>
      <c r="BC95" s="181"/>
      <c r="BD95" s="181"/>
      <c r="BE95" s="181"/>
      <c r="BF95" s="181"/>
      <c r="BG95" s="181"/>
      <c r="BH95" s="181"/>
      <c r="BI95" s="181"/>
      <c r="BJ95" s="181"/>
      <c r="BK95" s="181"/>
      <c r="BL95" s="181"/>
      <c r="BM95" s="181"/>
      <c r="BN95" s="181"/>
      <c r="BO95" s="181"/>
      <c r="BP95" s="181"/>
      <c r="BQ95" s="181"/>
      <c r="BR95" s="181"/>
      <c r="BS95" s="181"/>
      <c r="BT95" s="181"/>
      <c r="BU95" s="181"/>
      <c r="BV95" s="181"/>
    </row>
    <row r="96" spans="1:74" s="545" customFormat="1" ht="15.75" x14ac:dyDescent="0.25">
      <c r="B96" s="1579"/>
      <c r="C96" s="1097"/>
      <c r="D96" s="1145" t="s">
        <v>104</v>
      </c>
      <c r="E96" s="1147" t="str">
        <f t="shared" si="0"/>
        <v/>
      </c>
      <c r="F96" s="1124"/>
      <c r="G96" s="1703" t="s">
        <v>37</v>
      </c>
      <c r="H96" s="1704" t="s">
        <v>37</v>
      </c>
      <c r="I96" s="1703" t="s">
        <v>37</v>
      </c>
      <c r="J96" s="1705" t="s">
        <v>37</v>
      </c>
      <c r="K96" s="1703" t="s">
        <v>37</v>
      </c>
      <c r="L96" s="1704" t="str">
        <f>IF(L92="No","N","Y")</f>
        <v>Y</v>
      </c>
      <c r="M96" s="1703" t="s">
        <v>37</v>
      </c>
      <c r="N96" s="1704" t="s">
        <v>37</v>
      </c>
      <c r="O96" s="1703" t="s">
        <v>37</v>
      </c>
      <c r="P96" s="1706" t="s">
        <v>37</v>
      </c>
      <c r="Q96" s="1707" t="s">
        <v>37</v>
      </c>
      <c r="R96" s="1704" t="s">
        <v>37</v>
      </c>
      <c r="S96" s="1703" t="s">
        <v>38</v>
      </c>
      <c r="T96" s="1705" t="s">
        <v>38</v>
      </c>
      <c r="U96" s="1703" t="s">
        <v>37</v>
      </c>
      <c r="V96" s="1704" t="s">
        <v>37</v>
      </c>
      <c r="W96" s="1703" t="s">
        <v>38</v>
      </c>
      <c r="X96" s="1650" t="s">
        <v>38</v>
      </c>
      <c r="Y96" s="748" t="s">
        <v>652</v>
      </c>
      <c r="Z96" s="586" t="s">
        <v>969</v>
      </c>
      <c r="AA96" s="1004" t="s">
        <v>37</v>
      </c>
      <c r="AB96" s="1913"/>
      <c r="AC96" s="1125"/>
      <c r="AD96" s="1240"/>
      <c r="AE96" s="1239" t="str">
        <f t="shared" si="22"/>
        <v xml:space="preserve"> (Updates to) </v>
      </c>
      <c r="AF96" s="1239" t="str">
        <f t="shared" si="23"/>
        <v xml:space="preserve"> (Updates to) </v>
      </c>
      <c r="AG96" s="1239" t="str">
        <f t="shared" si="24"/>
        <v xml:space="preserve"> (Updates to) </v>
      </c>
      <c r="AH96" s="1783" t="str">
        <f t="shared" si="25"/>
        <v xml:space="preserve"> (Updates to) </v>
      </c>
      <c r="AI96" s="1765" t="s">
        <v>574</v>
      </c>
      <c r="AJ96" s="1239"/>
      <c r="AK96" s="1239" t="s">
        <v>702</v>
      </c>
      <c r="AL96" s="1095"/>
      <c r="AM96" s="1095"/>
      <c r="AN96" s="1095"/>
      <c r="AO96" s="1095"/>
      <c r="AP96" s="1095"/>
      <c r="AQ96" s="1106"/>
      <c r="AR96" s="1097"/>
      <c r="AS96" s="1097"/>
      <c r="AT96" s="551"/>
      <c r="AU96" s="551"/>
      <c r="AV96" s="551"/>
      <c r="AW96" s="551"/>
      <c r="AX96" s="551"/>
      <c r="AY96" s="551"/>
      <c r="AZ96" s="551"/>
      <c r="BA96" s="551"/>
      <c r="BB96" s="551"/>
      <c r="BC96" s="551"/>
      <c r="BD96" s="551"/>
      <c r="BE96" s="551"/>
      <c r="BF96" s="551"/>
      <c r="BG96" s="551"/>
      <c r="BH96" s="551"/>
      <c r="BI96" s="551"/>
      <c r="BJ96" s="551"/>
      <c r="BK96" s="551"/>
      <c r="BL96" s="551"/>
      <c r="BM96" s="551"/>
      <c r="BN96" s="551"/>
      <c r="BO96" s="551"/>
      <c r="BP96" s="551"/>
      <c r="BQ96" s="551"/>
      <c r="BR96" s="551"/>
      <c r="BS96" s="551"/>
      <c r="BT96" s="551"/>
      <c r="BU96" s="551"/>
      <c r="BV96" s="551"/>
    </row>
    <row r="97" spans="1:74" s="30" customFormat="1" ht="15.75" x14ac:dyDescent="0.25">
      <c r="A97" s="545"/>
      <c r="B97" s="1579"/>
      <c r="C97" s="1097"/>
      <c r="D97" s="1145" t="s">
        <v>104</v>
      </c>
      <c r="E97" s="1147" t="str">
        <f t="shared" si="0"/>
        <v/>
      </c>
      <c r="F97" s="1124"/>
      <c r="G97" s="1703" t="s">
        <v>37</v>
      </c>
      <c r="H97" s="1704" t="s">
        <v>37</v>
      </c>
      <c r="I97" s="1703" t="s">
        <v>37</v>
      </c>
      <c r="J97" s="1705" t="s">
        <v>37</v>
      </c>
      <c r="K97" s="1703" t="s">
        <v>37</v>
      </c>
      <c r="L97" s="1704" t="str">
        <f>IF(L85="No","N","Y")</f>
        <v>Y</v>
      </c>
      <c r="M97" s="1703" t="s">
        <v>37</v>
      </c>
      <c r="N97" s="1704" t="s">
        <v>37</v>
      </c>
      <c r="O97" s="1703" t="s">
        <v>37</v>
      </c>
      <c r="P97" s="1706" t="s">
        <v>37</v>
      </c>
      <c r="Q97" s="1707" t="s">
        <v>37</v>
      </c>
      <c r="R97" s="1704" t="s">
        <v>37</v>
      </c>
      <c r="S97" s="1703" t="s">
        <v>38</v>
      </c>
      <c r="T97" s="1705" t="s">
        <v>38</v>
      </c>
      <c r="U97" s="1703" t="s">
        <v>37</v>
      </c>
      <c r="V97" s="1704" t="s">
        <v>38</v>
      </c>
      <c r="W97" s="1703" t="s">
        <v>38</v>
      </c>
      <c r="X97" s="815" t="s">
        <v>38</v>
      </c>
      <c r="Y97" s="748" t="s">
        <v>652</v>
      </c>
      <c r="Z97" s="586" t="s">
        <v>663</v>
      </c>
      <c r="AA97" s="972" t="s">
        <v>37</v>
      </c>
      <c r="AB97" s="1913"/>
      <c r="AC97" s="1125"/>
      <c r="AD97" s="1240"/>
      <c r="AE97" s="1239" t="str">
        <f t="shared" si="22"/>
        <v xml:space="preserve"> (Updates to) </v>
      </c>
      <c r="AF97" s="1239" t="str">
        <f t="shared" si="23"/>
        <v xml:space="preserve"> (Updates to) </v>
      </c>
      <c r="AG97" s="1239" t="str">
        <f t="shared" si="24"/>
        <v xml:space="preserve"> (Updates to) </v>
      </c>
      <c r="AH97" s="1783" t="str">
        <f t="shared" si="25"/>
        <v xml:space="preserve"> (Updates to) </v>
      </c>
      <c r="AI97" s="1765" t="s">
        <v>574</v>
      </c>
      <c r="AJ97" s="1239"/>
      <c r="AK97" s="1239" t="s">
        <v>702</v>
      </c>
      <c r="AL97" s="1095"/>
      <c r="AM97" s="1095"/>
      <c r="AN97" s="1095"/>
      <c r="AO97" s="1095"/>
      <c r="AP97" s="1095"/>
      <c r="AQ97" s="1106"/>
      <c r="AR97" s="1097"/>
      <c r="AS97" s="1097"/>
      <c r="AT97" s="181"/>
      <c r="AU97" s="181"/>
      <c r="AV97" s="181"/>
      <c r="AW97" s="181"/>
      <c r="AX97" s="181"/>
      <c r="AY97" s="181"/>
      <c r="AZ97" s="181"/>
      <c r="BA97" s="181"/>
      <c r="BB97" s="181"/>
      <c r="BC97" s="181"/>
      <c r="BD97" s="181"/>
      <c r="BE97" s="181"/>
      <c r="BF97" s="181"/>
      <c r="BG97" s="181"/>
      <c r="BH97" s="181"/>
      <c r="BI97" s="181"/>
      <c r="BJ97" s="181"/>
      <c r="BK97" s="181"/>
      <c r="BL97" s="181"/>
      <c r="BM97" s="181"/>
      <c r="BN97" s="181"/>
      <c r="BO97" s="181"/>
      <c r="BP97" s="181"/>
      <c r="BQ97" s="181"/>
      <c r="BR97" s="181"/>
      <c r="BS97" s="181"/>
      <c r="BT97" s="181"/>
      <c r="BU97" s="181"/>
      <c r="BV97" s="181"/>
    </row>
    <row r="98" spans="1:74" s="30" customFormat="1" ht="15.75" x14ac:dyDescent="0.25">
      <c r="A98" s="545"/>
      <c r="B98" s="1579"/>
      <c r="C98" s="1097"/>
      <c r="D98" s="1145" t="s">
        <v>104</v>
      </c>
      <c r="E98" s="1147" t="str">
        <f t="shared" si="0"/>
        <v/>
      </c>
      <c r="F98" s="1124"/>
      <c r="G98" s="1703" t="s">
        <v>37</v>
      </c>
      <c r="H98" s="1704" t="s">
        <v>37</v>
      </c>
      <c r="I98" s="1703" t="s">
        <v>37</v>
      </c>
      <c r="J98" s="1705" t="s">
        <v>37</v>
      </c>
      <c r="K98" s="1703" t="s">
        <v>37</v>
      </c>
      <c r="L98" s="1704" t="str">
        <f>IF(L86="No","N","Y")</f>
        <v>Y</v>
      </c>
      <c r="M98" s="1703" t="s">
        <v>37</v>
      </c>
      <c r="N98" s="1704" t="s">
        <v>37</v>
      </c>
      <c r="O98" s="1703" t="s">
        <v>37</v>
      </c>
      <c r="P98" s="1706" t="s">
        <v>37</v>
      </c>
      <c r="Q98" s="1707" t="s">
        <v>37</v>
      </c>
      <c r="R98" s="1704" t="s">
        <v>37</v>
      </c>
      <c r="S98" s="1703" t="s">
        <v>38</v>
      </c>
      <c r="T98" s="1705" t="s">
        <v>38</v>
      </c>
      <c r="U98" s="1703" t="s">
        <v>37</v>
      </c>
      <c r="V98" s="1704" t="s">
        <v>38</v>
      </c>
      <c r="W98" s="1703" t="s">
        <v>38</v>
      </c>
      <c r="X98" s="815" t="s">
        <v>38</v>
      </c>
      <c r="Y98" s="748" t="s">
        <v>652</v>
      </c>
      <c r="Z98" s="586" t="s">
        <v>664</v>
      </c>
      <c r="AA98" s="972" t="s">
        <v>37</v>
      </c>
      <c r="AB98" s="1913"/>
      <c r="AC98" s="1125"/>
      <c r="AD98" s="1240"/>
      <c r="AE98" s="1239" t="str">
        <f t="shared" si="22"/>
        <v xml:space="preserve"> (Updates to) </v>
      </c>
      <c r="AF98" s="1239" t="str">
        <f t="shared" si="23"/>
        <v xml:space="preserve"> (Updates to) </v>
      </c>
      <c r="AG98" s="1239" t="str">
        <f t="shared" si="24"/>
        <v xml:space="preserve"> (Updates to) </v>
      </c>
      <c r="AH98" s="1783" t="str">
        <f t="shared" si="25"/>
        <v xml:space="preserve"> (Updates to) </v>
      </c>
      <c r="AI98" s="1765" t="s">
        <v>574</v>
      </c>
      <c r="AJ98" s="1239"/>
      <c r="AK98" s="1239" t="s">
        <v>702</v>
      </c>
      <c r="AL98" s="1095"/>
      <c r="AM98" s="1095"/>
      <c r="AN98" s="1095"/>
      <c r="AO98" s="1095"/>
      <c r="AP98" s="1095"/>
      <c r="AQ98" s="1106"/>
      <c r="AR98" s="1097"/>
      <c r="AS98" s="1097"/>
      <c r="AT98" s="181"/>
      <c r="AU98" s="181"/>
      <c r="AV98" s="181"/>
      <c r="AW98" s="181"/>
      <c r="AX98" s="181"/>
      <c r="AY98" s="181"/>
      <c r="AZ98" s="181"/>
      <c r="BA98" s="181"/>
      <c r="BB98" s="181"/>
      <c r="BC98" s="181"/>
      <c r="BD98" s="181"/>
      <c r="BE98" s="181"/>
      <c r="BF98" s="181"/>
      <c r="BG98" s="181"/>
      <c r="BH98" s="181"/>
      <c r="BI98" s="181"/>
      <c r="BJ98" s="181"/>
      <c r="BK98" s="181"/>
      <c r="BL98" s="181"/>
      <c r="BM98" s="181"/>
      <c r="BN98" s="181"/>
      <c r="BO98" s="181"/>
      <c r="BP98" s="181"/>
      <c r="BQ98" s="181"/>
      <c r="BR98" s="181"/>
      <c r="BS98" s="181"/>
      <c r="BT98" s="181"/>
      <c r="BU98" s="181"/>
      <c r="BV98" s="181"/>
    </row>
    <row r="99" spans="1:74" s="30" customFormat="1" ht="15.75" x14ac:dyDescent="0.25">
      <c r="A99" s="545"/>
      <c r="B99" s="1579"/>
      <c r="C99" s="1097"/>
      <c r="D99" s="1145" t="s">
        <v>104</v>
      </c>
      <c r="E99" s="1147" t="str">
        <f t="shared" si="0"/>
        <v>N</v>
      </c>
      <c r="F99" s="1124"/>
      <c r="G99" s="1703" t="s">
        <v>38</v>
      </c>
      <c r="H99" s="1704" t="s">
        <v>38</v>
      </c>
      <c r="I99" s="1703" t="s">
        <v>38</v>
      </c>
      <c r="J99" s="1705" t="s">
        <v>38</v>
      </c>
      <c r="K99" s="1703" t="s">
        <v>38</v>
      </c>
      <c r="L99" s="1704" t="s">
        <v>38</v>
      </c>
      <c r="M99" s="1703" t="s">
        <v>38</v>
      </c>
      <c r="N99" s="1704" t="s">
        <v>38</v>
      </c>
      <c r="O99" s="1703" t="s">
        <v>38</v>
      </c>
      <c r="P99" s="1706" t="s">
        <v>38</v>
      </c>
      <c r="Q99" s="1707" t="s">
        <v>38</v>
      </c>
      <c r="R99" s="1704" t="s">
        <v>38</v>
      </c>
      <c r="S99" s="1703" t="s">
        <v>38</v>
      </c>
      <c r="T99" s="1705" t="s">
        <v>38</v>
      </c>
      <c r="U99" s="1703" t="s">
        <v>38</v>
      </c>
      <c r="V99" s="1704" t="s">
        <v>37</v>
      </c>
      <c r="W99" s="1703" t="s">
        <v>38</v>
      </c>
      <c r="X99" s="815" t="s">
        <v>38</v>
      </c>
      <c r="Y99" s="748" t="s">
        <v>652</v>
      </c>
      <c r="Z99" s="891" t="s">
        <v>665</v>
      </c>
      <c r="AA99" s="972" t="s">
        <v>38</v>
      </c>
      <c r="AB99" s="1913"/>
      <c r="AC99" s="1125"/>
      <c r="AD99" s="1240"/>
      <c r="AE99" s="1239" t="str">
        <f t="shared" si="22"/>
        <v xml:space="preserve"> (Updates to) </v>
      </c>
      <c r="AF99" s="1239" t="str">
        <f t="shared" si="23"/>
        <v xml:space="preserve"> (Updates to) </v>
      </c>
      <c r="AG99" s="1239" t="str">
        <f t="shared" si="24"/>
        <v xml:space="preserve"> (Updates to) </v>
      </c>
      <c r="AH99" s="1783" t="str">
        <f t="shared" si="25"/>
        <v xml:space="preserve"> (Updates to) </v>
      </c>
      <c r="AI99" s="1765" t="s">
        <v>574</v>
      </c>
      <c r="AJ99" s="1239"/>
      <c r="AK99" s="1239" t="s">
        <v>702</v>
      </c>
      <c r="AL99" s="1095"/>
      <c r="AM99" s="1095"/>
      <c r="AN99" s="1095"/>
      <c r="AO99" s="1095"/>
      <c r="AP99" s="1095"/>
      <c r="AQ99" s="1106"/>
      <c r="AR99" s="1097"/>
      <c r="AS99" s="1097"/>
      <c r="AT99" s="181"/>
      <c r="AU99" s="181"/>
      <c r="AV99" s="181"/>
      <c r="AW99" s="181"/>
      <c r="AX99" s="181"/>
      <c r="AY99" s="181"/>
      <c r="AZ99" s="181"/>
      <c r="BA99" s="181"/>
      <c r="BB99" s="181"/>
      <c r="BC99" s="181"/>
      <c r="BD99" s="181"/>
      <c r="BE99" s="181"/>
      <c r="BF99" s="181"/>
      <c r="BG99" s="181"/>
      <c r="BH99" s="181"/>
      <c r="BI99" s="181"/>
      <c r="BJ99" s="181"/>
      <c r="BK99" s="181"/>
      <c r="BL99" s="181"/>
      <c r="BM99" s="181"/>
      <c r="BN99" s="181"/>
      <c r="BO99" s="181"/>
      <c r="BP99" s="181"/>
      <c r="BQ99" s="181"/>
      <c r="BR99" s="181"/>
      <c r="BS99" s="181"/>
      <c r="BT99" s="181"/>
      <c r="BU99" s="181"/>
      <c r="BV99" s="181"/>
    </row>
    <row r="100" spans="1:74" s="30" customFormat="1" ht="15.75" x14ac:dyDescent="0.25">
      <c r="A100" s="545"/>
      <c r="B100" s="1579"/>
      <c r="C100" s="1097"/>
      <c r="D100" s="1145" t="s">
        <v>104</v>
      </c>
      <c r="E100" s="1147" t="str">
        <f t="shared" ref="E100:E168" si="26">IF(Z100="","",IF(OR(AND(OR(G100="Y",G100="?"),_00_apply="Yes"),AND(OR(I100="Y",I100="?"),_01_apply="Yes"),AND(OR(K100="Y",K100="?"),_02_apply="Yes"),AND(OR(M100="Y",M100="?"),_03_apply="Yes"),AND(OR(O100="Y",O100="?"),_04_apply="Yes"),AND(OR(Q100="Y",Q100="?"),_05_apply="Yes"),AND(OR(S100="?",S100="Y"),_06_apply="Yes"),AND(OR(U100="?",U100="Y"),_07_apply="Yes"),AND(OR(W100="Y",W100="?"),_08_apply="Yes")),"","N"))</f>
        <v/>
      </c>
      <c r="F100" s="1124"/>
      <c r="G100" s="1703" t="s">
        <v>37</v>
      </c>
      <c r="H100" s="1704" t="s">
        <v>37</v>
      </c>
      <c r="I100" s="1703" t="s">
        <v>37</v>
      </c>
      <c r="J100" s="1705" t="s">
        <v>37</v>
      </c>
      <c r="K100" s="1703" t="s">
        <v>37</v>
      </c>
      <c r="L100" s="1704" t="str">
        <f>IF(L88="No","N","Y")</f>
        <v>Y</v>
      </c>
      <c r="M100" s="1703" t="s">
        <v>37</v>
      </c>
      <c r="N100" s="1704" t="s">
        <v>37</v>
      </c>
      <c r="O100" s="1703" t="s">
        <v>37</v>
      </c>
      <c r="P100" s="1706" t="s">
        <v>37</v>
      </c>
      <c r="Q100" s="1707" t="s">
        <v>37</v>
      </c>
      <c r="R100" s="1704" t="s">
        <v>37</v>
      </c>
      <c r="S100" s="1703" t="s">
        <v>38</v>
      </c>
      <c r="T100" s="1705" t="s">
        <v>38</v>
      </c>
      <c r="U100" s="1703" t="s">
        <v>37</v>
      </c>
      <c r="V100" s="1704" t="s">
        <v>37</v>
      </c>
      <c r="W100" s="1703" t="s">
        <v>38</v>
      </c>
      <c r="X100" s="815" t="s">
        <v>38</v>
      </c>
      <c r="Y100" s="748" t="s">
        <v>652</v>
      </c>
      <c r="Z100" s="586" t="s">
        <v>323</v>
      </c>
      <c r="AA100" s="972" t="s">
        <v>37</v>
      </c>
      <c r="AB100" s="1913"/>
      <c r="AC100" s="1125"/>
      <c r="AD100" s="1240"/>
      <c r="AE100" s="1239" t="str">
        <f t="shared" si="22"/>
        <v xml:space="preserve"> (Updates to) </v>
      </c>
      <c r="AF100" s="1239" t="str">
        <f t="shared" si="23"/>
        <v xml:space="preserve"> (Updates to) </v>
      </c>
      <c r="AG100" s="1239" t="str">
        <f t="shared" si="24"/>
        <v xml:space="preserve"> (Updates to) </v>
      </c>
      <c r="AH100" s="1783" t="str">
        <f t="shared" si="25"/>
        <v xml:space="preserve"> (Updates to) </v>
      </c>
      <c r="AI100" s="1765" t="s">
        <v>574</v>
      </c>
      <c r="AJ100" s="1239"/>
      <c r="AK100" s="1239" t="s">
        <v>702</v>
      </c>
      <c r="AL100" s="1095"/>
      <c r="AM100" s="1095"/>
      <c r="AN100" s="1095"/>
      <c r="AO100" s="1095"/>
      <c r="AP100" s="1095"/>
      <c r="AQ100" s="1106"/>
      <c r="AR100" s="1097"/>
      <c r="AS100" s="1097"/>
      <c r="AT100" s="181"/>
      <c r="AU100" s="181"/>
      <c r="AV100" s="181"/>
      <c r="AW100" s="181"/>
      <c r="AX100" s="181"/>
      <c r="AY100" s="181"/>
      <c r="AZ100" s="181"/>
      <c r="BA100" s="181"/>
      <c r="BB100" s="181"/>
      <c r="BC100" s="181"/>
      <c r="BD100" s="181"/>
      <c r="BE100" s="181"/>
      <c r="BF100" s="181"/>
      <c r="BG100" s="181"/>
      <c r="BH100" s="181"/>
      <c r="BI100" s="181"/>
      <c r="BJ100" s="181"/>
      <c r="BK100" s="181"/>
      <c r="BL100" s="181"/>
      <c r="BM100" s="181"/>
      <c r="BN100" s="181"/>
      <c r="BO100" s="181"/>
      <c r="BP100" s="181"/>
      <c r="BQ100" s="181"/>
      <c r="BR100" s="181"/>
      <c r="BS100" s="181"/>
      <c r="BT100" s="181"/>
      <c r="BU100" s="181"/>
      <c r="BV100" s="181"/>
    </row>
    <row r="101" spans="1:74" s="545" customFormat="1" ht="15.75" x14ac:dyDescent="0.25">
      <c r="B101" s="1579"/>
      <c r="C101" s="1097"/>
      <c r="D101" s="1145" t="s">
        <v>104</v>
      </c>
      <c r="E101" s="1147" t="str">
        <f t="shared" si="26"/>
        <v/>
      </c>
      <c r="F101" s="1124"/>
      <c r="G101" s="1703" t="s">
        <v>37</v>
      </c>
      <c r="H101" s="1704" t="s">
        <v>37</v>
      </c>
      <c r="I101" s="1703" t="s">
        <v>37</v>
      </c>
      <c r="J101" s="1705" t="s">
        <v>37</v>
      </c>
      <c r="K101" s="1703" t="s">
        <v>37</v>
      </c>
      <c r="L101" s="1704" t="str">
        <f>IF(L97="No","N","Y")</f>
        <v>Y</v>
      </c>
      <c r="M101" s="1703" t="s">
        <v>37</v>
      </c>
      <c r="N101" s="1704" t="s">
        <v>37</v>
      </c>
      <c r="O101" s="1703" t="s">
        <v>37</v>
      </c>
      <c r="P101" s="1706" t="s">
        <v>37</v>
      </c>
      <c r="Q101" s="1707" t="s">
        <v>37</v>
      </c>
      <c r="R101" s="1704" t="s">
        <v>37</v>
      </c>
      <c r="S101" s="1703" t="s">
        <v>38</v>
      </c>
      <c r="T101" s="1705" t="s">
        <v>38</v>
      </c>
      <c r="U101" s="1703" t="s">
        <v>37</v>
      </c>
      <c r="V101" s="1704" t="s">
        <v>37</v>
      </c>
      <c r="W101" s="1703" t="s">
        <v>38</v>
      </c>
      <c r="X101" s="1650" t="s">
        <v>38</v>
      </c>
      <c r="Y101" s="748" t="s">
        <v>652</v>
      </c>
      <c r="Z101" s="586" t="s">
        <v>970</v>
      </c>
      <c r="AA101" s="1004" t="s">
        <v>37</v>
      </c>
      <c r="AB101" s="1913"/>
      <c r="AC101" s="1125"/>
      <c r="AD101" s="1240"/>
      <c r="AE101" s="1239" t="str">
        <f t="shared" si="22"/>
        <v xml:space="preserve"> (Updates to) </v>
      </c>
      <c r="AF101" s="1239" t="str">
        <f t="shared" si="23"/>
        <v xml:space="preserve"> (Updates to) </v>
      </c>
      <c r="AG101" s="1239" t="str">
        <f t="shared" si="24"/>
        <v xml:space="preserve"> (Updates to) </v>
      </c>
      <c r="AH101" s="1783" t="str">
        <f t="shared" si="25"/>
        <v xml:space="preserve"> (Updates to) </v>
      </c>
      <c r="AI101" s="1765" t="s">
        <v>574</v>
      </c>
      <c r="AJ101" s="1239"/>
      <c r="AK101" s="1239" t="s">
        <v>702</v>
      </c>
      <c r="AL101" s="1095"/>
      <c r="AM101" s="1095"/>
      <c r="AN101" s="1095"/>
      <c r="AO101" s="1095"/>
      <c r="AP101" s="1095"/>
      <c r="AQ101" s="1106"/>
      <c r="AR101" s="1097"/>
      <c r="AS101" s="1097"/>
      <c r="AT101" s="551"/>
      <c r="AU101" s="551"/>
      <c r="AV101" s="551"/>
      <c r="AW101" s="551"/>
      <c r="AX101" s="551"/>
      <c r="AY101" s="551"/>
      <c r="AZ101" s="551"/>
      <c r="BA101" s="551"/>
      <c r="BB101" s="551"/>
      <c r="BC101" s="551"/>
      <c r="BD101" s="551"/>
      <c r="BE101" s="551"/>
      <c r="BF101" s="551"/>
      <c r="BG101" s="551"/>
      <c r="BH101" s="551"/>
      <c r="BI101" s="551"/>
      <c r="BJ101" s="551"/>
      <c r="BK101" s="551"/>
      <c r="BL101" s="551"/>
      <c r="BM101" s="551"/>
      <c r="BN101" s="551"/>
      <c r="BO101" s="551"/>
      <c r="BP101" s="551"/>
      <c r="BQ101" s="551"/>
      <c r="BR101" s="551"/>
      <c r="BS101" s="551"/>
      <c r="BT101" s="551"/>
      <c r="BU101" s="551"/>
      <c r="BV101" s="551"/>
    </row>
    <row r="102" spans="1:74" s="30" customFormat="1" ht="15.75" x14ac:dyDescent="0.25">
      <c r="A102" s="545"/>
      <c r="B102" s="1579"/>
      <c r="C102" s="1097"/>
      <c r="D102" s="1145" t="s">
        <v>104</v>
      </c>
      <c r="E102" s="1147" t="str">
        <f t="shared" si="26"/>
        <v/>
      </c>
      <c r="F102" s="1124"/>
      <c r="G102" s="1703" t="s">
        <v>37</v>
      </c>
      <c r="H102" s="1704" t="s">
        <v>37</v>
      </c>
      <c r="I102" s="1703" t="s">
        <v>37</v>
      </c>
      <c r="J102" s="1705" t="s">
        <v>37</v>
      </c>
      <c r="K102" s="1703" t="s">
        <v>37</v>
      </c>
      <c r="L102" s="1704" t="str">
        <f>IF(L89="No","N","Y")</f>
        <v>Y</v>
      </c>
      <c r="M102" s="1703" t="s">
        <v>37</v>
      </c>
      <c r="N102" s="1704" t="s">
        <v>37</v>
      </c>
      <c r="O102" s="1703" t="s">
        <v>37</v>
      </c>
      <c r="P102" s="1706" t="s">
        <v>37</v>
      </c>
      <c r="Q102" s="1707" t="s">
        <v>37</v>
      </c>
      <c r="R102" s="1704" t="s">
        <v>37</v>
      </c>
      <c r="S102" s="1703" t="s">
        <v>38</v>
      </c>
      <c r="T102" s="1705" t="s">
        <v>38</v>
      </c>
      <c r="U102" s="1703" t="s">
        <v>37</v>
      </c>
      <c r="V102" s="1704" t="s">
        <v>37</v>
      </c>
      <c r="W102" s="1703" t="s">
        <v>38</v>
      </c>
      <c r="X102" s="815" t="s">
        <v>38</v>
      </c>
      <c r="Y102" s="748" t="s">
        <v>652</v>
      </c>
      <c r="Z102" s="586" t="s">
        <v>324</v>
      </c>
      <c r="AA102" s="972" t="s">
        <v>37</v>
      </c>
      <c r="AB102" s="1913"/>
      <c r="AC102" s="1125"/>
      <c r="AD102" s="1240"/>
      <c r="AE102" s="1239" t="str">
        <f t="shared" si="22"/>
        <v xml:space="preserve"> (Updates to) </v>
      </c>
      <c r="AF102" s="1239" t="str">
        <f t="shared" si="23"/>
        <v xml:space="preserve"> (Updates to) </v>
      </c>
      <c r="AG102" s="1239" t="str">
        <f t="shared" si="24"/>
        <v xml:space="preserve"> (Updates to) </v>
      </c>
      <c r="AH102" s="1783" t="str">
        <f t="shared" si="25"/>
        <v xml:space="preserve"> (Updates to) </v>
      </c>
      <c r="AI102" s="1765" t="s">
        <v>574</v>
      </c>
      <c r="AJ102" s="1239"/>
      <c r="AK102" s="1239" t="s">
        <v>702</v>
      </c>
      <c r="AL102" s="1095"/>
      <c r="AM102" s="1095"/>
      <c r="AN102" s="1095"/>
      <c r="AO102" s="1095"/>
      <c r="AP102" s="1095"/>
      <c r="AQ102" s="1106"/>
      <c r="AR102" s="1097"/>
      <c r="AS102" s="1097"/>
      <c r="AT102" s="181"/>
      <c r="AU102" s="181"/>
      <c r="AV102" s="181"/>
      <c r="AW102" s="181"/>
      <c r="AX102" s="181"/>
      <c r="AY102" s="181"/>
      <c r="AZ102" s="181"/>
      <c r="BA102" s="181"/>
      <c r="BB102" s="181"/>
      <c r="BC102" s="181"/>
      <c r="BD102" s="181"/>
      <c r="BE102" s="181"/>
      <c r="BF102" s="181"/>
      <c r="BG102" s="181"/>
      <c r="BH102" s="181"/>
      <c r="BI102" s="181"/>
      <c r="BJ102" s="181"/>
      <c r="BK102" s="181"/>
      <c r="BL102" s="181"/>
      <c r="BM102" s="181"/>
      <c r="BN102" s="181"/>
      <c r="BO102" s="181"/>
      <c r="BP102" s="181"/>
      <c r="BQ102" s="181"/>
      <c r="BR102" s="181"/>
      <c r="BS102" s="181"/>
      <c r="BT102" s="181"/>
      <c r="BU102" s="181"/>
      <c r="BV102" s="181"/>
    </row>
    <row r="103" spans="1:74" s="30" customFormat="1" ht="15.75" x14ac:dyDescent="0.25">
      <c r="A103" s="545"/>
      <c r="B103" s="1579"/>
      <c r="C103" s="1097"/>
      <c r="D103" s="1145" t="s">
        <v>104</v>
      </c>
      <c r="E103" s="1147" t="str">
        <f t="shared" si="26"/>
        <v/>
      </c>
      <c r="F103" s="1124"/>
      <c r="G103" s="1703" t="s">
        <v>37</v>
      </c>
      <c r="H103" s="1704" t="s">
        <v>37</v>
      </c>
      <c r="I103" s="1703" t="s">
        <v>37</v>
      </c>
      <c r="J103" s="1705" t="s">
        <v>37</v>
      </c>
      <c r="K103" s="1703" t="s">
        <v>37</v>
      </c>
      <c r="L103" s="1704" t="str">
        <f>IF(L90="No","N","Y")</f>
        <v>Y</v>
      </c>
      <c r="M103" s="1703" t="s">
        <v>37</v>
      </c>
      <c r="N103" s="1704" t="s">
        <v>37</v>
      </c>
      <c r="O103" s="1703" t="s">
        <v>37</v>
      </c>
      <c r="P103" s="1706" t="s">
        <v>37</v>
      </c>
      <c r="Q103" s="1707" t="s">
        <v>37</v>
      </c>
      <c r="R103" s="1704" t="s">
        <v>37</v>
      </c>
      <c r="S103" s="1703" t="s">
        <v>38</v>
      </c>
      <c r="T103" s="1705" t="s">
        <v>38</v>
      </c>
      <c r="U103" s="1703" t="s">
        <v>37</v>
      </c>
      <c r="V103" s="1704" t="s">
        <v>37</v>
      </c>
      <c r="W103" s="1703" t="s">
        <v>38</v>
      </c>
      <c r="X103" s="815" t="s">
        <v>38</v>
      </c>
      <c r="Y103" s="748" t="s">
        <v>652</v>
      </c>
      <c r="Z103" s="586" t="s">
        <v>325</v>
      </c>
      <c r="AA103" s="972" t="s">
        <v>38</v>
      </c>
      <c r="AB103" s="1913"/>
      <c r="AC103" s="1125"/>
      <c r="AD103" s="1240"/>
      <c r="AE103" s="1239" t="str">
        <f t="shared" si="22"/>
        <v xml:space="preserve"> (Updates to) </v>
      </c>
      <c r="AF103" s="1239" t="str">
        <f t="shared" si="23"/>
        <v xml:space="preserve"> (Updates to) </v>
      </c>
      <c r="AG103" s="1239" t="str">
        <f t="shared" si="24"/>
        <v xml:space="preserve"> (Updates to) </v>
      </c>
      <c r="AH103" s="1783" t="str">
        <f t="shared" si="25"/>
        <v xml:space="preserve"> (Updates to) </v>
      </c>
      <c r="AI103" s="1765" t="s">
        <v>574</v>
      </c>
      <c r="AJ103" s="1239"/>
      <c r="AK103" s="1239" t="s">
        <v>702</v>
      </c>
      <c r="AL103" s="1095"/>
      <c r="AM103" s="1095"/>
      <c r="AN103" s="1095"/>
      <c r="AO103" s="1095"/>
      <c r="AP103" s="1095"/>
      <c r="AQ103" s="1106"/>
      <c r="AR103" s="1097"/>
      <c r="AS103" s="1097"/>
      <c r="AT103" s="181"/>
      <c r="AU103" s="181"/>
      <c r="AV103" s="181"/>
      <c r="AW103" s="181"/>
      <c r="AX103" s="181"/>
      <c r="AY103" s="181"/>
      <c r="AZ103" s="181"/>
      <c r="BA103" s="181"/>
      <c r="BB103" s="181"/>
      <c r="BC103" s="181"/>
      <c r="BD103" s="181"/>
      <c r="BE103" s="181"/>
      <c r="BF103" s="181"/>
      <c r="BG103" s="181"/>
      <c r="BH103" s="181"/>
      <c r="BI103" s="181"/>
      <c r="BJ103" s="181"/>
      <c r="BK103" s="181"/>
      <c r="BL103" s="181"/>
      <c r="BM103" s="181"/>
      <c r="BN103" s="181"/>
      <c r="BO103" s="181"/>
      <c r="BP103" s="181"/>
      <c r="BQ103" s="181"/>
      <c r="BR103" s="181"/>
      <c r="BS103" s="181"/>
      <c r="BT103" s="181"/>
      <c r="BU103" s="181"/>
      <c r="BV103" s="181"/>
    </row>
    <row r="104" spans="1:74" s="30" customFormat="1" ht="15.75" x14ac:dyDescent="0.25">
      <c r="A104" s="545"/>
      <c r="B104" s="1579"/>
      <c r="C104" s="1097"/>
      <c r="D104" s="1145" t="s">
        <v>104</v>
      </c>
      <c r="E104" s="1147" t="str">
        <f t="shared" si="26"/>
        <v/>
      </c>
      <c r="F104" s="1124"/>
      <c r="G104" s="1703" t="s">
        <v>37</v>
      </c>
      <c r="H104" s="1704" t="s">
        <v>37</v>
      </c>
      <c r="I104" s="1703" t="s">
        <v>37</v>
      </c>
      <c r="J104" s="1705" t="s">
        <v>37</v>
      </c>
      <c r="K104" s="1703" t="s">
        <v>37</v>
      </c>
      <c r="L104" s="1704" t="str">
        <f>IF(L92="No","N","Y")</f>
        <v>Y</v>
      </c>
      <c r="M104" s="1703" t="s">
        <v>37</v>
      </c>
      <c r="N104" s="1704" t="s">
        <v>37</v>
      </c>
      <c r="O104" s="1703" t="s">
        <v>37</v>
      </c>
      <c r="P104" s="1706" t="s">
        <v>37</v>
      </c>
      <c r="Q104" s="1707" t="s">
        <v>37</v>
      </c>
      <c r="R104" s="1704" t="s">
        <v>37</v>
      </c>
      <c r="S104" s="1703" t="s">
        <v>38</v>
      </c>
      <c r="T104" s="1705" t="s">
        <v>38</v>
      </c>
      <c r="U104" s="1703" t="s">
        <v>37</v>
      </c>
      <c r="V104" s="1704" t="s">
        <v>37</v>
      </c>
      <c r="W104" s="1703" t="s">
        <v>38</v>
      </c>
      <c r="X104" s="815" t="s">
        <v>38</v>
      </c>
      <c r="Y104" s="748" t="s">
        <v>652</v>
      </c>
      <c r="Z104" s="586" t="s">
        <v>326</v>
      </c>
      <c r="AA104" s="972" t="s">
        <v>37</v>
      </c>
      <c r="AB104" s="1913"/>
      <c r="AC104" s="1125"/>
      <c r="AD104" s="1240"/>
      <c r="AE104" s="1239" t="str">
        <f t="shared" si="22"/>
        <v xml:space="preserve"> (Updates to) </v>
      </c>
      <c r="AF104" s="1239" t="str">
        <f t="shared" si="23"/>
        <v xml:space="preserve"> (Updates to) </v>
      </c>
      <c r="AG104" s="1239" t="str">
        <f t="shared" si="24"/>
        <v xml:space="preserve"> (Updates to) </v>
      </c>
      <c r="AH104" s="1783" t="str">
        <f t="shared" si="25"/>
        <v xml:space="preserve"> (Updates to) </v>
      </c>
      <c r="AI104" s="1765" t="s">
        <v>574</v>
      </c>
      <c r="AJ104" s="1239"/>
      <c r="AK104" s="1239" t="s">
        <v>702</v>
      </c>
      <c r="AL104" s="1095"/>
      <c r="AM104" s="1095"/>
      <c r="AN104" s="1095"/>
      <c r="AO104" s="1095"/>
      <c r="AP104" s="1095"/>
      <c r="AQ104" s="1106"/>
      <c r="AR104" s="1097"/>
      <c r="AS104" s="1097"/>
      <c r="AT104" s="181"/>
      <c r="AU104" s="181"/>
      <c r="AV104" s="181"/>
      <c r="AW104" s="181"/>
      <c r="AX104" s="181"/>
      <c r="AY104" s="181"/>
      <c r="AZ104" s="181"/>
      <c r="BA104" s="181"/>
      <c r="BB104" s="181"/>
      <c r="BC104" s="181"/>
      <c r="BD104" s="181"/>
      <c r="BE104" s="181"/>
      <c r="BF104" s="181"/>
      <c r="BG104" s="181"/>
      <c r="BH104" s="181"/>
      <c r="BI104" s="181"/>
      <c r="BJ104" s="181"/>
      <c r="BK104" s="181"/>
      <c r="BL104" s="181"/>
      <c r="BM104" s="181"/>
      <c r="BN104" s="181"/>
      <c r="BO104" s="181"/>
      <c r="BP104" s="181"/>
      <c r="BQ104" s="181"/>
      <c r="BR104" s="181"/>
      <c r="BS104" s="181"/>
      <c r="BT104" s="181"/>
      <c r="BU104" s="181"/>
      <c r="BV104" s="181"/>
    </row>
    <row r="105" spans="1:74" s="30" customFormat="1" ht="15.75" x14ac:dyDescent="0.25">
      <c r="A105" s="545"/>
      <c r="B105" s="1579"/>
      <c r="C105" s="1097"/>
      <c r="D105" s="1145" t="s">
        <v>104</v>
      </c>
      <c r="E105" s="1147" t="str">
        <f t="shared" si="26"/>
        <v/>
      </c>
      <c r="F105" s="1124"/>
      <c r="G105" s="1703" t="s">
        <v>37</v>
      </c>
      <c r="H105" s="1704" t="s">
        <v>37</v>
      </c>
      <c r="I105" s="1703" t="s">
        <v>37</v>
      </c>
      <c r="J105" s="1705" t="s">
        <v>37</v>
      </c>
      <c r="K105" s="1703" t="s">
        <v>37</v>
      </c>
      <c r="L105" s="1704" t="str">
        <f>IF(L93="No","N","Y")</f>
        <v>Y</v>
      </c>
      <c r="M105" s="1703" t="s">
        <v>37</v>
      </c>
      <c r="N105" s="1704" t="s">
        <v>37</v>
      </c>
      <c r="O105" s="1703" t="s">
        <v>37</v>
      </c>
      <c r="P105" s="1706" t="s">
        <v>37</v>
      </c>
      <c r="Q105" s="1707" t="s">
        <v>37</v>
      </c>
      <c r="R105" s="1704" t="s">
        <v>37</v>
      </c>
      <c r="S105" s="1703" t="s">
        <v>38</v>
      </c>
      <c r="T105" s="1705" t="s">
        <v>38</v>
      </c>
      <c r="U105" s="1703" t="s">
        <v>37</v>
      </c>
      <c r="V105" s="1704" t="s">
        <v>37</v>
      </c>
      <c r="W105" s="1703" t="s">
        <v>38</v>
      </c>
      <c r="X105" s="815" t="s">
        <v>38</v>
      </c>
      <c r="Y105" s="748" t="s">
        <v>652</v>
      </c>
      <c r="Z105" s="586" t="s">
        <v>327</v>
      </c>
      <c r="AA105" s="972" t="s">
        <v>37</v>
      </c>
      <c r="AB105" s="1913"/>
      <c r="AC105" s="1125"/>
      <c r="AD105" s="1240"/>
      <c r="AE105" s="1239" t="str">
        <f t="shared" si="22"/>
        <v xml:space="preserve"> (Updates to) </v>
      </c>
      <c r="AF105" s="1239" t="str">
        <f t="shared" si="23"/>
        <v xml:space="preserve"> (Updates to) </v>
      </c>
      <c r="AG105" s="1239" t="str">
        <f t="shared" si="24"/>
        <v xml:space="preserve"> (Updates to) </v>
      </c>
      <c r="AH105" s="1783" t="str">
        <f t="shared" si="25"/>
        <v xml:space="preserve"> (Updates to) </v>
      </c>
      <c r="AI105" s="1765" t="s">
        <v>574</v>
      </c>
      <c r="AJ105" s="1239"/>
      <c r="AK105" s="1239" t="s">
        <v>702</v>
      </c>
      <c r="AL105" s="1095"/>
      <c r="AM105" s="1095"/>
      <c r="AN105" s="1095"/>
      <c r="AO105" s="1095"/>
      <c r="AP105" s="1095"/>
      <c r="AQ105" s="1106"/>
      <c r="AR105" s="1097"/>
      <c r="AS105" s="1097"/>
      <c r="AT105" s="181"/>
      <c r="AU105" s="181"/>
      <c r="AV105" s="181"/>
      <c r="AW105" s="181"/>
      <c r="AX105" s="181"/>
      <c r="AY105" s="181"/>
      <c r="AZ105" s="181"/>
      <c r="BA105" s="181"/>
      <c r="BB105" s="181"/>
      <c r="BC105" s="181"/>
      <c r="BD105" s="181"/>
      <c r="BE105" s="181"/>
      <c r="BF105" s="181"/>
      <c r="BG105" s="181"/>
      <c r="BH105" s="181"/>
      <c r="BI105" s="181"/>
      <c r="BJ105" s="181"/>
      <c r="BK105" s="181"/>
      <c r="BL105" s="181"/>
      <c r="BM105" s="181"/>
      <c r="BN105" s="181"/>
      <c r="BO105" s="181"/>
      <c r="BP105" s="181"/>
      <c r="BQ105" s="181"/>
      <c r="BR105" s="181"/>
      <c r="BS105" s="181"/>
      <c r="BT105" s="181"/>
      <c r="BU105" s="181"/>
      <c r="BV105" s="181"/>
    </row>
    <row r="106" spans="1:74" s="30" customFormat="1" ht="15.75" x14ac:dyDescent="0.25">
      <c r="A106" s="545"/>
      <c r="B106" s="1579"/>
      <c r="C106" s="1097"/>
      <c r="D106" s="1145" t="s">
        <v>104</v>
      </c>
      <c r="E106" s="1147" t="str">
        <f t="shared" si="26"/>
        <v/>
      </c>
      <c r="F106" s="1124"/>
      <c r="G106" s="1703" t="s">
        <v>37</v>
      </c>
      <c r="H106" s="1704" t="s">
        <v>37</v>
      </c>
      <c r="I106" s="1703" t="s">
        <v>37</v>
      </c>
      <c r="J106" s="1705" t="s">
        <v>37</v>
      </c>
      <c r="K106" s="1703" t="s">
        <v>37</v>
      </c>
      <c r="L106" s="1704" t="str">
        <f>IF(L94="No","N","Y")</f>
        <v>Y</v>
      </c>
      <c r="M106" s="1703" t="s">
        <v>37</v>
      </c>
      <c r="N106" s="1704" t="s">
        <v>37</v>
      </c>
      <c r="O106" s="1703" t="s">
        <v>37</v>
      </c>
      <c r="P106" s="1706" t="s">
        <v>37</v>
      </c>
      <c r="Q106" s="1707" t="s">
        <v>37</v>
      </c>
      <c r="R106" s="1704" t="s">
        <v>37</v>
      </c>
      <c r="S106" s="1703" t="s">
        <v>38</v>
      </c>
      <c r="T106" s="1705" t="s">
        <v>38</v>
      </c>
      <c r="U106" s="1703" t="s">
        <v>37</v>
      </c>
      <c r="V106" s="1704" t="s">
        <v>37</v>
      </c>
      <c r="W106" s="1703" t="s">
        <v>38</v>
      </c>
      <c r="X106" s="815" t="s">
        <v>38</v>
      </c>
      <c r="Y106" s="748" t="s">
        <v>652</v>
      </c>
      <c r="Z106" s="586" t="s">
        <v>525</v>
      </c>
      <c r="AA106" s="972" t="s">
        <v>37</v>
      </c>
      <c r="AB106" s="1913"/>
      <c r="AC106" s="1125"/>
      <c r="AD106" s="1240"/>
      <c r="AE106" s="1239" t="str">
        <f t="shared" si="22"/>
        <v xml:space="preserve"> (Updates to) </v>
      </c>
      <c r="AF106" s="1239" t="str">
        <f t="shared" si="23"/>
        <v xml:space="preserve"> (Updates to) </v>
      </c>
      <c r="AG106" s="1239" t="str">
        <f t="shared" si="24"/>
        <v xml:space="preserve"> (Updates to) </v>
      </c>
      <c r="AH106" s="1783" t="str">
        <f t="shared" si="25"/>
        <v xml:space="preserve"> (Updates to) </v>
      </c>
      <c r="AI106" s="1765" t="s">
        <v>574</v>
      </c>
      <c r="AJ106" s="1239"/>
      <c r="AK106" s="1239" t="s">
        <v>702</v>
      </c>
      <c r="AL106" s="1095"/>
      <c r="AM106" s="1095"/>
      <c r="AN106" s="1095"/>
      <c r="AO106" s="1095"/>
      <c r="AP106" s="1095"/>
      <c r="AQ106" s="1106"/>
      <c r="AR106" s="1097"/>
      <c r="AS106" s="1097"/>
      <c r="AT106" s="181"/>
      <c r="AU106" s="181"/>
      <c r="AV106" s="181"/>
      <c r="AW106" s="181"/>
      <c r="AX106" s="181"/>
      <c r="AY106" s="181"/>
      <c r="AZ106" s="181"/>
      <c r="BA106" s="181"/>
      <c r="BB106" s="181"/>
      <c r="BC106" s="181"/>
      <c r="BD106" s="181"/>
      <c r="BE106" s="181"/>
      <c r="BF106" s="181"/>
      <c r="BG106" s="181"/>
      <c r="BH106" s="181"/>
      <c r="BI106" s="181"/>
      <c r="BJ106" s="181"/>
      <c r="BK106" s="181"/>
      <c r="BL106" s="181"/>
      <c r="BM106" s="181"/>
      <c r="BN106" s="181"/>
      <c r="BO106" s="181"/>
      <c r="BP106" s="181"/>
      <c r="BQ106" s="181"/>
      <c r="BR106" s="181"/>
      <c r="BS106" s="181"/>
      <c r="BT106" s="181"/>
      <c r="BU106" s="181"/>
      <c r="BV106" s="181"/>
    </row>
    <row r="107" spans="1:74" s="30" customFormat="1" ht="15.75" x14ac:dyDescent="0.25">
      <c r="A107" s="545"/>
      <c r="B107" s="1579"/>
      <c r="C107" s="1097"/>
      <c r="D107" s="1145" t="s">
        <v>104</v>
      </c>
      <c r="E107" s="1147" t="str">
        <f t="shared" si="26"/>
        <v/>
      </c>
      <c r="F107" s="1124"/>
      <c r="G107" s="1703" t="s">
        <v>38</v>
      </c>
      <c r="H107" s="1704" t="s">
        <v>21</v>
      </c>
      <c r="I107" s="1703" t="s">
        <v>37</v>
      </c>
      <c r="J107" s="1705" t="s">
        <v>21</v>
      </c>
      <c r="K107" s="1703" t="s">
        <v>37</v>
      </c>
      <c r="L107" s="1704" t="s">
        <v>21</v>
      </c>
      <c r="M107" s="1703" t="s">
        <v>38</v>
      </c>
      <c r="N107" s="1704" t="s">
        <v>21</v>
      </c>
      <c r="O107" s="1703" t="s">
        <v>38</v>
      </c>
      <c r="P107" s="1706" t="s">
        <v>21</v>
      </c>
      <c r="Q107" s="1707" t="s">
        <v>38</v>
      </c>
      <c r="R107" s="1704" t="s">
        <v>38</v>
      </c>
      <c r="S107" s="1703" t="s">
        <v>38</v>
      </c>
      <c r="T107" s="1705" t="s">
        <v>38</v>
      </c>
      <c r="U107" s="1703" t="s">
        <v>38</v>
      </c>
      <c r="V107" s="1704" t="s">
        <v>38</v>
      </c>
      <c r="W107" s="1703" t="s">
        <v>38</v>
      </c>
      <c r="X107" s="815" t="s">
        <v>38</v>
      </c>
      <c r="Y107" s="748" t="s">
        <v>652</v>
      </c>
      <c r="Z107" s="891" t="s">
        <v>952</v>
      </c>
      <c r="AA107" s="972" t="s">
        <v>37</v>
      </c>
      <c r="AB107" s="1913"/>
      <c r="AC107" s="1125"/>
      <c r="AD107" s="1240"/>
      <c r="AE107" s="1239" t="str">
        <f t="shared" si="22"/>
        <v xml:space="preserve"> (Updates to) </v>
      </c>
      <c r="AF107" s="1239" t="str">
        <f t="shared" si="23"/>
        <v xml:space="preserve"> (Updates to) </v>
      </c>
      <c r="AG107" s="1239" t="str">
        <f t="shared" si="24"/>
        <v xml:space="preserve"> (Updates to) </v>
      </c>
      <c r="AH107" s="1783" t="str">
        <f t="shared" si="25"/>
        <v xml:space="preserve"> (Updates to) </v>
      </c>
      <c r="AI107" s="1765" t="s">
        <v>574</v>
      </c>
      <c r="AJ107" s="1239"/>
      <c r="AK107" s="1239" t="s">
        <v>702</v>
      </c>
      <c r="AL107" s="1095"/>
      <c r="AM107" s="1095"/>
      <c r="AN107" s="1095"/>
      <c r="AO107" s="1095"/>
      <c r="AP107" s="1095"/>
      <c r="AQ107" s="1106"/>
      <c r="AR107" s="1097"/>
      <c r="AS107" s="1097"/>
      <c r="AT107" s="181"/>
      <c r="AU107" s="181"/>
      <c r="AV107" s="181"/>
      <c r="AW107" s="181"/>
      <c r="AX107" s="181"/>
      <c r="AY107" s="181"/>
      <c r="AZ107" s="181"/>
      <c r="BA107" s="181"/>
      <c r="BB107" s="181"/>
      <c r="BC107" s="181"/>
      <c r="BD107" s="181"/>
      <c r="BE107" s="181"/>
      <c r="BF107" s="181"/>
      <c r="BG107" s="181"/>
      <c r="BH107" s="181"/>
      <c r="BI107" s="181"/>
      <c r="BJ107" s="181"/>
      <c r="BK107" s="181"/>
      <c r="BL107" s="181"/>
      <c r="BM107" s="181"/>
      <c r="BN107" s="181"/>
      <c r="BO107" s="181"/>
      <c r="BP107" s="181"/>
      <c r="BQ107" s="181"/>
      <c r="BR107" s="181"/>
      <c r="BS107" s="181"/>
      <c r="BT107" s="181"/>
      <c r="BU107" s="181"/>
      <c r="BV107" s="181"/>
    </row>
    <row r="108" spans="1:74" s="30" customFormat="1" ht="15.75" x14ac:dyDescent="0.25">
      <c r="A108" s="545"/>
      <c r="B108" s="1579"/>
      <c r="C108" s="1097"/>
      <c r="D108" s="1145" t="s">
        <v>104</v>
      </c>
      <c r="E108" s="1147" t="str">
        <f t="shared" si="26"/>
        <v>N</v>
      </c>
      <c r="F108" s="1124"/>
      <c r="G108" s="1703" t="s">
        <v>38</v>
      </c>
      <c r="H108" s="1704" t="s">
        <v>38</v>
      </c>
      <c r="I108" s="1703" t="s">
        <v>38</v>
      </c>
      <c r="J108" s="1705" t="s">
        <v>38</v>
      </c>
      <c r="K108" s="1703" t="s">
        <v>38</v>
      </c>
      <c r="L108" s="1704" t="s">
        <v>38</v>
      </c>
      <c r="M108" s="1703" t="s">
        <v>38</v>
      </c>
      <c r="N108" s="1704" t="s">
        <v>38</v>
      </c>
      <c r="O108" s="1703" t="s">
        <v>38</v>
      </c>
      <c r="P108" s="1706" t="s">
        <v>38</v>
      </c>
      <c r="Q108" s="1707" t="s">
        <v>38</v>
      </c>
      <c r="R108" s="1704" t="s">
        <v>38</v>
      </c>
      <c r="S108" s="1703" t="s">
        <v>38</v>
      </c>
      <c r="T108" s="1705" t="s">
        <v>38</v>
      </c>
      <c r="U108" s="1703" t="s">
        <v>38</v>
      </c>
      <c r="V108" s="1704" t="s">
        <v>38</v>
      </c>
      <c r="W108" s="1703" t="s">
        <v>38</v>
      </c>
      <c r="X108" s="815" t="s">
        <v>38</v>
      </c>
      <c r="Y108" s="748" t="s">
        <v>652</v>
      </c>
      <c r="Z108" s="891" t="s">
        <v>292</v>
      </c>
      <c r="AA108" s="972" t="s">
        <v>38</v>
      </c>
      <c r="AB108" s="1913"/>
      <c r="AC108" s="1125"/>
      <c r="AD108" s="1240"/>
      <c r="AE108" s="1239" t="str">
        <f t="shared" si="22"/>
        <v xml:space="preserve"> (Updates to) </v>
      </c>
      <c r="AF108" s="1239" t="str">
        <f t="shared" si="23"/>
        <v xml:space="preserve"> (Updates to) </v>
      </c>
      <c r="AG108" s="1239" t="str">
        <f t="shared" si="24"/>
        <v xml:space="preserve"> (Updates to) </v>
      </c>
      <c r="AH108" s="1783" t="str">
        <f t="shared" si="25"/>
        <v xml:space="preserve"> (Updates to) </v>
      </c>
      <c r="AI108" s="1765" t="s">
        <v>574</v>
      </c>
      <c r="AJ108" s="1239"/>
      <c r="AK108" s="1239" t="s">
        <v>702</v>
      </c>
      <c r="AL108" s="1095"/>
      <c r="AM108" s="1095"/>
      <c r="AN108" s="1095"/>
      <c r="AO108" s="1095"/>
      <c r="AP108" s="1095"/>
      <c r="AQ108" s="1106"/>
      <c r="AR108" s="1097"/>
      <c r="AS108" s="1097"/>
      <c r="AT108" s="181"/>
      <c r="AU108" s="181"/>
      <c r="AV108" s="181"/>
      <c r="AW108" s="181"/>
      <c r="AX108" s="181"/>
      <c r="AY108" s="181"/>
      <c r="AZ108" s="181"/>
      <c r="BA108" s="181"/>
      <c r="BB108" s="181"/>
      <c r="BC108" s="181"/>
      <c r="BD108" s="181"/>
      <c r="BE108" s="181"/>
      <c r="BF108" s="181"/>
      <c r="BG108" s="181"/>
      <c r="BH108" s="181"/>
      <c r="BI108" s="181"/>
      <c r="BJ108" s="181"/>
      <c r="BK108" s="181"/>
      <c r="BL108" s="181"/>
      <c r="BM108" s="181"/>
      <c r="BN108" s="181"/>
      <c r="BO108" s="181"/>
      <c r="BP108" s="181"/>
      <c r="BQ108" s="181"/>
      <c r="BR108" s="181"/>
      <c r="BS108" s="181"/>
      <c r="BT108" s="181"/>
      <c r="BU108" s="181"/>
      <c r="BV108" s="181"/>
    </row>
    <row r="109" spans="1:74" s="30" customFormat="1" ht="15.75" x14ac:dyDescent="0.25">
      <c r="A109" s="545"/>
      <c r="B109" s="1579"/>
      <c r="C109" s="1097"/>
      <c r="D109" s="1145" t="s">
        <v>104</v>
      </c>
      <c r="E109" s="1147" t="str">
        <f t="shared" si="26"/>
        <v/>
      </c>
      <c r="F109" s="1124"/>
      <c r="G109" s="1703" t="s">
        <v>37</v>
      </c>
      <c r="H109" s="1704" t="s">
        <v>37</v>
      </c>
      <c r="I109" s="1703" t="s">
        <v>37</v>
      </c>
      <c r="J109" s="1705" t="s">
        <v>37</v>
      </c>
      <c r="K109" s="1703" t="s">
        <v>37</v>
      </c>
      <c r="L109" s="1704" t="str">
        <f>IF(L98="No","N","Y")</f>
        <v>Y</v>
      </c>
      <c r="M109" s="1703" t="s">
        <v>37</v>
      </c>
      <c r="N109" s="1704" t="s">
        <v>37</v>
      </c>
      <c r="O109" s="1703" t="s">
        <v>37</v>
      </c>
      <c r="P109" s="1706" t="s">
        <v>37</v>
      </c>
      <c r="Q109" s="1707" t="s">
        <v>37</v>
      </c>
      <c r="R109" s="1704" t="s">
        <v>37</v>
      </c>
      <c r="S109" s="1703" t="s">
        <v>38</v>
      </c>
      <c r="T109" s="1705" t="s">
        <v>38</v>
      </c>
      <c r="U109" s="1703" t="s">
        <v>37</v>
      </c>
      <c r="V109" s="1704" t="s">
        <v>37</v>
      </c>
      <c r="W109" s="1703" t="s">
        <v>38</v>
      </c>
      <c r="X109" s="815" t="s">
        <v>38</v>
      </c>
      <c r="Y109" s="748" t="s">
        <v>652</v>
      </c>
      <c r="Z109" s="586" t="s">
        <v>805</v>
      </c>
      <c r="AA109" s="972" t="s">
        <v>37</v>
      </c>
      <c r="AB109" s="1913"/>
      <c r="AC109" s="1125"/>
      <c r="AD109" s="1240"/>
      <c r="AE109" s="1239" t="str">
        <f t="shared" si="22"/>
        <v xml:space="preserve"> (Updates to) </v>
      </c>
      <c r="AF109" s="1239" t="str">
        <f t="shared" si="23"/>
        <v xml:space="preserve"> (Updates to) </v>
      </c>
      <c r="AG109" s="1239" t="str">
        <f t="shared" si="24"/>
        <v xml:space="preserve"> (Updates to) </v>
      </c>
      <c r="AH109" s="1783" t="str">
        <f t="shared" si="25"/>
        <v xml:space="preserve"> (Updates to) </v>
      </c>
      <c r="AI109" s="1765" t="s">
        <v>574</v>
      </c>
      <c r="AJ109" s="1239"/>
      <c r="AK109" s="1239" t="s">
        <v>702</v>
      </c>
      <c r="AL109" s="1095"/>
      <c r="AM109" s="1095"/>
      <c r="AN109" s="1095"/>
      <c r="AO109" s="1095"/>
      <c r="AP109" s="1095"/>
      <c r="AQ109" s="1106"/>
      <c r="AR109" s="1097"/>
      <c r="AS109" s="1097"/>
      <c r="AT109" s="181"/>
      <c r="AU109" s="181"/>
      <c r="AV109" s="181"/>
      <c r="AW109" s="181"/>
      <c r="AX109" s="181"/>
      <c r="AY109" s="181"/>
      <c r="AZ109" s="181"/>
      <c r="BA109" s="181"/>
      <c r="BB109" s="181"/>
      <c r="BC109" s="181"/>
      <c r="BD109" s="181"/>
      <c r="BE109" s="181"/>
      <c r="BF109" s="181"/>
      <c r="BG109" s="181"/>
      <c r="BH109" s="181"/>
      <c r="BI109" s="181"/>
      <c r="BJ109" s="181"/>
      <c r="BK109" s="181"/>
      <c r="BL109" s="181"/>
      <c r="BM109" s="181"/>
      <c r="BN109" s="181"/>
      <c r="BO109" s="181"/>
      <c r="BP109" s="181"/>
      <c r="BQ109" s="181"/>
      <c r="BR109" s="181"/>
      <c r="BS109" s="181"/>
      <c r="BT109" s="181"/>
      <c r="BU109" s="181"/>
      <c r="BV109" s="181"/>
    </row>
    <row r="110" spans="1:74" s="545" customFormat="1" ht="15.75" x14ac:dyDescent="0.25">
      <c r="B110" s="1579"/>
      <c r="C110" s="1097"/>
      <c r="D110" s="1145" t="s">
        <v>104</v>
      </c>
      <c r="E110" s="1147" t="str">
        <f t="shared" ref="E110" si="27">IF(Z110="","",IF(OR(AND(OR(G110="Y",G110="?"),_00_apply="Yes"),AND(OR(I110="Y",I110="?"),_01_apply="Yes"),AND(OR(K110="Y",K110="?"),_02_apply="Yes"),AND(OR(M110="Y",M110="?"),_03_apply="Yes"),AND(OR(O110="Y",O110="?"),_04_apply="Yes"),AND(OR(Q110="Y",Q110="?"),_05_apply="Yes"),AND(OR(S110="?",S110="Y"),_06_apply="Yes"),AND(OR(U110="?",U110="Y"),_07_apply="Yes"),AND(OR(W110="Y",W110="?"),_08_apply="Yes")),"","N"))</f>
        <v/>
      </c>
      <c r="F110" s="1124"/>
      <c r="G110" s="1703" t="s">
        <v>37</v>
      </c>
      <c r="H110" s="1704" t="s">
        <v>37</v>
      </c>
      <c r="I110" s="1703" t="s">
        <v>37</v>
      </c>
      <c r="J110" s="1705" t="s">
        <v>37</v>
      </c>
      <c r="K110" s="1703" t="s">
        <v>37</v>
      </c>
      <c r="L110" s="1704" t="str">
        <f>IF(L106="No","N","Y")</f>
        <v>Y</v>
      </c>
      <c r="M110" s="1703" t="s">
        <v>37</v>
      </c>
      <c r="N110" s="1704" t="s">
        <v>37</v>
      </c>
      <c r="O110" s="1703" t="s">
        <v>37</v>
      </c>
      <c r="P110" s="1706" t="s">
        <v>37</v>
      </c>
      <c r="Q110" s="1707" t="s">
        <v>37</v>
      </c>
      <c r="R110" s="1704" t="s">
        <v>37</v>
      </c>
      <c r="S110" s="1703" t="s">
        <v>38</v>
      </c>
      <c r="T110" s="1705" t="s">
        <v>38</v>
      </c>
      <c r="U110" s="1703" t="s">
        <v>37</v>
      </c>
      <c r="V110" s="1704" t="s">
        <v>37</v>
      </c>
      <c r="W110" s="1703" t="s">
        <v>38</v>
      </c>
      <c r="X110" s="1650" t="s">
        <v>38</v>
      </c>
      <c r="Y110" s="748" t="s">
        <v>652</v>
      </c>
      <c r="Z110" s="586" t="s">
        <v>980</v>
      </c>
      <c r="AA110" s="1004" t="s">
        <v>37</v>
      </c>
      <c r="AB110" s="1913"/>
      <c r="AC110" s="1125"/>
      <c r="AD110" s="1240"/>
      <c r="AE110" s="1239" t="str">
        <f t="shared" si="22"/>
        <v xml:space="preserve"> (Updates to) </v>
      </c>
      <c r="AF110" s="1239" t="str">
        <f t="shared" si="23"/>
        <v xml:space="preserve"> (Updates to) </v>
      </c>
      <c r="AG110" s="1239" t="str">
        <f t="shared" si="24"/>
        <v xml:space="preserve"> (Updates to) </v>
      </c>
      <c r="AH110" s="1783" t="str">
        <f t="shared" si="25"/>
        <v xml:space="preserve"> (Updates to) </v>
      </c>
      <c r="AI110" s="1765" t="s">
        <v>574</v>
      </c>
      <c r="AJ110" s="1239"/>
      <c r="AK110" s="1239" t="s">
        <v>702</v>
      </c>
      <c r="AL110" s="1095"/>
      <c r="AM110" s="1095"/>
      <c r="AN110" s="1095"/>
      <c r="AO110" s="1095"/>
      <c r="AP110" s="1095"/>
      <c r="AQ110" s="1106"/>
      <c r="AR110" s="1097"/>
      <c r="AS110" s="1097"/>
      <c r="AT110" s="551"/>
      <c r="AU110" s="551"/>
      <c r="AV110" s="551"/>
      <c r="AW110" s="551"/>
      <c r="AX110" s="551"/>
      <c r="AY110" s="551"/>
      <c r="AZ110" s="551"/>
      <c r="BA110" s="551"/>
      <c r="BB110" s="551"/>
      <c r="BC110" s="551"/>
      <c r="BD110" s="551"/>
      <c r="BE110" s="551"/>
      <c r="BF110" s="551"/>
      <c r="BG110" s="551"/>
      <c r="BH110" s="551"/>
      <c r="BI110" s="551"/>
      <c r="BJ110" s="551"/>
      <c r="BK110" s="551"/>
      <c r="BL110" s="551"/>
      <c r="BM110" s="551"/>
      <c r="BN110" s="551"/>
      <c r="BO110" s="551"/>
      <c r="BP110" s="551"/>
      <c r="BQ110" s="551"/>
      <c r="BR110" s="551"/>
      <c r="BS110" s="551"/>
      <c r="BT110" s="551"/>
      <c r="BU110" s="551"/>
      <c r="BV110" s="551"/>
    </row>
    <row r="111" spans="1:74" s="30" customFormat="1" ht="15.75" x14ac:dyDescent="0.25">
      <c r="A111" s="545"/>
      <c r="B111" s="1579"/>
      <c r="C111" s="1097"/>
      <c r="D111" s="1145" t="s">
        <v>104</v>
      </c>
      <c r="E111" s="1147" t="str">
        <f t="shared" si="26"/>
        <v/>
      </c>
      <c r="F111" s="1124"/>
      <c r="G111" s="1703" t="s">
        <v>37</v>
      </c>
      <c r="H111" s="1704" t="s">
        <v>37</v>
      </c>
      <c r="I111" s="1703" t="s">
        <v>37</v>
      </c>
      <c r="J111" s="1705" t="s">
        <v>37</v>
      </c>
      <c r="K111" s="1703" t="s">
        <v>37</v>
      </c>
      <c r="L111" s="1704" t="str">
        <f>IF(L99="No","N","Y")</f>
        <v>Y</v>
      </c>
      <c r="M111" s="1703" t="s">
        <v>37</v>
      </c>
      <c r="N111" s="1704" t="s">
        <v>37</v>
      </c>
      <c r="O111" s="1703" t="s">
        <v>37</v>
      </c>
      <c r="P111" s="1706" t="s">
        <v>37</v>
      </c>
      <c r="Q111" s="1707" t="s">
        <v>37</v>
      </c>
      <c r="R111" s="1704" t="s">
        <v>37</v>
      </c>
      <c r="S111" s="1703" t="s">
        <v>38</v>
      </c>
      <c r="T111" s="1705" t="s">
        <v>38</v>
      </c>
      <c r="U111" s="1703" t="s">
        <v>37</v>
      </c>
      <c r="V111" s="1704" t="s">
        <v>37</v>
      </c>
      <c r="W111" s="1703" t="s">
        <v>38</v>
      </c>
      <c r="X111" s="815" t="s">
        <v>38</v>
      </c>
      <c r="Y111" s="748" t="s">
        <v>652</v>
      </c>
      <c r="Z111" s="586" t="s">
        <v>806</v>
      </c>
      <c r="AA111" s="972" t="s">
        <v>37</v>
      </c>
      <c r="AB111" s="1913"/>
      <c r="AC111" s="1125"/>
      <c r="AD111" s="1240"/>
      <c r="AE111" s="1239" t="str">
        <f t="shared" si="22"/>
        <v xml:space="preserve"> (Updates to) </v>
      </c>
      <c r="AF111" s="1239" t="str">
        <f t="shared" si="23"/>
        <v xml:space="preserve"> (Updates to) </v>
      </c>
      <c r="AG111" s="1239" t="str">
        <f t="shared" si="24"/>
        <v xml:space="preserve"> (Updates to) </v>
      </c>
      <c r="AH111" s="1783" t="str">
        <f t="shared" si="25"/>
        <v xml:space="preserve"> (Updates to) </v>
      </c>
      <c r="AI111" s="1765" t="s">
        <v>574</v>
      </c>
      <c r="AJ111" s="1239"/>
      <c r="AK111" s="1239" t="s">
        <v>702</v>
      </c>
      <c r="AL111" s="1095"/>
      <c r="AM111" s="1095"/>
      <c r="AN111" s="1095"/>
      <c r="AO111" s="1095"/>
      <c r="AP111" s="1095"/>
      <c r="AQ111" s="1106"/>
      <c r="AR111" s="1097"/>
      <c r="AS111" s="1097"/>
      <c r="AT111" s="181"/>
      <c r="AU111" s="181"/>
      <c r="AV111" s="181"/>
      <c r="AW111" s="181"/>
      <c r="AX111" s="181"/>
      <c r="AY111" s="181"/>
      <c r="AZ111" s="181"/>
      <c r="BA111" s="181"/>
      <c r="BB111" s="181"/>
      <c r="BC111" s="181"/>
      <c r="BD111" s="181"/>
      <c r="BE111" s="181"/>
      <c r="BF111" s="181"/>
      <c r="BG111" s="181"/>
      <c r="BH111" s="181"/>
      <c r="BI111" s="181"/>
      <c r="BJ111" s="181"/>
      <c r="BK111" s="181"/>
      <c r="BL111" s="181"/>
      <c r="BM111" s="181"/>
      <c r="BN111" s="181"/>
      <c r="BO111" s="181"/>
      <c r="BP111" s="181"/>
      <c r="BQ111" s="181"/>
      <c r="BR111" s="181"/>
      <c r="BS111" s="181"/>
      <c r="BT111" s="181"/>
      <c r="BU111" s="181"/>
      <c r="BV111" s="181"/>
    </row>
    <row r="112" spans="1:74" s="30" customFormat="1" ht="15.75" x14ac:dyDescent="0.25">
      <c r="A112" s="545"/>
      <c r="B112" s="1579"/>
      <c r="C112" s="1097"/>
      <c r="D112" s="1145" t="s">
        <v>104</v>
      </c>
      <c r="E112" s="1147" t="str">
        <f t="shared" si="26"/>
        <v/>
      </c>
      <c r="F112" s="1124"/>
      <c r="G112" s="1703" t="s">
        <v>37</v>
      </c>
      <c r="H112" s="1704" t="s">
        <v>37</v>
      </c>
      <c r="I112" s="1703" t="s">
        <v>37</v>
      </c>
      <c r="J112" s="1705" t="s">
        <v>37</v>
      </c>
      <c r="K112" s="1703" t="s">
        <v>37</v>
      </c>
      <c r="L112" s="1704" t="str">
        <f>IF(L100="No","N","Y")</f>
        <v>Y</v>
      </c>
      <c r="M112" s="1703" t="s">
        <v>37</v>
      </c>
      <c r="N112" s="1704" t="s">
        <v>37</v>
      </c>
      <c r="O112" s="1703" t="s">
        <v>37</v>
      </c>
      <c r="P112" s="1706" t="s">
        <v>37</v>
      </c>
      <c r="Q112" s="1707" t="s">
        <v>37</v>
      </c>
      <c r="R112" s="1704" t="s">
        <v>37</v>
      </c>
      <c r="S112" s="1703" t="s">
        <v>38</v>
      </c>
      <c r="T112" s="1705" t="s">
        <v>38</v>
      </c>
      <c r="U112" s="1703" t="s">
        <v>37</v>
      </c>
      <c r="V112" s="1704" t="s">
        <v>37</v>
      </c>
      <c r="W112" s="1703" t="s">
        <v>38</v>
      </c>
      <c r="X112" s="815" t="s">
        <v>38</v>
      </c>
      <c r="Y112" s="748" t="s">
        <v>652</v>
      </c>
      <c r="Z112" s="586" t="s">
        <v>807</v>
      </c>
      <c r="AA112" s="972" t="s">
        <v>37</v>
      </c>
      <c r="AB112" s="1913"/>
      <c r="AC112" s="1125"/>
      <c r="AD112" s="1240"/>
      <c r="AE112" s="1239" t="str">
        <f t="shared" si="22"/>
        <v xml:space="preserve"> (Updates to) </v>
      </c>
      <c r="AF112" s="1239" t="str">
        <f t="shared" si="23"/>
        <v xml:space="preserve"> (Updates to) </v>
      </c>
      <c r="AG112" s="1239" t="str">
        <f t="shared" si="24"/>
        <v xml:space="preserve"> (Updates to) </v>
      </c>
      <c r="AH112" s="1783" t="str">
        <f t="shared" si="25"/>
        <v xml:space="preserve"> (Updates to) </v>
      </c>
      <c r="AI112" s="1765" t="s">
        <v>574</v>
      </c>
      <c r="AJ112" s="1239"/>
      <c r="AK112" s="1239" t="s">
        <v>702</v>
      </c>
      <c r="AL112" s="1095"/>
      <c r="AM112" s="1095"/>
      <c r="AN112" s="1095"/>
      <c r="AO112" s="1095"/>
      <c r="AP112" s="1095"/>
      <c r="AQ112" s="1106"/>
      <c r="AR112" s="1097"/>
      <c r="AS112" s="1097"/>
      <c r="AT112" s="181"/>
      <c r="AU112" s="181"/>
      <c r="AV112" s="181"/>
      <c r="AW112" s="181"/>
      <c r="AX112" s="181"/>
      <c r="AY112" s="181"/>
      <c r="AZ112" s="181"/>
      <c r="BA112" s="181"/>
      <c r="BB112" s="181"/>
      <c r="BC112" s="181"/>
      <c r="BD112" s="181"/>
      <c r="BE112" s="181"/>
      <c r="BF112" s="181"/>
      <c r="BG112" s="181"/>
      <c r="BH112" s="181"/>
      <c r="BI112" s="181"/>
      <c r="BJ112" s="181"/>
      <c r="BK112" s="181"/>
      <c r="BL112" s="181"/>
      <c r="BM112" s="181"/>
      <c r="BN112" s="181"/>
      <c r="BO112" s="181"/>
      <c r="BP112" s="181"/>
      <c r="BQ112" s="181"/>
      <c r="BR112" s="181"/>
      <c r="BS112" s="181"/>
      <c r="BT112" s="181"/>
      <c r="BU112" s="181"/>
      <c r="BV112" s="181"/>
    </row>
    <row r="113" spans="1:75" s="30" customFormat="1" ht="15" customHeight="1" x14ac:dyDescent="0.25">
      <c r="A113" s="545"/>
      <c r="B113" s="1579"/>
      <c r="C113" s="1095"/>
      <c r="D113" s="1145" t="s">
        <v>104</v>
      </c>
      <c r="E113" s="1147" t="str">
        <f t="shared" si="26"/>
        <v>N</v>
      </c>
      <c r="F113" s="1124"/>
      <c r="G113" s="1703" t="s">
        <v>38</v>
      </c>
      <c r="H113" s="1704" t="s">
        <v>38</v>
      </c>
      <c r="I113" s="1703" t="s">
        <v>38</v>
      </c>
      <c r="J113" s="1705" t="s">
        <v>38</v>
      </c>
      <c r="K113" s="1703" t="s">
        <v>38</v>
      </c>
      <c r="L113" s="1704" t="s">
        <v>38</v>
      </c>
      <c r="M113" s="1703" t="s">
        <v>38</v>
      </c>
      <c r="N113" s="1704" t="s">
        <v>38</v>
      </c>
      <c r="O113" s="1703" t="s">
        <v>38</v>
      </c>
      <c r="P113" s="1706" t="s">
        <v>38</v>
      </c>
      <c r="Q113" s="1707" t="s">
        <v>38</v>
      </c>
      <c r="R113" s="1704" t="s">
        <v>38</v>
      </c>
      <c r="S113" s="1703" t="s">
        <v>38</v>
      </c>
      <c r="T113" s="1705" t="s">
        <v>38</v>
      </c>
      <c r="U113" s="1703" t="s">
        <v>38</v>
      </c>
      <c r="V113" s="1704" t="s">
        <v>38</v>
      </c>
      <c r="W113" s="1703" t="s">
        <v>38</v>
      </c>
      <c r="X113" s="815" t="s">
        <v>38</v>
      </c>
      <c r="Y113" s="748" t="s">
        <v>652</v>
      </c>
      <c r="Z113" s="891" t="s">
        <v>808</v>
      </c>
      <c r="AA113" s="972" t="s">
        <v>38</v>
      </c>
      <c r="AB113" s="1914"/>
      <c r="AC113" s="1211"/>
      <c r="AD113" s="1241"/>
      <c r="AE113" s="1239" t="str">
        <f t="shared" si="22"/>
        <v xml:space="preserve"> (Updates to) </v>
      </c>
      <c r="AF113" s="1239" t="str">
        <f t="shared" si="23"/>
        <v xml:space="preserve"> (Updates to) </v>
      </c>
      <c r="AG113" s="1239" t="str">
        <f t="shared" si="24"/>
        <v xml:space="preserve"> (Updates to) </v>
      </c>
      <c r="AH113" s="1782" t="str">
        <f t="shared" si="25"/>
        <v xml:space="preserve"> (Updates to) </v>
      </c>
      <c r="AI113" s="1764" t="s">
        <v>574</v>
      </c>
      <c r="AJ113" s="1238"/>
      <c r="AK113" s="1239" t="s">
        <v>702</v>
      </c>
      <c r="AL113" s="1095"/>
      <c r="AM113" s="1095"/>
      <c r="AN113" s="1095"/>
      <c r="AO113" s="1095"/>
      <c r="AP113" s="1095"/>
      <c r="AQ113" s="1095"/>
      <c r="AR113" s="1095"/>
      <c r="AS113" s="1095"/>
      <c r="AT113" s="181"/>
      <c r="AU113" s="181"/>
      <c r="AV113" s="181"/>
      <c r="AW113" s="181"/>
      <c r="AX113" s="181"/>
      <c r="AY113" s="181"/>
      <c r="AZ113" s="181"/>
      <c r="BA113" s="181"/>
      <c r="BB113" s="181"/>
      <c r="BC113" s="181"/>
      <c r="BD113" s="181"/>
      <c r="BE113" s="181"/>
      <c r="BF113" s="181"/>
      <c r="BG113" s="181"/>
      <c r="BH113" s="181"/>
      <c r="BI113" s="181"/>
      <c r="BJ113" s="181"/>
      <c r="BK113" s="181"/>
      <c r="BL113" s="181"/>
      <c r="BM113" s="181"/>
      <c r="BN113" s="181"/>
      <c r="BO113" s="181"/>
      <c r="BP113" s="181"/>
      <c r="BQ113" s="181"/>
      <c r="BR113" s="181"/>
      <c r="BS113" s="181"/>
      <c r="BT113" s="181"/>
      <c r="BU113" s="181"/>
      <c r="BV113" s="181"/>
    </row>
    <row r="114" spans="1:75" s="30" customFormat="1" ht="15" customHeight="1" x14ac:dyDescent="0.25">
      <c r="A114" s="545"/>
      <c r="B114" s="1579"/>
      <c r="C114" s="1095"/>
      <c r="D114" s="1145" t="s">
        <v>104</v>
      </c>
      <c r="E114" s="1147" t="str">
        <f t="shared" si="26"/>
        <v/>
      </c>
      <c r="F114" s="1124"/>
      <c r="G114" s="1703" t="s">
        <v>37</v>
      </c>
      <c r="H114" s="1704" t="s">
        <v>37</v>
      </c>
      <c r="I114" s="1703" t="s">
        <v>37</v>
      </c>
      <c r="J114" s="1705" t="s">
        <v>37</v>
      </c>
      <c r="K114" s="1703" t="s">
        <v>37</v>
      </c>
      <c r="L114" s="1704" t="str">
        <f>IF(L103="No","N","Y")</f>
        <v>Y</v>
      </c>
      <c r="M114" s="1703" t="s">
        <v>37</v>
      </c>
      <c r="N114" s="1704" t="s">
        <v>37</v>
      </c>
      <c r="O114" s="1703" t="s">
        <v>37</v>
      </c>
      <c r="P114" s="1706" t="s">
        <v>37</v>
      </c>
      <c r="Q114" s="1707" t="s">
        <v>37</v>
      </c>
      <c r="R114" s="1704" t="s">
        <v>37</v>
      </c>
      <c r="S114" s="1703" t="s">
        <v>38</v>
      </c>
      <c r="T114" s="1705" t="s">
        <v>38</v>
      </c>
      <c r="U114" s="1703" t="s">
        <v>37</v>
      </c>
      <c r="V114" s="1704" t="s">
        <v>37</v>
      </c>
      <c r="W114" s="1703" t="s">
        <v>38</v>
      </c>
      <c r="X114" s="815" t="s">
        <v>38</v>
      </c>
      <c r="Y114" s="748" t="s">
        <v>652</v>
      </c>
      <c r="Z114" s="586" t="s">
        <v>710</v>
      </c>
      <c r="AA114" s="972" t="s">
        <v>37</v>
      </c>
      <c r="AB114" s="1914"/>
      <c r="AC114" s="1211"/>
      <c r="AD114" s="1241"/>
      <c r="AE114" s="1239" t="str">
        <f t="shared" si="22"/>
        <v xml:space="preserve"> (Updates to) </v>
      </c>
      <c r="AF114" s="1239" t="str">
        <f t="shared" si="23"/>
        <v xml:space="preserve"> (Updates to) </v>
      </c>
      <c r="AG114" s="1239" t="str">
        <f t="shared" si="24"/>
        <v xml:space="preserve"> (Updates to) </v>
      </c>
      <c r="AH114" s="1782" t="str">
        <f t="shared" si="25"/>
        <v xml:space="preserve"> (Updates to) </v>
      </c>
      <c r="AI114" s="1764" t="s">
        <v>574</v>
      </c>
      <c r="AJ114" s="1238"/>
      <c r="AK114" s="1239" t="s">
        <v>702</v>
      </c>
      <c r="AL114" s="1095"/>
      <c r="AM114" s="1095"/>
      <c r="AN114" s="1095"/>
      <c r="AO114" s="1095"/>
      <c r="AP114" s="1095"/>
      <c r="AQ114" s="1095"/>
      <c r="AR114" s="1095"/>
      <c r="AS114" s="1095"/>
      <c r="AT114" s="181"/>
      <c r="AU114" s="181"/>
      <c r="AV114" s="181"/>
      <c r="AW114" s="181"/>
      <c r="AX114" s="181"/>
      <c r="AY114" s="181"/>
      <c r="AZ114" s="181"/>
      <c r="BA114" s="181"/>
      <c r="BB114" s="181"/>
      <c r="BC114" s="181"/>
      <c r="BD114" s="181"/>
      <c r="BE114" s="181"/>
      <c r="BF114" s="181"/>
      <c r="BG114" s="181"/>
      <c r="BH114" s="181"/>
      <c r="BI114" s="181"/>
      <c r="BJ114" s="181"/>
      <c r="BK114" s="181"/>
      <c r="BL114" s="181"/>
      <c r="BM114" s="181"/>
      <c r="BN114" s="181"/>
      <c r="BO114" s="181"/>
      <c r="BP114" s="181"/>
      <c r="BQ114" s="181"/>
      <c r="BR114" s="181"/>
      <c r="BS114" s="181"/>
      <c r="BT114" s="181"/>
      <c r="BU114" s="181"/>
      <c r="BV114" s="181"/>
    </row>
    <row r="115" spans="1:75" s="545" customFormat="1" ht="15.75" x14ac:dyDescent="0.25">
      <c r="B115" s="1579"/>
      <c r="C115" s="1097"/>
      <c r="D115" s="1145" t="s">
        <v>104</v>
      </c>
      <c r="E115" s="1147" t="str">
        <f t="shared" si="26"/>
        <v/>
      </c>
      <c r="F115" s="1124"/>
      <c r="G115" s="1703" t="s">
        <v>37</v>
      </c>
      <c r="H115" s="1704" t="s">
        <v>37</v>
      </c>
      <c r="I115" s="1703" t="s">
        <v>37</v>
      </c>
      <c r="J115" s="1705" t="s">
        <v>37</v>
      </c>
      <c r="K115" s="1703" t="s">
        <v>37</v>
      </c>
      <c r="L115" s="1704" t="str">
        <f>IF(L111="No","N","Y")</f>
        <v>Y</v>
      </c>
      <c r="M115" s="1703" t="s">
        <v>37</v>
      </c>
      <c r="N115" s="1704" t="s">
        <v>37</v>
      </c>
      <c r="O115" s="1703" t="s">
        <v>37</v>
      </c>
      <c r="P115" s="1706" t="s">
        <v>37</v>
      </c>
      <c r="Q115" s="1707" t="s">
        <v>37</v>
      </c>
      <c r="R115" s="1704" t="s">
        <v>37</v>
      </c>
      <c r="S115" s="1703" t="s">
        <v>38</v>
      </c>
      <c r="T115" s="1705" t="s">
        <v>38</v>
      </c>
      <c r="U115" s="1703" t="s">
        <v>37</v>
      </c>
      <c r="V115" s="1704" t="s">
        <v>37</v>
      </c>
      <c r="W115" s="1703" t="s">
        <v>38</v>
      </c>
      <c r="X115" s="1650" t="s">
        <v>38</v>
      </c>
      <c r="Y115" s="748" t="s">
        <v>652</v>
      </c>
      <c r="Z115" s="586" t="s">
        <v>981</v>
      </c>
      <c r="AA115" s="1004" t="s">
        <v>37</v>
      </c>
      <c r="AB115" s="1913"/>
      <c r="AC115" s="1125"/>
      <c r="AD115" s="1240"/>
      <c r="AE115" s="1239" t="str">
        <f t="shared" si="22"/>
        <v xml:space="preserve"> (Updates to) </v>
      </c>
      <c r="AF115" s="1239" t="str">
        <f t="shared" si="23"/>
        <v xml:space="preserve"> (Updates to) </v>
      </c>
      <c r="AG115" s="1239" t="str">
        <f t="shared" si="24"/>
        <v xml:space="preserve"> (Updates to) </v>
      </c>
      <c r="AH115" s="1783" t="str">
        <f t="shared" si="25"/>
        <v xml:space="preserve"> (Updates to) </v>
      </c>
      <c r="AI115" s="1765" t="s">
        <v>574</v>
      </c>
      <c r="AJ115" s="1239"/>
      <c r="AK115" s="1239" t="s">
        <v>702</v>
      </c>
      <c r="AL115" s="1095"/>
      <c r="AM115" s="1095"/>
      <c r="AN115" s="1095"/>
      <c r="AO115" s="1095"/>
      <c r="AP115" s="1095"/>
      <c r="AQ115" s="1106"/>
      <c r="AR115" s="1097"/>
      <c r="AS115" s="1097"/>
      <c r="AT115" s="551"/>
      <c r="AU115" s="551"/>
      <c r="AV115" s="551"/>
      <c r="AW115" s="551"/>
      <c r="AX115" s="551"/>
      <c r="AY115" s="551"/>
      <c r="AZ115" s="551"/>
      <c r="BA115" s="551"/>
      <c r="BB115" s="551"/>
      <c r="BC115" s="551"/>
      <c r="BD115" s="551"/>
      <c r="BE115" s="551"/>
      <c r="BF115" s="551"/>
      <c r="BG115" s="551"/>
      <c r="BH115" s="551"/>
      <c r="BI115" s="551"/>
      <c r="BJ115" s="551"/>
      <c r="BK115" s="551"/>
      <c r="BL115" s="551"/>
      <c r="BM115" s="551"/>
      <c r="BN115" s="551"/>
      <c r="BO115" s="551"/>
      <c r="BP115" s="551"/>
      <c r="BQ115" s="551"/>
      <c r="BR115" s="551"/>
      <c r="BS115" s="551"/>
      <c r="BT115" s="551"/>
      <c r="BU115" s="551"/>
      <c r="BV115" s="551"/>
    </row>
    <row r="116" spans="1:75" s="30" customFormat="1" ht="15" customHeight="1" x14ac:dyDescent="0.25">
      <c r="A116" s="545"/>
      <c r="B116" s="1579"/>
      <c r="C116" s="1095"/>
      <c r="D116" s="1145" t="s">
        <v>104</v>
      </c>
      <c r="E116" s="1147" t="str">
        <f t="shared" si="26"/>
        <v>N</v>
      </c>
      <c r="F116" s="1124"/>
      <c r="G116" s="1703" t="s">
        <v>38</v>
      </c>
      <c r="H116" s="1704" t="s">
        <v>38</v>
      </c>
      <c r="I116" s="1703" t="s">
        <v>38</v>
      </c>
      <c r="J116" s="1705" t="s">
        <v>38</v>
      </c>
      <c r="K116" s="1703" t="s">
        <v>38</v>
      </c>
      <c r="L116" s="1704" t="s">
        <v>38</v>
      </c>
      <c r="M116" s="1703" t="s">
        <v>38</v>
      </c>
      <c r="N116" s="1704" t="s">
        <v>38</v>
      </c>
      <c r="O116" s="1703" t="s">
        <v>38</v>
      </c>
      <c r="P116" s="1706" t="s">
        <v>38</v>
      </c>
      <c r="Q116" s="1707" t="s">
        <v>38</v>
      </c>
      <c r="R116" s="1704" t="s">
        <v>38</v>
      </c>
      <c r="S116" s="1703" t="s">
        <v>38</v>
      </c>
      <c r="T116" s="1705" t="s">
        <v>38</v>
      </c>
      <c r="U116" s="1703" t="s">
        <v>38</v>
      </c>
      <c r="V116" s="1704" t="s">
        <v>38</v>
      </c>
      <c r="W116" s="1703" t="s">
        <v>38</v>
      </c>
      <c r="X116" s="815" t="s">
        <v>38</v>
      </c>
      <c r="Y116" s="748" t="s">
        <v>652</v>
      </c>
      <c r="Z116" s="891" t="s">
        <v>295</v>
      </c>
      <c r="AA116" s="972" t="s">
        <v>38</v>
      </c>
      <c r="AB116" s="1914"/>
      <c r="AC116" s="1211"/>
      <c r="AD116" s="1241"/>
      <c r="AE116" s="1239" t="str">
        <f t="shared" si="22"/>
        <v xml:space="preserve"> (Updates to) </v>
      </c>
      <c r="AF116" s="1239" t="str">
        <f t="shared" si="23"/>
        <v xml:space="preserve"> (Updates to) </v>
      </c>
      <c r="AG116" s="1239" t="str">
        <f t="shared" si="24"/>
        <v xml:space="preserve"> (Updates to) </v>
      </c>
      <c r="AH116" s="1782" t="str">
        <f t="shared" si="25"/>
        <v xml:space="preserve"> (Updates to) </v>
      </c>
      <c r="AI116" s="1764" t="s">
        <v>574</v>
      </c>
      <c r="AJ116" s="1238"/>
      <c r="AK116" s="1239" t="s">
        <v>702</v>
      </c>
      <c r="AL116" s="1095"/>
      <c r="AM116" s="1095"/>
      <c r="AN116" s="1095"/>
      <c r="AO116" s="1095"/>
      <c r="AP116" s="1095"/>
      <c r="AQ116" s="1095"/>
      <c r="AR116" s="1095"/>
      <c r="AS116" s="1095"/>
      <c r="AT116" s="181"/>
      <c r="AU116" s="181"/>
      <c r="AV116" s="181"/>
      <c r="AW116" s="181"/>
      <c r="AX116" s="181"/>
      <c r="AY116" s="181"/>
      <c r="AZ116" s="181"/>
      <c r="BA116" s="181"/>
      <c r="BB116" s="181"/>
      <c r="BC116" s="181"/>
      <c r="BD116" s="181"/>
      <c r="BE116" s="181"/>
      <c r="BF116" s="181"/>
      <c r="BG116" s="181"/>
      <c r="BH116" s="181"/>
      <c r="BI116" s="181"/>
      <c r="BJ116" s="181"/>
      <c r="BK116" s="181"/>
      <c r="BL116" s="181"/>
      <c r="BM116" s="181"/>
      <c r="BN116" s="181"/>
      <c r="BO116" s="181"/>
      <c r="BP116" s="181"/>
      <c r="BQ116" s="181"/>
      <c r="BR116" s="181"/>
      <c r="BS116" s="181"/>
      <c r="BT116" s="181"/>
      <c r="BU116" s="181"/>
      <c r="BV116" s="181"/>
    </row>
    <row r="117" spans="1:75" s="30" customFormat="1" ht="15.75" x14ac:dyDescent="0.25">
      <c r="A117" s="545"/>
      <c r="B117" s="1579"/>
      <c r="C117" s="1097"/>
      <c r="D117" s="1145" t="s">
        <v>104</v>
      </c>
      <c r="E117" s="1147" t="str">
        <f t="shared" si="26"/>
        <v/>
      </c>
      <c r="F117" s="1124"/>
      <c r="G117" s="1703" t="s">
        <v>37</v>
      </c>
      <c r="H117" s="1704" t="s">
        <v>37</v>
      </c>
      <c r="I117" s="1703" t="s">
        <v>37</v>
      </c>
      <c r="J117" s="1705" t="s">
        <v>37</v>
      </c>
      <c r="K117" s="1703" t="s">
        <v>37</v>
      </c>
      <c r="L117" s="1704" t="str">
        <f>IF(L105="No","N","Y")</f>
        <v>Y</v>
      </c>
      <c r="M117" s="1703" t="s">
        <v>37</v>
      </c>
      <c r="N117" s="1704" t="s">
        <v>37</v>
      </c>
      <c r="O117" s="1703" t="s">
        <v>37</v>
      </c>
      <c r="P117" s="1706" t="s">
        <v>37</v>
      </c>
      <c r="Q117" s="1707" t="s">
        <v>37</v>
      </c>
      <c r="R117" s="1704" t="s">
        <v>37</v>
      </c>
      <c r="S117" s="1703" t="s">
        <v>38</v>
      </c>
      <c r="T117" s="1705" t="s">
        <v>38</v>
      </c>
      <c r="U117" s="1703" t="s">
        <v>37</v>
      </c>
      <c r="V117" s="1704" t="s">
        <v>37</v>
      </c>
      <c r="W117" s="1703" t="s">
        <v>38</v>
      </c>
      <c r="X117" s="815" t="s">
        <v>38</v>
      </c>
      <c r="Y117" s="748" t="s">
        <v>652</v>
      </c>
      <c r="Z117" s="586" t="s">
        <v>287</v>
      </c>
      <c r="AA117" s="972" t="s">
        <v>38</v>
      </c>
      <c r="AB117" s="1913"/>
      <c r="AC117" s="1125"/>
      <c r="AD117" s="1240"/>
      <c r="AE117" s="1239" t="str">
        <f t="shared" si="22"/>
        <v xml:space="preserve"> (Updates to) </v>
      </c>
      <c r="AF117" s="1239" t="str">
        <f t="shared" si="23"/>
        <v xml:space="preserve"> (Updates to) </v>
      </c>
      <c r="AG117" s="1239" t="str">
        <f t="shared" si="24"/>
        <v xml:space="preserve"> (Updates to) </v>
      </c>
      <c r="AH117" s="1783" t="str">
        <f t="shared" si="25"/>
        <v xml:space="preserve"> (Updates to) </v>
      </c>
      <c r="AI117" s="1765" t="s">
        <v>574</v>
      </c>
      <c r="AJ117" s="1239"/>
      <c r="AK117" s="1239" t="s">
        <v>702</v>
      </c>
      <c r="AL117" s="1095"/>
      <c r="AM117" s="1095"/>
      <c r="AN117" s="1095"/>
      <c r="AO117" s="1095"/>
      <c r="AP117" s="1095"/>
      <c r="AQ117" s="1106"/>
      <c r="AR117" s="1097"/>
      <c r="AS117" s="1097"/>
      <c r="AT117" s="181"/>
      <c r="AU117" s="181"/>
      <c r="AV117" s="181"/>
      <c r="AW117" s="181"/>
      <c r="AX117" s="181"/>
      <c r="AY117" s="181"/>
      <c r="AZ117" s="181"/>
      <c r="BA117" s="181"/>
      <c r="BB117" s="181"/>
      <c r="BC117" s="181"/>
      <c r="BD117" s="181"/>
      <c r="BE117" s="181"/>
      <c r="BF117" s="181"/>
      <c r="BG117" s="181"/>
      <c r="BH117" s="181"/>
      <c r="BI117" s="181"/>
      <c r="BJ117" s="181"/>
      <c r="BK117" s="181"/>
      <c r="BL117" s="181"/>
      <c r="BM117" s="181"/>
      <c r="BN117" s="181"/>
      <c r="BO117" s="181"/>
      <c r="BP117" s="181"/>
      <c r="BQ117" s="181"/>
      <c r="BR117" s="181"/>
      <c r="BS117" s="181"/>
      <c r="BT117" s="181"/>
      <c r="BU117" s="181"/>
      <c r="BV117" s="181"/>
    </row>
    <row r="118" spans="1:75" s="545" customFormat="1" ht="15.75" x14ac:dyDescent="0.25">
      <c r="B118" s="1579"/>
      <c r="C118" s="1097"/>
      <c r="D118" s="1145" t="s">
        <v>104</v>
      </c>
      <c r="E118" s="1147" t="str">
        <f t="shared" ref="E118" si="28">IF(Z118="","",IF(OR(AND(OR(G118="Y",G118="?"),_00_apply="Yes"),AND(OR(I118="Y",I118="?"),_01_apply="Yes"),AND(OR(K118="Y",K118="?"),_02_apply="Yes"),AND(OR(M118="Y",M118="?"),_03_apply="Yes"),AND(OR(O118="Y",O118="?"),_04_apply="Yes"),AND(OR(Q118="Y",Q118="?"),_05_apply="Yes"),AND(OR(S118="?",S118="Y"),_06_apply="Yes"),AND(OR(U118="?",U118="Y"),_07_apply="Yes"),AND(OR(W118="Y",W118="?"),_08_apply="Yes")),"","N"))</f>
        <v/>
      </c>
      <c r="F118" s="1124"/>
      <c r="G118" s="1703" t="s">
        <v>37</v>
      </c>
      <c r="H118" s="1704" t="s">
        <v>37</v>
      </c>
      <c r="I118" s="1703" t="s">
        <v>37</v>
      </c>
      <c r="J118" s="1705" t="s">
        <v>37</v>
      </c>
      <c r="K118" s="1703" t="s">
        <v>37</v>
      </c>
      <c r="L118" s="1704" t="str">
        <f>IF(L114="No","N","Y")</f>
        <v>Y</v>
      </c>
      <c r="M118" s="1703" t="s">
        <v>37</v>
      </c>
      <c r="N118" s="1704" t="s">
        <v>37</v>
      </c>
      <c r="O118" s="1703" t="s">
        <v>37</v>
      </c>
      <c r="P118" s="1706" t="s">
        <v>37</v>
      </c>
      <c r="Q118" s="1707" t="s">
        <v>37</v>
      </c>
      <c r="R118" s="1704" t="s">
        <v>37</v>
      </c>
      <c r="S118" s="1703" t="s">
        <v>38</v>
      </c>
      <c r="T118" s="1705" t="s">
        <v>38</v>
      </c>
      <c r="U118" s="1703" t="s">
        <v>37</v>
      </c>
      <c r="V118" s="1704" t="s">
        <v>37</v>
      </c>
      <c r="W118" s="1703" t="s">
        <v>38</v>
      </c>
      <c r="X118" s="1650" t="s">
        <v>38</v>
      </c>
      <c r="Y118" s="748" t="s">
        <v>652</v>
      </c>
      <c r="Z118" s="586" t="s">
        <v>982</v>
      </c>
      <c r="AA118" s="1004" t="s">
        <v>37</v>
      </c>
      <c r="AB118" s="1913"/>
      <c r="AC118" s="1125"/>
      <c r="AD118" s="1240"/>
      <c r="AE118" s="1239" t="str">
        <f t="shared" si="22"/>
        <v xml:space="preserve"> (Updates to) </v>
      </c>
      <c r="AF118" s="1239" t="str">
        <f t="shared" si="23"/>
        <v xml:space="preserve"> (Updates to) </v>
      </c>
      <c r="AG118" s="1239" t="str">
        <f t="shared" si="24"/>
        <v xml:space="preserve"> (Updates to) </v>
      </c>
      <c r="AH118" s="1783" t="str">
        <f t="shared" si="25"/>
        <v xml:space="preserve"> (Updates to) </v>
      </c>
      <c r="AI118" s="1765" t="s">
        <v>574</v>
      </c>
      <c r="AJ118" s="1239"/>
      <c r="AK118" s="1239" t="s">
        <v>702</v>
      </c>
      <c r="AL118" s="1095"/>
      <c r="AM118" s="1095"/>
      <c r="AN118" s="1095"/>
      <c r="AO118" s="1095"/>
      <c r="AP118" s="1095"/>
      <c r="AQ118" s="1106"/>
      <c r="AR118" s="1097"/>
      <c r="AS118" s="1097"/>
      <c r="AT118" s="551"/>
      <c r="AU118" s="551"/>
      <c r="AV118" s="551"/>
      <c r="AW118" s="551"/>
      <c r="AX118" s="551"/>
      <c r="AY118" s="551"/>
      <c r="AZ118" s="551"/>
      <c r="BA118" s="551"/>
      <c r="BB118" s="551"/>
      <c r="BC118" s="551"/>
      <c r="BD118" s="551"/>
      <c r="BE118" s="551"/>
      <c r="BF118" s="551"/>
      <c r="BG118" s="551"/>
      <c r="BH118" s="551"/>
      <c r="BI118" s="551"/>
      <c r="BJ118" s="551"/>
      <c r="BK118" s="551"/>
      <c r="BL118" s="551"/>
      <c r="BM118" s="551"/>
      <c r="BN118" s="551"/>
      <c r="BO118" s="551"/>
      <c r="BP118" s="551"/>
      <c r="BQ118" s="551"/>
      <c r="BR118" s="551"/>
      <c r="BS118" s="551"/>
      <c r="BT118" s="551"/>
      <c r="BU118" s="551"/>
      <c r="BV118" s="551"/>
    </row>
    <row r="119" spans="1:75" s="30" customFormat="1" ht="15.75" x14ac:dyDescent="0.25">
      <c r="A119" s="545"/>
      <c r="B119" s="1579"/>
      <c r="C119" s="1097"/>
      <c r="D119" s="1145" t="s">
        <v>104</v>
      </c>
      <c r="E119" s="1147" t="str">
        <f t="shared" si="26"/>
        <v>N</v>
      </c>
      <c r="F119" s="1124"/>
      <c r="G119" s="1703" t="s">
        <v>38</v>
      </c>
      <c r="H119" s="1704" t="s">
        <v>38</v>
      </c>
      <c r="I119" s="1703" t="s">
        <v>38</v>
      </c>
      <c r="J119" s="1705" t="s">
        <v>38</v>
      </c>
      <c r="K119" s="1703" t="s">
        <v>38</v>
      </c>
      <c r="L119" s="1704" t="s">
        <v>38</v>
      </c>
      <c r="M119" s="1703" t="s">
        <v>38</v>
      </c>
      <c r="N119" s="1704" t="s">
        <v>38</v>
      </c>
      <c r="O119" s="1703" t="s">
        <v>38</v>
      </c>
      <c r="P119" s="1706" t="s">
        <v>38</v>
      </c>
      <c r="Q119" s="1707" t="s">
        <v>38</v>
      </c>
      <c r="R119" s="1704" t="s">
        <v>38</v>
      </c>
      <c r="S119" s="1703" t="s">
        <v>38</v>
      </c>
      <c r="T119" s="1705" t="s">
        <v>38</v>
      </c>
      <c r="U119" s="1703" t="s">
        <v>38</v>
      </c>
      <c r="V119" s="1704" t="s">
        <v>38</v>
      </c>
      <c r="W119" s="1703" t="s">
        <v>38</v>
      </c>
      <c r="X119" s="815" t="s">
        <v>38</v>
      </c>
      <c r="Y119" s="748" t="s">
        <v>652</v>
      </c>
      <c r="Z119" s="891" t="s">
        <v>293</v>
      </c>
      <c r="AA119" s="972" t="s">
        <v>38</v>
      </c>
      <c r="AB119" s="1913"/>
      <c r="AC119" s="1125"/>
      <c r="AD119" s="1240"/>
      <c r="AE119" s="1239" t="str">
        <f t="shared" si="22"/>
        <v xml:space="preserve"> (Updates to) </v>
      </c>
      <c r="AF119" s="1239" t="str">
        <f t="shared" si="23"/>
        <v xml:space="preserve"> (Updates to) </v>
      </c>
      <c r="AG119" s="1239" t="str">
        <f t="shared" si="24"/>
        <v xml:space="preserve"> (Updates to) </v>
      </c>
      <c r="AH119" s="1783" t="str">
        <f t="shared" si="25"/>
        <v xml:space="preserve"> (Updates to) </v>
      </c>
      <c r="AI119" s="1765" t="s">
        <v>574</v>
      </c>
      <c r="AJ119" s="1239"/>
      <c r="AK119" s="1239" t="s">
        <v>702</v>
      </c>
      <c r="AL119" s="1095"/>
      <c r="AM119" s="1095"/>
      <c r="AN119" s="1095"/>
      <c r="AO119" s="1095"/>
      <c r="AP119" s="1095"/>
      <c r="AQ119" s="1106"/>
      <c r="AR119" s="1097"/>
      <c r="AS119" s="1097"/>
      <c r="AT119" s="181"/>
      <c r="AU119" s="181"/>
      <c r="AV119" s="181"/>
      <c r="AW119" s="181"/>
      <c r="AX119" s="181"/>
      <c r="AY119" s="181"/>
      <c r="AZ119" s="181"/>
      <c r="BA119" s="181"/>
      <c r="BB119" s="181"/>
      <c r="BC119" s="181"/>
      <c r="BD119" s="181"/>
      <c r="BE119" s="181"/>
      <c r="BF119" s="181"/>
      <c r="BG119" s="181"/>
      <c r="BH119" s="181"/>
      <c r="BI119" s="181"/>
      <c r="BJ119" s="181"/>
      <c r="BK119" s="181"/>
      <c r="BL119" s="181"/>
      <c r="BM119" s="181"/>
      <c r="BN119" s="181"/>
      <c r="BO119" s="181"/>
      <c r="BP119" s="181"/>
      <c r="BQ119" s="181"/>
      <c r="BR119" s="181"/>
      <c r="BS119" s="181"/>
      <c r="BT119" s="181"/>
      <c r="BU119" s="181"/>
      <c r="BV119" s="181"/>
    </row>
    <row r="120" spans="1:75" s="30" customFormat="1" ht="15.75" x14ac:dyDescent="0.25">
      <c r="A120" s="545"/>
      <c r="B120" s="1579"/>
      <c r="C120" s="1097"/>
      <c r="D120" s="1145" t="s">
        <v>104</v>
      </c>
      <c r="E120" s="1147" t="str">
        <f t="shared" si="26"/>
        <v/>
      </c>
      <c r="F120" s="1124"/>
      <c r="G120" s="1703" t="s">
        <v>37</v>
      </c>
      <c r="H120" s="1704" t="s">
        <v>37</v>
      </c>
      <c r="I120" s="1703" t="s">
        <v>37</v>
      </c>
      <c r="J120" s="1705" t="s">
        <v>37</v>
      </c>
      <c r="K120" s="1703" t="s">
        <v>37</v>
      </c>
      <c r="L120" s="1704" t="str">
        <f>IF(L107="No","N","Y")</f>
        <v>Y</v>
      </c>
      <c r="M120" s="1703" t="s">
        <v>37</v>
      </c>
      <c r="N120" s="1704" t="s">
        <v>37</v>
      </c>
      <c r="O120" s="1703" t="s">
        <v>37</v>
      </c>
      <c r="P120" s="1706" t="s">
        <v>37</v>
      </c>
      <c r="Q120" s="1707" t="s">
        <v>37</v>
      </c>
      <c r="R120" s="1704" t="s">
        <v>37</v>
      </c>
      <c r="S120" s="1703" t="s">
        <v>38</v>
      </c>
      <c r="T120" s="1705" t="s">
        <v>38</v>
      </c>
      <c r="U120" s="1703" t="s">
        <v>37</v>
      </c>
      <c r="V120" s="1704" t="s">
        <v>37</v>
      </c>
      <c r="W120" s="1703" t="s">
        <v>38</v>
      </c>
      <c r="X120" s="815" t="s">
        <v>38</v>
      </c>
      <c r="Y120" s="748" t="s">
        <v>652</v>
      </c>
      <c r="Z120" s="586" t="s">
        <v>285</v>
      </c>
      <c r="AA120" s="972" t="s">
        <v>38</v>
      </c>
      <c r="AB120" s="1913"/>
      <c r="AC120" s="1125"/>
      <c r="AD120" s="1240"/>
      <c r="AE120" s="1239" t="str">
        <f t="shared" si="22"/>
        <v xml:space="preserve"> (Updates to) </v>
      </c>
      <c r="AF120" s="1239" t="str">
        <f t="shared" si="23"/>
        <v xml:space="preserve"> (Updates to) </v>
      </c>
      <c r="AG120" s="1239" t="str">
        <f t="shared" si="24"/>
        <v xml:space="preserve"> (Updates to) </v>
      </c>
      <c r="AH120" s="1783" t="str">
        <f t="shared" si="25"/>
        <v xml:space="preserve"> (Updates to) </v>
      </c>
      <c r="AI120" s="1765" t="s">
        <v>574</v>
      </c>
      <c r="AJ120" s="1239"/>
      <c r="AK120" s="1239" t="s">
        <v>702</v>
      </c>
      <c r="AL120" s="1095"/>
      <c r="AM120" s="1095"/>
      <c r="AN120" s="1095"/>
      <c r="AO120" s="1095"/>
      <c r="AP120" s="1095"/>
      <c r="AQ120" s="1106"/>
      <c r="AR120" s="1097"/>
      <c r="AS120" s="1097"/>
      <c r="AT120" s="181"/>
      <c r="AU120" s="181"/>
      <c r="AV120" s="181"/>
      <c r="AW120" s="181"/>
      <c r="AX120" s="181"/>
      <c r="AY120" s="181"/>
      <c r="AZ120" s="181"/>
      <c r="BA120" s="181"/>
      <c r="BB120" s="181"/>
      <c r="BC120" s="181"/>
      <c r="BD120" s="181"/>
      <c r="BE120" s="181"/>
      <c r="BF120" s="181"/>
      <c r="BG120" s="181"/>
      <c r="BH120" s="181"/>
      <c r="BI120" s="181"/>
      <c r="BJ120" s="181"/>
      <c r="BK120" s="181"/>
      <c r="BL120" s="181"/>
      <c r="BM120" s="181"/>
      <c r="BN120" s="181"/>
      <c r="BO120" s="181"/>
      <c r="BP120" s="181"/>
      <c r="BQ120" s="181"/>
      <c r="BR120" s="181"/>
      <c r="BS120" s="181"/>
      <c r="BT120" s="181"/>
      <c r="BU120" s="181"/>
      <c r="BV120" s="181"/>
    </row>
    <row r="121" spans="1:75" s="545" customFormat="1" ht="15.75" x14ac:dyDescent="0.25">
      <c r="B121" s="1579"/>
      <c r="C121" s="1097"/>
      <c r="D121" s="1145" t="s">
        <v>104</v>
      </c>
      <c r="E121" s="1147" t="str">
        <f t="shared" si="26"/>
        <v/>
      </c>
      <c r="F121" s="1124"/>
      <c r="G121" s="1703" t="s">
        <v>37</v>
      </c>
      <c r="H121" s="1704" t="s">
        <v>37</v>
      </c>
      <c r="I121" s="1703" t="s">
        <v>37</v>
      </c>
      <c r="J121" s="1705" t="s">
        <v>37</v>
      </c>
      <c r="K121" s="1703" t="s">
        <v>37</v>
      </c>
      <c r="L121" s="1704" t="str">
        <f>IF(L117="No","N","Y")</f>
        <v>Y</v>
      </c>
      <c r="M121" s="1703" t="s">
        <v>37</v>
      </c>
      <c r="N121" s="1704" t="s">
        <v>37</v>
      </c>
      <c r="O121" s="1703" t="s">
        <v>37</v>
      </c>
      <c r="P121" s="1706" t="s">
        <v>37</v>
      </c>
      <c r="Q121" s="1707" t="s">
        <v>37</v>
      </c>
      <c r="R121" s="1704" t="s">
        <v>37</v>
      </c>
      <c r="S121" s="1703" t="s">
        <v>38</v>
      </c>
      <c r="T121" s="1705" t="s">
        <v>38</v>
      </c>
      <c r="U121" s="1703" t="s">
        <v>37</v>
      </c>
      <c r="V121" s="1704" t="s">
        <v>37</v>
      </c>
      <c r="W121" s="1703" t="s">
        <v>38</v>
      </c>
      <c r="X121" s="1650" t="s">
        <v>38</v>
      </c>
      <c r="Y121" s="748" t="s">
        <v>652</v>
      </c>
      <c r="Z121" s="586" t="s">
        <v>983</v>
      </c>
      <c r="AA121" s="1004" t="s">
        <v>37</v>
      </c>
      <c r="AB121" s="1913"/>
      <c r="AC121" s="1125"/>
      <c r="AD121" s="1240"/>
      <c r="AE121" s="1239" t="str">
        <f t="shared" si="22"/>
        <v xml:space="preserve"> (Updates to) </v>
      </c>
      <c r="AF121" s="1239" t="str">
        <f t="shared" si="23"/>
        <v xml:space="preserve"> (Updates to) </v>
      </c>
      <c r="AG121" s="1239" t="str">
        <f t="shared" si="24"/>
        <v xml:space="preserve"> (Updates to) </v>
      </c>
      <c r="AH121" s="1783" t="str">
        <f t="shared" si="25"/>
        <v xml:space="preserve"> (Updates to) </v>
      </c>
      <c r="AI121" s="1765" t="s">
        <v>574</v>
      </c>
      <c r="AJ121" s="1239"/>
      <c r="AK121" s="1239" t="s">
        <v>702</v>
      </c>
      <c r="AL121" s="1095"/>
      <c r="AM121" s="1095"/>
      <c r="AN121" s="1095"/>
      <c r="AO121" s="1095"/>
      <c r="AP121" s="1095"/>
      <c r="AQ121" s="1106"/>
      <c r="AR121" s="1097"/>
      <c r="AS121" s="1097"/>
      <c r="AT121" s="551"/>
      <c r="AU121" s="551"/>
      <c r="AV121" s="551"/>
      <c r="AW121" s="551"/>
      <c r="AX121" s="551"/>
      <c r="AY121" s="551"/>
      <c r="AZ121" s="551"/>
      <c r="BA121" s="551"/>
      <c r="BB121" s="551"/>
      <c r="BC121" s="551"/>
      <c r="BD121" s="551"/>
      <c r="BE121" s="551"/>
      <c r="BF121" s="551"/>
      <c r="BG121" s="551"/>
      <c r="BH121" s="551"/>
      <c r="BI121" s="551"/>
      <c r="BJ121" s="551"/>
      <c r="BK121" s="551"/>
      <c r="BL121" s="551"/>
      <c r="BM121" s="551"/>
      <c r="BN121" s="551"/>
      <c r="BO121" s="551"/>
      <c r="BP121" s="551"/>
      <c r="BQ121" s="551"/>
      <c r="BR121" s="551"/>
      <c r="BS121" s="551"/>
      <c r="BT121" s="551"/>
      <c r="BU121" s="551"/>
      <c r="BV121" s="551"/>
    </row>
    <row r="122" spans="1:75" s="30" customFormat="1" ht="15.75" x14ac:dyDescent="0.25">
      <c r="A122" s="545"/>
      <c r="B122" s="1579"/>
      <c r="C122" s="1097"/>
      <c r="D122" s="1145" t="s">
        <v>104</v>
      </c>
      <c r="E122" s="1147" t="str">
        <f t="shared" si="26"/>
        <v>N</v>
      </c>
      <c r="F122" s="1124"/>
      <c r="G122" s="1703" t="s">
        <v>38</v>
      </c>
      <c r="H122" s="1704" t="s">
        <v>38</v>
      </c>
      <c r="I122" s="1703" t="s">
        <v>38</v>
      </c>
      <c r="J122" s="1705" t="s">
        <v>38</v>
      </c>
      <c r="K122" s="1703" t="s">
        <v>38</v>
      </c>
      <c r="L122" s="1704" t="s">
        <v>38</v>
      </c>
      <c r="M122" s="1703" t="s">
        <v>38</v>
      </c>
      <c r="N122" s="1704" t="s">
        <v>38</v>
      </c>
      <c r="O122" s="1703" t="s">
        <v>38</v>
      </c>
      <c r="P122" s="1706" t="s">
        <v>38</v>
      </c>
      <c r="Q122" s="1707" t="s">
        <v>38</v>
      </c>
      <c r="R122" s="1704" t="s">
        <v>38</v>
      </c>
      <c r="S122" s="1703" t="s">
        <v>38</v>
      </c>
      <c r="T122" s="1705" t="s">
        <v>38</v>
      </c>
      <c r="U122" s="1703" t="s">
        <v>38</v>
      </c>
      <c r="V122" s="1704" t="s">
        <v>38</v>
      </c>
      <c r="W122" s="1703" t="s">
        <v>38</v>
      </c>
      <c r="X122" s="815" t="s">
        <v>38</v>
      </c>
      <c r="Y122" s="748" t="s">
        <v>652</v>
      </c>
      <c r="Z122" s="891" t="s">
        <v>294</v>
      </c>
      <c r="AA122" s="972" t="s">
        <v>38</v>
      </c>
      <c r="AB122" s="1913"/>
      <c r="AC122" s="1125"/>
      <c r="AD122" s="1240"/>
      <c r="AE122" s="1239" t="str">
        <f t="shared" si="22"/>
        <v xml:space="preserve"> (Updates to) </v>
      </c>
      <c r="AF122" s="1239" t="str">
        <f t="shared" si="23"/>
        <v xml:space="preserve"> (Updates to) </v>
      </c>
      <c r="AG122" s="1239" t="str">
        <f t="shared" si="24"/>
        <v xml:space="preserve"> (Updates to) </v>
      </c>
      <c r="AH122" s="1783" t="str">
        <f t="shared" si="25"/>
        <v xml:space="preserve"> (Updates to) </v>
      </c>
      <c r="AI122" s="1765" t="s">
        <v>574</v>
      </c>
      <c r="AJ122" s="1239"/>
      <c r="AK122" s="1239" t="s">
        <v>702</v>
      </c>
      <c r="AL122" s="1095"/>
      <c r="AM122" s="1095"/>
      <c r="AN122" s="1095"/>
      <c r="AO122" s="1095"/>
      <c r="AP122" s="1095"/>
      <c r="AQ122" s="1106"/>
      <c r="AR122" s="1097"/>
      <c r="AS122" s="1097"/>
      <c r="AT122" s="181"/>
      <c r="AU122" s="181"/>
      <c r="AV122" s="181"/>
      <c r="AW122" s="181"/>
      <c r="AX122" s="181"/>
      <c r="AY122" s="181"/>
      <c r="AZ122" s="181"/>
      <c r="BA122" s="181"/>
      <c r="BB122" s="181"/>
      <c r="BC122" s="181"/>
      <c r="BD122" s="181"/>
      <c r="BE122" s="181"/>
      <c r="BF122" s="181"/>
      <c r="BG122" s="181"/>
      <c r="BH122" s="181"/>
      <c r="BI122" s="181"/>
      <c r="BJ122" s="181"/>
      <c r="BK122" s="181"/>
      <c r="BL122" s="181"/>
      <c r="BM122" s="181"/>
      <c r="BN122" s="181"/>
      <c r="BO122" s="181"/>
      <c r="BP122" s="181"/>
      <c r="BQ122" s="181"/>
      <c r="BR122" s="181"/>
      <c r="BS122" s="181"/>
      <c r="BT122" s="181"/>
      <c r="BU122" s="181"/>
      <c r="BV122" s="181"/>
    </row>
    <row r="123" spans="1:75" s="30" customFormat="1" ht="15" customHeight="1" x14ac:dyDescent="0.25">
      <c r="A123" s="545"/>
      <c r="B123" s="1579"/>
      <c r="C123" s="1095"/>
      <c r="D123" s="1145" t="s">
        <v>104</v>
      </c>
      <c r="E123" s="1147" t="str">
        <f t="shared" si="26"/>
        <v>N</v>
      </c>
      <c r="F123" s="1124"/>
      <c r="G123" s="1703" t="s">
        <v>38</v>
      </c>
      <c r="H123" s="1704" t="s">
        <v>38</v>
      </c>
      <c r="I123" s="1703" t="s">
        <v>38</v>
      </c>
      <c r="J123" s="1705" t="s">
        <v>38</v>
      </c>
      <c r="K123" s="1703" t="s">
        <v>38</v>
      </c>
      <c r="L123" s="1704" t="s">
        <v>38</v>
      </c>
      <c r="M123" s="1703" t="s">
        <v>38</v>
      </c>
      <c r="N123" s="1704" t="s">
        <v>38</v>
      </c>
      <c r="O123" s="1703" t="s">
        <v>38</v>
      </c>
      <c r="P123" s="1706" t="s">
        <v>38</v>
      </c>
      <c r="Q123" s="1707" t="s">
        <v>38</v>
      </c>
      <c r="R123" s="1704" t="s">
        <v>38</v>
      </c>
      <c r="S123" s="1703" t="s">
        <v>38</v>
      </c>
      <c r="T123" s="1705" t="s">
        <v>38</v>
      </c>
      <c r="U123" s="1703" t="s">
        <v>38</v>
      </c>
      <c r="V123" s="1704" t="s">
        <v>38</v>
      </c>
      <c r="W123" s="1703" t="s">
        <v>38</v>
      </c>
      <c r="X123" s="815" t="s">
        <v>38</v>
      </c>
      <c r="Y123" s="748" t="s">
        <v>652</v>
      </c>
      <c r="Z123" s="891" t="s">
        <v>478</v>
      </c>
      <c r="AA123" s="972" t="s">
        <v>38</v>
      </c>
      <c r="AB123" s="1914"/>
      <c r="AC123" s="1211"/>
      <c r="AD123" s="1241"/>
      <c r="AE123" s="1239" t="str">
        <f t="shared" si="22"/>
        <v xml:space="preserve"> (Updates to) </v>
      </c>
      <c r="AF123" s="1239" t="str">
        <f t="shared" si="23"/>
        <v xml:space="preserve"> (Updates to) </v>
      </c>
      <c r="AG123" s="1239" t="str">
        <f t="shared" si="24"/>
        <v xml:space="preserve"> (Updates to) </v>
      </c>
      <c r="AH123" s="1782" t="str">
        <f t="shared" si="25"/>
        <v xml:space="preserve"> (Updates to) </v>
      </c>
      <c r="AI123" s="1764" t="s">
        <v>574</v>
      </c>
      <c r="AJ123" s="1238"/>
      <c r="AK123" s="1239" t="s">
        <v>702</v>
      </c>
      <c r="AL123" s="1095"/>
      <c r="AM123" s="1095"/>
      <c r="AN123" s="1095"/>
      <c r="AO123" s="1095"/>
      <c r="AP123" s="1095"/>
      <c r="AQ123" s="1095"/>
      <c r="AR123" s="1095"/>
      <c r="AS123" s="1095"/>
      <c r="AT123" s="181"/>
      <c r="AU123" s="181"/>
      <c r="AV123" s="181"/>
      <c r="AW123" s="181"/>
      <c r="AX123" s="181"/>
      <c r="AY123" s="181"/>
      <c r="AZ123" s="181"/>
      <c r="BA123" s="181"/>
      <c r="BB123" s="181"/>
      <c r="BC123" s="181"/>
      <c r="BD123" s="181"/>
      <c r="BE123" s="181"/>
      <c r="BF123" s="181"/>
      <c r="BG123" s="181"/>
      <c r="BH123" s="181"/>
      <c r="BI123" s="181"/>
      <c r="BJ123" s="181"/>
      <c r="BK123" s="181"/>
      <c r="BL123" s="181"/>
      <c r="BM123" s="181"/>
      <c r="BN123" s="181"/>
      <c r="BO123" s="181"/>
      <c r="BP123" s="181"/>
      <c r="BQ123" s="181"/>
      <c r="BR123" s="181"/>
      <c r="BS123" s="181"/>
      <c r="BT123" s="181"/>
      <c r="BU123" s="181"/>
      <c r="BV123" s="181"/>
    </row>
    <row r="124" spans="1:75" s="30" customFormat="1" ht="15" customHeight="1" x14ac:dyDescent="0.25">
      <c r="A124" s="545"/>
      <c r="B124" s="1579"/>
      <c r="C124" s="1095"/>
      <c r="D124" s="1145" t="s">
        <v>104</v>
      </c>
      <c r="E124" s="1147" t="str">
        <f t="shared" si="26"/>
        <v>N</v>
      </c>
      <c r="F124" s="1124"/>
      <c r="G124" s="1703" t="s">
        <v>38</v>
      </c>
      <c r="H124" s="1704" t="s">
        <v>38</v>
      </c>
      <c r="I124" s="1703" t="s">
        <v>38</v>
      </c>
      <c r="J124" s="1705" t="s">
        <v>38</v>
      </c>
      <c r="K124" s="1703" t="s">
        <v>38</v>
      </c>
      <c r="L124" s="1704" t="s">
        <v>38</v>
      </c>
      <c r="M124" s="1703" t="s">
        <v>38</v>
      </c>
      <c r="N124" s="1704" t="s">
        <v>38</v>
      </c>
      <c r="O124" s="1703" t="s">
        <v>38</v>
      </c>
      <c r="P124" s="1706" t="s">
        <v>38</v>
      </c>
      <c r="Q124" s="1707" t="s">
        <v>38</v>
      </c>
      <c r="R124" s="1704" t="s">
        <v>38</v>
      </c>
      <c r="S124" s="1703" t="s">
        <v>38</v>
      </c>
      <c r="T124" s="1705" t="s">
        <v>38</v>
      </c>
      <c r="U124" s="1703" t="s">
        <v>38</v>
      </c>
      <c r="V124" s="1704" t="s">
        <v>38</v>
      </c>
      <c r="W124" s="1703" t="s">
        <v>38</v>
      </c>
      <c r="X124" s="815" t="s">
        <v>38</v>
      </c>
      <c r="Y124" s="748" t="s">
        <v>652</v>
      </c>
      <c r="Z124" s="891" t="s">
        <v>478</v>
      </c>
      <c r="AA124" s="972" t="s">
        <v>38</v>
      </c>
      <c r="AB124" s="1914"/>
      <c r="AC124" s="1211"/>
      <c r="AD124" s="1241"/>
      <c r="AE124" s="1239" t="str">
        <f t="shared" si="22"/>
        <v xml:space="preserve"> (Updates to) </v>
      </c>
      <c r="AF124" s="1239" t="str">
        <f t="shared" si="23"/>
        <v xml:space="preserve"> (Updates to) </v>
      </c>
      <c r="AG124" s="1239" t="str">
        <f t="shared" si="24"/>
        <v xml:space="preserve"> (Updates to) </v>
      </c>
      <c r="AH124" s="1782" t="str">
        <f t="shared" si="25"/>
        <v xml:space="preserve"> (Updates to) </v>
      </c>
      <c r="AI124" s="1764" t="s">
        <v>574</v>
      </c>
      <c r="AJ124" s="1238"/>
      <c r="AK124" s="1239" t="s">
        <v>702</v>
      </c>
      <c r="AL124" s="1095"/>
      <c r="AM124" s="1095"/>
      <c r="AN124" s="1095"/>
      <c r="AO124" s="1095"/>
      <c r="AP124" s="1095"/>
      <c r="AQ124" s="1095"/>
      <c r="AR124" s="1095"/>
      <c r="AS124" s="1095"/>
      <c r="AT124" s="181"/>
      <c r="AU124" s="181"/>
      <c r="AV124" s="181"/>
      <c r="AW124" s="181"/>
      <c r="AX124" s="181"/>
      <c r="AY124" s="181"/>
      <c r="AZ124" s="181"/>
      <c r="BA124" s="181"/>
      <c r="BB124" s="181"/>
      <c r="BC124" s="181"/>
      <c r="BD124" s="181"/>
      <c r="BE124" s="181"/>
      <c r="BF124" s="181"/>
      <c r="BG124" s="181"/>
      <c r="BH124" s="181"/>
      <c r="BI124" s="181"/>
      <c r="BJ124" s="181"/>
      <c r="BK124" s="181"/>
      <c r="BL124" s="181"/>
      <c r="BM124" s="181"/>
      <c r="BN124" s="181"/>
      <c r="BO124" s="181"/>
      <c r="BP124" s="181"/>
      <c r="BQ124" s="181"/>
      <c r="BR124" s="181"/>
      <c r="BS124" s="181"/>
      <c r="BT124" s="181"/>
      <c r="BU124" s="181"/>
      <c r="BV124" s="181"/>
    </row>
    <row r="125" spans="1:75" s="181" customFormat="1" ht="15.75" x14ac:dyDescent="0.25">
      <c r="A125" s="551"/>
      <c r="B125" s="1578"/>
      <c r="C125" s="1095"/>
      <c r="D125" s="1145"/>
      <c r="E125" s="1148" t="str">
        <f t="shared" si="26"/>
        <v/>
      </c>
      <c r="F125" s="1166"/>
      <c r="G125" s="1708" t="s">
        <v>208</v>
      </c>
      <c r="H125" s="1709" t="s">
        <v>208</v>
      </c>
      <c r="I125" s="1708" t="s">
        <v>208</v>
      </c>
      <c r="J125" s="1710" t="s">
        <v>208</v>
      </c>
      <c r="K125" s="1708" t="s">
        <v>208</v>
      </c>
      <c r="L125" s="1709" t="s">
        <v>208</v>
      </c>
      <c r="M125" s="1708" t="s">
        <v>208</v>
      </c>
      <c r="N125" s="1709" t="s">
        <v>208</v>
      </c>
      <c r="O125" s="1708" t="s">
        <v>208</v>
      </c>
      <c r="P125" s="1711" t="s">
        <v>208</v>
      </c>
      <c r="Q125" s="1712" t="s">
        <v>208</v>
      </c>
      <c r="R125" s="1709" t="s">
        <v>208</v>
      </c>
      <c r="S125" s="1708" t="s">
        <v>208</v>
      </c>
      <c r="T125" s="1710" t="s">
        <v>208</v>
      </c>
      <c r="U125" s="1708" t="s">
        <v>208</v>
      </c>
      <c r="V125" s="1709" t="s">
        <v>208</v>
      </c>
      <c r="W125" s="1708" t="s">
        <v>208</v>
      </c>
      <c r="X125" s="816" t="s">
        <v>208</v>
      </c>
      <c r="Y125" s="429"/>
      <c r="Z125" s="587"/>
      <c r="AA125" s="973" t="s">
        <v>208</v>
      </c>
      <c r="AB125" s="1915"/>
      <c r="AC125" s="1125"/>
      <c r="AD125" s="1242"/>
      <c r="AE125" s="1231"/>
      <c r="AF125" s="1231"/>
      <c r="AG125" s="1243"/>
      <c r="AH125" s="1784"/>
      <c r="AI125" s="1766"/>
      <c r="AJ125" s="1231"/>
      <c r="AK125" s="1231"/>
      <c r="AL125" s="1095"/>
      <c r="AM125" s="1095"/>
      <c r="AN125" s="1095"/>
      <c r="AO125" s="1095"/>
      <c r="AP125" s="1095"/>
      <c r="AQ125" s="1103"/>
      <c r="AR125" s="1097"/>
      <c r="AS125" s="1095"/>
    </row>
    <row r="126" spans="1:75" s="181" customFormat="1" ht="18.75" x14ac:dyDescent="0.25">
      <c r="A126" s="551"/>
      <c r="B126" s="1578"/>
      <c r="C126" s="1107"/>
      <c r="D126" s="1142" t="s">
        <v>105</v>
      </c>
      <c r="E126" s="1143" t="str">
        <f t="shared" si="26"/>
        <v/>
      </c>
      <c r="F126" s="1166"/>
      <c r="G126" s="1680" t="s">
        <v>37</v>
      </c>
      <c r="H126" s="1681" t="s">
        <v>37</v>
      </c>
      <c r="I126" s="1680" t="s">
        <v>37</v>
      </c>
      <c r="J126" s="1682" t="s">
        <v>37</v>
      </c>
      <c r="K126" s="1680" t="s">
        <v>37</v>
      </c>
      <c r="L126" s="1681" t="str">
        <f>IF(L113="No","N","Y")</f>
        <v>Y</v>
      </c>
      <c r="M126" s="1680" t="s">
        <v>37</v>
      </c>
      <c r="N126" s="1681" t="s">
        <v>37</v>
      </c>
      <c r="O126" s="1680" t="s">
        <v>37</v>
      </c>
      <c r="P126" s="1683" t="s">
        <v>37</v>
      </c>
      <c r="Q126" s="1684" t="s">
        <v>37</v>
      </c>
      <c r="R126" s="1681" t="s">
        <v>37</v>
      </c>
      <c r="S126" s="1680" t="s">
        <v>38</v>
      </c>
      <c r="T126" s="1682" t="s">
        <v>38</v>
      </c>
      <c r="U126" s="1680" t="s">
        <v>37</v>
      </c>
      <c r="V126" s="1681" t="s">
        <v>37</v>
      </c>
      <c r="W126" s="1680" t="s">
        <v>38</v>
      </c>
      <c r="X126" s="810" t="s">
        <v>38</v>
      </c>
      <c r="Y126" s="428" t="s">
        <v>643</v>
      </c>
      <c r="Z126" s="579" t="s">
        <v>362</v>
      </c>
      <c r="AA126" s="970" t="s">
        <v>37</v>
      </c>
      <c r="AB126" s="1916"/>
      <c r="AC126" s="1214"/>
      <c r="AD126" s="1244"/>
      <c r="AE126" s="1245" t="str">
        <f>IF(Feasibility_Concept="Conceptualization"," - Updated"," ")</f>
        <v xml:space="preserve"> - Updated</v>
      </c>
      <c r="AF126" s="1245" t="str">
        <f>IF(AND(SD_apply="Yes",Item_apply_SD="Y")," - Updated"," ")</f>
        <v xml:space="preserve"> - Updated</v>
      </c>
      <c r="AG126" s="1245" t="str">
        <f>IF(OR(AND(DD_apply="Yes",Item_apply_DD="Y"),AND(SD_apply="Yes",Item_apply_SD="Y"))," - Updated"," ")</f>
        <v xml:space="preserve"> - Updated</v>
      </c>
      <c r="AH126" s="1785" t="str">
        <f>IF(OR(AND(DD_apply="Yes",Item_apply_DD="Y"),AND(SD_apply="Yes",Item_apply_SD="Y"),AND(CD50_apply="Yes",Item_apply_50CD))," - Updated"," ")</f>
        <v xml:space="preserve"> - Updated</v>
      </c>
      <c r="AI126" s="1767" t="s">
        <v>601</v>
      </c>
      <c r="AJ126" s="1245"/>
      <c r="AK126" s="1245" t="s">
        <v>602</v>
      </c>
      <c r="AL126" s="1095"/>
      <c r="AM126" s="1095"/>
      <c r="AN126" s="1095"/>
      <c r="AO126" s="1095"/>
      <c r="AP126" s="1095"/>
      <c r="AQ126" s="1104"/>
      <c r="AR126" s="1105"/>
      <c r="AS126" s="1107"/>
      <c r="BW126" s="30"/>
    </row>
    <row r="127" spans="1:75" s="30" customFormat="1" ht="15" customHeight="1" x14ac:dyDescent="0.25">
      <c r="A127" s="545"/>
      <c r="B127" s="1579"/>
      <c r="C127" s="1095"/>
      <c r="D127" s="1145" t="s">
        <v>105</v>
      </c>
      <c r="E127" s="1146" t="str">
        <f t="shared" si="26"/>
        <v/>
      </c>
      <c r="F127" s="1124"/>
      <c r="G127" s="886" t="s">
        <v>38</v>
      </c>
      <c r="H127" s="962" t="s">
        <v>38</v>
      </c>
      <c r="I127" s="886" t="s">
        <v>37</v>
      </c>
      <c r="J127" s="963" t="s">
        <v>37</v>
      </c>
      <c r="K127" s="886" t="s">
        <v>37</v>
      </c>
      <c r="L127" s="962" t="str">
        <f>IF(L114="No","N","Y")</f>
        <v>Y</v>
      </c>
      <c r="M127" s="886" t="s">
        <v>37</v>
      </c>
      <c r="N127" s="962" t="s">
        <v>37</v>
      </c>
      <c r="O127" s="886" t="s">
        <v>37</v>
      </c>
      <c r="P127" s="964" t="s">
        <v>37</v>
      </c>
      <c r="Q127" s="985" t="s">
        <v>37</v>
      </c>
      <c r="R127" s="962" t="s">
        <v>37</v>
      </c>
      <c r="S127" s="886" t="s">
        <v>38</v>
      </c>
      <c r="T127" s="963" t="s">
        <v>38</v>
      </c>
      <c r="U127" s="886" t="s">
        <v>37</v>
      </c>
      <c r="V127" s="962" t="s">
        <v>37</v>
      </c>
      <c r="W127" s="886" t="s">
        <v>38</v>
      </c>
      <c r="X127" s="812" t="s">
        <v>38</v>
      </c>
      <c r="Y127" s="428"/>
      <c r="Z127" s="583" t="s">
        <v>792</v>
      </c>
      <c r="AA127" s="972" t="s">
        <v>37</v>
      </c>
      <c r="AB127" s="1913"/>
      <c r="AC127" s="1211"/>
      <c r="AD127" s="1240" t="s">
        <v>537</v>
      </c>
      <c r="AE127" s="1239" t="s">
        <v>539</v>
      </c>
      <c r="AF127" s="1239" t="s">
        <v>542</v>
      </c>
      <c r="AG127" s="1239" t="str">
        <f>IF(DD_apply="Yes","(Updates to) ","(Complete) ")</f>
        <v xml:space="preserve">(Updates to) </v>
      </c>
      <c r="AH127" s="1783" t="str">
        <f>IF(CD50_apply="Yes","(Updates to) ","(Complete) ")</f>
        <v xml:space="preserve">(Updates to) </v>
      </c>
      <c r="AI127" s="1764" t="s">
        <v>540</v>
      </c>
      <c r="AJ127" s="1238"/>
      <c r="AK127" s="1238" t="s">
        <v>793</v>
      </c>
      <c r="AL127" s="1095"/>
      <c r="AM127" s="1098"/>
      <c r="AN127" s="1095"/>
      <c r="AO127" s="1095"/>
      <c r="AP127" s="1095"/>
      <c r="AQ127" s="1095"/>
      <c r="AR127" s="1095"/>
      <c r="AS127" s="1095"/>
      <c r="AT127" s="181"/>
      <c r="AU127" s="181"/>
      <c r="AV127" s="181"/>
      <c r="AW127" s="181"/>
      <c r="AX127" s="181"/>
      <c r="AY127" s="181"/>
      <c r="AZ127" s="181"/>
      <c r="BA127" s="181"/>
      <c r="BB127" s="181"/>
      <c r="BC127" s="181"/>
      <c r="BD127" s="181"/>
      <c r="BE127" s="181"/>
      <c r="BF127" s="181"/>
      <c r="BG127" s="181"/>
      <c r="BH127" s="181"/>
      <c r="BI127" s="181"/>
      <c r="BJ127" s="181"/>
      <c r="BK127" s="181"/>
      <c r="BL127" s="181"/>
      <c r="BM127" s="181"/>
      <c r="BN127" s="181"/>
      <c r="BO127" s="181"/>
      <c r="BP127" s="181"/>
      <c r="BQ127" s="181"/>
      <c r="BR127" s="181"/>
      <c r="BS127" s="181"/>
      <c r="BT127" s="181"/>
      <c r="BU127" s="181"/>
      <c r="BV127" s="181"/>
    </row>
    <row r="128" spans="1:75" s="30" customFormat="1" ht="15" customHeight="1" x14ac:dyDescent="0.25">
      <c r="A128" s="545"/>
      <c r="B128" s="1579"/>
      <c r="C128" s="1095"/>
      <c r="D128" s="1145" t="s">
        <v>105</v>
      </c>
      <c r="E128" s="1146" t="str">
        <f t="shared" si="26"/>
        <v/>
      </c>
      <c r="F128" s="1124"/>
      <c r="G128" s="886" t="s">
        <v>38</v>
      </c>
      <c r="H128" s="962" t="s">
        <v>37</v>
      </c>
      <c r="I128" s="886" t="s">
        <v>37</v>
      </c>
      <c r="J128" s="963" t="s">
        <v>37</v>
      </c>
      <c r="K128" s="886" t="s">
        <v>37</v>
      </c>
      <c r="L128" s="962" t="str">
        <f>IF(L116="No","N","Y")</f>
        <v>Y</v>
      </c>
      <c r="M128" s="886" t="s">
        <v>38</v>
      </c>
      <c r="N128" s="962" t="s">
        <v>38</v>
      </c>
      <c r="O128" s="886" t="s">
        <v>38</v>
      </c>
      <c r="P128" s="964" t="s">
        <v>38</v>
      </c>
      <c r="Q128" s="985" t="s">
        <v>38</v>
      </c>
      <c r="R128" s="962" t="s">
        <v>38</v>
      </c>
      <c r="S128" s="886" t="s">
        <v>38</v>
      </c>
      <c r="T128" s="963" t="s">
        <v>38</v>
      </c>
      <c r="U128" s="886" t="s">
        <v>38</v>
      </c>
      <c r="V128" s="962" t="s">
        <v>38</v>
      </c>
      <c r="W128" s="886" t="s">
        <v>38</v>
      </c>
      <c r="X128" s="812" t="s">
        <v>38</v>
      </c>
      <c r="Y128" s="428"/>
      <c r="Z128" s="588" t="s">
        <v>348</v>
      </c>
      <c r="AA128" s="972" t="s">
        <v>37</v>
      </c>
      <c r="AB128" s="1913"/>
      <c r="AC128" s="1211"/>
      <c r="AD128" s="1240" t="s">
        <v>539</v>
      </c>
      <c r="AE128" s="1239" t="s">
        <v>542</v>
      </c>
      <c r="AF128" s="1239" t="s">
        <v>542</v>
      </c>
      <c r="AG128" s="1239" t="s">
        <v>542</v>
      </c>
      <c r="AH128" s="1783" t="s">
        <v>542</v>
      </c>
      <c r="AI128" s="1765" t="s">
        <v>542</v>
      </c>
      <c r="AJ128" s="1239"/>
      <c r="AK128" s="1239" t="s">
        <v>793</v>
      </c>
      <c r="AL128" s="1099" t="s">
        <v>506</v>
      </c>
      <c r="AM128" s="1098"/>
      <c r="AN128" s="1095"/>
      <c r="AO128" s="1095"/>
      <c r="AP128" s="1095"/>
      <c r="AQ128" s="1095"/>
      <c r="AR128" s="1095"/>
      <c r="AS128" s="1095"/>
      <c r="AT128" s="181"/>
      <c r="AU128" s="181"/>
      <c r="AV128" s="181"/>
      <c r="AW128" s="181"/>
      <c r="AX128" s="181"/>
      <c r="AY128" s="181"/>
      <c r="AZ128" s="181"/>
      <c r="BA128" s="181"/>
      <c r="BB128" s="181"/>
      <c r="BC128" s="181"/>
      <c r="BD128" s="181"/>
      <c r="BE128" s="181"/>
      <c r="BF128" s="181"/>
      <c r="BG128" s="181"/>
      <c r="BH128" s="181"/>
      <c r="BI128" s="181"/>
      <c r="BJ128" s="181"/>
      <c r="BK128" s="181"/>
      <c r="BL128" s="181"/>
      <c r="BM128" s="181"/>
      <c r="BN128" s="181"/>
      <c r="BO128" s="181"/>
      <c r="BP128" s="181"/>
      <c r="BQ128" s="181"/>
      <c r="BR128" s="181"/>
      <c r="BS128" s="181"/>
      <c r="BT128" s="181"/>
      <c r="BU128" s="181"/>
      <c r="BV128" s="181"/>
    </row>
    <row r="129" spans="1:74" s="30" customFormat="1" ht="15" customHeight="1" x14ac:dyDescent="0.25">
      <c r="A129" s="545"/>
      <c r="B129" s="1579"/>
      <c r="C129" s="1095"/>
      <c r="D129" s="1145" t="s">
        <v>105</v>
      </c>
      <c r="E129" s="1146" t="str">
        <f t="shared" si="26"/>
        <v/>
      </c>
      <c r="F129" s="1124"/>
      <c r="G129" s="886" t="s">
        <v>38</v>
      </c>
      <c r="H129" s="962" t="s">
        <v>38</v>
      </c>
      <c r="I129" s="886" t="s">
        <v>37</v>
      </c>
      <c r="J129" s="963" t="s">
        <v>37</v>
      </c>
      <c r="K129" s="886" t="s">
        <v>37</v>
      </c>
      <c r="L129" s="962" t="str">
        <f>IF(L117="No","N","Y")</f>
        <v>Y</v>
      </c>
      <c r="M129" s="886" t="s">
        <v>37</v>
      </c>
      <c r="N129" s="962" t="s">
        <v>37</v>
      </c>
      <c r="O129" s="886" t="s">
        <v>37</v>
      </c>
      <c r="P129" s="964" t="s">
        <v>37</v>
      </c>
      <c r="Q129" s="985" t="s">
        <v>37</v>
      </c>
      <c r="R129" s="962" t="s">
        <v>37</v>
      </c>
      <c r="S129" s="886" t="s">
        <v>38</v>
      </c>
      <c r="T129" s="963" t="s">
        <v>38</v>
      </c>
      <c r="U129" s="886" t="s">
        <v>37</v>
      </c>
      <c r="V129" s="962" t="s">
        <v>37</v>
      </c>
      <c r="W129" s="886" t="s">
        <v>38</v>
      </c>
      <c r="X129" s="812" t="s">
        <v>38</v>
      </c>
      <c r="Y129" s="428"/>
      <c r="Z129" s="583" t="s">
        <v>328</v>
      </c>
      <c r="AA129" s="972" t="s">
        <v>37</v>
      </c>
      <c r="AB129" s="1913"/>
      <c r="AC129" s="1211"/>
      <c r="AD129" s="1240" t="s">
        <v>537</v>
      </c>
      <c r="AE129" s="1240" t="s">
        <v>538</v>
      </c>
      <c r="AF129" s="1240" t="s">
        <v>539</v>
      </c>
      <c r="AG129" s="1239" t="s">
        <v>542</v>
      </c>
      <c r="AH129" s="1783" t="str">
        <f>IF(CD50_apply="Yes","(Updates to) ","(Complete) ")</f>
        <v xml:space="preserve">(Updates to) </v>
      </c>
      <c r="AI129" s="1765" t="s">
        <v>540</v>
      </c>
      <c r="AJ129" s="1239"/>
      <c r="AK129" s="1238" t="s">
        <v>793</v>
      </c>
      <c r="AL129" s="1095"/>
      <c r="AM129" s="1098"/>
      <c r="AN129" s="1095"/>
      <c r="AO129" s="1095"/>
      <c r="AP129" s="1095"/>
      <c r="AQ129" s="1095"/>
      <c r="AR129" s="1095"/>
      <c r="AS129" s="1095"/>
      <c r="AT129" s="181"/>
      <c r="AU129" s="181"/>
      <c r="AV129" s="181"/>
      <c r="AW129" s="181"/>
      <c r="AX129" s="181"/>
      <c r="AY129" s="181"/>
      <c r="AZ129" s="181"/>
      <c r="BA129" s="181"/>
      <c r="BB129" s="181"/>
      <c r="BC129" s="181"/>
      <c r="BD129" s="181"/>
      <c r="BE129" s="181"/>
      <c r="BF129" s="181"/>
      <c r="BG129" s="181"/>
      <c r="BH129" s="181"/>
      <c r="BI129" s="181"/>
      <c r="BJ129" s="181"/>
      <c r="BK129" s="181"/>
      <c r="BL129" s="181"/>
      <c r="BM129" s="181"/>
      <c r="BN129" s="181"/>
      <c r="BO129" s="181"/>
      <c r="BP129" s="181"/>
      <c r="BQ129" s="181"/>
      <c r="BR129" s="181"/>
      <c r="BS129" s="181"/>
      <c r="BT129" s="181"/>
      <c r="BU129" s="181"/>
      <c r="BV129" s="181"/>
    </row>
    <row r="130" spans="1:74" s="30" customFormat="1" ht="15" customHeight="1" x14ac:dyDescent="0.25">
      <c r="A130" s="545"/>
      <c r="B130" s="1579"/>
      <c r="C130" s="1095"/>
      <c r="D130" s="1145" t="s">
        <v>105</v>
      </c>
      <c r="E130" s="1146" t="str">
        <f t="shared" si="26"/>
        <v/>
      </c>
      <c r="F130" s="1124"/>
      <c r="G130" s="886" t="s">
        <v>38</v>
      </c>
      <c r="H130" s="962" t="s">
        <v>37</v>
      </c>
      <c r="I130" s="886" t="s">
        <v>37</v>
      </c>
      <c r="J130" s="963" t="s">
        <v>37</v>
      </c>
      <c r="K130" s="886" t="s">
        <v>37</v>
      </c>
      <c r="L130" s="962" t="str">
        <f>IF(L119="No","N","Y")</f>
        <v>Y</v>
      </c>
      <c r="M130" s="886" t="s">
        <v>37</v>
      </c>
      <c r="N130" s="962" t="s">
        <v>37</v>
      </c>
      <c r="O130" s="886" t="s">
        <v>37</v>
      </c>
      <c r="P130" s="964" t="s">
        <v>37</v>
      </c>
      <c r="Q130" s="985" t="s">
        <v>37</v>
      </c>
      <c r="R130" s="962" t="s">
        <v>37</v>
      </c>
      <c r="S130" s="886" t="s">
        <v>38</v>
      </c>
      <c r="T130" s="963" t="s">
        <v>38</v>
      </c>
      <c r="U130" s="886" t="s">
        <v>37</v>
      </c>
      <c r="V130" s="962" t="s">
        <v>37</v>
      </c>
      <c r="W130" s="886" t="s">
        <v>38</v>
      </c>
      <c r="X130" s="812" t="s">
        <v>38</v>
      </c>
      <c r="Y130" s="428"/>
      <c r="Z130" s="583" t="s">
        <v>290</v>
      </c>
      <c r="AA130" s="972" t="s">
        <v>38</v>
      </c>
      <c r="AB130" s="1913"/>
      <c r="AC130" s="1211"/>
      <c r="AD130" s="1240" t="s">
        <v>537</v>
      </c>
      <c r="AE130" s="1239" t="s">
        <v>538</v>
      </c>
      <c r="AF130" s="1240" t="s">
        <v>539</v>
      </c>
      <c r="AG130" s="1239" t="s">
        <v>542</v>
      </c>
      <c r="AH130" s="1783" t="str">
        <f>IF(CD50_apply="Yes","(Updates to) ","(Complete) ")</f>
        <v xml:space="preserve">(Updates to) </v>
      </c>
      <c r="AI130" s="1764" t="s">
        <v>540</v>
      </c>
      <c r="AJ130" s="1238"/>
      <c r="AK130" s="1238" t="s">
        <v>793</v>
      </c>
      <c r="AL130" s="1095"/>
      <c r="AM130" s="1098"/>
      <c r="AN130" s="1095"/>
      <c r="AO130" s="1095"/>
      <c r="AP130" s="1095"/>
      <c r="AQ130" s="1095"/>
      <c r="AR130" s="1095"/>
      <c r="AS130" s="1095"/>
      <c r="AT130" s="181"/>
      <c r="AU130" s="181"/>
      <c r="AV130" s="181"/>
      <c r="AW130" s="181"/>
      <c r="AX130" s="181"/>
      <c r="AY130" s="181"/>
      <c r="AZ130" s="181"/>
      <c r="BA130" s="181"/>
      <c r="BB130" s="181"/>
      <c r="BC130" s="181"/>
      <c r="BD130" s="181"/>
      <c r="BE130" s="181"/>
      <c r="BF130" s="181"/>
      <c r="BG130" s="181"/>
      <c r="BH130" s="181"/>
      <c r="BI130" s="181"/>
      <c r="BJ130" s="181"/>
      <c r="BK130" s="181"/>
      <c r="BL130" s="181"/>
      <c r="BM130" s="181"/>
      <c r="BN130" s="181"/>
      <c r="BO130" s="181"/>
      <c r="BP130" s="181"/>
      <c r="BQ130" s="181"/>
      <c r="BR130" s="181"/>
      <c r="BS130" s="181"/>
      <c r="BT130" s="181"/>
      <c r="BU130" s="181"/>
      <c r="BV130" s="181"/>
    </row>
    <row r="131" spans="1:74" s="30" customFormat="1" ht="15" customHeight="1" x14ac:dyDescent="0.25">
      <c r="A131" s="545"/>
      <c r="B131" s="1579"/>
      <c r="C131" s="1095"/>
      <c r="D131" s="1145" t="s">
        <v>105</v>
      </c>
      <c r="E131" s="1146" t="str">
        <f t="shared" si="26"/>
        <v/>
      </c>
      <c r="F131" s="1124"/>
      <c r="G131" s="886" t="s">
        <v>38</v>
      </c>
      <c r="H131" s="962" t="s">
        <v>38</v>
      </c>
      <c r="I131" s="886" t="s">
        <v>37</v>
      </c>
      <c r="J131" s="963" t="s">
        <v>37</v>
      </c>
      <c r="K131" s="886" t="s">
        <v>37</v>
      </c>
      <c r="L131" s="962" t="str">
        <f>IF(L120="No","N","Y")</f>
        <v>Y</v>
      </c>
      <c r="M131" s="886" t="s">
        <v>38</v>
      </c>
      <c r="N131" s="962" t="s">
        <v>38</v>
      </c>
      <c r="O131" s="886" t="s">
        <v>38</v>
      </c>
      <c r="P131" s="964" t="s">
        <v>38</v>
      </c>
      <c r="Q131" s="985" t="s">
        <v>38</v>
      </c>
      <c r="R131" s="962" t="s">
        <v>38</v>
      </c>
      <c r="S131" s="886" t="s">
        <v>38</v>
      </c>
      <c r="T131" s="963" t="s">
        <v>38</v>
      </c>
      <c r="U131" s="886" t="s">
        <v>38</v>
      </c>
      <c r="V131" s="962" t="s">
        <v>38</v>
      </c>
      <c r="W131" s="886" t="s">
        <v>38</v>
      </c>
      <c r="X131" s="812" t="s">
        <v>38</v>
      </c>
      <c r="Y131" s="428"/>
      <c r="Z131" s="588" t="s">
        <v>143</v>
      </c>
      <c r="AA131" s="972" t="s">
        <v>38</v>
      </c>
      <c r="AB131" s="1913"/>
      <c r="AC131" s="1211"/>
      <c r="AD131" s="1240"/>
      <c r="AE131" s="1239"/>
      <c r="AF131" s="1239"/>
      <c r="AG131" s="1239"/>
      <c r="AH131" s="1783"/>
      <c r="AI131" s="1768"/>
      <c r="AJ131" s="1246"/>
      <c r="AK131" s="1246"/>
      <c r="AL131" s="1099" t="s">
        <v>506</v>
      </c>
      <c r="AM131" s="1098"/>
      <c r="AN131" s="1095"/>
      <c r="AO131" s="1095"/>
      <c r="AP131" s="1095"/>
      <c r="AQ131" s="1095"/>
      <c r="AR131" s="1095"/>
      <c r="AS131" s="1095"/>
      <c r="AT131" s="181"/>
      <c r="AU131" s="181"/>
      <c r="AV131" s="181"/>
      <c r="AW131" s="181"/>
      <c r="AX131" s="181"/>
      <c r="AY131" s="181"/>
      <c r="AZ131" s="181"/>
      <c r="BA131" s="181"/>
      <c r="BB131" s="181"/>
      <c r="BC131" s="181"/>
      <c r="BD131" s="181"/>
      <c r="BE131" s="181"/>
      <c r="BF131" s="181"/>
      <c r="BG131" s="181"/>
      <c r="BH131" s="181"/>
      <c r="BI131" s="181"/>
      <c r="BJ131" s="181"/>
      <c r="BK131" s="181"/>
      <c r="BL131" s="181"/>
      <c r="BM131" s="181"/>
      <c r="BN131" s="181"/>
      <c r="BO131" s="181"/>
      <c r="BP131" s="181"/>
      <c r="BQ131" s="181"/>
      <c r="BR131" s="181"/>
      <c r="BS131" s="181"/>
      <c r="BT131" s="181"/>
      <c r="BU131" s="181"/>
      <c r="BV131" s="181"/>
    </row>
    <row r="132" spans="1:74" s="30" customFormat="1" ht="15" customHeight="1" x14ac:dyDescent="0.25">
      <c r="A132" s="545"/>
      <c r="B132" s="1579"/>
      <c r="C132" s="1095"/>
      <c r="D132" s="1145" t="s">
        <v>105</v>
      </c>
      <c r="E132" s="1146" t="str">
        <f t="shared" si="26"/>
        <v/>
      </c>
      <c r="F132" s="1124"/>
      <c r="G132" s="886" t="s">
        <v>38</v>
      </c>
      <c r="H132" s="962" t="s">
        <v>38</v>
      </c>
      <c r="I132" s="886" t="s">
        <v>37</v>
      </c>
      <c r="J132" s="963" t="s">
        <v>37</v>
      </c>
      <c r="K132" s="886" t="s">
        <v>37</v>
      </c>
      <c r="L132" s="962" t="str">
        <f t="shared" ref="L132:L138" si="29">IF(L122="No","N","Y")</f>
        <v>Y</v>
      </c>
      <c r="M132" s="886" t="s">
        <v>38</v>
      </c>
      <c r="N132" s="962" t="s">
        <v>38</v>
      </c>
      <c r="O132" s="886" t="s">
        <v>38</v>
      </c>
      <c r="P132" s="964" t="s">
        <v>38</v>
      </c>
      <c r="Q132" s="985" t="s">
        <v>38</v>
      </c>
      <c r="R132" s="962" t="s">
        <v>38</v>
      </c>
      <c r="S132" s="886" t="s">
        <v>38</v>
      </c>
      <c r="T132" s="963" t="s">
        <v>38</v>
      </c>
      <c r="U132" s="886" t="s">
        <v>38</v>
      </c>
      <c r="V132" s="962" t="s">
        <v>38</v>
      </c>
      <c r="W132" s="886" t="s">
        <v>38</v>
      </c>
      <c r="X132" s="812" t="s">
        <v>38</v>
      </c>
      <c r="Y132" s="428"/>
      <c r="Z132" s="588" t="s">
        <v>804</v>
      </c>
      <c r="AA132" s="972" t="s">
        <v>37</v>
      </c>
      <c r="AB132" s="1913"/>
      <c r="AC132" s="1211"/>
      <c r="AD132" s="1240"/>
      <c r="AE132" s="1239" t="s">
        <v>537</v>
      </c>
      <c r="AF132" s="1240" t="s">
        <v>539</v>
      </c>
      <c r="AG132" s="1239"/>
      <c r="AH132" s="1783"/>
      <c r="AI132" s="1768"/>
      <c r="AJ132" s="1246"/>
      <c r="AK132" s="1246"/>
      <c r="AL132" s="1099" t="s">
        <v>506</v>
      </c>
      <c r="AM132" s="1098"/>
      <c r="AN132" s="1095"/>
      <c r="AO132" s="1095"/>
      <c r="AP132" s="1095"/>
      <c r="AQ132" s="1095"/>
      <c r="AR132" s="1095"/>
      <c r="AS132" s="1095"/>
      <c r="AT132" s="181"/>
      <c r="AU132" s="181"/>
      <c r="AV132" s="181"/>
      <c r="AW132" s="181"/>
      <c r="AX132" s="181"/>
      <c r="AY132" s="181"/>
      <c r="AZ132" s="181"/>
      <c r="BA132" s="181"/>
      <c r="BB132" s="181"/>
      <c r="BC132" s="181"/>
      <c r="BD132" s="181"/>
      <c r="BE132" s="181"/>
      <c r="BF132" s="181"/>
      <c r="BG132" s="181"/>
      <c r="BH132" s="181"/>
      <c r="BI132" s="181"/>
      <c r="BJ132" s="181"/>
      <c r="BK132" s="181"/>
      <c r="BL132" s="181"/>
      <c r="BM132" s="181"/>
      <c r="BN132" s="181"/>
      <c r="BO132" s="181"/>
      <c r="BP132" s="181"/>
      <c r="BQ132" s="181"/>
      <c r="BR132" s="181"/>
      <c r="BS132" s="181"/>
      <c r="BT132" s="181"/>
      <c r="BU132" s="181"/>
      <c r="BV132" s="181"/>
    </row>
    <row r="133" spans="1:74" s="30" customFormat="1" ht="15" customHeight="1" x14ac:dyDescent="0.25">
      <c r="A133" s="545"/>
      <c r="B133" s="1579"/>
      <c r="C133" s="1095"/>
      <c r="D133" s="1145" t="s">
        <v>105</v>
      </c>
      <c r="E133" s="1146" t="str">
        <f t="shared" si="26"/>
        <v/>
      </c>
      <c r="F133" s="1124"/>
      <c r="G133" s="886" t="s">
        <v>38</v>
      </c>
      <c r="H133" s="962" t="s">
        <v>38</v>
      </c>
      <c r="I133" s="886" t="s">
        <v>37</v>
      </c>
      <c r="J133" s="963" t="s">
        <v>37</v>
      </c>
      <c r="K133" s="886" t="s">
        <v>37</v>
      </c>
      <c r="L133" s="962" t="str">
        <f t="shared" si="29"/>
        <v>Y</v>
      </c>
      <c r="M133" s="886" t="s">
        <v>37</v>
      </c>
      <c r="N133" s="962" t="s">
        <v>37</v>
      </c>
      <c r="O133" s="886" t="s">
        <v>37</v>
      </c>
      <c r="P133" s="964" t="s">
        <v>37</v>
      </c>
      <c r="Q133" s="985" t="s">
        <v>37</v>
      </c>
      <c r="R133" s="962" t="s">
        <v>37</v>
      </c>
      <c r="S133" s="886" t="s">
        <v>38</v>
      </c>
      <c r="T133" s="963" t="s">
        <v>38</v>
      </c>
      <c r="U133" s="886" t="s">
        <v>38</v>
      </c>
      <c r="V133" s="962" t="s">
        <v>38</v>
      </c>
      <c r="W133" s="886" t="s">
        <v>38</v>
      </c>
      <c r="X133" s="812" t="s">
        <v>38</v>
      </c>
      <c r="Y133" s="428"/>
      <c r="Z133" s="583" t="s">
        <v>1115</v>
      </c>
      <c r="AA133" s="972" t="s">
        <v>37</v>
      </c>
      <c r="AB133" s="1913"/>
      <c r="AC133" s="1211"/>
      <c r="AD133" s="1240"/>
      <c r="AE133" s="1239" t="s">
        <v>537</v>
      </c>
      <c r="AF133" s="1240" t="s">
        <v>539</v>
      </c>
      <c r="AG133" s="1239" t="s">
        <v>542</v>
      </c>
      <c r="AH133" s="1783" t="s">
        <v>541</v>
      </c>
      <c r="AI133" s="1768"/>
      <c r="AJ133" s="1246"/>
      <c r="AK133" s="1246"/>
      <c r="AL133" s="1095"/>
      <c r="AM133" s="1098"/>
      <c r="AN133" s="1095"/>
      <c r="AO133" s="1095"/>
      <c r="AP133" s="1095"/>
      <c r="AQ133" s="1095"/>
      <c r="AR133" s="1095"/>
      <c r="AS133" s="1095"/>
      <c r="AT133" s="181"/>
      <c r="AU133" s="181"/>
      <c r="AV133" s="181"/>
      <c r="AW133" s="181"/>
      <c r="AX133" s="181"/>
      <c r="AY133" s="181"/>
      <c r="AZ133" s="181"/>
      <c r="BA133" s="181"/>
      <c r="BB133" s="181"/>
      <c r="BC133" s="181"/>
      <c r="BD133" s="181"/>
      <c r="BE133" s="181"/>
      <c r="BF133" s="181"/>
      <c r="BG133" s="181"/>
      <c r="BH133" s="181"/>
      <c r="BI133" s="181"/>
      <c r="BJ133" s="181"/>
      <c r="BK133" s="181"/>
      <c r="BL133" s="181"/>
      <c r="BM133" s="181"/>
      <c r="BN133" s="181"/>
      <c r="BO133" s="181"/>
      <c r="BP133" s="181"/>
      <c r="BQ133" s="181"/>
      <c r="BR133" s="181"/>
      <c r="BS133" s="181"/>
      <c r="BT133" s="181"/>
      <c r="BU133" s="181"/>
      <c r="BV133" s="181"/>
    </row>
    <row r="134" spans="1:74" s="545" customFormat="1" ht="15" customHeight="1" x14ac:dyDescent="0.25">
      <c r="B134" s="1579"/>
      <c r="C134" s="1095"/>
      <c r="D134" s="1145" t="s">
        <v>105</v>
      </c>
      <c r="E134" s="1146" t="str">
        <f t="shared" si="26"/>
        <v/>
      </c>
      <c r="F134" s="1124"/>
      <c r="G134" s="886" t="s">
        <v>38</v>
      </c>
      <c r="H134" s="962" t="s">
        <v>37</v>
      </c>
      <c r="I134" s="886" t="s">
        <v>38</v>
      </c>
      <c r="J134" s="963" t="s">
        <v>38</v>
      </c>
      <c r="K134" s="886" t="s">
        <v>37</v>
      </c>
      <c r="L134" s="962" t="str">
        <f t="shared" si="29"/>
        <v>Y</v>
      </c>
      <c r="M134" s="886" t="s">
        <v>37</v>
      </c>
      <c r="N134" s="962" t="s">
        <v>38</v>
      </c>
      <c r="O134" s="886" t="s">
        <v>37</v>
      </c>
      <c r="P134" s="964" t="s">
        <v>37</v>
      </c>
      <c r="Q134" s="985" t="s">
        <v>37</v>
      </c>
      <c r="R134" s="962" t="s">
        <v>38</v>
      </c>
      <c r="S134" s="886" t="s">
        <v>38</v>
      </c>
      <c r="T134" s="963" t="s">
        <v>38</v>
      </c>
      <c r="U134" s="886" t="s">
        <v>37</v>
      </c>
      <c r="V134" s="962" t="s">
        <v>38</v>
      </c>
      <c r="W134" s="886" t="s">
        <v>38</v>
      </c>
      <c r="X134" s="812" t="s">
        <v>38</v>
      </c>
      <c r="Y134" s="428"/>
      <c r="Z134" s="583" t="s">
        <v>682</v>
      </c>
      <c r="AA134" s="972" t="s">
        <v>37</v>
      </c>
      <c r="AB134" s="1913"/>
      <c r="AC134" s="1211"/>
      <c r="AD134" s="1240"/>
      <c r="AE134" s="1239"/>
      <c r="AF134" s="1239" t="s">
        <v>537</v>
      </c>
      <c r="AG134" s="1239" t="s">
        <v>685</v>
      </c>
      <c r="AH134" s="1783" t="s">
        <v>539</v>
      </c>
      <c r="AI134" s="1765" t="s">
        <v>542</v>
      </c>
      <c r="AJ134" s="1239"/>
      <c r="AK134" s="1239" t="s">
        <v>683</v>
      </c>
      <c r="AL134" s="1099" t="s">
        <v>506</v>
      </c>
      <c r="AM134" s="1098"/>
      <c r="AN134" s="1095"/>
      <c r="AO134" s="1095"/>
      <c r="AP134" s="1095"/>
      <c r="AQ134" s="1095"/>
      <c r="AR134" s="1095"/>
      <c r="AS134" s="1095"/>
      <c r="AT134" s="551"/>
      <c r="AU134" s="551"/>
      <c r="AV134" s="551"/>
      <c r="AW134" s="551"/>
      <c r="AX134" s="551"/>
      <c r="AY134" s="551"/>
      <c r="AZ134" s="551"/>
      <c r="BA134" s="551"/>
      <c r="BB134" s="551"/>
      <c r="BC134" s="551"/>
      <c r="BD134" s="551"/>
      <c r="BE134" s="551"/>
      <c r="BF134" s="551"/>
      <c r="BG134" s="551"/>
      <c r="BH134" s="551"/>
      <c r="BI134" s="551"/>
      <c r="BJ134" s="551"/>
      <c r="BK134" s="551"/>
      <c r="BL134" s="551"/>
      <c r="BM134" s="551"/>
      <c r="BN134" s="551"/>
      <c r="BO134" s="551"/>
      <c r="BP134" s="551"/>
      <c r="BQ134" s="551"/>
      <c r="BR134" s="551"/>
      <c r="BS134" s="551"/>
      <c r="BT134" s="551"/>
      <c r="BU134" s="551"/>
      <c r="BV134" s="551"/>
    </row>
    <row r="135" spans="1:74" s="30" customFormat="1" ht="28.5" x14ac:dyDescent="0.25">
      <c r="A135" s="545"/>
      <c r="B135" s="1579"/>
      <c r="C135" s="1095"/>
      <c r="D135" s="1145" t="s">
        <v>105</v>
      </c>
      <c r="E135" s="1146" t="str">
        <f t="shared" si="26"/>
        <v/>
      </c>
      <c r="F135" s="1124"/>
      <c r="G135" s="886" t="s">
        <v>37</v>
      </c>
      <c r="H135" s="962" t="s">
        <v>37</v>
      </c>
      <c r="I135" s="886" t="s">
        <v>37</v>
      </c>
      <c r="J135" s="963" t="s">
        <v>37</v>
      </c>
      <c r="K135" s="886" t="s">
        <v>37</v>
      </c>
      <c r="L135" s="962" t="str">
        <f t="shared" si="29"/>
        <v>Y</v>
      </c>
      <c r="M135" s="886" t="s">
        <v>38</v>
      </c>
      <c r="N135" s="962" t="s">
        <v>38</v>
      </c>
      <c r="O135" s="886" t="s">
        <v>38</v>
      </c>
      <c r="P135" s="964" t="s">
        <v>38</v>
      </c>
      <c r="Q135" s="985" t="s">
        <v>38</v>
      </c>
      <c r="R135" s="962" t="s">
        <v>38</v>
      </c>
      <c r="S135" s="886" t="s">
        <v>38</v>
      </c>
      <c r="T135" s="963" t="s">
        <v>38</v>
      </c>
      <c r="U135" s="886" t="s">
        <v>38</v>
      </c>
      <c r="V135" s="962" t="s">
        <v>38</v>
      </c>
      <c r="W135" s="886" t="s">
        <v>38</v>
      </c>
      <c r="X135" s="812" t="s">
        <v>38</v>
      </c>
      <c r="Y135" s="428"/>
      <c r="Z135" s="588" t="s">
        <v>520</v>
      </c>
      <c r="AA135" s="972" t="s">
        <v>38</v>
      </c>
      <c r="AB135" s="1913"/>
      <c r="AC135" s="1211"/>
      <c r="AD135" s="1240"/>
      <c r="AE135" s="1239" t="s">
        <v>539</v>
      </c>
      <c r="AF135" s="1239" t="s">
        <v>542</v>
      </c>
      <c r="AG135" s="1239"/>
      <c r="AH135" s="1783"/>
      <c r="AI135" s="1765"/>
      <c r="AJ135" s="1239"/>
      <c r="AK135" s="1239"/>
      <c r="AL135" s="1099" t="s">
        <v>506</v>
      </c>
      <c r="AM135" s="1098"/>
      <c r="AN135" s="1095"/>
      <c r="AO135" s="1095"/>
      <c r="AP135" s="1095"/>
      <c r="AQ135" s="1095"/>
      <c r="AR135" s="1095"/>
      <c r="AS135" s="1095"/>
      <c r="AT135" s="181"/>
      <c r="AU135" s="181"/>
      <c r="AV135" s="181"/>
      <c r="AW135" s="181"/>
      <c r="AX135" s="181"/>
      <c r="AY135" s="181"/>
      <c r="AZ135" s="181"/>
      <c r="BA135" s="181"/>
      <c r="BB135" s="181"/>
      <c r="BC135" s="181"/>
      <c r="BD135" s="181"/>
      <c r="BE135" s="181"/>
      <c r="BF135" s="181"/>
      <c r="BG135" s="181"/>
      <c r="BH135" s="181"/>
      <c r="BI135" s="181"/>
      <c r="BJ135" s="181"/>
      <c r="BK135" s="181"/>
      <c r="BL135" s="181"/>
      <c r="BM135" s="181"/>
      <c r="BN135" s="181"/>
      <c r="BO135" s="181"/>
      <c r="BP135" s="181"/>
      <c r="BQ135" s="181"/>
      <c r="BR135" s="181"/>
      <c r="BS135" s="181"/>
      <c r="BT135" s="181"/>
      <c r="BU135" s="181"/>
      <c r="BV135" s="181"/>
    </row>
    <row r="136" spans="1:74" s="30" customFormat="1" ht="15.75" x14ac:dyDescent="0.25">
      <c r="A136" s="545"/>
      <c r="B136" s="1579"/>
      <c r="C136" s="1097"/>
      <c r="D136" s="1145" t="s">
        <v>105</v>
      </c>
      <c r="E136" s="1146" t="str">
        <f t="shared" si="26"/>
        <v/>
      </c>
      <c r="F136" s="1124"/>
      <c r="G136" s="886" t="s">
        <v>37</v>
      </c>
      <c r="H136" s="962" t="s">
        <v>37</v>
      </c>
      <c r="I136" s="886" t="s">
        <v>37</v>
      </c>
      <c r="J136" s="963" t="s">
        <v>37</v>
      </c>
      <c r="K136" s="886" t="s">
        <v>37</v>
      </c>
      <c r="L136" s="962" t="str">
        <f t="shared" si="29"/>
        <v>Y</v>
      </c>
      <c r="M136" s="886" t="s">
        <v>38</v>
      </c>
      <c r="N136" s="962" t="s">
        <v>38</v>
      </c>
      <c r="O136" s="886" t="s">
        <v>38</v>
      </c>
      <c r="P136" s="964" t="s">
        <v>38</v>
      </c>
      <c r="Q136" s="985" t="s">
        <v>38</v>
      </c>
      <c r="R136" s="962" t="s">
        <v>38</v>
      </c>
      <c r="S136" s="886" t="s">
        <v>38</v>
      </c>
      <c r="T136" s="963" t="s">
        <v>38</v>
      </c>
      <c r="U136" s="886" t="s">
        <v>38</v>
      </c>
      <c r="V136" s="962" t="s">
        <v>38</v>
      </c>
      <c r="W136" s="886" t="s">
        <v>38</v>
      </c>
      <c r="X136" s="812" t="s">
        <v>38</v>
      </c>
      <c r="Y136" s="430"/>
      <c r="Z136" s="588" t="s">
        <v>519</v>
      </c>
      <c r="AA136" s="972" t="s">
        <v>38</v>
      </c>
      <c r="AB136" s="1913"/>
      <c r="AC136" s="1125"/>
      <c r="AD136" s="1240"/>
      <c r="AE136" s="1239" t="s">
        <v>539</v>
      </c>
      <c r="AF136" s="1239" t="s">
        <v>542</v>
      </c>
      <c r="AG136" s="1239"/>
      <c r="AH136" s="1783"/>
      <c r="AI136" s="1765"/>
      <c r="AJ136" s="1239"/>
      <c r="AK136" s="1239"/>
      <c r="AL136" s="1099" t="s">
        <v>506</v>
      </c>
      <c r="AM136" s="1098"/>
      <c r="AN136" s="1095"/>
      <c r="AO136" s="1095"/>
      <c r="AP136" s="1095"/>
      <c r="AQ136" s="1106"/>
      <c r="AR136" s="1097"/>
      <c r="AS136" s="1097"/>
      <c r="AT136" s="181"/>
      <c r="AU136" s="181"/>
      <c r="AV136" s="181"/>
      <c r="AW136" s="181"/>
      <c r="AX136" s="181"/>
      <c r="AY136" s="181"/>
      <c r="AZ136" s="181"/>
      <c r="BA136" s="181"/>
      <c r="BB136" s="181"/>
      <c r="BC136" s="181"/>
      <c r="BD136" s="181"/>
      <c r="BE136" s="181"/>
      <c r="BF136" s="181"/>
      <c r="BG136" s="181"/>
      <c r="BH136" s="181"/>
      <c r="BI136" s="181"/>
      <c r="BJ136" s="181"/>
      <c r="BK136" s="181"/>
      <c r="BL136" s="181"/>
      <c r="BM136" s="181"/>
      <c r="BN136" s="181"/>
      <c r="BO136" s="181"/>
      <c r="BP136" s="181"/>
      <c r="BQ136" s="181"/>
      <c r="BR136" s="181"/>
      <c r="BS136" s="181"/>
      <c r="BT136" s="181"/>
      <c r="BU136" s="181"/>
      <c r="BV136" s="181"/>
    </row>
    <row r="137" spans="1:74" s="30" customFormat="1" ht="28.5" x14ac:dyDescent="0.25">
      <c r="A137" s="545"/>
      <c r="B137" s="1579"/>
      <c r="C137" s="1097"/>
      <c r="D137" s="1145" t="s">
        <v>105</v>
      </c>
      <c r="E137" s="1146" t="str">
        <f t="shared" si="26"/>
        <v/>
      </c>
      <c r="F137" s="1124"/>
      <c r="G137" s="886" t="s">
        <v>38</v>
      </c>
      <c r="H137" s="962" t="s">
        <v>38</v>
      </c>
      <c r="I137" s="886" t="s">
        <v>37</v>
      </c>
      <c r="J137" s="963" t="s">
        <v>37</v>
      </c>
      <c r="K137" s="886" t="s">
        <v>37</v>
      </c>
      <c r="L137" s="962" t="str">
        <f t="shared" si="29"/>
        <v>Y</v>
      </c>
      <c r="M137" s="886" t="s">
        <v>37</v>
      </c>
      <c r="N137" s="962" t="s">
        <v>37</v>
      </c>
      <c r="O137" s="886" t="s">
        <v>37</v>
      </c>
      <c r="P137" s="964" t="s">
        <v>37</v>
      </c>
      <c r="Q137" s="985" t="s">
        <v>37</v>
      </c>
      <c r="R137" s="962" t="s">
        <v>37</v>
      </c>
      <c r="S137" s="886" t="s">
        <v>38</v>
      </c>
      <c r="T137" s="963" t="s">
        <v>38</v>
      </c>
      <c r="U137" s="886" t="s">
        <v>37</v>
      </c>
      <c r="V137" s="962" t="s">
        <v>37</v>
      </c>
      <c r="W137" s="886" t="s">
        <v>38</v>
      </c>
      <c r="X137" s="812" t="s">
        <v>38</v>
      </c>
      <c r="Y137" s="430"/>
      <c r="Z137" s="583" t="s">
        <v>286</v>
      </c>
      <c r="AA137" s="972" t="s">
        <v>37</v>
      </c>
      <c r="AB137" s="1913"/>
      <c r="AC137" s="1125"/>
      <c r="AD137" s="1240"/>
      <c r="AE137" s="1240" t="s">
        <v>537</v>
      </c>
      <c r="AF137" s="1239" t="s">
        <v>685</v>
      </c>
      <c r="AG137" s="1239" t="s">
        <v>539</v>
      </c>
      <c r="AH137" s="1783" t="s">
        <v>542</v>
      </c>
      <c r="AI137" s="1765" t="s">
        <v>540</v>
      </c>
      <c r="AJ137" s="1239"/>
      <c r="AK137" s="1239" t="s">
        <v>793</v>
      </c>
      <c r="AL137" s="1095"/>
      <c r="AM137" s="1098"/>
      <c r="AN137" s="1095"/>
      <c r="AO137" s="1095"/>
      <c r="AP137" s="1095"/>
      <c r="AQ137" s="1106"/>
      <c r="AR137" s="1097"/>
      <c r="AS137" s="1097"/>
      <c r="AT137" s="181"/>
      <c r="AU137" s="181"/>
      <c r="AV137" s="181"/>
      <c r="AW137" s="181"/>
      <c r="AX137" s="181"/>
      <c r="AY137" s="181"/>
      <c r="AZ137" s="181"/>
      <c r="BA137" s="181"/>
      <c r="BB137" s="181"/>
      <c r="BC137" s="181"/>
      <c r="BD137" s="181"/>
      <c r="BE137" s="181"/>
      <c r="BF137" s="181"/>
      <c r="BG137" s="181"/>
      <c r="BH137" s="181"/>
      <c r="BI137" s="181"/>
      <c r="BJ137" s="181"/>
      <c r="BK137" s="181"/>
      <c r="BL137" s="181"/>
      <c r="BM137" s="181"/>
      <c r="BN137" s="181"/>
      <c r="BO137" s="181"/>
      <c r="BP137" s="181"/>
      <c r="BQ137" s="181"/>
      <c r="BR137" s="181"/>
      <c r="BS137" s="181"/>
      <c r="BT137" s="181"/>
      <c r="BU137" s="181"/>
      <c r="BV137" s="181"/>
    </row>
    <row r="138" spans="1:74" s="30" customFormat="1" ht="28.5" x14ac:dyDescent="0.25">
      <c r="A138" s="545"/>
      <c r="B138" s="1579"/>
      <c r="C138" s="1097"/>
      <c r="D138" s="1145" t="s">
        <v>105</v>
      </c>
      <c r="E138" s="1146" t="str">
        <f t="shared" si="26"/>
        <v/>
      </c>
      <c r="F138" s="1124"/>
      <c r="G138" s="886" t="s">
        <v>38</v>
      </c>
      <c r="H138" s="962" t="s">
        <v>38</v>
      </c>
      <c r="I138" s="886" t="s">
        <v>37</v>
      </c>
      <c r="J138" s="963" t="s">
        <v>37</v>
      </c>
      <c r="K138" s="886" t="s">
        <v>37</v>
      </c>
      <c r="L138" s="962" t="str">
        <f t="shared" si="29"/>
        <v>Y</v>
      </c>
      <c r="M138" s="886" t="s">
        <v>37</v>
      </c>
      <c r="N138" s="962" t="s">
        <v>37</v>
      </c>
      <c r="O138" s="886" t="s">
        <v>37</v>
      </c>
      <c r="P138" s="964" t="s">
        <v>37</v>
      </c>
      <c r="Q138" s="985" t="s">
        <v>37</v>
      </c>
      <c r="R138" s="962" t="s">
        <v>37</v>
      </c>
      <c r="S138" s="886" t="s">
        <v>38</v>
      </c>
      <c r="T138" s="963" t="s">
        <v>38</v>
      </c>
      <c r="U138" s="886" t="s">
        <v>37</v>
      </c>
      <c r="V138" s="962" t="s">
        <v>37</v>
      </c>
      <c r="W138" s="886" t="s">
        <v>38</v>
      </c>
      <c r="X138" s="812" t="s">
        <v>38</v>
      </c>
      <c r="Y138" s="430"/>
      <c r="Z138" s="583" t="s">
        <v>291</v>
      </c>
      <c r="AA138" s="972" t="s">
        <v>37</v>
      </c>
      <c r="AB138" s="1913"/>
      <c r="AC138" s="1125"/>
      <c r="AD138" s="1240"/>
      <c r="AE138" s="1240" t="s">
        <v>537</v>
      </c>
      <c r="AF138" s="1239" t="s">
        <v>685</v>
      </c>
      <c r="AG138" s="1239" t="str">
        <f>IF(DD_apply="Yes","(Substantially Complete) ","(Substantially Complete) ")</f>
        <v xml:space="preserve">(Substantially Complete) </v>
      </c>
      <c r="AH138" s="1783" t="str">
        <f>IF(CD50_apply="Yes","(Complete) ","(Complete) ")</f>
        <v xml:space="preserve">(Complete) </v>
      </c>
      <c r="AI138" s="1765" t="s">
        <v>540</v>
      </c>
      <c r="AJ138" s="1239"/>
      <c r="AK138" s="1239" t="s">
        <v>793</v>
      </c>
      <c r="AL138" s="1095"/>
      <c r="AM138" s="1098"/>
      <c r="AN138" s="1095"/>
      <c r="AO138" s="1095"/>
      <c r="AP138" s="1095"/>
      <c r="AQ138" s="1106"/>
      <c r="AR138" s="1097"/>
      <c r="AS138" s="1097"/>
      <c r="AT138" s="181"/>
      <c r="AU138" s="181"/>
      <c r="AV138" s="181"/>
      <c r="AW138" s="181"/>
      <c r="AX138" s="181"/>
      <c r="AY138" s="181"/>
      <c r="AZ138" s="181"/>
      <c r="BA138" s="181"/>
      <c r="BB138" s="181"/>
      <c r="BC138" s="181"/>
      <c r="BD138" s="181"/>
      <c r="BE138" s="181"/>
      <c r="BF138" s="181"/>
      <c r="BG138" s="181"/>
      <c r="BH138" s="181"/>
      <c r="BI138" s="181"/>
      <c r="BJ138" s="181"/>
      <c r="BK138" s="181"/>
      <c r="BL138" s="181"/>
      <c r="BM138" s="181"/>
      <c r="BN138" s="181"/>
      <c r="BO138" s="181"/>
      <c r="BP138" s="181"/>
      <c r="BQ138" s="181"/>
      <c r="BR138" s="181"/>
      <c r="BS138" s="181"/>
      <c r="BT138" s="181"/>
      <c r="BU138" s="181"/>
      <c r="BV138" s="181"/>
    </row>
    <row r="139" spans="1:74" s="30" customFormat="1" ht="15.75" x14ac:dyDescent="0.25">
      <c r="A139" s="545"/>
      <c r="B139" s="1579"/>
      <c r="C139" s="1097"/>
      <c r="D139" s="1148" t="s">
        <v>105</v>
      </c>
      <c r="E139" s="1146" t="str">
        <f t="shared" si="26"/>
        <v/>
      </c>
      <c r="F139" s="1124"/>
      <c r="G139" s="886" t="s">
        <v>37</v>
      </c>
      <c r="H139" s="961" t="str">
        <f>IF(ISNUMBER(SEARCH("choose",LEED_Goal))=TRUE,"Error",IF(LEED_Goal="None","N",IF((ISNUMBER(SEARCH("certified",LEED_Goal)))=TRUE,"Y","N")))</f>
        <v>Y</v>
      </c>
      <c r="I139" s="886" t="s">
        <v>37</v>
      </c>
      <c r="J139" s="963" t="str">
        <f>IF(ISNUMBER(SEARCH("choose",LEED_Goal))=TRUE,"Error",IF(LEED_Goal="None","N",IF((ISNUMBER(SEARCH("certified",LEED_Goal)))=TRUE,"Y","N")))</f>
        <v>Y</v>
      </c>
      <c r="K139" s="886" t="s">
        <v>37</v>
      </c>
      <c r="L139" s="962" t="str">
        <f>IF(ISNUMBER(SEARCH("choose",LEED_Goal))=TRUE,"Error",IF(LEED_Goal="None","N",IF((ISNUMBER(SEARCH("certified",LEED_Goal)))=TRUE,"Y","N")))</f>
        <v>Y</v>
      </c>
      <c r="M139" s="886" t="s">
        <v>37</v>
      </c>
      <c r="N139" s="962" t="str">
        <f>IF(ISNUMBER(SEARCH("choose",LEED_Goal))=TRUE,"Error",IF(LEED_Goal="None","N",IF((ISNUMBER(SEARCH("certified",LEED_Goal)))=TRUE,"Y","N")))</f>
        <v>Y</v>
      </c>
      <c r="O139" s="886" t="s">
        <v>37</v>
      </c>
      <c r="P139" s="964" t="str">
        <f>IF(ISNUMBER(SEARCH("choose",LEED_Goal))=TRUE,"Error",IF(LEED_Goal="None","N",IF((ISNUMBER(SEARCH("certified",LEED_Goal)))=TRUE,"Y","N")))</f>
        <v>Y</v>
      </c>
      <c r="Q139" s="985" t="s">
        <v>38</v>
      </c>
      <c r="R139" s="962" t="s">
        <v>38</v>
      </c>
      <c r="S139" s="886" t="s">
        <v>38</v>
      </c>
      <c r="T139" s="963" t="s">
        <v>38</v>
      </c>
      <c r="U139" s="886" t="s">
        <v>37</v>
      </c>
      <c r="V139" s="962" t="s">
        <v>38</v>
      </c>
      <c r="W139" s="886" t="s">
        <v>38</v>
      </c>
      <c r="X139" s="817" t="s">
        <v>38</v>
      </c>
      <c r="Y139" s="430"/>
      <c r="Z139" s="890" t="s">
        <v>843</v>
      </c>
      <c r="AA139" s="972" t="s">
        <v>37</v>
      </c>
      <c r="AB139" s="1913"/>
      <c r="AC139" s="1125"/>
      <c r="AD139" s="1240"/>
      <c r="AE139" s="1239"/>
      <c r="AF139" s="1239" t="str">
        <f t="shared" ref="AF139:AF145" si="30">IF(SD_apply="Yes"," (Updates to) "," ")</f>
        <v xml:space="preserve"> (Updates to) </v>
      </c>
      <c r="AG139" s="1239" t="str">
        <f t="shared" ref="AG139:AG145" si="31">IF(OR(DD_apply="Yes",SD_apply="Yes")," (Updates to) "," ")</f>
        <v xml:space="preserve"> (Updates to) </v>
      </c>
      <c r="AH139" s="1783" t="str">
        <f t="shared" ref="AH139:AH145" si="32">IF(OR(DD_apply="Yes",SD_apply="Yes",CD50_apply="Yes")," (Updates to) "," ")</f>
        <v xml:space="preserve"> (Updates to) </v>
      </c>
      <c r="AI139" s="1765" t="s">
        <v>574</v>
      </c>
      <c r="AJ139" s="1239"/>
      <c r="AK139" s="1239" t="s">
        <v>702</v>
      </c>
      <c r="AL139" s="1095"/>
      <c r="AM139" s="1098"/>
      <c r="AN139" s="1095"/>
      <c r="AO139" s="1095"/>
      <c r="AP139" s="1095"/>
      <c r="AQ139" s="1106"/>
      <c r="AR139" s="1097"/>
      <c r="AS139" s="1097"/>
      <c r="AT139" s="181"/>
      <c r="AU139" s="181"/>
      <c r="AV139" s="181"/>
      <c r="AW139" s="181"/>
      <c r="AX139" s="181"/>
      <c r="AY139" s="181"/>
      <c r="AZ139" s="181"/>
      <c r="BA139" s="181"/>
      <c r="BB139" s="181"/>
      <c r="BC139" s="181"/>
      <c r="BD139" s="181"/>
      <c r="BE139" s="181"/>
      <c r="BF139" s="181"/>
      <c r="BG139" s="181"/>
      <c r="BH139" s="181"/>
      <c r="BI139" s="181"/>
      <c r="BJ139" s="181"/>
      <c r="BK139" s="181"/>
      <c r="BL139" s="181"/>
      <c r="BM139" s="181"/>
      <c r="BN139" s="181"/>
      <c r="BO139" s="181"/>
      <c r="BP139" s="181"/>
      <c r="BQ139" s="181"/>
      <c r="BR139" s="181"/>
      <c r="BS139" s="181"/>
      <c r="BT139" s="181"/>
      <c r="BU139" s="181"/>
      <c r="BV139" s="181"/>
    </row>
    <row r="140" spans="1:74" s="30" customFormat="1" ht="28.5" x14ac:dyDescent="0.25">
      <c r="A140" s="545"/>
      <c r="B140" s="1579"/>
      <c r="C140" s="1097"/>
      <c r="D140" s="1148" t="s">
        <v>105</v>
      </c>
      <c r="E140" s="1146" t="str">
        <f t="shared" si="26"/>
        <v/>
      </c>
      <c r="F140" s="1124"/>
      <c r="G140" s="886" t="s">
        <v>37</v>
      </c>
      <c r="H140" s="962" t="str">
        <f>IF(ISNUMBER(SEARCH("choose",LEED_Goal))=TRUE,"Error",IF(LEED_Goal="None","N",IF((ISNUMBER(SEARCH("certified",LEED_Goal)))=TRUE,"Y","N")))</f>
        <v>Y</v>
      </c>
      <c r="I140" s="886" t="s">
        <v>37</v>
      </c>
      <c r="J140" s="963" t="str">
        <f>IF(ISNUMBER(SEARCH("choose",LEED_Goal))=TRUE,"Error",IF(LEED_Goal="None","N",IF((ISNUMBER(SEARCH("certified",LEED_Goal)))=TRUE,"Y","N")))</f>
        <v>Y</v>
      </c>
      <c r="K140" s="886" t="s">
        <v>37</v>
      </c>
      <c r="L140" s="962" t="str">
        <f>IF(ISNUMBER(SEARCH("choose",LEED_Goal))=TRUE,"Error",IF(LEED_Goal="None","N",IF((ISNUMBER(SEARCH("certified",LEED_Goal)))=TRUE,"Y","N")))</f>
        <v>Y</v>
      </c>
      <c r="M140" s="886" t="s">
        <v>37</v>
      </c>
      <c r="N140" s="962" t="str">
        <f>IF(ISNUMBER(SEARCH("choose",LEED_Goal))=TRUE,"Error",IF(LEED_Goal="None","N",IF((ISNUMBER(SEARCH("certified",LEED_Goal)))=TRUE,"Y","N")))</f>
        <v>Y</v>
      </c>
      <c r="O140" s="886" t="s">
        <v>37</v>
      </c>
      <c r="P140" s="964" t="str">
        <f>IF(ISNUMBER(SEARCH("choose",LEED_Goal))=TRUE,"Error",IF(LEED_Goal="None","N",IF((ISNUMBER(SEARCH("certified",LEED_Goal)))=TRUE,"Y","N")))</f>
        <v>Y</v>
      </c>
      <c r="Q140" s="985" t="s">
        <v>38</v>
      </c>
      <c r="R140" s="962" t="s">
        <v>38</v>
      </c>
      <c r="S140" s="886" t="s">
        <v>38</v>
      </c>
      <c r="T140" s="963" t="s">
        <v>38</v>
      </c>
      <c r="U140" s="886" t="s">
        <v>37</v>
      </c>
      <c r="V140" s="962" t="s">
        <v>38</v>
      </c>
      <c r="W140" s="886" t="s">
        <v>38</v>
      </c>
      <c r="X140" s="812" t="s">
        <v>38</v>
      </c>
      <c r="Y140" s="430"/>
      <c r="Z140" s="583" t="s">
        <v>283</v>
      </c>
      <c r="AA140" s="972" t="s">
        <v>37</v>
      </c>
      <c r="AB140" s="1913"/>
      <c r="AC140" s="1125"/>
      <c r="AD140" s="1240"/>
      <c r="AE140" s="1239"/>
      <c r="AF140" s="1239"/>
      <c r="AG140" s="1239"/>
      <c r="AH140" s="1783"/>
      <c r="AI140" s="1765"/>
      <c r="AJ140" s="1239"/>
      <c r="AK140" s="1239"/>
      <c r="AL140" s="1095"/>
      <c r="AM140" s="1098"/>
      <c r="AN140" s="1095"/>
      <c r="AO140" s="1095"/>
      <c r="AP140" s="1095"/>
      <c r="AQ140" s="1106"/>
      <c r="AR140" s="1097"/>
      <c r="AS140" s="1097"/>
      <c r="AT140" s="181"/>
      <c r="AU140" s="181"/>
      <c r="AV140" s="181"/>
      <c r="AW140" s="181"/>
      <c r="AX140" s="181"/>
      <c r="AY140" s="181"/>
      <c r="AZ140" s="181"/>
      <c r="BA140" s="181"/>
      <c r="BB140" s="181"/>
      <c r="BC140" s="181"/>
      <c r="BD140" s="181"/>
      <c r="BE140" s="181"/>
      <c r="BF140" s="181"/>
      <c r="BG140" s="181"/>
      <c r="BH140" s="181"/>
      <c r="BI140" s="181"/>
      <c r="BJ140" s="181"/>
      <c r="BK140" s="181"/>
      <c r="BL140" s="181"/>
      <c r="BM140" s="181"/>
      <c r="BN140" s="181"/>
      <c r="BO140" s="181"/>
      <c r="BP140" s="181"/>
      <c r="BQ140" s="181"/>
      <c r="BR140" s="181"/>
      <c r="BS140" s="181"/>
      <c r="BT140" s="181"/>
      <c r="BU140" s="181"/>
      <c r="BV140" s="181"/>
    </row>
    <row r="141" spans="1:74" s="30" customFormat="1" ht="15.75" x14ac:dyDescent="0.25">
      <c r="A141" s="545"/>
      <c r="B141" s="1579"/>
      <c r="C141" s="1097"/>
      <c r="D141" s="1148" t="s">
        <v>105</v>
      </c>
      <c r="E141" s="1146" t="str">
        <f t="shared" si="26"/>
        <v/>
      </c>
      <c r="F141" s="1124"/>
      <c r="G141" s="886" t="s">
        <v>37</v>
      </c>
      <c r="H141" s="962" t="str">
        <f>IF(ISNUMBER(SEARCH("choose",LEED_Goal))=TRUE,"Error",IF(LEED_Goal="None","N",IF((ISNUMBER(SEARCH("certified",LEED_Goal)))=TRUE,"Y","N")))</f>
        <v>Y</v>
      </c>
      <c r="I141" s="886" t="s">
        <v>37</v>
      </c>
      <c r="J141" s="963" t="str">
        <f>IF(ISNUMBER(SEARCH("choose",LEED_Goal))=TRUE,"Error",IF(LEED_Goal="None","N",IF((ISNUMBER(SEARCH("certified",LEED_Goal)))=TRUE,"Y","N")))</f>
        <v>Y</v>
      </c>
      <c r="K141" s="886" t="s">
        <v>37</v>
      </c>
      <c r="L141" s="962" t="str">
        <f>IF(ISNUMBER(SEARCH("choose",LEED_Goal))=TRUE,"Error",IF(LEED_Goal="None","N",IF((ISNUMBER(SEARCH("certified",LEED_Goal)))=TRUE,"Y","N")))</f>
        <v>Y</v>
      </c>
      <c r="M141" s="886" t="s">
        <v>37</v>
      </c>
      <c r="N141" s="962" t="str">
        <f>IF(ISNUMBER(SEARCH("choose",LEED_Goal))=TRUE,"Error",IF(LEED_Goal="None","N",IF((ISNUMBER(SEARCH("certified",LEED_Goal)))=TRUE,"Y","N")))</f>
        <v>Y</v>
      </c>
      <c r="O141" s="886" t="s">
        <v>37</v>
      </c>
      <c r="P141" s="964" t="str">
        <f>IF(ISNUMBER(SEARCH("choose",LEED_Goal))=TRUE,"Error",IF(LEED_Goal="None","N",IF((ISNUMBER(SEARCH("certified",LEED_Goal)))=TRUE,"Y","N")))</f>
        <v>Y</v>
      </c>
      <c r="Q141" s="985" t="s">
        <v>38</v>
      </c>
      <c r="R141" s="962" t="s">
        <v>38</v>
      </c>
      <c r="S141" s="886" t="s">
        <v>38</v>
      </c>
      <c r="T141" s="963" t="s">
        <v>38</v>
      </c>
      <c r="U141" s="886" t="s">
        <v>37</v>
      </c>
      <c r="V141" s="962" t="s">
        <v>38</v>
      </c>
      <c r="W141" s="886" t="s">
        <v>38</v>
      </c>
      <c r="X141" s="817" t="s">
        <v>38</v>
      </c>
      <c r="Y141" s="430"/>
      <c r="Z141" s="583" t="s">
        <v>312</v>
      </c>
      <c r="AA141" s="972" t="s">
        <v>37</v>
      </c>
      <c r="AB141" s="1913"/>
      <c r="AC141" s="1125"/>
      <c r="AD141" s="1240"/>
      <c r="AE141" s="1239"/>
      <c r="AF141" s="1239" t="str">
        <f t="shared" si="30"/>
        <v xml:space="preserve"> (Updates to) </v>
      </c>
      <c r="AG141" s="1239" t="str">
        <f t="shared" si="31"/>
        <v xml:space="preserve"> (Updates to) </v>
      </c>
      <c r="AH141" s="1783" t="str">
        <f t="shared" si="32"/>
        <v xml:space="preserve"> (Updates to) </v>
      </c>
      <c r="AI141" s="1765" t="s">
        <v>574</v>
      </c>
      <c r="AJ141" s="1239"/>
      <c r="AK141" s="1239" t="s">
        <v>702</v>
      </c>
      <c r="AL141" s="1095"/>
      <c r="AM141" s="1098"/>
      <c r="AN141" s="1095"/>
      <c r="AO141" s="1095"/>
      <c r="AP141" s="1095"/>
      <c r="AQ141" s="1106"/>
      <c r="AR141" s="1097"/>
      <c r="AS141" s="1097"/>
      <c r="AT141" s="181"/>
      <c r="AU141" s="181"/>
      <c r="AV141" s="181"/>
      <c r="AW141" s="181"/>
      <c r="AX141" s="181"/>
      <c r="AY141" s="181"/>
      <c r="AZ141" s="181"/>
      <c r="BA141" s="181"/>
      <c r="BB141" s="181"/>
      <c r="BC141" s="181"/>
      <c r="BD141" s="181"/>
      <c r="BE141" s="181"/>
      <c r="BF141" s="181"/>
      <c r="BG141" s="181"/>
      <c r="BH141" s="181"/>
      <c r="BI141" s="181"/>
      <c r="BJ141" s="181"/>
      <c r="BK141" s="181"/>
      <c r="BL141" s="181"/>
      <c r="BM141" s="181"/>
      <c r="BN141" s="181"/>
      <c r="BO141" s="181"/>
      <c r="BP141" s="181"/>
      <c r="BQ141" s="181"/>
      <c r="BR141" s="181"/>
      <c r="BS141" s="181"/>
      <c r="BT141" s="181"/>
      <c r="BU141" s="181"/>
      <c r="BV141" s="181"/>
    </row>
    <row r="142" spans="1:74" s="30" customFormat="1" ht="15.75" x14ac:dyDescent="0.25">
      <c r="A142" s="545"/>
      <c r="B142" s="1579"/>
      <c r="C142" s="1097"/>
      <c r="D142" s="1148" t="s">
        <v>105</v>
      </c>
      <c r="E142" s="1146" t="str">
        <f t="shared" si="26"/>
        <v/>
      </c>
      <c r="F142" s="1124"/>
      <c r="G142" s="886" t="s">
        <v>38</v>
      </c>
      <c r="H142" s="962" t="s">
        <v>38</v>
      </c>
      <c r="I142" s="886" t="s">
        <v>37</v>
      </c>
      <c r="J142" s="963" t="s">
        <v>37</v>
      </c>
      <c r="K142" s="886" t="s">
        <v>37</v>
      </c>
      <c r="L142" s="962" t="str">
        <f t="shared" ref="L142:L145" si="33">IF(L132="No","N","Y")</f>
        <v>Y</v>
      </c>
      <c r="M142" s="886" t="s">
        <v>37</v>
      </c>
      <c r="N142" s="962" t="s">
        <v>37</v>
      </c>
      <c r="O142" s="886" t="s">
        <v>37</v>
      </c>
      <c r="P142" s="964" t="s">
        <v>37</v>
      </c>
      <c r="Q142" s="985" t="s">
        <v>37</v>
      </c>
      <c r="R142" s="962" t="s">
        <v>37</v>
      </c>
      <c r="S142" s="886" t="s">
        <v>38</v>
      </c>
      <c r="T142" s="963" t="s">
        <v>38</v>
      </c>
      <c r="U142" s="886" t="s">
        <v>37</v>
      </c>
      <c r="V142" s="962" t="s">
        <v>37</v>
      </c>
      <c r="W142" s="886" t="s">
        <v>38</v>
      </c>
      <c r="X142" s="812" t="s">
        <v>38</v>
      </c>
      <c r="Y142" s="430"/>
      <c r="Z142" s="890" t="s">
        <v>625</v>
      </c>
      <c r="AA142" s="972" t="s">
        <v>37</v>
      </c>
      <c r="AB142" s="1913"/>
      <c r="AC142" s="1125"/>
      <c r="AD142" s="1240"/>
      <c r="AE142" s="1239"/>
      <c r="AF142" s="1239" t="s">
        <v>540</v>
      </c>
      <c r="AG142" s="1239" t="s">
        <v>526</v>
      </c>
      <c r="AH142" s="1783" t="s">
        <v>536</v>
      </c>
      <c r="AI142" s="1765"/>
      <c r="AJ142" s="1239"/>
      <c r="AK142" s="1239"/>
      <c r="AL142" s="1095"/>
      <c r="AM142" s="1098"/>
      <c r="AN142" s="1095"/>
      <c r="AO142" s="1095"/>
      <c r="AP142" s="1095"/>
      <c r="AQ142" s="1106"/>
      <c r="AR142" s="1097"/>
      <c r="AS142" s="1097"/>
      <c r="AT142" s="181"/>
      <c r="AU142" s="181"/>
      <c r="AV142" s="181"/>
      <c r="AW142" s="181"/>
      <c r="AX142" s="181"/>
      <c r="AY142" s="181"/>
      <c r="AZ142" s="181"/>
      <c r="BA142" s="181"/>
      <c r="BB142" s="181"/>
      <c r="BC142" s="181"/>
      <c r="BD142" s="181"/>
      <c r="BE142" s="181"/>
      <c r="BF142" s="181"/>
      <c r="BG142" s="181"/>
      <c r="BH142" s="181"/>
      <c r="BI142" s="181"/>
      <c r="BJ142" s="181"/>
      <c r="BK142" s="181"/>
      <c r="BL142" s="181"/>
      <c r="BM142" s="181"/>
      <c r="BN142" s="181"/>
      <c r="BO142" s="181"/>
      <c r="BP142" s="181"/>
      <c r="BQ142" s="181"/>
      <c r="BR142" s="181"/>
      <c r="BS142" s="181"/>
      <c r="BT142" s="181"/>
      <c r="BU142" s="181"/>
      <c r="BV142" s="181"/>
    </row>
    <row r="143" spans="1:74" s="30" customFormat="1" ht="15.75" x14ac:dyDescent="0.25">
      <c r="A143" s="545"/>
      <c r="B143" s="1579"/>
      <c r="C143" s="1097"/>
      <c r="D143" s="1148" t="s">
        <v>105</v>
      </c>
      <c r="E143" s="1146" t="str">
        <f t="shared" si="26"/>
        <v/>
      </c>
      <c r="F143" s="1124"/>
      <c r="G143" s="886" t="s">
        <v>38</v>
      </c>
      <c r="H143" s="962" t="s">
        <v>38</v>
      </c>
      <c r="I143" s="886" t="s">
        <v>37</v>
      </c>
      <c r="J143" s="963" t="s">
        <v>37</v>
      </c>
      <c r="K143" s="886" t="s">
        <v>37</v>
      </c>
      <c r="L143" s="962" t="str">
        <f t="shared" si="33"/>
        <v>Y</v>
      </c>
      <c r="M143" s="886" t="s">
        <v>37</v>
      </c>
      <c r="N143" s="962" t="s">
        <v>37</v>
      </c>
      <c r="O143" s="886" t="s">
        <v>37</v>
      </c>
      <c r="P143" s="964" t="s">
        <v>37</v>
      </c>
      <c r="Q143" s="985" t="s">
        <v>37</v>
      </c>
      <c r="R143" s="962" t="s">
        <v>37</v>
      </c>
      <c r="S143" s="886" t="s">
        <v>38</v>
      </c>
      <c r="T143" s="963" t="s">
        <v>38</v>
      </c>
      <c r="U143" s="886" t="s">
        <v>37</v>
      </c>
      <c r="V143" s="962" t="s">
        <v>37</v>
      </c>
      <c r="W143" s="886" t="s">
        <v>38</v>
      </c>
      <c r="X143" s="812" t="s">
        <v>38</v>
      </c>
      <c r="Y143" s="430"/>
      <c r="Z143" s="890" t="s">
        <v>870</v>
      </c>
      <c r="AA143" s="972" t="s">
        <v>37</v>
      </c>
      <c r="AB143" s="1913"/>
      <c r="AC143" s="1125"/>
      <c r="AD143" s="1240"/>
      <c r="AE143" s="1239"/>
      <c r="AF143" s="1239" t="str">
        <f t="shared" si="30"/>
        <v xml:space="preserve"> (Updates to) </v>
      </c>
      <c r="AG143" s="1239" t="str">
        <f t="shared" si="31"/>
        <v xml:space="preserve"> (Updates to) </v>
      </c>
      <c r="AH143" s="1783" t="str">
        <f t="shared" si="32"/>
        <v xml:space="preserve"> (Updates to) </v>
      </c>
      <c r="AI143" s="1765" t="s">
        <v>574</v>
      </c>
      <c r="AJ143" s="1239"/>
      <c r="AK143" s="1239" t="s">
        <v>702</v>
      </c>
      <c r="AL143" s="1095"/>
      <c r="AM143" s="1098"/>
      <c r="AN143" s="1095"/>
      <c r="AO143" s="1095"/>
      <c r="AP143" s="1095"/>
      <c r="AQ143" s="1106"/>
      <c r="AR143" s="1097"/>
      <c r="AS143" s="1097"/>
      <c r="AT143" s="181"/>
      <c r="AU143" s="181"/>
      <c r="AV143" s="181"/>
      <c r="AW143" s="181"/>
      <c r="AX143" s="181"/>
      <c r="AY143" s="181"/>
      <c r="AZ143" s="181"/>
      <c r="BA143" s="181"/>
      <c r="BB143" s="181"/>
      <c r="BC143" s="181"/>
      <c r="BD143" s="181"/>
      <c r="BE143" s="181"/>
      <c r="BF143" s="181"/>
      <c r="BG143" s="181"/>
      <c r="BH143" s="181"/>
      <c r="BI143" s="181"/>
      <c r="BJ143" s="181"/>
      <c r="BK143" s="181"/>
      <c r="BL143" s="181"/>
      <c r="BM143" s="181"/>
      <c r="BN143" s="181"/>
      <c r="BO143" s="181"/>
      <c r="BP143" s="181"/>
      <c r="BQ143" s="181"/>
      <c r="BR143" s="181"/>
      <c r="BS143" s="181"/>
      <c r="BT143" s="181"/>
      <c r="BU143" s="181"/>
      <c r="BV143" s="181"/>
    </row>
    <row r="144" spans="1:74" s="30" customFormat="1" ht="15.75" x14ac:dyDescent="0.25">
      <c r="A144" s="545"/>
      <c r="B144" s="1579"/>
      <c r="C144" s="1097"/>
      <c r="D144" s="1145" t="s">
        <v>105</v>
      </c>
      <c r="E144" s="1146" t="str">
        <f t="shared" si="26"/>
        <v/>
      </c>
      <c r="F144" s="1124"/>
      <c r="G144" s="886" t="s">
        <v>38</v>
      </c>
      <c r="H144" s="962" t="s">
        <v>38</v>
      </c>
      <c r="I144" s="886" t="s">
        <v>37</v>
      </c>
      <c r="J144" s="963" t="s">
        <v>37</v>
      </c>
      <c r="K144" s="886" t="s">
        <v>37</v>
      </c>
      <c r="L144" s="962" t="str">
        <f t="shared" si="33"/>
        <v>Y</v>
      </c>
      <c r="M144" s="886" t="s">
        <v>37</v>
      </c>
      <c r="N144" s="962" t="s">
        <v>37</v>
      </c>
      <c r="O144" s="886" t="s">
        <v>37</v>
      </c>
      <c r="P144" s="964" t="s">
        <v>37</v>
      </c>
      <c r="Q144" s="985" t="s">
        <v>37</v>
      </c>
      <c r="R144" s="962" t="s">
        <v>37</v>
      </c>
      <c r="S144" s="886" t="s">
        <v>38</v>
      </c>
      <c r="T144" s="963" t="s">
        <v>38</v>
      </c>
      <c r="U144" s="886" t="s">
        <v>37</v>
      </c>
      <c r="V144" s="962" t="s">
        <v>37</v>
      </c>
      <c r="W144" s="886" t="s">
        <v>38</v>
      </c>
      <c r="X144" s="812" t="s">
        <v>38</v>
      </c>
      <c r="Y144" s="430"/>
      <c r="Z144" s="583" t="s">
        <v>296</v>
      </c>
      <c r="AA144" s="972" t="s">
        <v>37</v>
      </c>
      <c r="AB144" s="1913"/>
      <c r="AC144" s="1125"/>
      <c r="AD144" s="1240"/>
      <c r="AE144" s="1239"/>
      <c r="AF144" s="1239" t="str">
        <f t="shared" si="30"/>
        <v xml:space="preserve"> (Updates to) </v>
      </c>
      <c r="AG144" s="1239" t="str">
        <f t="shared" si="31"/>
        <v xml:space="preserve"> (Updates to) </v>
      </c>
      <c r="AH144" s="1783" t="str">
        <f t="shared" si="32"/>
        <v xml:space="preserve"> (Updates to) </v>
      </c>
      <c r="AI144" s="1765" t="s">
        <v>574</v>
      </c>
      <c r="AJ144" s="1239"/>
      <c r="AK144" s="1239" t="s">
        <v>702</v>
      </c>
      <c r="AL144" s="1095"/>
      <c r="AM144" s="1098"/>
      <c r="AN144" s="1095"/>
      <c r="AO144" s="1095"/>
      <c r="AP144" s="1095"/>
      <c r="AQ144" s="1106"/>
      <c r="AR144" s="1097"/>
      <c r="AS144" s="1097"/>
      <c r="AT144" s="181"/>
      <c r="AU144" s="181"/>
      <c r="AV144" s="181"/>
      <c r="AW144" s="181"/>
      <c r="AX144" s="181"/>
      <c r="AY144" s="181"/>
      <c r="AZ144" s="181"/>
      <c r="BA144" s="181"/>
      <c r="BB144" s="181"/>
      <c r="BC144" s="181"/>
      <c r="BD144" s="181"/>
      <c r="BE144" s="181"/>
      <c r="BF144" s="181"/>
      <c r="BG144" s="181"/>
      <c r="BH144" s="181"/>
      <c r="BI144" s="181"/>
      <c r="BJ144" s="181"/>
      <c r="BK144" s="181"/>
      <c r="BL144" s="181"/>
      <c r="BM144" s="181"/>
      <c r="BN144" s="181"/>
      <c r="BO144" s="181"/>
      <c r="BP144" s="181"/>
      <c r="BQ144" s="181"/>
      <c r="BR144" s="181"/>
      <c r="BS144" s="181"/>
      <c r="BT144" s="181"/>
      <c r="BU144" s="181"/>
      <c r="BV144" s="181"/>
    </row>
    <row r="145" spans="1:74" s="30" customFormat="1" ht="15.75" x14ac:dyDescent="0.25">
      <c r="A145" s="545"/>
      <c r="B145" s="1579"/>
      <c r="C145" s="1097"/>
      <c r="D145" s="1145" t="s">
        <v>105</v>
      </c>
      <c r="E145" s="1146" t="str">
        <f t="shared" si="26"/>
        <v/>
      </c>
      <c r="F145" s="1124"/>
      <c r="G145" s="886" t="s">
        <v>38</v>
      </c>
      <c r="H145" s="962" t="s">
        <v>38</v>
      </c>
      <c r="I145" s="886" t="s">
        <v>37</v>
      </c>
      <c r="J145" s="963" t="s">
        <v>37</v>
      </c>
      <c r="K145" s="886" t="s">
        <v>37</v>
      </c>
      <c r="L145" s="962" t="str">
        <f t="shared" si="33"/>
        <v>Y</v>
      </c>
      <c r="M145" s="886" t="s">
        <v>37</v>
      </c>
      <c r="N145" s="962" t="s">
        <v>37</v>
      </c>
      <c r="O145" s="886" t="s">
        <v>37</v>
      </c>
      <c r="P145" s="964" t="s">
        <v>37</v>
      </c>
      <c r="Q145" s="985" t="s">
        <v>37</v>
      </c>
      <c r="R145" s="962" t="s">
        <v>37</v>
      </c>
      <c r="S145" s="886" t="s">
        <v>38</v>
      </c>
      <c r="T145" s="963" t="s">
        <v>38</v>
      </c>
      <c r="U145" s="886" t="s">
        <v>37</v>
      </c>
      <c r="V145" s="962" t="s">
        <v>37</v>
      </c>
      <c r="W145" s="886" t="s">
        <v>38</v>
      </c>
      <c r="X145" s="812" t="s">
        <v>38</v>
      </c>
      <c r="Y145" s="430"/>
      <c r="Z145" s="583" t="s">
        <v>28</v>
      </c>
      <c r="AA145" s="972" t="s">
        <v>37</v>
      </c>
      <c r="AB145" s="1913"/>
      <c r="AC145" s="1125"/>
      <c r="AD145" s="1240"/>
      <c r="AE145" s="1239"/>
      <c r="AF145" s="1239" t="str">
        <f t="shared" si="30"/>
        <v xml:space="preserve"> (Updates to) </v>
      </c>
      <c r="AG145" s="1239" t="str">
        <f t="shared" si="31"/>
        <v xml:space="preserve"> (Updates to) </v>
      </c>
      <c r="AH145" s="1783" t="str">
        <f t="shared" si="32"/>
        <v xml:space="preserve"> (Updates to) </v>
      </c>
      <c r="AI145" s="1765" t="s">
        <v>574</v>
      </c>
      <c r="AJ145" s="1239"/>
      <c r="AK145" s="1239" t="s">
        <v>702</v>
      </c>
      <c r="AL145" s="1095"/>
      <c r="AM145" s="1098"/>
      <c r="AN145" s="1095"/>
      <c r="AO145" s="1095"/>
      <c r="AP145" s="1095"/>
      <c r="AQ145" s="1106"/>
      <c r="AR145" s="1097"/>
      <c r="AS145" s="1097"/>
      <c r="AT145" s="181"/>
      <c r="AU145" s="181"/>
      <c r="AV145" s="181"/>
      <c r="AW145" s="181"/>
      <c r="AX145" s="181"/>
      <c r="AY145" s="181"/>
      <c r="AZ145" s="181"/>
      <c r="BA145" s="181"/>
      <c r="BB145" s="181"/>
      <c r="BC145" s="181"/>
      <c r="BD145" s="181"/>
      <c r="BE145" s="181"/>
      <c r="BF145" s="181"/>
      <c r="BG145" s="181"/>
      <c r="BH145" s="181"/>
      <c r="BI145" s="181"/>
      <c r="BJ145" s="181"/>
      <c r="BK145" s="181"/>
      <c r="BL145" s="181"/>
      <c r="BM145" s="181"/>
      <c r="BN145" s="181"/>
      <c r="BO145" s="181"/>
      <c r="BP145" s="181"/>
      <c r="BQ145" s="181"/>
      <c r="BR145" s="181"/>
      <c r="BS145" s="181"/>
      <c r="BT145" s="181"/>
      <c r="BU145" s="181"/>
      <c r="BV145" s="181"/>
    </row>
    <row r="146" spans="1:74" s="30" customFormat="1" ht="15.75" x14ac:dyDescent="0.25">
      <c r="A146" s="545"/>
      <c r="B146" s="1579"/>
      <c r="C146" s="1097"/>
      <c r="D146" s="1145" t="s">
        <v>105</v>
      </c>
      <c r="E146" s="1146" t="str">
        <f>IF(Z146="","",IF(OR(AND(OR(G146="Y",G146="?"),_00_apply="Yes"),AND(OR(I146="Y",I146="?"),_01_apply="Yes"),AND(OR(K146="Y",K146="?"),_02_apply="Yes"),AND(OR(M146="Y",M146="?"),_03_apply="Yes"),AND(OR(O146="Y",O146="?"),_04_apply="Yes"),AND(OR(Q146="Y",Q146="?"),_05_apply="Yes"),AND(OR(S146="?",S146="Y"),_06_apply="Yes"),AND(OR(U146="?",U146="Y"),_07_apply="Yes"),AND(OR(W146="Y",W146="?"),_08_apply="Yes")),"","N"))</f>
        <v/>
      </c>
      <c r="F146" s="1124"/>
      <c r="G146" s="886" t="s">
        <v>38</v>
      </c>
      <c r="H146" s="962" t="s">
        <v>38</v>
      </c>
      <c r="I146" s="886" t="s">
        <v>38</v>
      </c>
      <c r="J146" s="963" t="s">
        <v>38</v>
      </c>
      <c r="K146" s="886" t="s">
        <v>38</v>
      </c>
      <c r="L146" s="962" t="s">
        <v>38</v>
      </c>
      <c r="M146" s="886" t="s">
        <v>38</v>
      </c>
      <c r="N146" s="962" t="s">
        <v>38</v>
      </c>
      <c r="O146" s="886" t="s">
        <v>38</v>
      </c>
      <c r="P146" s="964" t="s">
        <v>21</v>
      </c>
      <c r="Q146" s="985" t="s">
        <v>37</v>
      </c>
      <c r="R146" s="962" t="s">
        <v>38</v>
      </c>
      <c r="S146" s="886" t="s">
        <v>38</v>
      </c>
      <c r="T146" s="963" t="s">
        <v>38</v>
      </c>
      <c r="U146" s="886" t="s">
        <v>38</v>
      </c>
      <c r="V146" s="962" t="s">
        <v>38</v>
      </c>
      <c r="W146" s="886" t="s">
        <v>38</v>
      </c>
      <c r="X146" s="812" t="s">
        <v>38</v>
      </c>
      <c r="Y146" s="430"/>
      <c r="Z146" s="889" t="s">
        <v>1082</v>
      </c>
      <c r="AA146" s="972" t="s">
        <v>37</v>
      </c>
      <c r="AB146" s="1913"/>
      <c r="AC146" s="1125"/>
      <c r="AD146" s="1240"/>
      <c r="AE146" s="1239"/>
      <c r="AF146" s="1240"/>
      <c r="AG146" s="1240"/>
      <c r="AH146" s="1783"/>
      <c r="AI146" s="1765" t="s">
        <v>1083</v>
      </c>
      <c r="AJ146" s="1239"/>
      <c r="AK146" s="1239"/>
      <c r="AL146" s="1095"/>
      <c r="AM146" s="1095"/>
      <c r="AN146" s="1095"/>
      <c r="AO146" s="1095"/>
      <c r="AP146" s="1095"/>
      <c r="AQ146" s="1106"/>
      <c r="AR146" s="1097"/>
      <c r="AS146" s="1097"/>
      <c r="AT146" s="181"/>
      <c r="AU146" s="181"/>
      <c r="AV146" s="181"/>
      <c r="AW146" s="181"/>
      <c r="AX146" s="181"/>
      <c r="AY146" s="181"/>
      <c r="AZ146" s="181"/>
      <c r="BA146" s="181"/>
      <c r="BB146" s="181"/>
      <c r="BC146" s="181"/>
      <c r="BD146" s="181"/>
      <c r="BE146" s="181"/>
      <c r="BF146" s="181"/>
      <c r="BG146" s="181"/>
      <c r="BH146" s="181"/>
      <c r="BI146" s="181"/>
      <c r="BJ146" s="181"/>
      <c r="BK146" s="181"/>
      <c r="BL146" s="181"/>
      <c r="BM146" s="181"/>
      <c r="BN146" s="181"/>
      <c r="BO146" s="181"/>
      <c r="BP146" s="181"/>
      <c r="BQ146" s="181"/>
      <c r="BR146" s="181"/>
      <c r="BS146" s="181"/>
      <c r="BT146" s="181"/>
      <c r="BU146" s="181"/>
      <c r="BV146" s="181"/>
    </row>
    <row r="147" spans="1:74" s="30" customFormat="1" ht="15.75" x14ac:dyDescent="0.25">
      <c r="A147" s="545"/>
      <c r="B147" s="1579"/>
      <c r="C147" s="1097"/>
      <c r="D147" s="1145" t="s">
        <v>105</v>
      </c>
      <c r="E147" s="1146" t="str">
        <f t="shared" si="26"/>
        <v/>
      </c>
      <c r="F147" s="1124"/>
      <c r="G147" s="886" t="s">
        <v>38</v>
      </c>
      <c r="H147" s="962" t="s">
        <v>38</v>
      </c>
      <c r="I147" s="886" t="s">
        <v>37</v>
      </c>
      <c r="J147" s="963" t="s">
        <v>37</v>
      </c>
      <c r="K147" s="886" t="s">
        <v>37</v>
      </c>
      <c r="L147" s="962" t="str">
        <f>IF(L136="No","N","Y")</f>
        <v>Y</v>
      </c>
      <c r="M147" s="886" t="s">
        <v>37</v>
      </c>
      <c r="N147" s="962" t="s">
        <v>37</v>
      </c>
      <c r="O147" s="886" t="s">
        <v>37</v>
      </c>
      <c r="P147" s="964" t="s">
        <v>37</v>
      </c>
      <c r="Q147" s="985" t="s">
        <v>37</v>
      </c>
      <c r="R147" s="962" t="s">
        <v>37</v>
      </c>
      <c r="S147" s="886" t="s">
        <v>38</v>
      </c>
      <c r="T147" s="963" t="s">
        <v>38</v>
      </c>
      <c r="U147" s="886" t="s">
        <v>37</v>
      </c>
      <c r="V147" s="962" t="s">
        <v>37</v>
      </c>
      <c r="W147" s="886" t="s">
        <v>38</v>
      </c>
      <c r="X147" s="812" t="s">
        <v>38</v>
      </c>
      <c r="Y147" s="430"/>
      <c r="Z147" s="588" t="s">
        <v>288</v>
      </c>
      <c r="AA147" s="972" t="s">
        <v>37</v>
      </c>
      <c r="AB147" s="1913"/>
      <c r="AC147" s="1125"/>
      <c r="AD147" s="1240"/>
      <c r="AE147" s="1239"/>
      <c r="AF147" s="1239"/>
      <c r="AG147" s="1239"/>
      <c r="AH147" s="1783"/>
      <c r="AI147" s="1765"/>
      <c r="AJ147" s="1239"/>
      <c r="AK147" s="1239"/>
      <c r="AL147" s="1095"/>
      <c r="AM147" s="1098"/>
      <c r="AN147" s="1095"/>
      <c r="AO147" s="1095"/>
      <c r="AP147" s="1095"/>
      <c r="AQ147" s="1106"/>
      <c r="AR147" s="1097"/>
      <c r="AS147" s="1097"/>
      <c r="AT147" s="181"/>
      <c r="AU147" s="181"/>
      <c r="AV147" s="181"/>
      <c r="AW147" s="181"/>
      <c r="AX147" s="181"/>
      <c r="AY147" s="181"/>
      <c r="AZ147" s="181"/>
      <c r="BA147" s="181"/>
      <c r="BB147" s="181"/>
      <c r="BC147" s="181"/>
      <c r="BD147" s="181"/>
      <c r="BE147" s="181"/>
      <c r="BF147" s="181"/>
      <c r="BG147" s="181"/>
      <c r="BH147" s="181"/>
      <c r="BI147" s="181"/>
      <c r="BJ147" s="181"/>
      <c r="BK147" s="181"/>
      <c r="BL147" s="181"/>
      <c r="BM147" s="181"/>
      <c r="BN147" s="181"/>
      <c r="BO147" s="181"/>
      <c r="BP147" s="181"/>
      <c r="BQ147" s="181"/>
      <c r="BR147" s="181"/>
      <c r="BS147" s="181"/>
      <c r="BT147" s="181"/>
      <c r="BU147" s="181"/>
      <c r="BV147" s="181"/>
    </row>
    <row r="148" spans="1:74" s="30" customFormat="1" ht="15.75" x14ac:dyDescent="0.25">
      <c r="A148" s="545"/>
      <c r="B148" s="1579"/>
      <c r="C148" s="1097"/>
      <c r="D148" s="1145" t="s">
        <v>105</v>
      </c>
      <c r="E148" s="1146" t="str">
        <f t="shared" si="26"/>
        <v/>
      </c>
      <c r="F148" s="1124"/>
      <c r="G148" s="886" t="s">
        <v>38</v>
      </c>
      <c r="H148" s="962" t="s">
        <v>38</v>
      </c>
      <c r="I148" s="886" t="s">
        <v>37</v>
      </c>
      <c r="J148" s="963" t="s">
        <v>37</v>
      </c>
      <c r="K148" s="886" t="s">
        <v>37</v>
      </c>
      <c r="L148" s="962" t="str">
        <f>IF(L137="No","N","Y")</f>
        <v>Y</v>
      </c>
      <c r="M148" s="886" t="s">
        <v>37</v>
      </c>
      <c r="N148" s="962" t="s">
        <v>37</v>
      </c>
      <c r="O148" s="886" t="s">
        <v>37</v>
      </c>
      <c r="P148" s="964" t="s">
        <v>37</v>
      </c>
      <c r="Q148" s="985" t="s">
        <v>37</v>
      </c>
      <c r="R148" s="962" t="s">
        <v>37</v>
      </c>
      <c r="S148" s="886" t="s">
        <v>38</v>
      </c>
      <c r="T148" s="963" t="s">
        <v>38</v>
      </c>
      <c r="U148" s="886" t="s">
        <v>37</v>
      </c>
      <c r="V148" s="962" t="s">
        <v>37</v>
      </c>
      <c r="W148" s="886" t="s">
        <v>38</v>
      </c>
      <c r="X148" s="812" t="s">
        <v>38</v>
      </c>
      <c r="Y148" s="430"/>
      <c r="Z148" s="583" t="s">
        <v>479</v>
      </c>
      <c r="AA148" s="972" t="s">
        <v>37</v>
      </c>
      <c r="AB148" s="1913"/>
      <c r="AC148" s="1125"/>
      <c r="AD148" s="1240"/>
      <c r="AE148" s="1239" t="s">
        <v>537</v>
      </c>
      <c r="AF148" s="1240" t="s">
        <v>538</v>
      </c>
      <c r="AG148" s="1240" t="s">
        <v>539</v>
      </c>
      <c r="AH148" s="1783" t="s">
        <v>542</v>
      </c>
      <c r="AI148" s="1765" t="s">
        <v>540</v>
      </c>
      <c r="AJ148" s="1239"/>
      <c r="AK148" s="1239" t="s">
        <v>793</v>
      </c>
      <c r="AL148" s="1095"/>
      <c r="AM148" s="1098"/>
      <c r="AN148" s="1095"/>
      <c r="AO148" s="1095"/>
      <c r="AP148" s="1095"/>
      <c r="AQ148" s="1106"/>
      <c r="AR148" s="1097"/>
      <c r="AS148" s="1097"/>
      <c r="AT148" s="181"/>
      <c r="AU148" s="181"/>
      <c r="AV148" s="181"/>
      <c r="AW148" s="181"/>
      <c r="AX148" s="181"/>
      <c r="AY148" s="181"/>
      <c r="AZ148" s="181"/>
      <c r="BA148" s="181"/>
      <c r="BB148" s="181"/>
      <c r="BC148" s="181"/>
      <c r="BD148" s="181"/>
      <c r="BE148" s="181"/>
      <c r="BF148" s="181"/>
      <c r="BG148" s="181"/>
      <c r="BH148" s="181"/>
      <c r="BI148" s="181"/>
      <c r="BJ148" s="181"/>
      <c r="BK148" s="181"/>
      <c r="BL148" s="181"/>
      <c r="BM148" s="181"/>
      <c r="BN148" s="181"/>
      <c r="BO148" s="181"/>
      <c r="BP148" s="181"/>
      <c r="BQ148" s="181"/>
      <c r="BR148" s="181"/>
      <c r="BS148" s="181"/>
      <c r="BT148" s="181"/>
      <c r="BU148" s="181"/>
      <c r="BV148" s="181"/>
    </row>
    <row r="149" spans="1:74" s="30" customFormat="1" ht="15.75" x14ac:dyDescent="0.25">
      <c r="A149" s="545"/>
      <c r="B149" s="1579"/>
      <c r="C149" s="1097"/>
      <c r="D149" s="1145" t="s">
        <v>105</v>
      </c>
      <c r="E149" s="1146" t="str">
        <f t="shared" si="26"/>
        <v/>
      </c>
      <c r="F149" s="1124"/>
      <c r="G149" s="886" t="s">
        <v>38</v>
      </c>
      <c r="H149" s="962" t="s">
        <v>38</v>
      </c>
      <c r="I149" s="886" t="s">
        <v>37</v>
      </c>
      <c r="J149" s="963" t="s">
        <v>37</v>
      </c>
      <c r="K149" s="886" t="s">
        <v>37</v>
      </c>
      <c r="L149" s="962" t="str">
        <f>IF(L138="No","N","Y")</f>
        <v>Y</v>
      </c>
      <c r="M149" s="886" t="s">
        <v>37</v>
      </c>
      <c r="N149" s="962" t="s">
        <v>37</v>
      </c>
      <c r="O149" s="886" t="s">
        <v>37</v>
      </c>
      <c r="P149" s="964" t="s">
        <v>37</v>
      </c>
      <c r="Q149" s="985" t="s">
        <v>37</v>
      </c>
      <c r="R149" s="962" t="s">
        <v>37</v>
      </c>
      <c r="S149" s="886" t="s">
        <v>38</v>
      </c>
      <c r="T149" s="963" t="s">
        <v>38</v>
      </c>
      <c r="U149" s="886" t="s">
        <v>37</v>
      </c>
      <c r="V149" s="962" t="s">
        <v>37</v>
      </c>
      <c r="W149" s="886" t="s">
        <v>38</v>
      </c>
      <c r="X149" s="812" t="s">
        <v>38</v>
      </c>
      <c r="Y149" s="430"/>
      <c r="Z149" s="583" t="s">
        <v>480</v>
      </c>
      <c r="AA149" s="972" t="s">
        <v>37</v>
      </c>
      <c r="AB149" s="1913"/>
      <c r="AC149" s="1125"/>
      <c r="AD149" s="1240"/>
      <c r="AE149" s="1239" t="s">
        <v>537</v>
      </c>
      <c r="AF149" s="1240" t="s">
        <v>538</v>
      </c>
      <c r="AG149" s="1240" t="s">
        <v>539</v>
      </c>
      <c r="AH149" s="1783" t="s">
        <v>542</v>
      </c>
      <c r="AI149" s="1765" t="s">
        <v>540</v>
      </c>
      <c r="AJ149" s="1239"/>
      <c r="AK149" s="1239" t="s">
        <v>793</v>
      </c>
      <c r="AL149" s="1095"/>
      <c r="AM149" s="1098"/>
      <c r="AN149" s="1095"/>
      <c r="AO149" s="1095"/>
      <c r="AP149" s="1095"/>
      <c r="AQ149" s="1106"/>
      <c r="AR149" s="1097"/>
      <c r="AS149" s="1097"/>
      <c r="AT149" s="181"/>
      <c r="AU149" s="181"/>
      <c r="AV149" s="181"/>
      <c r="AW149" s="181"/>
      <c r="AX149" s="181"/>
      <c r="AY149" s="181"/>
      <c r="AZ149" s="181"/>
      <c r="BA149" s="181"/>
      <c r="BB149" s="181"/>
      <c r="BC149" s="181"/>
      <c r="BD149" s="181"/>
      <c r="BE149" s="181"/>
      <c r="BF149" s="181"/>
      <c r="BG149" s="181"/>
      <c r="BH149" s="181"/>
      <c r="BI149" s="181"/>
      <c r="BJ149" s="181"/>
      <c r="BK149" s="181"/>
      <c r="BL149" s="181"/>
      <c r="BM149" s="181"/>
      <c r="BN149" s="181"/>
      <c r="BO149" s="181"/>
      <c r="BP149" s="181"/>
      <c r="BQ149" s="181"/>
      <c r="BR149" s="181"/>
      <c r="BS149" s="181"/>
      <c r="BT149" s="181"/>
      <c r="BU149" s="181"/>
      <c r="BV149" s="181"/>
    </row>
    <row r="150" spans="1:74" s="30" customFormat="1" ht="15.75" x14ac:dyDescent="0.25">
      <c r="A150" s="545"/>
      <c r="B150" s="1579"/>
      <c r="C150" s="1097"/>
      <c r="D150" s="1145" t="s">
        <v>105</v>
      </c>
      <c r="E150" s="1146" t="str">
        <f t="shared" si="26"/>
        <v/>
      </c>
      <c r="F150" s="1124"/>
      <c r="G150" s="886" t="s">
        <v>38</v>
      </c>
      <c r="H150" s="962" t="s">
        <v>38</v>
      </c>
      <c r="I150" s="886" t="s">
        <v>38</v>
      </c>
      <c r="J150" s="963" t="s">
        <v>38</v>
      </c>
      <c r="K150" s="886" t="s">
        <v>38</v>
      </c>
      <c r="L150" s="962" t="s">
        <v>38</v>
      </c>
      <c r="M150" s="886" t="s">
        <v>38</v>
      </c>
      <c r="N150" s="962" t="s">
        <v>38</v>
      </c>
      <c r="O150" s="886" t="s">
        <v>38</v>
      </c>
      <c r="P150" s="964" t="s">
        <v>38</v>
      </c>
      <c r="Q150" s="985" t="s">
        <v>38</v>
      </c>
      <c r="R150" s="962" t="s">
        <v>38</v>
      </c>
      <c r="S150" s="886" t="s">
        <v>38</v>
      </c>
      <c r="T150" s="963" t="s">
        <v>38</v>
      </c>
      <c r="U150" s="886" t="s">
        <v>37</v>
      </c>
      <c r="V150" s="962" t="s">
        <v>37</v>
      </c>
      <c r="W150" s="886" t="s">
        <v>38</v>
      </c>
      <c r="X150" s="812" t="s">
        <v>38</v>
      </c>
      <c r="Y150" s="430"/>
      <c r="Z150" s="588" t="s">
        <v>289</v>
      </c>
      <c r="AA150" s="972" t="s">
        <v>37</v>
      </c>
      <c r="AB150" s="1913"/>
      <c r="AC150" s="1125"/>
      <c r="AD150" s="1240"/>
      <c r="AE150" s="1239"/>
      <c r="AF150" s="1240"/>
      <c r="AG150" s="1240"/>
      <c r="AH150" s="1783"/>
      <c r="AI150" s="1765"/>
      <c r="AJ150" s="1239"/>
      <c r="AK150" s="1239" t="s">
        <v>793</v>
      </c>
      <c r="AL150" s="1095"/>
      <c r="AM150" s="1098"/>
      <c r="AN150" s="1095"/>
      <c r="AO150" s="1095"/>
      <c r="AP150" s="1095"/>
      <c r="AQ150" s="1106"/>
      <c r="AR150" s="1097"/>
      <c r="AS150" s="1097"/>
      <c r="AT150" s="181"/>
      <c r="AU150" s="181"/>
      <c r="AV150" s="181"/>
      <c r="AW150" s="181"/>
      <c r="AX150" s="181"/>
      <c r="AY150" s="181"/>
      <c r="AZ150" s="181"/>
      <c r="BA150" s="181"/>
      <c r="BB150" s="181"/>
      <c r="BC150" s="181"/>
      <c r="BD150" s="181"/>
      <c r="BE150" s="181"/>
      <c r="BF150" s="181"/>
      <c r="BG150" s="181"/>
      <c r="BH150" s="181"/>
      <c r="BI150" s="181"/>
      <c r="BJ150" s="181"/>
      <c r="BK150" s="181"/>
      <c r="BL150" s="181"/>
      <c r="BM150" s="181"/>
      <c r="BN150" s="181"/>
      <c r="BO150" s="181"/>
      <c r="BP150" s="181"/>
      <c r="BQ150" s="181"/>
      <c r="BR150" s="181"/>
      <c r="BS150" s="181"/>
      <c r="BT150" s="181"/>
      <c r="BU150" s="181"/>
      <c r="BV150" s="181"/>
    </row>
    <row r="151" spans="1:74" s="30" customFormat="1" ht="15.75" x14ac:dyDescent="0.25">
      <c r="A151" s="545"/>
      <c r="B151" s="1579"/>
      <c r="C151" s="1097"/>
      <c r="D151" s="1145" t="s">
        <v>105</v>
      </c>
      <c r="E151" s="1146" t="str">
        <f t="shared" si="26"/>
        <v/>
      </c>
      <c r="F151" s="1124"/>
      <c r="G151" s="886" t="s">
        <v>38</v>
      </c>
      <c r="H151" s="962" t="s">
        <v>38</v>
      </c>
      <c r="I151" s="886" t="s">
        <v>37</v>
      </c>
      <c r="J151" s="963" t="s">
        <v>37</v>
      </c>
      <c r="K151" s="886" t="s">
        <v>37</v>
      </c>
      <c r="L151" s="962" t="str">
        <f>IF(L140="No","N","Y")</f>
        <v>Y</v>
      </c>
      <c r="M151" s="886" t="s">
        <v>37</v>
      </c>
      <c r="N151" s="962" t="s">
        <v>37</v>
      </c>
      <c r="O151" s="886" t="s">
        <v>37</v>
      </c>
      <c r="P151" s="964" t="s">
        <v>37</v>
      </c>
      <c r="Q151" s="985" t="s">
        <v>37</v>
      </c>
      <c r="R151" s="962" t="s">
        <v>37</v>
      </c>
      <c r="S151" s="886" t="s">
        <v>38</v>
      </c>
      <c r="T151" s="963" t="s">
        <v>38</v>
      </c>
      <c r="U151" s="886" t="s">
        <v>37</v>
      </c>
      <c r="V151" s="962" t="s">
        <v>37</v>
      </c>
      <c r="W151" s="886" t="s">
        <v>38</v>
      </c>
      <c r="X151" s="812" t="s">
        <v>38</v>
      </c>
      <c r="Y151" s="430"/>
      <c r="Z151" s="583" t="s">
        <v>360</v>
      </c>
      <c r="AA151" s="972" t="s">
        <v>37</v>
      </c>
      <c r="AB151" s="1913"/>
      <c r="AC151" s="1125"/>
      <c r="AD151" s="1240"/>
      <c r="AE151" s="1239" t="s">
        <v>537</v>
      </c>
      <c r="AF151" s="1240" t="s">
        <v>538</v>
      </c>
      <c r="AG151" s="1240" t="s">
        <v>539</v>
      </c>
      <c r="AH151" s="1783" t="s">
        <v>542</v>
      </c>
      <c r="AI151" s="1765" t="s">
        <v>540</v>
      </c>
      <c r="AJ151" s="1239"/>
      <c r="AK151" s="1239" t="s">
        <v>793</v>
      </c>
      <c r="AL151" s="1095"/>
      <c r="AM151" s="1098"/>
      <c r="AN151" s="1095"/>
      <c r="AO151" s="1095"/>
      <c r="AP151" s="1095"/>
      <c r="AQ151" s="1106"/>
      <c r="AR151" s="1097"/>
      <c r="AS151" s="1097"/>
      <c r="AT151" s="181"/>
      <c r="AU151" s="181"/>
      <c r="AV151" s="181"/>
      <c r="AW151" s="181"/>
      <c r="AX151" s="181"/>
      <c r="AY151" s="181"/>
      <c r="AZ151" s="181"/>
      <c r="BA151" s="181"/>
      <c r="BB151" s="181"/>
      <c r="BC151" s="181"/>
      <c r="BD151" s="181"/>
      <c r="BE151" s="181"/>
      <c r="BF151" s="181"/>
      <c r="BG151" s="181"/>
      <c r="BH151" s="181"/>
      <c r="BI151" s="181"/>
      <c r="BJ151" s="181"/>
      <c r="BK151" s="181"/>
      <c r="BL151" s="181"/>
      <c r="BM151" s="181"/>
      <c r="BN151" s="181"/>
      <c r="BO151" s="181"/>
      <c r="BP151" s="181"/>
      <c r="BQ151" s="181"/>
      <c r="BR151" s="181"/>
      <c r="BS151" s="181"/>
      <c r="BT151" s="181"/>
      <c r="BU151" s="181"/>
      <c r="BV151" s="181"/>
    </row>
    <row r="152" spans="1:74" s="30" customFormat="1" ht="15.75" x14ac:dyDescent="0.25">
      <c r="A152" s="545"/>
      <c r="B152" s="1579"/>
      <c r="C152" s="1097"/>
      <c r="D152" s="1145" t="s">
        <v>105</v>
      </c>
      <c r="E152" s="1146" t="str">
        <f t="shared" si="26"/>
        <v>N</v>
      </c>
      <c r="F152" s="1124"/>
      <c r="G152" s="886" t="s">
        <v>38</v>
      </c>
      <c r="H152" s="962" t="s">
        <v>38</v>
      </c>
      <c r="I152" s="886" t="s">
        <v>38</v>
      </c>
      <c r="J152" s="963" t="s">
        <v>38</v>
      </c>
      <c r="K152" s="886" t="s">
        <v>38</v>
      </c>
      <c r="L152" s="962" t="s">
        <v>38</v>
      </c>
      <c r="M152" s="886" t="s">
        <v>38</v>
      </c>
      <c r="N152" s="962" t="s">
        <v>38</v>
      </c>
      <c r="O152" s="886" t="s">
        <v>38</v>
      </c>
      <c r="P152" s="964" t="s">
        <v>38</v>
      </c>
      <c r="Q152" s="985" t="s">
        <v>38</v>
      </c>
      <c r="R152" s="962" t="s">
        <v>38</v>
      </c>
      <c r="S152" s="886" t="s">
        <v>38</v>
      </c>
      <c r="T152" s="963" t="s">
        <v>38</v>
      </c>
      <c r="U152" s="886" t="s">
        <v>38</v>
      </c>
      <c r="V152" s="962" t="s">
        <v>37</v>
      </c>
      <c r="W152" s="886" t="s">
        <v>38</v>
      </c>
      <c r="X152" s="812" t="s">
        <v>38</v>
      </c>
      <c r="Y152" s="430"/>
      <c r="Z152" s="584" t="s">
        <v>478</v>
      </c>
      <c r="AA152" s="972" t="s">
        <v>38</v>
      </c>
      <c r="AB152" s="1913"/>
      <c r="AC152" s="1125"/>
      <c r="AD152" s="1240"/>
      <c r="AE152" s="1239" t="s">
        <v>537</v>
      </c>
      <c r="AF152" s="1240" t="s">
        <v>538</v>
      </c>
      <c r="AG152" s="1240" t="s">
        <v>539</v>
      </c>
      <c r="AH152" s="1783" t="s">
        <v>542</v>
      </c>
      <c r="AI152" s="1765" t="s">
        <v>540</v>
      </c>
      <c r="AJ152" s="1239"/>
      <c r="AK152" s="1239" t="s">
        <v>793</v>
      </c>
      <c r="AL152" s="1095"/>
      <c r="AM152" s="1098"/>
      <c r="AN152" s="1095"/>
      <c r="AO152" s="1095"/>
      <c r="AP152" s="1095"/>
      <c r="AQ152" s="1106"/>
      <c r="AR152" s="1097"/>
      <c r="AS152" s="1097"/>
      <c r="AT152" s="181"/>
      <c r="AU152" s="181"/>
      <c r="AV152" s="181"/>
      <c r="AW152" s="181"/>
      <c r="AX152" s="181"/>
      <c r="AY152" s="181"/>
      <c r="AZ152" s="181"/>
      <c r="BA152" s="181"/>
      <c r="BB152" s="181"/>
      <c r="BC152" s="181"/>
      <c r="BD152" s="181"/>
      <c r="BE152" s="181"/>
      <c r="BF152" s="181"/>
      <c r="BG152" s="181"/>
      <c r="BH152" s="181"/>
      <c r="BI152" s="181"/>
      <c r="BJ152" s="181"/>
      <c r="BK152" s="181"/>
      <c r="BL152" s="181"/>
      <c r="BM152" s="181"/>
      <c r="BN152" s="181"/>
      <c r="BO152" s="181"/>
      <c r="BP152" s="181"/>
      <c r="BQ152" s="181"/>
      <c r="BR152" s="181"/>
      <c r="BS152" s="181"/>
      <c r="BT152" s="181"/>
      <c r="BU152" s="181"/>
      <c r="BV152" s="181"/>
    </row>
    <row r="153" spans="1:74" s="30" customFormat="1" ht="15.75" x14ac:dyDescent="0.25">
      <c r="A153" s="545"/>
      <c r="B153" s="1579"/>
      <c r="C153" s="1097"/>
      <c r="D153" s="1145" t="s">
        <v>105</v>
      </c>
      <c r="E153" s="1146" t="str">
        <f t="shared" si="26"/>
        <v/>
      </c>
      <c r="F153" s="1124"/>
      <c r="G153" s="886" t="s">
        <v>38</v>
      </c>
      <c r="H153" s="962" t="s">
        <v>38</v>
      </c>
      <c r="I153" s="886" t="s">
        <v>37</v>
      </c>
      <c r="J153" s="963" t="s">
        <v>37</v>
      </c>
      <c r="K153" s="886" t="s">
        <v>37</v>
      </c>
      <c r="L153" s="962" t="str">
        <f>IF(L142="No","N","Y")</f>
        <v>Y</v>
      </c>
      <c r="M153" s="886" t="s">
        <v>37</v>
      </c>
      <c r="N153" s="962" t="s">
        <v>37</v>
      </c>
      <c r="O153" s="886" t="s">
        <v>37</v>
      </c>
      <c r="P153" s="964" t="s">
        <v>37</v>
      </c>
      <c r="Q153" s="985" t="s">
        <v>37</v>
      </c>
      <c r="R153" s="962" t="s">
        <v>37</v>
      </c>
      <c r="S153" s="886" t="s">
        <v>38</v>
      </c>
      <c r="T153" s="963" t="s">
        <v>38</v>
      </c>
      <c r="U153" s="886" t="s">
        <v>37</v>
      </c>
      <c r="V153" s="962" t="s">
        <v>37</v>
      </c>
      <c r="W153" s="886" t="s">
        <v>38</v>
      </c>
      <c r="X153" s="812" t="s">
        <v>38</v>
      </c>
      <c r="Y153" s="430"/>
      <c r="Z153" s="583" t="s">
        <v>361</v>
      </c>
      <c r="AA153" s="972" t="s">
        <v>37</v>
      </c>
      <c r="AB153" s="1913"/>
      <c r="AC153" s="1125"/>
      <c r="AD153" s="1240"/>
      <c r="AE153" s="1239" t="s">
        <v>537</v>
      </c>
      <c r="AF153" s="1240" t="s">
        <v>538</v>
      </c>
      <c r="AG153" s="1240" t="s">
        <v>539</v>
      </c>
      <c r="AH153" s="1783" t="s">
        <v>542</v>
      </c>
      <c r="AI153" s="1765" t="s">
        <v>540</v>
      </c>
      <c r="AJ153" s="1239"/>
      <c r="AK153" s="1239" t="s">
        <v>793</v>
      </c>
      <c r="AL153" s="1095"/>
      <c r="AM153" s="1098"/>
      <c r="AN153" s="1095"/>
      <c r="AO153" s="1095"/>
      <c r="AP153" s="1095"/>
      <c r="AQ153" s="1106"/>
      <c r="AR153" s="1097"/>
      <c r="AS153" s="1097"/>
      <c r="AT153" s="181"/>
      <c r="AU153" s="181"/>
      <c r="AV153" s="181"/>
      <c r="AW153" s="181"/>
      <c r="AX153" s="181"/>
      <c r="AY153" s="181"/>
      <c r="AZ153" s="181"/>
      <c r="BA153" s="181"/>
      <c r="BB153" s="181"/>
      <c r="BC153" s="181"/>
      <c r="BD153" s="181"/>
      <c r="BE153" s="181"/>
      <c r="BF153" s="181"/>
      <c r="BG153" s="181"/>
      <c r="BH153" s="181"/>
      <c r="BI153" s="181"/>
      <c r="BJ153" s="181"/>
      <c r="BK153" s="181"/>
      <c r="BL153" s="181"/>
      <c r="BM153" s="181"/>
      <c r="BN153" s="181"/>
      <c r="BO153" s="181"/>
      <c r="BP153" s="181"/>
      <c r="BQ153" s="181"/>
      <c r="BR153" s="181"/>
      <c r="BS153" s="181"/>
      <c r="BT153" s="181"/>
      <c r="BU153" s="181"/>
      <c r="BV153" s="181"/>
    </row>
    <row r="154" spans="1:74" s="30" customFormat="1" ht="31.5" customHeight="1" x14ac:dyDescent="0.25">
      <c r="A154" s="545"/>
      <c r="B154" s="1579"/>
      <c r="C154" s="1097"/>
      <c r="D154" s="1145" t="s">
        <v>105</v>
      </c>
      <c r="E154" s="1146" t="str">
        <f t="shared" si="26"/>
        <v/>
      </c>
      <c r="F154" s="1124"/>
      <c r="G154" s="886" t="s">
        <v>38</v>
      </c>
      <c r="H154" s="962" t="s">
        <v>38</v>
      </c>
      <c r="I154" s="886" t="s">
        <v>37</v>
      </c>
      <c r="J154" s="963" t="s">
        <v>37</v>
      </c>
      <c r="K154" s="886" t="s">
        <v>37</v>
      </c>
      <c r="L154" s="962" t="str">
        <f>IF(L143="No","N","Y")</f>
        <v>Y</v>
      </c>
      <c r="M154" s="886" t="s">
        <v>37</v>
      </c>
      <c r="N154" s="962" t="s">
        <v>37</v>
      </c>
      <c r="O154" s="886" t="s">
        <v>37</v>
      </c>
      <c r="P154" s="964" t="s">
        <v>37</v>
      </c>
      <c r="Q154" s="985" t="s">
        <v>37</v>
      </c>
      <c r="R154" s="962" t="s">
        <v>37</v>
      </c>
      <c r="S154" s="886" t="s">
        <v>38</v>
      </c>
      <c r="T154" s="963" t="s">
        <v>38</v>
      </c>
      <c r="U154" s="886" t="s">
        <v>37</v>
      </c>
      <c r="V154" s="962" t="s">
        <v>37</v>
      </c>
      <c r="W154" s="886" t="s">
        <v>38</v>
      </c>
      <c r="X154" s="812" t="s">
        <v>38</v>
      </c>
      <c r="Y154" s="430"/>
      <c r="Z154" s="583" t="s">
        <v>329</v>
      </c>
      <c r="AA154" s="972" t="s">
        <v>37</v>
      </c>
      <c r="AB154" s="1913"/>
      <c r="AC154" s="1125"/>
      <c r="AD154" s="1240"/>
      <c r="AE154" s="1239" t="s">
        <v>537</v>
      </c>
      <c r="AF154" s="1240" t="s">
        <v>538</v>
      </c>
      <c r="AG154" s="1240" t="s">
        <v>539</v>
      </c>
      <c r="AH154" s="1783" t="s">
        <v>542</v>
      </c>
      <c r="AI154" s="1765" t="s">
        <v>540</v>
      </c>
      <c r="AJ154" s="1239"/>
      <c r="AK154" s="1239" t="s">
        <v>793</v>
      </c>
      <c r="AL154" s="1095"/>
      <c r="AM154" s="1098"/>
      <c r="AN154" s="1095"/>
      <c r="AO154" s="1095"/>
      <c r="AP154" s="1095"/>
      <c r="AQ154" s="1106"/>
      <c r="AR154" s="1097"/>
      <c r="AS154" s="1097"/>
      <c r="AT154" s="181"/>
      <c r="AU154" s="181"/>
      <c r="AV154" s="181"/>
      <c r="AW154" s="181"/>
      <c r="AX154" s="181"/>
      <c r="AY154" s="181"/>
      <c r="AZ154" s="181"/>
      <c r="BA154" s="181"/>
      <c r="BB154" s="181"/>
      <c r="BC154" s="181"/>
      <c r="BD154" s="181"/>
      <c r="BE154" s="181"/>
      <c r="BF154" s="181"/>
      <c r="BG154" s="181"/>
      <c r="BH154" s="181"/>
      <c r="BI154" s="181"/>
      <c r="BJ154" s="181"/>
      <c r="BK154" s="181"/>
      <c r="BL154" s="181"/>
      <c r="BM154" s="181"/>
      <c r="BN154" s="181"/>
      <c r="BO154" s="181"/>
      <c r="BP154" s="181"/>
      <c r="BQ154" s="181"/>
      <c r="BR154" s="181"/>
      <c r="BS154" s="181"/>
      <c r="BT154" s="181"/>
      <c r="BU154" s="181"/>
      <c r="BV154" s="181"/>
    </row>
    <row r="155" spans="1:74" s="30" customFormat="1" ht="15.75" x14ac:dyDescent="0.25">
      <c r="A155" s="545"/>
      <c r="B155" s="1579"/>
      <c r="C155" s="1097"/>
      <c r="D155" s="1145" t="s">
        <v>105</v>
      </c>
      <c r="E155" s="1146" t="str">
        <f t="shared" si="26"/>
        <v/>
      </c>
      <c r="F155" s="1124"/>
      <c r="G155" s="886" t="s">
        <v>38</v>
      </c>
      <c r="H155" s="962" t="s">
        <v>38</v>
      </c>
      <c r="I155" s="886" t="s">
        <v>37</v>
      </c>
      <c r="J155" s="963" t="s">
        <v>37</v>
      </c>
      <c r="K155" s="886" t="s">
        <v>37</v>
      </c>
      <c r="L155" s="962" t="str">
        <f>IF(L144="No","N","Y")</f>
        <v>Y</v>
      </c>
      <c r="M155" s="886" t="s">
        <v>37</v>
      </c>
      <c r="N155" s="962" t="s">
        <v>37</v>
      </c>
      <c r="O155" s="886" t="s">
        <v>37</v>
      </c>
      <c r="P155" s="964" t="s">
        <v>37</v>
      </c>
      <c r="Q155" s="985" t="s">
        <v>37</v>
      </c>
      <c r="R155" s="962" t="s">
        <v>37</v>
      </c>
      <c r="S155" s="886" t="s">
        <v>38</v>
      </c>
      <c r="T155" s="963" t="s">
        <v>38</v>
      </c>
      <c r="U155" s="886" t="s">
        <v>37</v>
      </c>
      <c r="V155" s="962" t="s">
        <v>37</v>
      </c>
      <c r="W155" s="886" t="s">
        <v>38</v>
      </c>
      <c r="X155" s="812" t="s">
        <v>38</v>
      </c>
      <c r="Y155" s="430"/>
      <c r="Z155" s="583" t="s">
        <v>330</v>
      </c>
      <c r="AA155" s="972" t="s">
        <v>37</v>
      </c>
      <c r="AB155" s="1913"/>
      <c r="AC155" s="1125"/>
      <c r="AD155" s="1240"/>
      <c r="AE155" s="1239" t="s">
        <v>537</v>
      </c>
      <c r="AF155" s="1240" t="s">
        <v>538</v>
      </c>
      <c r="AG155" s="1240" t="s">
        <v>539</v>
      </c>
      <c r="AH155" s="1783" t="s">
        <v>542</v>
      </c>
      <c r="AI155" s="1765" t="s">
        <v>540</v>
      </c>
      <c r="AJ155" s="1239"/>
      <c r="AK155" s="1239" t="s">
        <v>793</v>
      </c>
      <c r="AL155" s="1095"/>
      <c r="AM155" s="1098"/>
      <c r="AN155" s="1095"/>
      <c r="AO155" s="1095"/>
      <c r="AP155" s="1095"/>
      <c r="AQ155" s="1106"/>
      <c r="AR155" s="1097"/>
      <c r="AS155" s="1097"/>
      <c r="AT155" s="181"/>
      <c r="AU155" s="181"/>
      <c r="AV155" s="181"/>
      <c r="AW155" s="181"/>
      <c r="AX155" s="181"/>
      <c r="AY155" s="181"/>
      <c r="AZ155" s="181"/>
      <c r="BA155" s="181"/>
      <c r="BB155" s="181"/>
      <c r="BC155" s="181"/>
      <c r="BD155" s="181"/>
      <c r="BE155" s="181"/>
      <c r="BF155" s="181"/>
      <c r="BG155" s="181"/>
      <c r="BH155" s="181"/>
      <c r="BI155" s="181"/>
      <c r="BJ155" s="181"/>
      <c r="BK155" s="181"/>
      <c r="BL155" s="181"/>
      <c r="BM155" s="181"/>
      <c r="BN155" s="181"/>
      <c r="BO155" s="181"/>
      <c r="BP155" s="181"/>
      <c r="BQ155" s="181"/>
      <c r="BR155" s="181"/>
      <c r="BS155" s="181"/>
      <c r="BT155" s="181"/>
      <c r="BU155" s="181"/>
      <c r="BV155" s="181"/>
    </row>
    <row r="156" spans="1:74" s="30" customFormat="1" ht="35.25" customHeight="1" x14ac:dyDescent="0.25">
      <c r="A156" s="545"/>
      <c r="B156" s="1579"/>
      <c r="C156" s="1097"/>
      <c r="D156" s="1145" t="s">
        <v>105</v>
      </c>
      <c r="E156" s="1146" t="str">
        <f t="shared" si="26"/>
        <v/>
      </c>
      <c r="F156" s="1124"/>
      <c r="G156" s="886" t="s">
        <v>38</v>
      </c>
      <c r="H156" s="962" t="s">
        <v>38</v>
      </c>
      <c r="I156" s="886" t="s">
        <v>38</v>
      </c>
      <c r="J156" s="963" t="s">
        <v>38</v>
      </c>
      <c r="K156" s="886" t="s">
        <v>37</v>
      </c>
      <c r="L156" s="962" t="str">
        <f>IF(L145="No","N","Y")</f>
        <v>Y</v>
      </c>
      <c r="M156" s="886" t="s">
        <v>37</v>
      </c>
      <c r="N156" s="962" t="s">
        <v>37</v>
      </c>
      <c r="O156" s="886" t="s">
        <v>37</v>
      </c>
      <c r="P156" s="964" t="s">
        <v>37</v>
      </c>
      <c r="Q156" s="985" t="s">
        <v>37</v>
      </c>
      <c r="R156" s="962" t="s">
        <v>37</v>
      </c>
      <c r="S156" s="886" t="s">
        <v>38</v>
      </c>
      <c r="T156" s="963" t="s">
        <v>38</v>
      </c>
      <c r="U156" s="886" t="s">
        <v>37</v>
      </c>
      <c r="V156" s="962" t="s">
        <v>37</v>
      </c>
      <c r="W156" s="886" t="s">
        <v>38</v>
      </c>
      <c r="X156" s="812" t="s">
        <v>38</v>
      </c>
      <c r="Y156" s="430"/>
      <c r="Z156" s="583" t="s">
        <v>331</v>
      </c>
      <c r="AA156" s="972" t="s">
        <v>37</v>
      </c>
      <c r="AB156" s="1913"/>
      <c r="AC156" s="1125"/>
      <c r="AD156" s="1240"/>
      <c r="AE156" s="1239"/>
      <c r="AF156" s="1240" t="s">
        <v>538</v>
      </c>
      <c r="AG156" s="1240" t="s">
        <v>539</v>
      </c>
      <c r="AH156" s="1783" t="s">
        <v>542</v>
      </c>
      <c r="AI156" s="1765" t="s">
        <v>540</v>
      </c>
      <c r="AJ156" s="1239"/>
      <c r="AK156" s="1239" t="s">
        <v>793</v>
      </c>
      <c r="AL156" s="1095"/>
      <c r="AM156" s="1098"/>
      <c r="AN156" s="1095"/>
      <c r="AO156" s="1095"/>
      <c r="AP156" s="1095"/>
      <c r="AQ156" s="1106"/>
      <c r="AR156" s="1097"/>
      <c r="AS156" s="1097"/>
      <c r="AT156" s="181"/>
      <c r="AU156" s="181"/>
      <c r="AV156" s="181"/>
      <c r="AW156" s="181"/>
      <c r="AX156" s="181"/>
      <c r="AY156" s="181"/>
      <c r="AZ156" s="181"/>
      <c r="BA156" s="181"/>
      <c r="BB156" s="181"/>
      <c r="BC156" s="181"/>
      <c r="BD156" s="181"/>
      <c r="BE156" s="181"/>
      <c r="BF156" s="181"/>
      <c r="BG156" s="181"/>
      <c r="BH156" s="181"/>
      <c r="BI156" s="181"/>
      <c r="BJ156" s="181"/>
      <c r="BK156" s="181"/>
      <c r="BL156" s="181"/>
      <c r="BM156" s="181"/>
      <c r="BN156" s="181"/>
      <c r="BO156" s="181"/>
      <c r="BP156" s="181"/>
      <c r="BQ156" s="181"/>
      <c r="BR156" s="181"/>
      <c r="BS156" s="181"/>
      <c r="BT156" s="181"/>
      <c r="BU156" s="181"/>
      <c r="BV156" s="181"/>
    </row>
    <row r="157" spans="1:74" s="30" customFormat="1" ht="28.5" x14ac:dyDescent="0.25">
      <c r="A157" s="545"/>
      <c r="B157" s="1579"/>
      <c r="C157" s="1097"/>
      <c r="D157" s="1145" t="s">
        <v>105</v>
      </c>
      <c r="E157" s="1146" t="str">
        <f t="shared" si="26"/>
        <v/>
      </c>
      <c r="F157" s="1124"/>
      <c r="G157" s="886" t="s">
        <v>38</v>
      </c>
      <c r="H157" s="962" t="s">
        <v>38</v>
      </c>
      <c r="I157" s="886" t="s">
        <v>38</v>
      </c>
      <c r="J157" s="963" t="s">
        <v>38</v>
      </c>
      <c r="K157" s="886" t="s">
        <v>37</v>
      </c>
      <c r="L157" s="962" t="str">
        <f t="shared" ref="L157:L159" si="34">IF(L147="No","N","Y")</f>
        <v>Y</v>
      </c>
      <c r="M157" s="886" t="s">
        <v>37</v>
      </c>
      <c r="N157" s="962" t="s">
        <v>37</v>
      </c>
      <c r="O157" s="886" t="s">
        <v>37</v>
      </c>
      <c r="P157" s="964" t="s">
        <v>37</v>
      </c>
      <c r="Q157" s="985" t="s">
        <v>37</v>
      </c>
      <c r="R157" s="962" t="s">
        <v>37</v>
      </c>
      <c r="S157" s="886" t="s">
        <v>38</v>
      </c>
      <c r="T157" s="963" t="s">
        <v>38</v>
      </c>
      <c r="U157" s="886" t="s">
        <v>37</v>
      </c>
      <c r="V157" s="962" t="s">
        <v>37</v>
      </c>
      <c r="W157" s="886" t="s">
        <v>38</v>
      </c>
      <c r="X157" s="812" t="s">
        <v>38</v>
      </c>
      <c r="Y157" s="430"/>
      <c r="Z157" s="583" t="s">
        <v>297</v>
      </c>
      <c r="AA157" s="972" t="s">
        <v>37</v>
      </c>
      <c r="AB157" s="1913"/>
      <c r="AC157" s="1125"/>
      <c r="AD157" s="1240"/>
      <c r="AE157" s="1239"/>
      <c r="AF157" s="1240" t="s">
        <v>538</v>
      </c>
      <c r="AG157" s="1240" t="s">
        <v>539</v>
      </c>
      <c r="AH157" s="1783" t="s">
        <v>542</v>
      </c>
      <c r="AI157" s="1765" t="s">
        <v>540</v>
      </c>
      <c r="AJ157" s="1239"/>
      <c r="AK157" s="1239" t="s">
        <v>793</v>
      </c>
      <c r="AL157" s="1095"/>
      <c r="AM157" s="1098"/>
      <c r="AN157" s="1095"/>
      <c r="AO157" s="1095"/>
      <c r="AP157" s="1095"/>
      <c r="AQ157" s="1106"/>
      <c r="AR157" s="1097"/>
      <c r="AS157" s="1097"/>
      <c r="AT157" s="181"/>
      <c r="AU157" s="181"/>
      <c r="AV157" s="181"/>
      <c r="AW157" s="181"/>
      <c r="AX157" s="181"/>
      <c r="AY157" s="181"/>
      <c r="AZ157" s="181"/>
      <c r="BA157" s="181"/>
      <c r="BB157" s="181"/>
      <c r="BC157" s="181"/>
      <c r="BD157" s="181"/>
      <c r="BE157" s="181"/>
      <c r="BF157" s="181"/>
      <c r="BG157" s="181"/>
      <c r="BH157" s="181"/>
      <c r="BI157" s="181"/>
      <c r="BJ157" s="181"/>
      <c r="BK157" s="181"/>
      <c r="BL157" s="181"/>
      <c r="BM157" s="181"/>
      <c r="BN157" s="181"/>
      <c r="BO157" s="181"/>
      <c r="BP157" s="181"/>
      <c r="BQ157" s="181"/>
      <c r="BR157" s="181"/>
      <c r="BS157" s="181"/>
      <c r="BT157" s="181"/>
      <c r="BU157" s="181"/>
      <c r="BV157" s="181"/>
    </row>
    <row r="158" spans="1:74" s="30" customFormat="1" ht="15.75" x14ac:dyDescent="0.25">
      <c r="A158" s="545"/>
      <c r="B158" s="1579"/>
      <c r="C158" s="1097"/>
      <c r="D158" s="1145" t="s">
        <v>105</v>
      </c>
      <c r="E158" s="1146" t="str">
        <f t="shared" si="26"/>
        <v/>
      </c>
      <c r="F158" s="1124"/>
      <c r="G158" s="886" t="s">
        <v>38</v>
      </c>
      <c r="H158" s="962" t="s">
        <v>38</v>
      </c>
      <c r="I158" s="886" t="s">
        <v>38</v>
      </c>
      <c r="J158" s="963" t="s">
        <v>38</v>
      </c>
      <c r="K158" s="886" t="s">
        <v>37</v>
      </c>
      <c r="L158" s="962" t="str">
        <f t="shared" si="34"/>
        <v>Y</v>
      </c>
      <c r="M158" s="886" t="s">
        <v>37</v>
      </c>
      <c r="N158" s="962" t="s">
        <v>37</v>
      </c>
      <c r="O158" s="886" t="s">
        <v>37</v>
      </c>
      <c r="P158" s="964" t="s">
        <v>37</v>
      </c>
      <c r="Q158" s="985" t="s">
        <v>37</v>
      </c>
      <c r="R158" s="962" t="s">
        <v>37</v>
      </c>
      <c r="S158" s="886" t="s">
        <v>38</v>
      </c>
      <c r="T158" s="963" t="s">
        <v>38</v>
      </c>
      <c r="U158" s="886" t="s">
        <v>37</v>
      </c>
      <c r="V158" s="962" t="s">
        <v>37</v>
      </c>
      <c r="W158" s="886" t="s">
        <v>38</v>
      </c>
      <c r="X158" s="812" t="s">
        <v>38</v>
      </c>
      <c r="Y158" s="430"/>
      <c r="Z158" s="583" t="s">
        <v>298</v>
      </c>
      <c r="AA158" s="972" t="s">
        <v>37</v>
      </c>
      <c r="AB158" s="1913"/>
      <c r="AC158" s="1125"/>
      <c r="AD158" s="1240"/>
      <c r="AE158" s="1239"/>
      <c r="AF158" s="1240" t="s">
        <v>538</v>
      </c>
      <c r="AG158" s="1240" t="s">
        <v>539</v>
      </c>
      <c r="AH158" s="1783" t="s">
        <v>542</v>
      </c>
      <c r="AI158" s="1765" t="s">
        <v>540</v>
      </c>
      <c r="AJ158" s="1239"/>
      <c r="AK158" s="1239" t="s">
        <v>793</v>
      </c>
      <c r="AL158" s="1095"/>
      <c r="AM158" s="1098"/>
      <c r="AN158" s="1095"/>
      <c r="AO158" s="1095"/>
      <c r="AP158" s="1095"/>
      <c r="AQ158" s="1106"/>
      <c r="AR158" s="1097"/>
      <c r="AS158" s="1097"/>
      <c r="AT158" s="181"/>
      <c r="AU158" s="181"/>
      <c r="AV158" s="181"/>
      <c r="AW158" s="181"/>
      <c r="AX158" s="181"/>
      <c r="AY158" s="181"/>
      <c r="AZ158" s="181"/>
      <c r="BA158" s="181"/>
      <c r="BB158" s="181"/>
      <c r="BC158" s="181"/>
      <c r="BD158" s="181"/>
      <c r="BE158" s="181"/>
      <c r="BF158" s="181"/>
      <c r="BG158" s="181"/>
      <c r="BH158" s="181"/>
      <c r="BI158" s="181"/>
      <c r="BJ158" s="181"/>
      <c r="BK158" s="181"/>
      <c r="BL158" s="181"/>
      <c r="BM158" s="181"/>
      <c r="BN158" s="181"/>
      <c r="BO158" s="181"/>
      <c r="BP158" s="181"/>
      <c r="BQ158" s="181"/>
      <c r="BR158" s="181"/>
      <c r="BS158" s="181"/>
      <c r="BT158" s="181"/>
      <c r="BU158" s="181"/>
      <c r="BV158" s="181"/>
    </row>
    <row r="159" spans="1:74" s="30" customFormat="1" ht="15.75" x14ac:dyDescent="0.25">
      <c r="A159" s="545"/>
      <c r="B159" s="1579"/>
      <c r="C159" s="1097"/>
      <c r="D159" s="1145" t="s">
        <v>105</v>
      </c>
      <c r="E159" s="1146" t="str">
        <f t="shared" si="26"/>
        <v/>
      </c>
      <c r="F159" s="1124"/>
      <c r="G159" s="886" t="s">
        <v>38</v>
      </c>
      <c r="H159" s="962" t="s">
        <v>38</v>
      </c>
      <c r="I159" s="886" t="s">
        <v>38</v>
      </c>
      <c r="J159" s="963" t="s">
        <v>38</v>
      </c>
      <c r="K159" s="886" t="s">
        <v>37</v>
      </c>
      <c r="L159" s="962" t="str">
        <f t="shared" si="34"/>
        <v>Y</v>
      </c>
      <c r="M159" s="886" t="s">
        <v>37</v>
      </c>
      <c r="N159" s="962" t="s">
        <v>37</v>
      </c>
      <c r="O159" s="886" t="s">
        <v>37</v>
      </c>
      <c r="P159" s="964" t="s">
        <v>37</v>
      </c>
      <c r="Q159" s="985" t="s">
        <v>37</v>
      </c>
      <c r="R159" s="962" t="s">
        <v>37</v>
      </c>
      <c r="S159" s="886" t="s">
        <v>38</v>
      </c>
      <c r="T159" s="963" t="s">
        <v>38</v>
      </c>
      <c r="U159" s="886" t="s">
        <v>37</v>
      </c>
      <c r="V159" s="962" t="s">
        <v>37</v>
      </c>
      <c r="W159" s="886" t="s">
        <v>38</v>
      </c>
      <c r="X159" s="812" t="s">
        <v>38</v>
      </c>
      <c r="Y159" s="430"/>
      <c r="Z159" s="583" t="s">
        <v>299</v>
      </c>
      <c r="AA159" s="972" t="s">
        <v>37</v>
      </c>
      <c r="AB159" s="1913"/>
      <c r="AC159" s="1125"/>
      <c r="AD159" s="1240"/>
      <c r="AE159" s="1239"/>
      <c r="AF159" s="1240" t="s">
        <v>538</v>
      </c>
      <c r="AG159" s="1240" t="s">
        <v>539</v>
      </c>
      <c r="AH159" s="1783" t="s">
        <v>542</v>
      </c>
      <c r="AI159" s="1765" t="s">
        <v>540</v>
      </c>
      <c r="AJ159" s="1239"/>
      <c r="AK159" s="1239" t="s">
        <v>793</v>
      </c>
      <c r="AL159" s="1095"/>
      <c r="AM159" s="1098"/>
      <c r="AN159" s="1095"/>
      <c r="AO159" s="1095"/>
      <c r="AP159" s="1095"/>
      <c r="AQ159" s="1106"/>
      <c r="AR159" s="1097"/>
      <c r="AS159" s="1097"/>
      <c r="AT159" s="181"/>
      <c r="AU159" s="181"/>
      <c r="AV159" s="181"/>
      <c r="AW159" s="181"/>
      <c r="AX159" s="181"/>
      <c r="AY159" s="181"/>
      <c r="AZ159" s="181"/>
      <c r="BA159" s="181"/>
      <c r="BB159" s="181"/>
      <c r="BC159" s="181"/>
      <c r="BD159" s="181"/>
      <c r="BE159" s="181"/>
      <c r="BF159" s="181"/>
      <c r="BG159" s="181"/>
      <c r="BH159" s="181"/>
      <c r="BI159" s="181"/>
      <c r="BJ159" s="181"/>
      <c r="BK159" s="181"/>
      <c r="BL159" s="181"/>
      <c r="BM159" s="181"/>
      <c r="BN159" s="181"/>
      <c r="BO159" s="181"/>
      <c r="BP159" s="181"/>
      <c r="BQ159" s="181"/>
      <c r="BR159" s="181"/>
      <c r="BS159" s="181"/>
      <c r="BT159" s="181"/>
      <c r="BU159" s="181"/>
      <c r="BV159" s="181"/>
    </row>
    <row r="160" spans="1:74" s="30" customFormat="1" ht="15.75" x14ac:dyDescent="0.25">
      <c r="A160" s="545"/>
      <c r="B160" s="1579"/>
      <c r="C160" s="1097"/>
      <c r="D160" s="1145" t="s">
        <v>105</v>
      </c>
      <c r="E160" s="1146" t="str">
        <f t="shared" si="26"/>
        <v/>
      </c>
      <c r="F160" s="1124"/>
      <c r="G160" s="886" t="s">
        <v>38</v>
      </c>
      <c r="H160" s="962" t="s">
        <v>38</v>
      </c>
      <c r="I160" s="886" t="s">
        <v>37</v>
      </c>
      <c r="J160" s="963" t="s">
        <v>38</v>
      </c>
      <c r="K160" s="886" t="s">
        <v>37</v>
      </c>
      <c r="L160" s="962" t="s">
        <v>21</v>
      </c>
      <c r="M160" s="886" t="s">
        <v>37</v>
      </c>
      <c r="N160" s="962" t="s">
        <v>21</v>
      </c>
      <c r="O160" s="886" t="s">
        <v>38</v>
      </c>
      <c r="P160" s="964" t="s">
        <v>38</v>
      </c>
      <c r="Q160" s="985" t="s">
        <v>38</v>
      </c>
      <c r="R160" s="962" t="s">
        <v>38</v>
      </c>
      <c r="S160" s="886" t="s">
        <v>38</v>
      </c>
      <c r="T160" s="963" t="s">
        <v>38</v>
      </c>
      <c r="U160" s="886" t="s">
        <v>38</v>
      </c>
      <c r="V160" s="962" t="s">
        <v>38</v>
      </c>
      <c r="W160" s="886" t="s">
        <v>38</v>
      </c>
      <c r="X160" s="812" t="s">
        <v>38</v>
      </c>
      <c r="Y160" s="430"/>
      <c r="Z160" s="889" t="s">
        <v>1163</v>
      </c>
      <c r="AA160" s="972" t="s">
        <v>37</v>
      </c>
      <c r="AB160" s="1913"/>
      <c r="AC160" s="1125"/>
      <c r="AD160" s="1240" t="s">
        <v>1093</v>
      </c>
      <c r="AE160" s="1239" t="s">
        <v>1091</v>
      </c>
      <c r="AF160" s="1240" t="s">
        <v>1092</v>
      </c>
      <c r="AG160" s="1240" t="s">
        <v>1089</v>
      </c>
      <c r="AH160" s="1783" t="s">
        <v>1090</v>
      </c>
      <c r="AI160" s="1765" t="s">
        <v>1090</v>
      </c>
      <c r="AJ160" s="1239"/>
      <c r="AK160" s="1239"/>
      <c r="AL160" s="1095"/>
      <c r="AM160" s="1095"/>
      <c r="AN160" s="1095"/>
      <c r="AO160" s="1095"/>
      <c r="AP160" s="1095"/>
      <c r="AQ160" s="1106"/>
      <c r="AR160" s="1097"/>
      <c r="AS160" s="1097"/>
      <c r="AT160" s="181"/>
      <c r="AU160" s="181"/>
      <c r="AV160" s="181"/>
      <c r="AW160" s="181"/>
      <c r="AX160" s="181"/>
      <c r="AY160" s="181"/>
      <c r="AZ160" s="181"/>
      <c r="BA160" s="181"/>
      <c r="BB160" s="181"/>
      <c r="BC160" s="181"/>
      <c r="BD160" s="181"/>
      <c r="BE160" s="181"/>
      <c r="BF160" s="181"/>
      <c r="BG160" s="181"/>
      <c r="BH160" s="181"/>
      <c r="BI160" s="181"/>
      <c r="BJ160" s="181"/>
      <c r="BK160" s="181"/>
      <c r="BL160" s="181"/>
      <c r="BM160" s="181"/>
      <c r="BN160" s="181"/>
      <c r="BO160" s="181"/>
      <c r="BP160" s="181"/>
      <c r="BQ160" s="181"/>
      <c r="BR160" s="181"/>
      <c r="BS160" s="181"/>
      <c r="BT160" s="181"/>
      <c r="BU160" s="181"/>
      <c r="BV160" s="181"/>
    </row>
    <row r="161" spans="1:75" s="30" customFormat="1" ht="15.75" x14ac:dyDescent="0.25">
      <c r="A161" s="545"/>
      <c r="B161" s="1579"/>
      <c r="C161" s="1097"/>
      <c r="D161" s="1145" t="s">
        <v>105</v>
      </c>
      <c r="E161" s="1148" t="str">
        <f t="shared" si="26"/>
        <v>N</v>
      </c>
      <c r="F161" s="1124"/>
      <c r="G161" s="886" t="s">
        <v>38</v>
      </c>
      <c r="H161" s="962" t="s">
        <v>38</v>
      </c>
      <c r="I161" s="886" t="s">
        <v>38</v>
      </c>
      <c r="J161" s="963" t="s">
        <v>38</v>
      </c>
      <c r="K161" s="886" t="s">
        <v>38</v>
      </c>
      <c r="L161" s="962" t="s">
        <v>38</v>
      </c>
      <c r="M161" s="886" t="s">
        <v>38</v>
      </c>
      <c r="N161" s="962" t="s">
        <v>21</v>
      </c>
      <c r="O161" s="886" t="s">
        <v>38</v>
      </c>
      <c r="P161" s="964" t="s">
        <v>21</v>
      </c>
      <c r="Q161" s="985" t="s">
        <v>38</v>
      </c>
      <c r="R161" s="962" t="s">
        <v>38</v>
      </c>
      <c r="S161" s="886" t="s">
        <v>38</v>
      </c>
      <c r="T161" s="963" t="s">
        <v>38</v>
      </c>
      <c r="U161" s="886" t="s">
        <v>38</v>
      </c>
      <c r="V161" s="962" t="s">
        <v>38</v>
      </c>
      <c r="W161" s="886" t="s">
        <v>38</v>
      </c>
      <c r="X161" s="812" t="s">
        <v>38</v>
      </c>
      <c r="Y161" s="430"/>
      <c r="Z161" s="584" t="s">
        <v>1164</v>
      </c>
      <c r="AA161" s="972" t="s">
        <v>38</v>
      </c>
      <c r="AB161" s="1917"/>
      <c r="AC161" s="1125"/>
      <c r="AD161" s="1247"/>
      <c r="AE161" s="1248" t="s">
        <v>537</v>
      </c>
      <c r="AF161" s="1247" t="s">
        <v>538</v>
      </c>
      <c r="AG161" s="1247" t="s">
        <v>539</v>
      </c>
      <c r="AH161" s="1786" t="s">
        <v>542</v>
      </c>
      <c r="AI161" s="1769" t="s">
        <v>540</v>
      </c>
      <c r="AJ161" s="1248" t="s">
        <v>540</v>
      </c>
      <c r="AK161" s="1248" t="s">
        <v>540</v>
      </c>
      <c r="AL161" s="1095"/>
      <c r="AM161" s="1095"/>
      <c r="AN161" s="1095"/>
      <c r="AO161" s="1095"/>
      <c r="AP161" s="1095"/>
      <c r="AQ161" s="1106"/>
      <c r="AR161" s="1097"/>
      <c r="AS161" s="1097"/>
      <c r="AT161" s="181"/>
      <c r="AU161" s="181"/>
      <c r="AV161" s="181"/>
      <c r="AW161" s="181"/>
      <c r="AX161" s="181"/>
      <c r="AY161" s="181"/>
      <c r="AZ161" s="181"/>
      <c r="BA161" s="181"/>
      <c r="BB161" s="181"/>
      <c r="BC161" s="181"/>
      <c r="BD161" s="181"/>
      <c r="BE161" s="181"/>
      <c r="BF161" s="181"/>
      <c r="BG161" s="181"/>
      <c r="BH161" s="181"/>
      <c r="BI161" s="181"/>
      <c r="BJ161" s="181"/>
      <c r="BK161" s="181"/>
      <c r="BL161" s="181"/>
      <c r="BM161" s="181"/>
      <c r="BN161" s="181"/>
      <c r="BO161" s="181"/>
      <c r="BP161" s="181"/>
      <c r="BQ161" s="181"/>
      <c r="BR161" s="181"/>
      <c r="BS161" s="181"/>
      <c r="BT161" s="181"/>
      <c r="BU161" s="181"/>
      <c r="BV161" s="181"/>
    </row>
    <row r="162" spans="1:75" s="30" customFormat="1" ht="15.75" x14ac:dyDescent="0.25">
      <c r="A162" s="545"/>
      <c r="B162" s="1579"/>
      <c r="C162" s="1097"/>
      <c r="D162" s="1145" t="s">
        <v>105</v>
      </c>
      <c r="E162" s="1148" t="str">
        <f t="shared" si="26"/>
        <v>N</v>
      </c>
      <c r="F162" s="1124"/>
      <c r="G162" s="886" t="s">
        <v>38</v>
      </c>
      <c r="H162" s="962" t="s">
        <v>38</v>
      </c>
      <c r="I162" s="886" t="s">
        <v>38</v>
      </c>
      <c r="J162" s="963" t="s">
        <v>38</v>
      </c>
      <c r="K162" s="886" t="s">
        <v>38</v>
      </c>
      <c r="L162" s="962" t="s">
        <v>38</v>
      </c>
      <c r="M162" s="886" t="s">
        <v>38</v>
      </c>
      <c r="N162" s="962" t="s">
        <v>38</v>
      </c>
      <c r="O162" s="886" t="s">
        <v>38</v>
      </c>
      <c r="P162" s="964" t="s">
        <v>38</v>
      </c>
      <c r="Q162" s="985" t="s">
        <v>38</v>
      </c>
      <c r="R162" s="962" t="s">
        <v>38</v>
      </c>
      <c r="S162" s="886" t="s">
        <v>38</v>
      </c>
      <c r="T162" s="963" t="s">
        <v>38</v>
      </c>
      <c r="U162" s="886" t="s">
        <v>38</v>
      </c>
      <c r="V162" s="962" t="s">
        <v>38</v>
      </c>
      <c r="W162" s="886" t="s">
        <v>38</v>
      </c>
      <c r="X162" s="812" t="s">
        <v>38</v>
      </c>
      <c r="Y162" s="430"/>
      <c r="Z162" s="584" t="s">
        <v>1165</v>
      </c>
      <c r="AA162" s="972" t="s">
        <v>38</v>
      </c>
      <c r="AB162" s="1917"/>
      <c r="AC162" s="1125"/>
      <c r="AD162" s="1247"/>
      <c r="AE162" s="1248" t="s">
        <v>537</v>
      </c>
      <c r="AF162" s="1247" t="s">
        <v>538</v>
      </c>
      <c r="AG162" s="1247" t="s">
        <v>539</v>
      </c>
      <c r="AH162" s="1786" t="s">
        <v>542</v>
      </c>
      <c r="AI162" s="1769" t="s">
        <v>540</v>
      </c>
      <c r="AJ162" s="1248" t="s">
        <v>540</v>
      </c>
      <c r="AK162" s="1248" t="s">
        <v>540</v>
      </c>
      <c r="AL162" s="1095"/>
      <c r="AM162" s="1095"/>
      <c r="AN162" s="1095"/>
      <c r="AO162" s="1095"/>
      <c r="AP162" s="1095"/>
      <c r="AQ162" s="1106"/>
      <c r="AR162" s="1097"/>
      <c r="AS162" s="1097"/>
      <c r="AT162" s="181"/>
      <c r="AU162" s="181"/>
      <c r="AV162" s="181"/>
      <c r="AW162" s="181"/>
      <c r="AX162" s="181"/>
      <c r="AY162" s="181"/>
      <c r="AZ162" s="181"/>
      <c r="BA162" s="181"/>
      <c r="BB162" s="181"/>
      <c r="BC162" s="181"/>
      <c r="BD162" s="181"/>
      <c r="BE162" s="181"/>
      <c r="BF162" s="181"/>
      <c r="BG162" s="181"/>
      <c r="BH162" s="181"/>
      <c r="BI162" s="181"/>
      <c r="BJ162" s="181"/>
      <c r="BK162" s="181"/>
      <c r="BL162" s="181"/>
      <c r="BM162" s="181"/>
      <c r="BN162" s="181"/>
      <c r="BO162" s="181"/>
      <c r="BP162" s="181"/>
      <c r="BQ162" s="181"/>
      <c r="BR162" s="181"/>
      <c r="BS162" s="181"/>
      <c r="BT162" s="181"/>
      <c r="BU162" s="181"/>
      <c r="BV162" s="181"/>
    </row>
    <row r="163" spans="1:75" s="30" customFormat="1" ht="15" customHeight="1" x14ac:dyDescent="0.25">
      <c r="A163" s="545"/>
      <c r="B163" s="1579"/>
      <c r="C163" s="1095"/>
      <c r="D163" s="1145" t="s">
        <v>105</v>
      </c>
      <c r="E163" s="1148" t="str">
        <f t="shared" si="26"/>
        <v>N</v>
      </c>
      <c r="F163" s="1124"/>
      <c r="G163" s="886" t="s">
        <v>38</v>
      </c>
      <c r="H163" s="962" t="s">
        <v>38</v>
      </c>
      <c r="I163" s="886" t="s">
        <v>38</v>
      </c>
      <c r="J163" s="963" t="s">
        <v>38</v>
      </c>
      <c r="K163" s="886" t="s">
        <v>38</v>
      </c>
      <c r="L163" s="962" t="s">
        <v>38</v>
      </c>
      <c r="M163" s="886" t="s">
        <v>38</v>
      </c>
      <c r="N163" s="962" t="s">
        <v>38</v>
      </c>
      <c r="O163" s="886" t="s">
        <v>38</v>
      </c>
      <c r="P163" s="964" t="s">
        <v>38</v>
      </c>
      <c r="Q163" s="985" t="s">
        <v>38</v>
      </c>
      <c r="R163" s="962" t="s">
        <v>38</v>
      </c>
      <c r="S163" s="886" t="s">
        <v>38</v>
      </c>
      <c r="T163" s="963" t="s">
        <v>38</v>
      </c>
      <c r="U163" s="886" t="s">
        <v>38</v>
      </c>
      <c r="V163" s="962" t="s">
        <v>38</v>
      </c>
      <c r="W163" s="886" t="s">
        <v>38</v>
      </c>
      <c r="X163" s="812" t="s">
        <v>38</v>
      </c>
      <c r="Y163" s="428"/>
      <c r="Z163" s="584" t="s">
        <v>478</v>
      </c>
      <c r="AA163" s="972" t="s">
        <v>38</v>
      </c>
      <c r="AB163" s="1918"/>
      <c r="AC163" s="1211"/>
      <c r="AD163" s="1250"/>
      <c r="AE163" s="1248" t="s">
        <v>537</v>
      </c>
      <c r="AF163" s="1247" t="s">
        <v>538</v>
      </c>
      <c r="AG163" s="1247" t="s">
        <v>539</v>
      </c>
      <c r="AH163" s="1786" t="s">
        <v>542</v>
      </c>
      <c r="AI163" s="1769" t="s">
        <v>540</v>
      </c>
      <c r="AJ163" s="1248" t="s">
        <v>540</v>
      </c>
      <c r="AK163" s="1248" t="s">
        <v>540</v>
      </c>
      <c r="AL163" s="1095"/>
      <c r="AM163" s="1095"/>
      <c r="AN163" s="1095"/>
      <c r="AO163" s="1095"/>
      <c r="AP163" s="1095"/>
      <c r="AQ163" s="1095"/>
      <c r="AR163" s="1095"/>
      <c r="AS163" s="1095"/>
      <c r="AT163" s="181"/>
      <c r="AU163" s="181"/>
      <c r="AV163" s="181"/>
      <c r="AW163" s="181"/>
      <c r="AX163" s="181"/>
      <c r="AY163" s="181"/>
      <c r="AZ163" s="181"/>
      <c r="BA163" s="181"/>
      <c r="BB163" s="181"/>
      <c r="BC163" s="181"/>
      <c r="BD163" s="181"/>
      <c r="BE163" s="181"/>
      <c r="BF163" s="181"/>
      <c r="BG163" s="181"/>
      <c r="BH163" s="181"/>
      <c r="BI163" s="181"/>
      <c r="BJ163" s="181"/>
      <c r="BK163" s="181"/>
      <c r="BL163" s="181"/>
      <c r="BM163" s="181"/>
      <c r="BN163" s="181"/>
      <c r="BO163" s="181"/>
      <c r="BP163" s="181"/>
      <c r="BQ163" s="181"/>
      <c r="BR163" s="181"/>
      <c r="BS163" s="181"/>
      <c r="BT163" s="181"/>
      <c r="BU163" s="181"/>
      <c r="BV163" s="181"/>
    </row>
    <row r="164" spans="1:75" s="30" customFormat="1" ht="15" customHeight="1" x14ac:dyDescent="0.25">
      <c r="A164" s="545"/>
      <c r="B164" s="1579"/>
      <c r="C164" s="1095"/>
      <c r="D164" s="1145" t="s">
        <v>105</v>
      </c>
      <c r="E164" s="1148" t="str">
        <f t="shared" si="26"/>
        <v>N</v>
      </c>
      <c r="F164" s="1124"/>
      <c r="G164" s="886" t="s">
        <v>38</v>
      </c>
      <c r="H164" s="962" t="s">
        <v>38</v>
      </c>
      <c r="I164" s="886" t="s">
        <v>38</v>
      </c>
      <c r="J164" s="963" t="s">
        <v>38</v>
      </c>
      <c r="K164" s="886" t="s">
        <v>38</v>
      </c>
      <c r="L164" s="962" t="s">
        <v>38</v>
      </c>
      <c r="M164" s="886" t="s">
        <v>38</v>
      </c>
      <c r="N164" s="962" t="s">
        <v>38</v>
      </c>
      <c r="O164" s="886" t="s">
        <v>38</v>
      </c>
      <c r="P164" s="964" t="s">
        <v>38</v>
      </c>
      <c r="Q164" s="985" t="s">
        <v>38</v>
      </c>
      <c r="R164" s="962" t="s">
        <v>38</v>
      </c>
      <c r="S164" s="886" t="s">
        <v>38</v>
      </c>
      <c r="T164" s="963" t="s">
        <v>38</v>
      </c>
      <c r="U164" s="886" t="s">
        <v>38</v>
      </c>
      <c r="V164" s="962" t="s">
        <v>38</v>
      </c>
      <c r="W164" s="886" t="s">
        <v>38</v>
      </c>
      <c r="X164" s="812" t="s">
        <v>38</v>
      </c>
      <c r="Y164" s="428"/>
      <c r="Z164" s="584" t="s">
        <v>478</v>
      </c>
      <c r="AA164" s="972" t="s">
        <v>38</v>
      </c>
      <c r="AB164" s="1918"/>
      <c r="AC164" s="1211"/>
      <c r="AD164" s="1250"/>
      <c r="AE164" s="1248" t="s">
        <v>537</v>
      </c>
      <c r="AF164" s="1247" t="s">
        <v>538</v>
      </c>
      <c r="AG164" s="1247" t="s">
        <v>539</v>
      </c>
      <c r="AH164" s="1786" t="s">
        <v>542</v>
      </c>
      <c r="AI164" s="1769" t="s">
        <v>540</v>
      </c>
      <c r="AJ164" s="1248" t="s">
        <v>540</v>
      </c>
      <c r="AK164" s="1248" t="s">
        <v>540</v>
      </c>
      <c r="AL164" s="1095"/>
      <c r="AM164" s="1095"/>
      <c r="AN164" s="1095"/>
      <c r="AO164" s="1095"/>
      <c r="AP164" s="1095"/>
      <c r="AQ164" s="1095"/>
      <c r="AR164" s="1095"/>
      <c r="AS164" s="1095"/>
      <c r="AT164" s="181"/>
      <c r="AU164" s="181"/>
      <c r="AV164" s="181"/>
      <c r="AW164" s="181"/>
      <c r="AX164" s="181"/>
      <c r="AY164" s="181"/>
      <c r="AZ164" s="181"/>
      <c r="BA164" s="181"/>
      <c r="BB164" s="181"/>
      <c r="BC164" s="181"/>
      <c r="BD164" s="181"/>
      <c r="BE164" s="181"/>
      <c r="BF164" s="181"/>
      <c r="BG164" s="181"/>
      <c r="BH164" s="181"/>
      <c r="BI164" s="181"/>
      <c r="BJ164" s="181"/>
      <c r="BK164" s="181"/>
      <c r="BL164" s="181"/>
      <c r="BM164" s="181"/>
      <c r="BN164" s="181"/>
      <c r="BO164" s="181"/>
      <c r="BP164" s="181"/>
      <c r="BQ164" s="181"/>
      <c r="BR164" s="181"/>
      <c r="BS164" s="181"/>
      <c r="BT164" s="181"/>
      <c r="BU164" s="181"/>
      <c r="BV164" s="181"/>
    </row>
    <row r="165" spans="1:75" s="30" customFormat="1" ht="15" customHeight="1" x14ac:dyDescent="0.25">
      <c r="A165" s="545"/>
      <c r="B165" s="1579"/>
      <c r="C165" s="1095"/>
      <c r="D165" s="1145" t="s">
        <v>105</v>
      </c>
      <c r="E165" s="1148" t="str">
        <f t="shared" si="26"/>
        <v>N</v>
      </c>
      <c r="F165" s="1124"/>
      <c r="G165" s="886" t="s">
        <v>38</v>
      </c>
      <c r="H165" s="962" t="s">
        <v>38</v>
      </c>
      <c r="I165" s="886" t="s">
        <v>38</v>
      </c>
      <c r="J165" s="963" t="s">
        <v>38</v>
      </c>
      <c r="K165" s="886" t="s">
        <v>38</v>
      </c>
      <c r="L165" s="962" t="s">
        <v>38</v>
      </c>
      <c r="M165" s="886" t="s">
        <v>38</v>
      </c>
      <c r="N165" s="962" t="s">
        <v>38</v>
      </c>
      <c r="O165" s="886" t="s">
        <v>38</v>
      </c>
      <c r="P165" s="964" t="s">
        <v>38</v>
      </c>
      <c r="Q165" s="985" t="s">
        <v>38</v>
      </c>
      <c r="R165" s="962" t="s">
        <v>38</v>
      </c>
      <c r="S165" s="886" t="s">
        <v>38</v>
      </c>
      <c r="T165" s="963" t="s">
        <v>38</v>
      </c>
      <c r="U165" s="886" t="s">
        <v>38</v>
      </c>
      <c r="V165" s="962" t="s">
        <v>38</v>
      </c>
      <c r="W165" s="886" t="s">
        <v>38</v>
      </c>
      <c r="X165" s="812" t="s">
        <v>38</v>
      </c>
      <c r="Y165" s="428"/>
      <c r="Z165" s="584" t="s">
        <v>478</v>
      </c>
      <c r="AA165" s="972" t="s">
        <v>38</v>
      </c>
      <c r="AB165" s="1918"/>
      <c r="AC165" s="1211"/>
      <c r="AD165" s="1250"/>
      <c r="AE165" s="1248" t="s">
        <v>537</v>
      </c>
      <c r="AF165" s="1247" t="s">
        <v>538</v>
      </c>
      <c r="AG165" s="1247" t="s">
        <v>539</v>
      </c>
      <c r="AH165" s="1786" t="s">
        <v>542</v>
      </c>
      <c r="AI165" s="1769" t="s">
        <v>540</v>
      </c>
      <c r="AJ165" s="1248" t="s">
        <v>540</v>
      </c>
      <c r="AK165" s="1248" t="s">
        <v>540</v>
      </c>
      <c r="AL165" s="1095"/>
      <c r="AM165" s="1095"/>
      <c r="AN165" s="1095"/>
      <c r="AO165" s="1095"/>
      <c r="AP165" s="1095"/>
      <c r="AQ165" s="1095"/>
      <c r="AR165" s="1095"/>
      <c r="AS165" s="1095"/>
      <c r="AT165" s="181"/>
      <c r="AU165" s="181"/>
      <c r="AV165" s="181"/>
      <c r="AW165" s="181"/>
      <c r="AX165" s="181"/>
      <c r="AY165" s="181"/>
      <c r="AZ165" s="181"/>
      <c r="BA165" s="181"/>
      <c r="BB165" s="181"/>
      <c r="BC165" s="181"/>
      <c r="BD165" s="181"/>
      <c r="BE165" s="181"/>
      <c r="BF165" s="181"/>
      <c r="BG165" s="181"/>
      <c r="BH165" s="181"/>
      <c r="BI165" s="181"/>
      <c r="BJ165" s="181"/>
      <c r="BK165" s="181"/>
      <c r="BL165" s="181"/>
      <c r="BM165" s="181"/>
      <c r="BN165" s="181"/>
      <c r="BO165" s="181"/>
      <c r="BP165" s="181"/>
      <c r="BQ165" s="181"/>
      <c r="BR165" s="181"/>
      <c r="BS165" s="181"/>
      <c r="BT165" s="181"/>
      <c r="BU165" s="181"/>
      <c r="BV165" s="181"/>
    </row>
    <row r="166" spans="1:75" s="30" customFormat="1" ht="15" customHeight="1" x14ac:dyDescent="0.25">
      <c r="A166" s="545"/>
      <c r="B166" s="1579"/>
      <c r="C166" s="1095"/>
      <c r="D166" s="1145" t="s">
        <v>105</v>
      </c>
      <c r="E166" s="1148" t="str">
        <f t="shared" si="26"/>
        <v>N</v>
      </c>
      <c r="F166" s="1124"/>
      <c r="G166" s="886" t="s">
        <v>38</v>
      </c>
      <c r="H166" s="962" t="s">
        <v>38</v>
      </c>
      <c r="I166" s="886" t="s">
        <v>38</v>
      </c>
      <c r="J166" s="963" t="s">
        <v>38</v>
      </c>
      <c r="K166" s="886" t="s">
        <v>38</v>
      </c>
      <c r="L166" s="962" t="s">
        <v>38</v>
      </c>
      <c r="M166" s="886" t="s">
        <v>38</v>
      </c>
      <c r="N166" s="962" t="s">
        <v>38</v>
      </c>
      <c r="O166" s="886" t="s">
        <v>38</v>
      </c>
      <c r="P166" s="964" t="s">
        <v>38</v>
      </c>
      <c r="Q166" s="985" t="s">
        <v>38</v>
      </c>
      <c r="R166" s="962" t="s">
        <v>38</v>
      </c>
      <c r="S166" s="886" t="s">
        <v>38</v>
      </c>
      <c r="T166" s="963" t="s">
        <v>38</v>
      </c>
      <c r="U166" s="886" t="s">
        <v>38</v>
      </c>
      <c r="V166" s="962" t="s">
        <v>38</v>
      </c>
      <c r="W166" s="886" t="s">
        <v>38</v>
      </c>
      <c r="X166" s="812" t="s">
        <v>38</v>
      </c>
      <c r="Y166" s="428"/>
      <c r="Z166" s="584" t="s">
        <v>478</v>
      </c>
      <c r="AA166" s="972" t="s">
        <v>38</v>
      </c>
      <c r="AB166" s="1918"/>
      <c r="AC166" s="1211"/>
      <c r="AD166" s="1250"/>
      <c r="AE166" s="1248" t="s">
        <v>537</v>
      </c>
      <c r="AF166" s="1247" t="s">
        <v>538</v>
      </c>
      <c r="AG166" s="1247" t="s">
        <v>539</v>
      </c>
      <c r="AH166" s="1786" t="s">
        <v>542</v>
      </c>
      <c r="AI166" s="1769" t="s">
        <v>540</v>
      </c>
      <c r="AJ166" s="1248" t="s">
        <v>540</v>
      </c>
      <c r="AK166" s="1248" t="s">
        <v>540</v>
      </c>
      <c r="AL166" s="1095"/>
      <c r="AM166" s="1095"/>
      <c r="AN166" s="1095"/>
      <c r="AO166" s="1095"/>
      <c r="AP166" s="1095"/>
      <c r="AQ166" s="1095"/>
      <c r="AR166" s="1095"/>
      <c r="AS166" s="1095"/>
      <c r="AT166" s="181"/>
      <c r="AU166" s="181"/>
      <c r="AV166" s="181"/>
      <c r="AW166" s="181"/>
      <c r="AX166" s="181"/>
      <c r="AY166" s="181"/>
      <c r="AZ166" s="181"/>
      <c r="BA166" s="181"/>
      <c r="BB166" s="181"/>
      <c r="BC166" s="181"/>
      <c r="BD166" s="181"/>
      <c r="BE166" s="181"/>
      <c r="BF166" s="181"/>
      <c r="BG166" s="181"/>
      <c r="BH166" s="181"/>
      <c r="BI166" s="181"/>
      <c r="BJ166" s="181"/>
      <c r="BK166" s="181"/>
      <c r="BL166" s="181"/>
      <c r="BM166" s="181"/>
      <c r="BN166" s="181"/>
      <c r="BO166" s="181"/>
      <c r="BP166" s="181"/>
      <c r="BQ166" s="181"/>
      <c r="BR166" s="181"/>
      <c r="BS166" s="181"/>
      <c r="BT166" s="181"/>
      <c r="BU166" s="181"/>
      <c r="BV166" s="181"/>
    </row>
    <row r="167" spans="1:75" s="181" customFormat="1" ht="15.75" x14ac:dyDescent="0.25">
      <c r="A167" s="551"/>
      <c r="B167" s="1578"/>
      <c r="C167" s="1095"/>
      <c r="D167" s="1145"/>
      <c r="E167" s="1148" t="str">
        <f t="shared" si="26"/>
        <v/>
      </c>
      <c r="F167" s="1166"/>
      <c r="G167" s="1708" t="s">
        <v>208</v>
      </c>
      <c r="H167" s="1709" t="s">
        <v>208</v>
      </c>
      <c r="I167" s="1708" t="s">
        <v>208</v>
      </c>
      <c r="J167" s="1710" t="s">
        <v>208</v>
      </c>
      <c r="K167" s="1708" t="s">
        <v>208</v>
      </c>
      <c r="L167" s="1709" t="s">
        <v>208</v>
      </c>
      <c r="M167" s="1708" t="s">
        <v>208</v>
      </c>
      <c r="N167" s="1709" t="s">
        <v>208</v>
      </c>
      <c r="O167" s="1708" t="s">
        <v>208</v>
      </c>
      <c r="P167" s="1711" t="s">
        <v>208</v>
      </c>
      <c r="Q167" s="1712" t="s">
        <v>208</v>
      </c>
      <c r="R167" s="1709" t="s">
        <v>208</v>
      </c>
      <c r="S167" s="1708" t="s">
        <v>208</v>
      </c>
      <c r="T167" s="1710" t="s">
        <v>208</v>
      </c>
      <c r="U167" s="1708" t="s">
        <v>208</v>
      </c>
      <c r="V167" s="1709" t="s">
        <v>208</v>
      </c>
      <c r="W167" s="1708" t="s">
        <v>208</v>
      </c>
      <c r="X167" s="816" t="s">
        <v>208</v>
      </c>
      <c r="Y167" s="429"/>
      <c r="Z167" s="589"/>
      <c r="AA167" s="973" t="s">
        <v>208</v>
      </c>
      <c r="AB167" s="1909"/>
      <c r="AC167" s="1125"/>
      <c r="AD167" s="1229"/>
      <c r="AE167" s="1230"/>
      <c r="AF167" s="1231"/>
      <c r="AG167" s="1231"/>
      <c r="AH167" s="1787"/>
      <c r="AI167" s="1761"/>
      <c r="AJ167" s="1230"/>
      <c r="AK167" s="1230"/>
      <c r="AL167" s="1095"/>
      <c r="AM167" s="1095"/>
      <c r="AN167" s="1095"/>
      <c r="AO167" s="1095"/>
      <c r="AP167" s="1095"/>
      <c r="AQ167" s="1103"/>
      <c r="AR167" s="1097"/>
      <c r="AS167" s="1095"/>
    </row>
    <row r="168" spans="1:75" s="181" customFormat="1" ht="18.75" x14ac:dyDescent="0.25">
      <c r="A168" s="551"/>
      <c r="B168" s="1578"/>
      <c r="C168" s="1095"/>
      <c r="D168" s="1142" t="s">
        <v>206</v>
      </c>
      <c r="E168" s="1143" t="str">
        <f t="shared" si="26"/>
        <v/>
      </c>
      <c r="F168" s="1166"/>
      <c r="G168" s="1680" t="s">
        <v>38</v>
      </c>
      <c r="H168" s="1681" t="s">
        <v>38</v>
      </c>
      <c r="I168" s="1680" t="s">
        <v>38</v>
      </c>
      <c r="J168" s="1682" t="s">
        <v>38</v>
      </c>
      <c r="K168" s="1680" t="s">
        <v>37</v>
      </c>
      <c r="L168" s="1681" t="str">
        <f>IF(L159="No","N","Y")</f>
        <v>Y</v>
      </c>
      <c r="M168" s="1680" t="s">
        <v>37</v>
      </c>
      <c r="N168" s="1681" t="s">
        <v>37</v>
      </c>
      <c r="O168" s="1680" t="s">
        <v>37</v>
      </c>
      <c r="P168" s="1683" t="s">
        <v>37</v>
      </c>
      <c r="Q168" s="1684" t="s">
        <v>37</v>
      </c>
      <c r="R168" s="1681" t="s">
        <v>37</v>
      </c>
      <c r="S168" s="1680" t="s">
        <v>38</v>
      </c>
      <c r="T168" s="1682" t="s">
        <v>38</v>
      </c>
      <c r="U168" s="1680" t="s">
        <v>37</v>
      </c>
      <c r="V168" s="1681" t="s">
        <v>37</v>
      </c>
      <c r="W168" s="1680" t="s">
        <v>38</v>
      </c>
      <c r="X168" s="810" t="s">
        <v>38</v>
      </c>
      <c r="Y168" s="428" t="s">
        <v>644</v>
      </c>
      <c r="Z168" s="579" t="s">
        <v>1104</v>
      </c>
      <c r="AA168" s="970" t="s">
        <v>37</v>
      </c>
      <c r="AB168" s="1919"/>
      <c r="AC168" s="1215"/>
      <c r="AD168" s="1251"/>
      <c r="AE168" s="1252"/>
      <c r="AF168" s="1253" t="str">
        <f>IF(AND(SD_apply="Yes",Item_apply_SD="Y")," - Updates"," ")</f>
        <v xml:space="preserve"> </v>
      </c>
      <c r="AG168" s="1254" t="str">
        <f>IF(OR(AND(DD_apply="Yes",Item_apply_DD="Y"),AND(SD_apply="Yes",Item_apply_SD="Y"))," - Updates - Including Bid Alts"," ")</f>
        <v xml:space="preserve"> - Updates - Including Bid Alts</v>
      </c>
      <c r="AH168" s="1788" t="str">
        <f>IF(OR(AND(DD_apply="Yes",Item_apply_DD="Y"),AND(SD_apply="Yes",Item_apply_SD="Y"),AND(CD50_apply="Yes",Item_apply_50CD))," - Updates - Including Bid Alts."," ")</f>
        <v xml:space="preserve"> - Updates - Including Bid Alts.</v>
      </c>
      <c r="AI168" s="1770" t="s">
        <v>605</v>
      </c>
      <c r="AJ168" s="1254"/>
      <c r="AK168" s="1254" t="s">
        <v>606</v>
      </c>
      <c r="AL168" s="1095"/>
      <c r="AM168" s="1095"/>
      <c r="AN168" s="1095"/>
      <c r="AO168" s="1095"/>
      <c r="AP168" s="1095"/>
      <c r="AQ168" s="1104"/>
      <c r="AR168" s="1105"/>
      <c r="AS168" s="1095"/>
    </row>
    <row r="169" spans="1:75" s="551" customFormat="1" ht="15.75" x14ac:dyDescent="0.25">
      <c r="B169" s="1578"/>
      <c r="C169" s="1095"/>
      <c r="D169" s="1145" t="s">
        <v>206</v>
      </c>
      <c r="E169" s="1146" t="str">
        <f t="shared" ref="E169:E235" si="35">IF(Z169="","",IF(OR(AND(OR(G169="Y",G169="?"),_00_apply="Yes"),AND(OR(I169="Y",I169="?"),_01_apply="Yes"),AND(OR(K169="Y",K169="?"),_02_apply="Yes"),AND(OR(M169="Y",M169="?"),_03_apply="Yes"),AND(OR(O169="Y",O169="?"),_04_apply="Yes"),AND(OR(Q169="Y",Q169="?"),_05_apply="Yes"),AND(OR(S169="?",S169="Y"),_06_apply="Yes"),AND(OR(U169="?",U169="Y"),_07_apply="Yes"),AND(OR(W169="Y",W169="?"),_08_apply="Yes")),"","N"))</f>
        <v/>
      </c>
      <c r="F169" s="1166"/>
      <c r="G169" s="886" t="s">
        <v>38</v>
      </c>
      <c r="H169" s="962" t="s">
        <v>38</v>
      </c>
      <c r="I169" s="886" t="s">
        <v>38</v>
      </c>
      <c r="J169" s="963" t="s">
        <v>38</v>
      </c>
      <c r="K169" s="886" t="s">
        <v>37</v>
      </c>
      <c r="L169" s="962" t="str">
        <f>IF(L146="No","N","Y")</f>
        <v>Y</v>
      </c>
      <c r="M169" s="886" t="s">
        <v>37</v>
      </c>
      <c r="N169" s="962" t="s">
        <v>37</v>
      </c>
      <c r="O169" s="886" t="s">
        <v>37</v>
      </c>
      <c r="P169" s="964" t="s">
        <v>37</v>
      </c>
      <c r="Q169" s="985" t="s">
        <v>37</v>
      </c>
      <c r="R169" s="962" t="s">
        <v>37</v>
      </c>
      <c r="S169" s="886" t="s">
        <v>38</v>
      </c>
      <c r="T169" s="963" t="s">
        <v>38</v>
      </c>
      <c r="U169" s="886" t="s">
        <v>37</v>
      </c>
      <c r="V169" s="962" t="s">
        <v>37</v>
      </c>
      <c r="W169" s="886" t="s">
        <v>38</v>
      </c>
      <c r="X169" s="812" t="s">
        <v>38</v>
      </c>
      <c r="Y169" s="430"/>
      <c r="Z169" s="583" t="s">
        <v>523</v>
      </c>
      <c r="AA169" s="972" t="s">
        <v>37</v>
      </c>
      <c r="AB169" s="1920"/>
      <c r="AC169" s="1216"/>
      <c r="AD169" s="1255"/>
      <c r="AE169" s="1256"/>
      <c r="AF169" s="1240" t="s">
        <v>538</v>
      </c>
      <c r="AG169" s="1239" t="s">
        <v>539</v>
      </c>
      <c r="AH169" s="1783" t="s">
        <v>542</v>
      </c>
      <c r="AI169" s="1765" t="s">
        <v>540</v>
      </c>
      <c r="AJ169" s="1239"/>
      <c r="AK169" s="1239" t="s">
        <v>544</v>
      </c>
      <c r="AL169" s="1095"/>
      <c r="AM169" s="1095"/>
      <c r="AN169" s="1095"/>
      <c r="AO169" s="1095"/>
      <c r="AP169" s="1095"/>
      <c r="AQ169" s="1106"/>
      <c r="AR169" s="1097"/>
      <c r="AS169" s="1095"/>
      <c r="BW169" s="545"/>
    </row>
    <row r="170" spans="1:75" s="551" customFormat="1" ht="15.75" x14ac:dyDescent="0.25">
      <c r="B170" s="1578"/>
      <c r="C170" s="1095"/>
      <c r="D170" s="1145" t="s">
        <v>206</v>
      </c>
      <c r="E170" s="1146" t="str">
        <f t="shared" si="35"/>
        <v/>
      </c>
      <c r="F170" s="1166"/>
      <c r="G170" s="886" t="s">
        <v>38</v>
      </c>
      <c r="H170" s="962" t="s">
        <v>38</v>
      </c>
      <c r="I170" s="886" t="s">
        <v>38</v>
      </c>
      <c r="J170" s="963" t="s">
        <v>38</v>
      </c>
      <c r="K170" s="886" t="s">
        <v>37</v>
      </c>
      <c r="L170" s="962" t="str">
        <f t="shared" ref="L170" si="36">IF(L160="No","N","Y")</f>
        <v>Y</v>
      </c>
      <c r="M170" s="886" t="s">
        <v>37</v>
      </c>
      <c r="N170" s="962" t="s">
        <v>37</v>
      </c>
      <c r="O170" s="886" t="s">
        <v>37</v>
      </c>
      <c r="P170" s="964" t="s">
        <v>37</v>
      </c>
      <c r="Q170" s="985" t="s">
        <v>37</v>
      </c>
      <c r="R170" s="962" t="s">
        <v>37</v>
      </c>
      <c r="S170" s="886" t="s">
        <v>38</v>
      </c>
      <c r="T170" s="963" t="s">
        <v>38</v>
      </c>
      <c r="U170" s="886" t="s">
        <v>37</v>
      </c>
      <c r="V170" s="962" t="s">
        <v>37</v>
      </c>
      <c r="W170" s="886" t="s">
        <v>38</v>
      </c>
      <c r="X170" s="812" t="s">
        <v>38</v>
      </c>
      <c r="Y170" s="431"/>
      <c r="Z170" s="583" t="s">
        <v>524</v>
      </c>
      <c r="AA170" s="972" t="s">
        <v>37</v>
      </c>
      <c r="AB170" s="1920"/>
      <c r="AC170" s="1216"/>
      <c r="AD170" s="1255"/>
      <c r="AE170" s="1256"/>
      <c r="AF170" s="1240" t="s">
        <v>538</v>
      </c>
      <c r="AG170" s="1239" t="s">
        <v>539</v>
      </c>
      <c r="AH170" s="1783" t="s">
        <v>542</v>
      </c>
      <c r="AI170" s="1765" t="s">
        <v>540</v>
      </c>
      <c r="AJ170" s="1239"/>
      <c r="AK170" s="1239" t="s">
        <v>544</v>
      </c>
      <c r="AL170" s="1095"/>
      <c r="AM170" s="1095"/>
      <c r="AN170" s="1095"/>
      <c r="AO170" s="1095"/>
      <c r="AP170" s="1095"/>
      <c r="AQ170" s="1106"/>
      <c r="AR170" s="1097"/>
      <c r="AS170" s="1095"/>
      <c r="BW170" s="545"/>
    </row>
    <row r="171" spans="1:75" s="551" customFormat="1" ht="18.75" x14ac:dyDescent="0.25">
      <c r="B171" s="1578"/>
      <c r="C171" s="1095"/>
      <c r="D171" s="1145" t="s">
        <v>206</v>
      </c>
      <c r="E171" s="1146" t="str">
        <f t="shared" si="35"/>
        <v/>
      </c>
      <c r="F171" s="1166"/>
      <c r="G171" s="886" t="s">
        <v>38</v>
      </c>
      <c r="H171" s="962" t="s">
        <v>38</v>
      </c>
      <c r="I171" s="886" t="s">
        <v>38</v>
      </c>
      <c r="J171" s="963" t="s">
        <v>38</v>
      </c>
      <c r="K171" s="886" t="s">
        <v>38</v>
      </c>
      <c r="L171" s="962" t="s">
        <v>21</v>
      </c>
      <c r="M171" s="886" t="s">
        <v>37</v>
      </c>
      <c r="N171" s="962" t="s">
        <v>21</v>
      </c>
      <c r="O171" s="886" t="s">
        <v>37</v>
      </c>
      <c r="P171" s="964" t="s">
        <v>21</v>
      </c>
      <c r="Q171" s="985" t="s">
        <v>38</v>
      </c>
      <c r="R171" s="962" t="s">
        <v>38</v>
      </c>
      <c r="S171" s="886" t="s">
        <v>38</v>
      </c>
      <c r="T171" s="963" t="s">
        <v>38</v>
      </c>
      <c r="U171" s="886" t="s">
        <v>38</v>
      </c>
      <c r="V171" s="962" t="s">
        <v>38</v>
      </c>
      <c r="W171" s="886" t="s">
        <v>38</v>
      </c>
      <c r="X171" s="812" t="s">
        <v>38</v>
      </c>
      <c r="Y171" s="432"/>
      <c r="Z171" s="889" t="s">
        <v>1063</v>
      </c>
      <c r="AA171" s="972" t="s">
        <v>38</v>
      </c>
      <c r="AB171" s="1914"/>
      <c r="AC171" s="1217"/>
      <c r="AD171" s="1241"/>
      <c r="AE171" s="1246"/>
      <c r="AF171" s="1239"/>
      <c r="AG171" s="1239" t="s">
        <v>1064</v>
      </c>
      <c r="AH171" s="1783" t="s">
        <v>1064</v>
      </c>
      <c r="AI171" s="1765"/>
      <c r="AJ171" s="1239"/>
      <c r="AK171" s="1239" t="s">
        <v>544</v>
      </c>
      <c r="AL171" s="1095"/>
      <c r="AM171" s="1095"/>
      <c r="AN171" s="1095"/>
      <c r="AO171" s="1095"/>
      <c r="AP171" s="1095"/>
      <c r="AQ171" s="1104"/>
      <c r="AR171" s="1105"/>
      <c r="AS171" s="1095"/>
      <c r="BW171" s="545"/>
    </row>
    <row r="172" spans="1:75" s="545" customFormat="1" ht="15" customHeight="1" x14ac:dyDescent="0.25">
      <c r="B172" s="1579"/>
      <c r="C172" s="1095"/>
      <c r="D172" s="1145" t="s">
        <v>206</v>
      </c>
      <c r="E172" s="1146" t="str">
        <f t="shared" si="35"/>
        <v>N</v>
      </c>
      <c r="F172" s="1124"/>
      <c r="G172" s="886" t="s">
        <v>38</v>
      </c>
      <c r="H172" s="962" t="s">
        <v>38</v>
      </c>
      <c r="I172" s="886" t="s">
        <v>38</v>
      </c>
      <c r="J172" s="963" t="s">
        <v>38</v>
      </c>
      <c r="K172" s="886" t="s">
        <v>38</v>
      </c>
      <c r="L172" s="962" t="s">
        <v>38</v>
      </c>
      <c r="M172" s="886" t="s">
        <v>38</v>
      </c>
      <c r="N172" s="962" t="s">
        <v>38</v>
      </c>
      <c r="O172" s="886" t="s">
        <v>38</v>
      </c>
      <c r="P172" s="964" t="s">
        <v>21</v>
      </c>
      <c r="Q172" s="985" t="s">
        <v>38</v>
      </c>
      <c r="R172" s="962" t="s">
        <v>38</v>
      </c>
      <c r="S172" s="886" t="s">
        <v>38</v>
      </c>
      <c r="T172" s="963" t="s">
        <v>38</v>
      </c>
      <c r="U172" s="886" t="s">
        <v>38</v>
      </c>
      <c r="V172" s="962" t="s">
        <v>38</v>
      </c>
      <c r="W172" s="886" t="s">
        <v>38</v>
      </c>
      <c r="X172" s="812" t="s">
        <v>38</v>
      </c>
      <c r="Y172" s="428"/>
      <c r="Z172" s="889" t="s">
        <v>478</v>
      </c>
      <c r="AA172" s="972" t="s">
        <v>38</v>
      </c>
      <c r="AB172" s="1914"/>
      <c r="AC172" s="1211"/>
      <c r="AD172" s="1241"/>
      <c r="AE172" s="1246"/>
      <c r="AF172" s="1239" t="s">
        <v>538</v>
      </c>
      <c r="AG172" s="1239" t="s">
        <v>539</v>
      </c>
      <c r="AH172" s="1783" t="s">
        <v>542</v>
      </c>
      <c r="AI172" s="1765" t="s">
        <v>540</v>
      </c>
      <c r="AJ172" s="1239"/>
      <c r="AK172" s="1239" t="s">
        <v>544</v>
      </c>
      <c r="AL172" s="1095"/>
      <c r="AM172" s="1095"/>
      <c r="AN172" s="1095"/>
      <c r="AO172" s="1095"/>
      <c r="AP172" s="1095"/>
      <c r="AQ172" s="1095"/>
      <c r="AR172" s="1095"/>
      <c r="AS172" s="1095"/>
      <c r="AT172" s="551"/>
      <c r="AU172" s="551"/>
      <c r="AV172" s="551"/>
      <c r="AW172" s="551"/>
      <c r="AX172" s="551"/>
      <c r="AY172" s="551"/>
      <c r="AZ172" s="551"/>
      <c r="BA172" s="551"/>
      <c r="BB172" s="551"/>
      <c r="BC172" s="551"/>
      <c r="BD172" s="551"/>
      <c r="BE172" s="551"/>
      <c r="BF172" s="551"/>
      <c r="BG172" s="551"/>
      <c r="BH172" s="551"/>
      <c r="BI172" s="551"/>
      <c r="BJ172" s="551"/>
      <c r="BK172" s="551"/>
      <c r="BL172" s="551"/>
      <c r="BM172" s="551"/>
      <c r="BN172" s="551"/>
      <c r="BO172" s="551"/>
      <c r="BP172" s="551"/>
      <c r="BQ172" s="551"/>
      <c r="BR172" s="551"/>
      <c r="BS172" s="551"/>
      <c r="BT172" s="551"/>
      <c r="BU172" s="551"/>
      <c r="BV172" s="551"/>
    </row>
    <row r="173" spans="1:75" s="181" customFormat="1" ht="15.75" x14ac:dyDescent="0.25">
      <c r="A173" s="551"/>
      <c r="B173" s="1578"/>
      <c r="C173" s="1095"/>
      <c r="D173" s="1142"/>
      <c r="E173" s="1144" t="str">
        <f t="shared" si="35"/>
        <v/>
      </c>
      <c r="F173" s="1166"/>
      <c r="G173" s="1708" t="s">
        <v>208</v>
      </c>
      <c r="H173" s="1709" t="s">
        <v>208</v>
      </c>
      <c r="I173" s="1708" t="s">
        <v>208</v>
      </c>
      <c r="J173" s="1710" t="s">
        <v>208</v>
      </c>
      <c r="K173" s="1708" t="s">
        <v>208</v>
      </c>
      <c r="L173" s="1709" t="s">
        <v>208</v>
      </c>
      <c r="M173" s="1708" t="s">
        <v>208</v>
      </c>
      <c r="N173" s="1709" t="s">
        <v>208</v>
      </c>
      <c r="O173" s="1708" t="s">
        <v>208</v>
      </c>
      <c r="P173" s="1711" t="s">
        <v>208</v>
      </c>
      <c r="Q173" s="1712" t="s">
        <v>208</v>
      </c>
      <c r="R173" s="1709" t="s">
        <v>208</v>
      </c>
      <c r="S173" s="1708" t="s">
        <v>208</v>
      </c>
      <c r="T173" s="1710" t="s">
        <v>208</v>
      </c>
      <c r="U173" s="1708" t="s">
        <v>208</v>
      </c>
      <c r="V173" s="1709" t="s">
        <v>208</v>
      </c>
      <c r="W173" s="1708" t="s">
        <v>208</v>
      </c>
      <c r="X173" s="816" t="s">
        <v>208</v>
      </c>
      <c r="Y173" s="429"/>
      <c r="Z173" s="581"/>
      <c r="AA173" s="973" t="s">
        <v>208</v>
      </c>
      <c r="AB173" s="1921"/>
      <c r="AC173" s="1125"/>
      <c r="AD173" s="1257"/>
      <c r="AE173" s="1258"/>
      <c r="AF173" s="1258"/>
      <c r="AG173" s="1258"/>
      <c r="AH173" s="1789"/>
      <c r="AI173" s="1771"/>
      <c r="AJ173" s="1258"/>
      <c r="AK173" s="1258"/>
      <c r="AL173" s="1095"/>
      <c r="AM173" s="1095"/>
      <c r="AN173" s="1095"/>
      <c r="AO173" s="1095"/>
      <c r="AP173" s="1095"/>
      <c r="AQ173" s="1103"/>
      <c r="AR173" s="1097"/>
      <c r="AS173" s="1095"/>
    </row>
    <row r="174" spans="1:75" s="181" customFormat="1" ht="18.75" x14ac:dyDescent="0.25">
      <c r="A174" s="551"/>
      <c r="B174" s="1578"/>
      <c r="C174" s="1095"/>
      <c r="D174" s="1142" t="s">
        <v>207</v>
      </c>
      <c r="E174" s="1143" t="str">
        <f t="shared" si="35"/>
        <v/>
      </c>
      <c r="F174" s="1166"/>
      <c r="G174" s="1680" t="s">
        <v>38</v>
      </c>
      <c r="H174" s="1681" t="s">
        <v>38</v>
      </c>
      <c r="I174" s="1680" t="s">
        <v>38</v>
      </c>
      <c r="J174" s="1682" t="s">
        <v>38</v>
      </c>
      <c r="K174" s="1680" t="s">
        <v>37</v>
      </c>
      <c r="L174" s="1681" t="str">
        <f t="shared" ref="L174:L177" si="37">IF(L164="No","N","Y")</f>
        <v>Y</v>
      </c>
      <c r="M174" s="1680" t="s">
        <v>37</v>
      </c>
      <c r="N174" s="1681" t="s">
        <v>37</v>
      </c>
      <c r="O174" s="1680" t="s">
        <v>37</v>
      </c>
      <c r="P174" s="1683" t="s">
        <v>37</v>
      </c>
      <c r="Q174" s="1684" t="s">
        <v>37</v>
      </c>
      <c r="R174" s="1681" t="s">
        <v>37</v>
      </c>
      <c r="S174" s="1680" t="s">
        <v>38</v>
      </c>
      <c r="T174" s="1682" t="s">
        <v>38</v>
      </c>
      <c r="U174" s="1680" t="s">
        <v>37</v>
      </c>
      <c r="V174" s="1681" t="s">
        <v>37</v>
      </c>
      <c r="W174" s="1680" t="s">
        <v>38</v>
      </c>
      <c r="X174" s="810" t="s">
        <v>38</v>
      </c>
      <c r="Y174" s="428" t="s">
        <v>645</v>
      </c>
      <c r="Z174" s="579" t="s">
        <v>1103</v>
      </c>
      <c r="AA174" s="970" t="s">
        <v>38</v>
      </c>
      <c r="AB174" s="1919"/>
      <c r="AC174" s="1215"/>
      <c r="AD174" s="1251"/>
      <c r="AE174" s="1252"/>
      <c r="AF174" s="1253" t="str">
        <f>IF(AND(SD_apply="Yes",Item_apply_SD="Y")," - Updates"," ")</f>
        <v xml:space="preserve"> </v>
      </c>
      <c r="AG174" s="1254" t="str">
        <f>IF(OR(AND(DD_apply="Yes",Item_apply_DD="Y"),AND(SD_apply="Yes",Item_apply_SD="Y"))," - Updates - Including Bid Alts"," ")</f>
        <v xml:space="preserve"> - Updates - Including Bid Alts</v>
      </c>
      <c r="AH174" s="1788" t="str">
        <f>IF(OR(AND(DD_apply="Yes",Item_apply_DD="Y"),AND(SD_apply="Yes",Item_apply_SD="Y"),AND(CD50_apply="Yes",Item_apply_50CD))," - Updates - Including Bid Alts."," ")</f>
        <v xml:space="preserve"> - Updates - Including Bid Alts.</v>
      </c>
      <c r="AI174" s="1770" t="s">
        <v>605</v>
      </c>
      <c r="AJ174" s="1254"/>
      <c r="AK174" s="1254" t="s">
        <v>606</v>
      </c>
      <c r="AL174" s="1095"/>
      <c r="AM174" s="1095"/>
      <c r="AN174" s="1095"/>
      <c r="AO174" s="1095"/>
      <c r="AP174" s="1095"/>
      <c r="AQ174" s="1104"/>
      <c r="AR174" s="1105"/>
      <c r="AS174" s="1095"/>
    </row>
    <row r="175" spans="1:75" s="181" customFormat="1" ht="15.75" x14ac:dyDescent="0.25">
      <c r="A175" s="551"/>
      <c r="B175" s="1578"/>
      <c r="C175" s="1095"/>
      <c r="D175" s="1145" t="s">
        <v>207</v>
      </c>
      <c r="E175" s="1146" t="str">
        <f t="shared" si="35"/>
        <v/>
      </c>
      <c r="F175" s="1166"/>
      <c r="G175" s="886" t="s">
        <v>38</v>
      </c>
      <c r="H175" s="962" t="s">
        <v>38</v>
      </c>
      <c r="I175" s="886" t="s">
        <v>38</v>
      </c>
      <c r="J175" s="963" t="s">
        <v>38</v>
      </c>
      <c r="K175" s="886" t="s">
        <v>37</v>
      </c>
      <c r="L175" s="962" t="str">
        <f t="shared" si="37"/>
        <v>Y</v>
      </c>
      <c r="M175" s="886" t="s">
        <v>37</v>
      </c>
      <c r="N175" s="962" t="s">
        <v>37</v>
      </c>
      <c r="O175" s="886" t="s">
        <v>37</v>
      </c>
      <c r="P175" s="964" t="s">
        <v>37</v>
      </c>
      <c r="Q175" s="985" t="s">
        <v>37</v>
      </c>
      <c r="R175" s="962" t="s">
        <v>37</v>
      </c>
      <c r="S175" s="886" t="s">
        <v>38</v>
      </c>
      <c r="T175" s="963" t="s">
        <v>38</v>
      </c>
      <c r="U175" s="886" t="s">
        <v>37</v>
      </c>
      <c r="V175" s="962" t="s">
        <v>37</v>
      </c>
      <c r="W175" s="886" t="s">
        <v>38</v>
      </c>
      <c r="X175" s="812" t="s">
        <v>38</v>
      </c>
      <c r="Y175" s="430"/>
      <c r="Z175" s="583" t="s">
        <v>230</v>
      </c>
      <c r="AA175" s="972" t="s">
        <v>38</v>
      </c>
      <c r="AB175" s="1920"/>
      <c r="AC175" s="1216"/>
      <c r="AD175" s="1255"/>
      <c r="AE175" s="1256"/>
      <c r="AF175" s="1240" t="s">
        <v>538</v>
      </c>
      <c r="AG175" s="1239" t="s">
        <v>539</v>
      </c>
      <c r="AH175" s="1783" t="s">
        <v>542</v>
      </c>
      <c r="AI175" s="1765" t="s">
        <v>540</v>
      </c>
      <c r="AJ175" s="1239"/>
      <c r="AK175" s="1239" t="s">
        <v>544</v>
      </c>
      <c r="AL175" s="1095"/>
      <c r="AM175" s="1095"/>
      <c r="AN175" s="1095"/>
      <c r="AO175" s="1095"/>
      <c r="AP175" s="1095"/>
      <c r="AQ175" s="1106"/>
      <c r="AR175" s="1097"/>
      <c r="AS175" s="1095"/>
      <c r="BW175" s="30"/>
    </row>
    <row r="176" spans="1:75" s="181" customFormat="1" ht="15.75" x14ac:dyDescent="0.25">
      <c r="A176" s="551"/>
      <c r="B176" s="1578"/>
      <c r="C176" s="1095"/>
      <c r="D176" s="1145" t="s">
        <v>207</v>
      </c>
      <c r="E176" s="1146" t="str">
        <f t="shared" si="35"/>
        <v/>
      </c>
      <c r="F176" s="1166"/>
      <c r="G176" s="886" t="s">
        <v>38</v>
      </c>
      <c r="H176" s="962" t="s">
        <v>38</v>
      </c>
      <c r="I176" s="886" t="s">
        <v>38</v>
      </c>
      <c r="J176" s="963" t="s">
        <v>38</v>
      </c>
      <c r="K176" s="886" t="s">
        <v>37</v>
      </c>
      <c r="L176" s="962" t="str">
        <f t="shared" si="37"/>
        <v>Y</v>
      </c>
      <c r="M176" s="886" t="s">
        <v>37</v>
      </c>
      <c r="N176" s="962" t="s">
        <v>37</v>
      </c>
      <c r="O176" s="886" t="s">
        <v>37</v>
      </c>
      <c r="P176" s="964" t="s">
        <v>37</v>
      </c>
      <c r="Q176" s="985" t="s">
        <v>37</v>
      </c>
      <c r="R176" s="962" t="s">
        <v>37</v>
      </c>
      <c r="S176" s="886" t="s">
        <v>38</v>
      </c>
      <c r="T176" s="963" t="s">
        <v>38</v>
      </c>
      <c r="U176" s="886" t="s">
        <v>37</v>
      </c>
      <c r="V176" s="962" t="s">
        <v>37</v>
      </c>
      <c r="W176" s="886" t="s">
        <v>38</v>
      </c>
      <c r="X176" s="812" t="s">
        <v>38</v>
      </c>
      <c r="Y176" s="431"/>
      <c r="Z176" s="583" t="s">
        <v>231</v>
      </c>
      <c r="AA176" s="972" t="s">
        <v>38</v>
      </c>
      <c r="AB176" s="1920"/>
      <c r="AC176" s="1216"/>
      <c r="AD176" s="1255"/>
      <c r="AE176" s="1256"/>
      <c r="AF176" s="1240" t="s">
        <v>538</v>
      </c>
      <c r="AG176" s="1239" t="s">
        <v>539</v>
      </c>
      <c r="AH176" s="1783" t="s">
        <v>542</v>
      </c>
      <c r="AI176" s="1765" t="s">
        <v>540</v>
      </c>
      <c r="AJ176" s="1239"/>
      <c r="AK176" s="1239" t="s">
        <v>544</v>
      </c>
      <c r="AL176" s="1095"/>
      <c r="AM176" s="1095"/>
      <c r="AN176" s="1095"/>
      <c r="AO176" s="1095"/>
      <c r="AP176" s="1095"/>
      <c r="AQ176" s="1106"/>
      <c r="AR176" s="1097"/>
      <c r="AS176" s="1095"/>
      <c r="BW176" s="30"/>
    </row>
    <row r="177" spans="1:75" s="181" customFormat="1" ht="18.75" x14ac:dyDescent="0.25">
      <c r="A177" s="551"/>
      <c r="B177" s="1578"/>
      <c r="C177" s="1095"/>
      <c r="D177" s="1145" t="s">
        <v>207</v>
      </c>
      <c r="E177" s="1146" t="str">
        <f t="shared" si="35"/>
        <v/>
      </c>
      <c r="F177" s="1166"/>
      <c r="G177" s="886" t="s">
        <v>38</v>
      </c>
      <c r="H177" s="962" t="s">
        <v>38</v>
      </c>
      <c r="I177" s="886" t="s">
        <v>38</v>
      </c>
      <c r="J177" s="963" t="s">
        <v>38</v>
      </c>
      <c r="K177" s="886" t="s">
        <v>37</v>
      </c>
      <c r="L177" s="962" t="str">
        <f t="shared" si="37"/>
        <v>Y</v>
      </c>
      <c r="M177" s="886" t="s">
        <v>37</v>
      </c>
      <c r="N177" s="962" t="s">
        <v>37</v>
      </c>
      <c r="O177" s="886" t="s">
        <v>37</v>
      </c>
      <c r="P177" s="964" t="s">
        <v>37</v>
      </c>
      <c r="Q177" s="985" t="s">
        <v>38</v>
      </c>
      <c r="R177" s="962" t="s">
        <v>38</v>
      </c>
      <c r="S177" s="886" t="s">
        <v>38</v>
      </c>
      <c r="T177" s="963" t="s">
        <v>38</v>
      </c>
      <c r="U177" s="886" t="s">
        <v>38</v>
      </c>
      <c r="V177" s="962" t="s">
        <v>38</v>
      </c>
      <c r="W177" s="886" t="s">
        <v>38</v>
      </c>
      <c r="X177" s="812" t="s">
        <v>38</v>
      </c>
      <c r="Y177" s="432"/>
      <c r="Z177" s="583" t="s">
        <v>532</v>
      </c>
      <c r="AA177" s="972" t="s">
        <v>38</v>
      </c>
      <c r="AB177" s="1914"/>
      <c r="AC177" s="1217"/>
      <c r="AD177" s="1241"/>
      <c r="AE177" s="1246"/>
      <c r="AF177" s="1239" t="s">
        <v>543</v>
      </c>
      <c r="AG177" s="1239" t="s">
        <v>539</v>
      </c>
      <c r="AH177" s="1783" t="s">
        <v>542</v>
      </c>
      <c r="AI177" s="1765"/>
      <c r="AJ177" s="1239"/>
      <c r="AK177" s="1238"/>
      <c r="AL177" s="1095"/>
      <c r="AM177" s="1095"/>
      <c r="AN177" s="1095"/>
      <c r="AO177" s="1095"/>
      <c r="AP177" s="1095"/>
      <c r="AQ177" s="1104"/>
      <c r="AR177" s="1105"/>
      <c r="AS177" s="1095"/>
      <c r="BW177" s="30"/>
    </row>
    <row r="178" spans="1:75" s="30" customFormat="1" ht="15" customHeight="1" x14ac:dyDescent="0.25">
      <c r="A178" s="545"/>
      <c r="B178" s="1579"/>
      <c r="C178" s="1095"/>
      <c r="D178" s="1145" t="s">
        <v>207</v>
      </c>
      <c r="E178" s="1146" t="str">
        <f t="shared" si="35"/>
        <v>N</v>
      </c>
      <c r="F178" s="1124"/>
      <c r="G178" s="886" t="s">
        <v>38</v>
      </c>
      <c r="H178" s="962" t="s">
        <v>38</v>
      </c>
      <c r="I178" s="886" t="s">
        <v>38</v>
      </c>
      <c r="J178" s="963" t="s">
        <v>38</v>
      </c>
      <c r="K178" s="886" t="s">
        <v>38</v>
      </c>
      <c r="L178" s="962" t="s">
        <v>38</v>
      </c>
      <c r="M178" s="886" t="s">
        <v>38</v>
      </c>
      <c r="N178" s="962" t="s">
        <v>38</v>
      </c>
      <c r="O178" s="886" t="s">
        <v>38</v>
      </c>
      <c r="P178" s="964" t="s">
        <v>38</v>
      </c>
      <c r="Q178" s="985" t="s">
        <v>38</v>
      </c>
      <c r="R178" s="962" t="s">
        <v>38</v>
      </c>
      <c r="S178" s="886" t="s">
        <v>38</v>
      </c>
      <c r="T178" s="963" t="s">
        <v>38</v>
      </c>
      <c r="U178" s="886" t="s">
        <v>38</v>
      </c>
      <c r="V178" s="962" t="s">
        <v>38</v>
      </c>
      <c r="W178" s="886" t="s">
        <v>38</v>
      </c>
      <c r="X178" s="812" t="s">
        <v>38</v>
      </c>
      <c r="Y178" s="428"/>
      <c r="Z178" s="889" t="s">
        <v>478</v>
      </c>
      <c r="AA178" s="972" t="s">
        <v>38</v>
      </c>
      <c r="AB178" s="1914"/>
      <c r="AC178" s="1211"/>
      <c r="AD178" s="1241"/>
      <c r="AE178" s="1246"/>
      <c r="AF178" s="1240" t="s">
        <v>538</v>
      </c>
      <c r="AG178" s="1239" t="s">
        <v>539</v>
      </c>
      <c r="AH178" s="1783" t="s">
        <v>542</v>
      </c>
      <c r="AI178" s="1765" t="s">
        <v>540</v>
      </c>
      <c r="AJ178" s="1239"/>
      <c r="AK178" s="1239" t="s">
        <v>544</v>
      </c>
      <c r="AL178" s="1095"/>
      <c r="AM178" s="1095"/>
      <c r="AN178" s="1095"/>
      <c r="AO178" s="1095"/>
      <c r="AP178" s="1095"/>
      <c r="AQ178" s="1095"/>
      <c r="AR178" s="1095"/>
      <c r="AS178" s="1095"/>
      <c r="AT178" s="181"/>
      <c r="AU178" s="181"/>
      <c r="AV178" s="181"/>
      <c r="AW178" s="181"/>
      <c r="AX178" s="181"/>
      <c r="AY178" s="181"/>
      <c r="AZ178" s="181"/>
      <c r="BA178" s="181"/>
      <c r="BB178" s="181"/>
      <c r="BC178" s="181"/>
      <c r="BD178" s="181"/>
      <c r="BE178" s="181"/>
      <c r="BF178" s="181"/>
      <c r="BG178" s="181"/>
      <c r="BH178" s="181"/>
      <c r="BI178" s="181"/>
      <c r="BJ178" s="181"/>
      <c r="BK178" s="181"/>
      <c r="BL178" s="181"/>
      <c r="BM178" s="181"/>
      <c r="BN178" s="181"/>
      <c r="BO178" s="181"/>
      <c r="BP178" s="181"/>
      <c r="BQ178" s="181"/>
      <c r="BR178" s="181"/>
      <c r="BS178" s="181"/>
      <c r="BT178" s="181"/>
      <c r="BU178" s="181"/>
      <c r="BV178" s="181"/>
    </row>
    <row r="179" spans="1:75" s="181" customFormat="1" ht="15.75" x14ac:dyDescent="0.25">
      <c r="A179" s="551"/>
      <c r="B179" s="1578"/>
      <c r="C179" s="1095"/>
      <c r="D179" s="1142"/>
      <c r="E179" s="1144" t="str">
        <f t="shared" si="35"/>
        <v/>
      </c>
      <c r="F179" s="1166"/>
      <c r="G179" s="1708" t="s">
        <v>208</v>
      </c>
      <c r="H179" s="1709" t="s">
        <v>208</v>
      </c>
      <c r="I179" s="1708" t="s">
        <v>208</v>
      </c>
      <c r="J179" s="1710" t="s">
        <v>208</v>
      </c>
      <c r="K179" s="1708" t="s">
        <v>208</v>
      </c>
      <c r="L179" s="1709" t="s">
        <v>208</v>
      </c>
      <c r="M179" s="1708" t="s">
        <v>208</v>
      </c>
      <c r="N179" s="1709" t="s">
        <v>208</v>
      </c>
      <c r="O179" s="1708" t="s">
        <v>208</v>
      </c>
      <c r="P179" s="1711" t="s">
        <v>208</v>
      </c>
      <c r="Q179" s="1712" t="s">
        <v>208</v>
      </c>
      <c r="R179" s="1709" t="s">
        <v>208</v>
      </c>
      <c r="S179" s="1708" t="s">
        <v>208</v>
      </c>
      <c r="T179" s="1710" t="s">
        <v>208</v>
      </c>
      <c r="U179" s="1708" t="s">
        <v>208</v>
      </c>
      <c r="V179" s="1709" t="s">
        <v>208</v>
      </c>
      <c r="W179" s="1708" t="s">
        <v>208</v>
      </c>
      <c r="X179" s="816" t="s">
        <v>208</v>
      </c>
      <c r="Y179" s="429"/>
      <c r="Z179" s="581"/>
      <c r="AA179" s="973" t="s">
        <v>208</v>
      </c>
      <c r="AB179" s="1921"/>
      <c r="AC179" s="1125"/>
      <c r="AD179" s="1257"/>
      <c r="AE179" s="1258"/>
      <c r="AF179" s="1258"/>
      <c r="AG179" s="1258"/>
      <c r="AH179" s="1789"/>
      <c r="AI179" s="1771"/>
      <c r="AJ179" s="1258"/>
      <c r="AK179" s="1258"/>
      <c r="AL179" s="1095"/>
      <c r="AM179" s="1095"/>
      <c r="AN179" s="1095"/>
      <c r="AO179" s="1095"/>
      <c r="AP179" s="1095"/>
      <c r="AQ179" s="1105"/>
      <c r="AR179" s="1097"/>
      <c r="AS179" s="1095"/>
    </row>
    <row r="180" spans="1:75" s="181" customFormat="1" ht="20.25" customHeight="1" x14ac:dyDescent="0.25">
      <c r="A180" s="551"/>
      <c r="B180" s="1578"/>
      <c r="C180" s="1095"/>
      <c r="D180" s="1142" t="s">
        <v>43</v>
      </c>
      <c r="E180" s="1143" t="str">
        <f t="shared" si="35"/>
        <v/>
      </c>
      <c r="F180" s="1166"/>
      <c r="G180" s="1713" t="s">
        <v>38</v>
      </c>
      <c r="H180" s="1681" t="s">
        <v>38</v>
      </c>
      <c r="I180" s="1713" t="s">
        <v>37</v>
      </c>
      <c r="J180" s="1682" t="s">
        <v>38</v>
      </c>
      <c r="K180" s="1713" t="s">
        <v>37</v>
      </c>
      <c r="L180" s="1681" t="str">
        <f>IF(L170="No","N","Y")</f>
        <v>Y</v>
      </c>
      <c r="M180" s="1713" t="s">
        <v>37</v>
      </c>
      <c r="N180" s="1681" t="s">
        <v>37</v>
      </c>
      <c r="O180" s="1713" t="s">
        <v>37</v>
      </c>
      <c r="P180" s="1683" t="s">
        <v>37</v>
      </c>
      <c r="Q180" s="1714" t="s">
        <v>37</v>
      </c>
      <c r="R180" s="1681" t="s">
        <v>37</v>
      </c>
      <c r="S180" s="1713" t="s">
        <v>37</v>
      </c>
      <c r="T180" s="1682" t="s">
        <v>37</v>
      </c>
      <c r="U180" s="1713" t="s">
        <v>37</v>
      </c>
      <c r="V180" s="1681" t="s">
        <v>37</v>
      </c>
      <c r="W180" s="1713" t="s">
        <v>38</v>
      </c>
      <c r="X180" s="810" t="s">
        <v>38</v>
      </c>
      <c r="Y180" s="428" t="s">
        <v>646</v>
      </c>
      <c r="Z180" s="579" t="s">
        <v>349</v>
      </c>
      <c r="AA180" s="970" t="s">
        <v>37</v>
      </c>
      <c r="AB180" s="1919"/>
      <c r="AC180" s="1211"/>
      <c r="AD180" s="1251"/>
      <c r="AE180" s="1252"/>
      <c r="AF180" s="1253"/>
      <c r="AG180" s="1254" t="s">
        <v>600</v>
      </c>
      <c r="AH180" s="1788" t="s">
        <v>600</v>
      </c>
      <c r="AI180" s="1770" t="s">
        <v>1243</v>
      </c>
      <c r="AJ180" s="1260" t="s">
        <v>1223</v>
      </c>
      <c r="AK180" s="1254" t="s">
        <v>607</v>
      </c>
      <c r="AL180" s="1095"/>
      <c r="AM180" s="1095"/>
      <c r="AN180" s="1095"/>
      <c r="AO180" s="1095"/>
      <c r="AP180" s="1095"/>
      <c r="AQ180" s="1104"/>
      <c r="AR180" s="1105"/>
      <c r="AS180" s="1095"/>
      <c r="BW180" s="30"/>
    </row>
    <row r="181" spans="1:75" s="181" customFormat="1" ht="28.5" x14ac:dyDescent="0.25">
      <c r="A181" s="551"/>
      <c r="B181" s="1578"/>
      <c r="C181" s="1095"/>
      <c r="D181" s="1145" t="s">
        <v>43</v>
      </c>
      <c r="E181" s="1146" t="str">
        <f t="shared" si="35"/>
        <v/>
      </c>
      <c r="F181" s="1166"/>
      <c r="G181" s="1691" t="s">
        <v>38</v>
      </c>
      <c r="H181" s="1692" t="s">
        <v>38</v>
      </c>
      <c r="I181" s="1691" t="s">
        <v>38</v>
      </c>
      <c r="J181" s="1715" t="s">
        <v>38</v>
      </c>
      <c r="K181" s="1691" t="s">
        <v>38</v>
      </c>
      <c r="L181" s="1692" t="s">
        <v>38</v>
      </c>
      <c r="M181" s="1691" t="s">
        <v>38</v>
      </c>
      <c r="N181" s="1692" t="s">
        <v>37</v>
      </c>
      <c r="O181" s="1691" t="s">
        <v>37</v>
      </c>
      <c r="P181" s="1716" t="s">
        <v>37</v>
      </c>
      <c r="Q181" s="1717" t="s">
        <v>37</v>
      </c>
      <c r="R181" s="1692" t="s">
        <v>37</v>
      </c>
      <c r="S181" s="1691" t="s">
        <v>38</v>
      </c>
      <c r="T181" s="1715" t="s">
        <v>38</v>
      </c>
      <c r="U181" s="1691" t="s">
        <v>38</v>
      </c>
      <c r="V181" s="1692" t="s">
        <v>38</v>
      </c>
      <c r="W181" s="1691" t="s">
        <v>38</v>
      </c>
      <c r="X181" s="818" t="s">
        <v>38</v>
      </c>
      <c r="Y181" s="430"/>
      <c r="Z181" s="588" t="s">
        <v>1135</v>
      </c>
      <c r="AA181" s="970" t="s">
        <v>37</v>
      </c>
      <c r="AB181" s="1920"/>
      <c r="AC181" s="1216"/>
      <c r="AD181" s="1255"/>
      <c r="AE181" s="1256"/>
      <c r="AF181" s="1240"/>
      <c r="AG181" s="1239"/>
      <c r="AH181" s="1783"/>
      <c r="AI181" s="1765"/>
      <c r="AJ181" s="1239"/>
      <c r="AK181" s="1239"/>
      <c r="AL181" s="1095"/>
      <c r="AM181" s="1095"/>
      <c r="AN181" s="1095"/>
      <c r="AO181" s="1095"/>
      <c r="AP181" s="1095"/>
      <c r="AQ181" s="1106"/>
      <c r="AR181" s="1097"/>
      <c r="AS181" s="1095"/>
      <c r="BW181" s="30"/>
    </row>
    <row r="182" spans="1:75" s="30" customFormat="1" ht="27" customHeight="1" x14ac:dyDescent="0.25">
      <c r="A182" s="545"/>
      <c r="B182" s="1579"/>
      <c r="C182" s="1095"/>
      <c r="D182" s="1145" t="s">
        <v>43</v>
      </c>
      <c r="E182" s="1146" t="str">
        <f>IF(Z182="","",IF(OR(AND(OR(G182="Y",G182="?"),_00_apply="Yes"),AND(OR(I182="Y",I182="?"),_01_apply="Yes"),AND(OR(K182="Y",K182="?"),_02_apply="Yes"),AND(OR(M182="Y",M182="?"),_03_apply="Yes"),AND(OR(O182="Y",O182="?"),_04_apply="Yes"),AND(OR(Q182="Y",Q182="?"),_05_apply="Yes"),AND(OR(S182="?",S182="Y"),_06_apply="Yes"),AND(OR(U182="?",U182="Y"),_07_apply="Yes"),AND(OR(W182="Y",W182="?"),_08_apply="Yes")),"","N"))</f>
        <v/>
      </c>
      <c r="F182" s="1124"/>
      <c r="G182" s="886" t="s">
        <v>38</v>
      </c>
      <c r="H182" s="962" t="s">
        <v>38</v>
      </c>
      <c r="I182" s="886" t="s">
        <v>38</v>
      </c>
      <c r="J182" s="963" t="s">
        <v>38</v>
      </c>
      <c r="K182" s="886" t="s">
        <v>38</v>
      </c>
      <c r="L182" s="962" t="s">
        <v>38</v>
      </c>
      <c r="M182" s="886" t="s">
        <v>38</v>
      </c>
      <c r="N182" s="962" t="s">
        <v>21</v>
      </c>
      <c r="O182" s="886" t="s">
        <v>37</v>
      </c>
      <c r="P182" s="964" t="s">
        <v>21</v>
      </c>
      <c r="Q182" s="985" t="s">
        <v>37</v>
      </c>
      <c r="R182" s="962" t="s">
        <v>21</v>
      </c>
      <c r="S182" s="886" t="s">
        <v>38</v>
      </c>
      <c r="T182" s="963" t="s">
        <v>21</v>
      </c>
      <c r="U182" s="886" t="s">
        <v>38</v>
      </c>
      <c r="V182" s="962" t="s">
        <v>38</v>
      </c>
      <c r="W182" s="886" t="s">
        <v>38</v>
      </c>
      <c r="X182" s="812" t="s">
        <v>38</v>
      </c>
      <c r="Y182" s="428"/>
      <c r="Z182" s="889" t="s">
        <v>1134</v>
      </c>
      <c r="AA182" s="972" t="s">
        <v>37</v>
      </c>
      <c r="AB182" s="1912"/>
      <c r="AC182" s="1211"/>
      <c r="AD182" s="1237"/>
      <c r="AE182" s="1238"/>
      <c r="AF182" s="1240"/>
      <c r="AG182" s="1239"/>
      <c r="AH182" s="1783"/>
      <c r="AI182" s="1765"/>
      <c r="AJ182" s="1239"/>
      <c r="AK182" s="1239" t="s">
        <v>898</v>
      </c>
      <c r="AL182" s="1095"/>
      <c r="AM182" s="1095"/>
      <c r="AN182" s="1095"/>
      <c r="AO182" s="1095"/>
      <c r="AP182" s="1095"/>
      <c r="AQ182" s="1095"/>
      <c r="AR182" s="1095"/>
      <c r="AS182" s="1095"/>
      <c r="AT182" s="181"/>
      <c r="AU182" s="181"/>
      <c r="AV182" s="181"/>
      <c r="AW182" s="181"/>
      <c r="AX182" s="181"/>
      <c r="AY182" s="181"/>
      <c r="AZ182" s="181"/>
      <c r="BA182" s="181"/>
      <c r="BB182" s="181"/>
      <c r="BC182" s="181"/>
      <c r="BD182" s="181"/>
      <c r="BE182" s="181"/>
      <c r="BF182" s="181"/>
      <c r="BG182" s="181"/>
      <c r="BH182" s="181"/>
      <c r="BI182" s="181"/>
      <c r="BJ182" s="181"/>
      <c r="BK182" s="181"/>
      <c r="BL182" s="181"/>
      <c r="BM182" s="181"/>
      <c r="BN182" s="181"/>
      <c r="BO182" s="181"/>
      <c r="BP182" s="181"/>
      <c r="BQ182" s="181"/>
      <c r="BR182" s="181"/>
      <c r="BS182" s="181"/>
      <c r="BT182" s="181"/>
      <c r="BU182" s="181"/>
      <c r="BV182" s="181"/>
    </row>
    <row r="183" spans="1:75" s="181" customFormat="1" ht="15.75" x14ac:dyDescent="0.25">
      <c r="A183" s="551"/>
      <c r="B183" s="1578"/>
      <c r="C183" s="1095"/>
      <c r="D183" s="1145" t="s">
        <v>43</v>
      </c>
      <c r="E183" s="1146" t="str">
        <f t="shared" si="35"/>
        <v/>
      </c>
      <c r="F183" s="1166"/>
      <c r="G183" s="886" t="s">
        <v>38</v>
      </c>
      <c r="H183" s="962" t="s">
        <v>38</v>
      </c>
      <c r="I183" s="886" t="s">
        <v>38</v>
      </c>
      <c r="J183" s="963" t="s">
        <v>38</v>
      </c>
      <c r="K183" s="886" t="s">
        <v>38</v>
      </c>
      <c r="L183" s="962" t="s">
        <v>38</v>
      </c>
      <c r="M183" s="886" t="s">
        <v>37</v>
      </c>
      <c r="N183" s="962" t="s">
        <v>37</v>
      </c>
      <c r="O183" s="886" t="s">
        <v>37</v>
      </c>
      <c r="P183" s="964" t="s">
        <v>37</v>
      </c>
      <c r="Q183" s="985" t="s">
        <v>37</v>
      </c>
      <c r="R183" s="962" t="s">
        <v>37</v>
      </c>
      <c r="S183" s="886" t="s">
        <v>37</v>
      </c>
      <c r="T183" s="963" t="s">
        <v>37</v>
      </c>
      <c r="U183" s="886" t="s">
        <v>37</v>
      </c>
      <c r="V183" s="962" t="s">
        <v>37</v>
      </c>
      <c r="W183" s="886" t="s">
        <v>38</v>
      </c>
      <c r="X183" s="812" t="s">
        <v>38</v>
      </c>
      <c r="Y183" s="430"/>
      <c r="Z183" s="583" t="s">
        <v>353</v>
      </c>
      <c r="AA183" s="972" t="s">
        <v>37</v>
      </c>
      <c r="AB183" s="1912"/>
      <c r="AC183" s="1216"/>
      <c r="AD183" s="1237"/>
      <c r="AE183" s="1238"/>
      <c r="AF183" s="1240"/>
      <c r="AG183" s="1239" t="s">
        <v>539</v>
      </c>
      <c r="AH183" s="1783"/>
      <c r="AI183" s="1765"/>
      <c r="AJ183" s="1239"/>
      <c r="AK183" s="1239" t="s">
        <v>898</v>
      </c>
      <c r="AL183" s="1095"/>
      <c r="AM183" s="1095"/>
      <c r="AN183" s="1095"/>
      <c r="AO183" s="1095"/>
      <c r="AP183" s="1095"/>
      <c r="AQ183" s="1108"/>
      <c r="AR183" s="1097"/>
      <c r="AS183" s="1095"/>
      <c r="BW183" s="30"/>
    </row>
    <row r="184" spans="1:75" s="181" customFormat="1" ht="15.75" x14ac:dyDescent="0.25">
      <c r="A184" s="551"/>
      <c r="B184" s="1578"/>
      <c r="C184" s="1095"/>
      <c r="D184" s="1145" t="s">
        <v>43</v>
      </c>
      <c r="E184" s="1146" t="str">
        <f t="shared" si="35"/>
        <v/>
      </c>
      <c r="F184" s="1166"/>
      <c r="G184" s="886" t="s">
        <v>38</v>
      </c>
      <c r="H184" s="962" t="s">
        <v>38</v>
      </c>
      <c r="I184" s="886" t="s">
        <v>37</v>
      </c>
      <c r="J184" s="963" t="s">
        <v>38</v>
      </c>
      <c r="K184" s="886" t="s">
        <v>37</v>
      </c>
      <c r="L184" s="962" t="str">
        <f>IF(L173="No","N","Y")</f>
        <v>Y</v>
      </c>
      <c r="M184" s="886" t="s">
        <v>38</v>
      </c>
      <c r="N184" s="962" t="s">
        <v>38</v>
      </c>
      <c r="O184" s="886" t="s">
        <v>38</v>
      </c>
      <c r="P184" s="964" t="s">
        <v>38</v>
      </c>
      <c r="Q184" s="985" t="s">
        <v>38</v>
      </c>
      <c r="R184" s="962" t="s">
        <v>38</v>
      </c>
      <c r="S184" s="886" t="s">
        <v>38</v>
      </c>
      <c r="T184" s="963" t="s">
        <v>38</v>
      </c>
      <c r="U184" s="886" t="s">
        <v>38</v>
      </c>
      <c r="V184" s="962" t="s">
        <v>38</v>
      </c>
      <c r="W184" s="886" t="s">
        <v>38</v>
      </c>
      <c r="X184" s="812" t="s">
        <v>38</v>
      </c>
      <c r="Y184" s="431"/>
      <c r="Z184" s="583" t="s">
        <v>350</v>
      </c>
      <c r="AA184" s="972" t="s">
        <v>37</v>
      </c>
      <c r="AB184" s="1912"/>
      <c r="AC184" s="1216"/>
      <c r="AD184" s="1237"/>
      <c r="AE184" s="1238"/>
      <c r="AF184" s="1240" t="s">
        <v>539</v>
      </c>
      <c r="AG184" s="1239"/>
      <c r="AH184" s="1783"/>
      <c r="AI184" s="1765"/>
      <c r="AJ184" s="1239"/>
      <c r="AK184" s="1239" t="s">
        <v>898</v>
      </c>
      <c r="AL184" s="1095"/>
      <c r="AM184" s="1095"/>
      <c r="AN184" s="1095"/>
      <c r="AO184" s="1095"/>
      <c r="AP184" s="1095"/>
      <c r="AQ184" s="1106"/>
      <c r="AR184" s="1097"/>
      <c r="AS184" s="1095"/>
      <c r="BW184" s="30"/>
    </row>
    <row r="185" spans="1:75" s="181" customFormat="1" ht="15.75" x14ac:dyDescent="0.25">
      <c r="A185" s="551"/>
      <c r="B185" s="1578"/>
      <c r="C185" s="1095"/>
      <c r="D185" s="1145" t="s">
        <v>43</v>
      </c>
      <c r="E185" s="1146" t="str">
        <f t="shared" si="35"/>
        <v/>
      </c>
      <c r="F185" s="1166"/>
      <c r="G185" s="886" t="s">
        <v>38</v>
      </c>
      <c r="H185" s="962" t="s">
        <v>38</v>
      </c>
      <c r="I185" s="886" t="s">
        <v>38</v>
      </c>
      <c r="J185" s="963" t="s">
        <v>38</v>
      </c>
      <c r="K185" s="886" t="s">
        <v>38</v>
      </c>
      <c r="L185" s="962" t="s">
        <v>38</v>
      </c>
      <c r="M185" s="886" t="s">
        <v>37</v>
      </c>
      <c r="N185" s="962" t="s">
        <v>37</v>
      </c>
      <c r="O185" s="886" t="s">
        <v>37</v>
      </c>
      <c r="P185" s="964" t="s">
        <v>37</v>
      </c>
      <c r="Q185" s="985" t="s">
        <v>37</v>
      </c>
      <c r="R185" s="962" t="s">
        <v>37</v>
      </c>
      <c r="S185" s="886" t="s">
        <v>37</v>
      </c>
      <c r="T185" s="963" t="s">
        <v>37</v>
      </c>
      <c r="U185" s="886" t="s">
        <v>37</v>
      </c>
      <c r="V185" s="962" t="s">
        <v>37</v>
      </c>
      <c r="W185" s="886" t="s">
        <v>38</v>
      </c>
      <c r="X185" s="812" t="s">
        <v>38</v>
      </c>
      <c r="Y185" s="431"/>
      <c r="Z185" s="583" t="s">
        <v>354</v>
      </c>
      <c r="AA185" s="972" t="s">
        <v>37</v>
      </c>
      <c r="AB185" s="1912"/>
      <c r="AC185" s="1216"/>
      <c r="AD185" s="1237"/>
      <c r="AE185" s="1238"/>
      <c r="AF185" s="1240"/>
      <c r="AG185" s="1239" t="s">
        <v>539</v>
      </c>
      <c r="AH185" s="1783" t="s">
        <v>542</v>
      </c>
      <c r="AI185" s="1765" t="s">
        <v>542</v>
      </c>
      <c r="AJ185" s="1239" t="s">
        <v>542</v>
      </c>
      <c r="AK185" s="1239" t="s">
        <v>898</v>
      </c>
      <c r="AL185" s="1095"/>
      <c r="AM185" s="1095"/>
      <c r="AN185" s="1095"/>
      <c r="AO185" s="1095"/>
      <c r="AP185" s="1095"/>
      <c r="AQ185" s="1106"/>
      <c r="AR185" s="1097"/>
      <c r="AS185" s="1095"/>
      <c r="BW185" s="30"/>
    </row>
    <row r="186" spans="1:75" s="181" customFormat="1" ht="18.75" x14ac:dyDescent="0.25">
      <c r="A186" s="551"/>
      <c r="B186" s="1578"/>
      <c r="C186" s="1095"/>
      <c r="D186" s="1145" t="s">
        <v>43</v>
      </c>
      <c r="E186" s="1146" t="str">
        <f t="shared" si="35"/>
        <v/>
      </c>
      <c r="F186" s="1166"/>
      <c r="G186" s="886" t="s">
        <v>38</v>
      </c>
      <c r="H186" s="962" t="s">
        <v>38</v>
      </c>
      <c r="I186" s="886" t="s">
        <v>38</v>
      </c>
      <c r="J186" s="963" t="s">
        <v>38</v>
      </c>
      <c r="K186" s="886" t="s">
        <v>37</v>
      </c>
      <c r="L186" s="962" t="str">
        <f>IF(L175="No","N","Y")</f>
        <v>Y</v>
      </c>
      <c r="M186" s="886" t="s">
        <v>37</v>
      </c>
      <c r="N186" s="962" t="s">
        <v>37</v>
      </c>
      <c r="O186" s="886" t="s">
        <v>37</v>
      </c>
      <c r="P186" s="964" t="s">
        <v>37</v>
      </c>
      <c r="Q186" s="985" t="s">
        <v>37</v>
      </c>
      <c r="R186" s="962" t="s">
        <v>37</v>
      </c>
      <c r="S186" s="886" t="s">
        <v>37</v>
      </c>
      <c r="T186" s="963" t="s">
        <v>37</v>
      </c>
      <c r="U186" s="886" t="s">
        <v>37</v>
      </c>
      <c r="V186" s="962" t="s">
        <v>37</v>
      </c>
      <c r="W186" s="886" t="s">
        <v>38</v>
      </c>
      <c r="X186" s="812" t="s">
        <v>38</v>
      </c>
      <c r="Y186" s="432"/>
      <c r="Z186" s="583" t="s">
        <v>618</v>
      </c>
      <c r="AA186" s="972" t="s">
        <v>38</v>
      </c>
      <c r="AB186" s="1912"/>
      <c r="AC186" s="1217"/>
      <c r="AD186" s="1237"/>
      <c r="AE186" s="1238"/>
      <c r="AF186" s="1240"/>
      <c r="AG186" s="1239" t="s">
        <v>539</v>
      </c>
      <c r="AH186" s="1783" t="s">
        <v>542</v>
      </c>
      <c r="AI186" s="1765" t="s">
        <v>542</v>
      </c>
      <c r="AJ186" s="1239" t="s">
        <v>542</v>
      </c>
      <c r="AK186" s="1239" t="s">
        <v>898</v>
      </c>
      <c r="AL186" s="1095"/>
      <c r="AM186" s="1095"/>
      <c r="AN186" s="1095"/>
      <c r="AO186" s="1095"/>
      <c r="AP186" s="1095"/>
      <c r="AQ186" s="1104"/>
      <c r="AR186" s="1105"/>
      <c r="AS186" s="1095"/>
      <c r="BW186" s="30"/>
    </row>
    <row r="187" spans="1:75" s="181" customFormat="1" ht="15.75" x14ac:dyDescent="0.25">
      <c r="A187" s="551"/>
      <c r="B187" s="1578"/>
      <c r="C187" s="1095"/>
      <c r="D187" s="1145" t="s">
        <v>43</v>
      </c>
      <c r="E187" s="1146" t="str">
        <f>IF(Z187="","",IF(OR(AND(OR(G187="Y",G187="?"),_00_apply="Yes"),AND(OR(I187="Y",I187="?"),_01_apply="Yes"),AND(OR(K187="Y",K187="?"),_02_apply="Yes"),AND(OR(M187="Y",M187="?"),_03_apply="Yes"),AND(OR(O187="Y",O187="?"),_04_apply="Yes"),AND(OR(Q187="Y",Q187="?"),_05_apply="Yes"),AND(OR(S187="?",S187="Y"),_06_apply="Yes"),AND(OR(U187="?",U187="Y"),_07_apply="Yes"),AND(OR(W187="Y",W187="?"),_08_apply="Yes")),"","N"))</f>
        <v/>
      </c>
      <c r="F187" s="1166"/>
      <c r="G187" s="886" t="s">
        <v>38</v>
      </c>
      <c r="H187" s="962" t="s">
        <v>38</v>
      </c>
      <c r="I187" s="886" t="s">
        <v>38</v>
      </c>
      <c r="J187" s="963" t="s">
        <v>38</v>
      </c>
      <c r="K187" s="886" t="s">
        <v>38</v>
      </c>
      <c r="L187" s="962" t="s">
        <v>38</v>
      </c>
      <c r="M187" s="886" t="s">
        <v>37</v>
      </c>
      <c r="N187" s="962" t="s">
        <v>37</v>
      </c>
      <c r="O187" s="886" t="s">
        <v>37</v>
      </c>
      <c r="P187" s="964" t="s">
        <v>37</v>
      </c>
      <c r="Q187" s="985" t="s">
        <v>37</v>
      </c>
      <c r="R187" s="962" t="s">
        <v>37</v>
      </c>
      <c r="S187" s="886" t="s">
        <v>37</v>
      </c>
      <c r="T187" s="963" t="s">
        <v>37</v>
      </c>
      <c r="U187" s="886" t="s">
        <v>37</v>
      </c>
      <c r="V187" s="962" t="s">
        <v>38</v>
      </c>
      <c r="W187" s="886" t="s">
        <v>38</v>
      </c>
      <c r="X187" s="812" t="s">
        <v>38</v>
      </c>
      <c r="Y187" s="431"/>
      <c r="Z187" s="1941" t="s">
        <v>1185</v>
      </c>
      <c r="AA187" s="972" t="s">
        <v>38</v>
      </c>
      <c r="AB187" s="1912"/>
      <c r="AC187" s="1216"/>
      <c r="AD187" s="1237"/>
      <c r="AE187" s="1238"/>
      <c r="AF187" s="1240"/>
      <c r="AG187" s="1239" t="s">
        <v>539</v>
      </c>
      <c r="AH187" s="1783" t="s">
        <v>542</v>
      </c>
      <c r="AI187" s="1765" t="s">
        <v>542</v>
      </c>
      <c r="AJ187" s="1239" t="s">
        <v>542</v>
      </c>
      <c r="AK187" s="1239" t="s">
        <v>898</v>
      </c>
      <c r="AL187" s="1095"/>
      <c r="AM187" s="1095"/>
      <c r="AN187" s="1095"/>
      <c r="AO187" s="1095"/>
      <c r="AP187" s="1095"/>
      <c r="AQ187" s="1106"/>
      <c r="AR187" s="1097"/>
      <c r="AS187" s="1095"/>
      <c r="BW187" s="30"/>
    </row>
    <row r="188" spans="1:75" s="181" customFormat="1" ht="15.75" x14ac:dyDescent="0.25">
      <c r="A188" s="551"/>
      <c r="B188" s="1578"/>
      <c r="C188" s="1095"/>
      <c r="D188" s="1145" t="s">
        <v>43</v>
      </c>
      <c r="E188" s="1146" t="str">
        <f t="shared" si="35"/>
        <v/>
      </c>
      <c r="F188" s="1166"/>
      <c r="G188" s="886" t="s">
        <v>38</v>
      </c>
      <c r="H188" s="962" t="s">
        <v>38</v>
      </c>
      <c r="I188" s="886" t="s">
        <v>38</v>
      </c>
      <c r="J188" s="963" t="s">
        <v>38</v>
      </c>
      <c r="K188" s="886" t="s">
        <v>37</v>
      </c>
      <c r="L188" s="962" t="str">
        <f>IF(L176="No","N","Y")</f>
        <v>Y</v>
      </c>
      <c r="M188" s="886" t="s">
        <v>37</v>
      </c>
      <c r="N188" s="962" t="s">
        <v>37</v>
      </c>
      <c r="O188" s="886" t="s">
        <v>37</v>
      </c>
      <c r="P188" s="964" t="s">
        <v>37</v>
      </c>
      <c r="Q188" s="985" t="s">
        <v>37</v>
      </c>
      <c r="R188" s="962" t="s">
        <v>37</v>
      </c>
      <c r="S188" s="886" t="s">
        <v>37</v>
      </c>
      <c r="T188" s="963" t="s">
        <v>37</v>
      </c>
      <c r="U188" s="886" t="s">
        <v>37</v>
      </c>
      <c r="V188" s="962" t="s">
        <v>37</v>
      </c>
      <c r="W188" s="886" t="s">
        <v>38</v>
      </c>
      <c r="X188" s="812" t="s">
        <v>38</v>
      </c>
      <c r="Y188" s="431"/>
      <c r="Z188" s="583" t="s">
        <v>355</v>
      </c>
      <c r="AA188" s="972" t="s">
        <v>38</v>
      </c>
      <c r="AB188" s="1912"/>
      <c r="AC188" s="1216"/>
      <c r="AD188" s="1237"/>
      <c r="AE188" s="1238"/>
      <c r="AF188" s="1240" t="s">
        <v>538</v>
      </c>
      <c r="AG188" s="1239" t="s">
        <v>539</v>
      </c>
      <c r="AH188" s="1783" t="s">
        <v>542</v>
      </c>
      <c r="AI188" s="1765" t="s">
        <v>542</v>
      </c>
      <c r="AJ188" s="1239" t="s">
        <v>542</v>
      </c>
      <c r="AK188" s="1239" t="s">
        <v>898</v>
      </c>
      <c r="AL188" s="1095"/>
      <c r="AM188" s="1095"/>
      <c r="AN188" s="1095"/>
      <c r="AO188" s="1095"/>
      <c r="AP188" s="1095"/>
      <c r="AQ188" s="1106"/>
      <c r="AR188" s="1097"/>
      <c r="AS188" s="1095"/>
      <c r="BW188" s="30"/>
    </row>
    <row r="189" spans="1:75" s="181" customFormat="1" ht="42.75" x14ac:dyDescent="0.25">
      <c r="A189" s="551"/>
      <c r="B189" s="1578"/>
      <c r="C189" s="1095"/>
      <c r="D189" s="1145" t="s">
        <v>43</v>
      </c>
      <c r="E189" s="1146" t="str">
        <f t="shared" si="35"/>
        <v/>
      </c>
      <c r="F189" s="1166"/>
      <c r="G189" s="886" t="s">
        <v>38</v>
      </c>
      <c r="H189" s="962" t="s">
        <v>38</v>
      </c>
      <c r="I189" s="886" t="s">
        <v>38</v>
      </c>
      <c r="J189" s="963" t="s">
        <v>38</v>
      </c>
      <c r="K189" s="886" t="s">
        <v>37</v>
      </c>
      <c r="L189" s="962" t="str">
        <f>IF(L177="No","N","Y")</f>
        <v>Y</v>
      </c>
      <c r="M189" s="886" t="s">
        <v>37</v>
      </c>
      <c r="N189" s="962" t="s">
        <v>37</v>
      </c>
      <c r="O189" s="886" t="s">
        <v>37</v>
      </c>
      <c r="P189" s="964" t="s">
        <v>37</v>
      </c>
      <c r="Q189" s="985" t="s">
        <v>37</v>
      </c>
      <c r="R189" s="962" t="s">
        <v>37</v>
      </c>
      <c r="S189" s="886" t="s">
        <v>37</v>
      </c>
      <c r="T189" s="963" t="s">
        <v>37</v>
      </c>
      <c r="U189" s="886" t="s">
        <v>37</v>
      </c>
      <c r="V189" s="962" t="s">
        <v>37</v>
      </c>
      <c r="W189" s="886" t="s">
        <v>38</v>
      </c>
      <c r="X189" s="812" t="s">
        <v>38</v>
      </c>
      <c r="Y189" s="431"/>
      <c r="Z189" s="583" t="s">
        <v>317</v>
      </c>
      <c r="AA189" s="972" t="s">
        <v>38</v>
      </c>
      <c r="AB189" s="1912"/>
      <c r="AC189" s="1216"/>
      <c r="AD189" s="1237"/>
      <c r="AE189" s="1238"/>
      <c r="AF189" s="1240" t="s">
        <v>538</v>
      </c>
      <c r="AG189" s="1239" t="s">
        <v>539</v>
      </c>
      <c r="AH189" s="1783" t="s">
        <v>542</v>
      </c>
      <c r="AI189" s="1765" t="s">
        <v>542</v>
      </c>
      <c r="AJ189" s="1239" t="s">
        <v>542</v>
      </c>
      <c r="AK189" s="1239" t="s">
        <v>898</v>
      </c>
      <c r="AL189" s="1095"/>
      <c r="AM189" s="1095"/>
      <c r="AN189" s="1095"/>
      <c r="AO189" s="1095"/>
      <c r="AP189" s="1095"/>
      <c r="AQ189" s="1106"/>
      <c r="AR189" s="1097"/>
      <c r="AS189" s="1095"/>
      <c r="BW189" s="30"/>
    </row>
    <row r="190" spans="1:75" s="181" customFormat="1" ht="15.75" x14ac:dyDescent="0.25">
      <c r="A190" s="551"/>
      <c r="B190" s="1578"/>
      <c r="C190" s="1095"/>
      <c r="D190" s="1145" t="s">
        <v>43</v>
      </c>
      <c r="E190" s="1146" t="str">
        <f>IF(Z190="","",IF(OR(AND(OR(G190="Y",G190="?"),_00_apply="Yes"),AND(OR(I190="Y",I190="?"),_01_apply="Yes"),AND(OR(K190="Y",K190="?"),_02_apply="Yes"),AND(OR(M190="Y",M190="?"),_03_apply="Yes"),AND(OR(O190="Y",O190="?"),_04_apply="Yes"),AND(OR(Q190="Y",Q190="?"),_05_apply="Yes"),AND(OR(S190="?",S190="Y"),_06_apply="Yes"),AND(OR(U190="?",U190="Y"),_07_apply="Yes"),AND(OR(W190="Y",W190="?"),_08_apply="Yes")),"","N"))</f>
        <v/>
      </c>
      <c r="F190" s="1166"/>
      <c r="G190" s="886" t="s">
        <v>38</v>
      </c>
      <c r="H190" s="962" t="s">
        <v>38</v>
      </c>
      <c r="I190" s="886" t="s">
        <v>38</v>
      </c>
      <c r="J190" s="963" t="s">
        <v>38</v>
      </c>
      <c r="K190" s="886" t="s">
        <v>38</v>
      </c>
      <c r="L190" s="962" t="s">
        <v>38</v>
      </c>
      <c r="M190" s="886" t="s">
        <v>37</v>
      </c>
      <c r="N190" s="962" t="s">
        <v>37</v>
      </c>
      <c r="O190" s="886" t="s">
        <v>37</v>
      </c>
      <c r="P190" s="964" t="s">
        <v>37</v>
      </c>
      <c r="Q190" s="985" t="s">
        <v>37</v>
      </c>
      <c r="R190" s="962" t="s">
        <v>37</v>
      </c>
      <c r="S190" s="886" t="s">
        <v>37</v>
      </c>
      <c r="T190" s="963" t="s">
        <v>37</v>
      </c>
      <c r="U190" s="886" t="s">
        <v>37</v>
      </c>
      <c r="V190" s="962" t="s">
        <v>38</v>
      </c>
      <c r="W190" s="886" t="s">
        <v>38</v>
      </c>
      <c r="X190" s="812" t="s">
        <v>38</v>
      </c>
      <c r="Y190" s="431"/>
      <c r="Z190" s="1941" t="s">
        <v>1186</v>
      </c>
      <c r="AA190" s="972" t="s">
        <v>38</v>
      </c>
      <c r="AB190" s="1912"/>
      <c r="AC190" s="1216"/>
      <c r="AD190" s="1237"/>
      <c r="AE190" s="1238"/>
      <c r="AF190" s="1240"/>
      <c r="AG190" s="1239" t="s">
        <v>539</v>
      </c>
      <c r="AH190" s="1783" t="s">
        <v>542</v>
      </c>
      <c r="AI190" s="1765" t="s">
        <v>542</v>
      </c>
      <c r="AJ190" s="1239" t="s">
        <v>542</v>
      </c>
      <c r="AK190" s="1239" t="s">
        <v>898</v>
      </c>
      <c r="AL190" s="1095"/>
      <c r="AM190" s="1095"/>
      <c r="AN190" s="1095"/>
      <c r="AO190" s="1095"/>
      <c r="AP190" s="1095"/>
      <c r="AQ190" s="1106"/>
      <c r="AR190" s="1097"/>
      <c r="AS190" s="1095"/>
      <c r="BW190" s="30"/>
    </row>
    <row r="191" spans="1:75" s="181" customFormat="1" ht="15.75" x14ac:dyDescent="0.25">
      <c r="A191" s="551"/>
      <c r="B191" s="1578"/>
      <c r="C191" s="1095"/>
      <c r="D191" s="1145" t="s">
        <v>43</v>
      </c>
      <c r="E191" s="1146" t="str">
        <f t="shared" si="35"/>
        <v/>
      </c>
      <c r="F191" s="1166"/>
      <c r="G191" s="886" t="s">
        <v>38</v>
      </c>
      <c r="H191" s="962" t="s">
        <v>38</v>
      </c>
      <c r="I191" s="886" t="s">
        <v>38</v>
      </c>
      <c r="J191" s="963" t="s">
        <v>38</v>
      </c>
      <c r="K191" s="886" t="s">
        <v>38</v>
      </c>
      <c r="L191" s="962" t="s">
        <v>38</v>
      </c>
      <c r="M191" s="886" t="s">
        <v>37</v>
      </c>
      <c r="N191" s="962" t="s">
        <v>37</v>
      </c>
      <c r="O191" s="886" t="s">
        <v>37</v>
      </c>
      <c r="P191" s="964" t="s">
        <v>37</v>
      </c>
      <c r="Q191" s="985" t="s">
        <v>37</v>
      </c>
      <c r="R191" s="962" t="s">
        <v>37</v>
      </c>
      <c r="S191" s="886" t="s">
        <v>37</v>
      </c>
      <c r="T191" s="963" t="s">
        <v>37</v>
      </c>
      <c r="U191" s="886" t="s">
        <v>37</v>
      </c>
      <c r="V191" s="962" t="s">
        <v>37</v>
      </c>
      <c r="W191" s="886" t="s">
        <v>38</v>
      </c>
      <c r="X191" s="812" t="s">
        <v>38</v>
      </c>
      <c r="Y191" s="431"/>
      <c r="Z191" s="588" t="s">
        <v>300</v>
      </c>
      <c r="AA191" s="972" t="s">
        <v>37</v>
      </c>
      <c r="AB191" s="1912"/>
      <c r="AC191" s="1216"/>
      <c r="AD191" s="1237"/>
      <c r="AE191" s="1238"/>
      <c r="AF191" s="1240"/>
      <c r="AG191" s="1239"/>
      <c r="AH191" s="1783"/>
      <c r="AI191" s="1765"/>
      <c r="AJ191" s="1239"/>
      <c r="AK191" s="1239" t="s">
        <v>898</v>
      </c>
      <c r="AL191" s="1095"/>
      <c r="AM191" s="1095"/>
      <c r="AN191" s="1095"/>
      <c r="AO191" s="1095"/>
      <c r="AP191" s="1095"/>
      <c r="AQ191" s="1109"/>
      <c r="AR191" s="1097"/>
      <c r="AS191" s="1095"/>
      <c r="BW191" s="30"/>
    </row>
    <row r="192" spans="1:75" s="181" customFormat="1" ht="28.5" x14ac:dyDescent="0.25">
      <c r="A192" s="551"/>
      <c r="B192" s="1578"/>
      <c r="C192" s="1095"/>
      <c r="D192" s="1145" t="s">
        <v>43</v>
      </c>
      <c r="E192" s="1146" t="str">
        <f t="shared" si="35"/>
        <v/>
      </c>
      <c r="F192" s="1166"/>
      <c r="G192" s="886" t="s">
        <v>38</v>
      </c>
      <c r="H192" s="962" t="s">
        <v>38</v>
      </c>
      <c r="I192" s="886" t="s">
        <v>38</v>
      </c>
      <c r="J192" s="963" t="s">
        <v>38</v>
      </c>
      <c r="K192" s="886" t="s">
        <v>38</v>
      </c>
      <c r="L192" s="962" t="s">
        <v>38</v>
      </c>
      <c r="M192" s="886" t="s">
        <v>37</v>
      </c>
      <c r="N192" s="962" t="s">
        <v>37</v>
      </c>
      <c r="O192" s="886" t="s">
        <v>37</v>
      </c>
      <c r="P192" s="964" t="s">
        <v>37</v>
      </c>
      <c r="Q192" s="985" t="s">
        <v>37</v>
      </c>
      <c r="R192" s="962" t="s">
        <v>37</v>
      </c>
      <c r="S192" s="886" t="s">
        <v>37</v>
      </c>
      <c r="T192" s="963" t="s">
        <v>37</v>
      </c>
      <c r="U192" s="886" t="s">
        <v>37</v>
      </c>
      <c r="V192" s="962" t="s">
        <v>37</v>
      </c>
      <c r="W192" s="886" t="s">
        <v>38</v>
      </c>
      <c r="X192" s="812" t="s">
        <v>38</v>
      </c>
      <c r="Y192" s="431"/>
      <c r="Z192" s="588" t="s">
        <v>301</v>
      </c>
      <c r="AA192" s="972" t="s">
        <v>38</v>
      </c>
      <c r="AB192" s="1912"/>
      <c r="AC192" s="1216"/>
      <c r="AD192" s="1237"/>
      <c r="AE192" s="1238"/>
      <c r="AF192" s="1240"/>
      <c r="AG192" s="1239"/>
      <c r="AH192" s="1783"/>
      <c r="AI192" s="1765"/>
      <c r="AJ192" s="1239"/>
      <c r="AK192" s="1239" t="s">
        <v>898</v>
      </c>
      <c r="AL192" s="1095"/>
      <c r="AM192" s="1095"/>
      <c r="AN192" s="1095"/>
      <c r="AO192" s="1095"/>
      <c r="AP192" s="1095"/>
      <c r="AQ192" s="1106"/>
      <c r="AR192" s="1097"/>
      <c r="AS192" s="1095"/>
      <c r="BW192" s="30"/>
    </row>
    <row r="193" spans="1:75" s="30" customFormat="1" ht="17.25" customHeight="1" x14ac:dyDescent="0.25">
      <c r="A193" s="545"/>
      <c r="B193" s="1579"/>
      <c r="C193" s="1095"/>
      <c r="D193" s="1145" t="s">
        <v>43</v>
      </c>
      <c r="E193" s="1146" t="str">
        <f t="shared" si="35"/>
        <v/>
      </c>
      <c r="F193" s="1124"/>
      <c r="G193" s="886" t="s">
        <v>38</v>
      </c>
      <c r="H193" s="962" t="s">
        <v>38</v>
      </c>
      <c r="I193" s="886" t="s">
        <v>38</v>
      </c>
      <c r="J193" s="963" t="s">
        <v>38</v>
      </c>
      <c r="K193" s="886" t="s">
        <v>37</v>
      </c>
      <c r="L193" s="962" t="s">
        <v>38</v>
      </c>
      <c r="M193" s="886" t="s">
        <v>37</v>
      </c>
      <c r="N193" s="962" t="s">
        <v>37</v>
      </c>
      <c r="O193" s="886" t="s">
        <v>37</v>
      </c>
      <c r="P193" s="964" t="s">
        <v>37</v>
      </c>
      <c r="Q193" s="985" t="s">
        <v>37</v>
      </c>
      <c r="R193" s="962" t="s">
        <v>37</v>
      </c>
      <c r="S193" s="886" t="s">
        <v>37</v>
      </c>
      <c r="T193" s="963" t="s">
        <v>37</v>
      </c>
      <c r="U193" s="886" t="s">
        <v>37</v>
      </c>
      <c r="V193" s="962" t="s">
        <v>37</v>
      </c>
      <c r="W193" s="886" t="s">
        <v>38</v>
      </c>
      <c r="X193" s="812" t="s">
        <v>38</v>
      </c>
      <c r="Y193" s="428"/>
      <c r="Z193" s="588" t="s">
        <v>548</v>
      </c>
      <c r="AA193" s="972" t="s">
        <v>37</v>
      </c>
      <c r="AB193" s="1912"/>
      <c r="AC193" s="1211"/>
      <c r="AD193" s="1237"/>
      <c r="AE193" s="1238"/>
      <c r="AF193" s="1240" t="s">
        <v>545</v>
      </c>
      <c r="AG193" s="1239" t="s">
        <v>546</v>
      </c>
      <c r="AH193" s="1783" t="s">
        <v>547</v>
      </c>
      <c r="AI193" s="1765" t="s">
        <v>547</v>
      </c>
      <c r="AJ193" s="1239" t="s">
        <v>547</v>
      </c>
      <c r="AK193" s="1239" t="s">
        <v>898</v>
      </c>
      <c r="AL193" s="1095"/>
      <c r="AM193" s="1095"/>
      <c r="AN193" s="1095"/>
      <c r="AO193" s="1095"/>
      <c r="AP193" s="1095"/>
      <c r="AQ193" s="1095"/>
      <c r="AR193" s="1095"/>
      <c r="AS193" s="1095"/>
      <c r="AT193" s="181"/>
      <c r="AU193" s="181"/>
      <c r="AV193" s="181"/>
      <c r="AW193" s="181"/>
      <c r="AX193" s="181"/>
      <c r="AY193" s="181"/>
      <c r="AZ193" s="181"/>
      <c r="BA193" s="181"/>
      <c r="BB193" s="181"/>
      <c r="BC193" s="181"/>
      <c r="BD193" s="181"/>
      <c r="BE193" s="181"/>
      <c r="BF193" s="181"/>
      <c r="BG193" s="181"/>
      <c r="BH193" s="181"/>
      <c r="BI193" s="181"/>
      <c r="BJ193" s="181"/>
      <c r="BK193" s="181"/>
      <c r="BL193" s="181"/>
      <c r="BM193" s="181"/>
      <c r="BN193" s="181"/>
      <c r="BO193" s="181"/>
      <c r="BP193" s="181"/>
      <c r="BQ193" s="181"/>
      <c r="BR193" s="181"/>
      <c r="BS193" s="181"/>
      <c r="BT193" s="181"/>
      <c r="BU193" s="181"/>
      <c r="BV193" s="181"/>
    </row>
    <row r="194" spans="1:75" s="181" customFormat="1" ht="15.75" x14ac:dyDescent="0.25">
      <c r="A194" s="551"/>
      <c r="B194" s="1578"/>
      <c r="C194" s="1095"/>
      <c r="D194" s="1145" t="s">
        <v>43</v>
      </c>
      <c r="E194" s="1146" t="str">
        <f t="shared" si="35"/>
        <v/>
      </c>
      <c r="F194" s="1166"/>
      <c r="G194" s="886" t="s">
        <v>38</v>
      </c>
      <c r="H194" s="962" t="s">
        <v>38</v>
      </c>
      <c r="I194" s="886" t="s">
        <v>38</v>
      </c>
      <c r="J194" s="963" t="s">
        <v>38</v>
      </c>
      <c r="K194" s="886" t="s">
        <v>38</v>
      </c>
      <c r="L194" s="962" t="s">
        <v>38</v>
      </c>
      <c r="M194" s="886" t="s">
        <v>37</v>
      </c>
      <c r="N194" s="962" t="s">
        <v>37</v>
      </c>
      <c r="O194" s="886" t="s">
        <v>37</v>
      </c>
      <c r="P194" s="964" t="s">
        <v>37</v>
      </c>
      <c r="Q194" s="985" t="s">
        <v>37</v>
      </c>
      <c r="R194" s="962" t="s">
        <v>37</v>
      </c>
      <c r="S194" s="886" t="s">
        <v>37</v>
      </c>
      <c r="T194" s="963" t="s">
        <v>37</v>
      </c>
      <c r="U194" s="886" t="s">
        <v>37</v>
      </c>
      <c r="V194" s="962" t="s">
        <v>37</v>
      </c>
      <c r="W194" s="886" t="s">
        <v>38</v>
      </c>
      <c r="X194" s="812" t="s">
        <v>38</v>
      </c>
      <c r="Y194" s="431"/>
      <c r="Z194" s="588" t="s">
        <v>302</v>
      </c>
      <c r="AA194" s="972" t="s">
        <v>37</v>
      </c>
      <c r="AB194" s="1912"/>
      <c r="AC194" s="1216"/>
      <c r="AD194" s="1237"/>
      <c r="AE194" s="1238"/>
      <c r="AF194" s="1240"/>
      <c r="AG194" s="1239"/>
      <c r="AH194" s="1783"/>
      <c r="AI194" s="1765"/>
      <c r="AJ194" s="1239"/>
      <c r="AK194" s="1239" t="s">
        <v>898</v>
      </c>
      <c r="AL194" s="1095"/>
      <c r="AM194" s="1095"/>
      <c r="AN194" s="1095"/>
      <c r="AO194" s="1095"/>
      <c r="AP194" s="1095"/>
      <c r="AQ194" s="1106"/>
      <c r="AR194" s="1097"/>
      <c r="AS194" s="1095"/>
      <c r="BW194" s="30"/>
    </row>
    <row r="195" spans="1:75" s="30" customFormat="1" ht="15" customHeight="1" x14ac:dyDescent="0.25">
      <c r="A195" s="545"/>
      <c r="B195" s="1579"/>
      <c r="C195" s="1095"/>
      <c r="D195" s="1145" t="s">
        <v>43</v>
      </c>
      <c r="E195" s="1146" t="str">
        <f t="shared" si="35"/>
        <v/>
      </c>
      <c r="F195" s="1124"/>
      <c r="G195" s="886" t="s">
        <v>38</v>
      </c>
      <c r="H195" s="962" t="s">
        <v>38</v>
      </c>
      <c r="I195" s="886" t="s">
        <v>38</v>
      </c>
      <c r="J195" s="963" t="s">
        <v>38</v>
      </c>
      <c r="K195" s="886" t="s">
        <v>38</v>
      </c>
      <c r="L195" s="962" t="s">
        <v>38</v>
      </c>
      <c r="M195" s="886" t="s">
        <v>37</v>
      </c>
      <c r="N195" s="962" t="s">
        <v>37</v>
      </c>
      <c r="O195" s="886" t="s">
        <v>37</v>
      </c>
      <c r="P195" s="964" t="s">
        <v>37</v>
      </c>
      <c r="Q195" s="985" t="s">
        <v>37</v>
      </c>
      <c r="R195" s="962" t="s">
        <v>37</v>
      </c>
      <c r="S195" s="886" t="s">
        <v>37</v>
      </c>
      <c r="T195" s="963" t="s">
        <v>37</v>
      </c>
      <c r="U195" s="886" t="s">
        <v>37</v>
      </c>
      <c r="V195" s="962" t="s">
        <v>37</v>
      </c>
      <c r="W195" s="886" t="s">
        <v>38</v>
      </c>
      <c r="X195" s="812" t="s">
        <v>38</v>
      </c>
      <c r="Y195" s="428"/>
      <c r="Z195" s="588" t="s">
        <v>522</v>
      </c>
      <c r="AA195" s="972" t="s">
        <v>37</v>
      </c>
      <c r="AB195" s="1912"/>
      <c r="AC195" s="1211"/>
      <c r="AD195" s="1237"/>
      <c r="AE195" s="1238"/>
      <c r="AF195" s="1240"/>
      <c r="AG195" s="1239"/>
      <c r="AH195" s="1783"/>
      <c r="AI195" s="1765"/>
      <c r="AJ195" s="1239"/>
      <c r="AK195" s="1239" t="s">
        <v>898</v>
      </c>
      <c r="AL195" s="1095"/>
      <c r="AM195" s="1095"/>
      <c r="AN195" s="1095"/>
      <c r="AO195" s="1095"/>
      <c r="AP195" s="1095"/>
      <c r="AQ195" s="1095"/>
      <c r="AR195" s="1095"/>
      <c r="AS195" s="1095"/>
      <c r="AT195" s="181"/>
      <c r="AU195" s="181"/>
      <c r="AV195" s="181"/>
      <c r="AW195" s="181"/>
      <c r="AX195" s="181"/>
      <c r="AY195" s="181"/>
      <c r="AZ195" s="181"/>
      <c r="BA195" s="181"/>
      <c r="BB195" s="181"/>
      <c r="BC195" s="181"/>
      <c r="BD195" s="181"/>
      <c r="BE195" s="181"/>
      <c r="BF195" s="181"/>
      <c r="BG195" s="181"/>
      <c r="BH195" s="181"/>
      <c r="BI195" s="181"/>
      <c r="BJ195" s="181"/>
      <c r="BK195" s="181"/>
      <c r="BL195" s="181"/>
      <c r="BM195" s="181"/>
      <c r="BN195" s="181"/>
      <c r="BO195" s="181"/>
      <c r="BP195" s="181"/>
      <c r="BQ195" s="181"/>
      <c r="BR195" s="181"/>
      <c r="BS195" s="181"/>
      <c r="BT195" s="181"/>
      <c r="BU195" s="181"/>
      <c r="BV195" s="181"/>
    </row>
    <row r="196" spans="1:75" s="181" customFormat="1" ht="28.5" x14ac:dyDescent="0.25">
      <c r="A196" s="551"/>
      <c r="B196" s="1578"/>
      <c r="C196" s="1095"/>
      <c r="D196" s="1145" t="s">
        <v>43</v>
      </c>
      <c r="E196" s="1146" t="str">
        <f t="shared" si="35"/>
        <v/>
      </c>
      <c r="F196" s="1166"/>
      <c r="G196" s="886" t="s">
        <v>38</v>
      </c>
      <c r="H196" s="962" t="s">
        <v>38</v>
      </c>
      <c r="I196" s="886" t="s">
        <v>38</v>
      </c>
      <c r="J196" s="963" t="s">
        <v>38</v>
      </c>
      <c r="K196" s="886" t="s">
        <v>38</v>
      </c>
      <c r="L196" s="962" t="s">
        <v>38</v>
      </c>
      <c r="M196" s="886" t="s">
        <v>37</v>
      </c>
      <c r="N196" s="962" t="s">
        <v>37</v>
      </c>
      <c r="O196" s="886" t="s">
        <v>37</v>
      </c>
      <c r="P196" s="964" t="s">
        <v>37</v>
      </c>
      <c r="Q196" s="985" t="s">
        <v>37</v>
      </c>
      <c r="R196" s="962" t="s">
        <v>37</v>
      </c>
      <c r="S196" s="886" t="s">
        <v>37</v>
      </c>
      <c r="T196" s="963" t="s">
        <v>37</v>
      </c>
      <c r="U196" s="886" t="s">
        <v>37</v>
      </c>
      <c r="V196" s="962" t="s">
        <v>37</v>
      </c>
      <c r="W196" s="886" t="s">
        <v>38</v>
      </c>
      <c r="X196" s="812" t="s">
        <v>38</v>
      </c>
      <c r="Y196" s="431"/>
      <c r="Z196" s="588" t="s">
        <v>521</v>
      </c>
      <c r="AA196" s="972" t="s">
        <v>37</v>
      </c>
      <c r="AB196" s="1912"/>
      <c r="AC196" s="1216"/>
      <c r="AD196" s="1237"/>
      <c r="AE196" s="1238"/>
      <c r="AF196" s="1240"/>
      <c r="AG196" s="1239"/>
      <c r="AH196" s="1783"/>
      <c r="AI196" s="1765"/>
      <c r="AJ196" s="1239"/>
      <c r="AK196" s="1239" t="s">
        <v>898</v>
      </c>
      <c r="AL196" s="1095"/>
      <c r="AM196" s="1095"/>
      <c r="AN196" s="1095"/>
      <c r="AO196" s="1095"/>
      <c r="AP196" s="1095"/>
      <c r="AQ196" s="1106"/>
      <c r="AR196" s="1097"/>
      <c r="AS196" s="1095"/>
      <c r="BW196" s="30"/>
    </row>
    <row r="197" spans="1:75" s="30" customFormat="1" ht="15" customHeight="1" x14ac:dyDescent="0.25">
      <c r="A197" s="545"/>
      <c r="B197" s="1579"/>
      <c r="C197" s="1095"/>
      <c r="D197" s="1145" t="s">
        <v>43</v>
      </c>
      <c r="E197" s="1148" t="str">
        <f t="shared" si="35"/>
        <v>N</v>
      </c>
      <c r="F197" s="1124"/>
      <c r="G197" s="886" t="s">
        <v>38</v>
      </c>
      <c r="H197" s="962" t="s">
        <v>38</v>
      </c>
      <c r="I197" s="886" t="s">
        <v>38</v>
      </c>
      <c r="J197" s="963" t="s">
        <v>38</v>
      </c>
      <c r="K197" s="886" t="s">
        <v>38</v>
      </c>
      <c r="L197" s="962" t="s">
        <v>38</v>
      </c>
      <c r="M197" s="886" t="s">
        <v>38</v>
      </c>
      <c r="N197" s="962" t="s">
        <v>38</v>
      </c>
      <c r="O197" s="886" t="s">
        <v>38</v>
      </c>
      <c r="P197" s="964" t="s">
        <v>38</v>
      </c>
      <c r="Q197" s="985" t="s">
        <v>38</v>
      </c>
      <c r="R197" s="962" t="s">
        <v>38</v>
      </c>
      <c r="S197" s="886" t="s">
        <v>38</v>
      </c>
      <c r="T197" s="963" t="s">
        <v>38</v>
      </c>
      <c r="U197" s="886" t="s">
        <v>38</v>
      </c>
      <c r="V197" s="962" t="s">
        <v>38</v>
      </c>
      <c r="W197" s="886" t="s">
        <v>38</v>
      </c>
      <c r="X197" s="812" t="s">
        <v>38</v>
      </c>
      <c r="Y197" s="428"/>
      <c r="Z197" s="584" t="s">
        <v>478</v>
      </c>
      <c r="AA197" s="972" t="s">
        <v>38</v>
      </c>
      <c r="AB197" s="1912"/>
      <c r="AC197" s="1211"/>
      <c r="AD197" s="1237"/>
      <c r="AE197" s="1238"/>
      <c r="AF197" s="1240"/>
      <c r="AG197" s="1239"/>
      <c r="AH197" s="1783"/>
      <c r="AI197" s="1765"/>
      <c r="AJ197" s="1239"/>
      <c r="AK197" s="1239" t="s">
        <v>898</v>
      </c>
      <c r="AL197" s="1095"/>
      <c r="AM197" s="1095"/>
      <c r="AN197" s="1095"/>
      <c r="AO197" s="1095"/>
      <c r="AP197" s="1095"/>
      <c r="AQ197" s="1095"/>
      <c r="AR197" s="1095"/>
      <c r="AS197" s="1095"/>
      <c r="AT197" s="181"/>
      <c r="AU197" s="181"/>
      <c r="AV197" s="181"/>
      <c r="AW197" s="181"/>
      <c r="AX197" s="181"/>
      <c r="AY197" s="181"/>
      <c r="AZ197" s="181"/>
      <c r="BA197" s="181"/>
      <c r="BB197" s="181"/>
      <c r="BC197" s="181"/>
      <c r="BD197" s="181"/>
      <c r="BE197" s="181"/>
      <c r="BF197" s="181"/>
      <c r="BG197" s="181"/>
      <c r="BH197" s="181"/>
      <c r="BI197" s="181"/>
      <c r="BJ197" s="181"/>
      <c r="BK197" s="181"/>
      <c r="BL197" s="181"/>
      <c r="BM197" s="181"/>
      <c r="BN197" s="181"/>
      <c r="BO197" s="181"/>
      <c r="BP197" s="181"/>
      <c r="BQ197" s="181"/>
      <c r="BR197" s="181"/>
      <c r="BS197" s="181"/>
      <c r="BT197" s="181"/>
      <c r="BU197" s="181"/>
      <c r="BV197" s="181"/>
    </row>
    <row r="198" spans="1:75" s="30" customFormat="1" ht="15" customHeight="1" x14ac:dyDescent="0.25">
      <c r="A198" s="545"/>
      <c r="B198" s="1579"/>
      <c r="C198" s="1095"/>
      <c r="D198" s="1145" t="s">
        <v>43</v>
      </c>
      <c r="E198" s="1148" t="str">
        <f t="shared" si="35"/>
        <v>N</v>
      </c>
      <c r="F198" s="1124"/>
      <c r="G198" s="886" t="s">
        <v>38</v>
      </c>
      <c r="H198" s="962" t="s">
        <v>38</v>
      </c>
      <c r="I198" s="886" t="s">
        <v>38</v>
      </c>
      <c r="J198" s="963" t="s">
        <v>38</v>
      </c>
      <c r="K198" s="886" t="s">
        <v>38</v>
      </c>
      <c r="L198" s="962" t="s">
        <v>38</v>
      </c>
      <c r="M198" s="886" t="s">
        <v>38</v>
      </c>
      <c r="N198" s="962" t="s">
        <v>38</v>
      </c>
      <c r="O198" s="886" t="s">
        <v>38</v>
      </c>
      <c r="P198" s="964" t="s">
        <v>38</v>
      </c>
      <c r="Q198" s="985" t="s">
        <v>38</v>
      </c>
      <c r="R198" s="962" t="s">
        <v>38</v>
      </c>
      <c r="S198" s="886" t="s">
        <v>38</v>
      </c>
      <c r="T198" s="963" t="s">
        <v>38</v>
      </c>
      <c r="U198" s="886" t="s">
        <v>38</v>
      </c>
      <c r="V198" s="962" t="s">
        <v>38</v>
      </c>
      <c r="W198" s="886" t="s">
        <v>38</v>
      </c>
      <c r="X198" s="812" t="s">
        <v>38</v>
      </c>
      <c r="Y198" s="428"/>
      <c r="Z198" s="584" t="s">
        <v>478</v>
      </c>
      <c r="AA198" s="972" t="s">
        <v>38</v>
      </c>
      <c r="AB198" s="1912"/>
      <c r="AC198" s="1211"/>
      <c r="AD198" s="1237"/>
      <c r="AE198" s="1238"/>
      <c r="AF198" s="1240"/>
      <c r="AG198" s="1239"/>
      <c r="AH198" s="1783"/>
      <c r="AI198" s="1765"/>
      <c r="AJ198" s="1239"/>
      <c r="AK198" s="1239" t="s">
        <v>898</v>
      </c>
      <c r="AL198" s="1095"/>
      <c r="AM198" s="1095"/>
      <c r="AN198" s="1095"/>
      <c r="AO198" s="1095"/>
      <c r="AP198" s="1095"/>
      <c r="AQ198" s="1095"/>
      <c r="AR198" s="1095"/>
      <c r="AS198" s="1095"/>
      <c r="AT198" s="181"/>
      <c r="AU198" s="181"/>
      <c r="AV198" s="181"/>
      <c r="AW198" s="181"/>
      <c r="AX198" s="181"/>
      <c r="AY198" s="181"/>
      <c r="AZ198" s="181"/>
      <c r="BA198" s="181"/>
      <c r="BB198" s="181"/>
      <c r="BC198" s="181"/>
      <c r="BD198" s="181"/>
      <c r="BE198" s="181"/>
      <c r="BF198" s="181"/>
      <c r="BG198" s="181"/>
      <c r="BH198" s="181"/>
      <c r="BI198" s="181"/>
      <c r="BJ198" s="181"/>
      <c r="BK198" s="181"/>
      <c r="BL198" s="181"/>
      <c r="BM198" s="181"/>
      <c r="BN198" s="181"/>
      <c r="BO198" s="181"/>
      <c r="BP198" s="181"/>
      <c r="BQ198" s="181"/>
      <c r="BR198" s="181"/>
      <c r="BS198" s="181"/>
      <c r="BT198" s="181"/>
      <c r="BU198" s="181"/>
      <c r="BV198" s="181"/>
    </row>
    <row r="199" spans="1:75" s="30" customFormat="1" ht="15" hidden="1" customHeight="1" x14ac:dyDescent="0.25">
      <c r="A199" s="545"/>
      <c r="B199" s="1579"/>
      <c r="C199" s="1095"/>
      <c r="D199" s="1145" t="s">
        <v>43</v>
      </c>
      <c r="E199" s="1148" t="str">
        <f t="shared" si="35"/>
        <v>N</v>
      </c>
      <c r="F199" s="1124"/>
      <c r="G199" s="886" t="s">
        <v>38</v>
      </c>
      <c r="H199" s="962" t="s">
        <v>38</v>
      </c>
      <c r="I199" s="886" t="s">
        <v>38</v>
      </c>
      <c r="J199" s="963" t="s">
        <v>38</v>
      </c>
      <c r="K199" s="886" t="s">
        <v>38</v>
      </c>
      <c r="L199" s="962" t="s">
        <v>38</v>
      </c>
      <c r="M199" s="886" t="s">
        <v>38</v>
      </c>
      <c r="N199" s="962" t="s">
        <v>38</v>
      </c>
      <c r="O199" s="886" t="s">
        <v>38</v>
      </c>
      <c r="P199" s="964" t="s">
        <v>38</v>
      </c>
      <c r="Q199" s="985" t="s">
        <v>38</v>
      </c>
      <c r="R199" s="962" t="s">
        <v>38</v>
      </c>
      <c r="S199" s="886" t="s">
        <v>38</v>
      </c>
      <c r="T199" s="963" t="s">
        <v>38</v>
      </c>
      <c r="U199" s="886" t="s">
        <v>38</v>
      </c>
      <c r="V199" s="962" t="s">
        <v>38</v>
      </c>
      <c r="W199" s="886" t="s">
        <v>38</v>
      </c>
      <c r="X199" s="812" t="s">
        <v>38</v>
      </c>
      <c r="Y199" s="428"/>
      <c r="Z199" s="584" t="s">
        <v>478</v>
      </c>
      <c r="AA199" s="972" t="s">
        <v>38</v>
      </c>
      <c r="AB199" s="1912"/>
      <c r="AC199" s="1211"/>
      <c r="AD199" s="1237"/>
      <c r="AE199" s="1238"/>
      <c r="AF199" s="1240"/>
      <c r="AG199" s="1239"/>
      <c r="AH199" s="1783"/>
      <c r="AI199" s="1765"/>
      <c r="AJ199" s="1239"/>
      <c r="AK199" s="1239" t="s">
        <v>898</v>
      </c>
      <c r="AL199" s="1095"/>
      <c r="AM199" s="1095"/>
      <c r="AN199" s="1095"/>
      <c r="AO199" s="1095"/>
      <c r="AP199" s="1095"/>
      <c r="AQ199" s="1095"/>
      <c r="AR199" s="1095"/>
      <c r="AS199" s="1095"/>
      <c r="AT199" s="181"/>
      <c r="AU199" s="181"/>
      <c r="AV199" s="181"/>
      <c r="AW199" s="181"/>
      <c r="AX199" s="181"/>
      <c r="AY199" s="181"/>
      <c r="AZ199" s="181"/>
      <c r="BA199" s="181"/>
      <c r="BB199" s="181"/>
      <c r="BC199" s="181"/>
      <c r="BD199" s="181"/>
      <c r="BE199" s="181"/>
      <c r="BF199" s="181"/>
      <c r="BG199" s="181"/>
      <c r="BH199" s="181"/>
      <c r="BI199" s="181"/>
      <c r="BJ199" s="181"/>
      <c r="BK199" s="181"/>
      <c r="BL199" s="181"/>
      <c r="BM199" s="181"/>
      <c r="BN199" s="181"/>
      <c r="BO199" s="181"/>
      <c r="BP199" s="181"/>
      <c r="BQ199" s="181"/>
      <c r="BR199" s="181"/>
      <c r="BS199" s="181"/>
      <c r="BT199" s="181"/>
      <c r="BU199" s="181"/>
      <c r="BV199" s="181"/>
    </row>
    <row r="200" spans="1:75" s="181" customFormat="1" ht="15.75" hidden="1" x14ac:dyDescent="0.25">
      <c r="A200" s="551"/>
      <c r="B200" s="1578"/>
      <c r="C200" s="1095"/>
      <c r="D200" s="1145" t="s">
        <v>43</v>
      </c>
      <c r="E200" s="1148" t="str">
        <f t="shared" si="35"/>
        <v>N</v>
      </c>
      <c r="F200" s="1166"/>
      <c r="G200" s="886" t="s">
        <v>38</v>
      </c>
      <c r="H200" s="962" t="s">
        <v>38</v>
      </c>
      <c r="I200" s="886" t="s">
        <v>38</v>
      </c>
      <c r="J200" s="963" t="s">
        <v>38</v>
      </c>
      <c r="K200" s="886" t="s">
        <v>38</v>
      </c>
      <c r="L200" s="962" t="s">
        <v>38</v>
      </c>
      <c r="M200" s="886" t="s">
        <v>38</v>
      </c>
      <c r="N200" s="962" t="s">
        <v>38</v>
      </c>
      <c r="O200" s="886" t="s">
        <v>38</v>
      </c>
      <c r="P200" s="964" t="s">
        <v>38</v>
      </c>
      <c r="Q200" s="985" t="s">
        <v>38</v>
      </c>
      <c r="R200" s="962" t="s">
        <v>38</v>
      </c>
      <c r="S200" s="886" t="s">
        <v>38</v>
      </c>
      <c r="T200" s="963" t="s">
        <v>38</v>
      </c>
      <c r="U200" s="886" t="s">
        <v>38</v>
      </c>
      <c r="V200" s="962" t="s">
        <v>38</v>
      </c>
      <c r="W200" s="886" t="s">
        <v>38</v>
      </c>
      <c r="X200" s="812" t="s">
        <v>38</v>
      </c>
      <c r="Y200" s="431"/>
      <c r="Z200" s="584" t="s">
        <v>478</v>
      </c>
      <c r="AA200" s="972" t="s">
        <v>38</v>
      </c>
      <c r="AB200" s="1912"/>
      <c r="AC200" s="1216"/>
      <c r="AD200" s="1237"/>
      <c r="AE200" s="1238"/>
      <c r="AF200" s="1240"/>
      <c r="AG200" s="1239"/>
      <c r="AH200" s="1783"/>
      <c r="AI200" s="1765"/>
      <c r="AJ200" s="1239"/>
      <c r="AK200" s="1239" t="s">
        <v>898</v>
      </c>
      <c r="AL200" s="1095"/>
      <c r="AM200" s="1095"/>
      <c r="AN200" s="1095"/>
      <c r="AO200" s="1095"/>
      <c r="AP200" s="1095"/>
      <c r="AQ200" s="1106"/>
      <c r="AR200" s="1097"/>
      <c r="AS200" s="1095"/>
      <c r="BW200" s="30"/>
    </row>
    <row r="201" spans="1:75" s="30" customFormat="1" ht="15.75" hidden="1" customHeight="1" x14ac:dyDescent="0.25">
      <c r="A201" s="545"/>
      <c r="B201" s="1579"/>
      <c r="C201" s="1095"/>
      <c r="D201" s="1145" t="s">
        <v>43</v>
      </c>
      <c r="E201" s="1148" t="str">
        <f t="shared" si="35"/>
        <v>N</v>
      </c>
      <c r="F201" s="1124"/>
      <c r="G201" s="886" t="s">
        <v>38</v>
      </c>
      <c r="H201" s="962" t="s">
        <v>38</v>
      </c>
      <c r="I201" s="886" t="s">
        <v>38</v>
      </c>
      <c r="J201" s="963" t="s">
        <v>38</v>
      </c>
      <c r="K201" s="886" t="s">
        <v>38</v>
      </c>
      <c r="L201" s="962" t="s">
        <v>38</v>
      </c>
      <c r="M201" s="886" t="s">
        <v>38</v>
      </c>
      <c r="N201" s="962" t="s">
        <v>38</v>
      </c>
      <c r="O201" s="886" t="s">
        <v>38</v>
      </c>
      <c r="P201" s="964" t="s">
        <v>38</v>
      </c>
      <c r="Q201" s="985" t="s">
        <v>38</v>
      </c>
      <c r="R201" s="962" t="s">
        <v>38</v>
      </c>
      <c r="S201" s="886" t="s">
        <v>38</v>
      </c>
      <c r="T201" s="963" t="s">
        <v>38</v>
      </c>
      <c r="U201" s="886" t="s">
        <v>38</v>
      </c>
      <c r="V201" s="962" t="s">
        <v>38</v>
      </c>
      <c r="W201" s="886" t="s">
        <v>38</v>
      </c>
      <c r="X201" s="812" t="s">
        <v>38</v>
      </c>
      <c r="Y201" s="428"/>
      <c r="Z201" s="584" t="s">
        <v>478</v>
      </c>
      <c r="AA201" s="972" t="s">
        <v>38</v>
      </c>
      <c r="AB201" s="1912"/>
      <c r="AC201" s="1211"/>
      <c r="AD201" s="1237"/>
      <c r="AE201" s="1238"/>
      <c r="AF201" s="1240"/>
      <c r="AG201" s="1239"/>
      <c r="AH201" s="1783"/>
      <c r="AI201" s="1765"/>
      <c r="AJ201" s="1239"/>
      <c r="AK201" s="1239" t="s">
        <v>898</v>
      </c>
      <c r="AL201" s="1095"/>
      <c r="AM201" s="1095"/>
      <c r="AN201" s="1095"/>
      <c r="AO201" s="1095"/>
      <c r="AP201" s="1095"/>
      <c r="AQ201" s="1095"/>
      <c r="AR201" s="1095"/>
      <c r="AS201" s="1095"/>
      <c r="AT201" s="181"/>
      <c r="AU201" s="181"/>
      <c r="AV201" s="181"/>
      <c r="AW201" s="181"/>
      <c r="AX201" s="181"/>
      <c r="AY201" s="181"/>
      <c r="AZ201" s="181"/>
      <c r="BA201" s="181"/>
      <c r="BB201" s="181"/>
      <c r="BC201" s="181"/>
      <c r="BD201" s="181"/>
      <c r="BE201" s="181"/>
      <c r="BF201" s="181"/>
      <c r="BG201" s="181"/>
      <c r="BH201" s="181"/>
      <c r="BI201" s="181"/>
      <c r="BJ201" s="181"/>
      <c r="BK201" s="181"/>
      <c r="BL201" s="181"/>
      <c r="BM201" s="181"/>
      <c r="BN201" s="181"/>
      <c r="BO201" s="181"/>
      <c r="BP201" s="181"/>
      <c r="BQ201" s="181"/>
      <c r="BR201" s="181"/>
      <c r="BS201" s="181"/>
      <c r="BT201" s="181"/>
      <c r="BU201" s="181"/>
      <c r="BV201" s="181"/>
    </row>
    <row r="202" spans="1:75" s="181" customFormat="1" ht="15.75" hidden="1" x14ac:dyDescent="0.25">
      <c r="A202" s="551"/>
      <c r="B202" s="1578"/>
      <c r="C202" s="1095"/>
      <c r="D202" s="1145" t="s">
        <v>43</v>
      </c>
      <c r="E202" s="1148" t="str">
        <f t="shared" si="35"/>
        <v>N</v>
      </c>
      <c r="F202" s="1166"/>
      <c r="G202" s="886" t="s">
        <v>38</v>
      </c>
      <c r="H202" s="962" t="s">
        <v>38</v>
      </c>
      <c r="I202" s="886" t="s">
        <v>38</v>
      </c>
      <c r="J202" s="963" t="s">
        <v>38</v>
      </c>
      <c r="K202" s="886" t="s">
        <v>38</v>
      </c>
      <c r="L202" s="962" t="s">
        <v>38</v>
      </c>
      <c r="M202" s="886" t="s">
        <v>38</v>
      </c>
      <c r="N202" s="962" t="s">
        <v>38</v>
      </c>
      <c r="O202" s="886" t="s">
        <v>38</v>
      </c>
      <c r="P202" s="964" t="s">
        <v>38</v>
      </c>
      <c r="Q202" s="985" t="s">
        <v>38</v>
      </c>
      <c r="R202" s="962" t="s">
        <v>38</v>
      </c>
      <c r="S202" s="886" t="s">
        <v>38</v>
      </c>
      <c r="T202" s="963" t="s">
        <v>38</v>
      </c>
      <c r="U202" s="886" t="s">
        <v>38</v>
      </c>
      <c r="V202" s="962" t="s">
        <v>38</v>
      </c>
      <c r="W202" s="886" t="s">
        <v>38</v>
      </c>
      <c r="X202" s="812" t="s">
        <v>38</v>
      </c>
      <c r="Y202" s="431"/>
      <c r="Z202" s="584" t="s">
        <v>478</v>
      </c>
      <c r="AA202" s="972" t="s">
        <v>38</v>
      </c>
      <c r="AB202" s="1912"/>
      <c r="AC202" s="1216"/>
      <c r="AD202" s="1237"/>
      <c r="AE202" s="1238"/>
      <c r="AF202" s="1240"/>
      <c r="AG202" s="1239"/>
      <c r="AH202" s="1783"/>
      <c r="AI202" s="1765"/>
      <c r="AJ202" s="1239"/>
      <c r="AK202" s="1239" t="s">
        <v>898</v>
      </c>
      <c r="AL202" s="1095"/>
      <c r="AM202" s="1095"/>
      <c r="AN202" s="1095"/>
      <c r="AO202" s="1095"/>
      <c r="AP202" s="1095"/>
      <c r="AQ202" s="1106"/>
      <c r="AR202" s="1097"/>
      <c r="AS202" s="1095"/>
      <c r="BW202" s="30"/>
    </row>
    <row r="203" spans="1:75" s="181" customFormat="1" ht="15.75" hidden="1" x14ac:dyDescent="0.25">
      <c r="A203" s="551"/>
      <c r="B203" s="1578"/>
      <c r="C203" s="1095"/>
      <c r="D203" s="1145" t="s">
        <v>43</v>
      </c>
      <c r="E203" s="1148" t="str">
        <f t="shared" si="35"/>
        <v>N</v>
      </c>
      <c r="F203" s="1166"/>
      <c r="G203" s="886" t="s">
        <v>38</v>
      </c>
      <c r="H203" s="962" t="s">
        <v>38</v>
      </c>
      <c r="I203" s="886" t="s">
        <v>38</v>
      </c>
      <c r="J203" s="963" t="s">
        <v>38</v>
      </c>
      <c r="K203" s="886" t="s">
        <v>38</v>
      </c>
      <c r="L203" s="962" t="s">
        <v>38</v>
      </c>
      <c r="M203" s="886" t="s">
        <v>38</v>
      </c>
      <c r="N203" s="962" t="s">
        <v>38</v>
      </c>
      <c r="O203" s="886" t="s">
        <v>38</v>
      </c>
      <c r="P203" s="964" t="s">
        <v>38</v>
      </c>
      <c r="Q203" s="985" t="s">
        <v>38</v>
      </c>
      <c r="R203" s="962" t="s">
        <v>38</v>
      </c>
      <c r="S203" s="886" t="s">
        <v>38</v>
      </c>
      <c r="T203" s="963" t="s">
        <v>38</v>
      </c>
      <c r="U203" s="886" t="s">
        <v>38</v>
      </c>
      <c r="V203" s="962" t="s">
        <v>38</v>
      </c>
      <c r="W203" s="886" t="s">
        <v>38</v>
      </c>
      <c r="X203" s="812" t="s">
        <v>38</v>
      </c>
      <c r="Y203" s="431"/>
      <c r="Z203" s="584" t="s">
        <v>478</v>
      </c>
      <c r="AA203" s="972" t="s">
        <v>38</v>
      </c>
      <c r="AB203" s="1912"/>
      <c r="AC203" s="1216"/>
      <c r="AD203" s="1237"/>
      <c r="AE203" s="1238"/>
      <c r="AF203" s="1240"/>
      <c r="AG203" s="1239"/>
      <c r="AH203" s="1783"/>
      <c r="AI203" s="1765"/>
      <c r="AJ203" s="1239"/>
      <c r="AK203" s="1239" t="s">
        <v>898</v>
      </c>
      <c r="AL203" s="1095"/>
      <c r="AM203" s="1095"/>
      <c r="AN203" s="1095"/>
      <c r="AO203" s="1095"/>
      <c r="AP203" s="1095"/>
      <c r="AQ203" s="1106"/>
      <c r="AR203" s="1097"/>
      <c r="AS203" s="1095"/>
      <c r="BW203" s="30"/>
    </row>
    <row r="204" spans="1:75" s="181" customFormat="1" ht="15.75" hidden="1" x14ac:dyDescent="0.25">
      <c r="A204" s="551"/>
      <c r="B204" s="1578"/>
      <c r="C204" s="1095"/>
      <c r="D204" s="1145" t="s">
        <v>43</v>
      </c>
      <c r="E204" s="1148" t="str">
        <f t="shared" si="35"/>
        <v>N</v>
      </c>
      <c r="F204" s="1166"/>
      <c r="G204" s="886" t="s">
        <v>38</v>
      </c>
      <c r="H204" s="962" t="s">
        <v>38</v>
      </c>
      <c r="I204" s="886" t="s">
        <v>38</v>
      </c>
      <c r="J204" s="963" t="s">
        <v>38</v>
      </c>
      <c r="K204" s="886" t="s">
        <v>38</v>
      </c>
      <c r="L204" s="962" t="s">
        <v>38</v>
      </c>
      <c r="M204" s="886" t="s">
        <v>38</v>
      </c>
      <c r="N204" s="962" t="s">
        <v>38</v>
      </c>
      <c r="O204" s="886" t="s">
        <v>38</v>
      </c>
      <c r="P204" s="964" t="s">
        <v>38</v>
      </c>
      <c r="Q204" s="985" t="s">
        <v>38</v>
      </c>
      <c r="R204" s="962" t="s">
        <v>38</v>
      </c>
      <c r="S204" s="886" t="s">
        <v>38</v>
      </c>
      <c r="T204" s="963" t="s">
        <v>38</v>
      </c>
      <c r="U204" s="886" t="s">
        <v>38</v>
      </c>
      <c r="V204" s="962" t="s">
        <v>38</v>
      </c>
      <c r="W204" s="886" t="s">
        <v>38</v>
      </c>
      <c r="X204" s="812" t="s">
        <v>38</v>
      </c>
      <c r="Y204" s="431"/>
      <c r="Z204" s="584" t="s">
        <v>478</v>
      </c>
      <c r="AA204" s="972" t="s">
        <v>38</v>
      </c>
      <c r="AB204" s="1912"/>
      <c r="AC204" s="1216"/>
      <c r="AD204" s="1237"/>
      <c r="AE204" s="1238"/>
      <c r="AF204" s="1240"/>
      <c r="AG204" s="1239"/>
      <c r="AH204" s="1783"/>
      <c r="AI204" s="1765"/>
      <c r="AJ204" s="1239"/>
      <c r="AK204" s="1239" t="s">
        <v>898</v>
      </c>
      <c r="AL204" s="1095"/>
      <c r="AM204" s="1095"/>
      <c r="AN204" s="1095"/>
      <c r="AO204" s="1095"/>
      <c r="AP204" s="1095"/>
      <c r="AQ204" s="1106"/>
      <c r="AR204" s="1097"/>
      <c r="AS204" s="1095"/>
      <c r="BW204" s="30"/>
    </row>
    <row r="205" spans="1:75" s="181" customFormat="1" ht="15.75" x14ac:dyDescent="0.25">
      <c r="A205" s="551"/>
      <c r="B205" s="1578"/>
      <c r="C205" s="1110"/>
      <c r="D205" s="1142"/>
      <c r="E205" s="1144" t="str">
        <f t="shared" si="35"/>
        <v/>
      </c>
      <c r="F205" s="1166"/>
      <c r="G205" s="1708" t="s">
        <v>208</v>
      </c>
      <c r="H205" s="1709" t="s">
        <v>208</v>
      </c>
      <c r="I205" s="1708" t="s">
        <v>208</v>
      </c>
      <c r="J205" s="1710" t="s">
        <v>208</v>
      </c>
      <c r="K205" s="1708" t="s">
        <v>208</v>
      </c>
      <c r="L205" s="1709" t="s">
        <v>208</v>
      </c>
      <c r="M205" s="1708" t="s">
        <v>208</v>
      </c>
      <c r="N205" s="1709" t="s">
        <v>208</v>
      </c>
      <c r="O205" s="1708" t="s">
        <v>208</v>
      </c>
      <c r="P205" s="1711" t="s">
        <v>208</v>
      </c>
      <c r="Q205" s="1712" t="s">
        <v>208</v>
      </c>
      <c r="R205" s="1709" t="s">
        <v>208</v>
      </c>
      <c r="S205" s="1708" t="s">
        <v>208</v>
      </c>
      <c r="T205" s="1710" t="s">
        <v>208</v>
      </c>
      <c r="U205" s="1708" t="s">
        <v>208</v>
      </c>
      <c r="V205" s="1709" t="s">
        <v>208</v>
      </c>
      <c r="W205" s="1708" t="s">
        <v>208</v>
      </c>
      <c r="X205" s="816" t="s">
        <v>208</v>
      </c>
      <c r="Y205" s="429"/>
      <c r="Z205" s="581"/>
      <c r="AA205" s="973" t="s">
        <v>208</v>
      </c>
      <c r="AB205" s="1921"/>
      <c r="AC205" s="1125"/>
      <c r="AD205" s="1257"/>
      <c r="AE205" s="1258"/>
      <c r="AF205" s="1258"/>
      <c r="AG205" s="1258"/>
      <c r="AH205" s="1789"/>
      <c r="AI205" s="1771"/>
      <c r="AJ205" s="1258"/>
      <c r="AK205" s="1258"/>
      <c r="AL205" s="1095"/>
      <c r="AM205" s="1095"/>
      <c r="AN205" s="1095"/>
      <c r="AO205" s="1095"/>
      <c r="AP205" s="1095"/>
      <c r="AQ205" s="1106"/>
      <c r="AR205" s="1097"/>
      <c r="AS205" s="1110"/>
    </row>
    <row r="206" spans="1:75" s="181" customFormat="1" ht="24" x14ac:dyDescent="0.25">
      <c r="A206" s="551"/>
      <c r="B206" s="1578"/>
      <c r="C206" s="1110"/>
      <c r="D206" s="1142" t="s">
        <v>145</v>
      </c>
      <c r="E206" s="1143" t="str">
        <f t="shared" si="35"/>
        <v/>
      </c>
      <c r="F206" s="1166"/>
      <c r="G206" s="1680" t="s">
        <v>38</v>
      </c>
      <c r="H206" s="1681" t="s">
        <v>38</v>
      </c>
      <c r="I206" s="1680" t="s">
        <v>37</v>
      </c>
      <c r="J206" s="1682" t="s">
        <v>37</v>
      </c>
      <c r="K206" s="1680" t="s">
        <v>37</v>
      </c>
      <c r="L206" s="1681" t="str">
        <f>IF(L190="No","N","Y")</f>
        <v>Y</v>
      </c>
      <c r="M206" s="1680" t="s">
        <v>37</v>
      </c>
      <c r="N206" s="1681" t="s">
        <v>37</v>
      </c>
      <c r="O206" s="1680" t="s">
        <v>37</v>
      </c>
      <c r="P206" s="1683" t="s">
        <v>37</v>
      </c>
      <c r="Q206" s="1684" t="s">
        <v>37</v>
      </c>
      <c r="R206" s="1681" t="s">
        <v>37</v>
      </c>
      <c r="S206" s="1680" t="s">
        <v>37</v>
      </c>
      <c r="T206" s="1682" t="s">
        <v>37</v>
      </c>
      <c r="U206" s="1680" t="s">
        <v>37</v>
      </c>
      <c r="V206" s="1681" t="s">
        <v>37</v>
      </c>
      <c r="W206" s="1680" t="s">
        <v>38</v>
      </c>
      <c r="X206" s="810" t="s">
        <v>38</v>
      </c>
      <c r="Y206" s="428" t="s">
        <v>647</v>
      </c>
      <c r="Z206" s="579" t="s">
        <v>567</v>
      </c>
      <c r="AA206" s="970" t="s">
        <v>37</v>
      </c>
      <c r="AB206" s="1922"/>
      <c r="AC206" s="1211"/>
      <c r="AD206" s="1259"/>
      <c r="AE206" s="1236"/>
      <c r="AF206" s="1236"/>
      <c r="AG206" s="1610" t="s">
        <v>600</v>
      </c>
      <c r="AH206" s="1790" t="s">
        <v>605</v>
      </c>
      <c r="AI206" s="1767" t="s">
        <v>1243</v>
      </c>
      <c r="AJ206" s="1254" t="s">
        <v>1223</v>
      </c>
      <c r="AK206" s="1260" t="s">
        <v>607</v>
      </c>
      <c r="AL206" s="1095"/>
      <c r="AM206" s="1095"/>
      <c r="AN206" s="1095"/>
      <c r="AO206" s="1095"/>
      <c r="AP206" s="1095"/>
      <c r="AQ206" s="1104"/>
      <c r="AR206" s="1105"/>
      <c r="AS206" s="1110"/>
    </row>
    <row r="207" spans="1:75" s="181" customFormat="1" ht="15.75" x14ac:dyDescent="0.25">
      <c r="A207" s="551"/>
      <c r="B207" s="1578"/>
      <c r="C207" s="1110"/>
      <c r="D207" s="1145" t="s">
        <v>145</v>
      </c>
      <c r="E207" s="1147" t="str">
        <f t="shared" si="35"/>
        <v/>
      </c>
      <c r="F207" s="1166"/>
      <c r="G207" s="1703" t="s">
        <v>38</v>
      </c>
      <c r="H207" s="1704" t="s">
        <v>38</v>
      </c>
      <c r="I207" s="1703" t="s">
        <v>37</v>
      </c>
      <c r="J207" s="1705" t="s">
        <v>37</v>
      </c>
      <c r="K207" s="1703" t="s">
        <v>37</v>
      </c>
      <c r="L207" s="1704" t="str">
        <f t="shared" ref="L207:L211" si="38">IF(L197="No","N","Y")</f>
        <v>Y</v>
      </c>
      <c r="M207" s="1703" t="s">
        <v>37</v>
      </c>
      <c r="N207" s="1704" t="s">
        <v>37</v>
      </c>
      <c r="O207" s="1703" t="s">
        <v>37</v>
      </c>
      <c r="P207" s="1706" t="s">
        <v>37</v>
      </c>
      <c r="Q207" s="1707" t="s">
        <v>37</v>
      </c>
      <c r="R207" s="1704" t="s">
        <v>37</v>
      </c>
      <c r="S207" s="1703" t="s">
        <v>37</v>
      </c>
      <c r="T207" s="1705" t="s">
        <v>37</v>
      </c>
      <c r="U207" s="1703" t="s">
        <v>37</v>
      </c>
      <c r="V207" s="1704" t="s">
        <v>37</v>
      </c>
      <c r="W207" s="1703" t="s">
        <v>38</v>
      </c>
      <c r="X207" s="815" t="s">
        <v>38</v>
      </c>
      <c r="Y207" s="431"/>
      <c r="Z207" s="590" t="s">
        <v>393</v>
      </c>
      <c r="AA207" s="972" t="s">
        <v>37</v>
      </c>
      <c r="AB207" s="1913"/>
      <c r="AC207" s="1153"/>
      <c r="AD207" s="1240" t="s">
        <v>387</v>
      </c>
      <c r="AE207" s="1239" t="s">
        <v>387</v>
      </c>
      <c r="AF207" s="1239" t="s">
        <v>388</v>
      </c>
      <c r="AG207" s="1239" t="s">
        <v>390</v>
      </c>
      <c r="AH207" s="1783" t="s">
        <v>391</v>
      </c>
      <c r="AI207" s="1765" t="s">
        <v>391</v>
      </c>
      <c r="AJ207" s="1239" t="s">
        <v>391</v>
      </c>
      <c r="AK207" s="1239" t="s">
        <v>794</v>
      </c>
      <c r="AL207" s="1095"/>
      <c r="AM207" s="1095"/>
      <c r="AN207" s="1095"/>
      <c r="AO207" s="1095"/>
      <c r="AP207" s="1095"/>
      <c r="AQ207" s="1106"/>
      <c r="AR207" s="1097"/>
      <c r="AS207" s="1110"/>
    </row>
    <row r="208" spans="1:75" s="30" customFormat="1" ht="15" customHeight="1" x14ac:dyDescent="0.25">
      <c r="A208" s="545"/>
      <c r="B208" s="1579"/>
      <c r="C208" s="1095"/>
      <c r="D208" s="1145" t="s">
        <v>145</v>
      </c>
      <c r="E208" s="1147" t="str">
        <f t="shared" si="35"/>
        <v/>
      </c>
      <c r="F208" s="1124"/>
      <c r="G208" s="1703" t="s">
        <v>38</v>
      </c>
      <c r="H208" s="1704" t="s">
        <v>38</v>
      </c>
      <c r="I208" s="1703" t="s">
        <v>38</v>
      </c>
      <c r="J208" s="1705" t="s">
        <v>38</v>
      </c>
      <c r="K208" s="1703" t="s">
        <v>37</v>
      </c>
      <c r="L208" s="1704" t="str">
        <f t="shared" si="38"/>
        <v>Y</v>
      </c>
      <c r="M208" s="1703" t="s">
        <v>37</v>
      </c>
      <c r="N208" s="1704" t="s">
        <v>37</v>
      </c>
      <c r="O208" s="1703" t="s">
        <v>37</v>
      </c>
      <c r="P208" s="1706" t="s">
        <v>37</v>
      </c>
      <c r="Q208" s="1707" t="s">
        <v>37</v>
      </c>
      <c r="R208" s="1704" t="s">
        <v>37</v>
      </c>
      <c r="S208" s="1703" t="s">
        <v>37</v>
      </c>
      <c r="T208" s="1705" t="s">
        <v>37</v>
      </c>
      <c r="U208" s="1703" t="s">
        <v>37</v>
      </c>
      <c r="V208" s="1704" t="s">
        <v>37</v>
      </c>
      <c r="W208" s="1703" t="s">
        <v>38</v>
      </c>
      <c r="X208" s="815" t="s">
        <v>38</v>
      </c>
      <c r="Y208" s="428"/>
      <c r="Z208" s="590" t="s">
        <v>394</v>
      </c>
      <c r="AA208" s="972" t="s">
        <v>37</v>
      </c>
      <c r="AB208" s="1913"/>
      <c r="AC208" s="1211"/>
      <c r="AD208" s="1240" t="s">
        <v>387</v>
      </c>
      <c r="AE208" s="1239" t="s">
        <v>387</v>
      </c>
      <c r="AF208" s="1239" t="s">
        <v>388</v>
      </c>
      <c r="AG208" s="1239" t="s">
        <v>390</v>
      </c>
      <c r="AH208" s="1783" t="s">
        <v>391</v>
      </c>
      <c r="AI208" s="1765" t="s">
        <v>391</v>
      </c>
      <c r="AJ208" s="1239" t="s">
        <v>391</v>
      </c>
      <c r="AK208" s="1239" t="s">
        <v>794</v>
      </c>
      <c r="AL208" s="1095"/>
      <c r="AM208" s="1095"/>
      <c r="AN208" s="1095"/>
      <c r="AO208" s="1095"/>
      <c r="AP208" s="1095"/>
      <c r="AQ208" s="1095"/>
      <c r="AR208" s="1095"/>
      <c r="AS208" s="1095"/>
      <c r="AT208" s="181"/>
      <c r="AU208" s="181"/>
      <c r="AV208" s="181"/>
      <c r="AW208" s="181"/>
      <c r="AX208" s="181"/>
      <c r="AY208" s="181"/>
      <c r="AZ208" s="181"/>
      <c r="BA208" s="181"/>
      <c r="BB208" s="181"/>
      <c r="BC208" s="181"/>
      <c r="BD208" s="181"/>
      <c r="BE208" s="181"/>
      <c r="BF208" s="181"/>
      <c r="BG208" s="181"/>
      <c r="BH208" s="181"/>
      <c r="BI208" s="181"/>
      <c r="BJ208" s="181"/>
      <c r="BK208" s="181"/>
      <c r="BL208" s="181"/>
      <c r="BM208" s="181"/>
      <c r="BN208" s="181"/>
      <c r="BO208" s="181"/>
      <c r="BP208" s="181"/>
      <c r="BQ208" s="181"/>
      <c r="BR208" s="181"/>
      <c r="BS208" s="181"/>
      <c r="BT208" s="181"/>
      <c r="BU208" s="181"/>
      <c r="BV208" s="181"/>
    </row>
    <row r="209" spans="1:74" s="30" customFormat="1" ht="15" customHeight="1" x14ac:dyDescent="0.25">
      <c r="A209" s="545"/>
      <c r="B209" s="1579"/>
      <c r="C209" s="1095"/>
      <c r="D209" s="1145" t="s">
        <v>145</v>
      </c>
      <c r="E209" s="1147" t="str">
        <f t="shared" si="35"/>
        <v/>
      </c>
      <c r="F209" s="1124"/>
      <c r="G209" s="1703" t="s">
        <v>38</v>
      </c>
      <c r="H209" s="1704" t="s">
        <v>38</v>
      </c>
      <c r="I209" s="1703" t="s">
        <v>37</v>
      </c>
      <c r="J209" s="1705" t="s">
        <v>37</v>
      </c>
      <c r="K209" s="1703" t="s">
        <v>37</v>
      </c>
      <c r="L209" s="1704" t="str">
        <f t="shared" si="38"/>
        <v>Y</v>
      </c>
      <c r="M209" s="1703" t="s">
        <v>37</v>
      </c>
      <c r="N209" s="1704" t="s">
        <v>37</v>
      </c>
      <c r="O209" s="1703" t="s">
        <v>37</v>
      </c>
      <c r="P209" s="1706" t="s">
        <v>37</v>
      </c>
      <c r="Q209" s="1707" t="s">
        <v>37</v>
      </c>
      <c r="R209" s="1704" t="s">
        <v>37</v>
      </c>
      <c r="S209" s="1703" t="s">
        <v>37</v>
      </c>
      <c r="T209" s="1705" t="s">
        <v>37</v>
      </c>
      <c r="U209" s="1703" t="s">
        <v>37</v>
      </c>
      <c r="V209" s="1704" t="s">
        <v>37</v>
      </c>
      <c r="W209" s="1703" t="s">
        <v>38</v>
      </c>
      <c r="X209" s="815" t="s">
        <v>38</v>
      </c>
      <c r="Y209" s="428"/>
      <c r="Z209" s="590" t="s">
        <v>395</v>
      </c>
      <c r="AA209" s="972" t="s">
        <v>37</v>
      </c>
      <c r="AB209" s="1913"/>
      <c r="AC209" s="1211"/>
      <c r="AD209" s="1240" t="s">
        <v>387</v>
      </c>
      <c r="AE209" s="1239" t="s">
        <v>387</v>
      </c>
      <c r="AF209" s="1239" t="s">
        <v>388</v>
      </c>
      <c r="AG209" s="1239" t="s">
        <v>390</v>
      </c>
      <c r="AH209" s="1783" t="s">
        <v>391</v>
      </c>
      <c r="AI209" s="1765" t="s">
        <v>391</v>
      </c>
      <c r="AJ209" s="1239" t="s">
        <v>391</v>
      </c>
      <c r="AK209" s="1239" t="s">
        <v>794</v>
      </c>
      <c r="AL209" s="1095"/>
      <c r="AM209" s="1095"/>
      <c r="AN209" s="1097"/>
      <c r="AO209" s="1095"/>
      <c r="AP209" s="1095"/>
      <c r="AQ209" s="1095"/>
      <c r="AR209" s="1095"/>
      <c r="AS209" s="1095"/>
      <c r="AT209" s="181"/>
      <c r="AU209" s="181"/>
      <c r="AV209" s="181"/>
      <c r="AW209" s="181"/>
      <c r="AX209" s="181"/>
      <c r="AY209" s="181"/>
      <c r="AZ209" s="181"/>
      <c r="BA209" s="181"/>
      <c r="BB209" s="181"/>
      <c r="BC209" s="181"/>
      <c r="BD209" s="181"/>
      <c r="BE209" s="181"/>
      <c r="BF209" s="181"/>
      <c r="BG209" s="181"/>
      <c r="BH209" s="181"/>
      <c r="BI209" s="181"/>
      <c r="BJ209" s="181"/>
      <c r="BK209" s="181"/>
      <c r="BL209" s="181"/>
      <c r="BM209" s="181"/>
      <c r="BN209" s="181"/>
      <c r="BO209" s="181"/>
      <c r="BP209" s="181"/>
      <c r="BQ209" s="181"/>
      <c r="BR209" s="181"/>
      <c r="BS209" s="181"/>
      <c r="BT209" s="181"/>
      <c r="BU209" s="181"/>
      <c r="BV209" s="181"/>
    </row>
    <row r="210" spans="1:74" s="30" customFormat="1" ht="15" customHeight="1" x14ac:dyDescent="0.25">
      <c r="A210" s="545"/>
      <c r="B210" s="1579"/>
      <c r="C210" s="1095"/>
      <c r="D210" s="1145" t="s">
        <v>145</v>
      </c>
      <c r="E210" s="1147" t="str">
        <f t="shared" si="35"/>
        <v/>
      </c>
      <c r="F210" s="1124"/>
      <c r="G210" s="1703" t="s">
        <v>38</v>
      </c>
      <c r="H210" s="1704" t="s">
        <v>38</v>
      </c>
      <c r="I210" s="1703" t="s">
        <v>38</v>
      </c>
      <c r="J210" s="1705" t="s">
        <v>38</v>
      </c>
      <c r="K210" s="1703" t="s">
        <v>37</v>
      </c>
      <c r="L210" s="1704" t="str">
        <f t="shared" si="38"/>
        <v>Y</v>
      </c>
      <c r="M210" s="1703" t="s">
        <v>37</v>
      </c>
      <c r="N210" s="1704" t="s">
        <v>37</v>
      </c>
      <c r="O210" s="1703" t="s">
        <v>37</v>
      </c>
      <c r="P210" s="1706" t="s">
        <v>37</v>
      </c>
      <c r="Q210" s="1707" t="s">
        <v>37</v>
      </c>
      <c r="R210" s="1704" t="s">
        <v>37</v>
      </c>
      <c r="S210" s="1703" t="s">
        <v>37</v>
      </c>
      <c r="T210" s="1705" t="s">
        <v>37</v>
      </c>
      <c r="U210" s="1703" t="s">
        <v>37</v>
      </c>
      <c r="V210" s="1704" t="s">
        <v>37</v>
      </c>
      <c r="W210" s="1703" t="s">
        <v>38</v>
      </c>
      <c r="X210" s="815" t="s">
        <v>38</v>
      </c>
      <c r="Y210" s="428"/>
      <c r="Z210" s="590" t="s">
        <v>396</v>
      </c>
      <c r="AA210" s="972" t="s">
        <v>37</v>
      </c>
      <c r="AB210" s="1913"/>
      <c r="AC210" s="1211"/>
      <c r="AD210" s="1240" t="s">
        <v>387</v>
      </c>
      <c r="AE210" s="1239" t="s">
        <v>387</v>
      </c>
      <c r="AF210" s="1239" t="s">
        <v>388</v>
      </c>
      <c r="AG210" s="1239" t="s">
        <v>390</v>
      </c>
      <c r="AH210" s="1783" t="s">
        <v>391</v>
      </c>
      <c r="AI210" s="1765" t="s">
        <v>391</v>
      </c>
      <c r="AJ210" s="1239" t="s">
        <v>391</v>
      </c>
      <c r="AK210" s="1239" t="s">
        <v>794</v>
      </c>
      <c r="AL210" s="1095"/>
      <c r="AM210" s="1095"/>
      <c r="AN210" s="1097"/>
      <c r="AO210" s="1095"/>
      <c r="AP210" s="1095"/>
      <c r="AQ210" s="1095"/>
      <c r="AR210" s="1095"/>
      <c r="AS210" s="1095"/>
      <c r="AT210" s="181"/>
      <c r="AU210" s="181"/>
      <c r="AV210" s="181"/>
      <c r="AW210" s="181"/>
      <c r="AX210" s="181"/>
      <c r="AY210" s="181"/>
      <c r="AZ210" s="181"/>
      <c r="BA210" s="181"/>
      <c r="BB210" s="181"/>
      <c r="BC210" s="181"/>
      <c r="BD210" s="181"/>
      <c r="BE210" s="181"/>
      <c r="BF210" s="181"/>
      <c r="BG210" s="181"/>
      <c r="BH210" s="181"/>
      <c r="BI210" s="181"/>
      <c r="BJ210" s="181"/>
      <c r="BK210" s="181"/>
      <c r="BL210" s="181"/>
      <c r="BM210" s="181"/>
      <c r="BN210" s="181"/>
      <c r="BO210" s="181"/>
      <c r="BP210" s="181"/>
      <c r="BQ210" s="181"/>
      <c r="BR210" s="181"/>
      <c r="BS210" s="181"/>
      <c r="BT210" s="181"/>
      <c r="BU210" s="181"/>
      <c r="BV210" s="181"/>
    </row>
    <row r="211" spans="1:74" s="551" customFormat="1" ht="15.75" x14ac:dyDescent="0.25">
      <c r="B211" s="1578"/>
      <c r="C211" s="1110"/>
      <c r="D211" s="1145" t="s">
        <v>145</v>
      </c>
      <c r="E211" s="1146" t="str">
        <f t="shared" si="35"/>
        <v/>
      </c>
      <c r="F211" s="1166"/>
      <c r="G211" s="886" t="s">
        <v>38</v>
      </c>
      <c r="H211" s="962" t="s">
        <v>38</v>
      </c>
      <c r="I211" s="886" t="s">
        <v>37</v>
      </c>
      <c r="J211" s="963" t="s">
        <v>37</v>
      </c>
      <c r="K211" s="886" t="s">
        <v>37</v>
      </c>
      <c r="L211" s="962" t="str">
        <f t="shared" si="38"/>
        <v>Y</v>
      </c>
      <c r="M211" s="886" t="s">
        <v>37</v>
      </c>
      <c r="N211" s="962" t="s">
        <v>37</v>
      </c>
      <c r="O211" s="886" t="s">
        <v>37</v>
      </c>
      <c r="P211" s="964" t="s">
        <v>37</v>
      </c>
      <c r="Q211" s="985" t="s">
        <v>37</v>
      </c>
      <c r="R211" s="962" t="s">
        <v>37</v>
      </c>
      <c r="S211" s="886" t="s">
        <v>37</v>
      </c>
      <c r="T211" s="963" t="s">
        <v>37</v>
      </c>
      <c r="U211" s="886" t="s">
        <v>37</v>
      </c>
      <c r="V211" s="962" t="s">
        <v>37</v>
      </c>
      <c r="W211" s="886" t="s">
        <v>38</v>
      </c>
      <c r="X211" s="812" t="s">
        <v>38</v>
      </c>
      <c r="Y211" s="431"/>
      <c r="Z211" s="591" t="s">
        <v>671</v>
      </c>
      <c r="AA211" s="972" t="s">
        <v>37</v>
      </c>
      <c r="AB211" s="1923"/>
      <c r="AC211" s="1218"/>
      <c r="AD211" s="1261"/>
      <c r="AE211" s="1249"/>
      <c r="AF211" s="1249"/>
      <c r="AG211" s="1262" t="s">
        <v>600</v>
      </c>
      <c r="AH211" s="1791" t="s">
        <v>600</v>
      </c>
      <c r="AI211" s="1772" t="s">
        <v>600</v>
      </c>
      <c r="AJ211" s="1262" t="s">
        <v>600</v>
      </c>
      <c r="AK211" s="1263" t="s">
        <v>794</v>
      </c>
      <c r="AL211" s="1095"/>
      <c r="AM211" s="1095"/>
      <c r="AN211" s="1095"/>
      <c r="AO211" s="1095"/>
      <c r="AP211" s="1095"/>
      <c r="AQ211" s="1097"/>
      <c r="AR211" s="1111"/>
      <c r="AS211" s="1110"/>
    </row>
    <row r="212" spans="1:74" s="551" customFormat="1" ht="15.75" x14ac:dyDescent="0.25">
      <c r="B212" s="1578"/>
      <c r="C212" s="1110"/>
      <c r="D212" s="1145" t="s">
        <v>145</v>
      </c>
      <c r="E212" s="1147" t="str">
        <f t="shared" si="35"/>
        <v>N</v>
      </c>
      <c r="F212" s="1166"/>
      <c r="G212" s="1703" t="s">
        <v>38</v>
      </c>
      <c r="H212" s="1704" t="s">
        <v>38</v>
      </c>
      <c r="I212" s="1703" t="s">
        <v>38</v>
      </c>
      <c r="J212" s="1705" t="s">
        <v>38</v>
      </c>
      <c r="K212" s="1703" t="s">
        <v>38</v>
      </c>
      <c r="L212" s="1704" t="s">
        <v>38</v>
      </c>
      <c r="M212" s="1703" t="s">
        <v>38</v>
      </c>
      <c r="N212" s="1704" t="s">
        <v>38</v>
      </c>
      <c r="O212" s="1703" t="s">
        <v>38</v>
      </c>
      <c r="P212" s="1706" t="s">
        <v>38</v>
      </c>
      <c r="Q212" s="1707" t="s">
        <v>38</v>
      </c>
      <c r="R212" s="1704" t="s">
        <v>38</v>
      </c>
      <c r="S212" s="1703" t="s">
        <v>38</v>
      </c>
      <c r="T212" s="1705" t="s">
        <v>38</v>
      </c>
      <c r="U212" s="1703" t="s">
        <v>38</v>
      </c>
      <c r="V212" s="1704" t="s">
        <v>38</v>
      </c>
      <c r="W212" s="1703" t="s">
        <v>38</v>
      </c>
      <c r="X212" s="815" t="s">
        <v>38</v>
      </c>
      <c r="Y212" s="431"/>
      <c r="Z212" s="888" t="s">
        <v>668</v>
      </c>
      <c r="AA212" s="972" t="s">
        <v>38</v>
      </c>
      <c r="AB212" s="1913"/>
      <c r="AC212" s="1153"/>
      <c r="AD212" s="1240" t="s">
        <v>387</v>
      </c>
      <c r="AE212" s="1239" t="s">
        <v>387</v>
      </c>
      <c r="AF212" s="1239" t="s">
        <v>388</v>
      </c>
      <c r="AG212" s="1239" t="s">
        <v>390</v>
      </c>
      <c r="AH212" s="1783" t="s">
        <v>391</v>
      </c>
      <c r="AI212" s="1765" t="s">
        <v>391</v>
      </c>
      <c r="AJ212" s="1239" t="s">
        <v>391</v>
      </c>
      <c r="AK212" s="1239" t="s">
        <v>794</v>
      </c>
      <c r="AL212" s="1095"/>
      <c r="AM212" s="1095"/>
      <c r="AN212" s="1095"/>
      <c r="AO212" s="1095"/>
      <c r="AP212" s="1095"/>
      <c r="AQ212" s="1106"/>
      <c r="AR212" s="1097"/>
      <c r="AS212" s="1110"/>
    </row>
    <row r="213" spans="1:74" s="551" customFormat="1" ht="15.75" x14ac:dyDescent="0.25">
      <c r="B213" s="1578"/>
      <c r="C213" s="1110"/>
      <c r="D213" s="1145" t="s">
        <v>145</v>
      </c>
      <c r="E213" s="1147" t="str">
        <f t="shared" si="35"/>
        <v/>
      </c>
      <c r="F213" s="1166"/>
      <c r="G213" s="1703" t="s">
        <v>38</v>
      </c>
      <c r="H213" s="1704" t="s">
        <v>38</v>
      </c>
      <c r="I213" s="1703" t="s">
        <v>37</v>
      </c>
      <c r="J213" s="1705" t="s">
        <v>37</v>
      </c>
      <c r="K213" s="1703" t="s">
        <v>37</v>
      </c>
      <c r="L213" s="1704" t="str">
        <f>IF(L203="No","N","Y")</f>
        <v>Y</v>
      </c>
      <c r="M213" s="1703" t="s">
        <v>37</v>
      </c>
      <c r="N213" s="1704" t="s">
        <v>37</v>
      </c>
      <c r="O213" s="1703" t="s">
        <v>37</v>
      </c>
      <c r="P213" s="1706" t="s">
        <v>37</v>
      </c>
      <c r="Q213" s="1707" t="s">
        <v>37</v>
      </c>
      <c r="R213" s="1704" t="s">
        <v>37</v>
      </c>
      <c r="S213" s="1703" t="s">
        <v>37</v>
      </c>
      <c r="T213" s="1705" t="s">
        <v>37</v>
      </c>
      <c r="U213" s="1703" t="s">
        <v>37</v>
      </c>
      <c r="V213" s="1704" t="s">
        <v>37</v>
      </c>
      <c r="W213" s="1703" t="s">
        <v>38</v>
      </c>
      <c r="X213" s="815" t="s">
        <v>38</v>
      </c>
      <c r="Y213" s="431"/>
      <c r="Z213" s="590" t="s">
        <v>672</v>
      </c>
      <c r="AA213" s="972" t="s">
        <v>38</v>
      </c>
      <c r="AB213" s="1913"/>
      <c r="AC213" s="1153"/>
      <c r="AD213" s="1240" t="s">
        <v>387</v>
      </c>
      <c r="AE213" s="1239" t="s">
        <v>387</v>
      </c>
      <c r="AF213" s="1239" t="s">
        <v>388</v>
      </c>
      <c r="AG213" s="1239" t="s">
        <v>390</v>
      </c>
      <c r="AH213" s="1783" t="s">
        <v>391</v>
      </c>
      <c r="AI213" s="1765" t="s">
        <v>391</v>
      </c>
      <c r="AJ213" s="1239" t="s">
        <v>391</v>
      </c>
      <c r="AK213" s="1239" t="s">
        <v>794</v>
      </c>
      <c r="AL213" s="1095"/>
      <c r="AM213" s="1095"/>
      <c r="AN213" s="1095"/>
      <c r="AO213" s="1095"/>
      <c r="AP213" s="1095"/>
      <c r="AQ213" s="1106"/>
      <c r="AR213" s="1097"/>
      <c r="AS213" s="1110"/>
    </row>
    <row r="214" spans="1:74" s="551" customFormat="1" ht="15.75" x14ac:dyDescent="0.25">
      <c r="B214" s="1578"/>
      <c r="C214" s="1110"/>
      <c r="D214" s="1145" t="s">
        <v>145</v>
      </c>
      <c r="E214" s="1147" t="str">
        <f t="shared" si="35"/>
        <v>N</v>
      </c>
      <c r="F214" s="1166"/>
      <c r="G214" s="1703" t="s">
        <v>38</v>
      </c>
      <c r="H214" s="1704" t="s">
        <v>38</v>
      </c>
      <c r="I214" s="1703" t="s">
        <v>38</v>
      </c>
      <c r="J214" s="1705" t="s">
        <v>38</v>
      </c>
      <c r="K214" s="1703" t="s">
        <v>38</v>
      </c>
      <c r="L214" s="1704" t="s">
        <v>38</v>
      </c>
      <c r="M214" s="1703" t="s">
        <v>38</v>
      </c>
      <c r="N214" s="1704" t="s">
        <v>38</v>
      </c>
      <c r="O214" s="1703" t="s">
        <v>38</v>
      </c>
      <c r="P214" s="1706" t="s">
        <v>38</v>
      </c>
      <c r="Q214" s="1707" t="s">
        <v>38</v>
      </c>
      <c r="R214" s="1704" t="s">
        <v>38</v>
      </c>
      <c r="S214" s="1703" t="s">
        <v>38</v>
      </c>
      <c r="T214" s="1705" t="s">
        <v>38</v>
      </c>
      <c r="U214" s="1703" t="s">
        <v>38</v>
      </c>
      <c r="V214" s="1704" t="s">
        <v>38</v>
      </c>
      <c r="W214" s="1703" t="s">
        <v>38</v>
      </c>
      <c r="X214" s="815" t="s">
        <v>38</v>
      </c>
      <c r="Y214" s="431"/>
      <c r="Z214" s="888" t="s">
        <v>669</v>
      </c>
      <c r="AA214" s="972" t="s">
        <v>38</v>
      </c>
      <c r="AB214" s="1913"/>
      <c r="AC214" s="1153"/>
      <c r="AD214" s="1240" t="s">
        <v>387</v>
      </c>
      <c r="AE214" s="1239" t="s">
        <v>388</v>
      </c>
      <c r="AF214" s="1239" t="s">
        <v>390</v>
      </c>
      <c r="AG214" s="1239" t="s">
        <v>391</v>
      </c>
      <c r="AH214" s="1783" t="s">
        <v>391</v>
      </c>
      <c r="AI214" s="1765" t="s">
        <v>391</v>
      </c>
      <c r="AJ214" s="1239" t="s">
        <v>391</v>
      </c>
      <c r="AK214" s="1239" t="s">
        <v>794</v>
      </c>
      <c r="AL214" s="1095"/>
      <c r="AM214" s="1095"/>
      <c r="AN214" s="1095"/>
      <c r="AO214" s="1095"/>
      <c r="AP214" s="1095"/>
      <c r="AQ214" s="1106"/>
      <c r="AR214" s="1097"/>
      <c r="AS214" s="1110"/>
    </row>
    <row r="215" spans="1:74" s="551" customFormat="1" ht="15.75" x14ac:dyDescent="0.25">
      <c r="B215" s="1578"/>
      <c r="C215" s="1110"/>
      <c r="D215" s="1145" t="s">
        <v>145</v>
      </c>
      <c r="E215" s="1147" t="str">
        <f t="shared" si="35"/>
        <v/>
      </c>
      <c r="F215" s="1166"/>
      <c r="G215" s="1703" t="s">
        <v>38</v>
      </c>
      <c r="H215" s="1704" t="s">
        <v>38</v>
      </c>
      <c r="I215" s="1703" t="s">
        <v>37</v>
      </c>
      <c r="J215" s="1705" t="s">
        <v>37</v>
      </c>
      <c r="K215" s="1703" t="s">
        <v>37</v>
      </c>
      <c r="L215" s="1704" t="str">
        <f>IF(L205="No","N","Y")</f>
        <v>Y</v>
      </c>
      <c r="M215" s="1703" t="s">
        <v>37</v>
      </c>
      <c r="N215" s="1704" t="s">
        <v>37</v>
      </c>
      <c r="O215" s="1703" t="s">
        <v>37</v>
      </c>
      <c r="P215" s="1706" t="s">
        <v>37</v>
      </c>
      <c r="Q215" s="1707" t="s">
        <v>37</v>
      </c>
      <c r="R215" s="1704" t="s">
        <v>37</v>
      </c>
      <c r="S215" s="1703" t="s">
        <v>37</v>
      </c>
      <c r="T215" s="1705" t="s">
        <v>37</v>
      </c>
      <c r="U215" s="1703" t="s">
        <v>37</v>
      </c>
      <c r="V215" s="1704" t="s">
        <v>37</v>
      </c>
      <c r="W215" s="1703" t="s">
        <v>38</v>
      </c>
      <c r="X215" s="815" t="s">
        <v>38</v>
      </c>
      <c r="Y215" s="431"/>
      <c r="Z215" s="590" t="s">
        <v>673</v>
      </c>
      <c r="AA215" s="972" t="s">
        <v>38</v>
      </c>
      <c r="AB215" s="1913"/>
      <c r="AC215" s="1153"/>
      <c r="AD215" s="1240" t="s">
        <v>387</v>
      </c>
      <c r="AE215" s="1239" t="s">
        <v>387</v>
      </c>
      <c r="AF215" s="1239" t="s">
        <v>388</v>
      </c>
      <c r="AG215" s="1239" t="s">
        <v>390</v>
      </c>
      <c r="AH215" s="1783" t="s">
        <v>391</v>
      </c>
      <c r="AI215" s="1765" t="s">
        <v>391</v>
      </c>
      <c r="AJ215" s="1239" t="s">
        <v>391</v>
      </c>
      <c r="AK215" s="1239" t="s">
        <v>794</v>
      </c>
      <c r="AL215" s="1095"/>
      <c r="AM215" s="1095"/>
      <c r="AN215" s="1095"/>
      <c r="AO215" s="1095"/>
      <c r="AP215" s="1095"/>
      <c r="AQ215" s="1106"/>
      <c r="AR215" s="1097"/>
      <c r="AS215" s="1110"/>
    </row>
    <row r="216" spans="1:74" s="551" customFormat="1" ht="15.75" x14ac:dyDescent="0.25">
      <c r="B216" s="1578"/>
      <c r="C216" s="1110"/>
      <c r="D216" s="1145" t="s">
        <v>145</v>
      </c>
      <c r="E216" s="1147" t="str">
        <f t="shared" si="35"/>
        <v>N</v>
      </c>
      <c r="F216" s="1166"/>
      <c r="G216" s="1703" t="s">
        <v>38</v>
      </c>
      <c r="H216" s="1704" t="s">
        <v>38</v>
      </c>
      <c r="I216" s="1703" t="s">
        <v>38</v>
      </c>
      <c r="J216" s="1705" t="s">
        <v>38</v>
      </c>
      <c r="K216" s="1703" t="s">
        <v>38</v>
      </c>
      <c r="L216" s="1704" t="s">
        <v>38</v>
      </c>
      <c r="M216" s="1703" t="s">
        <v>38</v>
      </c>
      <c r="N216" s="1704" t="s">
        <v>38</v>
      </c>
      <c r="O216" s="1703" t="s">
        <v>38</v>
      </c>
      <c r="P216" s="1706" t="s">
        <v>38</v>
      </c>
      <c r="Q216" s="1707" t="s">
        <v>38</v>
      </c>
      <c r="R216" s="1704" t="s">
        <v>38</v>
      </c>
      <c r="S216" s="1703" t="s">
        <v>38</v>
      </c>
      <c r="T216" s="1705" t="s">
        <v>38</v>
      </c>
      <c r="U216" s="1703" t="s">
        <v>38</v>
      </c>
      <c r="V216" s="1704" t="s">
        <v>38</v>
      </c>
      <c r="W216" s="1703" t="s">
        <v>38</v>
      </c>
      <c r="X216" s="1705" t="s">
        <v>38</v>
      </c>
      <c r="Y216" s="431"/>
      <c r="Z216" s="888" t="s">
        <v>670</v>
      </c>
      <c r="AA216" s="972" t="s">
        <v>38</v>
      </c>
      <c r="AB216" s="1913"/>
      <c r="AC216" s="1153"/>
      <c r="AD216" s="1240" t="s">
        <v>387</v>
      </c>
      <c r="AE216" s="1239" t="s">
        <v>388</v>
      </c>
      <c r="AF216" s="1239" t="s">
        <v>390</v>
      </c>
      <c r="AG216" s="1239" t="s">
        <v>391</v>
      </c>
      <c r="AH216" s="1783" t="s">
        <v>391</v>
      </c>
      <c r="AI216" s="1765" t="s">
        <v>391</v>
      </c>
      <c r="AJ216" s="1239" t="s">
        <v>391</v>
      </c>
      <c r="AK216" s="1239" t="s">
        <v>794</v>
      </c>
      <c r="AL216" s="1095"/>
      <c r="AM216" s="1095"/>
      <c r="AN216" s="1095"/>
      <c r="AO216" s="1095"/>
      <c r="AP216" s="1095"/>
      <c r="AQ216" s="1106"/>
      <c r="AR216" s="1097"/>
      <c r="AS216" s="1110"/>
    </row>
    <row r="217" spans="1:74" s="551" customFormat="1" ht="15.75" x14ac:dyDescent="0.25">
      <c r="B217" s="1578"/>
      <c r="C217" s="1110"/>
      <c r="D217" s="1145" t="s">
        <v>145</v>
      </c>
      <c r="E217" s="1147" t="str">
        <f t="shared" si="35"/>
        <v/>
      </c>
      <c r="F217" s="1166"/>
      <c r="G217" s="1703" t="s">
        <v>38</v>
      </c>
      <c r="H217" s="1704" t="s">
        <v>38</v>
      </c>
      <c r="I217" s="1703" t="s">
        <v>37</v>
      </c>
      <c r="J217" s="1705" t="s">
        <v>37</v>
      </c>
      <c r="K217" s="1703" t="s">
        <v>37</v>
      </c>
      <c r="L217" s="1704" t="str">
        <f>IF(L207="No","N","Y")</f>
        <v>Y</v>
      </c>
      <c r="M217" s="1703" t="s">
        <v>37</v>
      </c>
      <c r="N217" s="1704" t="s">
        <v>37</v>
      </c>
      <c r="O217" s="1703" t="s">
        <v>37</v>
      </c>
      <c r="P217" s="1706" t="s">
        <v>37</v>
      </c>
      <c r="Q217" s="1707" t="s">
        <v>37</v>
      </c>
      <c r="R217" s="1704" t="s">
        <v>37</v>
      </c>
      <c r="S217" s="1703" t="s">
        <v>37</v>
      </c>
      <c r="T217" s="1705" t="s">
        <v>37</v>
      </c>
      <c r="U217" s="1703" t="s">
        <v>37</v>
      </c>
      <c r="V217" s="1704" t="s">
        <v>37</v>
      </c>
      <c r="W217" s="1703" t="s">
        <v>38</v>
      </c>
      <c r="X217" s="1705" t="s">
        <v>38</v>
      </c>
      <c r="Y217" s="431"/>
      <c r="Z217" s="590" t="s">
        <v>674</v>
      </c>
      <c r="AA217" s="972" t="s">
        <v>38</v>
      </c>
      <c r="AB217" s="1913"/>
      <c r="AC217" s="1153"/>
      <c r="AD217" s="1240" t="s">
        <v>387</v>
      </c>
      <c r="AE217" s="1239" t="s">
        <v>387</v>
      </c>
      <c r="AF217" s="1239" t="s">
        <v>388</v>
      </c>
      <c r="AG217" s="1239" t="s">
        <v>390</v>
      </c>
      <c r="AH217" s="1783" t="s">
        <v>391</v>
      </c>
      <c r="AI217" s="1765" t="s">
        <v>391</v>
      </c>
      <c r="AJ217" s="1239" t="s">
        <v>391</v>
      </c>
      <c r="AK217" s="1239" t="s">
        <v>794</v>
      </c>
      <c r="AL217" s="1095"/>
      <c r="AM217" s="1095"/>
      <c r="AN217" s="1095"/>
      <c r="AO217" s="1095"/>
      <c r="AP217" s="1095"/>
      <c r="AQ217" s="1106"/>
      <c r="AR217" s="1097"/>
      <c r="AS217" s="1110"/>
    </row>
    <row r="218" spans="1:74" s="181" customFormat="1" ht="15.75" x14ac:dyDescent="0.25">
      <c r="A218" s="551"/>
      <c r="B218" s="1578"/>
      <c r="C218" s="1110"/>
      <c r="D218" s="1145" t="s">
        <v>145</v>
      </c>
      <c r="E218" s="1146" t="str">
        <f t="shared" si="35"/>
        <v/>
      </c>
      <c r="F218" s="1166"/>
      <c r="G218" s="886" t="s">
        <v>38</v>
      </c>
      <c r="H218" s="962" t="s">
        <v>38</v>
      </c>
      <c r="I218" s="886" t="s">
        <v>37</v>
      </c>
      <c r="J218" s="963" t="s">
        <v>37</v>
      </c>
      <c r="K218" s="886" t="s">
        <v>37</v>
      </c>
      <c r="L218" s="962" t="str">
        <f>IF(L208="No","N","Y")</f>
        <v>Y</v>
      </c>
      <c r="M218" s="886" t="s">
        <v>37</v>
      </c>
      <c r="N218" s="962" t="s">
        <v>37</v>
      </c>
      <c r="O218" s="886" t="s">
        <v>37</v>
      </c>
      <c r="P218" s="964" t="s">
        <v>37</v>
      </c>
      <c r="Q218" s="985" t="s">
        <v>37</v>
      </c>
      <c r="R218" s="962" t="s">
        <v>37</v>
      </c>
      <c r="S218" s="886" t="s">
        <v>37</v>
      </c>
      <c r="T218" s="963" t="s">
        <v>37</v>
      </c>
      <c r="U218" s="886" t="s">
        <v>37</v>
      </c>
      <c r="V218" s="962" t="s">
        <v>37</v>
      </c>
      <c r="W218" s="886" t="s">
        <v>38</v>
      </c>
      <c r="X218" s="963" t="s">
        <v>38</v>
      </c>
      <c r="Y218" s="431"/>
      <c r="Z218" s="591" t="s">
        <v>565</v>
      </c>
      <c r="AA218" s="972" t="s">
        <v>37</v>
      </c>
      <c r="AB218" s="1923"/>
      <c r="AC218" s="1218"/>
      <c r="AD218" s="1261"/>
      <c r="AE218" s="1249"/>
      <c r="AF218" s="1249"/>
      <c r="AG218" s="1262" t="s">
        <v>600</v>
      </c>
      <c r="AH218" s="1791" t="s">
        <v>600</v>
      </c>
      <c r="AI218" s="1772" t="s">
        <v>600</v>
      </c>
      <c r="AJ218" s="1262" t="s">
        <v>600</v>
      </c>
      <c r="AK218" s="1263" t="s">
        <v>794</v>
      </c>
      <c r="AL218" s="1095"/>
      <c r="AM218" s="1095"/>
      <c r="AN218" s="1095"/>
      <c r="AO218" s="1095"/>
      <c r="AP218" s="1095"/>
      <c r="AQ218" s="1097"/>
      <c r="AR218" s="1111"/>
      <c r="AS218" s="1110"/>
    </row>
    <row r="219" spans="1:74" s="181" customFormat="1" ht="15.75" x14ac:dyDescent="0.25">
      <c r="A219" s="551"/>
      <c r="B219" s="1578"/>
      <c r="C219" s="1110"/>
      <c r="D219" s="1145" t="s">
        <v>145</v>
      </c>
      <c r="E219" s="1147" t="str">
        <f t="shared" si="35"/>
        <v>N</v>
      </c>
      <c r="F219" s="1166"/>
      <c r="G219" s="1703" t="s">
        <v>38</v>
      </c>
      <c r="H219" s="1704" t="s">
        <v>38</v>
      </c>
      <c r="I219" s="1703" t="s">
        <v>38</v>
      </c>
      <c r="J219" s="1705" t="s">
        <v>38</v>
      </c>
      <c r="K219" s="1703" t="s">
        <v>38</v>
      </c>
      <c r="L219" s="1704" t="s">
        <v>38</v>
      </c>
      <c r="M219" s="1703" t="s">
        <v>38</v>
      </c>
      <c r="N219" s="1704" t="s">
        <v>38</v>
      </c>
      <c r="O219" s="1703" t="s">
        <v>38</v>
      </c>
      <c r="P219" s="1706" t="s">
        <v>38</v>
      </c>
      <c r="Q219" s="1707" t="s">
        <v>38</v>
      </c>
      <c r="R219" s="1704" t="s">
        <v>38</v>
      </c>
      <c r="S219" s="1703" t="s">
        <v>38</v>
      </c>
      <c r="T219" s="1705" t="s">
        <v>38</v>
      </c>
      <c r="U219" s="1703" t="s">
        <v>38</v>
      </c>
      <c r="V219" s="1704" t="s">
        <v>38</v>
      </c>
      <c r="W219" s="1703" t="s">
        <v>38</v>
      </c>
      <c r="X219" s="1705" t="s">
        <v>38</v>
      </c>
      <c r="Y219" s="431"/>
      <c r="Z219" s="888" t="s">
        <v>566</v>
      </c>
      <c r="AA219" s="972" t="s">
        <v>38</v>
      </c>
      <c r="AB219" s="1913"/>
      <c r="AC219" s="1153"/>
      <c r="AD219" s="1240" t="s">
        <v>387</v>
      </c>
      <c r="AE219" s="1239" t="s">
        <v>387</v>
      </c>
      <c r="AF219" s="1239" t="s">
        <v>388</v>
      </c>
      <c r="AG219" s="1239" t="s">
        <v>390</v>
      </c>
      <c r="AH219" s="1783" t="s">
        <v>391</v>
      </c>
      <c r="AI219" s="1765" t="s">
        <v>391</v>
      </c>
      <c r="AJ219" s="1239" t="s">
        <v>391</v>
      </c>
      <c r="AK219" s="1239" t="s">
        <v>794</v>
      </c>
      <c r="AL219" s="1095"/>
      <c r="AM219" s="1095"/>
      <c r="AN219" s="1095"/>
      <c r="AO219" s="1095"/>
      <c r="AP219" s="1095"/>
      <c r="AQ219" s="1106"/>
      <c r="AR219" s="1097"/>
      <c r="AS219" s="1110"/>
    </row>
    <row r="220" spans="1:74" s="181" customFormat="1" ht="15.75" x14ac:dyDescent="0.25">
      <c r="A220" s="551"/>
      <c r="B220" s="1578"/>
      <c r="C220" s="1110"/>
      <c r="D220" s="1145" t="s">
        <v>145</v>
      </c>
      <c r="E220" s="1147" t="str">
        <f t="shared" si="35"/>
        <v>N</v>
      </c>
      <c r="F220" s="1166"/>
      <c r="G220" s="1703" t="s">
        <v>38</v>
      </c>
      <c r="H220" s="1704" t="s">
        <v>38</v>
      </c>
      <c r="I220" s="1703" t="s">
        <v>38</v>
      </c>
      <c r="J220" s="1705" t="s">
        <v>38</v>
      </c>
      <c r="K220" s="1703" t="s">
        <v>38</v>
      </c>
      <c r="L220" s="1704" t="s">
        <v>38</v>
      </c>
      <c r="M220" s="1703" t="s">
        <v>38</v>
      </c>
      <c r="N220" s="1704" t="s">
        <v>38</v>
      </c>
      <c r="O220" s="1703" t="s">
        <v>38</v>
      </c>
      <c r="P220" s="1706" t="s">
        <v>38</v>
      </c>
      <c r="Q220" s="1707" t="s">
        <v>38</v>
      </c>
      <c r="R220" s="1704" t="s">
        <v>38</v>
      </c>
      <c r="S220" s="1703" t="s">
        <v>38</v>
      </c>
      <c r="T220" s="1705" t="s">
        <v>38</v>
      </c>
      <c r="U220" s="1703" t="s">
        <v>38</v>
      </c>
      <c r="V220" s="1704" t="s">
        <v>38</v>
      </c>
      <c r="W220" s="1703" t="s">
        <v>38</v>
      </c>
      <c r="X220" s="1705" t="s">
        <v>38</v>
      </c>
      <c r="Y220" s="431"/>
      <c r="Z220" s="888" t="s">
        <v>566</v>
      </c>
      <c r="AA220" s="972" t="s">
        <v>38</v>
      </c>
      <c r="AB220" s="1913"/>
      <c r="AC220" s="1153"/>
      <c r="AD220" s="1240" t="s">
        <v>387</v>
      </c>
      <c r="AE220" s="1239" t="s">
        <v>387</v>
      </c>
      <c r="AF220" s="1239" t="s">
        <v>388</v>
      </c>
      <c r="AG220" s="1239" t="s">
        <v>390</v>
      </c>
      <c r="AH220" s="1783" t="s">
        <v>391</v>
      </c>
      <c r="AI220" s="1765" t="s">
        <v>391</v>
      </c>
      <c r="AJ220" s="1239" t="s">
        <v>391</v>
      </c>
      <c r="AK220" s="1239" t="s">
        <v>794</v>
      </c>
      <c r="AL220" s="1095"/>
      <c r="AM220" s="1095"/>
      <c r="AN220" s="1095"/>
      <c r="AO220" s="1095"/>
      <c r="AP220" s="1095"/>
      <c r="AQ220" s="1106"/>
      <c r="AR220" s="1097"/>
      <c r="AS220" s="1110"/>
    </row>
    <row r="221" spans="1:74" s="545" customFormat="1" ht="15.75" x14ac:dyDescent="0.25">
      <c r="B221" s="1579"/>
      <c r="C221" s="1097"/>
      <c r="D221" s="1145" t="s">
        <v>145</v>
      </c>
      <c r="E221" s="1147" t="str">
        <f t="shared" ref="E221" si="39">IF(Z221="","",IF(OR(AND(OR(G221="Y",G221="?"),_00_apply="Yes"),AND(OR(I221="Y",I221="?"),_01_apply="Yes"),AND(OR(K221="Y",K221="?"),_02_apply="Yes"),AND(OR(M221="Y",M221="?"),_03_apply="Yes"),AND(OR(O221="Y",O221="?"),_04_apply="Yes"),AND(OR(Q221="Y",Q221="?"),_05_apply="Yes"),AND(OR(S221="?",S221="Y"),_06_apply="Yes"),AND(OR(U221="?",U221="Y"),_07_apply="Yes"),AND(OR(W221="Y",W221="?"),_08_apply="Yes")),"","N"))</f>
        <v/>
      </c>
      <c r="F221" s="1124"/>
      <c r="G221" s="1703" t="s">
        <v>38</v>
      </c>
      <c r="H221" s="1704" t="s">
        <v>38</v>
      </c>
      <c r="I221" s="1703" t="s">
        <v>37</v>
      </c>
      <c r="J221" s="1705" t="s">
        <v>38</v>
      </c>
      <c r="K221" s="1703" t="s">
        <v>37</v>
      </c>
      <c r="L221" s="1704" t="s">
        <v>37</v>
      </c>
      <c r="M221" s="1703" t="s">
        <v>37</v>
      </c>
      <c r="N221" s="1704" t="s">
        <v>37</v>
      </c>
      <c r="O221" s="1703" t="s">
        <v>37</v>
      </c>
      <c r="P221" s="1706" t="s">
        <v>37</v>
      </c>
      <c r="Q221" s="1707" t="s">
        <v>37</v>
      </c>
      <c r="R221" s="1704" t="s">
        <v>37</v>
      </c>
      <c r="S221" s="1703" t="s">
        <v>37</v>
      </c>
      <c r="T221" s="1705" t="s">
        <v>37</v>
      </c>
      <c r="U221" s="1703" t="s">
        <v>37</v>
      </c>
      <c r="V221" s="1704" t="s">
        <v>37</v>
      </c>
      <c r="W221" s="1703" t="s">
        <v>38</v>
      </c>
      <c r="X221" s="1705" t="s">
        <v>38</v>
      </c>
      <c r="Y221" s="748"/>
      <c r="Z221" s="590" t="s">
        <v>1011</v>
      </c>
      <c r="AA221" s="1004" t="s">
        <v>37</v>
      </c>
      <c r="AB221" s="1913"/>
      <c r="AC221" s="1125"/>
      <c r="AD221" s="1240" t="s">
        <v>387</v>
      </c>
      <c r="AE221" s="1239" t="s">
        <v>800</v>
      </c>
      <c r="AF221" s="1239" t="s">
        <v>388</v>
      </c>
      <c r="AG221" s="1239" t="s">
        <v>390</v>
      </c>
      <c r="AH221" s="1783" t="s">
        <v>391</v>
      </c>
      <c r="AI221" s="1765" t="s">
        <v>391</v>
      </c>
      <c r="AJ221" s="1239" t="s">
        <v>391</v>
      </c>
      <c r="AK221" s="1239" t="s">
        <v>794</v>
      </c>
      <c r="AL221" s="1095"/>
      <c r="AM221" s="1095"/>
      <c r="AN221" s="1095"/>
      <c r="AO221" s="1095"/>
      <c r="AP221" s="1095"/>
      <c r="AQ221" s="1106"/>
      <c r="AR221" s="1097"/>
      <c r="AS221" s="1097"/>
      <c r="AT221" s="551"/>
      <c r="AU221" s="551"/>
      <c r="AV221" s="551"/>
      <c r="AW221" s="551"/>
      <c r="AX221" s="551"/>
      <c r="AY221" s="551"/>
      <c r="AZ221" s="551"/>
      <c r="BA221" s="551"/>
      <c r="BB221" s="551"/>
      <c r="BC221" s="551"/>
      <c r="BD221" s="551"/>
      <c r="BE221" s="551"/>
      <c r="BF221" s="551"/>
      <c r="BG221" s="551"/>
      <c r="BH221" s="551"/>
      <c r="BI221" s="551"/>
      <c r="BJ221" s="551"/>
      <c r="BK221" s="551"/>
      <c r="BL221" s="551"/>
      <c r="BM221" s="551"/>
      <c r="BN221" s="551"/>
      <c r="BO221" s="551"/>
      <c r="BP221" s="551"/>
      <c r="BQ221" s="551"/>
      <c r="BR221" s="551"/>
      <c r="BS221" s="551"/>
      <c r="BT221" s="551"/>
      <c r="BU221" s="551"/>
      <c r="BV221" s="551"/>
    </row>
    <row r="222" spans="1:74" s="181" customFormat="1" ht="15.75" x14ac:dyDescent="0.25">
      <c r="A222" s="551"/>
      <c r="B222" s="1578"/>
      <c r="C222" s="1110"/>
      <c r="D222" s="1145" t="s">
        <v>145</v>
      </c>
      <c r="E222" s="1147" t="str">
        <f t="shared" si="35"/>
        <v/>
      </c>
      <c r="F222" s="1166"/>
      <c r="G222" s="1703" t="s">
        <v>38</v>
      </c>
      <c r="H222" s="1704" t="s">
        <v>38</v>
      </c>
      <c r="I222" s="1703" t="s">
        <v>37</v>
      </c>
      <c r="J222" s="1705" t="s">
        <v>37</v>
      </c>
      <c r="K222" s="1703" t="s">
        <v>37</v>
      </c>
      <c r="L222" s="1704" t="str">
        <f t="shared" ref="L222:L227" si="40">IF(L211="No","N","Y")</f>
        <v>Y</v>
      </c>
      <c r="M222" s="1703" t="s">
        <v>37</v>
      </c>
      <c r="N222" s="1704" t="s">
        <v>37</v>
      </c>
      <c r="O222" s="1703" t="s">
        <v>37</v>
      </c>
      <c r="P222" s="1706" t="s">
        <v>37</v>
      </c>
      <c r="Q222" s="1707" t="s">
        <v>37</v>
      </c>
      <c r="R222" s="1704" t="s">
        <v>37</v>
      </c>
      <c r="S222" s="1703" t="s">
        <v>37</v>
      </c>
      <c r="T222" s="1705" t="s">
        <v>37</v>
      </c>
      <c r="U222" s="1703" t="s">
        <v>37</v>
      </c>
      <c r="V222" s="1704" t="s">
        <v>37</v>
      </c>
      <c r="W222" s="1703" t="s">
        <v>38</v>
      </c>
      <c r="X222" s="1705" t="s">
        <v>38</v>
      </c>
      <c r="Y222" s="431"/>
      <c r="Z222" s="590" t="s">
        <v>397</v>
      </c>
      <c r="AA222" s="972" t="s">
        <v>37</v>
      </c>
      <c r="AB222" s="1913"/>
      <c r="AC222" s="1153"/>
      <c r="AD222" s="1240" t="s">
        <v>387</v>
      </c>
      <c r="AE222" s="1239" t="s">
        <v>388</v>
      </c>
      <c r="AF222" s="1239" t="s">
        <v>390</v>
      </c>
      <c r="AG222" s="1239" t="s">
        <v>391</v>
      </c>
      <c r="AH222" s="1783" t="s">
        <v>391</v>
      </c>
      <c r="AI222" s="1765" t="s">
        <v>391</v>
      </c>
      <c r="AJ222" s="1239" t="s">
        <v>391</v>
      </c>
      <c r="AK222" s="1239" t="s">
        <v>794</v>
      </c>
      <c r="AL222" s="1095"/>
      <c r="AM222" s="1095"/>
      <c r="AN222" s="1095"/>
      <c r="AO222" s="1095"/>
      <c r="AP222" s="1095"/>
      <c r="AQ222" s="1106"/>
      <c r="AR222" s="1097"/>
      <c r="AS222" s="1110"/>
    </row>
    <row r="223" spans="1:74" s="181" customFormat="1" ht="15.75" x14ac:dyDescent="0.25">
      <c r="A223" s="551"/>
      <c r="B223" s="1578"/>
      <c r="C223" s="1110"/>
      <c r="D223" s="1145" t="s">
        <v>145</v>
      </c>
      <c r="E223" s="1147" t="str">
        <f t="shared" si="35"/>
        <v/>
      </c>
      <c r="F223" s="1166"/>
      <c r="G223" s="1703" t="s">
        <v>38</v>
      </c>
      <c r="H223" s="1704" t="s">
        <v>38</v>
      </c>
      <c r="I223" s="1703" t="s">
        <v>37</v>
      </c>
      <c r="J223" s="1705" t="s">
        <v>37</v>
      </c>
      <c r="K223" s="1703" t="s">
        <v>37</v>
      </c>
      <c r="L223" s="1704" t="str">
        <f t="shared" si="40"/>
        <v>Y</v>
      </c>
      <c r="M223" s="1703" t="s">
        <v>37</v>
      </c>
      <c r="N223" s="1704" t="s">
        <v>37</v>
      </c>
      <c r="O223" s="1703" t="s">
        <v>37</v>
      </c>
      <c r="P223" s="1706" t="s">
        <v>37</v>
      </c>
      <c r="Q223" s="1707" t="s">
        <v>37</v>
      </c>
      <c r="R223" s="1704" t="s">
        <v>37</v>
      </c>
      <c r="S223" s="1703" t="s">
        <v>37</v>
      </c>
      <c r="T223" s="1705" t="s">
        <v>37</v>
      </c>
      <c r="U223" s="1703" t="s">
        <v>37</v>
      </c>
      <c r="V223" s="1704" t="s">
        <v>37</v>
      </c>
      <c r="W223" s="1703" t="s">
        <v>38</v>
      </c>
      <c r="X223" s="1705" t="s">
        <v>38</v>
      </c>
      <c r="Y223" s="431"/>
      <c r="Z223" s="590" t="s">
        <v>569</v>
      </c>
      <c r="AA223" s="972" t="s">
        <v>37</v>
      </c>
      <c r="AB223" s="1913"/>
      <c r="AC223" s="1153"/>
      <c r="AD223" s="1240" t="s">
        <v>387</v>
      </c>
      <c r="AE223" s="1239" t="s">
        <v>387</v>
      </c>
      <c r="AF223" s="1239" t="s">
        <v>388</v>
      </c>
      <c r="AG223" s="1239" t="s">
        <v>390</v>
      </c>
      <c r="AH223" s="1783" t="s">
        <v>391</v>
      </c>
      <c r="AI223" s="1765" t="s">
        <v>391</v>
      </c>
      <c r="AJ223" s="1239" t="s">
        <v>391</v>
      </c>
      <c r="AK223" s="1239" t="s">
        <v>794</v>
      </c>
      <c r="AL223" s="1095"/>
      <c r="AM223" s="1095"/>
      <c r="AN223" s="1095"/>
      <c r="AO223" s="1095"/>
      <c r="AP223" s="1095"/>
      <c r="AQ223" s="1106"/>
      <c r="AR223" s="1097"/>
      <c r="AS223" s="1110"/>
    </row>
    <row r="224" spans="1:74" s="181" customFormat="1" ht="15.75" x14ac:dyDescent="0.25">
      <c r="A224" s="551"/>
      <c r="B224" s="1578"/>
      <c r="C224" s="1110"/>
      <c r="D224" s="1145" t="s">
        <v>145</v>
      </c>
      <c r="E224" s="1147" t="str">
        <f>IF(Z224="","",IF(OR(AND(OR(G224="Y",G224="?"),_00_apply="Yes"),AND(OR(I224="Y",I224="?"),_01_apply="Yes"),AND(OR(K224="Y",K224="?"),_02_apply="Yes"),AND(OR(M224="Y",M224="?"),_03_apply="Yes"),AND(OR(O224="Y",O224="?"),_04_apply="Yes"),AND(OR(Q224="Y",Q224="?"),_05_apply="Yes"),AND(OR(S224="?",S224="Y"),_06_apply="Yes"),AND(OR(U224="?",U224="Y"),_07_apply="Yes"),AND(OR(W224="Y",W224="?"),_08_apply="Yes")),"","N"))</f>
        <v/>
      </c>
      <c r="F224" s="1166"/>
      <c r="G224" s="1703" t="s">
        <v>38</v>
      </c>
      <c r="H224" s="1704" t="s">
        <v>38</v>
      </c>
      <c r="I224" s="1703" t="s">
        <v>37</v>
      </c>
      <c r="J224" s="1705" t="s">
        <v>37</v>
      </c>
      <c r="K224" s="1703" t="s">
        <v>37</v>
      </c>
      <c r="L224" s="1704" t="str">
        <f t="shared" si="40"/>
        <v>Y</v>
      </c>
      <c r="M224" s="1703" t="s">
        <v>37</v>
      </c>
      <c r="N224" s="1704" t="s">
        <v>37</v>
      </c>
      <c r="O224" s="1703" t="s">
        <v>37</v>
      </c>
      <c r="P224" s="1706" t="s">
        <v>37</v>
      </c>
      <c r="Q224" s="1707" t="s">
        <v>37</v>
      </c>
      <c r="R224" s="1704" t="s">
        <v>37</v>
      </c>
      <c r="S224" s="1703" t="s">
        <v>37</v>
      </c>
      <c r="T224" s="1705" t="s">
        <v>37</v>
      </c>
      <c r="U224" s="1703" t="s">
        <v>37</v>
      </c>
      <c r="V224" s="1704" t="s">
        <v>37</v>
      </c>
      <c r="W224" s="1703" t="s">
        <v>38</v>
      </c>
      <c r="X224" s="1705" t="s">
        <v>38</v>
      </c>
      <c r="Y224" s="431"/>
      <c r="Z224" s="590" t="s">
        <v>399</v>
      </c>
      <c r="AA224" s="972" t="s">
        <v>37</v>
      </c>
      <c r="AB224" s="1913"/>
      <c r="AC224" s="1219"/>
      <c r="AD224" s="1240" t="s">
        <v>387</v>
      </c>
      <c r="AE224" s="1239" t="s">
        <v>388</v>
      </c>
      <c r="AF224" s="1239" t="s">
        <v>390</v>
      </c>
      <c r="AG224" s="1239" t="s">
        <v>391</v>
      </c>
      <c r="AH224" s="1783" t="s">
        <v>391</v>
      </c>
      <c r="AI224" s="1765" t="s">
        <v>391</v>
      </c>
      <c r="AJ224" s="1239" t="s">
        <v>391</v>
      </c>
      <c r="AK224" s="1239" t="s">
        <v>794</v>
      </c>
      <c r="AL224" s="1095"/>
      <c r="AM224" s="1095"/>
      <c r="AN224" s="1095"/>
      <c r="AO224" s="1095"/>
      <c r="AP224" s="1095"/>
      <c r="AQ224" s="1106"/>
      <c r="AR224" s="1097"/>
      <c r="AS224" s="1110"/>
    </row>
    <row r="225" spans="1:74" s="181" customFormat="1" ht="15.75" x14ac:dyDescent="0.25">
      <c r="A225" s="551"/>
      <c r="B225" s="1578"/>
      <c r="C225" s="1110"/>
      <c r="D225" s="1145" t="s">
        <v>145</v>
      </c>
      <c r="E225" s="1147" t="str">
        <f t="shared" si="35"/>
        <v/>
      </c>
      <c r="F225" s="1166"/>
      <c r="G225" s="1703" t="s">
        <v>38</v>
      </c>
      <c r="H225" s="1704" t="s">
        <v>38</v>
      </c>
      <c r="I225" s="1703" t="s">
        <v>37</v>
      </c>
      <c r="J225" s="1705" t="s">
        <v>37</v>
      </c>
      <c r="K225" s="1703" t="s">
        <v>37</v>
      </c>
      <c r="L225" s="1704" t="str">
        <f t="shared" si="40"/>
        <v>Y</v>
      </c>
      <c r="M225" s="1703" t="s">
        <v>37</v>
      </c>
      <c r="N225" s="1704" t="s">
        <v>37</v>
      </c>
      <c r="O225" s="1703" t="s">
        <v>37</v>
      </c>
      <c r="P225" s="1706" t="s">
        <v>37</v>
      </c>
      <c r="Q225" s="1707" t="s">
        <v>37</v>
      </c>
      <c r="R225" s="1704" t="s">
        <v>37</v>
      </c>
      <c r="S225" s="1703" t="s">
        <v>37</v>
      </c>
      <c r="T225" s="1705" t="s">
        <v>37</v>
      </c>
      <c r="U225" s="1703" t="s">
        <v>37</v>
      </c>
      <c r="V225" s="1704" t="s">
        <v>37</v>
      </c>
      <c r="W225" s="1703" t="s">
        <v>38</v>
      </c>
      <c r="X225" s="1705" t="s">
        <v>38</v>
      </c>
      <c r="Y225" s="431"/>
      <c r="Z225" s="590" t="s">
        <v>575</v>
      </c>
      <c r="AA225" s="972" t="s">
        <v>37</v>
      </c>
      <c r="AB225" s="1913"/>
      <c r="AC225" s="1153"/>
      <c r="AD225" s="1240" t="s">
        <v>387</v>
      </c>
      <c r="AE225" s="1239" t="s">
        <v>387</v>
      </c>
      <c r="AF225" s="1239" t="s">
        <v>388</v>
      </c>
      <c r="AG225" s="1239" t="s">
        <v>390</v>
      </c>
      <c r="AH225" s="1783" t="s">
        <v>391</v>
      </c>
      <c r="AI225" s="1765" t="s">
        <v>391</v>
      </c>
      <c r="AJ225" s="1239" t="s">
        <v>391</v>
      </c>
      <c r="AK225" s="1239" t="s">
        <v>794</v>
      </c>
      <c r="AL225" s="1095"/>
      <c r="AM225" s="1095"/>
      <c r="AN225" s="1095"/>
      <c r="AO225" s="1095"/>
      <c r="AP225" s="1095"/>
      <c r="AQ225" s="1106"/>
      <c r="AR225" s="1097"/>
      <c r="AS225" s="1110"/>
    </row>
    <row r="226" spans="1:74" s="181" customFormat="1" ht="15.75" x14ac:dyDescent="0.25">
      <c r="A226" s="551"/>
      <c r="B226" s="1578"/>
      <c r="C226" s="1110"/>
      <c r="D226" s="1145" t="s">
        <v>145</v>
      </c>
      <c r="E226" s="1147" t="str">
        <f t="shared" si="35"/>
        <v/>
      </c>
      <c r="F226" s="1166"/>
      <c r="G226" s="1703" t="s">
        <v>38</v>
      </c>
      <c r="H226" s="1704" t="s">
        <v>38</v>
      </c>
      <c r="I226" s="1703" t="s">
        <v>38</v>
      </c>
      <c r="J226" s="1705" t="s">
        <v>38</v>
      </c>
      <c r="K226" s="1703" t="s">
        <v>37</v>
      </c>
      <c r="L226" s="1704" t="str">
        <f t="shared" si="40"/>
        <v>Y</v>
      </c>
      <c r="M226" s="1703" t="s">
        <v>37</v>
      </c>
      <c r="N226" s="1704" t="s">
        <v>37</v>
      </c>
      <c r="O226" s="1703" t="s">
        <v>37</v>
      </c>
      <c r="P226" s="1706" t="s">
        <v>37</v>
      </c>
      <c r="Q226" s="1707" t="s">
        <v>37</v>
      </c>
      <c r="R226" s="1704" t="s">
        <v>37</v>
      </c>
      <c r="S226" s="1703" t="s">
        <v>37</v>
      </c>
      <c r="T226" s="1705" t="s">
        <v>37</v>
      </c>
      <c r="U226" s="1703" t="s">
        <v>37</v>
      </c>
      <c r="V226" s="1704" t="s">
        <v>37</v>
      </c>
      <c r="W226" s="1703" t="s">
        <v>38</v>
      </c>
      <c r="X226" s="1705" t="s">
        <v>38</v>
      </c>
      <c r="Y226" s="431"/>
      <c r="Z226" s="590" t="s">
        <v>398</v>
      </c>
      <c r="AA226" s="972" t="s">
        <v>37</v>
      </c>
      <c r="AB226" s="1913"/>
      <c r="AC226" s="1153"/>
      <c r="AD226" s="1240" t="s">
        <v>387</v>
      </c>
      <c r="AE226" s="1239" t="s">
        <v>387</v>
      </c>
      <c r="AF226" s="1239" t="s">
        <v>388</v>
      </c>
      <c r="AG226" s="1239" t="s">
        <v>390</v>
      </c>
      <c r="AH226" s="1783" t="s">
        <v>391</v>
      </c>
      <c r="AI226" s="1765" t="s">
        <v>391</v>
      </c>
      <c r="AJ226" s="1239" t="s">
        <v>391</v>
      </c>
      <c r="AK226" s="1239" t="s">
        <v>794</v>
      </c>
      <c r="AL226" s="1095"/>
      <c r="AM226" s="1095"/>
      <c r="AN226" s="1095"/>
      <c r="AO226" s="1095"/>
      <c r="AP226" s="1095"/>
      <c r="AQ226" s="1106"/>
      <c r="AR226" s="1097"/>
      <c r="AS226" s="1110"/>
    </row>
    <row r="227" spans="1:74" s="181" customFormat="1" ht="15.75" x14ac:dyDescent="0.25">
      <c r="A227" s="551"/>
      <c r="B227" s="1578"/>
      <c r="C227" s="1110"/>
      <c r="D227" s="1145" t="s">
        <v>145</v>
      </c>
      <c r="E227" s="1147" t="str">
        <f t="shared" si="35"/>
        <v/>
      </c>
      <c r="F227" s="1166"/>
      <c r="G227" s="1703" t="s">
        <v>38</v>
      </c>
      <c r="H227" s="1704" t="s">
        <v>38</v>
      </c>
      <c r="I227" s="1703" t="s">
        <v>38</v>
      </c>
      <c r="J227" s="1705" t="s">
        <v>38</v>
      </c>
      <c r="K227" s="1703" t="s">
        <v>37</v>
      </c>
      <c r="L227" s="1704" t="str">
        <f t="shared" si="40"/>
        <v>Y</v>
      </c>
      <c r="M227" s="1703" t="s">
        <v>37</v>
      </c>
      <c r="N227" s="1704" t="s">
        <v>37</v>
      </c>
      <c r="O227" s="1703" t="s">
        <v>37</v>
      </c>
      <c r="P227" s="1706" t="s">
        <v>37</v>
      </c>
      <c r="Q227" s="1707" t="s">
        <v>37</v>
      </c>
      <c r="R227" s="1704" t="s">
        <v>37</v>
      </c>
      <c r="S227" s="1703" t="s">
        <v>37</v>
      </c>
      <c r="T227" s="1705" t="s">
        <v>37</v>
      </c>
      <c r="U227" s="1703" t="s">
        <v>37</v>
      </c>
      <c r="V227" s="1704" t="s">
        <v>37</v>
      </c>
      <c r="W227" s="1703" t="s">
        <v>38</v>
      </c>
      <c r="X227" s="1705" t="s">
        <v>38</v>
      </c>
      <c r="Y227" s="431"/>
      <c r="Z227" s="590" t="s">
        <v>400</v>
      </c>
      <c r="AA227" s="972" t="s">
        <v>37</v>
      </c>
      <c r="AB227" s="1913"/>
      <c r="AC227" s="1153"/>
      <c r="AD227" s="1240" t="s">
        <v>387</v>
      </c>
      <c r="AE227" s="1239" t="s">
        <v>387</v>
      </c>
      <c r="AF227" s="1239" t="s">
        <v>388</v>
      </c>
      <c r="AG227" s="1239" t="s">
        <v>390</v>
      </c>
      <c r="AH227" s="1783" t="s">
        <v>391</v>
      </c>
      <c r="AI227" s="1765" t="s">
        <v>391</v>
      </c>
      <c r="AJ227" s="1239" t="s">
        <v>391</v>
      </c>
      <c r="AK227" s="1239" t="s">
        <v>794</v>
      </c>
      <c r="AL227" s="1095"/>
      <c r="AM227" s="1095"/>
      <c r="AN227" s="1095"/>
      <c r="AO227" s="1095"/>
      <c r="AP227" s="1095"/>
      <c r="AQ227" s="1106"/>
      <c r="AR227" s="1097"/>
      <c r="AS227" s="1110"/>
    </row>
    <row r="228" spans="1:74" s="551" customFormat="1" ht="15.75" x14ac:dyDescent="0.25">
      <c r="B228" s="1578"/>
      <c r="C228" s="1110"/>
      <c r="D228" s="1869" t="s">
        <v>145</v>
      </c>
      <c r="E228" s="1870" t="str">
        <f t="shared" si="35"/>
        <v/>
      </c>
      <c r="F228" s="1871"/>
      <c r="G228" s="1703" t="s">
        <v>38</v>
      </c>
      <c r="H228" s="1704" t="s">
        <v>38</v>
      </c>
      <c r="I228" s="1703" t="s">
        <v>38</v>
      </c>
      <c r="J228" s="1705" t="s">
        <v>38</v>
      </c>
      <c r="K228" s="1703" t="s">
        <v>37</v>
      </c>
      <c r="L228" s="1704" t="s">
        <v>37</v>
      </c>
      <c r="M228" s="1703" t="s">
        <v>37</v>
      </c>
      <c r="N228" s="1704" t="s">
        <v>37</v>
      </c>
      <c r="O228" s="1703" t="s">
        <v>37</v>
      </c>
      <c r="P228" s="1706" t="s">
        <v>37</v>
      </c>
      <c r="Q228" s="1707" t="s">
        <v>37</v>
      </c>
      <c r="R228" s="1704" t="s">
        <v>37</v>
      </c>
      <c r="S228" s="1703" t="s">
        <v>37</v>
      </c>
      <c r="T228" s="1705" t="s">
        <v>37</v>
      </c>
      <c r="U228" s="1703" t="s">
        <v>37</v>
      </c>
      <c r="V228" s="1704" t="s">
        <v>37</v>
      </c>
      <c r="W228" s="1703" t="s">
        <v>38</v>
      </c>
      <c r="X228" s="1705"/>
      <c r="Y228" s="430"/>
      <c r="Z228" s="590" t="s">
        <v>1126</v>
      </c>
      <c r="AA228" s="1004" t="s">
        <v>37</v>
      </c>
      <c r="AB228" s="1913"/>
      <c r="AC228" s="1153"/>
      <c r="AD228" s="1240" t="s">
        <v>387</v>
      </c>
      <c r="AE228" s="1239" t="s">
        <v>387</v>
      </c>
      <c r="AF228" s="1239" t="s">
        <v>388</v>
      </c>
      <c r="AG228" s="1239" t="s">
        <v>390</v>
      </c>
      <c r="AH228" s="1783" t="s">
        <v>391</v>
      </c>
      <c r="AI228" s="1765" t="s">
        <v>391</v>
      </c>
      <c r="AJ228" s="1239" t="s">
        <v>391</v>
      </c>
      <c r="AK228" s="1239" t="s">
        <v>794</v>
      </c>
      <c r="AL228" s="1095"/>
      <c r="AM228" s="1095"/>
      <c r="AN228" s="1095"/>
      <c r="AO228" s="1095"/>
      <c r="AP228" s="1095"/>
      <c r="AQ228" s="1106"/>
      <c r="AR228" s="1097"/>
      <c r="AS228" s="1110"/>
    </row>
    <row r="229" spans="1:74" s="30" customFormat="1" ht="18.75" x14ac:dyDescent="0.25">
      <c r="A229" s="545"/>
      <c r="B229" s="1579"/>
      <c r="C229" s="1095"/>
      <c r="D229" s="1145" t="s">
        <v>145</v>
      </c>
      <c r="E229" s="1147" t="str">
        <f t="shared" si="35"/>
        <v/>
      </c>
      <c r="F229" s="1124"/>
      <c r="G229" s="1703" t="s">
        <v>38</v>
      </c>
      <c r="H229" s="1704" t="s">
        <v>38</v>
      </c>
      <c r="I229" s="1703" t="s">
        <v>38</v>
      </c>
      <c r="J229" s="1705" t="s">
        <v>38</v>
      </c>
      <c r="K229" s="1703" t="s">
        <v>38</v>
      </c>
      <c r="L229" s="1704" t="s">
        <v>38</v>
      </c>
      <c r="M229" s="1703" t="s">
        <v>37</v>
      </c>
      <c r="N229" s="1704" t="s">
        <v>37</v>
      </c>
      <c r="O229" s="1703" t="s">
        <v>37</v>
      </c>
      <c r="P229" s="1706" t="s">
        <v>37</v>
      </c>
      <c r="Q229" s="1707" t="s">
        <v>37</v>
      </c>
      <c r="R229" s="1704" t="s">
        <v>37</v>
      </c>
      <c r="S229" s="1703" t="s">
        <v>37</v>
      </c>
      <c r="T229" s="1705" t="s">
        <v>37</v>
      </c>
      <c r="U229" s="1703" t="s">
        <v>37</v>
      </c>
      <c r="V229" s="1704" t="s">
        <v>37</v>
      </c>
      <c r="W229" s="1703" t="s">
        <v>38</v>
      </c>
      <c r="X229" s="1705" t="s">
        <v>38</v>
      </c>
      <c r="Y229" s="428"/>
      <c r="Z229" s="590" t="s">
        <v>568</v>
      </c>
      <c r="AA229" s="972" t="s">
        <v>37</v>
      </c>
      <c r="AB229" s="1913"/>
      <c r="AC229" s="1211"/>
      <c r="AD229" s="1240" t="s">
        <v>387</v>
      </c>
      <c r="AE229" s="1239" t="s">
        <v>387</v>
      </c>
      <c r="AF229" s="1239" t="s">
        <v>387</v>
      </c>
      <c r="AG229" s="1239" t="s">
        <v>388</v>
      </c>
      <c r="AH229" s="1783" t="s">
        <v>391</v>
      </c>
      <c r="AI229" s="1765" t="s">
        <v>391</v>
      </c>
      <c r="AJ229" s="1239" t="s">
        <v>391</v>
      </c>
      <c r="AK229" s="1239" t="s">
        <v>794</v>
      </c>
      <c r="AL229" s="1095"/>
      <c r="AM229" s="1095"/>
      <c r="AN229" s="1097"/>
      <c r="AO229" s="1095"/>
      <c r="AP229" s="1095"/>
      <c r="AQ229" s="1095"/>
      <c r="AR229" s="1095"/>
      <c r="AS229" s="1095"/>
      <c r="AT229" s="181"/>
      <c r="AU229" s="181"/>
      <c r="AV229" s="181"/>
      <c r="AW229" s="181"/>
      <c r="AX229" s="181"/>
      <c r="AY229" s="181"/>
      <c r="AZ229" s="181"/>
      <c r="BA229" s="181"/>
      <c r="BB229" s="181"/>
      <c r="BC229" s="181"/>
      <c r="BD229" s="181"/>
      <c r="BE229" s="181"/>
      <c r="BF229" s="181"/>
      <c r="BG229" s="181"/>
      <c r="BH229" s="181"/>
      <c r="BI229" s="181"/>
      <c r="BJ229" s="181"/>
      <c r="BK229" s="181"/>
      <c r="BL229" s="181"/>
      <c r="BM229" s="181"/>
      <c r="BN229" s="181"/>
      <c r="BO229" s="181"/>
      <c r="BP229" s="181"/>
      <c r="BQ229" s="181"/>
      <c r="BR229" s="181"/>
      <c r="BS229" s="181"/>
      <c r="BT229" s="181"/>
      <c r="BU229" s="181"/>
      <c r="BV229" s="181"/>
    </row>
    <row r="230" spans="1:74" s="181" customFormat="1" ht="15.75" x14ac:dyDescent="0.25">
      <c r="A230" s="551"/>
      <c r="B230" s="1578"/>
      <c r="C230" s="1110"/>
      <c r="D230" s="1145" t="s">
        <v>145</v>
      </c>
      <c r="E230" s="1147" t="str">
        <f t="shared" si="35"/>
        <v/>
      </c>
      <c r="F230" s="1166"/>
      <c r="G230" s="1703" t="s">
        <v>38</v>
      </c>
      <c r="H230" s="1704" t="s">
        <v>38</v>
      </c>
      <c r="I230" s="1703" t="s">
        <v>37</v>
      </c>
      <c r="J230" s="1705" t="s">
        <v>37</v>
      </c>
      <c r="K230" s="1703" t="s">
        <v>37</v>
      </c>
      <c r="L230" s="1704" t="str">
        <f>IF(L218="No","N","Y")</f>
        <v>Y</v>
      </c>
      <c r="M230" s="1703" t="s">
        <v>37</v>
      </c>
      <c r="N230" s="1704" t="s">
        <v>37</v>
      </c>
      <c r="O230" s="1703" t="s">
        <v>37</v>
      </c>
      <c r="P230" s="1706" t="s">
        <v>37</v>
      </c>
      <c r="Q230" s="1707" t="s">
        <v>37</v>
      </c>
      <c r="R230" s="1704" t="s">
        <v>37</v>
      </c>
      <c r="S230" s="1703" t="s">
        <v>37</v>
      </c>
      <c r="T230" s="1705" t="s">
        <v>37</v>
      </c>
      <c r="U230" s="1703" t="s">
        <v>37</v>
      </c>
      <c r="V230" s="1704" t="s">
        <v>37</v>
      </c>
      <c r="W230" s="1703" t="s">
        <v>38</v>
      </c>
      <c r="X230" s="1705" t="s">
        <v>38</v>
      </c>
      <c r="Y230" s="431"/>
      <c r="Z230" s="590" t="s">
        <v>401</v>
      </c>
      <c r="AA230" s="972" t="s">
        <v>37</v>
      </c>
      <c r="AB230" s="1913"/>
      <c r="AC230" s="1153"/>
      <c r="AD230" s="1240" t="s">
        <v>387</v>
      </c>
      <c r="AE230" s="1239" t="s">
        <v>387</v>
      </c>
      <c r="AF230" s="1239" t="s">
        <v>388</v>
      </c>
      <c r="AG230" s="1239" t="s">
        <v>390</v>
      </c>
      <c r="AH230" s="1783" t="s">
        <v>391</v>
      </c>
      <c r="AI230" s="1765" t="s">
        <v>391</v>
      </c>
      <c r="AJ230" s="1239" t="s">
        <v>391</v>
      </c>
      <c r="AK230" s="1239" t="s">
        <v>794</v>
      </c>
      <c r="AL230" s="1095"/>
      <c r="AM230" s="1095"/>
      <c r="AN230" s="1095"/>
      <c r="AO230" s="1095"/>
      <c r="AP230" s="1095"/>
      <c r="AQ230" s="1106"/>
      <c r="AR230" s="1097"/>
      <c r="AS230" s="1110"/>
    </row>
    <row r="231" spans="1:74" s="181" customFormat="1" ht="15.75" x14ac:dyDescent="0.25">
      <c r="A231" s="551"/>
      <c r="B231" s="1578"/>
      <c r="C231" s="1110"/>
      <c r="D231" s="1145" t="s">
        <v>145</v>
      </c>
      <c r="E231" s="1146" t="str">
        <f t="shared" si="35"/>
        <v/>
      </c>
      <c r="F231" s="1166"/>
      <c r="G231" s="886" t="s">
        <v>38</v>
      </c>
      <c r="H231" s="962" t="s">
        <v>38</v>
      </c>
      <c r="I231" s="886" t="s">
        <v>37</v>
      </c>
      <c r="J231" s="963" t="s">
        <v>37</v>
      </c>
      <c r="K231" s="886" t="s">
        <v>37</v>
      </c>
      <c r="L231" s="962" t="str">
        <f>IF(L219="No","N","Y")</f>
        <v>Y</v>
      </c>
      <c r="M231" s="886" t="s">
        <v>37</v>
      </c>
      <c r="N231" s="962" t="s">
        <v>37</v>
      </c>
      <c r="O231" s="886" t="s">
        <v>37</v>
      </c>
      <c r="P231" s="964" t="s">
        <v>37</v>
      </c>
      <c r="Q231" s="985" t="s">
        <v>37</v>
      </c>
      <c r="R231" s="962" t="s">
        <v>37</v>
      </c>
      <c r="S231" s="886" t="s">
        <v>37</v>
      </c>
      <c r="T231" s="963" t="s">
        <v>37</v>
      </c>
      <c r="U231" s="886" t="s">
        <v>37</v>
      </c>
      <c r="V231" s="962" t="s">
        <v>37</v>
      </c>
      <c r="W231" s="886" t="s">
        <v>38</v>
      </c>
      <c r="X231" s="963" t="s">
        <v>38</v>
      </c>
      <c r="Y231" s="431"/>
      <c r="Z231" s="591" t="s">
        <v>84</v>
      </c>
      <c r="AA231" s="972" t="s">
        <v>37</v>
      </c>
      <c r="AB231" s="1923"/>
      <c r="AC231" s="1218"/>
      <c r="AD231" s="1261"/>
      <c r="AE231" s="1249"/>
      <c r="AF231" s="1249"/>
      <c r="AG231" s="1262" t="s">
        <v>600</v>
      </c>
      <c r="AH231" s="1791" t="s">
        <v>600</v>
      </c>
      <c r="AI231" s="1772" t="s">
        <v>600</v>
      </c>
      <c r="AJ231" s="1262" t="s">
        <v>600</v>
      </c>
      <c r="AK231" s="1263" t="s">
        <v>794</v>
      </c>
      <c r="AL231" s="1095"/>
      <c r="AM231" s="1095"/>
      <c r="AN231" s="1095"/>
      <c r="AO231" s="1095"/>
      <c r="AP231" s="1095"/>
      <c r="AQ231" s="1097"/>
      <c r="AR231" s="1112"/>
      <c r="AS231" s="1110"/>
    </row>
    <row r="232" spans="1:74" s="181" customFormat="1" ht="15.75" x14ac:dyDescent="0.25">
      <c r="A232" s="551"/>
      <c r="B232" s="1578"/>
      <c r="C232" s="1110"/>
      <c r="D232" s="1145" t="s">
        <v>145</v>
      </c>
      <c r="E232" s="1147" t="str">
        <f t="shared" si="35"/>
        <v/>
      </c>
      <c r="F232" s="1166"/>
      <c r="G232" s="1703" t="s">
        <v>38</v>
      </c>
      <c r="H232" s="1704" t="s">
        <v>38</v>
      </c>
      <c r="I232" s="1703" t="s">
        <v>38</v>
      </c>
      <c r="J232" s="1705" t="s">
        <v>38</v>
      </c>
      <c r="K232" s="1703" t="s">
        <v>38</v>
      </c>
      <c r="L232" s="1704" t="s">
        <v>38</v>
      </c>
      <c r="M232" s="1703" t="s">
        <v>21</v>
      </c>
      <c r="N232" s="1704" t="s">
        <v>21</v>
      </c>
      <c r="O232" s="1703" t="s">
        <v>21</v>
      </c>
      <c r="P232" s="1706" t="s">
        <v>21</v>
      </c>
      <c r="Q232" s="1707" t="s">
        <v>21</v>
      </c>
      <c r="R232" s="1704" t="s">
        <v>21</v>
      </c>
      <c r="S232" s="1703" t="s">
        <v>21</v>
      </c>
      <c r="T232" s="1705" t="s">
        <v>21</v>
      </c>
      <c r="U232" s="1703" t="s">
        <v>21</v>
      </c>
      <c r="V232" s="1704" t="s">
        <v>38</v>
      </c>
      <c r="W232" s="1703" t="s">
        <v>38</v>
      </c>
      <c r="X232" s="1705" t="s">
        <v>38</v>
      </c>
      <c r="Y232" s="431"/>
      <c r="Z232" s="888" t="s">
        <v>469</v>
      </c>
      <c r="AA232" s="972" t="s">
        <v>38</v>
      </c>
      <c r="AB232" s="1913"/>
      <c r="AC232" s="1153"/>
      <c r="AD232" s="1240" t="s">
        <v>387</v>
      </c>
      <c r="AE232" s="1239" t="s">
        <v>387</v>
      </c>
      <c r="AF232" s="1239" t="s">
        <v>388</v>
      </c>
      <c r="AG232" s="1239" t="s">
        <v>390</v>
      </c>
      <c r="AH232" s="1783" t="s">
        <v>391</v>
      </c>
      <c r="AI232" s="1765" t="s">
        <v>391</v>
      </c>
      <c r="AJ232" s="1239" t="s">
        <v>391</v>
      </c>
      <c r="AK232" s="1239" t="s">
        <v>794</v>
      </c>
      <c r="AL232" s="1095"/>
      <c r="AM232" s="1095"/>
      <c r="AN232" s="1095"/>
      <c r="AO232" s="1095"/>
      <c r="AP232" s="1095"/>
      <c r="AQ232" s="1106"/>
      <c r="AR232" s="1097"/>
      <c r="AS232" s="1110"/>
    </row>
    <row r="233" spans="1:74" s="181" customFormat="1" ht="15.75" x14ac:dyDescent="0.25">
      <c r="A233" s="551"/>
      <c r="B233" s="1578"/>
      <c r="C233" s="1110"/>
      <c r="D233" s="1145" t="s">
        <v>145</v>
      </c>
      <c r="E233" s="1147" t="str">
        <f t="shared" si="35"/>
        <v/>
      </c>
      <c r="F233" s="1166"/>
      <c r="G233" s="1703" t="s">
        <v>38</v>
      </c>
      <c r="H233" s="1704" t="s">
        <v>38</v>
      </c>
      <c r="I233" s="1703" t="s">
        <v>38</v>
      </c>
      <c r="J233" s="1705" t="s">
        <v>38</v>
      </c>
      <c r="K233" s="1703" t="s">
        <v>38</v>
      </c>
      <c r="L233" s="1704" t="s">
        <v>38</v>
      </c>
      <c r="M233" s="1703" t="s">
        <v>21</v>
      </c>
      <c r="N233" s="1704" t="s">
        <v>21</v>
      </c>
      <c r="O233" s="1703" t="s">
        <v>21</v>
      </c>
      <c r="P233" s="1706" t="s">
        <v>21</v>
      </c>
      <c r="Q233" s="1707" t="s">
        <v>21</v>
      </c>
      <c r="R233" s="1704" t="s">
        <v>21</v>
      </c>
      <c r="S233" s="1703" t="s">
        <v>21</v>
      </c>
      <c r="T233" s="1705" t="s">
        <v>21</v>
      </c>
      <c r="U233" s="1703" t="s">
        <v>21</v>
      </c>
      <c r="V233" s="1704" t="s">
        <v>38</v>
      </c>
      <c r="W233" s="1703" t="s">
        <v>38</v>
      </c>
      <c r="X233" s="1705" t="s">
        <v>38</v>
      </c>
      <c r="Y233" s="431"/>
      <c r="Z233" s="888" t="s">
        <v>469</v>
      </c>
      <c r="AA233" s="972" t="s">
        <v>38</v>
      </c>
      <c r="AB233" s="1913"/>
      <c r="AC233" s="1153"/>
      <c r="AD233" s="1240" t="s">
        <v>387</v>
      </c>
      <c r="AE233" s="1239" t="s">
        <v>387</v>
      </c>
      <c r="AF233" s="1239" t="s">
        <v>388</v>
      </c>
      <c r="AG233" s="1239" t="s">
        <v>390</v>
      </c>
      <c r="AH233" s="1783" t="s">
        <v>391</v>
      </c>
      <c r="AI233" s="1765" t="s">
        <v>391</v>
      </c>
      <c r="AJ233" s="1239" t="s">
        <v>391</v>
      </c>
      <c r="AK233" s="1239" t="s">
        <v>794</v>
      </c>
      <c r="AL233" s="1095"/>
      <c r="AM233" s="1095"/>
      <c r="AN233" s="1095"/>
      <c r="AO233" s="1095"/>
      <c r="AP233" s="1095"/>
      <c r="AQ233" s="1106"/>
      <c r="AR233" s="1097"/>
      <c r="AS233" s="1110"/>
    </row>
    <row r="234" spans="1:74" s="545" customFormat="1" ht="15.75" x14ac:dyDescent="0.25">
      <c r="B234" s="1579"/>
      <c r="C234" s="1097"/>
      <c r="D234" s="1145" t="s">
        <v>145</v>
      </c>
      <c r="E234" s="1147" t="str">
        <f t="shared" si="35"/>
        <v/>
      </c>
      <c r="F234" s="1124"/>
      <c r="G234" s="1703" t="s">
        <v>38</v>
      </c>
      <c r="H234" s="1704" t="s">
        <v>38</v>
      </c>
      <c r="I234" s="1703" t="s">
        <v>37</v>
      </c>
      <c r="J234" s="1705" t="s">
        <v>38</v>
      </c>
      <c r="K234" s="1703" t="s">
        <v>37</v>
      </c>
      <c r="L234" s="1704" t="str">
        <f t="shared" ref="L234" si="41">IF(L222="No","N","Y")</f>
        <v>Y</v>
      </c>
      <c r="M234" s="1703" t="s">
        <v>37</v>
      </c>
      <c r="N234" s="1704" t="s">
        <v>37</v>
      </c>
      <c r="O234" s="1703" t="s">
        <v>37</v>
      </c>
      <c r="P234" s="1706" t="s">
        <v>37</v>
      </c>
      <c r="Q234" s="1707" t="s">
        <v>37</v>
      </c>
      <c r="R234" s="1704" t="s">
        <v>37</v>
      </c>
      <c r="S234" s="1703" t="s">
        <v>37</v>
      </c>
      <c r="T234" s="1705" t="s">
        <v>37</v>
      </c>
      <c r="U234" s="1703" t="s">
        <v>37</v>
      </c>
      <c r="V234" s="1704" t="s">
        <v>37</v>
      </c>
      <c r="W234" s="1703" t="s">
        <v>38</v>
      </c>
      <c r="X234" s="1705" t="s">
        <v>38</v>
      </c>
      <c r="Y234" s="748"/>
      <c r="Z234" s="590" t="s">
        <v>1010</v>
      </c>
      <c r="AA234" s="1004" t="s">
        <v>37</v>
      </c>
      <c r="AB234" s="1913"/>
      <c r="AC234" s="1125"/>
      <c r="AD234" s="1240" t="s">
        <v>387</v>
      </c>
      <c r="AE234" s="1239" t="s">
        <v>800</v>
      </c>
      <c r="AF234" s="1239" t="s">
        <v>388</v>
      </c>
      <c r="AG234" s="1239" t="s">
        <v>390</v>
      </c>
      <c r="AH234" s="1783" t="s">
        <v>391</v>
      </c>
      <c r="AI234" s="1765" t="s">
        <v>391</v>
      </c>
      <c r="AJ234" s="1239" t="s">
        <v>391</v>
      </c>
      <c r="AK234" s="1239" t="s">
        <v>794</v>
      </c>
      <c r="AL234" s="1095"/>
      <c r="AM234" s="1095"/>
      <c r="AN234" s="1095"/>
      <c r="AO234" s="1095"/>
      <c r="AP234" s="1095"/>
      <c r="AQ234" s="1106"/>
      <c r="AR234" s="1097"/>
      <c r="AS234" s="1097"/>
      <c r="AT234" s="551"/>
      <c r="AU234" s="551"/>
      <c r="AV234" s="551"/>
      <c r="AW234" s="551"/>
      <c r="AX234" s="551"/>
      <c r="AY234" s="551"/>
      <c r="AZ234" s="551"/>
      <c r="BA234" s="551"/>
      <c r="BB234" s="551"/>
      <c r="BC234" s="551"/>
      <c r="BD234" s="551"/>
      <c r="BE234" s="551"/>
      <c r="BF234" s="551"/>
      <c r="BG234" s="551"/>
      <c r="BH234" s="551"/>
      <c r="BI234" s="551"/>
      <c r="BJ234" s="551"/>
      <c r="BK234" s="551"/>
      <c r="BL234" s="551"/>
      <c r="BM234" s="551"/>
      <c r="BN234" s="551"/>
      <c r="BO234" s="551"/>
      <c r="BP234" s="551"/>
      <c r="BQ234" s="551"/>
      <c r="BR234" s="551"/>
      <c r="BS234" s="551"/>
      <c r="BT234" s="551"/>
      <c r="BU234" s="551"/>
      <c r="BV234" s="551"/>
    </row>
    <row r="235" spans="1:74" s="181" customFormat="1" ht="15.75" x14ac:dyDescent="0.25">
      <c r="A235" s="551"/>
      <c r="B235" s="1578"/>
      <c r="C235" s="1110"/>
      <c r="D235" s="1145" t="s">
        <v>145</v>
      </c>
      <c r="E235" s="1147" t="str">
        <f t="shared" si="35"/>
        <v/>
      </c>
      <c r="F235" s="1166"/>
      <c r="G235" s="1703" t="s">
        <v>38</v>
      </c>
      <c r="H235" s="1704" t="s">
        <v>38</v>
      </c>
      <c r="I235" s="1703" t="s">
        <v>37</v>
      </c>
      <c r="J235" s="1705" t="s">
        <v>37</v>
      </c>
      <c r="K235" s="1703" t="s">
        <v>38</v>
      </c>
      <c r="L235" s="1704" t="s">
        <v>38</v>
      </c>
      <c r="M235" s="1703" t="s">
        <v>38</v>
      </c>
      <c r="N235" s="1704" t="s">
        <v>38</v>
      </c>
      <c r="O235" s="1703" t="s">
        <v>38</v>
      </c>
      <c r="P235" s="1706" t="s">
        <v>38</v>
      </c>
      <c r="Q235" s="1707" t="s">
        <v>38</v>
      </c>
      <c r="R235" s="1704" t="s">
        <v>38</v>
      </c>
      <c r="S235" s="1703" t="s">
        <v>38</v>
      </c>
      <c r="T235" s="1705" t="s">
        <v>38</v>
      </c>
      <c r="U235" s="1703" t="s">
        <v>38</v>
      </c>
      <c r="V235" s="1704" t="s">
        <v>37</v>
      </c>
      <c r="W235" s="1703" t="s">
        <v>38</v>
      </c>
      <c r="X235" s="1705" t="s">
        <v>38</v>
      </c>
      <c r="Y235" s="431"/>
      <c r="Z235" s="590" t="s">
        <v>402</v>
      </c>
      <c r="AA235" s="972" t="s">
        <v>37</v>
      </c>
      <c r="AB235" s="1913"/>
      <c r="AC235" s="1220"/>
      <c r="AD235" s="1240" t="s">
        <v>387</v>
      </c>
      <c r="AE235" s="1239" t="s">
        <v>800</v>
      </c>
      <c r="AF235" s="1239" t="s">
        <v>388</v>
      </c>
      <c r="AG235" s="1239" t="s">
        <v>390</v>
      </c>
      <c r="AH235" s="1783" t="s">
        <v>391</v>
      </c>
      <c r="AI235" s="1765" t="s">
        <v>391</v>
      </c>
      <c r="AJ235" s="1239" t="s">
        <v>391</v>
      </c>
      <c r="AK235" s="1239" t="s">
        <v>794</v>
      </c>
      <c r="AL235" s="1095"/>
      <c r="AM235" s="1095"/>
      <c r="AN235" s="1095"/>
      <c r="AO235" s="1095"/>
      <c r="AP235" s="1095"/>
      <c r="AQ235" s="1106"/>
      <c r="AR235" s="1097"/>
      <c r="AS235" s="1110"/>
    </row>
    <row r="236" spans="1:74" s="545" customFormat="1" ht="15.75" x14ac:dyDescent="0.25">
      <c r="B236" s="1579"/>
      <c r="C236" s="1097"/>
      <c r="D236" s="1145" t="s">
        <v>145</v>
      </c>
      <c r="E236" s="1147" t="str">
        <f t="shared" ref="E236" si="42">IF(Z236="","",IF(OR(AND(OR(G236="Y",G236="?"),_00_apply="Yes"),AND(OR(I236="Y",I236="?"),_01_apply="Yes"),AND(OR(K236="Y",K236="?"),_02_apply="Yes"),AND(OR(M236="Y",M236="?"),_03_apply="Yes"),AND(OR(O236="Y",O236="?"),_04_apply="Yes"),AND(OR(Q236="Y",Q236="?"),_05_apply="Yes"),AND(OR(S236="?",S236="Y"),_06_apply="Yes"),AND(OR(U236="?",U236="Y"),_07_apply="Yes"),AND(OR(W236="Y",W236="?"),_08_apply="Yes")),"","N"))</f>
        <v/>
      </c>
      <c r="F236" s="1124"/>
      <c r="G236" s="1703" t="s">
        <v>38</v>
      </c>
      <c r="H236" s="1704" t="s">
        <v>38</v>
      </c>
      <c r="I236" s="1703" t="s">
        <v>38</v>
      </c>
      <c r="J236" s="1705" t="s">
        <v>38</v>
      </c>
      <c r="K236" s="1703" t="s">
        <v>37</v>
      </c>
      <c r="L236" s="1704" t="str">
        <f>IF(L223="No","N","Y")</f>
        <v>Y</v>
      </c>
      <c r="M236" s="1703" t="s">
        <v>37</v>
      </c>
      <c r="N236" s="1704" t="s">
        <v>37</v>
      </c>
      <c r="O236" s="1703" t="s">
        <v>37</v>
      </c>
      <c r="P236" s="1706" t="s">
        <v>37</v>
      </c>
      <c r="Q236" s="1707" t="s">
        <v>37</v>
      </c>
      <c r="R236" s="1704" t="s">
        <v>37</v>
      </c>
      <c r="S236" s="1703" t="s">
        <v>37</v>
      </c>
      <c r="T236" s="1705" t="s">
        <v>37</v>
      </c>
      <c r="U236" s="1703" t="s">
        <v>37</v>
      </c>
      <c r="V236" s="1704" t="s">
        <v>37</v>
      </c>
      <c r="W236" s="1703" t="s">
        <v>38</v>
      </c>
      <c r="X236" s="1705" t="s">
        <v>38</v>
      </c>
      <c r="Y236" s="748"/>
      <c r="Z236" s="586" t="s">
        <v>1008</v>
      </c>
      <c r="AA236" s="1004" t="s">
        <v>37</v>
      </c>
      <c r="AB236" s="1913"/>
      <c r="AC236" s="1125"/>
      <c r="AD236" s="1240" t="s">
        <v>387</v>
      </c>
      <c r="AE236" s="1239" t="s">
        <v>800</v>
      </c>
      <c r="AF236" s="1239" t="s">
        <v>388</v>
      </c>
      <c r="AG236" s="1239" t="s">
        <v>390</v>
      </c>
      <c r="AH236" s="1783" t="s">
        <v>391</v>
      </c>
      <c r="AI236" s="1765" t="s">
        <v>391</v>
      </c>
      <c r="AJ236" s="1239" t="s">
        <v>391</v>
      </c>
      <c r="AK236" s="1239" t="s">
        <v>794</v>
      </c>
      <c r="AL236" s="1095"/>
      <c r="AM236" s="1095"/>
      <c r="AN236" s="1095"/>
      <c r="AO236" s="1095"/>
      <c r="AP236" s="1095"/>
      <c r="AQ236" s="1106"/>
      <c r="AR236" s="1097"/>
      <c r="AS236" s="1097"/>
      <c r="AT236" s="551"/>
      <c r="AU236" s="551"/>
      <c r="AV236" s="551"/>
      <c r="AW236" s="551"/>
      <c r="AX236" s="551"/>
      <c r="AY236" s="551"/>
      <c r="AZ236" s="551"/>
      <c r="BA236" s="551"/>
      <c r="BB236" s="551"/>
      <c r="BC236" s="551"/>
      <c r="BD236" s="551"/>
      <c r="BE236" s="551"/>
      <c r="BF236" s="551"/>
      <c r="BG236" s="551"/>
      <c r="BH236" s="551"/>
      <c r="BI236" s="551"/>
      <c r="BJ236" s="551"/>
      <c r="BK236" s="551"/>
      <c r="BL236" s="551"/>
      <c r="BM236" s="551"/>
      <c r="BN236" s="551"/>
      <c r="BO236" s="551"/>
      <c r="BP236" s="551"/>
      <c r="BQ236" s="551"/>
      <c r="BR236" s="551"/>
      <c r="BS236" s="551"/>
      <c r="BT236" s="551"/>
      <c r="BU236" s="551"/>
      <c r="BV236" s="551"/>
    </row>
    <row r="237" spans="1:74" s="181" customFormat="1" ht="15.75" x14ac:dyDescent="0.25">
      <c r="A237" s="551"/>
      <c r="B237" s="1578"/>
      <c r="C237" s="1110"/>
      <c r="D237" s="1145" t="s">
        <v>145</v>
      </c>
      <c r="E237" s="1147" t="str">
        <f>IF(Z237="","",IF(OR(AND(OR(G237="Y",G237="?"),_00_apply="Yes"),AND(OR(I237="Y",I237="?"),_01_apply="Yes"),AND(OR(K237="Y",K237="?"),_02_apply="Yes"),AND(OR(M237="Y",M237="?"),_03_apply="Yes"),AND(OR(O237="Y",O237="?"),_04_apply="Yes"),AND(OR(Q237="Y",Q237="?"),_05_apply="Yes"),AND(OR(S237="?",S237="Y"),_06_apply="Yes"),AND(OR(U237="?",U237="Y"),_07_apply="Yes"),AND(OR(W237="Y",W237="?"),_08_apply="Yes")),"","N"))</f>
        <v/>
      </c>
      <c r="F237" s="1166"/>
      <c r="G237" s="1703" t="s">
        <v>38</v>
      </c>
      <c r="H237" s="1704" t="s">
        <v>38</v>
      </c>
      <c r="I237" s="1703" t="s">
        <v>38</v>
      </c>
      <c r="J237" s="1705" t="s">
        <v>38</v>
      </c>
      <c r="K237" s="1703" t="s">
        <v>37</v>
      </c>
      <c r="L237" s="1704" t="str">
        <f>IF(L224="No","N","Y")</f>
        <v>Y</v>
      </c>
      <c r="M237" s="1703" t="s">
        <v>37</v>
      </c>
      <c r="N237" s="1704" t="s">
        <v>37</v>
      </c>
      <c r="O237" s="1703" t="s">
        <v>37</v>
      </c>
      <c r="P237" s="1706" t="s">
        <v>37</v>
      </c>
      <c r="Q237" s="1707" t="s">
        <v>37</v>
      </c>
      <c r="R237" s="1704" t="s">
        <v>37</v>
      </c>
      <c r="S237" s="1703" t="s">
        <v>37</v>
      </c>
      <c r="T237" s="1705" t="s">
        <v>37</v>
      </c>
      <c r="U237" s="1703" t="s">
        <v>37</v>
      </c>
      <c r="V237" s="1704" t="s">
        <v>37</v>
      </c>
      <c r="W237" s="1703" t="s">
        <v>38</v>
      </c>
      <c r="X237" s="1705" t="s">
        <v>38</v>
      </c>
      <c r="Y237" s="431"/>
      <c r="Z237" s="590" t="s">
        <v>407</v>
      </c>
      <c r="AA237" s="972" t="s">
        <v>37</v>
      </c>
      <c r="AB237" s="1913"/>
      <c r="AC237" s="1220"/>
      <c r="AD237" s="1240" t="s">
        <v>387</v>
      </c>
      <c r="AE237" s="1239" t="s">
        <v>800</v>
      </c>
      <c r="AF237" s="1239" t="s">
        <v>388</v>
      </c>
      <c r="AG237" s="1239" t="s">
        <v>390</v>
      </c>
      <c r="AH237" s="1783" t="s">
        <v>391</v>
      </c>
      <c r="AI237" s="1765" t="s">
        <v>391</v>
      </c>
      <c r="AJ237" s="1239" t="s">
        <v>391</v>
      </c>
      <c r="AK237" s="1239" t="s">
        <v>794</v>
      </c>
      <c r="AL237" s="1095"/>
      <c r="AM237" s="1095"/>
      <c r="AN237" s="1095"/>
      <c r="AO237" s="1095"/>
      <c r="AP237" s="1095"/>
      <c r="AQ237" s="1106"/>
      <c r="AR237" s="1097"/>
      <c r="AS237" s="1110"/>
    </row>
    <row r="238" spans="1:74" s="181" customFormat="1" ht="15.75" x14ac:dyDescent="0.25">
      <c r="A238" s="551"/>
      <c r="B238" s="1578"/>
      <c r="C238" s="1110"/>
      <c r="D238" s="1145" t="s">
        <v>145</v>
      </c>
      <c r="E238" s="1147" t="str">
        <f t="shared" ref="E238:E306" si="43">IF(Z238="","",IF(OR(AND(OR(G238="Y",G238="?"),_00_apply="Yes"),AND(OR(I238="Y",I238="?"),_01_apply="Yes"),AND(OR(K238="Y",K238="?"),_02_apply="Yes"),AND(OR(M238="Y",M238="?"),_03_apply="Yes"),AND(OR(O238="Y",O238="?"),_04_apply="Yes"),AND(OR(Q238="Y",Q238="?"),_05_apply="Yes"),AND(OR(S238="?",S238="Y"),_06_apply="Yes"),AND(OR(U238="?",U238="Y"),_07_apply="Yes"),AND(OR(W238="Y",W238="?"),_08_apply="Yes")),"","N"))</f>
        <v/>
      </c>
      <c r="F238" s="1166"/>
      <c r="G238" s="1703" t="s">
        <v>38</v>
      </c>
      <c r="H238" s="1704" t="s">
        <v>38</v>
      </c>
      <c r="I238" s="1703" t="s">
        <v>37</v>
      </c>
      <c r="J238" s="1705" t="s">
        <v>37</v>
      </c>
      <c r="K238" s="1703" t="s">
        <v>37</v>
      </c>
      <c r="L238" s="1704" t="str">
        <f>IF(L225="No","N","Y")</f>
        <v>Y</v>
      </c>
      <c r="M238" s="1703" t="s">
        <v>37</v>
      </c>
      <c r="N238" s="1704" t="s">
        <v>37</v>
      </c>
      <c r="O238" s="1703" t="s">
        <v>37</v>
      </c>
      <c r="P238" s="1706" t="s">
        <v>37</v>
      </c>
      <c r="Q238" s="1707" t="s">
        <v>37</v>
      </c>
      <c r="R238" s="1704" t="s">
        <v>37</v>
      </c>
      <c r="S238" s="1703" t="s">
        <v>37</v>
      </c>
      <c r="T238" s="1705" t="s">
        <v>37</v>
      </c>
      <c r="U238" s="1703" t="s">
        <v>37</v>
      </c>
      <c r="V238" s="1704" t="s">
        <v>37</v>
      </c>
      <c r="W238" s="1703" t="s">
        <v>38</v>
      </c>
      <c r="X238" s="1705" t="s">
        <v>38</v>
      </c>
      <c r="Y238" s="431"/>
      <c r="Z238" s="590" t="s">
        <v>403</v>
      </c>
      <c r="AA238" s="972" t="s">
        <v>37</v>
      </c>
      <c r="AB238" s="1913"/>
      <c r="AC238" s="1220"/>
      <c r="AD238" s="1240" t="s">
        <v>387</v>
      </c>
      <c r="AE238" s="1239" t="s">
        <v>800</v>
      </c>
      <c r="AF238" s="1239" t="s">
        <v>388</v>
      </c>
      <c r="AG238" s="1239" t="s">
        <v>390</v>
      </c>
      <c r="AH238" s="1783" t="s">
        <v>391</v>
      </c>
      <c r="AI238" s="1765" t="s">
        <v>391</v>
      </c>
      <c r="AJ238" s="1239" t="s">
        <v>391</v>
      </c>
      <c r="AK238" s="1239" t="s">
        <v>794</v>
      </c>
      <c r="AL238" s="1095"/>
      <c r="AM238" s="1095"/>
      <c r="AN238" s="1095"/>
      <c r="AO238" s="1095"/>
      <c r="AP238" s="1095"/>
      <c r="AQ238" s="1106"/>
      <c r="AR238" s="1097"/>
      <c r="AS238" s="1110"/>
    </row>
    <row r="239" spans="1:74" s="181" customFormat="1" ht="15.75" x14ac:dyDescent="0.25">
      <c r="A239" s="551"/>
      <c r="B239" s="1578"/>
      <c r="C239" s="1110"/>
      <c r="D239" s="1145" t="s">
        <v>145</v>
      </c>
      <c r="E239" s="1147" t="str">
        <f t="shared" si="43"/>
        <v/>
      </c>
      <c r="F239" s="1166"/>
      <c r="G239" s="1703" t="s">
        <v>38</v>
      </c>
      <c r="H239" s="1704" t="s">
        <v>38</v>
      </c>
      <c r="I239" s="1703" t="s">
        <v>37</v>
      </c>
      <c r="J239" s="1705" t="s">
        <v>37</v>
      </c>
      <c r="K239" s="1703" t="s">
        <v>37</v>
      </c>
      <c r="L239" s="1704" t="str">
        <f>IF(L226="No","N","Y")</f>
        <v>Y</v>
      </c>
      <c r="M239" s="1703" t="s">
        <v>37</v>
      </c>
      <c r="N239" s="1704" t="s">
        <v>37</v>
      </c>
      <c r="O239" s="1703" t="s">
        <v>37</v>
      </c>
      <c r="P239" s="1706" t="s">
        <v>37</v>
      </c>
      <c r="Q239" s="1707" t="s">
        <v>37</v>
      </c>
      <c r="R239" s="1704" t="s">
        <v>37</v>
      </c>
      <c r="S239" s="1703" t="s">
        <v>37</v>
      </c>
      <c r="T239" s="1705" t="s">
        <v>37</v>
      </c>
      <c r="U239" s="1703" t="s">
        <v>37</v>
      </c>
      <c r="V239" s="1704" t="s">
        <v>37</v>
      </c>
      <c r="W239" s="1703" t="s">
        <v>38</v>
      </c>
      <c r="X239" s="1705" t="s">
        <v>38</v>
      </c>
      <c r="Y239" s="431"/>
      <c r="Z239" s="590" t="s">
        <v>404</v>
      </c>
      <c r="AA239" s="972" t="s">
        <v>37</v>
      </c>
      <c r="AB239" s="1913"/>
      <c r="AC239" s="1220"/>
      <c r="AD239" s="1240" t="s">
        <v>387</v>
      </c>
      <c r="AE239" s="1239" t="s">
        <v>800</v>
      </c>
      <c r="AF239" s="1239" t="s">
        <v>388</v>
      </c>
      <c r="AG239" s="1239" t="s">
        <v>390</v>
      </c>
      <c r="AH239" s="1783" t="s">
        <v>391</v>
      </c>
      <c r="AI239" s="1765" t="s">
        <v>391</v>
      </c>
      <c r="AJ239" s="1239" t="s">
        <v>391</v>
      </c>
      <c r="AK239" s="1239" t="s">
        <v>794</v>
      </c>
      <c r="AL239" s="1095"/>
      <c r="AM239" s="1095"/>
      <c r="AN239" s="1095"/>
      <c r="AO239" s="1095"/>
      <c r="AP239" s="1095"/>
      <c r="AQ239" s="1106"/>
      <c r="AR239" s="1097"/>
      <c r="AS239" s="1110"/>
    </row>
    <row r="240" spans="1:74" s="181" customFormat="1" ht="15.75" x14ac:dyDescent="0.25">
      <c r="A240" s="551"/>
      <c r="B240" s="1578"/>
      <c r="C240" s="1110"/>
      <c r="D240" s="1145" t="s">
        <v>145</v>
      </c>
      <c r="E240" s="1147" t="str">
        <f t="shared" si="43"/>
        <v/>
      </c>
      <c r="F240" s="1166"/>
      <c r="G240" s="1703" t="s">
        <v>38</v>
      </c>
      <c r="H240" s="1704" t="s">
        <v>38</v>
      </c>
      <c r="I240" s="1703" t="s">
        <v>37</v>
      </c>
      <c r="J240" s="1705" t="s">
        <v>37</v>
      </c>
      <c r="K240" s="1703" t="s">
        <v>37</v>
      </c>
      <c r="L240" s="1704" t="str">
        <f>IF(L227="No","N","Y")</f>
        <v>Y</v>
      </c>
      <c r="M240" s="1703" t="s">
        <v>37</v>
      </c>
      <c r="N240" s="1704" t="s">
        <v>37</v>
      </c>
      <c r="O240" s="1703" t="s">
        <v>37</v>
      </c>
      <c r="P240" s="1706" t="s">
        <v>37</v>
      </c>
      <c r="Q240" s="1707" t="s">
        <v>37</v>
      </c>
      <c r="R240" s="1704" t="s">
        <v>37</v>
      </c>
      <c r="S240" s="1703" t="s">
        <v>37</v>
      </c>
      <c r="T240" s="1705" t="s">
        <v>37</v>
      </c>
      <c r="U240" s="1703" t="s">
        <v>37</v>
      </c>
      <c r="V240" s="1704" t="s">
        <v>37</v>
      </c>
      <c r="W240" s="1703" t="s">
        <v>38</v>
      </c>
      <c r="X240" s="1705" t="s">
        <v>38</v>
      </c>
      <c r="Y240" s="431"/>
      <c r="Z240" s="590" t="s">
        <v>405</v>
      </c>
      <c r="AA240" s="972" t="s">
        <v>37</v>
      </c>
      <c r="AB240" s="1913"/>
      <c r="AC240" s="1220"/>
      <c r="AD240" s="1240" t="s">
        <v>387</v>
      </c>
      <c r="AE240" s="1239" t="s">
        <v>800</v>
      </c>
      <c r="AF240" s="1239" t="s">
        <v>814</v>
      </c>
      <c r="AG240" s="1239" t="s">
        <v>815</v>
      </c>
      <c r="AH240" s="1783" t="s">
        <v>816</v>
      </c>
      <c r="AI240" s="1765" t="s">
        <v>391</v>
      </c>
      <c r="AJ240" s="1239" t="s">
        <v>391</v>
      </c>
      <c r="AK240" s="1239" t="s">
        <v>794</v>
      </c>
      <c r="AL240" s="1095"/>
      <c r="AM240" s="1095"/>
      <c r="AN240" s="1095"/>
      <c r="AO240" s="1095"/>
      <c r="AP240" s="1095"/>
      <c r="AQ240" s="1106"/>
      <c r="AR240" s="1097"/>
      <c r="AS240" s="1110"/>
    </row>
    <row r="241" spans="1:74" s="181" customFormat="1" ht="15.75" x14ac:dyDescent="0.25">
      <c r="A241" s="551"/>
      <c r="B241" s="1578"/>
      <c r="C241" s="1110"/>
      <c r="D241" s="1145" t="s">
        <v>145</v>
      </c>
      <c r="E241" s="1147" t="str">
        <f t="shared" si="43"/>
        <v/>
      </c>
      <c r="F241" s="1166"/>
      <c r="G241" s="1703" t="s">
        <v>38</v>
      </c>
      <c r="H241" s="1704" t="s">
        <v>38</v>
      </c>
      <c r="I241" s="1703" t="s">
        <v>38</v>
      </c>
      <c r="J241" s="1705" t="s">
        <v>38</v>
      </c>
      <c r="K241" s="1703" t="s">
        <v>37</v>
      </c>
      <c r="L241" s="1704" t="str">
        <f t="shared" ref="L241:L242" si="44">IF(L229="No","N","Y")</f>
        <v>Y</v>
      </c>
      <c r="M241" s="1703" t="s">
        <v>37</v>
      </c>
      <c r="N241" s="1704" t="s">
        <v>37</v>
      </c>
      <c r="O241" s="1703" t="s">
        <v>37</v>
      </c>
      <c r="P241" s="1706" t="s">
        <v>37</v>
      </c>
      <c r="Q241" s="1707" t="s">
        <v>37</v>
      </c>
      <c r="R241" s="1704" t="s">
        <v>37</v>
      </c>
      <c r="S241" s="1703" t="s">
        <v>37</v>
      </c>
      <c r="T241" s="1705" t="s">
        <v>37</v>
      </c>
      <c r="U241" s="1703" t="s">
        <v>37</v>
      </c>
      <c r="V241" s="1704" t="s">
        <v>37</v>
      </c>
      <c r="W241" s="1703" t="s">
        <v>38</v>
      </c>
      <c r="X241" s="1705" t="s">
        <v>38</v>
      </c>
      <c r="Y241" s="431"/>
      <c r="Z241" s="590" t="s">
        <v>406</v>
      </c>
      <c r="AA241" s="972" t="s">
        <v>37</v>
      </c>
      <c r="AB241" s="1913"/>
      <c r="AC241" s="1220"/>
      <c r="AD241" s="1240" t="s">
        <v>387</v>
      </c>
      <c r="AE241" s="1239" t="s">
        <v>387</v>
      </c>
      <c r="AF241" s="1239" t="s">
        <v>388</v>
      </c>
      <c r="AG241" s="1239" t="s">
        <v>390</v>
      </c>
      <c r="AH241" s="1783" t="s">
        <v>391</v>
      </c>
      <c r="AI241" s="1765" t="s">
        <v>391</v>
      </c>
      <c r="AJ241" s="1239" t="s">
        <v>391</v>
      </c>
      <c r="AK241" s="1239" t="s">
        <v>794</v>
      </c>
      <c r="AL241" s="1095"/>
      <c r="AM241" s="1095"/>
      <c r="AN241" s="1095"/>
      <c r="AO241" s="1095"/>
      <c r="AP241" s="1095"/>
      <c r="AQ241" s="1106"/>
      <c r="AR241" s="1097"/>
      <c r="AS241" s="1110"/>
    </row>
    <row r="242" spans="1:74" s="30" customFormat="1" ht="15" customHeight="1" x14ac:dyDescent="0.25">
      <c r="A242" s="545"/>
      <c r="B242" s="1579"/>
      <c r="C242" s="1095"/>
      <c r="D242" s="1145" t="s">
        <v>145</v>
      </c>
      <c r="E242" s="1147" t="str">
        <f t="shared" si="43"/>
        <v/>
      </c>
      <c r="F242" s="1124"/>
      <c r="G242" s="1703" t="s">
        <v>38</v>
      </c>
      <c r="H242" s="1704" t="s">
        <v>38</v>
      </c>
      <c r="I242" s="1703" t="s">
        <v>38</v>
      </c>
      <c r="J242" s="1705" t="s">
        <v>38</v>
      </c>
      <c r="K242" s="1703" t="s">
        <v>37</v>
      </c>
      <c r="L242" s="1704" t="str">
        <f t="shared" si="44"/>
        <v>Y</v>
      </c>
      <c r="M242" s="1703" t="s">
        <v>37</v>
      </c>
      <c r="N242" s="1704" t="s">
        <v>37</v>
      </c>
      <c r="O242" s="1703" t="s">
        <v>37</v>
      </c>
      <c r="P242" s="1706" t="s">
        <v>37</v>
      </c>
      <c r="Q242" s="1707" t="s">
        <v>37</v>
      </c>
      <c r="R242" s="1704" t="s">
        <v>37</v>
      </c>
      <c r="S242" s="1703" t="s">
        <v>37</v>
      </c>
      <c r="T242" s="1705" t="s">
        <v>37</v>
      </c>
      <c r="U242" s="1703" t="s">
        <v>37</v>
      </c>
      <c r="V242" s="1704" t="s">
        <v>37</v>
      </c>
      <c r="W242" s="1703" t="s">
        <v>38</v>
      </c>
      <c r="X242" s="1705" t="s">
        <v>38</v>
      </c>
      <c r="Y242" s="428"/>
      <c r="Z242" s="590" t="s">
        <v>408</v>
      </c>
      <c r="AA242" s="972" t="s">
        <v>37</v>
      </c>
      <c r="AB242" s="1913"/>
      <c r="AC242" s="1211"/>
      <c r="AD242" s="1240" t="s">
        <v>387</v>
      </c>
      <c r="AE242" s="1239" t="s">
        <v>800</v>
      </c>
      <c r="AF242" s="1239" t="str">
        <f>IF(ISHPO_Project="Yes","(Substantially Complete)","(Approx. 50% Complete)")</f>
        <v>(Substantially Complete)</v>
      </c>
      <c r="AG242" s="1239" t="str">
        <f>IF(ISHPO_Project="Yes","(Complete)","(Substantially Complete)")</f>
        <v>(Complete)</v>
      </c>
      <c r="AH242" s="1783" t="s">
        <v>391</v>
      </c>
      <c r="AI242" s="1765" t="s">
        <v>391</v>
      </c>
      <c r="AJ242" s="1239" t="s">
        <v>391</v>
      </c>
      <c r="AK242" s="1239" t="s">
        <v>794</v>
      </c>
      <c r="AL242" s="1095"/>
      <c r="AM242" s="1095"/>
      <c r="AN242" s="1097"/>
      <c r="AO242" s="1095"/>
      <c r="AP242" s="1095"/>
      <c r="AQ242" s="1095"/>
      <c r="AR242" s="1095"/>
      <c r="AS242" s="1095"/>
      <c r="AT242" s="181"/>
      <c r="AU242" s="181"/>
      <c r="AV242" s="181"/>
      <c r="AW242" s="181"/>
      <c r="AX242" s="181"/>
      <c r="AY242" s="181"/>
      <c r="AZ242" s="181"/>
      <c r="BA242" s="181"/>
      <c r="BB242" s="181"/>
      <c r="BC242" s="181"/>
      <c r="BD242" s="181"/>
      <c r="BE242" s="181"/>
      <c r="BF242" s="181"/>
      <c r="BG242" s="181"/>
      <c r="BH242" s="181"/>
      <c r="BI242" s="181"/>
      <c r="BJ242" s="181"/>
      <c r="BK242" s="181"/>
      <c r="BL242" s="181"/>
      <c r="BM242" s="181"/>
      <c r="BN242" s="181"/>
      <c r="BO242" s="181"/>
      <c r="BP242" s="181"/>
      <c r="BQ242" s="181"/>
      <c r="BR242" s="181"/>
      <c r="BS242" s="181"/>
      <c r="BT242" s="181"/>
      <c r="BU242" s="181"/>
      <c r="BV242" s="181"/>
    </row>
    <row r="243" spans="1:74" s="30" customFormat="1" ht="15" customHeight="1" x14ac:dyDescent="0.25">
      <c r="A243" s="545"/>
      <c r="B243" s="1579"/>
      <c r="C243" s="1095"/>
      <c r="D243" s="1145" t="s">
        <v>145</v>
      </c>
      <c r="E243" s="1147" t="str">
        <f t="shared" si="43"/>
        <v/>
      </c>
      <c r="F243" s="1124"/>
      <c r="G243" s="1703" t="s">
        <v>38</v>
      </c>
      <c r="H243" s="1704" t="s">
        <v>38</v>
      </c>
      <c r="I243" s="1703" t="s">
        <v>38</v>
      </c>
      <c r="J243" s="1705" t="s">
        <v>38</v>
      </c>
      <c r="K243" s="1703" t="s">
        <v>38</v>
      </c>
      <c r="L243" s="1704" t="s">
        <v>38</v>
      </c>
      <c r="M243" s="1703" t="s">
        <v>37</v>
      </c>
      <c r="N243" s="1704" t="s">
        <v>37</v>
      </c>
      <c r="O243" s="1703" t="s">
        <v>37</v>
      </c>
      <c r="P243" s="1706" t="s">
        <v>37</v>
      </c>
      <c r="Q243" s="1707" t="s">
        <v>37</v>
      </c>
      <c r="R243" s="1704" t="s">
        <v>37</v>
      </c>
      <c r="S243" s="1703" t="s">
        <v>37</v>
      </c>
      <c r="T243" s="1705" t="s">
        <v>37</v>
      </c>
      <c r="U243" s="1703" t="s">
        <v>37</v>
      </c>
      <c r="V243" s="1704" t="s">
        <v>37</v>
      </c>
      <c r="W243" s="1703" t="s">
        <v>38</v>
      </c>
      <c r="X243" s="1705" t="s">
        <v>38</v>
      </c>
      <c r="Y243" s="428"/>
      <c r="Z243" s="590" t="s">
        <v>409</v>
      </c>
      <c r="AA243" s="972" t="s">
        <v>37</v>
      </c>
      <c r="AB243" s="1913"/>
      <c r="AC243" s="1211"/>
      <c r="AD243" s="1240" t="s">
        <v>387</v>
      </c>
      <c r="AE243" s="1239" t="s">
        <v>800</v>
      </c>
      <c r="AF243" s="1239" t="s">
        <v>388</v>
      </c>
      <c r="AG243" s="1239" t="s">
        <v>390</v>
      </c>
      <c r="AH243" s="1783" t="s">
        <v>391</v>
      </c>
      <c r="AI243" s="1765" t="s">
        <v>391</v>
      </c>
      <c r="AJ243" s="1239" t="s">
        <v>391</v>
      </c>
      <c r="AK243" s="1239" t="s">
        <v>794</v>
      </c>
      <c r="AL243" s="1095"/>
      <c r="AM243" s="1095"/>
      <c r="AN243" s="1097"/>
      <c r="AO243" s="1095"/>
      <c r="AP243" s="1095"/>
      <c r="AQ243" s="1095"/>
      <c r="AR243" s="1095"/>
      <c r="AS243" s="1095"/>
      <c r="AT243" s="181"/>
      <c r="AU243" s="181"/>
      <c r="AV243" s="181"/>
      <c r="AW243" s="181"/>
      <c r="AX243" s="181"/>
      <c r="AY243" s="181"/>
      <c r="AZ243" s="181"/>
      <c r="BA243" s="181"/>
      <c r="BB243" s="181"/>
      <c r="BC243" s="181"/>
      <c r="BD243" s="181"/>
      <c r="BE243" s="181"/>
      <c r="BF243" s="181"/>
      <c r="BG243" s="181"/>
      <c r="BH243" s="181"/>
      <c r="BI243" s="181"/>
      <c r="BJ243" s="181"/>
      <c r="BK243" s="181"/>
      <c r="BL243" s="181"/>
      <c r="BM243" s="181"/>
      <c r="BN243" s="181"/>
      <c r="BO243" s="181"/>
      <c r="BP243" s="181"/>
      <c r="BQ243" s="181"/>
      <c r="BR243" s="181"/>
      <c r="BS243" s="181"/>
      <c r="BT243" s="181"/>
      <c r="BU243" s="181"/>
      <c r="BV243" s="181"/>
    </row>
    <row r="244" spans="1:74" s="30" customFormat="1" ht="15" customHeight="1" x14ac:dyDescent="0.25">
      <c r="A244" s="545"/>
      <c r="B244" s="1579"/>
      <c r="C244" s="1095"/>
      <c r="D244" s="1145" t="s">
        <v>145</v>
      </c>
      <c r="E244" s="1147" t="str">
        <f t="shared" si="43"/>
        <v/>
      </c>
      <c r="F244" s="1124"/>
      <c r="G244" s="1703" t="s">
        <v>38</v>
      </c>
      <c r="H244" s="1704" t="s">
        <v>38</v>
      </c>
      <c r="I244" s="1703" t="s">
        <v>37</v>
      </c>
      <c r="J244" s="1705" t="s">
        <v>37</v>
      </c>
      <c r="K244" s="1703" t="s">
        <v>37</v>
      </c>
      <c r="L244" s="1704" t="str">
        <f>IF(L232="No","N","Y")</f>
        <v>Y</v>
      </c>
      <c r="M244" s="1703" t="s">
        <v>37</v>
      </c>
      <c r="N244" s="1704" t="s">
        <v>37</v>
      </c>
      <c r="O244" s="1703" t="s">
        <v>37</v>
      </c>
      <c r="P244" s="1706" t="s">
        <v>37</v>
      </c>
      <c r="Q244" s="1707" t="s">
        <v>37</v>
      </c>
      <c r="R244" s="1704" t="s">
        <v>37</v>
      </c>
      <c r="S244" s="1703" t="s">
        <v>37</v>
      </c>
      <c r="T244" s="1705" t="s">
        <v>37</v>
      </c>
      <c r="U244" s="1703" t="s">
        <v>37</v>
      </c>
      <c r="V244" s="1704" t="s">
        <v>37</v>
      </c>
      <c r="W244" s="1703" t="s">
        <v>38</v>
      </c>
      <c r="X244" s="1705" t="s">
        <v>38</v>
      </c>
      <c r="Y244" s="428"/>
      <c r="Z244" s="590" t="s">
        <v>410</v>
      </c>
      <c r="AA244" s="972" t="s">
        <v>37</v>
      </c>
      <c r="AB244" s="1913"/>
      <c r="AC244" s="1211"/>
      <c r="AD244" s="1240" t="str">
        <f>IF(ISHPO_Project="Yes","(Approx. 50% Complete)","(Preliminary)")</f>
        <v>(Approx. 50% Complete)</v>
      </c>
      <c r="AE244" s="1239" t="str">
        <f>IF(ISHPO_Project="Yes","(Sustantially Complete)","(Approx. 50% Complete)")</f>
        <v>(Sustantially Complete)</v>
      </c>
      <c r="AF244" s="1239" t="str">
        <f>IF(ISHPO_Project="Yes","(Substantially Complete)","(Sustantially Complete)")</f>
        <v>(Substantially Complete)</v>
      </c>
      <c r="AG244" s="1239" t="str">
        <f>IF(ISHPO_Project="Yes","(Complete)","(Sustantially Complete)")</f>
        <v>(Complete)</v>
      </c>
      <c r="AH244" s="1783" t="s">
        <v>391</v>
      </c>
      <c r="AI244" s="1765" t="s">
        <v>391</v>
      </c>
      <c r="AJ244" s="1239" t="s">
        <v>391</v>
      </c>
      <c r="AK244" s="1239" t="s">
        <v>794</v>
      </c>
      <c r="AL244" s="1095"/>
      <c r="AM244" s="1095"/>
      <c r="AN244" s="1097"/>
      <c r="AO244" s="1095"/>
      <c r="AP244" s="1095"/>
      <c r="AQ244" s="1095"/>
      <c r="AR244" s="1095"/>
      <c r="AS244" s="1095"/>
      <c r="AT244" s="181"/>
      <c r="AU244" s="181"/>
      <c r="AV244" s="181"/>
      <c r="AW244" s="181"/>
      <c r="AX244" s="181"/>
      <c r="AY244" s="181"/>
      <c r="AZ244" s="181"/>
      <c r="BA244" s="181"/>
      <c r="BB244" s="181"/>
      <c r="BC244" s="181"/>
      <c r="BD244" s="181"/>
      <c r="BE244" s="181"/>
      <c r="BF244" s="181"/>
      <c r="BG244" s="181"/>
      <c r="BH244" s="181"/>
      <c r="BI244" s="181"/>
      <c r="BJ244" s="181"/>
      <c r="BK244" s="181"/>
      <c r="BL244" s="181"/>
      <c r="BM244" s="181"/>
      <c r="BN244" s="181"/>
      <c r="BO244" s="181"/>
      <c r="BP244" s="181"/>
      <c r="BQ244" s="181"/>
      <c r="BR244" s="181"/>
      <c r="BS244" s="181"/>
      <c r="BT244" s="181"/>
      <c r="BU244" s="181"/>
      <c r="BV244" s="181"/>
    </row>
    <row r="245" spans="1:74" s="181" customFormat="1" ht="15" customHeight="1" x14ac:dyDescent="0.25">
      <c r="A245" s="551"/>
      <c r="B245" s="1578"/>
      <c r="C245" s="1110"/>
      <c r="D245" s="1145" t="s">
        <v>145</v>
      </c>
      <c r="E245" s="1147" t="str">
        <f t="shared" si="43"/>
        <v/>
      </c>
      <c r="F245" s="1166"/>
      <c r="G245" s="1703" t="s">
        <v>38</v>
      </c>
      <c r="H245" s="1704" t="s">
        <v>38</v>
      </c>
      <c r="I245" s="1703" t="s">
        <v>37</v>
      </c>
      <c r="J245" s="1705" t="s">
        <v>37</v>
      </c>
      <c r="K245" s="1703" t="s">
        <v>37</v>
      </c>
      <c r="L245" s="1704" t="str">
        <f>IF(L233="No","N","Y")</f>
        <v>Y</v>
      </c>
      <c r="M245" s="1703" t="s">
        <v>37</v>
      </c>
      <c r="N245" s="1704" t="s">
        <v>37</v>
      </c>
      <c r="O245" s="1703" t="s">
        <v>37</v>
      </c>
      <c r="P245" s="1706" t="s">
        <v>37</v>
      </c>
      <c r="Q245" s="1707" t="s">
        <v>37</v>
      </c>
      <c r="R245" s="1704" t="s">
        <v>37</v>
      </c>
      <c r="S245" s="1703" t="s">
        <v>37</v>
      </c>
      <c r="T245" s="1705" t="s">
        <v>37</v>
      </c>
      <c r="U245" s="1703" t="s">
        <v>37</v>
      </c>
      <c r="V245" s="1704" t="s">
        <v>37</v>
      </c>
      <c r="W245" s="1703" t="s">
        <v>38</v>
      </c>
      <c r="X245" s="1705" t="s">
        <v>38</v>
      </c>
      <c r="Y245" s="431"/>
      <c r="Z245" s="590" t="s">
        <v>411</v>
      </c>
      <c r="AA245" s="972" t="s">
        <v>37</v>
      </c>
      <c r="AB245" s="1913"/>
      <c r="AC245" s="1220"/>
      <c r="AD245" s="1240" t="s">
        <v>387</v>
      </c>
      <c r="AE245" s="1239" t="s">
        <v>387</v>
      </c>
      <c r="AF245" s="1239" t="s">
        <v>388</v>
      </c>
      <c r="AG245" s="1239" t="s">
        <v>390</v>
      </c>
      <c r="AH245" s="1783" t="s">
        <v>391</v>
      </c>
      <c r="AI245" s="1765" t="s">
        <v>391</v>
      </c>
      <c r="AJ245" s="1239" t="s">
        <v>391</v>
      </c>
      <c r="AK245" s="1239" t="s">
        <v>794</v>
      </c>
      <c r="AL245" s="1095"/>
      <c r="AM245" s="1095"/>
      <c r="AN245" s="1095"/>
      <c r="AO245" s="1095"/>
      <c r="AP245" s="1095"/>
      <c r="AQ245" s="1106"/>
      <c r="AR245" s="1097"/>
      <c r="AS245" s="1110"/>
    </row>
    <row r="246" spans="1:74" s="181" customFormat="1" ht="15" customHeight="1" x14ac:dyDescent="0.25">
      <c r="A246" s="551"/>
      <c r="B246" s="1578"/>
      <c r="C246" s="1110"/>
      <c r="D246" s="1145" t="s">
        <v>145</v>
      </c>
      <c r="E246" s="1147" t="str">
        <f t="shared" si="43"/>
        <v/>
      </c>
      <c r="F246" s="1166"/>
      <c r="G246" s="1703" t="s">
        <v>38</v>
      </c>
      <c r="H246" s="1704" t="s">
        <v>38</v>
      </c>
      <c r="I246" s="1703" t="s">
        <v>38</v>
      </c>
      <c r="J246" s="1705" t="s">
        <v>38</v>
      </c>
      <c r="K246" s="1703" t="s">
        <v>38</v>
      </c>
      <c r="L246" s="1704" t="s">
        <v>38</v>
      </c>
      <c r="M246" s="1703" t="s">
        <v>37</v>
      </c>
      <c r="N246" s="1704" t="s">
        <v>37</v>
      </c>
      <c r="O246" s="1703" t="s">
        <v>37</v>
      </c>
      <c r="P246" s="1706" t="s">
        <v>37</v>
      </c>
      <c r="Q246" s="1707" t="s">
        <v>37</v>
      </c>
      <c r="R246" s="1704" t="s">
        <v>37</v>
      </c>
      <c r="S246" s="1703" t="s">
        <v>37</v>
      </c>
      <c r="T246" s="1705" t="s">
        <v>37</v>
      </c>
      <c r="U246" s="1703" t="s">
        <v>37</v>
      </c>
      <c r="V246" s="1704" t="s">
        <v>37</v>
      </c>
      <c r="W246" s="1703" t="s">
        <v>38</v>
      </c>
      <c r="X246" s="1705" t="s">
        <v>38</v>
      </c>
      <c r="Y246" s="431"/>
      <c r="Z246" s="590" t="s">
        <v>412</v>
      </c>
      <c r="AA246" s="972" t="s">
        <v>37</v>
      </c>
      <c r="AB246" s="1913"/>
      <c r="AC246" s="1220"/>
      <c r="AD246" s="1240" t="s">
        <v>387</v>
      </c>
      <c r="AE246" s="1239" t="s">
        <v>800</v>
      </c>
      <c r="AF246" s="1239" t="s">
        <v>388</v>
      </c>
      <c r="AG246" s="1239" t="s">
        <v>390</v>
      </c>
      <c r="AH246" s="1783" t="s">
        <v>391</v>
      </c>
      <c r="AI246" s="1765" t="s">
        <v>391</v>
      </c>
      <c r="AJ246" s="1239" t="s">
        <v>391</v>
      </c>
      <c r="AK246" s="1239" t="s">
        <v>794</v>
      </c>
      <c r="AL246" s="1095"/>
      <c r="AM246" s="1095"/>
      <c r="AN246" s="1095"/>
      <c r="AO246" s="1095"/>
      <c r="AP246" s="1095"/>
      <c r="AQ246" s="1106"/>
      <c r="AR246" s="1097"/>
      <c r="AS246" s="1110"/>
    </row>
    <row r="247" spans="1:74" s="181" customFormat="1" ht="15" customHeight="1" x14ac:dyDescent="0.25">
      <c r="A247" s="551"/>
      <c r="B247" s="1578"/>
      <c r="C247" s="1110"/>
      <c r="D247" s="1145" t="s">
        <v>145</v>
      </c>
      <c r="E247" s="1147" t="str">
        <f t="shared" si="43"/>
        <v/>
      </c>
      <c r="F247" s="1166"/>
      <c r="G247" s="1703" t="s">
        <v>38</v>
      </c>
      <c r="H247" s="1704" t="s">
        <v>38</v>
      </c>
      <c r="I247" s="1703" t="s">
        <v>38</v>
      </c>
      <c r="J247" s="1705" t="s">
        <v>38</v>
      </c>
      <c r="K247" s="1703" t="s">
        <v>37</v>
      </c>
      <c r="L247" s="1704" t="str">
        <f t="shared" ref="L247:L253" si="45">IF(L237="No","N","Y")</f>
        <v>Y</v>
      </c>
      <c r="M247" s="1703" t="s">
        <v>37</v>
      </c>
      <c r="N247" s="1704" t="s">
        <v>37</v>
      </c>
      <c r="O247" s="1703" t="s">
        <v>37</v>
      </c>
      <c r="P247" s="1706" t="s">
        <v>37</v>
      </c>
      <c r="Q247" s="1707" t="s">
        <v>37</v>
      </c>
      <c r="R247" s="1704" t="s">
        <v>37</v>
      </c>
      <c r="S247" s="1703" t="s">
        <v>37</v>
      </c>
      <c r="T247" s="1705" t="s">
        <v>37</v>
      </c>
      <c r="U247" s="1703" t="s">
        <v>37</v>
      </c>
      <c r="V247" s="1704" t="s">
        <v>37</v>
      </c>
      <c r="W247" s="1703" t="s">
        <v>38</v>
      </c>
      <c r="X247" s="1705" t="s">
        <v>38</v>
      </c>
      <c r="Y247" s="431"/>
      <c r="Z247" s="590" t="s">
        <v>413</v>
      </c>
      <c r="AA247" s="972" t="s">
        <v>37</v>
      </c>
      <c r="AB247" s="1913"/>
      <c r="AC247" s="1220"/>
      <c r="AD247" s="1240" t="s">
        <v>387</v>
      </c>
      <c r="AE247" s="1239" t="s">
        <v>387</v>
      </c>
      <c r="AF247" s="1239" t="s">
        <v>388</v>
      </c>
      <c r="AG247" s="1239" t="s">
        <v>390</v>
      </c>
      <c r="AH247" s="1783" t="s">
        <v>391</v>
      </c>
      <c r="AI247" s="1765" t="s">
        <v>391</v>
      </c>
      <c r="AJ247" s="1239" t="s">
        <v>391</v>
      </c>
      <c r="AK247" s="1239" t="s">
        <v>794</v>
      </c>
      <c r="AL247" s="1095"/>
      <c r="AM247" s="1095"/>
      <c r="AN247" s="1095"/>
      <c r="AO247" s="1095"/>
      <c r="AP247" s="1095"/>
      <c r="AQ247" s="1106"/>
      <c r="AR247" s="1097"/>
      <c r="AS247" s="1110"/>
    </row>
    <row r="248" spans="1:74" s="30" customFormat="1" ht="15" customHeight="1" x14ac:dyDescent="0.25">
      <c r="A248" s="545"/>
      <c r="B248" s="1579"/>
      <c r="C248" s="1110"/>
      <c r="D248" s="1145" t="s">
        <v>145</v>
      </c>
      <c r="E248" s="1147" t="str">
        <f t="shared" si="43"/>
        <v/>
      </c>
      <c r="F248" s="1124"/>
      <c r="G248" s="1703" t="s">
        <v>38</v>
      </c>
      <c r="H248" s="1704" t="s">
        <v>38</v>
      </c>
      <c r="I248" s="1703" t="s">
        <v>38</v>
      </c>
      <c r="J248" s="1705" t="s">
        <v>38</v>
      </c>
      <c r="K248" s="1703" t="s">
        <v>37</v>
      </c>
      <c r="L248" s="1704" t="str">
        <f t="shared" si="45"/>
        <v>Y</v>
      </c>
      <c r="M248" s="1703" t="s">
        <v>37</v>
      </c>
      <c r="N248" s="1704" t="s">
        <v>37</v>
      </c>
      <c r="O248" s="1703" t="s">
        <v>37</v>
      </c>
      <c r="P248" s="1706" t="s">
        <v>37</v>
      </c>
      <c r="Q248" s="1707" t="s">
        <v>37</v>
      </c>
      <c r="R248" s="1704" t="s">
        <v>37</v>
      </c>
      <c r="S248" s="1703" t="s">
        <v>37</v>
      </c>
      <c r="T248" s="1705" t="s">
        <v>37</v>
      </c>
      <c r="U248" s="1703" t="s">
        <v>37</v>
      </c>
      <c r="V248" s="1704" t="s">
        <v>37</v>
      </c>
      <c r="W248" s="1703" t="s">
        <v>38</v>
      </c>
      <c r="X248" s="1705" t="s">
        <v>38</v>
      </c>
      <c r="Y248" s="431"/>
      <c r="Z248" s="590" t="s">
        <v>414</v>
      </c>
      <c r="AA248" s="972" t="s">
        <v>37</v>
      </c>
      <c r="AB248" s="1913"/>
      <c r="AC248" s="1220"/>
      <c r="AD248" s="1240" t="s">
        <v>387</v>
      </c>
      <c r="AE248" s="1239" t="s">
        <v>387</v>
      </c>
      <c r="AF248" s="1239" t="s">
        <v>387</v>
      </c>
      <c r="AG248" s="1239" t="s">
        <v>388</v>
      </c>
      <c r="AH248" s="1783" t="s">
        <v>391</v>
      </c>
      <c r="AI248" s="1765" t="s">
        <v>391</v>
      </c>
      <c r="AJ248" s="1239" t="s">
        <v>391</v>
      </c>
      <c r="AK248" s="1239" t="s">
        <v>794</v>
      </c>
      <c r="AL248" s="1095"/>
      <c r="AM248" s="1095"/>
      <c r="AN248" s="1097"/>
      <c r="AO248" s="1095"/>
      <c r="AP248" s="1095"/>
      <c r="AQ248" s="1106"/>
      <c r="AR248" s="1097"/>
      <c r="AS248" s="1110"/>
      <c r="AT248" s="181"/>
      <c r="AU248" s="181"/>
      <c r="AV248" s="181"/>
      <c r="AW248" s="181"/>
      <c r="AX248" s="181"/>
      <c r="AY248" s="181"/>
      <c r="AZ248" s="181"/>
      <c r="BA248" s="181"/>
      <c r="BB248" s="181"/>
      <c r="BC248" s="181"/>
      <c r="BD248" s="181"/>
      <c r="BE248" s="181"/>
      <c r="BF248" s="181"/>
      <c r="BG248" s="181"/>
      <c r="BH248" s="181"/>
      <c r="BI248" s="181"/>
      <c r="BJ248" s="181"/>
      <c r="BK248" s="181"/>
      <c r="BL248" s="181"/>
      <c r="BM248" s="181"/>
      <c r="BN248" s="181"/>
      <c r="BO248" s="181"/>
      <c r="BP248" s="181"/>
      <c r="BQ248" s="181"/>
      <c r="BR248" s="181"/>
      <c r="BS248" s="181"/>
      <c r="BT248" s="181"/>
      <c r="BU248" s="181"/>
      <c r="BV248" s="181"/>
    </row>
    <row r="249" spans="1:74" s="30" customFormat="1" ht="15.75" x14ac:dyDescent="0.25">
      <c r="A249" s="545"/>
      <c r="B249" s="1579"/>
      <c r="C249" s="1110"/>
      <c r="D249" s="1145" t="s">
        <v>145</v>
      </c>
      <c r="E249" s="1147" t="str">
        <f t="shared" si="43"/>
        <v/>
      </c>
      <c r="F249" s="1124"/>
      <c r="G249" s="1703" t="s">
        <v>38</v>
      </c>
      <c r="H249" s="1704" t="s">
        <v>38</v>
      </c>
      <c r="I249" s="1703" t="s">
        <v>38</v>
      </c>
      <c r="J249" s="1705" t="s">
        <v>38</v>
      </c>
      <c r="K249" s="1703" t="s">
        <v>37</v>
      </c>
      <c r="L249" s="1704" t="str">
        <f t="shared" si="45"/>
        <v>Y</v>
      </c>
      <c r="M249" s="1703" t="s">
        <v>37</v>
      </c>
      <c r="N249" s="1704" t="s">
        <v>37</v>
      </c>
      <c r="O249" s="1703" t="s">
        <v>37</v>
      </c>
      <c r="P249" s="1706" t="s">
        <v>37</v>
      </c>
      <c r="Q249" s="1707" t="s">
        <v>37</v>
      </c>
      <c r="R249" s="1704" t="s">
        <v>37</v>
      </c>
      <c r="S249" s="1703" t="s">
        <v>37</v>
      </c>
      <c r="T249" s="1705" t="s">
        <v>37</v>
      </c>
      <c r="U249" s="1703" t="s">
        <v>37</v>
      </c>
      <c r="V249" s="1704" t="s">
        <v>37</v>
      </c>
      <c r="W249" s="1703" t="s">
        <v>38</v>
      </c>
      <c r="X249" s="1705" t="s">
        <v>38</v>
      </c>
      <c r="Y249" s="431"/>
      <c r="Z249" s="590" t="s">
        <v>415</v>
      </c>
      <c r="AA249" s="972" t="s">
        <v>37</v>
      </c>
      <c r="AB249" s="1913"/>
      <c r="AC249" s="1220"/>
      <c r="AD249" s="1240"/>
      <c r="AE249" s="1239"/>
      <c r="AF249" s="1239" t="s">
        <v>387</v>
      </c>
      <c r="AG249" s="1239" t="s">
        <v>388</v>
      </c>
      <c r="AH249" s="1783" t="s">
        <v>390</v>
      </c>
      <c r="AI249" s="1765" t="s">
        <v>391</v>
      </c>
      <c r="AJ249" s="1239" t="s">
        <v>391</v>
      </c>
      <c r="AK249" s="1239" t="s">
        <v>794</v>
      </c>
      <c r="AL249" s="1095"/>
      <c r="AM249" s="1095"/>
      <c r="AN249" s="1097"/>
      <c r="AO249" s="1095"/>
      <c r="AP249" s="1095"/>
      <c r="AQ249" s="1106"/>
      <c r="AR249" s="1097"/>
      <c r="AS249" s="1110"/>
      <c r="AT249" s="181"/>
      <c r="AU249" s="181"/>
      <c r="AV249" s="181"/>
      <c r="AW249" s="181"/>
      <c r="AX249" s="181"/>
      <c r="AY249" s="181"/>
      <c r="AZ249" s="181"/>
      <c r="BA249" s="181"/>
      <c r="BB249" s="181"/>
      <c r="BC249" s="181"/>
      <c r="BD249" s="181"/>
      <c r="BE249" s="181"/>
      <c r="BF249" s="181"/>
      <c r="BG249" s="181"/>
      <c r="BH249" s="181"/>
      <c r="BI249" s="181"/>
      <c r="BJ249" s="181"/>
      <c r="BK249" s="181"/>
      <c r="BL249" s="181"/>
      <c r="BM249" s="181"/>
      <c r="BN249" s="181"/>
      <c r="BO249" s="181"/>
      <c r="BP249" s="181"/>
      <c r="BQ249" s="181"/>
      <c r="BR249" s="181"/>
      <c r="BS249" s="181"/>
      <c r="BT249" s="181"/>
      <c r="BU249" s="181"/>
      <c r="BV249" s="181"/>
    </row>
    <row r="250" spans="1:74" s="30" customFormat="1" ht="15.75" x14ac:dyDescent="0.25">
      <c r="A250" s="545"/>
      <c r="B250" s="1579"/>
      <c r="C250" s="1110"/>
      <c r="D250" s="1145" t="s">
        <v>145</v>
      </c>
      <c r="E250" s="1147" t="str">
        <f t="shared" si="43"/>
        <v/>
      </c>
      <c r="F250" s="1124"/>
      <c r="G250" s="1703" t="s">
        <v>38</v>
      </c>
      <c r="H250" s="1704" t="s">
        <v>38</v>
      </c>
      <c r="I250" s="1703" t="s">
        <v>38</v>
      </c>
      <c r="J250" s="1705" t="s">
        <v>38</v>
      </c>
      <c r="K250" s="1703" t="s">
        <v>37</v>
      </c>
      <c r="L250" s="1704" t="str">
        <f t="shared" si="45"/>
        <v>Y</v>
      </c>
      <c r="M250" s="1703" t="s">
        <v>37</v>
      </c>
      <c r="N250" s="1704" t="s">
        <v>37</v>
      </c>
      <c r="O250" s="1703" t="s">
        <v>37</v>
      </c>
      <c r="P250" s="1706" t="s">
        <v>37</v>
      </c>
      <c r="Q250" s="1707" t="s">
        <v>37</v>
      </c>
      <c r="R250" s="1704" t="s">
        <v>37</v>
      </c>
      <c r="S250" s="1703" t="s">
        <v>37</v>
      </c>
      <c r="T250" s="1705" t="s">
        <v>37</v>
      </c>
      <c r="U250" s="1703" t="s">
        <v>37</v>
      </c>
      <c r="V250" s="1704" t="s">
        <v>37</v>
      </c>
      <c r="W250" s="1703" t="s">
        <v>38</v>
      </c>
      <c r="X250" s="1705" t="s">
        <v>38</v>
      </c>
      <c r="Y250" s="431"/>
      <c r="Z250" s="590" t="s">
        <v>416</v>
      </c>
      <c r="AA250" s="972" t="s">
        <v>37</v>
      </c>
      <c r="AB250" s="1913"/>
      <c r="AC250" s="1220"/>
      <c r="AD250" s="1240" t="s">
        <v>387</v>
      </c>
      <c r="AE250" s="1239" t="s">
        <v>800</v>
      </c>
      <c r="AF250" s="1239" t="s">
        <v>387</v>
      </c>
      <c r="AG250" s="1239" t="s">
        <v>388</v>
      </c>
      <c r="AH250" s="1783" t="s">
        <v>391</v>
      </c>
      <c r="AI250" s="1765" t="s">
        <v>391</v>
      </c>
      <c r="AJ250" s="1239" t="s">
        <v>391</v>
      </c>
      <c r="AK250" s="1239" t="s">
        <v>794</v>
      </c>
      <c r="AL250" s="1095"/>
      <c r="AM250" s="1095"/>
      <c r="AN250" s="1097"/>
      <c r="AO250" s="1095"/>
      <c r="AP250" s="1095"/>
      <c r="AQ250" s="1106"/>
      <c r="AR250" s="1097"/>
      <c r="AS250" s="1110"/>
      <c r="AT250" s="181"/>
      <c r="AU250" s="181"/>
      <c r="AV250" s="181"/>
      <c r="AW250" s="181"/>
      <c r="AX250" s="181"/>
      <c r="AY250" s="181"/>
      <c r="AZ250" s="181"/>
      <c r="BA250" s="181"/>
      <c r="BB250" s="181"/>
      <c r="BC250" s="181"/>
      <c r="BD250" s="181"/>
      <c r="BE250" s="181"/>
      <c r="BF250" s="181"/>
      <c r="BG250" s="181"/>
      <c r="BH250" s="181"/>
      <c r="BI250" s="181"/>
      <c r="BJ250" s="181"/>
      <c r="BK250" s="181"/>
      <c r="BL250" s="181"/>
      <c r="BM250" s="181"/>
      <c r="BN250" s="181"/>
      <c r="BO250" s="181"/>
      <c r="BP250" s="181"/>
      <c r="BQ250" s="181"/>
      <c r="BR250" s="181"/>
      <c r="BS250" s="181"/>
      <c r="BT250" s="181"/>
      <c r="BU250" s="181"/>
      <c r="BV250" s="181"/>
    </row>
    <row r="251" spans="1:74" s="30" customFormat="1" ht="15.75" x14ac:dyDescent="0.25">
      <c r="A251" s="545"/>
      <c r="B251" s="1579"/>
      <c r="C251" s="1110"/>
      <c r="D251" s="1145" t="s">
        <v>145</v>
      </c>
      <c r="E251" s="1147" t="str">
        <f t="shared" si="43"/>
        <v/>
      </c>
      <c r="F251" s="1124"/>
      <c r="G251" s="1703" t="s">
        <v>38</v>
      </c>
      <c r="H251" s="1704" t="s">
        <v>38</v>
      </c>
      <c r="I251" s="1703" t="s">
        <v>38</v>
      </c>
      <c r="J251" s="1705" t="s">
        <v>38</v>
      </c>
      <c r="K251" s="1703" t="s">
        <v>37</v>
      </c>
      <c r="L251" s="1704" t="str">
        <f t="shared" si="45"/>
        <v>Y</v>
      </c>
      <c r="M251" s="1703" t="s">
        <v>37</v>
      </c>
      <c r="N251" s="1704" t="s">
        <v>37</v>
      </c>
      <c r="O251" s="1703" t="s">
        <v>37</v>
      </c>
      <c r="P251" s="1706" t="s">
        <v>37</v>
      </c>
      <c r="Q251" s="1707" t="s">
        <v>37</v>
      </c>
      <c r="R251" s="1704" t="s">
        <v>37</v>
      </c>
      <c r="S251" s="1703" t="s">
        <v>37</v>
      </c>
      <c r="T251" s="1705" t="s">
        <v>37</v>
      </c>
      <c r="U251" s="1703" t="s">
        <v>37</v>
      </c>
      <c r="V251" s="1704" t="s">
        <v>37</v>
      </c>
      <c r="W251" s="1703" t="s">
        <v>38</v>
      </c>
      <c r="X251" s="1705" t="s">
        <v>38</v>
      </c>
      <c r="Y251" s="431"/>
      <c r="Z251" s="590" t="s">
        <v>417</v>
      </c>
      <c r="AA251" s="972" t="s">
        <v>37</v>
      </c>
      <c r="AB251" s="1913"/>
      <c r="AC251" s="1220"/>
      <c r="AD251" s="1240" t="s">
        <v>387</v>
      </c>
      <c r="AE251" s="1239" t="s">
        <v>800</v>
      </c>
      <c r="AF251" s="1239" t="s">
        <v>387</v>
      </c>
      <c r="AG251" s="1239" t="s">
        <v>388</v>
      </c>
      <c r="AH251" s="1783" t="s">
        <v>391</v>
      </c>
      <c r="AI251" s="1765" t="s">
        <v>391</v>
      </c>
      <c r="AJ251" s="1239" t="s">
        <v>391</v>
      </c>
      <c r="AK251" s="1239" t="s">
        <v>794</v>
      </c>
      <c r="AL251" s="1095"/>
      <c r="AM251" s="1095"/>
      <c r="AN251" s="1097"/>
      <c r="AO251" s="1095"/>
      <c r="AP251" s="1095"/>
      <c r="AQ251" s="1106"/>
      <c r="AR251" s="1097"/>
      <c r="AS251" s="1110"/>
      <c r="AT251" s="181"/>
      <c r="AU251" s="181"/>
      <c r="AV251" s="181"/>
      <c r="AW251" s="181"/>
      <c r="AX251" s="181"/>
      <c r="AY251" s="181"/>
      <c r="AZ251" s="181"/>
      <c r="BA251" s="181"/>
      <c r="BB251" s="181"/>
      <c r="BC251" s="181"/>
      <c r="BD251" s="181"/>
      <c r="BE251" s="181"/>
      <c r="BF251" s="181"/>
      <c r="BG251" s="181"/>
      <c r="BH251" s="181"/>
      <c r="BI251" s="181"/>
      <c r="BJ251" s="181"/>
      <c r="BK251" s="181"/>
      <c r="BL251" s="181"/>
      <c r="BM251" s="181"/>
      <c r="BN251" s="181"/>
      <c r="BO251" s="181"/>
      <c r="BP251" s="181"/>
      <c r="BQ251" s="181"/>
      <c r="BR251" s="181"/>
      <c r="BS251" s="181"/>
      <c r="BT251" s="181"/>
      <c r="BU251" s="181"/>
      <c r="BV251" s="181"/>
    </row>
    <row r="252" spans="1:74" s="30" customFormat="1" ht="15.75" x14ac:dyDescent="0.25">
      <c r="A252" s="545"/>
      <c r="B252" s="1579"/>
      <c r="C252" s="1110"/>
      <c r="D252" s="1145" t="s">
        <v>145</v>
      </c>
      <c r="E252" s="1147" t="str">
        <f t="shared" si="43"/>
        <v/>
      </c>
      <c r="F252" s="1124"/>
      <c r="G252" s="1703" t="s">
        <v>38</v>
      </c>
      <c r="H252" s="1704" t="s">
        <v>38</v>
      </c>
      <c r="I252" s="1703" t="s">
        <v>37</v>
      </c>
      <c r="J252" s="1705" t="s">
        <v>37</v>
      </c>
      <c r="K252" s="1703" t="s">
        <v>37</v>
      </c>
      <c r="L252" s="1704" t="str">
        <f t="shared" si="45"/>
        <v>Y</v>
      </c>
      <c r="M252" s="1703" t="s">
        <v>37</v>
      </c>
      <c r="N252" s="1704" t="s">
        <v>37</v>
      </c>
      <c r="O252" s="1703" t="s">
        <v>37</v>
      </c>
      <c r="P252" s="1706" t="s">
        <v>37</v>
      </c>
      <c r="Q252" s="1707" t="s">
        <v>37</v>
      </c>
      <c r="R252" s="1704" t="s">
        <v>37</v>
      </c>
      <c r="S252" s="1703" t="s">
        <v>37</v>
      </c>
      <c r="T252" s="1705" t="s">
        <v>37</v>
      </c>
      <c r="U252" s="1703" t="s">
        <v>37</v>
      </c>
      <c r="V252" s="1704" t="s">
        <v>37</v>
      </c>
      <c r="W252" s="1703" t="s">
        <v>38</v>
      </c>
      <c r="X252" s="1705" t="s">
        <v>38</v>
      </c>
      <c r="Y252" s="431"/>
      <c r="Z252" s="590" t="s">
        <v>418</v>
      </c>
      <c r="AA252" s="972" t="s">
        <v>38</v>
      </c>
      <c r="AB252" s="1913"/>
      <c r="AC252" s="1220"/>
      <c r="AD252" s="1240" t="s">
        <v>387</v>
      </c>
      <c r="AE252" s="1239" t="s">
        <v>800</v>
      </c>
      <c r="AF252" s="1239" t="s">
        <v>387</v>
      </c>
      <c r="AG252" s="1239" t="s">
        <v>388</v>
      </c>
      <c r="AH252" s="1783" t="s">
        <v>391</v>
      </c>
      <c r="AI252" s="1765" t="s">
        <v>391</v>
      </c>
      <c r="AJ252" s="1239" t="s">
        <v>391</v>
      </c>
      <c r="AK252" s="1239" t="s">
        <v>794</v>
      </c>
      <c r="AL252" s="1095"/>
      <c r="AM252" s="1095"/>
      <c r="AN252" s="1097"/>
      <c r="AO252" s="1095"/>
      <c r="AP252" s="1095"/>
      <c r="AQ252" s="1097"/>
      <c r="AR252" s="1111"/>
      <c r="AS252" s="1110"/>
      <c r="AT252" s="181"/>
      <c r="AU252" s="181"/>
      <c r="AV252" s="181"/>
      <c r="AW252" s="181"/>
      <c r="AX252" s="181"/>
      <c r="AY252" s="181"/>
      <c r="AZ252" s="181"/>
      <c r="BA252" s="181"/>
      <c r="BB252" s="181"/>
      <c r="BC252" s="181"/>
      <c r="BD252" s="181"/>
      <c r="BE252" s="181"/>
      <c r="BF252" s="181"/>
      <c r="BG252" s="181"/>
      <c r="BH252" s="181"/>
      <c r="BI252" s="181"/>
      <c r="BJ252" s="181"/>
      <c r="BK252" s="181"/>
      <c r="BL252" s="181"/>
      <c r="BM252" s="181"/>
      <c r="BN252" s="181"/>
      <c r="BO252" s="181"/>
      <c r="BP252" s="181"/>
      <c r="BQ252" s="181"/>
      <c r="BR252" s="181"/>
      <c r="BS252" s="181"/>
      <c r="BT252" s="181"/>
      <c r="BU252" s="181"/>
      <c r="BV252" s="181"/>
    </row>
    <row r="253" spans="1:74" s="30" customFormat="1" ht="15.75" x14ac:dyDescent="0.25">
      <c r="A253" s="545"/>
      <c r="B253" s="1579"/>
      <c r="C253" s="1110"/>
      <c r="D253" s="1145" t="s">
        <v>145</v>
      </c>
      <c r="E253" s="1147" t="str">
        <f t="shared" si="43"/>
        <v/>
      </c>
      <c r="F253" s="1124"/>
      <c r="G253" s="1703" t="s">
        <v>38</v>
      </c>
      <c r="H253" s="1704" t="s">
        <v>38</v>
      </c>
      <c r="I253" s="1703" t="s">
        <v>38</v>
      </c>
      <c r="J253" s="1705" t="s">
        <v>38</v>
      </c>
      <c r="K253" s="1703" t="s">
        <v>37</v>
      </c>
      <c r="L253" s="1704" t="str">
        <f t="shared" si="45"/>
        <v>Y</v>
      </c>
      <c r="M253" s="1703" t="s">
        <v>37</v>
      </c>
      <c r="N253" s="1704" t="s">
        <v>37</v>
      </c>
      <c r="O253" s="1703" t="s">
        <v>37</v>
      </c>
      <c r="P253" s="1706" t="s">
        <v>37</v>
      </c>
      <c r="Q253" s="1707" t="s">
        <v>37</v>
      </c>
      <c r="R253" s="1704" t="s">
        <v>37</v>
      </c>
      <c r="S253" s="1703" t="s">
        <v>37</v>
      </c>
      <c r="T253" s="1705" t="s">
        <v>37</v>
      </c>
      <c r="U253" s="1703" t="s">
        <v>37</v>
      </c>
      <c r="V253" s="1704" t="s">
        <v>37</v>
      </c>
      <c r="W253" s="1703" t="s">
        <v>38</v>
      </c>
      <c r="X253" s="1705" t="s">
        <v>38</v>
      </c>
      <c r="Y253" s="431"/>
      <c r="Z253" s="590" t="s">
        <v>419</v>
      </c>
      <c r="AA253" s="972" t="s">
        <v>38</v>
      </c>
      <c r="AB253" s="1913"/>
      <c r="AC253" s="1219"/>
      <c r="AD253" s="1240" t="s">
        <v>387</v>
      </c>
      <c r="AE253" s="1239" t="s">
        <v>800</v>
      </c>
      <c r="AF253" s="1239" t="s">
        <v>388</v>
      </c>
      <c r="AG253" s="1239" t="s">
        <v>390</v>
      </c>
      <c r="AH253" s="1783" t="s">
        <v>391</v>
      </c>
      <c r="AI253" s="1765" t="s">
        <v>391</v>
      </c>
      <c r="AJ253" s="1239" t="s">
        <v>391</v>
      </c>
      <c r="AK253" s="1239" t="s">
        <v>794</v>
      </c>
      <c r="AL253" s="1095"/>
      <c r="AM253" s="1095"/>
      <c r="AN253" s="1097"/>
      <c r="AO253" s="1095"/>
      <c r="AP253" s="1095"/>
      <c r="AQ253" s="1106"/>
      <c r="AR253" s="1097"/>
      <c r="AS253" s="1110"/>
      <c r="AT253" s="181"/>
      <c r="AU253" s="181"/>
      <c r="AV253" s="181"/>
      <c r="AW253" s="181"/>
      <c r="AX253" s="181"/>
      <c r="AY253" s="181"/>
      <c r="AZ253" s="181"/>
      <c r="BA253" s="181"/>
      <c r="BB253" s="181"/>
      <c r="BC253" s="181"/>
      <c r="BD253" s="181"/>
      <c r="BE253" s="181"/>
      <c r="BF253" s="181"/>
      <c r="BG253" s="181"/>
      <c r="BH253" s="181"/>
      <c r="BI253" s="181"/>
      <c r="BJ253" s="181"/>
      <c r="BK253" s="181"/>
      <c r="BL253" s="181"/>
      <c r="BM253" s="181"/>
      <c r="BN253" s="181"/>
      <c r="BO253" s="181"/>
      <c r="BP253" s="181"/>
      <c r="BQ253" s="181"/>
      <c r="BR253" s="181"/>
      <c r="BS253" s="181"/>
      <c r="BT253" s="181"/>
      <c r="BU253" s="181"/>
      <c r="BV253" s="181"/>
    </row>
    <row r="254" spans="1:74" s="30" customFormat="1" ht="15.75" x14ac:dyDescent="0.25">
      <c r="A254" s="545"/>
      <c r="B254" s="1579"/>
      <c r="C254" s="1110"/>
      <c r="D254" s="1145" t="s">
        <v>145</v>
      </c>
      <c r="E254" s="1147" t="str">
        <f t="shared" si="43"/>
        <v>N</v>
      </c>
      <c r="F254" s="1124"/>
      <c r="G254" s="1703" t="s">
        <v>38</v>
      </c>
      <c r="H254" s="1704" t="s">
        <v>38</v>
      </c>
      <c r="I254" s="1703" t="s">
        <v>38</v>
      </c>
      <c r="J254" s="1705" t="s">
        <v>38</v>
      </c>
      <c r="K254" s="1703" t="s">
        <v>38</v>
      </c>
      <c r="L254" s="1704" t="s">
        <v>38</v>
      </c>
      <c r="M254" s="1703" t="s">
        <v>38</v>
      </c>
      <c r="N254" s="1704" t="s">
        <v>38</v>
      </c>
      <c r="O254" s="1703" t="s">
        <v>38</v>
      </c>
      <c r="P254" s="1706" t="s">
        <v>38</v>
      </c>
      <c r="Q254" s="1707" t="s">
        <v>38</v>
      </c>
      <c r="R254" s="1704" t="s">
        <v>38</v>
      </c>
      <c r="S254" s="1703" t="s">
        <v>38</v>
      </c>
      <c r="T254" s="1705" t="s">
        <v>38</v>
      </c>
      <c r="U254" s="1703" t="s">
        <v>38</v>
      </c>
      <c r="V254" s="1704" t="s">
        <v>37</v>
      </c>
      <c r="W254" s="1703" t="s">
        <v>38</v>
      </c>
      <c r="X254" s="1705" t="s">
        <v>38</v>
      </c>
      <c r="Y254" s="431"/>
      <c r="Z254" s="888" t="s">
        <v>469</v>
      </c>
      <c r="AA254" s="972" t="s">
        <v>38</v>
      </c>
      <c r="AB254" s="1913"/>
      <c r="AC254" s="1218"/>
      <c r="AD254" s="1240" t="s">
        <v>387</v>
      </c>
      <c r="AE254" s="1239" t="s">
        <v>387</v>
      </c>
      <c r="AF254" s="1239" t="s">
        <v>388</v>
      </c>
      <c r="AG254" s="1239" t="s">
        <v>390</v>
      </c>
      <c r="AH254" s="1783" t="s">
        <v>391</v>
      </c>
      <c r="AI254" s="1765" t="s">
        <v>391</v>
      </c>
      <c r="AJ254" s="1239" t="s">
        <v>391</v>
      </c>
      <c r="AK254" s="1239" t="s">
        <v>794</v>
      </c>
      <c r="AL254" s="1095"/>
      <c r="AM254" s="1095"/>
      <c r="AN254" s="1097"/>
      <c r="AO254" s="1095"/>
      <c r="AP254" s="1095"/>
      <c r="AQ254" s="1106"/>
      <c r="AR254" s="1097"/>
      <c r="AS254" s="1110"/>
      <c r="AT254" s="181"/>
      <c r="AU254" s="181"/>
      <c r="AV254" s="181"/>
      <c r="AW254" s="181"/>
      <c r="AX254" s="181"/>
      <c r="AY254" s="181"/>
      <c r="AZ254" s="181"/>
      <c r="BA254" s="181"/>
      <c r="BB254" s="181"/>
      <c r="BC254" s="181"/>
      <c r="BD254" s="181"/>
      <c r="BE254" s="181"/>
      <c r="BF254" s="181"/>
      <c r="BG254" s="181"/>
      <c r="BH254" s="181"/>
      <c r="BI254" s="181"/>
      <c r="BJ254" s="181"/>
      <c r="BK254" s="181"/>
      <c r="BL254" s="181"/>
      <c r="BM254" s="181"/>
      <c r="BN254" s="181"/>
      <c r="BO254" s="181"/>
      <c r="BP254" s="181"/>
      <c r="BQ254" s="181"/>
      <c r="BR254" s="181"/>
      <c r="BS254" s="181"/>
      <c r="BT254" s="181"/>
      <c r="BU254" s="181"/>
      <c r="BV254" s="181"/>
    </row>
    <row r="255" spans="1:74" s="181" customFormat="1" ht="15.75" x14ac:dyDescent="0.25">
      <c r="A255" s="551"/>
      <c r="B255" s="1578"/>
      <c r="C255" s="1110"/>
      <c r="D255" s="1145" t="s">
        <v>145</v>
      </c>
      <c r="E255" s="1146" t="str">
        <f t="shared" si="43"/>
        <v/>
      </c>
      <c r="F255" s="1166"/>
      <c r="G255" s="886" t="s">
        <v>38</v>
      </c>
      <c r="H255" s="962" t="s">
        <v>38</v>
      </c>
      <c r="I255" s="886" t="s">
        <v>37</v>
      </c>
      <c r="J255" s="963" t="s">
        <v>37</v>
      </c>
      <c r="K255" s="886" t="s">
        <v>37</v>
      </c>
      <c r="L255" s="962" t="str">
        <f>IF(L245="No","N","Y")</f>
        <v>Y</v>
      </c>
      <c r="M255" s="886" t="s">
        <v>37</v>
      </c>
      <c r="N255" s="962" t="s">
        <v>37</v>
      </c>
      <c r="O255" s="886" t="s">
        <v>37</v>
      </c>
      <c r="P255" s="964" t="s">
        <v>37</v>
      </c>
      <c r="Q255" s="985" t="s">
        <v>37</v>
      </c>
      <c r="R255" s="962" t="s">
        <v>37</v>
      </c>
      <c r="S255" s="886" t="s">
        <v>37</v>
      </c>
      <c r="T255" s="963" t="s">
        <v>37</v>
      </c>
      <c r="U255" s="886" t="s">
        <v>37</v>
      </c>
      <c r="V255" s="962" t="s">
        <v>37</v>
      </c>
      <c r="W255" s="886" t="s">
        <v>38</v>
      </c>
      <c r="X255" s="963" t="s">
        <v>38</v>
      </c>
      <c r="Y255" s="433"/>
      <c r="Z255" s="591" t="s">
        <v>77</v>
      </c>
      <c r="AA255" s="972" t="s">
        <v>37</v>
      </c>
      <c r="AB255" s="1923"/>
      <c r="AC255" s="1153"/>
      <c r="AD255" s="1261"/>
      <c r="AE255" s="1249"/>
      <c r="AF255" s="1249"/>
      <c r="AG255" s="1262" t="s">
        <v>600</v>
      </c>
      <c r="AH255" s="1791" t="s">
        <v>600</v>
      </c>
      <c r="AI255" s="1772" t="s">
        <v>600</v>
      </c>
      <c r="AJ255" s="1262" t="s">
        <v>600</v>
      </c>
      <c r="AK255" s="1263" t="s">
        <v>794</v>
      </c>
      <c r="AL255" s="1095"/>
      <c r="AM255" s="1095"/>
      <c r="AN255" s="1095"/>
      <c r="AO255" s="1095"/>
      <c r="AP255" s="1095"/>
      <c r="AQ255" s="1106"/>
      <c r="AR255" s="1097"/>
      <c r="AS255" s="1110"/>
    </row>
    <row r="256" spans="1:74" s="181" customFormat="1" ht="15.75" x14ac:dyDescent="0.25">
      <c r="A256" s="551"/>
      <c r="B256" s="1578"/>
      <c r="C256" s="1110"/>
      <c r="D256" s="1145" t="s">
        <v>145</v>
      </c>
      <c r="E256" s="1147" t="str">
        <f t="shared" si="43"/>
        <v>N</v>
      </c>
      <c r="F256" s="1166"/>
      <c r="G256" s="1703" t="s">
        <v>38</v>
      </c>
      <c r="H256" s="1704" t="s">
        <v>38</v>
      </c>
      <c r="I256" s="1703" t="s">
        <v>38</v>
      </c>
      <c r="J256" s="1705" t="s">
        <v>38</v>
      </c>
      <c r="K256" s="1703" t="s">
        <v>38</v>
      </c>
      <c r="L256" s="1704" t="s">
        <v>38</v>
      </c>
      <c r="M256" s="1703" t="s">
        <v>38</v>
      </c>
      <c r="N256" s="1704" t="s">
        <v>38</v>
      </c>
      <c r="O256" s="1703" t="s">
        <v>38</v>
      </c>
      <c r="P256" s="1706" t="s">
        <v>38</v>
      </c>
      <c r="Q256" s="1707" t="s">
        <v>38</v>
      </c>
      <c r="R256" s="1704" t="s">
        <v>38</v>
      </c>
      <c r="S256" s="1703" t="s">
        <v>38</v>
      </c>
      <c r="T256" s="1705" t="s">
        <v>38</v>
      </c>
      <c r="U256" s="1703" t="s">
        <v>38</v>
      </c>
      <c r="V256" s="1704" t="s">
        <v>38</v>
      </c>
      <c r="W256" s="1703" t="s">
        <v>38</v>
      </c>
      <c r="X256" s="1705" t="s">
        <v>38</v>
      </c>
      <c r="Y256" s="431"/>
      <c r="Z256" s="888" t="s">
        <v>470</v>
      </c>
      <c r="AA256" s="972" t="s">
        <v>38</v>
      </c>
      <c r="AB256" s="1913"/>
      <c r="AC256" s="1153"/>
      <c r="AD256" s="1240" t="s">
        <v>387</v>
      </c>
      <c r="AE256" s="1239" t="s">
        <v>387</v>
      </c>
      <c r="AF256" s="1239" t="s">
        <v>388</v>
      </c>
      <c r="AG256" s="1239" t="s">
        <v>390</v>
      </c>
      <c r="AH256" s="1783" t="s">
        <v>391</v>
      </c>
      <c r="AI256" s="1765" t="s">
        <v>391</v>
      </c>
      <c r="AJ256" s="1239" t="s">
        <v>391</v>
      </c>
      <c r="AK256" s="1239" t="s">
        <v>794</v>
      </c>
      <c r="AL256" s="1095"/>
      <c r="AM256" s="1095"/>
      <c r="AN256" s="1095"/>
      <c r="AO256" s="1095"/>
      <c r="AP256" s="1095"/>
      <c r="AQ256" s="1106"/>
      <c r="AR256" s="1097"/>
      <c r="AS256" s="1110"/>
    </row>
    <row r="257" spans="1:74" s="30" customFormat="1" ht="15.75" x14ac:dyDescent="0.25">
      <c r="A257" s="545"/>
      <c r="B257" s="1579"/>
      <c r="C257" s="1110"/>
      <c r="D257" s="1145" t="s">
        <v>145</v>
      </c>
      <c r="E257" s="1147" t="str">
        <f t="shared" si="43"/>
        <v>N</v>
      </c>
      <c r="F257" s="1124"/>
      <c r="G257" s="1703" t="s">
        <v>38</v>
      </c>
      <c r="H257" s="1704" t="s">
        <v>38</v>
      </c>
      <c r="I257" s="1703" t="s">
        <v>38</v>
      </c>
      <c r="J257" s="1705" t="s">
        <v>38</v>
      </c>
      <c r="K257" s="1703" t="s">
        <v>38</v>
      </c>
      <c r="L257" s="1704" t="s">
        <v>38</v>
      </c>
      <c r="M257" s="1703" t="s">
        <v>38</v>
      </c>
      <c r="N257" s="1704" t="s">
        <v>38</v>
      </c>
      <c r="O257" s="1703" t="s">
        <v>38</v>
      </c>
      <c r="P257" s="1706" t="s">
        <v>38</v>
      </c>
      <c r="Q257" s="1707" t="s">
        <v>38</v>
      </c>
      <c r="R257" s="1704" t="s">
        <v>38</v>
      </c>
      <c r="S257" s="1703" t="s">
        <v>38</v>
      </c>
      <c r="T257" s="1705" t="s">
        <v>38</v>
      </c>
      <c r="U257" s="1703" t="s">
        <v>38</v>
      </c>
      <c r="V257" s="1704" t="s">
        <v>38</v>
      </c>
      <c r="W257" s="1703" t="s">
        <v>38</v>
      </c>
      <c r="X257" s="1705" t="s">
        <v>38</v>
      </c>
      <c r="Y257" s="431"/>
      <c r="Z257" s="888" t="s">
        <v>470</v>
      </c>
      <c r="AA257" s="972" t="s">
        <v>38</v>
      </c>
      <c r="AB257" s="1913"/>
      <c r="AC257" s="1153"/>
      <c r="AD257" s="1240" t="s">
        <v>387</v>
      </c>
      <c r="AE257" s="1239" t="s">
        <v>387</v>
      </c>
      <c r="AF257" s="1239" t="s">
        <v>388</v>
      </c>
      <c r="AG257" s="1239" t="s">
        <v>390</v>
      </c>
      <c r="AH257" s="1783" t="s">
        <v>391</v>
      </c>
      <c r="AI257" s="1765" t="s">
        <v>391</v>
      </c>
      <c r="AJ257" s="1239" t="s">
        <v>391</v>
      </c>
      <c r="AK257" s="1239" t="s">
        <v>794</v>
      </c>
      <c r="AL257" s="1095"/>
      <c r="AM257" s="1095"/>
      <c r="AN257" s="1097"/>
      <c r="AO257" s="1095"/>
      <c r="AP257" s="1095"/>
      <c r="AQ257" s="1097"/>
      <c r="AR257" s="1112"/>
      <c r="AS257" s="1110"/>
      <c r="AT257" s="181"/>
      <c r="AU257" s="181"/>
      <c r="AV257" s="181"/>
      <c r="AW257" s="181"/>
      <c r="AX257" s="181"/>
      <c r="AY257" s="181"/>
      <c r="AZ257" s="181"/>
      <c r="BA257" s="181"/>
      <c r="BB257" s="181"/>
      <c r="BC257" s="181"/>
      <c r="BD257" s="181"/>
      <c r="BE257" s="181"/>
      <c r="BF257" s="181"/>
      <c r="BG257" s="181"/>
      <c r="BH257" s="181"/>
      <c r="BI257" s="181"/>
      <c r="BJ257" s="181"/>
      <c r="BK257" s="181"/>
      <c r="BL257" s="181"/>
      <c r="BM257" s="181"/>
      <c r="BN257" s="181"/>
      <c r="BO257" s="181"/>
      <c r="BP257" s="181"/>
      <c r="BQ257" s="181"/>
      <c r="BR257" s="181"/>
      <c r="BS257" s="181"/>
      <c r="BT257" s="181"/>
      <c r="BU257" s="181"/>
      <c r="BV257" s="181"/>
    </row>
    <row r="258" spans="1:74" s="545" customFormat="1" ht="15.75" x14ac:dyDescent="0.25">
      <c r="B258" s="1579"/>
      <c r="C258" s="1097"/>
      <c r="D258" s="1145" t="s">
        <v>145</v>
      </c>
      <c r="E258" s="1147" t="str">
        <f t="shared" si="43"/>
        <v/>
      </c>
      <c r="F258" s="1124"/>
      <c r="G258" s="1703" t="s">
        <v>38</v>
      </c>
      <c r="H258" s="1704" t="s">
        <v>38</v>
      </c>
      <c r="I258" s="1703" t="s">
        <v>37</v>
      </c>
      <c r="J258" s="1705" t="s">
        <v>38</v>
      </c>
      <c r="K258" s="1703" t="s">
        <v>37</v>
      </c>
      <c r="L258" s="1704" t="str">
        <f t="shared" ref="L258" si="46">IF(L247="No","N","Y")</f>
        <v>Y</v>
      </c>
      <c r="M258" s="1703" t="s">
        <v>37</v>
      </c>
      <c r="N258" s="1704" t="s">
        <v>37</v>
      </c>
      <c r="O258" s="1703" t="s">
        <v>37</v>
      </c>
      <c r="P258" s="1706" t="s">
        <v>37</v>
      </c>
      <c r="Q258" s="1707" t="s">
        <v>37</v>
      </c>
      <c r="R258" s="1704" t="s">
        <v>37</v>
      </c>
      <c r="S258" s="1703" t="s">
        <v>37</v>
      </c>
      <c r="T258" s="1705" t="s">
        <v>37</v>
      </c>
      <c r="U258" s="1703" t="s">
        <v>37</v>
      </c>
      <c r="V258" s="1704" t="s">
        <v>37</v>
      </c>
      <c r="W258" s="1703" t="s">
        <v>38</v>
      </c>
      <c r="X258" s="1705" t="s">
        <v>38</v>
      </c>
      <c r="Y258" s="748"/>
      <c r="Z258" s="590" t="s">
        <v>1009</v>
      </c>
      <c r="AA258" s="1004" t="s">
        <v>37</v>
      </c>
      <c r="AB258" s="1913"/>
      <c r="AC258" s="1125"/>
      <c r="AD258" s="1240" t="s">
        <v>387</v>
      </c>
      <c r="AE258" s="1239" t="s">
        <v>800</v>
      </c>
      <c r="AF258" s="1239" t="s">
        <v>388</v>
      </c>
      <c r="AG258" s="1239" t="s">
        <v>390</v>
      </c>
      <c r="AH258" s="1783" t="s">
        <v>391</v>
      </c>
      <c r="AI258" s="1765" t="s">
        <v>391</v>
      </c>
      <c r="AJ258" s="1239" t="s">
        <v>391</v>
      </c>
      <c r="AK258" s="1239" t="s">
        <v>794</v>
      </c>
      <c r="AL258" s="1095"/>
      <c r="AM258" s="1095"/>
      <c r="AN258" s="1095"/>
      <c r="AO258" s="1095"/>
      <c r="AP258" s="1095"/>
      <c r="AQ258" s="1106"/>
      <c r="AR258" s="1097"/>
      <c r="AS258" s="1097"/>
      <c r="AT258" s="551"/>
      <c r="AU258" s="551"/>
      <c r="AV258" s="551"/>
      <c r="AW258" s="551"/>
      <c r="AX258" s="551"/>
      <c r="AY258" s="551"/>
      <c r="AZ258" s="551"/>
      <c r="BA258" s="551"/>
      <c r="BB258" s="551"/>
      <c r="BC258" s="551"/>
      <c r="BD258" s="551"/>
      <c r="BE258" s="551"/>
      <c r="BF258" s="551"/>
      <c r="BG258" s="551"/>
      <c r="BH258" s="551"/>
      <c r="BI258" s="551"/>
      <c r="BJ258" s="551"/>
      <c r="BK258" s="551"/>
      <c r="BL258" s="551"/>
      <c r="BM258" s="551"/>
      <c r="BN258" s="551"/>
      <c r="BO258" s="551"/>
      <c r="BP258" s="551"/>
      <c r="BQ258" s="551"/>
      <c r="BR258" s="551"/>
      <c r="BS258" s="551"/>
      <c r="BT258" s="551"/>
      <c r="BU258" s="551"/>
      <c r="BV258" s="551"/>
    </row>
    <row r="259" spans="1:74" s="545" customFormat="1" ht="15.75" x14ac:dyDescent="0.25">
      <c r="B259" s="1579"/>
      <c r="C259" s="1097"/>
      <c r="D259" s="1145" t="s">
        <v>145</v>
      </c>
      <c r="E259" s="1147" t="str">
        <f t="shared" si="43"/>
        <v/>
      </c>
      <c r="F259" s="1124"/>
      <c r="G259" s="1703" t="s">
        <v>38</v>
      </c>
      <c r="H259" s="1704" t="s">
        <v>38</v>
      </c>
      <c r="I259" s="1703" t="s">
        <v>38</v>
      </c>
      <c r="J259" s="1705" t="s">
        <v>38</v>
      </c>
      <c r="K259" s="1703" t="s">
        <v>37</v>
      </c>
      <c r="L259" s="1704" t="str">
        <f t="shared" ref="L259:L269" si="47">IF(L247="No","N","Y")</f>
        <v>Y</v>
      </c>
      <c r="M259" s="1703" t="s">
        <v>37</v>
      </c>
      <c r="N259" s="1704" t="s">
        <v>37</v>
      </c>
      <c r="O259" s="1703" t="s">
        <v>37</v>
      </c>
      <c r="P259" s="1706" t="s">
        <v>37</v>
      </c>
      <c r="Q259" s="1707" t="s">
        <v>37</v>
      </c>
      <c r="R259" s="1704" t="s">
        <v>37</v>
      </c>
      <c r="S259" s="1703" t="s">
        <v>37</v>
      </c>
      <c r="T259" s="1705" t="s">
        <v>37</v>
      </c>
      <c r="U259" s="1703" t="s">
        <v>37</v>
      </c>
      <c r="V259" s="1704" t="s">
        <v>37</v>
      </c>
      <c r="W259" s="1703" t="s">
        <v>38</v>
      </c>
      <c r="X259" s="1705" t="s">
        <v>38</v>
      </c>
      <c r="Y259" s="748"/>
      <c r="Z259" s="586" t="s">
        <v>1007</v>
      </c>
      <c r="AA259" s="1004" t="s">
        <v>37</v>
      </c>
      <c r="AB259" s="1913"/>
      <c r="AC259" s="1125"/>
      <c r="AD259" s="1240" t="s">
        <v>387</v>
      </c>
      <c r="AE259" s="1239" t="s">
        <v>800</v>
      </c>
      <c r="AF259" s="1239" t="s">
        <v>388</v>
      </c>
      <c r="AG259" s="1239" t="s">
        <v>390</v>
      </c>
      <c r="AH259" s="1783" t="s">
        <v>391</v>
      </c>
      <c r="AI259" s="1765" t="s">
        <v>391</v>
      </c>
      <c r="AJ259" s="1239" t="s">
        <v>391</v>
      </c>
      <c r="AK259" s="1239" t="s">
        <v>794</v>
      </c>
      <c r="AL259" s="1095"/>
      <c r="AM259" s="1095"/>
      <c r="AN259" s="1095"/>
      <c r="AO259" s="1095"/>
      <c r="AP259" s="1095"/>
      <c r="AQ259" s="1106"/>
      <c r="AR259" s="1097"/>
      <c r="AS259" s="1097"/>
      <c r="AT259" s="551"/>
      <c r="AU259" s="551"/>
      <c r="AV259" s="551"/>
      <c r="AW259" s="551"/>
      <c r="AX259" s="551"/>
      <c r="AY259" s="551"/>
      <c r="AZ259" s="551"/>
      <c r="BA259" s="551"/>
      <c r="BB259" s="551"/>
      <c r="BC259" s="551"/>
      <c r="BD259" s="551"/>
      <c r="BE259" s="551"/>
      <c r="BF259" s="551"/>
      <c r="BG259" s="551"/>
      <c r="BH259" s="551"/>
      <c r="BI259" s="551"/>
      <c r="BJ259" s="551"/>
      <c r="BK259" s="551"/>
      <c r="BL259" s="551"/>
      <c r="BM259" s="551"/>
      <c r="BN259" s="551"/>
      <c r="BO259" s="551"/>
      <c r="BP259" s="551"/>
      <c r="BQ259" s="551"/>
      <c r="BR259" s="551"/>
      <c r="BS259" s="551"/>
      <c r="BT259" s="551"/>
      <c r="BU259" s="551"/>
      <c r="BV259" s="551"/>
    </row>
    <row r="260" spans="1:74" s="10" customFormat="1" ht="15.75" x14ac:dyDescent="0.25">
      <c r="B260" s="1579"/>
      <c r="C260" s="1110"/>
      <c r="D260" s="1145" t="s">
        <v>145</v>
      </c>
      <c r="E260" s="1147" t="str">
        <f t="shared" si="43"/>
        <v/>
      </c>
      <c r="F260" s="1124"/>
      <c r="G260" s="1703" t="s">
        <v>38</v>
      </c>
      <c r="H260" s="1704" t="s">
        <v>38</v>
      </c>
      <c r="I260" s="1703" t="s">
        <v>37</v>
      </c>
      <c r="J260" s="1705" t="s">
        <v>37</v>
      </c>
      <c r="K260" s="1703" t="s">
        <v>37</v>
      </c>
      <c r="L260" s="1704" t="str">
        <f t="shared" si="47"/>
        <v>Y</v>
      </c>
      <c r="M260" s="1703" t="s">
        <v>37</v>
      </c>
      <c r="N260" s="1704" t="s">
        <v>37</v>
      </c>
      <c r="O260" s="1703" t="s">
        <v>37</v>
      </c>
      <c r="P260" s="1706" t="s">
        <v>37</v>
      </c>
      <c r="Q260" s="1707" t="s">
        <v>37</v>
      </c>
      <c r="R260" s="1704" t="s">
        <v>37</v>
      </c>
      <c r="S260" s="1703" t="s">
        <v>37</v>
      </c>
      <c r="T260" s="1705" t="s">
        <v>37</v>
      </c>
      <c r="U260" s="1703" t="s">
        <v>37</v>
      </c>
      <c r="V260" s="1704" t="s">
        <v>37</v>
      </c>
      <c r="W260" s="1703" t="s">
        <v>38</v>
      </c>
      <c r="X260" s="1705" t="s">
        <v>38</v>
      </c>
      <c r="Y260" s="431"/>
      <c r="Z260" s="590" t="s">
        <v>420</v>
      </c>
      <c r="AA260" s="972" t="s">
        <v>37</v>
      </c>
      <c r="AB260" s="1913"/>
      <c r="AC260" s="1153"/>
      <c r="AD260" s="1240" t="s">
        <v>387</v>
      </c>
      <c r="AE260" s="1239" t="s">
        <v>387</v>
      </c>
      <c r="AF260" s="1239" t="s">
        <v>388</v>
      </c>
      <c r="AG260" s="1239" t="s">
        <v>390</v>
      </c>
      <c r="AH260" s="1783" t="s">
        <v>391</v>
      </c>
      <c r="AI260" s="1765" t="s">
        <v>391</v>
      </c>
      <c r="AJ260" s="1239" t="s">
        <v>391</v>
      </c>
      <c r="AK260" s="1239" t="s">
        <v>794</v>
      </c>
      <c r="AL260" s="1095"/>
      <c r="AM260" s="1095"/>
      <c r="AN260" s="1097"/>
      <c r="AO260" s="1095"/>
      <c r="AP260" s="1095"/>
      <c r="AQ260" s="1097"/>
      <c r="AR260" s="1112"/>
      <c r="AS260" s="1110"/>
      <c r="AT260" s="203"/>
      <c r="AU260" s="203"/>
      <c r="AV260" s="203"/>
      <c r="AW260" s="203"/>
      <c r="AX260" s="203"/>
      <c r="AY260" s="203"/>
      <c r="AZ260" s="203"/>
      <c r="BA260" s="203"/>
      <c r="BB260" s="203"/>
      <c r="BC260" s="203"/>
      <c r="BD260" s="203"/>
      <c r="BE260" s="203"/>
      <c r="BF260" s="203"/>
      <c r="BG260" s="203"/>
      <c r="BH260" s="203"/>
      <c r="BI260" s="203"/>
      <c r="BJ260" s="203"/>
      <c r="BK260" s="203"/>
      <c r="BL260" s="203"/>
      <c r="BM260" s="203"/>
      <c r="BN260" s="203"/>
      <c r="BO260" s="203"/>
      <c r="BP260" s="203"/>
      <c r="BQ260" s="203"/>
      <c r="BR260" s="203"/>
      <c r="BS260" s="203"/>
      <c r="BT260" s="203"/>
      <c r="BU260" s="203"/>
      <c r="BV260" s="203"/>
    </row>
    <row r="261" spans="1:74" s="10" customFormat="1" ht="15.75" x14ac:dyDescent="0.25">
      <c r="B261" s="1579"/>
      <c r="C261" s="1110"/>
      <c r="D261" s="1145" t="s">
        <v>145</v>
      </c>
      <c r="E261" s="1147" t="str">
        <f t="shared" si="43"/>
        <v/>
      </c>
      <c r="F261" s="1124"/>
      <c r="G261" s="1703" t="s">
        <v>38</v>
      </c>
      <c r="H261" s="1704" t="s">
        <v>38</v>
      </c>
      <c r="I261" s="1703" t="s">
        <v>38</v>
      </c>
      <c r="J261" s="1705" t="s">
        <v>38</v>
      </c>
      <c r="K261" s="1703" t="s">
        <v>37</v>
      </c>
      <c r="L261" s="1704" t="str">
        <f t="shared" si="47"/>
        <v>Y</v>
      </c>
      <c r="M261" s="1703" t="s">
        <v>37</v>
      </c>
      <c r="N261" s="1704" t="s">
        <v>37</v>
      </c>
      <c r="O261" s="1703" t="s">
        <v>37</v>
      </c>
      <c r="P261" s="1706" t="s">
        <v>37</v>
      </c>
      <c r="Q261" s="1707" t="s">
        <v>37</v>
      </c>
      <c r="R261" s="1704" t="s">
        <v>37</v>
      </c>
      <c r="S261" s="1703" t="s">
        <v>37</v>
      </c>
      <c r="T261" s="1705" t="s">
        <v>37</v>
      </c>
      <c r="U261" s="1703" t="s">
        <v>37</v>
      </c>
      <c r="V261" s="1704" t="s">
        <v>37</v>
      </c>
      <c r="W261" s="1703" t="s">
        <v>38</v>
      </c>
      <c r="X261" s="1705" t="s">
        <v>38</v>
      </c>
      <c r="Y261" s="431"/>
      <c r="Z261" s="590" t="s">
        <v>421</v>
      </c>
      <c r="AA261" s="972" t="s">
        <v>37</v>
      </c>
      <c r="AB261" s="1913"/>
      <c r="AC261" s="1153"/>
      <c r="AD261" s="1240" t="s">
        <v>387</v>
      </c>
      <c r="AE261" s="1239" t="s">
        <v>387</v>
      </c>
      <c r="AF261" s="1239" t="s">
        <v>387</v>
      </c>
      <c r="AG261" s="1239" t="s">
        <v>388</v>
      </c>
      <c r="AH261" s="1783" t="s">
        <v>391</v>
      </c>
      <c r="AI261" s="1765" t="s">
        <v>391</v>
      </c>
      <c r="AJ261" s="1239" t="s">
        <v>391</v>
      </c>
      <c r="AK261" s="1239" t="s">
        <v>794</v>
      </c>
      <c r="AL261" s="1095"/>
      <c r="AM261" s="1095"/>
      <c r="AN261" s="1097"/>
      <c r="AO261" s="1095"/>
      <c r="AP261" s="1095"/>
      <c r="AQ261" s="1097"/>
      <c r="AR261" s="1112"/>
      <c r="AS261" s="1110"/>
      <c r="AT261" s="203"/>
      <c r="AU261" s="203"/>
      <c r="AV261" s="203"/>
      <c r="AW261" s="203"/>
      <c r="AX261" s="203"/>
      <c r="AY261" s="203"/>
      <c r="AZ261" s="203"/>
      <c r="BA261" s="203"/>
      <c r="BB261" s="203"/>
      <c r="BC261" s="203"/>
      <c r="BD261" s="203"/>
      <c r="BE261" s="203"/>
      <c r="BF261" s="203"/>
      <c r="BG261" s="203"/>
      <c r="BH261" s="203"/>
      <c r="BI261" s="203"/>
      <c r="BJ261" s="203"/>
      <c r="BK261" s="203"/>
      <c r="BL261" s="203"/>
      <c r="BM261" s="203"/>
      <c r="BN261" s="203"/>
      <c r="BO261" s="203"/>
      <c r="BP261" s="203"/>
      <c r="BQ261" s="203"/>
      <c r="BR261" s="203"/>
      <c r="BS261" s="203"/>
      <c r="BT261" s="203"/>
      <c r="BU261" s="203"/>
      <c r="BV261" s="203"/>
    </row>
    <row r="262" spans="1:74" s="10" customFormat="1" ht="15.75" x14ac:dyDescent="0.25">
      <c r="B262" s="1579"/>
      <c r="C262" s="1110"/>
      <c r="D262" s="1145" t="s">
        <v>145</v>
      </c>
      <c r="E262" s="1147" t="str">
        <f t="shared" si="43"/>
        <v/>
      </c>
      <c r="F262" s="1124"/>
      <c r="G262" s="1703" t="s">
        <v>38</v>
      </c>
      <c r="H262" s="1704" t="s">
        <v>38</v>
      </c>
      <c r="I262" s="1703" t="s">
        <v>38</v>
      </c>
      <c r="J262" s="1705" t="s">
        <v>38</v>
      </c>
      <c r="K262" s="1703" t="s">
        <v>37</v>
      </c>
      <c r="L262" s="1704" t="str">
        <f t="shared" si="47"/>
        <v>Y</v>
      </c>
      <c r="M262" s="1703" t="s">
        <v>37</v>
      </c>
      <c r="N262" s="1704" t="s">
        <v>37</v>
      </c>
      <c r="O262" s="1703" t="s">
        <v>37</v>
      </c>
      <c r="P262" s="1706" t="s">
        <v>37</v>
      </c>
      <c r="Q262" s="1707" t="s">
        <v>37</v>
      </c>
      <c r="R262" s="1704" t="s">
        <v>37</v>
      </c>
      <c r="S262" s="1703" t="s">
        <v>37</v>
      </c>
      <c r="T262" s="1705" t="s">
        <v>37</v>
      </c>
      <c r="U262" s="1703" t="s">
        <v>37</v>
      </c>
      <c r="V262" s="1704" t="s">
        <v>37</v>
      </c>
      <c r="W262" s="1703" t="s">
        <v>38</v>
      </c>
      <c r="X262" s="1705" t="s">
        <v>38</v>
      </c>
      <c r="Y262" s="431"/>
      <c r="Z262" s="590" t="s">
        <v>422</v>
      </c>
      <c r="AA262" s="972" t="s">
        <v>37</v>
      </c>
      <c r="AB262" s="1913"/>
      <c r="AC262" s="1153"/>
      <c r="AD262" s="1240"/>
      <c r="AE262" s="1239"/>
      <c r="AF262" s="1239" t="s">
        <v>387</v>
      </c>
      <c r="AG262" s="1239" t="s">
        <v>388</v>
      </c>
      <c r="AH262" s="1783" t="s">
        <v>390</v>
      </c>
      <c r="AI262" s="1765" t="s">
        <v>391</v>
      </c>
      <c r="AJ262" s="1239" t="s">
        <v>391</v>
      </c>
      <c r="AK262" s="1239" t="s">
        <v>794</v>
      </c>
      <c r="AL262" s="1095"/>
      <c r="AM262" s="1095"/>
      <c r="AN262" s="1097"/>
      <c r="AO262" s="1095"/>
      <c r="AP262" s="1095"/>
      <c r="AQ262" s="1097"/>
      <c r="AR262" s="1112"/>
      <c r="AS262" s="1110"/>
      <c r="AT262" s="203"/>
      <c r="AU262" s="203"/>
      <c r="AV262" s="203"/>
      <c r="AW262" s="203"/>
      <c r="AX262" s="203"/>
      <c r="AY262" s="203"/>
      <c r="AZ262" s="203"/>
      <c r="BA262" s="203"/>
      <c r="BB262" s="203"/>
      <c r="BC262" s="203"/>
      <c r="BD262" s="203"/>
      <c r="BE262" s="203"/>
      <c r="BF262" s="203"/>
      <c r="BG262" s="203"/>
      <c r="BH262" s="203"/>
      <c r="BI262" s="203"/>
      <c r="BJ262" s="203"/>
      <c r="BK262" s="203"/>
      <c r="BL262" s="203"/>
      <c r="BM262" s="203"/>
      <c r="BN262" s="203"/>
      <c r="BO262" s="203"/>
      <c r="BP262" s="203"/>
      <c r="BQ262" s="203"/>
      <c r="BR262" s="203"/>
      <c r="BS262" s="203"/>
      <c r="BT262" s="203"/>
      <c r="BU262" s="203"/>
      <c r="BV262" s="203"/>
    </row>
    <row r="263" spans="1:74" s="10" customFormat="1" ht="15.75" x14ac:dyDescent="0.25">
      <c r="B263" s="1579"/>
      <c r="C263" s="1110"/>
      <c r="D263" s="1145" t="s">
        <v>145</v>
      </c>
      <c r="E263" s="1147" t="str">
        <f t="shared" si="43"/>
        <v/>
      </c>
      <c r="F263" s="1124"/>
      <c r="G263" s="1703" t="s">
        <v>38</v>
      </c>
      <c r="H263" s="1704" t="s">
        <v>38</v>
      </c>
      <c r="I263" s="1703" t="s">
        <v>38</v>
      </c>
      <c r="J263" s="1705" t="s">
        <v>38</v>
      </c>
      <c r="K263" s="1703" t="s">
        <v>37</v>
      </c>
      <c r="L263" s="1704" t="str">
        <f t="shared" si="47"/>
        <v>Y</v>
      </c>
      <c r="M263" s="1703" t="s">
        <v>37</v>
      </c>
      <c r="N263" s="1704" t="s">
        <v>37</v>
      </c>
      <c r="O263" s="1703" t="s">
        <v>37</v>
      </c>
      <c r="P263" s="1706" t="s">
        <v>37</v>
      </c>
      <c r="Q263" s="1707" t="s">
        <v>37</v>
      </c>
      <c r="R263" s="1704" t="s">
        <v>37</v>
      </c>
      <c r="S263" s="1703" t="s">
        <v>37</v>
      </c>
      <c r="T263" s="1705" t="s">
        <v>37</v>
      </c>
      <c r="U263" s="1703" t="s">
        <v>37</v>
      </c>
      <c r="V263" s="1704" t="s">
        <v>37</v>
      </c>
      <c r="W263" s="1703" t="s">
        <v>38</v>
      </c>
      <c r="X263" s="1705" t="s">
        <v>38</v>
      </c>
      <c r="Y263" s="431"/>
      <c r="Z263" s="590" t="s">
        <v>423</v>
      </c>
      <c r="AA263" s="972" t="s">
        <v>37</v>
      </c>
      <c r="AB263" s="1913"/>
      <c r="AC263" s="1153"/>
      <c r="AD263" s="1240" t="s">
        <v>387</v>
      </c>
      <c r="AE263" s="1239" t="s">
        <v>387</v>
      </c>
      <c r="AF263" s="1239" t="s">
        <v>387</v>
      </c>
      <c r="AG263" s="1239" t="s">
        <v>388</v>
      </c>
      <c r="AH263" s="1783" t="s">
        <v>391</v>
      </c>
      <c r="AI263" s="1765" t="s">
        <v>391</v>
      </c>
      <c r="AJ263" s="1239" t="s">
        <v>391</v>
      </c>
      <c r="AK263" s="1239" t="s">
        <v>794</v>
      </c>
      <c r="AL263" s="1095"/>
      <c r="AM263" s="1095"/>
      <c r="AN263" s="1097"/>
      <c r="AO263" s="1095"/>
      <c r="AP263" s="1095"/>
      <c r="AQ263" s="1097"/>
      <c r="AR263" s="1112"/>
      <c r="AS263" s="1110"/>
      <c r="AT263" s="203"/>
      <c r="AU263" s="203"/>
      <c r="AV263" s="203"/>
      <c r="AW263" s="203"/>
      <c r="AX263" s="203"/>
      <c r="AY263" s="203"/>
      <c r="AZ263" s="203"/>
      <c r="BA263" s="203"/>
      <c r="BB263" s="203"/>
      <c r="BC263" s="203"/>
      <c r="BD263" s="203"/>
      <c r="BE263" s="203"/>
      <c r="BF263" s="203"/>
      <c r="BG263" s="203"/>
      <c r="BH263" s="203"/>
      <c r="BI263" s="203"/>
      <c r="BJ263" s="203"/>
      <c r="BK263" s="203"/>
      <c r="BL263" s="203"/>
      <c r="BM263" s="203"/>
      <c r="BN263" s="203"/>
      <c r="BO263" s="203"/>
      <c r="BP263" s="203"/>
      <c r="BQ263" s="203"/>
      <c r="BR263" s="203"/>
      <c r="BS263" s="203"/>
      <c r="BT263" s="203"/>
      <c r="BU263" s="203"/>
      <c r="BV263" s="203"/>
    </row>
    <row r="264" spans="1:74" s="10" customFormat="1" ht="15.75" x14ac:dyDescent="0.25">
      <c r="B264" s="1579"/>
      <c r="C264" s="1110"/>
      <c r="D264" s="1145" t="s">
        <v>145</v>
      </c>
      <c r="E264" s="1147" t="str">
        <f t="shared" si="43"/>
        <v/>
      </c>
      <c r="F264" s="1124"/>
      <c r="G264" s="1703" t="s">
        <v>38</v>
      </c>
      <c r="H264" s="1704" t="s">
        <v>38</v>
      </c>
      <c r="I264" s="1703" t="s">
        <v>37</v>
      </c>
      <c r="J264" s="1705" t="s">
        <v>37</v>
      </c>
      <c r="K264" s="1703" t="s">
        <v>37</v>
      </c>
      <c r="L264" s="1704" t="str">
        <f t="shared" si="47"/>
        <v>Y</v>
      </c>
      <c r="M264" s="1703" t="s">
        <v>37</v>
      </c>
      <c r="N264" s="1704" t="s">
        <v>37</v>
      </c>
      <c r="O264" s="1703" t="s">
        <v>37</v>
      </c>
      <c r="P264" s="1706" t="s">
        <v>37</v>
      </c>
      <c r="Q264" s="1707" t="s">
        <v>37</v>
      </c>
      <c r="R264" s="1704" t="s">
        <v>37</v>
      </c>
      <c r="S264" s="1703" t="s">
        <v>37</v>
      </c>
      <c r="T264" s="1705" t="s">
        <v>37</v>
      </c>
      <c r="U264" s="1703" t="s">
        <v>37</v>
      </c>
      <c r="V264" s="1704" t="s">
        <v>37</v>
      </c>
      <c r="W264" s="1703" t="s">
        <v>38</v>
      </c>
      <c r="X264" s="1705" t="s">
        <v>38</v>
      </c>
      <c r="Y264" s="431"/>
      <c r="Z264" s="590" t="s">
        <v>424</v>
      </c>
      <c r="AA264" s="972" t="s">
        <v>37</v>
      </c>
      <c r="AB264" s="1913"/>
      <c r="AC264" s="1153"/>
      <c r="AD264" s="1240" t="s">
        <v>387</v>
      </c>
      <c r="AE264" s="1239" t="s">
        <v>387</v>
      </c>
      <c r="AF264" s="1239" t="s">
        <v>388</v>
      </c>
      <c r="AG264" s="1239" t="s">
        <v>390</v>
      </c>
      <c r="AH264" s="1783" t="s">
        <v>391</v>
      </c>
      <c r="AI264" s="1765" t="s">
        <v>391</v>
      </c>
      <c r="AJ264" s="1239" t="s">
        <v>391</v>
      </c>
      <c r="AK264" s="1239" t="s">
        <v>794</v>
      </c>
      <c r="AL264" s="1095"/>
      <c r="AM264" s="1095"/>
      <c r="AN264" s="1097"/>
      <c r="AO264" s="1095"/>
      <c r="AP264" s="1095"/>
      <c r="AQ264" s="1097"/>
      <c r="AR264" s="1112"/>
      <c r="AS264" s="1110"/>
      <c r="AT264" s="203"/>
      <c r="AU264" s="203"/>
      <c r="AV264" s="203"/>
      <c r="AW264" s="203"/>
      <c r="AX264" s="203"/>
      <c r="AY264" s="203"/>
      <c r="AZ264" s="203"/>
      <c r="BA264" s="203"/>
      <c r="BB264" s="203"/>
      <c r="BC264" s="203"/>
      <c r="BD264" s="203"/>
      <c r="BE264" s="203"/>
      <c r="BF264" s="203"/>
      <c r="BG264" s="203"/>
      <c r="BH264" s="203"/>
      <c r="BI264" s="203"/>
      <c r="BJ264" s="203"/>
      <c r="BK264" s="203"/>
      <c r="BL264" s="203"/>
      <c r="BM264" s="203"/>
      <c r="BN264" s="203"/>
      <c r="BO264" s="203"/>
      <c r="BP264" s="203"/>
      <c r="BQ264" s="203"/>
      <c r="BR264" s="203"/>
      <c r="BS264" s="203"/>
      <c r="BT264" s="203"/>
      <c r="BU264" s="203"/>
      <c r="BV264" s="203"/>
    </row>
    <row r="265" spans="1:74" s="10" customFormat="1" ht="15.75" x14ac:dyDescent="0.25">
      <c r="B265" s="1579"/>
      <c r="C265" s="1110"/>
      <c r="D265" s="1145" t="s">
        <v>145</v>
      </c>
      <c r="E265" s="1147" t="str">
        <f t="shared" si="43"/>
        <v/>
      </c>
      <c r="F265" s="1124"/>
      <c r="G265" s="1703" t="s">
        <v>38</v>
      </c>
      <c r="H265" s="1704" t="s">
        <v>38</v>
      </c>
      <c r="I265" s="1703" t="s">
        <v>38</v>
      </c>
      <c r="J265" s="1705" t="s">
        <v>38</v>
      </c>
      <c r="K265" s="1703" t="s">
        <v>37</v>
      </c>
      <c r="L265" s="1704" t="str">
        <f t="shared" si="47"/>
        <v>Y</v>
      </c>
      <c r="M265" s="1703" t="s">
        <v>37</v>
      </c>
      <c r="N265" s="1704" t="s">
        <v>37</v>
      </c>
      <c r="O265" s="1703" t="s">
        <v>37</v>
      </c>
      <c r="P265" s="1706" t="s">
        <v>37</v>
      </c>
      <c r="Q265" s="1707" t="s">
        <v>37</v>
      </c>
      <c r="R265" s="1704" t="s">
        <v>37</v>
      </c>
      <c r="S265" s="1703" t="s">
        <v>37</v>
      </c>
      <c r="T265" s="1705" t="s">
        <v>37</v>
      </c>
      <c r="U265" s="1703" t="s">
        <v>37</v>
      </c>
      <c r="V265" s="1704" t="s">
        <v>37</v>
      </c>
      <c r="W265" s="1703" t="s">
        <v>38</v>
      </c>
      <c r="X265" s="1705" t="s">
        <v>38</v>
      </c>
      <c r="Y265" s="431"/>
      <c r="Z265" s="590" t="s">
        <v>425</v>
      </c>
      <c r="AA265" s="972" t="s">
        <v>37</v>
      </c>
      <c r="AB265" s="1913"/>
      <c r="AC265" s="1153"/>
      <c r="AD265" s="1240" t="s">
        <v>387</v>
      </c>
      <c r="AE265" s="1239" t="s">
        <v>387</v>
      </c>
      <c r="AF265" s="1239" t="s">
        <v>387</v>
      </c>
      <c r="AG265" s="1239" t="s">
        <v>388</v>
      </c>
      <c r="AH265" s="1783" t="s">
        <v>391</v>
      </c>
      <c r="AI265" s="1765" t="s">
        <v>391</v>
      </c>
      <c r="AJ265" s="1239" t="s">
        <v>391</v>
      </c>
      <c r="AK265" s="1239" t="s">
        <v>794</v>
      </c>
      <c r="AL265" s="1095"/>
      <c r="AM265" s="1095"/>
      <c r="AN265" s="1097"/>
      <c r="AO265" s="1095"/>
      <c r="AP265" s="1095"/>
      <c r="AQ265" s="1097"/>
      <c r="AR265" s="1112"/>
      <c r="AS265" s="1110"/>
      <c r="AT265" s="203"/>
      <c r="AU265" s="203"/>
      <c r="AV265" s="203"/>
      <c r="AW265" s="203"/>
      <c r="AX265" s="203"/>
      <c r="AY265" s="203"/>
      <c r="AZ265" s="203"/>
      <c r="BA265" s="203"/>
      <c r="BB265" s="203"/>
      <c r="BC265" s="203"/>
      <c r="BD265" s="203"/>
      <c r="BE265" s="203"/>
      <c r="BF265" s="203"/>
      <c r="BG265" s="203"/>
      <c r="BH265" s="203"/>
      <c r="BI265" s="203"/>
      <c r="BJ265" s="203"/>
      <c r="BK265" s="203"/>
      <c r="BL265" s="203"/>
      <c r="BM265" s="203"/>
      <c r="BN265" s="203"/>
      <c r="BO265" s="203"/>
      <c r="BP265" s="203"/>
      <c r="BQ265" s="203"/>
      <c r="BR265" s="203"/>
      <c r="BS265" s="203"/>
      <c r="BT265" s="203"/>
      <c r="BU265" s="203"/>
      <c r="BV265" s="203"/>
    </row>
    <row r="266" spans="1:74" s="10" customFormat="1" ht="15.75" x14ac:dyDescent="0.25">
      <c r="B266" s="1579"/>
      <c r="C266" s="1110"/>
      <c r="D266" s="1145" t="s">
        <v>145</v>
      </c>
      <c r="E266" s="1147" t="str">
        <f t="shared" si="43"/>
        <v/>
      </c>
      <c r="F266" s="1124"/>
      <c r="G266" s="1703" t="s">
        <v>38</v>
      </c>
      <c r="H266" s="1704" t="s">
        <v>38</v>
      </c>
      <c r="I266" s="1703" t="s">
        <v>38</v>
      </c>
      <c r="J266" s="1705" t="s">
        <v>38</v>
      </c>
      <c r="K266" s="1703" t="s">
        <v>37</v>
      </c>
      <c r="L266" s="1704" t="str">
        <f t="shared" si="47"/>
        <v>Y</v>
      </c>
      <c r="M266" s="1703" t="s">
        <v>37</v>
      </c>
      <c r="N266" s="1704" t="s">
        <v>37</v>
      </c>
      <c r="O266" s="1703" t="s">
        <v>37</v>
      </c>
      <c r="P266" s="1706" t="s">
        <v>37</v>
      </c>
      <c r="Q266" s="1707" t="s">
        <v>37</v>
      </c>
      <c r="R266" s="1704" t="s">
        <v>37</v>
      </c>
      <c r="S266" s="1703" t="s">
        <v>37</v>
      </c>
      <c r="T266" s="1705" t="s">
        <v>37</v>
      </c>
      <c r="U266" s="1703" t="s">
        <v>37</v>
      </c>
      <c r="V266" s="1704" t="s">
        <v>37</v>
      </c>
      <c r="W266" s="1703" t="s">
        <v>38</v>
      </c>
      <c r="X266" s="1705" t="s">
        <v>38</v>
      </c>
      <c r="Y266" s="431"/>
      <c r="Z266" s="590" t="s">
        <v>426</v>
      </c>
      <c r="AA266" s="972" t="s">
        <v>37</v>
      </c>
      <c r="AB266" s="1913"/>
      <c r="AC266" s="1153"/>
      <c r="AD266" s="1240"/>
      <c r="AE266" s="1239"/>
      <c r="AF266" s="1239" t="s">
        <v>387</v>
      </c>
      <c r="AG266" s="1239" t="s">
        <v>388</v>
      </c>
      <c r="AH266" s="1783" t="s">
        <v>390</v>
      </c>
      <c r="AI266" s="1765" t="s">
        <v>391</v>
      </c>
      <c r="AJ266" s="1239" t="s">
        <v>391</v>
      </c>
      <c r="AK266" s="1239" t="s">
        <v>794</v>
      </c>
      <c r="AL266" s="1095"/>
      <c r="AM266" s="1095"/>
      <c r="AN266" s="1097"/>
      <c r="AO266" s="1095"/>
      <c r="AP266" s="1095"/>
      <c r="AQ266" s="1097"/>
      <c r="AR266" s="1112"/>
      <c r="AS266" s="1110"/>
      <c r="AT266" s="203"/>
      <c r="AU266" s="203"/>
      <c r="AV266" s="203"/>
      <c r="AW266" s="203"/>
      <c r="AX266" s="203"/>
      <c r="AY266" s="203"/>
      <c r="AZ266" s="203"/>
      <c r="BA266" s="203"/>
      <c r="BB266" s="203"/>
      <c r="BC266" s="203"/>
      <c r="BD266" s="203"/>
      <c r="BE266" s="203"/>
      <c r="BF266" s="203"/>
      <c r="BG266" s="203"/>
      <c r="BH266" s="203"/>
      <c r="BI266" s="203"/>
      <c r="BJ266" s="203"/>
      <c r="BK266" s="203"/>
      <c r="BL266" s="203"/>
      <c r="BM266" s="203"/>
      <c r="BN266" s="203"/>
      <c r="BO266" s="203"/>
      <c r="BP266" s="203"/>
      <c r="BQ266" s="203"/>
      <c r="BR266" s="203"/>
      <c r="BS266" s="203"/>
      <c r="BT266" s="203"/>
      <c r="BU266" s="203"/>
      <c r="BV266" s="203"/>
    </row>
    <row r="267" spans="1:74" s="30" customFormat="1" ht="15.75" x14ac:dyDescent="0.25">
      <c r="A267" s="545"/>
      <c r="B267" s="1579"/>
      <c r="C267" s="1110"/>
      <c r="D267" s="1145" t="s">
        <v>145</v>
      </c>
      <c r="E267" s="1147" t="str">
        <f t="shared" si="43"/>
        <v/>
      </c>
      <c r="F267" s="1124"/>
      <c r="G267" s="1703" t="s">
        <v>38</v>
      </c>
      <c r="H267" s="1704" t="s">
        <v>38</v>
      </c>
      <c r="I267" s="1703" t="s">
        <v>37</v>
      </c>
      <c r="J267" s="1705" t="s">
        <v>37</v>
      </c>
      <c r="K267" s="1703" t="s">
        <v>37</v>
      </c>
      <c r="L267" s="1704" t="str">
        <f t="shared" si="47"/>
        <v>Y</v>
      </c>
      <c r="M267" s="1703" t="s">
        <v>37</v>
      </c>
      <c r="N267" s="1704" t="s">
        <v>37</v>
      </c>
      <c r="O267" s="1703" t="s">
        <v>37</v>
      </c>
      <c r="P267" s="1706" t="s">
        <v>37</v>
      </c>
      <c r="Q267" s="1707" t="s">
        <v>37</v>
      </c>
      <c r="R267" s="1704" t="s">
        <v>37</v>
      </c>
      <c r="S267" s="1703" t="s">
        <v>37</v>
      </c>
      <c r="T267" s="1705" t="s">
        <v>37</v>
      </c>
      <c r="U267" s="1703" t="s">
        <v>37</v>
      </c>
      <c r="V267" s="1704" t="s">
        <v>37</v>
      </c>
      <c r="W267" s="1703" t="s">
        <v>38</v>
      </c>
      <c r="X267" s="1705" t="s">
        <v>38</v>
      </c>
      <c r="Y267" s="431"/>
      <c r="Z267" s="590" t="s">
        <v>427</v>
      </c>
      <c r="AA267" s="972" t="s">
        <v>37</v>
      </c>
      <c r="AB267" s="1913"/>
      <c r="AC267" s="1153"/>
      <c r="AD267" s="1240" t="s">
        <v>387</v>
      </c>
      <c r="AE267" s="1239" t="s">
        <v>387</v>
      </c>
      <c r="AF267" s="1239" t="s">
        <v>388</v>
      </c>
      <c r="AG267" s="1239" t="s">
        <v>390</v>
      </c>
      <c r="AH267" s="1783" t="s">
        <v>391</v>
      </c>
      <c r="AI267" s="1765" t="s">
        <v>391</v>
      </c>
      <c r="AJ267" s="1239" t="s">
        <v>391</v>
      </c>
      <c r="AK267" s="1239" t="s">
        <v>794</v>
      </c>
      <c r="AL267" s="1095"/>
      <c r="AM267" s="1095"/>
      <c r="AN267" s="1097"/>
      <c r="AO267" s="1095"/>
      <c r="AP267" s="1095"/>
      <c r="AQ267" s="1106"/>
      <c r="AR267" s="1097"/>
      <c r="AS267" s="1110"/>
      <c r="AT267" s="181"/>
      <c r="AU267" s="181"/>
      <c r="AV267" s="181"/>
      <c r="AW267" s="181"/>
      <c r="AX267" s="181"/>
      <c r="AY267" s="181"/>
      <c r="AZ267" s="181"/>
      <c r="BA267" s="181"/>
      <c r="BB267" s="181"/>
      <c r="BC267" s="181"/>
      <c r="BD267" s="181"/>
      <c r="BE267" s="181"/>
      <c r="BF267" s="181"/>
      <c r="BG267" s="181"/>
      <c r="BH267" s="181"/>
      <c r="BI267" s="181"/>
      <c r="BJ267" s="181"/>
      <c r="BK267" s="181"/>
      <c r="BL267" s="181"/>
      <c r="BM267" s="181"/>
      <c r="BN267" s="181"/>
      <c r="BO267" s="181"/>
      <c r="BP267" s="181"/>
      <c r="BQ267" s="181"/>
      <c r="BR267" s="181"/>
      <c r="BS267" s="181"/>
      <c r="BT267" s="181"/>
      <c r="BU267" s="181"/>
      <c r="BV267" s="181"/>
    </row>
    <row r="268" spans="1:74" s="30" customFormat="1" ht="15.75" x14ac:dyDescent="0.25">
      <c r="A268" s="545"/>
      <c r="B268" s="1579"/>
      <c r="C268" s="1110"/>
      <c r="D268" s="1145" t="s">
        <v>145</v>
      </c>
      <c r="E268" s="1147" t="str">
        <f t="shared" si="43"/>
        <v/>
      </c>
      <c r="F268" s="1124"/>
      <c r="G268" s="1703" t="s">
        <v>38</v>
      </c>
      <c r="H268" s="1704" t="s">
        <v>38</v>
      </c>
      <c r="I268" s="1703" t="s">
        <v>37</v>
      </c>
      <c r="J268" s="1705" t="s">
        <v>37</v>
      </c>
      <c r="K268" s="1703" t="s">
        <v>37</v>
      </c>
      <c r="L268" s="1704" t="str">
        <f t="shared" si="47"/>
        <v>Y</v>
      </c>
      <c r="M268" s="1703" t="s">
        <v>37</v>
      </c>
      <c r="N268" s="1704" t="s">
        <v>37</v>
      </c>
      <c r="O268" s="1703" t="s">
        <v>37</v>
      </c>
      <c r="P268" s="1706" t="s">
        <v>37</v>
      </c>
      <c r="Q268" s="1707" t="s">
        <v>37</v>
      </c>
      <c r="R268" s="1704" t="s">
        <v>37</v>
      </c>
      <c r="S268" s="1703" t="s">
        <v>37</v>
      </c>
      <c r="T268" s="1705" t="s">
        <v>37</v>
      </c>
      <c r="U268" s="1703" t="s">
        <v>37</v>
      </c>
      <c r="V268" s="1704" t="s">
        <v>37</v>
      </c>
      <c r="W268" s="1703" t="s">
        <v>38</v>
      </c>
      <c r="X268" s="1705" t="s">
        <v>38</v>
      </c>
      <c r="Y268" s="431"/>
      <c r="Z268" s="590" t="s">
        <v>428</v>
      </c>
      <c r="AA268" s="972" t="s">
        <v>37</v>
      </c>
      <c r="AB268" s="1913"/>
      <c r="AC268" s="1153"/>
      <c r="AD268" s="1240" t="s">
        <v>387</v>
      </c>
      <c r="AE268" s="1239" t="s">
        <v>387</v>
      </c>
      <c r="AF268" s="1239" t="s">
        <v>388</v>
      </c>
      <c r="AG268" s="1239" t="s">
        <v>390</v>
      </c>
      <c r="AH268" s="1783" t="s">
        <v>391</v>
      </c>
      <c r="AI268" s="1765" t="s">
        <v>391</v>
      </c>
      <c r="AJ268" s="1239" t="s">
        <v>391</v>
      </c>
      <c r="AK268" s="1239" t="s">
        <v>794</v>
      </c>
      <c r="AL268" s="1095"/>
      <c r="AM268" s="1095"/>
      <c r="AN268" s="1097"/>
      <c r="AO268" s="1095"/>
      <c r="AP268" s="1095"/>
      <c r="AQ268" s="1106"/>
      <c r="AR268" s="1097"/>
      <c r="AS268" s="1110"/>
      <c r="AT268" s="181"/>
      <c r="AU268" s="181"/>
      <c r="AV268" s="181"/>
      <c r="AW268" s="181"/>
      <c r="AX268" s="181"/>
      <c r="AY268" s="181"/>
      <c r="AZ268" s="181"/>
      <c r="BA268" s="181"/>
      <c r="BB268" s="181"/>
      <c r="BC268" s="181"/>
      <c r="BD268" s="181"/>
      <c r="BE268" s="181"/>
      <c r="BF268" s="181"/>
      <c r="BG268" s="181"/>
      <c r="BH268" s="181"/>
      <c r="BI268" s="181"/>
      <c r="BJ268" s="181"/>
      <c r="BK268" s="181"/>
      <c r="BL268" s="181"/>
      <c r="BM268" s="181"/>
      <c r="BN268" s="181"/>
      <c r="BO268" s="181"/>
      <c r="BP268" s="181"/>
      <c r="BQ268" s="181"/>
      <c r="BR268" s="181"/>
      <c r="BS268" s="181"/>
      <c r="BT268" s="181"/>
      <c r="BU268" s="181"/>
      <c r="BV268" s="181"/>
    </row>
    <row r="269" spans="1:74" s="30" customFormat="1" ht="15.75" x14ac:dyDescent="0.25">
      <c r="A269" s="545"/>
      <c r="B269" s="1579"/>
      <c r="C269" s="1110"/>
      <c r="D269" s="1145" t="s">
        <v>145</v>
      </c>
      <c r="E269" s="1147" t="str">
        <f t="shared" si="43"/>
        <v/>
      </c>
      <c r="F269" s="1124"/>
      <c r="G269" s="1703" t="s">
        <v>38</v>
      </c>
      <c r="H269" s="1704" t="s">
        <v>38</v>
      </c>
      <c r="I269" s="1703" t="s">
        <v>37</v>
      </c>
      <c r="J269" s="1705" t="s">
        <v>37</v>
      </c>
      <c r="K269" s="1703" t="s">
        <v>37</v>
      </c>
      <c r="L269" s="1704" t="str">
        <f t="shared" si="47"/>
        <v>Y</v>
      </c>
      <c r="M269" s="1703" t="s">
        <v>37</v>
      </c>
      <c r="N269" s="1704" t="s">
        <v>37</v>
      </c>
      <c r="O269" s="1703" t="s">
        <v>37</v>
      </c>
      <c r="P269" s="1706" t="s">
        <v>37</v>
      </c>
      <c r="Q269" s="1707" t="s">
        <v>37</v>
      </c>
      <c r="R269" s="1704" t="s">
        <v>37</v>
      </c>
      <c r="S269" s="1703" t="s">
        <v>37</v>
      </c>
      <c r="T269" s="1705" t="s">
        <v>37</v>
      </c>
      <c r="U269" s="1703" t="s">
        <v>37</v>
      </c>
      <c r="V269" s="1704" t="s">
        <v>37</v>
      </c>
      <c r="W269" s="1703" t="s">
        <v>38</v>
      </c>
      <c r="X269" s="1705" t="s">
        <v>38</v>
      </c>
      <c r="Y269" s="434"/>
      <c r="Z269" s="590" t="s">
        <v>429</v>
      </c>
      <c r="AA269" s="972" t="s">
        <v>37</v>
      </c>
      <c r="AB269" s="1913"/>
      <c r="AC269" s="1218"/>
      <c r="AD269" s="1240" t="s">
        <v>387</v>
      </c>
      <c r="AE269" s="1239" t="s">
        <v>387</v>
      </c>
      <c r="AF269" s="1239" t="s">
        <v>388</v>
      </c>
      <c r="AG269" s="1239" t="s">
        <v>390</v>
      </c>
      <c r="AH269" s="1783" t="s">
        <v>391</v>
      </c>
      <c r="AI269" s="1765" t="s">
        <v>391</v>
      </c>
      <c r="AJ269" s="1239" t="s">
        <v>391</v>
      </c>
      <c r="AK269" s="1239" t="s">
        <v>794</v>
      </c>
      <c r="AL269" s="1095"/>
      <c r="AM269" s="1095"/>
      <c r="AN269" s="1097"/>
      <c r="AO269" s="1095"/>
      <c r="AP269" s="1095"/>
      <c r="AQ269" s="1106"/>
      <c r="AR269" s="1097"/>
      <c r="AS269" s="1110"/>
      <c r="AT269" s="181"/>
      <c r="AU269" s="181"/>
      <c r="AV269" s="181"/>
      <c r="AW269" s="181"/>
      <c r="AX269" s="181"/>
      <c r="AY269" s="181"/>
      <c r="AZ269" s="181"/>
      <c r="BA269" s="181"/>
      <c r="BB269" s="181"/>
      <c r="BC269" s="181"/>
      <c r="BD269" s="181"/>
      <c r="BE269" s="181"/>
      <c r="BF269" s="181"/>
      <c r="BG269" s="181"/>
      <c r="BH269" s="181"/>
      <c r="BI269" s="181"/>
      <c r="BJ269" s="181"/>
      <c r="BK269" s="181"/>
      <c r="BL269" s="181"/>
      <c r="BM269" s="181"/>
      <c r="BN269" s="181"/>
      <c r="BO269" s="181"/>
      <c r="BP269" s="181"/>
      <c r="BQ269" s="181"/>
      <c r="BR269" s="181"/>
      <c r="BS269" s="181"/>
      <c r="BT269" s="181"/>
      <c r="BU269" s="181"/>
      <c r="BV269" s="181"/>
    </row>
    <row r="270" spans="1:74" s="181" customFormat="1" ht="15.75" x14ac:dyDescent="0.25">
      <c r="A270" s="551"/>
      <c r="B270" s="1578"/>
      <c r="C270" s="1110"/>
      <c r="D270" s="1145" t="s">
        <v>145</v>
      </c>
      <c r="E270" s="1146" t="str">
        <f t="shared" si="43"/>
        <v/>
      </c>
      <c r="F270" s="1166"/>
      <c r="G270" s="886" t="s">
        <v>38</v>
      </c>
      <c r="H270" s="962" t="s">
        <v>38</v>
      </c>
      <c r="I270" s="886" t="s">
        <v>37</v>
      </c>
      <c r="J270" s="963" t="s">
        <v>37</v>
      </c>
      <c r="K270" s="886" t="s">
        <v>37</v>
      </c>
      <c r="L270" s="962" t="str">
        <f t="shared" ref="L270" si="48">IF(L260="No","N","Y")</f>
        <v>Y</v>
      </c>
      <c r="M270" s="886" t="s">
        <v>37</v>
      </c>
      <c r="N270" s="962" t="s">
        <v>37</v>
      </c>
      <c r="O270" s="886" t="s">
        <v>37</v>
      </c>
      <c r="P270" s="964" t="s">
        <v>37</v>
      </c>
      <c r="Q270" s="985" t="s">
        <v>37</v>
      </c>
      <c r="R270" s="962" t="s">
        <v>37</v>
      </c>
      <c r="S270" s="886" t="s">
        <v>37</v>
      </c>
      <c r="T270" s="963" t="s">
        <v>37</v>
      </c>
      <c r="U270" s="886" t="s">
        <v>37</v>
      </c>
      <c r="V270" s="962" t="s">
        <v>37</v>
      </c>
      <c r="W270" s="886" t="s">
        <v>38</v>
      </c>
      <c r="X270" s="963" t="s">
        <v>38</v>
      </c>
      <c r="Y270" s="433"/>
      <c r="Z270" s="591" t="s">
        <v>78</v>
      </c>
      <c r="AA270" s="972" t="s">
        <v>37</v>
      </c>
      <c r="AB270" s="1923"/>
      <c r="AC270" s="1153"/>
      <c r="AD270" s="1261"/>
      <c r="AE270" s="1249"/>
      <c r="AF270" s="1249"/>
      <c r="AG270" s="1262" t="s">
        <v>600</v>
      </c>
      <c r="AH270" s="1791" t="s">
        <v>600</v>
      </c>
      <c r="AI270" s="1772" t="s">
        <v>600</v>
      </c>
      <c r="AJ270" s="1262" t="s">
        <v>600</v>
      </c>
      <c r="AK270" s="1263" t="s">
        <v>794</v>
      </c>
      <c r="AL270" s="1095"/>
      <c r="AM270" s="1095"/>
      <c r="AN270" s="1095"/>
      <c r="AO270" s="1095"/>
      <c r="AP270" s="1095"/>
      <c r="AQ270" s="1106"/>
      <c r="AR270" s="1097"/>
      <c r="AS270" s="1110"/>
    </row>
    <row r="271" spans="1:74" s="181" customFormat="1" ht="15.75" x14ac:dyDescent="0.25">
      <c r="A271" s="551"/>
      <c r="B271" s="1578"/>
      <c r="C271" s="1110"/>
      <c r="D271" s="1145" t="s">
        <v>145</v>
      </c>
      <c r="E271" s="1147" t="str">
        <f t="shared" si="43"/>
        <v>N</v>
      </c>
      <c r="F271" s="1166"/>
      <c r="G271" s="1703" t="s">
        <v>38</v>
      </c>
      <c r="H271" s="1704" t="s">
        <v>38</v>
      </c>
      <c r="I271" s="1703" t="s">
        <v>38</v>
      </c>
      <c r="J271" s="1705" t="s">
        <v>38</v>
      </c>
      <c r="K271" s="1703" t="s">
        <v>38</v>
      </c>
      <c r="L271" s="1704" t="s">
        <v>38</v>
      </c>
      <c r="M271" s="1703" t="s">
        <v>38</v>
      </c>
      <c r="N271" s="1704" t="s">
        <v>38</v>
      </c>
      <c r="O271" s="1703" t="s">
        <v>38</v>
      </c>
      <c r="P271" s="1706" t="s">
        <v>38</v>
      </c>
      <c r="Q271" s="1707" t="s">
        <v>38</v>
      </c>
      <c r="R271" s="1704" t="s">
        <v>38</v>
      </c>
      <c r="S271" s="1703" t="s">
        <v>38</v>
      </c>
      <c r="T271" s="1705" t="s">
        <v>38</v>
      </c>
      <c r="U271" s="1703" t="s">
        <v>38</v>
      </c>
      <c r="V271" s="1704" t="s">
        <v>38</v>
      </c>
      <c r="W271" s="1703" t="s">
        <v>38</v>
      </c>
      <c r="X271" s="1705" t="s">
        <v>38</v>
      </c>
      <c r="Y271" s="431"/>
      <c r="Z271" s="888" t="s">
        <v>471</v>
      </c>
      <c r="AA271" s="972" t="s">
        <v>38</v>
      </c>
      <c r="AB271" s="1913"/>
      <c r="AC271" s="1153"/>
      <c r="AD271" s="1240" t="s">
        <v>387</v>
      </c>
      <c r="AE271" s="1239" t="s">
        <v>387</v>
      </c>
      <c r="AF271" s="1239" t="s">
        <v>388</v>
      </c>
      <c r="AG271" s="1239" t="s">
        <v>390</v>
      </c>
      <c r="AH271" s="1783" t="s">
        <v>391</v>
      </c>
      <c r="AI271" s="1765" t="s">
        <v>391</v>
      </c>
      <c r="AJ271" s="1239" t="s">
        <v>391</v>
      </c>
      <c r="AK271" s="1239" t="s">
        <v>794</v>
      </c>
      <c r="AL271" s="1095"/>
      <c r="AM271" s="1095"/>
      <c r="AN271" s="1095"/>
      <c r="AO271" s="1095"/>
      <c r="AP271" s="1095"/>
      <c r="AQ271" s="1106"/>
      <c r="AR271" s="1097"/>
      <c r="AS271" s="1110"/>
    </row>
    <row r="272" spans="1:74" s="30" customFormat="1" ht="15.75" x14ac:dyDescent="0.25">
      <c r="A272" s="545"/>
      <c r="B272" s="1579"/>
      <c r="C272" s="1110"/>
      <c r="D272" s="1145" t="s">
        <v>145</v>
      </c>
      <c r="E272" s="1147" t="str">
        <f t="shared" si="43"/>
        <v>N</v>
      </c>
      <c r="F272" s="1124"/>
      <c r="G272" s="1703" t="s">
        <v>38</v>
      </c>
      <c r="H272" s="1704" t="s">
        <v>38</v>
      </c>
      <c r="I272" s="1703" t="s">
        <v>38</v>
      </c>
      <c r="J272" s="1705" t="s">
        <v>38</v>
      </c>
      <c r="K272" s="1703" t="s">
        <v>38</v>
      </c>
      <c r="L272" s="1704" t="s">
        <v>38</v>
      </c>
      <c r="M272" s="1703" t="s">
        <v>38</v>
      </c>
      <c r="N272" s="1704" t="s">
        <v>38</v>
      </c>
      <c r="O272" s="1703" t="s">
        <v>38</v>
      </c>
      <c r="P272" s="1706" t="s">
        <v>38</v>
      </c>
      <c r="Q272" s="1707" t="s">
        <v>38</v>
      </c>
      <c r="R272" s="1704" t="s">
        <v>38</v>
      </c>
      <c r="S272" s="1703" t="s">
        <v>38</v>
      </c>
      <c r="T272" s="1705" t="s">
        <v>38</v>
      </c>
      <c r="U272" s="1703" t="s">
        <v>38</v>
      </c>
      <c r="V272" s="1704" t="s">
        <v>38</v>
      </c>
      <c r="W272" s="1703" t="s">
        <v>38</v>
      </c>
      <c r="X272" s="1705" t="s">
        <v>38</v>
      </c>
      <c r="Y272" s="431"/>
      <c r="Z272" s="888" t="s">
        <v>471</v>
      </c>
      <c r="AA272" s="972" t="s">
        <v>38</v>
      </c>
      <c r="AB272" s="1913"/>
      <c r="AC272" s="1153"/>
      <c r="AD272" s="1240" t="s">
        <v>387</v>
      </c>
      <c r="AE272" s="1239" t="s">
        <v>387</v>
      </c>
      <c r="AF272" s="1239" t="s">
        <v>388</v>
      </c>
      <c r="AG272" s="1239" t="s">
        <v>390</v>
      </c>
      <c r="AH272" s="1783" t="s">
        <v>391</v>
      </c>
      <c r="AI272" s="1765" t="s">
        <v>391</v>
      </c>
      <c r="AJ272" s="1239" t="s">
        <v>391</v>
      </c>
      <c r="AK272" s="1239" t="s">
        <v>794</v>
      </c>
      <c r="AL272" s="1095"/>
      <c r="AM272" s="1095"/>
      <c r="AN272" s="1097"/>
      <c r="AO272" s="1095"/>
      <c r="AP272" s="1095"/>
      <c r="AQ272" s="1106"/>
      <c r="AR272" s="1097"/>
      <c r="AS272" s="1110"/>
      <c r="AT272" s="181"/>
      <c r="AU272" s="181"/>
      <c r="AV272" s="181"/>
      <c r="AW272" s="181"/>
      <c r="AX272" s="181"/>
      <c r="AY272" s="181"/>
      <c r="AZ272" s="181"/>
      <c r="BA272" s="181"/>
      <c r="BB272" s="181"/>
      <c r="BC272" s="181"/>
      <c r="BD272" s="181"/>
      <c r="BE272" s="181"/>
      <c r="BF272" s="181"/>
      <c r="BG272" s="181"/>
      <c r="BH272" s="181"/>
      <c r="BI272" s="181"/>
      <c r="BJ272" s="181"/>
      <c r="BK272" s="181"/>
      <c r="BL272" s="181"/>
      <c r="BM272" s="181"/>
      <c r="BN272" s="181"/>
      <c r="BO272" s="181"/>
      <c r="BP272" s="181"/>
      <c r="BQ272" s="181"/>
      <c r="BR272" s="181"/>
      <c r="BS272" s="181"/>
      <c r="BT272" s="181"/>
      <c r="BU272" s="181"/>
      <c r="BV272" s="181"/>
    </row>
    <row r="273" spans="1:76" s="181" customFormat="1" ht="15.75" x14ac:dyDescent="0.25">
      <c r="A273" s="551"/>
      <c r="B273" s="1578"/>
      <c r="C273" s="1110"/>
      <c r="D273" s="1145" t="s">
        <v>145</v>
      </c>
      <c r="E273" s="1147" t="str">
        <f t="shared" si="43"/>
        <v/>
      </c>
      <c r="F273" s="1124"/>
      <c r="G273" s="1703" t="s">
        <v>38</v>
      </c>
      <c r="H273" s="1704" t="s">
        <v>38</v>
      </c>
      <c r="I273" s="1703" t="s">
        <v>37</v>
      </c>
      <c r="J273" s="1705" t="s">
        <v>37</v>
      </c>
      <c r="K273" s="1703" t="s">
        <v>37</v>
      </c>
      <c r="L273" s="1704" t="str">
        <f t="shared" ref="L273" si="49">IF(L263="No","N","Y")</f>
        <v>Y</v>
      </c>
      <c r="M273" s="1703" t="s">
        <v>37</v>
      </c>
      <c r="N273" s="1704" t="s">
        <v>37</v>
      </c>
      <c r="O273" s="1703" t="s">
        <v>37</v>
      </c>
      <c r="P273" s="1706" t="s">
        <v>37</v>
      </c>
      <c r="Q273" s="1707" t="s">
        <v>37</v>
      </c>
      <c r="R273" s="1704" t="s">
        <v>37</v>
      </c>
      <c r="S273" s="1703" t="s">
        <v>37</v>
      </c>
      <c r="T273" s="1705" t="s">
        <v>37</v>
      </c>
      <c r="U273" s="1703" t="s">
        <v>37</v>
      </c>
      <c r="V273" s="1704" t="s">
        <v>37</v>
      </c>
      <c r="W273" s="1703" t="s">
        <v>38</v>
      </c>
      <c r="X273" s="1705" t="s">
        <v>38</v>
      </c>
      <c r="Y273" s="431"/>
      <c r="Z273" s="590" t="s">
        <v>985</v>
      </c>
      <c r="AA273" s="972" t="s">
        <v>37</v>
      </c>
      <c r="AB273" s="1913"/>
      <c r="AC273" s="1153"/>
      <c r="AD273" s="1240" t="s">
        <v>388</v>
      </c>
      <c r="AE273" s="1239" t="s">
        <v>388</v>
      </c>
      <c r="AF273" s="1239" t="s">
        <v>391</v>
      </c>
      <c r="AG273" s="1239" t="s">
        <v>391</v>
      </c>
      <c r="AH273" s="1783" t="s">
        <v>391</v>
      </c>
      <c r="AI273" s="1765" t="s">
        <v>391</v>
      </c>
      <c r="AJ273" s="1239" t="s">
        <v>391</v>
      </c>
      <c r="AK273" s="1239" t="s">
        <v>794</v>
      </c>
      <c r="AL273" s="1095"/>
      <c r="AM273" s="1095"/>
      <c r="AN273" s="1095"/>
      <c r="AO273" s="1095"/>
      <c r="AP273" s="1095"/>
      <c r="AQ273" s="1106"/>
      <c r="AR273" s="1097"/>
      <c r="AS273" s="1110"/>
      <c r="BW273" s="30"/>
      <c r="BX273" s="30"/>
    </row>
    <row r="274" spans="1:76" s="545" customFormat="1" ht="15.75" x14ac:dyDescent="0.25">
      <c r="B274" s="1579"/>
      <c r="C274" s="1097"/>
      <c r="D274" s="1145" t="s">
        <v>145</v>
      </c>
      <c r="E274" s="1147" t="str">
        <f t="shared" ref="E274" si="50">IF(Z274="","",IF(OR(AND(OR(G274="Y",G274="?"),_00_apply="Yes"),AND(OR(I274="Y",I274="?"),_01_apply="Yes"),AND(OR(K274="Y",K274="?"),_02_apply="Yes"),AND(OR(M274="Y",M274="?"),_03_apply="Yes"),AND(OR(O274="Y",O274="?"),_04_apply="Yes"),AND(OR(Q274="Y",Q274="?"),_05_apply="Yes"),AND(OR(S274="?",S274="Y"),_06_apply="Yes"),AND(OR(U274="?",U274="Y"),_07_apply="Yes"),AND(OR(W274="Y",W274="?"),_08_apply="Yes")),"","N"))</f>
        <v/>
      </c>
      <c r="F274" s="1124"/>
      <c r="G274" s="1703" t="s">
        <v>38</v>
      </c>
      <c r="H274" s="1704" t="s">
        <v>38</v>
      </c>
      <c r="I274" s="1703" t="s">
        <v>38</v>
      </c>
      <c r="J274" s="1705" t="s">
        <v>38</v>
      </c>
      <c r="K274" s="1703" t="s">
        <v>37</v>
      </c>
      <c r="L274" s="1704" t="str">
        <f t="shared" ref="L274:L279" si="51">IF(L263="No","N","Y")</f>
        <v>Y</v>
      </c>
      <c r="M274" s="1703" t="s">
        <v>37</v>
      </c>
      <c r="N274" s="1704" t="s">
        <v>37</v>
      </c>
      <c r="O274" s="1703" t="s">
        <v>37</v>
      </c>
      <c r="P274" s="1706" t="s">
        <v>37</v>
      </c>
      <c r="Q274" s="1707" t="s">
        <v>37</v>
      </c>
      <c r="R274" s="1704" t="s">
        <v>37</v>
      </c>
      <c r="S274" s="1703" t="s">
        <v>37</v>
      </c>
      <c r="T274" s="1705" t="s">
        <v>37</v>
      </c>
      <c r="U274" s="1703" t="s">
        <v>37</v>
      </c>
      <c r="V274" s="1704" t="s">
        <v>37</v>
      </c>
      <c r="W274" s="1703" t="s">
        <v>38</v>
      </c>
      <c r="X274" s="1705" t="s">
        <v>38</v>
      </c>
      <c r="Y274" s="748"/>
      <c r="Z274" s="590" t="s">
        <v>1006</v>
      </c>
      <c r="AA274" s="1651" t="s">
        <v>37</v>
      </c>
      <c r="AB274" s="1913"/>
      <c r="AC274" s="1125"/>
      <c r="AD274" s="1240" t="s">
        <v>387</v>
      </c>
      <c r="AE274" s="1239" t="s">
        <v>800</v>
      </c>
      <c r="AF274" s="1239" t="s">
        <v>388</v>
      </c>
      <c r="AG274" s="1239" t="s">
        <v>390</v>
      </c>
      <c r="AH274" s="1783" t="s">
        <v>391</v>
      </c>
      <c r="AI274" s="1765" t="s">
        <v>391</v>
      </c>
      <c r="AJ274" s="1239" t="s">
        <v>391</v>
      </c>
      <c r="AK274" s="1239" t="s">
        <v>794</v>
      </c>
      <c r="AL274" s="1095"/>
      <c r="AM274" s="1095"/>
      <c r="AN274" s="1095"/>
      <c r="AO274" s="1095"/>
      <c r="AP274" s="1095"/>
      <c r="AQ274" s="1106"/>
      <c r="AR274" s="1097"/>
      <c r="AS274" s="1097"/>
      <c r="AT274" s="551"/>
      <c r="AU274" s="551"/>
      <c r="AV274" s="551"/>
      <c r="AW274" s="551"/>
      <c r="AX274" s="551"/>
      <c r="AY274" s="551"/>
      <c r="AZ274" s="551"/>
      <c r="BA274" s="551"/>
      <c r="BB274" s="551"/>
      <c r="BC274" s="551"/>
      <c r="BD274" s="551"/>
      <c r="BE274" s="551"/>
      <c r="BF274" s="551"/>
      <c r="BG274" s="551"/>
      <c r="BH274" s="551"/>
      <c r="BI274" s="551"/>
      <c r="BJ274" s="551"/>
      <c r="BK274" s="551"/>
      <c r="BL274" s="551"/>
      <c r="BM274" s="551"/>
      <c r="BN274" s="551"/>
      <c r="BO274" s="551"/>
      <c r="BP274" s="551"/>
      <c r="BQ274" s="551"/>
      <c r="BR274" s="551"/>
      <c r="BS274" s="551"/>
      <c r="BT274" s="551"/>
      <c r="BU274" s="551"/>
      <c r="BV274" s="551"/>
    </row>
    <row r="275" spans="1:76" s="181" customFormat="1" ht="15.75" x14ac:dyDescent="0.25">
      <c r="A275" s="551"/>
      <c r="B275" s="1578"/>
      <c r="C275" s="1110"/>
      <c r="D275" s="1145" t="s">
        <v>145</v>
      </c>
      <c r="E275" s="1147" t="str">
        <f t="shared" si="43"/>
        <v/>
      </c>
      <c r="F275" s="1124"/>
      <c r="G275" s="1703" t="s">
        <v>38</v>
      </c>
      <c r="H275" s="1704" t="s">
        <v>38</v>
      </c>
      <c r="I275" s="1703" t="s">
        <v>37</v>
      </c>
      <c r="J275" s="1705" t="s">
        <v>37</v>
      </c>
      <c r="K275" s="1703" t="s">
        <v>37</v>
      </c>
      <c r="L275" s="1704" t="str">
        <f t="shared" si="51"/>
        <v>Y</v>
      </c>
      <c r="M275" s="1703" t="s">
        <v>37</v>
      </c>
      <c r="N275" s="1704" t="s">
        <v>37</v>
      </c>
      <c r="O275" s="1703" t="s">
        <v>37</v>
      </c>
      <c r="P275" s="1706" t="s">
        <v>37</v>
      </c>
      <c r="Q275" s="1707" t="s">
        <v>37</v>
      </c>
      <c r="R275" s="1704" t="s">
        <v>37</v>
      </c>
      <c r="S275" s="1703" t="s">
        <v>37</v>
      </c>
      <c r="T275" s="1705" t="s">
        <v>37</v>
      </c>
      <c r="U275" s="1703" t="s">
        <v>37</v>
      </c>
      <c r="V275" s="1704" t="s">
        <v>37</v>
      </c>
      <c r="W275" s="1703" t="s">
        <v>38</v>
      </c>
      <c r="X275" s="1705" t="s">
        <v>38</v>
      </c>
      <c r="Y275" s="431"/>
      <c r="Z275" s="590" t="s">
        <v>430</v>
      </c>
      <c r="AA275" s="972" t="s">
        <v>37</v>
      </c>
      <c r="AB275" s="1913"/>
      <c r="AC275" s="1153"/>
      <c r="AD275" s="1240" t="s">
        <v>387</v>
      </c>
      <c r="AE275" s="1239" t="s">
        <v>387</v>
      </c>
      <c r="AF275" s="1239" t="s">
        <v>388</v>
      </c>
      <c r="AG275" s="1239" t="s">
        <v>390</v>
      </c>
      <c r="AH275" s="1783" t="s">
        <v>391</v>
      </c>
      <c r="AI275" s="1765" t="s">
        <v>391</v>
      </c>
      <c r="AJ275" s="1239" t="s">
        <v>391</v>
      </c>
      <c r="AK275" s="1239" t="s">
        <v>794</v>
      </c>
      <c r="AL275" s="1095"/>
      <c r="AM275" s="1095"/>
      <c r="AN275" s="1095"/>
      <c r="AO275" s="1095"/>
      <c r="AP275" s="1095"/>
      <c r="AQ275" s="1106"/>
      <c r="AR275" s="1097"/>
      <c r="AS275" s="1110"/>
      <c r="BW275" s="30"/>
      <c r="BX275" s="30"/>
    </row>
    <row r="276" spans="1:76" s="181" customFormat="1" ht="15.75" x14ac:dyDescent="0.25">
      <c r="A276" s="551"/>
      <c r="B276" s="1578"/>
      <c r="C276" s="1110"/>
      <c r="D276" s="1145" t="s">
        <v>145</v>
      </c>
      <c r="E276" s="1147" t="str">
        <f t="shared" si="43"/>
        <v/>
      </c>
      <c r="F276" s="1124"/>
      <c r="G276" s="1703" t="s">
        <v>38</v>
      </c>
      <c r="H276" s="1704" t="s">
        <v>38</v>
      </c>
      <c r="I276" s="1703" t="s">
        <v>38</v>
      </c>
      <c r="J276" s="1705" t="s">
        <v>38</v>
      </c>
      <c r="K276" s="1703" t="s">
        <v>37</v>
      </c>
      <c r="L276" s="1704" t="str">
        <f t="shared" si="51"/>
        <v>Y</v>
      </c>
      <c r="M276" s="1703" t="s">
        <v>37</v>
      </c>
      <c r="N276" s="1704" t="s">
        <v>37</v>
      </c>
      <c r="O276" s="1703" t="s">
        <v>37</v>
      </c>
      <c r="P276" s="1706" t="s">
        <v>37</v>
      </c>
      <c r="Q276" s="1707" t="s">
        <v>37</v>
      </c>
      <c r="R276" s="1704" t="s">
        <v>37</v>
      </c>
      <c r="S276" s="1703" t="s">
        <v>37</v>
      </c>
      <c r="T276" s="1705" t="s">
        <v>37</v>
      </c>
      <c r="U276" s="1703" t="s">
        <v>37</v>
      </c>
      <c r="V276" s="1704" t="s">
        <v>37</v>
      </c>
      <c r="W276" s="1703" t="s">
        <v>38</v>
      </c>
      <c r="X276" s="1705" t="s">
        <v>38</v>
      </c>
      <c r="Y276" s="431"/>
      <c r="Z276" s="590" t="s">
        <v>431</v>
      </c>
      <c r="AA276" s="972" t="s">
        <v>37</v>
      </c>
      <c r="AB276" s="1913"/>
      <c r="AC276" s="1153"/>
      <c r="AD276" s="1240" t="s">
        <v>387</v>
      </c>
      <c r="AE276" s="1239" t="s">
        <v>387</v>
      </c>
      <c r="AF276" s="1239" t="s">
        <v>390</v>
      </c>
      <c r="AG276" s="1239" t="s">
        <v>391</v>
      </c>
      <c r="AH276" s="1783" t="s">
        <v>391</v>
      </c>
      <c r="AI276" s="1765" t="s">
        <v>391</v>
      </c>
      <c r="AJ276" s="1239" t="s">
        <v>391</v>
      </c>
      <c r="AK276" s="1239" t="s">
        <v>794</v>
      </c>
      <c r="AL276" s="1095"/>
      <c r="AM276" s="1095"/>
      <c r="AN276" s="1095"/>
      <c r="AO276" s="1095"/>
      <c r="AP276" s="1095"/>
      <c r="AQ276" s="1097"/>
      <c r="AR276" s="1112"/>
      <c r="AS276" s="1110"/>
      <c r="BW276" s="30"/>
      <c r="BX276" s="30"/>
    </row>
    <row r="277" spans="1:76" s="181" customFormat="1" ht="15.75" x14ac:dyDescent="0.25">
      <c r="A277" s="551"/>
      <c r="B277" s="1578"/>
      <c r="C277" s="1110"/>
      <c r="D277" s="1145" t="s">
        <v>145</v>
      </c>
      <c r="E277" s="1147" t="str">
        <f t="shared" si="43"/>
        <v/>
      </c>
      <c r="F277" s="1124"/>
      <c r="G277" s="1703" t="s">
        <v>38</v>
      </c>
      <c r="H277" s="1704" t="s">
        <v>38</v>
      </c>
      <c r="I277" s="1703" t="s">
        <v>38</v>
      </c>
      <c r="J277" s="1705" t="s">
        <v>38</v>
      </c>
      <c r="K277" s="1703" t="s">
        <v>37</v>
      </c>
      <c r="L277" s="1704" t="str">
        <f t="shared" si="51"/>
        <v>Y</v>
      </c>
      <c r="M277" s="1703" t="s">
        <v>37</v>
      </c>
      <c r="N277" s="1704" t="s">
        <v>37</v>
      </c>
      <c r="O277" s="1703" t="s">
        <v>37</v>
      </c>
      <c r="P277" s="1706" t="s">
        <v>37</v>
      </c>
      <c r="Q277" s="1707" t="s">
        <v>37</v>
      </c>
      <c r="R277" s="1704" t="s">
        <v>37</v>
      </c>
      <c r="S277" s="1703" t="s">
        <v>37</v>
      </c>
      <c r="T277" s="1705" t="s">
        <v>37</v>
      </c>
      <c r="U277" s="1703" t="s">
        <v>37</v>
      </c>
      <c r="V277" s="1704" t="s">
        <v>37</v>
      </c>
      <c r="W277" s="1703" t="s">
        <v>38</v>
      </c>
      <c r="X277" s="1705" t="s">
        <v>38</v>
      </c>
      <c r="Y277" s="431"/>
      <c r="Z277" s="590" t="s">
        <v>432</v>
      </c>
      <c r="AA277" s="972" t="s">
        <v>37</v>
      </c>
      <c r="AB277" s="1913"/>
      <c r="AC277" s="1153"/>
      <c r="AD277" s="1240" t="s">
        <v>387</v>
      </c>
      <c r="AE277" s="1239" t="s">
        <v>387</v>
      </c>
      <c r="AF277" s="1239" t="s">
        <v>387</v>
      </c>
      <c r="AG277" s="1239" t="s">
        <v>388</v>
      </c>
      <c r="AH277" s="1783" t="s">
        <v>391</v>
      </c>
      <c r="AI277" s="1765" t="s">
        <v>391</v>
      </c>
      <c r="AJ277" s="1239" t="s">
        <v>391</v>
      </c>
      <c r="AK277" s="1239" t="s">
        <v>794</v>
      </c>
      <c r="AL277" s="1095"/>
      <c r="AM277" s="1095"/>
      <c r="AN277" s="1095"/>
      <c r="AO277" s="1095"/>
      <c r="AP277" s="1095"/>
      <c r="AQ277" s="1106"/>
      <c r="AR277" s="1095"/>
      <c r="AS277" s="1110"/>
      <c r="BW277" s="30"/>
      <c r="BX277" s="30"/>
    </row>
    <row r="278" spans="1:76" s="181" customFormat="1" ht="15.75" x14ac:dyDescent="0.25">
      <c r="A278" s="551"/>
      <c r="B278" s="1578"/>
      <c r="C278" s="1110"/>
      <c r="D278" s="1145" t="s">
        <v>145</v>
      </c>
      <c r="E278" s="1147" t="str">
        <f t="shared" si="43"/>
        <v/>
      </c>
      <c r="F278" s="1124"/>
      <c r="G278" s="1703" t="s">
        <v>38</v>
      </c>
      <c r="H278" s="1704" t="s">
        <v>38</v>
      </c>
      <c r="I278" s="1703" t="s">
        <v>38</v>
      </c>
      <c r="J278" s="1705" t="s">
        <v>38</v>
      </c>
      <c r="K278" s="1703" t="s">
        <v>37</v>
      </c>
      <c r="L278" s="1704" t="str">
        <f t="shared" si="51"/>
        <v>Y</v>
      </c>
      <c r="M278" s="1703" t="s">
        <v>37</v>
      </c>
      <c r="N278" s="1704" t="s">
        <v>37</v>
      </c>
      <c r="O278" s="1703" t="s">
        <v>37</v>
      </c>
      <c r="P278" s="1706" t="s">
        <v>37</v>
      </c>
      <c r="Q278" s="1707" t="s">
        <v>37</v>
      </c>
      <c r="R278" s="1704" t="s">
        <v>37</v>
      </c>
      <c r="S278" s="1703" t="s">
        <v>37</v>
      </c>
      <c r="T278" s="1705" t="s">
        <v>37</v>
      </c>
      <c r="U278" s="1703" t="s">
        <v>37</v>
      </c>
      <c r="V278" s="1704" t="s">
        <v>37</v>
      </c>
      <c r="W278" s="1703" t="s">
        <v>38</v>
      </c>
      <c r="X278" s="1705" t="s">
        <v>38</v>
      </c>
      <c r="Y278" s="431"/>
      <c r="Z278" s="590" t="s">
        <v>433</v>
      </c>
      <c r="AA278" s="972" t="s">
        <v>37</v>
      </c>
      <c r="AB278" s="1913"/>
      <c r="AC278" s="1218"/>
      <c r="AD278" s="1240"/>
      <c r="AE278" s="1239"/>
      <c r="AF278" s="1239" t="s">
        <v>387</v>
      </c>
      <c r="AG278" s="1239" t="s">
        <v>388</v>
      </c>
      <c r="AH278" s="1783" t="s">
        <v>390</v>
      </c>
      <c r="AI278" s="1765" t="s">
        <v>391</v>
      </c>
      <c r="AJ278" s="1239" t="s">
        <v>391</v>
      </c>
      <c r="AK278" s="1239" t="s">
        <v>794</v>
      </c>
      <c r="AL278" s="1095"/>
      <c r="AM278" s="1095"/>
      <c r="AN278" s="1095"/>
      <c r="AO278" s="1095"/>
      <c r="AP278" s="1095"/>
      <c r="AQ278" s="1106"/>
      <c r="AR278" s="1095"/>
      <c r="AS278" s="1110"/>
      <c r="BW278" s="30"/>
      <c r="BX278" s="30"/>
    </row>
    <row r="279" spans="1:76" s="181" customFormat="1" ht="15.75" x14ac:dyDescent="0.25">
      <c r="A279" s="551"/>
      <c r="B279" s="1578"/>
      <c r="C279" s="1110"/>
      <c r="D279" s="1145" t="s">
        <v>145</v>
      </c>
      <c r="E279" s="1146" t="str">
        <f t="shared" si="43"/>
        <v/>
      </c>
      <c r="F279" s="1166"/>
      <c r="G279" s="886" t="s">
        <v>38</v>
      </c>
      <c r="H279" s="962" t="s">
        <v>38</v>
      </c>
      <c r="I279" s="886" t="s">
        <v>37</v>
      </c>
      <c r="J279" s="963" t="s">
        <v>37</v>
      </c>
      <c r="K279" s="886" t="s">
        <v>37</v>
      </c>
      <c r="L279" s="962" t="str">
        <f t="shared" si="51"/>
        <v>Y</v>
      </c>
      <c r="M279" s="886" t="s">
        <v>37</v>
      </c>
      <c r="N279" s="962" t="s">
        <v>37</v>
      </c>
      <c r="O279" s="886" t="s">
        <v>37</v>
      </c>
      <c r="P279" s="964" t="s">
        <v>37</v>
      </c>
      <c r="Q279" s="985" t="s">
        <v>37</v>
      </c>
      <c r="R279" s="962" t="s">
        <v>37</v>
      </c>
      <c r="S279" s="886" t="s">
        <v>37</v>
      </c>
      <c r="T279" s="963" t="s">
        <v>37</v>
      </c>
      <c r="U279" s="886" t="s">
        <v>37</v>
      </c>
      <c r="V279" s="962" t="s">
        <v>37</v>
      </c>
      <c r="W279" s="886" t="s">
        <v>38</v>
      </c>
      <c r="X279" s="963" t="s">
        <v>38</v>
      </c>
      <c r="Y279" s="431"/>
      <c r="Z279" s="591" t="s">
        <v>681</v>
      </c>
      <c r="AA279" s="972" t="s">
        <v>37</v>
      </c>
      <c r="AB279" s="1923"/>
      <c r="AC279" s="1153"/>
      <c r="AD279" s="1261"/>
      <c r="AE279" s="1249"/>
      <c r="AF279" s="1249"/>
      <c r="AG279" s="1262" t="s">
        <v>600</v>
      </c>
      <c r="AH279" s="1791" t="s">
        <v>600</v>
      </c>
      <c r="AI279" s="1772" t="s">
        <v>600</v>
      </c>
      <c r="AJ279" s="1262" t="s">
        <v>600</v>
      </c>
      <c r="AK279" s="1263" t="s">
        <v>794</v>
      </c>
      <c r="AL279" s="1095"/>
      <c r="AM279" s="1095"/>
      <c r="AN279" s="1095"/>
      <c r="AO279" s="1095"/>
      <c r="AP279" s="1095"/>
      <c r="AQ279" s="1106"/>
      <c r="AR279" s="1097"/>
      <c r="AS279" s="1110"/>
    </row>
    <row r="280" spans="1:76" s="181" customFormat="1" ht="15.75" x14ac:dyDescent="0.25">
      <c r="A280" s="551"/>
      <c r="B280" s="1578"/>
      <c r="C280" s="1110"/>
      <c r="D280" s="1145" t="s">
        <v>145</v>
      </c>
      <c r="E280" s="1147" t="str">
        <f t="shared" si="43"/>
        <v>N</v>
      </c>
      <c r="F280" s="1166"/>
      <c r="G280" s="1703" t="s">
        <v>38</v>
      </c>
      <c r="H280" s="1704" t="s">
        <v>38</v>
      </c>
      <c r="I280" s="1703" t="s">
        <v>38</v>
      </c>
      <c r="J280" s="1705" t="s">
        <v>38</v>
      </c>
      <c r="K280" s="1703" t="s">
        <v>38</v>
      </c>
      <c r="L280" s="1704" t="s">
        <v>38</v>
      </c>
      <c r="M280" s="1703" t="s">
        <v>38</v>
      </c>
      <c r="N280" s="1704" t="s">
        <v>38</v>
      </c>
      <c r="O280" s="1703" t="s">
        <v>38</v>
      </c>
      <c r="P280" s="1706" t="s">
        <v>38</v>
      </c>
      <c r="Q280" s="1707" t="s">
        <v>38</v>
      </c>
      <c r="R280" s="1704" t="s">
        <v>38</v>
      </c>
      <c r="S280" s="1703" t="s">
        <v>38</v>
      </c>
      <c r="T280" s="1705" t="s">
        <v>38</v>
      </c>
      <c r="U280" s="1703" t="s">
        <v>38</v>
      </c>
      <c r="V280" s="1704" t="s">
        <v>38</v>
      </c>
      <c r="W280" s="1703" t="s">
        <v>38</v>
      </c>
      <c r="X280" s="1705" t="s">
        <v>38</v>
      </c>
      <c r="Y280" s="431"/>
      <c r="Z280" s="888" t="s">
        <v>472</v>
      </c>
      <c r="AA280" s="972" t="s">
        <v>38</v>
      </c>
      <c r="AB280" s="1913"/>
      <c r="AC280" s="1153"/>
      <c r="AD280" s="1240" t="s">
        <v>387</v>
      </c>
      <c r="AE280" s="1239" t="s">
        <v>387</v>
      </c>
      <c r="AF280" s="1239" t="s">
        <v>388</v>
      </c>
      <c r="AG280" s="1239" t="s">
        <v>390</v>
      </c>
      <c r="AH280" s="1783" t="s">
        <v>391</v>
      </c>
      <c r="AI280" s="1765" t="s">
        <v>391</v>
      </c>
      <c r="AJ280" s="1239" t="s">
        <v>391</v>
      </c>
      <c r="AK280" s="1239" t="s">
        <v>794</v>
      </c>
      <c r="AL280" s="1095"/>
      <c r="AM280" s="1095"/>
      <c r="AN280" s="1095"/>
      <c r="AO280" s="1095"/>
      <c r="AP280" s="1095"/>
      <c r="AQ280" s="1106"/>
      <c r="AR280" s="1097"/>
      <c r="AS280" s="1110"/>
    </row>
    <row r="281" spans="1:76" s="181" customFormat="1" ht="15.75" x14ac:dyDescent="0.25">
      <c r="A281" s="551"/>
      <c r="B281" s="1578"/>
      <c r="C281" s="1110"/>
      <c r="D281" s="1145" t="s">
        <v>145</v>
      </c>
      <c r="E281" s="1147" t="str">
        <f t="shared" si="43"/>
        <v>N</v>
      </c>
      <c r="F281" s="1124"/>
      <c r="G281" s="1703" t="s">
        <v>38</v>
      </c>
      <c r="H281" s="1704" t="s">
        <v>38</v>
      </c>
      <c r="I281" s="1703" t="s">
        <v>38</v>
      </c>
      <c r="J281" s="1705" t="s">
        <v>38</v>
      </c>
      <c r="K281" s="1703" t="s">
        <v>38</v>
      </c>
      <c r="L281" s="1704" t="s">
        <v>38</v>
      </c>
      <c r="M281" s="1703" t="s">
        <v>38</v>
      </c>
      <c r="N281" s="1704" t="s">
        <v>38</v>
      </c>
      <c r="O281" s="1703" t="s">
        <v>38</v>
      </c>
      <c r="P281" s="1706" t="s">
        <v>38</v>
      </c>
      <c r="Q281" s="1707" t="s">
        <v>38</v>
      </c>
      <c r="R281" s="1704" t="s">
        <v>38</v>
      </c>
      <c r="S281" s="1703" t="s">
        <v>38</v>
      </c>
      <c r="T281" s="1705" t="s">
        <v>38</v>
      </c>
      <c r="U281" s="1703" t="s">
        <v>38</v>
      </c>
      <c r="V281" s="1704" t="s">
        <v>38</v>
      </c>
      <c r="W281" s="1703" t="s">
        <v>38</v>
      </c>
      <c r="X281" s="1705" t="s">
        <v>38</v>
      </c>
      <c r="Y281" s="431"/>
      <c r="Z281" s="888" t="s">
        <v>472</v>
      </c>
      <c r="AA281" s="972" t="s">
        <v>38</v>
      </c>
      <c r="AB281" s="1913"/>
      <c r="AC281" s="1153"/>
      <c r="AD281" s="1240" t="s">
        <v>387</v>
      </c>
      <c r="AE281" s="1239" t="s">
        <v>387</v>
      </c>
      <c r="AF281" s="1239" t="s">
        <v>388</v>
      </c>
      <c r="AG281" s="1239" t="s">
        <v>390</v>
      </c>
      <c r="AH281" s="1783" t="s">
        <v>391</v>
      </c>
      <c r="AI281" s="1765" t="s">
        <v>391</v>
      </c>
      <c r="AJ281" s="1239" t="s">
        <v>391</v>
      </c>
      <c r="AK281" s="1239" t="s">
        <v>794</v>
      </c>
      <c r="AL281" s="1095"/>
      <c r="AM281" s="1095"/>
      <c r="AN281" s="1095"/>
      <c r="AO281" s="1095"/>
      <c r="AP281" s="1095"/>
      <c r="AQ281" s="1106"/>
      <c r="AR281" s="1095"/>
      <c r="AS281" s="1110"/>
      <c r="BW281" s="30"/>
      <c r="BX281" s="30"/>
    </row>
    <row r="282" spans="1:76" s="181" customFormat="1" ht="15.75" x14ac:dyDescent="0.25">
      <c r="A282" s="551"/>
      <c r="B282" s="1578"/>
      <c r="C282" s="1110"/>
      <c r="D282" s="1145" t="s">
        <v>145</v>
      </c>
      <c r="E282" s="1147" t="str">
        <f t="shared" si="43"/>
        <v/>
      </c>
      <c r="F282" s="1124"/>
      <c r="G282" s="1703" t="s">
        <v>38</v>
      </c>
      <c r="H282" s="1704" t="s">
        <v>38</v>
      </c>
      <c r="I282" s="1703" t="s">
        <v>37</v>
      </c>
      <c r="J282" s="1705" t="s">
        <v>37</v>
      </c>
      <c r="K282" s="1703" t="s">
        <v>37</v>
      </c>
      <c r="L282" s="1704" t="str">
        <f>IF(L271="No","N","Y")</f>
        <v>Y</v>
      </c>
      <c r="M282" s="1703" t="s">
        <v>37</v>
      </c>
      <c r="N282" s="1704" t="s">
        <v>37</v>
      </c>
      <c r="O282" s="1703" t="s">
        <v>37</v>
      </c>
      <c r="P282" s="1706" t="s">
        <v>37</v>
      </c>
      <c r="Q282" s="1707" t="s">
        <v>37</v>
      </c>
      <c r="R282" s="1704" t="s">
        <v>37</v>
      </c>
      <c r="S282" s="1703" t="s">
        <v>37</v>
      </c>
      <c r="T282" s="1705" t="s">
        <v>37</v>
      </c>
      <c r="U282" s="1703" t="s">
        <v>37</v>
      </c>
      <c r="V282" s="1704" t="s">
        <v>37</v>
      </c>
      <c r="W282" s="1703" t="s">
        <v>38</v>
      </c>
      <c r="X282" s="1705" t="s">
        <v>38</v>
      </c>
      <c r="Y282" s="431"/>
      <c r="Z282" s="590" t="s">
        <v>986</v>
      </c>
      <c r="AA282" s="972" t="s">
        <v>37</v>
      </c>
      <c r="AB282" s="1913"/>
      <c r="AC282" s="1153"/>
      <c r="AD282" s="1240" t="s">
        <v>388</v>
      </c>
      <c r="AE282" s="1239" t="s">
        <v>388</v>
      </c>
      <c r="AF282" s="1239" t="s">
        <v>391</v>
      </c>
      <c r="AG282" s="1239" t="s">
        <v>391</v>
      </c>
      <c r="AH282" s="1783" t="s">
        <v>391</v>
      </c>
      <c r="AI282" s="1765" t="s">
        <v>391</v>
      </c>
      <c r="AJ282" s="1239" t="s">
        <v>391</v>
      </c>
      <c r="AK282" s="1239" t="s">
        <v>794</v>
      </c>
      <c r="AL282" s="1095"/>
      <c r="AM282" s="1095"/>
      <c r="AN282" s="1095"/>
      <c r="AO282" s="1095"/>
      <c r="AP282" s="1095"/>
      <c r="AQ282" s="1106"/>
      <c r="AR282" s="1095"/>
      <c r="AS282" s="1110"/>
      <c r="BW282" s="30"/>
      <c r="BX282" s="30"/>
    </row>
    <row r="283" spans="1:76" s="545" customFormat="1" ht="15.75" x14ac:dyDescent="0.25">
      <c r="B283" s="1579"/>
      <c r="C283" s="1097"/>
      <c r="D283" s="1145" t="s">
        <v>145</v>
      </c>
      <c r="E283" s="1147" t="str">
        <f t="shared" ref="E283" si="52">IF(Z283="","",IF(OR(AND(OR(G283="Y",G283="?"),_00_apply="Yes"),AND(OR(I283="Y",I283="?"),_01_apply="Yes"),AND(OR(K283="Y",K283="?"),_02_apply="Yes"),AND(OR(M283="Y",M283="?"),_03_apply="Yes"),AND(OR(O283="Y",O283="?"),_04_apply="Yes"),AND(OR(Q283="Y",Q283="?"),_05_apply="Yes"),AND(OR(S283="?",S283="Y"),_06_apply="Yes"),AND(OR(U283="?",U283="Y"),_07_apply="Yes"),AND(OR(W283="Y",W283="?"),_08_apply="Yes")),"","N"))</f>
        <v/>
      </c>
      <c r="F283" s="1124"/>
      <c r="G283" s="1703" t="s">
        <v>38</v>
      </c>
      <c r="H283" s="1704" t="s">
        <v>38</v>
      </c>
      <c r="I283" s="1703" t="s">
        <v>38</v>
      </c>
      <c r="J283" s="1705" t="s">
        <v>38</v>
      </c>
      <c r="K283" s="1703" t="s">
        <v>37</v>
      </c>
      <c r="L283" s="1704" t="str">
        <f>IF(L272="No","N","Y")</f>
        <v>Y</v>
      </c>
      <c r="M283" s="1703" t="s">
        <v>37</v>
      </c>
      <c r="N283" s="1704" t="s">
        <v>37</v>
      </c>
      <c r="O283" s="1703" t="s">
        <v>37</v>
      </c>
      <c r="P283" s="1706" t="s">
        <v>37</v>
      </c>
      <c r="Q283" s="1707" t="s">
        <v>37</v>
      </c>
      <c r="R283" s="1704" t="s">
        <v>37</v>
      </c>
      <c r="S283" s="1703" t="s">
        <v>37</v>
      </c>
      <c r="T283" s="1705" t="s">
        <v>37</v>
      </c>
      <c r="U283" s="1703" t="s">
        <v>37</v>
      </c>
      <c r="V283" s="1704" t="s">
        <v>37</v>
      </c>
      <c r="W283" s="1703" t="s">
        <v>38</v>
      </c>
      <c r="X283" s="1705" t="s">
        <v>38</v>
      </c>
      <c r="Y283" s="748"/>
      <c r="Z283" s="590" t="s">
        <v>1005</v>
      </c>
      <c r="AA283" s="1004" t="s">
        <v>37</v>
      </c>
      <c r="AB283" s="1913"/>
      <c r="AC283" s="1125"/>
      <c r="AD283" s="1240" t="s">
        <v>387</v>
      </c>
      <c r="AE283" s="1239" t="s">
        <v>800</v>
      </c>
      <c r="AF283" s="1239" t="s">
        <v>388</v>
      </c>
      <c r="AG283" s="1239" t="s">
        <v>390</v>
      </c>
      <c r="AH283" s="1783" t="s">
        <v>391</v>
      </c>
      <c r="AI283" s="1765" t="s">
        <v>391</v>
      </c>
      <c r="AJ283" s="1239" t="s">
        <v>391</v>
      </c>
      <c r="AK283" s="1239" t="s">
        <v>794</v>
      </c>
      <c r="AL283" s="1095"/>
      <c r="AM283" s="1095"/>
      <c r="AN283" s="1095"/>
      <c r="AO283" s="1095"/>
      <c r="AP283" s="1095"/>
      <c r="AQ283" s="1106"/>
      <c r="AR283" s="1097"/>
      <c r="AS283" s="1097"/>
      <c r="AT283" s="551"/>
      <c r="AU283" s="551"/>
      <c r="AV283" s="551"/>
      <c r="AW283" s="551"/>
      <c r="AX283" s="551"/>
      <c r="AY283" s="551"/>
      <c r="AZ283" s="551"/>
      <c r="BA283" s="551"/>
      <c r="BB283" s="551"/>
      <c r="BC283" s="551"/>
      <c r="BD283" s="551"/>
      <c r="BE283" s="551"/>
      <c r="BF283" s="551"/>
      <c r="BG283" s="551"/>
      <c r="BH283" s="551"/>
      <c r="BI283" s="551"/>
      <c r="BJ283" s="551"/>
      <c r="BK283" s="551"/>
      <c r="BL283" s="551"/>
      <c r="BM283" s="551"/>
      <c r="BN283" s="551"/>
      <c r="BO283" s="551"/>
      <c r="BP283" s="551"/>
      <c r="BQ283" s="551"/>
      <c r="BR283" s="551"/>
      <c r="BS283" s="551"/>
      <c r="BT283" s="551"/>
      <c r="BU283" s="551"/>
      <c r="BV283" s="551"/>
    </row>
    <row r="284" spans="1:76" s="181" customFormat="1" ht="15.75" x14ac:dyDescent="0.25">
      <c r="A284" s="551"/>
      <c r="B284" s="1578"/>
      <c r="C284" s="1110"/>
      <c r="D284" s="1145" t="s">
        <v>145</v>
      </c>
      <c r="E284" s="1147" t="str">
        <f t="shared" si="43"/>
        <v/>
      </c>
      <c r="F284" s="1124"/>
      <c r="G284" s="1703" t="s">
        <v>38</v>
      </c>
      <c r="H284" s="1704" t="s">
        <v>38</v>
      </c>
      <c r="I284" s="1703" t="s">
        <v>37</v>
      </c>
      <c r="J284" s="1705" t="s">
        <v>37</v>
      </c>
      <c r="K284" s="1703" t="s">
        <v>37</v>
      </c>
      <c r="L284" s="1704" t="str">
        <f>IF(L272="No","N","Y")</f>
        <v>Y</v>
      </c>
      <c r="M284" s="1703" t="s">
        <v>37</v>
      </c>
      <c r="N284" s="1704" t="s">
        <v>37</v>
      </c>
      <c r="O284" s="1703" t="s">
        <v>37</v>
      </c>
      <c r="P284" s="1706" t="s">
        <v>37</v>
      </c>
      <c r="Q284" s="1707" t="s">
        <v>37</v>
      </c>
      <c r="R284" s="1704" t="s">
        <v>37</v>
      </c>
      <c r="S284" s="1703" t="s">
        <v>37</v>
      </c>
      <c r="T284" s="1705" t="s">
        <v>37</v>
      </c>
      <c r="U284" s="1703" t="s">
        <v>37</v>
      </c>
      <c r="V284" s="1704" t="s">
        <v>37</v>
      </c>
      <c r="W284" s="1703" t="s">
        <v>38</v>
      </c>
      <c r="X284" s="1705" t="s">
        <v>38</v>
      </c>
      <c r="Y284" s="431"/>
      <c r="Z284" s="590" t="s">
        <v>434</v>
      </c>
      <c r="AA284" s="972" t="s">
        <v>37</v>
      </c>
      <c r="AB284" s="1913"/>
      <c r="AC284" s="1153"/>
      <c r="AD284" s="1240" t="s">
        <v>387</v>
      </c>
      <c r="AE284" s="1239" t="s">
        <v>387</v>
      </c>
      <c r="AF284" s="1239" t="s">
        <v>387</v>
      </c>
      <c r="AG284" s="1239" t="s">
        <v>388</v>
      </c>
      <c r="AH284" s="1783" t="s">
        <v>391</v>
      </c>
      <c r="AI284" s="1765" t="s">
        <v>391</v>
      </c>
      <c r="AJ284" s="1239" t="s">
        <v>391</v>
      </c>
      <c r="AK284" s="1239" t="s">
        <v>794</v>
      </c>
      <c r="AL284" s="1095"/>
      <c r="AM284" s="1095"/>
      <c r="AN284" s="1095"/>
      <c r="AO284" s="1095"/>
      <c r="AP284" s="1095"/>
      <c r="AQ284" s="1097"/>
      <c r="AR284" s="1112"/>
      <c r="AS284" s="1110"/>
      <c r="BW284" s="30"/>
      <c r="BX284" s="30"/>
    </row>
    <row r="285" spans="1:76" s="181" customFormat="1" ht="15.75" x14ac:dyDescent="0.25">
      <c r="A285" s="551"/>
      <c r="B285" s="1578"/>
      <c r="C285" s="1110"/>
      <c r="D285" s="1145" t="s">
        <v>145</v>
      </c>
      <c r="E285" s="1147" t="str">
        <f t="shared" si="43"/>
        <v/>
      </c>
      <c r="F285" s="1124"/>
      <c r="G285" s="1703" t="s">
        <v>38</v>
      </c>
      <c r="H285" s="1704" t="s">
        <v>38</v>
      </c>
      <c r="I285" s="1703" t="s">
        <v>38</v>
      </c>
      <c r="J285" s="1705" t="s">
        <v>38</v>
      </c>
      <c r="K285" s="1703" t="s">
        <v>37</v>
      </c>
      <c r="L285" s="1704" t="str">
        <f>IF(L273="No","N","Y")</f>
        <v>Y</v>
      </c>
      <c r="M285" s="1703" t="s">
        <v>37</v>
      </c>
      <c r="N285" s="1704" t="s">
        <v>37</v>
      </c>
      <c r="O285" s="1703" t="s">
        <v>37</v>
      </c>
      <c r="P285" s="1706" t="s">
        <v>37</v>
      </c>
      <c r="Q285" s="1707" t="s">
        <v>37</v>
      </c>
      <c r="R285" s="1704" t="s">
        <v>37</v>
      </c>
      <c r="S285" s="1703" t="s">
        <v>37</v>
      </c>
      <c r="T285" s="1705" t="s">
        <v>37</v>
      </c>
      <c r="U285" s="1703" t="s">
        <v>37</v>
      </c>
      <c r="V285" s="1704" t="s">
        <v>37</v>
      </c>
      <c r="W285" s="1703" t="s">
        <v>38</v>
      </c>
      <c r="X285" s="1705" t="s">
        <v>38</v>
      </c>
      <c r="Y285" s="431"/>
      <c r="Z285" s="590" t="s">
        <v>435</v>
      </c>
      <c r="AA285" s="972" t="s">
        <v>37</v>
      </c>
      <c r="AB285" s="1913"/>
      <c r="AC285" s="1153"/>
      <c r="AD285" s="1240" t="s">
        <v>387</v>
      </c>
      <c r="AE285" s="1239" t="s">
        <v>387</v>
      </c>
      <c r="AF285" s="1239" t="s">
        <v>390</v>
      </c>
      <c r="AG285" s="1239" t="s">
        <v>391</v>
      </c>
      <c r="AH285" s="1783" t="s">
        <v>391</v>
      </c>
      <c r="AI285" s="1765" t="s">
        <v>391</v>
      </c>
      <c r="AJ285" s="1239" t="s">
        <v>391</v>
      </c>
      <c r="AK285" s="1239" t="s">
        <v>794</v>
      </c>
      <c r="AL285" s="1095"/>
      <c r="AM285" s="1095"/>
      <c r="AN285" s="1095"/>
      <c r="AO285" s="1095"/>
      <c r="AP285" s="1095"/>
      <c r="AQ285" s="1106"/>
      <c r="AR285" s="1097"/>
      <c r="AS285" s="1110"/>
      <c r="BW285" s="30"/>
      <c r="BX285" s="30"/>
    </row>
    <row r="286" spans="1:76" s="181" customFormat="1" ht="15.75" x14ac:dyDescent="0.25">
      <c r="A286" s="551"/>
      <c r="B286" s="1578"/>
      <c r="C286" s="1110"/>
      <c r="D286" s="1145" t="s">
        <v>145</v>
      </c>
      <c r="E286" s="1147" t="str">
        <f t="shared" si="43"/>
        <v/>
      </c>
      <c r="F286" s="1124"/>
      <c r="G286" s="1703" t="s">
        <v>38</v>
      </c>
      <c r="H286" s="1704" t="s">
        <v>38</v>
      </c>
      <c r="I286" s="1703" t="s">
        <v>38</v>
      </c>
      <c r="J286" s="1705" t="s">
        <v>38</v>
      </c>
      <c r="K286" s="1703" t="s">
        <v>37</v>
      </c>
      <c r="L286" s="1704" t="str">
        <f>IF(L275="No","N","Y")</f>
        <v>Y</v>
      </c>
      <c r="M286" s="1703" t="s">
        <v>37</v>
      </c>
      <c r="N286" s="1704" t="s">
        <v>37</v>
      </c>
      <c r="O286" s="1703" t="s">
        <v>37</v>
      </c>
      <c r="P286" s="1706" t="s">
        <v>37</v>
      </c>
      <c r="Q286" s="1707" t="s">
        <v>37</v>
      </c>
      <c r="R286" s="1704" t="s">
        <v>37</v>
      </c>
      <c r="S286" s="1703" t="s">
        <v>37</v>
      </c>
      <c r="T286" s="1705" t="s">
        <v>37</v>
      </c>
      <c r="U286" s="1703" t="s">
        <v>37</v>
      </c>
      <c r="V286" s="1704" t="s">
        <v>37</v>
      </c>
      <c r="W286" s="1703" t="s">
        <v>38</v>
      </c>
      <c r="X286" s="1705" t="s">
        <v>38</v>
      </c>
      <c r="Y286" s="431"/>
      <c r="Z286" s="590" t="s">
        <v>436</v>
      </c>
      <c r="AA286" s="972" t="s">
        <v>37</v>
      </c>
      <c r="AB286" s="1913"/>
      <c r="AC286" s="1153"/>
      <c r="AD286" s="1240" t="s">
        <v>387</v>
      </c>
      <c r="AE286" s="1239" t="s">
        <v>387</v>
      </c>
      <c r="AF286" s="1239" t="s">
        <v>387</v>
      </c>
      <c r="AG286" s="1239" t="s">
        <v>388</v>
      </c>
      <c r="AH286" s="1783" t="s">
        <v>391</v>
      </c>
      <c r="AI286" s="1765" t="s">
        <v>391</v>
      </c>
      <c r="AJ286" s="1239" t="s">
        <v>391</v>
      </c>
      <c r="AK286" s="1239" t="s">
        <v>794</v>
      </c>
      <c r="AL286" s="1095"/>
      <c r="AM286" s="1095"/>
      <c r="AN286" s="1095"/>
      <c r="AO286" s="1095"/>
      <c r="AP286" s="1095"/>
      <c r="AQ286" s="1106"/>
      <c r="AR286" s="1097"/>
      <c r="AS286" s="1110"/>
      <c r="BW286" s="30"/>
      <c r="BX286" s="30"/>
    </row>
    <row r="287" spans="1:76" s="181" customFormat="1" ht="15.75" x14ac:dyDescent="0.25">
      <c r="A287" s="551"/>
      <c r="B287" s="1578"/>
      <c r="C287" s="1110"/>
      <c r="D287" s="1145" t="s">
        <v>145</v>
      </c>
      <c r="E287" s="1147" t="str">
        <f t="shared" si="43"/>
        <v/>
      </c>
      <c r="F287" s="1124"/>
      <c r="G287" s="1703" t="s">
        <v>38</v>
      </c>
      <c r="H287" s="1704" t="s">
        <v>38</v>
      </c>
      <c r="I287" s="1703" t="s">
        <v>38</v>
      </c>
      <c r="J287" s="1705" t="s">
        <v>38</v>
      </c>
      <c r="K287" s="1703" t="s">
        <v>37</v>
      </c>
      <c r="L287" s="1704" t="str">
        <f>IF(L276="No","N","Y")</f>
        <v>Y</v>
      </c>
      <c r="M287" s="1703" t="s">
        <v>37</v>
      </c>
      <c r="N287" s="1704" t="s">
        <v>37</v>
      </c>
      <c r="O287" s="1703" t="s">
        <v>37</v>
      </c>
      <c r="P287" s="1706" t="s">
        <v>37</v>
      </c>
      <c r="Q287" s="1707" t="s">
        <v>37</v>
      </c>
      <c r="R287" s="1704" t="s">
        <v>37</v>
      </c>
      <c r="S287" s="1703" t="s">
        <v>37</v>
      </c>
      <c r="T287" s="1705" t="s">
        <v>37</v>
      </c>
      <c r="U287" s="1703" t="s">
        <v>37</v>
      </c>
      <c r="V287" s="1704" t="s">
        <v>37</v>
      </c>
      <c r="W287" s="1703" t="s">
        <v>38</v>
      </c>
      <c r="X287" s="1705" t="s">
        <v>38</v>
      </c>
      <c r="Y287" s="431"/>
      <c r="Z287" s="590" t="s">
        <v>437</v>
      </c>
      <c r="AA287" s="972" t="s">
        <v>37</v>
      </c>
      <c r="AB287" s="1913"/>
      <c r="AC287" s="1153"/>
      <c r="AD287" s="1240"/>
      <c r="AE287" s="1239"/>
      <c r="AF287" s="1239" t="s">
        <v>387</v>
      </c>
      <c r="AG287" s="1239" t="s">
        <v>388</v>
      </c>
      <c r="AH287" s="1783" t="s">
        <v>390</v>
      </c>
      <c r="AI287" s="1765" t="s">
        <v>391</v>
      </c>
      <c r="AJ287" s="1239" t="s">
        <v>391</v>
      </c>
      <c r="AK287" s="1239" t="s">
        <v>794</v>
      </c>
      <c r="AL287" s="1095"/>
      <c r="AM287" s="1095"/>
      <c r="AN287" s="1095"/>
      <c r="AO287" s="1095"/>
      <c r="AP287" s="1095"/>
      <c r="AQ287" s="1106"/>
      <c r="AR287" s="1097"/>
      <c r="AS287" s="1110"/>
      <c r="BW287" s="30"/>
      <c r="BX287" s="30"/>
    </row>
    <row r="288" spans="1:76" s="181" customFormat="1" ht="15.75" x14ac:dyDescent="0.25">
      <c r="A288" s="551"/>
      <c r="B288" s="1578"/>
      <c r="C288" s="1110"/>
      <c r="D288" s="1145" t="s">
        <v>145</v>
      </c>
      <c r="E288" s="1147" t="str">
        <f t="shared" si="43"/>
        <v/>
      </c>
      <c r="F288" s="1124"/>
      <c r="G288" s="1703" t="s">
        <v>38</v>
      </c>
      <c r="H288" s="1704" t="s">
        <v>38</v>
      </c>
      <c r="I288" s="1703" t="s">
        <v>38</v>
      </c>
      <c r="J288" s="1705" t="s">
        <v>38</v>
      </c>
      <c r="K288" s="1703" t="s">
        <v>38</v>
      </c>
      <c r="L288" s="1704" t="s">
        <v>38</v>
      </c>
      <c r="M288" s="1703" t="s">
        <v>37</v>
      </c>
      <c r="N288" s="1704" t="s">
        <v>37</v>
      </c>
      <c r="O288" s="1703" t="s">
        <v>37</v>
      </c>
      <c r="P288" s="1706" t="s">
        <v>37</v>
      </c>
      <c r="Q288" s="1707" t="s">
        <v>37</v>
      </c>
      <c r="R288" s="1704" t="s">
        <v>37</v>
      </c>
      <c r="S288" s="1703" t="s">
        <v>37</v>
      </c>
      <c r="T288" s="1705" t="s">
        <v>37</v>
      </c>
      <c r="U288" s="1703" t="s">
        <v>37</v>
      </c>
      <c r="V288" s="1704" t="s">
        <v>37</v>
      </c>
      <c r="W288" s="1703" t="s">
        <v>38</v>
      </c>
      <c r="X288" s="1705" t="s">
        <v>38</v>
      </c>
      <c r="Y288" s="434"/>
      <c r="Z288" s="590" t="s">
        <v>438</v>
      </c>
      <c r="AA288" s="972" t="s">
        <v>37</v>
      </c>
      <c r="AB288" s="1913"/>
      <c r="AC288" s="1218"/>
      <c r="AD288" s="1240" t="s">
        <v>387</v>
      </c>
      <c r="AE288" s="1239" t="s">
        <v>387</v>
      </c>
      <c r="AF288" s="1239" t="s">
        <v>388</v>
      </c>
      <c r="AG288" s="1239" t="s">
        <v>390</v>
      </c>
      <c r="AH288" s="1783" t="s">
        <v>391</v>
      </c>
      <c r="AI288" s="1765" t="s">
        <v>391</v>
      </c>
      <c r="AJ288" s="1239" t="s">
        <v>391</v>
      </c>
      <c r="AK288" s="1239" t="s">
        <v>794</v>
      </c>
      <c r="AL288" s="1095"/>
      <c r="AM288" s="1095"/>
      <c r="AN288" s="1095"/>
      <c r="AO288" s="1095"/>
      <c r="AP288" s="1095"/>
      <c r="AQ288" s="1106"/>
      <c r="AR288" s="1097"/>
      <c r="AS288" s="1110"/>
      <c r="BW288" s="30"/>
      <c r="BX288" s="30"/>
    </row>
    <row r="289" spans="1:76" s="181" customFormat="1" ht="15.75" x14ac:dyDescent="0.25">
      <c r="A289" s="551"/>
      <c r="B289" s="1578"/>
      <c r="C289" s="1110"/>
      <c r="D289" s="1145" t="s">
        <v>145</v>
      </c>
      <c r="E289" s="1146" t="str">
        <f t="shared" si="43"/>
        <v/>
      </c>
      <c r="F289" s="1166"/>
      <c r="G289" s="886" t="s">
        <v>38</v>
      </c>
      <c r="H289" s="962" t="s">
        <v>38</v>
      </c>
      <c r="I289" s="886" t="s">
        <v>37</v>
      </c>
      <c r="J289" s="963" t="s">
        <v>37</v>
      </c>
      <c r="K289" s="886" t="s">
        <v>37</v>
      </c>
      <c r="L289" s="962" t="str">
        <f>IF(L278="No","N","Y")</f>
        <v>Y</v>
      </c>
      <c r="M289" s="886" t="s">
        <v>37</v>
      </c>
      <c r="N289" s="962" t="s">
        <v>37</v>
      </c>
      <c r="O289" s="886" t="s">
        <v>37</v>
      </c>
      <c r="P289" s="964" t="s">
        <v>37</v>
      </c>
      <c r="Q289" s="985" t="s">
        <v>37</v>
      </c>
      <c r="R289" s="962" t="s">
        <v>37</v>
      </c>
      <c r="S289" s="886" t="s">
        <v>37</v>
      </c>
      <c r="T289" s="963" t="s">
        <v>37</v>
      </c>
      <c r="U289" s="886" t="s">
        <v>37</v>
      </c>
      <c r="V289" s="962" t="s">
        <v>37</v>
      </c>
      <c r="W289" s="886" t="s">
        <v>38</v>
      </c>
      <c r="X289" s="963" t="s">
        <v>38</v>
      </c>
      <c r="Y289" s="433"/>
      <c r="Z289" s="591" t="s">
        <v>85</v>
      </c>
      <c r="AA289" s="972" t="s">
        <v>37</v>
      </c>
      <c r="AB289" s="1923"/>
      <c r="AC289" s="1153"/>
      <c r="AD289" s="1261"/>
      <c r="AE289" s="1249"/>
      <c r="AF289" s="1249"/>
      <c r="AG289" s="1262" t="s">
        <v>600</v>
      </c>
      <c r="AH289" s="1791" t="s">
        <v>600</v>
      </c>
      <c r="AI289" s="1772" t="s">
        <v>600</v>
      </c>
      <c r="AJ289" s="1262" t="s">
        <v>600</v>
      </c>
      <c r="AK289" s="1263" t="s">
        <v>794</v>
      </c>
      <c r="AL289" s="1095"/>
      <c r="AM289" s="1095"/>
      <c r="AN289" s="1095"/>
      <c r="AO289" s="1095"/>
      <c r="AP289" s="1095"/>
      <c r="AQ289" s="1106"/>
      <c r="AR289" s="1097"/>
      <c r="AS289" s="1110"/>
    </row>
    <row r="290" spans="1:76" s="181" customFormat="1" ht="15.75" x14ac:dyDescent="0.25">
      <c r="A290" s="551"/>
      <c r="B290" s="1578"/>
      <c r="C290" s="1110"/>
      <c r="D290" s="1145" t="s">
        <v>145</v>
      </c>
      <c r="E290" s="1147" t="str">
        <f t="shared" si="43"/>
        <v>N</v>
      </c>
      <c r="F290" s="1166"/>
      <c r="G290" s="1703" t="s">
        <v>38</v>
      </c>
      <c r="H290" s="1704" t="s">
        <v>38</v>
      </c>
      <c r="I290" s="1703" t="s">
        <v>38</v>
      </c>
      <c r="J290" s="1705" t="s">
        <v>38</v>
      </c>
      <c r="K290" s="1703" t="s">
        <v>38</v>
      </c>
      <c r="L290" s="1704" t="s">
        <v>38</v>
      </c>
      <c r="M290" s="1703" t="s">
        <v>38</v>
      </c>
      <c r="N290" s="1704" t="s">
        <v>38</v>
      </c>
      <c r="O290" s="1703" t="s">
        <v>38</v>
      </c>
      <c r="P290" s="1706" t="s">
        <v>38</v>
      </c>
      <c r="Q290" s="1707" t="s">
        <v>38</v>
      </c>
      <c r="R290" s="1704" t="s">
        <v>38</v>
      </c>
      <c r="S290" s="1703" t="s">
        <v>38</v>
      </c>
      <c r="T290" s="1705" t="s">
        <v>38</v>
      </c>
      <c r="U290" s="1703" t="s">
        <v>38</v>
      </c>
      <c r="V290" s="1704" t="s">
        <v>38</v>
      </c>
      <c r="W290" s="1703" t="s">
        <v>38</v>
      </c>
      <c r="X290" s="1705" t="s">
        <v>38</v>
      </c>
      <c r="Y290" s="431"/>
      <c r="Z290" s="888" t="s">
        <v>473</v>
      </c>
      <c r="AA290" s="972" t="s">
        <v>38</v>
      </c>
      <c r="AB290" s="1913"/>
      <c r="AC290" s="1153"/>
      <c r="AD290" s="1240" t="s">
        <v>387</v>
      </c>
      <c r="AE290" s="1239" t="s">
        <v>387</v>
      </c>
      <c r="AF290" s="1239" t="s">
        <v>388</v>
      </c>
      <c r="AG290" s="1239" t="s">
        <v>390</v>
      </c>
      <c r="AH290" s="1783" t="s">
        <v>391</v>
      </c>
      <c r="AI290" s="1765" t="s">
        <v>391</v>
      </c>
      <c r="AJ290" s="1239" t="s">
        <v>391</v>
      </c>
      <c r="AK290" s="1239" t="s">
        <v>794</v>
      </c>
      <c r="AL290" s="1095"/>
      <c r="AM290" s="1095"/>
      <c r="AN290" s="1095"/>
      <c r="AO290" s="1095"/>
      <c r="AP290" s="1095"/>
      <c r="AQ290" s="1106"/>
      <c r="AR290" s="1097"/>
      <c r="AS290" s="1110"/>
    </row>
    <row r="291" spans="1:76" s="181" customFormat="1" ht="15.75" x14ac:dyDescent="0.25">
      <c r="A291" s="551"/>
      <c r="B291" s="1578"/>
      <c r="C291" s="1110"/>
      <c r="D291" s="1145" t="s">
        <v>145</v>
      </c>
      <c r="E291" s="1147" t="str">
        <f t="shared" si="43"/>
        <v>N</v>
      </c>
      <c r="F291" s="1124"/>
      <c r="G291" s="1703" t="s">
        <v>38</v>
      </c>
      <c r="H291" s="1704" t="s">
        <v>38</v>
      </c>
      <c r="I291" s="1703" t="s">
        <v>38</v>
      </c>
      <c r="J291" s="1705" t="s">
        <v>38</v>
      </c>
      <c r="K291" s="1703" t="s">
        <v>38</v>
      </c>
      <c r="L291" s="1704" t="s">
        <v>38</v>
      </c>
      <c r="M291" s="1703" t="s">
        <v>38</v>
      </c>
      <c r="N291" s="1704" t="s">
        <v>38</v>
      </c>
      <c r="O291" s="1703" t="s">
        <v>38</v>
      </c>
      <c r="P291" s="1706" t="s">
        <v>38</v>
      </c>
      <c r="Q291" s="1707" t="s">
        <v>38</v>
      </c>
      <c r="R291" s="1704" t="s">
        <v>38</v>
      </c>
      <c r="S291" s="1703" t="s">
        <v>38</v>
      </c>
      <c r="T291" s="1705" t="s">
        <v>38</v>
      </c>
      <c r="U291" s="1703" t="s">
        <v>38</v>
      </c>
      <c r="V291" s="1704" t="s">
        <v>38</v>
      </c>
      <c r="W291" s="1703" t="s">
        <v>38</v>
      </c>
      <c r="X291" s="1705" t="s">
        <v>38</v>
      </c>
      <c r="Y291" s="431"/>
      <c r="Z291" s="888" t="s">
        <v>473</v>
      </c>
      <c r="AA291" s="972" t="s">
        <v>38</v>
      </c>
      <c r="AB291" s="1913"/>
      <c r="AC291" s="1153"/>
      <c r="AD291" s="1240" t="s">
        <v>387</v>
      </c>
      <c r="AE291" s="1239" t="s">
        <v>387</v>
      </c>
      <c r="AF291" s="1239" t="s">
        <v>388</v>
      </c>
      <c r="AG291" s="1239" t="s">
        <v>390</v>
      </c>
      <c r="AH291" s="1783" t="s">
        <v>391</v>
      </c>
      <c r="AI291" s="1765" t="s">
        <v>391</v>
      </c>
      <c r="AJ291" s="1239" t="s">
        <v>391</v>
      </c>
      <c r="AK291" s="1239" t="s">
        <v>794</v>
      </c>
      <c r="AL291" s="1095"/>
      <c r="AM291" s="1095"/>
      <c r="AN291" s="1095"/>
      <c r="AO291" s="1095"/>
      <c r="AP291" s="1095"/>
      <c r="AQ291" s="1106"/>
      <c r="AR291" s="1097"/>
      <c r="AS291" s="1110"/>
      <c r="BW291" s="30"/>
      <c r="BX291" s="30"/>
    </row>
    <row r="292" spans="1:76" s="181" customFormat="1" ht="15.75" x14ac:dyDescent="0.25">
      <c r="A292" s="551"/>
      <c r="B292" s="1578"/>
      <c r="C292" s="1110"/>
      <c r="D292" s="1145" t="s">
        <v>145</v>
      </c>
      <c r="E292" s="1147" t="str">
        <f t="shared" si="43"/>
        <v/>
      </c>
      <c r="F292" s="1124"/>
      <c r="G292" s="1703" t="s">
        <v>38</v>
      </c>
      <c r="H292" s="1704" t="s">
        <v>38</v>
      </c>
      <c r="I292" s="1703" t="s">
        <v>37</v>
      </c>
      <c r="J292" s="1705" t="s">
        <v>37</v>
      </c>
      <c r="K292" s="1703" t="s">
        <v>37</v>
      </c>
      <c r="L292" s="1704" t="str">
        <f>IF(L281="No","N","Y")</f>
        <v>Y</v>
      </c>
      <c r="M292" s="1703" t="s">
        <v>37</v>
      </c>
      <c r="N292" s="1704" t="s">
        <v>37</v>
      </c>
      <c r="O292" s="1703" t="s">
        <v>37</v>
      </c>
      <c r="P292" s="1706" t="s">
        <v>37</v>
      </c>
      <c r="Q292" s="1707" t="s">
        <v>37</v>
      </c>
      <c r="R292" s="1704" t="s">
        <v>37</v>
      </c>
      <c r="S292" s="1703" t="s">
        <v>37</v>
      </c>
      <c r="T292" s="1705" t="s">
        <v>37</v>
      </c>
      <c r="U292" s="1703" t="s">
        <v>37</v>
      </c>
      <c r="V292" s="1704" t="s">
        <v>37</v>
      </c>
      <c r="W292" s="1703" t="s">
        <v>38</v>
      </c>
      <c r="X292" s="1705" t="s">
        <v>38</v>
      </c>
      <c r="Y292" s="431"/>
      <c r="Z292" s="590" t="s">
        <v>987</v>
      </c>
      <c r="AA292" s="972" t="s">
        <v>37</v>
      </c>
      <c r="AB292" s="1913"/>
      <c r="AC292" s="1153"/>
      <c r="AD292" s="1240" t="s">
        <v>387</v>
      </c>
      <c r="AE292" s="1239" t="s">
        <v>387</v>
      </c>
      <c r="AF292" s="1239" t="s">
        <v>391</v>
      </c>
      <c r="AG292" s="1239" t="s">
        <v>391</v>
      </c>
      <c r="AH292" s="1783" t="s">
        <v>391</v>
      </c>
      <c r="AI292" s="1765" t="s">
        <v>391</v>
      </c>
      <c r="AJ292" s="1239" t="s">
        <v>391</v>
      </c>
      <c r="AK292" s="1239" t="s">
        <v>794</v>
      </c>
      <c r="AL292" s="1095"/>
      <c r="AM292" s="1095"/>
      <c r="AN292" s="1095"/>
      <c r="AO292" s="1095"/>
      <c r="AP292" s="1095"/>
      <c r="AQ292" s="1097"/>
      <c r="AR292" s="1112"/>
      <c r="AS292" s="1110"/>
      <c r="BW292" s="30"/>
      <c r="BX292" s="30"/>
    </row>
    <row r="293" spans="1:76" s="545" customFormat="1" ht="15.75" x14ac:dyDescent="0.25">
      <c r="B293" s="1579"/>
      <c r="C293" s="1097"/>
      <c r="D293" s="1145" t="s">
        <v>145</v>
      </c>
      <c r="E293" s="1147" t="str">
        <f t="shared" si="43"/>
        <v/>
      </c>
      <c r="F293" s="1124"/>
      <c r="G293" s="1703" t="s">
        <v>38</v>
      </c>
      <c r="H293" s="1704" t="s">
        <v>38</v>
      </c>
      <c r="I293" s="1703" t="s">
        <v>38</v>
      </c>
      <c r="J293" s="1705" t="s">
        <v>38</v>
      </c>
      <c r="K293" s="1703" t="s">
        <v>37</v>
      </c>
      <c r="L293" s="1704" t="str">
        <f>IF(L282="No","N","Y")</f>
        <v>Y</v>
      </c>
      <c r="M293" s="1703" t="s">
        <v>37</v>
      </c>
      <c r="N293" s="1704" t="s">
        <v>37</v>
      </c>
      <c r="O293" s="1703" t="s">
        <v>37</v>
      </c>
      <c r="P293" s="1706" t="s">
        <v>37</v>
      </c>
      <c r="Q293" s="1707" t="s">
        <v>37</v>
      </c>
      <c r="R293" s="1704" t="s">
        <v>37</v>
      </c>
      <c r="S293" s="1703" t="s">
        <v>37</v>
      </c>
      <c r="T293" s="1705" t="s">
        <v>37</v>
      </c>
      <c r="U293" s="1703" t="s">
        <v>37</v>
      </c>
      <c r="V293" s="1704" t="s">
        <v>37</v>
      </c>
      <c r="W293" s="1703" t="s">
        <v>38</v>
      </c>
      <c r="X293" s="1705" t="s">
        <v>38</v>
      </c>
      <c r="Y293" s="748"/>
      <c r="Z293" s="590" t="s">
        <v>998</v>
      </c>
      <c r="AA293" s="1004" t="s">
        <v>37</v>
      </c>
      <c r="AB293" s="1913"/>
      <c r="AC293" s="1125"/>
      <c r="AD293" s="1240" t="s">
        <v>387</v>
      </c>
      <c r="AE293" s="1239" t="s">
        <v>800</v>
      </c>
      <c r="AF293" s="1239" t="s">
        <v>388</v>
      </c>
      <c r="AG293" s="1239" t="s">
        <v>390</v>
      </c>
      <c r="AH293" s="1783" t="s">
        <v>391</v>
      </c>
      <c r="AI293" s="1765" t="s">
        <v>391</v>
      </c>
      <c r="AJ293" s="1239" t="s">
        <v>391</v>
      </c>
      <c r="AK293" s="1239" t="s">
        <v>794</v>
      </c>
      <c r="AL293" s="1095"/>
      <c r="AM293" s="1095"/>
      <c r="AN293" s="1095"/>
      <c r="AO293" s="1095"/>
      <c r="AP293" s="1095"/>
      <c r="AQ293" s="1106"/>
      <c r="AR293" s="1097"/>
      <c r="AS293" s="1097"/>
      <c r="AT293" s="551"/>
      <c r="AU293" s="551"/>
      <c r="AV293" s="551"/>
      <c r="AW293" s="551"/>
      <c r="AX293" s="551"/>
      <c r="AY293" s="551"/>
      <c r="AZ293" s="551"/>
      <c r="BA293" s="551"/>
      <c r="BB293" s="551"/>
      <c r="BC293" s="551"/>
      <c r="BD293" s="551"/>
      <c r="BE293" s="551"/>
      <c r="BF293" s="551"/>
      <c r="BG293" s="551"/>
      <c r="BH293" s="551"/>
      <c r="BI293" s="551"/>
      <c r="BJ293" s="551"/>
      <c r="BK293" s="551"/>
      <c r="BL293" s="551"/>
      <c r="BM293" s="551"/>
      <c r="BN293" s="551"/>
      <c r="BO293" s="551"/>
      <c r="BP293" s="551"/>
      <c r="BQ293" s="551"/>
      <c r="BR293" s="551"/>
      <c r="BS293" s="551"/>
      <c r="BT293" s="551"/>
      <c r="BU293" s="551"/>
      <c r="BV293" s="551"/>
    </row>
    <row r="294" spans="1:76" s="181" customFormat="1" ht="15.75" x14ac:dyDescent="0.25">
      <c r="A294" s="551"/>
      <c r="B294" s="1578"/>
      <c r="C294" s="1110"/>
      <c r="D294" s="1145" t="s">
        <v>145</v>
      </c>
      <c r="E294" s="1147" t="str">
        <f t="shared" si="43"/>
        <v/>
      </c>
      <c r="F294" s="1124"/>
      <c r="G294" s="1703" t="s">
        <v>38</v>
      </c>
      <c r="H294" s="1704" t="s">
        <v>38</v>
      </c>
      <c r="I294" s="1703" t="s">
        <v>37</v>
      </c>
      <c r="J294" s="1705" t="s">
        <v>37</v>
      </c>
      <c r="K294" s="1703" t="s">
        <v>37</v>
      </c>
      <c r="L294" s="1704" t="str">
        <f>IF(L282="No","N","Y")</f>
        <v>Y</v>
      </c>
      <c r="M294" s="1703" t="s">
        <v>37</v>
      </c>
      <c r="N294" s="1704" t="s">
        <v>37</v>
      </c>
      <c r="O294" s="1703" t="s">
        <v>37</v>
      </c>
      <c r="P294" s="1706" t="s">
        <v>37</v>
      </c>
      <c r="Q294" s="1707" t="s">
        <v>37</v>
      </c>
      <c r="R294" s="1704" t="s">
        <v>37</v>
      </c>
      <c r="S294" s="1703" t="s">
        <v>37</v>
      </c>
      <c r="T294" s="1705" t="s">
        <v>37</v>
      </c>
      <c r="U294" s="1703" t="s">
        <v>37</v>
      </c>
      <c r="V294" s="1704" t="s">
        <v>37</v>
      </c>
      <c r="W294" s="1703" t="s">
        <v>38</v>
      </c>
      <c r="X294" s="1705" t="s">
        <v>38</v>
      </c>
      <c r="Y294" s="431"/>
      <c r="Z294" s="590" t="s">
        <v>439</v>
      </c>
      <c r="AA294" s="972" t="s">
        <v>37</v>
      </c>
      <c r="AB294" s="1913"/>
      <c r="AC294" s="1153"/>
      <c r="AD294" s="1240" t="s">
        <v>387</v>
      </c>
      <c r="AE294" s="1239" t="s">
        <v>387</v>
      </c>
      <c r="AF294" s="1239" t="s">
        <v>387</v>
      </c>
      <c r="AG294" s="1239" t="s">
        <v>388</v>
      </c>
      <c r="AH294" s="1783" t="s">
        <v>391</v>
      </c>
      <c r="AI294" s="1765" t="s">
        <v>391</v>
      </c>
      <c r="AJ294" s="1239" t="s">
        <v>391</v>
      </c>
      <c r="AK294" s="1239" t="s">
        <v>794</v>
      </c>
      <c r="AL294" s="1095"/>
      <c r="AM294" s="1095"/>
      <c r="AN294" s="1095"/>
      <c r="AO294" s="1095"/>
      <c r="AP294" s="1095"/>
      <c r="AQ294" s="1106"/>
      <c r="AR294" s="1097"/>
      <c r="AS294" s="1110"/>
      <c r="BW294" s="30"/>
      <c r="BX294" s="30"/>
    </row>
    <row r="295" spans="1:76" s="181" customFormat="1" ht="15.75" x14ac:dyDescent="0.25">
      <c r="A295" s="551"/>
      <c r="B295" s="1578"/>
      <c r="C295" s="1110"/>
      <c r="D295" s="1145" t="s">
        <v>145</v>
      </c>
      <c r="E295" s="1147" t="str">
        <f t="shared" si="43"/>
        <v/>
      </c>
      <c r="F295" s="1124"/>
      <c r="G295" s="1703" t="s">
        <v>38</v>
      </c>
      <c r="H295" s="1704" t="s">
        <v>38</v>
      </c>
      <c r="I295" s="1703" t="s">
        <v>38</v>
      </c>
      <c r="J295" s="1705" t="s">
        <v>38</v>
      </c>
      <c r="K295" s="1703" t="s">
        <v>37</v>
      </c>
      <c r="L295" s="1704" t="str">
        <f>IF(L284="No","N","Y")</f>
        <v>Y</v>
      </c>
      <c r="M295" s="1703" t="s">
        <v>37</v>
      </c>
      <c r="N295" s="1704" t="s">
        <v>37</v>
      </c>
      <c r="O295" s="1703" t="s">
        <v>37</v>
      </c>
      <c r="P295" s="1706" t="s">
        <v>37</v>
      </c>
      <c r="Q295" s="1707" t="s">
        <v>37</v>
      </c>
      <c r="R295" s="1704" t="s">
        <v>37</v>
      </c>
      <c r="S295" s="1703" t="s">
        <v>37</v>
      </c>
      <c r="T295" s="1705" t="s">
        <v>37</v>
      </c>
      <c r="U295" s="1703" t="s">
        <v>37</v>
      </c>
      <c r="V295" s="1704" t="s">
        <v>37</v>
      </c>
      <c r="W295" s="1703" t="s">
        <v>38</v>
      </c>
      <c r="X295" s="1705" t="s">
        <v>38</v>
      </c>
      <c r="Y295" s="431"/>
      <c r="Z295" s="590" t="s">
        <v>440</v>
      </c>
      <c r="AA295" s="972" t="s">
        <v>37</v>
      </c>
      <c r="AB295" s="1913"/>
      <c r="AC295" s="1153"/>
      <c r="AD295" s="1240" t="s">
        <v>387</v>
      </c>
      <c r="AE295" s="1239" t="s">
        <v>387</v>
      </c>
      <c r="AF295" s="1239" t="s">
        <v>390</v>
      </c>
      <c r="AG295" s="1239" t="s">
        <v>391</v>
      </c>
      <c r="AH295" s="1783" t="s">
        <v>391</v>
      </c>
      <c r="AI295" s="1765" t="s">
        <v>391</v>
      </c>
      <c r="AJ295" s="1239" t="s">
        <v>391</v>
      </c>
      <c r="AK295" s="1239" t="s">
        <v>794</v>
      </c>
      <c r="AL295" s="1095"/>
      <c r="AM295" s="1095"/>
      <c r="AN295" s="1095"/>
      <c r="AO295" s="1095"/>
      <c r="AP295" s="1095"/>
      <c r="AQ295" s="1106"/>
      <c r="AR295" s="1097"/>
      <c r="AS295" s="1110"/>
      <c r="BW295" s="30"/>
      <c r="BX295" s="30"/>
    </row>
    <row r="296" spans="1:76" s="181" customFormat="1" ht="15.75" x14ac:dyDescent="0.25">
      <c r="A296" s="551"/>
      <c r="B296" s="1578"/>
      <c r="C296" s="1110"/>
      <c r="D296" s="1145" t="s">
        <v>145</v>
      </c>
      <c r="E296" s="1147" t="str">
        <f t="shared" si="43"/>
        <v/>
      </c>
      <c r="F296" s="1124"/>
      <c r="G296" s="1703" t="s">
        <v>38</v>
      </c>
      <c r="H296" s="1704" t="s">
        <v>38</v>
      </c>
      <c r="I296" s="1703" t="s">
        <v>38</v>
      </c>
      <c r="J296" s="1705" t="s">
        <v>38</v>
      </c>
      <c r="K296" s="1703" t="s">
        <v>37</v>
      </c>
      <c r="L296" s="1704" t="str">
        <f>IF(L285="No","N","Y")</f>
        <v>Y</v>
      </c>
      <c r="M296" s="1703" t="s">
        <v>37</v>
      </c>
      <c r="N296" s="1704" t="s">
        <v>37</v>
      </c>
      <c r="O296" s="1703" t="s">
        <v>37</v>
      </c>
      <c r="P296" s="1706" t="s">
        <v>37</v>
      </c>
      <c r="Q296" s="1707" t="s">
        <v>37</v>
      </c>
      <c r="R296" s="1704" t="s">
        <v>37</v>
      </c>
      <c r="S296" s="1703" t="s">
        <v>37</v>
      </c>
      <c r="T296" s="1705" t="s">
        <v>37</v>
      </c>
      <c r="U296" s="1703" t="s">
        <v>37</v>
      </c>
      <c r="V296" s="1704" t="s">
        <v>37</v>
      </c>
      <c r="W296" s="1703" t="s">
        <v>38</v>
      </c>
      <c r="X296" s="1705" t="s">
        <v>38</v>
      </c>
      <c r="Y296" s="431"/>
      <c r="Z296" s="590" t="s">
        <v>441</v>
      </c>
      <c r="AA296" s="972" t="s">
        <v>37</v>
      </c>
      <c r="AB296" s="1913"/>
      <c r="AC296" s="1153"/>
      <c r="AD296" s="1240" t="s">
        <v>387</v>
      </c>
      <c r="AE296" s="1239" t="s">
        <v>387</v>
      </c>
      <c r="AF296" s="1239" t="s">
        <v>387</v>
      </c>
      <c r="AG296" s="1239" t="s">
        <v>388</v>
      </c>
      <c r="AH296" s="1783" t="s">
        <v>391</v>
      </c>
      <c r="AI296" s="1765" t="s">
        <v>391</v>
      </c>
      <c r="AJ296" s="1239" t="s">
        <v>391</v>
      </c>
      <c r="AK296" s="1239" t="s">
        <v>794</v>
      </c>
      <c r="AL296" s="1095"/>
      <c r="AM296" s="1095"/>
      <c r="AN296" s="1095"/>
      <c r="AO296" s="1095"/>
      <c r="AP296" s="1095"/>
      <c r="AQ296" s="1106"/>
      <c r="AR296" s="1097"/>
      <c r="AS296" s="1110"/>
      <c r="BW296" s="30"/>
      <c r="BX296" s="30"/>
    </row>
    <row r="297" spans="1:76" s="181" customFormat="1" ht="15.75" x14ac:dyDescent="0.25">
      <c r="A297" s="551"/>
      <c r="B297" s="1578"/>
      <c r="C297" s="1110"/>
      <c r="D297" s="1145" t="s">
        <v>145</v>
      </c>
      <c r="E297" s="1147" t="str">
        <f t="shared" si="43"/>
        <v/>
      </c>
      <c r="F297" s="1124"/>
      <c r="G297" s="1703" t="s">
        <v>38</v>
      </c>
      <c r="H297" s="1704" t="s">
        <v>38</v>
      </c>
      <c r="I297" s="1703" t="s">
        <v>38</v>
      </c>
      <c r="J297" s="1705" t="s">
        <v>38</v>
      </c>
      <c r="K297" s="1703" t="s">
        <v>37</v>
      </c>
      <c r="L297" s="1704" t="str">
        <f>IF(L286="No","N","Y")</f>
        <v>Y</v>
      </c>
      <c r="M297" s="1703" t="s">
        <v>37</v>
      </c>
      <c r="N297" s="1704" t="s">
        <v>37</v>
      </c>
      <c r="O297" s="1703" t="s">
        <v>37</v>
      </c>
      <c r="P297" s="1706" t="s">
        <v>37</v>
      </c>
      <c r="Q297" s="1707" t="s">
        <v>37</v>
      </c>
      <c r="R297" s="1704" t="s">
        <v>37</v>
      </c>
      <c r="S297" s="1703" t="s">
        <v>37</v>
      </c>
      <c r="T297" s="1705" t="s">
        <v>37</v>
      </c>
      <c r="U297" s="1703" t="s">
        <v>37</v>
      </c>
      <c r="V297" s="1704" t="s">
        <v>37</v>
      </c>
      <c r="W297" s="1703" t="s">
        <v>38</v>
      </c>
      <c r="X297" s="1705" t="s">
        <v>38</v>
      </c>
      <c r="Y297" s="431"/>
      <c r="Z297" s="592" t="s">
        <v>442</v>
      </c>
      <c r="AA297" s="972" t="s">
        <v>37</v>
      </c>
      <c r="AB297" s="1913"/>
      <c r="AC297" s="1153"/>
      <c r="AD297" s="1240"/>
      <c r="AE297" s="1239"/>
      <c r="AF297" s="1239" t="s">
        <v>387</v>
      </c>
      <c r="AG297" s="1239" t="s">
        <v>388</v>
      </c>
      <c r="AH297" s="1783" t="s">
        <v>390</v>
      </c>
      <c r="AI297" s="1765" t="s">
        <v>391</v>
      </c>
      <c r="AJ297" s="1239" t="s">
        <v>391</v>
      </c>
      <c r="AK297" s="1239" t="s">
        <v>794</v>
      </c>
      <c r="AL297" s="1095"/>
      <c r="AM297" s="1095"/>
      <c r="AN297" s="1095"/>
      <c r="AO297" s="1095"/>
      <c r="AP297" s="1095"/>
      <c r="AQ297" s="1106"/>
      <c r="AR297" s="1097"/>
      <c r="AS297" s="1110"/>
      <c r="BW297" s="30"/>
      <c r="BX297" s="30"/>
    </row>
    <row r="298" spans="1:76" s="181" customFormat="1" ht="15.75" x14ac:dyDescent="0.25">
      <c r="A298" s="551"/>
      <c r="B298" s="1578"/>
      <c r="C298" s="1110"/>
      <c r="D298" s="1145" t="s">
        <v>145</v>
      </c>
      <c r="E298" s="1147" t="str">
        <f t="shared" si="43"/>
        <v/>
      </c>
      <c r="F298" s="1124"/>
      <c r="G298" s="1703" t="s">
        <v>38</v>
      </c>
      <c r="H298" s="1704" t="s">
        <v>38</v>
      </c>
      <c r="I298" s="1703" t="s">
        <v>38</v>
      </c>
      <c r="J298" s="1705" t="s">
        <v>38</v>
      </c>
      <c r="K298" s="1703" t="s">
        <v>37</v>
      </c>
      <c r="L298" s="1704" t="str">
        <f>IF(L287="No","N","Y")</f>
        <v>Y</v>
      </c>
      <c r="M298" s="1703" t="s">
        <v>37</v>
      </c>
      <c r="N298" s="1704" t="s">
        <v>37</v>
      </c>
      <c r="O298" s="1703" t="s">
        <v>37</v>
      </c>
      <c r="P298" s="1706" t="s">
        <v>37</v>
      </c>
      <c r="Q298" s="1707" t="s">
        <v>37</v>
      </c>
      <c r="R298" s="1704" t="s">
        <v>37</v>
      </c>
      <c r="S298" s="1703" t="s">
        <v>37</v>
      </c>
      <c r="T298" s="1705" t="s">
        <v>37</v>
      </c>
      <c r="U298" s="1703" t="s">
        <v>37</v>
      </c>
      <c r="V298" s="1704" t="s">
        <v>37</v>
      </c>
      <c r="W298" s="1703" t="s">
        <v>38</v>
      </c>
      <c r="X298" s="1705" t="s">
        <v>38</v>
      </c>
      <c r="Y298" s="430"/>
      <c r="Z298" s="590" t="s">
        <v>443</v>
      </c>
      <c r="AA298" s="972" t="s">
        <v>37</v>
      </c>
      <c r="AB298" s="1913"/>
      <c r="AC298" s="1153"/>
      <c r="AD298" s="1240" t="s">
        <v>387</v>
      </c>
      <c r="AE298" s="1239" t="s">
        <v>387</v>
      </c>
      <c r="AF298" s="1239" t="s">
        <v>387</v>
      </c>
      <c r="AG298" s="1239" t="s">
        <v>388</v>
      </c>
      <c r="AH298" s="1783" t="s">
        <v>391</v>
      </c>
      <c r="AI298" s="1765" t="s">
        <v>391</v>
      </c>
      <c r="AJ298" s="1239" t="s">
        <v>391</v>
      </c>
      <c r="AK298" s="1239" t="s">
        <v>794</v>
      </c>
      <c r="AL298" s="1095"/>
      <c r="AM298" s="1095"/>
      <c r="AN298" s="1095"/>
      <c r="AO298" s="1095"/>
      <c r="AP298" s="1095"/>
      <c r="AQ298" s="1106"/>
      <c r="AR298" s="1097"/>
      <c r="AS298" s="1110"/>
      <c r="BW298" s="30"/>
      <c r="BX298" s="30"/>
    </row>
    <row r="299" spans="1:76" s="181" customFormat="1" ht="15.75" x14ac:dyDescent="0.25">
      <c r="A299" s="551"/>
      <c r="B299" s="1578"/>
      <c r="C299" s="1110"/>
      <c r="D299" s="1145" t="s">
        <v>145</v>
      </c>
      <c r="E299" s="1146" t="str">
        <f t="shared" si="43"/>
        <v/>
      </c>
      <c r="F299" s="1166"/>
      <c r="G299" s="886" t="s">
        <v>38</v>
      </c>
      <c r="H299" s="962" t="s">
        <v>38</v>
      </c>
      <c r="I299" s="886" t="s">
        <v>37</v>
      </c>
      <c r="J299" s="963" t="s">
        <v>37</v>
      </c>
      <c r="K299" s="886" t="s">
        <v>37</v>
      </c>
      <c r="L299" s="962" t="str">
        <f>IF(L288="No","N","Y")</f>
        <v>Y</v>
      </c>
      <c r="M299" s="886" t="s">
        <v>37</v>
      </c>
      <c r="N299" s="962" t="s">
        <v>37</v>
      </c>
      <c r="O299" s="886" t="s">
        <v>37</v>
      </c>
      <c r="P299" s="964" t="s">
        <v>37</v>
      </c>
      <c r="Q299" s="985" t="s">
        <v>37</v>
      </c>
      <c r="R299" s="962" t="s">
        <v>37</v>
      </c>
      <c r="S299" s="886" t="s">
        <v>37</v>
      </c>
      <c r="T299" s="963" t="s">
        <v>37</v>
      </c>
      <c r="U299" s="886" t="s">
        <v>37</v>
      </c>
      <c r="V299" s="962" t="s">
        <v>37</v>
      </c>
      <c r="W299" s="886" t="s">
        <v>38</v>
      </c>
      <c r="X299" s="963" t="s">
        <v>38</v>
      </c>
      <c r="Y299" s="431"/>
      <c r="Z299" s="591" t="s">
        <v>79</v>
      </c>
      <c r="AA299" s="972" t="s">
        <v>37</v>
      </c>
      <c r="AB299" s="1923"/>
      <c r="AC299" s="1153"/>
      <c r="AD299" s="1261"/>
      <c r="AE299" s="1249"/>
      <c r="AF299" s="1249"/>
      <c r="AG299" s="1262" t="s">
        <v>600</v>
      </c>
      <c r="AH299" s="1791" t="s">
        <v>600</v>
      </c>
      <c r="AI299" s="1772" t="s">
        <v>600</v>
      </c>
      <c r="AJ299" s="1262" t="s">
        <v>600</v>
      </c>
      <c r="AK299" s="1263" t="s">
        <v>794</v>
      </c>
      <c r="AL299" s="1095"/>
      <c r="AM299" s="1095"/>
      <c r="AN299" s="1095"/>
      <c r="AO299" s="1095"/>
      <c r="AP299" s="1095"/>
      <c r="AQ299" s="1106"/>
      <c r="AR299" s="1097"/>
      <c r="AS299" s="1110"/>
    </row>
    <row r="300" spans="1:76" s="181" customFormat="1" ht="15.75" x14ac:dyDescent="0.25">
      <c r="A300" s="551"/>
      <c r="B300" s="1578"/>
      <c r="C300" s="1110"/>
      <c r="D300" s="1145" t="s">
        <v>145</v>
      </c>
      <c r="E300" s="1147" t="str">
        <f t="shared" si="43"/>
        <v>N</v>
      </c>
      <c r="F300" s="1166"/>
      <c r="G300" s="1703" t="s">
        <v>38</v>
      </c>
      <c r="H300" s="1704" t="s">
        <v>38</v>
      </c>
      <c r="I300" s="1703" t="s">
        <v>38</v>
      </c>
      <c r="J300" s="1705" t="s">
        <v>38</v>
      </c>
      <c r="K300" s="1703" t="s">
        <v>38</v>
      </c>
      <c r="L300" s="1704" t="s">
        <v>38</v>
      </c>
      <c r="M300" s="1703" t="s">
        <v>38</v>
      </c>
      <c r="N300" s="1704" t="s">
        <v>38</v>
      </c>
      <c r="O300" s="1703" t="s">
        <v>38</v>
      </c>
      <c r="P300" s="1706" t="s">
        <v>38</v>
      </c>
      <c r="Q300" s="1707" t="s">
        <v>38</v>
      </c>
      <c r="R300" s="1704" t="s">
        <v>38</v>
      </c>
      <c r="S300" s="1703" t="s">
        <v>38</v>
      </c>
      <c r="T300" s="1705" t="s">
        <v>38</v>
      </c>
      <c r="U300" s="1703" t="s">
        <v>38</v>
      </c>
      <c r="V300" s="1704" t="s">
        <v>38</v>
      </c>
      <c r="W300" s="1703" t="s">
        <v>38</v>
      </c>
      <c r="X300" s="1705" t="s">
        <v>38</v>
      </c>
      <c r="Y300" s="431"/>
      <c r="Z300" s="888" t="s">
        <v>474</v>
      </c>
      <c r="AA300" s="972" t="s">
        <v>38</v>
      </c>
      <c r="AB300" s="1913"/>
      <c r="AC300" s="1153"/>
      <c r="AD300" s="1240" t="s">
        <v>387</v>
      </c>
      <c r="AE300" s="1239" t="s">
        <v>387</v>
      </c>
      <c r="AF300" s="1239" t="s">
        <v>388</v>
      </c>
      <c r="AG300" s="1239" t="s">
        <v>390</v>
      </c>
      <c r="AH300" s="1783" t="s">
        <v>391</v>
      </c>
      <c r="AI300" s="1765" t="s">
        <v>391</v>
      </c>
      <c r="AJ300" s="1239" t="s">
        <v>391</v>
      </c>
      <c r="AK300" s="1239" t="s">
        <v>794</v>
      </c>
      <c r="AL300" s="1095"/>
      <c r="AM300" s="1095"/>
      <c r="AN300" s="1095"/>
      <c r="AO300" s="1095"/>
      <c r="AP300" s="1095"/>
      <c r="AQ300" s="1106"/>
      <c r="AR300" s="1097"/>
      <c r="AS300" s="1110"/>
    </row>
    <row r="301" spans="1:76" s="181" customFormat="1" ht="15.75" x14ac:dyDescent="0.25">
      <c r="A301" s="551"/>
      <c r="B301" s="1578"/>
      <c r="C301" s="1110"/>
      <c r="D301" s="1145" t="s">
        <v>145</v>
      </c>
      <c r="E301" s="1147" t="str">
        <f t="shared" si="43"/>
        <v>N</v>
      </c>
      <c r="F301" s="1124"/>
      <c r="G301" s="1703" t="s">
        <v>38</v>
      </c>
      <c r="H301" s="1704" t="s">
        <v>38</v>
      </c>
      <c r="I301" s="1703" t="s">
        <v>38</v>
      </c>
      <c r="J301" s="1705" t="s">
        <v>38</v>
      </c>
      <c r="K301" s="1703" t="s">
        <v>38</v>
      </c>
      <c r="L301" s="1704" t="s">
        <v>38</v>
      </c>
      <c r="M301" s="1703" t="s">
        <v>38</v>
      </c>
      <c r="N301" s="1704" t="s">
        <v>38</v>
      </c>
      <c r="O301" s="1703" t="s">
        <v>38</v>
      </c>
      <c r="P301" s="1706" t="s">
        <v>38</v>
      </c>
      <c r="Q301" s="1707" t="s">
        <v>38</v>
      </c>
      <c r="R301" s="1704" t="s">
        <v>38</v>
      </c>
      <c r="S301" s="1703" t="s">
        <v>38</v>
      </c>
      <c r="T301" s="1705" t="s">
        <v>38</v>
      </c>
      <c r="U301" s="1703" t="s">
        <v>38</v>
      </c>
      <c r="V301" s="1704" t="s">
        <v>38</v>
      </c>
      <c r="W301" s="1703" t="s">
        <v>38</v>
      </c>
      <c r="X301" s="1705" t="s">
        <v>38</v>
      </c>
      <c r="Y301" s="431"/>
      <c r="Z301" s="888" t="s">
        <v>474</v>
      </c>
      <c r="AA301" s="972" t="s">
        <v>38</v>
      </c>
      <c r="AB301" s="1913"/>
      <c r="AC301" s="1153"/>
      <c r="AD301" s="1240" t="s">
        <v>387</v>
      </c>
      <c r="AE301" s="1239" t="s">
        <v>387</v>
      </c>
      <c r="AF301" s="1239" t="s">
        <v>388</v>
      </c>
      <c r="AG301" s="1239" t="s">
        <v>390</v>
      </c>
      <c r="AH301" s="1783" t="s">
        <v>391</v>
      </c>
      <c r="AI301" s="1765" t="s">
        <v>391</v>
      </c>
      <c r="AJ301" s="1239" t="s">
        <v>391</v>
      </c>
      <c r="AK301" s="1239" t="s">
        <v>794</v>
      </c>
      <c r="AL301" s="1095"/>
      <c r="AM301" s="1095"/>
      <c r="AN301" s="1095"/>
      <c r="AO301" s="1095"/>
      <c r="AP301" s="1095"/>
      <c r="AQ301" s="1097"/>
      <c r="AR301" s="1112"/>
      <c r="AS301" s="1110"/>
      <c r="BW301" s="30"/>
      <c r="BX301" s="30"/>
    </row>
    <row r="302" spans="1:76" s="181" customFormat="1" ht="15.75" x14ac:dyDescent="0.25">
      <c r="A302" s="551"/>
      <c r="B302" s="1578"/>
      <c r="C302" s="1110"/>
      <c r="D302" s="1145" t="s">
        <v>145</v>
      </c>
      <c r="E302" s="1147" t="str">
        <f t="shared" si="43"/>
        <v/>
      </c>
      <c r="F302" s="1124"/>
      <c r="G302" s="1703" t="s">
        <v>38</v>
      </c>
      <c r="H302" s="1704" t="s">
        <v>38</v>
      </c>
      <c r="I302" s="1703" t="s">
        <v>37</v>
      </c>
      <c r="J302" s="1705" t="s">
        <v>37</v>
      </c>
      <c r="K302" s="1703" t="s">
        <v>37</v>
      </c>
      <c r="L302" s="1704" t="str">
        <f>IF(L291="No","N","Y")</f>
        <v>Y</v>
      </c>
      <c r="M302" s="1703" t="s">
        <v>37</v>
      </c>
      <c r="N302" s="1704" t="s">
        <v>37</v>
      </c>
      <c r="O302" s="1703" t="s">
        <v>37</v>
      </c>
      <c r="P302" s="1706" t="s">
        <v>37</v>
      </c>
      <c r="Q302" s="1707" t="s">
        <v>37</v>
      </c>
      <c r="R302" s="1704" t="s">
        <v>37</v>
      </c>
      <c r="S302" s="1703" t="s">
        <v>37</v>
      </c>
      <c r="T302" s="1705" t="s">
        <v>37</v>
      </c>
      <c r="U302" s="1703" t="s">
        <v>37</v>
      </c>
      <c r="V302" s="1704" t="s">
        <v>37</v>
      </c>
      <c r="W302" s="1703" t="s">
        <v>38</v>
      </c>
      <c r="X302" s="1705" t="s">
        <v>38</v>
      </c>
      <c r="Y302" s="431"/>
      <c r="Z302" s="590" t="s">
        <v>988</v>
      </c>
      <c r="AA302" s="972" t="s">
        <v>37</v>
      </c>
      <c r="AB302" s="1913"/>
      <c r="AC302" s="1153"/>
      <c r="AD302" s="1240" t="s">
        <v>388</v>
      </c>
      <c r="AE302" s="1239" t="s">
        <v>388</v>
      </c>
      <c r="AF302" s="1239" t="s">
        <v>391</v>
      </c>
      <c r="AG302" s="1239" t="s">
        <v>391</v>
      </c>
      <c r="AH302" s="1783" t="s">
        <v>391</v>
      </c>
      <c r="AI302" s="1765" t="s">
        <v>391</v>
      </c>
      <c r="AJ302" s="1239" t="s">
        <v>391</v>
      </c>
      <c r="AK302" s="1239" t="s">
        <v>794</v>
      </c>
      <c r="AL302" s="1095"/>
      <c r="AM302" s="1095"/>
      <c r="AN302" s="1095"/>
      <c r="AO302" s="1095"/>
      <c r="AP302" s="1095"/>
      <c r="AQ302" s="1106"/>
      <c r="AR302" s="1097"/>
      <c r="AS302" s="1110"/>
      <c r="BW302" s="30"/>
      <c r="BX302" s="30"/>
    </row>
    <row r="303" spans="1:76" s="545" customFormat="1" ht="15.75" x14ac:dyDescent="0.25">
      <c r="B303" s="1579"/>
      <c r="C303" s="1097"/>
      <c r="D303" s="1145" t="s">
        <v>145</v>
      </c>
      <c r="E303" s="1147" t="str">
        <f t="shared" ref="E303" si="53">IF(Z303="","",IF(OR(AND(OR(G303="Y",G303="?"),_00_apply="Yes"),AND(OR(I303="Y",I303="?"),_01_apply="Yes"),AND(OR(K303="Y",K303="?"),_02_apply="Yes"),AND(OR(M303="Y",M303="?"),_03_apply="Yes"),AND(OR(O303="Y",O303="?"),_04_apply="Yes"),AND(OR(Q303="Y",Q303="?"),_05_apply="Yes"),AND(OR(S303="?",S303="Y"),_06_apply="Yes"),AND(OR(U303="?",U303="Y"),_07_apply="Yes"),AND(OR(W303="Y",W303="?"),_08_apply="Yes")),"","N"))</f>
        <v/>
      </c>
      <c r="F303" s="1124"/>
      <c r="G303" s="1703" t="s">
        <v>38</v>
      </c>
      <c r="H303" s="1704" t="s">
        <v>38</v>
      </c>
      <c r="I303" s="1703" t="s">
        <v>38</v>
      </c>
      <c r="J303" s="1705" t="s">
        <v>38</v>
      </c>
      <c r="K303" s="1703" t="s">
        <v>37</v>
      </c>
      <c r="L303" s="1704" t="str">
        <f>IF(L292="No","N","Y")</f>
        <v>Y</v>
      </c>
      <c r="M303" s="1703" t="s">
        <v>37</v>
      </c>
      <c r="N303" s="1704" t="s">
        <v>37</v>
      </c>
      <c r="O303" s="1703" t="s">
        <v>37</v>
      </c>
      <c r="P303" s="1706" t="s">
        <v>37</v>
      </c>
      <c r="Q303" s="1707" t="s">
        <v>37</v>
      </c>
      <c r="R303" s="1704" t="s">
        <v>37</v>
      </c>
      <c r="S303" s="1703" t="s">
        <v>37</v>
      </c>
      <c r="T303" s="1705" t="s">
        <v>37</v>
      </c>
      <c r="U303" s="1703" t="s">
        <v>37</v>
      </c>
      <c r="V303" s="1704" t="s">
        <v>37</v>
      </c>
      <c r="W303" s="1703" t="s">
        <v>38</v>
      </c>
      <c r="X303" s="1705" t="s">
        <v>38</v>
      </c>
      <c r="Y303" s="748"/>
      <c r="Z303" s="590" t="s">
        <v>997</v>
      </c>
      <c r="AA303" s="1004" t="s">
        <v>37</v>
      </c>
      <c r="AB303" s="1913"/>
      <c r="AC303" s="1125"/>
      <c r="AD303" s="1240" t="s">
        <v>387</v>
      </c>
      <c r="AE303" s="1239" t="s">
        <v>800</v>
      </c>
      <c r="AF303" s="1239" t="s">
        <v>388</v>
      </c>
      <c r="AG303" s="1239" t="s">
        <v>390</v>
      </c>
      <c r="AH303" s="1783" t="s">
        <v>391</v>
      </c>
      <c r="AI303" s="1765" t="s">
        <v>391</v>
      </c>
      <c r="AJ303" s="1239" t="s">
        <v>391</v>
      </c>
      <c r="AK303" s="1239" t="s">
        <v>794</v>
      </c>
      <c r="AL303" s="1095"/>
      <c r="AM303" s="1095"/>
      <c r="AN303" s="1095"/>
      <c r="AO303" s="1095"/>
      <c r="AP303" s="1095"/>
      <c r="AQ303" s="1106"/>
      <c r="AR303" s="1097"/>
      <c r="AS303" s="1097"/>
      <c r="AT303" s="551"/>
      <c r="AU303" s="551"/>
      <c r="AV303" s="551"/>
      <c r="AW303" s="551"/>
      <c r="AX303" s="551"/>
      <c r="AY303" s="551"/>
      <c r="AZ303" s="551"/>
      <c r="BA303" s="551"/>
      <c r="BB303" s="551"/>
      <c r="BC303" s="551"/>
      <c r="BD303" s="551"/>
      <c r="BE303" s="551"/>
      <c r="BF303" s="551"/>
      <c r="BG303" s="551"/>
      <c r="BH303" s="551"/>
      <c r="BI303" s="551"/>
      <c r="BJ303" s="551"/>
      <c r="BK303" s="551"/>
      <c r="BL303" s="551"/>
      <c r="BM303" s="551"/>
      <c r="BN303" s="551"/>
      <c r="BO303" s="551"/>
      <c r="BP303" s="551"/>
      <c r="BQ303" s="551"/>
      <c r="BR303" s="551"/>
      <c r="BS303" s="551"/>
      <c r="BT303" s="551"/>
      <c r="BU303" s="551"/>
      <c r="BV303" s="551"/>
    </row>
    <row r="304" spans="1:76" s="181" customFormat="1" ht="15.75" x14ac:dyDescent="0.25">
      <c r="A304" s="551"/>
      <c r="B304" s="1578"/>
      <c r="C304" s="1110"/>
      <c r="D304" s="1145" t="s">
        <v>145</v>
      </c>
      <c r="E304" s="1147" t="str">
        <f t="shared" si="43"/>
        <v/>
      </c>
      <c r="F304" s="1124"/>
      <c r="G304" s="1703" t="s">
        <v>38</v>
      </c>
      <c r="H304" s="1704" t="s">
        <v>38</v>
      </c>
      <c r="I304" s="1703" t="s">
        <v>37</v>
      </c>
      <c r="J304" s="1705" t="s">
        <v>37</v>
      </c>
      <c r="K304" s="1703" t="s">
        <v>37</v>
      </c>
      <c r="L304" s="1704" t="str">
        <f>IF(L292="No","N","Y")</f>
        <v>Y</v>
      </c>
      <c r="M304" s="1703" t="s">
        <v>37</v>
      </c>
      <c r="N304" s="1704" t="s">
        <v>37</v>
      </c>
      <c r="O304" s="1703" t="s">
        <v>37</v>
      </c>
      <c r="P304" s="1706" t="s">
        <v>37</v>
      </c>
      <c r="Q304" s="1707" t="s">
        <v>37</v>
      </c>
      <c r="R304" s="1704" t="s">
        <v>37</v>
      </c>
      <c r="S304" s="1703" t="s">
        <v>37</v>
      </c>
      <c r="T304" s="1705" t="s">
        <v>37</v>
      </c>
      <c r="U304" s="1703" t="s">
        <v>37</v>
      </c>
      <c r="V304" s="1704" t="s">
        <v>37</v>
      </c>
      <c r="W304" s="1703" t="s">
        <v>38</v>
      </c>
      <c r="X304" s="1705" t="s">
        <v>38</v>
      </c>
      <c r="Y304" s="431"/>
      <c r="Z304" s="590" t="s">
        <v>444</v>
      </c>
      <c r="AA304" s="972" t="s">
        <v>37</v>
      </c>
      <c r="AB304" s="1913"/>
      <c r="AC304" s="1153"/>
      <c r="AD304" s="1240" t="s">
        <v>387</v>
      </c>
      <c r="AE304" s="1239" t="s">
        <v>387</v>
      </c>
      <c r="AF304" s="1239" t="s">
        <v>388</v>
      </c>
      <c r="AG304" s="1239" t="s">
        <v>390</v>
      </c>
      <c r="AH304" s="1783" t="s">
        <v>391</v>
      </c>
      <c r="AI304" s="1765" t="s">
        <v>391</v>
      </c>
      <c r="AJ304" s="1239" t="s">
        <v>391</v>
      </c>
      <c r="AK304" s="1239" t="s">
        <v>794</v>
      </c>
      <c r="AL304" s="1095"/>
      <c r="AM304" s="1095"/>
      <c r="AN304" s="1095"/>
      <c r="AO304" s="1095"/>
      <c r="AP304" s="1095"/>
      <c r="AQ304" s="1106"/>
      <c r="AR304" s="1097"/>
      <c r="AS304" s="1110"/>
      <c r="BW304" s="30"/>
      <c r="BX304" s="30"/>
    </row>
    <row r="305" spans="1:76" s="181" customFormat="1" ht="15.75" x14ac:dyDescent="0.25">
      <c r="A305" s="551"/>
      <c r="B305" s="1578"/>
      <c r="C305" s="1110"/>
      <c r="D305" s="1145" t="s">
        <v>145</v>
      </c>
      <c r="E305" s="1147" t="str">
        <f t="shared" si="43"/>
        <v/>
      </c>
      <c r="F305" s="1124"/>
      <c r="G305" s="1703" t="s">
        <v>38</v>
      </c>
      <c r="H305" s="1704" t="s">
        <v>38</v>
      </c>
      <c r="I305" s="1703" t="s">
        <v>38</v>
      </c>
      <c r="J305" s="1705" t="s">
        <v>38</v>
      </c>
      <c r="K305" s="1703" t="s">
        <v>37</v>
      </c>
      <c r="L305" s="1704" t="str">
        <f>IF(L294="No","N","Y")</f>
        <v>Y</v>
      </c>
      <c r="M305" s="1703" t="s">
        <v>37</v>
      </c>
      <c r="N305" s="1704" t="s">
        <v>37</v>
      </c>
      <c r="O305" s="1703" t="s">
        <v>37</v>
      </c>
      <c r="P305" s="1706" t="s">
        <v>37</v>
      </c>
      <c r="Q305" s="1707" t="s">
        <v>37</v>
      </c>
      <c r="R305" s="1704" t="s">
        <v>37</v>
      </c>
      <c r="S305" s="1703" t="s">
        <v>37</v>
      </c>
      <c r="T305" s="1705" t="s">
        <v>37</v>
      </c>
      <c r="U305" s="1703" t="s">
        <v>37</v>
      </c>
      <c r="V305" s="1704" t="s">
        <v>37</v>
      </c>
      <c r="W305" s="1703" t="s">
        <v>38</v>
      </c>
      <c r="X305" s="1705" t="s">
        <v>38</v>
      </c>
      <c r="Y305" s="431"/>
      <c r="Z305" s="590" t="s">
        <v>445</v>
      </c>
      <c r="AA305" s="972" t="s">
        <v>37</v>
      </c>
      <c r="AB305" s="1913"/>
      <c r="AC305" s="1153"/>
      <c r="AD305" s="1240" t="s">
        <v>387</v>
      </c>
      <c r="AE305" s="1239" t="s">
        <v>387</v>
      </c>
      <c r="AF305" s="1239" t="s">
        <v>390</v>
      </c>
      <c r="AG305" s="1239" t="s">
        <v>391</v>
      </c>
      <c r="AH305" s="1783" t="s">
        <v>391</v>
      </c>
      <c r="AI305" s="1765" t="s">
        <v>391</v>
      </c>
      <c r="AJ305" s="1239" t="s">
        <v>391</v>
      </c>
      <c r="AK305" s="1239" t="s">
        <v>794</v>
      </c>
      <c r="AL305" s="1095"/>
      <c r="AM305" s="1095"/>
      <c r="AN305" s="1095"/>
      <c r="AO305" s="1095"/>
      <c r="AP305" s="1095"/>
      <c r="AQ305" s="1106"/>
      <c r="AR305" s="1097"/>
      <c r="AS305" s="1110"/>
      <c r="BW305" s="30"/>
      <c r="BX305" s="30"/>
    </row>
    <row r="306" spans="1:76" s="181" customFormat="1" ht="15.75" x14ac:dyDescent="0.25">
      <c r="A306" s="551"/>
      <c r="B306" s="1578"/>
      <c r="C306" s="1110"/>
      <c r="D306" s="1145" t="s">
        <v>145</v>
      </c>
      <c r="E306" s="1147" t="str">
        <f t="shared" si="43"/>
        <v/>
      </c>
      <c r="F306" s="1124"/>
      <c r="G306" s="1703" t="s">
        <v>38</v>
      </c>
      <c r="H306" s="1704" t="s">
        <v>38</v>
      </c>
      <c r="I306" s="1703" t="s">
        <v>38</v>
      </c>
      <c r="J306" s="1705" t="s">
        <v>38</v>
      </c>
      <c r="K306" s="1703" t="s">
        <v>37</v>
      </c>
      <c r="L306" s="1704" t="str">
        <f>IF(L295="No","N","Y")</f>
        <v>Y</v>
      </c>
      <c r="M306" s="1703" t="s">
        <v>37</v>
      </c>
      <c r="N306" s="1704" t="s">
        <v>37</v>
      </c>
      <c r="O306" s="1703" t="s">
        <v>37</v>
      </c>
      <c r="P306" s="1706" t="s">
        <v>37</v>
      </c>
      <c r="Q306" s="1707" t="s">
        <v>37</v>
      </c>
      <c r="R306" s="1704" t="s">
        <v>37</v>
      </c>
      <c r="S306" s="1703" t="s">
        <v>37</v>
      </c>
      <c r="T306" s="1705" t="s">
        <v>37</v>
      </c>
      <c r="U306" s="1703" t="s">
        <v>37</v>
      </c>
      <c r="V306" s="1704" t="s">
        <v>37</v>
      </c>
      <c r="W306" s="1703" t="s">
        <v>38</v>
      </c>
      <c r="X306" s="1705" t="s">
        <v>38</v>
      </c>
      <c r="Y306" s="431"/>
      <c r="Z306" s="590" t="s">
        <v>446</v>
      </c>
      <c r="AA306" s="972" t="s">
        <v>37</v>
      </c>
      <c r="AB306" s="1913"/>
      <c r="AC306" s="1153"/>
      <c r="AD306" s="1240" t="s">
        <v>387</v>
      </c>
      <c r="AE306" s="1239" t="s">
        <v>387</v>
      </c>
      <c r="AF306" s="1239" t="s">
        <v>387</v>
      </c>
      <c r="AG306" s="1239" t="s">
        <v>388</v>
      </c>
      <c r="AH306" s="1783" t="s">
        <v>391</v>
      </c>
      <c r="AI306" s="1765" t="s">
        <v>391</v>
      </c>
      <c r="AJ306" s="1239" t="s">
        <v>391</v>
      </c>
      <c r="AK306" s="1239" t="s">
        <v>794</v>
      </c>
      <c r="AL306" s="1095"/>
      <c r="AM306" s="1095"/>
      <c r="AN306" s="1095"/>
      <c r="AO306" s="1095"/>
      <c r="AP306" s="1095"/>
      <c r="AQ306" s="1106"/>
      <c r="AR306" s="1097"/>
      <c r="AS306" s="1110"/>
      <c r="BW306" s="30"/>
      <c r="BX306" s="30"/>
    </row>
    <row r="307" spans="1:76" s="181" customFormat="1" ht="15.75" x14ac:dyDescent="0.25">
      <c r="A307" s="551"/>
      <c r="B307" s="1578"/>
      <c r="C307" s="1110"/>
      <c r="D307" s="1145" t="s">
        <v>145</v>
      </c>
      <c r="E307" s="1147" t="str">
        <f t="shared" ref="E307:E382" si="54">IF(Z307="","",IF(OR(AND(OR(G307="Y",G307="?"),_00_apply="Yes"),AND(OR(I307="Y",I307="?"),_01_apply="Yes"),AND(OR(K307="Y",K307="?"),_02_apply="Yes"),AND(OR(M307="Y",M307="?"),_03_apply="Yes"),AND(OR(O307="Y",O307="?"),_04_apply="Yes"),AND(OR(Q307="Y",Q307="?"),_05_apply="Yes"),AND(OR(S307="?",S307="Y"),_06_apply="Yes"),AND(OR(U307="?",U307="Y"),_07_apply="Yes"),AND(OR(W307="Y",W307="?"),_08_apply="Yes")),"","N"))</f>
        <v/>
      </c>
      <c r="F307" s="1124"/>
      <c r="G307" s="1703" t="s">
        <v>38</v>
      </c>
      <c r="H307" s="1704" t="s">
        <v>38</v>
      </c>
      <c r="I307" s="1703" t="s">
        <v>38</v>
      </c>
      <c r="J307" s="1705" t="s">
        <v>38</v>
      </c>
      <c r="K307" s="1703" t="s">
        <v>37</v>
      </c>
      <c r="L307" s="1704" t="str">
        <f>IF(L296="No","N","Y")</f>
        <v>Y</v>
      </c>
      <c r="M307" s="1703" t="s">
        <v>37</v>
      </c>
      <c r="N307" s="1704" t="s">
        <v>37</v>
      </c>
      <c r="O307" s="1703" t="s">
        <v>37</v>
      </c>
      <c r="P307" s="1706" t="s">
        <v>37</v>
      </c>
      <c r="Q307" s="1707" t="s">
        <v>37</v>
      </c>
      <c r="R307" s="1704" t="s">
        <v>37</v>
      </c>
      <c r="S307" s="1703" t="s">
        <v>37</v>
      </c>
      <c r="T307" s="1705" t="s">
        <v>37</v>
      </c>
      <c r="U307" s="1703" t="s">
        <v>37</v>
      </c>
      <c r="V307" s="1704" t="s">
        <v>37</v>
      </c>
      <c r="W307" s="1703" t="s">
        <v>38</v>
      </c>
      <c r="X307" s="1705" t="s">
        <v>38</v>
      </c>
      <c r="Y307" s="431"/>
      <c r="Z307" s="590" t="s">
        <v>447</v>
      </c>
      <c r="AA307" s="972" t="s">
        <v>37</v>
      </c>
      <c r="AB307" s="1913"/>
      <c r="AC307" s="1153"/>
      <c r="AD307" s="1240" t="s">
        <v>387</v>
      </c>
      <c r="AE307" s="1239" t="s">
        <v>387</v>
      </c>
      <c r="AF307" s="1239" t="s">
        <v>387</v>
      </c>
      <c r="AG307" s="1239" t="s">
        <v>388</v>
      </c>
      <c r="AH307" s="1783" t="s">
        <v>391</v>
      </c>
      <c r="AI307" s="1765" t="s">
        <v>391</v>
      </c>
      <c r="AJ307" s="1239" t="s">
        <v>391</v>
      </c>
      <c r="AK307" s="1239" t="s">
        <v>794</v>
      </c>
      <c r="AL307" s="1095"/>
      <c r="AM307" s="1095"/>
      <c r="AN307" s="1095"/>
      <c r="AO307" s="1095"/>
      <c r="AP307" s="1095"/>
      <c r="AQ307" s="1106"/>
      <c r="AR307" s="1097"/>
      <c r="AS307" s="1110"/>
      <c r="BW307" s="30"/>
      <c r="BX307" s="30"/>
    </row>
    <row r="308" spans="1:76" s="181" customFormat="1" ht="15.75" x14ac:dyDescent="0.25">
      <c r="A308" s="551"/>
      <c r="B308" s="1578"/>
      <c r="C308" s="1110"/>
      <c r="D308" s="1145" t="s">
        <v>145</v>
      </c>
      <c r="E308" s="1147" t="str">
        <f t="shared" si="54"/>
        <v/>
      </c>
      <c r="F308" s="1124"/>
      <c r="G308" s="1703" t="s">
        <v>38</v>
      </c>
      <c r="H308" s="1704" t="s">
        <v>38</v>
      </c>
      <c r="I308" s="1703" t="s">
        <v>38</v>
      </c>
      <c r="J308" s="1705" t="s">
        <v>38</v>
      </c>
      <c r="K308" s="1703" t="s">
        <v>37</v>
      </c>
      <c r="L308" s="1704" t="str">
        <f>IF(L297="No","N","Y")</f>
        <v>Y</v>
      </c>
      <c r="M308" s="1703" t="s">
        <v>37</v>
      </c>
      <c r="N308" s="1704" t="s">
        <v>37</v>
      </c>
      <c r="O308" s="1703" t="s">
        <v>37</v>
      </c>
      <c r="P308" s="1706" t="s">
        <v>37</v>
      </c>
      <c r="Q308" s="1707" t="s">
        <v>37</v>
      </c>
      <c r="R308" s="1704" t="s">
        <v>37</v>
      </c>
      <c r="S308" s="1703" t="s">
        <v>37</v>
      </c>
      <c r="T308" s="1705" t="s">
        <v>37</v>
      </c>
      <c r="U308" s="1703" t="s">
        <v>37</v>
      </c>
      <c r="V308" s="1704" t="s">
        <v>37</v>
      </c>
      <c r="W308" s="1703" t="s">
        <v>38</v>
      </c>
      <c r="X308" s="1705" t="s">
        <v>38</v>
      </c>
      <c r="Y308" s="434"/>
      <c r="Z308" s="590" t="s">
        <v>448</v>
      </c>
      <c r="AA308" s="972" t="s">
        <v>37</v>
      </c>
      <c r="AB308" s="1913"/>
      <c r="AC308" s="1153"/>
      <c r="AD308" s="1240"/>
      <c r="AE308" s="1239"/>
      <c r="AF308" s="1239" t="s">
        <v>387</v>
      </c>
      <c r="AG308" s="1239" t="s">
        <v>388</v>
      </c>
      <c r="AH308" s="1783" t="s">
        <v>390</v>
      </c>
      <c r="AI308" s="1765" t="s">
        <v>391</v>
      </c>
      <c r="AJ308" s="1239" t="s">
        <v>391</v>
      </c>
      <c r="AK308" s="1239" t="s">
        <v>794</v>
      </c>
      <c r="AL308" s="1095"/>
      <c r="AM308" s="1095"/>
      <c r="AN308" s="1095"/>
      <c r="AO308" s="1095"/>
      <c r="AP308" s="1095"/>
      <c r="AQ308" s="1106"/>
      <c r="AR308" s="1097"/>
      <c r="AS308" s="1110"/>
      <c r="BW308" s="30"/>
      <c r="BX308" s="30"/>
    </row>
    <row r="309" spans="1:76" s="551" customFormat="1" ht="15.75" x14ac:dyDescent="0.25">
      <c r="B309" s="1578"/>
      <c r="C309" s="1110"/>
      <c r="D309" s="1145" t="s">
        <v>145</v>
      </c>
      <c r="E309" s="1146" t="str">
        <f t="shared" si="54"/>
        <v/>
      </c>
      <c r="F309" s="1166"/>
      <c r="G309" s="886" t="s">
        <v>38</v>
      </c>
      <c r="H309" s="962" t="s">
        <v>38</v>
      </c>
      <c r="I309" s="886" t="s">
        <v>37</v>
      </c>
      <c r="J309" s="963" t="s">
        <v>37</v>
      </c>
      <c r="K309" s="886" t="s">
        <v>37</v>
      </c>
      <c r="L309" s="962" t="str">
        <f>IF(L298="No","N","Y")</f>
        <v>Y</v>
      </c>
      <c r="M309" s="886" t="s">
        <v>37</v>
      </c>
      <c r="N309" s="962" t="s">
        <v>37</v>
      </c>
      <c r="O309" s="886" t="s">
        <v>37</v>
      </c>
      <c r="P309" s="964" t="s">
        <v>37</v>
      </c>
      <c r="Q309" s="985" t="s">
        <v>37</v>
      </c>
      <c r="R309" s="962" t="s">
        <v>37</v>
      </c>
      <c r="S309" s="886" t="s">
        <v>37</v>
      </c>
      <c r="T309" s="963" t="s">
        <v>37</v>
      </c>
      <c r="U309" s="886" t="s">
        <v>37</v>
      </c>
      <c r="V309" s="962" t="s">
        <v>37</v>
      </c>
      <c r="W309" s="886" t="s">
        <v>38</v>
      </c>
      <c r="X309" s="963" t="s">
        <v>38</v>
      </c>
      <c r="Y309" s="431"/>
      <c r="Z309" s="591" t="s">
        <v>676</v>
      </c>
      <c r="AA309" s="972" t="s">
        <v>37</v>
      </c>
      <c r="AB309" s="1923"/>
      <c r="AC309" s="1153"/>
      <c r="AD309" s="1261"/>
      <c r="AE309" s="1249"/>
      <c r="AF309" s="1249"/>
      <c r="AG309" s="1262" t="s">
        <v>600</v>
      </c>
      <c r="AH309" s="1791" t="s">
        <v>600</v>
      </c>
      <c r="AI309" s="1772" t="s">
        <v>600</v>
      </c>
      <c r="AJ309" s="1262" t="s">
        <v>600</v>
      </c>
      <c r="AK309" s="1263" t="s">
        <v>794</v>
      </c>
      <c r="AL309" s="1095"/>
      <c r="AM309" s="1095"/>
      <c r="AN309" s="1095"/>
      <c r="AO309" s="1095"/>
      <c r="AP309" s="1095"/>
      <c r="AQ309" s="1106"/>
      <c r="AR309" s="1097"/>
      <c r="AS309" s="1110"/>
    </row>
    <row r="310" spans="1:76" s="551" customFormat="1" ht="15.75" x14ac:dyDescent="0.25">
      <c r="B310" s="1578"/>
      <c r="C310" s="1110"/>
      <c r="D310" s="1145" t="s">
        <v>145</v>
      </c>
      <c r="E310" s="1147" t="str">
        <f t="shared" si="54"/>
        <v>N</v>
      </c>
      <c r="F310" s="1166"/>
      <c r="G310" s="1703" t="s">
        <v>38</v>
      </c>
      <c r="H310" s="1704" t="s">
        <v>38</v>
      </c>
      <c r="I310" s="1703" t="s">
        <v>38</v>
      </c>
      <c r="J310" s="1705" t="s">
        <v>38</v>
      </c>
      <c r="K310" s="1703" t="s">
        <v>38</v>
      </c>
      <c r="L310" s="1704" t="s">
        <v>38</v>
      </c>
      <c r="M310" s="1703" t="s">
        <v>38</v>
      </c>
      <c r="N310" s="1704" t="s">
        <v>38</v>
      </c>
      <c r="O310" s="1703" t="s">
        <v>38</v>
      </c>
      <c r="P310" s="1706" t="s">
        <v>38</v>
      </c>
      <c r="Q310" s="1707" t="s">
        <v>38</v>
      </c>
      <c r="R310" s="1704" t="s">
        <v>38</v>
      </c>
      <c r="S310" s="1703" t="s">
        <v>38</v>
      </c>
      <c r="T310" s="1705" t="s">
        <v>38</v>
      </c>
      <c r="U310" s="1703" t="s">
        <v>38</v>
      </c>
      <c r="V310" s="1704" t="s">
        <v>38</v>
      </c>
      <c r="W310" s="1703" t="s">
        <v>38</v>
      </c>
      <c r="X310" s="1705" t="s">
        <v>38</v>
      </c>
      <c r="Y310" s="431"/>
      <c r="Z310" s="888" t="s">
        <v>677</v>
      </c>
      <c r="AA310" s="972" t="s">
        <v>38</v>
      </c>
      <c r="AB310" s="1913"/>
      <c r="AC310" s="1153"/>
      <c r="AD310" s="1240" t="s">
        <v>387</v>
      </c>
      <c r="AE310" s="1239" t="s">
        <v>387</v>
      </c>
      <c r="AF310" s="1239" t="s">
        <v>388</v>
      </c>
      <c r="AG310" s="1239" t="s">
        <v>390</v>
      </c>
      <c r="AH310" s="1783" t="s">
        <v>391</v>
      </c>
      <c r="AI310" s="1765" t="s">
        <v>391</v>
      </c>
      <c r="AJ310" s="1239" t="s">
        <v>391</v>
      </c>
      <c r="AK310" s="1239" t="s">
        <v>794</v>
      </c>
      <c r="AL310" s="1095"/>
      <c r="AM310" s="1095"/>
      <c r="AN310" s="1095"/>
      <c r="AO310" s="1095"/>
      <c r="AP310" s="1095"/>
      <c r="AQ310" s="1106"/>
      <c r="AR310" s="1097"/>
      <c r="AS310" s="1110"/>
    </row>
    <row r="311" spans="1:76" s="551" customFormat="1" ht="15.75" x14ac:dyDescent="0.25">
      <c r="B311" s="1578"/>
      <c r="C311" s="1110"/>
      <c r="D311" s="1145" t="s">
        <v>145</v>
      </c>
      <c r="E311" s="1147" t="str">
        <f t="shared" si="54"/>
        <v>N</v>
      </c>
      <c r="F311" s="1124"/>
      <c r="G311" s="1703" t="s">
        <v>38</v>
      </c>
      <c r="H311" s="1704" t="s">
        <v>38</v>
      </c>
      <c r="I311" s="1703" t="s">
        <v>38</v>
      </c>
      <c r="J311" s="1705" t="s">
        <v>38</v>
      </c>
      <c r="K311" s="1703" t="s">
        <v>38</v>
      </c>
      <c r="L311" s="1704" t="s">
        <v>38</v>
      </c>
      <c r="M311" s="1703" t="s">
        <v>38</v>
      </c>
      <c r="N311" s="1704" t="s">
        <v>38</v>
      </c>
      <c r="O311" s="1703" t="s">
        <v>38</v>
      </c>
      <c r="P311" s="1706" t="s">
        <v>38</v>
      </c>
      <c r="Q311" s="1707" t="s">
        <v>38</v>
      </c>
      <c r="R311" s="1704" t="s">
        <v>38</v>
      </c>
      <c r="S311" s="1703" t="s">
        <v>38</v>
      </c>
      <c r="T311" s="1705" t="s">
        <v>38</v>
      </c>
      <c r="U311" s="1703" t="s">
        <v>38</v>
      </c>
      <c r="V311" s="1704" t="s">
        <v>38</v>
      </c>
      <c r="W311" s="1703" t="s">
        <v>38</v>
      </c>
      <c r="X311" s="1705" t="s">
        <v>38</v>
      </c>
      <c r="Y311" s="431"/>
      <c r="Z311" s="888" t="s">
        <v>677</v>
      </c>
      <c r="AA311" s="972" t="s">
        <v>38</v>
      </c>
      <c r="AB311" s="1913"/>
      <c r="AC311" s="1153"/>
      <c r="AD311" s="1240" t="s">
        <v>387</v>
      </c>
      <c r="AE311" s="1239" t="s">
        <v>387</v>
      </c>
      <c r="AF311" s="1239" t="s">
        <v>388</v>
      </c>
      <c r="AG311" s="1239" t="s">
        <v>390</v>
      </c>
      <c r="AH311" s="1783" t="s">
        <v>391</v>
      </c>
      <c r="AI311" s="1765" t="s">
        <v>391</v>
      </c>
      <c r="AJ311" s="1239" t="s">
        <v>391</v>
      </c>
      <c r="AK311" s="1239" t="s">
        <v>794</v>
      </c>
      <c r="AL311" s="1095"/>
      <c r="AM311" s="1095"/>
      <c r="AN311" s="1095"/>
      <c r="AO311" s="1095"/>
      <c r="AP311" s="1095"/>
      <c r="AQ311" s="1097"/>
      <c r="AR311" s="1112"/>
      <c r="AS311" s="1110"/>
      <c r="BW311" s="545"/>
      <c r="BX311" s="545"/>
    </row>
    <row r="312" spans="1:76" s="551" customFormat="1" ht="15.75" x14ac:dyDescent="0.25">
      <c r="B312" s="1578"/>
      <c r="C312" s="1110"/>
      <c r="D312" s="1145" t="s">
        <v>145</v>
      </c>
      <c r="E312" s="1147" t="str">
        <f t="shared" si="54"/>
        <v/>
      </c>
      <c r="F312" s="1124"/>
      <c r="G312" s="1703" t="s">
        <v>38</v>
      </c>
      <c r="H312" s="1704" t="s">
        <v>38</v>
      </c>
      <c r="I312" s="1703" t="s">
        <v>37</v>
      </c>
      <c r="J312" s="1705" t="s">
        <v>37</v>
      </c>
      <c r="K312" s="1703" t="s">
        <v>37</v>
      </c>
      <c r="L312" s="1704" t="str">
        <f>IF(L301="No","N","Y")</f>
        <v>Y</v>
      </c>
      <c r="M312" s="1703" t="s">
        <v>37</v>
      </c>
      <c r="N312" s="1704" t="s">
        <v>37</v>
      </c>
      <c r="O312" s="1703" t="s">
        <v>37</v>
      </c>
      <c r="P312" s="1706" t="s">
        <v>37</v>
      </c>
      <c r="Q312" s="1707" t="s">
        <v>37</v>
      </c>
      <c r="R312" s="1704" t="s">
        <v>37</v>
      </c>
      <c r="S312" s="1703" t="s">
        <v>37</v>
      </c>
      <c r="T312" s="1705" t="s">
        <v>37</v>
      </c>
      <c r="U312" s="1703" t="s">
        <v>37</v>
      </c>
      <c r="V312" s="1704" t="s">
        <v>37</v>
      </c>
      <c r="W312" s="1703" t="s">
        <v>38</v>
      </c>
      <c r="X312" s="1705" t="s">
        <v>38</v>
      </c>
      <c r="Y312" s="431"/>
      <c r="Z312" s="590" t="s">
        <v>989</v>
      </c>
      <c r="AA312" s="972" t="s">
        <v>37</v>
      </c>
      <c r="AB312" s="1913"/>
      <c r="AC312" s="1153"/>
      <c r="AD312" s="1240" t="s">
        <v>388</v>
      </c>
      <c r="AE312" s="1239" t="s">
        <v>388</v>
      </c>
      <c r="AF312" s="1239" t="s">
        <v>391</v>
      </c>
      <c r="AG312" s="1239" t="s">
        <v>391</v>
      </c>
      <c r="AH312" s="1783" t="s">
        <v>391</v>
      </c>
      <c r="AI312" s="1765" t="s">
        <v>391</v>
      </c>
      <c r="AJ312" s="1239" t="s">
        <v>391</v>
      </c>
      <c r="AK312" s="1239" t="s">
        <v>794</v>
      </c>
      <c r="AL312" s="1095"/>
      <c r="AM312" s="1095"/>
      <c r="AN312" s="1095"/>
      <c r="AO312" s="1095"/>
      <c r="AP312" s="1095"/>
      <c r="AQ312" s="1106"/>
      <c r="AR312" s="1097"/>
      <c r="AS312" s="1110"/>
      <c r="BW312" s="545"/>
      <c r="BX312" s="545"/>
    </row>
    <row r="313" spans="1:76" s="545" customFormat="1" ht="15.75" x14ac:dyDescent="0.25">
      <c r="B313" s="1579"/>
      <c r="C313" s="1097"/>
      <c r="D313" s="1145" t="s">
        <v>145</v>
      </c>
      <c r="E313" s="1147" t="str">
        <f t="shared" si="54"/>
        <v/>
      </c>
      <c r="F313" s="1124"/>
      <c r="G313" s="1703" t="s">
        <v>38</v>
      </c>
      <c r="H313" s="1704" t="s">
        <v>38</v>
      </c>
      <c r="I313" s="1703" t="s">
        <v>38</v>
      </c>
      <c r="J313" s="1705" t="s">
        <v>38</v>
      </c>
      <c r="K313" s="1703" t="s">
        <v>37</v>
      </c>
      <c r="L313" s="1704" t="str">
        <f>IF(L302="No","N","Y")</f>
        <v>Y</v>
      </c>
      <c r="M313" s="1703" t="s">
        <v>37</v>
      </c>
      <c r="N313" s="1704" t="s">
        <v>37</v>
      </c>
      <c r="O313" s="1703" t="s">
        <v>37</v>
      </c>
      <c r="P313" s="1706" t="s">
        <v>37</v>
      </c>
      <c r="Q313" s="1707" t="s">
        <v>37</v>
      </c>
      <c r="R313" s="1704" t="s">
        <v>37</v>
      </c>
      <c r="S313" s="1703" t="s">
        <v>37</v>
      </c>
      <c r="T313" s="1705" t="s">
        <v>37</v>
      </c>
      <c r="U313" s="1703" t="s">
        <v>37</v>
      </c>
      <c r="V313" s="1704" t="s">
        <v>37</v>
      </c>
      <c r="W313" s="1703" t="s">
        <v>38</v>
      </c>
      <c r="X313" s="1705" t="s">
        <v>38</v>
      </c>
      <c r="Y313" s="748"/>
      <c r="Z313" s="590" t="s">
        <v>996</v>
      </c>
      <c r="AA313" s="1004" t="s">
        <v>37</v>
      </c>
      <c r="AB313" s="1913"/>
      <c r="AC313" s="1125"/>
      <c r="AD313" s="1240" t="s">
        <v>387</v>
      </c>
      <c r="AE313" s="1239" t="s">
        <v>800</v>
      </c>
      <c r="AF313" s="1239" t="s">
        <v>388</v>
      </c>
      <c r="AG313" s="1239" t="s">
        <v>390</v>
      </c>
      <c r="AH313" s="1783" t="s">
        <v>391</v>
      </c>
      <c r="AI313" s="1765" t="s">
        <v>391</v>
      </c>
      <c r="AJ313" s="1239" t="s">
        <v>391</v>
      </c>
      <c r="AK313" s="1239" t="s">
        <v>794</v>
      </c>
      <c r="AL313" s="1095"/>
      <c r="AM313" s="1095"/>
      <c r="AN313" s="1095"/>
      <c r="AO313" s="1095"/>
      <c r="AP313" s="1095"/>
      <c r="AQ313" s="1106"/>
      <c r="AR313" s="1097"/>
      <c r="AS313" s="1097"/>
      <c r="AT313" s="551"/>
      <c r="AU313" s="551"/>
      <c r="AV313" s="551"/>
      <c r="AW313" s="551"/>
      <c r="AX313" s="551"/>
      <c r="AY313" s="551"/>
      <c r="AZ313" s="551"/>
      <c r="BA313" s="551"/>
      <c r="BB313" s="551"/>
      <c r="BC313" s="551"/>
      <c r="BD313" s="551"/>
      <c r="BE313" s="551"/>
      <c r="BF313" s="551"/>
      <c r="BG313" s="551"/>
      <c r="BH313" s="551"/>
      <c r="BI313" s="551"/>
      <c r="BJ313" s="551"/>
      <c r="BK313" s="551"/>
      <c r="BL313" s="551"/>
      <c r="BM313" s="551"/>
      <c r="BN313" s="551"/>
      <c r="BO313" s="551"/>
      <c r="BP313" s="551"/>
      <c r="BQ313" s="551"/>
      <c r="BR313" s="551"/>
      <c r="BS313" s="551"/>
      <c r="BT313" s="551"/>
      <c r="BU313" s="551"/>
      <c r="BV313" s="551"/>
    </row>
    <row r="314" spans="1:76" s="551" customFormat="1" ht="15.75" x14ac:dyDescent="0.25">
      <c r="B314" s="1578"/>
      <c r="C314" s="1110"/>
      <c r="D314" s="1145" t="s">
        <v>145</v>
      </c>
      <c r="E314" s="1147" t="str">
        <f t="shared" si="54"/>
        <v/>
      </c>
      <c r="F314" s="1124"/>
      <c r="G314" s="1703" t="s">
        <v>38</v>
      </c>
      <c r="H314" s="1704" t="s">
        <v>38</v>
      </c>
      <c r="I314" s="1703" t="s">
        <v>37</v>
      </c>
      <c r="J314" s="1705" t="s">
        <v>37</v>
      </c>
      <c r="K314" s="1703" t="s">
        <v>37</v>
      </c>
      <c r="L314" s="1704" t="str">
        <f>IF(L302="No","N","Y")</f>
        <v>Y</v>
      </c>
      <c r="M314" s="1703" t="s">
        <v>37</v>
      </c>
      <c r="N314" s="1704" t="s">
        <v>37</v>
      </c>
      <c r="O314" s="1703" t="s">
        <v>37</v>
      </c>
      <c r="P314" s="1706" t="s">
        <v>37</v>
      </c>
      <c r="Q314" s="1707" t="s">
        <v>37</v>
      </c>
      <c r="R314" s="1704" t="s">
        <v>37</v>
      </c>
      <c r="S314" s="1703" t="s">
        <v>37</v>
      </c>
      <c r="T314" s="1705" t="s">
        <v>37</v>
      </c>
      <c r="U314" s="1703" t="s">
        <v>37</v>
      </c>
      <c r="V314" s="1704" t="s">
        <v>37</v>
      </c>
      <c r="W314" s="1703" t="s">
        <v>38</v>
      </c>
      <c r="X314" s="1705" t="s">
        <v>38</v>
      </c>
      <c r="Y314" s="431"/>
      <c r="Z314" s="590" t="s">
        <v>678</v>
      </c>
      <c r="AA314" s="972" t="s">
        <v>37</v>
      </c>
      <c r="AB314" s="1913"/>
      <c r="AC314" s="1153"/>
      <c r="AD314" s="1240" t="s">
        <v>387</v>
      </c>
      <c r="AE314" s="1239" t="s">
        <v>387</v>
      </c>
      <c r="AF314" s="1239" t="s">
        <v>388</v>
      </c>
      <c r="AG314" s="1239" t="s">
        <v>390</v>
      </c>
      <c r="AH314" s="1783" t="s">
        <v>391</v>
      </c>
      <c r="AI314" s="1765" t="s">
        <v>391</v>
      </c>
      <c r="AJ314" s="1239" t="s">
        <v>391</v>
      </c>
      <c r="AK314" s="1239" t="s">
        <v>794</v>
      </c>
      <c r="AL314" s="1095"/>
      <c r="AM314" s="1095"/>
      <c r="AN314" s="1095"/>
      <c r="AO314" s="1095"/>
      <c r="AP314" s="1095"/>
      <c r="AQ314" s="1106"/>
      <c r="AR314" s="1097"/>
      <c r="AS314" s="1110"/>
      <c r="BW314" s="545"/>
      <c r="BX314" s="545"/>
    </row>
    <row r="315" spans="1:76" s="551" customFormat="1" ht="15.75" x14ac:dyDescent="0.25">
      <c r="B315" s="1578"/>
      <c r="C315" s="1110"/>
      <c r="D315" s="1145" t="s">
        <v>145</v>
      </c>
      <c r="E315" s="1147" t="str">
        <f t="shared" si="54"/>
        <v/>
      </c>
      <c r="F315" s="1124"/>
      <c r="G315" s="1703" t="s">
        <v>38</v>
      </c>
      <c r="H315" s="1704" t="s">
        <v>38</v>
      </c>
      <c r="I315" s="1703" t="s">
        <v>38</v>
      </c>
      <c r="J315" s="1705" t="s">
        <v>38</v>
      </c>
      <c r="K315" s="1703" t="s">
        <v>37</v>
      </c>
      <c r="L315" s="1704" t="str">
        <f>IF(L304="No","N","Y")</f>
        <v>Y</v>
      </c>
      <c r="M315" s="1703" t="s">
        <v>37</v>
      </c>
      <c r="N315" s="1704" t="s">
        <v>37</v>
      </c>
      <c r="O315" s="1703" t="s">
        <v>37</v>
      </c>
      <c r="P315" s="1706" t="s">
        <v>37</v>
      </c>
      <c r="Q315" s="1707" t="s">
        <v>37</v>
      </c>
      <c r="R315" s="1704" t="s">
        <v>37</v>
      </c>
      <c r="S315" s="1703" t="s">
        <v>37</v>
      </c>
      <c r="T315" s="1705" t="s">
        <v>37</v>
      </c>
      <c r="U315" s="1703" t="s">
        <v>37</v>
      </c>
      <c r="V315" s="1704" t="s">
        <v>37</v>
      </c>
      <c r="W315" s="1703" t="s">
        <v>38</v>
      </c>
      <c r="X315" s="1705" t="s">
        <v>38</v>
      </c>
      <c r="Y315" s="431"/>
      <c r="Z315" s="590" t="s">
        <v>679</v>
      </c>
      <c r="AA315" s="972" t="s">
        <v>37</v>
      </c>
      <c r="AB315" s="1913"/>
      <c r="AC315" s="1153"/>
      <c r="AD315" s="1240"/>
      <c r="AE315" s="1239"/>
      <c r="AF315" s="1239" t="s">
        <v>387</v>
      </c>
      <c r="AG315" s="1239" t="s">
        <v>388</v>
      </c>
      <c r="AH315" s="1783" t="s">
        <v>390</v>
      </c>
      <c r="AI315" s="1765" t="s">
        <v>391</v>
      </c>
      <c r="AJ315" s="1239" t="s">
        <v>391</v>
      </c>
      <c r="AK315" s="1239" t="s">
        <v>794</v>
      </c>
      <c r="AL315" s="1095"/>
      <c r="AM315" s="1095"/>
      <c r="AN315" s="1095"/>
      <c r="AO315" s="1095"/>
      <c r="AP315" s="1095"/>
      <c r="AQ315" s="1106"/>
      <c r="AR315" s="1097"/>
      <c r="AS315" s="1110"/>
      <c r="BW315" s="545"/>
      <c r="BX315" s="545"/>
    </row>
    <row r="316" spans="1:76" s="181" customFormat="1" ht="15.75" x14ac:dyDescent="0.25">
      <c r="A316" s="551"/>
      <c r="B316" s="1578"/>
      <c r="C316" s="1110"/>
      <c r="D316" s="1145" t="s">
        <v>145</v>
      </c>
      <c r="E316" s="1146" t="str">
        <f t="shared" si="54"/>
        <v/>
      </c>
      <c r="F316" s="1166"/>
      <c r="G316" s="886" t="s">
        <v>38</v>
      </c>
      <c r="H316" s="962" t="s">
        <v>38</v>
      </c>
      <c r="I316" s="886" t="s">
        <v>37</v>
      </c>
      <c r="J316" s="963" t="s">
        <v>37</v>
      </c>
      <c r="K316" s="886" t="s">
        <v>37</v>
      </c>
      <c r="L316" s="962" t="str">
        <f>IF(L305="No","N","Y")</f>
        <v>Y</v>
      </c>
      <c r="M316" s="886" t="s">
        <v>37</v>
      </c>
      <c r="N316" s="962" t="s">
        <v>37</v>
      </c>
      <c r="O316" s="886" t="s">
        <v>37</v>
      </c>
      <c r="P316" s="964" t="s">
        <v>37</v>
      </c>
      <c r="Q316" s="985" t="s">
        <v>37</v>
      </c>
      <c r="R316" s="962" t="s">
        <v>37</v>
      </c>
      <c r="S316" s="886" t="s">
        <v>37</v>
      </c>
      <c r="T316" s="963" t="s">
        <v>37</v>
      </c>
      <c r="U316" s="886" t="s">
        <v>37</v>
      </c>
      <c r="V316" s="962" t="s">
        <v>37</v>
      </c>
      <c r="W316" s="886" t="s">
        <v>38</v>
      </c>
      <c r="X316" s="963" t="s">
        <v>38</v>
      </c>
      <c r="Y316" s="431"/>
      <c r="Z316" s="591" t="s">
        <v>80</v>
      </c>
      <c r="AA316" s="972" t="s">
        <v>37</v>
      </c>
      <c r="AB316" s="1917"/>
      <c r="AC316" s="1153"/>
      <c r="AD316" s="1247"/>
      <c r="AE316" s="1248"/>
      <c r="AF316" s="1249"/>
      <c r="AG316" s="1262" t="s">
        <v>600</v>
      </c>
      <c r="AH316" s="1791" t="s">
        <v>600</v>
      </c>
      <c r="AI316" s="1772" t="s">
        <v>600</v>
      </c>
      <c r="AJ316" s="1262" t="s">
        <v>600</v>
      </c>
      <c r="AK316" s="1264" t="s">
        <v>794</v>
      </c>
      <c r="AL316" s="1095"/>
      <c r="AM316" s="1095"/>
      <c r="AN316" s="1095"/>
      <c r="AO316" s="1095"/>
      <c r="AP316" s="1095"/>
      <c r="AQ316" s="1106"/>
      <c r="AR316" s="1097"/>
      <c r="AS316" s="1110"/>
    </row>
    <row r="317" spans="1:76" s="181" customFormat="1" ht="15.75" x14ac:dyDescent="0.25">
      <c r="A317" s="551"/>
      <c r="B317" s="1578"/>
      <c r="C317" s="1110"/>
      <c r="D317" s="1145" t="s">
        <v>145</v>
      </c>
      <c r="E317" s="1147" t="str">
        <f t="shared" si="54"/>
        <v>N</v>
      </c>
      <c r="F317" s="1166"/>
      <c r="G317" s="1703" t="s">
        <v>38</v>
      </c>
      <c r="H317" s="1704" t="s">
        <v>38</v>
      </c>
      <c r="I317" s="1703" t="s">
        <v>38</v>
      </c>
      <c r="J317" s="1705" t="s">
        <v>38</v>
      </c>
      <c r="K317" s="1703" t="s">
        <v>38</v>
      </c>
      <c r="L317" s="1704" t="s">
        <v>38</v>
      </c>
      <c r="M317" s="1703" t="s">
        <v>38</v>
      </c>
      <c r="N317" s="1704" t="s">
        <v>38</v>
      </c>
      <c r="O317" s="1703" t="s">
        <v>38</v>
      </c>
      <c r="P317" s="1706" t="s">
        <v>38</v>
      </c>
      <c r="Q317" s="1707" t="s">
        <v>38</v>
      </c>
      <c r="R317" s="1704" t="s">
        <v>38</v>
      </c>
      <c r="S317" s="1703" t="s">
        <v>38</v>
      </c>
      <c r="T317" s="1705" t="s">
        <v>38</v>
      </c>
      <c r="U317" s="1703" t="s">
        <v>38</v>
      </c>
      <c r="V317" s="1704" t="s">
        <v>38</v>
      </c>
      <c r="W317" s="1703" t="s">
        <v>38</v>
      </c>
      <c r="X317" s="1705" t="s">
        <v>38</v>
      </c>
      <c r="Y317" s="431"/>
      <c r="Z317" s="888" t="s">
        <v>475</v>
      </c>
      <c r="AA317" s="972" t="s">
        <v>38</v>
      </c>
      <c r="AB317" s="1913"/>
      <c r="AC317" s="1153"/>
      <c r="AD317" s="1240" t="s">
        <v>387</v>
      </c>
      <c r="AE317" s="1239" t="s">
        <v>387</v>
      </c>
      <c r="AF317" s="1239" t="s">
        <v>388</v>
      </c>
      <c r="AG317" s="1239" t="s">
        <v>390</v>
      </c>
      <c r="AH317" s="1783" t="s">
        <v>391</v>
      </c>
      <c r="AI317" s="1765" t="s">
        <v>391</v>
      </c>
      <c r="AJ317" s="1239" t="s">
        <v>391</v>
      </c>
      <c r="AK317" s="1239" t="s">
        <v>794</v>
      </c>
      <c r="AL317" s="1095"/>
      <c r="AM317" s="1095"/>
      <c r="AN317" s="1095"/>
      <c r="AO317" s="1095"/>
      <c r="AP317" s="1095"/>
      <c r="AQ317" s="1106"/>
      <c r="AR317" s="1097"/>
      <c r="AS317" s="1110"/>
    </row>
    <row r="318" spans="1:76" s="181" customFormat="1" ht="15.75" x14ac:dyDescent="0.25">
      <c r="A318" s="551"/>
      <c r="B318" s="1578"/>
      <c r="C318" s="1110"/>
      <c r="D318" s="1145" t="s">
        <v>145</v>
      </c>
      <c r="E318" s="1147" t="str">
        <f t="shared" si="54"/>
        <v>N</v>
      </c>
      <c r="F318" s="1124"/>
      <c r="G318" s="1703" t="s">
        <v>38</v>
      </c>
      <c r="H318" s="1704" t="s">
        <v>38</v>
      </c>
      <c r="I318" s="1703" t="s">
        <v>38</v>
      </c>
      <c r="J318" s="1705" t="s">
        <v>38</v>
      </c>
      <c r="K318" s="1703" t="s">
        <v>38</v>
      </c>
      <c r="L318" s="1704" t="s">
        <v>38</v>
      </c>
      <c r="M318" s="1703" t="s">
        <v>38</v>
      </c>
      <c r="N318" s="1704" t="s">
        <v>38</v>
      </c>
      <c r="O318" s="1703" t="s">
        <v>38</v>
      </c>
      <c r="P318" s="1706" t="s">
        <v>38</v>
      </c>
      <c r="Q318" s="1707" t="s">
        <v>38</v>
      </c>
      <c r="R318" s="1704" t="s">
        <v>38</v>
      </c>
      <c r="S318" s="1703" t="s">
        <v>38</v>
      </c>
      <c r="T318" s="1705" t="s">
        <v>38</v>
      </c>
      <c r="U318" s="1703" t="s">
        <v>38</v>
      </c>
      <c r="V318" s="1704" t="s">
        <v>38</v>
      </c>
      <c r="W318" s="1703" t="s">
        <v>38</v>
      </c>
      <c r="X318" s="1705" t="s">
        <v>38</v>
      </c>
      <c r="Y318" s="431"/>
      <c r="Z318" s="888" t="s">
        <v>475</v>
      </c>
      <c r="AA318" s="972" t="s">
        <v>38</v>
      </c>
      <c r="AB318" s="1913"/>
      <c r="AC318" s="1153"/>
      <c r="AD318" s="1240" t="s">
        <v>387</v>
      </c>
      <c r="AE318" s="1239" t="s">
        <v>387</v>
      </c>
      <c r="AF318" s="1239" t="s">
        <v>388</v>
      </c>
      <c r="AG318" s="1239" t="s">
        <v>390</v>
      </c>
      <c r="AH318" s="1783" t="s">
        <v>391</v>
      </c>
      <c r="AI318" s="1765" t="s">
        <v>391</v>
      </c>
      <c r="AJ318" s="1239" t="s">
        <v>391</v>
      </c>
      <c r="AK318" s="1239" t="s">
        <v>794</v>
      </c>
      <c r="AL318" s="1095"/>
      <c r="AM318" s="1095"/>
      <c r="AN318" s="1095"/>
      <c r="AO318" s="1095"/>
      <c r="AP318" s="1095"/>
      <c r="AQ318" s="1106"/>
      <c r="AR318" s="1097"/>
      <c r="AS318" s="1110"/>
      <c r="BW318" s="30"/>
      <c r="BX318" s="30"/>
    </row>
    <row r="319" spans="1:76" s="181" customFormat="1" ht="15.75" x14ac:dyDescent="0.25">
      <c r="A319" s="551"/>
      <c r="B319" s="1578"/>
      <c r="C319" s="1110"/>
      <c r="D319" s="1145" t="s">
        <v>145</v>
      </c>
      <c r="E319" s="1147" t="str">
        <f t="shared" si="54"/>
        <v/>
      </c>
      <c r="F319" s="1124"/>
      <c r="G319" s="1703" t="s">
        <v>38</v>
      </c>
      <c r="H319" s="1704" t="s">
        <v>38</v>
      </c>
      <c r="I319" s="1703" t="s">
        <v>37</v>
      </c>
      <c r="J319" s="1705" t="s">
        <v>37</v>
      </c>
      <c r="K319" s="1703" t="s">
        <v>37</v>
      </c>
      <c r="L319" s="1704" t="str">
        <f>IF(L308="No","N","Y")</f>
        <v>Y</v>
      </c>
      <c r="M319" s="1703" t="s">
        <v>37</v>
      </c>
      <c r="N319" s="1704" t="s">
        <v>37</v>
      </c>
      <c r="O319" s="1703" t="s">
        <v>37</v>
      </c>
      <c r="P319" s="1706" t="s">
        <v>37</v>
      </c>
      <c r="Q319" s="1707" t="s">
        <v>37</v>
      </c>
      <c r="R319" s="1704" t="s">
        <v>37</v>
      </c>
      <c r="S319" s="1703" t="s">
        <v>37</v>
      </c>
      <c r="T319" s="1705" t="s">
        <v>37</v>
      </c>
      <c r="U319" s="1703" t="s">
        <v>37</v>
      </c>
      <c r="V319" s="1704" t="s">
        <v>37</v>
      </c>
      <c r="W319" s="1703" t="s">
        <v>38</v>
      </c>
      <c r="X319" s="1705" t="s">
        <v>38</v>
      </c>
      <c r="Y319" s="431"/>
      <c r="Z319" s="590" t="s">
        <v>990</v>
      </c>
      <c r="AA319" s="972" t="s">
        <v>37</v>
      </c>
      <c r="AB319" s="1913"/>
      <c r="AC319" s="1153"/>
      <c r="AD319" s="1240" t="s">
        <v>388</v>
      </c>
      <c r="AE319" s="1239" t="s">
        <v>388</v>
      </c>
      <c r="AF319" s="1239" t="s">
        <v>391</v>
      </c>
      <c r="AG319" s="1239" t="s">
        <v>391</v>
      </c>
      <c r="AH319" s="1783" t="s">
        <v>391</v>
      </c>
      <c r="AI319" s="1765" t="s">
        <v>391</v>
      </c>
      <c r="AJ319" s="1239" t="s">
        <v>391</v>
      </c>
      <c r="AK319" s="1239" t="s">
        <v>794</v>
      </c>
      <c r="AL319" s="1095"/>
      <c r="AM319" s="1095"/>
      <c r="AN319" s="1095"/>
      <c r="AO319" s="1095"/>
      <c r="AP319" s="1095"/>
      <c r="AQ319" s="1106"/>
      <c r="AR319" s="1097"/>
      <c r="AS319" s="1110"/>
      <c r="BW319" s="30"/>
      <c r="BX319" s="30"/>
    </row>
    <row r="320" spans="1:76" s="545" customFormat="1" ht="15.75" x14ac:dyDescent="0.25">
      <c r="B320" s="1579"/>
      <c r="C320" s="1097"/>
      <c r="D320" s="1145" t="s">
        <v>145</v>
      </c>
      <c r="E320" s="1147" t="str">
        <f t="shared" ref="E320" si="55">IF(Z320="","",IF(OR(AND(OR(G320="Y",G320="?"),_00_apply="Yes"),AND(OR(I320="Y",I320="?"),_01_apply="Yes"),AND(OR(K320="Y",K320="?"),_02_apply="Yes"),AND(OR(M320="Y",M320="?"),_03_apply="Yes"),AND(OR(O320="Y",O320="?"),_04_apply="Yes"),AND(OR(Q320="Y",Q320="?"),_05_apply="Yes"),AND(OR(S320="?",S320="Y"),_06_apply="Yes"),AND(OR(U320="?",U320="Y"),_07_apply="Yes"),AND(OR(W320="Y",W320="?"),_08_apply="Yes")),"","N"))</f>
        <v/>
      </c>
      <c r="F320" s="1124"/>
      <c r="G320" s="1703" t="s">
        <v>38</v>
      </c>
      <c r="H320" s="1704" t="s">
        <v>38</v>
      </c>
      <c r="I320" s="1703" t="s">
        <v>38</v>
      </c>
      <c r="J320" s="1705" t="s">
        <v>38</v>
      </c>
      <c r="K320" s="1703" t="s">
        <v>37</v>
      </c>
      <c r="L320" s="1704" t="str">
        <f>IF(L309="No","N","Y")</f>
        <v>Y</v>
      </c>
      <c r="M320" s="1703" t="s">
        <v>37</v>
      </c>
      <c r="N320" s="1704" t="s">
        <v>37</v>
      </c>
      <c r="O320" s="1703" t="s">
        <v>37</v>
      </c>
      <c r="P320" s="1706" t="s">
        <v>37</v>
      </c>
      <c r="Q320" s="1707" t="s">
        <v>37</v>
      </c>
      <c r="R320" s="1704" t="s">
        <v>37</v>
      </c>
      <c r="S320" s="1703" t="s">
        <v>37</v>
      </c>
      <c r="T320" s="1705" t="s">
        <v>37</v>
      </c>
      <c r="U320" s="1703" t="s">
        <v>37</v>
      </c>
      <c r="V320" s="1704" t="s">
        <v>37</v>
      </c>
      <c r="W320" s="1703" t="s">
        <v>38</v>
      </c>
      <c r="X320" s="1705" t="s">
        <v>38</v>
      </c>
      <c r="Y320" s="748"/>
      <c r="Z320" s="590" t="s">
        <v>999</v>
      </c>
      <c r="AA320" s="1004" t="s">
        <v>37</v>
      </c>
      <c r="AB320" s="1913"/>
      <c r="AC320" s="1125"/>
      <c r="AD320" s="1240" t="s">
        <v>387</v>
      </c>
      <c r="AE320" s="1239" t="s">
        <v>800</v>
      </c>
      <c r="AF320" s="1239" t="s">
        <v>388</v>
      </c>
      <c r="AG320" s="1239" t="s">
        <v>390</v>
      </c>
      <c r="AH320" s="1783" t="s">
        <v>391</v>
      </c>
      <c r="AI320" s="1765" t="s">
        <v>391</v>
      </c>
      <c r="AJ320" s="1239" t="s">
        <v>391</v>
      </c>
      <c r="AK320" s="1239" t="s">
        <v>794</v>
      </c>
      <c r="AL320" s="1095"/>
      <c r="AM320" s="1095"/>
      <c r="AN320" s="1095"/>
      <c r="AO320" s="1095"/>
      <c r="AP320" s="1095"/>
      <c r="AQ320" s="1106"/>
      <c r="AR320" s="1097"/>
      <c r="AS320" s="1097"/>
      <c r="AT320" s="551"/>
      <c r="AU320" s="551"/>
      <c r="AV320" s="551"/>
      <c r="AW320" s="551"/>
      <c r="AX320" s="551"/>
      <c r="AY320" s="551"/>
      <c r="AZ320" s="551"/>
      <c r="BA320" s="551"/>
      <c r="BB320" s="551"/>
      <c r="BC320" s="551"/>
      <c r="BD320" s="551"/>
      <c r="BE320" s="551"/>
      <c r="BF320" s="551"/>
      <c r="BG320" s="551"/>
      <c r="BH320" s="551"/>
      <c r="BI320" s="551"/>
      <c r="BJ320" s="551"/>
      <c r="BK320" s="551"/>
      <c r="BL320" s="551"/>
      <c r="BM320" s="551"/>
      <c r="BN320" s="551"/>
      <c r="BO320" s="551"/>
      <c r="BP320" s="551"/>
      <c r="BQ320" s="551"/>
      <c r="BR320" s="551"/>
      <c r="BS320" s="551"/>
      <c r="BT320" s="551"/>
      <c r="BU320" s="551"/>
      <c r="BV320" s="551"/>
    </row>
    <row r="321" spans="1:76" s="181" customFormat="1" ht="15.75" x14ac:dyDescent="0.25">
      <c r="A321" s="551"/>
      <c r="B321" s="1578"/>
      <c r="C321" s="1110"/>
      <c r="D321" s="1145" t="s">
        <v>145</v>
      </c>
      <c r="E321" s="1147" t="str">
        <f t="shared" si="54"/>
        <v/>
      </c>
      <c r="F321" s="1124"/>
      <c r="G321" s="1703" t="s">
        <v>38</v>
      </c>
      <c r="H321" s="1704" t="s">
        <v>38</v>
      </c>
      <c r="I321" s="1703" t="s">
        <v>37</v>
      </c>
      <c r="J321" s="1705" t="s">
        <v>37</v>
      </c>
      <c r="K321" s="1703" t="s">
        <v>37</v>
      </c>
      <c r="L321" s="1704" t="str">
        <f>IF(L309="No","N","Y")</f>
        <v>Y</v>
      </c>
      <c r="M321" s="1703" t="s">
        <v>37</v>
      </c>
      <c r="N321" s="1704" t="s">
        <v>37</v>
      </c>
      <c r="O321" s="1703" t="s">
        <v>37</v>
      </c>
      <c r="P321" s="1706" t="s">
        <v>37</v>
      </c>
      <c r="Q321" s="1707" t="s">
        <v>37</v>
      </c>
      <c r="R321" s="1704" t="s">
        <v>37</v>
      </c>
      <c r="S321" s="1703" t="s">
        <v>37</v>
      </c>
      <c r="T321" s="1705" t="s">
        <v>37</v>
      </c>
      <c r="U321" s="1703" t="s">
        <v>37</v>
      </c>
      <c r="V321" s="1704" t="s">
        <v>37</v>
      </c>
      <c r="W321" s="1703" t="s">
        <v>38</v>
      </c>
      <c r="X321" s="1705" t="s">
        <v>38</v>
      </c>
      <c r="Y321" s="431"/>
      <c r="Z321" s="590" t="s">
        <v>449</v>
      </c>
      <c r="AA321" s="972" t="s">
        <v>37</v>
      </c>
      <c r="AB321" s="1913"/>
      <c r="AC321" s="1153"/>
      <c r="AD321" s="1240" t="s">
        <v>387</v>
      </c>
      <c r="AE321" s="1239" t="s">
        <v>387</v>
      </c>
      <c r="AF321" s="1239" t="s">
        <v>387</v>
      </c>
      <c r="AG321" s="1239" t="s">
        <v>388</v>
      </c>
      <c r="AH321" s="1783" t="s">
        <v>391</v>
      </c>
      <c r="AI321" s="1765" t="s">
        <v>391</v>
      </c>
      <c r="AJ321" s="1239" t="s">
        <v>391</v>
      </c>
      <c r="AK321" s="1239" t="s">
        <v>794</v>
      </c>
      <c r="AL321" s="1095"/>
      <c r="AM321" s="1095"/>
      <c r="AN321" s="1095"/>
      <c r="AO321" s="1095"/>
      <c r="AP321" s="1095"/>
      <c r="AQ321" s="1106"/>
      <c r="AR321" s="1097"/>
      <c r="AS321" s="1110"/>
      <c r="BW321" s="30"/>
      <c r="BX321" s="30"/>
    </row>
    <row r="322" spans="1:76" s="181" customFormat="1" ht="15.75" x14ac:dyDescent="0.25">
      <c r="A322" s="551"/>
      <c r="B322" s="1578"/>
      <c r="C322" s="1110"/>
      <c r="D322" s="1145" t="s">
        <v>145</v>
      </c>
      <c r="E322" s="1147" t="str">
        <f t="shared" si="54"/>
        <v/>
      </c>
      <c r="F322" s="1124"/>
      <c r="G322" s="1703" t="s">
        <v>38</v>
      </c>
      <c r="H322" s="1704" t="s">
        <v>38</v>
      </c>
      <c r="I322" s="1703" t="s">
        <v>38</v>
      </c>
      <c r="J322" s="1705" t="s">
        <v>38</v>
      </c>
      <c r="K322" s="1703" t="s">
        <v>37</v>
      </c>
      <c r="L322" s="1704" t="str">
        <f>IF(L310="No","N","Y")</f>
        <v>Y</v>
      </c>
      <c r="M322" s="1703" t="s">
        <v>37</v>
      </c>
      <c r="N322" s="1704" t="s">
        <v>37</v>
      </c>
      <c r="O322" s="1703" t="s">
        <v>37</v>
      </c>
      <c r="P322" s="1706" t="s">
        <v>37</v>
      </c>
      <c r="Q322" s="1707" t="s">
        <v>37</v>
      </c>
      <c r="R322" s="1704" t="s">
        <v>37</v>
      </c>
      <c r="S322" s="1703" t="s">
        <v>37</v>
      </c>
      <c r="T322" s="1705" t="s">
        <v>37</v>
      </c>
      <c r="U322" s="1703" t="s">
        <v>37</v>
      </c>
      <c r="V322" s="1704" t="s">
        <v>37</v>
      </c>
      <c r="W322" s="1703" t="s">
        <v>38</v>
      </c>
      <c r="X322" s="1705" t="s">
        <v>38</v>
      </c>
      <c r="Y322" s="431"/>
      <c r="Z322" s="590" t="s">
        <v>450</v>
      </c>
      <c r="AA322" s="972" t="s">
        <v>37</v>
      </c>
      <c r="AB322" s="1913"/>
      <c r="AC322" s="1153"/>
      <c r="AD322" s="1240" t="s">
        <v>387</v>
      </c>
      <c r="AE322" s="1239" t="s">
        <v>387</v>
      </c>
      <c r="AF322" s="1239" t="s">
        <v>387</v>
      </c>
      <c r="AG322" s="1239" t="s">
        <v>388</v>
      </c>
      <c r="AH322" s="1783" t="s">
        <v>391</v>
      </c>
      <c r="AI322" s="1765" t="s">
        <v>391</v>
      </c>
      <c r="AJ322" s="1239" t="s">
        <v>391</v>
      </c>
      <c r="AK322" s="1239" t="s">
        <v>794</v>
      </c>
      <c r="AL322" s="1095"/>
      <c r="AM322" s="1095"/>
      <c r="AN322" s="1095"/>
      <c r="AO322" s="1095"/>
      <c r="AP322" s="1095"/>
      <c r="AQ322" s="1106"/>
      <c r="AR322" s="1097"/>
      <c r="AS322" s="1110"/>
      <c r="BW322" s="30"/>
      <c r="BX322" s="30"/>
    </row>
    <row r="323" spans="1:76" s="181" customFormat="1" ht="15.75" x14ac:dyDescent="0.25">
      <c r="A323" s="551"/>
      <c r="B323" s="1578"/>
      <c r="C323" s="1110"/>
      <c r="D323" s="1145" t="s">
        <v>145</v>
      </c>
      <c r="E323" s="1147" t="str">
        <f t="shared" si="54"/>
        <v/>
      </c>
      <c r="F323" s="1124"/>
      <c r="G323" s="1703" t="s">
        <v>38</v>
      </c>
      <c r="H323" s="1704" t="s">
        <v>38</v>
      </c>
      <c r="I323" s="1703" t="s">
        <v>38</v>
      </c>
      <c r="J323" s="1705" t="s">
        <v>38</v>
      </c>
      <c r="K323" s="1703" t="s">
        <v>38</v>
      </c>
      <c r="L323" s="1704" t="str">
        <f>IF(L311="No","N","Y")</f>
        <v>Y</v>
      </c>
      <c r="M323" s="1703" t="s">
        <v>37</v>
      </c>
      <c r="N323" s="1704" t="s">
        <v>37</v>
      </c>
      <c r="O323" s="1703" t="s">
        <v>37</v>
      </c>
      <c r="P323" s="1706" t="s">
        <v>37</v>
      </c>
      <c r="Q323" s="1707" t="s">
        <v>37</v>
      </c>
      <c r="R323" s="1704" t="s">
        <v>37</v>
      </c>
      <c r="S323" s="1703" t="s">
        <v>37</v>
      </c>
      <c r="T323" s="1705" t="s">
        <v>37</v>
      </c>
      <c r="U323" s="1703" t="s">
        <v>37</v>
      </c>
      <c r="V323" s="1704" t="s">
        <v>37</v>
      </c>
      <c r="W323" s="1703" t="s">
        <v>38</v>
      </c>
      <c r="X323" s="1705" t="s">
        <v>38</v>
      </c>
      <c r="Y323" s="431"/>
      <c r="Z323" s="590" t="s">
        <v>451</v>
      </c>
      <c r="AA323" s="972" t="s">
        <v>37</v>
      </c>
      <c r="AB323" s="1913"/>
      <c r="AC323" s="1153"/>
      <c r="AD323" s="1240" t="s">
        <v>387</v>
      </c>
      <c r="AE323" s="1239" t="s">
        <v>387</v>
      </c>
      <c r="AF323" s="1239" t="s">
        <v>390</v>
      </c>
      <c r="AG323" s="1239" t="s">
        <v>390</v>
      </c>
      <c r="AH323" s="1783" t="s">
        <v>391</v>
      </c>
      <c r="AI323" s="1765" t="s">
        <v>391</v>
      </c>
      <c r="AJ323" s="1239" t="s">
        <v>391</v>
      </c>
      <c r="AK323" s="1239" t="s">
        <v>794</v>
      </c>
      <c r="AL323" s="1095"/>
      <c r="AM323" s="1095"/>
      <c r="AN323" s="1095"/>
      <c r="AO323" s="1095"/>
      <c r="AP323" s="1095"/>
      <c r="AQ323" s="1106"/>
      <c r="AR323" s="1097"/>
      <c r="AS323" s="1110"/>
      <c r="BW323" s="30"/>
      <c r="BX323" s="30"/>
    </row>
    <row r="324" spans="1:76" s="181" customFormat="1" ht="15.75" x14ac:dyDescent="0.25">
      <c r="A324" s="551"/>
      <c r="B324" s="1578"/>
      <c r="C324" s="1110"/>
      <c r="D324" s="1145" t="s">
        <v>145</v>
      </c>
      <c r="E324" s="1147" t="str">
        <f t="shared" si="54"/>
        <v/>
      </c>
      <c r="F324" s="1124"/>
      <c r="G324" s="1703" t="s">
        <v>38</v>
      </c>
      <c r="H324" s="1704" t="s">
        <v>38</v>
      </c>
      <c r="I324" s="1703" t="s">
        <v>38</v>
      </c>
      <c r="J324" s="1705" t="s">
        <v>38</v>
      </c>
      <c r="K324" s="1703" t="s">
        <v>38</v>
      </c>
      <c r="L324" s="1704" t="str">
        <f>IF(L312="No","N","Y")</f>
        <v>Y</v>
      </c>
      <c r="M324" s="1703" t="s">
        <v>37</v>
      </c>
      <c r="N324" s="1704" t="s">
        <v>37</v>
      </c>
      <c r="O324" s="1703" t="s">
        <v>37</v>
      </c>
      <c r="P324" s="1706" t="s">
        <v>37</v>
      </c>
      <c r="Q324" s="1707" t="s">
        <v>37</v>
      </c>
      <c r="R324" s="1704" t="s">
        <v>37</v>
      </c>
      <c r="S324" s="1703" t="s">
        <v>37</v>
      </c>
      <c r="T324" s="1705" t="s">
        <v>37</v>
      </c>
      <c r="U324" s="1703" t="s">
        <v>37</v>
      </c>
      <c r="V324" s="1704" t="s">
        <v>37</v>
      </c>
      <c r="W324" s="1703" t="s">
        <v>38</v>
      </c>
      <c r="X324" s="1705" t="s">
        <v>38</v>
      </c>
      <c r="Y324" s="431"/>
      <c r="Z324" s="590" t="s">
        <v>452</v>
      </c>
      <c r="AA324" s="972" t="s">
        <v>37</v>
      </c>
      <c r="AB324" s="1913"/>
      <c r="AC324" s="1153"/>
      <c r="AD324" s="1240"/>
      <c r="AE324" s="1239"/>
      <c r="AF324" s="1239" t="s">
        <v>387</v>
      </c>
      <c r="AG324" s="1239" t="s">
        <v>388</v>
      </c>
      <c r="AH324" s="1783" t="s">
        <v>390</v>
      </c>
      <c r="AI324" s="1765" t="s">
        <v>391</v>
      </c>
      <c r="AJ324" s="1239" t="s">
        <v>391</v>
      </c>
      <c r="AK324" s="1239" t="s">
        <v>794</v>
      </c>
      <c r="AL324" s="1095"/>
      <c r="AM324" s="1095"/>
      <c r="AN324" s="1095"/>
      <c r="AO324" s="1095"/>
      <c r="AP324" s="1095"/>
      <c r="AQ324" s="1097"/>
      <c r="AR324" s="1112"/>
      <c r="AS324" s="1110"/>
      <c r="BW324" s="30"/>
      <c r="BX324" s="30"/>
    </row>
    <row r="325" spans="1:76" s="30" customFormat="1" ht="15.75" x14ac:dyDescent="0.25">
      <c r="A325" s="545"/>
      <c r="B325" s="1579"/>
      <c r="C325" s="1110"/>
      <c r="D325" s="1145" t="s">
        <v>145</v>
      </c>
      <c r="E325" s="1147" t="str">
        <f t="shared" si="54"/>
        <v/>
      </c>
      <c r="F325" s="1124"/>
      <c r="G325" s="1703" t="s">
        <v>38</v>
      </c>
      <c r="H325" s="1704" t="s">
        <v>38</v>
      </c>
      <c r="I325" s="1703" t="s">
        <v>38</v>
      </c>
      <c r="J325" s="1705" t="s">
        <v>38</v>
      </c>
      <c r="K325" s="1703" t="s">
        <v>38</v>
      </c>
      <c r="L325" s="1704" t="str">
        <f>IF(L314="No","N","Y")</f>
        <v>Y</v>
      </c>
      <c r="M325" s="1703" t="s">
        <v>37</v>
      </c>
      <c r="N325" s="1704" t="s">
        <v>37</v>
      </c>
      <c r="O325" s="1703" t="s">
        <v>37</v>
      </c>
      <c r="P325" s="1706" t="s">
        <v>37</v>
      </c>
      <c r="Q325" s="1707" t="s">
        <v>37</v>
      </c>
      <c r="R325" s="1704" t="s">
        <v>37</v>
      </c>
      <c r="S325" s="1703" t="s">
        <v>37</v>
      </c>
      <c r="T325" s="1705" t="s">
        <v>37</v>
      </c>
      <c r="U325" s="1703" t="s">
        <v>37</v>
      </c>
      <c r="V325" s="1704" t="s">
        <v>37</v>
      </c>
      <c r="W325" s="1703" t="s">
        <v>38</v>
      </c>
      <c r="X325" s="1705" t="s">
        <v>38</v>
      </c>
      <c r="Y325" s="431"/>
      <c r="Z325" s="590" t="s">
        <v>453</v>
      </c>
      <c r="AA325" s="972" t="s">
        <v>37</v>
      </c>
      <c r="AB325" s="1913"/>
      <c r="AC325" s="1153"/>
      <c r="AD325" s="1240" t="s">
        <v>387</v>
      </c>
      <c r="AE325" s="1239" t="s">
        <v>387</v>
      </c>
      <c r="AF325" s="1239" t="s">
        <v>390</v>
      </c>
      <c r="AG325" s="1239" t="s">
        <v>391</v>
      </c>
      <c r="AH325" s="1783" t="s">
        <v>391</v>
      </c>
      <c r="AI325" s="1765" t="s">
        <v>391</v>
      </c>
      <c r="AJ325" s="1239" t="s">
        <v>391</v>
      </c>
      <c r="AK325" s="1239" t="s">
        <v>794</v>
      </c>
      <c r="AL325" s="1095"/>
      <c r="AM325" s="1095"/>
      <c r="AN325" s="1097"/>
      <c r="AO325" s="1095"/>
      <c r="AP325" s="1095"/>
      <c r="AQ325" s="1106"/>
      <c r="AR325" s="1097"/>
      <c r="AS325" s="1110"/>
      <c r="AT325" s="181"/>
      <c r="AU325" s="181"/>
      <c r="AV325" s="181"/>
      <c r="AW325" s="181"/>
      <c r="AX325" s="181"/>
      <c r="AY325" s="181"/>
      <c r="AZ325" s="181"/>
      <c r="BA325" s="181"/>
      <c r="BB325" s="181"/>
      <c r="BC325" s="181"/>
      <c r="BD325" s="181"/>
      <c r="BE325" s="181"/>
      <c r="BF325" s="181"/>
      <c r="BG325" s="181"/>
      <c r="BH325" s="181"/>
      <c r="BI325" s="181"/>
      <c r="BJ325" s="181"/>
      <c r="BK325" s="181"/>
      <c r="BL325" s="181"/>
      <c r="BM325" s="181"/>
      <c r="BN325" s="181"/>
      <c r="BO325" s="181"/>
      <c r="BP325" s="181"/>
      <c r="BQ325" s="181"/>
      <c r="BR325" s="181"/>
      <c r="BS325" s="181"/>
      <c r="BT325" s="181"/>
      <c r="BU325" s="181"/>
      <c r="BV325" s="181"/>
    </row>
    <row r="326" spans="1:76" s="30" customFormat="1" ht="15.75" x14ac:dyDescent="0.25">
      <c r="A326" s="545"/>
      <c r="B326" s="1579"/>
      <c r="C326" s="1110"/>
      <c r="D326" s="1145" t="s">
        <v>145</v>
      </c>
      <c r="E326" s="1147" t="str">
        <f t="shared" si="54"/>
        <v/>
      </c>
      <c r="F326" s="1124"/>
      <c r="G326" s="1703" t="s">
        <v>38</v>
      </c>
      <c r="H326" s="1704" t="s">
        <v>38</v>
      </c>
      <c r="I326" s="1703" t="s">
        <v>38</v>
      </c>
      <c r="J326" s="1705" t="s">
        <v>38</v>
      </c>
      <c r="K326" s="1703" t="s">
        <v>38</v>
      </c>
      <c r="L326" s="1704" t="str">
        <f>IF(L315="No","N","Y")</f>
        <v>Y</v>
      </c>
      <c r="M326" s="1703" t="s">
        <v>37</v>
      </c>
      <c r="N326" s="1704" t="s">
        <v>37</v>
      </c>
      <c r="O326" s="1703" t="s">
        <v>37</v>
      </c>
      <c r="P326" s="1706" t="s">
        <v>37</v>
      </c>
      <c r="Q326" s="1707" t="s">
        <v>37</v>
      </c>
      <c r="R326" s="1704" t="s">
        <v>37</v>
      </c>
      <c r="S326" s="1703" t="s">
        <v>37</v>
      </c>
      <c r="T326" s="1705" t="s">
        <v>37</v>
      </c>
      <c r="U326" s="1703" t="s">
        <v>37</v>
      </c>
      <c r="V326" s="1704" t="s">
        <v>37</v>
      </c>
      <c r="W326" s="1703" t="s">
        <v>38</v>
      </c>
      <c r="X326" s="1705" t="s">
        <v>38</v>
      </c>
      <c r="Y326" s="431"/>
      <c r="Z326" s="590" t="s">
        <v>454</v>
      </c>
      <c r="AA326" s="972" t="s">
        <v>37</v>
      </c>
      <c r="AB326" s="1913"/>
      <c r="AC326" s="1153"/>
      <c r="AD326" s="1240" t="s">
        <v>387</v>
      </c>
      <c r="AE326" s="1239" t="s">
        <v>387</v>
      </c>
      <c r="AF326" s="1239" t="s">
        <v>388</v>
      </c>
      <c r="AG326" s="1239" t="s">
        <v>391</v>
      </c>
      <c r="AH326" s="1783" t="s">
        <v>391</v>
      </c>
      <c r="AI326" s="1765" t="s">
        <v>391</v>
      </c>
      <c r="AJ326" s="1239" t="s">
        <v>391</v>
      </c>
      <c r="AK326" s="1239" t="s">
        <v>794</v>
      </c>
      <c r="AL326" s="1095"/>
      <c r="AM326" s="1095"/>
      <c r="AN326" s="1097"/>
      <c r="AO326" s="1095"/>
      <c r="AP326" s="1095"/>
      <c r="AQ326" s="1106"/>
      <c r="AR326" s="1097"/>
      <c r="AS326" s="1110"/>
      <c r="AT326" s="181"/>
      <c r="AU326" s="181"/>
      <c r="AV326" s="181"/>
      <c r="AW326" s="181"/>
      <c r="AX326" s="181"/>
      <c r="AY326" s="181"/>
      <c r="AZ326" s="181"/>
      <c r="BA326" s="181"/>
      <c r="BB326" s="181"/>
      <c r="BC326" s="181"/>
      <c r="BD326" s="181"/>
      <c r="BE326" s="181"/>
      <c r="BF326" s="181"/>
      <c r="BG326" s="181"/>
      <c r="BH326" s="181"/>
      <c r="BI326" s="181"/>
      <c r="BJ326" s="181"/>
      <c r="BK326" s="181"/>
      <c r="BL326" s="181"/>
      <c r="BM326" s="181"/>
      <c r="BN326" s="181"/>
      <c r="BO326" s="181"/>
      <c r="BP326" s="181"/>
      <c r="BQ326" s="181"/>
      <c r="BR326" s="181"/>
      <c r="BS326" s="181"/>
      <c r="BT326" s="181"/>
      <c r="BU326" s="181"/>
      <c r="BV326" s="181"/>
    </row>
    <row r="327" spans="1:76" s="30" customFormat="1" ht="15.75" x14ac:dyDescent="0.25">
      <c r="A327" s="545"/>
      <c r="B327" s="1579"/>
      <c r="C327" s="1110"/>
      <c r="D327" s="1145" t="s">
        <v>145</v>
      </c>
      <c r="E327" s="1147" t="str">
        <f t="shared" si="54"/>
        <v/>
      </c>
      <c r="F327" s="1124"/>
      <c r="G327" s="1703" t="s">
        <v>38</v>
      </c>
      <c r="H327" s="1704" t="s">
        <v>38</v>
      </c>
      <c r="I327" s="1703" t="s">
        <v>38</v>
      </c>
      <c r="J327" s="1705" t="s">
        <v>38</v>
      </c>
      <c r="K327" s="1703" t="s">
        <v>38</v>
      </c>
      <c r="L327" s="1704" t="str">
        <f>IF(L316="No","N","Y")</f>
        <v>Y</v>
      </c>
      <c r="M327" s="1703" t="s">
        <v>37</v>
      </c>
      <c r="N327" s="1704" t="s">
        <v>37</v>
      </c>
      <c r="O327" s="1703" t="s">
        <v>37</v>
      </c>
      <c r="P327" s="1706" t="s">
        <v>37</v>
      </c>
      <c r="Q327" s="1707" t="s">
        <v>37</v>
      </c>
      <c r="R327" s="1704" t="s">
        <v>37</v>
      </c>
      <c r="S327" s="1703" t="s">
        <v>37</v>
      </c>
      <c r="T327" s="1705" t="s">
        <v>37</v>
      </c>
      <c r="U327" s="1703" t="s">
        <v>37</v>
      </c>
      <c r="V327" s="1704" t="s">
        <v>37</v>
      </c>
      <c r="W327" s="1703" t="s">
        <v>38</v>
      </c>
      <c r="X327" s="1705" t="s">
        <v>38</v>
      </c>
      <c r="Y327" s="431"/>
      <c r="Z327" s="590" t="s">
        <v>455</v>
      </c>
      <c r="AA327" s="972" t="s">
        <v>37</v>
      </c>
      <c r="AB327" s="1913"/>
      <c r="AC327" s="1153"/>
      <c r="AD327" s="1240" t="s">
        <v>387</v>
      </c>
      <c r="AE327" s="1239" t="s">
        <v>387</v>
      </c>
      <c r="AF327" s="1239" t="s">
        <v>388</v>
      </c>
      <c r="AG327" s="1239" t="s">
        <v>391</v>
      </c>
      <c r="AH327" s="1783" t="s">
        <v>391</v>
      </c>
      <c r="AI327" s="1765" t="s">
        <v>391</v>
      </c>
      <c r="AJ327" s="1239" t="s">
        <v>391</v>
      </c>
      <c r="AK327" s="1239" t="s">
        <v>794</v>
      </c>
      <c r="AL327" s="1095"/>
      <c r="AM327" s="1095"/>
      <c r="AN327" s="1097"/>
      <c r="AO327" s="1095"/>
      <c r="AP327" s="1095"/>
      <c r="AQ327" s="1097"/>
      <c r="AR327" s="1112"/>
      <c r="AS327" s="1110"/>
      <c r="AT327" s="181"/>
      <c r="AU327" s="181"/>
      <c r="AV327" s="181"/>
      <c r="AW327" s="181"/>
      <c r="AX327" s="181"/>
      <c r="AY327" s="181"/>
      <c r="AZ327" s="181"/>
      <c r="BA327" s="181"/>
      <c r="BB327" s="181"/>
      <c r="BC327" s="181"/>
      <c r="BD327" s="181"/>
      <c r="BE327" s="181"/>
      <c r="BF327" s="181"/>
      <c r="BG327" s="181"/>
      <c r="BH327" s="181"/>
      <c r="BI327" s="181"/>
      <c r="BJ327" s="181"/>
      <c r="BK327" s="181"/>
      <c r="BL327" s="181"/>
      <c r="BM327" s="181"/>
      <c r="BN327" s="181"/>
      <c r="BO327" s="181"/>
      <c r="BP327" s="181"/>
      <c r="BQ327" s="181"/>
      <c r="BR327" s="181"/>
      <c r="BS327" s="181"/>
      <c r="BT327" s="181"/>
      <c r="BU327" s="181"/>
      <c r="BV327" s="181"/>
    </row>
    <row r="328" spans="1:76" s="30" customFormat="1" ht="15.75" x14ac:dyDescent="0.25">
      <c r="A328" s="545"/>
      <c r="B328" s="1579"/>
      <c r="C328" s="1110"/>
      <c r="D328" s="1145" t="s">
        <v>145</v>
      </c>
      <c r="E328" s="1147" t="str">
        <f t="shared" si="54"/>
        <v/>
      </c>
      <c r="F328" s="1124"/>
      <c r="G328" s="1703" t="s">
        <v>38</v>
      </c>
      <c r="H328" s="1704" t="s">
        <v>38</v>
      </c>
      <c r="I328" s="1703" t="s">
        <v>38</v>
      </c>
      <c r="J328" s="1705" t="s">
        <v>38</v>
      </c>
      <c r="K328" s="1703" t="s">
        <v>38</v>
      </c>
      <c r="L328" s="1704" t="str">
        <f>IF(L317="No","N","Y")</f>
        <v>Y</v>
      </c>
      <c r="M328" s="1703" t="s">
        <v>37</v>
      </c>
      <c r="N328" s="1704" t="s">
        <v>37</v>
      </c>
      <c r="O328" s="1703" t="s">
        <v>37</v>
      </c>
      <c r="P328" s="1706" t="s">
        <v>37</v>
      </c>
      <c r="Q328" s="1707" t="s">
        <v>37</v>
      </c>
      <c r="R328" s="1704" t="s">
        <v>37</v>
      </c>
      <c r="S328" s="1703" t="s">
        <v>37</v>
      </c>
      <c r="T328" s="1705" t="s">
        <v>37</v>
      </c>
      <c r="U328" s="1703" t="s">
        <v>37</v>
      </c>
      <c r="V328" s="1704" t="s">
        <v>37</v>
      </c>
      <c r="W328" s="1703" t="s">
        <v>38</v>
      </c>
      <c r="X328" s="1705" t="s">
        <v>38</v>
      </c>
      <c r="Y328" s="431"/>
      <c r="Z328" s="590" t="s">
        <v>456</v>
      </c>
      <c r="AA328" s="972" t="s">
        <v>37</v>
      </c>
      <c r="AB328" s="1913"/>
      <c r="AC328" s="1153"/>
      <c r="AD328" s="1240" t="s">
        <v>387</v>
      </c>
      <c r="AE328" s="1239" t="s">
        <v>387</v>
      </c>
      <c r="AF328" s="1239" t="s">
        <v>387</v>
      </c>
      <c r="AG328" s="1239" t="s">
        <v>388</v>
      </c>
      <c r="AH328" s="1783" t="s">
        <v>391</v>
      </c>
      <c r="AI328" s="1765" t="s">
        <v>391</v>
      </c>
      <c r="AJ328" s="1239" t="s">
        <v>391</v>
      </c>
      <c r="AK328" s="1239" t="s">
        <v>794</v>
      </c>
      <c r="AL328" s="1095"/>
      <c r="AM328" s="1095"/>
      <c r="AN328" s="1097"/>
      <c r="AO328" s="1095"/>
      <c r="AP328" s="1095"/>
      <c r="AQ328" s="1106"/>
      <c r="AR328" s="1097"/>
      <c r="AS328" s="1110"/>
      <c r="AT328" s="181"/>
      <c r="AU328" s="181"/>
      <c r="AV328" s="181"/>
      <c r="AW328" s="181"/>
      <c r="AX328" s="181"/>
      <c r="AY328" s="181"/>
      <c r="AZ328" s="181"/>
      <c r="BA328" s="181"/>
      <c r="BB328" s="181"/>
      <c r="BC328" s="181"/>
      <c r="BD328" s="181"/>
      <c r="BE328" s="181"/>
      <c r="BF328" s="181"/>
      <c r="BG328" s="181"/>
      <c r="BH328" s="181"/>
      <c r="BI328" s="181"/>
      <c r="BJ328" s="181"/>
      <c r="BK328" s="181"/>
      <c r="BL328" s="181"/>
      <c r="BM328" s="181"/>
      <c r="BN328" s="181"/>
      <c r="BO328" s="181"/>
      <c r="BP328" s="181"/>
      <c r="BQ328" s="181"/>
      <c r="BR328" s="181"/>
      <c r="BS328" s="181"/>
      <c r="BT328" s="181"/>
      <c r="BU328" s="181"/>
      <c r="BV328" s="181"/>
    </row>
    <row r="329" spans="1:76" s="30" customFormat="1" ht="15.75" x14ac:dyDescent="0.25">
      <c r="A329" s="545"/>
      <c r="B329" s="1579"/>
      <c r="C329" s="1110"/>
      <c r="D329" s="1145" t="s">
        <v>145</v>
      </c>
      <c r="E329" s="1147" t="str">
        <f t="shared" si="54"/>
        <v/>
      </c>
      <c r="F329" s="1124"/>
      <c r="G329" s="1703" t="s">
        <v>38</v>
      </c>
      <c r="H329" s="1704" t="s">
        <v>38</v>
      </c>
      <c r="I329" s="1703" t="s">
        <v>38</v>
      </c>
      <c r="J329" s="1705" t="s">
        <v>38</v>
      </c>
      <c r="K329" s="1703" t="s">
        <v>38</v>
      </c>
      <c r="L329" s="1704" t="s">
        <v>38</v>
      </c>
      <c r="M329" s="1703" t="s">
        <v>37</v>
      </c>
      <c r="N329" s="1704" t="s">
        <v>37</v>
      </c>
      <c r="O329" s="1703" t="s">
        <v>37</v>
      </c>
      <c r="P329" s="1706" t="s">
        <v>37</v>
      </c>
      <c r="Q329" s="1707" t="s">
        <v>37</v>
      </c>
      <c r="R329" s="1704" t="s">
        <v>37</v>
      </c>
      <c r="S329" s="1703" t="s">
        <v>37</v>
      </c>
      <c r="T329" s="1705" t="s">
        <v>37</v>
      </c>
      <c r="U329" s="1703" t="s">
        <v>37</v>
      </c>
      <c r="V329" s="1704" t="s">
        <v>37</v>
      </c>
      <c r="W329" s="1703" t="s">
        <v>38</v>
      </c>
      <c r="X329" s="1705" t="s">
        <v>38</v>
      </c>
      <c r="Y329" s="431"/>
      <c r="Z329" s="590" t="s">
        <v>457</v>
      </c>
      <c r="AA329" s="972" t="s">
        <v>37</v>
      </c>
      <c r="AB329" s="1913"/>
      <c r="AC329" s="1153"/>
      <c r="AD329" s="1240" t="s">
        <v>387</v>
      </c>
      <c r="AE329" s="1239" t="s">
        <v>387</v>
      </c>
      <c r="AF329" s="1239" t="s">
        <v>388</v>
      </c>
      <c r="AG329" s="1239" t="s">
        <v>390</v>
      </c>
      <c r="AH329" s="1783" t="s">
        <v>391</v>
      </c>
      <c r="AI329" s="1765" t="s">
        <v>391</v>
      </c>
      <c r="AJ329" s="1239" t="s">
        <v>391</v>
      </c>
      <c r="AK329" s="1239" t="s">
        <v>794</v>
      </c>
      <c r="AL329" s="1095"/>
      <c r="AM329" s="1095"/>
      <c r="AN329" s="1097"/>
      <c r="AO329" s="1095"/>
      <c r="AP329" s="1095"/>
      <c r="AQ329" s="1106"/>
      <c r="AR329" s="1097"/>
      <c r="AS329" s="1110"/>
      <c r="AT329" s="181"/>
      <c r="AU329" s="181"/>
      <c r="AV329" s="181"/>
      <c r="AW329" s="181"/>
      <c r="AX329" s="181"/>
      <c r="AY329" s="181"/>
      <c r="AZ329" s="181"/>
      <c r="BA329" s="181"/>
      <c r="BB329" s="181"/>
      <c r="BC329" s="181"/>
      <c r="BD329" s="181"/>
      <c r="BE329" s="181"/>
      <c r="BF329" s="181"/>
      <c r="BG329" s="181"/>
      <c r="BH329" s="181"/>
      <c r="BI329" s="181"/>
      <c r="BJ329" s="181"/>
      <c r="BK329" s="181"/>
      <c r="BL329" s="181"/>
      <c r="BM329" s="181"/>
      <c r="BN329" s="181"/>
      <c r="BO329" s="181"/>
      <c r="BP329" s="181"/>
      <c r="BQ329" s="181"/>
      <c r="BR329" s="181"/>
      <c r="BS329" s="181"/>
      <c r="BT329" s="181"/>
      <c r="BU329" s="181"/>
      <c r="BV329" s="181"/>
    </row>
    <row r="330" spans="1:76" s="30" customFormat="1" ht="18.75" x14ac:dyDescent="0.25">
      <c r="A330" s="545"/>
      <c r="B330" s="1579"/>
      <c r="C330" s="1095"/>
      <c r="D330" s="1145" t="s">
        <v>145</v>
      </c>
      <c r="E330" s="1147" t="str">
        <f t="shared" si="54"/>
        <v/>
      </c>
      <c r="F330" s="1124"/>
      <c r="G330" s="1703" t="s">
        <v>38</v>
      </c>
      <c r="H330" s="1704" t="s">
        <v>38</v>
      </c>
      <c r="I330" s="1703" t="s">
        <v>38</v>
      </c>
      <c r="J330" s="1705" t="s">
        <v>38</v>
      </c>
      <c r="K330" s="1703" t="s">
        <v>38</v>
      </c>
      <c r="L330" s="1704" t="str">
        <f>IF(L319="No","N","Y")</f>
        <v>Y</v>
      </c>
      <c r="M330" s="1703" t="s">
        <v>37</v>
      </c>
      <c r="N330" s="1704" t="s">
        <v>37</v>
      </c>
      <c r="O330" s="1703" t="s">
        <v>37</v>
      </c>
      <c r="P330" s="1706" t="s">
        <v>37</v>
      </c>
      <c r="Q330" s="1707" t="s">
        <v>37</v>
      </c>
      <c r="R330" s="1704" t="s">
        <v>37</v>
      </c>
      <c r="S330" s="1703" t="s">
        <v>37</v>
      </c>
      <c r="T330" s="1705" t="s">
        <v>37</v>
      </c>
      <c r="U330" s="1703" t="s">
        <v>37</v>
      </c>
      <c r="V330" s="1704" t="s">
        <v>37</v>
      </c>
      <c r="W330" s="1703" t="s">
        <v>38</v>
      </c>
      <c r="X330" s="1705" t="s">
        <v>38</v>
      </c>
      <c r="Y330" s="428"/>
      <c r="Z330" s="590" t="s">
        <v>711</v>
      </c>
      <c r="AA330" s="972" t="s">
        <v>37</v>
      </c>
      <c r="AB330" s="1913"/>
      <c r="AC330" s="1153"/>
      <c r="AD330" s="1240" t="s">
        <v>387</v>
      </c>
      <c r="AE330" s="1239" t="s">
        <v>387</v>
      </c>
      <c r="AF330" s="1239" t="s">
        <v>388</v>
      </c>
      <c r="AG330" s="1239" t="s">
        <v>390</v>
      </c>
      <c r="AH330" s="1783" t="s">
        <v>391</v>
      </c>
      <c r="AI330" s="1765" t="s">
        <v>391</v>
      </c>
      <c r="AJ330" s="1239" t="s">
        <v>391</v>
      </c>
      <c r="AK330" s="1239" t="s">
        <v>794</v>
      </c>
      <c r="AL330" s="1095"/>
      <c r="AM330" s="1095"/>
      <c r="AN330" s="1097"/>
      <c r="AO330" s="1095"/>
      <c r="AP330" s="1095"/>
      <c r="AQ330" s="1095"/>
      <c r="AR330" s="1095"/>
      <c r="AS330" s="1095"/>
      <c r="AT330" s="181"/>
      <c r="AU330" s="181"/>
      <c r="AV330" s="181"/>
      <c r="AW330" s="181"/>
      <c r="AX330" s="181"/>
      <c r="AY330" s="181"/>
      <c r="AZ330" s="181"/>
      <c r="BA330" s="181"/>
      <c r="BB330" s="181"/>
      <c r="BC330" s="181"/>
      <c r="BD330" s="181"/>
      <c r="BE330" s="181"/>
      <c r="BF330" s="181"/>
      <c r="BG330" s="181"/>
      <c r="BH330" s="181"/>
      <c r="BI330" s="181"/>
      <c r="BJ330" s="181"/>
      <c r="BK330" s="181"/>
      <c r="BL330" s="181"/>
      <c r="BM330" s="181"/>
      <c r="BN330" s="181"/>
      <c r="BO330" s="181"/>
      <c r="BP330" s="181"/>
      <c r="BQ330" s="181"/>
      <c r="BR330" s="181"/>
      <c r="BS330" s="181"/>
      <c r="BT330" s="181"/>
      <c r="BU330" s="181"/>
      <c r="BV330" s="181"/>
    </row>
    <row r="331" spans="1:76" s="30" customFormat="1" ht="15.75" x14ac:dyDescent="0.25">
      <c r="A331" s="545"/>
      <c r="B331" s="1579"/>
      <c r="C331" s="1110"/>
      <c r="D331" s="1145" t="s">
        <v>145</v>
      </c>
      <c r="E331" s="1147" t="str">
        <f t="shared" si="54"/>
        <v/>
      </c>
      <c r="F331" s="1124"/>
      <c r="G331" s="1703" t="s">
        <v>38</v>
      </c>
      <c r="H331" s="1704" t="s">
        <v>38</v>
      </c>
      <c r="I331" s="1703" t="s">
        <v>38</v>
      </c>
      <c r="J331" s="1705" t="s">
        <v>38</v>
      </c>
      <c r="K331" s="1703" t="s">
        <v>38</v>
      </c>
      <c r="L331" s="1704" t="str">
        <f t="shared" ref="L331:L332" si="56">IF(L321="No","N","Y")</f>
        <v>Y</v>
      </c>
      <c r="M331" s="1703" t="s">
        <v>37</v>
      </c>
      <c r="N331" s="1704" t="s">
        <v>37</v>
      </c>
      <c r="O331" s="1703" t="s">
        <v>37</v>
      </c>
      <c r="P331" s="1706" t="s">
        <v>37</v>
      </c>
      <c r="Q331" s="1707" t="s">
        <v>37</v>
      </c>
      <c r="R331" s="1704" t="s">
        <v>37</v>
      </c>
      <c r="S331" s="1703" t="s">
        <v>37</v>
      </c>
      <c r="T331" s="1705" t="s">
        <v>37</v>
      </c>
      <c r="U331" s="1703" t="s">
        <v>37</v>
      </c>
      <c r="V331" s="1704" t="s">
        <v>37</v>
      </c>
      <c r="W331" s="1703" t="s">
        <v>38</v>
      </c>
      <c r="X331" s="1705" t="s">
        <v>38</v>
      </c>
      <c r="Y331" s="431"/>
      <c r="Z331" s="590" t="s">
        <v>458</v>
      </c>
      <c r="AA331" s="972" t="s">
        <v>37</v>
      </c>
      <c r="AB331" s="1913"/>
      <c r="AC331" s="1153"/>
      <c r="AD331" s="1240" t="s">
        <v>387</v>
      </c>
      <c r="AE331" s="1239" t="s">
        <v>387</v>
      </c>
      <c r="AF331" s="1239" t="s">
        <v>388</v>
      </c>
      <c r="AG331" s="1239" t="s">
        <v>390</v>
      </c>
      <c r="AH331" s="1783" t="s">
        <v>391</v>
      </c>
      <c r="AI331" s="1765" t="s">
        <v>391</v>
      </c>
      <c r="AJ331" s="1239" t="s">
        <v>391</v>
      </c>
      <c r="AK331" s="1239" t="s">
        <v>794</v>
      </c>
      <c r="AL331" s="1095"/>
      <c r="AM331" s="1095"/>
      <c r="AN331" s="1097"/>
      <c r="AO331" s="1095"/>
      <c r="AP331" s="1095"/>
      <c r="AQ331" s="1106"/>
      <c r="AR331" s="1097"/>
      <c r="AS331" s="1110"/>
      <c r="AT331" s="181"/>
      <c r="AU331" s="181"/>
      <c r="AV331" s="181"/>
      <c r="AW331" s="181"/>
      <c r="AX331" s="181"/>
      <c r="AY331" s="181"/>
      <c r="AZ331" s="181"/>
      <c r="BA331" s="181"/>
      <c r="BB331" s="181"/>
      <c r="BC331" s="181"/>
      <c r="BD331" s="181"/>
      <c r="BE331" s="181"/>
      <c r="BF331" s="181"/>
      <c r="BG331" s="181"/>
      <c r="BH331" s="181"/>
      <c r="BI331" s="181"/>
      <c r="BJ331" s="181"/>
      <c r="BK331" s="181"/>
      <c r="BL331" s="181"/>
      <c r="BM331" s="181"/>
      <c r="BN331" s="181"/>
      <c r="BO331" s="181"/>
      <c r="BP331" s="181"/>
      <c r="BQ331" s="181"/>
      <c r="BR331" s="181"/>
      <c r="BS331" s="181"/>
      <c r="BT331" s="181"/>
      <c r="BU331" s="181"/>
      <c r="BV331" s="181"/>
    </row>
    <row r="332" spans="1:76" s="181" customFormat="1" ht="15.75" x14ac:dyDescent="0.25">
      <c r="A332" s="551"/>
      <c r="B332" s="1578"/>
      <c r="C332" s="1110"/>
      <c r="D332" s="1145" t="s">
        <v>145</v>
      </c>
      <c r="E332" s="1146" t="str">
        <f t="shared" si="54"/>
        <v/>
      </c>
      <c r="F332" s="1166"/>
      <c r="G332" s="886" t="s">
        <v>38</v>
      </c>
      <c r="H332" s="962" t="s">
        <v>38</v>
      </c>
      <c r="I332" s="886" t="s">
        <v>37</v>
      </c>
      <c r="J332" s="963" t="s">
        <v>37</v>
      </c>
      <c r="K332" s="886" t="s">
        <v>37</v>
      </c>
      <c r="L332" s="962" t="str">
        <f t="shared" si="56"/>
        <v>Y</v>
      </c>
      <c r="M332" s="886" t="s">
        <v>37</v>
      </c>
      <c r="N332" s="962" t="s">
        <v>37</v>
      </c>
      <c r="O332" s="886" t="s">
        <v>37</v>
      </c>
      <c r="P332" s="964" t="s">
        <v>37</v>
      </c>
      <c r="Q332" s="985" t="s">
        <v>37</v>
      </c>
      <c r="R332" s="962" t="s">
        <v>37</v>
      </c>
      <c r="S332" s="886" t="s">
        <v>37</v>
      </c>
      <c r="T332" s="963" t="s">
        <v>37</v>
      </c>
      <c r="U332" s="886" t="s">
        <v>37</v>
      </c>
      <c r="V332" s="962" t="s">
        <v>37</v>
      </c>
      <c r="W332" s="886" t="s">
        <v>38</v>
      </c>
      <c r="X332" s="963" t="s">
        <v>38</v>
      </c>
      <c r="Y332" s="431"/>
      <c r="Z332" s="591" t="s">
        <v>81</v>
      </c>
      <c r="AA332" s="972" t="s">
        <v>37</v>
      </c>
      <c r="AB332" s="1917"/>
      <c r="AC332" s="1153"/>
      <c r="AD332" s="1247"/>
      <c r="AE332" s="1248"/>
      <c r="AF332" s="1249"/>
      <c r="AG332" s="1262" t="s">
        <v>600</v>
      </c>
      <c r="AH332" s="1791" t="s">
        <v>600</v>
      </c>
      <c r="AI332" s="1772" t="s">
        <v>600</v>
      </c>
      <c r="AJ332" s="1262" t="s">
        <v>600</v>
      </c>
      <c r="AK332" s="1264" t="s">
        <v>794</v>
      </c>
      <c r="AL332" s="1095"/>
      <c r="AM332" s="1095"/>
      <c r="AN332" s="1095"/>
      <c r="AO332" s="1095"/>
      <c r="AP332" s="1095"/>
      <c r="AQ332" s="1106"/>
      <c r="AR332" s="1097"/>
      <c r="AS332" s="1110"/>
    </row>
    <row r="333" spans="1:76" s="181" customFormat="1" ht="15.75" x14ac:dyDescent="0.25">
      <c r="A333" s="551"/>
      <c r="B333" s="1578"/>
      <c r="C333" s="1110"/>
      <c r="D333" s="1145" t="s">
        <v>145</v>
      </c>
      <c r="E333" s="1147" t="str">
        <f t="shared" si="54"/>
        <v>N</v>
      </c>
      <c r="F333" s="1166"/>
      <c r="G333" s="1703" t="s">
        <v>38</v>
      </c>
      <c r="H333" s="1704" t="s">
        <v>38</v>
      </c>
      <c r="I333" s="1703" t="s">
        <v>38</v>
      </c>
      <c r="J333" s="1705" t="s">
        <v>38</v>
      </c>
      <c r="K333" s="1703" t="s">
        <v>38</v>
      </c>
      <c r="L333" s="1704" t="s">
        <v>38</v>
      </c>
      <c r="M333" s="1703" t="s">
        <v>38</v>
      </c>
      <c r="N333" s="1704" t="s">
        <v>38</v>
      </c>
      <c r="O333" s="1703" t="s">
        <v>38</v>
      </c>
      <c r="P333" s="1706" t="s">
        <v>38</v>
      </c>
      <c r="Q333" s="1707" t="s">
        <v>38</v>
      </c>
      <c r="R333" s="1704" t="s">
        <v>38</v>
      </c>
      <c r="S333" s="1703" t="s">
        <v>38</v>
      </c>
      <c r="T333" s="1705" t="s">
        <v>38</v>
      </c>
      <c r="U333" s="1703" t="s">
        <v>38</v>
      </c>
      <c r="V333" s="1704" t="s">
        <v>38</v>
      </c>
      <c r="W333" s="1703" t="s">
        <v>38</v>
      </c>
      <c r="X333" s="1705" t="s">
        <v>38</v>
      </c>
      <c r="Y333" s="431"/>
      <c r="Z333" s="888" t="s">
        <v>476</v>
      </c>
      <c r="AA333" s="972" t="s">
        <v>38</v>
      </c>
      <c r="AB333" s="1913"/>
      <c r="AC333" s="1153"/>
      <c r="AD333" s="1240" t="s">
        <v>387</v>
      </c>
      <c r="AE333" s="1239" t="s">
        <v>387</v>
      </c>
      <c r="AF333" s="1239" t="s">
        <v>388</v>
      </c>
      <c r="AG333" s="1239" t="s">
        <v>390</v>
      </c>
      <c r="AH333" s="1783" t="s">
        <v>391</v>
      </c>
      <c r="AI333" s="1765" t="s">
        <v>391</v>
      </c>
      <c r="AJ333" s="1239" t="s">
        <v>391</v>
      </c>
      <c r="AK333" s="1239" t="s">
        <v>794</v>
      </c>
      <c r="AL333" s="1095"/>
      <c r="AM333" s="1095"/>
      <c r="AN333" s="1095"/>
      <c r="AO333" s="1095"/>
      <c r="AP333" s="1095"/>
      <c r="AQ333" s="1106"/>
      <c r="AR333" s="1097"/>
      <c r="AS333" s="1110"/>
    </row>
    <row r="334" spans="1:76" s="30" customFormat="1" ht="15.75" x14ac:dyDescent="0.25">
      <c r="A334" s="545"/>
      <c r="B334" s="1579"/>
      <c r="C334" s="1110"/>
      <c r="D334" s="1145" t="s">
        <v>145</v>
      </c>
      <c r="E334" s="1147" t="str">
        <f t="shared" si="54"/>
        <v>N</v>
      </c>
      <c r="F334" s="1124"/>
      <c r="G334" s="1703" t="s">
        <v>38</v>
      </c>
      <c r="H334" s="1704" t="s">
        <v>38</v>
      </c>
      <c r="I334" s="1703" t="s">
        <v>38</v>
      </c>
      <c r="J334" s="1705" t="s">
        <v>38</v>
      </c>
      <c r="K334" s="1703" t="s">
        <v>38</v>
      </c>
      <c r="L334" s="1704" t="s">
        <v>38</v>
      </c>
      <c r="M334" s="1703" t="s">
        <v>38</v>
      </c>
      <c r="N334" s="1704" t="s">
        <v>38</v>
      </c>
      <c r="O334" s="1703" t="s">
        <v>38</v>
      </c>
      <c r="P334" s="1706" t="s">
        <v>38</v>
      </c>
      <c r="Q334" s="1707" t="s">
        <v>38</v>
      </c>
      <c r="R334" s="1704" t="s">
        <v>38</v>
      </c>
      <c r="S334" s="1703" t="s">
        <v>38</v>
      </c>
      <c r="T334" s="1705" t="s">
        <v>38</v>
      </c>
      <c r="U334" s="1703" t="s">
        <v>38</v>
      </c>
      <c r="V334" s="1704" t="s">
        <v>38</v>
      </c>
      <c r="W334" s="1703" t="s">
        <v>38</v>
      </c>
      <c r="X334" s="1705" t="s">
        <v>38</v>
      </c>
      <c r="Y334" s="431"/>
      <c r="Z334" s="888" t="s">
        <v>476</v>
      </c>
      <c r="AA334" s="972" t="s">
        <v>38</v>
      </c>
      <c r="AB334" s="1913"/>
      <c r="AC334" s="1153"/>
      <c r="AD334" s="1240" t="s">
        <v>387</v>
      </c>
      <c r="AE334" s="1239" t="s">
        <v>387</v>
      </c>
      <c r="AF334" s="1239" t="s">
        <v>388</v>
      </c>
      <c r="AG334" s="1239" t="s">
        <v>390</v>
      </c>
      <c r="AH334" s="1783" t="s">
        <v>391</v>
      </c>
      <c r="AI334" s="1765" t="s">
        <v>391</v>
      </c>
      <c r="AJ334" s="1239" t="s">
        <v>391</v>
      </c>
      <c r="AK334" s="1239" t="s">
        <v>794</v>
      </c>
      <c r="AL334" s="1095"/>
      <c r="AM334" s="1095"/>
      <c r="AN334" s="1097"/>
      <c r="AO334" s="1095"/>
      <c r="AP334" s="1095"/>
      <c r="AQ334" s="1106"/>
      <c r="AR334" s="1097"/>
      <c r="AS334" s="1110"/>
      <c r="AT334" s="181"/>
      <c r="AU334" s="181"/>
      <c r="AV334" s="181"/>
      <c r="AW334" s="181"/>
      <c r="AX334" s="181"/>
      <c r="AY334" s="181"/>
      <c r="AZ334" s="181"/>
      <c r="BA334" s="181"/>
      <c r="BB334" s="181"/>
      <c r="BC334" s="181"/>
      <c r="BD334" s="181"/>
      <c r="BE334" s="181"/>
      <c r="BF334" s="181"/>
      <c r="BG334" s="181"/>
      <c r="BH334" s="181"/>
      <c r="BI334" s="181"/>
      <c r="BJ334" s="181"/>
      <c r="BK334" s="181"/>
      <c r="BL334" s="181"/>
      <c r="BM334" s="181"/>
      <c r="BN334" s="181"/>
      <c r="BO334" s="181"/>
      <c r="BP334" s="181"/>
      <c r="BQ334" s="181"/>
      <c r="BR334" s="181"/>
      <c r="BS334" s="181"/>
      <c r="BT334" s="181"/>
      <c r="BU334" s="181"/>
      <c r="BV334" s="181"/>
    </row>
    <row r="335" spans="1:76" s="545" customFormat="1" ht="15.75" x14ac:dyDescent="0.25">
      <c r="B335" s="1579"/>
      <c r="C335" s="1097"/>
      <c r="D335" s="1145" t="s">
        <v>145</v>
      </c>
      <c r="E335" s="1147" t="str">
        <f>IF(Z335="","",IF(OR(AND(OR(G335="Y",G335="?"),_00_apply="Yes"),AND(OR(I335="Y",I335="?"),_01_apply="Yes"),AND(OR(K335="Y",K335="?"),_02_apply="Yes"),AND(OR(M335="Y",M335="?"),_03_apply="Yes"),AND(OR(O335="Y",O335="?"),_04_apply="Yes"),AND(OR(Q335="Y",Q335="?"),_05_apply="Yes"),AND(OR(S335="?",S335="Y"),_06_apply="Yes"),AND(OR(U335="?",U335="Y"),_07_apply="Yes"),AND(OR(W335="Y",W335="?"),_08_apply="Yes")),"","N"))</f>
        <v/>
      </c>
      <c r="F335" s="1124"/>
      <c r="G335" s="1703" t="s">
        <v>38</v>
      </c>
      <c r="H335" s="1704" t="s">
        <v>38</v>
      </c>
      <c r="I335" s="1703" t="s">
        <v>38</v>
      </c>
      <c r="J335" s="1705" t="s">
        <v>38</v>
      </c>
      <c r="K335" s="1703" t="s">
        <v>37</v>
      </c>
      <c r="L335" s="1704" t="str">
        <f>IF(L324="No","N","Y")</f>
        <v>Y</v>
      </c>
      <c r="M335" s="1703" t="s">
        <v>37</v>
      </c>
      <c r="N335" s="1704" t="s">
        <v>37</v>
      </c>
      <c r="O335" s="1703" t="s">
        <v>37</v>
      </c>
      <c r="P335" s="1706" t="s">
        <v>37</v>
      </c>
      <c r="Q335" s="1707" t="s">
        <v>37</v>
      </c>
      <c r="R335" s="1704" t="s">
        <v>37</v>
      </c>
      <c r="S335" s="1703" t="s">
        <v>37</v>
      </c>
      <c r="T335" s="1705" t="s">
        <v>37</v>
      </c>
      <c r="U335" s="1703" t="s">
        <v>37</v>
      </c>
      <c r="V335" s="1704" t="s">
        <v>37</v>
      </c>
      <c r="W335" s="1703" t="s">
        <v>38</v>
      </c>
      <c r="X335" s="1705" t="s">
        <v>38</v>
      </c>
      <c r="Y335" s="748"/>
      <c r="Z335" s="590" t="s">
        <v>991</v>
      </c>
      <c r="AA335" s="1004" t="s">
        <v>37</v>
      </c>
      <c r="AB335" s="1913"/>
      <c r="AC335" s="1125"/>
      <c r="AD335" s="1240" t="s">
        <v>388</v>
      </c>
      <c r="AE335" s="1239" t="s">
        <v>388</v>
      </c>
      <c r="AF335" s="1239" t="s">
        <v>391</v>
      </c>
      <c r="AG335" s="1239" t="s">
        <v>391</v>
      </c>
      <c r="AH335" s="1783" t="s">
        <v>391</v>
      </c>
      <c r="AI335" s="1765" t="s">
        <v>391</v>
      </c>
      <c r="AJ335" s="1239" t="s">
        <v>391</v>
      </c>
      <c r="AK335" s="1239" t="s">
        <v>794</v>
      </c>
      <c r="AL335" s="1095"/>
      <c r="AM335" s="1095"/>
      <c r="AN335" s="1095"/>
      <c r="AO335" s="1095"/>
      <c r="AP335" s="1095"/>
      <c r="AQ335" s="1106"/>
      <c r="AR335" s="1097"/>
      <c r="AS335" s="1097"/>
      <c r="AT335" s="551"/>
      <c r="AU335" s="551"/>
      <c r="AV335" s="551"/>
      <c r="AW335" s="551"/>
      <c r="AX335" s="551"/>
      <c r="AY335" s="551"/>
      <c r="AZ335" s="551"/>
      <c r="BA335" s="551"/>
      <c r="BB335" s="551"/>
      <c r="BC335" s="551"/>
      <c r="BD335" s="551"/>
      <c r="BE335" s="551"/>
      <c r="BF335" s="551"/>
      <c r="BG335" s="551"/>
      <c r="BH335" s="551"/>
      <c r="BI335" s="551"/>
      <c r="BJ335" s="551"/>
      <c r="BK335" s="551"/>
      <c r="BL335" s="551"/>
      <c r="BM335" s="551"/>
      <c r="BN335" s="551"/>
      <c r="BO335" s="551"/>
      <c r="BP335" s="551"/>
      <c r="BQ335" s="551"/>
      <c r="BR335" s="551"/>
      <c r="BS335" s="551"/>
      <c r="BT335" s="551"/>
      <c r="BU335" s="551"/>
      <c r="BV335" s="551"/>
    </row>
    <row r="336" spans="1:76" s="545" customFormat="1" ht="15.75" x14ac:dyDescent="0.25">
      <c r="B336" s="1579"/>
      <c r="C336" s="1097"/>
      <c r="D336" s="1145" t="s">
        <v>145</v>
      </c>
      <c r="E336" s="1147" t="str">
        <f>IF(Z336="","",IF(OR(AND(OR(G336="Y",G336="?"),_00_apply="Yes"),AND(OR(I336="Y",I336="?"),_01_apply="Yes"),AND(OR(K336="Y",K336="?"),_02_apply="Yes"),AND(OR(M336="Y",M336="?"),_03_apply="Yes"),AND(OR(O336="Y",O336="?"),_04_apply="Yes"),AND(OR(Q336="Y",Q336="?"),_05_apply="Yes"),AND(OR(S336="?",S336="Y"),_06_apply="Yes"),AND(OR(U336="?",U336="Y"),_07_apply="Yes"),AND(OR(W336="Y",W336="?"),_08_apply="Yes")),"","N"))</f>
        <v/>
      </c>
      <c r="F336" s="1124"/>
      <c r="G336" s="1703" t="s">
        <v>38</v>
      </c>
      <c r="H336" s="1704" t="s">
        <v>38</v>
      </c>
      <c r="I336" s="1703" t="s">
        <v>38</v>
      </c>
      <c r="J336" s="1705" t="s">
        <v>38</v>
      </c>
      <c r="K336" s="1703" t="s">
        <v>37</v>
      </c>
      <c r="L336" s="1704" t="str">
        <f>IF(L325="No","N","Y")</f>
        <v>Y</v>
      </c>
      <c r="M336" s="1703" t="s">
        <v>37</v>
      </c>
      <c r="N336" s="1704" t="s">
        <v>37</v>
      </c>
      <c r="O336" s="1703" t="s">
        <v>37</v>
      </c>
      <c r="P336" s="1706" t="s">
        <v>37</v>
      </c>
      <c r="Q336" s="1707" t="s">
        <v>37</v>
      </c>
      <c r="R336" s="1704" t="s">
        <v>37</v>
      </c>
      <c r="S336" s="1703" t="s">
        <v>37</v>
      </c>
      <c r="T336" s="1705" t="s">
        <v>37</v>
      </c>
      <c r="U336" s="1703" t="s">
        <v>37</v>
      </c>
      <c r="V336" s="1704" t="s">
        <v>37</v>
      </c>
      <c r="W336" s="1703" t="s">
        <v>38</v>
      </c>
      <c r="X336" s="1705" t="s">
        <v>38</v>
      </c>
      <c r="Y336" s="748"/>
      <c r="Z336" s="590" t="s">
        <v>1000</v>
      </c>
      <c r="AA336" s="1004" t="s">
        <v>37</v>
      </c>
      <c r="AB336" s="1913"/>
      <c r="AC336" s="1125"/>
      <c r="AD336" s="1240" t="s">
        <v>387</v>
      </c>
      <c r="AE336" s="1239" t="s">
        <v>800</v>
      </c>
      <c r="AF336" s="1239" t="s">
        <v>388</v>
      </c>
      <c r="AG336" s="1239" t="s">
        <v>390</v>
      </c>
      <c r="AH336" s="1783" t="s">
        <v>391</v>
      </c>
      <c r="AI336" s="1765" t="s">
        <v>391</v>
      </c>
      <c r="AJ336" s="1239" t="s">
        <v>391</v>
      </c>
      <c r="AK336" s="1239" t="s">
        <v>794</v>
      </c>
      <c r="AL336" s="1095"/>
      <c r="AM336" s="1095"/>
      <c r="AN336" s="1095"/>
      <c r="AO336" s="1095"/>
      <c r="AP336" s="1095"/>
      <c r="AQ336" s="1106"/>
      <c r="AR336" s="1097"/>
      <c r="AS336" s="1097"/>
      <c r="AT336" s="551"/>
      <c r="AU336" s="551"/>
      <c r="AV336" s="551"/>
      <c r="AW336" s="551"/>
      <c r="AX336" s="551"/>
      <c r="AY336" s="551"/>
      <c r="AZ336" s="551"/>
      <c r="BA336" s="551"/>
      <c r="BB336" s="551"/>
      <c r="BC336" s="551"/>
      <c r="BD336" s="551"/>
      <c r="BE336" s="551"/>
      <c r="BF336" s="551"/>
      <c r="BG336" s="551"/>
      <c r="BH336" s="551"/>
      <c r="BI336" s="551"/>
      <c r="BJ336" s="551"/>
      <c r="BK336" s="551"/>
      <c r="BL336" s="551"/>
      <c r="BM336" s="551"/>
      <c r="BN336" s="551"/>
      <c r="BO336" s="551"/>
      <c r="BP336" s="551"/>
      <c r="BQ336" s="551"/>
      <c r="BR336" s="551"/>
      <c r="BS336" s="551"/>
      <c r="BT336" s="551"/>
      <c r="BU336" s="551"/>
      <c r="BV336" s="551"/>
    </row>
    <row r="337" spans="1:74" s="30" customFormat="1" ht="15.75" x14ac:dyDescent="0.25">
      <c r="A337" s="545"/>
      <c r="B337" s="1579"/>
      <c r="C337" s="1110"/>
      <c r="D337" s="1145" t="s">
        <v>145</v>
      </c>
      <c r="E337" s="1147" t="str">
        <f t="shared" si="54"/>
        <v/>
      </c>
      <c r="F337" s="1124"/>
      <c r="G337" s="1703" t="s">
        <v>38</v>
      </c>
      <c r="H337" s="1704" t="s">
        <v>38</v>
      </c>
      <c r="I337" s="1703" t="s">
        <v>37</v>
      </c>
      <c r="J337" s="1705" t="s">
        <v>37</v>
      </c>
      <c r="K337" s="1703" t="s">
        <v>37</v>
      </c>
      <c r="L337" s="1704" t="str">
        <f t="shared" ref="L337" si="57">IF(L325="No","N","Y")</f>
        <v>Y</v>
      </c>
      <c r="M337" s="1703" t="s">
        <v>37</v>
      </c>
      <c r="N337" s="1704" t="s">
        <v>37</v>
      </c>
      <c r="O337" s="1703" t="s">
        <v>37</v>
      </c>
      <c r="P337" s="1706" t="s">
        <v>37</v>
      </c>
      <c r="Q337" s="1707" t="s">
        <v>37</v>
      </c>
      <c r="R337" s="1704" t="s">
        <v>37</v>
      </c>
      <c r="S337" s="1703" t="s">
        <v>37</v>
      </c>
      <c r="T337" s="1705" t="s">
        <v>37</v>
      </c>
      <c r="U337" s="1703" t="s">
        <v>37</v>
      </c>
      <c r="V337" s="1704" t="s">
        <v>37</v>
      </c>
      <c r="W337" s="1703" t="s">
        <v>38</v>
      </c>
      <c r="X337" s="1705" t="s">
        <v>38</v>
      </c>
      <c r="Y337" s="431"/>
      <c r="Z337" s="590" t="s">
        <v>459</v>
      </c>
      <c r="AA337" s="972" t="s">
        <v>37</v>
      </c>
      <c r="AB337" s="1913"/>
      <c r="AC337" s="1153"/>
      <c r="AD337" s="1240" t="s">
        <v>387</v>
      </c>
      <c r="AE337" s="1239" t="s">
        <v>387</v>
      </c>
      <c r="AF337" s="1239" t="s">
        <v>388</v>
      </c>
      <c r="AG337" s="1239" t="s">
        <v>390</v>
      </c>
      <c r="AH337" s="1783" t="s">
        <v>391</v>
      </c>
      <c r="AI337" s="1765" t="s">
        <v>391</v>
      </c>
      <c r="AJ337" s="1239" t="s">
        <v>391</v>
      </c>
      <c r="AK337" s="1239" t="s">
        <v>794</v>
      </c>
      <c r="AL337" s="1095"/>
      <c r="AM337" s="1095"/>
      <c r="AN337" s="1097"/>
      <c r="AO337" s="1095"/>
      <c r="AP337" s="1095"/>
      <c r="AQ337" s="1106"/>
      <c r="AR337" s="1097"/>
      <c r="AS337" s="1110"/>
      <c r="AT337" s="181"/>
      <c r="AU337" s="181"/>
      <c r="AV337" s="181"/>
      <c r="AW337" s="181"/>
      <c r="AX337" s="181"/>
      <c r="AY337" s="181"/>
      <c r="AZ337" s="181"/>
      <c r="BA337" s="181"/>
      <c r="BB337" s="181"/>
      <c r="BC337" s="181"/>
      <c r="BD337" s="181"/>
      <c r="BE337" s="181"/>
      <c r="BF337" s="181"/>
      <c r="BG337" s="181"/>
      <c r="BH337" s="181"/>
      <c r="BI337" s="181"/>
      <c r="BJ337" s="181"/>
      <c r="BK337" s="181"/>
      <c r="BL337" s="181"/>
      <c r="BM337" s="181"/>
      <c r="BN337" s="181"/>
      <c r="BO337" s="181"/>
      <c r="BP337" s="181"/>
      <c r="BQ337" s="181"/>
      <c r="BR337" s="181"/>
      <c r="BS337" s="181"/>
      <c r="BT337" s="181"/>
      <c r="BU337" s="181"/>
      <c r="BV337" s="181"/>
    </row>
    <row r="338" spans="1:74" s="30" customFormat="1" ht="15.75" x14ac:dyDescent="0.25">
      <c r="A338" s="545"/>
      <c r="B338" s="1579"/>
      <c r="C338" s="1110"/>
      <c r="D338" s="1145" t="s">
        <v>145</v>
      </c>
      <c r="E338" s="1147" t="str">
        <f t="shared" si="54"/>
        <v/>
      </c>
      <c r="F338" s="1124"/>
      <c r="G338" s="1703" t="s">
        <v>38</v>
      </c>
      <c r="H338" s="1704" t="s">
        <v>38</v>
      </c>
      <c r="I338" s="1703" t="s">
        <v>38</v>
      </c>
      <c r="J338" s="1705" t="s">
        <v>38</v>
      </c>
      <c r="K338" s="1703" t="s">
        <v>38</v>
      </c>
      <c r="L338" s="1704" t="str">
        <f>IF(L326="No","N","Y")</f>
        <v>Y</v>
      </c>
      <c r="M338" s="1703" t="s">
        <v>37</v>
      </c>
      <c r="N338" s="1704" t="s">
        <v>37</v>
      </c>
      <c r="O338" s="1703" t="s">
        <v>37</v>
      </c>
      <c r="P338" s="1706" t="s">
        <v>37</v>
      </c>
      <c r="Q338" s="1707" t="s">
        <v>37</v>
      </c>
      <c r="R338" s="1704" t="s">
        <v>37</v>
      </c>
      <c r="S338" s="1703" t="s">
        <v>37</v>
      </c>
      <c r="T338" s="1705" t="s">
        <v>37</v>
      </c>
      <c r="U338" s="1703" t="s">
        <v>37</v>
      </c>
      <c r="V338" s="1704" t="s">
        <v>37</v>
      </c>
      <c r="W338" s="1703" t="s">
        <v>38</v>
      </c>
      <c r="X338" s="1705" t="s">
        <v>38</v>
      </c>
      <c r="Y338" s="431"/>
      <c r="Z338" s="590" t="s">
        <v>460</v>
      </c>
      <c r="AA338" s="972" t="s">
        <v>37</v>
      </c>
      <c r="AB338" s="1913"/>
      <c r="AC338" s="1153"/>
      <c r="AD338" s="1240" t="s">
        <v>387</v>
      </c>
      <c r="AE338" s="1239" t="s">
        <v>387</v>
      </c>
      <c r="AF338" s="1239" t="s">
        <v>388</v>
      </c>
      <c r="AG338" s="1239" t="s">
        <v>391</v>
      </c>
      <c r="AH338" s="1783" t="s">
        <v>391</v>
      </c>
      <c r="AI338" s="1765" t="s">
        <v>391</v>
      </c>
      <c r="AJ338" s="1239" t="s">
        <v>391</v>
      </c>
      <c r="AK338" s="1239" t="s">
        <v>794</v>
      </c>
      <c r="AL338" s="1095"/>
      <c r="AM338" s="1095"/>
      <c r="AN338" s="1097"/>
      <c r="AO338" s="1095"/>
      <c r="AP338" s="1095"/>
      <c r="AQ338" s="1106"/>
      <c r="AR338" s="1097"/>
      <c r="AS338" s="1110"/>
      <c r="AT338" s="181"/>
      <c r="AU338" s="181"/>
      <c r="AV338" s="181"/>
      <c r="AW338" s="181"/>
      <c r="AX338" s="181"/>
      <c r="AY338" s="181"/>
      <c r="AZ338" s="181"/>
      <c r="BA338" s="181"/>
      <c r="BB338" s="181"/>
      <c r="BC338" s="181"/>
      <c r="BD338" s="181"/>
      <c r="BE338" s="181"/>
      <c r="BF338" s="181"/>
      <c r="BG338" s="181"/>
      <c r="BH338" s="181"/>
      <c r="BI338" s="181"/>
      <c r="BJ338" s="181"/>
      <c r="BK338" s="181"/>
      <c r="BL338" s="181"/>
      <c r="BM338" s="181"/>
      <c r="BN338" s="181"/>
      <c r="BO338" s="181"/>
      <c r="BP338" s="181"/>
      <c r="BQ338" s="181"/>
      <c r="BR338" s="181"/>
      <c r="BS338" s="181"/>
      <c r="BT338" s="181"/>
      <c r="BU338" s="181"/>
      <c r="BV338" s="181"/>
    </row>
    <row r="339" spans="1:74" s="30" customFormat="1" ht="15.75" x14ac:dyDescent="0.25">
      <c r="A339" s="545"/>
      <c r="B339" s="1579"/>
      <c r="C339" s="1110"/>
      <c r="D339" s="1145" t="s">
        <v>145</v>
      </c>
      <c r="E339" s="1147" t="str">
        <f t="shared" si="54"/>
        <v/>
      </c>
      <c r="F339" s="1124"/>
      <c r="G339" s="1703" t="s">
        <v>38</v>
      </c>
      <c r="H339" s="1704" t="s">
        <v>38</v>
      </c>
      <c r="I339" s="1703" t="s">
        <v>38</v>
      </c>
      <c r="J339" s="1705" t="s">
        <v>38</v>
      </c>
      <c r="K339" s="1703" t="s">
        <v>38</v>
      </c>
      <c r="L339" s="1704" t="s">
        <v>38</v>
      </c>
      <c r="M339" s="1703" t="s">
        <v>37</v>
      </c>
      <c r="N339" s="1704" t="s">
        <v>37</v>
      </c>
      <c r="O339" s="1703" t="s">
        <v>37</v>
      </c>
      <c r="P339" s="1706" t="s">
        <v>37</v>
      </c>
      <c r="Q339" s="1707" t="s">
        <v>37</v>
      </c>
      <c r="R339" s="1704" t="s">
        <v>37</v>
      </c>
      <c r="S339" s="1703" t="s">
        <v>37</v>
      </c>
      <c r="T339" s="1705" t="s">
        <v>37</v>
      </c>
      <c r="U339" s="1703" t="s">
        <v>37</v>
      </c>
      <c r="V339" s="1704" t="s">
        <v>37</v>
      </c>
      <c r="W339" s="1703" t="s">
        <v>38</v>
      </c>
      <c r="X339" s="1705" t="s">
        <v>38</v>
      </c>
      <c r="Y339" s="431"/>
      <c r="Z339" s="590" t="s">
        <v>461</v>
      </c>
      <c r="AA339" s="972" t="s">
        <v>37</v>
      </c>
      <c r="AB339" s="1913"/>
      <c r="AC339" s="1153"/>
      <c r="AD339" s="1240" t="s">
        <v>387</v>
      </c>
      <c r="AE339" s="1239" t="s">
        <v>387</v>
      </c>
      <c r="AF339" s="1239" t="s">
        <v>387</v>
      </c>
      <c r="AG339" s="1239" t="s">
        <v>388</v>
      </c>
      <c r="AH339" s="1783" t="s">
        <v>391</v>
      </c>
      <c r="AI339" s="1765" t="s">
        <v>391</v>
      </c>
      <c r="AJ339" s="1239" t="s">
        <v>391</v>
      </c>
      <c r="AK339" s="1239" t="s">
        <v>794</v>
      </c>
      <c r="AL339" s="1095"/>
      <c r="AM339" s="1095"/>
      <c r="AN339" s="1097"/>
      <c r="AO339" s="1095"/>
      <c r="AP339" s="1095"/>
      <c r="AQ339" s="1097"/>
      <c r="AR339" s="1112"/>
      <c r="AS339" s="1110"/>
      <c r="AT339" s="181"/>
      <c r="AU339" s="181"/>
      <c r="AV339" s="181"/>
      <c r="AW339" s="181"/>
      <c r="AX339" s="181"/>
      <c r="AY339" s="181"/>
      <c r="AZ339" s="181"/>
      <c r="BA339" s="181"/>
      <c r="BB339" s="181"/>
      <c r="BC339" s="181"/>
      <c r="BD339" s="181"/>
      <c r="BE339" s="181"/>
      <c r="BF339" s="181"/>
      <c r="BG339" s="181"/>
      <c r="BH339" s="181"/>
      <c r="BI339" s="181"/>
      <c r="BJ339" s="181"/>
      <c r="BK339" s="181"/>
      <c r="BL339" s="181"/>
      <c r="BM339" s="181"/>
      <c r="BN339" s="181"/>
      <c r="BO339" s="181"/>
      <c r="BP339" s="181"/>
      <c r="BQ339" s="181"/>
      <c r="BR339" s="181"/>
      <c r="BS339" s="181"/>
      <c r="BT339" s="181"/>
      <c r="BU339" s="181"/>
      <c r="BV339" s="181"/>
    </row>
    <row r="340" spans="1:74" s="181" customFormat="1" ht="15.75" x14ac:dyDescent="0.25">
      <c r="A340" s="551"/>
      <c r="B340" s="1578"/>
      <c r="C340" s="1110"/>
      <c r="D340" s="1145" t="s">
        <v>145</v>
      </c>
      <c r="E340" s="1146" t="str">
        <f t="shared" si="54"/>
        <v/>
      </c>
      <c r="F340" s="1166"/>
      <c r="G340" s="886" t="s">
        <v>38</v>
      </c>
      <c r="H340" s="962" t="s">
        <v>38</v>
      </c>
      <c r="I340" s="886" t="s">
        <v>37</v>
      </c>
      <c r="J340" s="963" t="s">
        <v>37</v>
      </c>
      <c r="K340" s="886" t="s">
        <v>37</v>
      </c>
      <c r="L340" s="962" t="str">
        <f>IF(L328="No","N","Y")</f>
        <v>Y</v>
      </c>
      <c r="M340" s="886" t="s">
        <v>37</v>
      </c>
      <c r="N340" s="962" t="s">
        <v>37</v>
      </c>
      <c r="O340" s="886" t="s">
        <v>37</v>
      </c>
      <c r="P340" s="964" t="s">
        <v>37</v>
      </c>
      <c r="Q340" s="985" t="s">
        <v>37</v>
      </c>
      <c r="R340" s="962" t="s">
        <v>37</v>
      </c>
      <c r="S340" s="886" t="s">
        <v>37</v>
      </c>
      <c r="T340" s="963" t="s">
        <v>37</v>
      </c>
      <c r="U340" s="886" t="s">
        <v>37</v>
      </c>
      <c r="V340" s="962" t="s">
        <v>37</v>
      </c>
      <c r="W340" s="886" t="s">
        <v>38</v>
      </c>
      <c r="X340" s="963" t="s">
        <v>38</v>
      </c>
      <c r="Y340" s="431"/>
      <c r="Z340" s="591" t="s">
        <v>1042</v>
      </c>
      <c r="AA340" s="972" t="s">
        <v>37</v>
      </c>
      <c r="AB340" s="1917"/>
      <c r="AC340" s="1153"/>
      <c r="AD340" s="1247"/>
      <c r="AE340" s="1248"/>
      <c r="AF340" s="1249"/>
      <c r="AG340" s="1262" t="s">
        <v>600</v>
      </c>
      <c r="AH340" s="1791" t="s">
        <v>600</v>
      </c>
      <c r="AI340" s="1772" t="s">
        <v>600</v>
      </c>
      <c r="AJ340" s="1262" t="s">
        <v>600</v>
      </c>
      <c r="AK340" s="1264" t="s">
        <v>794</v>
      </c>
      <c r="AL340" s="1095"/>
      <c r="AM340" s="1095"/>
      <c r="AN340" s="1095"/>
      <c r="AO340" s="1095"/>
      <c r="AP340" s="1095"/>
      <c r="AQ340" s="1106"/>
      <c r="AR340" s="1097"/>
      <c r="AS340" s="1110"/>
    </row>
    <row r="341" spans="1:74" s="181" customFormat="1" ht="15.75" x14ac:dyDescent="0.25">
      <c r="A341" s="551"/>
      <c r="B341" s="1578"/>
      <c r="C341" s="1110"/>
      <c r="D341" s="1145" t="s">
        <v>145</v>
      </c>
      <c r="E341" s="1147" t="str">
        <f t="shared" si="54"/>
        <v>N</v>
      </c>
      <c r="F341" s="1166"/>
      <c r="G341" s="1703" t="s">
        <v>38</v>
      </c>
      <c r="H341" s="1704" t="s">
        <v>38</v>
      </c>
      <c r="I341" s="1703" t="s">
        <v>38</v>
      </c>
      <c r="J341" s="1705" t="s">
        <v>38</v>
      </c>
      <c r="K341" s="1703" t="s">
        <v>38</v>
      </c>
      <c r="L341" s="1704" t="s">
        <v>38</v>
      </c>
      <c r="M341" s="1703" t="s">
        <v>38</v>
      </c>
      <c r="N341" s="1704" t="s">
        <v>38</v>
      </c>
      <c r="O341" s="1703" t="s">
        <v>38</v>
      </c>
      <c r="P341" s="1706" t="s">
        <v>38</v>
      </c>
      <c r="Q341" s="1707" t="s">
        <v>38</v>
      </c>
      <c r="R341" s="1704" t="s">
        <v>38</v>
      </c>
      <c r="S341" s="1703" t="s">
        <v>38</v>
      </c>
      <c r="T341" s="1705" t="s">
        <v>38</v>
      </c>
      <c r="U341" s="1703" t="s">
        <v>38</v>
      </c>
      <c r="V341" s="1704" t="s">
        <v>38</v>
      </c>
      <c r="W341" s="1703" t="s">
        <v>38</v>
      </c>
      <c r="X341" s="1705" t="s">
        <v>38</v>
      </c>
      <c r="Y341" s="431"/>
      <c r="Z341" s="888" t="s">
        <v>809</v>
      </c>
      <c r="AA341" s="972" t="s">
        <v>38</v>
      </c>
      <c r="AB341" s="1913"/>
      <c r="AC341" s="1153"/>
      <c r="AD341" s="1240" t="s">
        <v>387</v>
      </c>
      <c r="AE341" s="1239" t="s">
        <v>387</v>
      </c>
      <c r="AF341" s="1239" t="s">
        <v>388</v>
      </c>
      <c r="AG341" s="1239" t="s">
        <v>390</v>
      </c>
      <c r="AH341" s="1783" t="s">
        <v>391</v>
      </c>
      <c r="AI341" s="1765" t="s">
        <v>391</v>
      </c>
      <c r="AJ341" s="1239" t="s">
        <v>391</v>
      </c>
      <c r="AK341" s="1239" t="s">
        <v>794</v>
      </c>
      <c r="AL341" s="1095"/>
      <c r="AM341" s="1095"/>
      <c r="AN341" s="1095"/>
      <c r="AO341" s="1095"/>
      <c r="AP341" s="1095"/>
      <c r="AQ341" s="1106"/>
      <c r="AR341" s="1097"/>
      <c r="AS341" s="1110"/>
    </row>
    <row r="342" spans="1:74" s="30" customFormat="1" ht="15.75" x14ac:dyDescent="0.25">
      <c r="A342" s="545"/>
      <c r="B342" s="1579"/>
      <c r="C342" s="1110"/>
      <c r="D342" s="1145" t="s">
        <v>145</v>
      </c>
      <c r="E342" s="1147" t="str">
        <f t="shared" si="54"/>
        <v>N</v>
      </c>
      <c r="F342" s="1124"/>
      <c r="G342" s="1703" t="s">
        <v>38</v>
      </c>
      <c r="H342" s="1704" t="s">
        <v>38</v>
      </c>
      <c r="I342" s="1703" t="s">
        <v>38</v>
      </c>
      <c r="J342" s="1705" t="s">
        <v>38</v>
      </c>
      <c r="K342" s="1703" t="s">
        <v>38</v>
      </c>
      <c r="L342" s="1704" t="s">
        <v>38</v>
      </c>
      <c r="M342" s="1703" t="s">
        <v>38</v>
      </c>
      <c r="N342" s="1704" t="s">
        <v>38</v>
      </c>
      <c r="O342" s="1703" t="s">
        <v>38</v>
      </c>
      <c r="P342" s="1706" t="s">
        <v>38</v>
      </c>
      <c r="Q342" s="1707" t="s">
        <v>38</v>
      </c>
      <c r="R342" s="1704" t="s">
        <v>38</v>
      </c>
      <c r="S342" s="1703" t="s">
        <v>38</v>
      </c>
      <c r="T342" s="1705" t="s">
        <v>38</v>
      </c>
      <c r="U342" s="1703" t="s">
        <v>38</v>
      </c>
      <c r="V342" s="1704" t="s">
        <v>38</v>
      </c>
      <c r="W342" s="1703" t="s">
        <v>38</v>
      </c>
      <c r="X342" s="1705" t="s">
        <v>38</v>
      </c>
      <c r="Y342" s="431"/>
      <c r="Z342" s="888" t="s">
        <v>809</v>
      </c>
      <c r="AA342" s="972" t="s">
        <v>38</v>
      </c>
      <c r="AB342" s="1913"/>
      <c r="AC342" s="1153"/>
      <c r="AD342" s="1240" t="s">
        <v>387</v>
      </c>
      <c r="AE342" s="1239" t="s">
        <v>387</v>
      </c>
      <c r="AF342" s="1239" t="s">
        <v>388</v>
      </c>
      <c r="AG342" s="1239" t="s">
        <v>390</v>
      </c>
      <c r="AH342" s="1783" t="s">
        <v>391</v>
      </c>
      <c r="AI342" s="1765" t="s">
        <v>391</v>
      </c>
      <c r="AJ342" s="1239" t="s">
        <v>391</v>
      </c>
      <c r="AK342" s="1239" t="s">
        <v>794</v>
      </c>
      <c r="AL342" s="1095"/>
      <c r="AM342" s="1095"/>
      <c r="AN342" s="1097"/>
      <c r="AO342" s="1095"/>
      <c r="AP342" s="1095"/>
      <c r="AQ342" s="1106"/>
      <c r="AR342" s="1097"/>
      <c r="AS342" s="1110"/>
      <c r="AT342" s="181"/>
      <c r="AU342" s="181"/>
      <c r="AV342" s="181"/>
      <c r="AW342" s="181"/>
      <c r="AX342" s="181"/>
      <c r="AY342" s="181"/>
      <c r="AZ342" s="181"/>
      <c r="BA342" s="181"/>
      <c r="BB342" s="181"/>
      <c r="BC342" s="181"/>
      <c r="BD342" s="181"/>
      <c r="BE342" s="181"/>
      <c r="BF342" s="181"/>
      <c r="BG342" s="181"/>
      <c r="BH342" s="181"/>
      <c r="BI342" s="181"/>
      <c r="BJ342" s="181"/>
      <c r="BK342" s="181"/>
      <c r="BL342" s="181"/>
      <c r="BM342" s="181"/>
      <c r="BN342" s="181"/>
      <c r="BO342" s="181"/>
      <c r="BP342" s="181"/>
      <c r="BQ342" s="181"/>
      <c r="BR342" s="181"/>
      <c r="BS342" s="181"/>
      <c r="BT342" s="181"/>
      <c r="BU342" s="181"/>
      <c r="BV342" s="181"/>
    </row>
    <row r="343" spans="1:74" s="545" customFormat="1" ht="15.75" x14ac:dyDescent="0.25">
      <c r="B343" s="1579"/>
      <c r="C343" s="1097"/>
      <c r="D343" s="1145" t="s">
        <v>145</v>
      </c>
      <c r="E343" s="1147" t="str">
        <f t="shared" ref="E343" si="58">IF(Z343="","",IF(OR(AND(OR(G343="Y",G343="?"),_00_apply="Yes"),AND(OR(I343="Y",I343="?"),_01_apply="Yes"),AND(OR(K343="Y",K343="?"),_02_apply="Yes"),AND(OR(M343="Y",M343="?"),_03_apply="Yes"),AND(OR(O343="Y",O343="?"),_04_apply="Yes"),AND(OR(Q343="Y",Q343="?"),_05_apply="Yes"),AND(OR(S343="?",S343="Y"),_06_apply="Yes"),AND(OR(U343="?",U343="Y"),_07_apply="Yes"),AND(OR(W343="Y",W343="?"),_08_apply="Yes")),"","N"))</f>
        <v/>
      </c>
      <c r="F343" s="1124"/>
      <c r="G343" s="1703" t="s">
        <v>38</v>
      </c>
      <c r="H343" s="1704" t="s">
        <v>38</v>
      </c>
      <c r="I343" s="1703" t="s">
        <v>38</v>
      </c>
      <c r="J343" s="1705" t="s">
        <v>38</v>
      </c>
      <c r="K343" s="1703" t="s">
        <v>37</v>
      </c>
      <c r="L343" s="1704" t="str">
        <f>IF(L330="No","N","Y")</f>
        <v>Y</v>
      </c>
      <c r="M343" s="1703" t="s">
        <v>37</v>
      </c>
      <c r="N343" s="1704" t="s">
        <v>37</v>
      </c>
      <c r="O343" s="1703" t="s">
        <v>37</v>
      </c>
      <c r="P343" s="1706" t="s">
        <v>37</v>
      </c>
      <c r="Q343" s="1707" t="s">
        <v>37</v>
      </c>
      <c r="R343" s="1704" t="s">
        <v>37</v>
      </c>
      <c r="S343" s="1703" t="s">
        <v>37</v>
      </c>
      <c r="T343" s="1705" t="s">
        <v>37</v>
      </c>
      <c r="U343" s="1703" t="s">
        <v>37</v>
      </c>
      <c r="V343" s="1704" t="s">
        <v>37</v>
      </c>
      <c r="W343" s="1703" t="s">
        <v>38</v>
      </c>
      <c r="X343" s="1705" t="s">
        <v>38</v>
      </c>
      <c r="Y343" s="748"/>
      <c r="Z343" s="590" t="s">
        <v>992</v>
      </c>
      <c r="AA343" s="1004" t="s">
        <v>37</v>
      </c>
      <c r="AB343" s="1913"/>
      <c r="AC343" s="1125"/>
      <c r="AD343" s="1240" t="s">
        <v>388</v>
      </c>
      <c r="AE343" s="1239" t="s">
        <v>388</v>
      </c>
      <c r="AF343" s="1239" t="s">
        <v>391</v>
      </c>
      <c r="AG343" s="1239" t="s">
        <v>391</v>
      </c>
      <c r="AH343" s="1783" t="s">
        <v>391</v>
      </c>
      <c r="AI343" s="1765" t="s">
        <v>391</v>
      </c>
      <c r="AJ343" s="1239" t="s">
        <v>391</v>
      </c>
      <c r="AK343" s="1239" t="s">
        <v>794</v>
      </c>
      <c r="AL343" s="1095"/>
      <c r="AM343" s="1095"/>
      <c r="AN343" s="1095"/>
      <c r="AO343" s="1095"/>
      <c r="AP343" s="1095"/>
      <c r="AQ343" s="1106"/>
      <c r="AR343" s="1097"/>
      <c r="AS343" s="1097"/>
      <c r="AT343" s="551"/>
      <c r="AU343" s="551"/>
      <c r="AV343" s="551"/>
      <c r="AW343" s="551"/>
      <c r="AX343" s="551"/>
      <c r="AY343" s="551"/>
      <c r="AZ343" s="551"/>
      <c r="BA343" s="551"/>
      <c r="BB343" s="551"/>
      <c r="BC343" s="551"/>
      <c r="BD343" s="551"/>
      <c r="BE343" s="551"/>
      <c r="BF343" s="551"/>
      <c r="BG343" s="551"/>
      <c r="BH343" s="551"/>
      <c r="BI343" s="551"/>
      <c r="BJ343" s="551"/>
      <c r="BK343" s="551"/>
      <c r="BL343" s="551"/>
      <c r="BM343" s="551"/>
      <c r="BN343" s="551"/>
      <c r="BO343" s="551"/>
      <c r="BP343" s="551"/>
      <c r="BQ343" s="551"/>
      <c r="BR343" s="551"/>
      <c r="BS343" s="551"/>
      <c r="BT343" s="551"/>
      <c r="BU343" s="551"/>
      <c r="BV343" s="551"/>
    </row>
    <row r="344" spans="1:74" s="545" customFormat="1" ht="15.75" x14ac:dyDescent="0.25">
      <c r="B344" s="1579"/>
      <c r="C344" s="1097"/>
      <c r="D344" s="1145" t="s">
        <v>145</v>
      </c>
      <c r="E344" s="1147" t="str">
        <f t="shared" si="54"/>
        <v/>
      </c>
      <c r="F344" s="1124"/>
      <c r="G344" s="1703" t="s">
        <v>38</v>
      </c>
      <c r="H344" s="1704" t="s">
        <v>38</v>
      </c>
      <c r="I344" s="1703" t="s">
        <v>38</v>
      </c>
      <c r="J344" s="1705" t="s">
        <v>38</v>
      </c>
      <c r="K344" s="1703" t="s">
        <v>37</v>
      </c>
      <c r="L344" s="1704" t="str">
        <f>IF(L331="No","N","Y")</f>
        <v>Y</v>
      </c>
      <c r="M344" s="1703" t="s">
        <v>37</v>
      </c>
      <c r="N344" s="1704" t="s">
        <v>37</v>
      </c>
      <c r="O344" s="1703" t="s">
        <v>37</v>
      </c>
      <c r="P344" s="1706" t="s">
        <v>37</v>
      </c>
      <c r="Q344" s="1707" t="s">
        <v>37</v>
      </c>
      <c r="R344" s="1704" t="s">
        <v>37</v>
      </c>
      <c r="S344" s="1703" t="s">
        <v>37</v>
      </c>
      <c r="T344" s="1705" t="s">
        <v>37</v>
      </c>
      <c r="U344" s="1703" t="s">
        <v>37</v>
      </c>
      <c r="V344" s="1704" t="s">
        <v>37</v>
      </c>
      <c r="W344" s="1703" t="s">
        <v>38</v>
      </c>
      <c r="X344" s="1705" t="s">
        <v>38</v>
      </c>
      <c r="Y344" s="748"/>
      <c r="Z344" s="590" t="s">
        <v>1001</v>
      </c>
      <c r="AA344" s="1004" t="s">
        <v>37</v>
      </c>
      <c r="AB344" s="1913"/>
      <c r="AC344" s="1125"/>
      <c r="AD344" s="1240" t="s">
        <v>387</v>
      </c>
      <c r="AE344" s="1239" t="s">
        <v>800</v>
      </c>
      <c r="AF344" s="1239" t="s">
        <v>388</v>
      </c>
      <c r="AG344" s="1239" t="s">
        <v>390</v>
      </c>
      <c r="AH344" s="1783" t="s">
        <v>391</v>
      </c>
      <c r="AI344" s="1765" t="s">
        <v>391</v>
      </c>
      <c r="AJ344" s="1239" t="s">
        <v>391</v>
      </c>
      <c r="AK344" s="1239" t="s">
        <v>794</v>
      </c>
      <c r="AL344" s="1095"/>
      <c r="AM344" s="1095"/>
      <c r="AN344" s="1095"/>
      <c r="AO344" s="1095"/>
      <c r="AP344" s="1095"/>
      <c r="AQ344" s="1106"/>
      <c r="AR344" s="1097"/>
      <c r="AS344" s="1097"/>
      <c r="AT344" s="551"/>
      <c r="AU344" s="551"/>
      <c r="AV344" s="551"/>
      <c r="AW344" s="551"/>
      <c r="AX344" s="551"/>
      <c r="AY344" s="551"/>
      <c r="AZ344" s="551"/>
      <c r="BA344" s="551"/>
      <c r="BB344" s="551"/>
      <c r="BC344" s="551"/>
      <c r="BD344" s="551"/>
      <c r="BE344" s="551"/>
      <c r="BF344" s="551"/>
      <c r="BG344" s="551"/>
      <c r="BH344" s="551"/>
      <c r="BI344" s="551"/>
      <c r="BJ344" s="551"/>
      <c r="BK344" s="551"/>
      <c r="BL344" s="551"/>
      <c r="BM344" s="551"/>
      <c r="BN344" s="551"/>
      <c r="BO344" s="551"/>
      <c r="BP344" s="551"/>
      <c r="BQ344" s="551"/>
      <c r="BR344" s="551"/>
      <c r="BS344" s="551"/>
      <c r="BT344" s="551"/>
      <c r="BU344" s="551"/>
      <c r="BV344" s="551"/>
    </row>
    <row r="345" spans="1:74" s="30" customFormat="1" ht="30" x14ac:dyDescent="0.25">
      <c r="A345" s="545"/>
      <c r="B345" s="1579"/>
      <c r="C345" s="1110"/>
      <c r="D345" s="1145" t="s">
        <v>145</v>
      </c>
      <c r="E345" s="1147" t="str">
        <f t="shared" si="54"/>
        <v/>
      </c>
      <c r="F345" s="1124"/>
      <c r="G345" s="1703" t="s">
        <v>38</v>
      </c>
      <c r="H345" s="1704" t="s">
        <v>38</v>
      </c>
      <c r="I345" s="1703" t="s">
        <v>37</v>
      </c>
      <c r="J345" s="1705" t="s">
        <v>37</v>
      </c>
      <c r="K345" s="1703" t="s">
        <v>37</v>
      </c>
      <c r="L345" s="1704" t="str">
        <f>IF(L331="No","N","Y")</f>
        <v>Y</v>
      </c>
      <c r="M345" s="1703" t="s">
        <v>37</v>
      </c>
      <c r="N345" s="1704" t="s">
        <v>37</v>
      </c>
      <c r="O345" s="1703" t="s">
        <v>37</v>
      </c>
      <c r="P345" s="1706" t="s">
        <v>37</v>
      </c>
      <c r="Q345" s="1707" t="s">
        <v>37</v>
      </c>
      <c r="R345" s="1704" t="s">
        <v>37</v>
      </c>
      <c r="S345" s="1703" t="s">
        <v>37</v>
      </c>
      <c r="T345" s="1705" t="s">
        <v>37</v>
      </c>
      <c r="U345" s="1703" t="s">
        <v>37</v>
      </c>
      <c r="V345" s="1704" t="s">
        <v>37</v>
      </c>
      <c r="W345" s="1703" t="s">
        <v>38</v>
      </c>
      <c r="X345" s="1705" t="s">
        <v>38</v>
      </c>
      <c r="Y345" s="431"/>
      <c r="Z345" s="590" t="s">
        <v>463</v>
      </c>
      <c r="AA345" s="972" t="s">
        <v>37</v>
      </c>
      <c r="AB345" s="1913"/>
      <c r="AC345" s="1153"/>
      <c r="AD345" s="1240" t="s">
        <v>387</v>
      </c>
      <c r="AE345" s="1239" t="s">
        <v>387</v>
      </c>
      <c r="AF345" s="1239" t="s">
        <v>388</v>
      </c>
      <c r="AG345" s="1239" t="s">
        <v>390</v>
      </c>
      <c r="AH345" s="1783" t="s">
        <v>391</v>
      </c>
      <c r="AI345" s="1765" t="s">
        <v>391</v>
      </c>
      <c r="AJ345" s="1239" t="s">
        <v>391</v>
      </c>
      <c r="AK345" s="1239" t="s">
        <v>794</v>
      </c>
      <c r="AL345" s="1095"/>
      <c r="AM345" s="1095"/>
      <c r="AN345" s="1097"/>
      <c r="AO345" s="1095"/>
      <c r="AP345" s="1095"/>
      <c r="AQ345" s="1097"/>
      <c r="AR345" s="1112"/>
      <c r="AS345" s="1110"/>
      <c r="AT345" s="181"/>
      <c r="AU345" s="181"/>
      <c r="AV345" s="181"/>
      <c r="AW345" s="181"/>
      <c r="AX345" s="181"/>
      <c r="AY345" s="181"/>
      <c r="AZ345" s="181"/>
      <c r="BA345" s="181"/>
      <c r="BB345" s="181"/>
      <c r="BC345" s="181"/>
      <c r="BD345" s="181"/>
      <c r="BE345" s="181"/>
      <c r="BF345" s="181"/>
      <c r="BG345" s="181"/>
      <c r="BH345" s="181"/>
      <c r="BI345" s="181"/>
      <c r="BJ345" s="181"/>
      <c r="BK345" s="181"/>
      <c r="BL345" s="181"/>
      <c r="BM345" s="181"/>
      <c r="BN345" s="181"/>
      <c r="BO345" s="181"/>
      <c r="BP345" s="181"/>
      <c r="BQ345" s="181"/>
      <c r="BR345" s="181"/>
      <c r="BS345" s="181"/>
      <c r="BT345" s="181"/>
      <c r="BU345" s="181"/>
      <c r="BV345" s="181"/>
    </row>
    <row r="346" spans="1:74" s="30" customFormat="1" ht="30" x14ac:dyDescent="0.25">
      <c r="A346" s="545"/>
      <c r="B346" s="1579"/>
      <c r="C346" s="1095"/>
      <c r="D346" s="1145" t="s">
        <v>145</v>
      </c>
      <c r="E346" s="1147" t="str">
        <f t="shared" si="54"/>
        <v/>
      </c>
      <c r="F346" s="1124"/>
      <c r="G346" s="1703" t="s">
        <v>38</v>
      </c>
      <c r="H346" s="1704" t="s">
        <v>38</v>
      </c>
      <c r="I346" s="1703" t="s">
        <v>38</v>
      </c>
      <c r="J346" s="1705" t="s">
        <v>38</v>
      </c>
      <c r="K346" s="1703" t="s">
        <v>37</v>
      </c>
      <c r="L346" s="1704" t="str">
        <f>IF(L332="No","N","Y")</f>
        <v>Y</v>
      </c>
      <c r="M346" s="1703" t="s">
        <v>37</v>
      </c>
      <c r="N346" s="1704" t="s">
        <v>37</v>
      </c>
      <c r="O346" s="1703" t="s">
        <v>37</v>
      </c>
      <c r="P346" s="1706" t="s">
        <v>37</v>
      </c>
      <c r="Q346" s="1707" t="s">
        <v>37</v>
      </c>
      <c r="R346" s="1704" t="s">
        <v>37</v>
      </c>
      <c r="S346" s="1703" t="s">
        <v>37</v>
      </c>
      <c r="T346" s="1705" t="s">
        <v>37</v>
      </c>
      <c r="U346" s="1703" t="s">
        <v>37</v>
      </c>
      <c r="V346" s="1704" t="s">
        <v>37</v>
      </c>
      <c r="W346" s="1703" t="s">
        <v>38</v>
      </c>
      <c r="X346" s="1705" t="s">
        <v>38</v>
      </c>
      <c r="Y346" s="428"/>
      <c r="Z346" s="590" t="s">
        <v>810</v>
      </c>
      <c r="AA346" s="972" t="s">
        <v>37</v>
      </c>
      <c r="AB346" s="1913"/>
      <c r="AC346" s="1153"/>
      <c r="AD346" s="1240"/>
      <c r="AE346" s="1239"/>
      <c r="AF346" s="1239" t="s">
        <v>387</v>
      </c>
      <c r="AG346" s="1239" t="s">
        <v>388</v>
      </c>
      <c r="AH346" s="1783" t="s">
        <v>390</v>
      </c>
      <c r="AI346" s="1765" t="s">
        <v>391</v>
      </c>
      <c r="AJ346" s="1239" t="s">
        <v>391</v>
      </c>
      <c r="AK346" s="1239" t="s">
        <v>794</v>
      </c>
      <c r="AL346" s="1095"/>
      <c r="AM346" s="1095"/>
      <c r="AN346" s="1097"/>
      <c r="AO346" s="1095"/>
      <c r="AP346" s="1095"/>
      <c r="AQ346" s="1095"/>
      <c r="AR346" s="1095"/>
      <c r="AS346" s="1095"/>
      <c r="AT346" s="181"/>
      <c r="AU346" s="181"/>
      <c r="AV346" s="181"/>
      <c r="AW346" s="181"/>
      <c r="AX346" s="181"/>
      <c r="AY346" s="181"/>
      <c r="AZ346" s="181"/>
      <c r="BA346" s="181"/>
      <c r="BB346" s="181"/>
      <c r="BC346" s="181"/>
      <c r="BD346" s="181"/>
      <c r="BE346" s="181"/>
      <c r="BF346" s="181"/>
      <c r="BG346" s="181"/>
      <c r="BH346" s="181"/>
      <c r="BI346" s="181"/>
      <c r="BJ346" s="181"/>
      <c r="BK346" s="181"/>
      <c r="BL346" s="181"/>
      <c r="BM346" s="181"/>
      <c r="BN346" s="181"/>
      <c r="BO346" s="181"/>
      <c r="BP346" s="181"/>
      <c r="BQ346" s="181"/>
      <c r="BR346" s="181"/>
      <c r="BS346" s="181"/>
      <c r="BT346" s="181"/>
      <c r="BU346" s="181"/>
      <c r="BV346" s="181"/>
    </row>
    <row r="347" spans="1:74" s="30" customFormat="1" ht="15" customHeight="1" x14ac:dyDescent="0.25">
      <c r="A347" s="545"/>
      <c r="B347" s="1579"/>
      <c r="C347" s="1095"/>
      <c r="D347" s="1145" t="s">
        <v>145</v>
      </c>
      <c r="E347" s="1147" t="str">
        <f t="shared" si="54"/>
        <v/>
      </c>
      <c r="F347" s="1124"/>
      <c r="G347" s="1703" t="s">
        <v>38</v>
      </c>
      <c r="H347" s="1704" t="s">
        <v>38</v>
      </c>
      <c r="I347" s="1703" t="s">
        <v>38</v>
      </c>
      <c r="J347" s="1705" t="s">
        <v>38</v>
      </c>
      <c r="K347" s="1703" t="s">
        <v>37</v>
      </c>
      <c r="L347" s="1704" t="str">
        <f>IF(L333="No","N","Y")</f>
        <v>Y</v>
      </c>
      <c r="M347" s="1703" t="s">
        <v>37</v>
      </c>
      <c r="N347" s="1704" t="s">
        <v>37</v>
      </c>
      <c r="O347" s="1703" t="s">
        <v>37</v>
      </c>
      <c r="P347" s="1706" t="s">
        <v>37</v>
      </c>
      <c r="Q347" s="1707" t="s">
        <v>37</v>
      </c>
      <c r="R347" s="1704" t="s">
        <v>37</v>
      </c>
      <c r="S347" s="1703" t="s">
        <v>37</v>
      </c>
      <c r="T347" s="1705" t="s">
        <v>37</v>
      </c>
      <c r="U347" s="1703" t="s">
        <v>37</v>
      </c>
      <c r="V347" s="1704" t="s">
        <v>37</v>
      </c>
      <c r="W347" s="1703" t="s">
        <v>38</v>
      </c>
      <c r="X347" s="1705" t="s">
        <v>38</v>
      </c>
      <c r="Y347" s="428"/>
      <c r="Z347" s="590" t="s">
        <v>464</v>
      </c>
      <c r="AA347" s="972" t="s">
        <v>37</v>
      </c>
      <c r="AB347" s="1913"/>
      <c r="AC347" s="1153"/>
      <c r="AD347" s="1240" t="s">
        <v>387</v>
      </c>
      <c r="AE347" s="1239" t="s">
        <v>387</v>
      </c>
      <c r="AF347" s="1239" t="s">
        <v>387</v>
      </c>
      <c r="AG347" s="1239" t="s">
        <v>388</v>
      </c>
      <c r="AH347" s="1783" t="s">
        <v>391</v>
      </c>
      <c r="AI347" s="1765" t="s">
        <v>391</v>
      </c>
      <c r="AJ347" s="1239" t="s">
        <v>391</v>
      </c>
      <c r="AK347" s="1239" t="s">
        <v>794</v>
      </c>
      <c r="AL347" s="1095"/>
      <c r="AM347" s="1095"/>
      <c r="AN347" s="1097"/>
      <c r="AO347" s="1095"/>
      <c r="AP347" s="1095"/>
      <c r="AQ347" s="1095"/>
      <c r="AR347" s="1095"/>
      <c r="AS347" s="1095"/>
      <c r="AT347" s="181"/>
      <c r="AU347" s="181"/>
      <c r="AV347" s="181"/>
      <c r="AW347" s="181"/>
      <c r="AX347" s="181"/>
      <c r="AY347" s="181"/>
      <c r="AZ347" s="181"/>
      <c r="BA347" s="181"/>
      <c r="BB347" s="181"/>
      <c r="BC347" s="181"/>
      <c r="BD347" s="181"/>
      <c r="BE347" s="181"/>
      <c r="BF347" s="181"/>
      <c r="BG347" s="181"/>
      <c r="BH347" s="181"/>
      <c r="BI347" s="181"/>
      <c r="BJ347" s="181"/>
      <c r="BK347" s="181"/>
      <c r="BL347" s="181"/>
      <c r="BM347" s="181"/>
      <c r="BN347" s="181"/>
      <c r="BO347" s="181"/>
      <c r="BP347" s="181"/>
      <c r="BQ347" s="181"/>
      <c r="BR347" s="181"/>
      <c r="BS347" s="181"/>
      <c r="BT347" s="181"/>
      <c r="BU347" s="181"/>
      <c r="BV347" s="181"/>
    </row>
    <row r="348" spans="1:74" s="30" customFormat="1" ht="15.75" x14ac:dyDescent="0.25">
      <c r="A348" s="545"/>
      <c r="B348" s="1579"/>
      <c r="C348" s="1110"/>
      <c r="D348" s="1145" t="s">
        <v>145</v>
      </c>
      <c r="E348" s="1147" t="str">
        <f t="shared" si="54"/>
        <v/>
      </c>
      <c r="F348" s="1124"/>
      <c r="G348" s="1703" t="s">
        <v>38</v>
      </c>
      <c r="H348" s="1704" t="s">
        <v>38</v>
      </c>
      <c r="I348" s="1703" t="s">
        <v>38</v>
      </c>
      <c r="J348" s="1705" t="s">
        <v>38</v>
      </c>
      <c r="K348" s="1703" t="s">
        <v>38</v>
      </c>
      <c r="L348" s="1704" t="s">
        <v>38</v>
      </c>
      <c r="M348" s="1703" t="s">
        <v>37</v>
      </c>
      <c r="N348" s="1704" t="s">
        <v>37</v>
      </c>
      <c r="O348" s="1703" t="s">
        <v>37</v>
      </c>
      <c r="P348" s="1706" t="s">
        <v>37</v>
      </c>
      <c r="Q348" s="1707" t="s">
        <v>37</v>
      </c>
      <c r="R348" s="1704" t="s">
        <v>37</v>
      </c>
      <c r="S348" s="1703" t="s">
        <v>37</v>
      </c>
      <c r="T348" s="1705" t="s">
        <v>37</v>
      </c>
      <c r="U348" s="1703" t="s">
        <v>37</v>
      </c>
      <c r="V348" s="1704" t="s">
        <v>37</v>
      </c>
      <c r="W348" s="1703" t="s">
        <v>38</v>
      </c>
      <c r="X348" s="1705" t="s">
        <v>38</v>
      </c>
      <c r="Y348" s="431"/>
      <c r="Z348" s="590" t="s">
        <v>811</v>
      </c>
      <c r="AA348" s="972" t="s">
        <v>37</v>
      </c>
      <c r="AB348" s="1913"/>
      <c r="AC348" s="1153"/>
      <c r="AD348" s="1240" t="s">
        <v>387</v>
      </c>
      <c r="AE348" s="1239" t="s">
        <v>387</v>
      </c>
      <c r="AF348" s="1239" t="s">
        <v>387</v>
      </c>
      <c r="AG348" s="1239" t="s">
        <v>388</v>
      </c>
      <c r="AH348" s="1783" t="s">
        <v>391</v>
      </c>
      <c r="AI348" s="1765" t="s">
        <v>391</v>
      </c>
      <c r="AJ348" s="1239" t="s">
        <v>391</v>
      </c>
      <c r="AK348" s="1239" t="s">
        <v>794</v>
      </c>
      <c r="AL348" s="1095"/>
      <c r="AM348" s="1095"/>
      <c r="AN348" s="1097"/>
      <c r="AO348" s="1095"/>
      <c r="AP348" s="1095"/>
      <c r="AQ348" s="1097"/>
      <c r="AR348" s="1112"/>
      <c r="AS348" s="1110"/>
      <c r="AT348" s="181"/>
      <c r="AU348" s="181"/>
      <c r="AV348" s="181"/>
      <c r="AW348" s="181"/>
      <c r="AX348" s="181"/>
      <c r="AY348" s="181"/>
      <c r="AZ348" s="181"/>
      <c r="BA348" s="181"/>
      <c r="BB348" s="181"/>
      <c r="BC348" s="181"/>
      <c r="BD348" s="181"/>
      <c r="BE348" s="181"/>
      <c r="BF348" s="181"/>
      <c r="BG348" s="181"/>
      <c r="BH348" s="181"/>
      <c r="BI348" s="181"/>
      <c r="BJ348" s="181"/>
      <c r="BK348" s="181"/>
      <c r="BL348" s="181"/>
      <c r="BM348" s="181"/>
      <c r="BN348" s="181"/>
      <c r="BO348" s="181"/>
      <c r="BP348" s="181"/>
      <c r="BQ348" s="181"/>
      <c r="BR348" s="181"/>
      <c r="BS348" s="181"/>
      <c r="BT348" s="181"/>
      <c r="BU348" s="181"/>
      <c r="BV348" s="181"/>
    </row>
    <row r="349" spans="1:74" s="30" customFormat="1" ht="15.75" x14ac:dyDescent="0.25">
      <c r="A349" s="545"/>
      <c r="B349" s="1579"/>
      <c r="C349" s="1110"/>
      <c r="D349" s="1145" t="s">
        <v>145</v>
      </c>
      <c r="E349" s="1147" t="str">
        <f t="shared" si="54"/>
        <v/>
      </c>
      <c r="F349" s="1124"/>
      <c r="G349" s="1703" t="s">
        <v>38</v>
      </c>
      <c r="H349" s="1704" t="s">
        <v>38</v>
      </c>
      <c r="I349" s="1703" t="s">
        <v>38</v>
      </c>
      <c r="J349" s="1705" t="s">
        <v>38</v>
      </c>
      <c r="K349" s="1703" t="s">
        <v>38</v>
      </c>
      <c r="L349" s="1704" t="s">
        <v>38</v>
      </c>
      <c r="M349" s="1703" t="s">
        <v>37</v>
      </c>
      <c r="N349" s="1704" t="s">
        <v>37</v>
      </c>
      <c r="O349" s="1703" t="s">
        <v>37</v>
      </c>
      <c r="P349" s="1706" t="s">
        <v>37</v>
      </c>
      <c r="Q349" s="1707" t="s">
        <v>37</v>
      </c>
      <c r="R349" s="1704" t="s">
        <v>37</v>
      </c>
      <c r="S349" s="1703" t="s">
        <v>37</v>
      </c>
      <c r="T349" s="1705" t="s">
        <v>37</v>
      </c>
      <c r="U349" s="1703" t="s">
        <v>37</v>
      </c>
      <c r="V349" s="1704" t="s">
        <v>37</v>
      </c>
      <c r="W349" s="1703" t="s">
        <v>38</v>
      </c>
      <c r="X349" s="1705" t="s">
        <v>38</v>
      </c>
      <c r="Y349" s="431"/>
      <c r="Z349" s="590" t="s">
        <v>812</v>
      </c>
      <c r="AA349" s="972" t="s">
        <v>37</v>
      </c>
      <c r="AB349" s="1913"/>
      <c r="AC349" s="1153"/>
      <c r="AD349" s="1240" t="s">
        <v>387</v>
      </c>
      <c r="AE349" s="1239" t="s">
        <v>387</v>
      </c>
      <c r="AF349" s="1239" t="s">
        <v>387</v>
      </c>
      <c r="AG349" s="1239" t="s">
        <v>388</v>
      </c>
      <c r="AH349" s="1783" t="s">
        <v>391</v>
      </c>
      <c r="AI349" s="1765" t="s">
        <v>391</v>
      </c>
      <c r="AJ349" s="1239" t="s">
        <v>391</v>
      </c>
      <c r="AK349" s="1239" t="s">
        <v>794</v>
      </c>
      <c r="AL349" s="1095"/>
      <c r="AM349" s="1095"/>
      <c r="AN349" s="1097"/>
      <c r="AO349" s="1095"/>
      <c r="AP349" s="1095"/>
      <c r="AQ349" s="1106"/>
      <c r="AR349" s="1097"/>
      <c r="AS349" s="1110"/>
      <c r="AT349" s="181"/>
      <c r="AU349" s="181"/>
      <c r="AV349" s="181"/>
      <c r="AW349" s="181"/>
      <c r="AX349" s="181"/>
      <c r="AY349" s="181"/>
      <c r="AZ349" s="181"/>
      <c r="BA349" s="181"/>
      <c r="BB349" s="181"/>
      <c r="BC349" s="181"/>
      <c r="BD349" s="181"/>
      <c r="BE349" s="181"/>
      <c r="BF349" s="181"/>
      <c r="BG349" s="181"/>
      <c r="BH349" s="181"/>
      <c r="BI349" s="181"/>
      <c r="BJ349" s="181"/>
      <c r="BK349" s="181"/>
      <c r="BL349" s="181"/>
      <c r="BM349" s="181"/>
      <c r="BN349" s="181"/>
      <c r="BO349" s="181"/>
      <c r="BP349" s="181"/>
      <c r="BQ349" s="181"/>
      <c r="BR349" s="181"/>
      <c r="BS349" s="181"/>
      <c r="BT349" s="181"/>
      <c r="BU349" s="181"/>
      <c r="BV349" s="181"/>
    </row>
    <row r="350" spans="1:74" s="181" customFormat="1" ht="15.75" x14ac:dyDescent="0.25">
      <c r="A350" s="551"/>
      <c r="B350" s="1578"/>
      <c r="C350" s="1110"/>
      <c r="D350" s="1145" t="s">
        <v>145</v>
      </c>
      <c r="E350" s="1146" t="str">
        <f t="shared" si="54"/>
        <v/>
      </c>
      <c r="F350" s="1166"/>
      <c r="G350" s="886" t="s">
        <v>38</v>
      </c>
      <c r="H350" s="962" t="s">
        <v>38</v>
      </c>
      <c r="I350" s="886" t="s">
        <v>37</v>
      </c>
      <c r="J350" s="963" t="s">
        <v>37</v>
      </c>
      <c r="K350" s="886" t="s">
        <v>37</v>
      </c>
      <c r="L350" s="962" t="str">
        <f>IF(L338="No","N","Y")</f>
        <v>Y</v>
      </c>
      <c r="M350" s="886" t="s">
        <v>37</v>
      </c>
      <c r="N350" s="962" t="s">
        <v>37</v>
      </c>
      <c r="O350" s="886" t="s">
        <v>37</v>
      </c>
      <c r="P350" s="964" t="s">
        <v>37</v>
      </c>
      <c r="Q350" s="985" t="s">
        <v>37</v>
      </c>
      <c r="R350" s="962" t="s">
        <v>37</v>
      </c>
      <c r="S350" s="886" t="s">
        <v>37</v>
      </c>
      <c r="T350" s="963" t="s">
        <v>37</v>
      </c>
      <c r="U350" s="886" t="s">
        <v>37</v>
      </c>
      <c r="V350" s="962" t="s">
        <v>37</v>
      </c>
      <c r="W350" s="886" t="s">
        <v>38</v>
      </c>
      <c r="X350" s="963" t="s">
        <v>38</v>
      </c>
      <c r="Y350" s="431"/>
      <c r="Z350" s="591" t="s">
        <v>83</v>
      </c>
      <c r="AA350" s="972" t="s">
        <v>37</v>
      </c>
      <c r="AB350" s="1917"/>
      <c r="AC350" s="1153"/>
      <c r="AD350" s="1247"/>
      <c r="AE350" s="1248"/>
      <c r="AF350" s="1249"/>
      <c r="AG350" s="1262" t="s">
        <v>600</v>
      </c>
      <c r="AH350" s="1791" t="s">
        <v>600</v>
      </c>
      <c r="AI350" s="1772" t="s">
        <v>600</v>
      </c>
      <c r="AJ350" s="1262" t="s">
        <v>600</v>
      </c>
      <c r="AK350" s="1264" t="s">
        <v>794</v>
      </c>
      <c r="AL350" s="1095"/>
      <c r="AM350" s="1095"/>
      <c r="AN350" s="1095"/>
      <c r="AO350" s="1095"/>
      <c r="AP350" s="1095"/>
      <c r="AQ350" s="1106"/>
      <c r="AR350" s="1097"/>
      <c r="AS350" s="1110"/>
    </row>
    <row r="351" spans="1:74" s="181" customFormat="1" ht="15.75" x14ac:dyDescent="0.25">
      <c r="A351" s="551"/>
      <c r="B351" s="1578"/>
      <c r="C351" s="1110"/>
      <c r="D351" s="1145" t="s">
        <v>145</v>
      </c>
      <c r="E351" s="1147" t="str">
        <f t="shared" si="54"/>
        <v>N</v>
      </c>
      <c r="F351" s="1166"/>
      <c r="G351" s="1703" t="s">
        <v>38</v>
      </c>
      <c r="H351" s="1704" t="s">
        <v>38</v>
      </c>
      <c r="I351" s="1703" t="s">
        <v>38</v>
      </c>
      <c r="J351" s="1705" t="s">
        <v>38</v>
      </c>
      <c r="K351" s="1703" t="s">
        <v>38</v>
      </c>
      <c r="L351" s="1704" t="s">
        <v>38</v>
      </c>
      <c r="M351" s="1703" t="s">
        <v>38</v>
      </c>
      <c r="N351" s="1704" t="s">
        <v>38</v>
      </c>
      <c r="O351" s="1703" t="s">
        <v>38</v>
      </c>
      <c r="P351" s="1706" t="s">
        <v>38</v>
      </c>
      <c r="Q351" s="1707" t="s">
        <v>38</v>
      </c>
      <c r="R351" s="1704" t="s">
        <v>38</v>
      </c>
      <c r="S351" s="1703" t="s">
        <v>38</v>
      </c>
      <c r="T351" s="1705" t="s">
        <v>38</v>
      </c>
      <c r="U351" s="1703" t="s">
        <v>38</v>
      </c>
      <c r="V351" s="1704" t="s">
        <v>38</v>
      </c>
      <c r="W351" s="1703" t="s">
        <v>38</v>
      </c>
      <c r="X351" s="1705" t="s">
        <v>38</v>
      </c>
      <c r="Y351" s="431"/>
      <c r="Z351" s="888" t="s">
        <v>468</v>
      </c>
      <c r="AA351" s="972" t="s">
        <v>38</v>
      </c>
      <c r="AB351" s="1913"/>
      <c r="AC351" s="1153"/>
      <c r="AD351" s="1240" t="s">
        <v>387</v>
      </c>
      <c r="AE351" s="1239" t="s">
        <v>387</v>
      </c>
      <c r="AF351" s="1239" t="s">
        <v>388</v>
      </c>
      <c r="AG351" s="1239" t="s">
        <v>390</v>
      </c>
      <c r="AH351" s="1783" t="s">
        <v>391</v>
      </c>
      <c r="AI351" s="1765" t="s">
        <v>391</v>
      </c>
      <c r="AJ351" s="1239" t="s">
        <v>391</v>
      </c>
      <c r="AK351" s="1239" t="s">
        <v>794</v>
      </c>
      <c r="AL351" s="1095"/>
      <c r="AM351" s="1095"/>
      <c r="AN351" s="1095"/>
      <c r="AO351" s="1095"/>
      <c r="AP351" s="1095"/>
      <c r="AQ351" s="1106"/>
      <c r="AR351" s="1097"/>
      <c r="AS351" s="1110"/>
    </row>
    <row r="352" spans="1:74" s="30" customFormat="1" ht="15.75" x14ac:dyDescent="0.25">
      <c r="A352" s="545"/>
      <c r="B352" s="1579"/>
      <c r="C352" s="1110"/>
      <c r="D352" s="1145" t="s">
        <v>145</v>
      </c>
      <c r="E352" s="1147" t="str">
        <f t="shared" si="54"/>
        <v>N</v>
      </c>
      <c r="F352" s="1124"/>
      <c r="G352" s="1703" t="s">
        <v>38</v>
      </c>
      <c r="H352" s="1704" t="s">
        <v>38</v>
      </c>
      <c r="I352" s="1703" t="s">
        <v>38</v>
      </c>
      <c r="J352" s="1705" t="s">
        <v>38</v>
      </c>
      <c r="K352" s="1703" t="s">
        <v>38</v>
      </c>
      <c r="L352" s="1704" t="s">
        <v>38</v>
      </c>
      <c r="M352" s="1703" t="s">
        <v>38</v>
      </c>
      <c r="N352" s="1704" t="s">
        <v>38</v>
      </c>
      <c r="O352" s="1703" t="s">
        <v>38</v>
      </c>
      <c r="P352" s="1706" t="s">
        <v>38</v>
      </c>
      <c r="Q352" s="1707" t="s">
        <v>38</v>
      </c>
      <c r="R352" s="1704" t="s">
        <v>38</v>
      </c>
      <c r="S352" s="1703" t="s">
        <v>38</v>
      </c>
      <c r="T352" s="1705" t="s">
        <v>38</v>
      </c>
      <c r="U352" s="1703" t="s">
        <v>38</v>
      </c>
      <c r="V352" s="1704" t="s">
        <v>38</v>
      </c>
      <c r="W352" s="1703" t="s">
        <v>38</v>
      </c>
      <c r="X352" s="1705" t="s">
        <v>38</v>
      </c>
      <c r="Y352" s="431"/>
      <c r="Z352" s="888" t="s">
        <v>468</v>
      </c>
      <c r="AA352" s="972" t="s">
        <v>38</v>
      </c>
      <c r="AB352" s="1913"/>
      <c r="AC352" s="1153"/>
      <c r="AD352" s="1240" t="s">
        <v>387</v>
      </c>
      <c r="AE352" s="1239" t="s">
        <v>387</v>
      </c>
      <c r="AF352" s="1239" t="s">
        <v>388</v>
      </c>
      <c r="AG352" s="1239" t="s">
        <v>390</v>
      </c>
      <c r="AH352" s="1783" t="s">
        <v>391</v>
      </c>
      <c r="AI352" s="1765" t="s">
        <v>391</v>
      </c>
      <c r="AJ352" s="1239" t="s">
        <v>391</v>
      </c>
      <c r="AK352" s="1239" t="s">
        <v>794</v>
      </c>
      <c r="AL352" s="1095"/>
      <c r="AM352" s="1095"/>
      <c r="AN352" s="1097"/>
      <c r="AO352" s="1095"/>
      <c r="AP352" s="1095"/>
      <c r="AQ352" s="1106"/>
      <c r="AR352" s="1097"/>
      <c r="AS352" s="1110"/>
      <c r="AT352" s="181"/>
      <c r="AU352" s="181"/>
      <c r="AV352" s="181"/>
      <c r="AW352" s="181"/>
      <c r="AX352" s="181"/>
      <c r="AY352" s="181"/>
      <c r="AZ352" s="181"/>
      <c r="BA352" s="181"/>
      <c r="BB352" s="181"/>
      <c r="BC352" s="181"/>
      <c r="BD352" s="181"/>
      <c r="BE352" s="181"/>
      <c r="BF352" s="181"/>
      <c r="BG352" s="181"/>
      <c r="BH352" s="181"/>
      <c r="BI352" s="181"/>
      <c r="BJ352" s="181"/>
      <c r="BK352" s="181"/>
      <c r="BL352" s="181"/>
      <c r="BM352" s="181"/>
      <c r="BN352" s="181"/>
      <c r="BO352" s="181"/>
      <c r="BP352" s="181"/>
      <c r="BQ352" s="181"/>
      <c r="BR352" s="181"/>
      <c r="BS352" s="181"/>
      <c r="BT352" s="181"/>
      <c r="BU352" s="181"/>
      <c r="BV352" s="181"/>
    </row>
    <row r="353" spans="1:74" s="545" customFormat="1" ht="15.75" x14ac:dyDescent="0.25">
      <c r="B353" s="1579"/>
      <c r="C353" s="1097"/>
      <c r="D353" s="1145" t="s">
        <v>145</v>
      </c>
      <c r="E353" s="1147" t="str">
        <f t="shared" si="54"/>
        <v/>
      </c>
      <c r="F353" s="1124"/>
      <c r="G353" s="1703" t="s">
        <v>38</v>
      </c>
      <c r="H353" s="1704" t="s">
        <v>38</v>
      </c>
      <c r="I353" s="1703" t="s">
        <v>38</v>
      </c>
      <c r="J353" s="1705" t="s">
        <v>38</v>
      </c>
      <c r="K353" s="1703" t="s">
        <v>37</v>
      </c>
      <c r="L353" s="1704" t="str">
        <f t="shared" ref="L353:L354" si="59">IF(L340="No","N","Y")</f>
        <v>Y</v>
      </c>
      <c r="M353" s="1703" t="s">
        <v>37</v>
      </c>
      <c r="N353" s="1704" t="s">
        <v>37</v>
      </c>
      <c r="O353" s="1703" t="s">
        <v>37</v>
      </c>
      <c r="P353" s="1706" t="s">
        <v>37</v>
      </c>
      <c r="Q353" s="1707" t="s">
        <v>37</v>
      </c>
      <c r="R353" s="1704" t="s">
        <v>37</v>
      </c>
      <c r="S353" s="1703" t="s">
        <v>37</v>
      </c>
      <c r="T353" s="1705" t="s">
        <v>37</v>
      </c>
      <c r="U353" s="1703" t="s">
        <v>37</v>
      </c>
      <c r="V353" s="1704" t="s">
        <v>37</v>
      </c>
      <c r="W353" s="1703" t="s">
        <v>38</v>
      </c>
      <c r="X353" s="1705" t="s">
        <v>38</v>
      </c>
      <c r="Y353" s="748"/>
      <c r="Z353" s="590" t="s">
        <v>993</v>
      </c>
      <c r="AA353" s="1004" t="s">
        <v>37</v>
      </c>
      <c r="AB353" s="1913"/>
      <c r="AC353" s="1125"/>
      <c r="AD353" s="1240" t="s">
        <v>388</v>
      </c>
      <c r="AE353" s="1239" t="s">
        <v>388</v>
      </c>
      <c r="AF353" s="1239" t="s">
        <v>391</v>
      </c>
      <c r="AG353" s="1239" t="s">
        <v>391</v>
      </c>
      <c r="AH353" s="1783" t="s">
        <v>391</v>
      </c>
      <c r="AI353" s="1765" t="s">
        <v>391</v>
      </c>
      <c r="AJ353" s="1239" t="s">
        <v>391</v>
      </c>
      <c r="AK353" s="1239" t="s">
        <v>794</v>
      </c>
      <c r="AL353" s="1095"/>
      <c r="AM353" s="1095"/>
      <c r="AN353" s="1095"/>
      <c r="AO353" s="1095"/>
      <c r="AP353" s="1095"/>
      <c r="AQ353" s="1106"/>
      <c r="AR353" s="1097"/>
      <c r="AS353" s="1097"/>
      <c r="AT353" s="551"/>
      <c r="AU353" s="551"/>
      <c r="AV353" s="551"/>
      <c r="AW353" s="551"/>
      <c r="AX353" s="551"/>
      <c r="AY353" s="551"/>
      <c r="AZ353" s="551"/>
      <c r="BA353" s="551"/>
      <c r="BB353" s="551"/>
      <c r="BC353" s="551"/>
      <c r="BD353" s="551"/>
      <c r="BE353" s="551"/>
      <c r="BF353" s="551"/>
      <c r="BG353" s="551"/>
      <c r="BH353" s="551"/>
      <c r="BI353" s="551"/>
      <c r="BJ353" s="551"/>
      <c r="BK353" s="551"/>
      <c r="BL353" s="551"/>
      <c r="BM353" s="551"/>
      <c r="BN353" s="551"/>
      <c r="BO353" s="551"/>
      <c r="BP353" s="551"/>
      <c r="BQ353" s="551"/>
      <c r="BR353" s="551"/>
      <c r="BS353" s="551"/>
      <c r="BT353" s="551"/>
      <c r="BU353" s="551"/>
      <c r="BV353" s="551"/>
    </row>
    <row r="354" spans="1:74" s="545" customFormat="1" ht="15.75" x14ac:dyDescent="0.25">
      <c r="B354" s="1579"/>
      <c r="C354" s="1097"/>
      <c r="D354" s="1145" t="s">
        <v>145</v>
      </c>
      <c r="E354" s="1147" t="str">
        <f t="shared" ref="E354" si="60">IF(Z354="","",IF(OR(AND(OR(G354="Y",G354="?"),_00_apply="Yes"),AND(OR(I354="Y",I354="?"),_01_apply="Yes"),AND(OR(K354="Y",K354="?"),_02_apply="Yes"),AND(OR(M354="Y",M354="?"),_03_apply="Yes"),AND(OR(O354="Y",O354="?"),_04_apply="Yes"),AND(OR(Q354="Y",Q354="?"),_05_apply="Yes"),AND(OR(S354="?",S354="Y"),_06_apply="Yes"),AND(OR(U354="?",U354="Y"),_07_apply="Yes"),AND(OR(W354="Y",W354="?"),_08_apply="Yes")),"","N"))</f>
        <v/>
      </c>
      <c r="F354" s="1124"/>
      <c r="G354" s="1703" t="s">
        <v>38</v>
      </c>
      <c r="H354" s="1704" t="s">
        <v>38</v>
      </c>
      <c r="I354" s="1703" t="s">
        <v>38</v>
      </c>
      <c r="J354" s="1705" t="s">
        <v>38</v>
      </c>
      <c r="K354" s="1703" t="s">
        <v>37</v>
      </c>
      <c r="L354" s="1704" t="str">
        <f t="shared" si="59"/>
        <v>Y</v>
      </c>
      <c r="M354" s="1703" t="s">
        <v>37</v>
      </c>
      <c r="N354" s="1704" t="s">
        <v>37</v>
      </c>
      <c r="O354" s="1703" t="s">
        <v>37</v>
      </c>
      <c r="P354" s="1706" t="s">
        <v>37</v>
      </c>
      <c r="Q354" s="1707" t="s">
        <v>37</v>
      </c>
      <c r="R354" s="1704" t="s">
        <v>37</v>
      </c>
      <c r="S354" s="1703" t="s">
        <v>37</v>
      </c>
      <c r="T354" s="1705" t="s">
        <v>37</v>
      </c>
      <c r="U354" s="1703" t="s">
        <v>37</v>
      </c>
      <c r="V354" s="1704" t="s">
        <v>37</v>
      </c>
      <c r="W354" s="1703" t="s">
        <v>38</v>
      </c>
      <c r="X354" s="1705" t="s">
        <v>38</v>
      </c>
      <c r="Y354" s="748"/>
      <c r="Z354" s="590" t="s">
        <v>1002</v>
      </c>
      <c r="AA354" s="1004" t="s">
        <v>37</v>
      </c>
      <c r="AB354" s="1913"/>
      <c r="AC354" s="1125"/>
      <c r="AD354" s="1240" t="s">
        <v>387</v>
      </c>
      <c r="AE354" s="1239" t="s">
        <v>800</v>
      </c>
      <c r="AF354" s="1239" t="s">
        <v>388</v>
      </c>
      <c r="AG354" s="1239" t="s">
        <v>390</v>
      </c>
      <c r="AH354" s="1783" t="s">
        <v>391</v>
      </c>
      <c r="AI354" s="1765" t="s">
        <v>391</v>
      </c>
      <c r="AJ354" s="1239" t="s">
        <v>391</v>
      </c>
      <c r="AK354" s="1239" t="s">
        <v>794</v>
      </c>
      <c r="AL354" s="1095"/>
      <c r="AM354" s="1095"/>
      <c r="AN354" s="1095"/>
      <c r="AO354" s="1095"/>
      <c r="AP354" s="1095"/>
      <c r="AQ354" s="1106"/>
      <c r="AR354" s="1097"/>
      <c r="AS354" s="1097"/>
      <c r="AT354" s="551"/>
      <c r="AU354" s="551"/>
      <c r="AV354" s="551"/>
      <c r="AW354" s="551"/>
      <c r="AX354" s="551"/>
      <c r="AY354" s="551"/>
      <c r="AZ354" s="551"/>
      <c r="BA354" s="551"/>
      <c r="BB354" s="551"/>
      <c r="BC354" s="551"/>
      <c r="BD354" s="551"/>
      <c r="BE354" s="551"/>
      <c r="BF354" s="551"/>
      <c r="BG354" s="551"/>
      <c r="BH354" s="551"/>
      <c r="BI354" s="551"/>
      <c r="BJ354" s="551"/>
      <c r="BK354" s="551"/>
      <c r="BL354" s="551"/>
      <c r="BM354" s="551"/>
      <c r="BN354" s="551"/>
      <c r="BO354" s="551"/>
      <c r="BP354" s="551"/>
      <c r="BQ354" s="551"/>
      <c r="BR354" s="551"/>
      <c r="BS354" s="551"/>
      <c r="BT354" s="551"/>
      <c r="BU354" s="551"/>
      <c r="BV354" s="551"/>
    </row>
    <row r="355" spans="1:74" s="30" customFormat="1" ht="15.75" x14ac:dyDescent="0.25">
      <c r="A355" s="545"/>
      <c r="B355" s="1579"/>
      <c r="C355" s="1110"/>
      <c r="D355" s="1145" t="s">
        <v>145</v>
      </c>
      <c r="E355" s="1147" t="str">
        <f t="shared" si="54"/>
        <v/>
      </c>
      <c r="F355" s="1124"/>
      <c r="G355" s="1703" t="s">
        <v>38</v>
      </c>
      <c r="H355" s="1704" t="s">
        <v>38</v>
      </c>
      <c r="I355" s="1703" t="s">
        <v>37</v>
      </c>
      <c r="J355" s="1705" t="s">
        <v>37</v>
      </c>
      <c r="K355" s="1703" t="s">
        <v>37</v>
      </c>
      <c r="L355" s="1704" t="str">
        <f>IF(L341="No","N","Y")</f>
        <v>Y</v>
      </c>
      <c r="M355" s="1703" t="s">
        <v>37</v>
      </c>
      <c r="N355" s="1704" t="s">
        <v>37</v>
      </c>
      <c r="O355" s="1703" t="s">
        <v>37</v>
      </c>
      <c r="P355" s="1706" t="s">
        <v>37</v>
      </c>
      <c r="Q355" s="1707" t="s">
        <v>37</v>
      </c>
      <c r="R355" s="1704" t="s">
        <v>37</v>
      </c>
      <c r="S355" s="1703" t="s">
        <v>37</v>
      </c>
      <c r="T355" s="1705" t="s">
        <v>37</v>
      </c>
      <c r="U355" s="1703" t="s">
        <v>37</v>
      </c>
      <c r="V355" s="1704" t="s">
        <v>37</v>
      </c>
      <c r="W355" s="1703" t="s">
        <v>38</v>
      </c>
      <c r="X355" s="1705" t="s">
        <v>38</v>
      </c>
      <c r="Y355" s="431"/>
      <c r="Z355" s="590" t="s">
        <v>465</v>
      </c>
      <c r="AA355" s="972" t="s">
        <v>37</v>
      </c>
      <c r="AB355" s="1913"/>
      <c r="AC355" s="1153"/>
      <c r="AD355" s="1240" t="s">
        <v>387</v>
      </c>
      <c r="AE355" s="1239" t="s">
        <v>387</v>
      </c>
      <c r="AF355" s="1239" t="s">
        <v>388</v>
      </c>
      <c r="AG355" s="1239" t="s">
        <v>390</v>
      </c>
      <c r="AH355" s="1783" t="s">
        <v>391</v>
      </c>
      <c r="AI355" s="1765" t="s">
        <v>391</v>
      </c>
      <c r="AJ355" s="1239" t="s">
        <v>391</v>
      </c>
      <c r="AK355" s="1239" t="s">
        <v>794</v>
      </c>
      <c r="AL355" s="1095"/>
      <c r="AM355" s="1095"/>
      <c r="AN355" s="1097"/>
      <c r="AO355" s="1095"/>
      <c r="AP355" s="1095"/>
      <c r="AQ355" s="1106"/>
      <c r="AR355" s="1097"/>
      <c r="AS355" s="1110"/>
      <c r="AT355" s="181"/>
      <c r="AU355" s="181"/>
      <c r="AV355" s="181"/>
      <c r="AW355" s="181"/>
      <c r="AX355" s="181"/>
      <c r="AY355" s="181"/>
      <c r="AZ355" s="181"/>
      <c r="BA355" s="181"/>
      <c r="BB355" s="181"/>
      <c r="BC355" s="181"/>
      <c r="BD355" s="181"/>
      <c r="BE355" s="181"/>
      <c r="BF355" s="181"/>
      <c r="BG355" s="181"/>
      <c r="BH355" s="181"/>
      <c r="BI355" s="181"/>
      <c r="BJ355" s="181"/>
      <c r="BK355" s="181"/>
      <c r="BL355" s="181"/>
      <c r="BM355" s="181"/>
      <c r="BN355" s="181"/>
      <c r="BO355" s="181"/>
      <c r="BP355" s="181"/>
      <c r="BQ355" s="181"/>
      <c r="BR355" s="181"/>
      <c r="BS355" s="181"/>
      <c r="BT355" s="181"/>
      <c r="BU355" s="181"/>
      <c r="BV355" s="181"/>
    </row>
    <row r="356" spans="1:74" s="30" customFormat="1" ht="15.75" x14ac:dyDescent="0.25">
      <c r="A356" s="545"/>
      <c r="B356" s="1579"/>
      <c r="C356" s="1110"/>
      <c r="D356" s="1145" t="s">
        <v>145</v>
      </c>
      <c r="E356" s="1147" t="str">
        <f t="shared" si="54"/>
        <v/>
      </c>
      <c r="F356" s="1124"/>
      <c r="G356" s="1703" t="s">
        <v>38</v>
      </c>
      <c r="H356" s="1704" t="s">
        <v>38</v>
      </c>
      <c r="I356" s="1703" t="s">
        <v>38</v>
      </c>
      <c r="J356" s="1705" t="s">
        <v>38</v>
      </c>
      <c r="K356" s="1703" t="s">
        <v>37</v>
      </c>
      <c r="L356" s="1704" t="str">
        <f>IF(L342="No","N","Y")</f>
        <v>Y</v>
      </c>
      <c r="M356" s="1703" t="s">
        <v>37</v>
      </c>
      <c r="N356" s="1704" t="s">
        <v>37</v>
      </c>
      <c r="O356" s="1703" t="s">
        <v>37</v>
      </c>
      <c r="P356" s="1706" t="s">
        <v>37</v>
      </c>
      <c r="Q356" s="1707" t="s">
        <v>37</v>
      </c>
      <c r="R356" s="1704" t="s">
        <v>37</v>
      </c>
      <c r="S356" s="1703" t="s">
        <v>37</v>
      </c>
      <c r="T356" s="1705" t="s">
        <v>37</v>
      </c>
      <c r="U356" s="1703" t="s">
        <v>37</v>
      </c>
      <c r="V356" s="1704" t="s">
        <v>37</v>
      </c>
      <c r="W356" s="1703" t="s">
        <v>38</v>
      </c>
      <c r="X356" s="1705" t="s">
        <v>38</v>
      </c>
      <c r="Y356" s="431"/>
      <c r="Z356" s="590" t="s">
        <v>466</v>
      </c>
      <c r="AA356" s="972" t="s">
        <v>37</v>
      </c>
      <c r="AB356" s="1913"/>
      <c r="AC356" s="1153"/>
      <c r="AD356" s="1240"/>
      <c r="AE356" s="1239"/>
      <c r="AF356" s="1239" t="s">
        <v>387</v>
      </c>
      <c r="AG356" s="1239" t="s">
        <v>388</v>
      </c>
      <c r="AH356" s="1783" t="s">
        <v>390</v>
      </c>
      <c r="AI356" s="1765" t="s">
        <v>391</v>
      </c>
      <c r="AJ356" s="1239" t="s">
        <v>391</v>
      </c>
      <c r="AK356" s="1239" t="s">
        <v>794</v>
      </c>
      <c r="AL356" s="1095"/>
      <c r="AM356" s="1095"/>
      <c r="AN356" s="1097"/>
      <c r="AO356" s="1095"/>
      <c r="AP356" s="1095"/>
      <c r="AQ356" s="1106"/>
      <c r="AR356" s="1097"/>
      <c r="AS356" s="1110"/>
      <c r="AT356" s="181"/>
      <c r="AU356" s="181"/>
      <c r="AV356" s="181"/>
      <c r="AW356" s="181"/>
      <c r="AX356" s="181"/>
      <c r="AY356" s="181"/>
      <c r="AZ356" s="181"/>
      <c r="BA356" s="181"/>
      <c r="BB356" s="181"/>
      <c r="BC356" s="181"/>
      <c r="BD356" s="181"/>
      <c r="BE356" s="181"/>
      <c r="BF356" s="181"/>
      <c r="BG356" s="181"/>
      <c r="BH356" s="181"/>
      <c r="BI356" s="181"/>
      <c r="BJ356" s="181"/>
      <c r="BK356" s="181"/>
      <c r="BL356" s="181"/>
      <c r="BM356" s="181"/>
      <c r="BN356" s="181"/>
      <c r="BO356" s="181"/>
      <c r="BP356" s="181"/>
      <c r="BQ356" s="181"/>
      <c r="BR356" s="181"/>
      <c r="BS356" s="181"/>
      <c r="BT356" s="181"/>
      <c r="BU356" s="181"/>
      <c r="BV356" s="181"/>
    </row>
    <row r="357" spans="1:74" s="181" customFormat="1" ht="15.75" x14ac:dyDescent="0.25">
      <c r="A357" s="551"/>
      <c r="B357" s="1578"/>
      <c r="C357" s="1110"/>
      <c r="D357" s="1145" t="s">
        <v>145</v>
      </c>
      <c r="E357" s="1147" t="str">
        <f t="shared" si="54"/>
        <v/>
      </c>
      <c r="F357" s="1166"/>
      <c r="G357" s="1703" t="s">
        <v>38</v>
      </c>
      <c r="H357" s="1704" t="s">
        <v>38</v>
      </c>
      <c r="I357" s="1703" t="s">
        <v>38</v>
      </c>
      <c r="J357" s="1705" t="s">
        <v>38</v>
      </c>
      <c r="K357" s="1703" t="s">
        <v>38</v>
      </c>
      <c r="L357" s="1704" t="s">
        <v>38</v>
      </c>
      <c r="M357" s="1703" t="s">
        <v>37</v>
      </c>
      <c r="N357" s="1704" t="s">
        <v>37</v>
      </c>
      <c r="O357" s="1703" t="s">
        <v>37</v>
      </c>
      <c r="P357" s="1706" t="s">
        <v>37</v>
      </c>
      <c r="Q357" s="1707" t="s">
        <v>37</v>
      </c>
      <c r="R357" s="1704" t="s">
        <v>37</v>
      </c>
      <c r="S357" s="1703" t="s">
        <v>37</v>
      </c>
      <c r="T357" s="1705" t="s">
        <v>37</v>
      </c>
      <c r="U357" s="1703" t="s">
        <v>37</v>
      </c>
      <c r="V357" s="1704" t="s">
        <v>37</v>
      </c>
      <c r="W357" s="1703" t="s">
        <v>38</v>
      </c>
      <c r="X357" s="1705" t="s">
        <v>38</v>
      </c>
      <c r="Y357" s="431"/>
      <c r="Z357" s="590" t="s">
        <v>467</v>
      </c>
      <c r="AA357" s="972" t="s">
        <v>37</v>
      </c>
      <c r="AB357" s="1913"/>
      <c r="AC357" s="1153"/>
      <c r="AD357" s="1240" t="s">
        <v>387</v>
      </c>
      <c r="AE357" s="1239" t="s">
        <v>387</v>
      </c>
      <c r="AF357" s="1239" t="s">
        <v>387</v>
      </c>
      <c r="AG357" s="1239" t="s">
        <v>388</v>
      </c>
      <c r="AH357" s="1783" t="s">
        <v>391</v>
      </c>
      <c r="AI357" s="1765" t="s">
        <v>391</v>
      </c>
      <c r="AJ357" s="1239" t="s">
        <v>391</v>
      </c>
      <c r="AK357" s="1239" t="s">
        <v>794</v>
      </c>
      <c r="AL357" s="1095"/>
      <c r="AM357" s="1095"/>
      <c r="AN357" s="1095"/>
      <c r="AO357" s="1095"/>
      <c r="AP357" s="1095"/>
      <c r="AQ357" s="1106"/>
      <c r="AR357" s="1097"/>
      <c r="AS357" s="1110"/>
    </row>
    <row r="358" spans="1:74" s="181" customFormat="1" ht="15.75" x14ac:dyDescent="0.25">
      <c r="A358" s="551"/>
      <c r="B358" s="1578"/>
      <c r="C358" s="1110"/>
      <c r="D358" s="1145" t="s">
        <v>145</v>
      </c>
      <c r="E358" s="1146" t="str">
        <f t="shared" si="54"/>
        <v/>
      </c>
      <c r="F358" s="1166"/>
      <c r="G358" s="886" t="s">
        <v>38</v>
      </c>
      <c r="H358" s="962" t="s">
        <v>38</v>
      </c>
      <c r="I358" s="886" t="s">
        <v>37</v>
      </c>
      <c r="J358" s="963" t="s">
        <v>37</v>
      </c>
      <c r="K358" s="886" t="s">
        <v>37</v>
      </c>
      <c r="L358" s="962" t="str">
        <f>IF(L346="No","N","Y")</f>
        <v>Y</v>
      </c>
      <c r="M358" s="886" t="s">
        <v>37</v>
      </c>
      <c r="N358" s="962" t="s">
        <v>37</v>
      </c>
      <c r="O358" s="886" t="s">
        <v>37</v>
      </c>
      <c r="P358" s="964" t="s">
        <v>37</v>
      </c>
      <c r="Q358" s="985" t="s">
        <v>37</v>
      </c>
      <c r="R358" s="962" t="s">
        <v>37</v>
      </c>
      <c r="S358" s="886" t="s">
        <v>37</v>
      </c>
      <c r="T358" s="963" t="s">
        <v>37</v>
      </c>
      <c r="U358" s="886" t="s">
        <v>37</v>
      </c>
      <c r="V358" s="962" t="s">
        <v>37</v>
      </c>
      <c r="W358" s="886" t="s">
        <v>38</v>
      </c>
      <c r="X358" s="963" t="s">
        <v>38</v>
      </c>
      <c r="Y358" s="431"/>
      <c r="Z358" s="591" t="s">
        <v>82</v>
      </c>
      <c r="AA358" s="972" t="s">
        <v>38</v>
      </c>
      <c r="AB358" s="1917"/>
      <c r="AC358" s="1153"/>
      <c r="AD358" s="1247"/>
      <c r="AE358" s="1248"/>
      <c r="AF358" s="1249"/>
      <c r="AG358" s="1262" t="s">
        <v>600</v>
      </c>
      <c r="AH358" s="1791" t="s">
        <v>600</v>
      </c>
      <c r="AI358" s="1772" t="s">
        <v>600</v>
      </c>
      <c r="AJ358" s="1262" t="s">
        <v>600</v>
      </c>
      <c r="AK358" s="1264" t="s">
        <v>794</v>
      </c>
      <c r="AL358" s="1095"/>
      <c r="AM358" s="1095"/>
      <c r="AN358" s="1095"/>
      <c r="AO358" s="1095"/>
      <c r="AP358" s="1095"/>
      <c r="AQ358" s="1106"/>
      <c r="AR358" s="1097"/>
      <c r="AS358" s="1110"/>
    </row>
    <row r="359" spans="1:74" s="181" customFormat="1" ht="15.75" x14ac:dyDescent="0.25">
      <c r="A359" s="551"/>
      <c r="B359" s="1578"/>
      <c r="C359" s="1110"/>
      <c r="D359" s="1145" t="s">
        <v>145</v>
      </c>
      <c r="E359" s="1147" t="str">
        <f t="shared" si="54"/>
        <v>N</v>
      </c>
      <c r="F359" s="1166"/>
      <c r="G359" s="1703" t="s">
        <v>38</v>
      </c>
      <c r="H359" s="1704" t="s">
        <v>38</v>
      </c>
      <c r="I359" s="1703" t="s">
        <v>38</v>
      </c>
      <c r="J359" s="1705" t="s">
        <v>38</v>
      </c>
      <c r="K359" s="1703" t="s">
        <v>38</v>
      </c>
      <c r="L359" s="1704" t="s">
        <v>38</v>
      </c>
      <c r="M359" s="1703" t="s">
        <v>38</v>
      </c>
      <c r="N359" s="1704" t="s">
        <v>38</v>
      </c>
      <c r="O359" s="1703" t="s">
        <v>38</v>
      </c>
      <c r="P359" s="1706" t="s">
        <v>38</v>
      </c>
      <c r="Q359" s="1707" t="s">
        <v>38</v>
      </c>
      <c r="R359" s="1704" t="s">
        <v>38</v>
      </c>
      <c r="S359" s="1703" t="s">
        <v>38</v>
      </c>
      <c r="T359" s="1705" t="s">
        <v>38</v>
      </c>
      <c r="U359" s="1703" t="s">
        <v>38</v>
      </c>
      <c r="V359" s="1704" t="s">
        <v>38</v>
      </c>
      <c r="W359" s="1703" t="s">
        <v>38</v>
      </c>
      <c r="X359" s="1705" t="s">
        <v>38</v>
      </c>
      <c r="Y359" s="431"/>
      <c r="Z359" s="888" t="s">
        <v>477</v>
      </c>
      <c r="AA359" s="972" t="s">
        <v>38</v>
      </c>
      <c r="AB359" s="1913"/>
      <c r="AC359" s="1153"/>
      <c r="AD359" s="1240" t="s">
        <v>387</v>
      </c>
      <c r="AE359" s="1239" t="s">
        <v>387</v>
      </c>
      <c r="AF359" s="1239" t="s">
        <v>388</v>
      </c>
      <c r="AG359" s="1239" t="s">
        <v>390</v>
      </c>
      <c r="AH359" s="1783" t="s">
        <v>391</v>
      </c>
      <c r="AI359" s="1765" t="s">
        <v>391</v>
      </c>
      <c r="AJ359" s="1239" t="s">
        <v>391</v>
      </c>
      <c r="AK359" s="1239" t="s">
        <v>794</v>
      </c>
      <c r="AL359" s="1095"/>
      <c r="AM359" s="1095"/>
      <c r="AN359" s="1095"/>
      <c r="AO359" s="1095"/>
      <c r="AP359" s="1095"/>
      <c r="AQ359" s="1106"/>
      <c r="AR359" s="1097"/>
      <c r="AS359" s="1110"/>
    </row>
    <row r="360" spans="1:74" s="30" customFormat="1" ht="15.75" x14ac:dyDescent="0.25">
      <c r="A360" s="545"/>
      <c r="B360" s="1579"/>
      <c r="C360" s="1110"/>
      <c r="D360" s="1145" t="s">
        <v>145</v>
      </c>
      <c r="E360" s="1147" t="str">
        <f t="shared" si="54"/>
        <v>N</v>
      </c>
      <c r="F360" s="1124"/>
      <c r="G360" s="1703" t="s">
        <v>38</v>
      </c>
      <c r="H360" s="1704" t="s">
        <v>38</v>
      </c>
      <c r="I360" s="1703" t="s">
        <v>38</v>
      </c>
      <c r="J360" s="1705" t="s">
        <v>38</v>
      </c>
      <c r="K360" s="1703" t="s">
        <v>38</v>
      </c>
      <c r="L360" s="1704" t="s">
        <v>38</v>
      </c>
      <c r="M360" s="1703" t="s">
        <v>38</v>
      </c>
      <c r="N360" s="1704" t="s">
        <v>38</v>
      </c>
      <c r="O360" s="1703" t="s">
        <v>38</v>
      </c>
      <c r="P360" s="1706" t="s">
        <v>38</v>
      </c>
      <c r="Q360" s="1707" t="s">
        <v>38</v>
      </c>
      <c r="R360" s="1704" t="s">
        <v>38</v>
      </c>
      <c r="S360" s="1703" t="s">
        <v>38</v>
      </c>
      <c r="T360" s="1705" t="s">
        <v>38</v>
      </c>
      <c r="U360" s="1703" t="s">
        <v>38</v>
      </c>
      <c r="V360" s="1704" t="s">
        <v>38</v>
      </c>
      <c r="W360" s="1703" t="s">
        <v>38</v>
      </c>
      <c r="X360" s="1705" t="s">
        <v>38</v>
      </c>
      <c r="Y360" s="431"/>
      <c r="Z360" s="888" t="s">
        <v>477</v>
      </c>
      <c r="AA360" s="972" t="s">
        <v>38</v>
      </c>
      <c r="AB360" s="1913"/>
      <c r="AC360" s="1153"/>
      <c r="AD360" s="1240" t="s">
        <v>387</v>
      </c>
      <c r="AE360" s="1239" t="s">
        <v>387</v>
      </c>
      <c r="AF360" s="1239" t="s">
        <v>388</v>
      </c>
      <c r="AG360" s="1239" t="s">
        <v>390</v>
      </c>
      <c r="AH360" s="1783" t="s">
        <v>391</v>
      </c>
      <c r="AI360" s="1765" t="s">
        <v>391</v>
      </c>
      <c r="AJ360" s="1239" t="s">
        <v>391</v>
      </c>
      <c r="AK360" s="1239" t="s">
        <v>794</v>
      </c>
      <c r="AL360" s="1095"/>
      <c r="AM360" s="1095"/>
      <c r="AN360" s="1097"/>
      <c r="AO360" s="1095"/>
      <c r="AP360" s="1095"/>
      <c r="AQ360" s="1106"/>
      <c r="AR360" s="1097"/>
      <c r="AS360" s="1110"/>
      <c r="AT360" s="181"/>
      <c r="AU360" s="181"/>
      <c r="AV360" s="181"/>
      <c r="AW360" s="181"/>
      <c r="AX360" s="181"/>
      <c r="AY360" s="181"/>
      <c r="AZ360" s="181"/>
      <c r="BA360" s="181"/>
      <c r="BB360" s="181"/>
      <c r="BC360" s="181"/>
      <c r="BD360" s="181"/>
      <c r="BE360" s="181"/>
      <c r="BF360" s="181"/>
      <c r="BG360" s="181"/>
      <c r="BH360" s="181"/>
      <c r="BI360" s="181"/>
      <c r="BJ360" s="181"/>
      <c r="BK360" s="181"/>
      <c r="BL360" s="181"/>
      <c r="BM360" s="181"/>
      <c r="BN360" s="181"/>
      <c r="BO360" s="181"/>
      <c r="BP360" s="181"/>
      <c r="BQ360" s="181"/>
      <c r="BR360" s="181"/>
      <c r="BS360" s="181"/>
      <c r="BT360" s="181"/>
      <c r="BU360" s="181"/>
      <c r="BV360" s="181"/>
    </row>
    <row r="361" spans="1:74" s="545" customFormat="1" ht="15.75" x14ac:dyDescent="0.25">
      <c r="B361" s="1579"/>
      <c r="C361" s="1097"/>
      <c r="D361" s="1145" t="s">
        <v>145</v>
      </c>
      <c r="E361" s="1147" t="str">
        <f t="shared" ref="E361" si="61">IF(Z361="","",IF(OR(AND(OR(G361="Y",G361="?"),_00_apply="Yes"),AND(OR(I361="Y",I361="?"),_01_apply="Yes"),AND(OR(K361="Y",K361="?"),_02_apply="Yes"),AND(OR(M361="Y",M361="?"),_03_apply="Yes"),AND(OR(O361="Y",O361="?"),_04_apply="Yes"),AND(OR(Q361="Y",Q361="?"),_05_apply="Yes"),AND(OR(S361="?",S361="Y"),_06_apply="Yes"),AND(OR(U361="?",U361="Y"),_07_apply="Yes"),AND(OR(W361="Y",W361="?"),_08_apply="Yes")),"","N"))</f>
        <v/>
      </c>
      <c r="F361" s="1124"/>
      <c r="G361" s="1703" t="s">
        <v>38</v>
      </c>
      <c r="H361" s="1704" t="s">
        <v>38</v>
      </c>
      <c r="I361" s="1703" t="s">
        <v>38</v>
      </c>
      <c r="J361" s="1705" t="s">
        <v>38</v>
      </c>
      <c r="K361" s="1703" t="s">
        <v>37</v>
      </c>
      <c r="L361" s="1704" t="str">
        <f t="shared" ref="L361" si="62">IF(L348="No","N","Y")</f>
        <v>Y</v>
      </c>
      <c r="M361" s="1703" t="s">
        <v>37</v>
      </c>
      <c r="N361" s="1704" t="s">
        <v>37</v>
      </c>
      <c r="O361" s="1703" t="s">
        <v>37</v>
      </c>
      <c r="P361" s="1706" t="s">
        <v>37</v>
      </c>
      <c r="Q361" s="1707" t="s">
        <v>37</v>
      </c>
      <c r="R361" s="1704" t="s">
        <v>37</v>
      </c>
      <c r="S361" s="1703" t="s">
        <v>37</v>
      </c>
      <c r="T361" s="1705" t="s">
        <v>37</v>
      </c>
      <c r="U361" s="1703" t="s">
        <v>37</v>
      </c>
      <c r="V361" s="1704" t="s">
        <v>37</v>
      </c>
      <c r="W361" s="1703" t="s">
        <v>38</v>
      </c>
      <c r="X361" s="1705" t="s">
        <v>38</v>
      </c>
      <c r="Y361" s="748"/>
      <c r="Z361" s="590" t="s">
        <v>994</v>
      </c>
      <c r="AA361" s="1004" t="s">
        <v>37</v>
      </c>
      <c r="AB361" s="1913"/>
      <c r="AC361" s="1125"/>
      <c r="AD361" s="1240" t="s">
        <v>388</v>
      </c>
      <c r="AE361" s="1239" t="s">
        <v>388</v>
      </c>
      <c r="AF361" s="1239" t="s">
        <v>391</v>
      </c>
      <c r="AG361" s="1239" t="s">
        <v>391</v>
      </c>
      <c r="AH361" s="1783" t="s">
        <v>391</v>
      </c>
      <c r="AI361" s="1765" t="s">
        <v>391</v>
      </c>
      <c r="AJ361" s="1239" t="s">
        <v>391</v>
      </c>
      <c r="AK361" s="1239" t="s">
        <v>794</v>
      </c>
      <c r="AL361" s="1095"/>
      <c r="AM361" s="1095"/>
      <c r="AN361" s="1095"/>
      <c r="AO361" s="1095"/>
      <c r="AP361" s="1095"/>
      <c r="AQ361" s="1106"/>
      <c r="AR361" s="1097"/>
      <c r="AS361" s="1097"/>
      <c r="AT361" s="551"/>
      <c r="AU361" s="551"/>
      <c r="AV361" s="551"/>
      <c r="AW361" s="551"/>
      <c r="AX361" s="551"/>
      <c r="AY361" s="551"/>
      <c r="AZ361" s="551"/>
      <c r="BA361" s="551"/>
      <c r="BB361" s="551"/>
      <c r="BC361" s="551"/>
      <c r="BD361" s="551"/>
      <c r="BE361" s="551"/>
      <c r="BF361" s="551"/>
      <c r="BG361" s="551"/>
      <c r="BH361" s="551"/>
      <c r="BI361" s="551"/>
      <c r="BJ361" s="551"/>
      <c r="BK361" s="551"/>
      <c r="BL361" s="551"/>
      <c r="BM361" s="551"/>
      <c r="BN361" s="551"/>
      <c r="BO361" s="551"/>
      <c r="BP361" s="551"/>
      <c r="BQ361" s="551"/>
      <c r="BR361" s="551"/>
      <c r="BS361" s="551"/>
      <c r="BT361" s="551"/>
      <c r="BU361" s="551"/>
      <c r="BV361" s="551"/>
    </row>
    <row r="362" spans="1:74" s="545" customFormat="1" ht="15.75" x14ac:dyDescent="0.25">
      <c r="B362" s="1579"/>
      <c r="C362" s="1097"/>
      <c r="D362" s="1145" t="s">
        <v>145</v>
      </c>
      <c r="E362" s="1147" t="str">
        <f t="shared" ref="E362" si="63">IF(Z362="","",IF(OR(AND(OR(G362="Y",G362="?"),_00_apply="Yes"),AND(OR(I362="Y",I362="?"),_01_apply="Yes"),AND(OR(K362="Y",K362="?"),_02_apply="Yes"),AND(OR(M362="Y",M362="?"),_03_apply="Yes"),AND(OR(O362="Y",O362="?"),_04_apply="Yes"),AND(OR(Q362="Y",Q362="?"),_05_apply="Yes"),AND(OR(S362="?",S362="Y"),_06_apply="Yes"),AND(OR(U362="?",U362="Y"),_07_apply="Yes"),AND(OR(W362="Y",W362="?"),_08_apply="Yes")),"","N"))</f>
        <v/>
      </c>
      <c r="F362" s="1124"/>
      <c r="G362" s="1703" t="s">
        <v>38</v>
      </c>
      <c r="H362" s="1704" t="s">
        <v>38</v>
      </c>
      <c r="I362" s="1703" t="s">
        <v>38</v>
      </c>
      <c r="J362" s="1705" t="s">
        <v>38</v>
      </c>
      <c r="K362" s="1703" t="s">
        <v>37</v>
      </c>
      <c r="L362" s="1704" t="str">
        <f>IF(L348="No","N","Y")</f>
        <v>Y</v>
      </c>
      <c r="M362" s="1703" t="s">
        <v>37</v>
      </c>
      <c r="N362" s="1704" t="s">
        <v>37</v>
      </c>
      <c r="O362" s="1703" t="s">
        <v>37</v>
      </c>
      <c r="P362" s="1706" t="s">
        <v>37</v>
      </c>
      <c r="Q362" s="1707" t="s">
        <v>37</v>
      </c>
      <c r="R362" s="1704" t="s">
        <v>37</v>
      </c>
      <c r="S362" s="1703" t="s">
        <v>37</v>
      </c>
      <c r="T362" s="1705" t="s">
        <v>37</v>
      </c>
      <c r="U362" s="1703" t="s">
        <v>37</v>
      </c>
      <c r="V362" s="1704" t="s">
        <v>37</v>
      </c>
      <c r="W362" s="1703" t="s">
        <v>38</v>
      </c>
      <c r="X362" s="1705" t="s">
        <v>38</v>
      </c>
      <c r="Y362" s="748"/>
      <c r="Z362" s="590" t="s">
        <v>1003</v>
      </c>
      <c r="AA362" s="1004" t="s">
        <v>37</v>
      </c>
      <c r="AB362" s="1913"/>
      <c r="AC362" s="1125"/>
      <c r="AD362" s="1240" t="s">
        <v>387</v>
      </c>
      <c r="AE362" s="1239" t="s">
        <v>800</v>
      </c>
      <c r="AF362" s="1239" t="s">
        <v>388</v>
      </c>
      <c r="AG362" s="1239" t="s">
        <v>390</v>
      </c>
      <c r="AH362" s="1783" t="s">
        <v>391</v>
      </c>
      <c r="AI362" s="1765" t="s">
        <v>391</v>
      </c>
      <c r="AJ362" s="1239" t="s">
        <v>391</v>
      </c>
      <c r="AK362" s="1239" t="s">
        <v>794</v>
      </c>
      <c r="AL362" s="1095"/>
      <c r="AM362" s="1095"/>
      <c r="AN362" s="1095"/>
      <c r="AO362" s="1095"/>
      <c r="AP362" s="1095"/>
      <c r="AQ362" s="1106"/>
      <c r="AR362" s="1097"/>
      <c r="AS362" s="1097"/>
      <c r="AT362" s="551"/>
      <c r="AU362" s="551"/>
      <c r="AV362" s="551"/>
      <c r="AW362" s="551"/>
      <c r="AX362" s="551"/>
      <c r="AY362" s="551"/>
      <c r="AZ362" s="551"/>
      <c r="BA362" s="551"/>
      <c r="BB362" s="551"/>
      <c r="BC362" s="551"/>
      <c r="BD362" s="551"/>
      <c r="BE362" s="551"/>
      <c r="BF362" s="551"/>
      <c r="BG362" s="551"/>
      <c r="BH362" s="551"/>
      <c r="BI362" s="551"/>
      <c r="BJ362" s="551"/>
      <c r="BK362" s="551"/>
      <c r="BL362" s="551"/>
      <c r="BM362" s="551"/>
      <c r="BN362" s="551"/>
      <c r="BO362" s="551"/>
      <c r="BP362" s="551"/>
      <c r="BQ362" s="551"/>
      <c r="BR362" s="551"/>
      <c r="BS362" s="551"/>
      <c r="BT362" s="551"/>
      <c r="BU362" s="551"/>
      <c r="BV362" s="551"/>
    </row>
    <row r="363" spans="1:74" s="30" customFormat="1" ht="15.75" x14ac:dyDescent="0.25">
      <c r="A363" s="545"/>
      <c r="B363" s="1579"/>
      <c r="C363" s="1110"/>
      <c r="D363" s="1145" t="s">
        <v>145</v>
      </c>
      <c r="E363" s="1147" t="str">
        <f t="shared" si="54"/>
        <v/>
      </c>
      <c r="F363" s="1124"/>
      <c r="G363" s="1703" t="s">
        <v>38</v>
      </c>
      <c r="H363" s="1704" t="s">
        <v>38</v>
      </c>
      <c r="I363" s="1703" t="s">
        <v>37</v>
      </c>
      <c r="J363" s="1705" t="s">
        <v>37</v>
      </c>
      <c r="K363" s="1703" t="s">
        <v>37</v>
      </c>
      <c r="L363" s="1704" t="str">
        <f>IF(L349="No","N","Y")</f>
        <v>Y</v>
      </c>
      <c r="M363" s="1703" t="s">
        <v>37</v>
      </c>
      <c r="N363" s="1704" t="s">
        <v>37</v>
      </c>
      <c r="O363" s="1703" t="s">
        <v>37</v>
      </c>
      <c r="P363" s="1706" t="s">
        <v>37</v>
      </c>
      <c r="Q363" s="1707" t="s">
        <v>37</v>
      </c>
      <c r="R363" s="1704" t="s">
        <v>37</v>
      </c>
      <c r="S363" s="1703" t="s">
        <v>37</v>
      </c>
      <c r="T363" s="1705" t="s">
        <v>37</v>
      </c>
      <c r="U363" s="1703" t="s">
        <v>37</v>
      </c>
      <c r="V363" s="1704" t="s">
        <v>37</v>
      </c>
      <c r="W363" s="1703" t="s">
        <v>38</v>
      </c>
      <c r="X363" s="1705" t="s">
        <v>38</v>
      </c>
      <c r="Y363" s="431"/>
      <c r="Z363" s="590" t="s">
        <v>356</v>
      </c>
      <c r="AA363" s="972" t="s">
        <v>38</v>
      </c>
      <c r="AB363" s="1913"/>
      <c r="AC363" s="1153"/>
      <c r="AD363" s="1240" t="s">
        <v>387</v>
      </c>
      <c r="AE363" s="1239" t="s">
        <v>387</v>
      </c>
      <c r="AF363" s="1239" t="s">
        <v>388</v>
      </c>
      <c r="AG363" s="1239" t="s">
        <v>390</v>
      </c>
      <c r="AH363" s="1783" t="s">
        <v>391</v>
      </c>
      <c r="AI363" s="1765" t="s">
        <v>391</v>
      </c>
      <c r="AJ363" s="1239" t="s">
        <v>391</v>
      </c>
      <c r="AK363" s="1239" t="s">
        <v>794</v>
      </c>
      <c r="AL363" s="1095"/>
      <c r="AM363" s="1095"/>
      <c r="AN363" s="1097"/>
      <c r="AO363" s="1095"/>
      <c r="AP363" s="1095"/>
      <c r="AQ363" s="1106"/>
      <c r="AR363" s="1097"/>
      <c r="AS363" s="1110"/>
      <c r="AT363" s="181"/>
      <c r="AU363" s="181"/>
      <c r="AV363" s="181"/>
      <c r="AW363" s="181"/>
      <c r="AX363" s="181"/>
      <c r="AY363" s="181"/>
      <c r="AZ363" s="181"/>
      <c r="BA363" s="181"/>
      <c r="BB363" s="181"/>
      <c r="BC363" s="181"/>
      <c r="BD363" s="181"/>
      <c r="BE363" s="181"/>
      <c r="BF363" s="181"/>
      <c r="BG363" s="181"/>
      <c r="BH363" s="181"/>
      <c r="BI363" s="181"/>
      <c r="BJ363" s="181"/>
      <c r="BK363" s="181"/>
      <c r="BL363" s="181"/>
      <c r="BM363" s="181"/>
      <c r="BN363" s="181"/>
      <c r="BO363" s="181"/>
      <c r="BP363" s="181"/>
      <c r="BQ363" s="181"/>
      <c r="BR363" s="181"/>
      <c r="BS363" s="181"/>
      <c r="BT363" s="181"/>
      <c r="BU363" s="181"/>
      <c r="BV363" s="181"/>
    </row>
    <row r="364" spans="1:74" s="30" customFormat="1" ht="15.75" x14ac:dyDescent="0.25">
      <c r="A364" s="545"/>
      <c r="B364" s="1579"/>
      <c r="C364" s="1110"/>
      <c r="D364" s="1145" t="s">
        <v>145</v>
      </c>
      <c r="E364" s="1147" t="str">
        <f t="shared" si="54"/>
        <v/>
      </c>
      <c r="F364" s="1124"/>
      <c r="G364" s="1703" t="s">
        <v>38</v>
      </c>
      <c r="H364" s="1704" t="s">
        <v>38</v>
      </c>
      <c r="I364" s="1703" t="s">
        <v>38</v>
      </c>
      <c r="J364" s="1705" t="s">
        <v>38</v>
      </c>
      <c r="K364" s="1703" t="s">
        <v>38</v>
      </c>
      <c r="L364" s="1704" t="str">
        <f>IF(L350="No","N","Y")</f>
        <v>Y</v>
      </c>
      <c r="M364" s="1703" t="s">
        <v>37</v>
      </c>
      <c r="N364" s="1704" t="s">
        <v>37</v>
      </c>
      <c r="O364" s="1703" t="s">
        <v>37</v>
      </c>
      <c r="P364" s="1706" t="s">
        <v>37</v>
      </c>
      <c r="Q364" s="1707" t="s">
        <v>37</v>
      </c>
      <c r="R364" s="1704" t="s">
        <v>37</v>
      </c>
      <c r="S364" s="1703" t="s">
        <v>37</v>
      </c>
      <c r="T364" s="1705" t="s">
        <v>37</v>
      </c>
      <c r="U364" s="1703" t="s">
        <v>37</v>
      </c>
      <c r="V364" s="1704" t="s">
        <v>37</v>
      </c>
      <c r="W364" s="1703" t="s">
        <v>38</v>
      </c>
      <c r="X364" s="1705" t="s">
        <v>38</v>
      </c>
      <c r="Y364" s="431"/>
      <c r="Z364" s="590" t="s">
        <v>357</v>
      </c>
      <c r="AA364" s="972" t="s">
        <v>38</v>
      </c>
      <c r="AB364" s="1913"/>
      <c r="AC364" s="1153"/>
      <c r="AD364" s="1240" t="s">
        <v>387</v>
      </c>
      <c r="AE364" s="1239" t="s">
        <v>387</v>
      </c>
      <c r="AF364" s="1239" t="s">
        <v>387</v>
      </c>
      <c r="AG364" s="1239" t="s">
        <v>388</v>
      </c>
      <c r="AH364" s="1783" t="s">
        <v>391</v>
      </c>
      <c r="AI364" s="1765" t="s">
        <v>391</v>
      </c>
      <c r="AJ364" s="1239" t="s">
        <v>391</v>
      </c>
      <c r="AK364" s="1239" t="s">
        <v>794</v>
      </c>
      <c r="AL364" s="1095"/>
      <c r="AM364" s="1095"/>
      <c r="AN364" s="1097"/>
      <c r="AO364" s="1095"/>
      <c r="AP364" s="1095"/>
      <c r="AQ364" s="1097"/>
      <c r="AR364" s="1112"/>
      <c r="AS364" s="1110"/>
      <c r="AT364" s="181"/>
      <c r="AU364" s="181"/>
      <c r="AV364" s="181"/>
      <c r="AW364" s="181"/>
      <c r="AX364" s="181"/>
      <c r="AY364" s="181"/>
      <c r="AZ364" s="181"/>
      <c r="BA364" s="181"/>
      <c r="BB364" s="181"/>
      <c r="BC364" s="181"/>
      <c r="BD364" s="181"/>
      <c r="BE364" s="181"/>
      <c r="BF364" s="181"/>
      <c r="BG364" s="181"/>
      <c r="BH364" s="181"/>
      <c r="BI364" s="181"/>
      <c r="BJ364" s="181"/>
      <c r="BK364" s="181"/>
      <c r="BL364" s="181"/>
      <c r="BM364" s="181"/>
      <c r="BN364" s="181"/>
      <c r="BO364" s="181"/>
      <c r="BP364" s="181"/>
      <c r="BQ364" s="181"/>
      <c r="BR364" s="181"/>
      <c r="BS364" s="181"/>
      <c r="BT364" s="181"/>
      <c r="BU364" s="181"/>
      <c r="BV364" s="181"/>
    </row>
    <row r="365" spans="1:74" s="30" customFormat="1" ht="15.75" x14ac:dyDescent="0.25">
      <c r="A365" s="545"/>
      <c r="B365" s="1579"/>
      <c r="C365" s="1110"/>
      <c r="D365" s="1145" t="s">
        <v>145</v>
      </c>
      <c r="E365" s="1147" t="str">
        <f t="shared" si="54"/>
        <v/>
      </c>
      <c r="F365" s="1124"/>
      <c r="G365" s="1703" t="s">
        <v>38</v>
      </c>
      <c r="H365" s="1704" t="s">
        <v>38</v>
      </c>
      <c r="I365" s="1703" t="s">
        <v>38</v>
      </c>
      <c r="J365" s="1705" t="s">
        <v>38</v>
      </c>
      <c r="K365" s="1703" t="s">
        <v>37</v>
      </c>
      <c r="L365" s="1704" t="str">
        <f>IF(L351="No","N","Y")</f>
        <v>Y</v>
      </c>
      <c r="M365" s="1703" t="s">
        <v>37</v>
      </c>
      <c r="N365" s="1704" t="s">
        <v>37</v>
      </c>
      <c r="O365" s="1703" t="s">
        <v>37</v>
      </c>
      <c r="P365" s="1706" t="s">
        <v>37</v>
      </c>
      <c r="Q365" s="1707" t="s">
        <v>37</v>
      </c>
      <c r="R365" s="1704" t="s">
        <v>37</v>
      </c>
      <c r="S365" s="1703" t="s">
        <v>37</v>
      </c>
      <c r="T365" s="1705" t="s">
        <v>37</v>
      </c>
      <c r="U365" s="1703" t="s">
        <v>37</v>
      </c>
      <c r="V365" s="1704" t="s">
        <v>37</v>
      </c>
      <c r="W365" s="1703" t="s">
        <v>38</v>
      </c>
      <c r="X365" s="1705" t="s">
        <v>38</v>
      </c>
      <c r="Y365" s="431"/>
      <c r="Z365" s="590" t="s">
        <v>358</v>
      </c>
      <c r="AA365" s="972" t="s">
        <v>38</v>
      </c>
      <c r="AB365" s="1913"/>
      <c r="AC365" s="1153"/>
      <c r="AD365" s="1240" t="s">
        <v>387</v>
      </c>
      <c r="AE365" s="1239" t="s">
        <v>387</v>
      </c>
      <c r="AF365" s="1239" t="s">
        <v>387</v>
      </c>
      <c r="AG365" s="1239" t="s">
        <v>388</v>
      </c>
      <c r="AH365" s="1783" t="s">
        <v>391</v>
      </c>
      <c r="AI365" s="1765" t="s">
        <v>391</v>
      </c>
      <c r="AJ365" s="1239" t="s">
        <v>391</v>
      </c>
      <c r="AK365" s="1239" t="s">
        <v>794</v>
      </c>
      <c r="AL365" s="1095"/>
      <c r="AM365" s="1095"/>
      <c r="AN365" s="1097"/>
      <c r="AO365" s="1095"/>
      <c r="AP365" s="1095"/>
      <c r="AQ365" s="1106"/>
      <c r="AR365" s="1097"/>
      <c r="AS365" s="1110"/>
      <c r="AT365" s="181"/>
      <c r="AU365" s="181"/>
      <c r="AV365" s="181"/>
      <c r="AW365" s="181"/>
      <c r="AX365" s="181"/>
      <c r="AY365" s="181"/>
      <c r="AZ365" s="181"/>
      <c r="BA365" s="181"/>
      <c r="BB365" s="181"/>
      <c r="BC365" s="181"/>
      <c r="BD365" s="181"/>
      <c r="BE365" s="181"/>
      <c r="BF365" s="181"/>
      <c r="BG365" s="181"/>
      <c r="BH365" s="181"/>
      <c r="BI365" s="181"/>
      <c r="BJ365" s="181"/>
      <c r="BK365" s="181"/>
      <c r="BL365" s="181"/>
      <c r="BM365" s="181"/>
      <c r="BN365" s="181"/>
      <c r="BO365" s="181"/>
      <c r="BP365" s="181"/>
      <c r="BQ365" s="181"/>
      <c r="BR365" s="181"/>
      <c r="BS365" s="181"/>
      <c r="BT365" s="181"/>
      <c r="BU365" s="181"/>
      <c r="BV365" s="181"/>
    </row>
    <row r="366" spans="1:74" s="30" customFormat="1" ht="15.75" x14ac:dyDescent="0.25">
      <c r="A366" s="545"/>
      <c r="B366" s="1579"/>
      <c r="C366" s="1095"/>
      <c r="D366" s="1145" t="s">
        <v>145</v>
      </c>
      <c r="E366" s="1147" t="str">
        <f t="shared" si="54"/>
        <v/>
      </c>
      <c r="F366" s="1124"/>
      <c r="G366" s="1703" t="s">
        <v>38</v>
      </c>
      <c r="H366" s="1704" t="s">
        <v>38</v>
      </c>
      <c r="I366" s="1703" t="s">
        <v>38</v>
      </c>
      <c r="J366" s="1705" t="s">
        <v>38</v>
      </c>
      <c r="K366" s="1703" t="s">
        <v>38</v>
      </c>
      <c r="L366" s="1704" t="s">
        <v>38</v>
      </c>
      <c r="M366" s="1703" t="s">
        <v>37</v>
      </c>
      <c r="N366" s="1704" t="s">
        <v>37</v>
      </c>
      <c r="O366" s="1703" t="s">
        <v>37</v>
      </c>
      <c r="P366" s="1706" t="s">
        <v>37</v>
      </c>
      <c r="Q366" s="1707" t="s">
        <v>37</v>
      </c>
      <c r="R366" s="1704" t="s">
        <v>37</v>
      </c>
      <c r="S366" s="1703" t="s">
        <v>37</v>
      </c>
      <c r="T366" s="1705" t="s">
        <v>37</v>
      </c>
      <c r="U366" s="1703" t="s">
        <v>37</v>
      </c>
      <c r="V366" s="1704" t="s">
        <v>37</v>
      </c>
      <c r="W366" s="1703" t="s">
        <v>38</v>
      </c>
      <c r="X366" s="1705" t="s">
        <v>38</v>
      </c>
      <c r="Y366" s="431"/>
      <c r="Z366" s="590" t="s">
        <v>462</v>
      </c>
      <c r="AA366" s="972" t="s">
        <v>38</v>
      </c>
      <c r="AB366" s="1913"/>
      <c r="AC366" s="1153"/>
      <c r="AD366" s="1240" t="s">
        <v>387</v>
      </c>
      <c r="AE366" s="1239" t="s">
        <v>387</v>
      </c>
      <c r="AF366" s="1239" t="s">
        <v>387</v>
      </c>
      <c r="AG366" s="1239" t="s">
        <v>388</v>
      </c>
      <c r="AH366" s="1783" t="s">
        <v>391</v>
      </c>
      <c r="AI366" s="1765" t="s">
        <v>391</v>
      </c>
      <c r="AJ366" s="1239" t="s">
        <v>391</v>
      </c>
      <c r="AK366" s="1239" t="s">
        <v>794</v>
      </c>
      <c r="AL366" s="1095"/>
      <c r="AM366" s="1095"/>
      <c r="AN366" s="1097"/>
      <c r="AO366" s="1095"/>
      <c r="AP366" s="1095"/>
      <c r="AQ366" s="1095"/>
      <c r="AR366" s="1095"/>
      <c r="AS366" s="1095"/>
      <c r="AT366" s="181"/>
      <c r="AU366" s="181"/>
      <c r="AV366" s="181"/>
      <c r="AW366" s="181"/>
      <c r="AX366" s="181"/>
      <c r="AY366" s="181"/>
      <c r="AZ366" s="181"/>
      <c r="BA366" s="181"/>
      <c r="BB366" s="181"/>
      <c r="BC366" s="181"/>
      <c r="BD366" s="181"/>
      <c r="BE366" s="181"/>
      <c r="BF366" s="181"/>
      <c r="BG366" s="181"/>
      <c r="BH366" s="181"/>
      <c r="BI366" s="181"/>
      <c r="BJ366" s="181"/>
      <c r="BK366" s="181"/>
      <c r="BL366" s="181"/>
      <c r="BM366" s="181"/>
      <c r="BN366" s="181"/>
      <c r="BO366" s="181"/>
      <c r="BP366" s="181"/>
      <c r="BQ366" s="181"/>
      <c r="BR366" s="181"/>
      <c r="BS366" s="181"/>
      <c r="BT366" s="181"/>
      <c r="BU366" s="181"/>
      <c r="BV366" s="181"/>
    </row>
    <row r="367" spans="1:74" s="30" customFormat="1" ht="15.75" x14ac:dyDescent="0.25">
      <c r="A367" s="545"/>
      <c r="B367" s="1579"/>
      <c r="C367" s="1110"/>
      <c r="D367" s="1145" t="s">
        <v>145</v>
      </c>
      <c r="E367" s="1146" t="str">
        <f t="shared" si="54"/>
        <v/>
      </c>
      <c r="F367" s="1124"/>
      <c r="G367" s="886" t="s">
        <v>38</v>
      </c>
      <c r="H367" s="962" t="s">
        <v>38</v>
      </c>
      <c r="I367" s="886" t="s">
        <v>38</v>
      </c>
      <c r="J367" s="963" t="s">
        <v>38</v>
      </c>
      <c r="K367" s="886" t="s">
        <v>37</v>
      </c>
      <c r="L367" s="962" t="str">
        <f>IF(L355="No","N","Y")</f>
        <v>Y</v>
      </c>
      <c r="M367" s="886" t="s">
        <v>37</v>
      </c>
      <c r="N367" s="962" t="s">
        <v>37</v>
      </c>
      <c r="O367" s="886" t="s">
        <v>37</v>
      </c>
      <c r="P367" s="964" t="s">
        <v>37</v>
      </c>
      <c r="Q367" s="985" t="s">
        <v>37</v>
      </c>
      <c r="R367" s="962" t="s">
        <v>37</v>
      </c>
      <c r="S367" s="886" t="s">
        <v>37</v>
      </c>
      <c r="T367" s="963" t="s">
        <v>37</v>
      </c>
      <c r="U367" s="886" t="s">
        <v>37</v>
      </c>
      <c r="V367" s="962" t="s">
        <v>37</v>
      </c>
      <c r="W367" s="886" t="s">
        <v>38</v>
      </c>
      <c r="X367" s="1705" t="s">
        <v>38</v>
      </c>
      <c r="Y367" s="431"/>
      <c r="Z367" s="593" t="s">
        <v>570</v>
      </c>
      <c r="AA367" s="972" t="s">
        <v>38</v>
      </c>
      <c r="AB367" s="1917"/>
      <c r="AC367" s="1153"/>
      <c r="AD367" s="1247"/>
      <c r="AE367" s="1248"/>
      <c r="AF367" s="1249"/>
      <c r="AG367" s="1262" t="s">
        <v>600</v>
      </c>
      <c r="AH367" s="1791" t="s">
        <v>600</v>
      </c>
      <c r="AI367" s="1772" t="s">
        <v>600</v>
      </c>
      <c r="AJ367" s="1262" t="s">
        <v>600</v>
      </c>
      <c r="AK367" s="1264" t="s">
        <v>794</v>
      </c>
      <c r="AL367" s="1095"/>
      <c r="AM367" s="1095"/>
      <c r="AN367" s="1097"/>
      <c r="AO367" s="1095"/>
      <c r="AP367" s="1095"/>
      <c r="AQ367" s="1106"/>
      <c r="AR367" s="1097"/>
      <c r="AS367" s="1110"/>
      <c r="AT367" s="181"/>
      <c r="AU367" s="181"/>
      <c r="AV367" s="181"/>
      <c r="AW367" s="181"/>
      <c r="AX367" s="181"/>
      <c r="AY367" s="181"/>
      <c r="AZ367" s="181"/>
      <c r="BA367" s="181"/>
      <c r="BB367" s="181"/>
      <c r="BC367" s="181"/>
      <c r="BD367" s="181"/>
      <c r="BE367" s="181"/>
      <c r="BF367" s="181"/>
      <c r="BG367" s="181"/>
      <c r="BH367" s="181"/>
      <c r="BI367" s="181"/>
      <c r="BJ367" s="181"/>
      <c r="BK367" s="181"/>
      <c r="BL367" s="181"/>
      <c r="BM367" s="181"/>
      <c r="BN367" s="181"/>
      <c r="BO367" s="181"/>
      <c r="BP367" s="181"/>
      <c r="BQ367" s="181"/>
      <c r="BR367" s="181"/>
      <c r="BS367" s="181"/>
      <c r="BT367" s="181"/>
      <c r="BU367" s="181"/>
      <c r="BV367" s="181"/>
    </row>
    <row r="368" spans="1:74" s="545" customFormat="1" ht="15.75" x14ac:dyDescent="0.25">
      <c r="B368" s="1579"/>
      <c r="C368" s="1097"/>
      <c r="D368" s="1145" t="s">
        <v>145</v>
      </c>
      <c r="E368" s="1147" t="str">
        <f t="shared" si="54"/>
        <v/>
      </c>
      <c r="F368" s="1124"/>
      <c r="G368" s="1703" t="s">
        <v>38</v>
      </c>
      <c r="H368" s="1704" t="s">
        <v>38</v>
      </c>
      <c r="I368" s="1703" t="s">
        <v>38</v>
      </c>
      <c r="J368" s="1705" t="s">
        <v>38</v>
      </c>
      <c r="K368" s="1703" t="s">
        <v>37</v>
      </c>
      <c r="L368" s="1704" t="str">
        <f t="shared" ref="L368" si="64">IF(L355="No","N","Y")</f>
        <v>Y</v>
      </c>
      <c r="M368" s="1703" t="s">
        <v>37</v>
      </c>
      <c r="N368" s="1704" t="s">
        <v>37</v>
      </c>
      <c r="O368" s="1703" t="s">
        <v>37</v>
      </c>
      <c r="P368" s="1706" t="s">
        <v>37</v>
      </c>
      <c r="Q368" s="1707" t="s">
        <v>37</v>
      </c>
      <c r="R368" s="1704" t="s">
        <v>37</v>
      </c>
      <c r="S368" s="1703" t="s">
        <v>37</v>
      </c>
      <c r="T368" s="1705" t="s">
        <v>37</v>
      </c>
      <c r="U368" s="1703" t="s">
        <v>37</v>
      </c>
      <c r="V368" s="1704" t="s">
        <v>37</v>
      </c>
      <c r="W368" s="1703" t="s">
        <v>38</v>
      </c>
      <c r="X368" s="1705" t="s">
        <v>38</v>
      </c>
      <c r="Y368" s="748"/>
      <c r="Z368" s="590" t="s">
        <v>995</v>
      </c>
      <c r="AA368" s="1004" t="s">
        <v>37</v>
      </c>
      <c r="AB368" s="1913"/>
      <c r="AC368" s="1125"/>
      <c r="AD368" s="1240" t="s">
        <v>388</v>
      </c>
      <c r="AE368" s="1239" t="s">
        <v>388</v>
      </c>
      <c r="AF368" s="1239" t="s">
        <v>391</v>
      </c>
      <c r="AG368" s="1239" t="s">
        <v>391</v>
      </c>
      <c r="AH368" s="1783" t="s">
        <v>391</v>
      </c>
      <c r="AI368" s="1765" t="s">
        <v>391</v>
      </c>
      <c r="AJ368" s="1239" t="s">
        <v>391</v>
      </c>
      <c r="AK368" s="1239" t="s">
        <v>794</v>
      </c>
      <c r="AL368" s="1095"/>
      <c r="AM368" s="1095"/>
      <c r="AN368" s="1095"/>
      <c r="AO368" s="1095"/>
      <c r="AP368" s="1095"/>
      <c r="AQ368" s="1106"/>
      <c r="AR368" s="1097"/>
      <c r="AS368" s="1097"/>
      <c r="AT368" s="551"/>
      <c r="AU368" s="551"/>
      <c r="AV368" s="551"/>
      <c r="AW368" s="551"/>
      <c r="AX368" s="551"/>
      <c r="AY368" s="551"/>
      <c r="AZ368" s="551"/>
      <c r="BA368" s="551"/>
      <c r="BB368" s="551"/>
      <c r="BC368" s="551"/>
      <c r="BD368" s="551"/>
      <c r="BE368" s="551"/>
      <c r="BF368" s="551"/>
      <c r="BG368" s="551"/>
      <c r="BH368" s="551"/>
      <c r="BI368" s="551"/>
      <c r="BJ368" s="551"/>
      <c r="BK368" s="551"/>
      <c r="BL368" s="551"/>
      <c r="BM368" s="551"/>
      <c r="BN368" s="551"/>
      <c r="BO368" s="551"/>
      <c r="BP368" s="551"/>
      <c r="BQ368" s="551"/>
      <c r="BR368" s="551"/>
      <c r="BS368" s="551"/>
      <c r="BT368" s="551"/>
      <c r="BU368" s="551"/>
      <c r="BV368" s="551"/>
    </row>
    <row r="369" spans="1:74" s="545" customFormat="1" ht="15.75" x14ac:dyDescent="0.25">
      <c r="B369" s="1579"/>
      <c r="C369" s="1097"/>
      <c r="D369" s="1145" t="s">
        <v>145</v>
      </c>
      <c r="E369" s="1147" t="str">
        <f t="shared" si="54"/>
        <v/>
      </c>
      <c r="F369" s="1124"/>
      <c r="G369" s="1703" t="s">
        <v>38</v>
      </c>
      <c r="H369" s="1704" t="s">
        <v>38</v>
      </c>
      <c r="I369" s="1703" t="s">
        <v>38</v>
      </c>
      <c r="J369" s="1705" t="s">
        <v>38</v>
      </c>
      <c r="K369" s="1703" t="s">
        <v>37</v>
      </c>
      <c r="L369" s="1704" t="str">
        <f t="shared" ref="L369" si="65">IF(L356="No","N","Y")</f>
        <v>Y</v>
      </c>
      <c r="M369" s="1703" t="s">
        <v>37</v>
      </c>
      <c r="N369" s="1704" t="s">
        <v>37</v>
      </c>
      <c r="O369" s="1703" t="s">
        <v>37</v>
      </c>
      <c r="P369" s="1706" t="s">
        <v>37</v>
      </c>
      <c r="Q369" s="1707" t="s">
        <v>37</v>
      </c>
      <c r="R369" s="1704" t="s">
        <v>37</v>
      </c>
      <c r="S369" s="1703" t="s">
        <v>37</v>
      </c>
      <c r="T369" s="1705" t="s">
        <v>37</v>
      </c>
      <c r="U369" s="1703" t="s">
        <v>37</v>
      </c>
      <c r="V369" s="1704" t="s">
        <v>37</v>
      </c>
      <c r="W369" s="1703" t="s">
        <v>38</v>
      </c>
      <c r="X369" s="1705" t="s">
        <v>38</v>
      </c>
      <c r="Y369" s="748"/>
      <c r="Z369" s="590" t="s">
        <v>1004</v>
      </c>
      <c r="AA369" s="1004" t="s">
        <v>37</v>
      </c>
      <c r="AB369" s="1913"/>
      <c r="AC369" s="1125"/>
      <c r="AD369" s="1240" t="s">
        <v>387</v>
      </c>
      <c r="AE369" s="1239" t="s">
        <v>800</v>
      </c>
      <c r="AF369" s="1239" t="s">
        <v>388</v>
      </c>
      <c r="AG369" s="1239" t="s">
        <v>390</v>
      </c>
      <c r="AH369" s="1783" t="s">
        <v>391</v>
      </c>
      <c r="AI369" s="1765" t="s">
        <v>391</v>
      </c>
      <c r="AJ369" s="1239" t="s">
        <v>391</v>
      </c>
      <c r="AK369" s="1239" t="s">
        <v>794</v>
      </c>
      <c r="AL369" s="1095"/>
      <c r="AM369" s="1095"/>
      <c r="AN369" s="1095"/>
      <c r="AO369" s="1095"/>
      <c r="AP369" s="1095"/>
      <c r="AQ369" s="1106"/>
      <c r="AR369" s="1097"/>
      <c r="AS369" s="1097"/>
      <c r="AT369" s="551"/>
      <c r="AU369" s="551"/>
      <c r="AV369" s="551"/>
      <c r="AW369" s="551"/>
      <c r="AX369" s="551"/>
      <c r="AY369" s="551"/>
      <c r="AZ369" s="551"/>
      <c r="BA369" s="551"/>
      <c r="BB369" s="551"/>
      <c r="BC369" s="551"/>
      <c r="BD369" s="551"/>
      <c r="BE369" s="551"/>
      <c r="BF369" s="551"/>
      <c r="BG369" s="551"/>
      <c r="BH369" s="551"/>
      <c r="BI369" s="551"/>
      <c r="BJ369" s="551"/>
      <c r="BK369" s="551"/>
      <c r="BL369" s="551"/>
      <c r="BM369" s="551"/>
      <c r="BN369" s="551"/>
      <c r="BO369" s="551"/>
      <c r="BP369" s="551"/>
      <c r="BQ369" s="551"/>
      <c r="BR369" s="551"/>
      <c r="BS369" s="551"/>
      <c r="BT369" s="551"/>
      <c r="BU369" s="551"/>
      <c r="BV369" s="551"/>
    </row>
    <row r="370" spans="1:74" s="30" customFormat="1" ht="45" x14ac:dyDescent="0.25">
      <c r="A370" s="545"/>
      <c r="B370" s="1579"/>
      <c r="C370" s="1110"/>
      <c r="D370" s="1145" t="s">
        <v>145</v>
      </c>
      <c r="E370" s="1147" t="str">
        <f t="shared" si="54"/>
        <v/>
      </c>
      <c r="F370" s="1124"/>
      <c r="G370" s="886" t="s">
        <v>38</v>
      </c>
      <c r="H370" s="962" t="s">
        <v>38</v>
      </c>
      <c r="I370" s="886" t="s">
        <v>38</v>
      </c>
      <c r="J370" s="963" t="s">
        <v>38</v>
      </c>
      <c r="K370" s="886" t="s">
        <v>37</v>
      </c>
      <c r="L370" s="962" t="str">
        <f>IF(L356="No","N","Y")</f>
        <v>Y</v>
      </c>
      <c r="M370" s="886" t="s">
        <v>37</v>
      </c>
      <c r="N370" s="962" t="s">
        <v>37</v>
      </c>
      <c r="O370" s="886" t="s">
        <v>37</v>
      </c>
      <c r="P370" s="964" t="s">
        <v>37</v>
      </c>
      <c r="Q370" s="985" t="s">
        <v>37</v>
      </c>
      <c r="R370" s="962" t="s">
        <v>37</v>
      </c>
      <c r="S370" s="886" t="s">
        <v>37</v>
      </c>
      <c r="T370" s="963" t="s">
        <v>37</v>
      </c>
      <c r="U370" s="886" t="s">
        <v>37</v>
      </c>
      <c r="V370" s="962" t="s">
        <v>37</v>
      </c>
      <c r="W370" s="886" t="s">
        <v>38</v>
      </c>
      <c r="X370" s="1705" t="s">
        <v>38</v>
      </c>
      <c r="Y370" s="431"/>
      <c r="Z370" s="594" t="s">
        <v>483</v>
      </c>
      <c r="AA370" s="972" t="s">
        <v>38</v>
      </c>
      <c r="AB370" s="1913"/>
      <c r="AC370" s="1153"/>
      <c r="AD370" s="1240" t="str">
        <f t="shared" ref="AD370:AD380" si="66">IF(Choice_Concept="Y","(Conceptual)","")</f>
        <v/>
      </c>
      <c r="AE370" s="1239" t="str">
        <f t="shared" ref="AE370:AE380" si="67">IF(Choice_SD="Y","(Pre-Preliminary)","")</f>
        <v/>
      </c>
      <c r="AF370" s="1239" t="str">
        <f t="shared" ref="AF370:AF380" si="68">IF(Choice_DD="Y","(preliminary)","")</f>
        <v>(preliminary)</v>
      </c>
      <c r="AG370" s="1239" t="str">
        <f t="shared" ref="AG370:AG380" si="69">IF(Choice_50CD="Y","(Approx. 50% Complete)","")</f>
        <v>(Approx. 50% Complete)</v>
      </c>
      <c r="AH370" s="1783" t="str">
        <f t="shared" ref="AH370:AH380" si="70">IF(Choice_95CD="Y","(Complete)","")</f>
        <v>(Complete)</v>
      </c>
      <c r="AI370" s="1765" t="str">
        <f t="shared" ref="AI370:AJ380" si="71">IF(Choice_Bid="Y","(Complete)","")</f>
        <v>(Complete)</v>
      </c>
      <c r="AJ370" s="1239" t="str">
        <f t="shared" si="71"/>
        <v>(Complete)</v>
      </c>
      <c r="AK370" s="1239" t="s">
        <v>794</v>
      </c>
      <c r="AL370" s="1095"/>
      <c r="AM370" s="1095"/>
      <c r="AN370" s="1097"/>
      <c r="AO370" s="1095"/>
      <c r="AP370" s="1095"/>
      <c r="AQ370" s="1106"/>
      <c r="AR370" s="1097"/>
      <c r="AS370" s="1110"/>
      <c r="AT370" s="181"/>
      <c r="AU370" s="181"/>
      <c r="AV370" s="181"/>
      <c r="AW370" s="181"/>
      <c r="AX370" s="181"/>
      <c r="AY370" s="181"/>
      <c r="AZ370" s="181"/>
      <c r="BA370" s="181"/>
      <c r="BB370" s="181"/>
      <c r="BC370" s="181"/>
      <c r="BD370" s="181"/>
      <c r="BE370" s="181"/>
      <c r="BF370" s="181"/>
      <c r="BG370" s="181"/>
      <c r="BH370" s="181"/>
      <c r="BI370" s="181"/>
      <c r="BJ370" s="181"/>
      <c r="BK370" s="181"/>
      <c r="BL370" s="181"/>
      <c r="BM370" s="181"/>
      <c r="BN370" s="181"/>
      <c r="BO370" s="181"/>
      <c r="BP370" s="181"/>
      <c r="BQ370" s="181"/>
      <c r="BR370" s="181"/>
      <c r="BS370" s="181"/>
      <c r="BT370" s="181"/>
      <c r="BU370" s="181"/>
      <c r="BV370" s="181"/>
    </row>
    <row r="371" spans="1:74" s="30" customFormat="1" ht="60" x14ac:dyDescent="0.25">
      <c r="A371" s="545"/>
      <c r="B371" s="1579"/>
      <c r="C371" s="1110"/>
      <c r="D371" s="1145" t="s">
        <v>145</v>
      </c>
      <c r="E371" s="1147" t="str">
        <f t="shared" si="54"/>
        <v/>
      </c>
      <c r="F371" s="1124"/>
      <c r="G371" s="1718" t="s">
        <v>38</v>
      </c>
      <c r="H371" s="962" t="s">
        <v>38</v>
      </c>
      <c r="I371" s="1718" t="s">
        <v>38</v>
      </c>
      <c r="J371" s="963" t="s">
        <v>38</v>
      </c>
      <c r="K371" s="1718" t="s">
        <v>37</v>
      </c>
      <c r="L371" s="962" t="str">
        <f>IF(L357="No","N","Y")</f>
        <v>Y</v>
      </c>
      <c r="M371" s="1718" t="s">
        <v>37</v>
      </c>
      <c r="N371" s="962" t="s">
        <v>37</v>
      </c>
      <c r="O371" s="1718" t="s">
        <v>37</v>
      </c>
      <c r="P371" s="964" t="s">
        <v>37</v>
      </c>
      <c r="Q371" s="1719" t="s">
        <v>37</v>
      </c>
      <c r="R371" s="962" t="s">
        <v>37</v>
      </c>
      <c r="S371" s="1718" t="s">
        <v>37</v>
      </c>
      <c r="T371" s="963" t="s">
        <v>37</v>
      </c>
      <c r="U371" s="1718" t="s">
        <v>37</v>
      </c>
      <c r="V371" s="962" t="s">
        <v>37</v>
      </c>
      <c r="W371" s="1718" t="s">
        <v>38</v>
      </c>
      <c r="X371" s="963" t="s">
        <v>38</v>
      </c>
      <c r="Y371" s="431"/>
      <c r="Z371" s="594" t="s">
        <v>481</v>
      </c>
      <c r="AA371" s="974" t="s">
        <v>38</v>
      </c>
      <c r="AB371" s="1913"/>
      <c r="AC371" s="1153"/>
      <c r="AD371" s="1240" t="str">
        <f t="shared" si="66"/>
        <v/>
      </c>
      <c r="AE371" s="1239" t="str">
        <f t="shared" si="67"/>
        <v/>
      </c>
      <c r="AF371" s="1239" t="str">
        <f t="shared" si="68"/>
        <v>(preliminary)</v>
      </c>
      <c r="AG371" s="1239" t="str">
        <f t="shared" si="69"/>
        <v>(Approx. 50% Complete)</v>
      </c>
      <c r="AH371" s="1783" t="str">
        <f t="shared" si="70"/>
        <v>(Complete)</v>
      </c>
      <c r="AI371" s="1765" t="str">
        <f t="shared" si="71"/>
        <v>(Complete)</v>
      </c>
      <c r="AJ371" s="1239" t="str">
        <f t="shared" si="71"/>
        <v>(Complete)</v>
      </c>
      <c r="AK371" s="1239" t="s">
        <v>794</v>
      </c>
      <c r="AL371" s="1095"/>
      <c r="AM371" s="1095"/>
      <c r="AN371" s="1097"/>
      <c r="AO371" s="1095"/>
      <c r="AP371" s="1095"/>
      <c r="AQ371" s="1106"/>
      <c r="AR371" s="1097"/>
      <c r="AS371" s="1110"/>
      <c r="AT371" s="181"/>
      <c r="AU371" s="181"/>
      <c r="AV371" s="181"/>
      <c r="AW371" s="181"/>
      <c r="AX371" s="181"/>
      <c r="AY371" s="181"/>
      <c r="AZ371" s="181"/>
      <c r="BA371" s="181"/>
      <c r="BB371" s="181"/>
      <c r="BC371" s="181"/>
      <c r="BD371" s="181"/>
      <c r="BE371" s="181"/>
      <c r="BF371" s="181"/>
      <c r="BG371" s="181"/>
      <c r="BH371" s="181"/>
      <c r="BI371" s="181"/>
      <c r="BJ371" s="181"/>
      <c r="BK371" s="181"/>
      <c r="BL371" s="181"/>
      <c r="BM371" s="181"/>
      <c r="BN371" s="181"/>
      <c r="BO371" s="181"/>
      <c r="BP371" s="181"/>
      <c r="BQ371" s="181"/>
      <c r="BR371" s="181"/>
      <c r="BS371" s="181"/>
      <c r="BT371" s="181"/>
      <c r="BU371" s="181"/>
      <c r="BV371" s="181"/>
    </row>
    <row r="372" spans="1:74" s="30" customFormat="1" ht="15.75" x14ac:dyDescent="0.25">
      <c r="A372" s="545"/>
      <c r="B372" s="1579"/>
      <c r="C372" s="1110"/>
      <c r="D372" s="1145" t="s">
        <v>145</v>
      </c>
      <c r="E372" s="1147" t="str">
        <f t="shared" si="54"/>
        <v/>
      </c>
      <c r="F372" s="1124"/>
      <c r="G372" s="1703" t="s">
        <v>38</v>
      </c>
      <c r="H372" s="1704" t="s">
        <v>38</v>
      </c>
      <c r="I372" s="1703" t="s">
        <v>38</v>
      </c>
      <c r="J372" s="1705" t="s">
        <v>38</v>
      </c>
      <c r="K372" s="1703" t="s">
        <v>38</v>
      </c>
      <c r="L372" s="1704" t="s">
        <v>38</v>
      </c>
      <c r="M372" s="1703" t="s">
        <v>37</v>
      </c>
      <c r="N372" s="1704" t="s">
        <v>37</v>
      </c>
      <c r="O372" s="1703" t="s">
        <v>37</v>
      </c>
      <c r="P372" s="1706" t="s">
        <v>37</v>
      </c>
      <c r="Q372" s="1707" t="s">
        <v>37</v>
      </c>
      <c r="R372" s="1704" t="s">
        <v>37</v>
      </c>
      <c r="S372" s="1703" t="s">
        <v>37</v>
      </c>
      <c r="T372" s="1705" t="s">
        <v>37</v>
      </c>
      <c r="U372" s="1703" t="s">
        <v>37</v>
      </c>
      <c r="V372" s="1704" t="s">
        <v>37</v>
      </c>
      <c r="W372" s="1703" t="s">
        <v>38</v>
      </c>
      <c r="X372" s="1705" t="s">
        <v>38</v>
      </c>
      <c r="Y372" s="431"/>
      <c r="Z372" s="594" t="s">
        <v>482</v>
      </c>
      <c r="AA372" s="972" t="s">
        <v>38</v>
      </c>
      <c r="AB372" s="1913"/>
      <c r="AC372" s="1153"/>
      <c r="AD372" s="1240" t="str">
        <f t="shared" si="66"/>
        <v/>
      </c>
      <c r="AE372" s="1239" t="str">
        <f t="shared" si="67"/>
        <v/>
      </c>
      <c r="AF372" s="1239" t="str">
        <f t="shared" si="68"/>
        <v/>
      </c>
      <c r="AG372" s="1239" t="str">
        <f t="shared" si="69"/>
        <v>(Approx. 50% Complete)</v>
      </c>
      <c r="AH372" s="1783" t="str">
        <f t="shared" si="70"/>
        <v>(Complete)</v>
      </c>
      <c r="AI372" s="1765" t="str">
        <f t="shared" si="71"/>
        <v>(Complete)</v>
      </c>
      <c r="AJ372" s="1239" t="str">
        <f t="shared" si="71"/>
        <v>(Complete)</v>
      </c>
      <c r="AK372" s="1239" t="s">
        <v>794</v>
      </c>
      <c r="AL372" s="1095"/>
      <c r="AM372" s="1095"/>
      <c r="AN372" s="1097"/>
      <c r="AO372" s="1095"/>
      <c r="AP372" s="1095"/>
      <c r="AQ372" s="1103"/>
      <c r="AR372" s="1097"/>
      <c r="AS372" s="1110"/>
      <c r="AT372" s="181"/>
      <c r="AU372" s="181"/>
      <c r="AV372" s="181"/>
      <c r="AW372" s="181"/>
      <c r="AX372" s="181"/>
      <c r="AY372" s="181"/>
      <c r="AZ372" s="181"/>
      <c r="BA372" s="181"/>
      <c r="BB372" s="181"/>
      <c r="BC372" s="181"/>
      <c r="BD372" s="181"/>
      <c r="BE372" s="181"/>
      <c r="BF372" s="181"/>
      <c r="BG372" s="181"/>
      <c r="BH372" s="181"/>
      <c r="BI372" s="181"/>
      <c r="BJ372" s="181"/>
      <c r="BK372" s="181"/>
      <c r="BL372" s="181"/>
      <c r="BM372" s="181"/>
      <c r="BN372" s="181"/>
      <c r="BO372" s="181"/>
      <c r="BP372" s="181"/>
      <c r="BQ372" s="181"/>
      <c r="BR372" s="181"/>
      <c r="BS372" s="181"/>
      <c r="BT372" s="181"/>
      <c r="BU372" s="181"/>
      <c r="BV372" s="181"/>
    </row>
    <row r="373" spans="1:74" s="30" customFormat="1" ht="15.75" x14ac:dyDescent="0.25">
      <c r="A373" s="545"/>
      <c r="B373" s="1579"/>
      <c r="C373" s="1110"/>
      <c r="D373" s="1145" t="s">
        <v>145</v>
      </c>
      <c r="E373" s="1147" t="str">
        <f t="shared" si="54"/>
        <v/>
      </c>
      <c r="F373" s="1124"/>
      <c r="G373" s="1703" t="s">
        <v>38</v>
      </c>
      <c r="H373" s="1704" t="s">
        <v>38</v>
      </c>
      <c r="I373" s="1703" t="s">
        <v>38</v>
      </c>
      <c r="J373" s="1705" t="s">
        <v>38</v>
      </c>
      <c r="K373" s="1703" t="s">
        <v>38</v>
      </c>
      <c r="L373" s="1704" t="s">
        <v>38</v>
      </c>
      <c r="M373" s="1703" t="s">
        <v>37</v>
      </c>
      <c r="N373" s="1704" t="s">
        <v>37</v>
      </c>
      <c r="O373" s="1703" t="s">
        <v>37</v>
      </c>
      <c r="P373" s="1706" t="s">
        <v>37</v>
      </c>
      <c r="Q373" s="1707" t="s">
        <v>37</v>
      </c>
      <c r="R373" s="1704" t="s">
        <v>37</v>
      </c>
      <c r="S373" s="1703" t="s">
        <v>37</v>
      </c>
      <c r="T373" s="1705" t="s">
        <v>37</v>
      </c>
      <c r="U373" s="1703" t="s">
        <v>37</v>
      </c>
      <c r="V373" s="1704" t="s">
        <v>37</v>
      </c>
      <c r="W373" s="1703" t="s">
        <v>38</v>
      </c>
      <c r="X373" s="1705" t="s">
        <v>38</v>
      </c>
      <c r="Y373" s="431"/>
      <c r="Z373" s="595" t="s">
        <v>549</v>
      </c>
      <c r="AA373" s="972" t="s">
        <v>38</v>
      </c>
      <c r="AB373" s="1913"/>
      <c r="AC373" s="1153"/>
      <c r="AD373" s="1240" t="str">
        <f t="shared" si="66"/>
        <v/>
      </c>
      <c r="AE373" s="1239" t="str">
        <f t="shared" si="67"/>
        <v/>
      </c>
      <c r="AF373" s="1239" t="str">
        <f t="shared" si="68"/>
        <v/>
      </c>
      <c r="AG373" s="1239" t="str">
        <f t="shared" si="69"/>
        <v>(Approx. 50% Complete)</v>
      </c>
      <c r="AH373" s="1783" t="str">
        <f t="shared" si="70"/>
        <v>(Complete)</v>
      </c>
      <c r="AI373" s="1765" t="str">
        <f t="shared" si="71"/>
        <v>(Complete)</v>
      </c>
      <c r="AJ373" s="1239" t="str">
        <f t="shared" si="71"/>
        <v>(Complete)</v>
      </c>
      <c r="AK373" s="1239" t="s">
        <v>794</v>
      </c>
      <c r="AL373" s="1095"/>
      <c r="AM373" s="1095"/>
      <c r="AN373" s="1097"/>
      <c r="AO373" s="1095"/>
      <c r="AP373" s="1095"/>
      <c r="AQ373" s="1104"/>
      <c r="AR373" s="1105"/>
      <c r="AS373" s="1110"/>
      <c r="AT373" s="181"/>
      <c r="AU373" s="181"/>
      <c r="AV373" s="181"/>
      <c r="AW373" s="181"/>
      <c r="AX373" s="181"/>
      <c r="AY373" s="181"/>
      <c r="AZ373" s="181"/>
      <c r="BA373" s="181"/>
      <c r="BB373" s="181"/>
      <c r="BC373" s="181"/>
      <c r="BD373" s="181"/>
      <c r="BE373" s="181"/>
      <c r="BF373" s="181"/>
      <c r="BG373" s="181"/>
      <c r="BH373" s="181"/>
      <c r="BI373" s="181"/>
      <c r="BJ373" s="181"/>
      <c r="BK373" s="181"/>
      <c r="BL373" s="181"/>
      <c r="BM373" s="181"/>
      <c r="BN373" s="181"/>
      <c r="BO373" s="181"/>
      <c r="BP373" s="181"/>
      <c r="BQ373" s="181"/>
      <c r="BR373" s="181"/>
      <c r="BS373" s="181"/>
      <c r="BT373" s="181"/>
      <c r="BU373" s="181"/>
      <c r="BV373" s="181"/>
    </row>
    <row r="374" spans="1:74" s="30" customFormat="1" ht="15.75" x14ac:dyDescent="0.25">
      <c r="A374" s="545"/>
      <c r="B374" s="1579"/>
      <c r="C374" s="1110"/>
      <c r="D374" s="1145" t="s">
        <v>145</v>
      </c>
      <c r="E374" s="1147" t="str">
        <f t="shared" si="54"/>
        <v/>
      </c>
      <c r="F374" s="1124"/>
      <c r="G374" s="1703" t="s">
        <v>38</v>
      </c>
      <c r="H374" s="1704" t="s">
        <v>38</v>
      </c>
      <c r="I374" s="1703" t="s">
        <v>38</v>
      </c>
      <c r="J374" s="1705" t="s">
        <v>38</v>
      </c>
      <c r="K374" s="1703" t="s">
        <v>38</v>
      </c>
      <c r="L374" s="1704" t="s">
        <v>38</v>
      </c>
      <c r="M374" s="1703" t="s">
        <v>37</v>
      </c>
      <c r="N374" s="1704" t="s">
        <v>37</v>
      </c>
      <c r="O374" s="1703" t="s">
        <v>37</v>
      </c>
      <c r="P374" s="1706" t="s">
        <v>37</v>
      </c>
      <c r="Q374" s="1707" t="s">
        <v>37</v>
      </c>
      <c r="R374" s="1704" t="s">
        <v>37</v>
      </c>
      <c r="S374" s="1703" t="s">
        <v>37</v>
      </c>
      <c r="T374" s="1705" t="s">
        <v>37</v>
      </c>
      <c r="U374" s="1703" t="s">
        <v>37</v>
      </c>
      <c r="V374" s="1704" t="s">
        <v>37</v>
      </c>
      <c r="W374" s="1703" t="s">
        <v>38</v>
      </c>
      <c r="X374" s="1705" t="s">
        <v>38</v>
      </c>
      <c r="Y374" s="431"/>
      <c r="Z374" s="595" t="s">
        <v>550</v>
      </c>
      <c r="AA374" s="972" t="s">
        <v>38</v>
      </c>
      <c r="AB374" s="1913"/>
      <c r="AC374" s="1153"/>
      <c r="AD374" s="1240" t="str">
        <f t="shared" si="66"/>
        <v/>
      </c>
      <c r="AE374" s="1239" t="str">
        <f t="shared" si="67"/>
        <v/>
      </c>
      <c r="AF374" s="1239" t="str">
        <f t="shared" si="68"/>
        <v/>
      </c>
      <c r="AG374" s="1239" t="str">
        <f t="shared" si="69"/>
        <v>(Approx. 50% Complete)</v>
      </c>
      <c r="AH374" s="1783" t="str">
        <f t="shared" si="70"/>
        <v>(Complete)</v>
      </c>
      <c r="AI374" s="1765" t="str">
        <f t="shared" si="71"/>
        <v>(Complete)</v>
      </c>
      <c r="AJ374" s="1239" t="str">
        <f t="shared" si="71"/>
        <v>(Complete)</v>
      </c>
      <c r="AK374" s="1239" t="s">
        <v>794</v>
      </c>
      <c r="AL374" s="1095"/>
      <c r="AM374" s="1095"/>
      <c r="AN374" s="1097"/>
      <c r="AO374" s="1095"/>
      <c r="AP374" s="1095"/>
      <c r="AQ374" s="1105"/>
      <c r="AR374" s="1097"/>
      <c r="AS374" s="1110"/>
      <c r="AT374" s="181"/>
      <c r="AU374" s="181"/>
      <c r="AV374" s="181"/>
      <c r="AW374" s="181"/>
      <c r="AX374" s="181"/>
      <c r="AY374" s="181"/>
      <c r="AZ374" s="181"/>
      <c r="BA374" s="181"/>
      <c r="BB374" s="181"/>
      <c r="BC374" s="181"/>
      <c r="BD374" s="181"/>
      <c r="BE374" s="181"/>
      <c r="BF374" s="181"/>
      <c r="BG374" s="181"/>
      <c r="BH374" s="181"/>
      <c r="BI374" s="181"/>
      <c r="BJ374" s="181"/>
      <c r="BK374" s="181"/>
      <c r="BL374" s="181"/>
      <c r="BM374" s="181"/>
      <c r="BN374" s="181"/>
      <c r="BO374" s="181"/>
      <c r="BP374" s="181"/>
      <c r="BQ374" s="181"/>
      <c r="BR374" s="181"/>
      <c r="BS374" s="181"/>
      <c r="BT374" s="181"/>
      <c r="BU374" s="181"/>
      <c r="BV374" s="181"/>
    </row>
    <row r="375" spans="1:74" s="30" customFormat="1" ht="15.75" x14ac:dyDescent="0.25">
      <c r="A375" s="545"/>
      <c r="B375" s="1579"/>
      <c r="C375" s="1110"/>
      <c r="D375" s="1145" t="s">
        <v>145</v>
      </c>
      <c r="E375" s="1147" t="str">
        <f t="shared" si="54"/>
        <v/>
      </c>
      <c r="F375" s="1124"/>
      <c r="G375" s="1703" t="s">
        <v>38</v>
      </c>
      <c r="H375" s="1704" t="s">
        <v>38</v>
      </c>
      <c r="I375" s="1703" t="s">
        <v>38</v>
      </c>
      <c r="J375" s="1705" t="s">
        <v>38</v>
      </c>
      <c r="K375" s="1703" t="s">
        <v>38</v>
      </c>
      <c r="L375" s="1704" t="s">
        <v>38</v>
      </c>
      <c r="M375" s="1703" t="s">
        <v>37</v>
      </c>
      <c r="N375" s="1704" t="s">
        <v>37</v>
      </c>
      <c r="O375" s="1703" t="s">
        <v>37</v>
      </c>
      <c r="P375" s="1706" t="s">
        <v>37</v>
      </c>
      <c r="Q375" s="1707" t="s">
        <v>37</v>
      </c>
      <c r="R375" s="1704" t="s">
        <v>37</v>
      </c>
      <c r="S375" s="1703" t="s">
        <v>37</v>
      </c>
      <c r="T375" s="1705" t="s">
        <v>37</v>
      </c>
      <c r="U375" s="1703" t="s">
        <v>37</v>
      </c>
      <c r="V375" s="1704" t="s">
        <v>37</v>
      </c>
      <c r="W375" s="1703" t="s">
        <v>38</v>
      </c>
      <c r="X375" s="1705" t="s">
        <v>38</v>
      </c>
      <c r="Y375" s="431"/>
      <c r="Z375" s="595" t="s">
        <v>551</v>
      </c>
      <c r="AA375" s="972" t="s">
        <v>38</v>
      </c>
      <c r="AB375" s="1913"/>
      <c r="AC375" s="1153"/>
      <c r="AD375" s="1240" t="str">
        <f t="shared" si="66"/>
        <v/>
      </c>
      <c r="AE375" s="1239" t="str">
        <f t="shared" si="67"/>
        <v/>
      </c>
      <c r="AF375" s="1239" t="str">
        <f t="shared" si="68"/>
        <v/>
      </c>
      <c r="AG375" s="1239" t="str">
        <f t="shared" si="69"/>
        <v>(Approx. 50% Complete)</v>
      </c>
      <c r="AH375" s="1783" t="str">
        <f t="shared" si="70"/>
        <v>(Complete)</v>
      </c>
      <c r="AI375" s="1765" t="str">
        <f t="shared" si="71"/>
        <v>(Complete)</v>
      </c>
      <c r="AJ375" s="1239" t="str">
        <f t="shared" si="71"/>
        <v>(Complete)</v>
      </c>
      <c r="AK375" s="1239" t="s">
        <v>794</v>
      </c>
      <c r="AL375" s="1095"/>
      <c r="AM375" s="1095"/>
      <c r="AN375" s="1097"/>
      <c r="AO375" s="1095"/>
      <c r="AP375" s="1095"/>
      <c r="AQ375" s="1104"/>
      <c r="AR375" s="1105"/>
      <c r="AS375" s="1110"/>
      <c r="AT375" s="181"/>
      <c r="AU375" s="181"/>
      <c r="AV375" s="181"/>
      <c r="AW375" s="181"/>
      <c r="AX375" s="181"/>
      <c r="AY375" s="181"/>
      <c r="AZ375" s="181"/>
      <c r="BA375" s="181"/>
      <c r="BB375" s="181"/>
      <c r="BC375" s="181"/>
      <c r="BD375" s="181"/>
      <c r="BE375" s="181"/>
      <c r="BF375" s="181"/>
      <c r="BG375" s="181"/>
      <c r="BH375" s="181"/>
      <c r="BI375" s="181"/>
      <c r="BJ375" s="181"/>
      <c r="BK375" s="181"/>
      <c r="BL375" s="181"/>
      <c r="BM375" s="181"/>
      <c r="BN375" s="181"/>
      <c r="BO375" s="181"/>
      <c r="BP375" s="181"/>
      <c r="BQ375" s="181"/>
      <c r="BR375" s="181"/>
      <c r="BS375" s="181"/>
      <c r="BT375" s="181"/>
      <c r="BU375" s="181"/>
      <c r="BV375" s="181"/>
    </row>
    <row r="376" spans="1:74" s="30" customFormat="1" ht="15.75" x14ac:dyDescent="0.25">
      <c r="A376" s="545"/>
      <c r="B376" s="1579"/>
      <c r="C376" s="1110"/>
      <c r="D376" s="1145" t="s">
        <v>145</v>
      </c>
      <c r="E376" s="1147" t="str">
        <f t="shared" si="54"/>
        <v/>
      </c>
      <c r="F376" s="1124"/>
      <c r="G376" s="1703" t="s">
        <v>38</v>
      </c>
      <c r="H376" s="1704" t="s">
        <v>38</v>
      </c>
      <c r="I376" s="1703" t="s">
        <v>38</v>
      </c>
      <c r="J376" s="1705" t="s">
        <v>38</v>
      </c>
      <c r="K376" s="1703" t="s">
        <v>38</v>
      </c>
      <c r="L376" s="1704" t="s">
        <v>38</v>
      </c>
      <c r="M376" s="1703" t="s">
        <v>37</v>
      </c>
      <c r="N376" s="1704" t="s">
        <v>37</v>
      </c>
      <c r="O376" s="1703" t="s">
        <v>37</v>
      </c>
      <c r="P376" s="1706" t="s">
        <v>37</v>
      </c>
      <c r="Q376" s="1707" t="s">
        <v>37</v>
      </c>
      <c r="R376" s="1704" t="s">
        <v>37</v>
      </c>
      <c r="S376" s="1703" t="s">
        <v>37</v>
      </c>
      <c r="T376" s="1705" t="s">
        <v>37</v>
      </c>
      <c r="U376" s="1703" t="s">
        <v>37</v>
      </c>
      <c r="V376" s="1704" t="s">
        <v>37</v>
      </c>
      <c r="W376" s="1703" t="s">
        <v>38</v>
      </c>
      <c r="X376" s="1705" t="s">
        <v>38</v>
      </c>
      <c r="Y376" s="431"/>
      <c r="Z376" s="595" t="s">
        <v>552</v>
      </c>
      <c r="AA376" s="972" t="s">
        <v>38</v>
      </c>
      <c r="AB376" s="1913"/>
      <c r="AC376" s="1153"/>
      <c r="AD376" s="1240" t="str">
        <f t="shared" si="66"/>
        <v/>
      </c>
      <c r="AE376" s="1239" t="str">
        <f t="shared" si="67"/>
        <v/>
      </c>
      <c r="AF376" s="1239" t="str">
        <f t="shared" si="68"/>
        <v/>
      </c>
      <c r="AG376" s="1239" t="str">
        <f t="shared" si="69"/>
        <v>(Approx. 50% Complete)</v>
      </c>
      <c r="AH376" s="1783" t="str">
        <f t="shared" si="70"/>
        <v>(Complete)</v>
      </c>
      <c r="AI376" s="1765" t="str">
        <f t="shared" si="71"/>
        <v>(Complete)</v>
      </c>
      <c r="AJ376" s="1239" t="str">
        <f t="shared" si="71"/>
        <v>(Complete)</v>
      </c>
      <c r="AK376" s="1239" t="s">
        <v>794</v>
      </c>
      <c r="AL376" s="1095"/>
      <c r="AM376" s="1095"/>
      <c r="AN376" s="1097"/>
      <c r="AO376" s="1095"/>
      <c r="AP376" s="1095"/>
      <c r="AQ376" s="1097"/>
      <c r="AR376" s="1111"/>
      <c r="AS376" s="1110"/>
      <c r="AT376" s="181"/>
      <c r="AU376" s="181"/>
      <c r="AV376" s="181"/>
      <c r="AW376" s="181"/>
      <c r="AX376" s="181"/>
      <c r="AY376" s="181"/>
      <c r="AZ376" s="181"/>
      <c r="BA376" s="181"/>
      <c r="BB376" s="181"/>
      <c r="BC376" s="181"/>
      <c r="BD376" s="181"/>
      <c r="BE376" s="181"/>
      <c r="BF376" s="181"/>
      <c r="BG376" s="181"/>
      <c r="BH376" s="181"/>
      <c r="BI376" s="181"/>
      <c r="BJ376" s="181"/>
      <c r="BK376" s="181"/>
      <c r="BL376" s="181"/>
      <c r="BM376" s="181"/>
      <c r="BN376" s="181"/>
      <c r="BO376" s="181"/>
      <c r="BP376" s="181"/>
      <c r="BQ376" s="181"/>
      <c r="BR376" s="181"/>
      <c r="BS376" s="181"/>
      <c r="BT376" s="181"/>
      <c r="BU376" s="181"/>
      <c r="BV376" s="181"/>
    </row>
    <row r="377" spans="1:74" s="30" customFormat="1" ht="15.75" x14ac:dyDescent="0.25">
      <c r="A377" s="545"/>
      <c r="B377" s="1579"/>
      <c r="C377" s="1110"/>
      <c r="D377" s="1145" t="s">
        <v>145</v>
      </c>
      <c r="E377" s="1147" t="str">
        <f t="shared" si="54"/>
        <v/>
      </c>
      <c r="F377" s="1124"/>
      <c r="G377" s="1703" t="s">
        <v>38</v>
      </c>
      <c r="H377" s="1704" t="s">
        <v>38</v>
      </c>
      <c r="I377" s="1703" t="s">
        <v>38</v>
      </c>
      <c r="J377" s="1705" t="s">
        <v>38</v>
      </c>
      <c r="K377" s="1703" t="s">
        <v>38</v>
      </c>
      <c r="L377" s="1704" t="s">
        <v>38</v>
      </c>
      <c r="M377" s="1703" t="s">
        <v>37</v>
      </c>
      <c r="N377" s="1704" t="s">
        <v>37</v>
      </c>
      <c r="O377" s="1703" t="s">
        <v>37</v>
      </c>
      <c r="P377" s="1706" t="s">
        <v>37</v>
      </c>
      <c r="Q377" s="1707" t="s">
        <v>37</v>
      </c>
      <c r="R377" s="1704" t="s">
        <v>37</v>
      </c>
      <c r="S377" s="1703" t="s">
        <v>37</v>
      </c>
      <c r="T377" s="1705" t="s">
        <v>37</v>
      </c>
      <c r="U377" s="1703" t="s">
        <v>37</v>
      </c>
      <c r="V377" s="1704" t="s">
        <v>37</v>
      </c>
      <c r="W377" s="1703" t="s">
        <v>38</v>
      </c>
      <c r="X377" s="1705" t="s">
        <v>38</v>
      </c>
      <c r="Y377" s="431"/>
      <c r="Z377" s="595" t="s">
        <v>553</v>
      </c>
      <c r="AA377" s="972" t="s">
        <v>38</v>
      </c>
      <c r="AB377" s="1913"/>
      <c r="AC377" s="1153"/>
      <c r="AD377" s="1240" t="str">
        <f t="shared" si="66"/>
        <v/>
      </c>
      <c r="AE377" s="1239" t="str">
        <f t="shared" si="67"/>
        <v/>
      </c>
      <c r="AF377" s="1239" t="str">
        <f t="shared" si="68"/>
        <v/>
      </c>
      <c r="AG377" s="1239" t="str">
        <f t="shared" si="69"/>
        <v>(Approx. 50% Complete)</v>
      </c>
      <c r="AH377" s="1783" t="str">
        <f t="shared" si="70"/>
        <v>(Complete)</v>
      </c>
      <c r="AI377" s="1765" t="str">
        <f t="shared" si="71"/>
        <v>(Complete)</v>
      </c>
      <c r="AJ377" s="1239" t="str">
        <f t="shared" si="71"/>
        <v>(Complete)</v>
      </c>
      <c r="AK377" s="1239" t="s">
        <v>794</v>
      </c>
      <c r="AL377" s="1095"/>
      <c r="AM377" s="1095"/>
      <c r="AN377" s="1097"/>
      <c r="AO377" s="1095"/>
      <c r="AP377" s="1095"/>
      <c r="AQ377" s="1106"/>
      <c r="AR377" s="1097"/>
      <c r="AS377" s="1110"/>
      <c r="AT377" s="181"/>
      <c r="AU377" s="181"/>
      <c r="AV377" s="181"/>
      <c r="AW377" s="181"/>
      <c r="AX377" s="181"/>
      <c r="AY377" s="181"/>
      <c r="AZ377" s="181"/>
      <c r="BA377" s="181"/>
      <c r="BB377" s="181"/>
      <c r="BC377" s="181"/>
      <c r="BD377" s="181"/>
      <c r="BE377" s="181"/>
      <c r="BF377" s="181"/>
      <c r="BG377" s="181"/>
      <c r="BH377" s="181"/>
      <c r="BI377" s="181"/>
      <c r="BJ377" s="181"/>
      <c r="BK377" s="181"/>
      <c r="BL377" s="181"/>
      <c r="BM377" s="181"/>
      <c r="BN377" s="181"/>
      <c r="BO377" s="181"/>
      <c r="BP377" s="181"/>
      <c r="BQ377" s="181"/>
      <c r="BR377" s="181"/>
      <c r="BS377" s="181"/>
      <c r="BT377" s="181"/>
      <c r="BU377" s="181"/>
      <c r="BV377" s="181"/>
    </row>
    <row r="378" spans="1:74" s="30" customFormat="1" ht="15.75" x14ac:dyDescent="0.25">
      <c r="A378" s="545"/>
      <c r="B378" s="1579"/>
      <c r="C378" s="1110"/>
      <c r="D378" s="1145" t="s">
        <v>145</v>
      </c>
      <c r="E378" s="1147" t="str">
        <f t="shared" si="54"/>
        <v/>
      </c>
      <c r="F378" s="1124"/>
      <c r="G378" s="1703" t="s">
        <v>38</v>
      </c>
      <c r="H378" s="1704" t="s">
        <v>38</v>
      </c>
      <c r="I378" s="1703" t="s">
        <v>38</v>
      </c>
      <c r="J378" s="1705" t="s">
        <v>38</v>
      </c>
      <c r="K378" s="1703" t="s">
        <v>38</v>
      </c>
      <c r="L378" s="1704" t="s">
        <v>38</v>
      </c>
      <c r="M378" s="1703" t="s">
        <v>37</v>
      </c>
      <c r="N378" s="1704" t="s">
        <v>37</v>
      </c>
      <c r="O378" s="1703" t="s">
        <v>37</v>
      </c>
      <c r="P378" s="1706" t="s">
        <v>37</v>
      </c>
      <c r="Q378" s="1707" t="s">
        <v>37</v>
      </c>
      <c r="R378" s="1704" t="s">
        <v>37</v>
      </c>
      <c r="S378" s="1703" t="s">
        <v>37</v>
      </c>
      <c r="T378" s="1705" t="s">
        <v>37</v>
      </c>
      <c r="U378" s="1703" t="s">
        <v>37</v>
      </c>
      <c r="V378" s="1704" t="s">
        <v>37</v>
      </c>
      <c r="W378" s="1703" t="s">
        <v>38</v>
      </c>
      <c r="X378" s="1705" t="s">
        <v>38</v>
      </c>
      <c r="Y378" s="431"/>
      <c r="Z378" s="595" t="s">
        <v>554</v>
      </c>
      <c r="AA378" s="972" t="s">
        <v>38</v>
      </c>
      <c r="AB378" s="1913"/>
      <c r="AC378" s="1153"/>
      <c r="AD378" s="1240" t="str">
        <f t="shared" si="66"/>
        <v/>
      </c>
      <c r="AE378" s="1239" t="str">
        <f t="shared" si="67"/>
        <v/>
      </c>
      <c r="AF378" s="1239" t="str">
        <f t="shared" si="68"/>
        <v/>
      </c>
      <c r="AG378" s="1239" t="str">
        <f t="shared" si="69"/>
        <v>(Approx. 50% Complete)</v>
      </c>
      <c r="AH378" s="1783" t="str">
        <f t="shared" si="70"/>
        <v>(Complete)</v>
      </c>
      <c r="AI378" s="1765" t="str">
        <f t="shared" si="71"/>
        <v>(Complete)</v>
      </c>
      <c r="AJ378" s="1239" t="str">
        <f t="shared" si="71"/>
        <v>(Complete)</v>
      </c>
      <c r="AK378" s="1239" t="s">
        <v>794</v>
      </c>
      <c r="AL378" s="1095"/>
      <c r="AM378" s="1095"/>
      <c r="AN378" s="1097"/>
      <c r="AO378" s="1095"/>
      <c r="AP378" s="1095"/>
      <c r="AQ378" s="1106"/>
      <c r="AR378" s="1097"/>
      <c r="AS378" s="1110"/>
      <c r="AT378" s="181"/>
      <c r="AU378" s="181"/>
      <c r="AV378" s="181"/>
      <c r="AW378" s="181"/>
      <c r="AX378" s="181"/>
      <c r="AY378" s="181"/>
      <c r="AZ378" s="181"/>
      <c r="BA378" s="181"/>
      <c r="BB378" s="181"/>
      <c r="BC378" s="181"/>
      <c r="BD378" s="181"/>
      <c r="BE378" s="181"/>
      <c r="BF378" s="181"/>
      <c r="BG378" s="181"/>
      <c r="BH378" s="181"/>
      <c r="BI378" s="181"/>
      <c r="BJ378" s="181"/>
      <c r="BK378" s="181"/>
      <c r="BL378" s="181"/>
      <c r="BM378" s="181"/>
      <c r="BN378" s="181"/>
      <c r="BO378" s="181"/>
      <c r="BP378" s="181"/>
      <c r="BQ378" s="181"/>
      <c r="BR378" s="181"/>
      <c r="BS378" s="181"/>
      <c r="BT378" s="181"/>
      <c r="BU378" s="181"/>
      <c r="BV378" s="181"/>
    </row>
    <row r="379" spans="1:74" s="30" customFormat="1" ht="15.75" x14ac:dyDescent="0.25">
      <c r="A379" s="545"/>
      <c r="B379" s="1579"/>
      <c r="C379" s="1110"/>
      <c r="D379" s="1145" t="s">
        <v>145</v>
      </c>
      <c r="E379" s="1147" t="str">
        <f t="shared" si="54"/>
        <v/>
      </c>
      <c r="F379" s="1124"/>
      <c r="G379" s="1703" t="s">
        <v>38</v>
      </c>
      <c r="H379" s="1704" t="s">
        <v>38</v>
      </c>
      <c r="I379" s="1703" t="s">
        <v>38</v>
      </c>
      <c r="J379" s="1705" t="s">
        <v>38</v>
      </c>
      <c r="K379" s="1703" t="s">
        <v>38</v>
      </c>
      <c r="L379" s="1704" t="s">
        <v>38</v>
      </c>
      <c r="M379" s="1703" t="s">
        <v>37</v>
      </c>
      <c r="N379" s="1704" t="s">
        <v>37</v>
      </c>
      <c r="O379" s="1703" t="s">
        <v>37</v>
      </c>
      <c r="P379" s="1706" t="s">
        <v>37</v>
      </c>
      <c r="Q379" s="1707" t="s">
        <v>37</v>
      </c>
      <c r="R379" s="1704" t="s">
        <v>37</v>
      </c>
      <c r="S379" s="1703" t="s">
        <v>37</v>
      </c>
      <c r="T379" s="1705" t="s">
        <v>37</v>
      </c>
      <c r="U379" s="1703" t="s">
        <v>37</v>
      </c>
      <c r="V379" s="1704" t="s">
        <v>37</v>
      </c>
      <c r="W379" s="1703" t="s">
        <v>38</v>
      </c>
      <c r="X379" s="1705" t="s">
        <v>38</v>
      </c>
      <c r="Y379" s="431"/>
      <c r="Z379" s="595" t="s">
        <v>555</v>
      </c>
      <c r="AA379" s="972" t="s">
        <v>38</v>
      </c>
      <c r="AB379" s="1913"/>
      <c r="AC379" s="1153"/>
      <c r="AD379" s="1240" t="str">
        <f t="shared" si="66"/>
        <v/>
      </c>
      <c r="AE379" s="1239" t="str">
        <f t="shared" si="67"/>
        <v/>
      </c>
      <c r="AF379" s="1239" t="str">
        <f t="shared" si="68"/>
        <v/>
      </c>
      <c r="AG379" s="1239" t="str">
        <f t="shared" si="69"/>
        <v>(Approx. 50% Complete)</v>
      </c>
      <c r="AH379" s="1783" t="str">
        <f t="shared" si="70"/>
        <v>(Complete)</v>
      </c>
      <c r="AI379" s="1765" t="str">
        <f t="shared" si="71"/>
        <v>(Complete)</v>
      </c>
      <c r="AJ379" s="1239" t="str">
        <f t="shared" si="71"/>
        <v>(Complete)</v>
      </c>
      <c r="AK379" s="1239" t="s">
        <v>794</v>
      </c>
      <c r="AL379" s="1095"/>
      <c r="AM379" s="1095"/>
      <c r="AN379" s="1097"/>
      <c r="AO379" s="1095"/>
      <c r="AP379" s="1095"/>
      <c r="AQ379" s="1106"/>
      <c r="AR379" s="1097"/>
      <c r="AS379" s="1110"/>
      <c r="AT379" s="181"/>
      <c r="AU379" s="181"/>
      <c r="AV379" s="181"/>
      <c r="AW379" s="181"/>
      <c r="AX379" s="181"/>
      <c r="AY379" s="181"/>
      <c r="AZ379" s="181"/>
      <c r="BA379" s="181"/>
      <c r="BB379" s="181"/>
      <c r="BC379" s="181"/>
      <c r="BD379" s="181"/>
      <c r="BE379" s="181"/>
      <c r="BF379" s="181"/>
      <c r="BG379" s="181"/>
      <c r="BH379" s="181"/>
      <c r="BI379" s="181"/>
      <c r="BJ379" s="181"/>
      <c r="BK379" s="181"/>
      <c r="BL379" s="181"/>
      <c r="BM379" s="181"/>
      <c r="BN379" s="181"/>
      <c r="BO379" s="181"/>
      <c r="BP379" s="181"/>
      <c r="BQ379" s="181"/>
      <c r="BR379" s="181"/>
      <c r="BS379" s="181"/>
      <c r="BT379" s="181"/>
      <c r="BU379" s="181"/>
      <c r="BV379" s="181"/>
    </row>
    <row r="380" spans="1:74" s="30" customFormat="1" ht="15.75" x14ac:dyDescent="0.25">
      <c r="A380" s="545"/>
      <c r="B380" s="1579"/>
      <c r="C380" s="1110"/>
      <c r="D380" s="1145" t="s">
        <v>145</v>
      </c>
      <c r="E380" s="1147" t="str">
        <f t="shared" si="54"/>
        <v/>
      </c>
      <c r="F380" s="1124"/>
      <c r="G380" s="1703" t="s">
        <v>38</v>
      </c>
      <c r="H380" s="1704" t="s">
        <v>38</v>
      </c>
      <c r="I380" s="1703" t="s">
        <v>38</v>
      </c>
      <c r="J380" s="1705" t="s">
        <v>38</v>
      </c>
      <c r="K380" s="1703" t="s">
        <v>38</v>
      </c>
      <c r="L380" s="1704" t="s">
        <v>38</v>
      </c>
      <c r="M380" s="1703" t="s">
        <v>37</v>
      </c>
      <c r="N380" s="1704" t="s">
        <v>37</v>
      </c>
      <c r="O380" s="1703" t="s">
        <v>37</v>
      </c>
      <c r="P380" s="1706" t="s">
        <v>37</v>
      </c>
      <c r="Q380" s="1707" t="s">
        <v>37</v>
      </c>
      <c r="R380" s="1704" t="s">
        <v>37</v>
      </c>
      <c r="S380" s="1703" t="s">
        <v>37</v>
      </c>
      <c r="T380" s="1705" t="s">
        <v>37</v>
      </c>
      <c r="U380" s="1703" t="s">
        <v>37</v>
      </c>
      <c r="V380" s="1704" t="s">
        <v>37</v>
      </c>
      <c r="W380" s="1703" t="s">
        <v>38</v>
      </c>
      <c r="X380" s="1705" t="s">
        <v>38</v>
      </c>
      <c r="Y380" s="431"/>
      <c r="Z380" s="594" t="s">
        <v>392</v>
      </c>
      <c r="AA380" s="972" t="s">
        <v>38</v>
      </c>
      <c r="AB380" s="1913"/>
      <c r="AC380" s="1153"/>
      <c r="AD380" s="1240" t="str">
        <f t="shared" si="66"/>
        <v/>
      </c>
      <c r="AE380" s="1239" t="str">
        <f t="shared" si="67"/>
        <v/>
      </c>
      <c r="AF380" s="1239" t="str">
        <f t="shared" si="68"/>
        <v/>
      </c>
      <c r="AG380" s="1239" t="str">
        <f t="shared" si="69"/>
        <v>(Approx. 50% Complete)</v>
      </c>
      <c r="AH380" s="1783" t="str">
        <f t="shared" si="70"/>
        <v>(Complete)</v>
      </c>
      <c r="AI380" s="1765" t="str">
        <f t="shared" si="71"/>
        <v>(Complete)</v>
      </c>
      <c r="AJ380" s="1239" t="str">
        <f t="shared" si="71"/>
        <v>(Complete)</v>
      </c>
      <c r="AK380" s="1239" t="s">
        <v>794</v>
      </c>
      <c r="AL380" s="1095"/>
      <c r="AM380" s="1095"/>
      <c r="AN380" s="1097"/>
      <c r="AO380" s="1095"/>
      <c r="AP380" s="1095"/>
      <c r="AQ380" s="1106"/>
      <c r="AR380" s="1097"/>
      <c r="AS380" s="1110"/>
      <c r="AT380" s="181"/>
      <c r="AU380" s="181"/>
      <c r="AV380" s="181"/>
      <c r="AW380" s="181"/>
      <c r="AX380" s="181"/>
      <c r="AY380" s="181"/>
      <c r="AZ380" s="181"/>
      <c r="BA380" s="181"/>
      <c r="BB380" s="181"/>
      <c r="BC380" s="181"/>
      <c r="BD380" s="181"/>
      <c r="BE380" s="181"/>
      <c r="BF380" s="181"/>
      <c r="BG380" s="181"/>
      <c r="BH380" s="181"/>
      <c r="BI380" s="181"/>
      <c r="BJ380" s="181"/>
      <c r="BK380" s="181"/>
      <c r="BL380" s="181"/>
      <c r="BM380" s="181"/>
      <c r="BN380" s="181"/>
      <c r="BO380" s="181"/>
      <c r="BP380" s="181"/>
      <c r="BQ380" s="181"/>
      <c r="BR380" s="181"/>
      <c r="BS380" s="181"/>
      <c r="BT380" s="181"/>
      <c r="BU380" s="181"/>
      <c r="BV380" s="181"/>
    </row>
    <row r="381" spans="1:74" s="181" customFormat="1" ht="18.75" x14ac:dyDescent="0.25">
      <c r="A381" s="551"/>
      <c r="B381" s="1578"/>
      <c r="C381" s="1110"/>
      <c r="D381" s="1142"/>
      <c r="E381" s="1144" t="str">
        <f t="shared" si="54"/>
        <v/>
      </c>
      <c r="F381" s="1166"/>
      <c r="G381" s="1720" t="s">
        <v>208</v>
      </c>
      <c r="H381" s="1686" t="s">
        <v>208</v>
      </c>
      <c r="I381" s="1720" t="s">
        <v>208</v>
      </c>
      <c r="J381" s="1690" t="s">
        <v>208</v>
      </c>
      <c r="K381" s="1720" t="s">
        <v>208</v>
      </c>
      <c r="L381" s="1686" t="s">
        <v>208</v>
      </c>
      <c r="M381" s="1720" t="s">
        <v>208</v>
      </c>
      <c r="N381" s="1686" t="s">
        <v>208</v>
      </c>
      <c r="O381" s="1720" t="s">
        <v>208</v>
      </c>
      <c r="P381" s="1688" t="s">
        <v>208</v>
      </c>
      <c r="Q381" s="1721" t="s">
        <v>208</v>
      </c>
      <c r="R381" s="1686" t="s">
        <v>208</v>
      </c>
      <c r="S381" s="1720" t="s">
        <v>208</v>
      </c>
      <c r="T381" s="1690" t="s">
        <v>208</v>
      </c>
      <c r="U381" s="1720" t="s">
        <v>208</v>
      </c>
      <c r="V381" s="1686" t="s">
        <v>208</v>
      </c>
      <c r="W381" s="1720" t="s">
        <v>208</v>
      </c>
      <c r="X381" s="1690" t="s">
        <v>208</v>
      </c>
      <c r="Y381" s="437"/>
      <c r="Z381" s="597"/>
      <c r="AA381" s="971" t="s">
        <v>208</v>
      </c>
      <c r="AB381" s="1909"/>
      <c r="AC381" s="1153"/>
      <c r="AD381" s="1247"/>
      <c r="AE381" s="1248"/>
      <c r="AF381" s="1249"/>
      <c r="AG381" s="1248"/>
      <c r="AH381" s="1792"/>
      <c r="AI381" s="1773"/>
      <c r="AJ381" s="1265"/>
      <c r="AK381" s="1265"/>
      <c r="AL381" s="1095"/>
      <c r="AM381" s="1095"/>
      <c r="AN381" s="1095"/>
      <c r="AO381" s="1095"/>
      <c r="AP381" s="1095"/>
      <c r="AQ381" s="1104"/>
      <c r="AR381" s="1105"/>
      <c r="AS381" s="1110"/>
    </row>
    <row r="382" spans="1:74" s="30" customFormat="1" ht="18.75" x14ac:dyDescent="0.25">
      <c r="A382" s="545"/>
      <c r="B382" s="1579"/>
      <c r="C382" s="1097"/>
      <c r="D382" s="1142" t="s">
        <v>144</v>
      </c>
      <c r="E382" s="1143" t="str">
        <f t="shared" si="54"/>
        <v>N</v>
      </c>
      <c r="F382" s="1124"/>
      <c r="G382" s="1680" t="s">
        <v>38</v>
      </c>
      <c r="H382" s="1681" t="s">
        <v>38</v>
      </c>
      <c r="I382" s="1680" t="s">
        <v>38</v>
      </c>
      <c r="J382" s="1682" t="s">
        <v>38</v>
      </c>
      <c r="K382" s="1680" t="s">
        <v>38</v>
      </c>
      <c r="L382" s="1681" t="s">
        <v>38</v>
      </c>
      <c r="M382" s="1680" t="s">
        <v>38</v>
      </c>
      <c r="N382" s="1681" t="s">
        <v>38</v>
      </c>
      <c r="O382" s="1680" t="s">
        <v>38</v>
      </c>
      <c r="P382" s="1683" t="s">
        <v>38</v>
      </c>
      <c r="Q382" s="1684" t="s">
        <v>38</v>
      </c>
      <c r="R382" s="1681" t="s">
        <v>38</v>
      </c>
      <c r="S382" s="1680" t="s">
        <v>38</v>
      </c>
      <c r="T382" s="1682" t="s">
        <v>38</v>
      </c>
      <c r="U382" s="1680" t="s">
        <v>38</v>
      </c>
      <c r="V382" s="1681" t="str">
        <f>IF(BOT_project="Yes","Y","N")</f>
        <v>Y</v>
      </c>
      <c r="W382" s="1680" t="s">
        <v>38</v>
      </c>
      <c r="X382" s="1863" t="s">
        <v>38</v>
      </c>
      <c r="Y382" s="428" t="s">
        <v>648</v>
      </c>
      <c r="Z382" s="579" t="s">
        <v>495</v>
      </c>
      <c r="AA382" s="970" t="s">
        <v>38</v>
      </c>
      <c r="AB382" s="1911"/>
      <c r="AC382" s="1153"/>
      <c r="AD382" s="1266"/>
      <c r="AE382" s="1267" t="s">
        <v>533</v>
      </c>
      <c r="AF382" s="1267" t="s">
        <v>534</v>
      </c>
      <c r="AG382" s="1267" t="s">
        <v>535</v>
      </c>
      <c r="AH382" s="1793" t="s">
        <v>535</v>
      </c>
      <c r="AI382" s="1774" t="s">
        <v>1019</v>
      </c>
      <c r="AJ382" s="1267"/>
      <c r="AK382" s="1267"/>
      <c r="AL382" s="1095"/>
      <c r="AM382" s="1095"/>
      <c r="AN382" s="1095"/>
      <c r="AO382" s="1095"/>
      <c r="AP382" s="1095"/>
      <c r="AQ382" s="1106"/>
      <c r="AR382" s="1097"/>
      <c r="AS382" s="1097"/>
      <c r="AT382" s="181"/>
      <c r="AU382" s="181"/>
      <c r="AV382" s="181"/>
      <c r="AW382" s="181"/>
      <c r="AX382" s="181"/>
      <c r="AY382" s="181"/>
      <c r="AZ382" s="181"/>
      <c r="BA382" s="181"/>
      <c r="BB382" s="181"/>
      <c r="BC382" s="181"/>
      <c r="BD382" s="181"/>
      <c r="BE382" s="181"/>
      <c r="BF382" s="181"/>
      <c r="BG382" s="181"/>
      <c r="BH382" s="181"/>
      <c r="BI382" s="181"/>
      <c r="BJ382" s="181"/>
      <c r="BK382" s="181"/>
      <c r="BL382" s="181"/>
      <c r="BM382" s="181"/>
      <c r="BN382" s="181"/>
      <c r="BO382" s="181"/>
      <c r="BP382" s="181"/>
      <c r="BQ382" s="181"/>
      <c r="BR382" s="181"/>
      <c r="BS382" s="181"/>
      <c r="BT382" s="181"/>
      <c r="BU382" s="181"/>
      <c r="BV382" s="181"/>
    </row>
    <row r="383" spans="1:74" s="30" customFormat="1" ht="15.75" hidden="1" x14ac:dyDescent="0.25">
      <c r="A383" s="545"/>
      <c r="B383" s="1579"/>
      <c r="C383" s="1097"/>
      <c r="D383" s="1142"/>
      <c r="E383" s="1144" t="str">
        <f t="shared" ref="E383:E446" si="72">IF(Z383="","",IF(OR(AND(OR(G383="Y",G383="?"),_00_apply="Yes"),AND(OR(I383="Y",I383="?"),_01_apply="Yes"),AND(OR(K383="Y",K383="?"),_02_apply="Yes"),AND(OR(M383="Y",M383="?"),_03_apply="Yes"),AND(OR(O383="Y",O383="?"),_04_apply="Yes"),AND(OR(Q383="Y",Q383="?"),_05_apply="Yes"),AND(OR(S383="?",S383="Y"),_06_apply="Yes"),AND(OR(U383="?",U383="Y"),_07_apply="Yes"),AND(OR(W383="Y",W383="?"),_08_apply="Yes")),"","N"))</f>
        <v/>
      </c>
      <c r="F383" s="1124"/>
      <c r="G383" s="1685" t="s">
        <v>208</v>
      </c>
      <c r="H383" s="1686" t="s">
        <v>208</v>
      </c>
      <c r="I383" s="1685" t="s">
        <v>208</v>
      </c>
      <c r="J383" s="1690" t="s">
        <v>208</v>
      </c>
      <c r="K383" s="1685" t="s">
        <v>208</v>
      </c>
      <c r="L383" s="1686" t="s">
        <v>208</v>
      </c>
      <c r="M383" s="1685" t="s">
        <v>208</v>
      </c>
      <c r="N383" s="1686" t="s">
        <v>208</v>
      </c>
      <c r="O383" s="1685" t="s">
        <v>208</v>
      </c>
      <c r="P383" s="1688" t="s">
        <v>208</v>
      </c>
      <c r="Q383" s="1689" t="s">
        <v>208</v>
      </c>
      <c r="R383" s="1686" t="s">
        <v>208</v>
      </c>
      <c r="S383" s="1685" t="s">
        <v>208</v>
      </c>
      <c r="T383" s="1690" t="s">
        <v>208</v>
      </c>
      <c r="U383" s="1685" t="s">
        <v>208</v>
      </c>
      <c r="V383" s="1686" t="s">
        <v>208</v>
      </c>
      <c r="W383" s="1685" t="s">
        <v>208</v>
      </c>
      <c r="X383" s="1690" t="s">
        <v>208</v>
      </c>
      <c r="Y383" s="429"/>
      <c r="Z383" s="581"/>
      <c r="AA383" s="971" t="s">
        <v>208</v>
      </c>
      <c r="AB383" s="1917"/>
      <c r="AC383" s="1153"/>
      <c r="AD383" s="1247"/>
      <c r="AE383" s="1248"/>
      <c r="AF383" s="1249"/>
      <c r="AG383" s="1248"/>
      <c r="AH383" s="1792"/>
      <c r="AI383" s="1773"/>
      <c r="AJ383" s="1265"/>
      <c r="AK383" s="1265"/>
      <c r="AL383" s="1095"/>
      <c r="AM383" s="1095"/>
      <c r="AN383" s="1095"/>
      <c r="AO383" s="1095"/>
      <c r="AP383" s="1095"/>
      <c r="AQ383" s="1106"/>
      <c r="AR383" s="1097"/>
      <c r="AS383" s="1097"/>
      <c r="AT383" s="181"/>
      <c r="AU383" s="181"/>
      <c r="AV383" s="181"/>
      <c r="AW383" s="181"/>
      <c r="AX383" s="181"/>
      <c r="AY383" s="181"/>
      <c r="AZ383" s="181"/>
      <c r="BA383" s="181"/>
      <c r="BB383" s="181"/>
      <c r="BC383" s="181"/>
      <c r="BD383" s="181"/>
      <c r="BE383" s="181"/>
      <c r="BF383" s="181"/>
      <c r="BG383" s="181"/>
      <c r="BH383" s="181"/>
      <c r="BI383" s="181"/>
      <c r="BJ383" s="181"/>
      <c r="BK383" s="181"/>
      <c r="BL383" s="181"/>
      <c r="BM383" s="181"/>
      <c r="BN383" s="181"/>
      <c r="BO383" s="181"/>
      <c r="BP383" s="181"/>
      <c r="BQ383" s="181"/>
      <c r="BR383" s="181"/>
      <c r="BS383" s="181"/>
      <c r="BT383" s="181"/>
      <c r="BU383" s="181"/>
      <c r="BV383" s="181"/>
    </row>
    <row r="384" spans="1:74" s="30" customFormat="1" ht="15.75" x14ac:dyDescent="0.25">
      <c r="A384" s="545"/>
      <c r="B384" s="1579"/>
      <c r="C384" s="1097"/>
      <c r="D384" s="1142"/>
      <c r="E384" s="1144" t="str">
        <f t="shared" si="72"/>
        <v/>
      </c>
      <c r="F384" s="1124"/>
      <c r="G384" s="1685" t="s">
        <v>208</v>
      </c>
      <c r="H384" s="1686" t="s">
        <v>208</v>
      </c>
      <c r="I384" s="1685" t="s">
        <v>208</v>
      </c>
      <c r="J384" s="1690" t="s">
        <v>208</v>
      </c>
      <c r="K384" s="1685" t="s">
        <v>208</v>
      </c>
      <c r="L384" s="1686" t="s">
        <v>208</v>
      </c>
      <c r="M384" s="1685" t="s">
        <v>208</v>
      </c>
      <c r="N384" s="1686" t="s">
        <v>208</v>
      </c>
      <c r="O384" s="1685" t="s">
        <v>208</v>
      </c>
      <c r="P384" s="1688" t="s">
        <v>208</v>
      </c>
      <c r="Q384" s="1689" t="s">
        <v>208</v>
      </c>
      <c r="R384" s="1686" t="s">
        <v>208</v>
      </c>
      <c r="S384" s="1685" t="s">
        <v>208</v>
      </c>
      <c r="T384" s="1690" t="s">
        <v>208</v>
      </c>
      <c r="U384" s="1685" t="s">
        <v>208</v>
      </c>
      <c r="V384" s="1686" t="s">
        <v>208</v>
      </c>
      <c r="W384" s="1685" t="s">
        <v>208</v>
      </c>
      <c r="X384" s="1690" t="s">
        <v>208</v>
      </c>
      <c r="Y384" s="429"/>
      <c r="Z384" s="581"/>
      <c r="AA384" s="971" t="s">
        <v>208</v>
      </c>
      <c r="AB384" s="1909"/>
      <c r="AC384" s="1153"/>
      <c r="AD384" s="1229"/>
      <c r="AE384" s="1230"/>
      <c r="AF384" s="1231"/>
      <c r="AG384" s="1230"/>
      <c r="AH384" s="1779"/>
      <c r="AI384" s="1761"/>
      <c r="AJ384" s="1230"/>
      <c r="AK384" s="1230"/>
      <c r="AL384" s="1095"/>
      <c r="AM384" s="1095"/>
      <c r="AN384" s="1095"/>
      <c r="AO384" s="1095"/>
      <c r="AP384" s="1095"/>
      <c r="AQ384" s="1106"/>
      <c r="AR384" s="1097"/>
      <c r="AS384" s="1097"/>
      <c r="AT384" s="181"/>
      <c r="AU384" s="181"/>
      <c r="AV384" s="181"/>
      <c r="AW384" s="181"/>
      <c r="AX384" s="181"/>
      <c r="AY384" s="181"/>
      <c r="AZ384" s="181"/>
      <c r="BA384" s="181"/>
      <c r="BB384" s="181"/>
      <c r="BC384" s="181"/>
      <c r="BD384" s="181"/>
      <c r="BE384" s="181"/>
      <c r="BF384" s="181"/>
      <c r="BG384" s="181"/>
      <c r="BH384" s="181"/>
      <c r="BI384" s="181"/>
      <c r="BJ384" s="181"/>
      <c r="BK384" s="181"/>
      <c r="BL384" s="181"/>
      <c r="BM384" s="181"/>
      <c r="BN384" s="181"/>
      <c r="BO384" s="181"/>
      <c r="BP384" s="181"/>
      <c r="BQ384" s="181"/>
      <c r="BR384" s="181"/>
      <c r="BS384" s="181"/>
      <c r="BT384" s="181"/>
      <c r="BU384" s="181"/>
      <c r="BV384" s="181"/>
    </row>
    <row r="385" spans="1:75" s="181" customFormat="1" ht="18.75" x14ac:dyDescent="0.25">
      <c r="A385" s="551"/>
      <c r="B385" s="1578"/>
      <c r="C385" s="1097"/>
      <c r="D385" s="1142" t="s">
        <v>44</v>
      </c>
      <c r="E385" s="1143" t="str">
        <f t="shared" si="72"/>
        <v/>
      </c>
      <c r="F385" s="1166"/>
      <c r="G385" s="1680" t="s">
        <v>38</v>
      </c>
      <c r="H385" s="1681" t="s">
        <v>38</v>
      </c>
      <c r="I385" s="1680" t="s">
        <v>37</v>
      </c>
      <c r="J385" s="1682" t="str">
        <f t="shared" ref="J385:J395" si="73">IF(BOT_project="Yes","Y","N")</f>
        <v>Y</v>
      </c>
      <c r="K385" s="1680" t="s">
        <v>38</v>
      </c>
      <c r="L385" s="1681" t="s">
        <v>38</v>
      </c>
      <c r="M385" s="1680" t="s">
        <v>38</v>
      </c>
      <c r="N385" s="1681" t="s">
        <v>38</v>
      </c>
      <c r="O385" s="1680" t="s">
        <v>38</v>
      </c>
      <c r="P385" s="1683" t="s">
        <v>38</v>
      </c>
      <c r="Q385" s="1684" t="s">
        <v>38</v>
      </c>
      <c r="R385" s="1681" t="s">
        <v>38</v>
      </c>
      <c r="S385" s="1680" t="s">
        <v>38</v>
      </c>
      <c r="T385" s="1682" t="s">
        <v>38</v>
      </c>
      <c r="U385" s="1680" t="s">
        <v>38</v>
      </c>
      <c r="V385" s="1681" t="s">
        <v>38</v>
      </c>
      <c r="W385" s="1680" t="s">
        <v>38</v>
      </c>
      <c r="X385" s="1682" t="s">
        <v>38</v>
      </c>
      <c r="Y385" s="1662" t="s">
        <v>1016</v>
      </c>
      <c r="Z385" s="579" t="s">
        <v>621</v>
      </c>
      <c r="AA385" s="970" t="s">
        <v>37</v>
      </c>
      <c r="AB385" s="1911"/>
      <c r="AC385" s="1153"/>
      <c r="AD385" s="1234" t="s">
        <v>1027</v>
      </c>
      <c r="AE385" s="1235" t="s">
        <v>620</v>
      </c>
      <c r="AF385" s="1254" t="s">
        <v>620</v>
      </c>
      <c r="AG385" s="1235"/>
      <c r="AH385" s="1781"/>
      <c r="AI385" s="1775"/>
      <c r="AJ385" s="1252"/>
      <c r="AK385" s="1252"/>
      <c r="AL385" s="1095"/>
      <c r="AM385" s="1095"/>
      <c r="AN385" s="1095"/>
      <c r="AO385" s="1095"/>
      <c r="AP385" s="1095"/>
      <c r="AQ385" s="1104"/>
      <c r="AR385" s="1105"/>
      <c r="AS385" s="1097"/>
      <c r="BW385" s="30"/>
    </row>
    <row r="386" spans="1:75" s="30" customFormat="1" ht="15.75" x14ac:dyDescent="0.25">
      <c r="A386" s="545"/>
      <c r="B386" s="1579"/>
      <c r="C386" s="1097"/>
      <c r="D386" s="1145" t="s">
        <v>44</v>
      </c>
      <c r="E386" s="1146" t="str">
        <f t="shared" si="72"/>
        <v/>
      </c>
      <c r="F386" s="1124"/>
      <c r="G386" s="886" t="s">
        <v>38</v>
      </c>
      <c r="H386" s="962" t="s">
        <v>38</v>
      </c>
      <c r="I386" s="886" t="s">
        <v>37</v>
      </c>
      <c r="J386" s="963" t="str">
        <f t="shared" si="73"/>
        <v>Y</v>
      </c>
      <c r="K386" s="886" t="s">
        <v>38</v>
      </c>
      <c r="L386" s="962" t="s">
        <v>38</v>
      </c>
      <c r="M386" s="886" t="s">
        <v>38</v>
      </c>
      <c r="N386" s="962" t="s">
        <v>38</v>
      </c>
      <c r="O386" s="886" t="s">
        <v>38</v>
      </c>
      <c r="P386" s="964" t="s">
        <v>38</v>
      </c>
      <c r="Q386" s="985" t="s">
        <v>38</v>
      </c>
      <c r="R386" s="962" t="s">
        <v>38</v>
      </c>
      <c r="S386" s="886" t="s">
        <v>38</v>
      </c>
      <c r="T386" s="963" t="s">
        <v>38</v>
      </c>
      <c r="U386" s="886" t="s">
        <v>38</v>
      </c>
      <c r="V386" s="962" t="s">
        <v>38</v>
      </c>
      <c r="W386" s="886" t="s">
        <v>38</v>
      </c>
      <c r="X386" s="963" t="s">
        <v>38</v>
      </c>
      <c r="Y386" s="430"/>
      <c r="Z386" s="611" t="s">
        <v>944</v>
      </c>
      <c r="AA386" s="972" t="s">
        <v>37</v>
      </c>
      <c r="AB386" s="1917"/>
      <c r="AC386" s="1153"/>
      <c r="AD386" s="1247"/>
      <c r="AE386" s="1248"/>
      <c r="AF386" s="1249"/>
      <c r="AG386" s="1248"/>
      <c r="AH386" s="1792"/>
      <c r="AI386" s="1773"/>
      <c r="AJ386" s="1265"/>
      <c r="AK386" s="1265"/>
      <c r="AL386" s="1095"/>
      <c r="AM386" s="1095"/>
      <c r="AN386" s="1095"/>
      <c r="AO386" s="1095"/>
      <c r="AP386" s="1095"/>
      <c r="AQ386" s="1106"/>
      <c r="AR386" s="1097"/>
      <c r="AS386" s="1097"/>
      <c r="AT386" s="181"/>
      <c r="AU386" s="181"/>
      <c r="AV386" s="181"/>
      <c r="AW386" s="181"/>
      <c r="AX386" s="181"/>
      <c r="AY386" s="181"/>
      <c r="AZ386" s="181"/>
      <c r="BA386" s="181"/>
      <c r="BB386" s="181"/>
      <c r="BC386" s="181"/>
      <c r="BD386" s="181"/>
      <c r="BE386" s="181"/>
      <c r="BF386" s="181"/>
      <c r="BG386" s="181"/>
      <c r="BH386" s="181"/>
      <c r="BI386" s="181"/>
      <c r="BJ386" s="181"/>
      <c r="BK386" s="181"/>
      <c r="BL386" s="181"/>
      <c r="BM386" s="181"/>
      <c r="BN386" s="181"/>
      <c r="BO386" s="181"/>
      <c r="BP386" s="181"/>
      <c r="BQ386" s="181"/>
      <c r="BR386" s="181"/>
      <c r="BS386" s="181"/>
      <c r="BT386" s="181"/>
      <c r="BU386" s="181"/>
      <c r="BV386" s="181"/>
    </row>
    <row r="387" spans="1:75" s="30" customFormat="1" ht="15.75" x14ac:dyDescent="0.25">
      <c r="A387" s="545"/>
      <c r="B387" s="1579"/>
      <c r="C387" s="1097"/>
      <c r="D387" s="1145" t="s">
        <v>44</v>
      </c>
      <c r="E387" s="1146" t="str">
        <f t="shared" si="72"/>
        <v/>
      </c>
      <c r="F387" s="1124"/>
      <c r="G387" s="886" t="s">
        <v>38</v>
      </c>
      <c r="H387" s="962" t="s">
        <v>38</v>
      </c>
      <c r="I387" s="886" t="s">
        <v>37</v>
      </c>
      <c r="J387" s="963" t="str">
        <f t="shared" si="73"/>
        <v>Y</v>
      </c>
      <c r="K387" s="886" t="s">
        <v>38</v>
      </c>
      <c r="L387" s="962" t="s">
        <v>38</v>
      </c>
      <c r="M387" s="886" t="s">
        <v>38</v>
      </c>
      <c r="N387" s="962" t="s">
        <v>38</v>
      </c>
      <c r="O387" s="886" t="s">
        <v>38</v>
      </c>
      <c r="P387" s="964" t="s">
        <v>38</v>
      </c>
      <c r="Q387" s="985" t="s">
        <v>38</v>
      </c>
      <c r="R387" s="962" t="s">
        <v>38</v>
      </c>
      <c r="S387" s="886" t="s">
        <v>38</v>
      </c>
      <c r="T387" s="963" t="s">
        <v>38</v>
      </c>
      <c r="U387" s="886" t="s">
        <v>38</v>
      </c>
      <c r="V387" s="962" t="s">
        <v>38</v>
      </c>
      <c r="W387" s="886" t="s">
        <v>38</v>
      </c>
      <c r="X387" s="963" t="s">
        <v>38</v>
      </c>
      <c r="Y387" s="430"/>
      <c r="Z387" s="611" t="s">
        <v>945</v>
      </c>
      <c r="AA387" s="972" t="s">
        <v>37</v>
      </c>
      <c r="AB387" s="1917"/>
      <c r="AC387" s="1153"/>
      <c r="AD387" s="1247"/>
      <c r="AE387" s="1248"/>
      <c r="AF387" s="1249"/>
      <c r="AG387" s="1248"/>
      <c r="AH387" s="1792"/>
      <c r="AI387" s="1773"/>
      <c r="AJ387" s="1265"/>
      <c r="AK387" s="1265"/>
      <c r="AL387" s="1095"/>
      <c r="AM387" s="1095"/>
      <c r="AN387" s="1095"/>
      <c r="AO387" s="1095"/>
      <c r="AP387" s="1095"/>
      <c r="AQ387" s="1106"/>
      <c r="AR387" s="1097"/>
      <c r="AS387" s="1097"/>
      <c r="AT387" s="181"/>
      <c r="AU387" s="181"/>
      <c r="AV387" s="181"/>
      <c r="AW387" s="181"/>
      <c r="AX387" s="181"/>
      <c r="AY387" s="181"/>
      <c r="AZ387" s="181"/>
      <c r="BA387" s="181"/>
      <c r="BB387" s="181"/>
      <c r="BC387" s="181"/>
      <c r="BD387" s="181"/>
      <c r="BE387" s="181"/>
      <c r="BF387" s="181"/>
      <c r="BG387" s="181"/>
      <c r="BH387" s="181"/>
      <c r="BI387" s="181"/>
      <c r="BJ387" s="181"/>
      <c r="BK387" s="181"/>
      <c r="BL387" s="181"/>
      <c r="BM387" s="181"/>
      <c r="BN387" s="181"/>
      <c r="BO387" s="181"/>
      <c r="BP387" s="181"/>
      <c r="BQ387" s="181"/>
      <c r="BR387" s="181"/>
      <c r="BS387" s="181"/>
      <c r="BT387" s="181"/>
      <c r="BU387" s="181"/>
      <c r="BV387" s="181"/>
    </row>
    <row r="388" spans="1:75" s="30" customFormat="1" ht="15.75" x14ac:dyDescent="0.25">
      <c r="A388" s="545"/>
      <c r="B388" s="1579"/>
      <c r="C388" s="1097"/>
      <c r="D388" s="1145" t="s">
        <v>44</v>
      </c>
      <c r="E388" s="1146" t="str">
        <f t="shared" si="72"/>
        <v/>
      </c>
      <c r="F388" s="1124"/>
      <c r="G388" s="886" t="s">
        <v>38</v>
      </c>
      <c r="H388" s="962" t="s">
        <v>38</v>
      </c>
      <c r="I388" s="886" t="s">
        <v>37</v>
      </c>
      <c r="J388" s="963" t="str">
        <f t="shared" si="73"/>
        <v>Y</v>
      </c>
      <c r="K388" s="886" t="s">
        <v>38</v>
      </c>
      <c r="L388" s="962" t="s">
        <v>38</v>
      </c>
      <c r="M388" s="886" t="s">
        <v>38</v>
      </c>
      <c r="N388" s="962" t="s">
        <v>38</v>
      </c>
      <c r="O388" s="886" t="s">
        <v>38</v>
      </c>
      <c r="P388" s="964" t="s">
        <v>38</v>
      </c>
      <c r="Q388" s="985" t="s">
        <v>38</v>
      </c>
      <c r="R388" s="962" t="s">
        <v>38</v>
      </c>
      <c r="S388" s="886" t="s">
        <v>38</v>
      </c>
      <c r="T388" s="963" t="s">
        <v>38</v>
      </c>
      <c r="U388" s="886" t="s">
        <v>38</v>
      </c>
      <c r="V388" s="962" t="s">
        <v>38</v>
      </c>
      <c r="W388" s="886" t="s">
        <v>38</v>
      </c>
      <c r="X388" s="963" t="s">
        <v>38</v>
      </c>
      <c r="Y388" s="430"/>
      <c r="Z388" s="980" t="s">
        <v>976</v>
      </c>
      <c r="AA388" s="972" t="s">
        <v>37</v>
      </c>
      <c r="AB388" s="1917"/>
      <c r="AC388" s="1153"/>
      <c r="AD388" s="1247"/>
      <c r="AE388" s="1248"/>
      <c r="AF388" s="1249"/>
      <c r="AG388" s="1248"/>
      <c r="AH388" s="1792"/>
      <c r="AI388" s="1773"/>
      <c r="AJ388" s="1265"/>
      <c r="AK388" s="1265"/>
      <c r="AL388" s="1095"/>
      <c r="AM388" s="1095"/>
      <c r="AN388" s="1095"/>
      <c r="AO388" s="1095"/>
      <c r="AP388" s="1095"/>
      <c r="AQ388" s="1106"/>
      <c r="AR388" s="1097"/>
      <c r="AS388" s="1097"/>
      <c r="AT388" s="181"/>
      <c r="AU388" s="181"/>
      <c r="AV388" s="181"/>
      <c r="AW388" s="181"/>
      <c r="AX388" s="181"/>
      <c r="AY388" s="181"/>
      <c r="AZ388" s="181"/>
      <c r="BA388" s="181"/>
      <c r="BB388" s="181"/>
      <c r="BC388" s="181"/>
      <c r="BD388" s="181"/>
      <c r="BE388" s="181"/>
      <c r="BF388" s="181"/>
      <c r="BG388" s="181"/>
      <c r="BH388" s="181"/>
      <c r="BI388" s="181"/>
      <c r="BJ388" s="181"/>
      <c r="BK388" s="181"/>
      <c r="BL388" s="181"/>
      <c r="BM388" s="181"/>
      <c r="BN388" s="181"/>
      <c r="BO388" s="181"/>
      <c r="BP388" s="181"/>
      <c r="BQ388" s="181"/>
      <c r="BR388" s="181"/>
      <c r="BS388" s="181"/>
      <c r="BT388" s="181"/>
      <c r="BU388" s="181"/>
      <c r="BV388" s="181"/>
    </row>
    <row r="389" spans="1:75" s="30" customFormat="1" ht="15.75" x14ac:dyDescent="0.25">
      <c r="A389" s="545"/>
      <c r="B389" s="1579"/>
      <c r="C389" s="1097"/>
      <c r="D389" s="1145" t="s">
        <v>44</v>
      </c>
      <c r="E389" s="1146" t="str">
        <f t="shared" si="72"/>
        <v/>
      </c>
      <c r="F389" s="1124"/>
      <c r="G389" s="886" t="s">
        <v>38</v>
      </c>
      <c r="H389" s="962" t="s">
        <v>38</v>
      </c>
      <c r="I389" s="886" t="s">
        <v>37</v>
      </c>
      <c r="J389" s="963" t="str">
        <f t="shared" si="73"/>
        <v>Y</v>
      </c>
      <c r="K389" s="886" t="s">
        <v>38</v>
      </c>
      <c r="L389" s="962" t="s">
        <v>38</v>
      </c>
      <c r="M389" s="886" t="s">
        <v>38</v>
      </c>
      <c r="N389" s="962" t="s">
        <v>38</v>
      </c>
      <c r="O389" s="886" t="s">
        <v>38</v>
      </c>
      <c r="P389" s="964" t="s">
        <v>38</v>
      </c>
      <c r="Q389" s="985" t="s">
        <v>38</v>
      </c>
      <c r="R389" s="962" t="s">
        <v>38</v>
      </c>
      <c r="S389" s="886" t="s">
        <v>38</v>
      </c>
      <c r="T389" s="963" t="s">
        <v>38</v>
      </c>
      <c r="U389" s="886" t="s">
        <v>38</v>
      </c>
      <c r="V389" s="962" t="s">
        <v>38</v>
      </c>
      <c r="W389" s="886" t="s">
        <v>38</v>
      </c>
      <c r="X389" s="963" t="s">
        <v>38</v>
      </c>
      <c r="Y389" s="430"/>
      <c r="Z389" s="980" t="s">
        <v>977</v>
      </c>
      <c r="AA389" s="972" t="s">
        <v>37</v>
      </c>
      <c r="AB389" s="1917"/>
      <c r="AC389" s="1153"/>
      <c r="AD389" s="1247"/>
      <c r="AE389" s="1248"/>
      <c r="AF389" s="1249"/>
      <c r="AG389" s="1248"/>
      <c r="AH389" s="1792"/>
      <c r="AI389" s="1773"/>
      <c r="AJ389" s="1265"/>
      <c r="AK389" s="1265"/>
      <c r="AL389" s="1095"/>
      <c r="AM389" s="1095"/>
      <c r="AN389" s="1095"/>
      <c r="AO389" s="1095"/>
      <c r="AP389" s="1095"/>
      <c r="AQ389" s="1106"/>
      <c r="AR389" s="1097"/>
      <c r="AS389" s="1097"/>
      <c r="AT389" s="181"/>
      <c r="AU389" s="181"/>
      <c r="AV389" s="181"/>
      <c r="AW389" s="181"/>
      <c r="AX389" s="181"/>
      <c r="AY389" s="181"/>
      <c r="AZ389" s="181"/>
      <c r="BA389" s="181"/>
      <c r="BB389" s="181"/>
      <c r="BC389" s="181"/>
      <c r="BD389" s="181"/>
      <c r="BE389" s="181"/>
      <c r="BF389" s="181"/>
      <c r="BG389" s="181"/>
      <c r="BH389" s="181"/>
      <c r="BI389" s="181"/>
      <c r="BJ389" s="181"/>
      <c r="BK389" s="181"/>
      <c r="BL389" s="181"/>
      <c r="BM389" s="181"/>
      <c r="BN389" s="181"/>
      <c r="BO389" s="181"/>
      <c r="BP389" s="181"/>
      <c r="BQ389" s="181"/>
      <c r="BR389" s="181"/>
      <c r="BS389" s="181"/>
      <c r="BT389" s="181"/>
      <c r="BU389" s="181"/>
      <c r="BV389" s="181"/>
    </row>
    <row r="390" spans="1:75" s="30" customFormat="1" ht="15.75" x14ac:dyDescent="0.25">
      <c r="A390" s="545"/>
      <c r="B390" s="1579"/>
      <c r="C390" s="1097"/>
      <c r="D390" s="1145" t="s">
        <v>44</v>
      </c>
      <c r="E390" s="1146" t="str">
        <f t="shared" si="72"/>
        <v/>
      </c>
      <c r="F390" s="1124"/>
      <c r="G390" s="886" t="s">
        <v>38</v>
      </c>
      <c r="H390" s="962" t="s">
        <v>38</v>
      </c>
      <c r="I390" s="1722" t="s">
        <v>37</v>
      </c>
      <c r="J390" s="963" t="str">
        <f t="shared" si="73"/>
        <v>Y</v>
      </c>
      <c r="K390" s="886" t="s">
        <v>38</v>
      </c>
      <c r="L390" s="962" t="s">
        <v>38</v>
      </c>
      <c r="M390" s="886" t="s">
        <v>38</v>
      </c>
      <c r="N390" s="962" t="s">
        <v>38</v>
      </c>
      <c r="O390" s="886" t="s">
        <v>38</v>
      </c>
      <c r="P390" s="964" t="s">
        <v>38</v>
      </c>
      <c r="Q390" s="985" t="s">
        <v>38</v>
      </c>
      <c r="R390" s="962" t="s">
        <v>38</v>
      </c>
      <c r="S390" s="886" t="s">
        <v>38</v>
      </c>
      <c r="T390" s="963" t="s">
        <v>38</v>
      </c>
      <c r="U390" s="886" t="s">
        <v>38</v>
      </c>
      <c r="V390" s="962" t="s">
        <v>38</v>
      </c>
      <c r="W390" s="886" t="s">
        <v>38</v>
      </c>
      <c r="X390" s="963" t="s">
        <v>38</v>
      </c>
      <c r="Y390" s="430"/>
      <c r="Z390" s="980" t="s">
        <v>978</v>
      </c>
      <c r="AA390" s="972" t="s">
        <v>37</v>
      </c>
      <c r="AB390" s="1917"/>
      <c r="AC390" s="1153"/>
      <c r="AD390" s="1247"/>
      <c r="AE390" s="1248"/>
      <c r="AF390" s="1249"/>
      <c r="AG390" s="1248"/>
      <c r="AH390" s="1792"/>
      <c r="AI390" s="1773"/>
      <c r="AJ390" s="1265"/>
      <c r="AK390" s="1265"/>
      <c r="AL390" s="1095"/>
      <c r="AM390" s="1095"/>
      <c r="AN390" s="1095"/>
      <c r="AO390" s="1095"/>
      <c r="AP390" s="1095"/>
      <c r="AQ390" s="1106"/>
      <c r="AR390" s="1097"/>
      <c r="AS390" s="1097"/>
      <c r="AT390" s="181"/>
      <c r="AU390" s="181"/>
      <c r="AV390" s="181"/>
      <c r="AW390" s="181"/>
      <c r="AX390" s="181"/>
      <c r="AY390" s="181"/>
      <c r="AZ390" s="181"/>
      <c r="BA390" s="181"/>
      <c r="BB390" s="181"/>
      <c r="BC390" s="181"/>
      <c r="BD390" s="181"/>
      <c r="BE390" s="181"/>
      <c r="BF390" s="181"/>
      <c r="BG390" s="181"/>
      <c r="BH390" s="181"/>
      <c r="BI390" s="181"/>
      <c r="BJ390" s="181"/>
      <c r="BK390" s="181"/>
      <c r="BL390" s="181"/>
      <c r="BM390" s="181"/>
      <c r="BN390" s="181"/>
      <c r="BO390" s="181"/>
      <c r="BP390" s="181"/>
      <c r="BQ390" s="181"/>
      <c r="BR390" s="181"/>
      <c r="BS390" s="181"/>
      <c r="BT390" s="181"/>
      <c r="BU390" s="181"/>
      <c r="BV390" s="181"/>
    </row>
    <row r="391" spans="1:75" s="30" customFormat="1" ht="15.75" x14ac:dyDescent="0.25">
      <c r="A391" s="545"/>
      <c r="B391" s="1579"/>
      <c r="C391" s="1097"/>
      <c r="D391" s="1145" t="s">
        <v>44</v>
      </c>
      <c r="E391" s="1146" t="str">
        <f t="shared" si="72"/>
        <v/>
      </c>
      <c r="F391" s="1124"/>
      <c r="G391" s="886" t="s">
        <v>38</v>
      </c>
      <c r="H391" s="962" t="s">
        <v>38</v>
      </c>
      <c r="I391" s="886" t="s">
        <v>37</v>
      </c>
      <c r="J391" s="963" t="str">
        <f t="shared" si="73"/>
        <v>Y</v>
      </c>
      <c r="K391" s="886" t="s">
        <v>38</v>
      </c>
      <c r="L391" s="962" t="s">
        <v>38</v>
      </c>
      <c r="M391" s="886" t="s">
        <v>38</v>
      </c>
      <c r="N391" s="962" t="s">
        <v>38</v>
      </c>
      <c r="O391" s="886" t="s">
        <v>38</v>
      </c>
      <c r="P391" s="964" t="s">
        <v>38</v>
      </c>
      <c r="Q391" s="985" t="s">
        <v>38</v>
      </c>
      <c r="R391" s="962" t="s">
        <v>38</v>
      </c>
      <c r="S391" s="886" t="s">
        <v>38</v>
      </c>
      <c r="T391" s="963" t="s">
        <v>38</v>
      </c>
      <c r="U391" s="886" t="s">
        <v>38</v>
      </c>
      <c r="V391" s="962" t="s">
        <v>38</v>
      </c>
      <c r="W391" s="886" t="s">
        <v>38</v>
      </c>
      <c r="X391" s="963" t="s">
        <v>38</v>
      </c>
      <c r="Y391" s="430"/>
      <c r="Z391" s="611" t="s">
        <v>114</v>
      </c>
      <c r="AA391" s="972" t="s">
        <v>37</v>
      </c>
      <c r="AB391" s="1917"/>
      <c r="AC391" s="1153"/>
      <c r="AD391" s="1247"/>
      <c r="AE391" s="1248"/>
      <c r="AF391" s="1249"/>
      <c r="AG391" s="1248"/>
      <c r="AH391" s="1792"/>
      <c r="AI391" s="1773"/>
      <c r="AJ391" s="1265"/>
      <c r="AK391" s="1265"/>
      <c r="AL391" s="1095"/>
      <c r="AM391" s="1095"/>
      <c r="AN391" s="1095"/>
      <c r="AO391" s="1095"/>
      <c r="AP391" s="1095"/>
      <c r="AQ391" s="1106"/>
      <c r="AR391" s="1097"/>
      <c r="AS391" s="1097"/>
      <c r="AT391" s="181"/>
      <c r="AU391" s="181"/>
      <c r="AV391" s="181"/>
      <c r="AW391" s="181"/>
      <c r="AX391" s="181"/>
      <c r="AY391" s="181"/>
      <c r="AZ391" s="181"/>
      <c r="BA391" s="181"/>
      <c r="BB391" s="181"/>
      <c r="BC391" s="181"/>
      <c r="BD391" s="181"/>
      <c r="BE391" s="181"/>
      <c r="BF391" s="181"/>
      <c r="BG391" s="181"/>
      <c r="BH391" s="181"/>
      <c r="BI391" s="181"/>
      <c r="BJ391" s="181"/>
      <c r="BK391" s="181"/>
      <c r="BL391" s="181"/>
      <c r="BM391" s="181"/>
      <c r="BN391" s="181"/>
      <c r="BO391" s="181"/>
      <c r="BP391" s="181"/>
      <c r="BQ391" s="181"/>
      <c r="BR391" s="181"/>
      <c r="BS391" s="181"/>
      <c r="BT391" s="181"/>
      <c r="BU391" s="181"/>
      <c r="BV391" s="181"/>
    </row>
    <row r="392" spans="1:75" s="30" customFormat="1" ht="15.75" x14ac:dyDescent="0.25">
      <c r="A392" s="545"/>
      <c r="B392" s="1579"/>
      <c r="C392" s="1097"/>
      <c r="D392" s="1145" t="s">
        <v>44</v>
      </c>
      <c r="E392" s="1146" t="str">
        <f>IF(Z392="","",IF(OR(AND(OR(G392="Y",G392="?"),_00_apply="Yes"),AND(OR(I392="Y",I392="?"),_01_apply="Yes"),AND(OR(K392="Y",K392="?"),_02_apply="Yes"),AND(OR(M392="Y",M392="?"),_03_apply="Yes"),AND(OR(O392="Y",O392="?"),_04_apply="Yes"),AND(OR(Q392="Y",Q392="?"),_05_apply="Yes"),AND(OR(S392="?",S392="Y"),_06_apply="Yes"),AND(OR(U392="?",U392="Y"),_07_apply="Yes"),AND(OR(W392="Y",W392="?"),_08_apply="Yes")),"","N"))</f>
        <v/>
      </c>
      <c r="F392" s="1124"/>
      <c r="G392" s="886" t="s">
        <v>38</v>
      </c>
      <c r="H392" s="962" t="s">
        <v>38</v>
      </c>
      <c r="I392" s="886" t="s">
        <v>37</v>
      </c>
      <c r="J392" s="963" t="str">
        <f t="shared" si="73"/>
        <v>Y</v>
      </c>
      <c r="K392" s="886" t="s">
        <v>38</v>
      </c>
      <c r="L392" s="962" t="s">
        <v>38</v>
      </c>
      <c r="M392" s="886" t="s">
        <v>38</v>
      </c>
      <c r="N392" s="962" t="s">
        <v>38</v>
      </c>
      <c r="O392" s="886" t="s">
        <v>38</v>
      </c>
      <c r="P392" s="964" t="s">
        <v>38</v>
      </c>
      <c r="Q392" s="985" t="s">
        <v>38</v>
      </c>
      <c r="R392" s="962" t="s">
        <v>38</v>
      </c>
      <c r="S392" s="886" t="s">
        <v>38</v>
      </c>
      <c r="T392" s="963" t="s">
        <v>38</v>
      </c>
      <c r="U392" s="886" t="s">
        <v>38</v>
      </c>
      <c r="V392" s="962" t="s">
        <v>38</v>
      </c>
      <c r="W392" s="886" t="s">
        <v>38</v>
      </c>
      <c r="X392" s="963" t="s">
        <v>38</v>
      </c>
      <c r="Y392" s="430"/>
      <c r="Z392" s="611" t="s">
        <v>112</v>
      </c>
      <c r="AA392" s="972" t="s">
        <v>37</v>
      </c>
      <c r="AB392" s="1917"/>
      <c r="AC392" s="1153"/>
      <c r="AD392" s="1247"/>
      <c r="AE392" s="1248"/>
      <c r="AF392" s="1249"/>
      <c r="AG392" s="1248"/>
      <c r="AH392" s="1792"/>
      <c r="AI392" s="1773"/>
      <c r="AJ392" s="1265"/>
      <c r="AK392" s="1265"/>
      <c r="AL392" s="1095"/>
      <c r="AM392" s="1095"/>
      <c r="AN392" s="1095"/>
      <c r="AO392" s="1095"/>
      <c r="AP392" s="1095"/>
      <c r="AQ392" s="1106"/>
      <c r="AR392" s="1097"/>
      <c r="AS392" s="1097"/>
      <c r="AT392" s="181"/>
      <c r="AU392" s="181"/>
      <c r="AV392" s="181"/>
      <c r="AW392" s="181"/>
      <c r="AX392" s="181"/>
      <c r="AY392" s="181"/>
      <c r="AZ392" s="181"/>
      <c r="BA392" s="181"/>
      <c r="BB392" s="181"/>
      <c r="BC392" s="181"/>
      <c r="BD392" s="181"/>
      <c r="BE392" s="181"/>
      <c r="BF392" s="181"/>
      <c r="BG392" s="181"/>
      <c r="BH392" s="181"/>
      <c r="BI392" s="181"/>
      <c r="BJ392" s="181"/>
      <c r="BK392" s="181"/>
      <c r="BL392" s="181"/>
      <c r="BM392" s="181"/>
      <c r="BN392" s="181"/>
      <c r="BO392" s="181"/>
      <c r="BP392" s="181"/>
      <c r="BQ392" s="181"/>
      <c r="BR392" s="181"/>
      <c r="BS392" s="181"/>
      <c r="BT392" s="181"/>
      <c r="BU392" s="181"/>
      <c r="BV392" s="181"/>
    </row>
    <row r="393" spans="1:75" s="30" customFormat="1" ht="15.75" x14ac:dyDescent="0.25">
      <c r="A393" s="545"/>
      <c r="B393" s="1579"/>
      <c r="C393" s="1097"/>
      <c r="D393" s="1145" t="s">
        <v>44</v>
      </c>
      <c r="E393" s="1147" t="str">
        <f>IF(Z393="","",IF(OR(AND(OR(G393="Y",G393="?"),_00_apply="Yes"),AND(OR(I393="Y",I393="?"),_01_apply="Yes"),AND(OR(K393="Y",K393="?"),_02_apply="Yes"),AND(OR(M393="Y",M393="?"),_03_apply="Yes"),AND(OR(O393="Y",O393="?"),_04_apply="Yes"),AND(OR(Q393="Y",Q393="?"),_05_apply="Yes"),AND(OR(S393="?",S393="Y"),_06_apply="Yes"),AND(OR(U393="?",U393="Y"),_07_apply="Yes"),AND(OR(W393="Y",W393="?"),_08_apply="Yes")),"","N"))</f>
        <v/>
      </c>
      <c r="F393" s="1124"/>
      <c r="G393" s="1703" t="s">
        <v>38</v>
      </c>
      <c r="H393" s="1704" t="s">
        <v>38</v>
      </c>
      <c r="I393" s="1703" t="s">
        <v>37</v>
      </c>
      <c r="J393" s="1705" t="str">
        <f t="shared" si="73"/>
        <v>Y</v>
      </c>
      <c r="K393" s="1703" t="s">
        <v>38</v>
      </c>
      <c r="L393" s="1704" t="s">
        <v>38</v>
      </c>
      <c r="M393" s="1703" t="s">
        <v>38</v>
      </c>
      <c r="N393" s="1704" t="s">
        <v>38</v>
      </c>
      <c r="O393" s="1703" t="s">
        <v>38</v>
      </c>
      <c r="P393" s="1706" t="s">
        <v>38</v>
      </c>
      <c r="Q393" s="1707" t="s">
        <v>38</v>
      </c>
      <c r="R393" s="1704" t="s">
        <v>38</v>
      </c>
      <c r="S393" s="1703" t="s">
        <v>38</v>
      </c>
      <c r="T393" s="1705" t="s">
        <v>38</v>
      </c>
      <c r="U393" s="1703" t="s">
        <v>38</v>
      </c>
      <c r="V393" s="1704" t="s">
        <v>38</v>
      </c>
      <c r="W393" s="1703" t="s">
        <v>38</v>
      </c>
      <c r="X393" s="1705" t="s">
        <v>38</v>
      </c>
      <c r="Y393" s="430"/>
      <c r="Z393" s="612" t="s">
        <v>946</v>
      </c>
      <c r="AA393" s="972" t="s">
        <v>37</v>
      </c>
      <c r="AB393" s="1917"/>
      <c r="AC393" s="1153"/>
      <c r="AD393" s="1247"/>
      <c r="AE393" s="1248"/>
      <c r="AF393" s="1249"/>
      <c r="AG393" s="1248"/>
      <c r="AH393" s="1792"/>
      <c r="AI393" s="1773"/>
      <c r="AJ393" s="1265"/>
      <c r="AK393" s="1265"/>
      <c r="AL393" s="1095"/>
      <c r="AM393" s="1095"/>
      <c r="AN393" s="1095"/>
      <c r="AO393" s="1095"/>
      <c r="AP393" s="1095"/>
      <c r="AQ393" s="1106"/>
      <c r="AR393" s="1097"/>
      <c r="AS393" s="1097"/>
      <c r="AT393" s="181"/>
      <c r="AU393" s="181"/>
      <c r="AV393" s="181"/>
      <c r="AW393" s="181"/>
      <c r="AX393" s="181"/>
      <c r="AY393" s="181"/>
      <c r="AZ393" s="181"/>
      <c r="BA393" s="181"/>
      <c r="BB393" s="181"/>
      <c r="BC393" s="181"/>
      <c r="BD393" s="181"/>
      <c r="BE393" s="181"/>
      <c r="BF393" s="181"/>
      <c r="BG393" s="181"/>
      <c r="BH393" s="181"/>
      <c r="BI393" s="181"/>
      <c r="BJ393" s="181"/>
      <c r="BK393" s="181"/>
      <c r="BL393" s="181"/>
      <c r="BM393" s="181"/>
      <c r="BN393" s="181"/>
      <c r="BO393" s="181"/>
      <c r="BP393" s="181"/>
      <c r="BQ393" s="181"/>
      <c r="BR393" s="181"/>
      <c r="BS393" s="181"/>
      <c r="BT393" s="181"/>
      <c r="BU393" s="181"/>
      <c r="BV393" s="181"/>
    </row>
    <row r="394" spans="1:75" s="30" customFormat="1" ht="28.5" x14ac:dyDescent="0.25">
      <c r="A394" s="545"/>
      <c r="B394" s="1579"/>
      <c r="C394" s="1097"/>
      <c r="D394" s="1145" t="s">
        <v>44</v>
      </c>
      <c r="E394" s="1147" t="str">
        <f>IF(Z394="","",IF(OR(AND(OR(G394="Y",G394="?"),_00_apply="Yes"),AND(OR(I394="Y",I394="?"),_01_apply="Yes"),AND(OR(K394="Y",K394="?"),_02_apply="Yes"),AND(OR(M394="Y",M394="?"),_03_apply="Yes"),AND(OR(O394="Y",O394="?"),_04_apply="Yes"),AND(OR(Q394="Y",Q394="?"),_05_apply="Yes"),AND(OR(S394="?",S394="Y"),_06_apply="Yes"),AND(OR(U394="?",U394="Y"),_07_apply="Yes"),AND(OR(W394="Y",W394="?"),_08_apply="Yes")),"","N"))</f>
        <v/>
      </c>
      <c r="F394" s="1124"/>
      <c r="G394" s="1703" t="s">
        <v>38</v>
      </c>
      <c r="H394" s="1704" t="s">
        <v>38</v>
      </c>
      <c r="I394" s="1703" t="s">
        <v>37</v>
      </c>
      <c r="J394" s="1705" t="str">
        <f t="shared" si="73"/>
        <v>Y</v>
      </c>
      <c r="K394" s="1703" t="s">
        <v>38</v>
      </c>
      <c r="L394" s="1704" t="s">
        <v>38</v>
      </c>
      <c r="M394" s="1703" t="s">
        <v>38</v>
      </c>
      <c r="N394" s="1704" t="s">
        <v>38</v>
      </c>
      <c r="O394" s="1703" t="s">
        <v>38</v>
      </c>
      <c r="P394" s="1706" t="s">
        <v>38</v>
      </c>
      <c r="Q394" s="1707" t="s">
        <v>38</v>
      </c>
      <c r="R394" s="1704" t="s">
        <v>38</v>
      </c>
      <c r="S394" s="1703" t="s">
        <v>38</v>
      </c>
      <c r="T394" s="1705" t="s">
        <v>38</v>
      </c>
      <c r="U394" s="1703" t="s">
        <v>38</v>
      </c>
      <c r="V394" s="1704" t="s">
        <v>38</v>
      </c>
      <c r="W394" s="1703" t="s">
        <v>38</v>
      </c>
      <c r="X394" s="1705" t="s">
        <v>38</v>
      </c>
      <c r="Y394" s="430"/>
      <c r="Z394" s="612" t="s">
        <v>948</v>
      </c>
      <c r="AA394" s="972" t="s">
        <v>37</v>
      </c>
      <c r="AB394" s="1917"/>
      <c r="AC394" s="1153"/>
      <c r="AD394" s="1247"/>
      <c r="AE394" s="1248"/>
      <c r="AF394" s="1249"/>
      <c r="AG394" s="1248"/>
      <c r="AH394" s="1792"/>
      <c r="AI394" s="1773"/>
      <c r="AJ394" s="1265"/>
      <c r="AK394" s="1265"/>
      <c r="AL394" s="1095"/>
      <c r="AM394" s="1095"/>
      <c r="AN394" s="1095"/>
      <c r="AO394" s="1095"/>
      <c r="AP394" s="1095"/>
      <c r="AQ394" s="1106"/>
      <c r="AR394" s="1097"/>
      <c r="AS394" s="1097"/>
      <c r="AT394" s="181"/>
      <c r="AU394" s="181"/>
      <c r="AV394" s="181"/>
      <c r="AW394" s="181"/>
      <c r="AX394" s="181"/>
      <c r="AY394" s="181"/>
      <c r="AZ394" s="181"/>
      <c r="BA394" s="181"/>
      <c r="BB394" s="181"/>
      <c r="BC394" s="181"/>
      <c r="BD394" s="181"/>
      <c r="BE394" s="181"/>
      <c r="BF394" s="181"/>
      <c r="BG394" s="181"/>
      <c r="BH394" s="181"/>
      <c r="BI394" s="181"/>
      <c r="BJ394" s="181"/>
      <c r="BK394" s="181"/>
      <c r="BL394" s="181"/>
      <c r="BM394" s="181"/>
      <c r="BN394" s="181"/>
      <c r="BO394" s="181"/>
      <c r="BP394" s="181"/>
      <c r="BQ394" s="181"/>
      <c r="BR394" s="181"/>
      <c r="BS394" s="181"/>
      <c r="BT394" s="181"/>
      <c r="BU394" s="181"/>
      <c r="BV394" s="181"/>
    </row>
    <row r="395" spans="1:75" s="30" customFormat="1" ht="15.75" x14ac:dyDescent="0.25">
      <c r="A395" s="545"/>
      <c r="B395" s="1579"/>
      <c r="C395" s="1097"/>
      <c r="D395" s="1145" t="s">
        <v>44</v>
      </c>
      <c r="E395" s="1146" t="str">
        <f t="shared" si="72"/>
        <v/>
      </c>
      <c r="F395" s="1124"/>
      <c r="G395" s="886" t="s">
        <v>38</v>
      </c>
      <c r="H395" s="962" t="s">
        <v>38</v>
      </c>
      <c r="I395" s="886" t="s">
        <v>37</v>
      </c>
      <c r="J395" s="963" t="str">
        <f t="shared" si="73"/>
        <v>Y</v>
      </c>
      <c r="K395" s="886" t="s">
        <v>38</v>
      </c>
      <c r="L395" s="962" t="s">
        <v>38</v>
      </c>
      <c r="M395" s="886" t="s">
        <v>38</v>
      </c>
      <c r="N395" s="962" t="s">
        <v>38</v>
      </c>
      <c r="O395" s="886" t="s">
        <v>38</v>
      </c>
      <c r="P395" s="964" t="s">
        <v>38</v>
      </c>
      <c r="Q395" s="985" t="s">
        <v>38</v>
      </c>
      <c r="R395" s="962" t="s">
        <v>38</v>
      </c>
      <c r="S395" s="886" t="s">
        <v>38</v>
      </c>
      <c r="T395" s="963" t="s">
        <v>38</v>
      </c>
      <c r="U395" s="886" t="s">
        <v>38</v>
      </c>
      <c r="V395" s="962" t="s">
        <v>38</v>
      </c>
      <c r="W395" s="886" t="s">
        <v>38</v>
      </c>
      <c r="X395" s="812" t="s">
        <v>38</v>
      </c>
      <c r="Y395" s="430"/>
      <c r="Z395" s="611" t="s">
        <v>972</v>
      </c>
      <c r="AA395" s="972" t="s">
        <v>37</v>
      </c>
      <c r="AB395" s="1917"/>
      <c r="AC395" s="1153"/>
      <c r="AD395" s="1247"/>
      <c r="AE395" s="1248"/>
      <c r="AF395" s="1249"/>
      <c r="AG395" s="1248"/>
      <c r="AH395" s="1792"/>
      <c r="AI395" s="1773"/>
      <c r="AJ395" s="1265"/>
      <c r="AK395" s="1265"/>
      <c r="AL395" s="1095"/>
      <c r="AM395" s="1095"/>
      <c r="AN395" s="1095"/>
      <c r="AO395" s="1095"/>
      <c r="AP395" s="1095"/>
      <c r="AQ395" s="1106"/>
      <c r="AR395" s="1097"/>
      <c r="AS395" s="1097"/>
      <c r="AT395" s="181"/>
      <c r="AU395" s="181"/>
      <c r="AV395" s="181"/>
      <c r="AW395" s="181"/>
      <c r="AX395" s="181"/>
      <c r="AY395" s="181"/>
      <c r="AZ395" s="181"/>
      <c r="BA395" s="181"/>
      <c r="BB395" s="181"/>
      <c r="BC395" s="181"/>
      <c r="BD395" s="181"/>
      <c r="BE395" s="181"/>
      <c r="BF395" s="181"/>
      <c r="BG395" s="181"/>
      <c r="BH395" s="181"/>
      <c r="BI395" s="181"/>
      <c r="BJ395" s="181"/>
      <c r="BK395" s="181"/>
      <c r="BL395" s="181"/>
      <c r="BM395" s="181"/>
      <c r="BN395" s="181"/>
      <c r="BO395" s="181"/>
      <c r="BP395" s="181"/>
      <c r="BQ395" s="181"/>
      <c r="BR395" s="181"/>
      <c r="BS395" s="181"/>
      <c r="BT395" s="181"/>
      <c r="BU395" s="181"/>
      <c r="BV395" s="181"/>
    </row>
    <row r="396" spans="1:75" s="30" customFormat="1" ht="15.75" x14ac:dyDescent="0.25">
      <c r="A396" s="545"/>
      <c r="B396" s="1579"/>
      <c r="C396" s="1097"/>
      <c r="D396" s="1145" t="s">
        <v>44</v>
      </c>
      <c r="E396" s="1146" t="str">
        <f t="shared" si="72"/>
        <v/>
      </c>
      <c r="F396" s="1124"/>
      <c r="G396" s="886" t="s">
        <v>38</v>
      </c>
      <c r="H396" s="962" t="s">
        <v>37</v>
      </c>
      <c r="I396" s="886" t="s">
        <v>37</v>
      </c>
      <c r="J396" s="963" t="str">
        <f>IF(BOT_project="Yes","?","N")</f>
        <v>?</v>
      </c>
      <c r="K396" s="886" t="s">
        <v>38</v>
      </c>
      <c r="L396" s="962" t="s">
        <v>38</v>
      </c>
      <c r="M396" s="886" t="s">
        <v>38</v>
      </c>
      <c r="N396" s="962" t="s">
        <v>38</v>
      </c>
      <c r="O396" s="886" t="s">
        <v>38</v>
      </c>
      <c r="P396" s="964" t="s">
        <v>38</v>
      </c>
      <c r="Q396" s="985" t="s">
        <v>38</v>
      </c>
      <c r="R396" s="962" t="s">
        <v>38</v>
      </c>
      <c r="S396" s="886" t="s">
        <v>38</v>
      </c>
      <c r="T396" s="963" t="s">
        <v>38</v>
      </c>
      <c r="U396" s="886" t="s">
        <v>38</v>
      </c>
      <c r="V396" s="962" t="s">
        <v>38</v>
      </c>
      <c r="W396" s="886" t="s">
        <v>38</v>
      </c>
      <c r="X396" s="812" t="s">
        <v>38</v>
      </c>
      <c r="Y396" s="430"/>
      <c r="Z396" s="611" t="s">
        <v>949</v>
      </c>
      <c r="AA396" s="972" t="s">
        <v>37</v>
      </c>
      <c r="AB396" s="1917"/>
      <c r="AC396" s="1153"/>
      <c r="AD396" s="1247"/>
      <c r="AE396" s="1248"/>
      <c r="AF396" s="1249"/>
      <c r="AG396" s="1248"/>
      <c r="AH396" s="1792"/>
      <c r="AI396" s="1773"/>
      <c r="AJ396" s="1265"/>
      <c r="AK396" s="1265"/>
      <c r="AL396" s="1095"/>
      <c r="AM396" s="1095"/>
      <c r="AN396" s="1095"/>
      <c r="AO396" s="1095"/>
      <c r="AP396" s="1095"/>
      <c r="AQ396" s="1106"/>
      <c r="AR396" s="1097"/>
      <c r="AS396" s="1097"/>
      <c r="AT396" s="181"/>
      <c r="AU396" s="181"/>
      <c r="AV396" s="181"/>
      <c r="AW396" s="181"/>
      <c r="AX396" s="181"/>
      <c r="AY396" s="181"/>
      <c r="AZ396" s="181"/>
      <c r="BA396" s="181"/>
      <c r="BB396" s="181"/>
      <c r="BC396" s="181"/>
      <c r="BD396" s="181"/>
      <c r="BE396" s="181"/>
      <c r="BF396" s="181"/>
      <c r="BG396" s="181"/>
      <c r="BH396" s="181"/>
      <c r="BI396" s="181"/>
      <c r="BJ396" s="181"/>
      <c r="BK396" s="181"/>
      <c r="BL396" s="181"/>
      <c r="BM396" s="181"/>
      <c r="BN396" s="181"/>
      <c r="BO396" s="181"/>
      <c r="BP396" s="181"/>
      <c r="BQ396" s="181"/>
      <c r="BR396" s="181"/>
      <c r="BS396" s="181"/>
      <c r="BT396" s="181"/>
      <c r="BU396" s="181"/>
      <c r="BV396" s="181"/>
    </row>
    <row r="397" spans="1:75" s="30" customFormat="1" ht="15.75" x14ac:dyDescent="0.25">
      <c r="A397" s="545"/>
      <c r="B397" s="1579"/>
      <c r="C397" s="1097"/>
      <c r="D397" s="1145" t="s">
        <v>44</v>
      </c>
      <c r="E397" s="1146" t="str">
        <f t="shared" si="72"/>
        <v/>
      </c>
      <c r="F397" s="1124"/>
      <c r="G397" s="886" t="s">
        <v>38</v>
      </c>
      <c r="H397" s="962" t="s">
        <v>37</v>
      </c>
      <c r="I397" s="886" t="s">
        <v>37</v>
      </c>
      <c r="J397" s="963" t="s">
        <v>38</v>
      </c>
      <c r="K397" s="886" t="s">
        <v>38</v>
      </c>
      <c r="L397" s="962" t="s">
        <v>38</v>
      </c>
      <c r="M397" s="886" t="s">
        <v>38</v>
      </c>
      <c r="N397" s="962" t="s">
        <v>38</v>
      </c>
      <c r="O397" s="886" t="s">
        <v>38</v>
      </c>
      <c r="P397" s="964" t="s">
        <v>38</v>
      </c>
      <c r="Q397" s="985" t="s">
        <v>38</v>
      </c>
      <c r="R397" s="962" t="s">
        <v>38</v>
      </c>
      <c r="S397" s="886" t="s">
        <v>38</v>
      </c>
      <c r="T397" s="963" t="s">
        <v>38</v>
      </c>
      <c r="U397" s="886" t="s">
        <v>38</v>
      </c>
      <c r="V397" s="962" t="s">
        <v>38</v>
      </c>
      <c r="W397" s="886" t="s">
        <v>38</v>
      </c>
      <c r="X397" s="812" t="s">
        <v>38</v>
      </c>
      <c r="Y397" s="430"/>
      <c r="Z397" s="611" t="s">
        <v>971</v>
      </c>
      <c r="AA397" s="972" t="s">
        <v>37</v>
      </c>
      <c r="AB397" s="1917"/>
      <c r="AC397" s="1153"/>
      <c r="AD397" s="1247"/>
      <c r="AE397" s="1248"/>
      <c r="AF397" s="1249"/>
      <c r="AG397" s="1248"/>
      <c r="AH397" s="1792"/>
      <c r="AI397" s="1773"/>
      <c r="AJ397" s="1265"/>
      <c r="AK397" s="1265"/>
      <c r="AL397" s="1095"/>
      <c r="AM397" s="1095"/>
      <c r="AN397" s="1095"/>
      <c r="AO397" s="1095"/>
      <c r="AP397" s="1095"/>
      <c r="AQ397" s="1106"/>
      <c r="AR397" s="1097"/>
      <c r="AS397" s="1097"/>
      <c r="AT397" s="181"/>
      <c r="AU397" s="181"/>
      <c r="AV397" s="181"/>
      <c r="AW397" s="181"/>
      <c r="AX397" s="181"/>
      <c r="AY397" s="181"/>
      <c r="AZ397" s="181"/>
      <c r="BA397" s="181"/>
      <c r="BB397" s="181"/>
      <c r="BC397" s="181"/>
      <c r="BD397" s="181"/>
      <c r="BE397" s="181"/>
      <c r="BF397" s="181"/>
      <c r="BG397" s="181"/>
      <c r="BH397" s="181"/>
      <c r="BI397" s="181"/>
      <c r="BJ397" s="181"/>
      <c r="BK397" s="181"/>
      <c r="BL397" s="181"/>
      <c r="BM397" s="181"/>
      <c r="BN397" s="181"/>
      <c r="BO397" s="181"/>
      <c r="BP397" s="181"/>
      <c r="BQ397" s="181"/>
      <c r="BR397" s="181"/>
      <c r="BS397" s="181"/>
      <c r="BT397" s="181"/>
      <c r="BU397" s="181"/>
      <c r="BV397" s="181"/>
    </row>
    <row r="398" spans="1:75" s="30" customFormat="1" ht="15.75" x14ac:dyDescent="0.25">
      <c r="A398" s="545"/>
      <c r="B398" s="1579"/>
      <c r="C398" s="1097"/>
      <c r="D398" s="1145" t="s">
        <v>44</v>
      </c>
      <c r="E398" s="1146" t="str">
        <f t="shared" si="72"/>
        <v/>
      </c>
      <c r="F398" s="1124"/>
      <c r="G398" s="886" t="s">
        <v>38</v>
      </c>
      <c r="H398" s="962" t="s">
        <v>37</v>
      </c>
      <c r="I398" s="886" t="s">
        <v>37</v>
      </c>
      <c r="J398" s="963" t="s">
        <v>21</v>
      </c>
      <c r="K398" s="886" t="s">
        <v>38</v>
      </c>
      <c r="L398" s="962" t="s">
        <v>38</v>
      </c>
      <c r="M398" s="886" t="s">
        <v>38</v>
      </c>
      <c r="N398" s="962" t="s">
        <v>38</v>
      </c>
      <c r="O398" s="886" t="s">
        <v>38</v>
      </c>
      <c r="P398" s="964" t="s">
        <v>38</v>
      </c>
      <c r="Q398" s="985" t="s">
        <v>38</v>
      </c>
      <c r="R398" s="962" t="s">
        <v>38</v>
      </c>
      <c r="S398" s="886" t="s">
        <v>38</v>
      </c>
      <c r="T398" s="963" t="s">
        <v>38</v>
      </c>
      <c r="U398" s="886" t="s">
        <v>38</v>
      </c>
      <c r="V398" s="962" t="s">
        <v>38</v>
      </c>
      <c r="W398" s="886" t="s">
        <v>38</v>
      </c>
      <c r="X398" s="812" t="s">
        <v>38</v>
      </c>
      <c r="Y398" s="430"/>
      <c r="Z398" s="979" t="s">
        <v>1131</v>
      </c>
      <c r="AA398" s="972" t="s">
        <v>37</v>
      </c>
      <c r="AB398" s="1917"/>
      <c r="AC398" s="1153"/>
      <c r="AD398" s="1247"/>
      <c r="AE398" s="1248"/>
      <c r="AF398" s="1249"/>
      <c r="AG398" s="1248"/>
      <c r="AH398" s="1792"/>
      <c r="AI398" s="1773"/>
      <c r="AJ398" s="1265"/>
      <c r="AK398" s="1265"/>
      <c r="AL398" s="1095"/>
      <c r="AM398" s="1095"/>
      <c r="AN398" s="1095"/>
      <c r="AO398" s="1095"/>
      <c r="AP398" s="1095"/>
      <c r="AQ398" s="1106"/>
      <c r="AR398" s="1097"/>
      <c r="AS398" s="1097"/>
      <c r="AT398" s="181"/>
      <c r="AU398" s="181"/>
      <c r="AV398" s="181"/>
      <c r="AW398" s="181"/>
      <c r="AX398" s="181"/>
      <c r="AY398" s="181"/>
      <c r="AZ398" s="181"/>
      <c r="BA398" s="181"/>
      <c r="BB398" s="181"/>
      <c r="BC398" s="181"/>
      <c r="BD398" s="181"/>
      <c r="BE398" s="181"/>
      <c r="BF398" s="181"/>
      <c r="BG398" s="181"/>
      <c r="BH398" s="181"/>
      <c r="BI398" s="181"/>
      <c r="BJ398" s="181"/>
      <c r="BK398" s="181"/>
      <c r="BL398" s="181"/>
      <c r="BM398" s="181"/>
      <c r="BN398" s="181"/>
      <c r="BO398" s="181"/>
      <c r="BP398" s="181"/>
      <c r="BQ398" s="181"/>
      <c r="BR398" s="181"/>
      <c r="BS398" s="181"/>
      <c r="BT398" s="181"/>
      <c r="BU398" s="181"/>
      <c r="BV398" s="181"/>
    </row>
    <row r="399" spans="1:75" s="30" customFormat="1" ht="15.75" x14ac:dyDescent="0.25">
      <c r="A399" s="545"/>
      <c r="B399" s="1579"/>
      <c r="C399" s="1097"/>
      <c r="D399" s="1145" t="s">
        <v>44</v>
      </c>
      <c r="E399" s="1146" t="str">
        <f t="shared" si="72"/>
        <v>N</v>
      </c>
      <c r="F399" s="1124"/>
      <c r="G399" s="886" t="s">
        <v>38</v>
      </c>
      <c r="H399" s="962" t="s">
        <v>38</v>
      </c>
      <c r="I399" s="1722" t="s">
        <v>38</v>
      </c>
      <c r="J399" s="963" t="s">
        <v>21</v>
      </c>
      <c r="K399" s="886" t="s">
        <v>38</v>
      </c>
      <c r="L399" s="962" t="s">
        <v>38</v>
      </c>
      <c r="M399" s="886" t="s">
        <v>38</v>
      </c>
      <c r="N399" s="962" t="s">
        <v>38</v>
      </c>
      <c r="O399" s="886" t="s">
        <v>38</v>
      </c>
      <c r="P399" s="964" t="s">
        <v>38</v>
      </c>
      <c r="Q399" s="985" t="s">
        <v>38</v>
      </c>
      <c r="R399" s="962" t="s">
        <v>38</v>
      </c>
      <c r="S399" s="886" t="s">
        <v>38</v>
      </c>
      <c r="T399" s="963" t="s">
        <v>38</v>
      </c>
      <c r="U399" s="886" t="s">
        <v>38</v>
      </c>
      <c r="V399" s="962" t="s">
        <v>38</v>
      </c>
      <c r="W399" s="886" t="s">
        <v>38</v>
      </c>
      <c r="X399" s="812" t="s">
        <v>38</v>
      </c>
      <c r="Y399" s="430"/>
      <c r="Z399" s="979" t="s">
        <v>478</v>
      </c>
      <c r="AA399" s="972" t="s">
        <v>38</v>
      </c>
      <c r="AB399" s="1917"/>
      <c r="AC399" s="1153"/>
      <c r="AD399" s="1247"/>
      <c r="AE399" s="1248"/>
      <c r="AF399" s="1249"/>
      <c r="AG399" s="1248"/>
      <c r="AH399" s="1792"/>
      <c r="AI399" s="1773"/>
      <c r="AJ399" s="1265"/>
      <c r="AK399" s="1265"/>
      <c r="AL399" s="1095"/>
      <c r="AM399" s="1095"/>
      <c r="AN399" s="1095"/>
      <c r="AO399" s="1095"/>
      <c r="AP399" s="1095"/>
      <c r="AQ399" s="1106"/>
      <c r="AR399" s="1097"/>
      <c r="AS399" s="1097"/>
      <c r="AT399" s="181"/>
      <c r="AU399" s="181"/>
      <c r="AV399" s="181"/>
      <c r="AW399" s="181"/>
      <c r="AX399" s="181"/>
      <c r="AY399" s="181"/>
      <c r="AZ399" s="181"/>
      <c r="BA399" s="181"/>
      <c r="BB399" s="181"/>
      <c r="BC399" s="181"/>
      <c r="BD399" s="181"/>
      <c r="BE399" s="181"/>
      <c r="BF399" s="181"/>
      <c r="BG399" s="181"/>
      <c r="BH399" s="181"/>
      <c r="BI399" s="181"/>
      <c r="BJ399" s="181"/>
      <c r="BK399" s="181"/>
      <c r="BL399" s="181"/>
      <c r="BM399" s="181"/>
      <c r="BN399" s="181"/>
      <c r="BO399" s="181"/>
      <c r="BP399" s="181"/>
      <c r="BQ399" s="181"/>
      <c r="BR399" s="181"/>
      <c r="BS399" s="181"/>
      <c r="BT399" s="181"/>
      <c r="BU399" s="181"/>
      <c r="BV399" s="181"/>
    </row>
    <row r="400" spans="1:75" s="30" customFormat="1" ht="15.75" x14ac:dyDescent="0.25">
      <c r="A400" s="545"/>
      <c r="B400" s="1579"/>
      <c r="C400" s="1097"/>
      <c r="D400" s="1145" t="s">
        <v>44</v>
      </c>
      <c r="E400" s="1146" t="str">
        <f t="shared" si="72"/>
        <v>N</v>
      </c>
      <c r="F400" s="1124"/>
      <c r="G400" s="886" t="s">
        <v>38</v>
      </c>
      <c r="H400" s="962" t="s">
        <v>38</v>
      </c>
      <c r="I400" s="886" t="s">
        <v>38</v>
      </c>
      <c r="J400" s="963" t="s">
        <v>21</v>
      </c>
      <c r="K400" s="886" t="s">
        <v>38</v>
      </c>
      <c r="L400" s="962" t="s">
        <v>38</v>
      </c>
      <c r="M400" s="886" t="s">
        <v>38</v>
      </c>
      <c r="N400" s="962" t="s">
        <v>38</v>
      </c>
      <c r="O400" s="886" t="s">
        <v>38</v>
      </c>
      <c r="P400" s="964" t="s">
        <v>38</v>
      </c>
      <c r="Q400" s="985" t="s">
        <v>38</v>
      </c>
      <c r="R400" s="962" t="s">
        <v>38</v>
      </c>
      <c r="S400" s="886" t="s">
        <v>38</v>
      </c>
      <c r="T400" s="963" t="s">
        <v>38</v>
      </c>
      <c r="U400" s="886" t="s">
        <v>38</v>
      </c>
      <c r="V400" s="962" t="s">
        <v>38</v>
      </c>
      <c r="W400" s="886" t="s">
        <v>38</v>
      </c>
      <c r="X400" s="812" t="s">
        <v>38</v>
      </c>
      <c r="Y400" s="430"/>
      <c r="Z400" s="979" t="s">
        <v>478</v>
      </c>
      <c r="AA400" s="972" t="s">
        <v>38</v>
      </c>
      <c r="AB400" s="1917"/>
      <c r="AC400" s="1153"/>
      <c r="AD400" s="1247"/>
      <c r="AE400" s="1248"/>
      <c r="AF400" s="1249"/>
      <c r="AG400" s="1248"/>
      <c r="AH400" s="1792"/>
      <c r="AI400" s="1773"/>
      <c r="AJ400" s="1265"/>
      <c r="AK400" s="1265"/>
      <c r="AL400" s="1095"/>
      <c r="AM400" s="1095"/>
      <c r="AN400" s="1095"/>
      <c r="AO400" s="1095"/>
      <c r="AP400" s="1095"/>
      <c r="AQ400" s="1106"/>
      <c r="AR400" s="1097"/>
      <c r="AS400" s="1097"/>
      <c r="AT400" s="181"/>
      <c r="AU400" s="181"/>
      <c r="AV400" s="181"/>
      <c r="AW400" s="181"/>
      <c r="AX400" s="181"/>
      <c r="AY400" s="181"/>
      <c r="AZ400" s="181"/>
      <c r="BA400" s="181"/>
      <c r="BB400" s="181"/>
      <c r="BC400" s="181"/>
      <c r="BD400" s="181"/>
      <c r="BE400" s="181"/>
      <c r="BF400" s="181"/>
      <c r="BG400" s="181"/>
      <c r="BH400" s="181"/>
      <c r="BI400" s="181"/>
      <c r="BJ400" s="181"/>
      <c r="BK400" s="181"/>
      <c r="BL400" s="181"/>
      <c r="BM400" s="181"/>
      <c r="BN400" s="181"/>
      <c r="BO400" s="181"/>
      <c r="BP400" s="181"/>
      <c r="BQ400" s="181"/>
      <c r="BR400" s="181"/>
      <c r="BS400" s="181"/>
      <c r="BT400" s="181"/>
      <c r="BU400" s="181"/>
      <c r="BV400" s="181"/>
    </row>
    <row r="401" spans="1:74" s="30" customFormat="1" ht="15.75" x14ac:dyDescent="0.25">
      <c r="A401" s="545"/>
      <c r="B401" s="1579"/>
      <c r="C401" s="1097"/>
      <c r="D401" s="1145" t="s">
        <v>44</v>
      </c>
      <c r="E401" s="1146" t="str">
        <f t="shared" si="72"/>
        <v>N</v>
      </c>
      <c r="F401" s="1124"/>
      <c r="G401" s="886" t="s">
        <v>38</v>
      </c>
      <c r="H401" s="962" t="s">
        <v>38</v>
      </c>
      <c r="I401" s="886" t="s">
        <v>38</v>
      </c>
      <c r="J401" s="963" t="s">
        <v>21</v>
      </c>
      <c r="K401" s="886" t="s">
        <v>38</v>
      </c>
      <c r="L401" s="962" t="s">
        <v>38</v>
      </c>
      <c r="M401" s="886" t="s">
        <v>38</v>
      </c>
      <c r="N401" s="962" t="s">
        <v>38</v>
      </c>
      <c r="O401" s="886" t="s">
        <v>38</v>
      </c>
      <c r="P401" s="964" t="s">
        <v>38</v>
      </c>
      <c r="Q401" s="985" t="s">
        <v>38</v>
      </c>
      <c r="R401" s="962" t="s">
        <v>38</v>
      </c>
      <c r="S401" s="886" t="s">
        <v>38</v>
      </c>
      <c r="T401" s="963" t="s">
        <v>38</v>
      </c>
      <c r="U401" s="886" t="s">
        <v>38</v>
      </c>
      <c r="V401" s="962" t="s">
        <v>38</v>
      </c>
      <c r="W401" s="886" t="s">
        <v>38</v>
      </c>
      <c r="X401" s="812" t="s">
        <v>38</v>
      </c>
      <c r="Y401" s="430"/>
      <c r="Z401" s="979" t="s">
        <v>478</v>
      </c>
      <c r="AA401" s="972" t="s">
        <v>38</v>
      </c>
      <c r="AB401" s="1917"/>
      <c r="AC401" s="1153"/>
      <c r="AD401" s="1247"/>
      <c r="AE401" s="1248"/>
      <c r="AF401" s="1249"/>
      <c r="AG401" s="1248"/>
      <c r="AH401" s="1792"/>
      <c r="AI401" s="1773"/>
      <c r="AJ401" s="1265"/>
      <c r="AK401" s="1265"/>
      <c r="AL401" s="1095"/>
      <c r="AM401" s="1095"/>
      <c r="AN401" s="1095"/>
      <c r="AO401" s="1095"/>
      <c r="AP401" s="1095"/>
      <c r="AQ401" s="1106"/>
      <c r="AR401" s="1097"/>
      <c r="AS401" s="1097"/>
      <c r="AT401" s="181"/>
      <c r="AU401" s="181"/>
      <c r="AV401" s="181"/>
      <c r="AW401" s="181"/>
      <c r="AX401" s="181"/>
      <c r="AY401" s="181"/>
      <c r="AZ401" s="181"/>
      <c r="BA401" s="181"/>
      <c r="BB401" s="181"/>
      <c r="BC401" s="181"/>
      <c r="BD401" s="181"/>
      <c r="BE401" s="181"/>
      <c r="BF401" s="181"/>
      <c r="BG401" s="181"/>
      <c r="BH401" s="181"/>
      <c r="BI401" s="181"/>
      <c r="BJ401" s="181"/>
      <c r="BK401" s="181"/>
      <c r="BL401" s="181"/>
      <c r="BM401" s="181"/>
      <c r="BN401" s="181"/>
      <c r="BO401" s="181"/>
      <c r="BP401" s="181"/>
      <c r="BQ401" s="181"/>
      <c r="BR401" s="181"/>
      <c r="BS401" s="181"/>
      <c r="BT401" s="181"/>
      <c r="BU401" s="181"/>
      <c r="BV401" s="181"/>
    </row>
    <row r="402" spans="1:74" s="30" customFormat="1" ht="32.25" customHeight="1" x14ac:dyDescent="0.25">
      <c r="A402" s="545"/>
      <c r="B402" s="1579"/>
      <c r="C402" s="1097"/>
      <c r="D402" s="1145"/>
      <c r="E402" s="1623" t="s">
        <v>940</v>
      </c>
      <c r="F402" s="1124"/>
      <c r="G402" s="1723"/>
      <c r="H402" s="1724"/>
      <c r="I402" s="1725" t="s">
        <v>208</v>
      </c>
      <c r="J402" s="1726"/>
      <c r="K402" s="1725" t="s">
        <v>208</v>
      </c>
      <c r="L402" s="1724"/>
      <c r="M402" s="1725"/>
      <c r="N402" s="1724"/>
      <c r="O402" s="1725"/>
      <c r="P402" s="1727"/>
      <c r="Q402" s="1728"/>
      <c r="R402" s="1724"/>
      <c r="S402" s="1725"/>
      <c r="T402" s="1726"/>
      <c r="U402" s="1725"/>
      <c r="V402" s="1724"/>
      <c r="W402" s="1725"/>
      <c r="X402" s="819"/>
      <c r="Y402" s="435"/>
      <c r="Z402" s="1625" t="s">
        <v>973</v>
      </c>
      <c r="AA402" s="975"/>
      <c r="AB402" s="1909"/>
      <c r="AC402" s="1153"/>
      <c r="AD402" s="1229"/>
      <c r="AE402" s="1230"/>
      <c r="AF402" s="1231"/>
      <c r="AG402" s="1230"/>
      <c r="AH402" s="1779"/>
      <c r="AI402" s="1761"/>
      <c r="AJ402" s="1230"/>
      <c r="AK402" s="1230"/>
      <c r="AL402" s="1095"/>
      <c r="AM402" s="1095"/>
      <c r="AN402" s="1095"/>
      <c r="AO402" s="1095"/>
      <c r="AP402" s="1095"/>
      <c r="AQ402" s="1106"/>
      <c r="AR402" s="1097"/>
      <c r="AS402" s="1097"/>
      <c r="AT402" s="181"/>
      <c r="AU402" s="181"/>
      <c r="AV402" s="181"/>
      <c r="AW402" s="181"/>
      <c r="AX402" s="181"/>
      <c r="AY402" s="181"/>
      <c r="AZ402" s="181"/>
      <c r="BA402" s="181"/>
      <c r="BB402" s="181"/>
      <c r="BC402" s="181"/>
      <c r="BD402" s="181"/>
      <c r="BE402" s="181"/>
      <c r="BF402" s="181"/>
      <c r="BG402" s="181"/>
      <c r="BH402" s="181"/>
      <c r="BI402" s="181"/>
      <c r="BJ402" s="181"/>
      <c r="BK402" s="181"/>
      <c r="BL402" s="181"/>
      <c r="BM402" s="181"/>
      <c r="BN402" s="181"/>
      <c r="BO402" s="181"/>
      <c r="BP402" s="181"/>
      <c r="BQ402" s="181"/>
      <c r="BR402" s="181"/>
      <c r="BS402" s="181"/>
      <c r="BT402" s="181"/>
      <c r="BU402" s="181"/>
      <c r="BV402" s="181"/>
    </row>
    <row r="403" spans="1:74" s="30" customFormat="1" ht="18.75" x14ac:dyDescent="0.25">
      <c r="A403" s="545"/>
      <c r="B403" s="1579"/>
      <c r="C403" s="1097"/>
      <c r="D403" s="1145" t="s">
        <v>44</v>
      </c>
      <c r="E403" s="1143" t="str">
        <f t="shared" si="72"/>
        <v/>
      </c>
      <c r="F403" s="1124"/>
      <c r="G403" s="1680" t="s">
        <v>38</v>
      </c>
      <c r="H403" s="1681" t="s">
        <v>38</v>
      </c>
      <c r="I403" s="1680" t="s">
        <v>37</v>
      </c>
      <c r="J403" s="1682" t="str">
        <f t="shared" ref="J403:J416" si="74">IF(BOT_project="Yes","Y","N")</f>
        <v>Y</v>
      </c>
      <c r="K403" s="1680" t="s">
        <v>38</v>
      </c>
      <c r="L403" s="1681" t="s">
        <v>38</v>
      </c>
      <c r="M403" s="1680" t="s">
        <v>38</v>
      </c>
      <c r="N403" s="1681" t="s">
        <v>38</v>
      </c>
      <c r="O403" s="1680" t="s">
        <v>38</v>
      </c>
      <c r="P403" s="1683" t="s">
        <v>38</v>
      </c>
      <c r="Q403" s="1684" t="s">
        <v>38</v>
      </c>
      <c r="R403" s="1681" t="s">
        <v>38</v>
      </c>
      <c r="S403" s="1680" t="s">
        <v>38</v>
      </c>
      <c r="T403" s="1682" t="s">
        <v>38</v>
      </c>
      <c r="U403" s="1680" t="s">
        <v>38</v>
      </c>
      <c r="V403" s="1681" t="s">
        <v>38</v>
      </c>
      <c r="W403" s="1680" t="s">
        <v>38</v>
      </c>
      <c r="X403" s="810" t="s">
        <v>38</v>
      </c>
      <c r="Y403" s="1662" t="s">
        <v>686</v>
      </c>
      <c r="Z403" s="579" t="s">
        <v>351</v>
      </c>
      <c r="AA403" s="970" t="s">
        <v>37</v>
      </c>
      <c r="AB403" s="1911"/>
      <c r="AC403" s="1153"/>
      <c r="AD403" s="1234"/>
      <c r="AE403" s="1235"/>
      <c r="AF403" s="1236"/>
      <c r="AG403" s="1235"/>
      <c r="AH403" s="1781"/>
      <c r="AI403" s="1775"/>
      <c r="AJ403" s="1252"/>
      <c r="AK403" s="1252"/>
      <c r="AL403" s="1095"/>
      <c r="AM403" s="1095"/>
      <c r="AN403" s="1095"/>
      <c r="AO403" s="1095"/>
      <c r="AP403" s="1095"/>
      <c r="AQ403" s="1106"/>
      <c r="AR403" s="1097"/>
      <c r="AS403" s="1097"/>
      <c r="AT403" s="181"/>
      <c r="AU403" s="181"/>
      <c r="AV403" s="181"/>
      <c r="AW403" s="181"/>
      <c r="AX403" s="181"/>
      <c r="AY403" s="181"/>
      <c r="AZ403" s="181"/>
      <c r="BA403" s="181"/>
      <c r="BB403" s="181"/>
      <c r="BC403" s="181"/>
      <c r="BD403" s="181"/>
      <c r="BE403" s="181"/>
      <c r="BF403" s="181"/>
      <c r="BG403" s="181"/>
      <c r="BH403" s="181"/>
      <c r="BI403" s="181"/>
      <c r="BJ403" s="181"/>
      <c r="BK403" s="181"/>
      <c r="BL403" s="181"/>
      <c r="BM403" s="181"/>
      <c r="BN403" s="181"/>
      <c r="BO403" s="181"/>
      <c r="BP403" s="181"/>
      <c r="BQ403" s="181"/>
      <c r="BR403" s="181"/>
      <c r="BS403" s="181"/>
      <c r="BT403" s="181"/>
      <c r="BU403" s="181"/>
      <c r="BV403" s="181"/>
    </row>
    <row r="404" spans="1:74" s="30" customFormat="1" ht="15.75" x14ac:dyDescent="0.25">
      <c r="A404" s="545"/>
      <c r="B404" s="1579"/>
      <c r="C404" s="1097"/>
      <c r="D404" s="1145" t="s">
        <v>44</v>
      </c>
      <c r="E404" s="1146" t="str">
        <f t="shared" si="72"/>
        <v/>
      </c>
      <c r="F404" s="1124"/>
      <c r="G404" s="886" t="s">
        <v>38</v>
      </c>
      <c r="H404" s="962" t="s">
        <v>38</v>
      </c>
      <c r="I404" s="886" t="s">
        <v>37</v>
      </c>
      <c r="J404" s="963" t="str">
        <f t="shared" si="74"/>
        <v>Y</v>
      </c>
      <c r="K404" s="886" t="s">
        <v>38</v>
      </c>
      <c r="L404" s="962" t="s">
        <v>38</v>
      </c>
      <c r="M404" s="886" t="s">
        <v>38</v>
      </c>
      <c r="N404" s="962" t="s">
        <v>38</v>
      </c>
      <c r="O404" s="886" t="s">
        <v>38</v>
      </c>
      <c r="P404" s="964" t="s">
        <v>38</v>
      </c>
      <c r="Q404" s="985" t="s">
        <v>38</v>
      </c>
      <c r="R404" s="962" t="s">
        <v>38</v>
      </c>
      <c r="S404" s="886" t="s">
        <v>38</v>
      </c>
      <c r="T404" s="963" t="s">
        <v>38</v>
      </c>
      <c r="U404" s="886" t="s">
        <v>38</v>
      </c>
      <c r="V404" s="962" t="s">
        <v>38</v>
      </c>
      <c r="W404" s="886" t="s">
        <v>38</v>
      </c>
      <c r="X404" s="812" t="s">
        <v>38</v>
      </c>
      <c r="Y404" s="430"/>
      <c r="Z404" s="613" t="s">
        <v>944</v>
      </c>
      <c r="AA404" s="972" t="s">
        <v>37</v>
      </c>
      <c r="AB404" s="1917"/>
      <c r="AC404" s="1153"/>
      <c r="AD404" s="1247"/>
      <c r="AE404" s="1248"/>
      <c r="AF404" s="1249"/>
      <c r="AG404" s="1248"/>
      <c r="AH404" s="1792"/>
      <c r="AI404" s="1773"/>
      <c r="AJ404" s="1265"/>
      <c r="AK404" s="1265"/>
      <c r="AL404" s="1095"/>
      <c r="AM404" s="1095"/>
      <c r="AN404" s="1095"/>
      <c r="AO404" s="1095"/>
      <c r="AP404" s="1095"/>
      <c r="AQ404" s="1106"/>
      <c r="AR404" s="1097"/>
      <c r="AS404" s="1097"/>
      <c r="AT404" s="181"/>
      <c r="AU404" s="181"/>
      <c r="AV404" s="181"/>
      <c r="AW404" s="181"/>
      <c r="AX404" s="181"/>
      <c r="AY404" s="181"/>
      <c r="AZ404" s="181"/>
      <c r="BA404" s="181"/>
      <c r="BB404" s="181"/>
      <c r="BC404" s="181"/>
      <c r="BD404" s="181"/>
      <c r="BE404" s="181"/>
      <c r="BF404" s="181"/>
      <c r="BG404" s="181"/>
      <c r="BH404" s="181"/>
      <c r="BI404" s="181"/>
      <c r="BJ404" s="181"/>
      <c r="BK404" s="181"/>
      <c r="BL404" s="181"/>
      <c r="BM404" s="181"/>
      <c r="BN404" s="181"/>
      <c r="BO404" s="181"/>
      <c r="BP404" s="181"/>
      <c r="BQ404" s="181"/>
      <c r="BR404" s="181"/>
      <c r="BS404" s="181"/>
      <c r="BT404" s="181"/>
      <c r="BU404" s="181"/>
      <c r="BV404" s="181"/>
    </row>
    <row r="405" spans="1:74" s="30" customFormat="1" ht="15.75" x14ac:dyDescent="0.25">
      <c r="A405" s="545"/>
      <c r="B405" s="1579"/>
      <c r="C405" s="1097"/>
      <c r="D405" s="1145" t="s">
        <v>44</v>
      </c>
      <c r="E405" s="1146" t="str">
        <f t="shared" si="72"/>
        <v/>
      </c>
      <c r="F405" s="1124"/>
      <c r="G405" s="886" t="s">
        <v>38</v>
      </c>
      <c r="H405" s="962" t="s">
        <v>38</v>
      </c>
      <c r="I405" s="886" t="s">
        <v>37</v>
      </c>
      <c r="J405" s="963" t="str">
        <f t="shared" si="74"/>
        <v>Y</v>
      </c>
      <c r="K405" s="886" t="s">
        <v>38</v>
      </c>
      <c r="L405" s="962" t="s">
        <v>38</v>
      </c>
      <c r="M405" s="886" t="s">
        <v>38</v>
      </c>
      <c r="N405" s="962" t="s">
        <v>38</v>
      </c>
      <c r="O405" s="886" t="s">
        <v>38</v>
      </c>
      <c r="P405" s="964" t="s">
        <v>38</v>
      </c>
      <c r="Q405" s="985" t="s">
        <v>38</v>
      </c>
      <c r="R405" s="962" t="s">
        <v>38</v>
      </c>
      <c r="S405" s="886" t="s">
        <v>38</v>
      </c>
      <c r="T405" s="963" t="s">
        <v>38</v>
      </c>
      <c r="U405" s="886" t="s">
        <v>38</v>
      </c>
      <c r="V405" s="962" t="s">
        <v>38</v>
      </c>
      <c r="W405" s="886" t="s">
        <v>38</v>
      </c>
      <c r="X405" s="812" t="s">
        <v>38</v>
      </c>
      <c r="Y405" s="430"/>
      <c r="Z405" s="613" t="s">
        <v>945</v>
      </c>
      <c r="AA405" s="972" t="s">
        <v>37</v>
      </c>
      <c r="AB405" s="1917"/>
      <c r="AC405" s="1153"/>
      <c r="AD405" s="1247"/>
      <c r="AE405" s="1248"/>
      <c r="AF405" s="1249"/>
      <c r="AG405" s="1248"/>
      <c r="AH405" s="1792"/>
      <c r="AI405" s="1773"/>
      <c r="AJ405" s="1265"/>
      <c r="AK405" s="1265"/>
      <c r="AL405" s="1095"/>
      <c r="AM405" s="1095"/>
      <c r="AN405" s="1095"/>
      <c r="AO405" s="1095"/>
      <c r="AP405" s="1095"/>
      <c r="AQ405" s="1106"/>
      <c r="AR405" s="1097"/>
      <c r="AS405" s="1097"/>
      <c r="AT405" s="181"/>
      <c r="AU405" s="181"/>
      <c r="AV405" s="181"/>
      <c r="AW405" s="181"/>
      <c r="AX405" s="181"/>
      <c r="AY405" s="181"/>
      <c r="AZ405" s="181"/>
      <c r="BA405" s="181"/>
      <c r="BB405" s="181"/>
      <c r="BC405" s="181"/>
      <c r="BD405" s="181"/>
      <c r="BE405" s="181"/>
      <c r="BF405" s="181"/>
      <c r="BG405" s="181"/>
      <c r="BH405" s="181"/>
      <c r="BI405" s="181"/>
      <c r="BJ405" s="181"/>
      <c r="BK405" s="181"/>
      <c r="BL405" s="181"/>
      <c r="BM405" s="181"/>
      <c r="BN405" s="181"/>
      <c r="BO405" s="181"/>
      <c r="BP405" s="181"/>
      <c r="BQ405" s="181"/>
      <c r="BR405" s="181"/>
      <c r="BS405" s="181"/>
      <c r="BT405" s="181"/>
      <c r="BU405" s="181"/>
      <c r="BV405" s="181"/>
    </row>
    <row r="406" spans="1:74" s="30" customFormat="1" ht="15.75" x14ac:dyDescent="0.25">
      <c r="A406" s="545"/>
      <c r="B406" s="1579"/>
      <c r="C406" s="1097"/>
      <c r="D406" s="1145" t="s">
        <v>44</v>
      </c>
      <c r="E406" s="1146" t="str">
        <f t="shared" si="72"/>
        <v/>
      </c>
      <c r="F406" s="1124"/>
      <c r="G406" s="886" t="s">
        <v>38</v>
      </c>
      <c r="H406" s="962" t="s">
        <v>38</v>
      </c>
      <c r="I406" s="886" t="s">
        <v>37</v>
      </c>
      <c r="J406" s="963" t="str">
        <f t="shared" si="74"/>
        <v>Y</v>
      </c>
      <c r="K406" s="886" t="s">
        <v>38</v>
      </c>
      <c r="L406" s="962" t="s">
        <v>38</v>
      </c>
      <c r="M406" s="886" t="s">
        <v>38</v>
      </c>
      <c r="N406" s="962" t="s">
        <v>38</v>
      </c>
      <c r="O406" s="886" t="s">
        <v>38</v>
      </c>
      <c r="P406" s="964" t="s">
        <v>38</v>
      </c>
      <c r="Q406" s="985" t="s">
        <v>38</v>
      </c>
      <c r="R406" s="962" t="s">
        <v>38</v>
      </c>
      <c r="S406" s="886" t="s">
        <v>38</v>
      </c>
      <c r="T406" s="963" t="s">
        <v>38</v>
      </c>
      <c r="U406" s="886" t="s">
        <v>38</v>
      </c>
      <c r="V406" s="962" t="s">
        <v>38</v>
      </c>
      <c r="W406" s="886" t="s">
        <v>38</v>
      </c>
      <c r="X406" s="812" t="s">
        <v>38</v>
      </c>
      <c r="Y406" s="430"/>
      <c r="Z406" s="1637" t="s">
        <v>976</v>
      </c>
      <c r="AA406" s="972" t="s">
        <v>37</v>
      </c>
      <c r="AB406" s="1917"/>
      <c r="AC406" s="1153"/>
      <c r="AD406" s="1247"/>
      <c r="AE406" s="1248"/>
      <c r="AF406" s="1249"/>
      <c r="AG406" s="1248"/>
      <c r="AH406" s="1792"/>
      <c r="AI406" s="1773"/>
      <c r="AJ406" s="1265"/>
      <c r="AK406" s="1265"/>
      <c r="AL406" s="1095"/>
      <c r="AM406" s="1095"/>
      <c r="AN406" s="1095"/>
      <c r="AO406" s="1095"/>
      <c r="AP406" s="1095"/>
      <c r="AQ406" s="1106"/>
      <c r="AR406" s="1097"/>
      <c r="AS406" s="1097"/>
      <c r="AT406" s="181"/>
      <c r="AU406" s="181"/>
      <c r="AV406" s="181"/>
      <c r="AW406" s="181"/>
      <c r="AX406" s="181"/>
      <c r="AY406" s="181"/>
      <c r="AZ406" s="181"/>
      <c r="BA406" s="181"/>
      <c r="BB406" s="181"/>
      <c r="BC406" s="181"/>
      <c r="BD406" s="181"/>
      <c r="BE406" s="181"/>
      <c r="BF406" s="181"/>
      <c r="BG406" s="181"/>
      <c r="BH406" s="181"/>
      <c r="BI406" s="181"/>
      <c r="BJ406" s="181"/>
      <c r="BK406" s="181"/>
      <c r="BL406" s="181"/>
      <c r="BM406" s="181"/>
      <c r="BN406" s="181"/>
      <c r="BO406" s="181"/>
      <c r="BP406" s="181"/>
      <c r="BQ406" s="181"/>
      <c r="BR406" s="181"/>
      <c r="BS406" s="181"/>
      <c r="BT406" s="181"/>
      <c r="BU406" s="181"/>
      <c r="BV406" s="181"/>
    </row>
    <row r="407" spans="1:74" s="30" customFormat="1" ht="15.75" x14ac:dyDescent="0.25">
      <c r="A407" s="545"/>
      <c r="B407" s="1579"/>
      <c r="C407" s="1097"/>
      <c r="D407" s="1145" t="s">
        <v>44</v>
      </c>
      <c r="E407" s="1146" t="str">
        <f t="shared" si="72"/>
        <v/>
      </c>
      <c r="F407" s="1124"/>
      <c r="G407" s="886" t="s">
        <v>38</v>
      </c>
      <c r="H407" s="962" t="s">
        <v>38</v>
      </c>
      <c r="I407" s="886" t="s">
        <v>37</v>
      </c>
      <c r="J407" s="963" t="str">
        <f>IF(BOT_project="Yes","?","N")</f>
        <v>?</v>
      </c>
      <c r="K407" s="886" t="s">
        <v>38</v>
      </c>
      <c r="L407" s="962" t="s">
        <v>38</v>
      </c>
      <c r="M407" s="886" t="s">
        <v>38</v>
      </c>
      <c r="N407" s="962" t="s">
        <v>38</v>
      </c>
      <c r="O407" s="886" t="s">
        <v>38</v>
      </c>
      <c r="P407" s="964" t="s">
        <v>38</v>
      </c>
      <c r="Q407" s="985" t="s">
        <v>38</v>
      </c>
      <c r="R407" s="962" t="s">
        <v>38</v>
      </c>
      <c r="S407" s="886" t="s">
        <v>38</v>
      </c>
      <c r="T407" s="963" t="s">
        <v>38</v>
      </c>
      <c r="U407" s="886" t="s">
        <v>38</v>
      </c>
      <c r="V407" s="962" t="s">
        <v>38</v>
      </c>
      <c r="W407" s="886" t="s">
        <v>38</v>
      </c>
      <c r="X407" s="812" t="s">
        <v>38</v>
      </c>
      <c r="Y407" s="430"/>
      <c r="Z407" s="1637" t="s">
        <v>977</v>
      </c>
      <c r="AA407" s="972" t="s">
        <v>37</v>
      </c>
      <c r="AB407" s="1917"/>
      <c r="AC407" s="1153"/>
      <c r="AD407" s="1247"/>
      <c r="AE407" s="1248"/>
      <c r="AF407" s="1249"/>
      <c r="AG407" s="1248"/>
      <c r="AH407" s="1792"/>
      <c r="AI407" s="1773"/>
      <c r="AJ407" s="1265"/>
      <c r="AK407" s="1265"/>
      <c r="AL407" s="1095"/>
      <c r="AM407" s="1095"/>
      <c r="AN407" s="1095"/>
      <c r="AO407" s="1095"/>
      <c r="AP407" s="1095"/>
      <c r="AQ407" s="1106"/>
      <c r="AR407" s="1097"/>
      <c r="AS407" s="1097"/>
      <c r="AT407" s="181"/>
      <c r="AU407" s="181"/>
      <c r="AV407" s="181"/>
      <c r="AW407" s="181"/>
      <c r="AX407" s="181"/>
      <c r="AY407" s="181"/>
      <c r="AZ407" s="181"/>
      <c r="BA407" s="181"/>
      <c r="BB407" s="181"/>
      <c r="BC407" s="181"/>
      <c r="BD407" s="181"/>
      <c r="BE407" s="181"/>
      <c r="BF407" s="181"/>
      <c r="BG407" s="181"/>
      <c r="BH407" s="181"/>
      <c r="BI407" s="181"/>
      <c r="BJ407" s="181"/>
      <c r="BK407" s="181"/>
      <c r="BL407" s="181"/>
      <c r="BM407" s="181"/>
      <c r="BN407" s="181"/>
      <c r="BO407" s="181"/>
      <c r="BP407" s="181"/>
      <c r="BQ407" s="181"/>
      <c r="BR407" s="181"/>
      <c r="BS407" s="181"/>
      <c r="BT407" s="181"/>
      <c r="BU407" s="181"/>
      <c r="BV407" s="181"/>
    </row>
    <row r="408" spans="1:74" s="30" customFormat="1" ht="15.75" x14ac:dyDescent="0.25">
      <c r="A408" s="545"/>
      <c r="B408" s="1579"/>
      <c r="C408" s="1097"/>
      <c r="D408" s="1145" t="s">
        <v>44</v>
      </c>
      <c r="E408" s="1146" t="str">
        <f t="shared" si="72"/>
        <v/>
      </c>
      <c r="F408" s="1124"/>
      <c r="G408" s="886" t="s">
        <v>38</v>
      </c>
      <c r="H408" s="962" t="s">
        <v>38</v>
      </c>
      <c r="I408" s="886" t="s">
        <v>37</v>
      </c>
      <c r="J408" s="963" t="str">
        <f>IF(BOT_project="Yes","?","N")</f>
        <v>?</v>
      </c>
      <c r="K408" s="886" t="s">
        <v>38</v>
      </c>
      <c r="L408" s="962" t="s">
        <v>38</v>
      </c>
      <c r="M408" s="886" t="s">
        <v>38</v>
      </c>
      <c r="N408" s="962" t="s">
        <v>38</v>
      </c>
      <c r="O408" s="886" t="s">
        <v>38</v>
      </c>
      <c r="P408" s="964" t="s">
        <v>38</v>
      </c>
      <c r="Q408" s="985" t="s">
        <v>38</v>
      </c>
      <c r="R408" s="962" t="s">
        <v>38</v>
      </c>
      <c r="S408" s="886" t="s">
        <v>38</v>
      </c>
      <c r="T408" s="963" t="s">
        <v>38</v>
      </c>
      <c r="U408" s="886" t="s">
        <v>38</v>
      </c>
      <c r="V408" s="962" t="s">
        <v>38</v>
      </c>
      <c r="W408" s="886" t="s">
        <v>38</v>
      </c>
      <c r="X408" s="812" t="s">
        <v>38</v>
      </c>
      <c r="Y408" s="430"/>
      <c r="Z408" s="1637" t="s">
        <v>979</v>
      </c>
      <c r="AA408" s="972" t="s">
        <v>37</v>
      </c>
      <c r="AB408" s="1917"/>
      <c r="AC408" s="1153"/>
      <c r="AD408" s="1247"/>
      <c r="AE408" s="1248"/>
      <c r="AF408" s="1249"/>
      <c r="AG408" s="1248"/>
      <c r="AH408" s="1792"/>
      <c r="AI408" s="1773"/>
      <c r="AJ408" s="1265"/>
      <c r="AK408" s="1265"/>
      <c r="AL408" s="1095"/>
      <c r="AM408" s="1095"/>
      <c r="AN408" s="1095"/>
      <c r="AO408" s="1095"/>
      <c r="AP408" s="1095"/>
      <c r="AQ408" s="1106"/>
      <c r="AR408" s="1097"/>
      <c r="AS408" s="1097"/>
      <c r="AT408" s="181"/>
      <c r="AU408" s="181"/>
      <c r="AV408" s="181"/>
      <c r="AW408" s="181"/>
      <c r="AX408" s="181"/>
      <c r="AY408" s="181"/>
      <c r="AZ408" s="181"/>
      <c r="BA408" s="181"/>
      <c r="BB408" s="181"/>
      <c r="BC408" s="181"/>
      <c r="BD408" s="181"/>
      <c r="BE408" s="181"/>
      <c r="BF408" s="181"/>
      <c r="BG408" s="181"/>
      <c r="BH408" s="181"/>
      <c r="BI408" s="181"/>
      <c r="BJ408" s="181"/>
      <c r="BK408" s="181"/>
      <c r="BL408" s="181"/>
      <c r="BM408" s="181"/>
      <c r="BN408" s="181"/>
      <c r="BO408" s="181"/>
      <c r="BP408" s="181"/>
      <c r="BQ408" s="181"/>
      <c r="BR408" s="181"/>
      <c r="BS408" s="181"/>
      <c r="BT408" s="181"/>
      <c r="BU408" s="181"/>
      <c r="BV408" s="181"/>
    </row>
    <row r="409" spans="1:74" s="30" customFormat="1" ht="15.75" x14ac:dyDescent="0.25">
      <c r="A409" s="545"/>
      <c r="B409" s="1579"/>
      <c r="C409" s="1097"/>
      <c r="D409" s="1145" t="s">
        <v>44</v>
      </c>
      <c r="E409" s="1146" t="str">
        <f t="shared" si="72"/>
        <v/>
      </c>
      <c r="F409" s="1124"/>
      <c r="G409" s="886" t="s">
        <v>38</v>
      </c>
      <c r="H409" s="962" t="s">
        <v>38</v>
      </c>
      <c r="I409" s="886" t="s">
        <v>37</v>
      </c>
      <c r="J409" s="963" t="str">
        <f t="shared" si="74"/>
        <v>Y</v>
      </c>
      <c r="K409" s="886" t="s">
        <v>38</v>
      </c>
      <c r="L409" s="962" t="s">
        <v>38</v>
      </c>
      <c r="M409" s="886" t="s">
        <v>38</v>
      </c>
      <c r="N409" s="962" t="s">
        <v>38</v>
      </c>
      <c r="O409" s="886" t="s">
        <v>38</v>
      </c>
      <c r="P409" s="964" t="s">
        <v>38</v>
      </c>
      <c r="Q409" s="985" t="s">
        <v>38</v>
      </c>
      <c r="R409" s="962" t="s">
        <v>38</v>
      </c>
      <c r="S409" s="886" t="s">
        <v>38</v>
      </c>
      <c r="T409" s="963" t="s">
        <v>38</v>
      </c>
      <c r="U409" s="886" t="s">
        <v>38</v>
      </c>
      <c r="V409" s="962" t="s">
        <v>38</v>
      </c>
      <c r="W409" s="886" t="s">
        <v>38</v>
      </c>
      <c r="X409" s="812" t="s">
        <v>38</v>
      </c>
      <c r="Y409" s="430"/>
      <c r="Z409" s="613" t="s">
        <v>114</v>
      </c>
      <c r="AA409" s="972" t="s">
        <v>37</v>
      </c>
      <c r="AB409" s="1917"/>
      <c r="AC409" s="1153"/>
      <c r="AD409" s="1247"/>
      <c r="AE409" s="1248"/>
      <c r="AF409" s="1249"/>
      <c r="AG409" s="1248"/>
      <c r="AH409" s="1792"/>
      <c r="AI409" s="1773"/>
      <c r="AJ409" s="1265"/>
      <c r="AK409" s="1265"/>
      <c r="AL409" s="1095"/>
      <c r="AM409" s="1095"/>
      <c r="AN409" s="1095"/>
      <c r="AO409" s="1095"/>
      <c r="AP409" s="1095"/>
      <c r="AQ409" s="1106"/>
      <c r="AR409" s="1097"/>
      <c r="AS409" s="1097"/>
      <c r="AT409" s="181"/>
      <c r="AU409" s="181"/>
      <c r="AV409" s="181"/>
      <c r="AW409" s="181"/>
      <c r="AX409" s="181"/>
      <c r="AY409" s="181"/>
      <c r="AZ409" s="181"/>
      <c r="BA409" s="181"/>
      <c r="BB409" s="181"/>
      <c r="BC409" s="181"/>
      <c r="BD409" s="181"/>
      <c r="BE409" s="181"/>
      <c r="BF409" s="181"/>
      <c r="BG409" s="181"/>
      <c r="BH409" s="181"/>
      <c r="BI409" s="181"/>
      <c r="BJ409" s="181"/>
      <c r="BK409" s="181"/>
      <c r="BL409" s="181"/>
      <c r="BM409" s="181"/>
      <c r="BN409" s="181"/>
      <c r="BO409" s="181"/>
      <c r="BP409" s="181"/>
      <c r="BQ409" s="181"/>
      <c r="BR409" s="181"/>
      <c r="BS409" s="181"/>
      <c r="BT409" s="181"/>
      <c r="BU409" s="181"/>
      <c r="BV409" s="181"/>
    </row>
    <row r="410" spans="1:74" s="30" customFormat="1" ht="15.75" x14ac:dyDescent="0.25">
      <c r="A410" s="545"/>
      <c r="B410" s="1579"/>
      <c r="C410" s="1097"/>
      <c r="D410" s="1145" t="s">
        <v>44</v>
      </c>
      <c r="E410" s="1146" t="str">
        <f>IF(Z410="","",IF(OR(AND(OR(G410="Y",G410="?"),_00_apply="Yes"),AND(OR(I410="Y",I410="?"),_01_apply="Yes"),AND(OR(K410="Y",K410="?"),_02_apply="Yes"),AND(OR(M410="Y",M410="?"),_03_apply="Yes"),AND(OR(O410="Y",O410="?"),_04_apply="Yes"),AND(OR(Q410="Y",Q410="?"),_05_apply="Yes"),AND(OR(S410="?",S410="Y"),_06_apply="Yes"),AND(OR(U410="?",U410="Y"),_07_apply="Yes"),AND(OR(W410="Y",W410="?"),_08_apply="Yes")),"","N"))</f>
        <v/>
      </c>
      <c r="F410" s="1124"/>
      <c r="G410" s="886" t="s">
        <v>38</v>
      </c>
      <c r="H410" s="962" t="s">
        <v>38</v>
      </c>
      <c r="I410" s="886" t="s">
        <v>37</v>
      </c>
      <c r="J410" s="963" t="str">
        <f t="shared" si="74"/>
        <v>Y</v>
      </c>
      <c r="K410" s="886" t="s">
        <v>38</v>
      </c>
      <c r="L410" s="962" t="s">
        <v>38</v>
      </c>
      <c r="M410" s="886" t="s">
        <v>38</v>
      </c>
      <c r="N410" s="962" t="s">
        <v>38</v>
      </c>
      <c r="O410" s="886" t="s">
        <v>38</v>
      </c>
      <c r="P410" s="964" t="s">
        <v>38</v>
      </c>
      <c r="Q410" s="985" t="s">
        <v>38</v>
      </c>
      <c r="R410" s="962" t="s">
        <v>38</v>
      </c>
      <c r="S410" s="886" t="s">
        <v>38</v>
      </c>
      <c r="T410" s="963" t="s">
        <v>38</v>
      </c>
      <c r="U410" s="886" t="s">
        <v>38</v>
      </c>
      <c r="V410" s="962" t="s">
        <v>38</v>
      </c>
      <c r="W410" s="886" t="s">
        <v>38</v>
      </c>
      <c r="X410" s="812" t="s">
        <v>38</v>
      </c>
      <c r="Y410" s="430"/>
      <c r="Z410" s="613" t="s">
        <v>112</v>
      </c>
      <c r="AA410" s="972" t="s">
        <v>37</v>
      </c>
      <c r="AB410" s="1917"/>
      <c r="AC410" s="1153"/>
      <c r="AD410" s="1247"/>
      <c r="AE410" s="1248"/>
      <c r="AF410" s="1249"/>
      <c r="AG410" s="1248"/>
      <c r="AH410" s="1792"/>
      <c r="AI410" s="1773"/>
      <c r="AJ410" s="1265"/>
      <c r="AK410" s="1265"/>
      <c r="AL410" s="1095"/>
      <c r="AM410" s="1095"/>
      <c r="AN410" s="1095"/>
      <c r="AO410" s="1095"/>
      <c r="AP410" s="1095"/>
      <c r="AQ410" s="1106"/>
      <c r="AR410" s="1097"/>
      <c r="AS410" s="1097"/>
      <c r="AT410" s="181"/>
      <c r="AU410" s="181"/>
      <c r="AV410" s="181"/>
      <c r="AW410" s="181"/>
      <c r="AX410" s="181"/>
      <c r="AY410" s="181"/>
      <c r="AZ410" s="181"/>
      <c r="BA410" s="181"/>
      <c r="BB410" s="181"/>
      <c r="BC410" s="181"/>
      <c r="BD410" s="181"/>
      <c r="BE410" s="181"/>
      <c r="BF410" s="181"/>
      <c r="BG410" s="181"/>
      <c r="BH410" s="181"/>
      <c r="BI410" s="181"/>
      <c r="BJ410" s="181"/>
      <c r="BK410" s="181"/>
      <c r="BL410" s="181"/>
      <c r="BM410" s="181"/>
      <c r="BN410" s="181"/>
      <c r="BO410" s="181"/>
      <c r="BP410" s="181"/>
      <c r="BQ410" s="181"/>
      <c r="BR410" s="181"/>
      <c r="BS410" s="181"/>
      <c r="BT410" s="181"/>
      <c r="BU410" s="181"/>
      <c r="BV410" s="181"/>
    </row>
    <row r="411" spans="1:74" s="30" customFormat="1" ht="15.75" x14ac:dyDescent="0.25">
      <c r="A411" s="545"/>
      <c r="B411" s="1579"/>
      <c r="C411" s="1097"/>
      <c r="D411" s="1145" t="s">
        <v>44</v>
      </c>
      <c r="E411" s="1147" t="str">
        <f>IF(Z411="","",IF(OR(AND(OR(G411="Y",G411="?"),_00_apply="Yes"),AND(OR(I411="Y",I411="?"),_01_apply="Yes"),AND(OR(K411="Y",K411="?"),_02_apply="Yes"),AND(OR(M411="Y",M411="?"),_03_apply="Yes"),AND(OR(O411="Y",O411="?"),_04_apply="Yes"),AND(OR(Q411="Y",Q411="?"),_05_apply="Yes"),AND(OR(S411="?",S411="Y"),_06_apply="Yes"),AND(OR(U411="?",U411="Y"),_07_apply="Yes"),AND(OR(W411="Y",W411="?"),_08_apply="Yes")),"","N"))</f>
        <v/>
      </c>
      <c r="F411" s="1124"/>
      <c r="G411" s="1703" t="s">
        <v>38</v>
      </c>
      <c r="H411" s="1704" t="s">
        <v>38</v>
      </c>
      <c r="I411" s="1703" t="s">
        <v>37</v>
      </c>
      <c r="J411" s="1705" t="str">
        <f t="shared" si="74"/>
        <v>Y</v>
      </c>
      <c r="K411" s="1703" t="s">
        <v>38</v>
      </c>
      <c r="L411" s="1704" t="s">
        <v>38</v>
      </c>
      <c r="M411" s="1703" t="s">
        <v>38</v>
      </c>
      <c r="N411" s="1704" t="s">
        <v>38</v>
      </c>
      <c r="O411" s="1703" t="s">
        <v>38</v>
      </c>
      <c r="P411" s="1706" t="s">
        <v>38</v>
      </c>
      <c r="Q411" s="1707" t="s">
        <v>38</v>
      </c>
      <c r="R411" s="1704" t="s">
        <v>38</v>
      </c>
      <c r="S411" s="1703" t="s">
        <v>38</v>
      </c>
      <c r="T411" s="1705" t="s">
        <v>38</v>
      </c>
      <c r="U411" s="1703" t="s">
        <v>38</v>
      </c>
      <c r="V411" s="1704" t="s">
        <v>38</v>
      </c>
      <c r="W411" s="1703" t="s">
        <v>38</v>
      </c>
      <c r="X411" s="815" t="s">
        <v>38</v>
      </c>
      <c r="Y411" s="430"/>
      <c r="Z411" s="614" t="s">
        <v>946</v>
      </c>
      <c r="AA411" s="972" t="s">
        <v>37</v>
      </c>
      <c r="AB411" s="1917"/>
      <c r="AC411" s="1153"/>
      <c r="AD411" s="1247"/>
      <c r="AE411" s="1248"/>
      <c r="AF411" s="1249"/>
      <c r="AG411" s="1248"/>
      <c r="AH411" s="1792"/>
      <c r="AI411" s="1773"/>
      <c r="AJ411" s="1265"/>
      <c r="AK411" s="1265"/>
      <c r="AL411" s="1095"/>
      <c r="AM411" s="1095"/>
      <c r="AN411" s="1095"/>
      <c r="AO411" s="1095"/>
      <c r="AP411" s="1095"/>
      <c r="AQ411" s="1106"/>
      <c r="AR411" s="1097"/>
      <c r="AS411" s="1097"/>
      <c r="AT411" s="181"/>
      <c r="AU411" s="181"/>
      <c r="AV411" s="181"/>
      <c r="AW411" s="181"/>
      <c r="AX411" s="181"/>
      <c r="AY411" s="181"/>
      <c r="AZ411" s="181"/>
      <c r="BA411" s="181"/>
      <c r="BB411" s="181"/>
      <c r="BC411" s="181"/>
      <c r="BD411" s="181"/>
      <c r="BE411" s="181"/>
      <c r="BF411" s="181"/>
      <c r="BG411" s="181"/>
      <c r="BH411" s="181"/>
      <c r="BI411" s="181"/>
      <c r="BJ411" s="181"/>
      <c r="BK411" s="181"/>
      <c r="BL411" s="181"/>
      <c r="BM411" s="181"/>
      <c r="BN411" s="181"/>
      <c r="BO411" s="181"/>
      <c r="BP411" s="181"/>
      <c r="BQ411" s="181"/>
      <c r="BR411" s="181"/>
      <c r="BS411" s="181"/>
      <c r="BT411" s="181"/>
      <c r="BU411" s="181"/>
      <c r="BV411" s="181"/>
    </row>
    <row r="412" spans="1:74" s="30" customFormat="1" ht="28.5" x14ac:dyDescent="0.25">
      <c r="A412" s="545"/>
      <c r="B412" s="1579"/>
      <c r="C412" s="1097"/>
      <c r="D412" s="1145" t="s">
        <v>44</v>
      </c>
      <c r="E412" s="1147" t="str">
        <f>IF(Z412="","",IF(OR(AND(OR(G412="Y",G412="?"),_00_apply="Yes"),AND(OR(I412="Y",I412="?"),_01_apply="Yes"),AND(OR(K412="Y",K412="?"),_02_apply="Yes"),AND(OR(M412="Y",M412="?"),_03_apply="Yes"),AND(OR(O412="Y",O412="?"),_04_apply="Yes"),AND(OR(Q412="Y",Q412="?"),_05_apply="Yes"),AND(OR(S412="?",S412="Y"),_06_apply="Yes"),AND(OR(U412="?",U412="Y"),_07_apply="Yes"),AND(OR(W412="Y",W412="?"),_08_apply="Yes")),"","N"))</f>
        <v/>
      </c>
      <c r="F412" s="1124"/>
      <c r="G412" s="1703" t="s">
        <v>38</v>
      </c>
      <c r="H412" s="1704" t="s">
        <v>38</v>
      </c>
      <c r="I412" s="1703" t="s">
        <v>37</v>
      </c>
      <c r="J412" s="1705" t="str">
        <f t="shared" si="74"/>
        <v>Y</v>
      </c>
      <c r="K412" s="1703" t="s">
        <v>38</v>
      </c>
      <c r="L412" s="1704" t="s">
        <v>38</v>
      </c>
      <c r="M412" s="1703" t="s">
        <v>38</v>
      </c>
      <c r="N412" s="1704" t="s">
        <v>38</v>
      </c>
      <c r="O412" s="1703" t="s">
        <v>38</v>
      </c>
      <c r="P412" s="1706" t="s">
        <v>38</v>
      </c>
      <c r="Q412" s="1707" t="s">
        <v>38</v>
      </c>
      <c r="R412" s="1704" t="s">
        <v>38</v>
      </c>
      <c r="S412" s="1703" t="s">
        <v>38</v>
      </c>
      <c r="T412" s="1705" t="s">
        <v>38</v>
      </c>
      <c r="U412" s="1703" t="s">
        <v>38</v>
      </c>
      <c r="V412" s="1704" t="s">
        <v>38</v>
      </c>
      <c r="W412" s="1703" t="s">
        <v>38</v>
      </c>
      <c r="X412" s="815" t="s">
        <v>38</v>
      </c>
      <c r="Y412" s="430"/>
      <c r="Z412" s="614" t="s">
        <v>948</v>
      </c>
      <c r="AA412" s="972" t="s">
        <v>37</v>
      </c>
      <c r="AB412" s="1924"/>
      <c r="AC412" s="1153"/>
      <c r="AD412" s="1268"/>
      <c r="AE412" s="1265"/>
      <c r="AF412" s="1249"/>
      <c r="AG412" s="1248"/>
      <c r="AH412" s="1792"/>
      <c r="AI412" s="1773"/>
      <c r="AJ412" s="1265"/>
      <c r="AK412" s="1265"/>
      <c r="AL412" s="1095"/>
      <c r="AM412" s="1095"/>
      <c r="AN412" s="1095"/>
      <c r="AO412" s="1095"/>
      <c r="AP412" s="1095"/>
      <c r="AQ412" s="1106"/>
      <c r="AR412" s="1097"/>
      <c r="AS412" s="1097"/>
      <c r="AT412" s="181"/>
      <c r="AU412" s="181"/>
      <c r="AV412" s="181"/>
      <c r="AW412" s="181"/>
      <c r="AX412" s="181"/>
      <c r="AY412" s="181"/>
      <c r="AZ412" s="181"/>
      <c r="BA412" s="181"/>
      <c r="BB412" s="181"/>
      <c r="BC412" s="181"/>
      <c r="BD412" s="181"/>
      <c r="BE412" s="181"/>
      <c r="BF412" s="181"/>
      <c r="BG412" s="181"/>
      <c r="BH412" s="181"/>
      <c r="BI412" s="181"/>
      <c r="BJ412" s="181"/>
      <c r="BK412" s="181"/>
      <c r="BL412" s="181"/>
      <c r="BM412" s="181"/>
      <c r="BN412" s="181"/>
      <c r="BO412" s="181"/>
      <c r="BP412" s="181"/>
      <c r="BQ412" s="181"/>
      <c r="BR412" s="181"/>
      <c r="BS412" s="181"/>
      <c r="BT412" s="181"/>
      <c r="BU412" s="181"/>
      <c r="BV412" s="181"/>
    </row>
    <row r="413" spans="1:74" s="30" customFormat="1" ht="15.75" x14ac:dyDescent="0.25">
      <c r="A413" s="545"/>
      <c r="B413" s="1579"/>
      <c r="C413" s="1097"/>
      <c r="D413" s="1145" t="s">
        <v>44</v>
      </c>
      <c r="E413" s="1146" t="str">
        <f t="shared" si="72"/>
        <v/>
      </c>
      <c r="F413" s="1124"/>
      <c r="G413" s="886" t="s">
        <v>38</v>
      </c>
      <c r="H413" s="962" t="s">
        <v>38</v>
      </c>
      <c r="I413" s="886" t="s">
        <v>37</v>
      </c>
      <c r="J413" s="963" t="str">
        <f t="shared" si="74"/>
        <v>Y</v>
      </c>
      <c r="K413" s="886" t="s">
        <v>38</v>
      </c>
      <c r="L413" s="962" t="s">
        <v>38</v>
      </c>
      <c r="M413" s="886" t="s">
        <v>38</v>
      </c>
      <c r="N413" s="962" t="s">
        <v>38</v>
      </c>
      <c r="O413" s="886" t="s">
        <v>38</v>
      </c>
      <c r="P413" s="964" t="s">
        <v>38</v>
      </c>
      <c r="Q413" s="985" t="s">
        <v>38</v>
      </c>
      <c r="R413" s="962" t="s">
        <v>38</v>
      </c>
      <c r="S413" s="886" t="s">
        <v>38</v>
      </c>
      <c r="T413" s="963" t="s">
        <v>38</v>
      </c>
      <c r="U413" s="886" t="s">
        <v>38</v>
      </c>
      <c r="V413" s="962" t="s">
        <v>38</v>
      </c>
      <c r="W413" s="886" t="s">
        <v>38</v>
      </c>
      <c r="X413" s="812" t="s">
        <v>38</v>
      </c>
      <c r="Y413" s="430"/>
      <c r="Z413" s="613" t="s">
        <v>947</v>
      </c>
      <c r="AA413" s="972" t="s">
        <v>37</v>
      </c>
      <c r="AB413" s="1917"/>
      <c r="AC413" s="1153"/>
      <c r="AD413" s="1247"/>
      <c r="AE413" s="1248"/>
      <c r="AF413" s="1249"/>
      <c r="AG413" s="1248"/>
      <c r="AH413" s="1792"/>
      <c r="AI413" s="1773"/>
      <c r="AJ413" s="1265"/>
      <c r="AK413" s="1265"/>
      <c r="AL413" s="1095"/>
      <c r="AM413" s="1095"/>
      <c r="AN413" s="1095"/>
      <c r="AO413" s="1095"/>
      <c r="AP413" s="1095"/>
      <c r="AQ413" s="1106"/>
      <c r="AR413" s="1097"/>
      <c r="AS413" s="1097"/>
      <c r="AT413" s="181"/>
      <c r="AU413" s="181"/>
      <c r="AV413" s="181"/>
      <c r="AW413" s="181"/>
      <c r="AX413" s="181"/>
      <c r="AY413" s="181"/>
      <c r="AZ413" s="181"/>
      <c r="BA413" s="181"/>
      <c r="BB413" s="181"/>
      <c r="BC413" s="181"/>
      <c r="BD413" s="181"/>
      <c r="BE413" s="181"/>
      <c r="BF413" s="181"/>
      <c r="BG413" s="181"/>
      <c r="BH413" s="181"/>
      <c r="BI413" s="181"/>
      <c r="BJ413" s="181"/>
      <c r="BK413" s="181"/>
      <c r="BL413" s="181"/>
      <c r="BM413" s="181"/>
      <c r="BN413" s="181"/>
      <c r="BO413" s="181"/>
      <c r="BP413" s="181"/>
      <c r="BQ413" s="181"/>
      <c r="BR413" s="181"/>
      <c r="BS413" s="181"/>
      <c r="BT413" s="181"/>
      <c r="BU413" s="181"/>
      <c r="BV413" s="181"/>
    </row>
    <row r="414" spans="1:74" s="30" customFormat="1" ht="15.75" x14ac:dyDescent="0.25">
      <c r="A414" s="545"/>
      <c r="B414" s="1579"/>
      <c r="C414" s="1097"/>
      <c r="D414" s="1145" t="s">
        <v>44</v>
      </c>
      <c r="E414" s="1146" t="str">
        <f t="shared" si="72"/>
        <v/>
      </c>
      <c r="F414" s="1124"/>
      <c r="G414" s="886" t="s">
        <v>38</v>
      </c>
      <c r="H414" s="962" t="s">
        <v>38</v>
      </c>
      <c r="I414" s="886" t="s">
        <v>37</v>
      </c>
      <c r="J414" s="963" t="str">
        <f t="shared" si="74"/>
        <v>Y</v>
      </c>
      <c r="K414" s="886" t="s">
        <v>38</v>
      </c>
      <c r="L414" s="962" t="s">
        <v>38</v>
      </c>
      <c r="M414" s="886" t="s">
        <v>38</v>
      </c>
      <c r="N414" s="962" t="s">
        <v>38</v>
      </c>
      <c r="O414" s="886" t="s">
        <v>38</v>
      </c>
      <c r="P414" s="964" t="s">
        <v>38</v>
      </c>
      <c r="Q414" s="985" t="s">
        <v>38</v>
      </c>
      <c r="R414" s="962" t="s">
        <v>38</v>
      </c>
      <c r="S414" s="886" t="s">
        <v>38</v>
      </c>
      <c r="T414" s="963" t="s">
        <v>38</v>
      </c>
      <c r="U414" s="886" t="s">
        <v>38</v>
      </c>
      <c r="V414" s="962" t="s">
        <v>38</v>
      </c>
      <c r="W414" s="886" t="s">
        <v>38</v>
      </c>
      <c r="X414" s="812" t="s">
        <v>38</v>
      </c>
      <c r="Y414" s="430"/>
      <c r="Z414" s="613" t="s">
        <v>949</v>
      </c>
      <c r="AA414" s="972" t="s">
        <v>37</v>
      </c>
      <c r="AB414" s="1924"/>
      <c r="AC414" s="1153"/>
      <c r="AD414" s="1268"/>
      <c r="AE414" s="1265"/>
      <c r="AF414" s="1249"/>
      <c r="AG414" s="1248"/>
      <c r="AH414" s="1792"/>
      <c r="AI414" s="1773"/>
      <c r="AJ414" s="1265"/>
      <c r="AK414" s="1265"/>
      <c r="AL414" s="1095"/>
      <c r="AM414" s="1095"/>
      <c r="AN414" s="1095"/>
      <c r="AO414" s="1095"/>
      <c r="AP414" s="1095"/>
      <c r="AQ414" s="1106"/>
      <c r="AR414" s="1097"/>
      <c r="AS414" s="1097"/>
      <c r="AT414" s="181"/>
      <c r="AU414" s="181"/>
      <c r="AV414" s="181"/>
      <c r="AW414" s="181"/>
      <c r="AX414" s="181"/>
      <c r="AY414" s="181"/>
      <c r="AZ414" s="181"/>
      <c r="BA414" s="181"/>
      <c r="BB414" s="181"/>
      <c r="BC414" s="181"/>
      <c r="BD414" s="181"/>
      <c r="BE414" s="181"/>
      <c r="BF414" s="181"/>
      <c r="BG414" s="181"/>
      <c r="BH414" s="181"/>
      <c r="BI414" s="181"/>
      <c r="BJ414" s="181"/>
      <c r="BK414" s="181"/>
      <c r="BL414" s="181"/>
      <c r="BM414" s="181"/>
      <c r="BN414" s="181"/>
      <c r="BO414" s="181"/>
      <c r="BP414" s="181"/>
      <c r="BQ414" s="181"/>
      <c r="BR414" s="181"/>
      <c r="BS414" s="181"/>
      <c r="BT414" s="181"/>
      <c r="BU414" s="181"/>
      <c r="BV414" s="181"/>
    </row>
    <row r="415" spans="1:74" s="30" customFormat="1" ht="15.75" x14ac:dyDescent="0.25">
      <c r="A415" s="545"/>
      <c r="B415" s="1579"/>
      <c r="C415" s="1097"/>
      <c r="D415" s="1145" t="s">
        <v>44</v>
      </c>
      <c r="E415" s="1146" t="str">
        <f t="shared" si="72"/>
        <v>N</v>
      </c>
      <c r="F415" s="1124"/>
      <c r="G415" s="886" t="s">
        <v>38</v>
      </c>
      <c r="H415" s="962" t="s">
        <v>38</v>
      </c>
      <c r="I415" s="886" t="s">
        <v>38</v>
      </c>
      <c r="J415" s="963" t="s">
        <v>38</v>
      </c>
      <c r="K415" s="886" t="s">
        <v>38</v>
      </c>
      <c r="L415" s="962" t="s">
        <v>38</v>
      </c>
      <c r="M415" s="886" t="s">
        <v>38</v>
      </c>
      <c r="N415" s="962" t="s">
        <v>38</v>
      </c>
      <c r="O415" s="886" t="s">
        <v>38</v>
      </c>
      <c r="P415" s="964" t="s">
        <v>38</v>
      </c>
      <c r="Q415" s="985" t="s">
        <v>38</v>
      </c>
      <c r="R415" s="962" t="s">
        <v>38</v>
      </c>
      <c r="S415" s="886" t="s">
        <v>38</v>
      </c>
      <c r="T415" s="963" t="s">
        <v>38</v>
      </c>
      <c r="U415" s="886" t="s">
        <v>38</v>
      </c>
      <c r="V415" s="962" t="s">
        <v>38</v>
      </c>
      <c r="W415" s="886" t="s">
        <v>38</v>
      </c>
      <c r="X415" s="812" t="s">
        <v>38</v>
      </c>
      <c r="Y415" s="430"/>
      <c r="Z415" s="613" t="s">
        <v>113</v>
      </c>
      <c r="AA415" s="972" t="s">
        <v>37</v>
      </c>
      <c r="AB415" s="1924"/>
      <c r="AC415" s="1153"/>
      <c r="AD415" s="1268"/>
      <c r="AE415" s="1265"/>
      <c r="AF415" s="1249"/>
      <c r="AG415" s="1248"/>
      <c r="AH415" s="1792"/>
      <c r="AI415" s="1773"/>
      <c r="AJ415" s="1265"/>
      <c r="AK415" s="1265"/>
      <c r="AL415" s="1095"/>
      <c r="AM415" s="1095"/>
      <c r="AN415" s="1095"/>
      <c r="AO415" s="1095"/>
      <c r="AP415" s="1095"/>
      <c r="AQ415" s="1106"/>
      <c r="AR415" s="1097"/>
      <c r="AS415" s="1097"/>
      <c r="AT415" s="181"/>
      <c r="AU415" s="181"/>
      <c r="AV415" s="181"/>
      <c r="AW415" s="181"/>
      <c r="AX415" s="181"/>
      <c r="AY415" s="181"/>
      <c r="AZ415" s="181"/>
      <c r="BA415" s="181"/>
      <c r="BB415" s="181"/>
      <c r="BC415" s="181"/>
      <c r="BD415" s="181"/>
      <c r="BE415" s="181"/>
      <c r="BF415" s="181"/>
      <c r="BG415" s="181"/>
      <c r="BH415" s="181"/>
      <c r="BI415" s="181"/>
      <c r="BJ415" s="181"/>
      <c r="BK415" s="181"/>
      <c r="BL415" s="181"/>
      <c r="BM415" s="181"/>
      <c r="BN415" s="181"/>
      <c r="BO415" s="181"/>
      <c r="BP415" s="181"/>
      <c r="BQ415" s="181"/>
      <c r="BR415" s="181"/>
      <c r="BS415" s="181"/>
      <c r="BT415" s="181"/>
      <c r="BU415" s="181"/>
      <c r="BV415" s="181"/>
    </row>
    <row r="416" spans="1:74" s="30" customFormat="1" ht="15.75" x14ac:dyDescent="0.25">
      <c r="A416" s="545"/>
      <c r="B416" s="1579"/>
      <c r="C416" s="1097"/>
      <c r="D416" s="1145" t="s">
        <v>44</v>
      </c>
      <c r="E416" s="1146" t="str">
        <f t="shared" si="72"/>
        <v/>
      </c>
      <c r="F416" s="1124"/>
      <c r="G416" s="886" t="s">
        <v>38</v>
      </c>
      <c r="H416" s="962" t="s">
        <v>38</v>
      </c>
      <c r="I416" s="886" t="s">
        <v>37</v>
      </c>
      <c r="J416" s="963" t="str">
        <f t="shared" si="74"/>
        <v>Y</v>
      </c>
      <c r="K416" s="886" t="s">
        <v>38</v>
      </c>
      <c r="L416" s="962" t="s">
        <v>38</v>
      </c>
      <c r="M416" s="886" t="s">
        <v>38</v>
      </c>
      <c r="N416" s="962" t="s">
        <v>38</v>
      </c>
      <c r="O416" s="886" t="s">
        <v>38</v>
      </c>
      <c r="P416" s="964" t="s">
        <v>38</v>
      </c>
      <c r="Q416" s="985" t="s">
        <v>38</v>
      </c>
      <c r="R416" s="962" t="s">
        <v>38</v>
      </c>
      <c r="S416" s="886" t="s">
        <v>38</v>
      </c>
      <c r="T416" s="963" t="s">
        <v>38</v>
      </c>
      <c r="U416" s="886" t="s">
        <v>38</v>
      </c>
      <c r="V416" s="962" t="s">
        <v>38</v>
      </c>
      <c r="W416" s="886" t="s">
        <v>38</v>
      </c>
      <c r="X416" s="812" t="s">
        <v>38</v>
      </c>
      <c r="Y416" s="430"/>
      <c r="Z416" s="613" t="s">
        <v>115</v>
      </c>
      <c r="AA416" s="972" t="s">
        <v>37</v>
      </c>
      <c r="AB416" s="1924"/>
      <c r="AC416" s="1153"/>
      <c r="AD416" s="1268"/>
      <c r="AE416" s="1265"/>
      <c r="AF416" s="1249"/>
      <c r="AG416" s="1248"/>
      <c r="AH416" s="1792"/>
      <c r="AI416" s="1773"/>
      <c r="AJ416" s="1265"/>
      <c r="AK416" s="1265"/>
      <c r="AL416" s="1095"/>
      <c r="AM416" s="1095"/>
      <c r="AN416" s="1095"/>
      <c r="AO416" s="1095"/>
      <c r="AP416" s="1095"/>
      <c r="AQ416" s="1106"/>
      <c r="AR416" s="1097"/>
      <c r="AS416" s="1097"/>
      <c r="AT416" s="181"/>
      <c r="AU416" s="181"/>
      <c r="AV416" s="181"/>
      <c r="AW416" s="181"/>
      <c r="AX416" s="181"/>
      <c r="AY416" s="181"/>
      <c r="AZ416" s="181"/>
      <c r="BA416" s="181"/>
      <c r="BB416" s="181"/>
      <c r="BC416" s="181"/>
      <c r="BD416" s="181"/>
      <c r="BE416" s="181"/>
      <c r="BF416" s="181"/>
      <c r="BG416" s="181"/>
      <c r="BH416" s="181"/>
      <c r="BI416" s="181"/>
      <c r="BJ416" s="181"/>
      <c r="BK416" s="181"/>
      <c r="BL416" s="181"/>
      <c r="BM416" s="181"/>
      <c r="BN416" s="181"/>
      <c r="BO416" s="181"/>
      <c r="BP416" s="181"/>
      <c r="BQ416" s="181"/>
      <c r="BR416" s="181"/>
      <c r="BS416" s="181"/>
      <c r="BT416" s="181"/>
      <c r="BU416" s="181"/>
      <c r="BV416" s="181"/>
    </row>
    <row r="417" spans="1:74" s="30" customFormat="1" ht="15.75" x14ac:dyDescent="0.25">
      <c r="A417" s="545"/>
      <c r="B417" s="1579"/>
      <c r="C417" s="1097"/>
      <c r="D417" s="1145" t="s">
        <v>44</v>
      </c>
      <c r="E417" s="1146" t="str">
        <f t="shared" si="72"/>
        <v>N</v>
      </c>
      <c r="F417" s="1124"/>
      <c r="G417" s="886" t="s">
        <v>38</v>
      </c>
      <c r="H417" s="962" t="s">
        <v>38</v>
      </c>
      <c r="I417" s="886" t="s">
        <v>38</v>
      </c>
      <c r="J417" s="963" t="s">
        <v>21</v>
      </c>
      <c r="K417" s="886" t="s">
        <v>38</v>
      </c>
      <c r="L417" s="962" t="s">
        <v>38</v>
      </c>
      <c r="M417" s="886" t="s">
        <v>38</v>
      </c>
      <c r="N417" s="962" t="s">
        <v>38</v>
      </c>
      <c r="O417" s="886" t="s">
        <v>38</v>
      </c>
      <c r="P417" s="964" t="s">
        <v>38</v>
      </c>
      <c r="Q417" s="985" t="s">
        <v>38</v>
      </c>
      <c r="R417" s="962" t="s">
        <v>38</v>
      </c>
      <c r="S417" s="886" t="s">
        <v>38</v>
      </c>
      <c r="T417" s="963" t="s">
        <v>38</v>
      </c>
      <c r="U417" s="886" t="s">
        <v>38</v>
      </c>
      <c r="V417" s="962" t="s">
        <v>38</v>
      </c>
      <c r="W417" s="886" t="s">
        <v>38</v>
      </c>
      <c r="X417" s="812" t="s">
        <v>38</v>
      </c>
      <c r="Y417" s="430"/>
      <c r="Z417" s="979" t="s">
        <v>478</v>
      </c>
      <c r="AA417" s="972" t="s">
        <v>38</v>
      </c>
      <c r="AB417" s="1924"/>
      <c r="AC417" s="1153"/>
      <c r="AD417" s="1268"/>
      <c r="AE417" s="1265"/>
      <c r="AF417" s="1249"/>
      <c r="AG417" s="1248"/>
      <c r="AH417" s="1792"/>
      <c r="AI417" s="1773"/>
      <c r="AJ417" s="1265"/>
      <c r="AK417" s="1265"/>
      <c r="AL417" s="1095"/>
      <c r="AM417" s="1095"/>
      <c r="AN417" s="1095"/>
      <c r="AO417" s="1095"/>
      <c r="AP417" s="1095"/>
      <c r="AQ417" s="1106"/>
      <c r="AR417" s="1097"/>
      <c r="AS417" s="1097"/>
      <c r="AT417" s="181"/>
      <c r="AU417" s="181"/>
      <c r="AV417" s="181"/>
      <c r="AW417" s="181"/>
      <c r="AX417" s="181"/>
      <c r="AY417" s="181"/>
      <c r="AZ417" s="181"/>
      <c r="BA417" s="181"/>
      <c r="BB417" s="181"/>
      <c r="BC417" s="181"/>
      <c r="BD417" s="181"/>
      <c r="BE417" s="181"/>
      <c r="BF417" s="181"/>
      <c r="BG417" s="181"/>
      <c r="BH417" s="181"/>
      <c r="BI417" s="181"/>
      <c r="BJ417" s="181"/>
      <c r="BK417" s="181"/>
      <c r="BL417" s="181"/>
      <c r="BM417" s="181"/>
      <c r="BN417" s="181"/>
      <c r="BO417" s="181"/>
      <c r="BP417" s="181"/>
      <c r="BQ417" s="181"/>
      <c r="BR417" s="181"/>
      <c r="BS417" s="181"/>
      <c r="BT417" s="181"/>
      <c r="BU417" s="181"/>
      <c r="BV417" s="181"/>
    </row>
    <row r="418" spans="1:74" s="30" customFormat="1" ht="15.75" x14ac:dyDescent="0.25">
      <c r="A418" s="545"/>
      <c r="B418" s="1579"/>
      <c r="C418" s="1097"/>
      <c r="D418" s="1145" t="s">
        <v>44</v>
      </c>
      <c r="E418" s="1146" t="str">
        <f t="shared" si="72"/>
        <v>N</v>
      </c>
      <c r="F418" s="1124"/>
      <c r="G418" s="886" t="s">
        <v>38</v>
      </c>
      <c r="H418" s="962" t="s">
        <v>38</v>
      </c>
      <c r="I418" s="886" t="s">
        <v>38</v>
      </c>
      <c r="J418" s="963" t="s">
        <v>21</v>
      </c>
      <c r="K418" s="886" t="s">
        <v>38</v>
      </c>
      <c r="L418" s="962" t="s">
        <v>38</v>
      </c>
      <c r="M418" s="886" t="s">
        <v>38</v>
      </c>
      <c r="N418" s="962" t="s">
        <v>38</v>
      </c>
      <c r="O418" s="886" t="s">
        <v>38</v>
      </c>
      <c r="P418" s="964" t="s">
        <v>38</v>
      </c>
      <c r="Q418" s="985" t="s">
        <v>38</v>
      </c>
      <c r="R418" s="962" t="s">
        <v>38</v>
      </c>
      <c r="S418" s="886" t="s">
        <v>38</v>
      </c>
      <c r="T418" s="963" t="s">
        <v>38</v>
      </c>
      <c r="U418" s="886" t="s">
        <v>38</v>
      </c>
      <c r="V418" s="962" t="s">
        <v>38</v>
      </c>
      <c r="W418" s="886" t="s">
        <v>38</v>
      </c>
      <c r="X418" s="812" t="s">
        <v>38</v>
      </c>
      <c r="Y418" s="430"/>
      <c r="Z418" s="979" t="s">
        <v>478</v>
      </c>
      <c r="AA418" s="972" t="s">
        <v>38</v>
      </c>
      <c r="AB418" s="1924"/>
      <c r="AC418" s="1153"/>
      <c r="AD418" s="1268"/>
      <c r="AE418" s="1265"/>
      <c r="AF418" s="1249"/>
      <c r="AG418" s="1248"/>
      <c r="AH418" s="1792"/>
      <c r="AI418" s="1773"/>
      <c r="AJ418" s="1265"/>
      <c r="AK418" s="1265"/>
      <c r="AL418" s="1095"/>
      <c r="AM418" s="1095"/>
      <c r="AN418" s="1095"/>
      <c r="AO418" s="1095"/>
      <c r="AP418" s="1095"/>
      <c r="AQ418" s="1106"/>
      <c r="AR418" s="1097"/>
      <c r="AS418" s="1097"/>
      <c r="AT418" s="181"/>
      <c r="AU418" s="181"/>
      <c r="AV418" s="181"/>
      <c r="AW418" s="181"/>
      <c r="AX418" s="181"/>
      <c r="AY418" s="181"/>
      <c r="AZ418" s="181"/>
      <c r="BA418" s="181"/>
      <c r="BB418" s="181"/>
      <c r="BC418" s="181"/>
      <c r="BD418" s="181"/>
      <c r="BE418" s="181"/>
      <c r="BF418" s="181"/>
      <c r="BG418" s="181"/>
      <c r="BH418" s="181"/>
      <c r="BI418" s="181"/>
      <c r="BJ418" s="181"/>
      <c r="BK418" s="181"/>
      <c r="BL418" s="181"/>
      <c r="BM418" s="181"/>
      <c r="BN418" s="181"/>
      <c r="BO418" s="181"/>
      <c r="BP418" s="181"/>
      <c r="BQ418" s="181"/>
      <c r="BR418" s="181"/>
      <c r="BS418" s="181"/>
      <c r="BT418" s="181"/>
      <c r="BU418" s="181"/>
      <c r="BV418" s="181"/>
    </row>
    <row r="419" spans="1:74" s="30" customFormat="1" ht="15.75" x14ac:dyDescent="0.25">
      <c r="A419" s="545"/>
      <c r="B419" s="1579"/>
      <c r="C419" s="1097"/>
      <c r="D419" s="1145" t="s">
        <v>44</v>
      </c>
      <c r="E419" s="1146" t="str">
        <f t="shared" si="72"/>
        <v>N</v>
      </c>
      <c r="F419" s="1124"/>
      <c r="G419" s="886" t="s">
        <v>38</v>
      </c>
      <c r="H419" s="962" t="s">
        <v>38</v>
      </c>
      <c r="I419" s="886" t="s">
        <v>38</v>
      </c>
      <c r="J419" s="963" t="s">
        <v>21</v>
      </c>
      <c r="K419" s="886" t="s">
        <v>38</v>
      </c>
      <c r="L419" s="962" t="s">
        <v>38</v>
      </c>
      <c r="M419" s="886" t="s">
        <v>38</v>
      </c>
      <c r="N419" s="962" t="s">
        <v>38</v>
      </c>
      <c r="O419" s="886" t="s">
        <v>38</v>
      </c>
      <c r="P419" s="964" t="s">
        <v>38</v>
      </c>
      <c r="Q419" s="985" t="s">
        <v>38</v>
      </c>
      <c r="R419" s="962" t="s">
        <v>38</v>
      </c>
      <c r="S419" s="886" t="s">
        <v>38</v>
      </c>
      <c r="T419" s="963" t="s">
        <v>38</v>
      </c>
      <c r="U419" s="886" t="s">
        <v>38</v>
      </c>
      <c r="V419" s="962" t="s">
        <v>38</v>
      </c>
      <c r="W419" s="886" t="s">
        <v>38</v>
      </c>
      <c r="X419" s="812" t="s">
        <v>38</v>
      </c>
      <c r="Y419" s="430"/>
      <c r="Z419" s="979" t="s">
        <v>478</v>
      </c>
      <c r="AA419" s="972" t="s">
        <v>38</v>
      </c>
      <c r="AB419" s="1924"/>
      <c r="AC419" s="1153"/>
      <c r="AD419" s="1268"/>
      <c r="AE419" s="1265"/>
      <c r="AF419" s="1249"/>
      <c r="AG419" s="1248"/>
      <c r="AH419" s="1792"/>
      <c r="AI419" s="1773"/>
      <c r="AJ419" s="1265"/>
      <c r="AK419" s="1265"/>
      <c r="AL419" s="1095"/>
      <c r="AM419" s="1095"/>
      <c r="AN419" s="1095"/>
      <c r="AO419" s="1095"/>
      <c r="AP419" s="1095"/>
      <c r="AQ419" s="1106"/>
      <c r="AR419" s="1097"/>
      <c r="AS419" s="1097"/>
      <c r="AT419" s="181"/>
      <c r="AU419" s="181"/>
      <c r="AV419" s="181"/>
      <c r="AW419" s="181"/>
      <c r="AX419" s="181"/>
      <c r="AY419" s="181"/>
      <c r="AZ419" s="181"/>
      <c r="BA419" s="181"/>
      <c r="BB419" s="181"/>
      <c r="BC419" s="181"/>
      <c r="BD419" s="181"/>
      <c r="BE419" s="181"/>
      <c r="BF419" s="181"/>
      <c r="BG419" s="181"/>
      <c r="BH419" s="181"/>
      <c r="BI419" s="181"/>
      <c r="BJ419" s="181"/>
      <c r="BK419" s="181"/>
      <c r="BL419" s="181"/>
      <c r="BM419" s="181"/>
      <c r="BN419" s="181"/>
      <c r="BO419" s="181"/>
      <c r="BP419" s="181"/>
      <c r="BQ419" s="181"/>
      <c r="BR419" s="181"/>
      <c r="BS419" s="181"/>
      <c r="BT419" s="181"/>
      <c r="BU419" s="181"/>
      <c r="BV419" s="181"/>
    </row>
    <row r="420" spans="1:74" s="30" customFormat="1" ht="15.75" x14ac:dyDescent="0.25">
      <c r="A420" s="545"/>
      <c r="B420" s="1579"/>
      <c r="C420" s="1097"/>
      <c r="D420" s="1145" t="s">
        <v>44</v>
      </c>
      <c r="E420" s="1146" t="str">
        <f t="shared" si="72"/>
        <v>N</v>
      </c>
      <c r="F420" s="1124"/>
      <c r="G420" s="886" t="s">
        <v>38</v>
      </c>
      <c r="H420" s="962" t="s">
        <v>38</v>
      </c>
      <c r="I420" s="886" t="s">
        <v>38</v>
      </c>
      <c r="J420" s="963" t="s">
        <v>21</v>
      </c>
      <c r="K420" s="886" t="s">
        <v>38</v>
      </c>
      <c r="L420" s="962" t="s">
        <v>208</v>
      </c>
      <c r="M420" s="886" t="s">
        <v>38</v>
      </c>
      <c r="N420" s="962" t="s">
        <v>38</v>
      </c>
      <c r="O420" s="886" t="s">
        <v>38</v>
      </c>
      <c r="P420" s="964" t="s">
        <v>38</v>
      </c>
      <c r="Q420" s="985" t="s">
        <v>38</v>
      </c>
      <c r="R420" s="962" t="s">
        <v>38</v>
      </c>
      <c r="S420" s="886" t="s">
        <v>38</v>
      </c>
      <c r="T420" s="963" t="s">
        <v>38</v>
      </c>
      <c r="U420" s="886" t="s">
        <v>38</v>
      </c>
      <c r="V420" s="962" t="s">
        <v>38</v>
      </c>
      <c r="W420" s="886" t="s">
        <v>38</v>
      </c>
      <c r="X420" s="812" t="s">
        <v>38</v>
      </c>
      <c r="Y420" s="430"/>
      <c r="Z420" s="979" t="s">
        <v>478</v>
      </c>
      <c r="AA420" s="972" t="s">
        <v>38</v>
      </c>
      <c r="AB420" s="1924"/>
      <c r="AC420" s="1153"/>
      <c r="AD420" s="1268"/>
      <c r="AE420" s="1265"/>
      <c r="AF420" s="1249"/>
      <c r="AG420" s="1248"/>
      <c r="AH420" s="1792"/>
      <c r="AI420" s="1773"/>
      <c r="AJ420" s="1265"/>
      <c r="AK420" s="1265"/>
      <c r="AL420" s="1095"/>
      <c r="AM420" s="1095"/>
      <c r="AN420" s="1095"/>
      <c r="AO420" s="1095"/>
      <c r="AP420" s="1095"/>
      <c r="AQ420" s="1106"/>
      <c r="AR420" s="1097"/>
      <c r="AS420" s="1097"/>
      <c r="AT420" s="181"/>
      <c r="AU420" s="181"/>
      <c r="AV420" s="181"/>
      <c r="AW420" s="181"/>
      <c r="AX420" s="181"/>
      <c r="AY420" s="181"/>
      <c r="AZ420" s="181"/>
      <c r="BA420" s="181"/>
      <c r="BB420" s="181"/>
      <c r="BC420" s="181"/>
      <c r="BD420" s="181"/>
      <c r="BE420" s="181"/>
      <c r="BF420" s="181"/>
      <c r="BG420" s="181"/>
      <c r="BH420" s="181"/>
      <c r="BI420" s="181"/>
      <c r="BJ420" s="181"/>
      <c r="BK420" s="181"/>
      <c r="BL420" s="181"/>
      <c r="BM420" s="181"/>
      <c r="BN420" s="181"/>
      <c r="BO420" s="181"/>
      <c r="BP420" s="181"/>
      <c r="BQ420" s="181"/>
      <c r="BR420" s="181"/>
      <c r="BS420" s="181"/>
      <c r="BT420" s="181"/>
      <c r="BU420" s="181"/>
      <c r="BV420" s="181"/>
    </row>
    <row r="421" spans="1:74" s="30" customFormat="1" ht="29.25" customHeight="1" x14ac:dyDescent="0.25">
      <c r="A421" s="545"/>
      <c r="B421" s="1579"/>
      <c r="C421" s="1097"/>
      <c r="D421" s="1145"/>
      <c r="E421" s="1623" t="s">
        <v>940</v>
      </c>
      <c r="F421" s="1124"/>
      <c r="G421" s="1729"/>
      <c r="H421" s="1730"/>
      <c r="I421" s="1729"/>
      <c r="J421" s="1731"/>
      <c r="K421" s="1729"/>
      <c r="L421" s="1730"/>
      <c r="M421" s="1729"/>
      <c r="N421" s="1730"/>
      <c r="O421" s="1685"/>
      <c r="P421" s="1732"/>
      <c r="Q421" s="1733"/>
      <c r="R421" s="1730"/>
      <c r="S421" s="1729"/>
      <c r="T421" s="1731"/>
      <c r="U421" s="1729"/>
      <c r="V421" s="1730"/>
      <c r="W421" s="1729"/>
      <c r="X421" s="820"/>
      <c r="Y421" s="436"/>
      <c r="Z421" s="1624" t="s">
        <v>974</v>
      </c>
      <c r="AA421" s="975"/>
      <c r="AB421" s="1909"/>
      <c r="AC421" s="1153"/>
      <c r="AD421" s="1229"/>
      <c r="AE421" s="1230"/>
      <c r="AF421" s="1231"/>
      <c r="AG421" s="1230"/>
      <c r="AH421" s="1779"/>
      <c r="AI421" s="1761"/>
      <c r="AJ421" s="1230"/>
      <c r="AK421" s="1230"/>
      <c r="AL421" s="1095"/>
      <c r="AM421" s="1095"/>
      <c r="AN421" s="1095"/>
      <c r="AO421" s="1095"/>
      <c r="AP421" s="1095"/>
      <c r="AQ421" s="1106"/>
      <c r="AR421" s="1097"/>
      <c r="AS421" s="1097"/>
      <c r="AT421" s="181"/>
      <c r="AU421" s="181"/>
      <c r="AV421" s="181"/>
      <c r="AW421" s="181"/>
      <c r="AX421" s="181"/>
      <c r="AY421" s="181"/>
      <c r="AZ421" s="181"/>
      <c r="BA421" s="181"/>
      <c r="BB421" s="181"/>
      <c r="BC421" s="181"/>
      <c r="BD421" s="181"/>
      <c r="BE421" s="181"/>
      <c r="BF421" s="181"/>
      <c r="BG421" s="181"/>
      <c r="BH421" s="181"/>
      <c r="BI421" s="181"/>
      <c r="BJ421" s="181"/>
      <c r="BK421" s="181"/>
      <c r="BL421" s="181"/>
      <c r="BM421" s="181"/>
      <c r="BN421" s="181"/>
      <c r="BO421" s="181"/>
      <c r="BP421" s="181"/>
      <c r="BQ421" s="181"/>
      <c r="BR421" s="181"/>
      <c r="BS421" s="181"/>
      <c r="BT421" s="181"/>
      <c r="BU421" s="181"/>
      <c r="BV421" s="181"/>
    </row>
    <row r="422" spans="1:74" s="30" customFormat="1" ht="18.75" x14ac:dyDescent="0.25">
      <c r="A422" s="545"/>
      <c r="B422" s="1579"/>
      <c r="C422" s="1097"/>
      <c r="D422" s="1145" t="s">
        <v>44</v>
      </c>
      <c r="E422" s="1143" t="str">
        <f t="shared" si="72"/>
        <v/>
      </c>
      <c r="F422" s="1124"/>
      <c r="G422" s="1680" t="s">
        <v>38</v>
      </c>
      <c r="H422" s="1681" t="s">
        <v>38</v>
      </c>
      <c r="I422" s="1680" t="s">
        <v>37</v>
      </c>
      <c r="J422" s="1682" t="str">
        <f t="shared" ref="J422" si="75">IF(BOT_project="Yes","Y","N")</f>
        <v>Y</v>
      </c>
      <c r="K422" s="1680" t="s">
        <v>38</v>
      </c>
      <c r="L422" s="1681" t="s">
        <v>38</v>
      </c>
      <c r="M422" s="1680" t="s">
        <v>38</v>
      </c>
      <c r="N422" s="1681" t="s">
        <v>38</v>
      </c>
      <c r="O422" s="1680" t="s">
        <v>38</v>
      </c>
      <c r="P422" s="1683" t="s">
        <v>38</v>
      </c>
      <c r="Q422" s="1684" t="s">
        <v>38</v>
      </c>
      <c r="R422" s="1681" t="s">
        <v>38</v>
      </c>
      <c r="S422" s="1680" t="s">
        <v>38</v>
      </c>
      <c r="T422" s="1682" t="s">
        <v>38</v>
      </c>
      <c r="U422" s="1680" t="s">
        <v>38</v>
      </c>
      <c r="V422" s="1681" t="s">
        <v>38</v>
      </c>
      <c r="W422" s="1680" t="s">
        <v>38</v>
      </c>
      <c r="X422" s="810" t="s">
        <v>38</v>
      </c>
      <c r="Y422" s="1662" t="s">
        <v>687</v>
      </c>
      <c r="Z422" s="579" t="s">
        <v>963</v>
      </c>
      <c r="AA422" s="2098" t="s">
        <v>37</v>
      </c>
      <c r="AB422" s="1919"/>
      <c r="AC422" s="1153"/>
      <c r="AD422" s="1251"/>
      <c r="AE422" s="1252"/>
      <c r="AF422" s="1236"/>
      <c r="AG422" s="1235"/>
      <c r="AH422" s="1781"/>
      <c r="AI422" s="1775"/>
      <c r="AJ422" s="1252"/>
      <c r="AK422" s="1252"/>
      <c r="AL422" s="1095"/>
      <c r="AM422" s="1095"/>
      <c r="AN422" s="1095"/>
      <c r="AO422" s="1095"/>
      <c r="AP422" s="1095"/>
      <c r="AQ422" s="1106"/>
      <c r="AR422" s="1097"/>
      <c r="AS422" s="1097"/>
      <c r="AT422" s="181"/>
      <c r="AU422" s="181"/>
      <c r="AV422" s="181"/>
      <c r="AW422" s="181"/>
      <c r="AX422" s="181"/>
      <c r="AY422" s="181"/>
      <c r="AZ422" s="181"/>
      <c r="BA422" s="181"/>
      <c r="BB422" s="181"/>
      <c r="BC422" s="181"/>
      <c r="BD422" s="181"/>
      <c r="BE422" s="181"/>
      <c r="BF422" s="181"/>
      <c r="BG422" s="181"/>
      <c r="BH422" s="181"/>
      <c r="BI422" s="181"/>
      <c r="BJ422" s="181"/>
      <c r="BK422" s="181"/>
      <c r="BL422" s="181"/>
      <c r="BM422" s="181"/>
      <c r="BN422" s="181"/>
      <c r="BO422" s="181"/>
      <c r="BP422" s="181"/>
      <c r="BQ422" s="181"/>
      <c r="BR422" s="181"/>
      <c r="BS422" s="181"/>
      <c r="BT422" s="181"/>
      <c r="BU422" s="181"/>
      <c r="BV422" s="181"/>
    </row>
    <row r="423" spans="1:74" s="30" customFormat="1" ht="18.75" x14ac:dyDescent="0.25">
      <c r="A423" s="545"/>
      <c r="B423" s="1579"/>
      <c r="C423" s="1097"/>
      <c r="D423" s="1145"/>
      <c r="E423" s="1223" t="s">
        <v>770</v>
      </c>
      <c r="F423" s="1124"/>
      <c r="G423" s="1708"/>
      <c r="H423" s="1709"/>
      <c r="I423" s="1708" t="s">
        <v>37</v>
      </c>
      <c r="J423" s="1710"/>
      <c r="K423" s="1708"/>
      <c r="L423" s="1709"/>
      <c r="M423" s="1708"/>
      <c r="N423" s="1709"/>
      <c r="O423" s="1708"/>
      <c r="P423" s="1711"/>
      <c r="Q423" s="1712"/>
      <c r="R423" s="1709"/>
      <c r="S423" s="1708"/>
      <c r="T423" s="1710"/>
      <c r="U423" s="1708"/>
      <c r="V423" s="1709"/>
      <c r="W423" s="1708"/>
      <c r="X423" s="816"/>
      <c r="Y423" s="1663"/>
      <c r="Z423" s="596" t="s">
        <v>352</v>
      </c>
      <c r="AA423" s="2098"/>
      <c r="AB423" s="1924"/>
      <c r="AC423" s="1153"/>
      <c r="AD423" s="1268"/>
      <c r="AE423" s="1265"/>
      <c r="AF423" s="1249"/>
      <c r="AG423" s="1248"/>
      <c r="AH423" s="1792"/>
      <c r="AI423" s="1773"/>
      <c r="AJ423" s="1265"/>
      <c r="AK423" s="1265"/>
      <c r="AL423" s="1095"/>
      <c r="AM423" s="1095"/>
      <c r="AN423" s="1095"/>
      <c r="AO423" s="1095"/>
      <c r="AP423" s="1095"/>
      <c r="AQ423" s="1106"/>
      <c r="AR423" s="1097"/>
      <c r="AS423" s="1097"/>
      <c r="AT423" s="181"/>
      <c r="AU423" s="181"/>
      <c r="AV423" s="181"/>
      <c r="AW423" s="181"/>
      <c r="AX423" s="181"/>
      <c r="AY423" s="181"/>
      <c r="AZ423" s="181"/>
      <c r="BA423" s="181"/>
      <c r="BB423" s="181"/>
      <c r="BC423" s="181"/>
      <c r="BD423" s="181"/>
      <c r="BE423" s="181"/>
      <c r="BF423" s="181"/>
      <c r="BG423" s="181"/>
      <c r="BH423" s="181"/>
      <c r="BI423" s="181"/>
      <c r="BJ423" s="181"/>
      <c r="BK423" s="181"/>
      <c r="BL423" s="181"/>
      <c r="BM423" s="181"/>
      <c r="BN423" s="181"/>
      <c r="BO423" s="181"/>
      <c r="BP423" s="181"/>
      <c r="BQ423" s="181"/>
      <c r="BR423" s="181"/>
      <c r="BS423" s="181"/>
      <c r="BT423" s="181"/>
      <c r="BU423" s="181"/>
      <c r="BV423" s="181"/>
    </row>
    <row r="424" spans="1:74" s="30" customFormat="1" ht="37.5" x14ac:dyDescent="0.25">
      <c r="A424" s="545"/>
      <c r="B424" s="1579"/>
      <c r="C424" s="1097"/>
      <c r="D424" s="1145"/>
      <c r="E424" s="1223" t="s">
        <v>770</v>
      </c>
      <c r="F424" s="1124"/>
      <c r="G424" s="1685"/>
      <c r="H424" s="1686"/>
      <c r="I424" s="1685" t="s">
        <v>37</v>
      </c>
      <c r="J424" s="1690"/>
      <c r="K424" s="1685"/>
      <c r="L424" s="1686"/>
      <c r="M424" s="1685"/>
      <c r="N424" s="1686"/>
      <c r="O424" s="1685"/>
      <c r="P424" s="1688"/>
      <c r="Q424" s="1689"/>
      <c r="R424" s="1686"/>
      <c r="S424" s="1685"/>
      <c r="T424" s="1690"/>
      <c r="U424" s="1685"/>
      <c r="V424" s="1686"/>
      <c r="W424" s="1685"/>
      <c r="X424" s="811"/>
      <c r="Y424" s="1664" t="s">
        <v>1017</v>
      </c>
      <c r="Z424" s="597" t="s">
        <v>922</v>
      </c>
      <c r="AA424" s="2098"/>
      <c r="AB424" s="1924"/>
      <c r="AC424" s="1153"/>
      <c r="AD424" s="1268"/>
      <c r="AE424" s="1265"/>
      <c r="AF424" s="1249"/>
      <c r="AG424" s="1248"/>
      <c r="AH424" s="1792"/>
      <c r="AI424" s="1773"/>
      <c r="AJ424" s="1265"/>
      <c r="AK424" s="1265"/>
      <c r="AL424" s="1095"/>
      <c r="AM424" s="1095"/>
      <c r="AN424" s="1095"/>
      <c r="AO424" s="1095"/>
      <c r="AP424" s="1095"/>
      <c r="AQ424" s="1106"/>
      <c r="AR424" s="1097"/>
      <c r="AS424" s="1097"/>
      <c r="AT424" s="181"/>
      <c r="AU424" s="181"/>
      <c r="AV424" s="181"/>
      <c r="AW424" s="181"/>
      <c r="AX424" s="181"/>
      <c r="AY424" s="181"/>
      <c r="AZ424" s="181"/>
      <c r="BA424" s="181"/>
      <c r="BB424" s="181"/>
      <c r="BC424" s="181"/>
      <c r="BD424" s="181"/>
      <c r="BE424" s="181"/>
      <c r="BF424" s="181"/>
      <c r="BG424" s="181"/>
      <c r="BH424" s="181"/>
      <c r="BI424" s="181"/>
      <c r="BJ424" s="181"/>
      <c r="BK424" s="181"/>
      <c r="BL424" s="181"/>
      <c r="BM424" s="181"/>
      <c r="BN424" s="181"/>
      <c r="BO424" s="181"/>
      <c r="BP424" s="181"/>
      <c r="BQ424" s="181"/>
      <c r="BR424" s="181"/>
      <c r="BS424" s="181"/>
      <c r="BT424" s="181"/>
      <c r="BU424" s="181"/>
      <c r="BV424" s="181"/>
    </row>
    <row r="425" spans="1:74" s="30" customFormat="1" ht="15.75" x14ac:dyDescent="0.25">
      <c r="A425" s="545"/>
      <c r="B425" s="1579"/>
      <c r="C425" s="1097"/>
      <c r="D425" s="1145" t="s">
        <v>44</v>
      </c>
      <c r="E425" s="1146" t="str">
        <f t="shared" si="72"/>
        <v/>
      </c>
      <c r="F425" s="1124" t="str">
        <f t="shared" ref="F425:F441" si="76">IF(AC425="","",IF(OR(AND(H425="Y",_00_apply="Yes"),AND(OR(J425="Y",J425="?",K425="Y"),_01_apply="Yes"),AND(L425="Y",_02_apply="Yes"),AND(N425="Y",_03_apply="Yes"),AND(P425="Y",_04_apply="Yes"),AND(R425="Y",_05_apply="Yes"),AND(T425="Y",_06_apply="Yes"),AND(V425="Y",_07_apply="Yes"),AND(X425="Y",_08_apply="Yes")),"","N"))</f>
        <v/>
      </c>
      <c r="G425" s="1691" t="s">
        <v>38</v>
      </c>
      <c r="H425" s="1692" t="s">
        <v>38</v>
      </c>
      <c r="I425" s="1691" t="s">
        <v>37</v>
      </c>
      <c r="J425" s="1715" t="str">
        <f t="shared" ref="J425:J437" si="77">IF(BOT_project="Yes","Y","N")</f>
        <v>Y</v>
      </c>
      <c r="K425" s="1691" t="s">
        <v>38</v>
      </c>
      <c r="L425" s="1692" t="s">
        <v>38</v>
      </c>
      <c r="M425" s="1691" t="s">
        <v>38</v>
      </c>
      <c r="N425" s="1692" t="s">
        <v>38</v>
      </c>
      <c r="O425" s="1691" t="s">
        <v>38</v>
      </c>
      <c r="P425" s="1716" t="s">
        <v>38</v>
      </c>
      <c r="Q425" s="1717" t="s">
        <v>38</v>
      </c>
      <c r="R425" s="1692" t="s">
        <v>38</v>
      </c>
      <c r="S425" s="1691" t="s">
        <v>38</v>
      </c>
      <c r="T425" s="1715" t="s">
        <v>38</v>
      </c>
      <c r="U425" s="1691" t="s">
        <v>38</v>
      </c>
      <c r="V425" s="1692" t="s">
        <v>38</v>
      </c>
      <c r="W425" s="1691" t="s">
        <v>38</v>
      </c>
      <c r="X425" s="818" t="s">
        <v>38</v>
      </c>
      <c r="Y425" s="430"/>
      <c r="Z425" s="613" t="s">
        <v>944</v>
      </c>
      <c r="AA425" s="970" t="s">
        <v>37</v>
      </c>
      <c r="AB425" s="1924"/>
      <c r="AC425" s="1153"/>
      <c r="AD425" s="1268"/>
      <c r="AE425" s="1265"/>
      <c r="AF425" s="1249"/>
      <c r="AG425" s="1248"/>
      <c r="AH425" s="1792"/>
      <c r="AI425" s="1773"/>
      <c r="AJ425" s="1265"/>
      <c r="AK425" s="1265"/>
      <c r="AL425" s="1095"/>
      <c r="AM425" s="1095"/>
      <c r="AN425" s="1095"/>
      <c r="AO425" s="1095"/>
      <c r="AP425" s="1095"/>
      <c r="AQ425" s="1106"/>
      <c r="AR425" s="1097"/>
      <c r="AS425" s="1097"/>
      <c r="AT425" s="181"/>
      <c r="AU425" s="181"/>
      <c r="AV425" s="181"/>
      <c r="AW425" s="181"/>
      <c r="AX425" s="181"/>
      <c r="AY425" s="181"/>
      <c r="AZ425" s="181"/>
      <c r="BA425" s="181"/>
      <c r="BB425" s="181"/>
      <c r="BC425" s="181"/>
      <c r="BD425" s="181"/>
      <c r="BE425" s="181"/>
      <c r="BF425" s="181"/>
      <c r="BG425" s="181"/>
      <c r="BH425" s="181"/>
      <c r="BI425" s="181"/>
      <c r="BJ425" s="181"/>
      <c r="BK425" s="181"/>
      <c r="BL425" s="181"/>
      <c r="BM425" s="181"/>
      <c r="BN425" s="181"/>
      <c r="BO425" s="181"/>
      <c r="BP425" s="181"/>
      <c r="BQ425" s="181"/>
      <c r="BR425" s="181"/>
      <c r="BS425" s="181"/>
      <c r="BT425" s="181"/>
      <c r="BU425" s="181"/>
      <c r="BV425" s="181"/>
    </row>
    <row r="426" spans="1:74" s="30" customFormat="1" ht="15.75" x14ac:dyDescent="0.25">
      <c r="A426" s="545"/>
      <c r="B426" s="1579"/>
      <c r="C426" s="1097"/>
      <c r="D426" s="1145" t="s">
        <v>44</v>
      </c>
      <c r="E426" s="1146" t="str">
        <f t="shared" si="72"/>
        <v/>
      </c>
      <c r="F426" s="1124" t="str">
        <f t="shared" si="76"/>
        <v/>
      </c>
      <c r="G426" s="886" t="s">
        <v>38</v>
      </c>
      <c r="H426" s="962" t="s">
        <v>38</v>
      </c>
      <c r="I426" s="886" t="s">
        <v>37</v>
      </c>
      <c r="J426" s="963" t="str">
        <f t="shared" si="77"/>
        <v>Y</v>
      </c>
      <c r="K426" s="886" t="s">
        <v>38</v>
      </c>
      <c r="L426" s="962" t="s">
        <v>38</v>
      </c>
      <c r="M426" s="886" t="s">
        <v>38</v>
      </c>
      <c r="N426" s="962" t="s">
        <v>38</v>
      </c>
      <c r="O426" s="886" t="s">
        <v>38</v>
      </c>
      <c r="P426" s="964" t="s">
        <v>38</v>
      </c>
      <c r="Q426" s="985" t="s">
        <v>38</v>
      </c>
      <c r="R426" s="962" t="s">
        <v>38</v>
      </c>
      <c r="S426" s="886" t="s">
        <v>38</v>
      </c>
      <c r="T426" s="963" t="s">
        <v>38</v>
      </c>
      <c r="U426" s="886" t="s">
        <v>38</v>
      </c>
      <c r="V426" s="962" t="s">
        <v>38</v>
      </c>
      <c r="W426" s="886" t="s">
        <v>38</v>
      </c>
      <c r="X426" s="812" t="s">
        <v>38</v>
      </c>
      <c r="Y426" s="430"/>
      <c r="Z426" s="613" t="s">
        <v>945</v>
      </c>
      <c r="AA426" s="972" t="s">
        <v>37</v>
      </c>
      <c r="AB426" s="1924"/>
      <c r="AC426" s="1153"/>
      <c r="AD426" s="1268"/>
      <c r="AE426" s="1265"/>
      <c r="AF426" s="1249"/>
      <c r="AG426" s="1248"/>
      <c r="AH426" s="1792"/>
      <c r="AI426" s="1773"/>
      <c r="AJ426" s="1265"/>
      <c r="AK426" s="1265"/>
      <c r="AL426" s="1095"/>
      <c r="AM426" s="1095"/>
      <c r="AN426" s="1095"/>
      <c r="AO426" s="1095"/>
      <c r="AP426" s="1095"/>
      <c r="AQ426" s="1106"/>
      <c r="AR426" s="1097"/>
      <c r="AS426" s="1097"/>
      <c r="AT426" s="181"/>
      <c r="AU426" s="181"/>
      <c r="AV426" s="181"/>
      <c r="AW426" s="181"/>
      <c r="AX426" s="181"/>
      <c r="AY426" s="181"/>
      <c r="AZ426" s="181"/>
      <c r="BA426" s="181"/>
      <c r="BB426" s="181"/>
      <c r="BC426" s="181"/>
      <c r="BD426" s="181"/>
      <c r="BE426" s="181"/>
      <c r="BF426" s="181"/>
      <c r="BG426" s="181"/>
      <c r="BH426" s="181"/>
      <c r="BI426" s="181"/>
      <c r="BJ426" s="181"/>
      <c r="BK426" s="181"/>
      <c r="BL426" s="181"/>
      <c r="BM426" s="181"/>
      <c r="BN426" s="181"/>
      <c r="BO426" s="181"/>
      <c r="BP426" s="181"/>
      <c r="BQ426" s="181"/>
      <c r="BR426" s="181"/>
      <c r="BS426" s="181"/>
      <c r="BT426" s="181"/>
      <c r="BU426" s="181"/>
      <c r="BV426" s="181"/>
    </row>
    <row r="427" spans="1:74" s="30" customFormat="1" ht="15.75" x14ac:dyDescent="0.25">
      <c r="A427" s="545"/>
      <c r="B427" s="1579"/>
      <c r="C427" s="1097"/>
      <c r="D427" s="1145" t="s">
        <v>44</v>
      </c>
      <c r="E427" s="1146" t="str">
        <f t="shared" si="72"/>
        <v/>
      </c>
      <c r="F427" s="1124" t="str">
        <f t="shared" si="76"/>
        <v/>
      </c>
      <c r="G427" s="886" t="s">
        <v>38</v>
      </c>
      <c r="H427" s="962" t="s">
        <v>38</v>
      </c>
      <c r="I427" s="886" t="s">
        <v>37</v>
      </c>
      <c r="J427" s="963" t="str">
        <f t="shared" si="77"/>
        <v>Y</v>
      </c>
      <c r="K427" s="886" t="s">
        <v>38</v>
      </c>
      <c r="L427" s="962" t="s">
        <v>38</v>
      </c>
      <c r="M427" s="886" t="s">
        <v>38</v>
      </c>
      <c r="N427" s="962" t="s">
        <v>38</v>
      </c>
      <c r="O427" s="886" t="s">
        <v>38</v>
      </c>
      <c r="P427" s="964" t="s">
        <v>38</v>
      </c>
      <c r="Q427" s="985" t="s">
        <v>38</v>
      </c>
      <c r="R427" s="962" t="s">
        <v>38</v>
      </c>
      <c r="S427" s="886" t="s">
        <v>38</v>
      </c>
      <c r="T427" s="963" t="s">
        <v>38</v>
      </c>
      <c r="U427" s="886" t="s">
        <v>38</v>
      </c>
      <c r="V427" s="962" t="s">
        <v>38</v>
      </c>
      <c r="W427" s="886" t="s">
        <v>38</v>
      </c>
      <c r="X427" s="812" t="s">
        <v>38</v>
      </c>
      <c r="Y427" s="430"/>
      <c r="Z427" s="1895" t="s">
        <v>976</v>
      </c>
      <c r="AA427" s="972" t="s">
        <v>37</v>
      </c>
      <c r="AB427" s="1924"/>
      <c r="AC427" s="1153"/>
      <c r="AD427" s="1268"/>
      <c r="AE427" s="1265"/>
      <c r="AF427" s="1249"/>
      <c r="AG427" s="1248"/>
      <c r="AH427" s="1792"/>
      <c r="AI427" s="1773"/>
      <c r="AJ427" s="1265"/>
      <c r="AK427" s="1265"/>
      <c r="AL427" s="1095"/>
      <c r="AM427" s="1095"/>
      <c r="AN427" s="1095"/>
      <c r="AO427" s="1095"/>
      <c r="AP427" s="1095"/>
      <c r="AQ427" s="1106"/>
      <c r="AR427" s="1097"/>
      <c r="AS427" s="1097"/>
      <c r="AT427" s="181"/>
      <c r="AU427" s="181"/>
      <c r="AV427" s="181"/>
      <c r="AW427" s="181"/>
      <c r="AX427" s="181"/>
      <c r="AY427" s="181"/>
      <c r="AZ427" s="181"/>
      <c r="BA427" s="181"/>
      <c r="BB427" s="181"/>
      <c r="BC427" s="181"/>
      <c r="BD427" s="181"/>
      <c r="BE427" s="181"/>
      <c r="BF427" s="181"/>
      <c r="BG427" s="181"/>
      <c r="BH427" s="181"/>
      <c r="BI427" s="181"/>
      <c r="BJ427" s="181"/>
      <c r="BK427" s="181"/>
      <c r="BL427" s="181"/>
      <c r="BM427" s="181"/>
      <c r="BN427" s="181"/>
      <c r="BO427" s="181"/>
      <c r="BP427" s="181"/>
      <c r="BQ427" s="181"/>
      <c r="BR427" s="181"/>
      <c r="BS427" s="181"/>
      <c r="BT427" s="181"/>
      <c r="BU427" s="181"/>
      <c r="BV427" s="181"/>
    </row>
    <row r="428" spans="1:74" s="30" customFormat="1" ht="15.75" x14ac:dyDescent="0.25">
      <c r="A428" s="545"/>
      <c r="B428" s="1579"/>
      <c r="C428" s="1097"/>
      <c r="D428" s="1145" t="s">
        <v>44</v>
      </c>
      <c r="E428" s="1146" t="str">
        <f t="shared" si="72"/>
        <v>N</v>
      </c>
      <c r="F428" s="1124" t="str">
        <f t="shared" si="76"/>
        <v/>
      </c>
      <c r="G428" s="886" t="s">
        <v>38</v>
      </c>
      <c r="H428" s="962" t="s">
        <v>38</v>
      </c>
      <c r="I428" s="886" t="s">
        <v>38</v>
      </c>
      <c r="J428" s="963" t="str">
        <f>IF(BOT_project="Yes","?","N")</f>
        <v>?</v>
      </c>
      <c r="K428" s="886" t="s">
        <v>38</v>
      </c>
      <c r="L428" s="962" t="s">
        <v>38</v>
      </c>
      <c r="M428" s="886" t="s">
        <v>38</v>
      </c>
      <c r="N428" s="962" t="s">
        <v>38</v>
      </c>
      <c r="O428" s="886" t="s">
        <v>38</v>
      </c>
      <c r="P428" s="964" t="s">
        <v>38</v>
      </c>
      <c r="Q428" s="985" t="s">
        <v>38</v>
      </c>
      <c r="R428" s="962" t="s">
        <v>38</v>
      </c>
      <c r="S428" s="886" t="s">
        <v>38</v>
      </c>
      <c r="T428" s="963" t="s">
        <v>38</v>
      </c>
      <c r="U428" s="886" t="s">
        <v>38</v>
      </c>
      <c r="V428" s="962" t="s">
        <v>38</v>
      </c>
      <c r="W428" s="886" t="s">
        <v>38</v>
      </c>
      <c r="X428" s="812" t="s">
        <v>38</v>
      </c>
      <c r="Y428" s="430"/>
      <c r="Z428" s="1895" t="s">
        <v>977</v>
      </c>
      <c r="AA428" s="972" t="s">
        <v>37</v>
      </c>
      <c r="AB428" s="1924"/>
      <c r="AC428" s="1153"/>
      <c r="AD428" s="1268"/>
      <c r="AE428" s="1265"/>
      <c r="AF428" s="1249"/>
      <c r="AG428" s="1265"/>
      <c r="AH428" s="1794"/>
      <c r="AI428" s="1773"/>
      <c r="AJ428" s="1265"/>
      <c r="AK428" s="1265"/>
      <c r="AL428" s="1095"/>
      <c r="AM428" s="1095"/>
      <c r="AN428" s="1095"/>
      <c r="AO428" s="1095"/>
      <c r="AP428" s="1095"/>
      <c r="AQ428" s="1106"/>
      <c r="AR428" s="1097"/>
      <c r="AS428" s="1097"/>
      <c r="AT428" s="181"/>
      <c r="AU428" s="181"/>
      <c r="AV428" s="181"/>
      <c r="AW428" s="181"/>
      <c r="AX428" s="181"/>
      <c r="AY428" s="181"/>
      <c r="AZ428" s="181"/>
      <c r="BA428" s="181"/>
      <c r="BB428" s="181"/>
      <c r="BC428" s="181"/>
      <c r="BD428" s="181"/>
      <c r="BE428" s="181"/>
      <c r="BF428" s="181"/>
      <c r="BG428" s="181"/>
      <c r="BH428" s="181"/>
      <c r="BI428" s="181"/>
      <c r="BJ428" s="181"/>
      <c r="BK428" s="181"/>
      <c r="BL428" s="181"/>
      <c r="BM428" s="181"/>
      <c r="BN428" s="181"/>
      <c r="BO428" s="181"/>
      <c r="BP428" s="181"/>
      <c r="BQ428" s="181"/>
      <c r="BR428" s="181"/>
      <c r="BS428" s="181"/>
      <c r="BT428" s="181"/>
      <c r="BU428" s="181"/>
      <c r="BV428" s="181"/>
    </row>
    <row r="429" spans="1:74" s="30" customFormat="1" ht="15.75" x14ac:dyDescent="0.25">
      <c r="A429" s="545"/>
      <c r="B429" s="1579"/>
      <c r="C429" s="1097"/>
      <c r="D429" s="1145" t="s">
        <v>44</v>
      </c>
      <c r="E429" s="1146" t="str">
        <f t="shared" si="72"/>
        <v>N</v>
      </c>
      <c r="F429" s="1124" t="str">
        <f t="shared" si="76"/>
        <v/>
      </c>
      <c r="G429" s="886" t="s">
        <v>38</v>
      </c>
      <c r="H429" s="962" t="s">
        <v>38</v>
      </c>
      <c r="I429" s="886" t="s">
        <v>38</v>
      </c>
      <c r="J429" s="963" t="str">
        <f>IF(BOT_project="Yes","?","N")</f>
        <v>?</v>
      </c>
      <c r="K429" s="886" t="s">
        <v>38</v>
      </c>
      <c r="L429" s="962" t="s">
        <v>38</v>
      </c>
      <c r="M429" s="886" t="s">
        <v>38</v>
      </c>
      <c r="N429" s="962" t="s">
        <v>38</v>
      </c>
      <c r="O429" s="886" t="s">
        <v>38</v>
      </c>
      <c r="P429" s="964" t="s">
        <v>38</v>
      </c>
      <c r="Q429" s="985" t="s">
        <v>38</v>
      </c>
      <c r="R429" s="962" t="s">
        <v>38</v>
      </c>
      <c r="S429" s="886" t="s">
        <v>38</v>
      </c>
      <c r="T429" s="963" t="s">
        <v>38</v>
      </c>
      <c r="U429" s="886" t="s">
        <v>38</v>
      </c>
      <c r="V429" s="962" t="s">
        <v>38</v>
      </c>
      <c r="W429" s="886" t="s">
        <v>38</v>
      </c>
      <c r="X429" s="812" t="s">
        <v>38</v>
      </c>
      <c r="Y429" s="430"/>
      <c r="Z429" s="1895" t="s">
        <v>979</v>
      </c>
      <c r="AA429" s="972" t="s">
        <v>37</v>
      </c>
      <c r="AB429" s="1924"/>
      <c r="AC429" s="1153"/>
      <c r="AD429" s="1268"/>
      <c r="AE429" s="1265"/>
      <c r="AF429" s="1249"/>
      <c r="AG429" s="1265"/>
      <c r="AH429" s="1794"/>
      <c r="AI429" s="1773"/>
      <c r="AJ429" s="1265"/>
      <c r="AK429" s="1265"/>
      <c r="AL429" s="1095"/>
      <c r="AM429" s="1095"/>
      <c r="AN429" s="1095"/>
      <c r="AO429" s="1095"/>
      <c r="AP429" s="1095"/>
      <c r="AQ429" s="1106"/>
      <c r="AR429" s="1097"/>
      <c r="AS429" s="1097"/>
      <c r="AT429" s="181"/>
      <c r="AU429" s="181"/>
      <c r="AV429" s="181"/>
      <c r="AW429" s="181"/>
      <c r="AX429" s="181"/>
      <c r="AY429" s="181"/>
      <c r="AZ429" s="181"/>
      <c r="BA429" s="181"/>
      <c r="BB429" s="181"/>
      <c r="BC429" s="181"/>
      <c r="BD429" s="181"/>
      <c r="BE429" s="181"/>
      <c r="BF429" s="181"/>
      <c r="BG429" s="181"/>
      <c r="BH429" s="181"/>
      <c r="BI429" s="181"/>
      <c r="BJ429" s="181"/>
      <c r="BK429" s="181"/>
      <c r="BL429" s="181"/>
      <c r="BM429" s="181"/>
      <c r="BN429" s="181"/>
      <c r="BO429" s="181"/>
      <c r="BP429" s="181"/>
      <c r="BQ429" s="181"/>
      <c r="BR429" s="181"/>
      <c r="BS429" s="181"/>
      <c r="BT429" s="181"/>
      <c r="BU429" s="181"/>
      <c r="BV429" s="181"/>
    </row>
    <row r="430" spans="1:74" s="30" customFormat="1" ht="15.75" x14ac:dyDescent="0.25">
      <c r="A430" s="545"/>
      <c r="B430" s="1579"/>
      <c r="C430" s="1097"/>
      <c r="D430" s="1145" t="s">
        <v>44</v>
      </c>
      <c r="E430" s="1146" t="str">
        <f t="shared" si="72"/>
        <v/>
      </c>
      <c r="F430" s="1124" t="str">
        <f t="shared" si="76"/>
        <v/>
      </c>
      <c r="G430" s="886" t="s">
        <v>38</v>
      </c>
      <c r="H430" s="962" t="s">
        <v>38</v>
      </c>
      <c r="I430" s="886" t="s">
        <v>37</v>
      </c>
      <c r="J430" s="963" t="str">
        <f t="shared" si="77"/>
        <v>Y</v>
      </c>
      <c r="K430" s="886" t="s">
        <v>38</v>
      </c>
      <c r="L430" s="962" t="s">
        <v>38</v>
      </c>
      <c r="M430" s="886" t="s">
        <v>38</v>
      </c>
      <c r="N430" s="962" t="s">
        <v>38</v>
      </c>
      <c r="O430" s="886" t="s">
        <v>38</v>
      </c>
      <c r="P430" s="964" t="s">
        <v>38</v>
      </c>
      <c r="Q430" s="985" t="s">
        <v>38</v>
      </c>
      <c r="R430" s="962" t="s">
        <v>38</v>
      </c>
      <c r="S430" s="886" t="s">
        <v>38</v>
      </c>
      <c r="T430" s="963" t="s">
        <v>38</v>
      </c>
      <c r="U430" s="886" t="s">
        <v>38</v>
      </c>
      <c r="V430" s="962" t="s">
        <v>38</v>
      </c>
      <c r="W430" s="886" t="s">
        <v>38</v>
      </c>
      <c r="X430" s="812" t="s">
        <v>38</v>
      </c>
      <c r="Y430" s="430"/>
      <c r="Z430" s="613" t="s">
        <v>114</v>
      </c>
      <c r="AA430" s="972" t="s">
        <v>37</v>
      </c>
      <c r="AB430" s="1924"/>
      <c r="AC430" s="1153"/>
      <c r="AD430" s="1268"/>
      <c r="AE430" s="1265"/>
      <c r="AF430" s="1249"/>
      <c r="AG430" s="1265"/>
      <c r="AH430" s="1794"/>
      <c r="AI430" s="1773"/>
      <c r="AJ430" s="1265"/>
      <c r="AK430" s="1265"/>
      <c r="AL430" s="1095"/>
      <c r="AM430" s="1095"/>
      <c r="AN430" s="1095"/>
      <c r="AO430" s="1095"/>
      <c r="AP430" s="1095"/>
      <c r="AQ430" s="1106"/>
      <c r="AR430" s="1097"/>
      <c r="AS430" s="1097"/>
      <c r="AT430" s="181"/>
      <c r="AU430" s="181"/>
      <c r="AV430" s="181"/>
      <c r="AW430" s="181"/>
      <c r="AX430" s="181"/>
      <c r="AY430" s="181"/>
      <c r="AZ430" s="181"/>
      <c r="BA430" s="181"/>
      <c r="BB430" s="181"/>
      <c r="BC430" s="181"/>
      <c r="BD430" s="181"/>
      <c r="BE430" s="181"/>
      <c r="BF430" s="181"/>
      <c r="BG430" s="181"/>
      <c r="BH430" s="181"/>
      <c r="BI430" s="181"/>
      <c r="BJ430" s="181"/>
      <c r="BK430" s="181"/>
      <c r="BL430" s="181"/>
      <c r="BM430" s="181"/>
      <c r="BN430" s="181"/>
      <c r="BO430" s="181"/>
      <c r="BP430" s="181"/>
      <c r="BQ430" s="181"/>
      <c r="BR430" s="181"/>
      <c r="BS430" s="181"/>
      <c r="BT430" s="181"/>
      <c r="BU430" s="181"/>
      <c r="BV430" s="181"/>
    </row>
    <row r="431" spans="1:74" s="30" customFormat="1" ht="15.75" x14ac:dyDescent="0.25">
      <c r="A431" s="545"/>
      <c r="B431" s="1579"/>
      <c r="C431" s="1097"/>
      <c r="D431" s="1145" t="s">
        <v>44</v>
      </c>
      <c r="E431" s="1146" t="str">
        <f>IF(Z431="","",IF(OR(AND(OR(G431="Y",G431="?"),_00_apply="Yes"),AND(OR(I431="Y",I431="?"),_01_apply="Yes"),AND(OR(K431="Y",K431="?"),_02_apply="Yes"),AND(OR(M431="Y",M431="?"),_03_apply="Yes"),AND(OR(O431="Y",O431="?"),_04_apply="Yes"),AND(OR(Q431="Y",Q431="?"),_05_apply="Yes"),AND(OR(S431="?",S431="Y"),_06_apply="Yes"),AND(OR(U431="?",U431="Y"),_07_apply="Yes"),AND(OR(W431="Y",W431="?"),_08_apply="Yes")),"","N"))</f>
        <v/>
      </c>
      <c r="F431" s="1124" t="str">
        <f>IF(AC431="","",IF(OR(AND(H431="Y",_00_apply="Yes"),AND(OR(J431="Y",J431="?",K431="Y"),_01_apply="Yes"),AND(L431="Y",_02_apply="Yes"),AND(N431="Y",_03_apply="Yes"),AND(P431="Y",_04_apply="Yes"),AND(R431="Y",_05_apply="Yes"),AND(T431="Y",_06_apply="Yes"),AND(V431="Y",_07_apply="Yes"),AND(X431="Y",_08_apply="Yes")),"","N"))</f>
        <v/>
      </c>
      <c r="G431" s="886" t="s">
        <v>38</v>
      </c>
      <c r="H431" s="962" t="s">
        <v>38</v>
      </c>
      <c r="I431" s="886" t="s">
        <v>37</v>
      </c>
      <c r="J431" s="963" t="str">
        <f t="shared" si="77"/>
        <v>Y</v>
      </c>
      <c r="K431" s="886" t="s">
        <v>38</v>
      </c>
      <c r="L431" s="962" t="s">
        <v>38</v>
      </c>
      <c r="M431" s="886" t="s">
        <v>38</v>
      </c>
      <c r="N431" s="962" t="s">
        <v>38</v>
      </c>
      <c r="O431" s="886" t="s">
        <v>38</v>
      </c>
      <c r="P431" s="964" t="s">
        <v>38</v>
      </c>
      <c r="Q431" s="985" t="s">
        <v>38</v>
      </c>
      <c r="R431" s="962" t="s">
        <v>38</v>
      </c>
      <c r="S431" s="886" t="s">
        <v>38</v>
      </c>
      <c r="T431" s="963" t="s">
        <v>38</v>
      </c>
      <c r="U431" s="886" t="s">
        <v>38</v>
      </c>
      <c r="V431" s="962" t="s">
        <v>38</v>
      </c>
      <c r="W431" s="886" t="s">
        <v>38</v>
      </c>
      <c r="X431" s="812" t="s">
        <v>38</v>
      </c>
      <c r="Y431" s="430"/>
      <c r="Z431" s="613" t="s">
        <v>112</v>
      </c>
      <c r="AA431" s="972" t="s">
        <v>37</v>
      </c>
      <c r="AB431" s="1924"/>
      <c r="AC431" s="1153"/>
      <c r="AD431" s="1268"/>
      <c r="AE431" s="1265"/>
      <c r="AF431" s="1249"/>
      <c r="AG431" s="1265"/>
      <c r="AH431" s="1794"/>
      <c r="AI431" s="1773"/>
      <c r="AJ431" s="1265"/>
      <c r="AK431" s="1265"/>
      <c r="AL431" s="1095"/>
      <c r="AM431" s="1095"/>
      <c r="AN431" s="1095"/>
      <c r="AO431" s="1095"/>
      <c r="AP431" s="1095"/>
      <c r="AQ431" s="1106"/>
      <c r="AR431" s="1097"/>
      <c r="AS431" s="1097"/>
      <c r="AT431" s="181"/>
      <c r="AU431" s="181"/>
      <c r="AV431" s="181"/>
      <c r="AW431" s="181"/>
      <c r="AX431" s="181"/>
      <c r="AY431" s="181"/>
      <c r="AZ431" s="181"/>
      <c r="BA431" s="181"/>
      <c r="BB431" s="181"/>
      <c r="BC431" s="181"/>
      <c r="BD431" s="181"/>
      <c r="BE431" s="181"/>
      <c r="BF431" s="181"/>
      <c r="BG431" s="181"/>
      <c r="BH431" s="181"/>
      <c r="BI431" s="181"/>
      <c r="BJ431" s="181"/>
      <c r="BK431" s="181"/>
      <c r="BL431" s="181"/>
      <c r="BM431" s="181"/>
      <c r="BN431" s="181"/>
      <c r="BO431" s="181"/>
      <c r="BP431" s="181"/>
      <c r="BQ431" s="181"/>
      <c r="BR431" s="181"/>
      <c r="BS431" s="181"/>
      <c r="BT431" s="181"/>
      <c r="BU431" s="181"/>
      <c r="BV431" s="181"/>
    </row>
    <row r="432" spans="1:74" s="30" customFormat="1" ht="15.75" x14ac:dyDescent="0.25">
      <c r="A432" s="545"/>
      <c r="B432" s="1579"/>
      <c r="C432" s="1097"/>
      <c r="D432" s="1145" t="s">
        <v>44</v>
      </c>
      <c r="E432" s="1147" t="str">
        <f>IF(Z432="","",IF(OR(AND(OR(G432="Y",G432="?"),_00_apply="Yes"),AND(OR(I432="Y",I432="?"),_01_apply="Yes"),AND(OR(K432="Y",K432="?"),_02_apply="Yes"),AND(OR(M432="Y",M432="?"),_03_apply="Yes"),AND(OR(O432="Y",O432="?"),_04_apply="Yes"),AND(OR(Q432="Y",Q432="?"),_05_apply="Yes"),AND(OR(S432="?",S432="Y"),_06_apply="Yes"),AND(OR(U432="?",U432="Y"),_07_apply="Yes"),AND(OR(W432="Y",W432="?"),_08_apply="Yes")),"","N"))</f>
        <v/>
      </c>
      <c r="F432" s="1124" t="str">
        <f>IF(AC432="","",IF(OR(AND(H432="Y",_00_apply="Yes"),AND(OR(J432="Y",J432="?",K432="Y"),_01_apply="Yes"),AND(L432="Y",_02_apply="Yes"),AND(N432="Y",_03_apply="Yes"),AND(P432="Y",_04_apply="Yes"),AND(R432="Y",_05_apply="Yes"),AND(T432="Y",_06_apply="Yes"),AND(V432="Y",_07_apply="Yes"),AND(X432="Y",_08_apply="Yes")),"","N"))</f>
        <v/>
      </c>
      <c r="G432" s="1734" t="s">
        <v>38</v>
      </c>
      <c r="H432" s="1735" t="s">
        <v>38</v>
      </c>
      <c r="I432" s="1734" t="s">
        <v>37</v>
      </c>
      <c r="J432" s="1736" t="str">
        <f t="shared" si="77"/>
        <v>Y</v>
      </c>
      <c r="K432" s="1734" t="s">
        <v>38</v>
      </c>
      <c r="L432" s="1735" t="s">
        <v>38</v>
      </c>
      <c r="M432" s="1734" t="s">
        <v>38</v>
      </c>
      <c r="N432" s="1735" t="s">
        <v>38</v>
      </c>
      <c r="O432" s="1734" t="s">
        <v>38</v>
      </c>
      <c r="P432" s="1737" t="s">
        <v>38</v>
      </c>
      <c r="Q432" s="1738" t="s">
        <v>38</v>
      </c>
      <c r="R432" s="1735" t="s">
        <v>38</v>
      </c>
      <c r="S432" s="1734" t="s">
        <v>38</v>
      </c>
      <c r="T432" s="1736" t="s">
        <v>38</v>
      </c>
      <c r="U432" s="1734" t="s">
        <v>38</v>
      </c>
      <c r="V432" s="1735" t="s">
        <v>38</v>
      </c>
      <c r="W432" s="1734" t="s">
        <v>38</v>
      </c>
      <c r="X432" s="812" t="s">
        <v>38</v>
      </c>
      <c r="Y432" s="430"/>
      <c r="Z432" s="614" t="s">
        <v>946</v>
      </c>
      <c r="AA432" s="972" t="s">
        <v>37</v>
      </c>
      <c r="AB432" s="1924"/>
      <c r="AC432" s="1153"/>
      <c r="AD432" s="1268"/>
      <c r="AE432" s="1265"/>
      <c r="AF432" s="1249"/>
      <c r="AG432" s="1265"/>
      <c r="AH432" s="1794"/>
      <c r="AI432" s="1773"/>
      <c r="AJ432" s="1265"/>
      <c r="AK432" s="1265"/>
      <c r="AL432" s="1095"/>
      <c r="AM432" s="1095"/>
      <c r="AN432" s="1095"/>
      <c r="AO432" s="1095"/>
      <c r="AP432" s="1095"/>
      <c r="AQ432" s="1106"/>
      <c r="AR432" s="1097"/>
      <c r="AS432" s="1097"/>
      <c r="AT432" s="181"/>
      <c r="AU432" s="181"/>
      <c r="AV432" s="181"/>
      <c r="AW432" s="181"/>
      <c r="AX432" s="181"/>
      <c r="AY432" s="181"/>
      <c r="AZ432" s="181"/>
      <c r="BA432" s="181"/>
      <c r="BB432" s="181"/>
      <c r="BC432" s="181"/>
      <c r="BD432" s="181"/>
      <c r="BE432" s="181"/>
      <c r="BF432" s="181"/>
      <c r="BG432" s="181"/>
      <c r="BH432" s="181"/>
      <c r="BI432" s="181"/>
      <c r="BJ432" s="181"/>
      <c r="BK432" s="181"/>
      <c r="BL432" s="181"/>
      <c r="BM432" s="181"/>
      <c r="BN432" s="181"/>
      <c r="BO432" s="181"/>
      <c r="BP432" s="181"/>
      <c r="BQ432" s="181"/>
      <c r="BR432" s="181"/>
      <c r="BS432" s="181"/>
      <c r="BT432" s="181"/>
      <c r="BU432" s="181"/>
      <c r="BV432" s="181"/>
    </row>
    <row r="433" spans="1:75" s="30" customFormat="1" ht="28.5" x14ac:dyDescent="0.25">
      <c r="A433" s="545"/>
      <c r="B433" s="1579"/>
      <c r="C433" s="1097"/>
      <c r="D433" s="1145" t="s">
        <v>44</v>
      </c>
      <c r="E433" s="1147" t="str">
        <f>IF(Z433="","",IF(OR(AND(OR(G433="Y",G433="?"),_00_apply="Yes"),AND(OR(I433="Y",I433="?"),_01_apply="Yes"),AND(OR(K433="Y",K433="?"),_02_apply="Yes"),AND(OR(M433="Y",M433="?"),_03_apply="Yes"),AND(OR(O433="Y",O433="?"),_04_apply="Yes"),AND(OR(Q433="Y",Q433="?"),_05_apply="Yes"),AND(OR(S433="?",S433="Y"),_06_apply="Yes"),AND(OR(U433="?",U433="Y"),_07_apply="Yes"),AND(OR(W433="Y",W433="?"),_08_apply="Yes")),"","N"))</f>
        <v/>
      </c>
      <c r="F433" s="1124" t="str">
        <f>IF(AC433="","",IF(OR(AND(H433="Y",_00_apply="Yes"),AND(OR(J433="Y",J433="?",K433="Y"),_01_apply="Yes"),AND(L433="Y",_02_apply="Yes"),AND(N433="Y",_03_apply="Yes"),AND(P433="Y",_04_apply="Yes"),AND(R433="Y",_05_apply="Yes"),AND(T433="Y",_06_apply="Yes"),AND(V433="Y",_07_apply="Yes"),AND(X433="Y",_08_apply="Yes")),"","N"))</f>
        <v/>
      </c>
      <c r="G433" s="1734" t="s">
        <v>38</v>
      </c>
      <c r="H433" s="1735" t="s">
        <v>38</v>
      </c>
      <c r="I433" s="1734" t="s">
        <v>37</v>
      </c>
      <c r="J433" s="1736" t="str">
        <f t="shared" si="77"/>
        <v>Y</v>
      </c>
      <c r="K433" s="1734" t="s">
        <v>38</v>
      </c>
      <c r="L433" s="1735" t="s">
        <v>38</v>
      </c>
      <c r="M433" s="1734" t="s">
        <v>38</v>
      </c>
      <c r="N433" s="1735" t="s">
        <v>38</v>
      </c>
      <c r="O433" s="1734" t="s">
        <v>38</v>
      </c>
      <c r="P433" s="1737" t="s">
        <v>38</v>
      </c>
      <c r="Q433" s="1738" t="s">
        <v>38</v>
      </c>
      <c r="R433" s="1735" t="s">
        <v>38</v>
      </c>
      <c r="S433" s="1734" t="s">
        <v>38</v>
      </c>
      <c r="T433" s="1736" t="s">
        <v>38</v>
      </c>
      <c r="U433" s="1734" t="s">
        <v>38</v>
      </c>
      <c r="V433" s="1735" t="s">
        <v>38</v>
      </c>
      <c r="W433" s="1734" t="s">
        <v>38</v>
      </c>
      <c r="X433" s="812" t="s">
        <v>38</v>
      </c>
      <c r="Y433" s="430"/>
      <c r="Z433" s="614" t="s">
        <v>948</v>
      </c>
      <c r="AA433" s="972" t="s">
        <v>37</v>
      </c>
      <c r="AB433" s="1924"/>
      <c r="AC433" s="1153"/>
      <c r="AD433" s="1268"/>
      <c r="AE433" s="1265"/>
      <c r="AF433" s="1249"/>
      <c r="AG433" s="1265"/>
      <c r="AH433" s="1794"/>
      <c r="AI433" s="1773"/>
      <c r="AJ433" s="1265"/>
      <c r="AK433" s="1265"/>
      <c r="AL433" s="1095"/>
      <c r="AM433" s="1095"/>
      <c r="AN433" s="1095"/>
      <c r="AO433" s="1095"/>
      <c r="AP433" s="1095"/>
      <c r="AQ433" s="1106"/>
      <c r="AR433" s="1097"/>
      <c r="AS433" s="1097"/>
      <c r="AT433" s="181"/>
      <c r="AU433" s="181"/>
      <c r="AV433" s="181"/>
      <c r="AW433" s="181"/>
      <c r="AX433" s="181"/>
      <c r="AY433" s="181"/>
      <c r="AZ433" s="181"/>
      <c r="BA433" s="181"/>
      <c r="BB433" s="181"/>
      <c r="BC433" s="181"/>
      <c r="BD433" s="181"/>
      <c r="BE433" s="181"/>
      <c r="BF433" s="181"/>
      <c r="BG433" s="181"/>
      <c r="BH433" s="181"/>
      <c r="BI433" s="181"/>
      <c r="BJ433" s="181"/>
      <c r="BK433" s="181"/>
      <c r="BL433" s="181"/>
      <c r="BM433" s="181"/>
      <c r="BN433" s="181"/>
      <c r="BO433" s="181"/>
      <c r="BP433" s="181"/>
      <c r="BQ433" s="181"/>
      <c r="BR433" s="181"/>
      <c r="BS433" s="181"/>
      <c r="BT433" s="181"/>
      <c r="BU433" s="181"/>
      <c r="BV433" s="181"/>
    </row>
    <row r="434" spans="1:75" s="30" customFormat="1" ht="15.75" x14ac:dyDescent="0.25">
      <c r="A434" s="545"/>
      <c r="B434" s="1579"/>
      <c r="C434" s="1097"/>
      <c r="D434" s="1145" t="s">
        <v>44</v>
      </c>
      <c r="E434" s="1146" t="str">
        <f t="shared" si="72"/>
        <v/>
      </c>
      <c r="F434" s="1124" t="str">
        <f t="shared" si="76"/>
        <v/>
      </c>
      <c r="G434" s="886" t="s">
        <v>38</v>
      </c>
      <c r="H434" s="962" t="s">
        <v>38</v>
      </c>
      <c r="I434" s="886" t="s">
        <v>37</v>
      </c>
      <c r="J434" s="963" t="str">
        <f t="shared" si="77"/>
        <v>Y</v>
      </c>
      <c r="K434" s="886" t="s">
        <v>38</v>
      </c>
      <c r="L434" s="962" t="s">
        <v>38</v>
      </c>
      <c r="M434" s="886" t="s">
        <v>38</v>
      </c>
      <c r="N434" s="962" t="s">
        <v>38</v>
      </c>
      <c r="O434" s="886" t="s">
        <v>38</v>
      </c>
      <c r="P434" s="964" t="s">
        <v>38</v>
      </c>
      <c r="Q434" s="985" t="s">
        <v>38</v>
      </c>
      <c r="R434" s="962" t="s">
        <v>38</v>
      </c>
      <c r="S434" s="886" t="s">
        <v>38</v>
      </c>
      <c r="T434" s="963" t="s">
        <v>38</v>
      </c>
      <c r="U434" s="886" t="s">
        <v>38</v>
      </c>
      <c r="V434" s="962" t="s">
        <v>38</v>
      </c>
      <c r="W434" s="886" t="s">
        <v>38</v>
      </c>
      <c r="X434" s="812" t="s">
        <v>38</v>
      </c>
      <c r="Y434" s="430"/>
      <c r="Z434" s="613" t="s">
        <v>947</v>
      </c>
      <c r="AA434" s="972" t="s">
        <v>37</v>
      </c>
      <c r="AB434" s="1924"/>
      <c r="AC434" s="1153"/>
      <c r="AD434" s="1268"/>
      <c r="AE434" s="1265"/>
      <c r="AF434" s="1249"/>
      <c r="AG434" s="1265"/>
      <c r="AH434" s="1794"/>
      <c r="AI434" s="1773"/>
      <c r="AJ434" s="1265"/>
      <c r="AK434" s="1265"/>
      <c r="AL434" s="1095"/>
      <c r="AM434" s="1095"/>
      <c r="AN434" s="1095"/>
      <c r="AO434" s="1095"/>
      <c r="AP434" s="1095"/>
      <c r="AQ434" s="1106"/>
      <c r="AR434" s="1097"/>
      <c r="AS434" s="1097"/>
      <c r="AT434" s="181"/>
      <c r="AU434" s="181"/>
      <c r="AV434" s="181"/>
      <c r="AW434" s="181"/>
      <c r="AX434" s="181"/>
      <c r="AY434" s="181"/>
      <c r="AZ434" s="181"/>
      <c r="BA434" s="181"/>
      <c r="BB434" s="181"/>
      <c r="BC434" s="181"/>
      <c r="BD434" s="181"/>
      <c r="BE434" s="181"/>
      <c r="BF434" s="181"/>
      <c r="BG434" s="181"/>
      <c r="BH434" s="181"/>
      <c r="BI434" s="181"/>
      <c r="BJ434" s="181"/>
      <c r="BK434" s="181"/>
      <c r="BL434" s="181"/>
      <c r="BM434" s="181"/>
      <c r="BN434" s="181"/>
      <c r="BO434" s="181"/>
      <c r="BP434" s="181"/>
      <c r="BQ434" s="181"/>
      <c r="BR434" s="181"/>
      <c r="BS434" s="181"/>
      <c r="BT434" s="181"/>
      <c r="BU434" s="181"/>
      <c r="BV434" s="181"/>
    </row>
    <row r="435" spans="1:75" s="30" customFormat="1" ht="15.75" x14ac:dyDescent="0.25">
      <c r="A435" s="545"/>
      <c r="B435" s="1579"/>
      <c r="C435" s="1097"/>
      <c r="D435" s="1145" t="s">
        <v>44</v>
      </c>
      <c r="E435" s="1146" t="str">
        <f t="shared" si="72"/>
        <v>N</v>
      </c>
      <c r="F435" s="1124" t="str">
        <f t="shared" si="76"/>
        <v/>
      </c>
      <c r="G435" s="886" t="s">
        <v>38</v>
      </c>
      <c r="H435" s="962" t="s">
        <v>38</v>
      </c>
      <c r="I435" s="886" t="s">
        <v>38</v>
      </c>
      <c r="J435" s="963" t="str">
        <f>IF(BOT_project="Yes","?","N")</f>
        <v>?</v>
      </c>
      <c r="K435" s="886" t="s">
        <v>38</v>
      </c>
      <c r="L435" s="962" t="s">
        <v>38</v>
      </c>
      <c r="M435" s="886" t="s">
        <v>38</v>
      </c>
      <c r="N435" s="962" t="s">
        <v>38</v>
      </c>
      <c r="O435" s="886" t="s">
        <v>38</v>
      </c>
      <c r="P435" s="964" t="s">
        <v>38</v>
      </c>
      <c r="Q435" s="985" t="s">
        <v>38</v>
      </c>
      <c r="R435" s="962" t="s">
        <v>38</v>
      </c>
      <c r="S435" s="886" t="s">
        <v>38</v>
      </c>
      <c r="T435" s="963" t="s">
        <v>38</v>
      </c>
      <c r="U435" s="886" t="s">
        <v>38</v>
      </c>
      <c r="V435" s="962" t="s">
        <v>38</v>
      </c>
      <c r="W435" s="886" t="s">
        <v>38</v>
      </c>
      <c r="X435" s="812" t="s">
        <v>38</v>
      </c>
      <c r="Y435" s="430"/>
      <c r="Z435" s="613" t="s">
        <v>949</v>
      </c>
      <c r="AA435" s="972" t="s">
        <v>37</v>
      </c>
      <c r="AB435" s="1924"/>
      <c r="AC435" s="1153"/>
      <c r="AD435" s="1268"/>
      <c r="AE435" s="1265"/>
      <c r="AF435" s="1249"/>
      <c r="AG435" s="1265"/>
      <c r="AH435" s="1794"/>
      <c r="AI435" s="1773"/>
      <c r="AJ435" s="1265"/>
      <c r="AK435" s="1265"/>
      <c r="AL435" s="1095"/>
      <c r="AM435" s="1095"/>
      <c r="AN435" s="1095"/>
      <c r="AO435" s="1095"/>
      <c r="AP435" s="1095"/>
      <c r="AQ435" s="1106"/>
      <c r="AR435" s="1097"/>
      <c r="AS435" s="1097"/>
      <c r="AT435" s="181"/>
      <c r="AU435" s="181"/>
      <c r="AV435" s="181"/>
      <c r="AW435" s="181"/>
      <c r="AX435" s="181"/>
      <c r="AY435" s="181"/>
      <c r="AZ435" s="181"/>
      <c r="BA435" s="181"/>
      <c r="BB435" s="181"/>
      <c r="BC435" s="181"/>
      <c r="BD435" s="181"/>
      <c r="BE435" s="181"/>
      <c r="BF435" s="181"/>
      <c r="BG435" s="181"/>
      <c r="BH435" s="181"/>
      <c r="BI435" s="181"/>
      <c r="BJ435" s="181"/>
      <c r="BK435" s="181"/>
      <c r="BL435" s="181"/>
      <c r="BM435" s="181"/>
      <c r="BN435" s="181"/>
      <c r="BO435" s="181"/>
      <c r="BP435" s="181"/>
      <c r="BQ435" s="181"/>
      <c r="BR435" s="181"/>
      <c r="BS435" s="181"/>
      <c r="BT435" s="181"/>
      <c r="BU435" s="181"/>
      <c r="BV435" s="181"/>
    </row>
    <row r="436" spans="1:75" s="30" customFormat="1" ht="15.75" x14ac:dyDescent="0.25">
      <c r="A436" s="545"/>
      <c r="B436" s="1579"/>
      <c r="C436" s="1097"/>
      <c r="D436" s="1145" t="s">
        <v>44</v>
      </c>
      <c r="E436" s="1146" t="str">
        <f t="shared" si="72"/>
        <v>N</v>
      </c>
      <c r="F436" s="1124" t="str">
        <f t="shared" si="76"/>
        <v/>
      </c>
      <c r="G436" s="886" t="s">
        <v>38</v>
      </c>
      <c r="H436" s="962" t="s">
        <v>38</v>
      </c>
      <c r="I436" s="886" t="s">
        <v>38</v>
      </c>
      <c r="J436" s="963" t="str">
        <f>IF(BOT_project="Yes","N","N")</f>
        <v>N</v>
      </c>
      <c r="K436" s="886" t="s">
        <v>38</v>
      </c>
      <c r="L436" s="962" t="s">
        <v>38</v>
      </c>
      <c r="M436" s="886" t="s">
        <v>38</v>
      </c>
      <c r="N436" s="962" t="s">
        <v>38</v>
      </c>
      <c r="O436" s="886" t="s">
        <v>38</v>
      </c>
      <c r="P436" s="964" t="s">
        <v>38</v>
      </c>
      <c r="Q436" s="985" t="s">
        <v>38</v>
      </c>
      <c r="R436" s="962" t="s">
        <v>38</v>
      </c>
      <c r="S436" s="886" t="s">
        <v>38</v>
      </c>
      <c r="T436" s="963" t="s">
        <v>38</v>
      </c>
      <c r="U436" s="886" t="s">
        <v>38</v>
      </c>
      <c r="V436" s="962" t="s">
        <v>38</v>
      </c>
      <c r="W436" s="886" t="s">
        <v>38</v>
      </c>
      <c r="X436" s="812" t="s">
        <v>38</v>
      </c>
      <c r="Y436" s="430"/>
      <c r="Z436" s="613" t="s">
        <v>113</v>
      </c>
      <c r="AA436" s="972" t="s">
        <v>37</v>
      </c>
      <c r="AB436" s="1924"/>
      <c r="AC436" s="1153"/>
      <c r="AD436" s="1268"/>
      <c r="AE436" s="1265"/>
      <c r="AF436" s="1249"/>
      <c r="AG436" s="1265"/>
      <c r="AH436" s="1794"/>
      <c r="AI436" s="1773"/>
      <c r="AJ436" s="1265"/>
      <c r="AK436" s="1265"/>
      <c r="AL436" s="1095"/>
      <c r="AM436" s="1095"/>
      <c r="AN436" s="1095"/>
      <c r="AO436" s="1095"/>
      <c r="AP436" s="1095"/>
      <c r="AQ436" s="1106"/>
      <c r="AR436" s="1097"/>
      <c r="AS436" s="1097"/>
      <c r="AT436" s="181"/>
      <c r="AU436" s="181"/>
      <c r="AV436" s="181"/>
      <c r="AW436" s="181"/>
      <c r="AX436" s="181"/>
      <c r="AY436" s="181"/>
      <c r="AZ436" s="181"/>
      <c r="BA436" s="181"/>
      <c r="BB436" s="181"/>
      <c r="BC436" s="181"/>
      <c r="BD436" s="181"/>
      <c r="BE436" s="181"/>
      <c r="BF436" s="181"/>
      <c r="BG436" s="181"/>
      <c r="BH436" s="181"/>
      <c r="BI436" s="181"/>
      <c r="BJ436" s="181"/>
      <c r="BK436" s="181"/>
      <c r="BL436" s="181"/>
      <c r="BM436" s="181"/>
      <c r="BN436" s="181"/>
      <c r="BO436" s="181"/>
      <c r="BP436" s="181"/>
      <c r="BQ436" s="181"/>
      <c r="BR436" s="181"/>
      <c r="BS436" s="181"/>
      <c r="BT436" s="181"/>
      <c r="BU436" s="181"/>
      <c r="BV436" s="181"/>
    </row>
    <row r="437" spans="1:75" s="30" customFormat="1" ht="15.75" x14ac:dyDescent="0.25">
      <c r="A437" s="545"/>
      <c r="B437" s="1579"/>
      <c r="C437" s="1097"/>
      <c r="D437" s="1145" t="s">
        <v>44</v>
      </c>
      <c r="E437" s="1146" t="str">
        <f t="shared" si="72"/>
        <v/>
      </c>
      <c r="F437" s="1124" t="str">
        <f t="shared" si="76"/>
        <v/>
      </c>
      <c r="G437" s="886" t="s">
        <v>38</v>
      </c>
      <c r="H437" s="962" t="s">
        <v>38</v>
      </c>
      <c r="I437" s="886" t="s">
        <v>37</v>
      </c>
      <c r="J437" s="963" t="str">
        <f t="shared" si="77"/>
        <v>Y</v>
      </c>
      <c r="K437" s="886" t="s">
        <v>38</v>
      </c>
      <c r="L437" s="962" t="s">
        <v>38</v>
      </c>
      <c r="M437" s="886" t="s">
        <v>38</v>
      </c>
      <c r="N437" s="962" t="s">
        <v>38</v>
      </c>
      <c r="O437" s="886" t="s">
        <v>38</v>
      </c>
      <c r="P437" s="964" t="s">
        <v>38</v>
      </c>
      <c r="Q437" s="985" t="s">
        <v>38</v>
      </c>
      <c r="R437" s="962" t="s">
        <v>38</v>
      </c>
      <c r="S437" s="886" t="s">
        <v>38</v>
      </c>
      <c r="T437" s="963" t="s">
        <v>38</v>
      </c>
      <c r="U437" s="886" t="s">
        <v>38</v>
      </c>
      <c r="V437" s="962" t="s">
        <v>38</v>
      </c>
      <c r="W437" s="886" t="s">
        <v>38</v>
      </c>
      <c r="X437" s="812" t="s">
        <v>38</v>
      </c>
      <c r="Y437" s="430"/>
      <c r="Z437" s="613" t="s">
        <v>950</v>
      </c>
      <c r="AA437" s="972" t="s">
        <v>37</v>
      </c>
      <c r="AB437" s="1924"/>
      <c r="AC437" s="1153"/>
      <c r="AD437" s="1268"/>
      <c r="AE437" s="1265"/>
      <c r="AF437" s="1249"/>
      <c r="AG437" s="1265"/>
      <c r="AH437" s="1794"/>
      <c r="AI437" s="1773"/>
      <c r="AJ437" s="1265"/>
      <c r="AK437" s="1265"/>
      <c r="AL437" s="1095"/>
      <c r="AM437" s="1095"/>
      <c r="AN437" s="1095"/>
      <c r="AO437" s="1095"/>
      <c r="AP437" s="1095"/>
      <c r="AQ437" s="1106"/>
      <c r="AR437" s="1097"/>
      <c r="AS437" s="1097"/>
      <c r="AT437" s="181"/>
      <c r="AU437" s="181"/>
      <c r="AV437" s="181"/>
      <c r="AW437" s="181"/>
      <c r="AX437" s="181"/>
      <c r="AY437" s="181"/>
      <c r="AZ437" s="181"/>
      <c r="BA437" s="181"/>
      <c r="BB437" s="181"/>
      <c r="BC437" s="181"/>
      <c r="BD437" s="181"/>
      <c r="BE437" s="181"/>
      <c r="BF437" s="181"/>
      <c r="BG437" s="181"/>
      <c r="BH437" s="181"/>
      <c r="BI437" s="181"/>
      <c r="BJ437" s="181"/>
      <c r="BK437" s="181"/>
      <c r="BL437" s="181"/>
      <c r="BM437" s="181"/>
      <c r="BN437" s="181"/>
      <c r="BO437" s="181"/>
      <c r="BP437" s="181"/>
      <c r="BQ437" s="181"/>
      <c r="BR437" s="181"/>
      <c r="BS437" s="181"/>
      <c r="BT437" s="181"/>
      <c r="BU437" s="181"/>
      <c r="BV437" s="181"/>
    </row>
    <row r="438" spans="1:75" s="30" customFormat="1" ht="15.75" x14ac:dyDescent="0.25">
      <c r="A438" s="545"/>
      <c r="B438" s="1579"/>
      <c r="C438" s="1097"/>
      <c r="D438" s="1145" t="s">
        <v>44</v>
      </c>
      <c r="E438" s="1146" t="str">
        <f t="shared" si="72"/>
        <v>N</v>
      </c>
      <c r="F438" s="1124" t="str">
        <f t="shared" si="76"/>
        <v/>
      </c>
      <c r="G438" s="886" t="s">
        <v>38</v>
      </c>
      <c r="H438" s="962" t="s">
        <v>38</v>
      </c>
      <c r="I438" s="886" t="s">
        <v>38</v>
      </c>
      <c r="J438" s="963" t="s">
        <v>21</v>
      </c>
      <c r="K438" s="886" t="s">
        <v>38</v>
      </c>
      <c r="L438" s="962" t="s">
        <v>38</v>
      </c>
      <c r="M438" s="886" t="s">
        <v>38</v>
      </c>
      <c r="N438" s="962" t="s">
        <v>38</v>
      </c>
      <c r="O438" s="886" t="s">
        <v>38</v>
      </c>
      <c r="P438" s="964" t="s">
        <v>38</v>
      </c>
      <c r="Q438" s="985" t="s">
        <v>38</v>
      </c>
      <c r="R438" s="962" t="s">
        <v>38</v>
      </c>
      <c r="S438" s="886" t="s">
        <v>38</v>
      </c>
      <c r="T438" s="963" t="s">
        <v>38</v>
      </c>
      <c r="U438" s="886" t="s">
        <v>38</v>
      </c>
      <c r="V438" s="962" t="s">
        <v>38</v>
      </c>
      <c r="W438" s="886" t="s">
        <v>38</v>
      </c>
      <c r="X438" s="812" t="s">
        <v>38</v>
      </c>
      <c r="Y438" s="430"/>
      <c r="Z438" s="979" t="s">
        <v>478</v>
      </c>
      <c r="AA438" s="972" t="s">
        <v>38</v>
      </c>
      <c r="AB438" s="1924"/>
      <c r="AC438" s="1153"/>
      <c r="AD438" s="1268"/>
      <c r="AE438" s="1265"/>
      <c r="AF438" s="1249"/>
      <c r="AG438" s="1265"/>
      <c r="AH438" s="1794"/>
      <c r="AI438" s="1773"/>
      <c r="AJ438" s="1265"/>
      <c r="AK438" s="1265"/>
      <c r="AL438" s="1095"/>
      <c r="AM438" s="1095"/>
      <c r="AN438" s="1095"/>
      <c r="AO438" s="1095"/>
      <c r="AP438" s="1095"/>
      <c r="AQ438" s="1106"/>
      <c r="AR438" s="1097"/>
      <c r="AS438" s="1097"/>
      <c r="AT438" s="181"/>
      <c r="AU438" s="181"/>
      <c r="AV438" s="181"/>
      <c r="AW438" s="181"/>
      <c r="AX438" s="181"/>
      <c r="AY438" s="181"/>
      <c r="AZ438" s="181"/>
      <c r="BA438" s="181"/>
      <c r="BB438" s="181"/>
      <c r="BC438" s="181"/>
      <c r="BD438" s="181"/>
      <c r="BE438" s="181"/>
      <c r="BF438" s="181"/>
      <c r="BG438" s="181"/>
      <c r="BH438" s="181"/>
      <c r="BI438" s="181"/>
      <c r="BJ438" s="181"/>
      <c r="BK438" s="181"/>
      <c r="BL438" s="181"/>
      <c r="BM438" s="181"/>
      <c r="BN438" s="181"/>
      <c r="BO438" s="181"/>
      <c r="BP438" s="181"/>
      <c r="BQ438" s="181"/>
      <c r="BR438" s="181"/>
      <c r="BS438" s="181"/>
      <c r="BT438" s="181"/>
      <c r="BU438" s="181"/>
      <c r="BV438" s="181"/>
    </row>
    <row r="439" spans="1:75" s="30" customFormat="1" ht="15.75" x14ac:dyDescent="0.25">
      <c r="A439" s="545"/>
      <c r="B439" s="1579"/>
      <c r="C439" s="1097"/>
      <c r="D439" s="1145" t="s">
        <v>44</v>
      </c>
      <c r="E439" s="1146" t="str">
        <f t="shared" si="72"/>
        <v>N</v>
      </c>
      <c r="F439" s="1124" t="str">
        <f t="shared" si="76"/>
        <v/>
      </c>
      <c r="G439" s="886" t="s">
        <v>38</v>
      </c>
      <c r="H439" s="962" t="s">
        <v>38</v>
      </c>
      <c r="I439" s="886" t="s">
        <v>38</v>
      </c>
      <c r="J439" s="963" t="s">
        <v>21</v>
      </c>
      <c r="K439" s="886" t="s">
        <v>38</v>
      </c>
      <c r="L439" s="962" t="s">
        <v>38</v>
      </c>
      <c r="M439" s="886" t="s">
        <v>38</v>
      </c>
      <c r="N439" s="962" t="s">
        <v>38</v>
      </c>
      <c r="O439" s="886" t="s">
        <v>38</v>
      </c>
      <c r="P439" s="964" t="s">
        <v>38</v>
      </c>
      <c r="Q439" s="985" t="s">
        <v>38</v>
      </c>
      <c r="R439" s="962" t="s">
        <v>38</v>
      </c>
      <c r="S439" s="886" t="s">
        <v>38</v>
      </c>
      <c r="T439" s="963" t="s">
        <v>38</v>
      </c>
      <c r="U439" s="886" t="s">
        <v>38</v>
      </c>
      <c r="V439" s="962" t="s">
        <v>38</v>
      </c>
      <c r="W439" s="886" t="s">
        <v>38</v>
      </c>
      <c r="X439" s="812" t="s">
        <v>38</v>
      </c>
      <c r="Y439" s="430"/>
      <c r="Z439" s="979" t="s">
        <v>478</v>
      </c>
      <c r="AA439" s="972" t="s">
        <v>38</v>
      </c>
      <c r="AB439" s="1924"/>
      <c r="AC439" s="1153"/>
      <c r="AD439" s="1268"/>
      <c r="AE439" s="1265"/>
      <c r="AF439" s="1249"/>
      <c r="AG439" s="1265"/>
      <c r="AH439" s="1794"/>
      <c r="AI439" s="1773"/>
      <c r="AJ439" s="1265"/>
      <c r="AK439" s="1265"/>
      <c r="AL439" s="1095"/>
      <c r="AM439" s="1095"/>
      <c r="AN439" s="1095"/>
      <c r="AO439" s="1095"/>
      <c r="AP439" s="1095"/>
      <c r="AQ439" s="1106"/>
      <c r="AR439" s="1097"/>
      <c r="AS439" s="1097"/>
      <c r="AT439" s="181"/>
      <c r="AU439" s="181"/>
      <c r="AV439" s="181"/>
      <c r="AW439" s="181"/>
      <c r="AX439" s="181"/>
      <c r="AY439" s="181"/>
      <c r="AZ439" s="181"/>
      <c r="BA439" s="181"/>
      <c r="BB439" s="181"/>
      <c r="BC439" s="181"/>
      <c r="BD439" s="181"/>
      <c r="BE439" s="181"/>
      <c r="BF439" s="181"/>
      <c r="BG439" s="181"/>
      <c r="BH439" s="181"/>
      <c r="BI439" s="181"/>
      <c r="BJ439" s="181"/>
      <c r="BK439" s="181"/>
      <c r="BL439" s="181"/>
      <c r="BM439" s="181"/>
      <c r="BN439" s="181"/>
      <c r="BO439" s="181"/>
      <c r="BP439" s="181"/>
      <c r="BQ439" s="181"/>
      <c r="BR439" s="181"/>
      <c r="BS439" s="181"/>
      <c r="BT439" s="181"/>
      <c r="BU439" s="181"/>
      <c r="BV439" s="181"/>
    </row>
    <row r="440" spans="1:75" s="30" customFormat="1" ht="15.75" x14ac:dyDescent="0.25">
      <c r="A440" s="545"/>
      <c r="B440" s="1579"/>
      <c r="C440" s="1097"/>
      <c r="D440" s="1145" t="s">
        <v>44</v>
      </c>
      <c r="E440" s="1146" t="str">
        <f t="shared" si="72"/>
        <v>N</v>
      </c>
      <c r="F440" s="1124" t="str">
        <f t="shared" si="76"/>
        <v/>
      </c>
      <c r="G440" s="886" t="s">
        <v>38</v>
      </c>
      <c r="H440" s="962" t="s">
        <v>38</v>
      </c>
      <c r="I440" s="886" t="s">
        <v>38</v>
      </c>
      <c r="J440" s="963" t="s">
        <v>21</v>
      </c>
      <c r="K440" s="886" t="s">
        <v>38</v>
      </c>
      <c r="L440" s="962" t="s">
        <v>38</v>
      </c>
      <c r="M440" s="886" t="s">
        <v>38</v>
      </c>
      <c r="N440" s="962" t="s">
        <v>38</v>
      </c>
      <c r="O440" s="886" t="s">
        <v>38</v>
      </c>
      <c r="P440" s="964" t="s">
        <v>38</v>
      </c>
      <c r="Q440" s="985" t="s">
        <v>38</v>
      </c>
      <c r="R440" s="962" t="s">
        <v>38</v>
      </c>
      <c r="S440" s="886" t="s">
        <v>38</v>
      </c>
      <c r="T440" s="963" t="s">
        <v>38</v>
      </c>
      <c r="U440" s="886" t="s">
        <v>38</v>
      </c>
      <c r="V440" s="962" t="s">
        <v>38</v>
      </c>
      <c r="W440" s="886" t="s">
        <v>38</v>
      </c>
      <c r="X440" s="812" t="s">
        <v>38</v>
      </c>
      <c r="Y440" s="430"/>
      <c r="Z440" s="979" t="s">
        <v>478</v>
      </c>
      <c r="AA440" s="972" t="s">
        <v>38</v>
      </c>
      <c r="AB440" s="1924"/>
      <c r="AC440" s="1153"/>
      <c r="AD440" s="1268"/>
      <c r="AE440" s="1265"/>
      <c r="AF440" s="1249"/>
      <c r="AG440" s="1265"/>
      <c r="AH440" s="1794"/>
      <c r="AI440" s="1773"/>
      <c r="AJ440" s="1265"/>
      <c r="AK440" s="1265"/>
      <c r="AL440" s="1095"/>
      <c r="AM440" s="1095"/>
      <c r="AN440" s="1095"/>
      <c r="AO440" s="1095"/>
      <c r="AP440" s="1095"/>
      <c r="AQ440" s="1106"/>
      <c r="AR440" s="1097"/>
      <c r="AS440" s="1097"/>
      <c r="AT440" s="181"/>
      <c r="AU440" s="181"/>
      <c r="AV440" s="181"/>
      <c r="AW440" s="181"/>
      <c r="AX440" s="181"/>
      <c r="AY440" s="181"/>
      <c r="AZ440" s="181"/>
      <c r="BA440" s="181"/>
      <c r="BB440" s="181"/>
      <c r="BC440" s="181"/>
      <c r="BD440" s="181"/>
      <c r="BE440" s="181"/>
      <c r="BF440" s="181"/>
      <c r="BG440" s="181"/>
      <c r="BH440" s="181"/>
      <c r="BI440" s="181"/>
      <c r="BJ440" s="181"/>
      <c r="BK440" s="181"/>
      <c r="BL440" s="181"/>
      <c r="BM440" s="181"/>
      <c r="BN440" s="181"/>
      <c r="BO440" s="181"/>
      <c r="BP440" s="181"/>
      <c r="BQ440" s="181"/>
      <c r="BR440" s="181"/>
      <c r="BS440" s="181"/>
      <c r="BT440" s="181"/>
      <c r="BU440" s="181"/>
      <c r="BV440" s="181"/>
    </row>
    <row r="441" spans="1:75" s="30" customFormat="1" ht="15.75" x14ac:dyDescent="0.25">
      <c r="A441" s="545"/>
      <c r="B441" s="1579"/>
      <c r="C441" s="1097"/>
      <c r="D441" s="1145" t="s">
        <v>44</v>
      </c>
      <c r="E441" s="1146" t="str">
        <f t="shared" si="72"/>
        <v>N</v>
      </c>
      <c r="F441" s="1124" t="str">
        <f t="shared" si="76"/>
        <v/>
      </c>
      <c r="G441" s="886" t="s">
        <v>38</v>
      </c>
      <c r="H441" s="962" t="s">
        <v>38</v>
      </c>
      <c r="I441" s="886" t="s">
        <v>38</v>
      </c>
      <c r="J441" s="963" t="s">
        <v>21</v>
      </c>
      <c r="K441" s="886" t="s">
        <v>38</v>
      </c>
      <c r="L441" s="962" t="s">
        <v>208</v>
      </c>
      <c r="M441" s="886" t="s">
        <v>38</v>
      </c>
      <c r="N441" s="962" t="s">
        <v>38</v>
      </c>
      <c r="O441" s="886" t="s">
        <v>38</v>
      </c>
      <c r="P441" s="964" t="s">
        <v>38</v>
      </c>
      <c r="Q441" s="985" t="s">
        <v>38</v>
      </c>
      <c r="R441" s="962" t="s">
        <v>38</v>
      </c>
      <c r="S441" s="886" t="s">
        <v>38</v>
      </c>
      <c r="T441" s="963" t="s">
        <v>38</v>
      </c>
      <c r="U441" s="886" t="s">
        <v>38</v>
      </c>
      <c r="V441" s="962" t="s">
        <v>38</v>
      </c>
      <c r="W441" s="886" t="s">
        <v>38</v>
      </c>
      <c r="X441" s="812" t="s">
        <v>208</v>
      </c>
      <c r="Y441" s="430"/>
      <c r="Z441" s="979" t="s">
        <v>478</v>
      </c>
      <c r="AA441" s="972" t="s">
        <v>38</v>
      </c>
      <c r="AB441" s="1924"/>
      <c r="AC441" s="1153"/>
      <c r="AD441" s="1268"/>
      <c r="AE441" s="1265"/>
      <c r="AF441" s="1249"/>
      <c r="AG441" s="1265"/>
      <c r="AH441" s="1794"/>
      <c r="AI441" s="1773"/>
      <c r="AJ441" s="1265"/>
      <c r="AK441" s="1265"/>
      <c r="AL441" s="1095"/>
      <c r="AM441" s="1095"/>
      <c r="AN441" s="1095"/>
      <c r="AO441" s="1095"/>
      <c r="AP441" s="1095"/>
      <c r="AQ441" s="1106"/>
      <c r="AR441" s="1097"/>
      <c r="AS441" s="1097"/>
      <c r="AT441" s="181"/>
      <c r="AU441" s="181"/>
      <c r="AV441" s="181"/>
      <c r="AW441" s="181"/>
      <c r="AX441" s="181"/>
      <c r="AY441" s="181"/>
      <c r="AZ441" s="181"/>
      <c r="BA441" s="181"/>
      <c r="BB441" s="181"/>
      <c r="BC441" s="181"/>
      <c r="BD441" s="181"/>
      <c r="BE441" s="181"/>
      <c r="BF441" s="181"/>
      <c r="BG441" s="181"/>
      <c r="BH441" s="181"/>
      <c r="BI441" s="181"/>
      <c r="BJ441" s="181"/>
      <c r="BK441" s="181"/>
      <c r="BL441" s="181"/>
      <c r="BM441" s="181"/>
      <c r="BN441" s="181"/>
      <c r="BO441" s="181"/>
      <c r="BP441" s="181"/>
      <c r="BQ441" s="181"/>
      <c r="BR441" s="181"/>
      <c r="BS441" s="181"/>
      <c r="BT441" s="181"/>
      <c r="BU441" s="181"/>
      <c r="BV441" s="181"/>
    </row>
    <row r="442" spans="1:75" s="30" customFormat="1" ht="33.75" customHeight="1" x14ac:dyDescent="0.25">
      <c r="A442" s="545"/>
      <c r="B442" s="1579"/>
      <c r="C442" s="1097"/>
      <c r="D442" s="1145"/>
      <c r="E442" s="1623" t="s">
        <v>940</v>
      </c>
      <c r="F442" s="1124"/>
      <c r="G442" s="1708" t="s">
        <v>208</v>
      </c>
      <c r="H442" s="1709" t="s">
        <v>208</v>
      </c>
      <c r="I442" s="1708" t="s">
        <v>208</v>
      </c>
      <c r="J442" s="1710" t="s">
        <v>208</v>
      </c>
      <c r="K442" s="1708" t="s">
        <v>208</v>
      </c>
      <c r="L442" s="1709"/>
      <c r="M442" s="1708" t="s">
        <v>208</v>
      </c>
      <c r="N442" s="1709" t="s">
        <v>208</v>
      </c>
      <c r="O442" s="1708" t="s">
        <v>208</v>
      </c>
      <c r="P442" s="1711" t="s">
        <v>208</v>
      </c>
      <c r="Q442" s="1712" t="s">
        <v>208</v>
      </c>
      <c r="R442" s="1709" t="s">
        <v>208</v>
      </c>
      <c r="S442" s="1708" t="s">
        <v>208</v>
      </c>
      <c r="T442" s="1710" t="s">
        <v>208</v>
      </c>
      <c r="U442" s="1708" t="s">
        <v>208</v>
      </c>
      <c r="V442" s="1709" t="s">
        <v>208</v>
      </c>
      <c r="W442" s="1708" t="s">
        <v>208</v>
      </c>
      <c r="X442" s="816" t="s">
        <v>208</v>
      </c>
      <c r="Y442" s="429"/>
      <c r="Z442" s="1626" t="s">
        <v>975</v>
      </c>
      <c r="AA442" s="973" t="s">
        <v>208</v>
      </c>
      <c r="AB442" s="1909"/>
      <c r="AC442" s="1153"/>
      <c r="AD442" s="1229"/>
      <c r="AE442" s="1230"/>
      <c r="AF442" s="1231"/>
      <c r="AG442" s="1230"/>
      <c r="AH442" s="1779"/>
      <c r="AI442" s="1761"/>
      <c r="AJ442" s="1230"/>
      <c r="AK442" s="1230"/>
      <c r="AL442" s="1095"/>
      <c r="AM442" s="1095"/>
      <c r="AN442" s="1095"/>
      <c r="AO442" s="1095"/>
      <c r="AP442" s="1095"/>
      <c r="AQ442" s="1106"/>
      <c r="AR442" s="1097"/>
      <c r="AS442" s="1097"/>
      <c r="AT442" s="181"/>
      <c r="AU442" s="181"/>
      <c r="AV442" s="181"/>
      <c r="AW442" s="181"/>
      <c r="AX442" s="181"/>
      <c r="AY442" s="181"/>
      <c r="AZ442" s="181"/>
      <c r="BA442" s="181"/>
      <c r="BB442" s="181"/>
      <c r="BC442" s="181"/>
      <c r="BD442" s="181"/>
      <c r="BE442" s="181"/>
      <c r="BF442" s="181"/>
      <c r="BG442" s="181"/>
      <c r="BH442" s="181"/>
      <c r="BI442" s="181"/>
      <c r="BJ442" s="181"/>
      <c r="BK442" s="181"/>
      <c r="BL442" s="181"/>
      <c r="BM442" s="181"/>
      <c r="BN442" s="181"/>
      <c r="BO442" s="181"/>
      <c r="BP442" s="181"/>
      <c r="BQ442" s="181"/>
      <c r="BR442" s="181"/>
      <c r="BS442" s="181"/>
      <c r="BT442" s="181"/>
      <c r="BU442" s="181"/>
      <c r="BV442" s="181"/>
    </row>
    <row r="443" spans="1:75" s="181" customFormat="1" ht="24.75" customHeight="1" x14ac:dyDescent="0.25">
      <c r="A443" s="551"/>
      <c r="B443" s="1578"/>
      <c r="C443" s="1097"/>
      <c r="D443" s="1142" t="s">
        <v>102</v>
      </c>
      <c r="E443" s="1143" t="str">
        <f t="shared" si="72"/>
        <v/>
      </c>
      <c r="F443" s="1166"/>
      <c r="G443" s="1680" t="s">
        <v>38</v>
      </c>
      <c r="H443" s="1681" t="s">
        <v>38</v>
      </c>
      <c r="I443" s="1680" t="s">
        <v>37</v>
      </c>
      <c r="J443" s="1682" t="str">
        <f t="shared" ref="J443:J449" si="78">IF(OR(ISHPO_Project="Select",BOT_project="select"),"Error",IF(AND(ISHPO_Project="Yes",BOT_project="Y"),"Y","N"))</f>
        <v>N</v>
      </c>
      <c r="K443" s="1680" t="s">
        <v>37</v>
      </c>
      <c r="L443" s="1681" t="str">
        <f t="shared" ref="L443:L449" si="79">IF(OR(ISHPO_Project="Select",BOT_project="select"),"Error",IF(AND(ISHPO_Project="Yes",BOT_project="Y"),"N",IF(AND(ISHPO_Project="Yes",BOT_project="N"),"Y","N")))</f>
        <v>N</v>
      </c>
      <c r="M443" s="1680" t="s">
        <v>38</v>
      </c>
      <c r="N443" s="1681" t="s">
        <v>38</v>
      </c>
      <c r="O443" s="1680" t="s">
        <v>38</v>
      </c>
      <c r="P443" s="1683" t="s">
        <v>38</v>
      </c>
      <c r="Q443" s="1684" t="s">
        <v>38</v>
      </c>
      <c r="R443" s="1681" t="s">
        <v>38</v>
      </c>
      <c r="S443" s="1680" t="s">
        <v>38</v>
      </c>
      <c r="T443" s="1682" t="s">
        <v>38</v>
      </c>
      <c r="U443" s="1680" t="s">
        <v>38</v>
      </c>
      <c r="V443" s="1681" t="s">
        <v>38</v>
      </c>
      <c r="W443" s="1680" t="s">
        <v>38</v>
      </c>
      <c r="X443" s="810" t="s">
        <v>38</v>
      </c>
      <c r="Y443" s="428" t="s">
        <v>649</v>
      </c>
      <c r="Z443" s="579" t="s">
        <v>1062</v>
      </c>
      <c r="AA443" s="970" t="s">
        <v>37</v>
      </c>
      <c r="AB443" s="1919"/>
      <c r="AC443" s="1153"/>
      <c r="AD443" s="1251"/>
      <c r="AE443" s="1252"/>
      <c r="AF443" s="1236"/>
      <c r="AG443" s="1252"/>
      <c r="AH443" s="1795"/>
      <c r="AI443" s="1775"/>
      <c r="AJ443" s="1252"/>
      <c r="AK443" s="1252"/>
      <c r="AL443" s="1095"/>
      <c r="AM443" s="1095"/>
      <c r="AN443" s="1095"/>
      <c r="AO443" s="1095"/>
      <c r="AP443" s="1095"/>
      <c r="AQ443" s="1104"/>
      <c r="AR443" s="1105"/>
      <c r="AS443" s="1097"/>
      <c r="BW443" s="30"/>
    </row>
    <row r="444" spans="1:75" s="181" customFormat="1" ht="15" customHeight="1" x14ac:dyDescent="0.25">
      <c r="A444" s="551"/>
      <c r="B444" s="1578"/>
      <c r="C444" s="1097"/>
      <c r="D444" s="1145" t="s">
        <v>102</v>
      </c>
      <c r="E444" s="1146" t="str">
        <f t="shared" si="72"/>
        <v/>
      </c>
      <c r="F444" s="1166"/>
      <c r="G444" s="886" t="s">
        <v>38</v>
      </c>
      <c r="H444" s="962" t="s">
        <v>38</v>
      </c>
      <c r="I444" s="886" t="s">
        <v>37</v>
      </c>
      <c r="J444" s="963" t="str">
        <f t="shared" si="78"/>
        <v>N</v>
      </c>
      <c r="K444" s="886" t="s">
        <v>38</v>
      </c>
      <c r="L444" s="962" t="str">
        <f t="shared" si="79"/>
        <v>N</v>
      </c>
      <c r="M444" s="886" t="s">
        <v>38</v>
      </c>
      <c r="N444" s="962" t="s">
        <v>38</v>
      </c>
      <c r="O444" s="886" t="s">
        <v>38</v>
      </c>
      <c r="P444" s="964" t="s">
        <v>38</v>
      </c>
      <c r="Q444" s="985" t="s">
        <v>38</v>
      </c>
      <c r="R444" s="962" t="s">
        <v>38</v>
      </c>
      <c r="S444" s="886" t="s">
        <v>38</v>
      </c>
      <c r="T444" s="963" t="s">
        <v>38</v>
      </c>
      <c r="U444" s="886" t="s">
        <v>38</v>
      </c>
      <c r="V444" s="962" t="s">
        <v>38</v>
      </c>
      <c r="W444" s="886" t="s">
        <v>38</v>
      </c>
      <c r="X444" s="812" t="s">
        <v>38</v>
      </c>
      <c r="Y444" s="430"/>
      <c r="Z444" s="611" t="s">
        <v>1130</v>
      </c>
      <c r="AA444" s="972" t="s">
        <v>37</v>
      </c>
      <c r="AB444" s="1924"/>
      <c r="AC444" s="1153"/>
      <c r="AD444" s="1268"/>
      <c r="AE444" s="1265"/>
      <c r="AF444" s="1249"/>
      <c r="AG444" s="1265"/>
      <c r="AH444" s="1794"/>
      <c r="AI444" s="1773"/>
      <c r="AJ444" s="1265"/>
      <c r="AK444" s="1265"/>
      <c r="AL444" s="1095"/>
      <c r="AM444" s="1095"/>
      <c r="AN444" s="1095"/>
      <c r="AO444" s="1095"/>
      <c r="AP444" s="1095"/>
      <c r="AQ444" s="1104"/>
      <c r="AR444" s="1105"/>
      <c r="AS444" s="1097"/>
      <c r="BW444" s="30"/>
    </row>
    <row r="445" spans="1:75" s="181" customFormat="1" ht="15" customHeight="1" x14ac:dyDescent="0.25">
      <c r="A445" s="551"/>
      <c r="B445" s="1578"/>
      <c r="C445" s="1097"/>
      <c r="D445" s="1145" t="s">
        <v>102</v>
      </c>
      <c r="E445" s="1146" t="str">
        <f t="shared" si="72"/>
        <v/>
      </c>
      <c r="F445" s="1166"/>
      <c r="G445" s="886" t="s">
        <v>38</v>
      </c>
      <c r="H445" s="962" t="s">
        <v>38</v>
      </c>
      <c r="I445" s="886" t="s">
        <v>37</v>
      </c>
      <c r="J445" s="963" t="str">
        <f t="shared" si="78"/>
        <v>N</v>
      </c>
      <c r="K445" s="886" t="s">
        <v>38</v>
      </c>
      <c r="L445" s="962" t="str">
        <f t="shared" si="79"/>
        <v>N</v>
      </c>
      <c r="M445" s="886" t="s">
        <v>38</v>
      </c>
      <c r="N445" s="962" t="s">
        <v>38</v>
      </c>
      <c r="O445" s="886" t="s">
        <v>38</v>
      </c>
      <c r="P445" s="964" t="s">
        <v>38</v>
      </c>
      <c r="Q445" s="985" t="s">
        <v>38</v>
      </c>
      <c r="R445" s="962" t="s">
        <v>38</v>
      </c>
      <c r="S445" s="886" t="s">
        <v>38</v>
      </c>
      <c r="T445" s="963" t="s">
        <v>38</v>
      </c>
      <c r="U445" s="886" t="s">
        <v>38</v>
      </c>
      <c r="V445" s="962" t="s">
        <v>38</v>
      </c>
      <c r="W445" s="886" t="s">
        <v>38</v>
      </c>
      <c r="X445" s="812" t="s">
        <v>38</v>
      </c>
      <c r="Y445" s="430"/>
      <c r="Z445" s="611" t="s">
        <v>119</v>
      </c>
      <c r="AA445" s="972" t="s">
        <v>37</v>
      </c>
      <c r="AB445" s="1924"/>
      <c r="AC445" s="1153"/>
      <c r="AD445" s="1268"/>
      <c r="AE445" s="1265"/>
      <c r="AF445" s="1249"/>
      <c r="AG445" s="1265"/>
      <c r="AH445" s="1794"/>
      <c r="AI445" s="1773"/>
      <c r="AJ445" s="1265"/>
      <c r="AK445" s="1265"/>
      <c r="AL445" s="1095"/>
      <c r="AM445" s="1095"/>
      <c r="AN445" s="1095"/>
      <c r="AO445" s="1095"/>
      <c r="AP445" s="1095"/>
      <c r="AQ445" s="1104"/>
      <c r="AR445" s="1105"/>
      <c r="AS445" s="1097"/>
      <c r="BW445" s="30"/>
    </row>
    <row r="446" spans="1:75" s="181" customFormat="1" ht="15" customHeight="1" x14ac:dyDescent="0.25">
      <c r="A446" s="551"/>
      <c r="B446" s="1578"/>
      <c r="C446" s="1097"/>
      <c r="D446" s="1145" t="s">
        <v>102</v>
      </c>
      <c r="E446" s="1146" t="str">
        <f t="shared" si="72"/>
        <v/>
      </c>
      <c r="F446" s="1166"/>
      <c r="G446" s="886" t="s">
        <v>38</v>
      </c>
      <c r="H446" s="962" t="s">
        <v>38</v>
      </c>
      <c r="I446" s="886" t="s">
        <v>37</v>
      </c>
      <c r="J446" s="963" t="str">
        <f t="shared" si="78"/>
        <v>N</v>
      </c>
      <c r="K446" s="886" t="s">
        <v>38</v>
      </c>
      <c r="L446" s="962" t="str">
        <f t="shared" si="79"/>
        <v>N</v>
      </c>
      <c r="M446" s="886" t="s">
        <v>38</v>
      </c>
      <c r="N446" s="962" t="s">
        <v>38</v>
      </c>
      <c r="O446" s="886" t="s">
        <v>38</v>
      </c>
      <c r="P446" s="964" t="s">
        <v>38</v>
      </c>
      <c r="Q446" s="985" t="s">
        <v>38</v>
      </c>
      <c r="R446" s="962" t="s">
        <v>38</v>
      </c>
      <c r="S446" s="886" t="s">
        <v>38</v>
      </c>
      <c r="T446" s="963" t="s">
        <v>38</v>
      </c>
      <c r="U446" s="886" t="s">
        <v>38</v>
      </c>
      <c r="V446" s="962" t="s">
        <v>38</v>
      </c>
      <c r="W446" s="886" t="s">
        <v>38</v>
      </c>
      <c r="X446" s="812" t="s">
        <v>38</v>
      </c>
      <c r="Y446" s="430"/>
      <c r="Z446" s="611" t="s">
        <v>116</v>
      </c>
      <c r="AA446" s="972" t="s">
        <v>37</v>
      </c>
      <c r="AB446" s="1924"/>
      <c r="AC446" s="1153"/>
      <c r="AD446" s="1268"/>
      <c r="AE446" s="1265"/>
      <c r="AF446" s="1249"/>
      <c r="AG446" s="1265"/>
      <c r="AH446" s="1794"/>
      <c r="AI446" s="1773"/>
      <c r="AJ446" s="1265"/>
      <c r="AK446" s="1265"/>
      <c r="AL446" s="1095"/>
      <c r="AM446" s="1095"/>
      <c r="AN446" s="1095"/>
      <c r="AO446" s="1095"/>
      <c r="AP446" s="1095"/>
      <c r="AQ446" s="1104"/>
      <c r="AR446" s="1105"/>
      <c r="AS446" s="1097"/>
      <c r="BW446" s="30"/>
    </row>
    <row r="447" spans="1:75" s="181" customFormat="1" ht="15" customHeight="1" x14ac:dyDescent="0.25">
      <c r="A447" s="551"/>
      <c r="B447" s="1578"/>
      <c r="C447" s="1097"/>
      <c r="D447" s="1145" t="s">
        <v>102</v>
      </c>
      <c r="E447" s="1146" t="str">
        <f t="shared" ref="E447:E510" si="80">IF(Z447="","",IF(OR(AND(OR(G447="Y",G447="?"),_00_apply="Yes"),AND(OR(I447="Y",I447="?"),_01_apply="Yes"),AND(OR(K447="Y",K447="?"),_02_apply="Yes"),AND(OR(M447="Y",M447="?"),_03_apply="Yes"),AND(OR(O447="Y",O447="?"),_04_apply="Yes"),AND(OR(Q447="Y",Q447="?"),_05_apply="Yes"),AND(OR(S447="?",S447="Y"),_06_apply="Yes"),AND(OR(U447="?",U447="Y"),_07_apply="Yes"),AND(OR(W447="Y",W447="?"),_08_apply="Yes")),"","N"))</f>
        <v/>
      </c>
      <c r="F447" s="1166"/>
      <c r="G447" s="886" t="s">
        <v>38</v>
      </c>
      <c r="H447" s="962" t="s">
        <v>38</v>
      </c>
      <c r="I447" s="886" t="s">
        <v>37</v>
      </c>
      <c r="J447" s="963" t="str">
        <f t="shared" si="78"/>
        <v>N</v>
      </c>
      <c r="K447" s="886" t="s">
        <v>37</v>
      </c>
      <c r="L447" s="962" t="str">
        <f t="shared" si="79"/>
        <v>N</v>
      </c>
      <c r="M447" s="886" t="s">
        <v>38</v>
      </c>
      <c r="N447" s="962" t="s">
        <v>38</v>
      </c>
      <c r="O447" s="886" t="s">
        <v>38</v>
      </c>
      <c r="P447" s="964" t="s">
        <v>38</v>
      </c>
      <c r="Q447" s="985" t="s">
        <v>38</v>
      </c>
      <c r="R447" s="962" t="s">
        <v>38</v>
      </c>
      <c r="S447" s="886" t="s">
        <v>38</v>
      </c>
      <c r="T447" s="963" t="s">
        <v>38</v>
      </c>
      <c r="U447" s="886" t="s">
        <v>38</v>
      </c>
      <c r="V447" s="962" t="s">
        <v>38</v>
      </c>
      <c r="W447" s="886" t="s">
        <v>38</v>
      </c>
      <c r="X447" s="812" t="s">
        <v>38</v>
      </c>
      <c r="Y447" s="430"/>
      <c r="Z447" s="1077" t="s">
        <v>117</v>
      </c>
      <c r="AA447" s="972" t="s">
        <v>37</v>
      </c>
      <c r="AB447" s="1924"/>
      <c r="AC447" s="1153"/>
      <c r="AD447" s="1268"/>
      <c r="AE447" s="1265"/>
      <c r="AF447" s="1249"/>
      <c r="AG447" s="1265"/>
      <c r="AH447" s="1794"/>
      <c r="AI447" s="1773"/>
      <c r="AJ447" s="1265"/>
      <c r="AK447" s="1265"/>
      <c r="AL447" s="1095"/>
      <c r="AM447" s="1095"/>
      <c r="AN447" s="1095"/>
      <c r="AO447" s="1095"/>
      <c r="AP447" s="1095"/>
      <c r="AQ447" s="1104"/>
      <c r="AR447" s="1105"/>
      <c r="AS447" s="1097"/>
      <c r="BW447" s="30"/>
    </row>
    <row r="448" spans="1:75" s="181" customFormat="1" ht="15" customHeight="1" x14ac:dyDescent="0.25">
      <c r="A448" s="551"/>
      <c r="B448" s="1578"/>
      <c r="C448" s="1097"/>
      <c r="D448" s="1145" t="s">
        <v>102</v>
      </c>
      <c r="E448" s="1146" t="str">
        <f t="shared" si="80"/>
        <v/>
      </c>
      <c r="F448" s="1166"/>
      <c r="G448" s="886" t="s">
        <v>38</v>
      </c>
      <c r="H448" s="962" t="s">
        <v>38</v>
      </c>
      <c r="I448" s="886" t="s">
        <v>37</v>
      </c>
      <c r="J448" s="963" t="str">
        <f t="shared" si="78"/>
        <v>N</v>
      </c>
      <c r="K448" s="886" t="s">
        <v>38</v>
      </c>
      <c r="L448" s="962" t="str">
        <f t="shared" si="79"/>
        <v>N</v>
      </c>
      <c r="M448" s="886" t="s">
        <v>38</v>
      </c>
      <c r="N448" s="962" t="s">
        <v>38</v>
      </c>
      <c r="O448" s="886" t="s">
        <v>38</v>
      </c>
      <c r="P448" s="964" t="s">
        <v>38</v>
      </c>
      <c r="Q448" s="985" t="s">
        <v>38</v>
      </c>
      <c r="R448" s="962" t="s">
        <v>38</v>
      </c>
      <c r="S448" s="886" t="s">
        <v>38</v>
      </c>
      <c r="T448" s="963" t="s">
        <v>38</v>
      </c>
      <c r="U448" s="886" t="s">
        <v>38</v>
      </c>
      <c r="V448" s="962" t="s">
        <v>38</v>
      </c>
      <c r="W448" s="886" t="s">
        <v>38</v>
      </c>
      <c r="X448" s="812" t="s">
        <v>38</v>
      </c>
      <c r="Y448" s="430"/>
      <c r="Z448" s="611" t="s">
        <v>120</v>
      </c>
      <c r="AA448" s="972" t="s">
        <v>37</v>
      </c>
      <c r="AB448" s="1924"/>
      <c r="AC448" s="1153"/>
      <c r="AD448" s="1268"/>
      <c r="AE448" s="1265"/>
      <c r="AF448" s="1249"/>
      <c r="AG448" s="1265"/>
      <c r="AH448" s="1794"/>
      <c r="AI448" s="1773"/>
      <c r="AJ448" s="1265"/>
      <c r="AK448" s="1265"/>
      <c r="AL448" s="1095"/>
      <c r="AM448" s="1095"/>
      <c r="AN448" s="1095"/>
      <c r="AO448" s="1095"/>
      <c r="AP448" s="1095"/>
      <c r="AQ448" s="1104"/>
      <c r="AR448" s="1105"/>
      <c r="AS448" s="1097"/>
      <c r="BW448" s="30"/>
    </row>
    <row r="449" spans="1:75" s="181" customFormat="1" ht="15" customHeight="1" x14ac:dyDescent="0.25">
      <c r="A449" s="551"/>
      <c r="B449" s="1578"/>
      <c r="C449" s="1097"/>
      <c r="D449" s="1145" t="s">
        <v>102</v>
      </c>
      <c r="E449" s="1146" t="str">
        <f t="shared" si="80"/>
        <v/>
      </c>
      <c r="F449" s="1166"/>
      <c r="G449" s="886" t="s">
        <v>38</v>
      </c>
      <c r="H449" s="962" t="s">
        <v>38</v>
      </c>
      <c r="I449" s="886" t="s">
        <v>37</v>
      </c>
      <c r="J449" s="963" t="str">
        <f t="shared" si="78"/>
        <v>N</v>
      </c>
      <c r="K449" s="886" t="s">
        <v>37</v>
      </c>
      <c r="L449" s="962" t="str">
        <f t="shared" si="79"/>
        <v>N</v>
      </c>
      <c r="M449" s="886" t="s">
        <v>38</v>
      </c>
      <c r="N449" s="962" t="s">
        <v>38</v>
      </c>
      <c r="O449" s="886" t="s">
        <v>38</v>
      </c>
      <c r="P449" s="964" t="s">
        <v>38</v>
      </c>
      <c r="Q449" s="985" t="s">
        <v>38</v>
      </c>
      <c r="R449" s="962" t="s">
        <v>38</v>
      </c>
      <c r="S449" s="886" t="s">
        <v>38</v>
      </c>
      <c r="T449" s="963" t="s">
        <v>38</v>
      </c>
      <c r="U449" s="886" t="s">
        <v>38</v>
      </c>
      <c r="V449" s="962" t="s">
        <v>38</v>
      </c>
      <c r="W449" s="886" t="s">
        <v>38</v>
      </c>
      <c r="X449" s="812" t="s">
        <v>38</v>
      </c>
      <c r="Y449" s="430"/>
      <c r="Z449" s="1652" t="s">
        <v>118</v>
      </c>
      <c r="AA449" s="972" t="s">
        <v>37</v>
      </c>
      <c r="AB449" s="1924"/>
      <c r="AC449" s="1153"/>
      <c r="AD449" s="1268"/>
      <c r="AE449" s="1265"/>
      <c r="AF449" s="1249"/>
      <c r="AG449" s="1265"/>
      <c r="AH449" s="1794"/>
      <c r="AI449" s="1773"/>
      <c r="AJ449" s="1265"/>
      <c r="AK449" s="1265"/>
      <c r="AL449" s="1095"/>
      <c r="AM449" s="1095"/>
      <c r="AN449" s="1095"/>
      <c r="AO449" s="1095"/>
      <c r="AP449" s="1095"/>
      <c r="AQ449" s="1104"/>
      <c r="AR449" s="1105"/>
      <c r="AS449" s="1097"/>
      <c r="BW449" s="30"/>
    </row>
    <row r="450" spans="1:75" s="181" customFormat="1" ht="15" customHeight="1" x14ac:dyDescent="0.25">
      <c r="A450" s="551"/>
      <c r="B450" s="1578"/>
      <c r="C450" s="1097"/>
      <c r="D450" s="1145" t="s">
        <v>102</v>
      </c>
      <c r="E450" s="1146" t="str">
        <f t="shared" si="80"/>
        <v>N</v>
      </c>
      <c r="F450" s="1166"/>
      <c r="G450" s="886" t="s">
        <v>208</v>
      </c>
      <c r="H450" s="962" t="s">
        <v>208</v>
      </c>
      <c r="I450" s="886" t="s">
        <v>38</v>
      </c>
      <c r="J450" s="963" t="str">
        <f t="shared" ref="J450:J454" si="81">IF(ISHPO_Project="Yes","Y","N")</f>
        <v>Y</v>
      </c>
      <c r="K450" s="886" t="s">
        <v>38</v>
      </c>
      <c r="L450" s="962" t="s">
        <v>38</v>
      </c>
      <c r="M450" s="886" t="s">
        <v>38</v>
      </c>
      <c r="N450" s="962" t="s">
        <v>38</v>
      </c>
      <c r="O450" s="886" t="s">
        <v>38</v>
      </c>
      <c r="P450" s="964" t="s">
        <v>38</v>
      </c>
      <c r="Q450" s="985" t="s">
        <v>38</v>
      </c>
      <c r="R450" s="962" t="s">
        <v>38</v>
      </c>
      <c r="S450" s="886" t="s">
        <v>38</v>
      </c>
      <c r="T450" s="963" t="s">
        <v>38</v>
      </c>
      <c r="U450" s="886" t="s">
        <v>38</v>
      </c>
      <c r="V450" s="962" t="s">
        <v>38</v>
      </c>
      <c r="W450" s="886" t="s">
        <v>38</v>
      </c>
      <c r="X450" s="812" t="s">
        <v>38</v>
      </c>
      <c r="Y450" s="430"/>
      <c r="Z450" s="1653" t="s">
        <v>1162</v>
      </c>
      <c r="AA450" s="972" t="s">
        <v>38</v>
      </c>
      <c r="AB450" s="1925"/>
      <c r="AC450" s="1153"/>
      <c r="AD450" s="1269"/>
      <c r="AE450" s="1270"/>
      <c r="AF450" s="1271"/>
      <c r="AG450" s="1270"/>
      <c r="AH450" s="1796"/>
      <c r="AI450" s="1776"/>
      <c r="AJ450" s="1270"/>
      <c r="AK450" s="1270"/>
      <c r="AL450" s="1095"/>
      <c r="AM450" s="1095"/>
      <c r="AN450" s="1095"/>
      <c r="AO450" s="1095"/>
      <c r="AP450" s="1095"/>
      <c r="AQ450" s="1104"/>
      <c r="AR450" s="1105"/>
      <c r="AS450" s="1097"/>
      <c r="BW450" s="30"/>
    </row>
    <row r="451" spans="1:75" s="181" customFormat="1" ht="15" customHeight="1" x14ac:dyDescent="0.25">
      <c r="A451" s="551"/>
      <c r="B451" s="1578"/>
      <c r="C451" s="1097"/>
      <c r="D451" s="1145" t="s">
        <v>102</v>
      </c>
      <c r="E451" s="1146" t="str">
        <f t="shared" si="80"/>
        <v>N</v>
      </c>
      <c r="F451" s="1166"/>
      <c r="G451" s="886" t="s">
        <v>208</v>
      </c>
      <c r="H451" s="962" t="s">
        <v>208</v>
      </c>
      <c r="I451" s="886" t="s">
        <v>38</v>
      </c>
      <c r="J451" s="963" t="str">
        <f t="shared" si="81"/>
        <v>Y</v>
      </c>
      <c r="K451" s="886" t="s">
        <v>38</v>
      </c>
      <c r="L451" s="962" t="s">
        <v>38</v>
      </c>
      <c r="M451" s="886" t="s">
        <v>38</v>
      </c>
      <c r="N451" s="962" t="s">
        <v>38</v>
      </c>
      <c r="O451" s="886" t="s">
        <v>38</v>
      </c>
      <c r="P451" s="964" t="s">
        <v>38</v>
      </c>
      <c r="Q451" s="985" t="s">
        <v>38</v>
      </c>
      <c r="R451" s="962" t="s">
        <v>38</v>
      </c>
      <c r="S451" s="886" t="s">
        <v>38</v>
      </c>
      <c r="T451" s="963" t="s">
        <v>38</v>
      </c>
      <c r="U451" s="886" t="s">
        <v>38</v>
      </c>
      <c r="V451" s="962" t="s">
        <v>38</v>
      </c>
      <c r="W451" s="886" t="s">
        <v>38</v>
      </c>
      <c r="X451" s="812" t="s">
        <v>38</v>
      </c>
      <c r="Y451" s="430"/>
      <c r="Z451" s="1653" t="s">
        <v>1167</v>
      </c>
      <c r="AA451" s="972" t="s">
        <v>38</v>
      </c>
      <c r="AB451" s="1925"/>
      <c r="AC451" s="1153"/>
      <c r="AD451" s="1269"/>
      <c r="AE451" s="1270"/>
      <c r="AF451" s="1271"/>
      <c r="AG451" s="1270"/>
      <c r="AH451" s="1796"/>
      <c r="AI451" s="1776"/>
      <c r="AJ451" s="1270"/>
      <c r="AK451" s="1270"/>
      <c r="AL451" s="1095"/>
      <c r="AM451" s="1095"/>
      <c r="AN451" s="1095"/>
      <c r="AO451" s="1095"/>
      <c r="AP451" s="1095"/>
      <c r="AQ451" s="1104"/>
      <c r="AR451" s="1105"/>
      <c r="AS451" s="1097"/>
      <c r="BW451" s="30"/>
    </row>
    <row r="452" spans="1:75" s="181" customFormat="1" ht="15" customHeight="1" x14ac:dyDescent="0.25">
      <c r="A452" s="551"/>
      <c r="B452" s="1578"/>
      <c r="C452" s="1097"/>
      <c r="D452" s="1145" t="s">
        <v>102</v>
      </c>
      <c r="E452" s="1146" t="str">
        <f t="shared" si="80"/>
        <v>N</v>
      </c>
      <c r="F452" s="1166"/>
      <c r="G452" s="886" t="s">
        <v>208</v>
      </c>
      <c r="H452" s="962" t="s">
        <v>208</v>
      </c>
      <c r="I452" s="886" t="s">
        <v>38</v>
      </c>
      <c r="J452" s="963" t="str">
        <f t="shared" si="81"/>
        <v>Y</v>
      </c>
      <c r="K452" s="886" t="s">
        <v>38</v>
      </c>
      <c r="L452" s="962" t="s">
        <v>38</v>
      </c>
      <c r="M452" s="886" t="s">
        <v>38</v>
      </c>
      <c r="N452" s="962" t="s">
        <v>38</v>
      </c>
      <c r="O452" s="886" t="s">
        <v>38</v>
      </c>
      <c r="P452" s="964" t="s">
        <v>38</v>
      </c>
      <c r="Q452" s="985" t="s">
        <v>38</v>
      </c>
      <c r="R452" s="962" t="s">
        <v>38</v>
      </c>
      <c r="S452" s="886" t="s">
        <v>38</v>
      </c>
      <c r="T452" s="963" t="s">
        <v>38</v>
      </c>
      <c r="U452" s="886" t="s">
        <v>38</v>
      </c>
      <c r="V452" s="962" t="s">
        <v>38</v>
      </c>
      <c r="W452" s="886" t="s">
        <v>38</v>
      </c>
      <c r="X452" s="812" t="s">
        <v>38</v>
      </c>
      <c r="Y452" s="430"/>
      <c r="Z452" s="1653" t="s">
        <v>1061</v>
      </c>
      <c r="AA452" s="972" t="s">
        <v>38</v>
      </c>
      <c r="AB452" s="1925"/>
      <c r="AC452" s="1153"/>
      <c r="AD452" s="1269"/>
      <c r="AE452" s="1270"/>
      <c r="AF452" s="1271"/>
      <c r="AG452" s="1270"/>
      <c r="AH452" s="1796"/>
      <c r="AI452" s="1776"/>
      <c r="AJ452" s="1270"/>
      <c r="AK452" s="1270"/>
      <c r="AL452" s="1095"/>
      <c r="AM452" s="1095"/>
      <c r="AN452" s="1095"/>
      <c r="AO452" s="1095"/>
      <c r="AP452" s="1095"/>
      <c r="AQ452" s="1104"/>
      <c r="AR452" s="1105"/>
      <c r="AS452" s="1097"/>
      <c r="BW452" s="30"/>
    </row>
    <row r="453" spans="1:75" s="181" customFormat="1" ht="15" customHeight="1" x14ac:dyDescent="0.25">
      <c r="A453" s="551"/>
      <c r="B453" s="1578"/>
      <c r="C453" s="1097"/>
      <c r="D453" s="1145" t="s">
        <v>102</v>
      </c>
      <c r="E453" s="1146" t="str">
        <f t="shared" si="80"/>
        <v>N</v>
      </c>
      <c r="F453" s="1166"/>
      <c r="G453" s="886" t="s">
        <v>208</v>
      </c>
      <c r="H453" s="962" t="s">
        <v>208</v>
      </c>
      <c r="I453" s="886" t="s">
        <v>38</v>
      </c>
      <c r="J453" s="963" t="str">
        <f t="shared" si="81"/>
        <v>Y</v>
      </c>
      <c r="K453" s="886" t="s">
        <v>38</v>
      </c>
      <c r="L453" s="962" t="s">
        <v>38</v>
      </c>
      <c r="M453" s="886" t="s">
        <v>38</v>
      </c>
      <c r="N453" s="962" t="s">
        <v>38</v>
      </c>
      <c r="O453" s="886" t="s">
        <v>38</v>
      </c>
      <c r="P453" s="964" t="s">
        <v>38</v>
      </c>
      <c r="Q453" s="985" t="s">
        <v>38</v>
      </c>
      <c r="R453" s="962" t="s">
        <v>38</v>
      </c>
      <c r="S453" s="886" t="s">
        <v>38</v>
      </c>
      <c r="T453" s="963" t="s">
        <v>38</v>
      </c>
      <c r="U453" s="886" t="s">
        <v>38</v>
      </c>
      <c r="V453" s="962" t="s">
        <v>38</v>
      </c>
      <c r="W453" s="886" t="s">
        <v>38</v>
      </c>
      <c r="X453" s="812" t="s">
        <v>38</v>
      </c>
      <c r="Y453" s="430"/>
      <c r="Z453" s="1653" t="s">
        <v>1061</v>
      </c>
      <c r="AA453" s="972" t="s">
        <v>38</v>
      </c>
      <c r="AB453" s="1925"/>
      <c r="AC453" s="1153"/>
      <c r="AD453" s="1269"/>
      <c r="AE453" s="1270"/>
      <c r="AF453" s="1271"/>
      <c r="AG453" s="1270"/>
      <c r="AH453" s="1796"/>
      <c r="AI453" s="1776"/>
      <c r="AJ453" s="1270"/>
      <c r="AK453" s="1270"/>
      <c r="AL453" s="1095"/>
      <c r="AM453" s="1095"/>
      <c r="AN453" s="1095"/>
      <c r="AO453" s="1095"/>
      <c r="AP453" s="1095"/>
      <c r="AQ453" s="1104"/>
      <c r="AR453" s="1105"/>
      <c r="AS453" s="1097"/>
      <c r="BW453" s="30"/>
    </row>
    <row r="454" spans="1:75" s="181" customFormat="1" ht="15" customHeight="1" x14ac:dyDescent="0.25">
      <c r="A454" s="551"/>
      <c r="B454" s="1578"/>
      <c r="C454" s="1097"/>
      <c r="D454" s="1145" t="s">
        <v>102</v>
      </c>
      <c r="E454" s="1146" t="str">
        <f t="shared" si="80"/>
        <v>N</v>
      </c>
      <c r="F454" s="1166"/>
      <c r="G454" s="886" t="s">
        <v>208</v>
      </c>
      <c r="H454" s="962" t="s">
        <v>208</v>
      </c>
      <c r="I454" s="886" t="s">
        <v>38</v>
      </c>
      <c r="J454" s="963" t="str">
        <f t="shared" si="81"/>
        <v>Y</v>
      </c>
      <c r="K454" s="886" t="s">
        <v>38</v>
      </c>
      <c r="L454" s="962" t="s">
        <v>38</v>
      </c>
      <c r="M454" s="886" t="s">
        <v>38</v>
      </c>
      <c r="N454" s="962" t="s">
        <v>38</v>
      </c>
      <c r="O454" s="886" t="s">
        <v>38</v>
      </c>
      <c r="P454" s="964" t="s">
        <v>38</v>
      </c>
      <c r="Q454" s="985" t="s">
        <v>38</v>
      </c>
      <c r="R454" s="962" t="s">
        <v>38</v>
      </c>
      <c r="S454" s="886" t="s">
        <v>38</v>
      </c>
      <c r="T454" s="963" t="s">
        <v>38</v>
      </c>
      <c r="U454" s="886" t="s">
        <v>38</v>
      </c>
      <c r="V454" s="962" t="s">
        <v>38</v>
      </c>
      <c r="W454" s="886" t="s">
        <v>38</v>
      </c>
      <c r="X454" s="812" t="s">
        <v>38</v>
      </c>
      <c r="Y454" s="430"/>
      <c r="Z454" s="1653" t="s">
        <v>1061</v>
      </c>
      <c r="AA454" s="972" t="s">
        <v>38</v>
      </c>
      <c r="AB454" s="1925"/>
      <c r="AC454" s="1153"/>
      <c r="AD454" s="1269"/>
      <c r="AE454" s="1270"/>
      <c r="AF454" s="1271"/>
      <c r="AG454" s="1270"/>
      <c r="AH454" s="1796"/>
      <c r="AI454" s="1776"/>
      <c r="AJ454" s="1270"/>
      <c r="AK454" s="1270"/>
      <c r="AL454" s="1095"/>
      <c r="AM454" s="1095"/>
      <c r="AN454" s="1095"/>
      <c r="AO454" s="1095"/>
      <c r="AP454" s="1095"/>
      <c r="AQ454" s="1104"/>
      <c r="AR454" s="1105"/>
      <c r="AS454" s="1097"/>
      <c r="BW454" s="30"/>
    </row>
    <row r="455" spans="1:75" s="181" customFormat="1" ht="16.5" hidden="1" customHeight="1" x14ac:dyDescent="0.25">
      <c r="A455" s="551"/>
      <c r="B455" s="1578"/>
      <c r="C455" s="1097"/>
      <c r="D455" s="1145" t="s">
        <v>102</v>
      </c>
      <c r="E455" s="1148" t="str">
        <f t="shared" si="80"/>
        <v/>
      </c>
      <c r="F455" s="1166"/>
      <c r="G455" s="886" t="s">
        <v>208</v>
      </c>
      <c r="H455" s="962" t="s">
        <v>208</v>
      </c>
      <c r="I455" s="886" t="s">
        <v>208</v>
      </c>
      <c r="J455" s="963" t="s">
        <v>208</v>
      </c>
      <c r="K455" s="886" t="s">
        <v>208</v>
      </c>
      <c r="L455" s="962" t="s">
        <v>208</v>
      </c>
      <c r="M455" s="886" t="s">
        <v>208</v>
      </c>
      <c r="N455" s="962" t="s">
        <v>208</v>
      </c>
      <c r="O455" s="886" t="s">
        <v>208</v>
      </c>
      <c r="P455" s="964" t="s">
        <v>208</v>
      </c>
      <c r="Q455" s="985" t="s">
        <v>208</v>
      </c>
      <c r="R455" s="962" t="s">
        <v>208</v>
      </c>
      <c r="S455" s="886" t="s">
        <v>208</v>
      </c>
      <c r="T455" s="963" t="s">
        <v>208</v>
      </c>
      <c r="U455" s="886" t="s">
        <v>208</v>
      </c>
      <c r="V455" s="962" t="s">
        <v>208</v>
      </c>
      <c r="W455" s="886" t="s">
        <v>208</v>
      </c>
      <c r="X455" s="812" t="s">
        <v>208</v>
      </c>
      <c r="Y455" s="430"/>
      <c r="Z455" s="588"/>
      <c r="AA455" s="972" t="s">
        <v>208</v>
      </c>
      <c r="AB455" s="1925"/>
      <c r="AC455" s="1153"/>
      <c r="AD455" s="1269"/>
      <c r="AE455" s="1270"/>
      <c r="AF455" s="1271"/>
      <c r="AG455" s="1270"/>
      <c r="AH455" s="1796"/>
      <c r="AI455" s="1776"/>
      <c r="AJ455" s="1270"/>
      <c r="AK455" s="1270"/>
      <c r="AL455" s="1095"/>
      <c r="AM455" s="1095"/>
      <c r="AN455" s="1095"/>
      <c r="AO455" s="1095"/>
      <c r="AP455" s="1095"/>
      <c r="AQ455" s="1104"/>
      <c r="AR455" s="1105"/>
      <c r="AS455" s="1097"/>
      <c r="BW455" s="30"/>
    </row>
    <row r="456" spans="1:75" s="181" customFormat="1" ht="15" customHeight="1" x14ac:dyDescent="0.25">
      <c r="A456" s="551"/>
      <c r="B456" s="1578"/>
      <c r="C456" s="1097"/>
      <c r="D456" s="1145"/>
      <c r="E456" s="1148" t="str">
        <f t="shared" si="80"/>
        <v/>
      </c>
      <c r="F456" s="1166"/>
      <c r="G456" s="1708" t="s">
        <v>208</v>
      </c>
      <c r="H456" s="1709" t="s">
        <v>208</v>
      </c>
      <c r="I456" s="1708" t="s">
        <v>208</v>
      </c>
      <c r="J456" s="1710" t="s">
        <v>208</v>
      </c>
      <c r="K456" s="1708" t="s">
        <v>208</v>
      </c>
      <c r="L456" s="1709" t="s">
        <v>208</v>
      </c>
      <c r="M456" s="1708" t="s">
        <v>208</v>
      </c>
      <c r="N456" s="1709" t="s">
        <v>208</v>
      </c>
      <c r="O456" s="1708" t="s">
        <v>208</v>
      </c>
      <c r="P456" s="1711" t="s">
        <v>208</v>
      </c>
      <c r="Q456" s="1712" t="s">
        <v>208</v>
      </c>
      <c r="R456" s="1709" t="s">
        <v>208</v>
      </c>
      <c r="S456" s="1708" t="s">
        <v>208</v>
      </c>
      <c r="T456" s="1710" t="s">
        <v>208</v>
      </c>
      <c r="U456" s="1708" t="s">
        <v>208</v>
      </c>
      <c r="V456" s="1709" t="s">
        <v>208</v>
      </c>
      <c r="W456" s="1708" t="s">
        <v>208</v>
      </c>
      <c r="X456" s="816" t="s">
        <v>208</v>
      </c>
      <c r="Y456" s="437"/>
      <c r="Z456" s="597"/>
      <c r="AA456" s="973" t="s">
        <v>208</v>
      </c>
      <c r="AB456" s="1909"/>
      <c r="AC456" s="1153"/>
      <c r="AD456" s="1229"/>
      <c r="AE456" s="1230"/>
      <c r="AF456" s="1230"/>
      <c r="AG456" s="1230"/>
      <c r="AH456" s="1779"/>
      <c r="AI456" s="1761"/>
      <c r="AJ456" s="1230"/>
      <c r="AK456" s="1230"/>
      <c r="AL456" s="1095"/>
      <c r="AM456" s="1095"/>
      <c r="AN456" s="1095"/>
      <c r="AO456" s="1095"/>
      <c r="AP456" s="1095"/>
      <c r="AQ456" s="1104"/>
      <c r="AR456" s="1105"/>
      <c r="AS456" s="1097"/>
      <c r="BW456" s="30"/>
    </row>
    <row r="457" spans="1:75" s="30" customFormat="1" ht="21" customHeight="1" x14ac:dyDescent="0.25">
      <c r="A457" s="545"/>
      <c r="B457" s="1579"/>
      <c r="C457" s="1097"/>
      <c r="D457" s="1142"/>
      <c r="E457" s="1144" t="str">
        <f t="shared" si="80"/>
        <v/>
      </c>
      <c r="F457" s="1124"/>
      <c r="G457" s="1713" t="s">
        <v>208</v>
      </c>
      <c r="H457" s="1681" t="s">
        <v>208</v>
      </c>
      <c r="I457" s="1713" t="s">
        <v>208</v>
      </c>
      <c r="J457" s="1682" t="s">
        <v>208</v>
      </c>
      <c r="K457" s="1713" t="s">
        <v>208</v>
      </c>
      <c r="L457" s="1681" t="s">
        <v>208</v>
      </c>
      <c r="M457" s="1713" t="s">
        <v>208</v>
      </c>
      <c r="N457" s="1681" t="s">
        <v>208</v>
      </c>
      <c r="O457" s="1713" t="s">
        <v>208</v>
      </c>
      <c r="P457" s="1683" t="s">
        <v>208</v>
      </c>
      <c r="Q457" s="1714" t="s">
        <v>208</v>
      </c>
      <c r="R457" s="1681" t="s">
        <v>208</v>
      </c>
      <c r="S457" s="1713" t="s">
        <v>208</v>
      </c>
      <c r="T457" s="1682" t="s">
        <v>208</v>
      </c>
      <c r="U457" s="1713" t="s">
        <v>208</v>
      </c>
      <c r="V457" s="1681" t="s">
        <v>208</v>
      </c>
      <c r="W457" s="1713" t="s">
        <v>208</v>
      </c>
      <c r="X457" s="810" t="s">
        <v>208</v>
      </c>
      <c r="Y457" s="438" t="s">
        <v>573</v>
      </c>
      <c r="Z457" s="598"/>
      <c r="AA457" s="970" t="s">
        <v>208</v>
      </c>
      <c r="AB457" s="1919"/>
      <c r="AC457" s="1153"/>
      <c r="AD457" s="1251"/>
      <c r="AE457" s="1252"/>
      <c r="AF457" s="1252"/>
      <c r="AG457" s="1252"/>
      <c r="AH457" s="1795"/>
      <c r="AI457" s="1775"/>
      <c r="AJ457" s="1252"/>
      <c r="AK457" s="1252"/>
      <c r="AL457" s="1095"/>
      <c r="AM457" s="1095"/>
      <c r="AN457" s="1095"/>
      <c r="AO457" s="1095"/>
      <c r="AP457" s="1095"/>
      <c r="AQ457" s="1106"/>
      <c r="AR457" s="1097"/>
      <c r="AS457" s="1097"/>
      <c r="AT457" s="181"/>
      <c r="AU457" s="181"/>
      <c r="AV457" s="181"/>
      <c r="AW457" s="181"/>
      <c r="AX457" s="181"/>
      <c r="AY457" s="181"/>
      <c r="AZ457" s="181"/>
      <c r="BA457" s="181"/>
      <c r="BB457" s="181"/>
      <c r="BC457" s="181"/>
      <c r="BD457" s="181"/>
      <c r="BE457" s="181"/>
      <c r="BF457" s="181"/>
      <c r="BG457" s="181"/>
      <c r="BH457" s="181"/>
      <c r="BI457" s="181"/>
      <c r="BJ457" s="181"/>
      <c r="BK457" s="181"/>
      <c r="BL457" s="181"/>
      <c r="BM457" s="181"/>
      <c r="BN457" s="181"/>
      <c r="BO457" s="181"/>
      <c r="BP457" s="181"/>
      <c r="BQ457" s="181"/>
      <c r="BR457" s="181"/>
      <c r="BS457" s="181"/>
      <c r="BT457" s="181"/>
      <c r="BU457" s="181"/>
      <c r="BV457" s="181"/>
    </row>
    <row r="458" spans="1:75" s="181" customFormat="1" ht="15" customHeight="1" x14ac:dyDescent="0.25">
      <c r="A458" s="551"/>
      <c r="B458" s="1578"/>
      <c r="C458" s="1097"/>
      <c r="D458" s="1142"/>
      <c r="E458" s="1144" t="str">
        <f t="shared" si="80"/>
        <v/>
      </c>
      <c r="F458" s="1166"/>
      <c r="G458" s="1708" t="s">
        <v>208</v>
      </c>
      <c r="H458" s="1709" t="s">
        <v>208</v>
      </c>
      <c r="I458" s="1708" t="s">
        <v>208</v>
      </c>
      <c r="J458" s="1710" t="s">
        <v>208</v>
      </c>
      <c r="K458" s="1708" t="s">
        <v>208</v>
      </c>
      <c r="L458" s="1709" t="s">
        <v>208</v>
      </c>
      <c r="M458" s="1708" t="s">
        <v>208</v>
      </c>
      <c r="N458" s="1709" t="s">
        <v>208</v>
      </c>
      <c r="O458" s="1708" t="s">
        <v>208</v>
      </c>
      <c r="P458" s="1711" t="s">
        <v>208</v>
      </c>
      <c r="Q458" s="1712" t="s">
        <v>208</v>
      </c>
      <c r="R458" s="1709" t="s">
        <v>208</v>
      </c>
      <c r="S458" s="1708" t="s">
        <v>208</v>
      </c>
      <c r="T458" s="1710" t="s">
        <v>208</v>
      </c>
      <c r="U458" s="1708" t="s">
        <v>208</v>
      </c>
      <c r="V458" s="1709" t="s">
        <v>208</v>
      </c>
      <c r="W458" s="1708" t="s">
        <v>208</v>
      </c>
      <c r="X458" s="816" t="s">
        <v>208</v>
      </c>
      <c r="Y458" s="437"/>
      <c r="Z458" s="597"/>
      <c r="AA458" s="973" t="s">
        <v>208</v>
      </c>
      <c r="AB458" s="1928"/>
      <c r="AC458" s="1153"/>
      <c r="AD458" s="1269"/>
      <c r="AE458" s="1270"/>
      <c r="AF458" s="1270"/>
      <c r="AG458" s="1270"/>
      <c r="AH458" s="1796"/>
      <c r="AI458" s="1776"/>
      <c r="AJ458" s="1270"/>
      <c r="AK458" s="1270"/>
      <c r="AL458" s="1095"/>
      <c r="AM458" s="1095"/>
      <c r="AN458" s="1095"/>
      <c r="AO458" s="1095"/>
      <c r="AP458" s="1095"/>
      <c r="AQ458" s="1104"/>
      <c r="AR458" s="1105"/>
      <c r="AS458" s="1097"/>
      <c r="BW458" s="30"/>
    </row>
    <row r="459" spans="1:75" s="30" customFormat="1" ht="18.75" customHeight="1" x14ac:dyDescent="0.25">
      <c r="A459" s="545"/>
      <c r="B459" s="1579"/>
      <c r="C459" s="1097"/>
      <c r="D459" s="1142" t="s">
        <v>149</v>
      </c>
      <c r="E459" s="1143" t="str">
        <f t="shared" si="80"/>
        <v/>
      </c>
      <c r="F459" s="1124"/>
      <c r="G459" s="1713" t="s">
        <v>208</v>
      </c>
      <c r="H459" s="1681" t="s">
        <v>208</v>
      </c>
      <c r="I459" s="1713" t="s">
        <v>208</v>
      </c>
      <c r="J459" s="1682" t="s">
        <v>208</v>
      </c>
      <c r="K459" s="1713" t="s">
        <v>208</v>
      </c>
      <c r="L459" s="1681" t="s">
        <v>208</v>
      </c>
      <c r="M459" s="1713" t="s">
        <v>208</v>
      </c>
      <c r="N459" s="1681" t="s">
        <v>208</v>
      </c>
      <c r="O459" s="1713" t="s">
        <v>208</v>
      </c>
      <c r="P459" s="1683" t="s">
        <v>208</v>
      </c>
      <c r="Q459" s="1714" t="s">
        <v>37</v>
      </c>
      <c r="R459" s="1681" t="str">
        <f>IF(OR(ISNUMBER(SEARCH("Contractor",Const_Delivery_Method))=TRUE,ISNUMBER(SEARCH("JOC",Const_Delivery_Method))=TRUE,ISNUMBER(SEARCH("CS",Const_Delivery_Method))=TRUE,ISNUMBER(SEARCH("House",Const_Delivery_Method))=TRUE),"N","Y")</f>
        <v>Y</v>
      </c>
      <c r="S459" s="1713" t="s">
        <v>38</v>
      </c>
      <c r="T459" s="1682" t="s">
        <v>38</v>
      </c>
      <c r="U459" s="1713" t="s">
        <v>38</v>
      </c>
      <c r="V459" s="1681" t="s">
        <v>38</v>
      </c>
      <c r="W459" s="1713" t="s">
        <v>38</v>
      </c>
      <c r="X459" s="810" t="s">
        <v>38</v>
      </c>
      <c r="Y459" s="428" t="s">
        <v>149</v>
      </c>
      <c r="Z459" s="579" t="s">
        <v>332</v>
      </c>
      <c r="AA459" s="970" t="s">
        <v>37</v>
      </c>
      <c r="AB459" s="1929"/>
      <c r="AC459" s="1153"/>
      <c r="AD459" s="1269"/>
      <c r="AE459" s="1270"/>
      <c r="AF459" s="1270"/>
      <c r="AG459" s="1270"/>
      <c r="AH459" s="1796"/>
      <c r="AI459" s="1776"/>
      <c r="AJ459" s="1270"/>
      <c r="AK459" s="1270"/>
      <c r="AL459" s="1095"/>
      <c r="AM459" s="1095"/>
      <c r="AN459" s="1095"/>
      <c r="AO459" s="1095"/>
      <c r="AP459" s="1095"/>
      <c r="AQ459" s="1106"/>
      <c r="AR459" s="1113"/>
      <c r="AS459" s="1097"/>
      <c r="AT459" s="181"/>
      <c r="AU459" s="181"/>
      <c r="AV459" s="181"/>
      <c r="AW459" s="181"/>
      <c r="AX459" s="181"/>
      <c r="AY459" s="181"/>
      <c r="AZ459" s="181"/>
      <c r="BA459" s="181"/>
      <c r="BB459" s="181"/>
      <c r="BC459" s="181"/>
      <c r="BD459" s="181"/>
      <c r="BE459" s="181"/>
      <c r="BF459" s="181"/>
      <c r="BG459" s="181"/>
      <c r="BH459" s="181"/>
      <c r="BI459" s="181"/>
      <c r="BJ459" s="181"/>
      <c r="BK459" s="181"/>
      <c r="BL459" s="181"/>
      <c r="BM459" s="181"/>
      <c r="BN459" s="181"/>
      <c r="BO459" s="181"/>
      <c r="BP459" s="181"/>
      <c r="BQ459" s="181"/>
      <c r="BR459" s="181"/>
      <c r="BS459" s="181"/>
      <c r="BT459" s="181"/>
      <c r="BU459" s="181"/>
      <c r="BV459" s="181"/>
    </row>
    <row r="460" spans="1:75" s="181" customFormat="1" ht="15" customHeight="1" x14ac:dyDescent="0.25">
      <c r="A460" s="551"/>
      <c r="B460" s="1578"/>
      <c r="C460" s="1097"/>
      <c r="D460" s="1142"/>
      <c r="E460" s="1144" t="str">
        <f t="shared" si="80"/>
        <v/>
      </c>
      <c r="F460" s="1166"/>
      <c r="G460" s="1708" t="s">
        <v>208</v>
      </c>
      <c r="H460" s="1709" t="s">
        <v>208</v>
      </c>
      <c r="I460" s="1708" t="s">
        <v>208</v>
      </c>
      <c r="J460" s="1710" t="s">
        <v>208</v>
      </c>
      <c r="K460" s="1708" t="s">
        <v>208</v>
      </c>
      <c r="L460" s="1709" t="s">
        <v>208</v>
      </c>
      <c r="M460" s="1708" t="s">
        <v>208</v>
      </c>
      <c r="N460" s="1709" t="s">
        <v>208</v>
      </c>
      <c r="O460" s="1708" t="s">
        <v>208</v>
      </c>
      <c r="P460" s="1711" t="s">
        <v>208</v>
      </c>
      <c r="Q460" s="1712" t="s">
        <v>208</v>
      </c>
      <c r="R460" s="1709" t="s">
        <v>208</v>
      </c>
      <c r="S460" s="1708" t="s">
        <v>208</v>
      </c>
      <c r="T460" s="1710" t="s">
        <v>208</v>
      </c>
      <c r="U460" s="1708" t="s">
        <v>208</v>
      </c>
      <c r="V460" s="1709" t="s">
        <v>208</v>
      </c>
      <c r="W460" s="1708" t="s">
        <v>208</v>
      </c>
      <c r="X460" s="816" t="s">
        <v>208</v>
      </c>
      <c r="Y460" s="437"/>
      <c r="Z460" s="597"/>
      <c r="AA460" s="973" t="s">
        <v>208</v>
      </c>
      <c r="AB460" s="1909"/>
      <c r="AC460" s="1153"/>
      <c r="AD460" s="1229"/>
      <c r="AE460" s="1230"/>
      <c r="AF460" s="1230"/>
      <c r="AG460" s="1230"/>
      <c r="AH460" s="1779"/>
      <c r="AI460" s="1761"/>
      <c r="AJ460" s="1230"/>
      <c r="AK460" s="1230"/>
      <c r="AL460" s="1095"/>
      <c r="AM460" s="1095"/>
      <c r="AN460" s="1095"/>
      <c r="AO460" s="1095"/>
      <c r="AP460" s="1095"/>
      <c r="AQ460" s="1104"/>
      <c r="AR460" s="1105"/>
      <c r="AS460" s="1097"/>
      <c r="BW460" s="30"/>
    </row>
    <row r="461" spans="1:75" s="30" customFormat="1" ht="18.75" customHeight="1" x14ac:dyDescent="0.25">
      <c r="A461" s="545"/>
      <c r="B461" s="1579"/>
      <c r="C461" s="1097"/>
      <c r="D461" s="1142" t="s">
        <v>150</v>
      </c>
      <c r="E461" s="1143" t="str">
        <f t="shared" si="80"/>
        <v/>
      </c>
      <c r="F461" s="1124"/>
      <c r="G461" s="1713" t="s">
        <v>208</v>
      </c>
      <c r="H461" s="1681" t="s">
        <v>208</v>
      </c>
      <c r="I461" s="1713" t="s">
        <v>208</v>
      </c>
      <c r="J461" s="1682" t="s">
        <v>208</v>
      </c>
      <c r="K461" s="1713" t="s">
        <v>208</v>
      </c>
      <c r="L461" s="1681" t="s">
        <v>208</v>
      </c>
      <c r="M461" s="1713" t="s">
        <v>208</v>
      </c>
      <c r="N461" s="1681" t="s">
        <v>208</v>
      </c>
      <c r="O461" s="1713" t="s">
        <v>208</v>
      </c>
      <c r="P461" s="1683" t="s">
        <v>208</v>
      </c>
      <c r="Q461" s="1714" t="s">
        <v>37</v>
      </c>
      <c r="R461" s="1681" t="s">
        <v>37</v>
      </c>
      <c r="S461" s="1713" t="s">
        <v>38</v>
      </c>
      <c r="T461" s="1682" t="s">
        <v>38</v>
      </c>
      <c r="U461" s="1713" t="s">
        <v>38</v>
      </c>
      <c r="V461" s="1681" t="s">
        <v>38</v>
      </c>
      <c r="W461" s="1713" t="s">
        <v>38</v>
      </c>
      <c r="X461" s="810" t="s">
        <v>38</v>
      </c>
      <c r="Y461" s="428" t="s">
        <v>150</v>
      </c>
      <c r="Z461" s="579" t="s">
        <v>1242</v>
      </c>
      <c r="AA461" s="970" t="s">
        <v>37</v>
      </c>
      <c r="AB461" s="1919"/>
      <c r="AC461" s="1153"/>
      <c r="AD461" s="1251"/>
      <c r="AE461" s="1252"/>
      <c r="AF461" s="1252"/>
      <c r="AG461" s="1252"/>
      <c r="AH461" s="1795"/>
      <c r="AI461" s="1775" t="s">
        <v>1244</v>
      </c>
      <c r="AJ461" s="1252"/>
      <c r="AK461" s="1252"/>
      <c r="AL461" s="1095"/>
      <c r="AM461" s="1095"/>
      <c r="AN461" s="1095"/>
      <c r="AO461" s="1095"/>
      <c r="AP461" s="1095"/>
      <c r="AQ461" s="1106"/>
      <c r="AR461" s="1097"/>
      <c r="AS461" s="1097"/>
      <c r="AT461" s="181"/>
      <c r="AU461" s="181"/>
      <c r="AV461" s="181"/>
      <c r="AW461" s="181"/>
      <c r="AX461" s="181"/>
      <c r="AY461" s="181"/>
      <c r="AZ461" s="181"/>
      <c r="BA461" s="181"/>
      <c r="BB461" s="181"/>
      <c r="BC461" s="181"/>
      <c r="BD461" s="181"/>
      <c r="BE461" s="181"/>
      <c r="BF461" s="181"/>
      <c r="BG461" s="181"/>
      <c r="BH461" s="181"/>
      <c r="BI461" s="181"/>
      <c r="BJ461" s="181"/>
      <c r="BK461" s="181"/>
      <c r="BL461" s="181"/>
      <c r="BM461" s="181"/>
      <c r="BN461" s="181"/>
      <c r="BO461" s="181"/>
      <c r="BP461" s="181"/>
      <c r="BQ461" s="181"/>
      <c r="BR461" s="181"/>
      <c r="BS461" s="181"/>
      <c r="BT461" s="181"/>
      <c r="BU461" s="181"/>
      <c r="BV461" s="181"/>
    </row>
    <row r="462" spans="1:75" s="181" customFormat="1" ht="15" customHeight="1" x14ac:dyDescent="0.25">
      <c r="A462" s="551"/>
      <c r="B462" s="1578"/>
      <c r="C462" s="1097"/>
      <c r="D462" s="1142"/>
      <c r="E462" s="1144" t="str">
        <f t="shared" si="80"/>
        <v/>
      </c>
      <c r="F462" s="1166"/>
      <c r="G462" s="1708" t="s">
        <v>208</v>
      </c>
      <c r="H462" s="1709" t="s">
        <v>208</v>
      </c>
      <c r="I462" s="1708" t="s">
        <v>208</v>
      </c>
      <c r="J462" s="1710" t="s">
        <v>208</v>
      </c>
      <c r="K462" s="1708" t="s">
        <v>208</v>
      </c>
      <c r="L462" s="1709" t="s">
        <v>208</v>
      </c>
      <c r="M462" s="1708" t="s">
        <v>208</v>
      </c>
      <c r="N462" s="1709" t="s">
        <v>208</v>
      </c>
      <c r="O462" s="1708" t="s">
        <v>208</v>
      </c>
      <c r="P462" s="1711" t="s">
        <v>208</v>
      </c>
      <c r="Q462" s="1712" t="s">
        <v>208</v>
      </c>
      <c r="R462" s="1709" t="s">
        <v>208</v>
      </c>
      <c r="S462" s="1708" t="s">
        <v>208</v>
      </c>
      <c r="T462" s="1710" t="s">
        <v>208</v>
      </c>
      <c r="U462" s="1708" t="s">
        <v>208</v>
      </c>
      <c r="V462" s="1709" t="s">
        <v>208</v>
      </c>
      <c r="W462" s="1708" t="s">
        <v>208</v>
      </c>
      <c r="X462" s="816" t="s">
        <v>208</v>
      </c>
      <c r="Y462" s="437"/>
      <c r="Z462" s="597"/>
      <c r="AA462" s="973" t="s">
        <v>208</v>
      </c>
      <c r="AB462" s="1909"/>
      <c r="AC462" s="1153"/>
      <c r="AD462" s="1229"/>
      <c r="AE462" s="1230"/>
      <c r="AF462" s="1230"/>
      <c r="AG462" s="1230"/>
      <c r="AH462" s="1779"/>
      <c r="AI462" s="1761"/>
      <c r="AJ462" s="1230"/>
      <c r="AK462" s="1230"/>
      <c r="AL462" s="1095"/>
      <c r="AM462" s="1095"/>
      <c r="AN462" s="1095"/>
      <c r="AO462" s="1095"/>
      <c r="AP462" s="1095"/>
      <c r="AQ462" s="1104"/>
      <c r="AR462" s="1105"/>
      <c r="AS462" s="1097"/>
      <c r="BW462" s="30"/>
    </row>
    <row r="463" spans="1:75" s="30" customFormat="1" ht="18.75" customHeight="1" x14ac:dyDescent="0.25">
      <c r="A463" s="545"/>
      <c r="B463" s="1579"/>
      <c r="C463" s="1097"/>
      <c r="D463" s="1142" t="s">
        <v>151</v>
      </c>
      <c r="E463" s="1143" t="str">
        <f t="shared" si="80"/>
        <v/>
      </c>
      <c r="F463" s="1124"/>
      <c r="G463" s="1713" t="s">
        <v>208</v>
      </c>
      <c r="H463" s="1681" t="s">
        <v>208</v>
      </c>
      <c r="I463" s="1713" t="s">
        <v>208</v>
      </c>
      <c r="J463" s="1682" t="s">
        <v>208</v>
      </c>
      <c r="K463" s="1713" t="s">
        <v>208</v>
      </c>
      <c r="L463" s="1681" t="s">
        <v>208</v>
      </c>
      <c r="M463" s="1713" t="s">
        <v>208</v>
      </c>
      <c r="N463" s="1681" t="s">
        <v>208</v>
      </c>
      <c r="O463" s="1713" t="s">
        <v>208</v>
      </c>
      <c r="P463" s="1683" t="s">
        <v>208</v>
      </c>
      <c r="Q463" s="1714" t="s">
        <v>37</v>
      </c>
      <c r="R463" s="1681" t="s">
        <v>37</v>
      </c>
      <c r="S463" s="1713" t="s">
        <v>38</v>
      </c>
      <c r="T463" s="1682" t="s">
        <v>38</v>
      </c>
      <c r="U463" s="1713" t="s">
        <v>38</v>
      </c>
      <c r="V463" s="1681" t="s">
        <v>38</v>
      </c>
      <c r="W463" s="1713" t="s">
        <v>38</v>
      </c>
      <c r="X463" s="810" t="s">
        <v>38</v>
      </c>
      <c r="Y463" s="428" t="s">
        <v>151</v>
      </c>
      <c r="Z463" s="579" t="s">
        <v>333</v>
      </c>
      <c r="AA463" s="970" t="s">
        <v>37</v>
      </c>
      <c r="AB463" s="1919"/>
      <c r="AC463" s="1153"/>
      <c r="AD463" s="1251"/>
      <c r="AE463" s="1252"/>
      <c r="AF463" s="1252"/>
      <c r="AG463" s="1252"/>
      <c r="AH463" s="1795"/>
      <c r="AI463" s="1775"/>
      <c r="AJ463" s="1252"/>
      <c r="AK463" s="1252"/>
      <c r="AL463" s="1095"/>
      <c r="AM463" s="1095"/>
      <c r="AN463" s="1095"/>
      <c r="AO463" s="1095"/>
      <c r="AP463" s="1095"/>
      <c r="AQ463" s="1106"/>
      <c r="AR463" s="1097"/>
      <c r="AS463" s="1097"/>
      <c r="AT463" s="181"/>
      <c r="AU463" s="181"/>
      <c r="AV463" s="181"/>
      <c r="AW463" s="181"/>
      <c r="AX463" s="181"/>
      <c r="AY463" s="181"/>
      <c r="AZ463" s="181"/>
      <c r="BA463" s="181"/>
      <c r="BB463" s="181"/>
      <c r="BC463" s="181"/>
      <c r="BD463" s="181"/>
      <c r="BE463" s="181"/>
      <c r="BF463" s="181"/>
      <c r="BG463" s="181"/>
      <c r="BH463" s="181"/>
      <c r="BI463" s="181"/>
      <c r="BJ463" s="181"/>
      <c r="BK463" s="181"/>
      <c r="BL463" s="181"/>
      <c r="BM463" s="181"/>
      <c r="BN463" s="181"/>
      <c r="BO463" s="181"/>
      <c r="BP463" s="181"/>
      <c r="BQ463" s="181"/>
      <c r="BR463" s="181"/>
      <c r="BS463" s="181"/>
      <c r="BT463" s="181"/>
      <c r="BU463" s="181"/>
      <c r="BV463" s="181"/>
    </row>
    <row r="464" spans="1:75" s="181" customFormat="1" ht="15" customHeight="1" x14ac:dyDescent="0.25">
      <c r="A464" s="551"/>
      <c r="B464" s="1578"/>
      <c r="C464" s="1097"/>
      <c r="D464" s="1145" t="s">
        <v>151</v>
      </c>
      <c r="E464" s="1146" t="str">
        <f t="shared" si="80"/>
        <v>N</v>
      </c>
      <c r="F464" s="1166"/>
      <c r="G464" s="886" t="s">
        <v>208</v>
      </c>
      <c r="H464" s="962" t="s">
        <v>208</v>
      </c>
      <c r="I464" s="886" t="s">
        <v>208</v>
      </c>
      <c r="J464" s="963" t="s">
        <v>208</v>
      </c>
      <c r="K464" s="886" t="s">
        <v>208</v>
      </c>
      <c r="L464" s="962" t="s">
        <v>208</v>
      </c>
      <c r="M464" s="886" t="s">
        <v>208</v>
      </c>
      <c r="N464" s="962" t="s">
        <v>208</v>
      </c>
      <c r="O464" s="886" t="s">
        <v>208</v>
      </c>
      <c r="P464" s="964" t="s">
        <v>208</v>
      </c>
      <c r="Q464" s="985" t="s">
        <v>38</v>
      </c>
      <c r="R464" s="962" t="s">
        <v>38</v>
      </c>
      <c r="S464" s="886" t="s">
        <v>38</v>
      </c>
      <c r="T464" s="963" t="s">
        <v>38</v>
      </c>
      <c r="U464" s="886" t="s">
        <v>38</v>
      </c>
      <c r="V464" s="962" t="s">
        <v>38</v>
      </c>
      <c r="W464" s="886" t="s">
        <v>38</v>
      </c>
      <c r="X464" s="812" t="s">
        <v>38</v>
      </c>
      <c r="Y464" s="430"/>
      <c r="Z464" s="747" t="s">
        <v>152</v>
      </c>
      <c r="AA464" s="972" t="s">
        <v>38</v>
      </c>
      <c r="AB464" s="1925"/>
      <c r="AC464" s="1153"/>
      <c r="AD464" s="1269"/>
      <c r="AE464" s="1270"/>
      <c r="AF464" s="1270"/>
      <c r="AG464" s="1270"/>
      <c r="AH464" s="1796"/>
      <c r="AI464" s="1776"/>
      <c r="AJ464" s="1270"/>
      <c r="AK464" s="1270"/>
      <c r="AL464" s="1095"/>
      <c r="AM464" s="1095"/>
      <c r="AN464" s="1095"/>
      <c r="AO464" s="1095"/>
      <c r="AP464" s="1095"/>
      <c r="AQ464" s="1104"/>
      <c r="AR464" s="1105"/>
      <c r="AS464" s="1097"/>
      <c r="BW464" s="30"/>
    </row>
    <row r="465" spans="1:75" s="181" customFormat="1" ht="15" customHeight="1" x14ac:dyDescent="0.25">
      <c r="A465" s="551"/>
      <c r="B465" s="1578"/>
      <c r="C465" s="1097"/>
      <c r="D465" s="1145" t="s">
        <v>151</v>
      </c>
      <c r="E465" s="1146" t="str">
        <f t="shared" si="80"/>
        <v>N</v>
      </c>
      <c r="F465" s="1166"/>
      <c r="G465" s="886" t="s">
        <v>208</v>
      </c>
      <c r="H465" s="962" t="s">
        <v>208</v>
      </c>
      <c r="I465" s="886" t="s">
        <v>208</v>
      </c>
      <c r="J465" s="963" t="s">
        <v>208</v>
      </c>
      <c r="K465" s="886" t="s">
        <v>208</v>
      </c>
      <c r="L465" s="962" t="s">
        <v>208</v>
      </c>
      <c r="M465" s="886" t="s">
        <v>208</v>
      </c>
      <c r="N465" s="962" t="s">
        <v>208</v>
      </c>
      <c r="O465" s="886" t="s">
        <v>208</v>
      </c>
      <c r="P465" s="964" t="s">
        <v>208</v>
      </c>
      <c r="Q465" s="985" t="s">
        <v>38</v>
      </c>
      <c r="R465" s="962" t="s">
        <v>38</v>
      </c>
      <c r="S465" s="886" t="s">
        <v>38</v>
      </c>
      <c r="T465" s="963" t="s">
        <v>38</v>
      </c>
      <c r="U465" s="886" t="s">
        <v>38</v>
      </c>
      <c r="V465" s="962" t="s">
        <v>38</v>
      </c>
      <c r="W465" s="886" t="s">
        <v>38</v>
      </c>
      <c r="X465" s="812" t="s">
        <v>38</v>
      </c>
      <c r="Y465" s="430"/>
      <c r="Z465" s="747" t="s">
        <v>153</v>
      </c>
      <c r="AA465" s="972" t="s">
        <v>38</v>
      </c>
      <c r="AB465" s="1925"/>
      <c r="AC465" s="1153"/>
      <c r="AD465" s="1269"/>
      <c r="AE465" s="1270"/>
      <c r="AF465" s="1270"/>
      <c r="AG465" s="1270"/>
      <c r="AH465" s="1796"/>
      <c r="AI465" s="1776"/>
      <c r="AJ465" s="1270"/>
      <c r="AK465" s="1270"/>
      <c r="AL465" s="1095"/>
      <c r="AM465" s="1095"/>
      <c r="AN465" s="1095"/>
      <c r="AO465" s="1095"/>
      <c r="AP465" s="1095"/>
      <c r="AQ465" s="1104"/>
      <c r="AR465" s="1105"/>
      <c r="AS465" s="1097"/>
      <c r="BW465" s="30"/>
    </row>
    <row r="466" spans="1:75" s="181" customFormat="1" ht="15" customHeight="1" x14ac:dyDescent="0.25">
      <c r="A466" s="551"/>
      <c r="B466" s="1578"/>
      <c r="C466" s="1097"/>
      <c r="D466" s="1145" t="s">
        <v>151</v>
      </c>
      <c r="E466" s="1146" t="str">
        <f t="shared" si="80"/>
        <v/>
      </c>
      <c r="F466" s="1166"/>
      <c r="G466" s="886" t="s">
        <v>208</v>
      </c>
      <c r="H466" s="962" t="s">
        <v>208</v>
      </c>
      <c r="I466" s="886" t="s">
        <v>208</v>
      </c>
      <c r="J466" s="963" t="s">
        <v>208</v>
      </c>
      <c r="K466" s="886" t="s">
        <v>208</v>
      </c>
      <c r="L466" s="962" t="s">
        <v>208</v>
      </c>
      <c r="M466" s="886" t="s">
        <v>208</v>
      </c>
      <c r="N466" s="962" t="s">
        <v>208</v>
      </c>
      <c r="O466" s="886" t="s">
        <v>208</v>
      </c>
      <c r="P466" s="964" t="s">
        <v>208</v>
      </c>
      <c r="Q466" s="985" t="s">
        <v>37</v>
      </c>
      <c r="R466" s="962" t="s">
        <v>37</v>
      </c>
      <c r="S466" s="886" t="s">
        <v>38</v>
      </c>
      <c r="T466" s="963" t="s">
        <v>38</v>
      </c>
      <c r="U466" s="886" t="s">
        <v>38</v>
      </c>
      <c r="V466" s="962" t="s">
        <v>38</v>
      </c>
      <c r="W466" s="886" t="s">
        <v>38</v>
      </c>
      <c r="X466" s="812" t="s">
        <v>38</v>
      </c>
      <c r="Y466" s="430"/>
      <c r="Z466" s="583" t="s">
        <v>154</v>
      </c>
      <c r="AA466" s="972" t="s">
        <v>37</v>
      </c>
      <c r="AB466" s="1925"/>
      <c r="AC466" s="1153"/>
      <c r="AD466" s="1269"/>
      <c r="AE466" s="1270"/>
      <c r="AF466" s="1270"/>
      <c r="AG466" s="1270"/>
      <c r="AH466" s="1796"/>
      <c r="AI466" s="1776"/>
      <c r="AJ466" s="1270"/>
      <c r="AK466" s="1270"/>
      <c r="AL466" s="1095"/>
      <c r="AM466" s="1095"/>
      <c r="AN466" s="1095"/>
      <c r="AO466" s="1095"/>
      <c r="AP466" s="1095"/>
      <c r="AQ466" s="1104"/>
      <c r="AR466" s="1105"/>
      <c r="AS466" s="1097"/>
      <c r="BW466" s="30"/>
    </row>
    <row r="467" spans="1:75" s="181" customFormat="1" ht="15" customHeight="1" x14ac:dyDescent="0.25">
      <c r="A467" s="551"/>
      <c r="B467" s="1578"/>
      <c r="C467" s="1097"/>
      <c r="D467" s="1142"/>
      <c r="E467" s="1144" t="str">
        <f t="shared" si="80"/>
        <v/>
      </c>
      <c r="F467" s="1166"/>
      <c r="G467" s="1708" t="s">
        <v>208</v>
      </c>
      <c r="H467" s="1709" t="s">
        <v>208</v>
      </c>
      <c r="I467" s="1708" t="s">
        <v>208</v>
      </c>
      <c r="J467" s="1710" t="s">
        <v>208</v>
      </c>
      <c r="K467" s="1708" t="s">
        <v>208</v>
      </c>
      <c r="L467" s="1709" t="s">
        <v>208</v>
      </c>
      <c r="M467" s="1708" t="s">
        <v>208</v>
      </c>
      <c r="N467" s="1709" t="s">
        <v>208</v>
      </c>
      <c r="O467" s="1708" t="s">
        <v>208</v>
      </c>
      <c r="P467" s="1711" t="s">
        <v>208</v>
      </c>
      <c r="Q467" s="1712" t="s">
        <v>208</v>
      </c>
      <c r="R467" s="1709" t="s">
        <v>208</v>
      </c>
      <c r="S467" s="1708" t="s">
        <v>208</v>
      </c>
      <c r="T467" s="1710" t="s">
        <v>208</v>
      </c>
      <c r="U467" s="1708" t="s">
        <v>208</v>
      </c>
      <c r="V467" s="1709" t="s">
        <v>208</v>
      </c>
      <c r="W467" s="1708" t="s">
        <v>208</v>
      </c>
      <c r="X467" s="816" t="s">
        <v>208</v>
      </c>
      <c r="Y467" s="437"/>
      <c r="Z467" s="597"/>
      <c r="AA467" s="973" t="s">
        <v>208</v>
      </c>
      <c r="AB467" s="1909"/>
      <c r="AC467" s="1153"/>
      <c r="AD467" s="1229"/>
      <c r="AE467" s="1230"/>
      <c r="AF467" s="1230"/>
      <c r="AG467" s="1230"/>
      <c r="AH467" s="1779"/>
      <c r="AI467" s="1761"/>
      <c r="AJ467" s="1230"/>
      <c r="AK467" s="1230"/>
      <c r="AL467" s="1095"/>
      <c r="AM467" s="1095"/>
      <c r="AN467" s="1095"/>
      <c r="AO467" s="1095"/>
      <c r="AP467" s="1095"/>
      <c r="AQ467" s="1104"/>
      <c r="AR467" s="1105"/>
      <c r="AS467" s="1097"/>
      <c r="BW467" s="30"/>
    </row>
    <row r="468" spans="1:75" s="30" customFormat="1" ht="20.25" customHeight="1" x14ac:dyDescent="0.25">
      <c r="A468" s="545"/>
      <c r="B468" s="1579"/>
      <c r="C468" s="1097"/>
      <c r="D468" s="1142" t="s">
        <v>205</v>
      </c>
      <c r="E468" s="1143" t="str">
        <f t="shared" si="80"/>
        <v/>
      </c>
      <c r="F468" s="1124"/>
      <c r="G468" s="1713" t="s">
        <v>208</v>
      </c>
      <c r="H468" s="1681" t="s">
        <v>208</v>
      </c>
      <c r="I468" s="1713" t="s">
        <v>208</v>
      </c>
      <c r="J468" s="1682" t="s">
        <v>208</v>
      </c>
      <c r="K468" s="1713" t="s">
        <v>208</v>
      </c>
      <c r="L468" s="1681" t="s">
        <v>208</v>
      </c>
      <c r="M468" s="1713" t="s">
        <v>208</v>
      </c>
      <c r="N468" s="1681" t="s">
        <v>208</v>
      </c>
      <c r="O468" s="1713" t="s">
        <v>208</v>
      </c>
      <c r="P468" s="1683" t="s">
        <v>208</v>
      </c>
      <c r="Q468" s="1714" t="s">
        <v>37</v>
      </c>
      <c r="R468" s="1681" t="s">
        <v>37</v>
      </c>
      <c r="S468" s="1713" t="s">
        <v>38</v>
      </c>
      <c r="T468" s="1682" t="s">
        <v>38</v>
      </c>
      <c r="U468" s="1713" t="s">
        <v>38</v>
      </c>
      <c r="V468" s="1681" t="s">
        <v>38</v>
      </c>
      <c r="W468" s="1713" t="s">
        <v>38</v>
      </c>
      <c r="X468" s="810" t="s">
        <v>38</v>
      </c>
      <c r="Y468" s="428" t="s">
        <v>205</v>
      </c>
      <c r="Z468" s="579" t="s">
        <v>334</v>
      </c>
      <c r="AA468" s="970" t="s">
        <v>37</v>
      </c>
      <c r="AB468" s="1919"/>
      <c r="AC468" s="1153"/>
      <c r="AD468" s="1251"/>
      <c r="AE468" s="1252"/>
      <c r="AF468" s="1252"/>
      <c r="AG468" s="1252"/>
      <c r="AH468" s="1795"/>
      <c r="AI468" s="1775"/>
      <c r="AJ468" s="1252"/>
      <c r="AK468" s="1252"/>
      <c r="AL468" s="1095"/>
      <c r="AM468" s="1095"/>
      <c r="AN468" s="1095"/>
      <c r="AO468" s="1095"/>
      <c r="AP468" s="1095"/>
      <c r="AQ468" s="1106"/>
      <c r="AR468" s="1097"/>
      <c r="AS468" s="1097"/>
      <c r="AT468" s="181"/>
      <c r="AU468" s="181"/>
      <c r="AV468" s="181"/>
      <c r="AW468" s="181"/>
      <c r="AX468" s="181"/>
      <c r="AY468" s="181"/>
      <c r="AZ468" s="181"/>
      <c r="BA468" s="181"/>
      <c r="BB468" s="181"/>
      <c r="BC468" s="181"/>
      <c r="BD468" s="181"/>
      <c r="BE468" s="181"/>
      <c r="BF468" s="181"/>
      <c r="BG468" s="181"/>
      <c r="BH468" s="181"/>
      <c r="BI468" s="181"/>
      <c r="BJ468" s="181"/>
      <c r="BK468" s="181"/>
      <c r="BL468" s="181"/>
      <c r="BM468" s="181"/>
      <c r="BN468" s="181"/>
      <c r="BO468" s="181"/>
      <c r="BP468" s="181"/>
      <c r="BQ468" s="181"/>
      <c r="BR468" s="181"/>
      <c r="BS468" s="181"/>
      <c r="BT468" s="181"/>
      <c r="BU468" s="181"/>
      <c r="BV468" s="181"/>
    </row>
    <row r="469" spans="1:75" s="30" customFormat="1" ht="18.75" customHeight="1" x14ac:dyDescent="0.25">
      <c r="A469" s="545"/>
      <c r="B469" s="1579"/>
      <c r="C469" s="1097"/>
      <c r="D469" s="1142"/>
      <c r="E469" s="1144" t="str">
        <f t="shared" si="80"/>
        <v/>
      </c>
      <c r="F469" s="1124"/>
      <c r="G469" s="1708" t="s">
        <v>208</v>
      </c>
      <c r="H469" s="1709" t="s">
        <v>208</v>
      </c>
      <c r="I469" s="1708" t="s">
        <v>208</v>
      </c>
      <c r="J469" s="1710" t="s">
        <v>208</v>
      </c>
      <c r="K469" s="1708" t="s">
        <v>208</v>
      </c>
      <c r="L469" s="1709" t="s">
        <v>208</v>
      </c>
      <c r="M469" s="1708" t="s">
        <v>208</v>
      </c>
      <c r="N469" s="1709" t="s">
        <v>208</v>
      </c>
      <c r="O469" s="1708" t="s">
        <v>208</v>
      </c>
      <c r="P469" s="1711" t="s">
        <v>208</v>
      </c>
      <c r="Q469" s="1712" t="s">
        <v>208</v>
      </c>
      <c r="R469" s="1709" t="s">
        <v>208</v>
      </c>
      <c r="S469" s="1708" t="s">
        <v>208</v>
      </c>
      <c r="T469" s="1710" t="s">
        <v>208</v>
      </c>
      <c r="U469" s="1708" t="s">
        <v>208</v>
      </c>
      <c r="V469" s="1709" t="s">
        <v>208</v>
      </c>
      <c r="W469" s="1708" t="s">
        <v>208</v>
      </c>
      <c r="X469" s="816" t="s">
        <v>208</v>
      </c>
      <c r="Y469" s="437"/>
      <c r="Z469" s="597"/>
      <c r="AA469" s="973" t="s">
        <v>208</v>
      </c>
      <c r="AB469" s="1928"/>
      <c r="AC469" s="1153"/>
      <c r="AD469" s="1269"/>
      <c r="AE469" s="1270"/>
      <c r="AF469" s="1270"/>
      <c r="AG469" s="1270"/>
      <c r="AH469" s="1796"/>
      <c r="AI469" s="1776"/>
      <c r="AJ469" s="1270"/>
      <c r="AK469" s="1270"/>
      <c r="AL469" s="1095"/>
      <c r="AM469" s="1095"/>
      <c r="AN469" s="1095"/>
      <c r="AO469" s="1095"/>
      <c r="AP469" s="1095"/>
      <c r="AQ469" s="1106"/>
      <c r="AR469" s="1097"/>
      <c r="AS469" s="1097"/>
      <c r="AT469" s="181"/>
      <c r="AU469" s="181"/>
      <c r="AV469" s="181"/>
      <c r="AW469" s="181"/>
      <c r="AX469" s="181"/>
      <c r="AY469" s="181"/>
      <c r="AZ469" s="181"/>
      <c r="BA469" s="181"/>
      <c r="BB469" s="181"/>
      <c r="BC469" s="181"/>
      <c r="BD469" s="181"/>
      <c r="BE469" s="181"/>
      <c r="BF469" s="181"/>
      <c r="BG469" s="181"/>
      <c r="BH469" s="181"/>
      <c r="BI469" s="181"/>
      <c r="BJ469" s="181"/>
      <c r="BK469" s="181"/>
      <c r="BL469" s="181"/>
      <c r="BM469" s="181"/>
      <c r="BN469" s="181"/>
      <c r="BO469" s="181"/>
      <c r="BP469" s="181"/>
      <c r="BQ469" s="181"/>
      <c r="BR469" s="181"/>
      <c r="BS469" s="181"/>
      <c r="BT469" s="181"/>
      <c r="BU469" s="181"/>
      <c r="BV469" s="181"/>
    </row>
    <row r="470" spans="1:75" s="30" customFormat="1" ht="21" customHeight="1" x14ac:dyDescent="0.25">
      <c r="A470" s="545"/>
      <c r="B470" s="1579"/>
      <c r="C470" s="1097"/>
      <c r="D470" s="1142"/>
      <c r="E470" s="1144" t="str">
        <f t="shared" si="80"/>
        <v/>
      </c>
      <c r="F470" s="1124"/>
      <c r="G470" s="1713" t="s">
        <v>208</v>
      </c>
      <c r="H470" s="1681" t="s">
        <v>208</v>
      </c>
      <c r="I470" s="1713" t="s">
        <v>208</v>
      </c>
      <c r="J470" s="1682" t="s">
        <v>208</v>
      </c>
      <c r="K470" s="1713" t="s">
        <v>208</v>
      </c>
      <c r="L470" s="1681" t="s">
        <v>208</v>
      </c>
      <c r="M470" s="1713" t="s">
        <v>208</v>
      </c>
      <c r="N470" s="1681" t="s">
        <v>208</v>
      </c>
      <c r="O470" s="1713" t="s">
        <v>208</v>
      </c>
      <c r="P470" s="1683" t="s">
        <v>208</v>
      </c>
      <c r="Q470" s="1714" t="s">
        <v>208</v>
      </c>
      <c r="R470" s="1681" t="s">
        <v>208</v>
      </c>
      <c r="S470" s="1713" t="s">
        <v>208</v>
      </c>
      <c r="T470" s="1682" t="s">
        <v>208</v>
      </c>
      <c r="U470" s="1713" t="s">
        <v>208</v>
      </c>
      <c r="V470" s="1681" t="s">
        <v>208</v>
      </c>
      <c r="W470" s="1713" t="s">
        <v>208</v>
      </c>
      <c r="X470" s="810" t="s">
        <v>208</v>
      </c>
      <c r="Y470" s="439" t="s">
        <v>313</v>
      </c>
      <c r="Z470" s="599"/>
      <c r="AA470" s="970" t="s">
        <v>208</v>
      </c>
      <c r="AB470" s="1927"/>
      <c r="AC470" s="1153"/>
      <c r="AD470" s="1229"/>
      <c r="AE470" s="1230"/>
      <c r="AF470" s="1230"/>
      <c r="AG470" s="1230"/>
      <c r="AH470" s="1779"/>
      <c r="AI470" s="1761"/>
      <c r="AJ470" s="1230"/>
      <c r="AK470" s="1230"/>
      <c r="AL470" s="1095"/>
      <c r="AM470" s="1095"/>
      <c r="AN470" s="1095"/>
      <c r="AO470" s="1095"/>
      <c r="AP470" s="1095"/>
      <c r="AQ470" s="1106"/>
      <c r="AR470" s="1097"/>
      <c r="AS470" s="1097"/>
      <c r="AT470" s="181"/>
      <c r="AU470" s="181"/>
      <c r="AV470" s="181"/>
      <c r="AW470" s="181"/>
      <c r="AX470" s="181"/>
      <c r="AY470" s="181"/>
      <c r="AZ470" s="181"/>
      <c r="BA470" s="181"/>
      <c r="BB470" s="181"/>
      <c r="BC470" s="181"/>
      <c r="BD470" s="181"/>
      <c r="BE470" s="181"/>
      <c r="BF470" s="181"/>
      <c r="BG470" s="181"/>
      <c r="BH470" s="181"/>
      <c r="BI470" s="181"/>
      <c r="BJ470" s="181"/>
      <c r="BK470" s="181"/>
      <c r="BL470" s="181"/>
      <c r="BM470" s="181"/>
      <c r="BN470" s="181"/>
      <c r="BO470" s="181"/>
      <c r="BP470" s="181"/>
      <c r="BQ470" s="181"/>
      <c r="BR470" s="181"/>
      <c r="BS470" s="181"/>
      <c r="BT470" s="181"/>
      <c r="BU470" s="181"/>
      <c r="BV470" s="181"/>
    </row>
    <row r="471" spans="1:75" s="30" customFormat="1" ht="15.75" customHeight="1" x14ac:dyDescent="0.25">
      <c r="A471" s="545"/>
      <c r="B471" s="1579"/>
      <c r="C471" s="1097"/>
      <c r="D471" s="1142"/>
      <c r="E471" s="1144" t="str">
        <f t="shared" si="80"/>
        <v/>
      </c>
      <c r="F471" s="1124"/>
      <c r="G471" s="1708" t="s">
        <v>208</v>
      </c>
      <c r="H471" s="1709" t="s">
        <v>208</v>
      </c>
      <c r="I471" s="1708" t="s">
        <v>208</v>
      </c>
      <c r="J471" s="1710" t="s">
        <v>208</v>
      </c>
      <c r="K471" s="1708" t="s">
        <v>208</v>
      </c>
      <c r="L471" s="1709" t="s">
        <v>208</v>
      </c>
      <c r="M471" s="1708" t="s">
        <v>208</v>
      </c>
      <c r="N471" s="1709" t="s">
        <v>208</v>
      </c>
      <c r="O471" s="1708" t="s">
        <v>208</v>
      </c>
      <c r="P471" s="1711" t="s">
        <v>208</v>
      </c>
      <c r="Q471" s="1712" t="s">
        <v>208</v>
      </c>
      <c r="R471" s="1709" t="s">
        <v>208</v>
      </c>
      <c r="S471" s="1708" t="s">
        <v>208</v>
      </c>
      <c r="T471" s="1710" t="s">
        <v>208</v>
      </c>
      <c r="U471" s="1708" t="s">
        <v>208</v>
      </c>
      <c r="V471" s="1709" t="s">
        <v>208</v>
      </c>
      <c r="W471" s="1708" t="s">
        <v>208</v>
      </c>
      <c r="X471" s="816" t="s">
        <v>208</v>
      </c>
      <c r="Y471" s="429"/>
      <c r="Z471" s="600"/>
      <c r="AA471" s="973" t="s">
        <v>208</v>
      </c>
      <c r="AB471" s="1919"/>
      <c r="AC471" s="1153"/>
      <c r="AD471" s="1251"/>
      <c r="AE471" s="1252"/>
      <c r="AF471" s="1252"/>
      <c r="AG471" s="1252"/>
      <c r="AH471" s="1795"/>
      <c r="AI471" s="1775"/>
      <c r="AJ471" s="1252"/>
      <c r="AK471" s="1252"/>
      <c r="AL471" s="1095"/>
      <c r="AM471" s="1095"/>
      <c r="AN471" s="1095"/>
      <c r="AO471" s="1095"/>
      <c r="AP471" s="1095"/>
      <c r="AQ471" s="1106"/>
      <c r="AR471" s="1097"/>
      <c r="AS471" s="1097"/>
      <c r="AT471" s="181"/>
      <c r="AU471" s="181"/>
      <c r="AV471" s="181"/>
      <c r="AW471" s="181"/>
      <c r="AX471" s="181"/>
      <c r="AY471" s="181"/>
      <c r="AZ471" s="181"/>
      <c r="BA471" s="181"/>
      <c r="BB471" s="181"/>
      <c r="BC471" s="181"/>
      <c r="BD471" s="181"/>
      <c r="BE471" s="181"/>
      <c r="BF471" s="181"/>
      <c r="BG471" s="181"/>
      <c r="BH471" s="181"/>
      <c r="BI471" s="181"/>
      <c r="BJ471" s="181"/>
      <c r="BK471" s="181"/>
      <c r="BL471" s="181"/>
      <c r="BM471" s="181"/>
      <c r="BN471" s="181"/>
      <c r="BO471" s="181"/>
      <c r="BP471" s="181"/>
      <c r="BQ471" s="181"/>
      <c r="BR471" s="181"/>
      <c r="BS471" s="181"/>
      <c r="BT471" s="181"/>
      <c r="BU471" s="181"/>
      <c r="BV471" s="181"/>
    </row>
    <row r="472" spans="1:75" s="30" customFormat="1" ht="18.75" customHeight="1" x14ac:dyDescent="0.25">
      <c r="A472" s="545"/>
      <c r="B472" s="1579"/>
      <c r="C472" s="1097"/>
      <c r="D472" s="1142" t="s">
        <v>158</v>
      </c>
      <c r="E472" s="1143" t="str">
        <f t="shared" si="80"/>
        <v/>
      </c>
      <c r="F472" s="1124"/>
      <c r="G472" s="1713" t="s">
        <v>208</v>
      </c>
      <c r="H472" s="1681" t="s">
        <v>208</v>
      </c>
      <c r="I472" s="1713" t="s">
        <v>208</v>
      </c>
      <c r="J472" s="1682" t="s">
        <v>208</v>
      </c>
      <c r="K472" s="1713" t="s">
        <v>208</v>
      </c>
      <c r="L472" s="1681" t="s">
        <v>208</v>
      </c>
      <c r="M472" s="1713" t="s">
        <v>208</v>
      </c>
      <c r="N472" s="1681" t="s">
        <v>208</v>
      </c>
      <c r="O472" s="1713" t="s">
        <v>208</v>
      </c>
      <c r="P472" s="1683" t="s">
        <v>208</v>
      </c>
      <c r="Q472" s="1714" t="s">
        <v>38</v>
      </c>
      <c r="R472" s="1681" t="s">
        <v>38</v>
      </c>
      <c r="S472" s="1713" t="s">
        <v>37</v>
      </c>
      <c r="T472" s="1682" t="s">
        <v>37</v>
      </c>
      <c r="U472" s="1713" t="s">
        <v>38</v>
      </c>
      <c r="V472" s="1681" t="s">
        <v>38</v>
      </c>
      <c r="W472" s="1713" t="s">
        <v>38</v>
      </c>
      <c r="X472" s="810" t="s">
        <v>38</v>
      </c>
      <c r="Y472" s="428" t="s">
        <v>158</v>
      </c>
      <c r="Z472" s="579" t="s">
        <v>335</v>
      </c>
      <c r="AA472" s="970" t="s">
        <v>37</v>
      </c>
      <c r="AB472" s="1925"/>
      <c r="AC472" s="1153"/>
      <c r="AD472" s="1269"/>
      <c r="AE472" s="1270"/>
      <c r="AF472" s="1270"/>
      <c r="AG472" s="1270"/>
      <c r="AH472" s="1796"/>
      <c r="AI472" s="1776"/>
      <c r="AJ472" s="1270"/>
      <c r="AK472" s="1270"/>
      <c r="AL472" s="1095"/>
      <c r="AM472" s="1095"/>
      <c r="AN472" s="1095"/>
      <c r="AO472" s="1095"/>
      <c r="AP472" s="1095"/>
      <c r="AQ472" s="1106"/>
      <c r="AR472" s="1097"/>
      <c r="AS472" s="1097"/>
      <c r="AT472" s="181"/>
      <c r="AU472" s="181"/>
      <c r="AV472" s="181"/>
      <c r="AW472" s="181"/>
      <c r="AX472" s="181"/>
      <c r="AY472" s="181"/>
      <c r="AZ472" s="181"/>
      <c r="BA472" s="181"/>
      <c r="BB472" s="181"/>
      <c r="BC472" s="181"/>
      <c r="BD472" s="181"/>
      <c r="BE472" s="181"/>
      <c r="BF472" s="181"/>
      <c r="BG472" s="181"/>
      <c r="BH472" s="181"/>
      <c r="BI472" s="181"/>
      <c r="BJ472" s="181"/>
      <c r="BK472" s="181"/>
      <c r="BL472" s="181"/>
      <c r="BM472" s="181"/>
      <c r="BN472" s="181"/>
      <c r="BO472" s="181"/>
      <c r="BP472" s="181"/>
      <c r="BQ472" s="181"/>
      <c r="BR472" s="181"/>
      <c r="BS472" s="181"/>
      <c r="BT472" s="181"/>
      <c r="BU472" s="181"/>
      <c r="BV472" s="181"/>
    </row>
    <row r="473" spans="1:75" s="181" customFormat="1" ht="15" customHeight="1" x14ac:dyDescent="0.25">
      <c r="A473" s="551"/>
      <c r="B473" s="1578"/>
      <c r="C473" s="1097"/>
      <c r="D473" s="1145" t="s">
        <v>158</v>
      </c>
      <c r="E473" s="1146" t="str">
        <f t="shared" si="80"/>
        <v/>
      </c>
      <c r="F473" s="1166"/>
      <c r="G473" s="886" t="s">
        <v>208</v>
      </c>
      <c r="H473" s="962" t="s">
        <v>208</v>
      </c>
      <c r="I473" s="886" t="s">
        <v>208</v>
      </c>
      <c r="J473" s="963" t="s">
        <v>208</v>
      </c>
      <c r="K473" s="886" t="s">
        <v>208</v>
      </c>
      <c r="L473" s="962" t="s">
        <v>208</v>
      </c>
      <c r="M473" s="886" t="s">
        <v>208</v>
      </c>
      <c r="N473" s="962" t="s">
        <v>208</v>
      </c>
      <c r="O473" s="886" t="s">
        <v>208</v>
      </c>
      <c r="P473" s="964" t="s">
        <v>208</v>
      </c>
      <c r="Q473" s="985" t="s">
        <v>38</v>
      </c>
      <c r="R473" s="962" t="s">
        <v>38</v>
      </c>
      <c r="S473" s="886" t="s">
        <v>37</v>
      </c>
      <c r="T473" s="963" t="str">
        <f>IF(OR(ISNUMBER(SEARCH("Contractor",Const_Delivery_Method))=TRUE,ISNUMBER(SEARCH("JOC",Const_Delivery_Method))=TRUE,ISNUMBER(SEARCH("CS",Const_Delivery_Method))=TRUE,ISNUMBER(SEARCH("House",Const_Delivery_Method))=TRUE),"N","Y")</f>
        <v>Y</v>
      </c>
      <c r="U473" s="886" t="s">
        <v>38</v>
      </c>
      <c r="V473" s="962" t="s">
        <v>38</v>
      </c>
      <c r="W473" s="886" t="s">
        <v>38</v>
      </c>
      <c r="X473" s="812" t="s">
        <v>38</v>
      </c>
      <c r="Y473" s="430"/>
      <c r="Z473" s="583" t="s">
        <v>224</v>
      </c>
      <c r="AA473" s="972" t="s">
        <v>37</v>
      </c>
      <c r="AB473" s="1925"/>
      <c r="AC473" s="1153"/>
      <c r="AD473" s="1269"/>
      <c r="AE473" s="1270"/>
      <c r="AF473" s="1270"/>
      <c r="AG473" s="1270"/>
      <c r="AH473" s="1796"/>
      <c r="AI473" s="1776"/>
      <c r="AJ473" s="1270"/>
      <c r="AK473" s="1270"/>
      <c r="AL473" s="1095"/>
      <c r="AM473" s="1095"/>
      <c r="AN473" s="1095"/>
      <c r="AO473" s="1095"/>
      <c r="AP473" s="1095"/>
      <c r="AQ473" s="1104"/>
      <c r="AR473" s="1105"/>
      <c r="AS473" s="1097"/>
      <c r="BW473" s="30"/>
    </row>
    <row r="474" spans="1:75" s="181" customFormat="1" ht="15" customHeight="1" x14ac:dyDescent="0.25">
      <c r="A474" s="551"/>
      <c r="B474" s="1578"/>
      <c r="C474" s="1097"/>
      <c r="D474" s="1145" t="s">
        <v>158</v>
      </c>
      <c r="E474" s="1146" t="str">
        <f t="shared" si="80"/>
        <v/>
      </c>
      <c r="F474" s="1166"/>
      <c r="G474" s="886" t="s">
        <v>208</v>
      </c>
      <c r="H474" s="962" t="s">
        <v>208</v>
      </c>
      <c r="I474" s="886" t="s">
        <v>208</v>
      </c>
      <c r="J474" s="963" t="s">
        <v>208</v>
      </c>
      <c r="K474" s="886" t="s">
        <v>208</v>
      </c>
      <c r="L474" s="962" t="s">
        <v>208</v>
      </c>
      <c r="M474" s="886" t="s">
        <v>208</v>
      </c>
      <c r="N474" s="962" t="s">
        <v>208</v>
      </c>
      <c r="O474" s="886" t="s">
        <v>208</v>
      </c>
      <c r="P474" s="964" t="s">
        <v>208</v>
      </c>
      <c r="Q474" s="985" t="s">
        <v>38</v>
      </c>
      <c r="R474" s="962" t="s">
        <v>38</v>
      </c>
      <c r="S474" s="886" t="s">
        <v>37</v>
      </c>
      <c r="T474" s="963" t="str">
        <f>IF(OR(ISNUMBER(SEARCH("Contractor",Const_Delivery_Method))=TRUE,ISNUMBER(SEARCH("JOC",Const_Delivery_Method))=TRUE,ISNUMBER(SEARCH("CS",Const_Delivery_Method))=TRUE,ISNUMBER(SEARCH("House",Const_Delivery_Method))=TRUE),"N","Y")</f>
        <v>Y</v>
      </c>
      <c r="U474" s="886" t="s">
        <v>38</v>
      </c>
      <c r="V474" s="962" t="s">
        <v>38</v>
      </c>
      <c r="W474" s="886" t="s">
        <v>38</v>
      </c>
      <c r="X474" s="812" t="s">
        <v>38</v>
      </c>
      <c r="Y474" s="430"/>
      <c r="Z474" s="583" t="s">
        <v>223</v>
      </c>
      <c r="AA474" s="972" t="s">
        <v>37</v>
      </c>
      <c r="AB474" s="1925"/>
      <c r="AC474" s="1153"/>
      <c r="AD474" s="1269"/>
      <c r="AE474" s="1270"/>
      <c r="AF474" s="1270"/>
      <c r="AG474" s="1270"/>
      <c r="AH474" s="1796"/>
      <c r="AI474" s="1776"/>
      <c r="AJ474" s="1270"/>
      <c r="AK474" s="1270"/>
      <c r="AL474" s="1095"/>
      <c r="AM474" s="1095"/>
      <c r="AN474" s="1095"/>
      <c r="AO474" s="1095"/>
      <c r="AP474" s="1095"/>
      <c r="AQ474" s="1104"/>
      <c r="AR474" s="1105"/>
      <c r="AS474" s="1097"/>
      <c r="BW474" s="30"/>
    </row>
    <row r="475" spans="1:75" s="181" customFormat="1" ht="15" customHeight="1" x14ac:dyDescent="0.25">
      <c r="A475" s="551"/>
      <c r="B475" s="1578"/>
      <c r="C475" s="1097"/>
      <c r="D475" s="1145" t="s">
        <v>158</v>
      </c>
      <c r="E475" s="1146" t="str">
        <f t="shared" si="80"/>
        <v/>
      </c>
      <c r="F475" s="1166"/>
      <c r="G475" s="886" t="s">
        <v>208</v>
      </c>
      <c r="H475" s="962" t="s">
        <v>208</v>
      </c>
      <c r="I475" s="886" t="s">
        <v>208</v>
      </c>
      <c r="J475" s="963" t="s">
        <v>208</v>
      </c>
      <c r="K475" s="886" t="s">
        <v>208</v>
      </c>
      <c r="L475" s="962" t="s">
        <v>208</v>
      </c>
      <c r="M475" s="886" t="s">
        <v>208</v>
      </c>
      <c r="N475" s="962" t="s">
        <v>208</v>
      </c>
      <c r="O475" s="886" t="s">
        <v>208</v>
      </c>
      <c r="P475" s="964" t="s">
        <v>208</v>
      </c>
      <c r="Q475" s="985" t="s">
        <v>38</v>
      </c>
      <c r="R475" s="962" t="s">
        <v>38</v>
      </c>
      <c r="S475" s="886" t="s">
        <v>37</v>
      </c>
      <c r="T475" s="963" t="str">
        <f>IF(OR(ISNUMBER(SEARCH("Contractor",Const_Delivery_Method))=TRUE,ISNUMBER(SEARCH("JOC",Const_Delivery_Method))=TRUE,ISNUMBER(SEARCH("CS",Const_Delivery_Method))=TRUE,ISNUMBER(SEARCH("House",Const_Delivery_Method))=TRUE),"N","Y")</f>
        <v>Y</v>
      </c>
      <c r="U475" s="886" t="s">
        <v>38</v>
      </c>
      <c r="V475" s="962" t="s">
        <v>38</v>
      </c>
      <c r="W475" s="886" t="s">
        <v>38</v>
      </c>
      <c r="X475" s="812" t="s">
        <v>38</v>
      </c>
      <c r="Y475" s="430"/>
      <c r="Z475" s="583" t="s">
        <v>225</v>
      </c>
      <c r="AA475" s="972" t="s">
        <v>37</v>
      </c>
      <c r="AB475" s="1925"/>
      <c r="AC475" s="1153"/>
      <c r="AD475" s="1269"/>
      <c r="AE475" s="1270"/>
      <c r="AF475" s="1270"/>
      <c r="AG475" s="1270"/>
      <c r="AH475" s="1796"/>
      <c r="AI475" s="1776"/>
      <c r="AJ475" s="1270"/>
      <c r="AK475" s="1270"/>
      <c r="AL475" s="1095"/>
      <c r="AM475" s="1095"/>
      <c r="AN475" s="1095"/>
      <c r="AO475" s="1095"/>
      <c r="AP475" s="1095"/>
      <c r="AQ475" s="1104"/>
      <c r="AR475" s="1105"/>
      <c r="AS475" s="1097"/>
      <c r="BW475" s="30"/>
    </row>
    <row r="476" spans="1:75" s="181" customFormat="1" ht="28.5" customHeight="1" x14ac:dyDescent="0.25">
      <c r="A476" s="551"/>
      <c r="B476" s="1578"/>
      <c r="C476" s="1097"/>
      <c r="D476" s="1145" t="s">
        <v>158</v>
      </c>
      <c r="E476" s="1146" t="str">
        <f t="shared" si="80"/>
        <v/>
      </c>
      <c r="F476" s="1166"/>
      <c r="G476" s="886" t="s">
        <v>208</v>
      </c>
      <c r="H476" s="962" t="s">
        <v>208</v>
      </c>
      <c r="I476" s="886" t="s">
        <v>208</v>
      </c>
      <c r="J476" s="963" t="s">
        <v>208</v>
      </c>
      <c r="K476" s="886" t="s">
        <v>208</v>
      </c>
      <c r="L476" s="962" t="s">
        <v>208</v>
      </c>
      <c r="M476" s="886" t="s">
        <v>208</v>
      </c>
      <c r="N476" s="962" t="s">
        <v>208</v>
      </c>
      <c r="O476" s="886" t="s">
        <v>208</v>
      </c>
      <c r="P476" s="964" t="s">
        <v>208</v>
      </c>
      <c r="Q476" s="985" t="s">
        <v>38</v>
      </c>
      <c r="R476" s="962" t="s">
        <v>38</v>
      </c>
      <c r="S476" s="886" t="s">
        <v>37</v>
      </c>
      <c r="T476" s="963" t="s">
        <v>37</v>
      </c>
      <c r="U476" s="886" t="s">
        <v>38</v>
      </c>
      <c r="V476" s="962" t="s">
        <v>38</v>
      </c>
      <c r="W476" s="886" t="s">
        <v>38</v>
      </c>
      <c r="X476" s="812" t="s">
        <v>38</v>
      </c>
      <c r="Y476" s="430"/>
      <c r="Z476" s="583" t="s">
        <v>1031</v>
      </c>
      <c r="AA476" s="972" t="s">
        <v>37</v>
      </c>
      <c r="AB476" s="1925"/>
      <c r="AC476" s="1153"/>
      <c r="AD476" s="1269"/>
      <c r="AE476" s="1270"/>
      <c r="AF476" s="1270"/>
      <c r="AG476" s="1270"/>
      <c r="AH476" s="1796"/>
      <c r="AI476" s="1776"/>
      <c r="AJ476" s="1270"/>
      <c r="AK476" s="1270"/>
      <c r="AL476" s="1095"/>
      <c r="AM476" s="1095"/>
      <c r="AN476" s="1095"/>
      <c r="AO476" s="1095"/>
      <c r="AP476" s="1095"/>
      <c r="AQ476" s="1104"/>
      <c r="AR476" s="1105"/>
      <c r="AS476" s="1097"/>
      <c r="BW476" s="30"/>
    </row>
    <row r="477" spans="1:75" s="181" customFormat="1" ht="15" customHeight="1" x14ac:dyDescent="0.25">
      <c r="A477" s="551"/>
      <c r="B477" s="1578"/>
      <c r="C477" s="1097"/>
      <c r="D477" s="1145" t="s">
        <v>158</v>
      </c>
      <c r="E477" s="1146" t="str">
        <f t="shared" si="80"/>
        <v/>
      </c>
      <c r="F477" s="1166"/>
      <c r="G477" s="886" t="s">
        <v>208</v>
      </c>
      <c r="H477" s="962" t="s">
        <v>208</v>
      </c>
      <c r="I477" s="886" t="s">
        <v>208</v>
      </c>
      <c r="J477" s="963" t="s">
        <v>208</v>
      </c>
      <c r="K477" s="886" t="s">
        <v>208</v>
      </c>
      <c r="L477" s="962" t="s">
        <v>208</v>
      </c>
      <c r="M477" s="886" t="s">
        <v>208</v>
      </c>
      <c r="N477" s="962" t="s">
        <v>208</v>
      </c>
      <c r="O477" s="886" t="s">
        <v>208</v>
      </c>
      <c r="P477" s="964" t="s">
        <v>208</v>
      </c>
      <c r="Q477" s="985" t="s">
        <v>38</v>
      </c>
      <c r="R477" s="962" t="s">
        <v>38</v>
      </c>
      <c r="S477" s="886" t="s">
        <v>37</v>
      </c>
      <c r="T477" s="963" t="str">
        <f>IF(OR(ISNUMBER(SEARCH("Contractor",Const_Delivery_Method))=TRUE,ISNUMBER(SEARCH("JOC",Const_Delivery_Method))=TRUE,ISNUMBER(SEARCH("CS",Const_Delivery_Method))=TRUE,ISNUMBER(SEARCH("House",Const_Delivery_Method))=TRUE),"N","Y")</f>
        <v>Y</v>
      </c>
      <c r="U477" s="886" t="s">
        <v>38</v>
      </c>
      <c r="V477" s="962" t="s">
        <v>38</v>
      </c>
      <c r="W477" s="886" t="s">
        <v>38</v>
      </c>
      <c r="X477" s="812" t="s">
        <v>38</v>
      </c>
      <c r="Y477" s="430"/>
      <c r="Z477" s="1678" t="s">
        <v>817</v>
      </c>
      <c r="AA477" s="972" t="s">
        <v>37</v>
      </c>
      <c r="AB477" s="1925"/>
      <c r="AC477" s="1153"/>
      <c r="AD477" s="1269"/>
      <c r="AE477" s="1270"/>
      <c r="AF477" s="1270"/>
      <c r="AG477" s="1270"/>
      <c r="AH477" s="1796"/>
      <c r="AI477" s="1776"/>
      <c r="AJ477" s="1270"/>
      <c r="AK477" s="1270"/>
      <c r="AL477" s="1095"/>
      <c r="AM477" s="1095"/>
      <c r="AN477" s="1095"/>
      <c r="AO477" s="1095"/>
      <c r="AP477" s="1095"/>
      <c r="AQ477" s="1104"/>
      <c r="AR477" s="1105"/>
      <c r="AS477" s="1097"/>
      <c r="BW477" s="30"/>
    </row>
    <row r="478" spans="1:75" s="181" customFormat="1" ht="28.5" customHeight="1" x14ac:dyDescent="0.25">
      <c r="A478" s="551"/>
      <c r="B478" s="1578"/>
      <c r="C478" s="1097"/>
      <c r="D478" s="1145" t="s">
        <v>158</v>
      </c>
      <c r="E478" s="1146" t="str">
        <f t="shared" si="80"/>
        <v/>
      </c>
      <c r="F478" s="1166"/>
      <c r="G478" s="886" t="s">
        <v>208</v>
      </c>
      <c r="H478" s="962" t="s">
        <v>208</v>
      </c>
      <c r="I478" s="886" t="s">
        <v>208</v>
      </c>
      <c r="J478" s="963" t="s">
        <v>208</v>
      </c>
      <c r="K478" s="886" t="s">
        <v>208</v>
      </c>
      <c r="L478" s="962" t="s">
        <v>208</v>
      </c>
      <c r="M478" s="886" t="s">
        <v>208</v>
      </c>
      <c r="N478" s="962" t="s">
        <v>208</v>
      </c>
      <c r="O478" s="886" t="s">
        <v>208</v>
      </c>
      <c r="P478" s="964" t="s">
        <v>208</v>
      </c>
      <c r="Q478" s="985" t="s">
        <v>38</v>
      </c>
      <c r="R478" s="962" t="s">
        <v>38</v>
      </c>
      <c r="S478" s="886" t="s">
        <v>37</v>
      </c>
      <c r="T478" s="963" t="str">
        <f>IF(OR(ISNUMBER(SEARCH("Contractor",Const_Delivery_Method))=TRUE,ISNUMBER(SEARCH("JOC",Const_Delivery_Method))=TRUE,ISNUMBER(SEARCH("CS",Const_Delivery_Method))=TRUE,ISNUMBER(SEARCH("House",Const_Delivery_Method))=TRUE),"N","Y")</f>
        <v>Y</v>
      </c>
      <c r="U478" s="886" t="s">
        <v>38</v>
      </c>
      <c r="V478" s="962" t="s">
        <v>38</v>
      </c>
      <c r="W478" s="886" t="s">
        <v>38</v>
      </c>
      <c r="X478" s="812" t="s">
        <v>38</v>
      </c>
      <c r="Y478" s="430"/>
      <c r="Z478" s="887" t="s">
        <v>1133</v>
      </c>
      <c r="AA478" s="972" t="s">
        <v>37</v>
      </c>
      <c r="AB478" s="1925"/>
      <c r="AC478" s="1153"/>
      <c r="AD478" s="1269"/>
      <c r="AE478" s="1270"/>
      <c r="AF478" s="1270"/>
      <c r="AG478" s="1270"/>
      <c r="AH478" s="1796"/>
      <c r="AI478" s="1776"/>
      <c r="AJ478" s="1270"/>
      <c r="AK478" s="1270"/>
      <c r="AL478" s="1095"/>
      <c r="AM478" s="1095"/>
      <c r="AN478" s="1095"/>
      <c r="AO478" s="1095"/>
      <c r="AP478" s="1095"/>
      <c r="AQ478" s="1104"/>
      <c r="AR478" s="1105"/>
      <c r="AS478" s="1097"/>
      <c r="BW478" s="30"/>
    </row>
    <row r="479" spans="1:75" s="30" customFormat="1" ht="18.75" customHeight="1" x14ac:dyDescent="0.25">
      <c r="A479" s="545"/>
      <c r="B479" s="1579"/>
      <c r="C479" s="1097"/>
      <c r="D479" s="1142"/>
      <c r="E479" s="1144" t="str">
        <f t="shared" si="80"/>
        <v/>
      </c>
      <c r="F479" s="1124"/>
      <c r="G479" s="1708" t="s">
        <v>208</v>
      </c>
      <c r="H479" s="1709" t="s">
        <v>208</v>
      </c>
      <c r="I479" s="1708" t="s">
        <v>208</v>
      </c>
      <c r="J479" s="1710" t="s">
        <v>208</v>
      </c>
      <c r="K479" s="1708" t="s">
        <v>208</v>
      </c>
      <c r="L479" s="1709" t="s">
        <v>208</v>
      </c>
      <c r="M479" s="1708" t="s">
        <v>208</v>
      </c>
      <c r="N479" s="1709" t="s">
        <v>208</v>
      </c>
      <c r="O479" s="1708" t="s">
        <v>208</v>
      </c>
      <c r="P479" s="1711" t="s">
        <v>208</v>
      </c>
      <c r="Q479" s="1712" t="s">
        <v>208</v>
      </c>
      <c r="R479" s="1709" t="s">
        <v>208</v>
      </c>
      <c r="S479" s="1708" t="s">
        <v>208</v>
      </c>
      <c r="T479" s="1710" t="s">
        <v>208</v>
      </c>
      <c r="U479" s="1708" t="s">
        <v>208</v>
      </c>
      <c r="V479" s="1709" t="s">
        <v>208</v>
      </c>
      <c r="W479" s="1708" t="s">
        <v>208</v>
      </c>
      <c r="X479" s="816" t="s">
        <v>208</v>
      </c>
      <c r="Y479" s="437"/>
      <c r="Z479" s="597"/>
      <c r="AA479" s="973" t="s">
        <v>208</v>
      </c>
      <c r="AB479" s="1909"/>
      <c r="AC479" s="1153"/>
      <c r="AD479" s="1229"/>
      <c r="AE479" s="1230"/>
      <c r="AF479" s="1230"/>
      <c r="AG479" s="1230"/>
      <c r="AH479" s="1779"/>
      <c r="AI479" s="1761"/>
      <c r="AJ479" s="1230"/>
      <c r="AK479" s="1230"/>
      <c r="AL479" s="1095"/>
      <c r="AM479" s="1095"/>
      <c r="AN479" s="1095"/>
      <c r="AO479" s="1095"/>
      <c r="AP479" s="1095"/>
      <c r="AQ479" s="1106"/>
      <c r="AR479" s="1097"/>
      <c r="AS479" s="1097"/>
      <c r="AT479" s="181"/>
      <c r="AU479" s="181"/>
      <c r="AV479" s="181"/>
      <c r="AW479" s="181"/>
      <c r="AX479" s="181"/>
      <c r="AY479" s="181"/>
      <c r="AZ479" s="181"/>
      <c r="BA479" s="181"/>
      <c r="BB479" s="181"/>
      <c r="BC479" s="181"/>
      <c r="BD479" s="181"/>
      <c r="BE479" s="181"/>
      <c r="BF479" s="181"/>
      <c r="BG479" s="181"/>
      <c r="BH479" s="181"/>
      <c r="BI479" s="181"/>
      <c r="BJ479" s="181"/>
      <c r="BK479" s="181"/>
      <c r="BL479" s="181"/>
      <c r="BM479" s="181"/>
      <c r="BN479" s="181"/>
      <c r="BO479" s="181"/>
      <c r="BP479" s="181"/>
      <c r="BQ479" s="181"/>
      <c r="BR479" s="181"/>
      <c r="BS479" s="181"/>
      <c r="BT479" s="181"/>
      <c r="BU479" s="181"/>
      <c r="BV479" s="181"/>
    </row>
    <row r="480" spans="1:75" s="30" customFormat="1" ht="18.75" customHeight="1" x14ac:dyDescent="0.25">
      <c r="A480" s="545"/>
      <c r="B480" s="1579"/>
      <c r="C480" s="1097"/>
      <c r="D480" s="1142" t="s">
        <v>159</v>
      </c>
      <c r="E480" s="1143" t="str">
        <f t="shared" si="80"/>
        <v>N</v>
      </c>
      <c r="F480" s="1124"/>
      <c r="G480" s="1713" t="s">
        <v>208</v>
      </c>
      <c r="H480" s="1681" t="s">
        <v>208</v>
      </c>
      <c r="I480" s="1713" t="s">
        <v>208</v>
      </c>
      <c r="J480" s="1682" t="s">
        <v>208</v>
      </c>
      <c r="K480" s="1713" t="s">
        <v>208</v>
      </c>
      <c r="L480" s="1681" t="s">
        <v>208</v>
      </c>
      <c r="M480" s="1713" t="s">
        <v>208</v>
      </c>
      <c r="N480" s="1681" t="s">
        <v>208</v>
      </c>
      <c r="O480" s="1713" t="s">
        <v>208</v>
      </c>
      <c r="P480" s="1683" t="s">
        <v>208</v>
      </c>
      <c r="Q480" s="1714" t="s">
        <v>38</v>
      </c>
      <c r="R480" s="1681" t="s">
        <v>38</v>
      </c>
      <c r="S480" s="1713" t="s">
        <v>38</v>
      </c>
      <c r="T480" s="1682" t="s">
        <v>38</v>
      </c>
      <c r="U480" s="1713" t="s">
        <v>38</v>
      </c>
      <c r="V480" s="1681" t="s">
        <v>38</v>
      </c>
      <c r="W480" s="1713" t="s">
        <v>38</v>
      </c>
      <c r="X480" s="810" t="s">
        <v>38</v>
      </c>
      <c r="Y480" s="428" t="s">
        <v>159</v>
      </c>
      <c r="Z480" s="733" t="s">
        <v>336</v>
      </c>
      <c r="AA480" s="970" t="s">
        <v>38</v>
      </c>
      <c r="AB480" s="1919"/>
      <c r="AC480" s="1153"/>
      <c r="AD480" s="1251"/>
      <c r="AE480" s="1252"/>
      <c r="AF480" s="1252"/>
      <c r="AG480" s="1252"/>
      <c r="AH480" s="1795"/>
      <c r="AI480" s="1775"/>
      <c r="AJ480" s="1252"/>
      <c r="AK480" s="1252"/>
      <c r="AL480" s="1095"/>
      <c r="AM480" s="1095"/>
      <c r="AN480" s="1095"/>
      <c r="AO480" s="1095"/>
      <c r="AP480" s="1095"/>
      <c r="AQ480" s="1106"/>
      <c r="AR480" s="1097"/>
      <c r="AS480" s="1097"/>
      <c r="AT480" s="181"/>
      <c r="AU480" s="181"/>
      <c r="AV480" s="181"/>
      <c r="AW480" s="181"/>
      <c r="AX480" s="181"/>
      <c r="AY480" s="181"/>
      <c r="AZ480" s="181"/>
      <c r="BA480" s="181"/>
      <c r="BB480" s="181"/>
      <c r="BC480" s="181"/>
      <c r="BD480" s="181"/>
      <c r="BE480" s="181"/>
      <c r="BF480" s="181"/>
      <c r="BG480" s="181"/>
      <c r="BH480" s="181"/>
      <c r="BI480" s="181"/>
      <c r="BJ480" s="181"/>
      <c r="BK480" s="181"/>
      <c r="BL480" s="181"/>
      <c r="BM480" s="181"/>
      <c r="BN480" s="181"/>
      <c r="BO480" s="181"/>
      <c r="BP480" s="181"/>
      <c r="BQ480" s="181"/>
      <c r="BR480" s="181"/>
      <c r="BS480" s="181"/>
      <c r="BT480" s="181"/>
      <c r="BU480" s="181"/>
      <c r="BV480" s="181"/>
    </row>
    <row r="481" spans="1:75" s="181" customFormat="1" ht="15" customHeight="1" x14ac:dyDescent="0.25">
      <c r="A481" s="551"/>
      <c r="B481" s="1578"/>
      <c r="C481" s="1097"/>
      <c r="D481" s="1145" t="s">
        <v>159</v>
      </c>
      <c r="E481" s="1146" t="str">
        <f t="shared" si="80"/>
        <v>N</v>
      </c>
      <c r="F481" s="1166"/>
      <c r="G481" s="886" t="s">
        <v>208</v>
      </c>
      <c r="H481" s="962" t="s">
        <v>208</v>
      </c>
      <c r="I481" s="886" t="s">
        <v>208</v>
      </c>
      <c r="J481" s="963" t="s">
        <v>208</v>
      </c>
      <c r="K481" s="886" t="s">
        <v>208</v>
      </c>
      <c r="L481" s="962" t="s">
        <v>208</v>
      </c>
      <c r="M481" s="886" t="s">
        <v>208</v>
      </c>
      <c r="N481" s="962" t="s">
        <v>208</v>
      </c>
      <c r="O481" s="886" t="s">
        <v>208</v>
      </c>
      <c r="P481" s="964" t="s">
        <v>208</v>
      </c>
      <c r="Q481" s="985" t="s">
        <v>38</v>
      </c>
      <c r="R481" s="962" t="s">
        <v>38</v>
      </c>
      <c r="S481" s="886" t="s">
        <v>38</v>
      </c>
      <c r="T481" s="963" t="s">
        <v>38</v>
      </c>
      <c r="U481" s="886" t="s">
        <v>38</v>
      </c>
      <c r="V481" s="962" t="s">
        <v>38</v>
      </c>
      <c r="W481" s="886" t="s">
        <v>38</v>
      </c>
      <c r="X481" s="812" t="s">
        <v>38</v>
      </c>
      <c r="Y481" s="430"/>
      <c r="Z481" s="1677" t="s">
        <v>152</v>
      </c>
      <c r="AA481" s="972" t="s">
        <v>38</v>
      </c>
      <c r="AB481" s="1925"/>
      <c r="AC481" s="1153"/>
      <c r="AD481" s="1269"/>
      <c r="AE481" s="1270"/>
      <c r="AF481" s="1270"/>
      <c r="AG481" s="1270"/>
      <c r="AH481" s="1796"/>
      <c r="AI481" s="1776"/>
      <c r="AJ481" s="1270"/>
      <c r="AK481" s="1270"/>
      <c r="AL481" s="1095"/>
      <c r="AM481" s="1095"/>
      <c r="AN481" s="1095"/>
      <c r="AO481" s="1095"/>
      <c r="AP481" s="1095"/>
      <c r="AQ481" s="1104"/>
      <c r="AR481" s="1105"/>
      <c r="AS481" s="1097"/>
      <c r="BW481" s="30"/>
    </row>
    <row r="482" spans="1:75" s="181" customFormat="1" ht="15" customHeight="1" x14ac:dyDescent="0.25">
      <c r="A482" s="551"/>
      <c r="B482" s="1578"/>
      <c r="C482" s="1097"/>
      <c r="D482" s="1145" t="s">
        <v>159</v>
      </c>
      <c r="E482" s="1146" t="str">
        <f t="shared" si="80"/>
        <v>N</v>
      </c>
      <c r="F482" s="1166"/>
      <c r="G482" s="886" t="s">
        <v>208</v>
      </c>
      <c r="H482" s="962" t="s">
        <v>208</v>
      </c>
      <c r="I482" s="886" t="s">
        <v>208</v>
      </c>
      <c r="J482" s="963" t="s">
        <v>208</v>
      </c>
      <c r="K482" s="886" t="s">
        <v>208</v>
      </c>
      <c r="L482" s="962" t="s">
        <v>208</v>
      </c>
      <c r="M482" s="886" t="s">
        <v>208</v>
      </c>
      <c r="N482" s="962" t="s">
        <v>208</v>
      </c>
      <c r="O482" s="886" t="s">
        <v>208</v>
      </c>
      <c r="P482" s="964" t="s">
        <v>208</v>
      </c>
      <c r="Q482" s="985" t="s">
        <v>38</v>
      </c>
      <c r="R482" s="962" t="s">
        <v>38</v>
      </c>
      <c r="S482" s="886" t="s">
        <v>38</v>
      </c>
      <c r="T482" s="963" t="s">
        <v>38</v>
      </c>
      <c r="U482" s="886" t="s">
        <v>38</v>
      </c>
      <c r="V482" s="962" t="s">
        <v>38</v>
      </c>
      <c r="W482" s="886" t="s">
        <v>38</v>
      </c>
      <c r="X482" s="812" t="s">
        <v>38</v>
      </c>
      <c r="Y482" s="430"/>
      <c r="Z482" s="1677" t="s">
        <v>153</v>
      </c>
      <c r="AA482" s="972" t="s">
        <v>38</v>
      </c>
      <c r="AB482" s="1925"/>
      <c r="AC482" s="1153"/>
      <c r="AD482" s="1269"/>
      <c r="AE482" s="1270"/>
      <c r="AF482" s="1270"/>
      <c r="AG482" s="1270"/>
      <c r="AH482" s="1796"/>
      <c r="AI482" s="1776"/>
      <c r="AJ482" s="1270"/>
      <c r="AK482" s="1270"/>
      <c r="AL482" s="1095"/>
      <c r="AM482" s="1095"/>
      <c r="AN482" s="1095"/>
      <c r="AO482" s="1095"/>
      <c r="AP482" s="1095"/>
      <c r="AQ482" s="1104"/>
      <c r="AR482" s="1105"/>
      <c r="AS482" s="1097"/>
      <c r="BW482" s="30"/>
    </row>
    <row r="483" spans="1:75" s="181" customFormat="1" ht="15" customHeight="1" x14ac:dyDescent="0.25">
      <c r="A483" s="551"/>
      <c r="B483" s="1578"/>
      <c r="C483" s="1097"/>
      <c r="D483" s="1145" t="s">
        <v>159</v>
      </c>
      <c r="E483" s="1146" t="str">
        <f t="shared" si="80"/>
        <v>N</v>
      </c>
      <c r="F483" s="1166"/>
      <c r="G483" s="886" t="s">
        <v>208</v>
      </c>
      <c r="H483" s="962" t="s">
        <v>208</v>
      </c>
      <c r="I483" s="886" t="s">
        <v>208</v>
      </c>
      <c r="J483" s="963" t="s">
        <v>208</v>
      </c>
      <c r="K483" s="886" t="s">
        <v>208</v>
      </c>
      <c r="L483" s="962" t="s">
        <v>208</v>
      </c>
      <c r="M483" s="886" t="s">
        <v>208</v>
      </c>
      <c r="N483" s="962" t="s">
        <v>208</v>
      </c>
      <c r="O483" s="886" t="s">
        <v>208</v>
      </c>
      <c r="P483" s="964" t="s">
        <v>208</v>
      </c>
      <c r="Q483" s="985" t="s">
        <v>38</v>
      </c>
      <c r="R483" s="962" t="s">
        <v>38</v>
      </c>
      <c r="S483" s="886" t="s">
        <v>38</v>
      </c>
      <c r="T483" s="963" t="s">
        <v>38</v>
      </c>
      <c r="U483" s="886" t="s">
        <v>38</v>
      </c>
      <c r="V483" s="962" t="s">
        <v>38</v>
      </c>
      <c r="W483" s="886" t="s">
        <v>38</v>
      </c>
      <c r="X483" s="812" t="s">
        <v>38</v>
      </c>
      <c r="Y483" s="430"/>
      <c r="Z483" s="1677" t="s">
        <v>157</v>
      </c>
      <c r="AA483" s="972" t="s">
        <v>38</v>
      </c>
      <c r="AB483" s="1925"/>
      <c r="AC483" s="1153"/>
      <c r="AD483" s="1269"/>
      <c r="AE483" s="1270"/>
      <c r="AF483" s="1270"/>
      <c r="AG483" s="1270"/>
      <c r="AH483" s="1796"/>
      <c r="AI483" s="1776"/>
      <c r="AJ483" s="1270"/>
      <c r="AK483" s="1270"/>
      <c r="AL483" s="1095"/>
      <c r="AM483" s="1095"/>
      <c r="AN483" s="1095"/>
      <c r="AO483" s="1095"/>
      <c r="AP483" s="1095"/>
      <c r="AQ483" s="1104"/>
      <c r="AR483" s="1105"/>
      <c r="AS483" s="1097"/>
      <c r="BW483" s="30"/>
    </row>
    <row r="484" spans="1:75" s="30" customFormat="1" ht="18.75" customHeight="1" x14ac:dyDescent="0.25">
      <c r="A484" s="545"/>
      <c r="B484" s="1579"/>
      <c r="C484" s="1097"/>
      <c r="D484" s="1142"/>
      <c r="E484" s="1144" t="str">
        <f t="shared" si="80"/>
        <v/>
      </c>
      <c r="F484" s="1124"/>
      <c r="G484" s="1708" t="s">
        <v>208</v>
      </c>
      <c r="H484" s="1709" t="s">
        <v>208</v>
      </c>
      <c r="I484" s="1708" t="s">
        <v>208</v>
      </c>
      <c r="J484" s="1710" t="s">
        <v>208</v>
      </c>
      <c r="K484" s="1708" t="s">
        <v>208</v>
      </c>
      <c r="L484" s="1709" t="s">
        <v>208</v>
      </c>
      <c r="M484" s="1708" t="s">
        <v>208</v>
      </c>
      <c r="N484" s="1709" t="s">
        <v>208</v>
      </c>
      <c r="O484" s="1708" t="s">
        <v>208</v>
      </c>
      <c r="P484" s="1711" t="s">
        <v>208</v>
      </c>
      <c r="Q484" s="1712" t="s">
        <v>208</v>
      </c>
      <c r="R484" s="1709" t="s">
        <v>208</v>
      </c>
      <c r="S484" s="1708" t="s">
        <v>208</v>
      </c>
      <c r="T484" s="1710" t="s">
        <v>208</v>
      </c>
      <c r="U484" s="1708" t="s">
        <v>208</v>
      </c>
      <c r="V484" s="1709" t="s">
        <v>208</v>
      </c>
      <c r="W484" s="1708" t="s">
        <v>208</v>
      </c>
      <c r="X484" s="816" t="s">
        <v>208</v>
      </c>
      <c r="Y484" s="437"/>
      <c r="Z484" s="597"/>
      <c r="AA484" s="973" t="s">
        <v>208</v>
      </c>
      <c r="AB484" s="1909"/>
      <c r="AC484" s="1153"/>
      <c r="AD484" s="1229"/>
      <c r="AE484" s="1230"/>
      <c r="AF484" s="1230"/>
      <c r="AG484" s="1230"/>
      <c r="AH484" s="1779"/>
      <c r="AI484" s="1761"/>
      <c r="AJ484" s="1230"/>
      <c r="AK484" s="1230"/>
      <c r="AL484" s="1095"/>
      <c r="AM484" s="1095"/>
      <c r="AN484" s="1095"/>
      <c r="AO484" s="1095"/>
      <c r="AP484" s="1095"/>
      <c r="AQ484" s="1106"/>
      <c r="AR484" s="1097"/>
      <c r="AS484" s="1097"/>
      <c r="AT484" s="181"/>
      <c r="AU484" s="181"/>
      <c r="AV484" s="181"/>
      <c r="AW484" s="181"/>
      <c r="AX484" s="181"/>
      <c r="AY484" s="181"/>
      <c r="AZ484" s="181"/>
      <c r="BA484" s="181"/>
      <c r="BB484" s="181"/>
      <c r="BC484" s="181"/>
      <c r="BD484" s="181"/>
      <c r="BE484" s="181"/>
      <c r="BF484" s="181"/>
      <c r="BG484" s="181"/>
      <c r="BH484" s="181"/>
      <c r="BI484" s="181"/>
      <c r="BJ484" s="181"/>
      <c r="BK484" s="181"/>
      <c r="BL484" s="181"/>
      <c r="BM484" s="181"/>
      <c r="BN484" s="181"/>
      <c r="BO484" s="181"/>
      <c r="BP484" s="181"/>
      <c r="BQ484" s="181"/>
      <c r="BR484" s="181"/>
      <c r="BS484" s="181"/>
      <c r="BT484" s="181"/>
      <c r="BU484" s="181"/>
      <c r="BV484" s="181"/>
    </row>
    <row r="485" spans="1:75" s="30" customFormat="1" ht="18.75" customHeight="1" x14ac:dyDescent="0.25">
      <c r="A485" s="545"/>
      <c r="B485" s="1579"/>
      <c r="C485" s="1097"/>
      <c r="D485" s="1142" t="s">
        <v>160</v>
      </c>
      <c r="E485" s="1143" t="str">
        <f t="shared" si="80"/>
        <v/>
      </c>
      <c r="F485" s="1124"/>
      <c r="G485" s="1713" t="s">
        <v>208</v>
      </c>
      <c r="H485" s="1681" t="s">
        <v>208</v>
      </c>
      <c r="I485" s="1713" t="s">
        <v>208</v>
      </c>
      <c r="J485" s="1682" t="s">
        <v>208</v>
      </c>
      <c r="K485" s="1713" t="s">
        <v>208</v>
      </c>
      <c r="L485" s="1681" t="s">
        <v>208</v>
      </c>
      <c r="M485" s="1713" t="s">
        <v>208</v>
      </c>
      <c r="N485" s="1681" t="s">
        <v>208</v>
      </c>
      <c r="O485" s="1713" t="s">
        <v>208</v>
      </c>
      <c r="P485" s="1683" t="s">
        <v>208</v>
      </c>
      <c r="Q485" s="1714" t="s">
        <v>38</v>
      </c>
      <c r="R485" s="1681" t="s">
        <v>38</v>
      </c>
      <c r="S485" s="1713" t="s">
        <v>37</v>
      </c>
      <c r="T485" s="1682" t="s">
        <v>37</v>
      </c>
      <c r="U485" s="1713" t="s">
        <v>38</v>
      </c>
      <c r="V485" s="1681" t="s">
        <v>38</v>
      </c>
      <c r="W485" s="1713" t="s">
        <v>38</v>
      </c>
      <c r="X485" s="810" t="s">
        <v>38</v>
      </c>
      <c r="Y485" s="428" t="s">
        <v>160</v>
      </c>
      <c r="Z485" s="579" t="s">
        <v>337</v>
      </c>
      <c r="AA485" s="970" t="s">
        <v>37</v>
      </c>
      <c r="AB485" s="1919"/>
      <c r="AC485" s="1153"/>
      <c r="AD485" s="1251"/>
      <c r="AE485" s="1252"/>
      <c r="AF485" s="1252"/>
      <c r="AG485" s="1252"/>
      <c r="AH485" s="1795"/>
      <c r="AI485" s="1775"/>
      <c r="AJ485" s="1252"/>
      <c r="AK485" s="1252"/>
      <c r="AL485" s="1095"/>
      <c r="AM485" s="1095"/>
      <c r="AN485" s="1095"/>
      <c r="AO485" s="1095"/>
      <c r="AP485" s="1095"/>
      <c r="AQ485" s="1106"/>
      <c r="AR485" s="1097"/>
      <c r="AS485" s="1097"/>
      <c r="AT485" s="181"/>
      <c r="AU485" s="181"/>
      <c r="AV485" s="181"/>
      <c r="AW485" s="181"/>
      <c r="AX485" s="181"/>
      <c r="AY485" s="181"/>
      <c r="AZ485" s="181"/>
      <c r="BA485" s="181"/>
      <c r="BB485" s="181"/>
      <c r="BC485" s="181"/>
      <c r="BD485" s="181"/>
      <c r="BE485" s="181"/>
      <c r="BF485" s="181"/>
      <c r="BG485" s="181"/>
      <c r="BH485" s="181"/>
      <c r="BI485" s="181"/>
      <c r="BJ485" s="181"/>
      <c r="BK485" s="181"/>
      <c r="BL485" s="181"/>
      <c r="BM485" s="181"/>
      <c r="BN485" s="181"/>
      <c r="BO485" s="181"/>
      <c r="BP485" s="181"/>
      <c r="BQ485" s="181"/>
      <c r="BR485" s="181"/>
      <c r="BS485" s="181"/>
      <c r="BT485" s="181"/>
      <c r="BU485" s="181"/>
      <c r="BV485" s="181"/>
    </row>
    <row r="486" spans="1:75" s="30" customFormat="1" ht="18.75" customHeight="1" x14ac:dyDescent="0.25">
      <c r="A486" s="545"/>
      <c r="B486" s="1579"/>
      <c r="C486" s="1097"/>
      <c r="D486" s="1142"/>
      <c r="E486" s="1144" t="str">
        <f t="shared" si="80"/>
        <v/>
      </c>
      <c r="F486" s="1124"/>
      <c r="G486" s="1708" t="s">
        <v>208</v>
      </c>
      <c r="H486" s="1709" t="s">
        <v>208</v>
      </c>
      <c r="I486" s="1708" t="s">
        <v>208</v>
      </c>
      <c r="J486" s="1710" t="s">
        <v>208</v>
      </c>
      <c r="K486" s="1708" t="s">
        <v>208</v>
      </c>
      <c r="L486" s="1709" t="s">
        <v>208</v>
      </c>
      <c r="M486" s="1708" t="s">
        <v>208</v>
      </c>
      <c r="N486" s="1709" t="s">
        <v>208</v>
      </c>
      <c r="O486" s="1708" t="s">
        <v>208</v>
      </c>
      <c r="P486" s="1711" t="s">
        <v>208</v>
      </c>
      <c r="Q486" s="1712" t="s">
        <v>208</v>
      </c>
      <c r="R486" s="1709" t="s">
        <v>208</v>
      </c>
      <c r="S486" s="1708" t="s">
        <v>208</v>
      </c>
      <c r="T486" s="1710" t="s">
        <v>208</v>
      </c>
      <c r="U486" s="1708" t="s">
        <v>208</v>
      </c>
      <c r="V486" s="1709" t="s">
        <v>208</v>
      </c>
      <c r="W486" s="1708" t="s">
        <v>208</v>
      </c>
      <c r="X486" s="816" t="s">
        <v>208</v>
      </c>
      <c r="Y486" s="437"/>
      <c r="Z486" s="597"/>
      <c r="AA486" s="973" t="s">
        <v>208</v>
      </c>
      <c r="AB486" s="1925"/>
      <c r="AC486" s="1153"/>
      <c r="AD486" s="1269"/>
      <c r="AE486" s="1270"/>
      <c r="AF486" s="1270"/>
      <c r="AG486" s="1270"/>
      <c r="AH486" s="1796"/>
      <c r="AI486" s="1776"/>
      <c r="AJ486" s="1270"/>
      <c r="AK486" s="1270"/>
      <c r="AL486" s="1095"/>
      <c r="AM486" s="1095"/>
      <c r="AN486" s="1095"/>
      <c r="AO486" s="1095"/>
      <c r="AP486" s="1095"/>
      <c r="AQ486" s="1106"/>
      <c r="AR486" s="1097"/>
      <c r="AS486" s="1097"/>
      <c r="AT486" s="181"/>
      <c r="AU486" s="181"/>
      <c r="AV486" s="181"/>
      <c r="AW486" s="181"/>
      <c r="AX486" s="181"/>
      <c r="AY486" s="181"/>
      <c r="AZ486" s="181"/>
      <c r="BA486" s="181"/>
      <c r="BB486" s="181"/>
      <c r="BC486" s="181"/>
      <c r="BD486" s="181"/>
      <c r="BE486" s="181"/>
      <c r="BF486" s="181"/>
      <c r="BG486" s="181"/>
      <c r="BH486" s="181"/>
      <c r="BI486" s="181"/>
      <c r="BJ486" s="181"/>
      <c r="BK486" s="181"/>
      <c r="BL486" s="181"/>
      <c r="BM486" s="181"/>
      <c r="BN486" s="181"/>
      <c r="BO486" s="181"/>
      <c r="BP486" s="181"/>
      <c r="BQ486" s="181"/>
      <c r="BR486" s="181"/>
      <c r="BS486" s="181"/>
      <c r="BT486" s="181"/>
      <c r="BU486" s="181"/>
      <c r="BV486" s="181"/>
    </row>
    <row r="487" spans="1:75" s="30" customFormat="1" ht="18.75" customHeight="1" x14ac:dyDescent="0.25">
      <c r="A487" s="545"/>
      <c r="B487" s="1579"/>
      <c r="C487" s="1097"/>
      <c r="D487" s="1142" t="s">
        <v>161</v>
      </c>
      <c r="E487" s="1143" t="str">
        <f t="shared" si="80"/>
        <v/>
      </c>
      <c r="F487" s="1124"/>
      <c r="G487" s="1713" t="s">
        <v>208</v>
      </c>
      <c r="H487" s="1681" t="s">
        <v>208</v>
      </c>
      <c r="I487" s="1713" t="s">
        <v>208</v>
      </c>
      <c r="J487" s="1682" t="s">
        <v>208</v>
      </c>
      <c r="K487" s="1713" t="s">
        <v>208</v>
      </c>
      <c r="L487" s="1681" t="s">
        <v>208</v>
      </c>
      <c r="M487" s="1713" t="s">
        <v>208</v>
      </c>
      <c r="N487" s="1681" t="s">
        <v>208</v>
      </c>
      <c r="O487" s="1713" t="s">
        <v>208</v>
      </c>
      <c r="P487" s="1683" t="s">
        <v>208</v>
      </c>
      <c r="Q487" s="1714" t="s">
        <v>38</v>
      </c>
      <c r="R487" s="1681" t="s">
        <v>38</v>
      </c>
      <c r="S487" s="1713" t="s">
        <v>37</v>
      </c>
      <c r="T487" s="1682" t="s">
        <v>37</v>
      </c>
      <c r="U487" s="1713" t="s">
        <v>38</v>
      </c>
      <c r="V487" s="1681" t="s">
        <v>38</v>
      </c>
      <c r="W487" s="1713" t="s">
        <v>38</v>
      </c>
      <c r="X487" s="810" t="s">
        <v>38</v>
      </c>
      <c r="Y487" s="428" t="s">
        <v>161</v>
      </c>
      <c r="Z487" s="579" t="s">
        <v>338</v>
      </c>
      <c r="AA487" s="970" t="s">
        <v>37</v>
      </c>
      <c r="AB487" s="1925"/>
      <c r="AC487" s="1153"/>
      <c r="AD487" s="1269"/>
      <c r="AE487" s="1270"/>
      <c r="AF487" s="1270"/>
      <c r="AG487" s="1270"/>
      <c r="AH487" s="1796"/>
      <c r="AI487" s="1776"/>
      <c r="AJ487" s="1270"/>
      <c r="AK487" s="1270"/>
      <c r="AL487" s="1095"/>
      <c r="AM487" s="1095"/>
      <c r="AN487" s="1095"/>
      <c r="AO487" s="1095"/>
      <c r="AP487" s="1095"/>
      <c r="AQ487" s="1106"/>
      <c r="AR487" s="1097"/>
      <c r="AS487" s="1097"/>
      <c r="AT487" s="181"/>
      <c r="AU487" s="181"/>
      <c r="AV487" s="181"/>
      <c r="AW487" s="181"/>
      <c r="AX487" s="181"/>
      <c r="AY487" s="181"/>
      <c r="AZ487" s="181"/>
      <c r="BA487" s="181"/>
      <c r="BB487" s="181"/>
      <c r="BC487" s="181"/>
      <c r="BD487" s="181"/>
      <c r="BE487" s="181"/>
      <c r="BF487" s="181"/>
      <c r="BG487" s="181"/>
      <c r="BH487" s="181"/>
      <c r="BI487" s="181"/>
      <c r="BJ487" s="181"/>
      <c r="BK487" s="181"/>
      <c r="BL487" s="181"/>
      <c r="BM487" s="181"/>
      <c r="BN487" s="181"/>
      <c r="BO487" s="181"/>
      <c r="BP487" s="181"/>
      <c r="BQ487" s="181"/>
      <c r="BR487" s="181"/>
      <c r="BS487" s="181"/>
      <c r="BT487" s="181"/>
      <c r="BU487" s="181"/>
      <c r="BV487" s="181"/>
    </row>
    <row r="488" spans="1:75" s="181" customFormat="1" ht="15" customHeight="1" x14ac:dyDescent="0.25">
      <c r="A488" s="551"/>
      <c r="B488" s="1578"/>
      <c r="C488" s="1097"/>
      <c r="D488" s="1145" t="s">
        <v>161</v>
      </c>
      <c r="E488" s="1146" t="str">
        <f t="shared" si="80"/>
        <v/>
      </c>
      <c r="F488" s="1166"/>
      <c r="G488" s="886" t="s">
        <v>208</v>
      </c>
      <c r="H488" s="962" t="s">
        <v>208</v>
      </c>
      <c r="I488" s="886" t="s">
        <v>208</v>
      </c>
      <c r="J488" s="963" t="s">
        <v>208</v>
      </c>
      <c r="K488" s="886" t="s">
        <v>208</v>
      </c>
      <c r="L488" s="962" t="s">
        <v>208</v>
      </c>
      <c r="M488" s="886" t="s">
        <v>208</v>
      </c>
      <c r="N488" s="962" t="s">
        <v>208</v>
      </c>
      <c r="O488" s="886" t="s">
        <v>208</v>
      </c>
      <c r="P488" s="964" t="s">
        <v>208</v>
      </c>
      <c r="Q488" s="985" t="s">
        <v>38</v>
      </c>
      <c r="R488" s="962" t="s">
        <v>38</v>
      </c>
      <c r="S488" s="886" t="s">
        <v>37</v>
      </c>
      <c r="T488" s="963" t="s">
        <v>37</v>
      </c>
      <c r="U488" s="886" t="s">
        <v>38</v>
      </c>
      <c r="V488" s="962" t="s">
        <v>38</v>
      </c>
      <c r="W488" s="886" t="s">
        <v>38</v>
      </c>
      <c r="X488" s="812" t="s">
        <v>38</v>
      </c>
      <c r="Y488" s="430"/>
      <c r="Z488" s="611" t="s">
        <v>318</v>
      </c>
      <c r="AA488" s="972" t="s">
        <v>37</v>
      </c>
      <c r="AB488" s="1925"/>
      <c r="AC488" s="1153"/>
      <c r="AD488" s="1269"/>
      <c r="AE488" s="1270"/>
      <c r="AF488" s="1270"/>
      <c r="AG488" s="1270"/>
      <c r="AH488" s="1796"/>
      <c r="AI488" s="1776"/>
      <c r="AJ488" s="1270"/>
      <c r="AK488" s="1270"/>
      <c r="AL488" s="1095"/>
      <c r="AM488" s="1095"/>
      <c r="AN488" s="1095"/>
      <c r="AO488" s="1095"/>
      <c r="AP488" s="1095"/>
      <c r="AQ488" s="1104"/>
      <c r="AR488" s="1105"/>
      <c r="AS488" s="1097"/>
      <c r="BW488" s="30"/>
    </row>
    <row r="489" spans="1:75" s="181" customFormat="1" ht="15" customHeight="1" x14ac:dyDescent="0.25">
      <c r="A489" s="551"/>
      <c r="B489" s="1578"/>
      <c r="C489" s="1097"/>
      <c r="D489" s="1145" t="s">
        <v>161</v>
      </c>
      <c r="E489" s="1146" t="str">
        <f t="shared" si="80"/>
        <v/>
      </c>
      <c r="F489" s="1166"/>
      <c r="G489" s="886" t="s">
        <v>208</v>
      </c>
      <c r="H489" s="962" t="s">
        <v>208</v>
      </c>
      <c r="I489" s="886" t="s">
        <v>208</v>
      </c>
      <c r="J489" s="963" t="s">
        <v>208</v>
      </c>
      <c r="K489" s="886" t="s">
        <v>208</v>
      </c>
      <c r="L489" s="962" t="s">
        <v>208</v>
      </c>
      <c r="M489" s="886" t="s">
        <v>208</v>
      </c>
      <c r="N489" s="962" t="s">
        <v>208</v>
      </c>
      <c r="O489" s="886" t="s">
        <v>208</v>
      </c>
      <c r="P489" s="964" t="s">
        <v>208</v>
      </c>
      <c r="Q489" s="985" t="s">
        <v>38</v>
      </c>
      <c r="R489" s="962" t="s">
        <v>38</v>
      </c>
      <c r="S489" s="886" t="s">
        <v>37</v>
      </c>
      <c r="T489" s="963" t="str">
        <f>IF(OR(ISNUMBER(SEARCH("Contractor",Const_Delivery_Method))=TRUE,ISNUMBER(SEARCH("JOC",Const_Delivery_Method))=TRUE,ISNUMBER(SEARCH("CS",Const_Delivery_Method))=TRUE,ISNUMBER(SEARCH("House",Const_Delivery_Method))=TRUE),"N","Y")</f>
        <v>Y</v>
      </c>
      <c r="U489" s="886" t="s">
        <v>38</v>
      </c>
      <c r="V489" s="962" t="s">
        <v>38</v>
      </c>
      <c r="W489" s="886" t="s">
        <v>38</v>
      </c>
      <c r="X489" s="812" t="s">
        <v>38</v>
      </c>
      <c r="Y489" s="430"/>
      <c r="Z489" s="611" t="s">
        <v>319</v>
      </c>
      <c r="AA489" s="972" t="s">
        <v>37</v>
      </c>
      <c r="AB489" s="1925"/>
      <c r="AC489" s="1153"/>
      <c r="AD489" s="1269"/>
      <c r="AE489" s="1270"/>
      <c r="AF489" s="1270"/>
      <c r="AG489" s="1270"/>
      <c r="AH489" s="1796"/>
      <c r="AI489" s="1776"/>
      <c r="AJ489" s="1270"/>
      <c r="AK489" s="1270"/>
      <c r="AL489" s="1095"/>
      <c r="AM489" s="1095"/>
      <c r="AN489" s="1095"/>
      <c r="AO489" s="1095"/>
      <c r="AP489" s="1095"/>
      <c r="AQ489" s="1104"/>
      <c r="AR489" s="1105"/>
      <c r="AS489" s="1097"/>
      <c r="BW489" s="30"/>
    </row>
    <row r="490" spans="1:75" s="181" customFormat="1" ht="15" customHeight="1" x14ac:dyDescent="0.25">
      <c r="A490" s="551"/>
      <c r="B490" s="1578"/>
      <c r="C490" s="1097"/>
      <c r="D490" s="1145" t="s">
        <v>161</v>
      </c>
      <c r="E490" s="1146" t="str">
        <f t="shared" si="80"/>
        <v/>
      </c>
      <c r="F490" s="1166"/>
      <c r="G490" s="886" t="s">
        <v>208</v>
      </c>
      <c r="H490" s="962" t="s">
        <v>208</v>
      </c>
      <c r="I490" s="886" t="s">
        <v>208</v>
      </c>
      <c r="J490" s="963" t="s">
        <v>208</v>
      </c>
      <c r="K490" s="886" t="s">
        <v>208</v>
      </c>
      <c r="L490" s="962" t="s">
        <v>208</v>
      </c>
      <c r="M490" s="886" t="s">
        <v>208</v>
      </c>
      <c r="N490" s="962" t="s">
        <v>208</v>
      </c>
      <c r="O490" s="886" t="s">
        <v>208</v>
      </c>
      <c r="P490" s="964" t="s">
        <v>208</v>
      </c>
      <c r="Q490" s="985" t="s">
        <v>38</v>
      </c>
      <c r="R490" s="962" t="s">
        <v>38</v>
      </c>
      <c r="S490" s="886" t="s">
        <v>37</v>
      </c>
      <c r="T490" s="963" t="s">
        <v>37</v>
      </c>
      <c r="U490" s="886" t="s">
        <v>38</v>
      </c>
      <c r="V490" s="962" t="s">
        <v>38</v>
      </c>
      <c r="W490" s="886" t="s">
        <v>38</v>
      </c>
      <c r="X490" s="812" t="s">
        <v>38</v>
      </c>
      <c r="Y490" s="430"/>
      <c r="Z490" s="611" t="s">
        <v>1078</v>
      </c>
      <c r="AA490" s="972" t="s">
        <v>37</v>
      </c>
      <c r="AB490" s="1925"/>
      <c r="AC490" s="1153"/>
      <c r="AD490" s="1269"/>
      <c r="AE490" s="1270"/>
      <c r="AF490" s="1270"/>
      <c r="AG490" s="1270"/>
      <c r="AH490" s="1796"/>
      <c r="AI490" s="1776"/>
      <c r="AJ490" s="1270"/>
      <c r="AK490" s="1270"/>
      <c r="AL490" s="1095"/>
      <c r="AM490" s="1095"/>
      <c r="AN490" s="1095"/>
      <c r="AO490" s="1095"/>
      <c r="AP490" s="1095"/>
      <c r="AQ490" s="1104"/>
      <c r="AR490" s="1105"/>
      <c r="AS490" s="1097"/>
      <c r="BW490" s="30"/>
    </row>
    <row r="491" spans="1:75" s="181" customFormat="1" ht="15" customHeight="1" x14ac:dyDescent="0.25">
      <c r="A491" s="551"/>
      <c r="B491" s="1578"/>
      <c r="C491" s="1097"/>
      <c r="D491" s="1145" t="s">
        <v>161</v>
      </c>
      <c r="E491" s="1146" t="str">
        <f t="shared" si="80"/>
        <v/>
      </c>
      <c r="F491" s="1166"/>
      <c r="G491" s="886" t="s">
        <v>208</v>
      </c>
      <c r="H491" s="962" t="s">
        <v>208</v>
      </c>
      <c r="I491" s="886" t="s">
        <v>208</v>
      </c>
      <c r="J491" s="963" t="s">
        <v>208</v>
      </c>
      <c r="K491" s="886" t="s">
        <v>208</v>
      </c>
      <c r="L491" s="962" t="s">
        <v>208</v>
      </c>
      <c r="M491" s="886" t="s">
        <v>208</v>
      </c>
      <c r="N491" s="962" t="s">
        <v>208</v>
      </c>
      <c r="O491" s="886" t="s">
        <v>208</v>
      </c>
      <c r="P491" s="964" t="s">
        <v>208</v>
      </c>
      <c r="Q491" s="985" t="s">
        <v>38</v>
      </c>
      <c r="R491" s="962" t="s">
        <v>38</v>
      </c>
      <c r="S491" s="886" t="s">
        <v>37</v>
      </c>
      <c r="T491" s="963" t="s">
        <v>37</v>
      </c>
      <c r="U491" s="886" t="s">
        <v>38</v>
      </c>
      <c r="V491" s="962" t="s">
        <v>38</v>
      </c>
      <c r="W491" s="886" t="s">
        <v>38</v>
      </c>
      <c r="X491" s="812" t="s">
        <v>38</v>
      </c>
      <c r="Y491" s="430"/>
      <c r="Z491" s="611" t="s">
        <v>1079</v>
      </c>
      <c r="AA491" s="972" t="s">
        <v>37</v>
      </c>
      <c r="AB491" s="1925"/>
      <c r="AC491" s="1153"/>
      <c r="AD491" s="1269"/>
      <c r="AE491" s="1270"/>
      <c r="AF491" s="1270"/>
      <c r="AG491" s="1270"/>
      <c r="AH491" s="1796"/>
      <c r="AI491" s="1776"/>
      <c r="AJ491" s="1270"/>
      <c r="AK491" s="1270"/>
      <c r="AL491" s="1095"/>
      <c r="AM491" s="1095"/>
      <c r="AN491" s="1095"/>
      <c r="AO491" s="1095"/>
      <c r="AP491" s="1095"/>
      <c r="AQ491" s="1104"/>
      <c r="AR491" s="1105"/>
      <c r="AS491" s="1097"/>
      <c r="BW491" s="30"/>
    </row>
    <row r="492" spans="1:75" s="181" customFormat="1" ht="15" customHeight="1" x14ac:dyDescent="0.25">
      <c r="A492" s="551"/>
      <c r="B492" s="1578"/>
      <c r="C492" s="1097"/>
      <c r="D492" s="1145" t="s">
        <v>161</v>
      </c>
      <c r="E492" s="1146" t="str">
        <f t="shared" si="80"/>
        <v>N</v>
      </c>
      <c r="F492" s="1166"/>
      <c r="G492" s="886" t="s">
        <v>208</v>
      </c>
      <c r="H492" s="962" t="s">
        <v>208</v>
      </c>
      <c r="I492" s="886" t="s">
        <v>208</v>
      </c>
      <c r="J492" s="963" t="s">
        <v>208</v>
      </c>
      <c r="K492" s="886" t="s">
        <v>208</v>
      </c>
      <c r="L492" s="962" t="s">
        <v>208</v>
      </c>
      <c r="M492" s="886" t="s">
        <v>208</v>
      </c>
      <c r="N492" s="962" t="s">
        <v>208</v>
      </c>
      <c r="O492" s="886" t="s">
        <v>208</v>
      </c>
      <c r="P492" s="964" t="s">
        <v>208</v>
      </c>
      <c r="Q492" s="985" t="s">
        <v>38</v>
      </c>
      <c r="R492" s="962" t="s">
        <v>38</v>
      </c>
      <c r="S492" s="886" t="s">
        <v>38</v>
      </c>
      <c r="T492" s="963" t="s">
        <v>37</v>
      </c>
      <c r="U492" s="886" t="s">
        <v>38</v>
      </c>
      <c r="V492" s="962" t="s">
        <v>38</v>
      </c>
      <c r="W492" s="886" t="s">
        <v>38</v>
      </c>
      <c r="X492" s="812" t="s">
        <v>38</v>
      </c>
      <c r="Y492" s="430"/>
      <c r="Z492" s="1653" t="s">
        <v>305</v>
      </c>
      <c r="AA492" s="1004" t="s">
        <v>38</v>
      </c>
      <c r="AB492" s="1925"/>
      <c r="AC492" s="1153"/>
      <c r="AD492" s="1269"/>
      <c r="AE492" s="1270"/>
      <c r="AF492" s="1270"/>
      <c r="AG492" s="1270"/>
      <c r="AH492" s="1796"/>
      <c r="AI492" s="1776"/>
      <c r="AJ492" s="1270"/>
      <c r="AK492" s="1270"/>
      <c r="AL492" s="1095"/>
      <c r="AM492" s="1095"/>
      <c r="AN492" s="1095"/>
      <c r="AO492" s="1095"/>
      <c r="AP492" s="1095"/>
      <c r="AQ492" s="1104"/>
      <c r="AR492" s="1105"/>
      <c r="AS492" s="1097"/>
      <c r="BW492" s="30"/>
    </row>
    <row r="493" spans="1:75" s="181" customFormat="1" ht="15" customHeight="1" x14ac:dyDescent="0.25">
      <c r="A493" s="551"/>
      <c r="B493" s="1578"/>
      <c r="C493" s="1097"/>
      <c r="D493" s="1145" t="s">
        <v>161</v>
      </c>
      <c r="E493" s="1146" t="str">
        <f t="shared" si="80"/>
        <v>N</v>
      </c>
      <c r="F493" s="1166"/>
      <c r="G493" s="886" t="s">
        <v>208</v>
      </c>
      <c r="H493" s="962" t="s">
        <v>208</v>
      </c>
      <c r="I493" s="886" t="s">
        <v>208</v>
      </c>
      <c r="J493" s="963" t="s">
        <v>208</v>
      </c>
      <c r="K493" s="886" t="s">
        <v>208</v>
      </c>
      <c r="L493" s="962" t="s">
        <v>208</v>
      </c>
      <c r="M493" s="886" t="s">
        <v>208</v>
      </c>
      <c r="N493" s="962" t="s">
        <v>208</v>
      </c>
      <c r="O493" s="886" t="s">
        <v>208</v>
      </c>
      <c r="P493" s="964" t="s">
        <v>208</v>
      </c>
      <c r="Q493" s="985" t="s">
        <v>38</v>
      </c>
      <c r="R493" s="962" t="s">
        <v>38</v>
      </c>
      <c r="S493" s="886" t="s">
        <v>38</v>
      </c>
      <c r="T493" s="963" t="s">
        <v>37</v>
      </c>
      <c r="U493" s="886" t="s">
        <v>38</v>
      </c>
      <c r="V493" s="962" t="s">
        <v>38</v>
      </c>
      <c r="W493" s="886" t="s">
        <v>38</v>
      </c>
      <c r="X493" s="812" t="s">
        <v>38</v>
      </c>
      <c r="Y493" s="430"/>
      <c r="Z493" s="1653" t="s">
        <v>305</v>
      </c>
      <c r="AA493" s="1004" t="s">
        <v>38</v>
      </c>
      <c r="AB493" s="1925"/>
      <c r="AC493" s="1153"/>
      <c r="AD493" s="1269"/>
      <c r="AE493" s="1270"/>
      <c r="AF493" s="1270"/>
      <c r="AG493" s="1270"/>
      <c r="AH493" s="1796"/>
      <c r="AI493" s="1776"/>
      <c r="AJ493" s="1270"/>
      <c r="AK493" s="1270"/>
      <c r="AL493" s="1095"/>
      <c r="AM493" s="1095"/>
      <c r="AN493" s="1095"/>
      <c r="AO493" s="1095"/>
      <c r="AP493" s="1095"/>
      <c r="AQ493" s="1104"/>
      <c r="AR493" s="1105"/>
      <c r="AS493" s="1097"/>
      <c r="BW493" s="30"/>
    </row>
    <row r="494" spans="1:75" s="30" customFormat="1" ht="18.75" customHeight="1" x14ac:dyDescent="0.25">
      <c r="A494" s="545"/>
      <c r="B494" s="1579"/>
      <c r="C494" s="1097"/>
      <c r="D494" s="1142"/>
      <c r="E494" s="1144" t="str">
        <f t="shared" si="80"/>
        <v/>
      </c>
      <c r="F494" s="1124"/>
      <c r="G494" s="1708" t="s">
        <v>208</v>
      </c>
      <c r="H494" s="1709" t="s">
        <v>208</v>
      </c>
      <c r="I494" s="1708" t="s">
        <v>208</v>
      </c>
      <c r="J494" s="1710" t="s">
        <v>208</v>
      </c>
      <c r="K494" s="1708" t="s">
        <v>208</v>
      </c>
      <c r="L494" s="1709" t="s">
        <v>208</v>
      </c>
      <c r="M494" s="1708" t="s">
        <v>208</v>
      </c>
      <c r="N494" s="1709" t="s">
        <v>208</v>
      </c>
      <c r="O494" s="1708" t="s">
        <v>208</v>
      </c>
      <c r="P494" s="1711" t="s">
        <v>208</v>
      </c>
      <c r="Q494" s="1712" t="s">
        <v>208</v>
      </c>
      <c r="R494" s="1709" t="s">
        <v>208</v>
      </c>
      <c r="S494" s="1708" t="s">
        <v>208</v>
      </c>
      <c r="T494" s="1710" t="s">
        <v>208</v>
      </c>
      <c r="U494" s="1708" t="s">
        <v>208</v>
      </c>
      <c r="V494" s="1709" t="s">
        <v>208</v>
      </c>
      <c r="W494" s="1708" t="s">
        <v>208</v>
      </c>
      <c r="X494" s="816" t="s">
        <v>208</v>
      </c>
      <c r="Y494" s="437"/>
      <c r="Z494" s="597"/>
      <c r="AA494" s="973" t="s">
        <v>208</v>
      </c>
      <c r="AB494" s="1909"/>
      <c r="AC494" s="1153"/>
      <c r="AD494" s="1229"/>
      <c r="AE494" s="1230"/>
      <c r="AF494" s="1230"/>
      <c r="AG494" s="1230"/>
      <c r="AH494" s="1779"/>
      <c r="AI494" s="1761"/>
      <c r="AJ494" s="1230"/>
      <c r="AK494" s="1230"/>
      <c r="AL494" s="1095"/>
      <c r="AM494" s="1095"/>
      <c r="AN494" s="1095"/>
      <c r="AO494" s="1095"/>
      <c r="AP494" s="1095"/>
      <c r="AQ494" s="1106"/>
      <c r="AR494" s="1097"/>
      <c r="AS494" s="1097"/>
      <c r="AT494" s="181"/>
      <c r="AU494" s="181"/>
      <c r="AV494" s="181"/>
      <c r="AW494" s="181"/>
      <c r="AX494" s="181"/>
      <c r="AY494" s="181"/>
      <c r="AZ494" s="181"/>
      <c r="BA494" s="181"/>
      <c r="BB494" s="181"/>
      <c r="BC494" s="181"/>
      <c r="BD494" s="181"/>
      <c r="BE494" s="181"/>
      <c r="BF494" s="181"/>
      <c r="BG494" s="181"/>
      <c r="BH494" s="181"/>
      <c r="BI494" s="181"/>
      <c r="BJ494" s="181"/>
      <c r="BK494" s="181"/>
      <c r="BL494" s="181"/>
      <c r="BM494" s="181"/>
      <c r="BN494" s="181"/>
      <c r="BO494" s="181"/>
      <c r="BP494" s="181"/>
      <c r="BQ494" s="181"/>
      <c r="BR494" s="181"/>
      <c r="BS494" s="181"/>
      <c r="BT494" s="181"/>
      <c r="BU494" s="181"/>
      <c r="BV494" s="181"/>
    </row>
    <row r="495" spans="1:75" s="30" customFormat="1" ht="21" customHeight="1" x14ac:dyDescent="0.25">
      <c r="A495" s="545"/>
      <c r="B495" s="1579"/>
      <c r="C495" s="1097"/>
      <c r="D495" s="1142" t="s">
        <v>376</v>
      </c>
      <c r="E495" s="1143" t="str">
        <f t="shared" si="80"/>
        <v/>
      </c>
      <c r="F495" s="1124"/>
      <c r="G495" s="1713" t="s">
        <v>208</v>
      </c>
      <c r="H495" s="1681" t="s">
        <v>208</v>
      </c>
      <c r="I495" s="1713" t="s">
        <v>208</v>
      </c>
      <c r="J495" s="1682" t="s">
        <v>208</v>
      </c>
      <c r="K495" s="1713" t="s">
        <v>208</v>
      </c>
      <c r="L495" s="1681" t="s">
        <v>208</v>
      </c>
      <c r="M495" s="1713" t="s">
        <v>208</v>
      </c>
      <c r="N495" s="1681" t="s">
        <v>208</v>
      </c>
      <c r="O495" s="1713" t="s">
        <v>208</v>
      </c>
      <c r="P495" s="1683" t="s">
        <v>208</v>
      </c>
      <c r="Q495" s="1714" t="s">
        <v>38</v>
      </c>
      <c r="R495" s="1681" t="s">
        <v>38</v>
      </c>
      <c r="S495" s="1713" t="s">
        <v>37</v>
      </c>
      <c r="T495" s="1682" t="s">
        <v>37</v>
      </c>
      <c r="U495" s="1713" t="s">
        <v>38</v>
      </c>
      <c r="V495" s="1681" t="s">
        <v>38</v>
      </c>
      <c r="W495" s="1713" t="s">
        <v>38</v>
      </c>
      <c r="X495" s="810" t="s">
        <v>38</v>
      </c>
      <c r="Y495" s="428" t="s">
        <v>162</v>
      </c>
      <c r="Z495" s="579" t="s">
        <v>339</v>
      </c>
      <c r="AA495" s="970" t="s">
        <v>37</v>
      </c>
      <c r="AB495" s="1919"/>
      <c r="AC495" s="1153"/>
      <c r="AD495" s="1251"/>
      <c r="AE495" s="1252"/>
      <c r="AF495" s="1252"/>
      <c r="AG495" s="1252"/>
      <c r="AH495" s="1795"/>
      <c r="AI495" s="1775"/>
      <c r="AJ495" s="1252"/>
      <c r="AK495" s="1252"/>
      <c r="AL495" s="1095"/>
      <c r="AM495" s="1095"/>
      <c r="AN495" s="1095"/>
      <c r="AO495" s="1095"/>
      <c r="AP495" s="1095"/>
      <c r="AQ495" s="1106"/>
      <c r="AR495" s="1097"/>
      <c r="AS495" s="1097"/>
      <c r="AT495" s="181"/>
      <c r="AU495" s="181"/>
      <c r="AV495" s="181"/>
      <c r="AW495" s="181"/>
      <c r="AX495" s="181"/>
      <c r="AY495" s="181"/>
      <c r="AZ495" s="181"/>
      <c r="BA495" s="181"/>
      <c r="BB495" s="181"/>
      <c r="BC495" s="181"/>
      <c r="BD495" s="181"/>
      <c r="BE495" s="181"/>
      <c r="BF495" s="181"/>
      <c r="BG495" s="181"/>
      <c r="BH495" s="181"/>
      <c r="BI495" s="181"/>
      <c r="BJ495" s="181"/>
      <c r="BK495" s="181"/>
      <c r="BL495" s="181"/>
      <c r="BM495" s="181"/>
      <c r="BN495" s="181"/>
      <c r="BO495" s="181"/>
      <c r="BP495" s="181"/>
      <c r="BQ495" s="181"/>
      <c r="BR495" s="181"/>
      <c r="BS495" s="181"/>
      <c r="BT495" s="181"/>
      <c r="BU495" s="181"/>
      <c r="BV495" s="181"/>
    </row>
    <row r="496" spans="1:75" s="181" customFormat="1" ht="15" customHeight="1" x14ac:dyDescent="0.25">
      <c r="A496" s="551"/>
      <c r="B496" s="1578"/>
      <c r="C496" s="1097"/>
      <c r="D496" s="1145" t="s">
        <v>162</v>
      </c>
      <c r="E496" s="1146" t="str">
        <f t="shared" si="80"/>
        <v/>
      </c>
      <c r="F496" s="1166"/>
      <c r="G496" s="886" t="s">
        <v>208</v>
      </c>
      <c r="H496" s="962" t="s">
        <v>208</v>
      </c>
      <c r="I496" s="886" t="s">
        <v>208</v>
      </c>
      <c r="J496" s="963" t="s">
        <v>208</v>
      </c>
      <c r="K496" s="886" t="s">
        <v>208</v>
      </c>
      <c r="L496" s="962" t="s">
        <v>208</v>
      </c>
      <c r="M496" s="886" t="s">
        <v>208</v>
      </c>
      <c r="N496" s="962" t="s">
        <v>208</v>
      </c>
      <c r="O496" s="886" t="s">
        <v>208</v>
      </c>
      <c r="P496" s="964" t="s">
        <v>208</v>
      </c>
      <c r="Q496" s="985" t="s">
        <v>38</v>
      </c>
      <c r="R496" s="962" t="s">
        <v>38</v>
      </c>
      <c r="S496" s="886" t="s">
        <v>37</v>
      </c>
      <c r="T496" s="963" t="s">
        <v>37</v>
      </c>
      <c r="U496" s="886" t="s">
        <v>38</v>
      </c>
      <c r="V496" s="962" t="s">
        <v>38</v>
      </c>
      <c r="W496" s="886" t="s">
        <v>38</v>
      </c>
      <c r="X496" s="812" t="s">
        <v>38</v>
      </c>
      <c r="Y496" s="430"/>
      <c r="Z496" s="611" t="s">
        <v>209</v>
      </c>
      <c r="AA496" s="972" t="s">
        <v>37</v>
      </c>
      <c r="AB496" s="1925"/>
      <c r="AC496" s="1153"/>
      <c r="AD496" s="1269"/>
      <c r="AE496" s="1270"/>
      <c r="AF496" s="1270"/>
      <c r="AG496" s="1270"/>
      <c r="AH496" s="1796"/>
      <c r="AI496" s="1776"/>
      <c r="AJ496" s="1270"/>
      <c r="AK496" s="1270"/>
      <c r="AL496" s="1095"/>
      <c r="AM496" s="1095"/>
      <c r="AN496" s="1095"/>
      <c r="AO496" s="1095"/>
      <c r="AP496" s="1095"/>
      <c r="AQ496" s="1104"/>
      <c r="AR496" s="1105"/>
      <c r="AS496" s="1097"/>
      <c r="BW496" s="30"/>
    </row>
    <row r="497" spans="1:75" s="181" customFormat="1" ht="15" customHeight="1" x14ac:dyDescent="0.25">
      <c r="A497" s="551"/>
      <c r="B497" s="1578"/>
      <c r="C497" s="1097"/>
      <c r="D497" s="1145" t="s">
        <v>162</v>
      </c>
      <c r="E497" s="1146" t="str">
        <f t="shared" si="80"/>
        <v/>
      </c>
      <c r="F497" s="1166"/>
      <c r="G497" s="886" t="s">
        <v>208</v>
      </c>
      <c r="H497" s="962" t="s">
        <v>208</v>
      </c>
      <c r="I497" s="886" t="s">
        <v>208</v>
      </c>
      <c r="J497" s="963" t="s">
        <v>208</v>
      </c>
      <c r="K497" s="886" t="s">
        <v>208</v>
      </c>
      <c r="L497" s="962" t="s">
        <v>208</v>
      </c>
      <c r="M497" s="886" t="s">
        <v>208</v>
      </c>
      <c r="N497" s="962" t="s">
        <v>208</v>
      </c>
      <c r="O497" s="886" t="s">
        <v>208</v>
      </c>
      <c r="P497" s="964" t="s">
        <v>208</v>
      </c>
      <c r="Q497" s="985" t="s">
        <v>38</v>
      </c>
      <c r="R497" s="962" t="s">
        <v>38</v>
      </c>
      <c r="S497" s="886" t="s">
        <v>37</v>
      </c>
      <c r="T497" s="963" t="s">
        <v>37</v>
      </c>
      <c r="U497" s="886" t="s">
        <v>38</v>
      </c>
      <c r="V497" s="962" t="s">
        <v>38</v>
      </c>
      <c r="W497" s="886" t="s">
        <v>38</v>
      </c>
      <c r="X497" s="812" t="s">
        <v>38</v>
      </c>
      <c r="Y497" s="430"/>
      <c r="Z497" s="611" t="s">
        <v>211</v>
      </c>
      <c r="AA497" s="972" t="s">
        <v>37</v>
      </c>
      <c r="AB497" s="1925"/>
      <c r="AC497" s="1153"/>
      <c r="AD497" s="1269"/>
      <c r="AE497" s="1270"/>
      <c r="AF497" s="1270"/>
      <c r="AG497" s="1270"/>
      <c r="AH497" s="1796"/>
      <c r="AI497" s="1776"/>
      <c r="AJ497" s="1270"/>
      <c r="AK497" s="1270"/>
      <c r="AL497" s="1095"/>
      <c r="AM497" s="1095"/>
      <c r="AN497" s="1095"/>
      <c r="AO497" s="1095"/>
      <c r="AP497" s="1095"/>
      <c r="AQ497" s="1104"/>
      <c r="AR497" s="1105"/>
      <c r="AS497" s="1097"/>
      <c r="BW497" s="30"/>
    </row>
    <row r="498" spans="1:75" s="181" customFormat="1" ht="15" customHeight="1" x14ac:dyDescent="0.25">
      <c r="A498" s="551"/>
      <c r="B498" s="1578"/>
      <c r="C498" s="1097"/>
      <c r="D498" s="1145" t="s">
        <v>162</v>
      </c>
      <c r="E498" s="1146" t="str">
        <f t="shared" si="80"/>
        <v/>
      </c>
      <c r="F498" s="1166"/>
      <c r="G498" s="886" t="s">
        <v>208</v>
      </c>
      <c r="H498" s="962" t="s">
        <v>208</v>
      </c>
      <c r="I498" s="886" t="s">
        <v>208</v>
      </c>
      <c r="J498" s="963" t="s">
        <v>208</v>
      </c>
      <c r="K498" s="886" t="s">
        <v>208</v>
      </c>
      <c r="L498" s="962" t="s">
        <v>208</v>
      </c>
      <c r="M498" s="886" t="s">
        <v>208</v>
      </c>
      <c r="N498" s="962" t="s">
        <v>208</v>
      </c>
      <c r="O498" s="886" t="s">
        <v>208</v>
      </c>
      <c r="P498" s="964" t="s">
        <v>208</v>
      </c>
      <c r="Q498" s="985" t="s">
        <v>38</v>
      </c>
      <c r="R498" s="962" t="s">
        <v>38</v>
      </c>
      <c r="S498" s="886" t="s">
        <v>37</v>
      </c>
      <c r="T498" s="963" t="s">
        <v>37</v>
      </c>
      <c r="U498" s="886" t="s">
        <v>38</v>
      </c>
      <c r="V498" s="962" t="s">
        <v>38</v>
      </c>
      <c r="W498" s="886" t="s">
        <v>38</v>
      </c>
      <c r="X498" s="812" t="s">
        <v>38</v>
      </c>
      <c r="Y498" s="430"/>
      <c r="Z498" s="611" t="s">
        <v>210</v>
      </c>
      <c r="AA498" s="972" t="s">
        <v>37</v>
      </c>
      <c r="AB498" s="1925"/>
      <c r="AC498" s="1153"/>
      <c r="AD498" s="1269"/>
      <c r="AE498" s="1270"/>
      <c r="AF498" s="1270"/>
      <c r="AG498" s="1270"/>
      <c r="AH498" s="1796"/>
      <c r="AI498" s="1776"/>
      <c r="AJ498" s="1270"/>
      <c r="AK498" s="1270"/>
      <c r="AL498" s="1095"/>
      <c r="AM498" s="1095"/>
      <c r="AN498" s="1095"/>
      <c r="AO498" s="1095"/>
      <c r="AP498" s="1095"/>
      <c r="AQ498" s="1104"/>
      <c r="AR498" s="1105"/>
      <c r="AS498" s="1097"/>
      <c r="BW498" s="30"/>
    </row>
    <row r="499" spans="1:75" s="181" customFormat="1" ht="15" customHeight="1" x14ac:dyDescent="0.25">
      <c r="A499" s="551"/>
      <c r="B499" s="1578"/>
      <c r="C499" s="1097"/>
      <c r="D499" s="1145" t="s">
        <v>162</v>
      </c>
      <c r="E499" s="1146" t="str">
        <f t="shared" si="80"/>
        <v>N</v>
      </c>
      <c r="F499" s="1166"/>
      <c r="G499" s="886" t="s">
        <v>208</v>
      </c>
      <c r="H499" s="962" t="s">
        <v>208</v>
      </c>
      <c r="I499" s="886" t="s">
        <v>208</v>
      </c>
      <c r="J499" s="963" t="s">
        <v>208</v>
      </c>
      <c r="K499" s="886" t="s">
        <v>208</v>
      </c>
      <c r="L499" s="962" t="s">
        <v>208</v>
      </c>
      <c r="M499" s="886" t="s">
        <v>208</v>
      </c>
      <c r="N499" s="962" t="s">
        <v>208</v>
      </c>
      <c r="O499" s="886" t="s">
        <v>208</v>
      </c>
      <c r="P499" s="964" t="s">
        <v>208</v>
      </c>
      <c r="Q499" s="985" t="s">
        <v>38</v>
      </c>
      <c r="R499" s="962" t="s">
        <v>38</v>
      </c>
      <c r="S499" s="886" t="s">
        <v>38</v>
      </c>
      <c r="T499" s="963" t="s">
        <v>37</v>
      </c>
      <c r="U499" s="886" t="s">
        <v>38</v>
      </c>
      <c r="V499" s="962" t="s">
        <v>38</v>
      </c>
      <c r="W499" s="886" t="s">
        <v>38</v>
      </c>
      <c r="X499" s="812" t="s">
        <v>38</v>
      </c>
      <c r="Y499" s="430"/>
      <c r="Z499" s="1653" t="s">
        <v>305</v>
      </c>
      <c r="AA499" s="1004" t="s">
        <v>38</v>
      </c>
      <c r="AB499" s="1925"/>
      <c r="AC499" s="1153"/>
      <c r="AD499" s="1269"/>
      <c r="AE499" s="1270"/>
      <c r="AF499" s="1270"/>
      <c r="AG499" s="1270"/>
      <c r="AH499" s="1796"/>
      <c r="AI499" s="1776"/>
      <c r="AJ499" s="1270"/>
      <c r="AK499" s="1270"/>
      <c r="AL499" s="1095"/>
      <c r="AM499" s="1095"/>
      <c r="AN499" s="1095"/>
      <c r="AO499" s="1095"/>
      <c r="AP499" s="1095"/>
      <c r="AQ499" s="1104"/>
      <c r="AR499" s="1105"/>
      <c r="AS499" s="1097"/>
      <c r="BW499" s="30"/>
    </row>
    <row r="500" spans="1:75" s="181" customFormat="1" ht="15" customHeight="1" x14ac:dyDescent="0.25">
      <c r="A500" s="551"/>
      <c r="B500" s="1578"/>
      <c r="C500" s="1097"/>
      <c r="D500" s="1145" t="s">
        <v>162</v>
      </c>
      <c r="E500" s="1146" t="str">
        <f t="shared" si="80"/>
        <v>N</v>
      </c>
      <c r="F500" s="1166"/>
      <c r="G500" s="886" t="s">
        <v>208</v>
      </c>
      <c r="H500" s="962" t="s">
        <v>208</v>
      </c>
      <c r="I500" s="886" t="s">
        <v>208</v>
      </c>
      <c r="J500" s="963" t="s">
        <v>208</v>
      </c>
      <c r="K500" s="886" t="s">
        <v>208</v>
      </c>
      <c r="L500" s="962" t="s">
        <v>208</v>
      </c>
      <c r="M500" s="886" t="s">
        <v>208</v>
      </c>
      <c r="N500" s="962" t="s">
        <v>208</v>
      </c>
      <c r="O500" s="886" t="s">
        <v>208</v>
      </c>
      <c r="P500" s="964" t="s">
        <v>208</v>
      </c>
      <c r="Q500" s="985" t="s">
        <v>38</v>
      </c>
      <c r="R500" s="962" t="s">
        <v>38</v>
      </c>
      <c r="S500" s="886" t="s">
        <v>38</v>
      </c>
      <c r="T500" s="963" t="s">
        <v>37</v>
      </c>
      <c r="U500" s="886" t="s">
        <v>38</v>
      </c>
      <c r="V500" s="962" t="s">
        <v>38</v>
      </c>
      <c r="W500" s="886" t="s">
        <v>38</v>
      </c>
      <c r="X500" s="812" t="s">
        <v>38</v>
      </c>
      <c r="Y500" s="430"/>
      <c r="Z500" s="1653" t="s">
        <v>305</v>
      </c>
      <c r="AA500" s="1004" t="s">
        <v>38</v>
      </c>
      <c r="AB500" s="1925"/>
      <c r="AC500" s="1153"/>
      <c r="AD500" s="1269"/>
      <c r="AE500" s="1270"/>
      <c r="AF500" s="1270"/>
      <c r="AG500" s="1270"/>
      <c r="AH500" s="1796"/>
      <c r="AI500" s="1776"/>
      <c r="AJ500" s="1270"/>
      <c r="AK500" s="1270"/>
      <c r="AL500" s="1095"/>
      <c r="AM500" s="1095"/>
      <c r="AN500" s="1095"/>
      <c r="AO500" s="1095"/>
      <c r="AP500" s="1095"/>
      <c r="AQ500" s="1104"/>
      <c r="AR500" s="1105"/>
      <c r="AS500" s="1097"/>
      <c r="BW500" s="30"/>
    </row>
    <row r="501" spans="1:75" s="30" customFormat="1" ht="18.75" customHeight="1" x14ac:dyDescent="0.25">
      <c r="A501" s="545"/>
      <c r="B501" s="1579"/>
      <c r="C501" s="1097"/>
      <c r="D501" s="1142"/>
      <c r="E501" s="1144" t="str">
        <f t="shared" si="80"/>
        <v/>
      </c>
      <c r="F501" s="1124"/>
      <c r="G501" s="1708" t="s">
        <v>208</v>
      </c>
      <c r="H501" s="1709" t="s">
        <v>208</v>
      </c>
      <c r="I501" s="1708" t="s">
        <v>208</v>
      </c>
      <c r="J501" s="1710" t="s">
        <v>208</v>
      </c>
      <c r="K501" s="1708" t="s">
        <v>208</v>
      </c>
      <c r="L501" s="1709" t="s">
        <v>208</v>
      </c>
      <c r="M501" s="1708" t="s">
        <v>208</v>
      </c>
      <c r="N501" s="1709" t="s">
        <v>208</v>
      </c>
      <c r="O501" s="1708" t="s">
        <v>208</v>
      </c>
      <c r="P501" s="1711" t="s">
        <v>208</v>
      </c>
      <c r="Q501" s="1712" t="s">
        <v>208</v>
      </c>
      <c r="R501" s="1709" t="s">
        <v>208</v>
      </c>
      <c r="S501" s="1708" t="s">
        <v>208</v>
      </c>
      <c r="T501" s="1710" t="s">
        <v>208</v>
      </c>
      <c r="U501" s="1708" t="s">
        <v>208</v>
      </c>
      <c r="V501" s="1709" t="s">
        <v>208</v>
      </c>
      <c r="W501" s="1708" t="s">
        <v>208</v>
      </c>
      <c r="X501" s="816" t="s">
        <v>208</v>
      </c>
      <c r="Y501" s="437"/>
      <c r="Z501" s="597"/>
      <c r="AA501" s="973" t="s">
        <v>208</v>
      </c>
      <c r="AB501" s="1909"/>
      <c r="AC501" s="1153"/>
      <c r="AD501" s="1229"/>
      <c r="AE501" s="1230"/>
      <c r="AF501" s="1230"/>
      <c r="AG501" s="1230"/>
      <c r="AH501" s="1779"/>
      <c r="AI501" s="1761"/>
      <c r="AJ501" s="1230"/>
      <c r="AK501" s="1230"/>
      <c r="AL501" s="1095"/>
      <c r="AM501" s="1095"/>
      <c r="AN501" s="1095"/>
      <c r="AO501" s="1095"/>
      <c r="AP501" s="1095"/>
      <c r="AQ501" s="1106"/>
      <c r="AR501" s="1097"/>
      <c r="AS501" s="1097"/>
      <c r="AT501" s="181"/>
      <c r="AU501" s="181"/>
      <c r="AV501" s="181"/>
      <c r="AW501" s="181"/>
      <c r="AX501" s="181"/>
      <c r="AY501" s="181"/>
      <c r="AZ501" s="181"/>
      <c r="BA501" s="181"/>
      <c r="BB501" s="181"/>
      <c r="BC501" s="181"/>
      <c r="BD501" s="181"/>
      <c r="BE501" s="181"/>
      <c r="BF501" s="181"/>
      <c r="BG501" s="181"/>
      <c r="BH501" s="181"/>
      <c r="BI501" s="181"/>
      <c r="BJ501" s="181"/>
      <c r="BK501" s="181"/>
      <c r="BL501" s="181"/>
      <c r="BM501" s="181"/>
      <c r="BN501" s="181"/>
      <c r="BO501" s="181"/>
      <c r="BP501" s="181"/>
      <c r="BQ501" s="181"/>
      <c r="BR501" s="181"/>
      <c r="BS501" s="181"/>
      <c r="BT501" s="181"/>
      <c r="BU501" s="181"/>
      <c r="BV501" s="181"/>
    </row>
    <row r="502" spans="1:75" s="30" customFormat="1" ht="21" customHeight="1" x14ac:dyDescent="0.25">
      <c r="A502" s="545"/>
      <c r="B502" s="1579"/>
      <c r="C502" s="1097"/>
      <c r="D502" s="1142" t="s">
        <v>163</v>
      </c>
      <c r="E502" s="1143" t="str">
        <f t="shared" si="80"/>
        <v/>
      </c>
      <c r="F502" s="1124"/>
      <c r="G502" s="1713" t="s">
        <v>208</v>
      </c>
      <c r="H502" s="1681" t="s">
        <v>208</v>
      </c>
      <c r="I502" s="1713" t="s">
        <v>208</v>
      </c>
      <c r="J502" s="1682" t="s">
        <v>208</v>
      </c>
      <c r="K502" s="1713" t="s">
        <v>208</v>
      </c>
      <c r="L502" s="1681" t="s">
        <v>208</v>
      </c>
      <c r="M502" s="1713" t="s">
        <v>208</v>
      </c>
      <c r="N502" s="1681" t="s">
        <v>208</v>
      </c>
      <c r="O502" s="1713" t="s">
        <v>208</v>
      </c>
      <c r="P502" s="1683" t="s">
        <v>208</v>
      </c>
      <c r="Q502" s="1714" t="s">
        <v>38</v>
      </c>
      <c r="R502" s="1681" t="s">
        <v>38</v>
      </c>
      <c r="S502" s="1713" t="s">
        <v>37</v>
      </c>
      <c r="T502" s="1682" t="s">
        <v>37</v>
      </c>
      <c r="U502" s="1713" t="s">
        <v>38</v>
      </c>
      <c r="V502" s="1681" t="s">
        <v>38</v>
      </c>
      <c r="W502" s="1713" t="s">
        <v>38</v>
      </c>
      <c r="X502" s="810" t="s">
        <v>38</v>
      </c>
      <c r="Y502" s="428" t="s">
        <v>163</v>
      </c>
      <c r="Z502" s="579" t="s">
        <v>340</v>
      </c>
      <c r="AA502" s="2098" t="s">
        <v>37</v>
      </c>
      <c r="AB502" s="1919"/>
      <c r="AC502" s="1153"/>
      <c r="AD502" s="1251"/>
      <c r="AE502" s="1252"/>
      <c r="AF502" s="1252"/>
      <c r="AG502" s="1252"/>
      <c r="AH502" s="1795"/>
      <c r="AI502" s="1775"/>
      <c r="AJ502" s="1252"/>
      <c r="AK502" s="1252"/>
      <c r="AL502" s="1095"/>
      <c r="AM502" s="1095"/>
      <c r="AN502" s="1095"/>
      <c r="AO502" s="1095"/>
      <c r="AP502" s="1095"/>
      <c r="AQ502" s="1106"/>
      <c r="AR502" s="1097"/>
      <c r="AS502" s="1097"/>
      <c r="AT502" s="181"/>
      <c r="AU502" s="181"/>
      <c r="AV502" s="181"/>
      <c r="AW502" s="181"/>
      <c r="AX502" s="181"/>
      <c r="AY502" s="181"/>
      <c r="AZ502" s="181"/>
      <c r="BA502" s="181"/>
      <c r="BB502" s="181"/>
      <c r="BC502" s="181"/>
      <c r="BD502" s="181"/>
      <c r="BE502" s="181"/>
      <c r="BF502" s="181"/>
      <c r="BG502" s="181"/>
      <c r="BH502" s="181"/>
      <c r="BI502" s="181"/>
      <c r="BJ502" s="181"/>
      <c r="BK502" s="181"/>
      <c r="BL502" s="181"/>
      <c r="BM502" s="181"/>
      <c r="BN502" s="181"/>
      <c r="BO502" s="181"/>
      <c r="BP502" s="181"/>
      <c r="BQ502" s="181"/>
      <c r="BR502" s="181"/>
      <c r="BS502" s="181"/>
      <c r="BT502" s="181"/>
      <c r="BU502" s="181"/>
      <c r="BV502" s="181"/>
    </row>
    <row r="503" spans="1:75" s="30" customFormat="1" ht="57.75" customHeight="1" x14ac:dyDescent="0.25">
      <c r="A503" s="545"/>
      <c r="B503" s="1579"/>
      <c r="C503" s="1097"/>
      <c r="D503" s="1142"/>
      <c r="E503" s="1222" t="s">
        <v>770</v>
      </c>
      <c r="F503" s="1124"/>
      <c r="G503" s="1708" t="s">
        <v>208</v>
      </c>
      <c r="H503" s="1709" t="s">
        <v>208</v>
      </c>
      <c r="I503" s="1708" t="s">
        <v>208</v>
      </c>
      <c r="J503" s="1710" t="s">
        <v>208</v>
      </c>
      <c r="K503" s="1708" t="s">
        <v>208</v>
      </c>
      <c r="L503" s="1709" t="s">
        <v>208</v>
      </c>
      <c r="M503" s="1708" t="s">
        <v>208</v>
      </c>
      <c r="N503" s="1709" t="s">
        <v>208</v>
      </c>
      <c r="O503" s="1708" t="s">
        <v>208</v>
      </c>
      <c r="P503" s="1711" t="s">
        <v>208</v>
      </c>
      <c r="Q503" s="1712" t="s">
        <v>208</v>
      </c>
      <c r="R503" s="1709" t="s">
        <v>208</v>
      </c>
      <c r="S503" s="1708" t="s">
        <v>208</v>
      </c>
      <c r="T503" s="1710" t="s">
        <v>208</v>
      </c>
      <c r="U503" s="1708"/>
      <c r="V503" s="1709" t="s">
        <v>208</v>
      </c>
      <c r="W503" s="1708" t="s">
        <v>208</v>
      </c>
      <c r="X503" s="816" t="s">
        <v>208</v>
      </c>
      <c r="Y503" s="440" t="s">
        <v>234</v>
      </c>
      <c r="Z503" s="601" t="s">
        <v>374</v>
      </c>
      <c r="AA503" s="2098"/>
      <c r="AB503" s="1925"/>
      <c r="AC503" s="1153"/>
      <c r="AD503" s="1269"/>
      <c r="AE503" s="1270"/>
      <c r="AF503" s="1270"/>
      <c r="AG503" s="1270"/>
      <c r="AH503" s="1796"/>
      <c r="AI503" s="1776"/>
      <c r="AJ503" s="1270"/>
      <c r="AK503" s="1270"/>
      <c r="AL503" s="1095"/>
      <c r="AM503" s="1095"/>
      <c r="AN503" s="1095"/>
      <c r="AO503" s="1095"/>
      <c r="AP503" s="1095"/>
      <c r="AQ503" s="1106"/>
      <c r="AR503" s="1097"/>
      <c r="AS503" s="1097"/>
      <c r="AT503" s="181"/>
      <c r="AU503" s="181"/>
      <c r="AV503" s="181"/>
      <c r="AW503" s="181"/>
      <c r="AX503" s="181"/>
      <c r="AY503" s="181"/>
      <c r="AZ503" s="181"/>
      <c r="BA503" s="181"/>
      <c r="BB503" s="181"/>
      <c r="BC503" s="181"/>
      <c r="BD503" s="181"/>
      <c r="BE503" s="181"/>
      <c r="BF503" s="181"/>
      <c r="BG503" s="181"/>
      <c r="BH503" s="181"/>
      <c r="BI503" s="181"/>
      <c r="BJ503" s="181"/>
      <c r="BK503" s="181"/>
      <c r="BL503" s="181"/>
      <c r="BM503" s="181"/>
      <c r="BN503" s="181"/>
      <c r="BO503" s="181"/>
      <c r="BP503" s="181"/>
      <c r="BQ503" s="181"/>
      <c r="BR503" s="181"/>
      <c r="BS503" s="181"/>
      <c r="BT503" s="181"/>
      <c r="BU503" s="181"/>
      <c r="BV503" s="181"/>
    </row>
    <row r="504" spans="1:75" s="181" customFormat="1" ht="15" customHeight="1" x14ac:dyDescent="0.25">
      <c r="A504" s="551"/>
      <c r="B504" s="1578"/>
      <c r="C504" s="1097"/>
      <c r="D504" s="1145" t="s">
        <v>163</v>
      </c>
      <c r="E504" s="1146" t="str">
        <f t="shared" si="80"/>
        <v/>
      </c>
      <c r="F504" s="1166"/>
      <c r="G504" s="1691" t="s">
        <v>208</v>
      </c>
      <c r="H504" s="1692" t="s">
        <v>208</v>
      </c>
      <c r="I504" s="1691" t="s">
        <v>208</v>
      </c>
      <c r="J504" s="1715" t="s">
        <v>208</v>
      </c>
      <c r="K504" s="1691" t="s">
        <v>208</v>
      </c>
      <c r="L504" s="1692" t="s">
        <v>208</v>
      </c>
      <c r="M504" s="1691" t="s">
        <v>208</v>
      </c>
      <c r="N504" s="1692" t="s">
        <v>208</v>
      </c>
      <c r="O504" s="1691" t="s">
        <v>208</v>
      </c>
      <c r="P504" s="1716" t="s">
        <v>208</v>
      </c>
      <c r="Q504" s="1717" t="s">
        <v>38</v>
      </c>
      <c r="R504" s="1692" t="s">
        <v>38</v>
      </c>
      <c r="S504" s="1691" t="s">
        <v>37</v>
      </c>
      <c r="T504" s="1715" t="s">
        <v>37</v>
      </c>
      <c r="U504" s="1691" t="s">
        <v>38</v>
      </c>
      <c r="V504" s="1692" t="s">
        <v>38</v>
      </c>
      <c r="W504" s="1691" t="s">
        <v>38</v>
      </c>
      <c r="X504" s="818" t="s">
        <v>38</v>
      </c>
      <c r="Y504" s="430"/>
      <c r="Z504" s="611" t="s">
        <v>320</v>
      </c>
      <c r="AA504" s="970" t="s">
        <v>37</v>
      </c>
      <c r="AB504" s="1925"/>
      <c r="AC504" s="1153"/>
      <c r="AD504" s="1269"/>
      <c r="AE504" s="1270"/>
      <c r="AF504" s="1270"/>
      <c r="AG504" s="1270"/>
      <c r="AH504" s="1796"/>
      <c r="AI504" s="1776"/>
      <c r="AJ504" s="1270"/>
      <c r="AK504" s="1270"/>
      <c r="AL504" s="1095"/>
      <c r="AM504" s="1095"/>
      <c r="AN504" s="1095"/>
      <c r="AO504" s="1095"/>
      <c r="AP504" s="1095"/>
      <c r="AQ504" s="1104"/>
      <c r="AR504" s="1105"/>
      <c r="AS504" s="1097"/>
      <c r="BW504" s="30"/>
    </row>
    <row r="505" spans="1:75" s="181" customFormat="1" ht="15" customHeight="1" x14ac:dyDescent="0.25">
      <c r="A505" s="551"/>
      <c r="B505" s="1578"/>
      <c r="C505" s="1097"/>
      <c r="D505" s="1145" t="s">
        <v>163</v>
      </c>
      <c r="E505" s="1146" t="str">
        <f t="shared" si="80"/>
        <v/>
      </c>
      <c r="F505" s="1166"/>
      <c r="G505" s="886" t="s">
        <v>208</v>
      </c>
      <c r="H505" s="962" t="s">
        <v>208</v>
      </c>
      <c r="I505" s="886" t="s">
        <v>208</v>
      </c>
      <c r="J505" s="963" t="s">
        <v>208</v>
      </c>
      <c r="K505" s="886" t="s">
        <v>208</v>
      </c>
      <c r="L505" s="962" t="s">
        <v>208</v>
      </c>
      <c r="M505" s="886" t="s">
        <v>208</v>
      </c>
      <c r="N505" s="962" t="s">
        <v>208</v>
      </c>
      <c r="O505" s="886" t="s">
        <v>208</v>
      </c>
      <c r="P505" s="964" t="s">
        <v>208</v>
      </c>
      <c r="Q505" s="985" t="s">
        <v>38</v>
      </c>
      <c r="R505" s="962" t="s">
        <v>38</v>
      </c>
      <c r="S505" s="886" t="s">
        <v>37</v>
      </c>
      <c r="T505" s="963" t="str">
        <f>IF(OR(ISNUMBER(SEARCH("Contractor",Const_Delivery_Method))=TRUE,ISNUMBER(SEARCH("JOC",Const_Delivery_Method))=TRUE,ISNUMBER(SEARCH("CS",Const_Delivery_Method))=TRUE,ISNUMBER(SEARCH("House",Const_Delivery_Method))=TRUE),"N","Y")</f>
        <v>Y</v>
      </c>
      <c r="U505" s="886" t="s">
        <v>38</v>
      </c>
      <c r="V505" s="962" t="s">
        <v>38</v>
      </c>
      <c r="W505" s="886" t="s">
        <v>38</v>
      </c>
      <c r="X505" s="812" t="s">
        <v>38</v>
      </c>
      <c r="Y505" s="430"/>
      <c r="Z505" s="611" t="s">
        <v>164</v>
      </c>
      <c r="AA505" s="972" t="s">
        <v>37</v>
      </c>
      <c r="AB505" s="1925"/>
      <c r="AC505" s="1153"/>
      <c r="AD505" s="1269"/>
      <c r="AE505" s="1270"/>
      <c r="AF505" s="1270"/>
      <c r="AG505" s="1270"/>
      <c r="AH505" s="1796"/>
      <c r="AI505" s="1776"/>
      <c r="AJ505" s="1270"/>
      <c r="AK505" s="1270"/>
      <c r="AL505" s="1095"/>
      <c r="AM505" s="1095"/>
      <c r="AN505" s="1095"/>
      <c r="AO505" s="1095"/>
      <c r="AP505" s="1095"/>
      <c r="AQ505" s="1104"/>
      <c r="AR505" s="1105"/>
      <c r="AS505" s="1097"/>
      <c r="BW505" s="30"/>
    </row>
    <row r="506" spans="1:75" s="181" customFormat="1" ht="15" customHeight="1" x14ac:dyDescent="0.25">
      <c r="A506" s="551"/>
      <c r="B506" s="1578"/>
      <c r="C506" s="1097"/>
      <c r="D506" s="1145" t="s">
        <v>163</v>
      </c>
      <c r="E506" s="1146" t="str">
        <f t="shared" si="80"/>
        <v/>
      </c>
      <c r="F506" s="1166"/>
      <c r="G506" s="886" t="s">
        <v>208</v>
      </c>
      <c r="H506" s="962" t="s">
        <v>208</v>
      </c>
      <c r="I506" s="886" t="s">
        <v>208</v>
      </c>
      <c r="J506" s="963" t="s">
        <v>208</v>
      </c>
      <c r="K506" s="886" t="s">
        <v>208</v>
      </c>
      <c r="L506" s="962" t="s">
        <v>208</v>
      </c>
      <c r="M506" s="886" t="s">
        <v>208</v>
      </c>
      <c r="N506" s="962" t="s">
        <v>208</v>
      </c>
      <c r="O506" s="886" t="s">
        <v>208</v>
      </c>
      <c r="P506" s="964" t="s">
        <v>208</v>
      </c>
      <c r="Q506" s="985" t="s">
        <v>38</v>
      </c>
      <c r="R506" s="962" t="s">
        <v>38</v>
      </c>
      <c r="S506" s="886" t="s">
        <v>37</v>
      </c>
      <c r="T506" s="963" t="str">
        <f>IF(OR(ISNUMBER(SEARCH("Contractor",Const_Delivery_Method))=TRUE,ISNUMBER(SEARCH("JOC",Const_Delivery_Method))=TRUE,ISNUMBER(SEARCH("CS",Const_Delivery_Method))=TRUE,ISNUMBER(SEARCH("House",Const_Delivery_Method))=TRUE),"N","Y")</f>
        <v>Y</v>
      </c>
      <c r="U506" s="886" t="s">
        <v>38</v>
      </c>
      <c r="V506" s="962" t="s">
        <v>38</v>
      </c>
      <c r="W506" s="886" t="s">
        <v>38</v>
      </c>
      <c r="X506" s="812" t="s">
        <v>38</v>
      </c>
      <c r="Y506" s="430"/>
      <c r="Z506" s="611" t="s">
        <v>216</v>
      </c>
      <c r="AA506" s="972" t="s">
        <v>37</v>
      </c>
      <c r="AB506" s="1925"/>
      <c r="AC506" s="1153"/>
      <c r="AD506" s="1269"/>
      <c r="AE506" s="1270"/>
      <c r="AF506" s="1270"/>
      <c r="AG506" s="1270"/>
      <c r="AH506" s="1796"/>
      <c r="AI506" s="1776"/>
      <c r="AJ506" s="1270"/>
      <c r="AK506" s="1270"/>
      <c r="AL506" s="1095"/>
      <c r="AM506" s="1095"/>
      <c r="AN506" s="1095"/>
      <c r="AO506" s="1095"/>
      <c r="AP506" s="1095"/>
      <c r="AQ506" s="1104"/>
      <c r="AR506" s="1105"/>
      <c r="AS506" s="1097"/>
      <c r="BW506" s="30"/>
    </row>
    <row r="507" spans="1:75" s="181" customFormat="1" ht="15" customHeight="1" x14ac:dyDescent="0.25">
      <c r="A507" s="551"/>
      <c r="B507" s="1578"/>
      <c r="C507" s="1097"/>
      <c r="D507" s="1145" t="s">
        <v>163</v>
      </c>
      <c r="E507" s="1146" t="str">
        <f t="shared" si="80"/>
        <v/>
      </c>
      <c r="F507" s="1166"/>
      <c r="G507" s="886" t="s">
        <v>208</v>
      </c>
      <c r="H507" s="962" t="s">
        <v>208</v>
      </c>
      <c r="I507" s="886" t="s">
        <v>208</v>
      </c>
      <c r="J507" s="963" t="s">
        <v>208</v>
      </c>
      <c r="K507" s="886" t="s">
        <v>208</v>
      </c>
      <c r="L507" s="962" t="s">
        <v>208</v>
      </c>
      <c r="M507" s="886" t="s">
        <v>208</v>
      </c>
      <c r="N507" s="962" t="s">
        <v>208</v>
      </c>
      <c r="O507" s="886" t="s">
        <v>208</v>
      </c>
      <c r="P507" s="964" t="s">
        <v>208</v>
      </c>
      <c r="Q507" s="985" t="s">
        <v>38</v>
      </c>
      <c r="R507" s="962" t="s">
        <v>38</v>
      </c>
      <c r="S507" s="886" t="s">
        <v>37</v>
      </c>
      <c r="T507" s="963" t="str">
        <f>IF(OR(ISNUMBER(SEARCH("Contractor",Const_Delivery_Method))=TRUE,ISNUMBER(SEARCH("JOC",Const_Delivery_Method))=TRUE,ISNUMBER(SEARCH("CS",Const_Delivery_Method))=TRUE,ISNUMBER(SEARCH("House",Const_Delivery_Method))=TRUE),"N","Y")</f>
        <v>Y</v>
      </c>
      <c r="U507" s="886" t="s">
        <v>38</v>
      </c>
      <c r="V507" s="962" t="s">
        <v>38</v>
      </c>
      <c r="W507" s="886" t="s">
        <v>38</v>
      </c>
      <c r="X507" s="812" t="s">
        <v>38</v>
      </c>
      <c r="Y507" s="430"/>
      <c r="Z507" s="611" t="s">
        <v>215</v>
      </c>
      <c r="AA507" s="972" t="s">
        <v>37</v>
      </c>
      <c r="AB507" s="1925"/>
      <c r="AC507" s="1153"/>
      <c r="AD507" s="1269"/>
      <c r="AE507" s="1270"/>
      <c r="AF507" s="1270"/>
      <c r="AG507" s="1270"/>
      <c r="AH507" s="1796"/>
      <c r="AI507" s="1776"/>
      <c r="AJ507" s="1270"/>
      <c r="AK507" s="1270"/>
      <c r="AL507" s="1095"/>
      <c r="AM507" s="1095"/>
      <c r="AN507" s="1095"/>
      <c r="AO507" s="1095"/>
      <c r="AP507" s="1095"/>
      <c r="AQ507" s="1104"/>
      <c r="AR507" s="1105"/>
      <c r="AS507" s="1097"/>
      <c r="BW507" s="30"/>
    </row>
    <row r="508" spans="1:75" s="181" customFormat="1" ht="28.5" customHeight="1" x14ac:dyDescent="0.25">
      <c r="A508" s="551"/>
      <c r="B508" s="1578"/>
      <c r="C508" s="1097"/>
      <c r="D508" s="1145" t="s">
        <v>163</v>
      </c>
      <c r="E508" s="1146" t="str">
        <f t="shared" si="80"/>
        <v/>
      </c>
      <c r="F508" s="1166"/>
      <c r="G508" s="886" t="s">
        <v>208</v>
      </c>
      <c r="H508" s="962" t="s">
        <v>208</v>
      </c>
      <c r="I508" s="886" t="s">
        <v>208</v>
      </c>
      <c r="J508" s="963" t="s">
        <v>208</v>
      </c>
      <c r="K508" s="886" t="s">
        <v>208</v>
      </c>
      <c r="L508" s="962" t="s">
        <v>208</v>
      </c>
      <c r="M508" s="886" t="s">
        <v>208</v>
      </c>
      <c r="N508" s="962" t="s">
        <v>208</v>
      </c>
      <c r="O508" s="886" t="s">
        <v>208</v>
      </c>
      <c r="P508" s="964" t="s">
        <v>208</v>
      </c>
      <c r="Q508" s="985" t="s">
        <v>38</v>
      </c>
      <c r="R508" s="962" t="s">
        <v>38</v>
      </c>
      <c r="S508" s="886" t="s">
        <v>37</v>
      </c>
      <c r="T508" s="963" t="s">
        <v>37</v>
      </c>
      <c r="U508" s="886" t="s">
        <v>38</v>
      </c>
      <c r="V508" s="962" t="s">
        <v>38</v>
      </c>
      <c r="W508" s="886" t="s">
        <v>38</v>
      </c>
      <c r="X508" s="812" t="s">
        <v>38</v>
      </c>
      <c r="Y508" s="430"/>
      <c r="Z508" s="611" t="s">
        <v>499</v>
      </c>
      <c r="AA508" s="972" t="s">
        <v>37</v>
      </c>
      <c r="AB508" s="1925"/>
      <c r="AC508" s="1153"/>
      <c r="AD508" s="1269"/>
      <c r="AE508" s="1270"/>
      <c r="AF508" s="1270"/>
      <c r="AG508" s="1270"/>
      <c r="AH508" s="1796"/>
      <c r="AI508" s="1776"/>
      <c r="AJ508" s="1270"/>
      <c r="AK508" s="1270"/>
      <c r="AL508" s="1095"/>
      <c r="AM508" s="1095"/>
      <c r="AN508" s="1095"/>
      <c r="AO508" s="1095"/>
      <c r="AP508" s="1095"/>
      <c r="AQ508" s="1104"/>
      <c r="AR508" s="1105"/>
      <c r="AS508" s="1097"/>
      <c r="BW508" s="30"/>
    </row>
    <row r="509" spans="1:75" s="181" customFormat="1" ht="25.5" customHeight="1" x14ac:dyDescent="0.25">
      <c r="A509" s="551"/>
      <c r="B509" s="1578"/>
      <c r="C509" s="1097"/>
      <c r="D509" s="1145" t="s">
        <v>163</v>
      </c>
      <c r="E509" s="1146" t="str">
        <f t="shared" si="80"/>
        <v/>
      </c>
      <c r="F509" s="1166"/>
      <c r="G509" s="886" t="s">
        <v>208</v>
      </c>
      <c r="H509" s="962" t="s">
        <v>208</v>
      </c>
      <c r="I509" s="886" t="s">
        <v>208</v>
      </c>
      <c r="J509" s="963" t="s">
        <v>208</v>
      </c>
      <c r="K509" s="886" t="s">
        <v>208</v>
      </c>
      <c r="L509" s="962" t="s">
        <v>208</v>
      </c>
      <c r="M509" s="886" t="s">
        <v>208</v>
      </c>
      <c r="N509" s="962" t="s">
        <v>208</v>
      </c>
      <c r="O509" s="886" t="s">
        <v>208</v>
      </c>
      <c r="P509" s="964" t="s">
        <v>208</v>
      </c>
      <c r="Q509" s="985" t="s">
        <v>38</v>
      </c>
      <c r="R509" s="962" t="s">
        <v>38</v>
      </c>
      <c r="S509" s="886" t="s">
        <v>37</v>
      </c>
      <c r="T509" s="963" t="s">
        <v>37</v>
      </c>
      <c r="U509" s="886" t="s">
        <v>38</v>
      </c>
      <c r="V509" s="962" t="s">
        <v>38</v>
      </c>
      <c r="W509" s="886" t="s">
        <v>38</v>
      </c>
      <c r="X509" s="812" t="s">
        <v>38</v>
      </c>
      <c r="Y509" s="430"/>
      <c r="Z509" s="611" t="s">
        <v>500</v>
      </c>
      <c r="AA509" s="972" t="s">
        <v>37</v>
      </c>
      <c r="AB509" s="1925"/>
      <c r="AC509" s="1153"/>
      <c r="AD509" s="1269"/>
      <c r="AE509" s="1270"/>
      <c r="AF509" s="1270"/>
      <c r="AG509" s="1270"/>
      <c r="AH509" s="1796"/>
      <c r="AI509" s="1776"/>
      <c r="AJ509" s="1270"/>
      <c r="AK509" s="1270"/>
      <c r="AL509" s="1095"/>
      <c r="AM509" s="1095"/>
      <c r="AN509" s="1095"/>
      <c r="AO509" s="1095"/>
      <c r="AP509" s="1095"/>
      <c r="AQ509" s="1104"/>
      <c r="AR509" s="1105"/>
      <c r="AS509" s="1097"/>
      <c r="BW509" s="30"/>
    </row>
    <row r="510" spans="1:75" s="181" customFormat="1" ht="26.25" customHeight="1" x14ac:dyDescent="0.25">
      <c r="A510" s="551"/>
      <c r="B510" s="1578"/>
      <c r="C510" s="1097"/>
      <c r="D510" s="1145" t="s">
        <v>163</v>
      </c>
      <c r="E510" s="1146" t="str">
        <f t="shared" si="80"/>
        <v/>
      </c>
      <c r="F510" s="1166"/>
      <c r="G510" s="886" t="s">
        <v>208</v>
      </c>
      <c r="H510" s="962" t="s">
        <v>208</v>
      </c>
      <c r="I510" s="886" t="s">
        <v>208</v>
      </c>
      <c r="J510" s="963" t="s">
        <v>208</v>
      </c>
      <c r="K510" s="886" t="s">
        <v>208</v>
      </c>
      <c r="L510" s="962" t="s">
        <v>208</v>
      </c>
      <c r="M510" s="886" t="s">
        <v>208</v>
      </c>
      <c r="N510" s="962" t="s">
        <v>208</v>
      </c>
      <c r="O510" s="886" t="s">
        <v>208</v>
      </c>
      <c r="P510" s="964" t="s">
        <v>208</v>
      </c>
      <c r="Q510" s="985" t="s">
        <v>38</v>
      </c>
      <c r="R510" s="962" t="s">
        <v>38</v>
      </c>
      <c r="S510" s="886" t="s">
        <v>37</v>
      </c>
      <c r="T510" s="963" t="s">
        <v>37</v>
      </c>
      <c r="U510" s="886" t="s">
        <v>38</v>
      </c>
      <c r="V510" s="962" t="s">
        <v>38</v>
      </c>
      <c r="W510" s="886" t="s">
        <v>38</v>
      </c>
      <c r="X510" s="812" t="s">
        <v>38</v>
      </c>
      <c r="Y510" s="430"/>
      <c r="Z510" s="611" t="s">
        <v>501</v>
      </c>
      <c r="AA510" s="972" t="s">
        <v>37</v>
      </c>
      <c r="AB510" s="1925"/>
      <c r="AC510" s="1153"/>
      <c r="AD510" s="1269"/>
      <c r="AE510" s="1270"/>
      <c r="AF510" s="1270"/>
      <c r="AG510" s="1270"/>
      <c r="AH510" s="1796"/>
      <c r="AI510" s="1776"/>
      <c r="AJ510" s="1270"/>
      <c r="AK510" s="1270"/>
      <c r="AL510" s="1095"/>
      <c r="AM510" s="1095"/>
      <c r="AN510" s="1095"/>
      <c r="AO510" s="1095"/>
      <c r="AP510" s="1095"/>
      <c r="AQ510" s="1104"/>
      <c r="AR510" s="1105"/>
      <c r="AS510" s="1097"/>
      <c r="BW510" s="30"/>
    </row>
    <row r="511" spans="1:75" s="181" customFormat="1" ht="15" customHeight="1" x14ac:dyDescent="0.25">
      <c r="A511" s="551"/>
      <c r="B511" s="1578"/>
      <c r="C511" s="1097"/>
      <c r="D511" s="1145" t="s">
        <v>163</v>
      </c>
      <c r="E511" s="1146" t="str">
        <f t="shared" ref="E511:E564" si="82">IF(Z511="","",IF(OR(AND(OR(G511="Y",G511="?"),_00_apply="Yes"),AND(OR(I511="Y",I511="?"),_01_apply="Yes"),AND(OR(K511="Y",K511="?"),_02_apply="Yes"),AND(OR(M511="Y",M511="?"),_03_apply="Yes"),AND(OR(O511="Y",O511="?"),_04_apply="Yes"),AND(OR(Q511="Y",Q511="?"),_05_apply="Yes"),AND(OR(S511="?",S511="Y"),_06_apply="Yes"),AND(OR(U511="?",U511="Y"),_07_apply="Yes"),AND(OR(W511="Y",W511="?"),_08_apply="Yes")),"","N"))</f>
        <v/>
      </c>
      <c r="F511" s="1166"/>
      <c r="G511" s="886" t="s">
        <v>208</v>
      </c>
      <c r="H511" s="962" t="s">
        <v>208</v>
      </c>
      <c r="I511" s="886" t="s">
        <v>208</v>
      </c>
      <c r="J511" s="963" t="s">
        <v>208</v>
      </c>
      <c r="K511" s="886" t="s">
        <v>208</v>
      </c>
      <c r="L511" s="962" t="s">
        <v>208</v>
      </c>
      <c r="M511" s="886" t="s">
        <v>208</v>
      </c>
      <c r="N511" s="962" t="s">
        <v>208</v>
      </c>
      <c r="O511" s="886" t="s">
        <v>208</v>
      </c>
      <c r="P511" s="964" t="s">
        <v>208</v>
      </c>
      <c r="Q511" s="985" t="s">
        <v>38</v>
      </c>
      <c r="R511" s="962" t="s">
        <v>38</v>
      </c>
      <c r="S511" s="886" t="s">
        <v>37</v>
      </c>
      <c r="T511" s="963" t="s">
        <v>37</v>
      </c>
      <c r="U511" s="886" t="s">
        <v>38</v>
      </c>
      <c r="V511" s="962" t="s">
        <v>38</v>
      </c>
      <c r="W511" s="886" t="s">
        <v>38</v>
      </c>
      <c r="X511" s="812" t="s">
        <v>38</v>
      </c>
      <c r="Y511" s="430"/>
      <c r="Z511" s="611" t="s">
        <v>502</v>
      </c>
      <c r="AA511" s="972" t="s">
        <v>37</v>
      </c>
      <c r="AB511" s="1925"/>
      <c r="AC511" s="1153"/>
      <c r="AD511" s="1269"/>
      <c r="AE511" s="1270"/>
      <c r="AF511" s="1270"/>
      <c r="AG511" s="1270"/>
      <c r="AH511" s="1796"/>
      <c r="AI511" s="1776"/>
      <c r="AJ511" s="1270"/>
      <c r="AK511" s="1270"/>
      <c r="AL511" s="1095"/>
      <c r="AM511" s="1095"/>
      <c r="AN511" s="1095"/>
      <c r="AO511" s="1095"/>
      <c r="AP511" s="1095"/>
      <c r="AQ511" s="1104"/>
      <c r="AR511" s="1105"/>
      <c r="AS511" s="1097"/>
      <c r="BW511" s="30"/>
    </row>
    <row r="512" spans="1:75" s="181" customFormat="1" ht="15" customHeight="1" x14ac:dyDescent="0.25">
      <c r="A512" s="551"/>
      <c r="B512" s="1578"/>
      <c r="C512" s="1097"/>
      <c r="D512" s="1145" t="s">
        <v>163</v>
      </c>
      <c r="E512" s="1146" t="str">
        <f t="shared" si="82"/>
        <v/>
      </c>
      <c r="F512" s="1166"/>
      <c r="G512" s="886" t="s">
        <v>208</v>
      </c>
      <c r="H512" s="962" t="s">
        <v>208</v>
      </c>
      <c r="I512" s="886" t="s">
        <v>208</v>
      </c>
      <c r="J512" s="963" t="s">
        <v>208</v>
      </c>
      <c r="K512" s="886" t="s">
        <v>208</v>
      </c>
      <c r="L512" s="962" t="s">
        <v>208</v>
      </c>
      <c r="M512" s="886" t="s">
        <v>208</v>
      </c>
      <c r="N512" s="962" t="s">
        <v>208</v>
      </c>
      <c r="O512" s="886" t="s">
        <v>208</v>
      </c>
      <c r="P512" s="964" t="s">
        <v>208</v>
      </c>
      <c r="Q512" s="985" t="s">
        <v>38</v>
      </c>
      <c r="R512" s="962" t="s">
        <v>38</v>
      </c>
      <c r="S512" s="886" t="s">
        <v>37</v>
      </c>
      <c r="T512" s="963" t="s">
        <v>37</v>
      </c>
      <c r="U512" s="886" t="s">
        <v>38</v>
      </c>
      <c r="V512" s="962" t="s">
        <v>38</v>
      </c>
      <c r="W512" s="886" t="s">
        <v>38</v>
      </c>
      <c r="X512" s="812" t="s">
        <v>38</v>
      </c>
      <c r="Y512" s="430"/>
      <c r="Z512" s="611" t="s">
        <v>503</v>
      </c>
      <c r="AA512" s="972" t="s">
        <v>37</v>
      </c>
      <c r="AB512" s="1925"/>
      <c r="AC512" s="1153"/>
      <c r="AD512" s="1269"/>
      <c r="AE512" s="1270"/>
      <c r="AF512" s="1270"/>
      <c r="AG512" s="1270"/>
      <c r="AH512" s="1796"/>
      <c r="AI512" s="1776"/>
      <c r="AJ512" s="1270"/>
      <c r="AK512" s="1270"/>
      <c r="AL512" s="1095"/>
      <c r="AM512" s="1095"/>
      <c r="AN512" s="1095"/>
      <c r="AO512" s="1095"/>
      <c r="AP512" s="1095"/>
      <c r="AQ512" s="1104"/>
      <c r="AR512" s="1105"/>
      <c r="AS512" s="1097"/>
      <c r="BW512" s="30"/>
    </row>
    <row r="513" spans="1:75" s="30" customFormat="1" ht="15" customHeight="1" x14ac:dyDescent="0.25">
      <c r="A513" s="545"/>
      <c r="B513" s="1579"/>
      <c r="C513" s="1095"/>
      <c r="D513" s="1145" t="s">
        <v>163</v>
      </c>
      <c r="E513" s="1146" t="str">
        <f t="shared" si="82"/>
        <v/>
      </c>
      <c r="F513" s="1124"/>
      <c r="G513" s="886" t="s">
        <v>208</v>
      </c>
      <c r="H513" s="962" t="s">
        <v>208</v>
      </c>
      <c r="I513" s="886" t="s">
        <v>208</v>
      </c>
      <c r="J513" s="963" t="s">
        <v>208</v>
      </c>
      <c r="K513" s="886" t="s">
        <v>208</v>
      </c>
      <c r="L513" s="962" t="s">
        <v>208</v>
      </c>
      <c r="M513" s="886" t="s">
        <v>208</v>
      </c>
      <c r="N513" s="962" t="s">
        <v>208</v>
      </c>
      <c r="O513" s="886" t="s">
        <v>208</v>
      </c>
      <c r="P513" s="964" t="s">
        <v>208</v>
      </c>
      <c r="Q513" s="985" t="s">
        <v>38</v>
      </c>
      <c r="R513" s="962" t="s">
        <v>38</v>
      </c>
      <c r="S513" s="886" t="s">
        <v>37</v>
      </c>
      <c r="T513" s="963" t="s">
        <v>37</v>
      </c>
      <c r="U513" s="886" t="s">
        <v>38</v>
      </c>
      <c r="V513" s="962" t="s">
        <v>38</v>
      </c>
      <c r="W513" s="886" t="s">
        <v>38</v>
      </c>
      <c r="X513" s="812" t="s">
        <v>38</v>
      </c>
      <c r="Y513" s="428"/>
      <c r="Z513" s="1676" t="s">
        <v>504</v>
      </c>
      <c r="AA513" s="972" t="s">
        <v>37</v>
      </c>
      <c r="AB513" s="1925"/>
      <c r="AC513" s="1153"/>
      <c r="AD513" s="1269"/>
      <c r="AE513" s="1270"/>
      <c r="AF513" s="1270"/>
      <c r="AG513" s="1270"/>
      <c r="AH513" s="1796"/>
      <c r="AI513" s="1776"/>
      <c r="AJ513" s="1270"/>
      <c r="AK513" s="1270"/>
      <c r="AL513" s="1095"/>
      <c r="AM513" s="1095"/>
      <c r="AN513" s="1095"/>
      <c r="AO513" s="1095"/>
      <c r="AP513" s="1095"/>
      <c r="AQ513" s="1095"/>
      <c r="AR513" s="1095"/>
      <c r="AS513" s="1095"/>
      <c r="AT513" s="181"/>
      <c r="AU513" s="181"/>
      <c r="AV513" s="181"/>
      <c r="AW513" s="181"/>
      <c r="AX513" s="181"/>
      <c r="AY513" s="181"/>
      <c r="AZ513" s="181"/>
      <c r="BA513" s="181"/>
      <c r="BB513" s="181"/>
      <c r="BC513" s="181"/>
      <c r="BD513" s="181"/>
      <c r="BE513" s="181"/>
      <c r="BF513" s="181"/>
      <c r="BG513" s="181"/>
      <c r="BH513" s="181"/>
      <c r="BI513" s="181"/>
      <c r="BJ513" s="181"/>
      <c r="BK513" s="181"/>
      <c r="BL513" s="181"/>
      <c r="BM513" s="181"/>
      <c r="BN513" s="181"/>
      <c r="BO513" s="181"/>
      <c r="BP513" s="181"/>
      <c r="BQ513" s="181"/>
      <c r="BR513" s="181"/>
      <c r="BS513" s="181"/>
      <c r="BT513" s="181"/>
      <c r="BU513" s="181"/>
      <c r="BV513" s="181"/>
    </row>
    <row r="514" spans="1:75" s="181" customFormat="1" ht="15" customHeight="1" x14ac:dyDescent="0.25">
      <c r="A514" s="551"/>
      <c r="B514" s="1578"/>
      <c r="C514" s="1097"/>
      <c r="D514" s="1145" t="s">
        <v>163</v>
      </c>
      <c r="E514" s="1146" t="str">
        <f t="shared" si="82"/>
        <v/>
      </c>
      <c r="F514" s="1166"/>
      <c r="G514" s="886" t="s">
        <v>208</v>
      </c>
      <c r="H514" s="962" t="s">
        <v>208</v>
      </c>
      <c r="I514" s="886" t="s">
        <v>208</v>
      </c>
      <c r="J514" s="963" t="s">
        <v>208</v>
      </c>
      <c r="K514" s="886" t="s">
        <v>208</v>
      </c>
      <c r="L514" s="962" t="s">
        <v>208</v>
      </c>
      <c r="M514" s="886" t="s">
        <v>208</v>
      </c>
      <c r="N514" s="962" t="s">
        <v>208</v>
      </c>
      <c r="O514" s="886" t="s">
        <v>208</v>
      </c>
      <c r="P514" s="964" t="s">
        <v>208</v>
      </c>
      <c r="Q514" s="985" t="s">
        <v>38</v>
      </c>
      <c r="R514" s="962" t="s">
        <v>38</v>
      </c>
      <c r="S514" s="886" t="s">
        <v>37</v>
      </c>
      <c r="T514" s="963" t="s">
        <v>37</v>
      </c>
      <c r="U514" s="886" t="s">
        <v>38</v>
      </c>
      <c r="V514" s="962" t="s">
        <v>38</v>
      </c>
      <c r="W514" s="886" t="s">
        <v>38</v>
      </c>
      <c r="X514" s="812" t="s">
        <v>38</v>
      </c>
      <c r="Y514" s="430"/>
      <c r="Z514" s="611" t="s">
        <v>505</v>
      </c>
      <c r="AA514" s="972" t="s">
        <v>37</v>
      </c>
      <c r="AB514" s="1925"/>
      <c r="AC514" s="1153"/>
      <c r="AD514" s="1269"/>
      <c r="AE514" s="1270"/>
      <c r="AF514" s="1270"/>
      <c r="AG514" s="1270"/>
      <c r="AH514" s="1796"/>
      <c r="AI514" s="1776"/>
      <c r="AJ514" s="1270"/>
      <c r="AK514" s="1270"/>
      <c r="AL514" s="1095"/>
      <c r="AM514" s="1095"/>
      <c r="AN514" s="1095"/>
      <c r="AO514" s="1095"/>
      <c r="AP514" s="1095"/>
      <c r="AQ514" s="1104"/>
      <c r="AR514" s="1105"/>
      <c r="AS514" s="1097"/>
      <c r="BW514" s="30"/>
    </row>
    <row r="515" spans="1:75" s="551" customFormat="1" ht="15" customHeight="1" x14ac:dyDescent="0.25">
      <c r="B515" s="1578"/>
      <c r="C515" s="1097"/>
      <c r="D515" s="1145" t="s">
        <v>163</v>
      </c>
      <c r="E515" s="1146" t="str">
        <f t="shared" si="82"/>
        <v/>
      </c>
      <c r="F515" s="1166"/>
      <c r="G515" s="886" t="s">
        <v>208</v>
      </c>
      <c r="H515" s="962" t="s">
        <v>208</v>
      </c>
      <c r="I515" s="886" t="s">
        <v>208</v>
      </c>
      <c r="J515" s="963" t="s">
        <v>208</v>
      </c>
      <c r="K515" s="886" t="s">
        <v>208</v>
      </c>
      <c r="L515" s="962" t="s">
        <v>208</v>
      </c>
      <c r="M515" s="886" t="s">
        <v>208</v>
      </c>
      <c r="N515" s="962" t="s">
        <v>208</v>
      </c>
      <c r="O515" s="886" t="s">
        <v>208</v>
      </c>
      <c r="P515" s="964" t="s">
        <v>208</v>
      </c>
      <c r="Q515" s="985" t="s">
        <v>38</v>
      </c>
      <c r="R515" s="962" t="s">
        <v>38</v>
      </c>
      <c r="S515" s="886" t="s">
        <v>37</v>
      </c>
      <c r="T515" s="963" t="s">
        <v>38</v>
      </c>
      <c r="U515" s="886" t="s">
        <v>38</v>
      </c>
      <c r="V515" s="962" t="s">
        <v>37</v>
      </c>
      <c r="W515" s="886" t="s">
        <v>38</v>
      </c>
      <c r="X515" s="963" t="s">
        <v>38</v>
      </c>
      <c r="Y515" s="430"/>
      <c r="Z515" s="979" t="s">
        <v>1032</v>
      </c>
      <c r="AA515" s="1004" t="s">
        <v>37</v>
      </c>
      <c r="AB515" s="1925"/>
      <c r="AC515" s="1153"/>
      <c r="AD515" s="1269"/>
      <c r="AE515" s="1270"/>
      <c r="AF515" s="1270"/>
      <c r="AG515" s="1270"/>
      <c r="AH515" s="1796"/>
      <c r="AI515" s="1776"/>
      <c r="AJ515" s="1270"/>
      <c r="AK515" s="1270"/>
      <c r="AL515" s="1095"/>
      <c r="AM515" s="1095"/>
      <c r="AN515" s="1095"/>
      <c r="AO515" s="1095"/>
      <c r="AP515" s="1095"/>
      <c r="AQ515" s="1104"/>
      <c r="AR515" s="1105"/>
      <c r="AS515" s="1097"/>
      <c r="BW515" s="545"/>
    </row>
    <row r="516" spans="1:75" s="551" customFormat="1" ht="15" customHeight="1" x14ac:dyDescent="0.25">
      <c r="B516" s="1578"/>
      <c r="C516" s="1097"/>
      <c r="D516" s="1145" t="s">
        <v>163</v>
      </c>
      <c r="E516" s="1146" t="str">
        <f t="shared" si="82"/>
        <v>N</v>
      </c>
      <c r="F516" s="1166"/>
      <c r="G516" s="886" t="s">
        <v>208</v>
      </c>
      <c r="H516" s="962" t="s">
        <v>208</v>
      </c>
      <c r="I516" s="886" t="s">
        <v>208</v>
      </c>
      <c r="J516" s="963" t="s">
        <v>208</v>
      </c>
      <c r="K516" s="886" t="s">
        <v>208</v>
      </c>
      <c r="L516" s="962" t="s">
        <v>208</v>
      </c>
      <c r="M516" s="886" t="s">
        <v>208</v>
      </c>
      <c r="N516" s="962" t="s">
        <v>208</v>
      </c>
      <c r="O516" s="886" t="s">
        <v>208</v>
      </c>
      <c r="P516" s="964" t="s">
        <v>208</v>
      </c>
      <c r="Q516" s="985" t="s">
        <v>38</v>
      </c>
      <c r="R516" s="962" t="s">
        <v>38</v>
      </c>
      <c r="S516" s="886" t="s">
        <v>38</v>
      </c>
      <c r="T516" s="963" t="s">
        <v>38</v>
      </c>
      <c r="U516" s="886" t="s">
        <v>38</v>
      </c>
      <c r="V516" s="962" t="s">
        <v>37</v>
      </c>
      <c r="W516" s="886" t="s">
        <v>38</v>
      </c>
      <c r="X516" s="963" t="s">
        <v>38</v>
      </c>
      <c r="Y516" s="430"/>
      <c r="Z516" s="979" t="s">
        <v>305</v>
      </c>
      <c r="AA516" s="1004" t="s">
        <v>38</v>
      </c>
      <c r="AB516" s="1925"/>
      <c r="AC516" s="1153"/>
      <c r="AD516" s="1269"/>
      <c r="AE516" s="1270"/>
      <c r="AF516" s="1270"/>
      <c r="AG516" s="1270"/>
      <c r="AH516" s="1796"/>
      <c r="AI516" s="1776"/>
      <c r="AJ516" s="1270"/>
      <c r="AK516" s="1270"/>
      <c r="AL516" s="1095"/>
      <c r="AM516" s="1095"/>
      <c r="AN516" s="1095"/>
      <c r="AO516" s="1095"/>
      <c r="AP516" s="1095"/>
      <c r="AQ516" s="1104"/>
      <c r="AR516" s="1105"/>
      <c r="AS516" s="1097"/>
      <c r="BW516" s="545"/>
    </row>
    <row r="517" spans="1:75" s="551" customFormat="1" ht="15" customHeight="1" x14ac:dyDescent="0.25">
      <c r="B517" s="1578"/>
      <c r="C517" s="1097"/>
      <c r="D517" s="1145" t="s">
        <v>163</v>
      </c>
      <c r="E517" s="1146" t="str">
        <f t="shared" si="82"/>
        <v>N</v>
      </c>
      <c r="F517" s="1166"/>
      <c r="G517" s="886" t="s">
        <v>208</v>
      </c>
      <c r="H517" s="962" t="s">
        <v>208</v>
      </c>
      <c r="I517" s="886" t="s">
        <v>208</v>
      </c>
      <c r="J517" s="963" t="s">
        <v>208</v>
      </c>
      <c r="K517" s="886" t="s">
        <v>208</v>
      </c>
      <c r="L517" s="962" t="s">
        <v>208</v>
      </c>
      <c r="M517" s="886" t="s">
        <v>208</v>
      </c>
      <c r="N517" s="962" t="s">
        <v>208</v>
      </c>
      <c r="O517" s="886" t="s">
        <v>208</v>
      </c>
      <c r="P517" s="964" t="s">
        <v>208</v>
      </c>
      <c r="Q517" s="985" t="s">
        <v>38</v>
      </c>
      <c r="R517" s="962" t="s">
        <v>38</v>
      </c>
      <c r="S517" s="886" t="s">
        <v>38</v>
      </c>
      <c r="T517" s="963" t="s">
        <v>38</v>
      </c>
      <c r="U517" s="886" t="s">
        <v>38</v>
      </c>
      <c r="V517" s="962" t="s">
        <v>37</v>
      </c>
      <c r="W517" s="886" t="s">
        <v>38</v>
      </c>
      <c r="X517" s="963" t="s">
        <v>38</v>
      </c>
      <c r="Y517" s="430"/>
      <c r="Z517" s="979" t="s">
        <v>305</v>
      </c>
      <c r="AA517" s="1004" t="s">
        <v>38</v>
      </c>
      <c r="AB517" s="1925"/>
      <c r="AC517" s="1153"/>
      <c r="AD517" s="1269"/>
      <c r="AE517" s="1270"/>
      <c r="AF517" s="1270"/>
      <c r="AG517" s="1270"/>
      <c r="AH517" s="1796"/>
      <c r="AI517" s="1776"/>
      <c r="AJ517" s="1270"/>
      <c r="AK517" s="1270"/>
      <c r="AL517" s="1095"/>
      <c r="AM517" s="1095"/>
      <c r="AN517" s="1095"/>
      <c r="AO517" s="1095"/>
      <c r="AP517" s="1095"/>
      <c r="AQ517" s="1104"/>
      <c r="AR517" s="1105"/>
      <c r="AS517" s="1097"/>
      <c r="BW517" s="545"/>
    </row>
    <row r="518" spans="1:75" s="30" customFormat="1" ht="18.75" customHeight="1" x14ac:dyDescent="0.25">
      <c r="A518" s="545"/>
      <c r="B518" s="1579"/>
      <c r="C518" s="1097"/>
      <c r="D518" s="1142"/>
      <c r="E518" s="1144" t="str">
        <f t="shared" si="82"/>
        <v/>
      </c>
      <c r="F518" s="1124"/>
      <c r="G518" s="1708" t="s">
        <v>208</v>
      </c>
      <c r="H518" s="1709" t="s">
        <v>208</v>
      </c>
      <c r="I518" s="1708" t="s">
        <v>208</v>
      </c>
      <c r="J518" s="1710" t="s">
        <v>208</v>
      </c>
      <c r="K518" s="1708" t="s">
        <v>208</v>
      </c>
      <c r="L518" s="1709" t="s">
        <v>208</v>
      </c>
      <c r="M518" s="1708" t="s">
        <v>208</v>
      </c>
      <c r="N518" s="1709" t="s">
        <v>208</v>
      </c>
      <c r="O518" s="1708" t="s">
        <v>208</v>
      </c>
      <c r="P518" s="1711" t="s">
        <v>208</v>
      </c>
      <c r="Q518" s="1712" t="s">
        <v>208</v>
      </c>
      <c r="R518" s="1709" t="s">
        <v>208</v>
      </c>
      <c r="S518" s="1708" t="s">
        <v>208</v>
      </c>
      <c r="T518" s="1710" t="s">
        <v>208</v>
      </c>
      <c r="U518" s="1708" t="s">
        <v>208</v>
      </c>
      <c r="V518" s="1709" t="s">
        <v>208</v>
      </c>
      <c r="W518" s="1708" t="s">
        <v>208</v>
      </c>
      <c r="X518" s="816" t="s">
        <v>208</v>
      </c>
      <c r="Y518" s="437"/>
      <c r="Z518" s="597"/>
      <c r="AA518" s="973" t="s">
        <v>208</v>
      </c>
      <c r="AB518" s="1909"/>
      <c r="AC518" s="1153"/>
      <c r="AD518" s="1229"/>
      <c r="AE518" s="1230"/>
      <c r="AF518" s="1230"/>
      <c r="AG518" s="1230"/>
      <c r="AH518" s="1779"/>
      <c r="AI518" s="1761"/>
      <c r="AJ518" s="1230"/>
      <c r="AK518" s="1230"/>
      <c r="AL518" s="1095"/>
      <c r="AM518" s="1095"/>
      <c r="AN518" s="1095"/>
      <c r="AO518" s="1095"/>
      <c r="AP518" s="1095"/>
      <c r="AQ518" s="1106"/>
      <c r="AR518" s="1097"/>
      <c r="AS518" s="1097"/>
      <c r="AT518" s="181"/>
      <c r="AU518" s="181"/>
      <c r="AV518" s="181"/>
      <c r="AW518" s="181"/>
      <c r="AX518" s="181"/>
      <c r="AY518" s="181"/>
      <c r="AZ518" s="181"/>
      <c r="BA518" s="181"/>
      <c r="BB518" s="181"/>
      <c r="BC518" s="181"/>
      <c r="BD518" s="181"/>
      <c r="BE518" s="181"/>
      <c r="BF518" s="181"/>
      <c r="BG518" s="181"/>
      <c r="BH518" s="181"/>
      <c r="BI518" s="181"/>
      <c r="BJ518" s="181"/>
      <c r="BK518" s="181"/>
      <c r="BL518" s="181"/>
      <c r="BM518" s="181"/>
      <c r="BN518" s="181"/>
      <c r="BO518" s="181"/>
      <c r="BP518" s="181"/>
      <c r="BQ518" s="181"/>
      <c r="BR518" s="181"/>
      <c r="BS518" s="181"/>
      <c r="BT518" s="181"/>
      <c r="BU518" s="181"/>
      <c r="BV518" s="181"/>
    </row>
    <row r="519" spans="1:75" s="30" customFormat="1" ht="21" customHeight="1" x14ac:dyDescent="0.25">
      <c r="A519" s="545"/>
      <c r="B519" s="1579"/>
      <c r="C519" s="1097"/>
      <c r="D519" s="1142" t="s">
        <v>165</v>
      </c>
      <c r="E519" s="1143" t="str">
        <f>IF(Z519="","",IF(OR(AND(OR(G519="Y",G519="?"),_00_apply="Yes"),AND(OR(I519="Y",I519="?"),_01_apply="Yes"),AND(OR(K519="Y",K519="?"),_02_apply="Yes"),AND(OR(M519="Y",M519="?"),_03_apply="Yes"),AND(OR(O519="Y",O519="?"),_04_apply="Yes"),AND(OR(Q519="Y",Q519="?"),_05_apply="Yes"),AND(OR(S519="?",S519="Y"),_06_apply="Yes"),AND(OR(U519="?",U519="Y"),_07_apply="Yes"),AND(OR(W519="Y",W519="?"),_08_apply="Yes")),"","N"))</f>
        <v/>
      </c>
      <c r="F519" s="1124"/>
      <c r="G519" s="1713" t="s">
        <v>208</v>
      </c>
      <c r="H519" s="1681" t="s">
        <v>208</v>
      </c>
      <c r="I519" s="1713" t="s">
        <v>208</v>
      </c>
      <c r="J519" s="1682" t="s">
        <v>208</v>
      </c>
      <c r="K519" s="1713" t="s">
        <v>208</v>
      </c>
      <c r="L519" s="1681" t="s">
        <v>208</v>
      </c>
      <c r="M519" s="1713" t="s">
        <v>208</v>
      </c>
      <c r="N519" s="1681" t="s">
        <v>208</v>
      </c>
      <c r="O519" s="1713" t="s">
        <v>208</v>
      </c>
      <c r="P519" s="1683" t="s">
        <v>208</v>
      </c>
      <c r="Q519" s="1714" t="s">
        <v>38</v>
      </c>
      <c r="R519" s="1681" t="s">
        <v>38</v>
      </c>
      <c r="S519" s="1713" t="s">
        <v>37</v>
      </c>
      <c r="T519" s="1682" t="s">
        <v>37</v>
      </c>
      <c r="U519" s="1713" t="s">
        <v>38</v>
      </c>
      <c r="V519" s="1681" t="s">
        <v>38</v>
      </c>
      <c r="W519" s="1713" t="s">
        <v>38</v>
      </c>
      <c r="X519" s="810" t="s">
        <v>38</v>
      </c>
      <c r="Y519" s="428" t="s">
        <v>1049</v>
      </c>
      <c r="Z519" s="579" t="s">
        <v>341</v>
      </c>
      <c r="AA519" s="970" t="s">
        <v>37</v>
      </c>
      <c r="AB519" s="1919"/>
      <c r="AC519" s="1153"/>
      <c r="AD519" s="1251"/>
      <c r="AE519" s="1252"/>
      <c r="AF519" s="1252"/>
      <c r="AG519" s="1252"/>
      <c r="AH519" s="1795"/>
      <c r="AI519" s="1775"/>
      <c r="AJ519" s="1252"/>
      <c r="AK519" s="1252"/>
      <c r="AL519" s="1095"/>
      <c r="AM519" s="1095"/>
      <c r="AN519" s="1095"/>
      <c r="AO519" s="1095"/>
      <c r="AP519" s="1095"/>
      <c r="AQ519" s="1106"/>
      <c r="AR519" s="1097"/>
      <c r="AS519" s="1097"/>
      <c r="AT519" s="181"/>
      <c r="AU519" s="181"/>
      <c r="AV519" s="181"/>
      <c r="AW519" s="181"/>
      <c r="AX519" s="181"/>
      <c r="AY519" s="181"/>
      <c r="AZ519" s="181"/>
      <c r="BA519" s="181"/>
      <c r="BB519" s="181"/>
      <c r="BC519" s="181"/>
      <c r="BD519" s="181"/>
      <c r="BE519" s="181"/>
      <c r="BF519" s="181"/>
      <c r="BG519" s="181"/>
      <c r="BH519" s="181"/>
      <c r="BI519" s="181"/>
      <c r="BJ519" s="181"/>
      <c r="BK519" s="181"/>
      <c r="BL519" s="181"/>
      <c r="BM519" s="181"/>
      <c r="BN519" s="181"/>
      <c r="BO519" s="181"/>
      <c r="BP519" s="181"/>
      <c r="BQ519" s="181"/>
      <c r="BR519" s="181"/>
      <c r="BS519" s="181"/>
      <c r="BT519" s="181"/>
      <c r="BU519" s="181"/>
      <c r="BV519" s="181"/>
    </row>
    <row r="520" spans="1:75" s="30" customFormat="1" ht="18.75" customHeight="1" x14ac:dyDescent="0.25">
      <c r="A520" s="545"/>
      <c r="B520" s="1579"/>
      <c r="C520" s="1097"/>
      <c r="D520" s="1142"/>
      <c r="E520" s="1144" t="str">
        <f>IF(Z520="","",IF(OR(AND(OR(G520="Y",G520="?"),_00_apply="Yes"),AND(OR(I520="Y",I520="?"),_01_apply="Yes"),AND(OR(K520="Y",K520="?"),_02_apply="Yes"),AND(OR(M520="Y",M520="?"),_03_apply="Yes"),AND(OR(O520="Y",O520="?"),_04_apply="Yes"),AND(OR(Q520="Y",Q520="?"),_05_apply="Yes"),AND(OR(S520="?",S520="Y"),_06_apply="Yes"),AND(OR(U520="?",U520="Y"),_07_apply="Yes"),AND(OR(W520="Y",W520="?"),_08_apply="Yes")),"","N"))</f>
        <v/>
      </c>
      <c r="F520" s="1124"/>
      <c r="G520" s="1708" t="s">
        <v>208</v>
      </c>
      <c r="H520" s="1709" t="s">
        <v>208</v>
      </c>
      <c r="I520" s="1708" t="s">
        <v>208</v>
      </c>
      <c r="J520" s="1710" t="s">
        <v>208</v>
      </c>
      <c r="K520" s="1708" t="s">
        <v>208</v>
      </c>
      <c r="L520" s="1709" t="s">
        <v>208</v>
      </c>
      <c r="M520" s="1708" t="s">
        <v>208</v>
      </c>
      <c r="N520" s="1709" t="s">
        <v>208</v>
      </c>
      <c r="O520" s="1708" t="s">
        <v>208</v>
      </c>
      <c r="P520" s="1711" t="s">
        <v>208</v>
      </c>
      <c r="Q520" s="1712" t="s">
        <v>208</v>
      </c>
      <c r="R520" s="1709" t="s">
        <v>208</v>
      </c>
      <c r="S520" s="1708" t="s">
        <v>208</v>
      </c>
      <c r="T520" s="1710" t="s">
        <v>208</v>
      </c>
      <c r="U520" s="1708" t="s">
        <v>208</v>
      </c>
      <c r="V520" s="1709" t="s">
        <v>208</v>
      </c>
      <c r="W520" s="1708" t="s">
        <v>208</v>
      </c>
      <c r="X520" s="816" t="s">
        <v>208</v>
      </c>
      <c r="Y520" s="437"/>
      <c r="Z520" s="597"/>
      <c r="AA520" s="973" t="s">
        <v>208</v>
      </c>
      <c r="AB520" s="1909"/>
      <c r="AC520" s="1153"/>
      <c r="AD520" s="1229"/>
      <c r="AE520" s="1230"/>
      <c r="AF520" s="1230"/>
      <c r="AG520" s="1230"/>
      <c r="AH520" s="1779"/>
      <c r="AI520" s="1761"/>
      <c r="AJ520" s="1230"/>
      <c r="AK520" s="1230"/>
      <c r="AL520" s="1095"/>
      <c r="AM520" s="1095"/>
      <c r="AN520" s="1095"/>
      <c r="AO520" s="1095"/>
      <c r="AP520" s="1095"/>
      <c r="AQ520" s="1106"/>
      <c r="AR520" s="1097"/>
      <c r="AS520" s="1097"/>
      <c r="AT520" s="181"/>
      <c r="AU520" s="181"/>
      <c r="AV520" s="181"/>
      <c r="AW520" s="181"/>
      <c r="AX520" s="181"/>
      <c r="AY520" s="181"/>
      <c r="AZ520" s="181"/>
      <c r="BA520" s="181"/>
      <c r="BB520" s="181"/>
      <c r="BC520" s="181"/>
      <c r="BD520" s="181"/>
      <c r="BE520" s="181"/>
      <c r="BF520" s="181"/>
      <c r="BG520" s="181"/>
      <c r="BH520" s="181"/>
      <c r="BI520" s="181"/>
      <c r="BJ520" s="181"/>
      <c r="BK520" s="181"/>
      <c r="BL520" s="181"/>
      <c r="BM520" s="181"/>
      <c r="BN520" s="181"/>
      <c r="BO520" s="181"/>
      <c r="BP520" s="181"/>
      <c r="BQ520" s="181"/>
      <c r="BR520" s="181"/>
      <c r="BS520" s="181"/>
      <c r="BT520" s="181"/>
      <c r="BU520" s="181"/>
      <c r="BV520" s="181"/>
    </row>
    <row r="521" spans="1:75" s="30" customFormat="1" ht="18.75" customHeight="1" x14ac:dyDescent="0.25">
      <c r="A521" s="545"/>
      <c r="B521" s="1579"/>
      <c r="C521" s="1097"/>
      <c r="D521" s="1142" t="s">
        <v>1048</v>
      </c>
      <c r="E521" s="1143" t="str">
        <f t="shared" si="82"/>
        <v/>
      </c>
      <c r="F521" s="1124"/>
      <c r="G521" s="1713" t="s">
        <v>208</v>
      </c>
      <c r="H521" s="1681" t="s">
        <v>208</v>
      </c>
      <c r="I521" s="1713" t="s">
        <v>208</v>
      </c>
      <c r="J521" s="1682" t="s">
        <v>208</v>
      </c>
      <c r="K521" s="1713" t="s">
        <v>208</v>
      </c>
      <c r="L521" s="1681" t="s">
        <v>208</v>
      </c>
      <c r="M521" s="1713" t="s">
        <v>208</v>
      </c>
      <c r="N521" s="1681" t="s">
        <v>208</v>
      </c>
      <c r="O521" s="1713" t="s">
        <v>208</v>
      </c>
      <c r="P521" s="1683" t="s">
        <v>208</v>
      </c>
      <c r="Q521" s="1714" t="s">
        <v>38</v>
      </c>
      <c r="R521" s="1681" t="s">
        <v>38</v>
      </c>
      <c r="S521" s="1713" t="s">
        <v>37</v>
      </c>
      <c r="T521" s="1682" t="str">
        <f>IF(OR(ISNUMBER(SEARCH("Contractor",Const_Delivery_Method))=TRUE,ISNUMBER(SEARCH("JOC",Const_Delivery_Method))=TRUE,ISNUMBER(SEARCH("CS",Const_Delivery_Method))=TRUE,ISNUMBER(SEARCH("House",Const_Delivery_Method))=TRUE),"N","Y")</f>
        <v>Y</v>
      </c>
      <c r="U521" s="1713" t="s">
        <v>38</v>
      </c>
      <c r="V521" s="1681" t="s">
        <v>38</v>
      </c>
      <c r="W521" s="1713" t="s">
        <v>38</v>
      </c>
      <c r="X521" s="810" t="s">
        <v>38</v>
      </c>
      <c r="Y521" s="428" t="s">
        <v>165</v>
      </c>
      <c r="Z521" s="579" t="s">
        <v>35</v>
      </c>
      <c r="AA521" s="970" t="s">
        <v>37</v>
      </c>
      <c r="AB521" s="1919"/>
      <c r="AC521" s="1153"/>
      <c r="AD521" s="1251"/>
      <c r="AE521" s="1252"/>
      <c r="AF521" s="1252"/>
      <c r="AG521" s="1252"/>
      <c r="AH521" s="1795"/>
      <c r="AI521" s="1775"/>
      <c r="AJ521" s="1252"/>
      <c r="AK521" s="1252"/>
      <c r="AL521" s="1095"/>
      <c r="AM521" s="1095"/>
      <c r="AN521" s="1095"/>
      <c r="AO521" s="1095"/>
      <c r="AP521" s="1095"/>
      <c r="AQ521" s="1106"/>
      <c r="AR521" s="1097"/>
      <c r="AS521" s="1097"/>
      <c r="AT521" s="181"/>
      <c r="AU521" s="181"/>
      <c r="AV521" s="181"/>
      <c r="AW521" s="181"/>
      <c r="AX521" s="181"/>
      <c r="AY521" s="181"/>
      <c r="AZ521" s="181"/>
      <c r="BA521" s="181"/>
      <c r="BB521" s="181"/>
      <c r="BC521" s="181"/>
      <c r="BD521" s="181"/>
      <c r="BE521" s="181"/>
      <c r="BF521" s="181"/>
      <c r="BG521" s="181"/>
      <c r="BH521" s="181"/>
      <c r="BI521" s="181"/>
      <c r="BJ521" s="181"/>
      <c r="BK521" s="181"/>
      <c r="BL521" s="181"/>
      <c r="BM521" s="181"/>
      <c r="BN521" s="181"/>
      <c r="BO521" s="181"/>
      <c r="BP521" s="181"/>
      <c r="BQ521" s="181"/>
      <c r="BR521" s="181"/>
      <c r="BS521" s="181"/>
      <c r="BT521" s="181"/>
      <c r="BU521" s="181"/>
      <c r="BV521" s="181"/>
    </row>
    <row r="522" spans="1:75" s="30" customFormat="1" ht="15.75" customHeight="1" x14ac:dyDescent="0.25">
      <c r="A522" s="545"/>
      <c r="B522" s="1579"/>
      <c r="C522" s="1097"/>
      <c r="D522" s="1142"/>
      <c r="E522" s="1144" t="str">
        <f t="shared" si="82"/>
        <v/>
      </c>
      <c r="F522" s="1124"/>
      <c r="G522" s="1708" t="s">
        <v>208</v>
      </c>
      <c r="H522" s="1709" t="s">
        <v>208</v>
      </c>
      <c r="I522" s="1708" t="s">
        <v>208</v>
      </c>
      <c r="J522" s="1710" t="s">
        <v>208</v>
      </c>
      <c r="K522" s="1708" t="s">
        <v>208</v>
      </c>
      <c r="L522" s="1709" t="s">
        <v>208</v>
      </c>
      <c r="M522" s="1708" t="s">
        <v>208</v>
      </c>
      <c r="N522" s="1709" t="s">
        <v>208</v>
      </c>
      <c r="O522" s="1708" t="s">
        <v>208</v>
      </c>
      <c r="P522" s="1711" t="s">
        <v>208</v>
      </c>
      <c r="Q522" s="1712" t="s">
        <v>208</v>
      </c>
      <c r="R522" s="1709" t="s">
        <v>208</v>
      </c>
      <c r="S522" s="1708" t="s">
        <v>208</v>
      </c>
      <c r="T522" s="1710" t="s">
        <v>208</v>
      </c>
      <c r="U522" s="1708" t="s">
        <v>208</v>
      </c>
      <c r="V522" s="1709" t="s">
        <v>208</v>
      </c>
      <c r="W522" s="1708" t="s">
        <v>208</v>
      </c>
      <c r="X522" s="816" t="s">
        <v>208</v>
      </c>
      <c r="Y522" s="1816"/>
      <c r="Z522" s="1817"/>
      <c r="AA522" s="972" t="s">
        <v>208</v>
      </c>
      <c r="AB522" s="1925"/>
      <c r="AC522" s="1153"/>
      <c r="AD522" s="1269"/>
      <c r="AE522" s="1270"/>
      <c r="AF522" s="1270"/>
      <c r="AG522" s="1270"/>
      <c r="AH522" s="1796"/>
      <c r="AI522" s="1776"/>
      <c r="AJ522" s="1270"/>
      <c r="AK522" s="1270"/>
      <c r="AL522" s="1095"/>
      <c r="AM522" s="1095"/>
      <c r="AN522" s="1095"/>
      <c r="AO522" s="1095"/>
      <c r="AP522" s="1095"/>
      <c r="AQ522" s="1106"/>
      <c r="AR522" s="1097"/>
      <c r="AS522" s="1097"/>
      <c r="AT522" s="181"/>
      <c r="AU522" s="181"/>
      <c r="AV522" s="181"/>
      <c r="AW522" s="181"/>
      <c r="AX522" s="181"/>
      <c r="AY522" s="181"/>
      <c r="AZ522" s="181"/>
      <c r="BA522" s="181"/>
      <c r="BB522" s="181"/>
      <c r="BC522" s="181"/>
      <c r="BD522" s="181"/>
      <c r="BE522" s="181"/>
      <c r="BF522" s="181"/>
      <c r="BG522" s="181"/>
      <c r="BH522" s="181"/>
      <c r="BI522" s="181"/>
      <c r="BJ522" s="181"/>
      <c r="BK522" s="181"/>
      <c r="BL522" s="181"/>
      <c r="BM522" s="181"/>
      <c r="BN522" s="181"/>
      <c r="BO522" s="181"/>
      <c r="BP522" s="181"/>
      <c r="BQ522" s="181"/>
      <c r="BR522" s="181"/>
      <c r="BS522" s="181"/>
      <c r="BT522" s="181"/>
      <c r="BU522" s="181"/>
      <c r="BV522" s="181"/>
    </row>
    <row r="523" spans="1:75" s="30" customFormat="1" ht="18.75" customHeight="1" x14ac:dyDescent="0.25">
      <c r="A523" s="545"/>
      <c r="B523" s="1579"/>
      <c r="C523" s="1097"/>
      <c r="D523" s="1142" t="s">
        <v>1049</v>
      </c>
      <c r="E523" s="1143" t="str">
        <f t="shared" si="82"/>
        <v/>
      </c>
      <c r="F523" s="1124"/>
      <c r="G523" s="1713" t="s">
        <v>208</v>
      </c>
      <c r="H523" s="1681" t="s">
        <v>208</v>
      </c>
      <c r="I523" s="1713" t="s">
        <v>208</v>
      </c>
      <c r="J523" s="1682" t="s">
        <v>208</v>
      </c>
      <c r="K523" s="1713" t="s">
        <v>208</v>
      </c>
      <c r="L523" s="1681" t="s">
        <v>208</v>
      </c>
      <c r="M523" s="1713" t="s">
        <v>208</v>
      </c>
      <c r="N523" s="1681" t="s">
        <v>208</v>
      </c>
      <c r="O523" s="1713" t="s">
        <v>208</v>
      </c>
      <c r="P523" s="1683" t="s">
        <v>208</v>
      </c>
      <c r="Q523" s="1714" t="s">
        <v>38</v>
      </c>
      <c r="R523" s="1681" t="s">
        <v>38</v>
      </c>
      <c r="S523" s="1713" t="s">
        <v>37</v>
      </c>
      <c r="T523" s="1682" t="s">
        <v>37</v>
      </c>
      <c r="U523" s="1713" t="s">
        <v>38</v>
      </c>
      <c r="V523" s="1681" t="s">
        <v>38</v>
      </c>
      <c r="W523" s="1713" t="s">
        <v>38</v>
      </c>
      <c r="X523" s="810" t="s">
        <v>38</v>
      </c>
      <c r="Y523" s="428" t="s">
        <v>1048</v>
      </c>
      <c r="Z523" s="579" t="s">
        <v>34</v>
      </c>
      <c r="AA523" s="970" t="s">
        <v>37</v>
      </c>
      <c r="AB523" s="1925"/>
      <c r="AC523" s="1153"/>
      <c r="AD523" s="1269"/>
      <c r="AE523" s="1270"/>
      <c r="AF523" s="1270"/>
      <c r="AG523" s="1270"/>
      <c r="AH523" s="1796"/>
      <c r="AI523" s="1776"/>
      <c r="AJ523" s="1270"/>
      <c r="AK523" s="1270"/>
      <c r="AL523" s="1095"/>
      <c r="AM523" s="1095"/>
      <c r="AN523" s="1095"/>
      <c r="AO523" s="1095"/>
      <c r="AP523" s="1095"/>
      <c r="AQ523" s="1106"/>
      <c r="AR523" s="1097"/>
      <c r="AS523" s="1097"/>
      <c r="AT523" s="181"/>
      <c r="AU523" s="181"/>
      <c r="AV523" s="181"/>
      <c r="AW523" s="181"/>
      <c r="AX523" s="181"/>
      <c r="AY523" s="181"/>
      <c r="AZ523" s="181"/>
      <c r="BA523" s="181"/>
      <c r="BB523" s="181"/>
      <c r="BC523" s="181"/>
      <c r="BD523" s="181"/>
      <c r="BE523" s="181"/>
      <c r="BF523" s="181"/>
      <c r="BG523" s="181"/>
      <c r="BH523" s="181"/>
      <c r="BI523" s="181"/>
      <c r="BJ523" s="181"/>
      <c r="BK523" s="181"/>
      <c r="BL523" s="181"/>
      <c r="BM523" s="181"/>
      <c r="BN523" s="181"/>
      <c r="BO523" s="181"/>
      <c r="BP523" s="181"/>
      <c r="BQ523" s="181"/>
      <c r="BR523" s="181"/>
      <c r="BS523" s="181"/>
      <c r="BT523" s="181"/>
      <c r="BU523" s="181"/>
      <c r="BV523" s="181"/>
    </row>
    <row r="524" spans="1:75" s="30" customFormat="1" ht="18.75" customHeight="1" x14ac:dyDescent="0.25">
      <c r="A524" s="545"/>
      <c r="B524" s="1579"/>
      <c r="C524" s="1097"/>
      <c r="D524" s="1142"/>
      <c r="E524" s="1144" t="str">
        <f t="shared" si="82"/>
        <v/>
      </c>
      <c r="F524" s="1124"/>
      <c r="G524" s="1708" t="s">
        <v>208</v>
      </c>
      <c r="H524" s="1709" t="s">
        <v>208</v>
      </c>
      <c r="I524" s="1708" t="s">
        <v>208</v>
      </c>
      <c r="J524" s="1710" t="s">
        <v>208</v>
      </c>
      <c r="K524" s="1708" t="s">
        <v>208</v>
      </c>
      <c r="L524" s="1709" t="s">
        <v>208</v>
      </c>
      <c r="M524" s="1708" t="s">
        <v>208</v>
      </c>
      <c r="N524" s="1709" t="s">
        <v>208</v>
      </c>
      <c r="O524" s="1708" t="s">
        <v>208</v>
      </c>
      <c r="P524" s="1711" t="s">
        <v>208</v>
      </c>
      <c r="Q524" s="1712" t="s">
        <v>208</v>
      </c>
      <c r="R524" s="1709" t="s">
        <v>208</v>
      </c>
      <c r="S524" s="1708" t="s">
        <v>208</v>
      </c>
      <c r="T524" s="1710" t="s">
        <v>208</v>
      </c>
      <c r="U524" s="1708" t="s">
        <v>208</v>
      </c>
      <c r="V524" s="1709" t="s">
        <v>208</v>
      </c>
      <c r="W524" s="1708" t="s">
        <v>208</v>
      </c>
      <c r="X524" s="816" t="s">
        <v>208</v>
      </c>
      <c r="Y524" s="437"/>
      <c r="Z524" s="597"/>
      <c r="AA524" s="973" t="s">
        <v>208</v>
      </c>
      <c r="AB524" s="1909"/>
      <c r="AC524" s="1153"/>
      <c r="AD524" s="1229"/>
      <c r="AE524" s="1230"/>
      <c r="AF524" s="1230"/>
      <c r="AG524" s="1230"/>
      <c r="AH524" s="1779"/>
      <c r="AI524" s="1761"/>
      <c r="AJ524" s="1230"/>
      <c r="AK524" s="1230"/>
      <c r="AL524" s="1095"/>
      <c r="AM524" s="1095"/>
      <c r="AN524" s="1095"/>
      <c r="AO524" s="1095"/>
      <c r="AP524" s="1095"/>
      <c r="AQ524" s="1106"/>
      <c r="AR524" s="1097"/>
      <c r="AS524" s="1097"/>
      <c r="AT524" s="181"/>
      <c r="AU524" s="181"/>
      <c r="AV524" s="181"/>
      <c r="AW524" s="181"/>
      <c r="AX524" s="181"/>
      <c r="AY524" s="181"/>
      <c r="AZ524" s="181"/>
      <c r="BA524" s="181"/>
      <c r="BB524" s="181"/>
      <c r="BC524" s="181"/>
      <c r="BD524" s="181"/>
      <c r="BE524" s="181"/>
      <c r="BF524" s="181"/>
      <c r="BG524" s="181"/>
      <c r="BH524" s="181"/>
      <c r="BI524" s="181"/>
      <c r="BJ524" s="181"/>
      <c r="BK524" s="181"/>
      <c r="BL524" s="181"/>
      <c r="BM524" s="181"/>
      <c r="BN524" s="181"/>
      <c r="BO524" s="181"/>
      <c r="BP524" s="181"/>
      <c r="BQ524" s="181"/>
      <c r="BR524" s="181"/>
      <c r="BS524" s="181"/>
      <c r="BT524" s="181"/>
      <c r="BU524" s="181"/>
      <c r="BV524" s="181"/>
    </row>
    <row r="525" spans="1:75" s="30" customFormat="1" ht="21" customHeight="1" x14ac:dyDescent="0.25">
      <c r="A525" s="545"/>
      <c r="B525" s="1579"/>
      <c r="C525" s="1097"/>
      <c r="D525" s="1142"/>
      <c r="E525" s="1144" t="str">
        <f>IF(Z525="","",IF(OR(AND(OR(G525="Y",G525="?"),_00_apply="Yes"),AND(OR(I525="Y",I525="?"),_01_apply="Yes"),AND(OR(K525="Y",K525="?"),_02_apply="Yes"),AND(OR(M525="Y",M525="?"),_03_apply="Yes"),AND(OR(O525="Y",O525="?"),_04_apply="Yes"),AND(OR(Q525="Y",Q525="?"),_05_apply="Yes"),AND(OR(S525="?",S525="Y"),_06_apply="Yes"),AND(OR(U525="?",U525="Y"),_07_apply="Yes"),AND(OR(W525="Y",W525="?"),_08_apply="Yes")),"","N"))</f>
        <v/>
      </c>
      <c r="F525" s="1124"/>
      <c r="G525" s="1739" t="s">
        <v>208</v>
      </c>
      <c r="H525" s="1740" t="s">
        <v>208</v>
      </c>
      <c r="I525" s="1739" t="s">
        <v>208</v>
      </c>
      <c r="J525" s="1741" t="s">
        <v>208</v>
      </c>
      <c r="K525" s="1739" t="s">
        <v>208</v>
      </c>
      <c r="L525" s="1740" t="s">
        <v>208</v>
      </c>
      <c r="M525" s="1739" t="s">
        <v>208</v>
      </c>
      <c r="N525" s="1740" t="s">
        <v>208</v>
      </c>
      <c r="O525" s="1739" t="s">
        <v>208</v>
      </c>
      <c r="P525" s="1742" t="s">
        <v>208</v>
      </c>
      <c r="Q525" s="1743" t="s">
        <v>208</v>
      </c>
      <c r="R525" s="1740" t="s">
        <v>208</v>
      </c>
      <c r="S525" s="1739" t="s">
        <v>208</v>
      </c>
      <c r="T525" s="1741" t="s">
        <v>208</v>
      </c>
      <c r="U525" s="1739" t="s">
        <v>208</v>
      </c>
      <c r="V525" s="1740" t="s">
        <v>208</v>
      </c>
      <c r="W525" s="1739" t="s">
        <v>208</v>
      </c>
      <c r="X525" s="821" t="s">
        <v>208</v>
      </c>
      <c r="Y525" s="441" t="s">
        <v>315</v>
      </c>
      <c r="Z525" s="602"/>
      <c r="AA525" s="972" t="s">
        <v>208</v>
      </c>
      <c r="AB525" s="1925"/>
      <c r="AC525" s="1153"/>
      <c r="AD525" s="1269"/>
      <c r="AE525" s="1270"/>
      <c r="AF525" s="1270"/>
      <c r="AG525" s="1270"/>
      <c r="AH525" s="1796"/>
      <c r="AI525" s="1776"/>
      <c r="AJ525" s="1270"/>
      <c r="AK525" s="1270"/>
      <c r="AL525" s="1095"/>
      <c r="AM525" s="1095"/>
      <c r="AN525" s="1095"/>
      <c r="AO525" s="1095"/>
      <c r="AP525" s="1095"/>
      <c r="AQ525" s="1106"/>
      <c r="AR525" s="1097"/>
      <c r="AS525" s="1097"/>
      <c r="AT525" s="181"/>
      <c r="AU525" s="181"/>
      <c r="AV525" s="181"/>
      <c r="AW525" s="181"/>
      <c r="AX525" s="181"/>
      <c r="AY525" s="181"/>
      <c r="AZ525" s="181"/>
      <c r="BA525" s="181"/>
      <c r="BB525" s="181"/>
      <c r="BC525" s="181"/>
      <c r="BD525" s="181"/>
      <c r="BE525" s="181"/>
      <c r="BF525" s="181"/>
      <c r="BG525" s="181"/>
      <c r="BH525" s="181"/>
      <c r="BI525" s="181"/>
      <c r="BJ525" s="181"/>
      <c r="BK525" s="181"/>
      <c r="BL525" s="181"/>
      <c r="BM525" s="181"/>
      <c r="BN525" s="181"/>
      <c r="BO525" s="181"/>
      <c r="BP525" s="181"/>
      <c r="BQ525" s="181"/>
      <c r="BR525" s="181"/>
      <c r="BS525" s="181"/>
      <c r="BT525" s="181"/>
      <c r="BU525" s="181"/>
      <c r="BV525" s="181"/>
    </row>
    <row r="526" spans="1:75" s="30" customFormat="1" ht="18.75" customHeight="1" x14ac:dyDescent="0.25">
      <c r="A526" s="545"/>
      <c r="B526" s="1579"/>
      <c r="C526" s="1097"/>
      <c r="D526" s="1142"/>
      <c r="E526" s="1144" t="str">
        <f>IF(Z526="","",IF(OR(AND(OR(G526="Y",G526="?"),_00_apply="Yes"),AND(OR(I526="Y",I526="?"),_01_apply="Yes"),AND(OR(K526="Y",K526="?"),_02_apply="Yes"),AND(OR(M526="Y",M526="?"),_03_apply="Yes"),AND(OR(O526="Y",O526="?"),_04_apply="Yes"),AND(OR(Q526="Y",Q526="?"),_05_apply="Yes"),AND(OR(S526="?",S526="Y"),_06_apply="Yes"),AND(OR(U526="?",U526="Y"),_07_apply="Yes"),AND(OR(W526="Y",W526="?"),_08_apply="Yes")),"","N"))</f>
        <v/>
      </c>
      <c r="F526" s="1124"/>
      <c r="G526" s="1708" t="s">
        <v>208</v>
      </c>
      <c r="H526" s="1709" t="s">
        <v>208</v>
      </c>
      <c r="I526" s="1708" t="s">
        <v>208</v>
      </c>
      <c r="J526" s="1710" t="s">
        <v>208</v>
      </c>
      <c r="K526" s="1708" t="s">
        <v>208</v>
      </c>
      <c r="L526" s="1709" t="s">
        <v>208</v>
      </c>
      <c r="M526" s="1708" t="s">
        <v>208</v>
      </c>
      <c r="N526" s="1709" t="s">
        <v>208</v>
      </c>
      <c r="O526" s="1708" t="s">
        <v>208</v>
      </c>
      <c r="P526" s="1711" t="s">
        <v>208</v>
      </c>
      <c r="Q526" s="1712" t="s">
        <v>208</v>
      </c>
      <c r="R526" s="1709" t="s">
        <v>208</v>
      </c>
      <c r="S526" s="1708" t="s">
        <v>208</v>
      </c>
      <c r="T526" s="1710" t="s">
        <v>208</v>
      </c>
      <c r="U526" s="1708" t="s">
        <v>208</v>
      </c>
      <c r="V526" s="1709" t="s">
        <v>208</v>
      </c>
      <c r="W526" s="1708" t="s">
        <v>208</v>
      </c>
      <c r="X526" s="816" t="s">
        <v>208</v>
      </c>
      <c r="Y526" s="429"/>
      <c r="Z526" s="600"/>
      <c r="AA526" s="973" t="s">
        <v>208</v>
      </c>
      <c r="AB526" s="1925"/>
      <c r="AC526" s="1153"/>
      <c r="AD526" s="1269"/>
      <c r="AE526" s="1270"/>
      <c r="AF526" s="1270"/>
      <c r="AG526" s="1270"/>
      <c r="AH526" s="1796"/>
      <c r="AI526" s="1776"/>
      <c r="AJ526" s="1270"/>
      <c r="AK526" s="1270"/>
      <c r="AL526" s="1095"/>
      <c r="AM526" s="1095"/>
      <c r="AN526" s="1095"/>
      <c r="AO526" s="1095"/>
      <c r="AP526" s="1095"/>
      <c r="AQ526" s="1106"/>
      <c r="AR526" s="1097"/>
      <c r="AS526" s="1097"/>
      <c r="AT526" s="181"/>
      <c r="AU526" s="181"/>
      <c r="AV526" s="181"/>
      <c r="AW526" s="181"/>
      <c r="AX526" s="181"/>
      <c r="AY526" s="181"/>
      <c r="AZ526" s="181"/>
      <c r="BA526" s="181"/>
      <c r="BB526" s="181"/>
      <c r="BC526" s="181"/>
      <c r="BD526" s="181"/>
      <c r="BE526" s="181"/>
      <c r="BF526" s="181"/>
      <c r="BG526" s="181"/>
      <c r="BH526" s="181"/>
      <c r="BI526" s="181"/>
      <c r="BJ526" s="181"/>
      <c r="BK526" s="181"/>
      <c r="BL526" s="181"/>
      <c r="BM526" s="181"/>
      <c r="BN526" s="181"/>
      <c r="BO526" s="181"/>
      <c r="BP526" s="181"/>
      <c r="BQ526" s="181"/>
      <c r="BR526" s="181"/>
      <c r="BS526" s="181"/>
      <c r="BT526" s="181"/>
      <c r="BU526" s="181"/>
      <c r="BV526" s="181"/>
    </row>
    <row r="527" spans="1:75" s="30" customFormat="1" ht="31.5" customHeight="1" x14ac:dyDescent="0.25">
      <c r="A527" s="545"/>
      <c r="B527" s="1579"/>
      <c r="C527" s="1097"/>
      <c r="D527" s="1142" t="s">
        <v>168</v>
      </c>
      <c r="E527" s="1143" t="str">
        <f t="shared" si="82"/>
        <v/>
      </c>
      <c r="F527" s="1124"/>
      <c r="G527" s="1713" t="s">
        <v>208</v>
      </c>
      <c r="H527" s="1681" t="s">
        <v>208</v>
      </c>
      <c r="I527" s="1713" t="s">
        <v>208</v>
      </c>
      <c r="J527" s="1682" t="s">
        <v>208</v>
      </c>
      <c r="K527" s="1713" t="s">
        <v>208</v>
      </c>
      <c r="L527" s="1681" t="s">
        <v>208</v>
      </c>
      <c r="M527" s="1713" t="s">
        <v>208</v>
      </c>
      <c r="N527" s="1681" t="s">
        <v>208</v>
      </c>
      <c r="O527" s="1713" t="s">
        <v>208</v>
      </c>
      <c r="P527" s="1683" t="s">
        <v>208</v>
      </c>
      <c r="Q527" s="1714" t="s">
        <v>38</v>
      </c>
      <c r="R527" s="1681" t="s">
        <v>38</v>
      </c>
      <c r="S527" s="1713" t="s">
        <v>38</v>
      </c>
      <c r="T527" s="1682" t="s">
        <v>38</v>
      </c>
      <c r="U527" s="1713" t="s">
        <v>37</v>
      </c>
      <c r="V527" s="1681" t="str">
        <f>IF(OR(ISNUMBER(SEARCH("Contractor",Const_Delivery_Method))=TRUE,ISNUMBER(SEARCH("JOC",Const_Delivery_Method))=TRUE,ISNUMBER(SEARCH("CS",Const_Delivery_Method))=TRUE,ISNUMBER(SEARCH("House",Const_Delivery_Method))=TRUE),"N","Y")</f>
        <v>Y</v>
      </c>
      <c r="W527" s="1713" t="s">
        <v>38</v>
      </c>
      <c r="X527" s="810" t="s">
        <v>38</v>
      </c>
      <c r="Y527" s="428" t="s">
        <v>168</v>
      </c>
      <c r="Z527" s="579" t="s">
        <v>342</v>
      </c>
      <c r="AA527" s="2098" t="s">
        <v>37</v>
      </c>
      <c r="AB527" s="1919"/>
      <c r="AC527" s="1153"/>
      <c r="AD527" s="1251"/>
      <c r="AE527" s="1252"/>
      <c r="AF527" s="1252"/>
      <c r="AG527" s="1252"/>
      <c r="AH527" s="1795"/>
      <c r="AI527" s="1775"/>
      <c r="AJ527" s="1252"/>
      <c r="AK527" s="1252"/>
      <c r="AL527" s="1095"/>
      <c r="AM527" s="1095"/>
      <c r="AN527" s="1095"/>
      <c r="AO527" s="1095"/>
      <c r="AP527" s="1095"/>
      <c r="AQ527" s="1106"/>
      <c r="AR527" s="1097"/>
      <c r="AS527" s="1097"/>
      <c r="AT527" s="181"/>
      <c r="AU527" s="181"/>
      <c r="AV527" s="181"/>
      <c r="AW527" s="181"/>
      <c r="AX527" s="181"/>
      <c r="AY527" s="181"/>
      <c r="AZ527" s="181"/>
      <c r="BA527" s="181"/>
      <c r="BB527" s="181"/>
      <c r="BC527" s="181"/>
      <c r="BD527" s="181"/>
      <c r="BE527" s="181"/>
      <c r="BF527" s="181"/>
      <c r="BG527" s="181"/>
      <c r="BH527" s="181"/>
      <c r="BI527" s="181"/>
      <c r="BJ527" s="181"/>
      <c r="BK527" s="181"/>
      <c r="BL527" s="181"/>
      <c r="BM527" s="181"/>
      <c r="BN527" s="181"/>
      <c r="BO527" s="181"/>
      <c r="BP527" s="181"/>
      <c r="BQ527" s="181"/>
      <c r="BR527" s="181"/>
      <c r="BS527" s="181"/>
      <c r="BT527" s="181"/>
      <c r="BU527" s="181"/>
      <c r="BV527" s="181"/>
    </row>
    <row r="528" spans="1:75" s="30" customFormat="1" ht="25.5" customHeight="1" x14ac:dyDescent="0.25">
      <c r="A528" s="545"/>
      <c r="B528" s="1579"/>
      <c r="C528" s="1097"/>
      <c r="D528" s="1142"/>
      <c r="E528" s="1222" t="s">
        <v>770</v>
      </c>
      <c r="F528" s="1124"/>
      <c r="G528" s="1708" t="s">
        <v>208</v>
      </c>
      <c r="H528" s="1709" t="s">
        <v>208</v>
      </c>
      <c r="I528" s="1708" t="s">
        <v>208</v>
      </c>
      <c r="J528" s="1710" t="s">
        <v>208</v>
      </c>
      <c r="K528" s="1708" t="s">
        <v>208</v>
      </c>
      <c r="L528" s="1709" t="s">
        <v>208</v>
      </c>
      <c r="M528" s="1708" t="s">
        <v>208</v>
      </c>
      <c r="N528" s="1709" t="s">
        <v>208</v>
      </c>
      <c r="O528" s="1708" t="s">
        <v>208</v>
      </c>
      <c r="P528" s="1711" t="s">
        <v>208</v>
      </c>
      <c r="Q528" s="1712" t="s">
        <v>208</v>
      </c>
      <c r="R528" s="1709" t="s">
        <v>208</v>
      </c>
      <c r="S528" s="1708" t="s">
        <v>208</v>
      </c>
      <c r="T528" s="1710" t="s">
        <v>208</v>
      </c>
      <c r="U528" s="1708" t="s">
        <v>208</v>
      </c>
      <c r="V528" s="1709"/>
      <c r="W528" s="1708" t="s">
        <v>208</v>
      </c>
      <c r="X528" s="816" t="s">
        <v>208</v>
      </c>
      <c r="Y528" s="429"/>
      <c r="Z528" s="1675" t="s">
        <v>1030</v>
      </c>
      <c r="AA528" s="2098"/>
      <c r="AB528" s="1925"/>
      <c r="AC528" s="1153"/>
      <c r="AD528" s="1269"/>
      <c r="AE528" s="1270"/>
      <c r="AF528" s="1270"/>
      <c r="AG528" s="1270"/>
      <c r="AH528" s="1796"/>
      <c r="AI528" s="1776"/>
      <c r="AJ528" s="1270"/>
      <c r="AK528" s="1270"/>
      <c r="AL528" s="1095"/>
      <c r="AM528" s="1095"/>
      <c r="AN528" s="1095"/>
      <c r="AO528" s="1095"/>
      <c r="AP528" s="1095"/>
      <c r="AQ528" s="1106"/>
      <c r="AR528" s="1097"/>
      <c r="AS528" s="1097"/>
      <c r="AT528" s="181"/>
      <c r="AU528" s="181"/>
      <c r="AV528" s="181"/>
      <c r="AW528" s="181"/>
      <c r="AX528" s="181"/>
      <c r="AY528" s="181"/>
      <c r="AZ528" s="181"/>
      <c r="BA528" s="181"/>
      <c r="BB528" s="181"/>
      <c r="BC528" s="181"/>
      <c r="BD528" s="181"/>
      <c r="BE528" s="181"/>
      <c r="BF528" s="181"/>
      <c r="BG528" s="181"/>
      <c r="BH528" s="181"/>
      <c r="BI528" s="181"/>
      <c r="BJ528" s="181"/>
      <c r="BK528" s="181"/>
      <c r="BL528" s="181"/>
      <c r="BM528" s="181"/>
      <c r="BN528" s="181"/>
      <c r="BO528" s="181"/>
      <c r="BP528" s="181"/>
      <c r="BQ528" s="181"/>
      <c r="BR528" s="181"/>
      <c r="BS528" s="181"/>
      <c r="BT528" s="181"/>
      <c r="BU528" s="181"/>
      <c r="BV528" s="181"/>
    </row>
    <row r="529" spans="1:75" s="181" customFormat="1" ht="15" customHeight="1" x14ac:dyDescent="0.25">
      <c r="A529" s="551"/>
      <c r="B529" s="1578"/>
      <c r="C529" s="1097"/>
      <c r="D529" s="1145" t="s">
        <v>168</v>
      </c>
      <c r="E529" s="1146" t="str">
        <f t="shared" si="82"/>
        <v/>
      </c>
      <c r="F529" s="1166"/>
      <c r="G529" s="1691" t="s">
        <v>208</v>
      </c>
      <c r="H529" s="1692" t="s">
        <v>208</v>
      </c>
      <c r="I529" s="1691" t="s">
        <v>208</v>
      </c>
      <c r="J529" s="1715" t="s">
        <v>208</v>
      </c>
      <c r="K529" s="1691" t="s">
        <v>208</v>
      </c>
      <c r="L529" s="1692" t="s">
        <v>208</v>
      </c>
      <c r="M529" s="1691" t="s">
        <v>208</v>
      </c>
      <c r="N529" s="1692" t="s">
        <v>208</v>
      </c>
      <c r="O529" s="1691" t="s">
        <v>208</v>
      </c>
      <c r="P529" s="1716" t="s">
        <v>208</v>
      </c>
      <c r="Q529" s="1717" t="s">
        <v>38</v>
      </c>
      <c r="R529" s="1692" t="s">
        <v>38</v>
      </c>
      <c r="S529" s="1691" t="s">
        <v>38</v>
      </c>
      <c r="T529" s="1715" t="s">
        <v>38</v>
      </c>
      <c r="U529" s="1691" t="s">
        <v>37</v>
      </c>
      <c r="V529" s="1692" t="str">
        <f t="shared" ref="V529:V541" si="83">IF(OR(ISNUMBER(SEARCH("Contractor",Const_Delivery_Method))=TRUE,ISNUMBER(SEARCH("JOC",Const_Delivery_Method))=TRUE,ISNUMBER(SEARCH("CS",Const_Delivery_Method))=TRUE,ISNUMBER(SEARCH("House",Const_Delivery_Method))=TRUE),"N","Y")</f>
        <v>Y</v>
      </c>
      <c r="W529" s="1691" t="s">
        <v>38</v>
      </c>
      <c r="X529" s="818" t="s">
        <v>38</v>
      </c>
      <c r="Y529" s="430"/>
      <c r="Z529" s="611" t="s">
        <v>169</v>
      </c>
      <c r="AA529" s="970" t="s">
        <v>37</v>
      </c>
      <c r="AB529" s="1925"/>
      <c r="AC529" s="1153"/>
      <c r="AD529" s="1269"/>
      <c r="AE529" s="1270"/>
      <c r="AF529" s="1270"/>
      <c r="AG529" s="1270"/>
      <c r="AH529" s="1796"/>
      <c r="AI529" s="1776"/>
      <c r="AJ529" s="1270"/>
      <c r="AK529" s="1270"/>
      <c r="AL529" s="1095"/>
      <c r="AM529" s="1095"/>
      <c r="AN529" s="1095"/>
      <c r="AO529" s="1095"/>
      <c r="AP529" s="1095"/>
      <c r="AQ529" s="1104"/>
      <c r="AR529" s="1105"/>
      <c r="AS529" s="1097"/>
      <c r="BW529" s="30"/>
    </row>
    <row r="530" spans="1:75" s="181" customFormat="1" ht="15" customHeight="1" x14ac:dyDescent="0.25">
      <c r="A530" s="551"/>
      <c r="B530" s="1578"/>
      <c r="C530" s="1097"/>
      <c r="D530" s="1145" t="s">
        <v>168</v>
      </c>
      <c r="E530" s="1146" t="str">
        <f t="shared" si="82"/>
        <v/>
      </c>
      <c r="F530" s="1166"/>
      <c r="G530" s="886" t="s">
        <v>208</v>
      </c>
      <c r="H530" s="962" t="s">
        <v>208</v>
      </c>
      <c r="I530" s="886" t="s">
        <v>208</v>
      </c>
      <c r="J530" s="963" t="s">
        <v>208</v>
      </c>
      <c r="K530" s="886" t="s">
        <v>208</v>
      </c>
      <c r="L530" s="962" t="s">
        <v>208</v>
      </c>
      <c r="M530" s="886" t="s">
        <v>208</v>
      </c>
      <c r="N530" s="962" t="s">
        <v>208</v>
      </c>
      <c r="O530" s="886" t="s">
        <v>208</v>
      </c>
      <c r="P530" s="964" t="s">
        <v>208</v>
      </c>
      <c r="Q530" s="985" t="s">
        <v>38</v>
      </c>
      <c r="R530" s="962" t="s">
        <v>38</v>
      </c>
      <c r="S530" s="886" t="s">
        <v>38</v>
      </c>
      <c r="T530" s="963" t="s">
        <v>38</v>
      </c>
      <c r="U530" s="886" t="s">
        <v>37</v>
      </c>
      <c r="V530" s="962" t="str">
        <f t="shared" si="83"/>
        <v>Y</v>
      </c>
      <c r="W530" s="886" t="s">
        <v>38</v>
      </c>
      <c r="X530" s="812" t="s">
        <v>38</v>
      </c>
      <c r="Y530" s="430"/>
      <c r="Z530" s="611" t="s">
        <v>170</v>
      </c>
      <c r="AA530" s="972" t="s">
        <v>37</v>
      </c>
      <c r="AB530" s="1925"/>
      <c r="AC530" s="1153"/>
      <c r="AD530" s="1269"/>
      <c r="AE530" s="1270"/>
      <c r="AF530" s="1270"/>
      <c r="AG530" s="1270"/>
      <c r="AH530" s="1796"/>
      <c r="AI530" s="1776"/>
      <c r="AJ530" s="1270"/>
      <c r="AK530" s="1270"/>
      <c r="AL530" s="1095"/>
      <c r="AM530" s="1095"/>
      <c r="AN530" s="1095"/>
      <c r="AO530" s="1095"/>
      <c r="AP530" s="1095"/>
      <c r="AQ530" s="1104"/>
      <c r="AR530" s="1105"/>
      <c r="AS530" s="1097"/>
      <c r="BW530" s="30"/>
    </row>
    <row r="531" spans="1:75" s="181" customFormat="1" ht="15" customHeight="1" x14ac:dyDescent="0.25">
      <c r="A531" s="551"/>
      <c r="B531" s="1578"/>
      <c r="C531" s="1097"/>
      <c r="D531" s="1145" t="s">
        <v>168</v>
      </c>
      <c r="E531" s="1146" t="str">
        <f t="shared" si="82"/>
        <v/>
      </c>
      <c r="F531" s="1166"/>
      <c r="G531" s="886" t="s">
        <v>208</v>
      </c>
      <c r="H531" s="962" t="s">
        <v>208</v>
      </c>
      <c r="I531" s="886" t="s">
        <v>208</v>
      </c>
      <c r="J531" s="963" t="s">
        <v>208</v>
      </c>
      <c r="K531" s="886" t="s">
        <v>208</v>
      </c>
      <c r="L531" s="962" t="s">
        <v>208</v>
      </c>
      <c r="M531" s="886" t="s">
        <v>208</v>
      </c>
      <c r="N531" s="962" t="s">
        <v>208</v>
      </c>
      <c r="O531" s="886" t="s">
        <v>208</v>
      </c>
      <c r="P531" s="964" t="s">
        <v>208</v>
      </c>
      <c r="Q531" s="985" t="s">
        <v>38</v>
      </c>
      <c r="R531" s="962" t="s">
        <v>38</v>
      </c>
      <c r="S531" s="886" t="s">
        <v>38</v>
      </c>
      <c r="T531" s="963" t="s">
        <v>38</v>
      </c>
      <c r="U531" s="886" t="s">
        <v>37</v>
      </c>
      <c r="V531" s="962" t="str">
        <f t="shared" si="83"/>
        <v>Y</v>
      </c>
      <c r="W531" s="886" t="s">
        <v>38</v>
      </c>
      <c r="X531" s="812" t="s">
        <v>38</v>
      </c>
      <c r="Y531" s="430"/>
      <c r="Z531" s="611" t="s">
        <v>272</v>
      </c>
      <c r="AA531" s="972" t="s">
        <v>37</v>
      </c>
      <c r="AB531" s="1925"/>
      <c r="AC531" s="1153"/>
      <c r="AD531" s="1269"/>
      <c r="AE531" s="1270"/>
      <c r="AF531" s="1270"/>
      <c r="AG531" s="1270"/>
      <c r="AH531" s="1796"/>
      <c r="AI531" s="1776"/>
      <c r="AJ531" s="1270"/>
      <c r="AK531" s="1270"/>
      <c r="AL531" s="1095"/>
      <c r="AM531" s="1095"/>
      <c r="AN531" s="1095"/>
      <c r="AO531" s="1095"/>
      <c r="AP531" s="1095"/>
      <c r="AQ531" s="1104"/>
      <c r="AR531" s="1105"/>
      <c r="AS531" s="1097"/>
      <c r="BW531" s="30"/>
    </row>
    <row r="532" spans="1:75" s="181" customFormat="1" ht="15" customHeight="1" x14ac:dyDescent="0.25">
      <c r="A532" s="551"/>
      <c r="B532" s="1578"/>
      <c r="C532" s="1097"/>
      <c r="D532" s="1145" t="s">
        <v>168</v>
      </c>
      <c r="E532" s="1146" t="str">
        <f t="shared" si="82"/>
        <v/>
      </c>
      <c r="F532" s="1166"/>
      <c r="G532" s="886" t="s">
        <v>208</v>
      </c>
      <c r="H532" s="962" t="s">
        <v>208</v>
      </c>
      <c r="I532" s="886" t="s">
        <v>208</v>
      </c>
      <c r="J532" s="963" t="s">
        <v>208</v>
      </c>
      <c r="K532" s="886" t="s">
        <v>208</v>
      </c>
      <c r="L532" s="962" t="s">
        <v>208</v>
      </c>
      <c r="M532" s="886" t="s">
        <v>208</v>
      </c>
      <c r="N532" s="962" t="s">
        <v>208</v>
      </c>
      <c r="O532" s="886" t="s">
        <v>208</v>
      </c>
      <c r="P532" s="964" t="s">
        <v>208</v>
      </c>
      <c r="Q532" s="985" t="s">
        <v>38</v>
      </c>
      <c r="R532" s="962" t="s">
        <v>38</v>
      </c>
      <c r="S532" s="886" t="s">
        <v>38</v>
      </c>
      <c r="T532" s="963" t="s">
        <v>38</v>
      </c>
      <c r="U532" s="886" t="s">
        <v>37</v>
      </c>
      <c r="V532" s="962" t="str">
        <f t="shared" si="83"/>
        <v>Y</v>
      </c>
      <c r="W532" s="886" t="s">
        <v>38</v>
      </c>
      <c r="X532" s="812" t="s">
        <v>38</v>
      </c>
      <c r="Y532" s="430"/>
      <c r="Z532" s="611" t="s">
        <v>171</v>
      </c>
      <c r="AA532" s="972" t="s">
        <v>37</v>
      </c>
      <c r="AB532" s="1925"/>
      <c r="AC532" s="1153"/>
      <c r="AD532" s="1269"/>
      <c r="AE532" s="1270"/>
      <c r="AF532" s="1270"/>
      <c r="AG532" s="1270"/>
      <c r="AH532" s="1796"/>
      <c r="AI532" s="1776"/>
      <c r="AJ532" s="1270"/>
      <c r="AK532" s="1270"/>
      <c r="AL532" s="1095"/>
      <c r="AM532" s="1095"/>
      <c r="AN532" s="1095"/>
      <c r="AO532" s="1095"/>
      <c r="AP532" s="1095"/>
      <c r="AQ532" s="1104"/>
      <c r="AR532" s="1105"/>
      <c r="AS532" s="1097"/>
      <c r="BW532" s="30"/>
    </row>
    <row r="533" spans="1:75" s="181" customFormat="1" ht="15" customHeight="1" x14ac:dyDescent="0.25">
      <c r="A533" s="551"/>
      <c r="B533" s="1578"/>
      <c r="C533" s="1097"/>
      <c r="D533" s="1145" t="s">
        <v>168</v>
      </c>
      <c r="E533" s="1146" t="str">
        <f t="shared" si="82"/>
        <v/>
      </c>
      <c r="F533" s="1166"/>
      <c r="G533" s="886" t="s">
        <v>208</v>
      </c>
      <c r="H533" s="962" t="s">
        <v>208</v>
      </c>
      <c r="I533" s="886" t="s">
        <v>208</v>
      </c>
      <c r="J533" s="963" t="s">
        <v>208</v>
      </c>
      <c r="K533" s="886" t="s">
        <v>208</v>
      </c>
      <c r="L533" s="962" t="s">
        <v>208</v>
      </c>
      <c r="M533" s="886" t="s">
        <v>208</v>
      </c>
      <c r="N533" s="962" t="s">
        <v>208</v>
      </c>
      <c r="O533" s="886" t="s">
        <v>208</v>
      </c>
      <c r="P533" s="964" t="s">
        <v>208</v>
      </c>
      <c r="Q533" s="985" t="s">
        <v>38</v>
      </c>
      <c r="R533" s="962" t="s">
        <v>38</v>
      </c>
      <c r="S533" s="886" t="s">
        <v>38</v>
      </c>
      <c r="T533" s="963" t="s">
        <v>38</v>
      </c>
      <c r="U533" s="886" t="s">
        <v>37</v>
      </c>
      <c r="V533" s="962" t="str">
        <f t="shared" si="83"/>
        <v>Y</v>
      </c>
      <c r="W533" s="886" t="s">
        <v>38</v>
      </c>
      <c r="X533" s="812" t="s">
        <v>38</v>
      </c>
      <c r="Y533" s="430"/>
      <c r="Z533" s="611" t="s">
        <v>172</v>
      </c>
      <c r="AA533" s="972" t="s">
        <v>37</v>
      </c>
      <c r="AB533" s="1925"/>
      <c r="AC533" s="1153"/>
      <c r="AD533" s="1269"/>
      <c r="AE533" s="1270"/>
      <c r="AF533" s="1270"/>
      <c r="AG533" s="1270"/>
      <c r="AH533" s="1796"/>
      <c r="AI533" s="1776"/>
      <c r="AJ533" s="1270"/>
      <c r="AK533" s="1270"/>
      <c r="AL533" s="1095"/>
      <c r="AM533" s="1095"/>
      <c r="AN533" s="1095"/>
      <c r="AO533" s="1095"/>
      <c r="AP533" s="1095"/>
      <c r="AQ533" s="1104"/>
      <c r="AR533" s="1105"/>
      <c r="AS533" s="1097"/>
      <c r="BW533" s="30"/>
    </row>
    <row r="534" spans="1:75" s="181" customFormat="1" ht="15" customHeight="1" x14ac:dyDescent="0.25">
      <c r="A534" s="551"/>
      <c r="B534" s="1578"/>
      <c r="C534" s="1097"/>
      <c r="D534" s="1145" t="s">
        <v>168</v>
      </c>
      <c r="E534" s="1146" t="str">
        <f t="shared" si="82"/>
        <v/>
      </c>
      <c r="F534" s="1166"/>
      <c r="G534" s="886" t="s">
        <v>208</v>
      </c>
      <c r="H534" s="962" t="s">
        <v>208</v>
      </c>
      <c r="I534" s="886" t="s">
        <v>208</v>
      </c>
      <c r="J534" s="963" t="s">
        <v>208</v>
      </c>
      <c r="K534" s="886" t="s">
        <v>208</v>
      </c>
      <c r="L534" s="962" t="s">
        <v>208</v>
      </c>
      <c r="M534" s="886" t="s">
        <v>208</v>
      </c>
      <c r="N534" s="962" t="s">
        <v>208</v>
      </c>
      <c r="O534" s="886" t="s">
        <v>208</v>
      </c>
      <c r="P534" s="964" t="s">
        <v>208</v>
      </c>
      <c r="Q534" s="985" t="s">
        <v>38</v>
      </c>
      <c r="R534" s="962" t="s">
        <v>38</v>
      </c>
      <c r="S534" s="886" t="s">
        <v>38</v>
      </c>
      <c r="T534" s="963" t="s">
        <v>38</v>
      </c>
      <c r="U534" s="886" t="s">
        <v>37</v>
      </c>
      <c r="V534" s="962" t="str">
        <f t="shared" si="83"/>
        <v>Y</v>
      </c>
      <c r="W534" s="886" t="s">
        <v>38</v>
      </c>
      <c r="X534" s="812" t="s">
        <v>38</v>
      </c>
      <c r="Y534" s="430"/>
      <c r="Z534" s="611" t="s">
        <v>173</v>
      </c>
      <c r="AA534" s="972" t="s">
        <v>37</v>
      </c>
      <c r="AB534" s="1925"/>
      <c r="AC534" s="1153"/>
      <c r="AD534" s="1269"/>
      <c r="AE534" s="1270"/>
      <c r="AF534" s="1270"/>
      <c r="AG534" s="1270"/>
      <c r="AH534" s="1796"/>
      <c r="AI534" s="1776"/>
      <c r="AJ534" s="1270"/>
      <c r="AK534" s="1270"/>
      <c r="AL534" s="1095"/>
      <c r="AM534" s="1095"/>
      <c r="AN534" s="1095"/>
      <c r="AO534" s="1095"/>
      <c r="AP534" s="1095"/>
      <c r="AQ534" s="1104"/>
      <c r="AR534" s="1105"/>
      <c r="AS534" s="1097"/>
      <c r="BW534" s="30"/>
    </row>
    <row r="535" spans="1:75" s="181" customFormat="1" ht="15" customHeight="1" x14ac:dyDescent="0.25">
      <c r="A535" s="551"/>
      <c r="B535" s="1578"/>
      <c r="C535" s="1097"/>
      <c r="D535" s="1145" t="s">
        <v>168</v>
      </c>
      <c r="E535" s="1146" t="str">
        <f t="shared" si="82"/>
        <v/>
      </c>
      <c r="F535" s="1166"/>
      <c r="G535" s="886" t="s">
        <v>208</v>
      </c>
      <c r="H535" s="962" t="s">
        <v>208</v>
      </c>
      <c r="I535" s="886" t="s">
        <v>208</v>
      </c>
      <c r="J535" s="963" t="s">
        <v>208</v>
      </c>
      <c r="K535" s="886" t="s">
        <v>208</v>
      </c>
      <c r="L535" s="962" t="s">
        <v>208</v>
      </c>
      <c r="M535" s="886" t="s">
        <v>208</v>
      </c>
      <c r="N535" s="962" t="s">
        <v>208</v>
      </c>
      <c r="O535" s="886" t="s">
        <v>208</v>
      </c>
      <c r="P535" s="964" t="s">
        <v>208</v>
      </c>
      <c r="Q535" s="985" t="s">
        <v>38</v>
      </c>
      <c r="R535" s="962" t="s">
        <v>38</v>
      </c>
      <c r="S535" s="886" t="s">
        <v>38</v>
      </c>
      <c r="T535" s="963" t="s">
        <v>38</v>
      </c>
      <c r="U535" s="886" t="s">
        <v>37</v>
      </c>
      <c r="V535" s="962" t="str">
        <f t="shared" si="83"/>
        <v>Y</v>
      </c>
      <c r="W535" s="886" t="s">
        <v>38</v>
      </c>
      <c r="X535" s="812" t="s">
        <v>38</v>
      </c>
      <c r="Y535" s="430"/>
      <c r="Z535" s="611" t="s">
        <v>174</v>
      </c>
      <c r="AA535" s="972" t="s">
        <v>37</v>
      </c>
      <c r="AB535" s="1925"/>
      <c r="AC535" s="1153"/>
      <c r="AD535" s="1269"/>
      <c r="AE535" s="1270"/>
      <c r="AF535" s="1270"/>
      <c r="AG535" s="1270"/>
      <c r="AH535" s="1796"/>
      <c r="AI535" s="1776"/>
      <c r="AJ535" s="1270"/>
      <c r="AK535" s="1270"/>
      <c r="AL535" s="1095"/>
      <c r="AM535" s="1095"/>
      <c r="AN535" s="1095"/>
      <c r="AO535" s="1095"/>
      <c r="AP535" s="1095"/>
      <c r="AQ535" s="1104"/>
      <c r="AR535" s="1105"/>
      <c r="AS535" s="1097"/>
      <c r="BW535" s="30"/>
    </row>
    <row r="536" spans="1:75" s="181" customFormat="1" ht="15" customHeight="1" x14ac:dyDescent="0.25">
      <c r="A536" s="551"/>
      <c r="B536" s="1578"/>
      <c r="C536" s="1097"/>
      <c r="D536" s="1145" t="s">
        <v>168</v>
      </c>
      <c r="E536" s="1146" t="str">
        <f t="shared" si="82"/>
        <v/>
      </c>
      <c r="F536" s="1166"/>
      <c r="G536" s="886" t="s">
        <v>208</v>
      </c>
      <c r="H536" s="962" t="s">
        <v>208</v>
      </c>
      <c r="I536" s="886" t="s">
        <v>208</v>
      </c>
      <c r="J536" s="963" t="s">
        <v>208</v>
      </c>
      <c r="K536" s="886" t="s">
        <v>208</v>
      </c>
      <c r="L536" s="962" t="s">
        <v>208</v>
      </c>
      <c r="M536" s="886" t="s">
        <v>208</v>
      </c>
      <c r="N536" s="962" t="s">
        <v>208</v>
      </c>
      <c r="O536" s="886" t="s">
        <v>208</v>
      </c>
      <c r="P536" s="964" t="s">
        <v>208</v>
      </c>
      <c r="Q536" s="985" t="s">
        <v>38</v>
      </c>
      <c r="R536" s="962" t="s">
        <v>38</v>
      </c>
      <c r="S536" s="886" t="s">
        <v>38</v>
      </c>
      <c r="T536" s="963" t="s">
        <v>38</v>
      </c>
      <c r="U536" s="886" t="s">
        <v>37</v>
      </c>
      <c r="V536" s="962" t="str">
        <f t="shared" si="83"/>
        <v>Y</v>
      </c>
      <c r="W536" s="886" t="s">
        <v>38</v>
      </c>
      <c r="X536" s="812" t="s">
        <v>38</v>
      </c>
      <c r="Y536" s="430"/>
      <c r="Z536" s="611" t="s">
        <v>175</v>
      </c>
      <c r="AA536" s="972" t="s">
        <v>37</v>
      </c>
      <c r="AB536" s="1925"/>
      <c r="AC536" s="1153"/>
      <c r="AD536" s="1269"/>
      <c r="AE536" s="1270"/>
      <c r="AF536" s="1270"/>
      <c r="AG536" s="1270"/>
      <c r="AH536" s="1796"/>
      <c r="AI536" s="1776"/>
      <c r="AJ536" s="1270"/>
      <c r="AK536" s="1270"/>
      <c r="AL536" s="1095"/>
      <c r="AM536" s="1095"/>
      <c r="AN536" s="1095"/>
      <c r="AO536" s="1095"/>
      <c r="AP536" s="1095"/>
      <c r="AQ536" s="1104"/>
      <c r="AR536" s="1105"/>
      <c r="AS536" s="1097"/>
      <c r="BW536" s="30"/>
    </row>
    <row r="537" spans="1:75" s="181" customFormat="1" ht="15" customHeight="1" x14ac:dyDescent="0.25">
      <c r="A537" s="551"/>
      <c r="B537" s="1578"/>
      <c r="C537" s="1097"/>
      <c r="D537" s="1145" t="s">
        <v>168</v>
      </c>
      <c r="E537" s="1146" t="str">
        <f t="shared" si="82"/>
        <v/>
      </c>
      <c r="F537" s="1166"/>
      <c r="G537" s="886" t="s">
        <v>208</v>
      </c>
      <c r="H537" s="962" t="s">
        <v>208</v>
      </c>
      <c r="I537" s="886" t="s">
        <v>208</v>
      </c>
      <c r="J537" s="963" t="s">
        <v>208</v>
      </c>
      <c r="K537" s="886" t="s">
        <v>208</v>
      </c>
      <c r="L537" s="962" t="s">
        <v>208</v>
      </c>
      <c r="M537" s="886" t="s">
        <v>208</v>
      </c>
      <c r="N537" s="962" t="s">
        <v>208</v>
      </c>
      <c r="O537" s="886" t="s">
        <v>208</v>
      </c>
      <c r="P537" s="964" t="s">
        <v>208</v>
      </c>
      <c r="Q537" s="985" t="s">
        <v>38</v>
      </c>
      <c r="R537" s="962" t="s">
        <v>38</v>
      </c>
      <c r="S537" s="886" t="s">
        <v>38</v>
      </c>
      <c r="T537" s="963" t="s">
        <v>38</v>
      </c>
      <c r="U537" s="886" t="s">
        <v>37</v>
      </c>
      <c r="V537" s="962" t="str">
        <f t="shared" si="83"/>
        <v>Y</v>
      </c>
      <c r="W537" s="886" t="s">
        <v>38</v>
      </c>
      <c r="X537" s="812" t="s">
        <v>38</v>
      </c>
      <c r="Y537" s="430"/>
      <c r="Z537" s="978" t="s">
        <v>515</v>
      </c>
      <c r="AA537" s="972" t="s">
        <v>37</v>
      </c>
      <c r="AB537" s="1925"/>
      <c r="AC537" s="1153"/>
      <c r="AD537" s="1269"/>
      <c r="AE537" s="1270"/>
      <c r="AF537" s="1270"/>
      <c r="AG537" s="1270"/>
      <c r="AH537" s="1796"/>
      <c r="AI537" s="1776"/>
      <c r="AJ537" s="1270"/>
      <c r="AK537" s="1270"/>
      <c r="AL537" s="1095"/>
      <c r="AM537" s="1095"/>
      <c r="AN537" s="1095"/>
      <c r="AO537" s="1095"/>
      <c r="AP537" s="1095"/>
      <c r="AQ537" s="1104"/>
      <c r="AR537" s="1105"/>
      <c r="AS537" s="1097"/>
      <c r="BW537" s="30"/>
    </row>
    <row r="538" spans="1:75" s="181" customFormat="1" ht="15" customHeight="1" x14ac:dyDescent="0.25">
      <c r="A538" s="551"/>
      <c r="B538" s="1578"/>
      <c r="C538" s="1097"/>
      <c r="D538" s="1145" t="s">
        <v>168</v>
      </c>
      <c r="E538" s="1146" t="str">
        <f t="shared" si="82"/>
        <v/>
      </c>
      <c r="F538" s="1166"/>
      <c r="G538" s="886" t="s">
        <v>208</v>
      </c>
      <c r="H538" s="962" t="s">
        <v>208</v>
      </c>
      <c r="I538" s="886" t="s">
        <v>208</v>
      </c>
      <c r="J538" s="963" t="s">
        <v>208</v>
      </c>
      <c r="K538" s="886" t="s">
        <v>208</v>
      </c>
      <c r="L538" s="962" t="s">
        <v>208</v>
      </c>
      <c r="M538" s="886" t="s">
        <v>208</v>
      </c>
      <c r="N538" s="962" t="s">
        <v>208</v>
      </c>
      <c r="O538" s="886" t="s">
        <v>208</v>
      </c>
      <c r="P538" s="964" t="s">
        <v>208</v>
      </c>
      <c r="Q538" s="985" t="s">
        <v>38</v>
      </c>
      <c r="R538" s="962" t="s">
        <v>38</v>
      </c>
      <c r="S538" s="886" t="s">
        <v>38</v>
      </c>
      <c r="T538" s="963" t="s">
        <v>38</v>
      </c>
      <c r="U538" s="886" t="s">
        <v>37</v>
      </c>
      <c r="V538" s="962" t="str">
        <f t="shared" si="83"/>
        <v>Y</v>
      </c>
      <c r="W538" s="886" t="s">
        <v>38</v>
      </c>
      <c r="X538" s="812" t="s">
        <v>38</v>
      </c>
      <c r="Y538" s="430"/>
      <c r="Z538" s="611" t="s">
        <v>516</v>
      </c>
      <c r="AA538" s="972" t="s">
        <v>37</v>
      </c>
      <c r="AB538" s="1925"/>
      <c r="AC538" s="1153"/>
      <c r="AD538" s="1269"/>
      <c r="AE538" s="1270"/>
      <c r="AF538" s="1270"/>
      <c r="AG538" s="1270"/>
      <c r="AH538" s="1796"/>
      <c r="AI538" s="1776"/>
      <c r="AJ538" s="1270"/>
      <c r="AK538" s="1270"/>
      <c r="AL538" s="1095"/>
      <c r="AM538" s="1095"/>
      <c r="AN538" s="1095"/>
      <c r="AO538" s="1095"/>
      <c r="AP538" s="1095"/>
      <c r="AQ538" s="1104"/>
      <c r="AR538" s="1105"/>
      <c r="AS538" s="1097"/>
      <c r="BW538" s="30"/>
    </row>
    <row r="539" spans="1:75" s="181" customFormat="1" ht="15" customHeight="1" x14ac:dyDescent="0.25">
      <c r="A539" s="551"/>
      <c r="B539" s="1578"/>
      <c r="C539" s="1097"/>
      <c r="D539" s="1145" t="s">
        <v>168</v>
      </c>
      <c r="E539" s="1146" t="str">
        <f t="shared" si="82"/>
        <v/>
      </c>
      <c r="F539" s="1166"/>
      <c r="G539" s="886" t="s">
        <v>208</v>
      </c>
      <c r="H539" s="962" t="s">
        <v>208</v>
      </c>
      <c r="I539" s="886" t="s">
        <v>208</v>
      </c>
      <c r="J539" s="963" t="s">
        <v>208</v>
      </c>
      <c r="K539" s="886" t="s">
        <v>208</v>
      </c>
      <c r="L539" s="962" t="s">
        <v>208</v>
      </c>
      <c r="M539" s="886" t="s">
        <v>208</v>
      </c>
      <c r="N539" s="962" t="s">
        <v>208</v>
      </c>
      <c r="O539" s="886" t="s">
        <v>208</v>
      </c>
      <c r="P539" s="964" t="s">
        <v>208</v>
      </c>
      <c r="Q539" s="985" t="s">
        <v>38</v>
      </c>
      <c r="R539" s="962" t="s">
        <v>38</v>
      </c>
      <c r="S539" s="886" t="s">
        <v>38</v>
      </c>
      <c r="T539" s="963" t="s">
        <v>38</v>
      </c>
      <c r="U539" s="886" t="s">
        <v>37</v>
      </c>
      <c r="V539" s="962" t="str">
        <f t="shared" si="83"/>
        <v>Y</v>
      </c>
      <c r="W539" s="886" t="s">
        <v>38</v>
      </c>
      <c r="X539" s="812" t="s">
        <v>38</v>
      </c>
      <c r="Y539" s="430"/>
      <c r="Z539" s="611" t="s">
        <v>517</v>
      </c>
      <c r="AA539" s="972" t="s">
        <v>37</v>
      </c>
      <c r="AB539" s="1925"/>
      <c r="AC539" s="1153"/>
      <c r="AD539" s="1269"/>
      <c r="AE539" s="1270"/>
      <c r="AF539" s="1270"/>
      <c r="AG539" s="1270"/>
      <c r="AH539" s="1796"/>
      <c r="AI539" s="1776"/>
      <c r="AJ539" s="1270"/>
      <c r="AK539" s="1270"/>
      <c r="AL539" s="1095"/>
      <c r="AM539" s="1095"/>
      <c r="AN539" s="1095"/>
      <c r="AO539" s="1095"/>
      <c r="AP539" s="1095"/>
      <c r="AQ539" s="1104"/>
      <c r="AR539" s="1105"/>
      <c r="AS539" s="1097"/>
      <c r="BW539" s="30"/>
    </row>
    <row r="540" spans="1:75" s="181" customFormat="1" ht="15" customHeight="1" x14ac:dyDescent="0.25">
      <c r="A540" s="551"/>
      <c r="B540" s="1578"/>
      <c r="C540" s="1097"/>
      <c r="D540" s="1145" t="s">
        <v>168</v>
      </c>
      <c r="E540" s="1146" t="str">
        <f t="shared" si="82"/>
        <v/>
      </c>
      <c r="F540" s="1166"/>
      <c r="G540" s="886" t="s">
        <v>208</v>
      </c>
      <c r="H540" s="962" t="s">
        <v>208</v>
      </c>
      <c r="I540" s="886" t="s">
        <v>208</v>
      </c>
      <c r="J540" s="963" t="s">
        <v>208</v>
      </c>
      <c r="K540" s="886" t="s">
        <v>208</v>
      </c>
      <c r="L540" s="962" t="s">
        <v>208</v>
      </c>
      <c r="M540" s="886" t="s">
        <v>208</v>
      </c>
      <c r="N540" s="962" t="s">
        <v>208</v>
      </c>
      <c r="O540" s="886" t="s">
        <v>208</v>
      </c>
      <c r="P540" s="964" t="s">
        <v>208</v>
      </c>
      <c r="Q540" s="985" t="s">
        <v>38</v>
      </c>
      <c r="R540" s="962" t="s">
        <v>38</v>
      </c>
      <c r="S540" s="886" t="s">
        <v>38</v>
      </c>
      <c r="T540" s="963" t="s">
        <v>38</v>
      </c>
      <c r="U540" s="886" t="s">
        <v>37</v>
      </c>
      <c r="V540" s="962" t="str">
        <f t="shared" si="83"/>
        <v>Y</v>
      </c>
      <c r="W540" s="886" t="s">
        <v>38</v>
      </c>
      <c r="X540" s="812" t="s">
        <v>38</v>
      </c>
      <c r="Y540" s="430"/>
      <c r="Z540" s="611" t="s">
        <v>518</v>
      </c>
      <c r="AA540" s="972" t="s">
        <v>37</v>
      </c>
      <c r="AB540" s="1925"/>
      <c r="AC540" s="1153"/>
      <c r="AD540" s="1269"/>
      <c r="AE540" s="1270"/>
      <c r="AF540" s="1270"/>
      <c r="AG540" s="1270"/>
      <c r="AH540" s="1796"/>
      <c r="AI540" s="1776"/>
      <c r="AJ540" s="1270"/>
      <c r="AK540" s="1270"/>
      <c r="AL540" s="1095"/>
      <c r="AM540" s="1095"/>
      <c r="AN540" s="1095"/>
      <c r="AO540" s="1095"/>
      <c r="AP540" s="1095"/>
      <c r="AQ540" s="1104"/>
      <c r="AR540" s="1105"/>
      <c r="AS540" s="1097"/>
      <c r="BW540" s="30"/>
    </row>
    <row r="541" spans="1:75" s="181" customFormat="1" ht="15" customHeight="1" x14ac:dyDescent="0.25">
      <c r="A541" s="551"/>
      <c r="B541" s="1578"/>
      <c r="C541" s="1097"/>
      <c r="D541" s="1145" t="s">
        <v>168</v>
      </c>
      <c r="E541" s="1146" t="str">
        <f t="shared" si="82"/>
        <v/>
      </c>
      <c r="F541" s="1166"/>
      <c r="G541" s="886" t="s">
        <v>208</v>
      </c>
      <c r="H541" s="962" t="s">
        <v>208</v>
      </c>
      <c r="I541" s="886" t="s">
        <v>208</v>
      </c>
      <c r="J541" s="963" t="s">
        <v>208</v>
      </c>
      <c r="K541" s="886" t="s">
        <v>208</v>
      </c>
      <c r="L541" s="962" t="s">
        <v>208</v>
      </c>
      <c r="M541" s="886" t="s">
        <v>208</v>
      </c>
      <c r="N541" s="962" t="s">
        <v>208</v>
      </c>
      <c r="O541" s="886" t="s">
        <v>208</v>
      </c>
      <c r="P541" s="964" t="s">
        <v>208</v>
      </c>
      <c r="Q541" s="985" t="s">
        <v>38</v>
      </c>
      <c r="R541" s="962" t="s">
        <v>38</v>
      </c>
      <c r="S541" s="886" t="s">
        <v>38</v>
      </c>
      <c r="T541" s="963" t="s">
        <v>38</v>
      </c>
      <c r="U541" s="886" t="s">
        <v>37</v>
      </c>
      <c r="V541" s="962" t="str">
        <f t="shared" si="83"/>
        <v>Y</v>
      </c>
      <c r="W541" s="886" t="s">
        <v>38</v>
      </c>
      <c r="X541" s="812" t="s">
        <v>38</v>
      </c>
      <c r="Y541" s="430"/>
      <c r="Z541" s="611" t="s">
        <v>1043</v>
      </c>
      <c r="AA541" s="972" t="s">
        <v>37</v>
      </c>
      <c r="AB541" s="1925"/>
      <c r="AC541" s="1153"/>
      <c r="AD541" s="1269"/>
      <c r="AE541" s="1270"/>
      <c r="AF541" s="1270"/>
      <c r="AG541" s="1270"/>
      <c r="AH541" s="1796"/>
      <c r="AI541" s="1776"/>
      <c r="AJ541" s="1270"/>
      <c r="AK541" s="1270"/>
      <c r="AL541" s="1095"/>
      <c r="AM541" s="1095"/>
      <c r="AN541" s="1095"/>
      <c r="AO541" s="1095"/>
      <c r="AP541" s="1095"/>
      <c r="AQ541" s="1104"/>
      <c r="AR541" s="1105"/>
      <c r="AS541" s="1097"/>
      <c r="BW541" s="30"/>
    </row>
    <row r="542" spans="1:75" s="551" customFormat="1" ht="15" customHeight="1" x14ac:dyDescent="0.25">
      <c r="B542" s="1578"/>
      <c r="C542" s="1097"/>
      <c r="D542" s="1145" t="s">
        <v>168</v>
      </c>
      <c r="E542" s="1146" t="str">
        <f t="shared" si="82"/>
        <v>N</v>
      </c>
      <c r="F542" s="1166"/>
      <c r="G542" s="886" t="s">
        <v>208</v>
      </c>
      <c r="H542" s="962" t="s">
        <v>208</v>
      </c>
      <c r="I542" s="886" t="s">
        <v>208</v>
      </c>
      <c r="J542" s="963" t="s">
        <v>208</v>
      </c>
      <c r="K542" s="886" t="s">
        <v>208</v>
      </c>
      <c r="L542" s="962" t="s">
        <v>208</v>
      </c>
      <c r="M542" s="886" t="s">
        <v>208</v>
      </c>
      <c r="N542" s="962" t="s">
        <v>208</v>
      </c>
      <c r="O542" s="886" t="s">
        <v>208</v>
      </c>
      <c r="P542" s="964" t="s">
        <v>208</v>
      </c>
      <c r="Q542" s="985" t="s">
        <v>38</v>
      </c>
      <c r="R542" s="962" t="s">
        <v>38</v>
      </c>
      <c r="S542" s="886" t="s">
        <v>38</v>
      </c>
      <c r="T542" s="963" t="s">
        <v>38</v>
      </c>
      <c r="U542" s="886" t="s">
        <v>38</v>
      </c>
      <c r="V542" s="962" t="s">
        <v>21</v>
      </c>
      <c r="W542" s="886" t="s">
        <v>38</v>
      </c>
      <c r="X542" s="963" t="s">
        <v>38</v>
      </c>
      <c r="Y542" s="430"/>
      <c r="Z542" s="979" t="s">
        <v>305</v>
      </c>
      <c r="AA542" s="1004" t="s">
        <v>38</v>
      </c>
      <c r="AB542" s="1925"/>
      <c r="AC542" s="1153"/>
      <c r="AD542" s="1269"/>
      <c r="AE542" s="1270"/>
      <c r="AF542" s="1270"/>
      <c r="AG542" s="1270"/>
      <c r="AH542" s="1796"/>
      <c r="AI542" s="1776"/>
      <c r="AJ542" s="1270"/>
      <c r="AK542" s="1270"/>
      <c r="AL542" s="1095"/>
      <c r="AM542" s="1095"/>
      <c r="AN542" s="1095"/>
      <c r="AO542" s="1095"/>
      <c r="AP542" s="1095"/>
      <c r="AQ542" s="1104"/>
      <c r="AR542" s="1105"/>
      <c r="AS542" s="1097"/>
      <c r="BW542" s="545"/>
    </row>
    <row r="543" spans="1:75" s="551" customFormat="1" ht="15" customHeight="1" x14ac:dyDescent="0.25">
      <c r="B543" s="1578"/>
      <c r="C543" s="1097"/>
      <c r="D543" s="1145" t="s">
        <v>168</v>
      </c>
      <c r="E543" s="1146" t="str">
        <f t="shared" si="82"/>
        <v>N</v>
      </c>
      <c r="F543" s="1166"/>
      <c r="G543" s="886" t="s">
        <v>208</v>
      </c>
      <c r="H543" s="962" t="s">
        <v>208</v>
      </c>
      <c r="I543" s="886" t="s">
        <v>208</v>
      </c>
      <c r="J543" s="963" t="s">
        <v>208</v>
      </c>
      <c r="K543" s="886" t="s">
        <v>208</v>
      </c>
      <c r="L543" s="962" t="s">
        <v>208</v>
      </c>
      <c r="M543" s="886" t="s">
        <v>208</v>
      </c>
      <c r="N543" s="962" t="s">
        <v>208</v>
      </c>
      <c r="O543" s="886" t="s">
        <v>208</v>
      </c>
      <c r="P543" s="964" t="s">
        <v>208</v>
      </c>
      <c r="Q543" s="985" t="s">
        <v>38</v>
      </c>
      <c r="R543" s="962" t="s">
        <v>38</v>
      </c>
      <c r="S543" s="886" t="s">
        <v>38</v>
      </c>
      <c r="T543" s="963" t="s">
        <v>38</v>
      </c>
      <c r="U543" s="886" t="s">
        <v>38</v>
      </c>
      <c r="V543" s="962" t="s">
        <v>21</v>
      </c>
      <c r="W543" s="886" t="s">
        <v>38</v>
      </c>
      <c r="X543" s="963" t="s">
        <v>38</v>
      </c>
      <c r="Y543" s="430"/>
      <c r="Z543" s="979" t="s">
        <v>305</v>
      </c>
      <c r="AA543" s="1004" t="s">
        <v>38</v>
      </c>
      <c r="AB543" s="1925"/>
      <c r="AC543" s="1153"/>
      <c r="AD543" s="1269"/>
      <c r="AE543" s="1270"/>
      <c r="AF543" s="1270"/>
      <c r="AG543" s="1270"/>
      <c r="AH543" s="1796"/>
      <c r="AI543" s="1776"/>
      <c r="AJ543" s="1270"/>
      <c r="AK543" s="1270"/>
      <c r="AL543" s="1095"/>
      <c r="AM543" s="1095"/>
      <c r="AN543" s="1095"/>
      <c r="AO543" s="1095"/>
      <c r="AP543" s="1095"/>
      <c r="AQ543" s="1104"/>
      <c r="AR543" s="1105"/>
      <c r="AS543" s="1097"/>
      <c r="BW543" s="545"/>
    </row>
    <row r="544" spans="1:75" s="551" customFormat="1" ht="15" customHeight="1" x14ac:dyDescent="0.25">
      <c r="B544" s="1578"/>
      <c r="C544" s="1097"/>
      <c r="D544" s="1145" t="s">
        <v>168</v>
      </c>
      <c r="E544" s="1146" t="str">
        <f t="shared" si="82"/>
        <v>N</v>
      </c>
      <c r="F544" s="1166"/>
      <c r="G544" s="886" t="s">
        <v>208</v>
      </c>
      <c r="H544" s="962" t="s">
        <v>208</v>
      </c>
      <c r="I544" s="886" t="s">
        <v>208</v>
      </c>
      <c r="J544" s="963" t="s">
        <v>208</v>
      </c>
      <c r="K544" s="886" t="s">
        <v>208</v>
      </c>
      <c r="L544" s="962" t="s">
        <v>208</v>
      </c>
      <c r="M544" s="886" t="s">
        <v>208</v>
      </c>
      <c r="N544" s="962" t="s">
        <v>208</v>
      </c>
      <c r="O544" s="886" t="s">
        <v>208</v>
      </c>
      <c r="P544" s="964" t="s">
        <v>208</v>
      </c>
      <c r="Q544" s="985" t="s">
        <v>38</v>
      </c>
      <c r="R544" s="962" t="s">
        <v>38</v>
      </c>
      <c r="S544" s="886" t="s">
        <v>38</v>
      </c>
      <c r="T544" s="963" t="s">
        <v>38</v>
      </c>
      <c r="U544" s="886" t="s">
        <v>38</v>
      </c>
      <c r="V544" s="962" t="s">
        <v>21</v>
      </c>
      <c r="W544" s="886" t="s">
        <v>38</v>
      </c>
      <c r="X544" s="963" t="s">
        <v>38</v>
      </c>
      <c r="Y544" s="430"/>
      <c r="Z544" s="979" t="s">
        <v>305</v>
      </c>
      <c r="AA544" s="1004" t="s">
        <v>38</v>
      </c>
      <c r="AB544" s="1925"/>
      <c r="AC544" s="1153"/>
      <c r="AD544" s="1269"/>
      <c r="AE544" s="1270"/>
      <c r="AF544" s="1270"/>
      <c r="AG544" s="1270"/>
      <c r="AH544" s="1796"/>
      <c r="AI544" s="1776"/>
      <c r="AJ544" s="1270"/>
      <c r="AK544" s="1270"/>
      <c r="AL544" s="1095"/>
      <c r="AM544" s="1095"/>
      <c r="AN544" s="1095"/>
      <c r="AO544" s="1095"/>
      <c r="AP544" s="1095"/>
      <c r="AQ544" s="1104"/>
      <c r="AR544" s="1105"/>
      <c r="AS544" s="1097"/>
      <c r="BW544" s="545"/>
    </row>
    <row r="545" spans="1:75" s="30" customFormat="1" ht="18.75" customHeight="1" x14ac:dyDescent="0.25">
      <c r="A545" s="545"/>
      <c r="B545" s="1579"/>
      <c r="C545" s="1097"/>
      <c r="D545" s="1142"/>
      <c r="E545" s="1144" t="str">
        <f t="shared" si="82"/>
        <v/>
      </c>
      <c r="F545" s="1124"/>
      <c r="G545" s="1708" t="s">
        <v>208</v>
      </c>
      <c r="H545" s="1709" t="s">
        <v>208</v>
      </c>
      <c r="I545" s="1708" t="s">
        <v>208</v>
      </c>
      <c r="J545" s="1710" t="s">
        <v>208</v>
      </c>
      <c r="K545" s="1708" t="s">
        <v>208</v>
      </c>
      <c r="L545" s="1709" t="s">
        <v>208</v>
      </c>
      <c r="M545" s="1708" t="s">
        <v>208</v>
      </c>
      <c r="N545" s="1709" t="s">
        <v>208</v>
      </c>
      <c r="O545" s="1708" t="s">
        <v>208</v>
      </c>
      <c r="P545" s="1711" t="s">
        <v>208</v>
      </c>
      <c r="Q545" s="1712" t="s">
        <v>208</v>
      </c>
      <c r="R545" s="1709" t="s">
        <v>208</v>
      </c>
      <c r="S545" s="1708" t="s">
        <v>208</v>
      </c>
      <c r="T545" s="1710" t="s">
        <v>208</v>
      </c>
      <c r="U545" s="1708" t="s">
        <v>208</v>
      </c>
      <c r="V545" s="1709"/>
      <c r="W545" s="1708" t="s">
        <v>208</v>
      </c>
      <c r="X545" s="816" t="s">
        <v>208</v>
      </c>
      <c r="Y545" s="429"/>
      <c r="Z545" s="603"/>
      <c r="AA545" s="973" t="s">
        <v>208</v>
      </c>
      <c r="AB545" s="1909"/>
      <c r="AC545" s="1153"/>
      <c r="AD545" s="1229"/>
      <c r="AE545" s="1230"/>
      <c r="AF545" s="1230"/>
      <c r="AG545" s="1230"/>
      <c r="AH545" s="1779"/>
      <c r="AI545" s="1761"/>
      <c r="AJ545" s="1230"/>
      <c r="AK545" s="1230"/>
      <c r="AL545" s="1095"/>
      <c r="AM545" s="1095"/>
      <c r="AN545" s="1095"/>
      <c r="AO545" s="1095"/>
      <c r="AP545" s="1095"/>
      <c r="AQ545" s="1106"/>
      <c r="AR545" s="1097"/>
      <c r="AS545" s="1097"/>
      <c r="AT545" s="181"/>
      <c r="AU545" s="181"/>
      <c r="AV545" s="181"/>
      <c r="AW545" s="181"/>
      <c r="AX545" s="181"/>
      <c r="AY545" s="181"/>
      <c r="AZ545" s="181"/>
      <c r="BA545" s="181"/>
      <c r="BB545" s="181"/>
      <c r="BC545" s="181"/>
      <c r="BD545" s="181"/>
      <c r="BE545" s="181"/>
      <c r="BF545" s="181"/>
      <c r="BG545" s="181"/>
      <c r="BH545" s="181"/>
      <c r="BI545" s="181"/>
      <c r="BJ545" s="181"/>
      <c r="BK545" s="181"/>
      <c r="BL545" s="181"/>
      <c r="BM545" s="181"/>
      <c r="BN545" s="181"/>
      <c r="BO545" s="181"/>
      <c r="BP545" s="181"/>
      <c r="BQ545" s="181"/>
      <c r="BR545" s="181"/>
      <c r="BS545" s="181"/>
      <c r="BT545" s="181"/>
      <c r="BU545" s="181"/>
      <c r="BV545" s="181"/>
    </row>
    <row r="546" spans="1:75" s="30" customFormat="1" ht="18.75" customHeight="1" x14ac:dyDescent="0.25">
      <c r="A546" s="545"/>
      <c r="B546" s="1579"/>
      <c r="C546" s="1097"/>
      <c r="D546" s="1142" t="s">
        <v>167</v>
      </c>
      <c r="E546" s="1143" t="str">
        <f t="shared" si="82"/>
        <v/>
      </c>
      <c r="F546" s="1124"/>
      <c r="G546" s="1713" t="s">
        <v>208</v>
      </c>
      <c r="H546" s="1681" t="s">
        <v>208</v>
      </c>
      <c r="I546" s="1713" t="s">
        <v>208</v>
      </c>
      <c r="J546" s="1682" t="s">
        <v>208</v>
      </c>
      <c r="K546" s="1713" t="s">
        <v>208</v>
      </c>
      <c r="L546" s="1681" t="s">
        <v>208</v>
      </c>
      <c r="M546" s="1713" t="s">
        <v>208</v>
      </c>
      <c r="N546" s="1681" t="s">
        <v>208</v>
      </c>
      <c r="O546" s="1713" t="s">
        <v>208</v>
      </c>
      <c r="P546" s="1683" t="s">
        <v>208</v>
      </c>
      <c r="Q546" s="1714" t="s">
        <v>38</v>
      </c>
      <c r="R546" s="1681" t="s">
        <v>38</v>
      </c>
      <c r="S546" s="1713" t="s">
        <v>38</v>
      </c>
      <c r="T546" s="1682" t="s">
        <v>38</v>
      </c>
      <c r="U546" s="1713" t="s">
        <v>37</v>
      </c>
      <c r="V546" s="1681" t="str">
        <f>IF(OR(ISNUMBER(SEARCH("Contractor",Const_Delivery_Method))=TRUE,ISNUMBER(SEARCH("JOC",Const_Delivery_Method))=TRUE,ISNUMBER(SEARCH("CS",Const_Delivery_Method))=TRUE,ISNUMBER(SEARCH("House",Const_Delivery_Method))=TRUE),"N",IF(ISNUMBER(SEARCH("choose",LEED_Goal))=TRUE,"Error",IF(LEED_Goal="None","N",IF((ISNUMBER(SEARCH("certified",LEED_Goal)))=TRUE,"Y","N"))))</f>
        <v>Y</v>
      </c>
      <c r="W546" s="1713" t="s">
        <v>38</v>
      </c>
      <c r="X546" s="810" t="s">
        <v>38</v>
      </c>
      <c r="Y546" s="428" t="s">
        <v>167</v>
      </c>
      <c r="Z546" s="579" t="s">
        <v>343</v>
      </c>
      <c r="AA546" s="970" t="s">
        <v>37</v>
      </c>
      <c r="AB546" s="1919"/>
      <c r="AC546" s="1153"/>
      <c r="AD546" s="1251"/>
      <c r="AE546" s="1252"/>
      <c r="AF546" s="1252"/>
      <c r="AG546" s="1252"/>
      <c r="AH546" s="1795"/>
      <c r="AI546" s="1775"/>
      <c r="AJ546" s="1252"/>
      <c r="AK546" s="1252"/>
      <c r="AL546" s="1095"/>
      <c r="AM546" s="1095"/>
      <c r="AN546" s="1095"/>
      <c r="AO546" s="1095"/>
      <c r="AP546" s="1095"/>
      <c r="AQ546" s="1106"/>
      <c r="AR546" s="1097"/>
      <c r="AS546" s="1097"/>
      <c r="AT546" s="181"/>
      <c r="AU546" s="181"/>
      <c r="AV546" s="181"/>
      <c r="AW546" s="181"/>
      <c r="AX546" s="181"/>
      <c r="AY546" s="181"/>
      <c r="AZ546" s="181"/>
      <c r="BA546" s="181"/>
      <c r="BB546" s="181"/>
      <c r="BC546" s="181"/>
      <c r="BD546" s="181"/>
      <c r="BE546" s="181"/>
      <c r="BF546" s="181"/>
      <c r="BG546" s="181"/>
      <c r="BH546" s="181"/>
      <c r="BI546" s="181"/>
      <c r="BJ546" s="181"/>
      <c r="BK546" s="181"/>
      <c r="BL546" s="181"/>
      <c r="BM546" s="181"/>
      <c r="BN546" s="181"/>
      <c r="BO546" s="181"/>
      <c r="BP546" s="181"/>
      <c r="BQ546" s="181"/>
      <c r="BR546" s="181"/>
      <c r="BS546" s="181"/>
      <c r="BT546" s="181"/>
      <c r="BU546" s="181"/>
      <c r="BV546" s="181"/>
    </row>
    <row r="547" spans="1:75" s="181" customFormat="1" ht="15" customHeight="1" x14ac:dyDescent="0.25">
      <c r="A547" s="551"/>
      <c r="B547" s="1578"/>
      <c r="C547" s="1097"/>
      <c r="D547" s="1145" t="s">
        <v>167</v>
      </c>
      <c r="E547" s="1146" t="str">
        <f t="shared" si="82"/>
        <v/>
      </c>
      <c r="F547" s="1166"/>
      <c r="G547" s="886" t="s">
        <v>208</v>
      </c>
      <c r="H547" s="962" t="s">
        <v>208</v>
      </c>
      <c r="I547" s="886" t="s">
        <v>208</v>
      </c>
      <c r="J547" s="963" t="s">
        <v>208</v>
      </c>
      <c r="K547" s="886" t="s">
        <v>208</v>
      </c>
      <c r="L547" s="962" t="s">
        <v>208</v>
      </c>
      <c r="M547" s="886" t="s">
        <v>208</v>
      </c>
      <c r="N547" s="962" t="s">
        <v>208</v>
      </c>
      <c r="O547" s="886" t="s">
        <v>208</v>
      </c>
      <c r="P547" s="964" t="s">
        <v>208</v>
      </c>
      <c r="Q547" s="985" t="s">
        <v>38</v>
      </c>
      <c r="R547" s="962" t="s">
        <v>38</v>
      </c>
      <c r="S547" s="886" t="s">
        <v>38</v>
      </c>
      <c r="T547" s="963" t="s">
        <v>38</v>
      </c>
      <c r="U547" s="886" t="s">
        <v>37</v>
      </c>
      <c r="V547" s="962" t="str">
        <f>IF(OR(ISNUMBER(SEARCH("Contractor",Const_Delivery_Method))=TRUE,ISNUMBER(SEARCH("JOC",Const_Delivery_Method))=TRUE,ISNUMBER(SEARCH("CS",Const_Delivery_Method))=TRUE,ISNUMBER(SEARCH("House",Const_Delivery_Method))=TRUE),"N",IF(ISNUMBER(SEARCH("choose",LEED_Goal))=TRUE,"Error",IF(LEED_Goal="None","N",IF((ISNUMBER(SEARCH("certified",LEED_Goal)))=TRUE,"Y","N"))))</f>
        <v>Y</v>
      </c>
      <c r="W547" s="886" t="s">
        <v>38</v>
      </c>
      <c r="X547" s="812" t="s">
        <v>38</v>
      </c>
      <c r="Y547" s="430"/>
      <c r="Z547" s="980" t="s">
        <v>775</v>
      </c>
      <c r="AA547" s="972" t="s">
        <v>37</v>
      </c>
      <c r="AB547" s="1925"/>
      <c r="AC547" s="1153"/>
      <c r="AD547" s="1269"/>
      <c r="AE547" s="1270"/>
      <c r="AF547" s="1270"/>
      <c r="AG547" s="1270"/>
      <c r="AH547" s="1796"/>
      <c r="AI547" s="1776"/>
      <c r="AJ547" s="1270"/>
      <c r="AK547" s="1270"/>
      <c r="AL547" s="1095"/>
      <c r="AM547" s="1095"/>
      <c r="AN547" s="1095"/>
      <c r="AO547" s="1095"/>
      <c r="AP547" s="1095"/>
      <c r="AQ547" s="1104"/>
      <c r="AR547" s="1105"/>
      <c r="AS547" s="1097"/>
      <c r="BW547" s="30"/>
    </row>
    <row r="548" spans="1:75" s="551" customFormat="1" ht="15" customHeight="1" x14ac:dyDescent="0.25">
      <c r="B548" s="1578"/>
      <c r="C548" s="1097"/>
      <c r="D548" s="1145" t="s">
        <v>167</v>
      </c>
      <c r="E548" s="1146" t="str">
        <f t="shared" si="82"/>
        <v>N</v>
      </c>
      <c r="F548" s="1166"/>
      <c r="G548" s="886" t="s">
        <v>208</v>
      </c>
      <c r="H548" s="962" t="s">
        <v>208</v>
      </c>
      <c r="I548" s="886" t="s">
        <v>208</v>
      </c>
      <c r="J548" s="963" t="s">
        <v>208</v>
      </c>
      <c r="K548" s="886" t="s">
        <v>208</v>
      </c>
      <c r="L548" s="962" t="s">
        <v>208</v>
      </c>
      <c r="M548" s="886" t="s">
        <v>208</v>
      </c>
      <c r="N548" s="962" t="s">
        <v>208</v>
      </c>
      <c r="O548" s="886" t="s">
        <v>208</v>
      </c>
      <c r="P548" s="964" t="s">
        <v>208</v>
      </c>
      <c r="Q548" s="985" t="s">
        <v>38</v>
      </c>
      <c r="R548" s="962" t="s">
        <v>38</v>
      </c>
      <c r="S548" s="886" t="s">
        <v>38</v>
      </c>
      <c r="T548" s="963" t="s">
        <v>38</v>
      </c>
      <c r="U548" s="886" t="s">
        <v>38</v>
      </c>
      <c r="V548" s="962" t="str">
        <f>IF(OR(ISNUMBER(SEARCH("Contractor",Const_Delivery_Method))=TRUE,ISNUMBER(SEARCH("JOC",Const_Delivery_Method))=TRUE,ISNUMBER(SEARCH("CS",Const_Delivery_Method))=TRUE,ISNUMBER(SEARCH("House",Const_Delivery_Method))=TRUE),"N",IF(ISNUMBER(SEARCH("choose",LEED_Goal))=TRUE,"Error",IF(LEED_Goal="None","N",IF((ISNUMBER(SEARCH("certified",LEED_Goal)))=TRUE,"Y","N"))))</f>
        <v>Y</v>
      </c>
      <c r="W548" s="886" t="s">
        <v>38</v>
      </c>
      <c r="X548" s="963" t="s">
        <v>38</v>
      </c>
      <c r="Y548" s="430"/>
      <c r="Z548" s="979" t="s">
        <v>305</v>
      </c>
      <c r="AA548" s="1004" t="s">
        <v>38</v>
      </c>
      <c r="AB548" s="1925"/>
      <c r="AC548" s="1153"/>
      <c r="AD548" s="1269"/>
      <c r="AE548" s="1270"/>
      <c r="AF548" s="1270"/>
      <c r="AG548" s="1270"/>
      <c r="AH548" s="1796"/>
      <c r="AI548" s="1776"/>
      <c r="AJ548" s="1270"/>
      <c r="AK548" s="1270"/>
      <c r="AL548" s="1095"/>
      <c r="AM548" s="1095"/>
      <c r="AN548" s="1095"/>
      <c r="AO548" s="1095"/>
      <c r="AP548" s="1095"/>
      <c r="AQ548" s="1104"/>
      <c r="AR548" s="1105"/>
      <c r="AS548" s="1097"/>
      <c r="BW548" s="545"/>
    </row>
    <row r="549" spans="1:75" s="551" customFormat="1" ht="15" customHeight="1" x14ac:dyDescent="0.25">
      <c r="B549" s="1578"/>
      <c r="C549" s="1097"/>
      <c r="D549" s="1145" t="s">
        <v>167</v>
      </c>
      <c r="E549" s="1146" t="str">
        <f t="shared" si="82"/>
        <v>N</v>
      </c>
      <c r="F549" s="1166"/>
      <c r="G549" s="886" t="s">
        <v>208</v>
      </c>
      <c r="H549" s="962" t="s">
        <v>208</v>
      </c>
      <c r="I549" s="886" t="s">
        <v>208</v>
      </c>
      <c r="J549" s="963" t="s">
        <v>208</v>
      </c>
      <c r="K549" s="886" t="s">
        <v>208</v>
      </c>
      <c r="L549" s="962" t="s">
        <v>208</v>
      </c>
      <c r="M549" s="886" t="s">
        <v>208</v>
      </c>
      <c r="N549" s="962" t="s">
        <v>208</v>
      </c>
      <c r="O549" s="886" t="s">
        <v>208</v>
      </c>
      <c r="P549" s="964" t="s">
        <v>208</v>
      </c>
      <c r="Q549" s="985" t="s">
        <v>38</v>
      </c>
      <c r="R549" s="962" t="s">
        <v>38</v>
      </c>
      <c r="S549" s="886" t="s">
        <v>38</v>
      </c>
      <c r="T549" s="963" t="s">
        <v>38</v>
      </c>
      <c r="U549" s="886" t="s">
        <v>38</v>
      </c>
      <c r="V549" s="962" t="str">
        <f>IF(OR(ISNUMBER(SEARCH("Contractor",Const_Delivery_Method))=TRUE,ISNUMBER(SEARCH("JOC",Const_Delivery_Method))=TRUE,ISNUMBER(SEARCH("CS",Const_Delivery_Method))=TRUE,ISNUMBER(SEARCH("House",Const_Delivery_Method))=TRUE),"N",IF(ISNUMBER(SEARCH("choose",LEED_Goal))=TRUE,"Error",IF(LEED_Goal="None","N",IF((ISNUMBER(SEARCH("certified",LEED_Goal)))=TRUE,"Y","N"))))</f>
        <v>Y</v>
      </c>
      <c r="W549" s="886" t="s">
        <v>38</v>
      </c>
      <c r="X549" s="963" t="s">
        <v>38</v>
      </c>
      <c r="Y549" s="430"/>
      <c r="Z549" s="979" t="s">
        <v>305</v>
      </c>
      <c r="AA549" s="1004" t="s">
        <v>38</v>
      </c>
      <c r="AB549" s="1925"/>
      <c r="AC549" s="1153"/>
      <c r="AD549" s="1269"/>
      <c r="AE549" s="1270"/>
      <c r="AF549" s="1270"/>
      <c r="AG549" s="1270"/>
      <c r="AH549" s="1796"/>
      <c r="AI549" s="1776"/>
      <c r="AJ549" s="1270"/>
      <c r="AK549" s="1270"/>
      <c r="AL549" s="1095"/>
      <c r="AM549" s="1095"/>
      <c r="AN549" s="1095"/>
      <c r="AO549" s="1095"/>
      <c r="AP549" s="1095"/>
      <c r="AQ549" s="1104"/>
      <c r="AR549" s="1105"/>
      <c r="AS549" s="1097"/>
      <c r="BW549" s="545"/>
    </row>
    <row r="550" spans="1:75" s="30" customFormat="1" ht="18.75" customHeight="1" x14ac:dyDescent="0.25">
      <c r="A550" s="545"/>
      <c r="B550" s="1579"/>
      <c r="C550" s="1097"/>
      <c r="D550" s="1142"/>
      <c r="E550" s="1144" t="str">
        <f t="shared" si="82"/>
        <v/>
      </c>
      <c r="F550" s="1124"/>
      <c r="G550" s="1708" t="s">
        <v>208</v>
      </c>
      <c r="H550" s="1709" t="s">
        <v>208</v>
      </c>
      <c r="I550" s="1708" t="s">
        <v>208</v>
      </c>
      <c r="J550" s="1710" t="s">
        <v>208</v>
      </c>
      <c r="K550" s="1708" t="s">
        <v>208</v>
      </c>
      <c r="L550" s="1709" t="s">
        <v>208</v>
      </c>
      <c r="M550" s="1708" t="s">
        <v>208</v>
      </c>
      <c r="N550" s="1709" t="s">
        <v>208</v>
      </c>
      <c r="O550" s="1708" t="s">
        <v>208</v>
      </c>
      <c r="P550" s="1711" t="s">
        <v>208</v>
      </c>
      <c r="Q550" s="1712" t="s">
        <v>208</v>
      </c>
      <c r="R550" s="1709" t="s">
        <v>208</v>
      </c>
      <c r="S550" s="1708" t="s">
        <v>208</v>
      </c>
      <c r="T550" s="1710" t="s">
        <v>208</v>
      </c>
      <c r="U550" s="1708" t="s">
        <v>208</v>
      </c>
      <c r="V550" s="1709" t="s">
        <v>208</v>
      </c>
      <c r="W550" s="1708" t="s">
        <v>208</v>
      </c>
      <c r="X550" s="816" t="s">
        <v>208</v>
      </c>
      <c r="Y550" s="429"/>
      <c r="Z550" s="600"/>
      <c r="AA550" s="973" t="s">
        <v>208</v>
      </c>
      <c r="AB550" s="1909"/>
      <c r="AC550" s="1153"/>
      <c r="AD550" s="1229"/>
      <c r="AE550" s="1230"/>
      <c r="AF550" s="1230"/>
      <c r="AG550" s="1230"/>
      <c r="AH550" s="1779"/>
      <c r="AI550" s="1761"/>
      <c r="AJ550" s="1230"/>
      <c r="AK550" s="1230"/>
      <c r="AL550" s="1095"/>
      <c r="AM550" s="1095"/>
      <c r="AN550" s="1095"/>
      <c r="AO550" s="1095"/>
      <c r="AP550" s="1095"/>
      <c r="AQ550" s="1106"/>
      <c r="AR550" s="1097"/>
      <c r="AS550" s="1097"/>
      <c r="AT550" s="181"/>
      <c r="AU550" s="181"/>
      <c r="AV550" s="181"/>
      <c r="AW550" s="181"/>
      <c r="AX550" s="181"/>
      <c r="AY550" s="181"/>
      <c r="AZ550" s="181"/>
      <c r="BA550" s="181"/>
      <c r="BB550" s="181"/>
      <c r="BC550" s="181"/>
      <c r="BD550" s="181"/>
      <c r="BE550" s="181"/>
      <c r="BF550" s="181"/>
      <c r="BG550" s="181"/>
      <c r="BH550" s="181"/>
      <c r="BI550" s="181"/>
      <c r="BJ550" s="181"/>
      <c r="BK550" s="181"/>
      <c r="BL550" s="181"/>
      <c r="BM550" s="181"/>
      <c r="BN550" s="181"/>
      <c r="BO550" s="181"/>
      <c r="BP550" s="181"/>
      <c r="BQ550" s="181"/>
      <c r="BR550" s="181"/>
      <c r="BS550" s="181"/>
      <c r="BT550" s="181"/>
      <c r="BU550" s="181"/>
      <c r="BV550" s="181"/>
    </row>
    <row r="551" spans="1:75" s="30" customFormat="1" ht="20.25" customHeight="1" x14ac:dyDescent="0.25">
      <c r="A551" s="545"/>
      <c r="B551" s="1579"/>
      <c r="C551" s="1097"/>
      <c r="D551" s="1142" t="s">
        <v>166</v>
      </c>
      <c r="E551" s="1143" t="str">
        <f t="shared" si="82"/>
        <v/>
      </c>
      <c r="F551" s="1124"/>
      <c r="G551" s="1713" t="s">
        <v>208</v>
      </c>
      <c r="H551" s="1681" t="s">
        <v>208</v>
      </c>
      <c r="I551" s="1713" t="s">
        <v>208</v>
      </c>
      <c r="J551" s="1682" t="s">
        <v>208</v>
      </c>
      <c r="K551" s="1713" t="s">
        <v>208</v>
      </c>
      <c r="L551" s="1681" t="s">
        <v>208</v>
      </c>
      <c r="M551" s="1713" t="s">
        <v>208</v>
      </c>
      <c r="N551" s="1681" t="s">
        <v>208</v>
      </c>
      <c r="O551" s="1713" t="s">
        <v>208</v>
      </c>
      <c r="P551" s="1683" t="s">
        <v>208</v>
      </c>
      <c r="Q551" s="1714" t="s">
        <v>38</v>
      </c>
      <c r="R551" s="1681" t="s">
        <v>38</v>
      </c>
      <c r="S551" s="1713" t="s">
        <v>38</v>
      </c>
      <c r="T551" s="1682" t="s">
        <v>38</v>
      </c>
      <c r="U551" s="1713" t="s">
        <v>37</v>
      </c>
      <c r="V551" s="1681" t="str">
        <f t="shared" ref="V551" si="84">IF(OR(ISNUMBER(SEARCH("Contractor",Const_Delivery_Method))=TRUE,ISNUMBER(SEARCH("JOC",Const_Delivery_Method))=TRUE,ISNUMBER(SEARCH("CS",Const_Delivery_Method))=TRUE,ISNUMBER(SEARCH("House",Const_Delivery_Method))=TRUE),"N","Y")</f>
        <v>Y</v>
      </c>
      <c r="W551" s="1713" t="s">
        <v>38</v>
      </c>
      <c r="X551" s="810" t="s">
        <v>38</v>
      </c>
      <c r="Y551" s="428" t="s">
        <v>166</v>
      </c>
      <c r="Z551" s="579" t="s">
        <v>344</v>
      </c>
      <c r="AA551" s="970" t="s">
        <v>37</v>
      </c>
      <c r="AB551" s="1919"/>
      <c r="AC551" s="1153"/>
      <c r="AD551" s="1251"/>
      <c r="AE551" s="1252"/>
      <c r="AF551" s="1252"/>
      <c r="AG551" s="1252"/>
      <c r="AH551" s="1795"/>
      <c r="AI551" s="1775"/>
      <c r="AJ551" s="1252"/>
      <c r="AK551" s="1252"/>
      <c r="AL551" s="1095"/>
      <c r="AM551" s="1095"/>
      <c r="AN551" s="1095"/>
      <c r="AO551" s="1095"/>
      <c r="AP551" s="1095"/>
      <c r="AQ551" s="1106"/>
      <c r="AR551" s="1097"/>
      <c r="AS551" s="1097"/>
      <c r="AT551" s="181"/>
      <c r="AU551" s="181"/>
      <c r="AV551" s="181"/>
      <c r="AW551" s="181"/>
      <c r="AX551" s="181"/>
      <c r="AY551" s="181"/>
      <c r="AZ551" s="181"/>
      <c r="BA551" s="181"/>
      <c r="BB551" s="181"/>
      <c r="BC551" s="181"/>
      <c r="BD551" s="181"/>
      <c r="BE551" s="181"/>
      <c r="BF551" s="181"/>
      <c r="BG551" s="181"/>
      <c r="BH551" s="181"/>
      <c r="BI551" s="181"/>
      <c r="BJ551" s="181"/>
      <c r="BK551" s="181"/>
      <c r="BL551" s="181"/>
      <c r="BM551" s="181"/>
      <c r="BN551" s="181"/>
      <c r="BO551" s="181"/>
      <c r="BP551" s="181"/>
      <c r="BQ551" s="181"/>
      <c r="BR551" s="181"/>
      <c r="BS551" s="181"/>
      <c r="BT551" s="181"/>
      <c r="BU551" s="181"/>
      <c r="BV551" s="181"/>
    </row>
    <row r="552" spans="1:75" s="30" customFormat="1" ht="18.75" customHeight="1" x14ac:dyDescent="0.25">
      <c r="A552" s="545"/>
      <c r="B552" s="1579"/>
      <c r="C552" s="1097"/>
      <c r="D552" s="1142"/>
      <c r="E552" s="1144" t="str">
        <f t="shared" si="82"/>
        <v/>
      </c>
      <c r="F552" s="1124"/>
      <c r="G552" s="1708" t="s">
        <v>208</v>
      </c>
      <c r="H552" s="1709" t="s">
        <v>208</v>
      </c>
      <c r="I552" s="1708" t="s">
        <v>208</v>
      </c>
      <c r="J552" s="1710" t="s">
        <v>208</v>
      </c>
      <c r="K552" s="1708" t="s">
        <v>208</v>
      </c>
      <c r="L552" s="1709" t="s">
        <v>208</v>
      </c>
      <c r="M552" s="1708" t="s">
        <v>208</v>
      </c>
      <c r="N552" s="1709" t="s">
        <v>208</v>
      </c>
      <c r="O552" s="1708" t="s">
        <v>208</v>
      </c>
      <c r="P552" s="1711" t="s">
        <v>208</v>
      </c>
      <c r="Q552" s="1712" t="s">
        <v>208</v>
      </c>
      <c r="R552" s="1709" t="s">
        <v>208</v>
      </c>
      <c r="S552" s="1708" t="s">
        <v>208</v>
      </c>
      <c r="T552" s="1710" t="s">
        <v>208</v>
      </c>
      <c r="U552" s="1708" t="s">
        <v>208</v>
      </c>
      <c r="V552" s="1709" t="s">
        <v>208</v>
      </c>
      <c r="W552" s="1708" t="s">
        <v>208</v>
      </c>
      <c r="X552" s="816" t="s">
        <v>208</v>
      </c>
      <c r="Y552" s="429"/>
      <c r="Z552" s="600"/>
      <c r="AA552" s="973" t="s">
        <v>208</v>
      </c>
      <c r="AB552" s="1909"/>
      <c r="AC552" s="1153"/>
      <c r="AD552" s="1229"/>
      <c r="AE552" s="1230"/>
      <c r="AF552" s="1230"/>
      <c r="AG552" s="1230"/>
      <c r="AH552" s="1779"/>
      <c r="AI552" s="1761"/>
      <c r="AJ552" s="1230"/>
      <c r="AK552" s="1230"/>
      <c r="AL552" s="1095"/>
      <c r="AM552" s="1095"/>
      <c r="AN552" s="1095"/>
      <c r="AO552" s="1095"/>
      <c r="AP552" s="1095"/>
      <c r="AQ552" s="1106"/>
      <c r="AR552" s="1097"/>
      <c r="AS552" s="1097"/>
      <c r="AT552" s="181"/>
      <c r="AU552" s="181"/>
      <c r="AV552" s="181"/>
      <c r="AW552" s="181"/>
      <c r="AX552" s="181"/>
      <c r="AY552" s="181"/>
      <c r="AZ552" s="181"/>
      <c r="BA552" s="181"/>
      <c r="BB552" s="181"/>
      <c r="BC552" s="181"/>
      <c r="BD552" s="181"/>
      <c r="BE552" s="181"/>
      <c r="BF552" s="181"/>
      <c r="BG552" s="181"/>
      <c r="BH552" s="181"/>
      <c r="BI552" s="181"/>
      <c r="BJ552" s="181"/>
      <c r="BK552" s="181"/>
      <c r="BL552" s="181"/>
      <c r="BM552" s="181"/>
      <c r="BN552" s="181"/>
      <c r="BO552" s="181"/>
      <c r="BP552" s="181"/>
      <c r="BQ552" s="181"/>
      <c r="BR552" s="181"/>
      <c r="BS552" s="181"/>
      <c r="BT552" s="181"/>
      <c r="BU552" s="181"/>
      <c r="BV552" s="181"/>
    </row>
    <row r="553" spans="1:75" s="30" customFormat="1" ht="18.75" customHeight="1" x14ac:dyDescent="0.25">
      <c r="A553" s="545"/>
      <c r="B553" s="1579"/>
      <c r="C553" s="1097"/>
      <c r="D553" s="1142" t="s">
        <v>176</v>
      </c>
      <c r="E553" s="1143" t="str">
        <f t="shared" si="82"/>
        <v/>
      </c>
      <c r="F553" s="1124"/>
      <c r="G553" s="1713" t="s">
        <v>208</v>
      </c>
      <c r="H553" s="1681" t="s">
        <v>208</v>
      </c>
      <c r="I553" s="1713" t="s">
        <v>208</v>
      </c>
      <c r="J553" s="1682" t="s">
        <v>208</v>
      </c>
      <c r="K553" s="1713" t="s">
        <v>208</v>
      </c>
      <c r="L553" s="1681" t="s">
        <v>208</v>
      </c>
      <c r="M553" s="1713" t="s">
        <v>208</v>
      </c>
      <c r="N553" s="1681" t="s">
        <v>208</v>
      </c>
      <c r="O553" s="1713" t="s">
        <v>208</v>
      </c>
      <c r="P553" s="1683" t="s">
        <v>208</v>
      </c>
      <c r="Q553" s="1714" t="s">
        <v>38</v>
      </c>
      <c r="R553" s="1681" t="s">
        <v>38</v>
      </c>
      <c r="S553" s="1713" t="s">
        <v>38</v>
      </c>
      <c r="T553" s="1682" t="s">
        <v>38</v>
      </c>
      <c r="U553" s="1713" t="s">
        <v>37</v>
      </c>
      <c r="V553" s="1681" t="str">
        <f t="shared" ref="V553" si="85">IF(OR(ISNUMBER(SEARCH("Contractor",Const_Delivery_Method))=TRUE,ISNUMBER(SEARCH("JOC",Const_Delivery_Method))=TRUE,ISNUMBER(SEARCH("CS",Const_Delivery_Method))=TRUE,ISNUMBER(SEARCH("House",Const_Delivery_Method))=TRUE),"N","Y")</f>
        <v>Y</v>
      </c>
      <c r="W553" s="1713" t="s">
        <v>38</v>
      </c>
      <c r="X553" s="810" t="s">
        <v>38</v>
      </c>
      <c r="Y553" s="428" t="s">
        <v>176</v>
      </c>
      <c r="Z553" s="579" t="s">
        <v>637</v>
      </c>
      <c r="AA553" s="970" t="s">
        <v>37</v>
      </c>
      <c r="AB553" s="1919"/>
      <c r="AC553" s="1153"/>
      <c r="AD553" s="1251"/>
      <c r="AE553" s="1252"/>
      <c r="AF553" s="1252"/>
      <c r="AG553" s="1252"/>
      <c r="AH553" s="1795"/>
      <c r="AI553" s="1775"/>
      <c r="AJ553" s="1252"/>
      <c r="AK553" s="1252"/>
      <c r="AL553" s="1095"/>
      <c r="AM553" s="1095"/>
      <c r="AN553" s="1095"/>
      <c r="AO553" s="1095"/>
      <c r="AP553" s="1095"/>
      <c r="AQ553" s="1106"/>
      <c r="AR553" s="1097"/>
      <c r="AS553" s="1097"/>
      <c r="AT553" s="181"/>
      <c r="AU553" s="181"/>
      <c r="AV553" s="181"/>
      <c r="AW553" s="181"/>
      <c r="AX553" s="181"/>
      <c r="AY553" s="181"/>
      <c r="AZ553" s="181"/>
      <c r="BA553" s="181"/>
      <c r="BB553" s="181"/>
      <c r="BC553" s="181"/>
      <c r="BD553" s="181"/>
      <c r="BE553" s="181"/>
      <c r="BF553" s="181"/>
      <c r="BG553" s="181"/>
      <c r="BH553" s="181"/>
      <c r="BI553" s="181"/>
      <c r="BJ553" s="181"/>
      <c r="BK553" s="181"/>
      <c r="BL553" s="181"/>
      <c r="BM553" s="181"/>
      <c r="BN553" s="181"/>
      <c r="BO553" s="181"/>
      <c r="BP553" s="181"/>
      <c r="BQ553" s="181"/>
      <c r="BR553" s="181"/>
      <c r="BS553" s="181"/>
      <c r="BT553" s="181"/>
      <c r="BU553" s="181"/>
      <c r="BV553" s="181"/>
    </row>
    <row r="554" spans="1:75" s="30" customFormat="1" ht="18.75" customHeight="1" x14ac:dyDescent="0.25">
      <c r="A554" s="545"/>
      <c r="B554" s="1579"/>
      <c r="C554" s="1097"/>
      <c r="D554" s="1142"/>
      <c r="E554" s="1144" t="str">
        <f t="shared" si="82"/>
        <v/>
      </c>
      <c r="F554" s="1124"/>
      <c r="G554" s="1708" t="s">
        <v>208</v>
      </c>
      <c r="H554" s="1709" t="s">
        <v>208</v>
      </c>
      <c r="I554" s="1708" t="s">
        <v>208</v>
      </c>
      <c r="J554" s="1710" t="s">
        <v>208</v>
      </c>
      <c r="K554" s="1708" t="s">
        <v>208</v>
      </c>
      <c r="L554" s="1709" t="s">
        <v>208</v>
      </c>
      <c r="M554" s="1708" t="s">
        <v>208</v>
      </c>
      <c r="N554" s="1709" t="s">
        <v>208</v>
      </c>
      <c r="O554" s="1708" t="s">
        <v>208</v>
      </c>
      <c r="P554" s="1711" t="s">
        <v>208</v>
      </c>
      <c r="Q554" s="1712" t="s">
        <v>208</v>
      </c>
      <c r="R554" s="1709" t="s">
        <v>208</v>
      </c>
      <c r="S554" s="1708" t="s">
        <v>208</v>
      </c>
      <c r="T554" s="1710" t="s">
        <v>208</v>
      </c>
      <c r="U554" s="1708" t="s">
        <v>208</v>
      </c>
      <c r="V554" s="1709" t="s">
        <v>208</v>
      </c>
      <c r="W554" s="1708" t="s">
        <v>208</v>
      </c>
      <c r="X554" s="816" t="s">
        <v>208</v>
      </c>
      <c r="Y554" s="429"/>
      <c r="Z554" s="600"/>
      <c r="AA554" s="973" t="s">
        <v>208</v>
      </c>
      <c r="AB554" s="1909"/>
      <c r="AC554" s="1153"/>
      <c r="AD554" s="1229"/>
      <c r="AE554" s="1230"/>
      <c r="AF554" s="1230"/>
      <c r="AG554" s="1230"/>
      <c r="AH554" s="1779"/>
      <c r="AI554" s="1761"/>
      <c r="AJ554" s="1230"/>
      <c r="AK554" s="1230"/>
      <c r="AL554" s="1095"/>
      <c r="AM554" s="1095"/>
      <c r="AN554" s="1095"/>
      <c r="AO554" s="1095"/>
      <c r="AP554" s="1095"/>
      <c r="AQ554" s="1106"/>
      <c r="AR554" s="1097"/>
      <c r="AS554" s="1097"/>
      <c r="AT554" s="181"/>
      <c r="AU554" s="181"/>
      <c r="AV554" s="181"/>
      <c r="AW554" s="181"/>
      <c r="AX554" s="181"/>
      <c r="AY554" s="181"/>
      <c r="AZ554" s="181"/>
      <c r="BA554" s="181"/>
      <c r="BB554" s="181"/>
      <c r="BC554" s="181"/>
      <c r="BD554" s="181"/>
      <c r="BE554" s="181"/>
      <c r="BF554" s="181"/>
      <c r="BG554" s="181"/>
      <c r="BH554" s="181"/>
      <c r="BI554" s="181"/>
      <c r="BJ554" s="181"/>
      <c r="BK554" s="181"/>
      <c r="BL554" s="181"/>
      <c r="BM554" s="181"/>
      <c r="BN554" s="181"/>
      <c r="BO554" s="181"/>
      <c r="BP554" s="181"/>
      <c r="BQ554" s="181"/>
      <c r="BR554" s="181"/>
      <c r="BS554" s="181"/>
      <c r="BT554" s="181"/>
      <c r="BU554" s="181"/>
      <c r="BV554" s="181"/>
    </row>
    <row r="555" spans="1:75" s="30" customFormat="1" ht="21" x14ac:dyDescent="0.25">
      <c r="A555" s="545"/>
      <c r="B555" s="1579"/>
      <c r="C555" s="1097"/>
      <c r="D555" s="1142"/>
      <c r="E555" s="1144" t="str">
        <f t="shared" si="82"/>
        <v/>
      </c>
      <c r="F555" s="1124"/>
      <c r="G555" s="1713" t="s">
        <v>208</v>
      </c>
      <c r="H555" s="1681" t="s">
        <v>208</v>
      </c>
      <c r="I555" s="1713" t="s">
        <v>208</v>
      </c>
      <c r="J555" s="1682" t="s">
        <v>208</v>
      </c>
      <c r="K555" s="1713" t="s">
        <v>208</v>
      </c>
      <c r="L555" s="1681" t="s">
        <v>208</v>
      </c>
      <c r="M555" s="1713" t="s">
        <v>208</v>
      </c>
      <c r="N555" s="1681" t="s">
        <v>208</v>
      </c>
      <c r="O555" s="1713" t="s">
        <v>208</v>
      </c>
      <c r="P555" s="1683" t="s">
        <v>208</v>
      </c>
      <c r="Q555" s="1714" t="s">
        <v>208</v>
      </c>
      <c r="R555" s="1681" t="s">
        <v>208</v>
      </c>
      <c r="S555" s="1713" t="s">
        <v>208</v>
      </c>
      <c r="T555" s="1682" t="s">
        <v>208</v>
      </c>
      <c r="U555" s="1713" t="s">
        <v>208</v>
      </c>
      <c r="V555" s="1681" t="s">
        <v>208</v>
      </c>
      <c r="W555" s="1713" t="s">
        <v>208</v>
      </c>
      <c r="X555" s="810" t="s">
        <v>208</v>
      </c>
      <c r="Y555" s="442" t="s">
        <v>316</v>
      </c>
      <c r="Z555" s="604"/>
      <c r="AA555" s="970" t="s">
        <v>208</v>
      </c>
      <c r="AB555" s="1919"/>
      <c r="AC555" s="1153"/>
      <c r="AD555" s="1251"/>
      <c r="AE555" s="1252"/>
      <c r="AF555" s="1252"/>
      <c r="AG555" s="1252"/>
      <c r="AH555" s="1795"/>
      <c r="AI555" s="1775"/>
      <c r="AJ555" s="1252"/>
      <c r="AK555" s="1252"/>
      <c r="AL555" s="1095"/>
      <c r="AM555" s="1095"/>
      <c r="AN555" s="1095"/>
      <c r="AO555" s="1095"/>
      <c r="AP555" s="1095"/>
      <c r="AQ555" s="1106"/>
      <c r="AR555" s="1097"/>
      <c r="AS555" s="1097"/>
      <c r="AT555" s="181"/>
      <c r="AU555" s="181"/>
      <c r="AV555" s="181"/>
      <c r="AW555" s="181"/>
      <c r="AX555" s="181"/>
      <c r="AY555" s="181"/>
      <c r="AZ555" s="181"/>
      <c r="BA555" s="181"/>
      <c r="BB555" s="181"/>
      <c r="BC555" s="181"/>
      <c r="BD555" s="181"/>
      <c r="BE555" s="181"/>
      <c r="BF555" s="181"/>
      <c r="BG555" s="181"/>
      <c r="BH555" s="181"/>
      <c r="BI555" s="181"/>
      <c r="BJ555" s="181"/>
      <c r="BK555" s="181"/>
      <c r="BL555" s="181"/>
      <c r="BM555" s="181"/>
      <c r="BN555" s="181"/>
      <c r="BO555" s="181"/>
      <c r="BP555" s="181"/>
      <c r="BQ555" s="181"/>
      <c r="BR555" s="181"/>
      <c r="BS555" s="181"/>
      <c r="BT555" s="181"/>
      <c r="BU555" s="181"/>
      <c r="BV555" s="181"/>
    </row>
    <row r="556" spans="1:75" s="30" customFormat="1" ht="15.75" x14ac:dyDescent="0.25">
      <c r="A556" s="545"/>
      <c r="B556" s="1579"/>
      <c r="C556" s="1097"/>
      <c r="D556" s="1142"/>
      <c r="E556" s="1144" t="str">
        <f t="shared" si="82"/>
        <v/>
      </c>
      <c r="F556" s="1124"/>
      <c r="G556" s="1708" t="s">
        <v>208</v>
      </c>
      <c r="H556" s="1709" t="s">
        <v>208</v>
      </c>
      <c r="I556" s="1708" t="s">
        <v>208</v>
      </c>
      <c r="J556" s="1710" t="s">
        <v>208</v>
      </c>
      <c r="K556" s="1708" t="s">
        <v>208</v>
      </c>
      <c r="L556" s="1709" t="s">
        <v>208</v>
      </c>
      <c r="M556" s="1708" t="s">
        <v>208</v>
      </c>
      <c r="N556" s="1709" t="s">
        <v>208</v>
      </c>
      <c r="O556" s="1708" t="s">
        <v>208</v>
      </c>
      <c r="P556" s="1711" t="s">
        <v>208</v>
      </c>
      <c r="Q556" s="1712" t="s">
        <v>208</v>
      </c>
      <c r="R556" s="1709" t="s">
        <v>208</v>
      </c>
      <c r="S556" s="1708" t="s">
        <v>208</v>
      </c>
      <c r="T556" s="1710" t="s">
        <v>208</v>
      </c>
      <c r="U556" s="1708" t="s">
        <v>208</v>
      </c>
      <c r="V556" s="1709" t="s">
        <v>208</v>
      </c>
      <c r="W556" s="1708" t="s">
        <v>208</v>
      </c>
      <c r="X556" s="816" t="s">
        <v>208</v>
      </c>
      <c r="Y556" s="429"/>
      <c r="Z556" s="600"/>
      <c r="AA556" s="973" t="s">
        <v>208</v>
      </c>
      <c r="AB556" s="1909"/>
      <c r="AC556" s="1153"/>
      <c r="AD556" s="1229"/>
      <c r="AE556" s="1230"/>
      <c r="AF556" s="1230"/>
      <c r="AG556" s="1230"/>
      <c r="AH556" s="1779"/>
      <c r="AI556" s="1761"/>
      <c r="AJ556" s="1230"/>
      <c r="AK556" s="1230"/>
      <c r="AL556" s="1095"/>
      <c r="AM556" s="1095"/>
      <c r="AN556" s="1095"/>
      <c r="AO556" s="1095"/>
      <c r="AP556" s="1095"/>
      <c r="AQ556" s="1106"/>
      <c r="AR556" s="1097"/>
      <c r="AS556" s="1097"/>
      <c r="AT556" s="181"/>
      <c r="AU556" s="181"/>
      <c r="AV556" s="181"/>
      <c r="AW556" s="181"/>
      <c r="AX556" s="181"/>
      <c r="AY556" s="181"/>
      <c r="AZ556" s="181"/>
      <c r="BA556" s="181"/>
      <c r="BB556" s="181"/>
      <c r="BC556" s="181"/>
      <c r="BD556" s="181"/>
      <c r="BE556" s="181"/>
      <c r="BF556" s="181"/>
      <c r="BG556" s="181"/>
      <c r="BH556" s="181"/>
      <c r="BI556" s="181"/>
      <c r="BJ556" s="181"/>
      <c r="BK556" s="181"/>
      <c r="BL556" s="181"/>
      <c r="BM556" s="181"/>
      <c r="BN556" s="181"/>
      <c r="BO556" s="181"/>
      <c r="BP556" s="181"/>
      <c r="BQ556" s="181"/>
      <c r="BR556" s="181"/>
      <c r="BS556" s="181"/>
      <c r="BT556" s="181"/>
      <c r="BU556" s="181"/>
      <c r="BV556" s="181"/>
    </row>
    <row r="557" spans="1:75" s="30" customFormat="1" ht="18.75" x14ac:dyDescent="0.25">
      <c r="A557" s="545"/>
      <c r="B557" s="1579"/>
      <c r="C557" s="1097"/>
      <c r="D557" s="1142" t="s">
        <v>177</v>
      </c>
      <c r="E557" s="1143" t="str">
        <f t="shared" si="82"/>
        <v/>
      </c>
      <c r="F557" s="1124"/>
      <c r="G557" s="1713" t="s">
        <v>208</v>
      </c>
      <c r="H557" s="1681" t="s">
        <v>208</v>
      </c>
      <c r="I557" s="1713" t="s">
        <v>208</v>
      </c>
      <c r="J557" s="1682" t="s">
        <v>208</v>
      </c>
      <c r="K557" s="1713" t="s">
        <v>208</v>
      </c>
      <c r="L557" s="1681" t="s">
        <v>208</v>
      </c>
      <c r="M557" s="1713" t="s">
        <v>208</v>
      </c>
      <c r="N557" s="1681" t="s">
        <v>208</v>
      </c>
      <c r="O557" s="1713" t="s">
        <v>208</v>
      </c>
      <c r="P557" s="1683" t="s">
        <v>208</v>
      </c>
      <c r="Q557" s="1714" t="s">
        <v>38</v>
      </c>
      <c r="R557" s="1681" t="s">
        <v>38</v>
      </c>
      <c r="S557" s="1713" t="s">
        <v>38</v>
      </c>
      <c r="T557" s="1682" t="s">
        <v>38</v>
      </c>
      <c r="U557" s="1713" t="s">
        <v>38</v>
      </c>
      <c r="V557" s="1681" t="s">
        <v>38</v>
      </c>
      <c r="W557" s="1713" t="s">
        <v>37</v>
      </c>
      <c r="X557" s="810" t="str">
        <f t="shared" ref="X557" si="86">IF(OR(ISNUMBER(SEARCH("Contractor",Const_Delivery_Method))=TRUE,ISNUMBER(SEARCH("JOC",Const_Delivery_Method))=TRUE,ISNUMBER(SEARCH("CS",Const_Delivery_Method))=TRUE,ISNUMBER(SEARCH("House",Const_Delivery_Method))=TRUE),"N","Y")</f>
        <v>Y</v>
      </c>
      <c r="Y557" s="428" t="s">
        <v>177</v>
      </c>
      <c r="Z557" s="579" t="s">
        <v>345</v>
      </c>
      <c r="AA557" s="970" t="s">
        <v>38</v>
      </c>
      <c r="AB557" s="1919"/>
      <c r="AC557" s="1153"/>
      <c r="AD557" s="1251"/>
      <c r="AE557" s="1252"/>
      <c r="AF557" s="1252"/>
      <c r="AG557" s="1252"/>
      <c r="AH557" s="1795"/>
      <c r="AI557" s="1775"/>
      <c r="AJ557" s="1252"/>
      <c r="AK557" s="1252"/>
      <c r="AL557" s="1095"/>
      <c r="AM557" s="1095"/>
      <c r="AN557" s="1095"/>
      <c r="AO557" s="1095"/>
      <c r="AP557" s="1095"/>
      <c r="AQ557" s="1106"/>
      <c r="AR557" s="1097"/>
      <c r="AS557" s="1097"/>
      <c r="AT557" s="181"/>
      <c r="AU557" s="181"/>
      <c r="AV557" s="181"/>
      <c r="AW557" s="181"/>
      <c r="AX557" s="181"/>
      <c r="AY557" s="181"/>
      <c r="AZ557" s="181"/>
      <c r="BA557" s="181"/>
      <c r="BB557" s="181"/>
      <c r="BC557" s="181"/>
      <c r="BD557" s="181"/>
      <c r="BE557" s="181"/>
      <c r="BF557" s="181"/>
      <c r="BG557" s="181"/>
      <c r="BH557" s="181"/>
      <c r="BI557" s="181"/>
      <c r="BJ557" s="181"/>
      <c r="BK557" s="181"/>
      <c r="BL557" s="181"/>
      <c r="BM557" s="181"/>
      <c r="BN557" s="181"/>
      <c r="BO557" s="181"/>
      <c r="BP557" s="181"/>
      <c r="BQ557" s="181"/>
      <c r="BR557" s="181"/>
      <c r="BS557" s="181"/>
      <c r="BT557" s="181"/>
      <c r="BU557" s="181"/>
      <c r="BV557" s="181"/>
    </row>
    <row r="558" spans="1:75" s="30" customFormat="1" ht="15.75" x14ac:dyDescent="0.25">
      <c r="A558" s="545"/>
      <c r="B558" s="1579"/>
      <c r="C558" s="1097"/>
      <c r="D558" s="1142"/>
      <c r="E558" s="1144" t="str">
        <f t="shared" si="82"/>
        <v/>
      </c>
      <c r="F558" s="1124"/>
      <c r="G558" s="1708" t="s">
        <v>208</v>
      </c>
      <c r="H558" s="1709" t="s">
        <v>208</v>
      </c>
      <c r="I558" s="1708" t="s">
        <v>208</v>
      </c>
      <c r="J558" s="1710" t="s">
        <v>208</v>
      </c>
      <c r="K558" s="1708" t="s">
        <v>208</v>
      </c>
      <c r="L558" s="1709" t="s">
        <v>208</v>
      </c>
      <c r="M558" s="1708" t="s">
        <v>208</v>
      </c>
      <c r="N558" s="1709" t="s">
        <v>208</v>
      </c>
      <c r="O558" s="1708" t="s">
        <v>208</v>
      </c>
      <c r="P558" s="1711" t="s">
        <v>208</v>
      </c>
      <c r="Q558" s="1712" t="s">
        <v>208</v>
      </c>
      <c r="R558" s="1709" t="s">
        <v>208</v>
      </c>
      <c r="S558" s="1708" t="s">
        <v>208</v>
      </c>
      <c r="T558" s="1710" t="s">
        <v>208</v>
      </c>
      <c r="U558" s="1708" t="s">
        <v>208</v>
      </c>
      <c r="V558" s="1709" t="s">
        <v>208</v>
      </c>
      <c r="W558" s="1708" t="s">
        <v>208</v>
      </c>
      <c r="X558" s="816" t="s">
        <v>208</v>
      </c>
      <c r="Y558" s="429"/>
      <c r="Z558" s="600"/>
      <c r="AA558" s="973" t="s">
        <v>208</v>
      </c>
      <c r="AB558" s="1909"/>
      <c r="AC558" s="1153"/>
      <c r="AD558" s="1229"/>
      <c r="AE558" s="1230"/>
      <c r="AF558" s="1230"/>
      <c r="AG558" s="1230"/>
      <c r="AH558" s="1779"/>
      <c r="AI558" s="1761"/>
      <c r="AJ558" s="1230"/>
      <c r="AK558" s="1230"/>
      <c r="AL558" s="1095"/>
      <c r="AM558" s="1095"/>
      <c r="AN558" s="1095"/>
      <c r="AO558" s="1095"/>
      <c r="AP558" s="1095"/>
      <c r="AQ558" s="1106"/>
      <c r="AR558" s="1097"/>
      <c r="AS558" s="1097"/>
      <c r="AT558" s="181"/>
      <c r="AU558" s="181"/>
      <c r="AV558" s="181"/>
      <c r="AW558" s="181"/>
      <c r="AX558" s="181"/>
      <c r="AY558" s="181"/>
      <c r="AZ558" s="181"/>
      <c r="BA558" s="181"/>
      <c r="BB558" s="181"/>
      <c r="BC558" s="181"/>
      <c r="BD558" s="181"/>
      <c r="BE558" s="181"/>
      <c r="BF558" s="181"/>
      <c r="BG558" s="181"/>
      <c r="BH558" s="181"/>
      <c r="BI558" s="181"/>
      <c r="BJ558" s="181"/>
      <c r="BK558" s="181"/>
      <c r="BL558" s="181"/>
      <c r="BM558" s="181"/>
      <c r="BN558" s="181"/>
      <c r="BO558" s="181"/>
      <c r="BP558" s="181"/>
      <c r="BQ558" s="181"/>
      <c r="BR558" s="181"/>
      <c r="BS558" s="181"/>
      <c r="BT558" s="181"/>
      <c r="BU558" s="181"/>
      <c r="BV558" s="181"/>
    </row>
    <row r="559" spans="1:75" s="30" customFormat="1" ht="37.5" x14ac:dyDescent="0.25">
      <c r="A559" s="545"/>
      <c r="B559" s="1579"/>
      <c r="C559" s="1097"/>
      <c r="D559" s="1142" t="s">
        <v>178</v>
      </c>
      <c r="E559" s="1143" t="str">
        <f t="shared" si="82"/>
        <v/>
      </c>
      <c r="F559" s="1124"/>
      <c r="G559" s="1713" t="s">
        <v>208</v>
      </c>
      <c r="H559" s="1681" t="s">
        <v>208</v>
      </c>
      <c r="I559" s="1713" t="s">
        <v>208</v>
      </c>
      <c r="J559" s="1682" t="s">
        <v>208</v>
      </c>
      <c r="K559" s="1713" t="s">
        <v>208</v>
      </c>
      <c r="L559" s="1681" t="s">
        <v>208</v>
      </c>
      <c r="M559" s="1713" t="s">
        <v>208</v>
      </c>
      <c r="N559" s="1681" t="s">
        <v>208</v>
      </c>
      <c r="O559" s="1713" t="s">
        <v>208</v>
      </c>
      <c r="P559" s="1683" t="s">
        <v>208</v>
      </c>
      <c r="Q559" s="1714" t="s">
        <v>38</v>
      </c>
      <c r="R559" s="1681" t="s">
        <v>38</v>
      </c>
      <c r="S559" s="1713" t="s">
        <v>38</v>
      </c>
      <c r="T559" s="1682" t="s">
        <v>38</v>
      </c>
      <c r="U559" s="1713" t="s">
        <v>38</v>
      </c>
      <c r="V559" s="1681" t="s">
        <v>38</v>
      </c>
      <c r="W559" s="1713" t="s">
        <v>37</v>
      </c>
      <c r="X559" s="810" t="str">
        <f t="shared" ref="X559" si="87">IF(OR(ISNUMBER(SEARCH("Contractor",Const_Delivery_Method))=TRUE,ISNUMBER(SEARCH("JOC",Const_Delivery_Method))=TRUE,ISNUMBER(SEARCH("CS",Const_Delivery_Method))=TRUE,ISNUMBER(SEARCH("House",Const_Delivery_Method))=TRUE),"N","Y")</f>
        <v>Y</v>
      </c>
      <c r="Y559" s="428" t="s">
        <v>178</v>
      </c>
      <c r="Z559" s="579" t="s">
        <v>346</v>
      </c>
      <c r="AA559" s="970" t="s">
        <v>38</v>
      </c>
      <c r="AB559" s="1919"/>
      <c r="AC559" s="1153"/>
      <c r="AD559" s="1251"/>
      <c r="AE559" s="1252"/>
      <c r="AF559" s="1252"/>
      <c r="AG559" s="1252"/>
      <c r="AH559" s="1795"/>
      <c r="AI559" s="1775"/>
      <c r="AJ559" s="1252"/>
      <c r="AK559" s="1252"/>
      <c r="AL559" s="1095"/>
      <c r="AM559" s="1095"/>
      <c r="AN559" s="1095"/>
      <c r="AO559" s="1095"/>
      <c r="AP559" s="1095"/>
      <c r="AQ559" s="1106"/>
      <c r="AR559" s="1097"/>
      <c r="AS559" s="1097"/>
      <c r="AT559" s="181"/>
      <c r="AU559" s="181"/>
      <c r="AV559" s="181"/>
      <c r="AW559" s="181"/>
      <c r="AX559" s="181"/>
      <c r="AY559" s="181"/>
      <c r="AZ559" s="181"/>
      <c r="BA559" s="181"/>
      <c r="BB559" s="181"/>
      <c r="BC559" s="181"/>
      <c r="BD559" s="181"/>
      <c r="BE559" s="181"/>
      <c r="BF559" s="181"/>
      <c r="BG559" s="181"/>
      <c r="BH559" s="181"/>
      <c r="BI559" s="181"/>
      <c r="BJ559" s="181"/>
      <c r="BK559" s="181"/>
      <c r="BL559" s="181"/>
      <c r="BM559" s="181"/>
      <c r="BN559" s="181"/>
      <c r="BO559" s="181"/>
      <c r="BP559" s="181"/>
      <c r="BQ559" s="181"/>
      <c r="BR559" s="181"/>
      <c r="BS559" s="181"/>
      <c r="BT559" s="181"/>
      <c r="BU559" s="181"/>
      <c r="BV559" s="181"/>
    </row>
    <row r="560" spans="1:75" s="30" customFormat="1" ht="15.75" x14ac:dyDescent="0.25">
      <c r="A560" s="545"/>
      <c r="B560" s="1579"/>
      <c r="C560" s="1097"/>
      <c r="D560" s="1142"/>
      <c r="E560" s="1144" t="str">
        <f t="shared" si="82"/>
        <v/>
      </c>
      <c r="F560" s="1124"/>
      <c r="G560" s="1708" t="s">
        <v>208</v>
      </c>
      <c r="H560" s="1709" t="s">
        <v>208</v>
      </c>
      <c r="I560" s="1708" t="s">
        <v>208</v>
      </c>
      <c r="J560" s="1710" t="s">
        <v>208</v>
      </c>
      <c r="K560" s="1708" t="s">
        <v>208</v>
      </c>
      <c r="L560" s="1709" t="s">
        <v>208</v>
      </c>
      <c r="M560" s="1708" t="s">
        <v>208</v>
      </c>
      <c r="N560" s="1709" t="s">
        <v>208</v>
      </c>
      <c r="O560" s="1708" t="s">
        <v>208</v>
      </c>
      <c r="P560" s="1711" t="s">
        <v>208</v>
      </c>
      <c r="Q560" s="1712" t="s">
        <v>208</v>
      </c>
      <c r="R560" s="1709" t="s">
        <v>208</v>
      </c>
      <c r="S560" s="1708" t="s">
        <v>208</v>
      </c>
      <c r="T560" s="1710" t="s">
        <v>208</v>
      </c>
      <c r="U560" s="1708" t="s">
        <v>208</v>
      </c>
      <c r="V560" s="1709" t="s">
        <v>208</v>
      </c>
      <c r="W560" s="1708" t="s">
        <v>208</v>
      </c>
      <c r="X560" s="816" t="s">
        <v>208</v>
      </c>
      <c r="Y560" s="429"/>
      <c r="Z560" s="600"/>
      <c r="AA560" s="973" t="s">
        <v>208</v>
      </c>
      <c r="AB560" s="1909"/>
      <c r="AC560" s="1153"/>
      <c r="AD560" s="1229"/>
      <c r="AE560" s="1230"/>
      <c r="AF560" s="1230"/>
      <c r="AG560" s="1230"/>
      <c r="AH560" s="1779"/>
      <c r="AI560" s="1761"/>
      <c r="AJ560" s="1230"/>
      <c r="AK560" s="1230"/>
      <c r="AL560" s="1095"/>
      <c r="AM560" s="1095"/>
      <c r="AN560" s="1095"/>
      <c r="AO560" s="1095"/>
      <c r="AP560" s="1095"/>
      <c r="AQ560" s="1106"/>
      <c r="AR560" s="1097"/>
      <c r="AS560" s="1097"/>
      <c r="AT560" s="181"/>
      <c r="AU560" s="181"/>
      <c r="AV560" s="181"/>
      <c r="AW560" s="181"/>
      <c r="AX560" s="181"/>
      <c r="AY560" s="181"/>
      <c r="AZ560" s="181"/>
      <c r="BA560" s="181"/>
      <c r="BB560" s="181"/>
      <c r="BC560" s="181"/>
      <c r="BD560" s="181"/>
      <c r="BE560" s="181"/>
      <c r="BF560" s="181"/>
      <c r="BG560" s="181"/>
      <c r="BH560" s="181"/>
      <c r="BI560" s="181"/>
      <c r="BJ560" s="181"/>
      <c r="BK560" s="181"/>
      <c r="BL560" s="181"/>
      <c r="BM560" s="181"/>
      <c r="BN560" s="181"/>
      <c r="BO560" s="181"/>
      <c r="BP560" s="181"/>
      <c r="BQ560" s="181"/>
      <c r="BR560" s="181"/>
      <c r="BS560" s="181"/>
      <c r="BT560" s="181"/>
      <c r="BU560" s="181"/>
      <c r="BV560" s="181"/>
    </row>
    <row r="561" spans="1:74" s="30" customFormat="1" ht="18.75" x14ac:dyDescent="0.25">
      <c r="A561" s="545"/>
      <c r="B561" s="1579"/>
      <c r="C561" s="1097"/>
      <c r="D561" s="1142" t="s">
        <v>212</v>
      </c>
      <c r="E561" s="1144" t="str">
        <f t="shared" si="82"/>
        <v/>
      </c>
      <c r="F561" s="1124"/>
      <c r="G561" s="1713" t="s">
        <v>208</v>
      </c>
      <c r="H561" s="1744" t="s">
        <v>208</v>
      </c>
      <c r="I561" s="1713" t="s">
        <v>208</v>
      </c>
      <c r="J561" s="1745" t="s">
        <v>208</v>
      </c>
      <c r="K561" s="1713" t="s">
        <v>208</v>
      </c>
      <c r="L561" s="1744" t="s">
        <v>208</v>
      </c>
      <c r="M561" s="1713" t="s">
        <v>208</v>
      </c>
      <c r="N561" s="1744" t="s">
        <v>208</v>
      </c>
      <c r="O561" s="1713" t="s">
        <v>208</v>
      </c>
      <c r="P561" s="1746" t="s">
        <v>208</v>
      </c>
      <c r="Q561" s="1714" t="s">
        <v>38</v>
      </c>
      <c r="R561" s="1744" t="s">
        <v>38</v>
      </c>
      <c r="S561" s="1713" t="s">
        <v>38</v>
      </c>
      <c r="T561" s="1745" t="s">
        <v>38</v>
      </c>
      <c r="U561" s="1713" t="s">
        <v>38</v>
      </c>
      <c r="V561" s="1744" t="s">
        <v>38</v>
      </c>
      <c r="W561" s="1713" t="s">
        <v>37</v>
      </c>
      <c r="X561" s="423" t="s">
        <v>37</v>
      </c>
      <c r="Y561" s="428" t="s">
        <v>212</v>
      </c>
      <c r="Z561" s="579" t="s">
        <v>818</v>
      </c>
      <c r="AA561" s="970" t="s">
        <v>38</v>
      </c>
      <c r="AB561" s="1919"/>
      <c r="AC561" s="1153"/>
      <c r="AD561" s="1251"/>
      <c r="AE561" s="1252"/>
      <c r="AF561" s="1252"/>
      <c r="AG561" s="1252"/>
      <c r="AH561" s="1795"/>
      <c r="AI561" s="1775"/>
      <c r="AJ561" s="1252"/>
      <c r="AK561" s="1252"/>
      <c r="AL561" s="1095"/>
      <c r="AM561" s="1095"/>
      <c r="AN561" s="1095"/>
      <c r="AO561" s="1095"/>
      <c r="AP561" s="1095"/>
      <c r="AQ561" s="1106"/>
      <c r="AR561" s="1097"/>
      <c r="AS561" s="1097"/>
      <c r="AT561" s="181"/>
      <c r="AU561" s="181"/>
      <c r="AV561" s="181"/>
      <c r="AW561" s="181"/>
      <c r="AX561" s="181"/>
      <c r="AY561" s="181"/>
      <c r="AZ561" s="181"/>
      <c r="BA561" s="181"/>
      <c r="BB561" s="181"/>
      <c r="BC561" s="181"/>
      <c r="BD561" s="181"/>
      <c r="BE561" s="181"/>
      <c r="BF561" s="181"/>
      <c r="BG561" s="181"/>
      <c r="BH561" s="181"/>
      <c r="BI561" s="181"/>
      <c r="BJ561" s="181"/>
      <c r="BK561" s="181"/>
      <c r="BL561" s="181"/>
      <c r="BM561" s="181"/>
      <c r="BN561" s="181"/>
      <c r="BO561" s="181"/>
      <c r="BP561" s="181"/>
      <c r="BQ561" s="181"/>
      <c r="BR561" s="181"/>
      <c r="BS561" s="181"/>
      <c r="BT561" s="181"/>
      <c r="BU561" s="181"/>
      <c r="BV561" s="181"/>
    </row>
    <row r="562" spans="1:74" s="30" customFormat="1" ht="15.75" x14ac:dyDescent="0.25">
      <c r="A562" s="545"/>
      <c r="B562" s="1579"/>
      <c r="C562" s="1097"/>
      <c r="D562" s="1142"/>
      <c r="E562" s="1144" t="str">
        <f t="shared" si="82"/>
        <v/>
      </c>
      <c r="F562" s="1124"/>
      <c r="G562" s="1708" t="s">
        <v>208</v>
      </c>
      <c r="H562" s="1747" t="s">
        <v>208</v>
      </c>
      <c r="I562" s="1708" t="s">
        <v>208</v>
      </c>
      <c r="J562" s="1748" t="s">
        <v>208</v>
      </c>
      <c r="K562" s="1708" t="s">
        <v>208</v>
      </c>
      <c r="L562" s="1747" t="s">
        <v>208</v>
      </c>
      <c r="M562" s="1708" t="s">
        <v>208</v>
      </c>
      <c r="N562" s="1747" t="s">
        <v>208</v>
      </c>
      <c r="O562" s="1708" t="s">
        <v>208</v>
      </c>
      <c r="P562" s="1749" t="s">
        <v>208</v>
      </c>
      <c r="Q562" s="1712" t="s">
        <v>208</v>
      </c>
      <c r="R562" s="1747" t="s">
        <v>208</v>
      </c>
      <c r="S562" s="1708" t="s">
        <v>208</v>
      </c>
      <c r="T562" s="1748" t="s">
        <v>208</v>
      </c>
      <c r="U562" s="1708" t="s">
        <v>208</v>
      </c>
      <c r="V562" s="1747" t="s">
        <v>208</v>
      </c>
      <c r="W562" s="1708" t="s">
        <v>208</v>
      </c>
      <c r="X562" s="424" t="s">
        <v>208</v>
      </c>
      <c r="Y562" s="429"/>
      <c r="Z562" s="600"/>
      <c r="AA562" s="973" t="s">
        <v>208</v>
      </c>
      <c r="AB562" s="1909"/>
      <c r="AC562" s="1153"/>
      <c r="AD562" s="1229"/>
      <c r="AE562" s="1230"/>
      <c r="AF562" s="1230"/>
      <c r="AG562" s="1230"/>
      <c r="AH562" s="1779"/>
      <c r="AI562" s="1761"/>
      <c r="AJ562" s="1230"/>
      <c r="AK562" s="1230"/>
      <c r="AL562" s="1095"/>
      <c r="AM562" s="1095"/>
      <c r="AN562" s="1095"/>
      <c r="AO562" s="1095"/>
      <c r="AP562" s="1095"/>
      <c r="AQ562" s="1106"/>
      <c r="AR562" s="1097"/>
      <c r="AS562" s="1097"/>
      <c r="AT562" s="181"/>
      <c r="AU562" s="181"/>
      <c r="AV562" s="181"/>
      <c r="AW562" s="181"/>
      <c r="AX562" s="181"/>
      <c r="AY562" s="181"/>
      <c r="AZ562" s="181"/>
      <c r="BA562" s="181"/>
      <c r="BB562" s="181"/>
      <c r="BC562" s="181"/>
      <c r="BD562" s="181"/>
      <c r="BE562" s="181"/>
      <c r="BF562" s="181"/>
      <c r="BG562" s="181"/>
      <c r="BH562" s="181"/>
      <c r="BI562" s="181"/>
      <c r="BJ562" s="181"/>
      <c r="BK562" s="181"/>
      <c r="BL562" s="181"/>
      <c r="BM562" s="181"/>
      <c r="BN562" s="181"/>
      <c r="BO562" s="181"/>
      <c r="BP562" s="181"/>
      <c r="BQ562" s="181"/>
      <c r="BR562" s="181"/>
      <c r="BS562" s="181"/>
      <c r="BT562" s="181"/>
      <c r="BU562" s="181"/>
      <c r="BV562" s="181"/>
    </row>
    <row r="563" spans="1:74" s="30" customFormat="1" ht="18.75" hidden="1" x14ac:dyDescent="0.25">
      <c r="A563" s="545"/>
      <c r="B563" s="1579"/>
      <c r="C563" s="1097"/>
      <c r="D563" s="1142" t="s">
        <v>213</v>
      </c>
      <c r="E563" s="1144" t="str">
        <f t="shared" si="82"/>
        <v>N</v>
      </c>
      <c r="F563" s="1124"/>
      <c r="G563" s="1713" t="s">
        <v>208</v>
      </c>
      <c r="H563" s="1744" t="s">
        <v>208</v>
      </c>
      <c r="I563" s="1713" t="s">
        <v>208</v>
      </c>
      <c r="J563" s="1750" t="s">
        <v>208</v>
      </c>
      <c r="K563" s="1713" t="s">
        <v>208</v>
      </c>
      <c r="L563" s="1744" t="s">
        <v>208</v>
      </c>
      <c r="M563" s="1713" t="s">
        <v>208</v>
      </c>
      <c r="N563" s="1744" t="s">
        <v>208</v>
      </c>
      <c r="O563" s="1713" t="s">
        <v>208</v>
      </c>
      <c r="P563" s="1746" t="s">
        <v>208</v>
      </c>
      <c r="Q563" s="1714" t="s">
        <v>38</v>
      </c>
      <c r="R563" s="1744" t="s">
        <v>38</v>
      </c>
      <c r="S563" s="1713" t="s">
        <v>38</v>
      </c>
      <c r="T563" s="1745" t="s">
        <v>38</v>
      </c>
      <c r="U563" s="1713" t="s">
        <v>38</v>
      </c>
      <c r="V563" s="1744" t="s">
        <v>38</v>
      </c>
      <c r="W563" s="1713" t="s">
        <v>38</v>
      </c>
      <c r="X563" s="423" t="s">
        <v>37</v>
      </c>
      <c r="Y563" s="732" t="s">
        <v>213</v>
      </c>
      <c r="Z563" s="733" t="s">
        <v>347</v>
      </c>
      <c r="AA563" s="970" t="s">
        <v>37</v>
      </c>
      <c r="AB563" s="1926"/>
      <c r="AC563" s="1153"/>
      <c r="AD563" s="1251"/>
      <c r="AE563" s="1252"/>
      <c r="AF563" s="1252"/>
      <c r="AG563" s="1252"/>
      <c r="AH563" s="1795"/>
      <c r="AI563" s="1775"/>
      <c r="AJ563" s="1252"/>
      <c r="AK563" s="1252"/>
      <c r="AL563" s="1095"/>
      <c r="AM563" s="1095"/>
      <c r="AN563" s="1095"/>
      <c r="AO563" s="1095"/>
      <c r="AP563" s="1095"/>
      <c r="AQ563" s="1106"/>
      <c r="AR563" s="1097"/>
      <c r="AS563" s="1097"/>
      <c r="AT563" s="181"/>
      <c r="AU563" s="181"/>
      <c r="AV563" s="181"/>
      <c r="AW563" s="181"/>
      <c r="AX563" s="181"/>
      <c r="AY563" s="181"/>
      <c r="AZ563" s="181"/>
      <c r="BA563" s="181"/>
      <c r="BB563" s="181"/>
      <c r="BC563" s="181"/>
      <c r="BD563" s="181"/>
      <c r="BE563" s="181"/>
      <c r="BF563" s="181"/>
      <c r="BG563" s="181"/>
      <c r="BH563" s="181"/>
      <c r="BI563" s="181"/>
      <c r="BJ563" s="181"/>
      <c r="BK563" s="181"/>
      <c r="BL563" s="181"/>
      <c r="BM563" s="181"/>
      <c r="BN563" s="181"/>
      <c r="BO563" s="181"/>
      <c r="BP563" s="181"/>
      <c r="BQ563" s="181"/>
      <c r="BR563" s="181"/>
      <c r="BS563" s="181"/>
      <c r="BT563" s="181"/>
      <c r="BU563" s="181"/>
      <c r="BV563" s="181"/>
    </row>
    <row r="564" spans="1:74" s="30" customFormat="1" ht="15.75" x14ac:dyDescent="0.25">
      <c r="A564" s="545"/>
      <c r="B564" s="1579"/>
      <c r="C564" s="1097"/>
      <c r="D564" s="1142"/>
      <c r="E564" s="1144" t="str">
        <f t="shared" si="82"/>
        <v/>
      </c>
      <c r="F564" s="1124"/>
      <c r="G564" s="1751"/>
      <c r="H564" s="1752" t="s">
        <v>208</v>
      </c>
      <c r="I564" s="1751" t="str">
        <f>IF(_01_apply="Yes",IF(COUNTIF('01 - SD'!$D550:$G550,"Y")&gt;0,"Y",IF(COUNTIF('01 - SD'!$D550:$G550,"N"),"N","")),"-")</f>
        <v/>
      </c>
      <c r="J564" s="1752" t="s">
        <v>208</v>
      </c>
      <c r="K564" s="1751" t="str">
        <f>IF(_02_apply="Yes",IF(COUNTIF('02 - DD'!$D551:$G551,"Y")&gt;0,"Y",IF(COUNTIF('02 - DD'!$D551:$G551,"N"),"N","")),"-")</f>
        <v/>
      </c>
      <c r="L564" s="1752" t="s">
        <v>208</v>
      </c>
      <c r="M564" s="1751" t="str">
        <f>IF(_03_apply="Yes",IF(COUNTIF('03 - 50% CD'!$D548:$G548,"Y")&gt;0,"Y",IF(COUNTIF('03 - 50% CD'!$D548:$G548,"N"),"N","")),"-")</f>
        <v/>
      </c>
      <c r="N564" s="1752" t="s">
        <v>208</v>
      </c>
      <c r="O564" s="1751" t="str">
        <f>IF(_04_apply="Yes",IF(COUNTIF('04 - 95% CD'!$D551:$G551,"Y")&gt;0,"Y",IF(COUNTIF('04 - 95% CD'!$D551:$G551,"N"),"N","")),"-")</f>
        <v/>
      </c>
      <c r="P564" s="1753" t="s">
        <v>208</v>
      </c>
      <c r="Q564" s="1754" t="str">
        <f>IF(_05_apply="yes",IF(COUNTIF('05-BID'!$D564:$G564,"Y")&gt;0,"Y",IF(COUNTIF('05-BID'!$D564:$G564,"N"),"N","")),"-")</f>
        <v/>
      </c>
      <c r="R564" s="1752" t="s">
        <v>208</v>
      </c>
      <c r="S564" s="1751" t="str">
        <f>IF(_06_apply="Yes",IF(COUNTIF('06-CONST'!$D564:$G564,"Y")&gt;0,"Y",IF(COUNTIF('06-CONST'!$D564:$G564,"N"),"N","")),"-")</f>
        <v/>
      </c>
      <c r="T564" s="1755" t="s">
        <v>208</v>
      </c>
      <c r="U564" s="1751" t="str">
        <f>IF(_07_apply="Yes",IF(COUNTIF('07-CLOSEOUT'!$D564:$G564,"Y")&gt;0,"Y",IF(COUNTIF('07-CLOSEOUT'!$D564:$G564,"N"),"N","")),"-")</f>
        <v/>
      </c>
      <c r="V564" s="1752" t="s">
        <v>208</v>
      </c>
      <c r="W564" s="1751" t="str">
        <f>IF(_08_apply="yes",IF(COUNTIF('08-POST CONST'!$D564:$G564,"Y")&gt;0,"Y",IF(COUNTIF('08-POST CONST'!$D564:$G564,"N"),"N","")),"-")</f>
        <v/>
      </c>
      <c r="X564" s="427" t="s">
        <v>208</v>
      </c>
      <c r="Y564" s="605"/>
      <c r="Z564" s="606"/>
      <c r="AA564" s="976" t="str">
        <f>IF(_08_apply="yes",IF(COUNTIF('08-POST CONST'!$D564:$G564,"Y")&gt;0,"Y",IF(COUNTIF('08-POST CONST'!$D564:$G564,"N"),"N","")),"-")</f>
        <v/>
      </c>
      <c r="AB564" s="1933"/>
      <c r="AC564" s="1153"/>
      <c r="AD564" s="1229"/>
      <c r="AE564" s="1230"/>
      <c r="AF564" s="1230"/>
      <c r="AG564" s="1230"/>
      <c r="AH564" s="1779"/>
      <c r="AI564" s="1761"/>
      <c r="AJ564" s="1230"/>
      <c r="AK564" s="1230"/>
      <c r="AL564" s="1095"/>
      <c r="AM564" s="1095"/>
      <c r="AN564" s="1095"/>
      <c r="AO564" s="1095"/>
      <c r="AP564" s="1095"/>
      <c r="AQ564" s="1106"/>
      <c r="AR564" s="1097"/>
      <c r="AS564" s="1097"/>
      <c r="AT564" s="181"/>
      <c r="AU564" s="181"/>
      <c r="AV564" s="181"/>
      <c r="AW564" s="181"/>
      <c r="AX564" s="181"/>
      <c r="AY564" s="181"/>
      <c r="AZ564" s="181"/>
      <c r="BA564" s="181"/>
      <c r="BB564" s="181"/>
      <c r="BC564" s="181"/>
      <c r="BD564" s="181"/>
      <c r="BE564" s="181"/>
      <c r="BF564" s="181"/>
      <c r="BG564" s="181"/>
      <c r="BH564" s="181"/>
      <c r="BI564" s="181"/>
      <c r="BJ564" s="181"/>
      <c r="BK564" s="181"/>
      <c r="BL564" s="181"/>
      <c r="BM564" s="181"/>
      <c r="BN564" s="181"/>
      <c r="BO564" s="181"/>
      <c r="BP564" s="181"/>
      <c r="BQ564" s="181"/>
      <c r="BR564" s="181"/>
      <c r="BS564" s="181"/>
      <c r="BT564" s="181"/>
      <c r="BU564" s="181"/>
      <c r="BV564" s="181"/>
    </row>
    <row r="565" spans="1:74" s="30" customFormat="1" ht="18.75" x14ac:dyDescent="0.25">
      <c r="A565" s="545"/>
      <c r="B565" s="1579"/>
      <c r="C565" s="1097"/>
      <c r="D565" s="1130"/>
      <c r="E565" s="1131"/>
      <c r="F565" s="1124"/>
      <c r="G565" s="1149"/>
      <c r="H565" s="1150"/>
      <c r="I565" s="1149"/>
      <c r="J565" s="1150"/>
      <c r="K565" s="1149"/>
      <c r="L565" s="1150"/>
      <c r="M565" s="1149"/>
      <c r="N565" s="1150"/>
      <c r="O565" s="1149"/>
      <c r="P565" s="1150"/>
      <c r="Q565" s="1149"/>
      <c r="R565" s="1150"/>
      <c r="S565" s="1149"/>
      <c r="T565" s="1150"/>
      <c r="U565" s="1149"/>
      <c r="V565" s="1150"/>
      <c r="W565" s="1149"/>
      <c r="X565" s="1150"/>
      <c r="Y565" s="1151"/>
      <c r="Z565" s="1152"/>
      <c r="AA565" s="1151"/>
      <c r="AB565" s="1154"/>
      <c r="AC565" s="1153"/>
      <c r="AD565" s="1154"/>
      <c r="AE565" s="1155"/>
      <c r="AF565" s="1155"/>
      <c r="AG565" s="1155"/>
      <c r="AH565" s="1797"/>
      <c r="AI565" s="1777"/>
      <c r="AJ565" s="1155"/>
      <c r="AK565" s="1155"/>
      <c r="AL565" s="1095"/>
      <c r="AM565" s="1095"/>
      <c r="AN565" s="1095"/>
      <c r="AO565" s="1095"/>
      <c r="AP565" s="1095"/>
      <c r="AQ565" s="1106"/>
      <c r="AR565" s="1097"/>
      <c r="AS565" s="1097"/>
      <c r="AT565" s="181"/>
      <c r="AU565" s="181"/>
      <c r="AV565" s="181"/>
      <c r="AW565" s="181"/>
      <c r="AX565" s="181"/>
      <c r="AY565" s="181"/>
      <c r="AZ565" s="181"/>
      <c r="BA565" s="181"/>
      <c r="BB565" s="181"/>
      <c r="BC565" s="181"/>
      <c r="BD565" s="181"/>
      <c r="BE565" s="181"/>
      <c r="BF565" s="181"/>
      <c r="BG565" s="181"/>
      <c r="BH565" s="181"/>
      <c r="BI565" s="181"/>
      <c r="BJ565" s="181"/>
      <c r="BK565" s="181"/>
      <c r="BL565" s="181"/>
      <c r="BM565" s="181"/>
      <c r="BN565" s="181"/>
      <c r="BO565" s="181"/>
      <c r="BP565" s="181"/>
      <c r="BQ565" s="181"/>
      <c r="BR565" s="181"/>
      <c r="BS565" s="181"/>
      <c r="BT565" s="181"/>
      <c r="BU565" s="181"/>
      <c r="BV565" s="181"/>
    </row>
    <row r="566" spans="1:74" s="30" customFormat="1" ht="15" customHeight="1" x14ac:dyDescent="0.25">
      <c r="A566" s="545"/>
      <c r="B566" s="1579"/>
      <c r="C566" s="1097"/>
      <c r="D566" s="1130"/>
      <c r="E566" s="1131"/>
      <c r="F566" s="1124"/>
      <c r="G566" s="1149"/>
      <c r="H566" s="1150"/>
      <c r="I566" s="1149"/>
      <c r="J566" s="1150"/>
      <c r="K566" s="1149"/>
      <c r="L566" s="1150"/>
      <c r="M566" s="1149"/>
      <c r="N566" s="1150"/>
      <c r="O566" s="1149"/>
      <c r="P566" s="1150"/>
      <c r="Q566" s="1149"/>
      <c r="R566" s="1150"/>
      <c r="S566" s="1149"/>
      <c r="T566" s="1150"/>
      <c r="U566" s="1149"/>
      <c r="V566" s="1150"/>
      <c r="W566" s="1149"/>
      <c r="X566" s="1150"/>
      <c r="Y566" s="1151"/>
      <c r="Z566" s="1152"/>
      <c r="AA566" s="1151"/>
      <c r="AB566" s="1156"/>
      <c r="AC566" s="1153"/>
      <c r="AD566" s="1156"/>
      <c r="AE566" s="1156"/>
      <c r="AF566" s="1156"/>
      <c r="AG566" s="1156"/>
      <c r="AH566" s="1156"/>
      <c r="AI566" s="1156"/>
      <c r="AJ566" s="1156"/>
      <c r="AK566" s="1156"/>
      <c r="AL566" s="1095"/>
      <c r="AM566" s="1095"/>
      <c r="AN566" s="1095"/>
      <c r="AO566" s="1095"/>
      <c r="AP566" s="1095"/>
      <c r="AQ566" s="1106"/>
      <c r="AR566" s="1097"/>
      <c r="AS566" s="1097"/>
      <c r="AT566" s="181"/>
      <c r="AU566" s="181"/>
      <c r="AV566" s="181"/>
      <c r="AW566" s="181"/>
      <c r="AX566" s="181"/>
      <c r="AY566" s="181"/>
      <c r="AZ566" s="181"/>
      <c r="BA566" s="181"/>
      <c r="BB566" s="181"/>
      <c r="BC566" s="181"/>
      <c r="BD566" s="181"/>
      <c r="BE566" s="181"/>
      <c r="BF566" s="181"/>
      <c r="BG566" s="181"/>
      <c r="BH566" s="181"/>
      <c r="BI566" s="181"/>
      <c r="BJ566" s="181"/>
      <c r="BK566" s="181"/>
      <c r="BL566" s="181"/>
      <c r="BM566" s="181"/>
      <c r="BN566" s="181"/>
      <c r="BO566" s="181"/>
      <c r="BP566" s="181"/>
      <c r="BQ566" s="181"/>
      <c r="BR566" s="181"/>
      <c r="BS566" s="181"/>
      <c r="BT566" s="181"/>
      <c r="BU566" s="181"/>
      <c r="BV566" s="181"/>
    </row>
    <row r="567" spans="1:74" s="30" customFormat="1" ht="15" customHeight="1" x14ac:dyDescent="0.25">
      <c r="A567" s="545"/>
      <c r="B567" s="1579"/>
      <c r="C567" s="1097"/>
      <c r="D567" s="1130"/>
      <c r="E567" s="1131"/>
      <c r="F567" s="1124"/>
      <c r="G567" s="1149"/>
      <c r="H567" s="1150"/>
      <c r="I567" s="1149"/>
      <c r="J567" s="1150"/>
      <c r="K567" s="1149"/>
      <c r="L567" s="1150"/>
      <c r="M567" s="1149"/>
      <c r="N567" s="1150"/>
      <c r="O567" s="1149"/>
      <c r="P567" s="1150"/>
      <c r="Q567" s="1149"/>
      <c r="R567" s="1150"/>
      <c r="S567" s="1149"/>
      <c r="T567" s="1150"/>
      <c r="U567" s="1149"/>
      <c r="V567" s="1150"/>
      <c r="W567" s="1149"/>
      <c r="X567" s="1150"/>
      <c r="Y567" s="1151"/>
      <c r="Z567" s="1151"/>
      <c r="AA567" s="1151"/>
      <c r="AB567" s="1156"/>
      <c r="AC567" s="1157"/>
      <c r="AD567" s="1156"/>
      <c r="AE567" s="1156"/>
      <c r="AF567" s="1156"/>
      <c r="AG567" s="1156"/>
      <c r="AH567" s="1156"/>
      <c r="AI567" s="1156"/>
      <c r="AJ567" s="1156"/>
      <c r="AK567" s="1156"/>
      <c r="AL567" s="1095"/>
      <c r="AM567" s="1095"/>
      <c r="AN567" s="1095"/>
      <c r="AO567" s="1095"/>
      <c r="AP567" s="1095"/>
      <c r="AQ567" s="1106"/>
      <c r="AR567" s="1097"/>
      <c r="AS567" s="1097"/>
      <c r="AT567" s="181"/>
      <c r="AU567" s="181"/>
      <c r="AV567" s="181"/>
      <c r="AW567" s="181"/>
      <c r="AX567" s="181"/>
      <c r="AY567" s="181"/>
      <c r="AZ567" s="181"/>
      <c r="BA567" s="181"/>
      <c r="BB567" s="181"/>
      <c r="BC567" s="181"/>
      <c r="BD567" s="181"/>
      <c r="BE567" s="181"/>
      <c r="BF567" s="181"/>
      <c r="BG567" s="181"/>
      <c r="BH567" s="181"/>
      <c r="BI567" s="181"/>
      <c r="BJ567" s="181"/>
      <c r="BK567" s="181"/>
      <c r="BL567" s="181"/>
      <c r="BM567" s="181"/>
      <c r="BN567" s="181"/>
      <c r="BO567" s="181"/>
      <c r="BP567" s="181"/>
      <c r="BQ567" s="181"/>
      <c r="BR567" s="181"/>
      <c r="BS567" s="181"/>
      <c r="BT567" s="181"/>
      <c r="BU567" s="181"/>
      <c r="BV567" s="181"/>
    </row>
    <row r="568" spans="1:74" s="30" customFormat="1" ht="3.75" customHeight="1" x14ac:dyDescent="0.25">
      <c r="A568" s="545"/>
      <c r="B568" s="1579"/>
      <c r="C568" s="1097"/>
      <c r="D568" s="1130"/>
      <c r="E568" s="1131"/>
      <c r="F568" s="1158"/>
      <c r="G568" s="1159"/>
      <c r="H568" s="1160"/>
      <c r="I568" s="1159"/>
      <c r="J568" s="1160"/>
      <c r="K568" s="1159"/>
      <c r="L568" s="1160"/>
      <c r="M568" s="1159"/>
      <c r="N568" s="1160"/>
      <c r="O568" s="1159"/>
      <c r="P568" s="1160"/>
      <c r="Q568" s="1159"/>
      <c r="R568" s="1160"/>
      <c r="S568" s="1159"/>
      <c r="T568" s="1160"/>
      <c r="U568" s="1159"/>
      <c r="V568" s="1160"/>
      <c r="W568" s="1159"/>
      <c r="X568" s="1160"/>
      <c r="Y568" s="1161"/>
      <c r="Z568" s="1161"/>
      <c r="AA568" s="1161"/>
      <c r="AB568" s="1133"/>
      <c r="AC568" s="1162"/>
      <c r="AD568" s="1133"/>
      <c r="AE568" s="1095"/>
      <c r="AF568" s="1095"/>
      <c r="AG568" s="1095"/>
      <c r="AH568" s="1095"/>
      <c r="AI568" s="1095"/>
      <c r="AJ568" s="1095"/>
      <c r="AK568" s="1095"/>
      <c r="AL568" s="1095"/>
      <c r="AM568" s="1095"/>
      <c r="AN568" s="1095"/>
      <c r="AO568" s="1095"/>
      <c r="AP568" s="1095"/>
      <c r="AQ568" s="1106"/>
      <c r="AR568" s="1097"/>
      <c r="AS568" s="1097"/>
      <c r="AT568" s="181"/>
      <c r="AU568" s="181"/>
      <c r="AV568" s="181"/>
      <c r="AW568" s="181"/>
      <c r="AX568" s="181"/>
      <c r="AY568" s="181"/>
      <c r="AZ568" s="181"/>
      <c r="BA568" s="181"/>
      <c r="BB568" s="181"/>
      <c r="BC568" s="181"/>
      <c r="BD568" s="181"/>
      <c r="BE568" s="181"/>
      <c r="BF568" s="181"/>
      <c r="BG568" s="181"/>
      <c r="BH568" s="181"/>
      <c r="BI568" s="181"/>
      <c r="BJ568" s="181"/>
      <c r="BK568" s="181"/>
      <c r="BL568" s="181"/>
      <c r="BM568" s="181"/>
      <c r="BN568" s="181"/>
      <c r="BO568" s="181"/>
      <c r="BP568" s="181"/>
      <c r="BQ568" s="181"/>
      <c r="BR568" s="181"/>
      <c r="BS568" s="181"/>
      <c r="BT568" s="181"/>
      <c r="BU568" s="181"/>
      <c r="BV568" s="181"/>
    </row>
    <row r="569" spans="1:74" s="30" customFormat="1" x14ac:dyDescent="0.25">
      <c r="A569" s="545"/>
      <c r="B569" s="1579"/>
      <c r="C569" s="1097"/>
      <c r="D569" s="1115"/>
      <c r="E569" s="1116"/>
      <c r="F569" s="1117"/>
      <c r="G569" s="1097"/>
      <c r="H569" s="1118"/>
      <c r="I569" s="1097"/>
      <c r="J569" s="1118"/>
      <c r="K569" s="1097"/>
      <c r="L569" s="1118"/>
      <c r="M569" s="1097"/>
      <c r="N569" s="1118"/>
      <c r="O569" s="1097"/>
      <c r="P569" s="1118"/>
      <c r="Q569" s="1097"/>
      <c r="R569" s="1118"/>
      <c r="S569" s="1097"/>
      <c r="T569" s="1118"/>
      <c r="U569" s="1097"/>
      <c r="V569" s="1118"/>
      <c r="W569" s="1097"/>
      <c r="X569" s="1118"/>
      <c r="Y569" s="1119"/>
      <c r="Z569" s="1119"/>
      <c r="AA569" s="1119"/>
      <c r="AB569" s="1121"/>
      <c r="AC569" s="1120"/>
      <c r="AD569" s="1121"/>
      <c r="AE569" s="1100"/>
      <c r="AF569" s="1100"/>
      <c r="AG569" s="1100"/>
      <c r="AH569" s="1100"/>
      <c r="AI569" s="1100"/>
      <c r="AJ569" s="1100"/>
      <c r="AK569" s="1100"/>
      <c r="AL569" s="1100"/>
      <c r="AM569" s="1100"/>
      <c r="AN569" s="1095"/>
      <c r="AO569" s="1095"/>
      <c r="AP569" s="1095"/>
      <c r="AQ569" s="1106"/>
      <c r="AR569" s="1097"/>
      <c r="AS569" s="1097"/>
      <c r="AT569" s="181"/>
      <c r="AU569" s="181"/>
      <c r="AV569" s="181"/>
      <c r="AW569" s="181"/>
      <c r="AX569" s="181"/>
      <c r="AY569" s="181"/>
      <c r="AZ569" s="181"/>
      <c r="BA569" s="181"/>
      <c r="BB569" s="181"/>
      <c r="BC569" s="181"/>
      <c r="BD569" s="181"/>
      <c r="BE569" s="181"/>
      <c r="BF569" s="181"/>
      <c r="BG569" s="181"/>
      <c r="BH569" s="181"/>
      <c r="BI569" s="181"/>
      <c r="BJ569" s="181"/>
      <c r="BK569" s="181"/>
      <c r="BL569" s="181"/>
      <c r="BM569" s="181"/>
      <c r="BN569" s="181"/>
      <c r="BO569" s="181"/>
      <c r="BP569" s="181"/>
      <c r="BQ569" s="181"/>
      <c r="BR569" s="181"/>
      <c r="BS569" s="181"/>
      <c r="BT569" s="181"/>
      <c r="BU569" s="181"/>
      <c r="BV569" s="181"/>
    </row>
    <row r="570" spans="1:74" s="30" customFormat="1" x14ac:dyDescent="0.25">
      <c r="A570" s="545"/>
      <c r="B570" s="1579"/>
      <c r="C570" s="1097"/>
      <c r="D570" s="1122"/>
      <c r="E570" s="1123"/>
      <c r="F570" s="1124"/>
      <c r="G570" s="1097"/>
      <c r="H570" s="1118"/>
      <c r="I570" s="1097"/>
      <c r="J570" s="1118"/>
      <c r="K570" s="1097"/>
      <c r="L570" s="1118"/>
      <c r="M570" s="1097"/>
      <c r="N570" s="1118"/>
      <c r="O570" s="1097"/>
      <c r="P570" s="1118"/>
      <c r="Q570" s="1097"/>
      <c r="R570" s="1118"/>
      <c r="S570" s="1097"/>
      <c r="T570" s="1118"/>
      <c r="U570" s="1097"/>
      <c r="V570" s="1118"/>
      <c r="W570" s="1097"/>
      <c r="X570" s="1118"/>
      <c r="Y570" s="1119"/>
      <c r="Z570" s="1095"/>
      <c r="AA570" s="1119"/>
      <c r="AB570" s="1126"/>
      <c r="AC570" s="1125"/>
      <c r="AD570" s="1126"/>
      <c r="AE570" s="1101"/>
      <c r="AF570" s="1101"/>
      <c r="AG570" s="1101"/>
      <c r="AH570" s="1101"/>
      <c r="AI570" s="1101"/>
      <c r="AJ570" s="1101"/>
      <c r="AK570" s="1101"/>
      <c r="AL570" s="1101"/>
      <c r="AM570" s="1101"/>
      <c r="AN570" s="1095"/>
      <c r="AO570" s="1095"/>
      <c r="AP570" s="1095"/>
      <c r="AQ570" s="1106"/>
      <c r="AR570" s="1097"/>
      <c r="AS570" s="1097"/>
      <c r="AT570" s="181"/>
      <c r="AU570" s="181"/>
      <c r="AV570" s="181"/>
      <c r="AW570" s="181"/>
      <c r="AX570" s="181"/>
      <c r="AY570" s="181"/>
      <c r="AZ570" s="181"/>
      <c r="BA570" s="181"/>
      <c r="BB570" s="181"/>
      <c r="BC570" s="181"/>
      <c r="BD570" s="181"/>
      <c r="BE570" s="181"/>
      <c r="BF570" s="181"/>
      <c r="BG570" s="181"/>
      <c r="BH570" s="181"/>
      <c r="BI570" s="181"/>
      <c r="BJ570" s="181"/>
      <c r="BK570" s="181"/>
      <c r="BL570" s="181"/>
      <c r="BM570" s="181"/>
      <c r="BN570" s="181"/>
      <c r="BO570" s="181"/>
      <c r="BP570" s="181"/>
      <c r="BQ570" s="181"/>
      <c r="BR570" s="181"/>
      <c r="BS570" s="181"/>
      <c r="BT570" s="181"/>
      <c r="BU570" s="181"/>
      <c r="BV570" s="181"/>
    </row>
    <row r="571" spans="1:74" s="545" customFormat="1" x14ac:dyDescent="0.25">
      <c r="B571" s="1579"/>
      <c r="C571" s="1097"/>
      <c r="D571" s="1122"/>
      <c r="E571" s="1123"/>
      <c r="F571" s="1943"/>
      <c r="G571" s="1944" t="s">
        <v>1190</v>
      </c>
      <c r="H571" s="1118"/>
      <c r="I571" s="1097"/>
      <c r="J571" s="1118"/>
      <c r="K571" s="1097"/>
      <c r="L571" s="1118"/>
      <c r="M571" s="1097"/>
      <c r="N571" s="1118"/>
      <c r="O571" s="1097"/>
      <c r="P571" s="1118"/>
      <c r="Q571" s="1097"/>
      <c r="R571" s="1118"/>
      <c r="S571" s="1097"/>
      <c r="T571" s="1118"/>
      <c r="U571" s="1097"/>
      <c r="V571" s="1118"/>
      <c r="W571" s="1097"/>
      <c r="X571" s="1118"/>
      <c r="Y571" s="1119"/>
      <c r="Z571" s="1095"/>
      <c r="AA571" s="1119"/>
      <c r="AB571" s="1126"/>
      <c r="AC571" s="1125"/>
      <c r="AD571" s="1126"/>
      <c r="AE571" s="1101"/>
      <c r="AF571" s="1101"/>
      <c r="AG571" s="1101"/>
      <c r="AH571" s="1101"/>
      <c r="AI571" s="1101"/>
      <c r="AJ571" s="1101"/>
      <c r="AK571" s="1101"/>
      <c r="AL571" s="1101"/>
      <c r="AM571" s="1101"/>
      <c r="AN571" s="1095"/>
      <c r="AO571" s="1095"/>
      <c r="AP571" s="1095"/>
      <c r="AQ571" s="1106"/>
      <c r="AR571" s="1097"/>
      <c r="AS571" s="1097"/>
      <c r="AT571" s="551"/>
      <c r="AU571" s="551"/>
      <c r="AV571" s="551"/>
      <c r="AW571" s="551"/>
      <c r="AX571" s="551"/>
      <c r="AY571" s="551"/>
      <c r="AZ571" s="551"/>
      <c r="BA571" s="551"/>
      <c r="BB571" s="551"/>
      <c r="BC571" s="551"/>
      <c r="BD571" s="551"/>
      <c r="BE571" s="551"/>
      <c r="BF571" s="551"/>
      <c r="BG571" s="551"/>
      <c r="BH571" s="551"/>
      <c r="BI571" s="551"/>
      <c r="BJ571" s="551"/>
      <c r="BK571" s="551"/>
      <c r="BL571" s="551"/>
      <c r="BM571" s="551"/>
      <c r="BN571" s="551"/>
      <c r="BO571" s="551"/>
      <c r="BP571" s="551"/>
      <c r="BQ571" s="551"/>
      <c r="BR571" s="551"/>
      <c r="BS571" s="551"/>
      <c r="BT571" s="551"/>
      <c r="BU571" s="551"/>
      <c r="BV571" s="551"/>
    </row>
    <row r="572" spans="1:74" s="545" customFormat="1" x14ac:dyDescent="0.25">
      <c r="B572" s="1579"/>
      <c r="C572" s="1097"/>
      <c r="D572" s="1122"/>
      <c r="E572" s="1123"/>
      <c r="F572" s="1943"/>
      <c r="G572" s="1097" t="s">
        <v>1195</v>
      </c>
      <c r="H572" s="1118"/>
      <c r="I572" s="1097"/>
      <c r="J572" s="1118"/>
      <c r="K572" s="1097"/>
      <c r="L572" s="1118"/>
      <c r="M572" s="1097"/>
      <c r="N572" s="1118"/>
      <c r="O572" s="1097"/>
      <c r="P572" s="1118"/>
      <c r="Q572" s="1097"/>
      <c r="R572" s="1118"/>
      <c r="S572" s="1097"/>
      <c r="T572" s="1118"/>
      <c r="U572" s="1097"/>
      <c r="V572" s="1118"/>
      <c r="W572" s="1097"/>
      <c r="X572" s="1118"/>
      <c r="Y572" s="1119"/>
      <c r="Z572" s="1095"/>
      <c r="AA572" s="1119"/>
      <c r="AB572" s="1126"/>
      <c r="AC572" s="1125"/>
      <c r="AD572" s="1126"/>
      <c r="AE572" s="1101"/>
      <c r="AF572" s="1101"/>
      <c r="AG572" s="1101"/>
      <c r="AH572" s="1101"/>
      <c r="AI572" s="1101"/>
      <c r="AJ572" s="1101"/>
      <c r="AK572" s="1101"/>
      <c r="AL572" s="1101"/>
      <c r="AM572" s="1101"/>
      <c r="AN572" s="1095"/>
      <c r="AO572" s="1095"/>
      <c r="AP572" s="1095"/>
      <c r="AQ572" s="1106"/>
      <c r="AR572" s="1097"/>
      <c r="AS572" s="1097"/>
      <c r="AT572" s="551"/>
      <c r="AU572" s="551"/>
      <c r="AV572" s="551"/>
      <c r="AW572" s="551"/>
      <c r="AX572" s="551"/>
      <c r="AY572" s="551"/>
      <c r="AZ572" s="551"/>
      <c r="BA572" s="551"/>
      <c r="BB572" s="551"/>
      <c r="BC572" s="551"/>
      <c r="BD572" s="551"/>
      <c r="BE572" s="551"/>
      <c r="BF572" s="551"/>
      <c r="BG572" s="551"/>
      <c r="BH572" s="551"/>
      <c r="BI572" s="551"/>
      <c r="BJ572" s="551"/>
      <c r="BK572" s="551"/>
      <c r="BL572" s="551"/>
      <c r="BM572" s="551"/>
      <c r="BN572" s="551"/>
      <c r="BO572" s="551"/>
      <c r="BP572" s="551"/>
      <c r="BQ572" s="551"/>
      <c r="BR572" s="551"/>
      <c r="BS572" s="551"/>
      <c r="BT572" s="551"/>
      <c r="BU572" s="551"/>
      <c r="BV572" s="551"/>
    </row>
    <row r="573" spans="1:74" s="545" customFormat="1" x14ac:dyDescent="0.25">
      <c r="B573" s="1579"/>
      <c r="C573" s="1097"/>
      <c r="D573" s="1122"/>
      <c r="E573" s="1123"/>
      <c r="F573" s="1943"/>
      <c r="G573" s="1097"/>
      <c r="H573" s="1118"/>
      <c r="I573" s="1097"/>
      <c r="J573" s="1118"/>
      <c r="K573" s="1097"/>
      <c r="L573" s="1118"/>
      <c r="M573" s="1097"/>
      <c r="N573" s="1118"/>
      <c r="O573" s="1097"/>
      <c r="P573" s="1118"/>
      <c r="Q573" s="1097"/>
      <c r="R573" s="1118"/>
      <c r="S573" s="1097"/>
      <c r="T573" s="1118"/>
      <c r="U573" s="1097"/>
      <c r="V573" s="1118"/>
      <c r="W573" s="1097"/>
      <c r="X573" s="1118"/>
      <c r="Y573" s="1119"/>
      <c r="Z573" s="1095"/>
      <c r="AA573" s="1119"/>
      <c r="AB573" s="1126"/>
      <c r="AC573" s="1125"/>
      <c r="AD573" s="1126"/>
      <c r="AE573" s="1101"/>
      <c r="AF573" s="1101"/>
      <c r="AG573" s="1101"/>
      <c r="AH573" s="1101"/>
      <c r="AI573" s="1101"/>
      <c r="AJ573" s="1101"/>
      <c r="AK573" s="1101"/>
      <c r="AL573" s="1101"/>
      <c r="AM573" s="1101"/>
      <c r="AN573" s="1095"/>
      <c r="AO573" s="1095"/>
      <c r="AP573" s="1095"/>
      <c r="AQ573" s="1106"/>
      <c r="AR573" s="1097"/>
      <c r="AS573" s="1097"/>
      <c r="AT573" s="551"/>
      <c r="AU573" s="551"/>
      <c r="AV573" s="551"/>
      <c r="AW573" s="551"/>
      <c r="AX573" s="551"/>
      <c r="AY573" s="551"/>
      <c r="AZ573" s="551"/>
      <c r="BA573" s="551"/>
      <c r="BB573" s="551"/>
      <c r="BC573" s="551"/>
      <c r="BD573" s="551"/>
      <c r="BE573" s="551"/>
      <c r="BF573" s="551"/>
      <c r="BG573" s="551"/>
      <c r="BH573" s="551"/>
      <c r="BI573" s="551"/>
      <c r="BJ573" s="551"/>
      <c r="BK573" s="551"/>
      <c r="BL573" s="551"/>
      <c r="BM573" s="551"/>
      <c r="BN573" s="551"/>
      <c r="BO573" s="551"/>
      <c r="BP573" s="551"/>
      <c r="BQ573" s="551"/>
      <c r="BR573" s="551"/>
      <c r="BS573" s="551"/>
      <c r="BT573" s="551"/>
      <c r="BU573" s="551"/>
      <c r="BV573" s="551"/>
    </row>
    <row r="574" spans="1:74" s="545" customFormat="1" x14ac:dyDescent="0.25">
      <c r="B574" s="1579"/>
      <c r="C574" s="1097"/>
      <c r="D574" s="1122"/>
      <c r="E574" s="1123"/>
      <c r="F574" s="1943"/>
      <c r="G574" s="1097"/>
      <c r="H574" s="1118"/>
      <c r="I574" s="1097"/>
      <c r="J574" s="1118"/>
      <c r="K574" s="1097"/>
      <c r="L574" s="1118"/>
      <c r="M574" s="1097"/>
      <c r="N574" s="1118"/>
      <c r="O574" s="1097"/>
      <c r="P574" s="1118"/>
      <c r="Q574" s="1097"/>
      <c r="R574" s="1118"/>
      <c r="S574" s="1097"/>
      <c r="T574" s="1118"/>
      <c r="U574" s="1097"/>
      <c r="V574" s="1118"/>
      <c r="W574" s="1097"/>
      <c r="X574" s="1118"/>
      <c r="Y574" s="1119"/>
      <c r="Z574" s="1095"/>
      <c r="AA574" s="1119"/>
      <c r="AB574" s="1126"/>
      <c r="AC574" s="1125"/>
      <c r="AD574" s="1126"/>
      <c r="AE574" s="1101"/>
      <c r="AF574" s="1101"/>
      <c r="AG574" s="1101"/>
      <c r="AH574" s="1101"/>
      <c r="AI574" s="1101"/>
      <c r="AJ574" s="1101"/>
      <c r="AK574" s="1101"/>
      <c r="AL574" s="1101"/>
      <c r="AM574" s="1101"/>
      <c r="AN574" s="1095"/>
      <c r="AO574" s="1095"/>
      <c r="AP574" s="1095"/>
      <c r="AQ574" s="1106"/>
      <c r="AR574" s="1097"/>
      <c r="AS574" s="1097"/>
      <c r="AT574" s="551"/>
      <c r="AU574" s="551"/>
      <c r="AV574" s="551"/>
      <c r="AW574" s="551"/>
      <c r="AX574" s="551"/>
      <c r="AY574" s="551"/>
      <c r="AZ574" s="551"/>
      <c r="BA574" s="551"/>
      <c r="BB574" s="551"/>
      <c r="BC574" s="551"/>
      <c r="BD574" s="551"/>
      <c r="BE574" s="551"/>
      <c r="BF574" s="551"/>
      <c r="BG574" s="551"/>
      <c r="BH574" s="551"/>
      <c r="BI574" s="551"/>
      <c r="BJ574" s="551"/>
      <c r="BK574" s="551"/>
      <c r="BL574" s="551"/>
      <c r="BM574" s="551"/>
      <c r="BN574" s="551"/>
      <c r="BO574" s="551"/>
      <c r="BP574" s="551"/>
      <c r="BQ574" s="551"/>
      <c r="BR574" s="551"/>
      <c r="BS574" s="551"/>
      <c r="BT574" s="551"/>
      <c r="BU574" s="551"/>
      <c r="BV574" s="551"/>
    </row>
    <row r="575" spans="1:74" s="545" customFormat="1" x14ac:dyDescent="0.25">
      <c r="B575" s="1579"/>
      <c r="C575" s="1097"/>
      <c r="D575" s="1122"/>
      <c r="E575" s="1123"/>
      <c r="F575" s="1943"/>
      <c r="G575" s="1097"/>
      <c r="H575" s="1118"/>
      <c r="I575" s="1097"/>
      <c r="J575" s="1118"/>
      <c r="K575" s="1097"/>
      <c r="L575" s="1118"/>
      <c r="M575" s="1097"/>
      <c r="N575" s="1118"/>
      <c r="O575" s="1097"/>
      <c r="P575" s="1118"/>
      <c r="Q575" s="1097"/>
      <c r="R575" s="1118"/>
      <c r="S575" s="1097"/>
      <c r="T575" s="1118"/>
      <c r="U575" s="1097"/>
      <c r="V575" s="1118"/>
      <c r="W575" s="1097"/>
      <c r="X575" s="1118"/>
      <c r="Y575" s="1119"/>
      <c r="Z575" s="1095"/>
      <c r="AA575" s="1119"/>
      <c r="AB575" s="1126"/>
      <c r="AC575" s="1125"/>
      <c r="AD575" s="1126"/>
      <c r="AE575" s="1101"/>
      <c r="AF575" s="1101"/>
      <c r="AG575" s="1101"/>
      <c r="AH575" s="1101"/>
      <c r="AI575" s="1101"/>
      <c r="AJ575" s="1101"/>
      <c r="AK575" s="1101"/>
      <c r="AL575" s="1101"/>
      <c r="AM575" s="1101"/>
      <c r="AN575" s="1095"/>
      <c r="AO575" s="1095"/>
      <c r="AP575" s="1095"/>
      <c r="AQ575" s="1106"/>
      <c r="AR575" s="1097"/>
      <c r="AS575" s="1097"/>
      <c r="AT575" s="551"/>
      <c r="AU575" s="551"/>
      <c r="AV575" s="551"/>
      <c r="AW575" s="551"/>
      <c r="AX575" s="551"/>
      <c r="AY575" s="551"/>
      <c r="AZ575" s="551"/>
      <c r="BA575" s="551"/>
      <c r="BB575" s="551"/>
      <c r="BC575" s="551"/>
      <c r="BD575" s="551"/>
      <c r="BE575" s="551"/>
      <c r="BF575" s="551"/>
      <c r="BG575" s="551"/>
      <c r="BH575" s="551"/>
      <c r="BI575" s="551"/>
      <c r="BJ575" s="551"/>
      <c r="BK575" s="551"/>
      <c r="BL575" s="551"/>
      <c r="BM575" s="551"/>
      <c r="BN575" s="551"/>
      <c r="BO575" s="551"/>
      <c r="BP575" s="551"/>
      <c r="BQ575" s="551"/>
      <c r="BR575" s="551"/>
      <c r="BS575" s="551"/>
      <c r="BT575" s="551"/>
      <c r="BU575" s="551"/>
      <c r="BV575" s="551"/>
    </row>
    <row r="576" spans="1:74" s="545" customFormat="1" x14ac:dyDescent="0.25">
      <c r="B576" s="1579"/>
      <c r="C576" s="1097"/>
      <c r="D576" s="1122"/>
      <c r="E576" s="1123"/>
      <c r="F576" s="1943"/>
      <c r="G576" s="1097"/>
      <c r="H576" s="1118"/>
      <c r="I576" s="1097"/>
      <c r="J576" s="1118"/>
      <c r="K576" s="1097"/>
      <c r="L576" s="1118"/>
      <c r="M576" s="1097"/>
      <c r="N576" s="1118"/>
      <c r="O576" s="1097"/>
      <c r="P576" s="1118"/>
      <c r="Q576" s="1097"/>
      <c r="R576" s="1118"/>
      <c r="S576" s="1097"/>
      <c r="T576" s="1118"/>
      <c r="U576" s="1097"/>
      <c r="V576" s="1118"/>
      <c r="W576" s="1097"/>
      <c r="X576" s="1118"/>
      <c r="Y576" s="1119"/>
      <c r="Z576" s="1095"/>
      <c r="AA576" s="1119"/>
      <c r="AB576" s="1126"/>
      <c r="AC576" s="1125"/>
      <c r="AD576" s="1126"/>
      <c r="AE576" s="1101"/>
      <c r="AF576" s="1101"/>
      <c r="AG576" s="1101"/>
      <c r="AH576" s="1101"/>
      <c r="AI576" s="1101"/>
      <c r="AJ576" s="1101"/>
      <c r="AK576" s="1101"/>
      <c r="AL576" s="1101"/>
      <c r="AM576" s="1101"/>
      <c r="AN576" s="1095"/>
      <c r="AO576" s="1095"/>
      <c r="AP576" s="1095"/>
      <c r="AQ576" s="1106"/>
      <c r="AR576" s="1097"/>
      <c r="AS576" s="1097"/>
      <c r="AT576" s="551"/>
      <c r="AU576" s="551"/>
      <c r="AV576" s="551"/>
      <c r="AW576" s="551"/>
      <c r="AX576" s="551"/>
      <c r="AY576" s="551"/>
      <c r="AZ576" s="551"/>
      <c r="BA576" s="551"/>
      <c r="BB576" s="551"/>
      <c r="BC576" s="551"/>
      <c r="BD576" s="551"/>
      <c r="BE576" s="551"/>
      <c r="BF576" s="551"/>
      <c r="BG576" s="551"/>
      <c r="BH576" s="551"/>
      <c r="BI576" s="551"/>
      <c r="BJ576" s="551"/>
      <c r="BK576" s="551"/>
      <c r="BL576" s="551"/>
      <c r="BM576" s="551"/>
      <c r="BN576" s="551"/>
      <c r="BO576" s="551"/>
      <c r="BP576" s="551"/>
      <c r="BQ576" s="551"/>
      <c r="BR576" s="551"/>
      <c r="BS576" s="551"/>
      <c r="BT576" s="551"/>
      <c r="BU576" s="551"/>
      <c r="BV576" s="551"/>
    </row>
    <row r="577" spans="1:76" s="545" customFormat="1" x14ac:dyDescent="0.25">
      <c r="B577" s="1579"/>
      <c r="C577" s="1097"/>
      <c r="D577" s="1122"/>
      <c r="E577" s="1123"/>
      <c r="F577" s="1943"/>
      <c r="G577" s="1097"/>
      <c r="H577" s="1118"/>
      <c r="I577" s="1097"/>
      <c r="J577" s="1118"/>
      <c r="K577" s="1097"/>
      <c r="L577" s="1118"/>
      <c r="M577" s="1097"/>
      <c r="N577" s="1118"/>
      <c r="O577" s="1097"/>
      <c r="P577" s="1118"/>
      <c r="Q577" s="1097"/>
      <c r="R577" s="1118"/>
      <c r="S577" s="1097"/>
      <c r="T577" s="1118"/>
      <c r="U577" s="1097"/>
      <c r="V577" s="1118"/>
      <c r="W577" s="1097"/>
      <c r="X577" s="1118"/>
      <c r="Y577" s="1119"/>
      <c r="Z577" s="1095"/>
      <c r="AA577" s="1119"/>
      <c r="AB577" s="1126"/>
      <c r="AC577" s="1125"/>
      <c r="AD577" s="1126"/>
      <c r="AE577" s="1101"/>
      <c r="AF577" s="1101"/>
      <c r="AG577" s="1101"/>
      <c r="AH577" s="1101"/>
      <c r="AI577" s="1101"/>
      <c r="AJ577" s="1101"/>
      <c r="AK577" s="1101"/>
      <c r="AL577" s="1101"/>
      <c r="AM577" s="1101"/>
      <c r="AN577" s="1095"/>
      <c r="AO577" s="1095"/>
      <c r="AP577" s="1095"/>
      <c r="AQ577" s="1106"/>
      <c r="AR577" s="1097"/>
      <c r="AS577" s="1097"/>
      <c r="AT577" s="551"/>
      <c r="AU577" s="551"/>
      <c r="AV577" s="551"/>
      <c r="AW577" s="551"/>
      <c r="AX577" s="551"/>
      <c r="AY577" s="551"/>
      <c r="AZ577" s="551"/>
      <c r="BA577" s="551"/>
      <c r="BB577" s="551"/>
      <c r="BC577" s="551"/>
      <c r="BD577" s="551"/>
      <c r="BE577" s="551"/>
      <c r="BF577" s="551"/>
      <c r="BG577" s="551"/>
      <c r="BH577" s="551"/>
      <c r="BI577" s="551"/>
      <c r="BJ577" s="551"/>
      <c r="BK577" s="551"/>
      <c r="BL577" s="551"/>
      <c r="BM577" s="551"/>
      <c r="BN577" s="551"/>
      <c r="BO577" s="551"/>
      <c r="BP577" s="551"/>
      <c r="BQ577" s="551"/>
      <c r="BR577" s="551"/>
      <c r="BS577" s="551"/>
      <c r="BT577" s="551"/>
      <c r="BU577" s="551"/>
      <c r="BV577" s="551"/>
    </row>
    <row r="578" spans="1:76" s="545" customFormat="1" x14ac:dyDescent="0.25">
      <c r="B578" s="1579"/>
      <c r="C578" s="1097"/>
      <c r="D578" s="1122"/>
      <c r="E578" s="1123"/>
      <c r="F578" s="1943"/>
      <c r="G578" s="1097"/>
      <c r="H578" s="1118"/>
      <c r="I578" s="1097"/>
      <c r="J578" s="1118"/>
      <c r="K578" s="1097"/>
      <c r="L578" s="1118"/>
      <c r="M578" s="1097"/>
      <c r="N578" s="1118"/>
      <c r="O578" s="1097"/>
      <c r="P578" s="1118"/>
      <c r="Q578" s="1097"/>
      <c r="R578" s="1118"/>
      <c r="S578" s="1097"/>
      <c r="T578" s="1118"/>
      <c r="U578" s="1097"/>
      <c r="V578" s="1118"/>
      <c r="W578" s="1097"/>
      <c r="X578" s="1118"/>
      <c r="Y578" s="1119"/>
      <c r="Z578" s="1095"/>
      <c r="AA578" s="1119"/>
      <c r="AB578" s="1126"/>
      <c r="AC578" s="1125"/>
      <c r="AD578" s="1126"/>
      <c r="AE578" s="1101"/>
      <c r="AF578" s="1101"/>
      <c r="AG578" s="1101"/>
      <c r="AH578" s="1101"/>
      <c r="AI578" s="1101"/>
      <c r="AJ578" s="1101"/>
      <c r="AK578" s="1101"/>
      <c r="AL578" s="1101"/>
      <c r="AM578" s="1101"/>
      <c r="AN578" s="1095"/>
      <c r="AO578" s="1095"/>
      <c r="AP578" s="1095"/>
      <c r="AQ578" s="1106"/>
      <c r="AR578" s="1097"/>
      <c r="AS578" s="1097"/>
      <c r="AT578" s="551"/>
      <c r="AU578" s="551"/>
      <c r="AV578" s="551"/>
      <c r="AW578" s="551"/>
      <c r="AX578" s="551"/>
      <c r="AY578" s="551"/>
      <c r="AZ578" s="551"/>
      <c r="BA578" s="551"/>
      <c r="BB578" s="551"/>
      <c r="BC578" s="551"/>
      <c r="BD578" s="551"/>
      <c r="BE578" s="551"/>
      <c r="BF578" s="551"/>
      <c r="BG578" s="551"/>
      <c r="BH578" s="551"/>
      <c r="BI578" s="551"/>
      <c r="BJ578" s="551"/>
      <c r="BK578" s="551"/>
      <c r="BL578" s="551"/>
      <c r="BM578" s="551"/>
      <c r="BN578" s="551"/>
      <c r="BO578" s="551"/>
      <c r="BP578" s="551"/>
      <c r="BQ578" s="551"/>
      <c r="BR578" s="551"/>
      <c r="BS578" s="551"/>
      <c r="BT578" s="551"/>
      <c r="BU578" s="551"/>
      <c r="BV578" s="551"/>
    </row>
    <row r="579" spans="1:76" s="30" customFormat="1" x14ac:dyDescent="0.25">
      <c r="A579" s="545"/>
      <c r="B579" s="1579"/>
      <c r="C579" s="1097"/>
      <c r="D579" s="1122"/>
      <c r="E579" s="1131"/>
      <c r="F579" s="1097"/>
      <c r="G579" s="1942" t="str">
        <f ca="1">CONCATENATE("UIUC Template Change Log hidden below for TAB [",MID(CELL("filename",G133),FIND("]",CELL("filename",G133))+1,255),"] :")</f>
        <v>UIUC Template Change Log hidden below for TAB [C-Design&amp;Const] :</v>
      </c>
      <c r="H579" s="1942" t="s">
        <v>310</v>
      </c>
      <c r="I579" s="1942"/>
      <c r="J579" s="1128"/>
      <c r="K579" s="1129"/>
      <c r="L579" s="1128"/>
      <c r="M579" s="1129"/>
      <c r="N579" s="1128"/>
      <c r="O579" s="1129"/>
      <c r="P579" s="1128"/>
      <c r="Q579" s="1129"/>
      <c r="R579" s="1128"/>
      <c r="S579" s="1129"/>
      <c r="T579" s="1128"/>
      <c r="U579" s="1129"/>
      <c r="V579" s="1128"/>
      <c r="W579" s="1129"/>
      <c r="X579" s="1128"/>
      <c r="Y579" s="1119"/>
      <c r="Z579" s="1095"/>
      <c r="AA579" s="1119"/>
      <c r="AB579" s="1126"/>
      <c r="AC579" s="1125"/>
      <c r="AD579" s="1126"/>
      <c r="AE579" s="1101"/>
      <c r="AF579" s="1101"/>
      <c r="AG579" s="1101"/>
      <c r="AH579" s="1101"/>
      <c r="AI579" s="1101"/>
      <c r="AJ579" s="1101"/>
      <c r="AK579" s="1101"/>
      <c r="AL579" s="1101"/>
      <c r="AM579" s="1095"/>
      <c r="AN579" s="1095"/>
      <c r="AO579" s="1095"/>
      <c r="AP579" s="1095"/>
      <c r="AQ579" s="1106"/>
      <c r="AR579" s="1097"/>
      <c r="AS579" s="1097"/>
      <c r="AT579" s="181"/>
      <c r="AU579" s="181"/>
      <c r="AV579" s="181"/>
      <c r="AW579" s="181"/>
      <c r="AX579" s="181"/>
      <c r="AY579" s="181"/>
      <c r="AZ579" s="181"/>
      <c r="BA579" s="181"/>
      <c r="BB579" s="181"/>
      <c r="BC579" s="181"/>
      <c r="BD579" s="181"/>
      <c r="BE579" s="181"/>
      <c r="BF579" s="181"/>
      <c r="BG579" s="181"/>
      <c r="BH579" s="181"/>
      <c r="BI579" s="181"/>
      <c r="BJ579" s="181"/>
      <c r="BK579" s="181"/>
      <c r="BL579" s="181"/>
      <c r="BM579" s="181"/>
      <c r="BN579" s="181"/>
      <c r="BO579" s="181"/>
      <c r="BP579" s="181"/>
      <c r="BQ579" s="181"/>
      <c r="BR579" s="181"/>
      <c r="BS579" s="181"/>
      <c r="BT579" s="181"/>
      <c r="BU579" s="181"/>
      <c r="BV579" s="181"/>
    </row>
    <row r="580" spans="1:76" s="30" customFormat="1" x14ac:dyDescent="0.25">
      <c r="A580" s="545"/>
      <c r="B580" s="1579"/>
      <c r="C580" s="1097"/>
      <c r="D580" s="1130"/>
      <c r="E580" s="1131"/>
      <c r="F580" s="1097"/>
      <c r="G580" s="1132"/>
      <c r="H580" s="1132"/>
      <c r="I580" s="1132"/>
      <c r="J580" s="1132"/>
      <c r="K580" s="1132"/>
      <c r="L580" s="1132"/>
      <c r="M580" s="1132"/>
      <c r="N580" s="1132"/>
      <c r="O580" s="1132"/>
      <c r="P580" s="1132"/>
      <c r="Q580" s="1132"/>
      <c r="R580" s="1132"/>
      <c r="S580" s="1132"/>
      <c r="T580" s="1132"/>
      <c r="U580" s="1132"/>
      <c r="V580" s="1132"/>
      <c r="W580" s="1132"/>
      <c r="X580" s="1132"/>
      <c r="Y580" s="1119"/>
      <c r="Z580" s="1095"/>
      <c r="AA580" s="1119"/>
      <c r="AB580" s="1133"/>
      <c r="AC580" s="1095"/>
      <c r="AD580" s="1133"/>
      <c r="AE580" s="1095"/>
      <c r="AF580" s="1095"/>
      <c r="AG580" s="1095"/>
      <c r="AH580" s="1095"/>
      <c r="AI580" s="1095"/>
      <c r="AJ580" s="1095"/>
      <c r="AK580" s="1095"/>
      <c r="AL580" s="1095"/>
      <c r="AM580" s="1095"/>
      <c r="AN580" s="1095"/>
      <c r="AO580" s="1095"/>
      <c r="AP580" s="1095"/>
      <c r="AQ580" s="1106"/>
      <c r="AR580" s="1097"/>
      <c r="AS580" s="1097"/>
      <c r="AV580" s="181"/>
      <c r="AW580" s="181"/>
      <c r="AX580" s="181"/>
      <c r="AY580" s="181"/>
      <c r="AZ580" s="181"/>
      <c r="BA580" s="181"/>
      <c r="BB580" s="181"/>
      <c r="BC580" s="181"/>
      <c r="BD580" s="181"/>
      <c r="BE580" s="181"/>
      <c r="BF580" s="181"/>
      <c r="BG580" s="181"/>
      <c r="BH580" s="181"/>
      <c r="BI580" s="181"/>
      <c r="BJ580" s="181"/>
      <c r="BK580" s="181"/>
      <c r="BL580" s="181"/>
      <c r="BM580" s="181"/>
      <c r="BN580" s="181"/>
      <c r="BO580" s="181"/>
      <c r="BP580" s="181"/>
      <c r="BQ580" s="181"/>
      <c r="BR580" s="181"/>
      <c r="BS580" s="181"/>
      <c r="BT580" s="181"/>
      <c r="BU580" s="181"/>
      <c r="BV580" s="181"/>
      <c r="BW580" s="181"/>
      <c r="BX580" s="181"/>
    </row>
    <row r="581" spans="1:76" s="30" customFormat="1" x14ac:dyDescent="0.25">
      <c r="A581" s="545"/>
      <c r="B581" s="1579"/>
      <c r="C581" s="1097"/>
      <c r="D581" s="1130"/>
      <c r="E581" s="1131"/>
      <c r="F581" s="1097"/>
      <c r="G581" s="2084">
        <v>42479</v>
      </c>
      <c r="H581" s="2084"/>
      <c r="I581" s="2084"/>
      <c r="J581" s="1132"/>
      <c r="K581" s="1132" t="s">
        <v>626</v>
      </c>
      <c r="L581" s="1132"/>
      <c r="M581" s="1132"/>
      <c r="N581" s="1132"/>
      <c r="O581" s="1132"/>
      <c r="P581" s="1132"/>
      <c r="Q581" s="1132"/>
      <c r="R581" s="1132"/>
      <c r="S581" s="1132"/>
      <c r="T581" s="1132"/>
      <c r="U581" s="1132"/>
      <c r="V581" s="1132"/>
      <c r="W581" s="1132"/>
      <c r="X581" s="1132"/>
      <c r="Y581" s="1119"/>
      <c r="Z581" s="1095"/>
      <c r="AA581" s="1119"/>
      <c r="AB581" s="1133"/>
      <c r="AC581" s="1095"/>
      <c r="AD581" s="1133"/>
      <c r="AE581" s="1095"/>
      <c r="AF581" s="1095"/>
      <c r="AG581" s="1095"/>
      <c r="AH581" s="1095"/>
      <c r="AI581" s="1095"/>
      <c r="AJ581" s="1095"/>
      <c r="AK581" s="1095"/>
      <c r="AL581" s="1095"/>
      <c r="AM581" s="1095"/>
      <c r="AN581" s="1095"/>
      <c r="AO581" s="1095"/>
      <c r="AP581" s="1095"/>
      <c r="AQ581" s="1106"/>
      <c r="AR581" s="1097"/>
      <c r="AS581" s="1097"/>
      <c r="AV581" s="181"/>
      <c r="AW581" s="181"/>
      <c r="AX581" s="181"/>
      <c r="AY581" s="181"/>
      <c r="AZ581" s="181"/>
      <c r="BA581" s="181"/>
      <c r="BB581" s="181"/>
      <c r="BC581" s="181"/>
      <c r="BD581" s="181"/>
      <c r="BE581" s="181"/>
      <c r="BF581" s="181"/>
      <c r="BG581" s="181"/>
      <c r="BH581" s="181"/>
      <c r="BI581" s="181"/>
      <c r="BJ581" s="181"/>
      <c r="BK581" s="181"/>
      <c r="BL581" s="181"/>
      <c r="BM581" s="181"/>
      <c r="BN581" s="181"/>
      <c r="BO581" s="181"/>
      <c r="BP581" s="181"/>
      <c r="BQ581" s="181"/>
      <c r="BR581" s="181"/>
      <c r="BS581" s="181"/>
      <c r="BT581" s="181"/>
      <c r="BU581" s="181"/>
      <c r="BV581" s="181"/>
      <c r="BW581" s="181"/>
      <c r="BX581" s="181"/>
    </row>
    <row r="582" spans="1:76" s="30" customFormat="1" x14ac:dyDescent="0.25">
      <c r="A582" s="545"/>
      <c r="B582" s="1579"/>
      <c r="C582" s="1097"/>
      <c r="D582" s="1130"/>
      <c r="E582" s="1131"/>
      <c r="F582" s="1097"/>
      <c r="G582" s="2084"/>
      <c r="H582" s="2084"/>
      <c r="I582" s="2084"/>
      <c r="J582" s="1132"/>
      <c r="K582" s="1132" t="s">
        <v>627</v>
      </c>
      <c r="L582" s="1132"/>
      <c r="M582" s="1132"/>
      <c r="N582" s="1132"/>
      <c r="O582" s="1132"/>
      <c r="P582" s="1132"/>
      <c r="Q582" s="1132"/>
      <c r="R582" s="1132"/>
      <c r="S582" s="1132"/>
      <c r="T582" s="1132"/>
      <c r="U582" s="1132"/>
      <c r="V582" s="1132"/>
      <c r="W582" s="1132"/>
      <c r="X582" s="1132"/>
      <c r="Y582" s="1119"/>
      <c r="Z582" s="1095"/>
      <c r="AA582" s="1119"/>
      <c r="AB582" s="1133"/>
      <c r="AC582" s="1095"/>
      <c r="AD582" s="1133"/>
      <c r="AE582" s="1095"/>
      <c r="AF582" s="1095"/>
      <c r="AG582" s="1095"/>
      <c r="AH582" s="1095"/>
      <c r="AI582" s="1095"/>
      <c r="AJ582" s="1095"/>
      <c r="AK582" s="1095"/>
      <c r="AL582" s="1095"/>
      <c r="AM582" s="1095"/>
      <c r="AN582" s="1095"/>
      <c r="AO582" s="1095"/>
      <c r="AP582" s="1095"/>
      <c r="AQ582" s="1106"/>
      <c r="AR582" s="1097"/>
      <c r="AS582" s="1097"/>
      <c r="AV582" s="181"/>
      <c r="AW582" s="181"/>
      <c r="AX582" s="181"/>
      <c r="AY582" s="181"/>
      <c r="AZ582" s="181"/>
      <c r="BA582" s="181"/>
      <c r="BB582" s="181"/>
      <c r="BC582" s="181"/>
      <c r="BD582" s="181"/>
      <c r="BE582" s="181"/>
      <c r="BF582" s="181"/>
      <c r="BG582" s="181"/>
      <c r="BH582" s="181"/>
      <c r="BI582" s="181"/>
      <c r="BJ582" s="181"/>
      <c r="BK582" s="181"/>
      <c r="BL582" s="181"/>
      <c r="BM582" s="181"/>
      <c r="BN582" s="181"/>
      <c r="BO582" s="181"/>
      <c r="BP582" s="181"/>
      <c r="BQ582" s="181"/>
      <c r="BR582" s="181"/>
      <c r="BS582" s="181"/>
      <c r="BT582" s="181"/>
      <c r="BU582" s="181"/>
      <c r="BV582" s="181"/>
      <c r="BW582" s="181"/>
      <c r="BX582" s="181"/>
    </row>
    <row r="583" spans="1:76" s="30" customFormat="1" x14ac:dyDescent="0.25">
      <c r="A583" s="545"/>
      <c r="B583" s="1579"/>
      <c r="C583" s="1097"/>
      <c r="D583" s="1130"/>
      <c r="E583" s="1131"/>
      <c r="F583" s="1097"/>
      <c r="G583" s="2084"/>
      <c r="H583" s="2084"/>
      <c r="I583" s="2084"/>
      <c r="J583" s="1132"/>
      <c r="K583" s="1132" t="s">
        <v>628</v>
      </c>
      <c r="L583" s="1132"/>
      <c r="M583" s="1132"/>
      <c r="N583" s="1132"/>
      <c r="O583" s="1132"/>
      <c r="P583" s="1132"/>
      <c r="Q583" s="1132"/>
      <c r="R583" s="1132"/>
      <c r="S583" s="1132"/>
      <c r="T583" s="1132"/>
      <c r="U583" s="1132"/>
      <c r="V583" s="1132"/>
      <c r="W583" s="1132"/>
      <c r="X583" s="1132"/>
      <c r="Y583" s="1119"/>
      <c r="Z583" s="1095"/>
      <c r="AA583" s="1119"/>
      <c r="AB583" s="1133"/>
      <c r="AC583" s="1095"/>
      <c r="AD583" s="1133"/>
      <c r="AE583" s="1095"/>
      <c r="AF583" s="1095"/>
      <c r="AG583" s="1095"/>
      <c r="AH583" s="1095"/>
      <c r="AI583" s="1095"/>
      <c r="AJ583" s="1095"/>
      <c r="AK583" s="1095"/>
      <c r="AL583" s="1095"/>
      <c r="AM583" s="1095"/>
      <c r="AN583" s="1095"/>
      <c r="AO583" s="1095"/>
      <c r="AP583" s="1095"/>
      <c r="AQ583" s="1106"/>
      <c r="AR583" s="1097"/>
      <c r="AS583" s="1097"/>
      <c r="AV583" s="181"/>
      <c r="AW583" s="181"/>
      <c r="AX583" s="181"/>
      <c r="AY583" s="181"/>
      <c r="AZ583" s="181"/>
      <c r="BA583" s="181"/>
      <c r="BB583" s="181"/>
      <c r="BC583" s="181"/>
      <c r="BD583" s="181"/>
      <c r="BE583" s="181"/>
      <c r="BF583" s="181"/>
      <c r="BG583" s="181"/>
      <c r="BH583" s="181"/>
      <c r="BI583" s="181"/>
      <c r="BJ583" s="181"/>
      <c r="BK583" s="181"/>
      <c r="BL583" s="181"/>
      <c r="BM583" s="181"/>
      <c r="BN583" s="181"/>
      <c r="BO583" s="181"/>
      <c r="BP583" s="181"/>
      <c r="BQ583" s="181"/>
      <c r="BR583" s="181"/>
      <c r="BS583" s="181"/>
      <c r="BT583" s="181"/>
      <c r="BU583" s="181"/>
      <c r="BV583" s="181"/>
      <c r="BW583" s="181"/>
      <c r="BX583" s="181"/>
    </row>
    <row r="584" spans="1:76" s="30" customFormat="1" x14ac:dyDescent="0.25">
      <c r="A584" s="545"/>
      <c r="B584" s="1579"/>
      <c r="C584" s="1097"/>
      <c r="D584" s="1130"/>
      <c r="E584" s="1131"/>
      <c r="F584" s="1097"/>
      <c r="G584" s="2084"/>
      <c r="H584" s="2084"/>
      <c r="I584" s="2084"/>
      <c r="J584" s="1132"/>
      <c r="K584" s="1132"/>
      <c r="L584" s="1132"/>
      <c r="M584" s="1097"/>
      <c r="N584" s="1097"/>
      <c r="O584" s="1132"/>
      <c r="P584" s="1132"/>
      <c r="Q584" s="1132"/>
      <c r="R584" s="1132"/>
      <c r="S584" s="1132"/>
      <c r="T584" s="1132"/>
      <c r="U584" s="1132"/>
      <c r="V584" s="1132"/>
      <c r="W584" s="1132"/>
      <c r="X584" s="1132"/>
      <c r="Y584" s="1119"/>
      <c r="Z584" s="1095"/>
      <c r="AA584" s="1119"/>
      <c r="AB584" s="1133"/>
      <c r="AC584" s="1095"/>
      <c r="AD584" s="1133"/>
      <c r="AE584" s="1095"/>
      <c r="AF584" s="1095"/>
      <c r="AG584" s="1095"/>
      <c r="AH584" s="1095"/>
      <c r="AI584" s="1095"/>
      <c r="AJ584" s="1095"/>
      <c r="AK584" s="1095"/>
      <c r="AL584" s="1095"/>
      <c r="AM584" s="1095"/>
      <c r="AN584" s="1095"/>
      <c r="AO584" s="1095"/>
      <c r="AP584" s="1095"/>
      <c r="AQ584" s="1106"/>
      <c r="AR584" s="1097"/>
      <c r="AS584" s="1097"/>
      <c r="AT584" s="51"/>
      <c r="AV584" s="181"/>
      <c r="AW584" s="181"/>
      <c r="AX584" s="181"/>
      <c r="AY584" s="181"/>
      <c r="AZ584" s="181"/>
      <c r="BA584" s="181"/>
      <c r="BB584" s="181"/>
      <c r="BC584" s="181"/>
      <c r="BD584" s="181"/>
      <c r="BE584" s="181"/>
      <c r="BF584" s="181"/>
      <c r="BG584" s="181"/>
      <c r="BH584" s="181"/>
      <c r="BI584" s="181"/>
      <c r="BJ584" s="181"/>
      <c r="BK584" s="181"/>
      <c r="BL584" s="181"/>
      <c r="BM584" s="181"/>
      <c r="BN584" s="181"/>
      <c r="BO584" s="181"/>
      <c r="BP584" s="181"/>
      <c r="BQ584" s="181"/>
      <c r="BR584" s="181"/>
      <c r="BS584" s="181"/>
      <c r="BT584" s="181"/>
      <c r="BU584" s="181"/>
      <c r="BV584" s="181"/>
      <c r="BW584" s="181"/>
      <c r="BX584" s="181"/>
    </row>
    <row r="585" spans="1:76" s="30" customFormat="1" x14ac:dyDescent="0.25">
      <c r="A585" s="545"/>
      <c r="B585" s="1579"/>
      <c r="C585" s="1097"/>
      <c r="D585" s="1130"/>
      <c r="E585" s="1131"/>
      <c r="F585" s="1097"/>
      <c r="G585" s="2084">
        <v>42486</v>
      </c>
      <c r="H585" s="2084"/>
      <c r="I585" s="2084"/>
      <c r="J585" s="1132"/>
      <c r="K585" s="1132" t="s">
        <v>638</v>
      </c>
      <c r="L585" s="1097"/>
      <c r="M585" s="1097"/>
      <c r="N585" s="1097"/>
      <c r="O585" s="1097"/>
      <c r="P585" s="1097"/>
      <c r="Q585" s="1097"/>
      <c r="R585" s="1097"/>
      <c r="S585" s="1097"/>
      <c r="T585" s="1097"/>
      <c r="U585" s="1097"/>
      <c r="V585" s="1097"/>
      <c r="W585" s="1097"/>
      <c r="X585" s="1097"/>
      <c r="Y585" s="1097"/>
      <c r="Z585" s="1097"/>
      <c r="AA585" s="1097"/>
      <c r="AB585" s="1133"/>
      <c r="AC585" s="1095"/>
      <c r="AD585" s="1133"/>
      <c r="AE585" s="1095"/>
      <c r="AF585" s="1095"/>
      <c r="AG585" s="1095"/>
      <c r="AH585" s="1095"/>
      <c r="AI585" s="1095"/>
      <c r="AJ585" s="1095"/>
      <c r="AK585" s="1095"/>
      <c r="AL585" s="1095"/>
      <c r="AM585" s="1095"/>
      <c r="AN585" s="1095"/>
      <c r="AO585" s="1095"/>
      <c r="AP585" s="1095"/>
      <c r="AQ585" s="1106"/>
      <c r="AR585" s="1097"/>
      <c r="AS585" s="1097"/>
      <c r="AV585" s="181"/>
      <c r="AW585" s="181"/>
      <c r="AX585" s="181"/>
      <c r="AY585" s="181"/>
      <c r="AZ585" s="181"/>
      <c r="BA585" s="181"/>
      <c r="BB585" s="181"/>
      <c r="BC585" s="181"/>
      <c r="BD585" s="181"/>
      <c r="BE585" s="181"/>
      <c r="BF585" s="181"/>
      <c r="BG585" s="181"/>
      <c r="BH585" s="181"/>
      <c r="BI585" s="181"/>
      <c r="BJ585" s="181"/>
      <c r="BK585" s="181"/>
      <c r="BL585" s="181"/>
      <c r="BM585" s="181"/>
      <c r="BN585" s="181"/>
      <c r="BO585" s="181"/>
      <c r="BP585" s="181"/>
      <c r="BQ585" s="181"/>
      <c r="BR585" s="181"/>
      <c r="BS585" s="181"/>
      <c r="BT585" s="181"/>
      <c r="BU585" s="181"/>
      <c r="BV585" s="181"/>
      <c r="BW585" s="181"/>
      <c r="BX585" s="181"/>
    </row>
    <row r="586" spans="1:76" s="30" customFormat="1" x14ac:dyDescent="0.25">
      <c r="A586" s="545"/>
      <c r="B586" s="1579"/>
      <c r="C586" s="1097"/>
      <c r="D586" s="1130"/>
      <c r="E586" s="1131"/>
      <c r="F586" s="1097"/>
      <c r="G586" s="2084"/>
      <c r="H586" s="2084"/>
      <c r="I586" s="2084"/>
      <c r="J586" s="1132"/>
      <c r="K586" s="1132" t="s">
        <v>639</v>
      </c>
      <c r="L586" s="1132"/>
      <c r="M586" s="1132"/>
      <c r="N586" s="1132"/>
      <c r="O586" s="1132"/>
      <c r="P586" s="1132"/>
      <c r="Q586" s="1132"/>
      <c r="R586" s="1132"/>
      <c r="S586" s="1132"/>
      <c r="T586" s="1132"/>
      <c r="U586" s="1132"/>
      <c r="V586" s="1132"/>
      <c r="W586" s="1132"/>
      <c r="X586" s="1132"/>
      <c r="Y586" s="1097"/>
      <c r="Z586" s="1134"/>
      <c r="AA586" s="1097"/>
      <c r="AB586" s="1133"/>
      <c r="AC586" s="1095"/>
      <c r="AD586" s="1133"/>
      <c r="AE586" s="1095"/>
      <c r="AF586" s="1095"/>
      <c r="AG586" s="1095"/>
      <c r="AH586" s="1095"/>
      <c r="AI586" s="1095"/>
      <c r="AJ586" s="1095"/>
      <c r="AK586" s="1095"/>
      <c r="AL586" s="1095"/>
      <c r="AM586" s="1095"/>
      <c r="AN586" s="1095"/>
      <c r="AO586" s="1095"/>
      <c r="AP586" s="1095"/>
      <c r="AQ586" s="1106"/>
      <c r="AR586" s="1097"/>
      <c r="AS586" s="1097"/>
      <c r="AV586" s="181"/>
      <c r="AW586" s="181"/>
      <c r="AX586" s="181"/>
      <c r="AY586" s="181"/>
      <c r="AZ586" s="181"/>
      <c r="BA586" s="181"/>
      <c r="BB586" s="181"/>
      <c r="BC586" s="181"/>
      <c r="BD586" s="181"/>
      <c r="BE586" s="181"/>
      <c r="BF586" s="181"/>
      <c r="BG586" s="181"/>
      <c r="BH586" s="181"/>
      <c r="BI586" s="181"/>
      <c r="BJ586" s="181"/>
      <c r="BK586" s="181"/>
      <c r="BL586" s="181"/>
      <c r="BM586" s="181"/>
      <c r="BN586" s="181"/>
      <c r="BO586" s="181"/>
      <c r="BP586" s="181"/>
      <c r="BQ586" s="181"/>
      <c r="BR586" s="181"/>
      <c r="BS586" s="181"/>
      <c r="BT586" s="181"/>
      <c r="BU586" s="181"/>
      <c r="BV586" s="181"/>
      <c r="BW586" s="181"/>
      <c r="BX586" s="181"/>
    </row>
    <row r="587" spans="1:76" s="30" customFormat="1" x14ac:dyDescent="0.25">
      <c r="A587" s="545"/>
      <c r="B587" s="1579"/>
      <c r="C587" s="1097"/>
      <c r="D587" s="1130"/>
      <c r="E587" s="1131"/>
      <c r="F587" s="1097"/>
      <c r="G587" s="2084"/>
      <c r="H587" s="2084"/>
      <c r="I587" s="2084"/>
      <c r="J587" s="1132"/>
      <c r="K587" s="1132" t="s">
        <v>640</v>
      </c>
      <c r="L587" s="1132"/>
      <c r="M587" s="1132"/>
      <c r="N587" s="1132"/>
      <c r="O587" s="1132"/>
      <c r="P587" s="1132"/>
      <c r="Q587" s="1132"/>
      <c r="R587" s="1132"/>
      <c r="S587" s="1132"/>
      <c r="T587" s="1132"/>
      <c r="U587" s="1132"/>
      <c r="V587" s="1132"/>
      <c r="W587" s="1132"/>
      <c r="X587" s="1132"/>
      <c r="Y587" s="1132"/>
      <c r="Z587" s="1097"/>
      <c r="AA587" s="1132"/>
      <c r="AB587" s="1133"/>
      <c r="AC587" s="1095"/>
      <c r="AD587" s="1133"/>
      <c r="AE587" s="1095"/>
      <c r="AF587" s="1095"/>
      <c r="AG587" s="1095"/>
      <c r="AH587" s="1095"/>
      <c r="AI587" s="1095"/>
      <c r="AJ587" s="1095"/>
      <c r="AK587" s="1095"/>
      <c r="AL587" s="1095"/>
      <c r="AM587" s="1095"/>
      <c r="AN587" s="1095"/>
      <c r="AO587" s="1095"/>
      <c r="AP587" s="1095"/>
      <c r="AQ587" s="1106"/>
      <c r="AR587" s="1097"/>
      <c r="AS587" s="1097"/>
      <c r="AV587" s="181"/>
      <c r="AW587" s="181"/>
      <c r="AX587" s="181"/>
      <c r="AY587" s="181"/>
      <c r="AZ587" s="181"/>
      <c r="BA587" s="181"/>
      <c r="BB587" s="181"/>
      <c r="BC587" s="181"/>
      <c r="BD587" s="181"/>
      <c r="BE587" s="181"/>
      <c r="BF587" s="181"/>
      <c r="BG587" s="181"/>
      <c r="BH587" s="181"/>
      <c r="BI587" s="181"/>
      <c r="BJ587" s="181"/>
      <c r="BK587" s="181"/>
      <c r="BL587" s="181"/>
      <c r="BM587" s="181"/>
      <c r="BN587" s="181"/>
      <c r="BO587" s="181"/>
      <c r="BP587" s="181"/>
      <c r="BQ587" s="181"/>
      <c r="BR587" s="181"/>
      <c r="BS587" s="181"/>
      <c r="BT587" s="181"/>
      <c r="BU587" s="181"/>
      <c r="BV587" s="181"/>
      <c r="BW587" s="181"/>
      <c r="BX587" s="181"/>
    </row>
    <row r="588" spans="1:76" s="30" customFormat="1" x14ac:dyDescent="0.25">
      <c r="A588" s="545"/>
      <c r="B588" s="1579"/>
      <c r="C588" s="1097"/>
      <c r="D588" s="1130"/>
      <c r="E588" s="1131"/>
      <c r="F588" s="1097"/>
      <c r="G588" s="2084"/>
      <c r="H588" s="2084"/>
      <c r="I588" s="2084"/>
      <c r="J588" s="1132"/>
      <c r="K588" s="1132" t="s">
        <v>675</v>
      </c>
      <c r="L588" s="1132"/>
      <c r="M588" s="1132"/>
      <c r="N588" s="1132"/>
      <c r="O588" s="1132"/>
      <c r="P588" s="1132"/>
      <c r="Q588" s="1132"/>
      <c r="R588" s="1132"/>
      <c r="S588" s="1132"/>
      <c r="T588" s="1132"/>
      <c r="U588" s="1132"/>
      <c r="V588" s="1132"/>
      <c r="W588" s="1132"/>
      <c r="X588" s="1132"/>
      <c r="Y588" s="1132"/>
      <c r="Z588" s="1097"/>
      <c r="AA588" s="1132"/>
      <c r="AB588" s="1133"/>
      <c r="AC588" s="1095"/>
      <c r="AD588" s="1133"/>
      <c r="AE588" s="1095"/>
      <c r="AF588" s="1095"/>
      <c r="AG588" s="1095"/>
      <c r="AH588" s="1095"/>
      <c r="AI588" s="1095"/>
      <c r="AJ588" s="1095"/>
      <c r="AK588" s="1095"/>
      <c r="AL588" s="1095"/>
      <c r="AM588" s="1095"/>
      <c r="AN588" s="1095"/>
      <c r="AO588" s="1095"/>
      <c r="AP588" s="1095"/>
      <c r="AQ588" s="1106"/>
      <c r="AR588" s="1097"/>
      <c r="AS588" s="1097"/>
      <c r="AV588" s="181"/>
      <c r="AW588" s="181"/>
      <c r="AX588" s="181"/>
      <c r="AY588" s="181"/>
      <c r="AZ588" s="181"/>
      <c r="BA588" s="181"/>
      <c r="BB588" s="181"/>
      <c r="BC588" s="181"/>
      <c r="BD588" s="181"/>
      <c r="BE588" s="181"/>
      <c r="BF588" s="181"/>
      <c r="BG588" s="181"/>
      <c r="BH588" s="181"/>
      <c r="BI588" s="181"/>
      <c r="BJ588" s="181"/>
      <c r="BK588" s="181"/>
      <c r="BL588" s="181"/>
      <c r="BM588" s="181"/>
      <c r="BN588" s="181"/>
      <c r="BO588" s="181"/>
      <c r="BP588" s="181"/>
      <c r="BQ588" s="181"/>
      <c r="BR588" s="181"/>
      <c r="BS588" s="181"/>
      <c r="BT588" s="181"/>
      <c r="BU588" s="181"/>
      <c r="BV588" s="181"/>
      <c r="BW588" s="181"/>
      <c r="BX588" s="181"/>
    </row>
    <row r="589" spans="1:76" s="30" customFormat="1" x14ac:dyDescent="0.25">
      <c r="A589" s="545"/>
      <c r="B589" s="1579"/>
      <c r="C589" s="1097"/>
      <c r="D589" s="1130"/>
      <c r="E589" s="1131"/>
      <c r="F589" s="1097"/>
      <c r="G589" s="2084"/>
      <c r="H589" s="2084"/>
      <c r="I589" s="2084"/>
      <c r="J589" s="1132"/>
      <c r="K589" s="1132" t="s">
        <v>680</v>
      </c>
      <c r="L589" s="1132"/>
      <c r="M589" s="1132"/>
      <c r="N589" s="1132"/>
      <c r="O589" s="1132"/>
      <c r="P589" s="1132"/>
      <c r="Q589" s="1132"/>
      <c r="R589" s="1132"/>
      <c r="S589" s="1132"/>
      <c r="T589" s="1132"/>
      <c r="U589" s="1132"/>
      <c r="V589" s="1132"/>
      <c r="W589" s="1132"/>
      <c r="X589" s="1132"/>
      <c r="Y589" s="1132"/>
      <c r="Z589" s="1097"/>
      <c r="AA589" s="1132"/>
      <c r="AB589" s="1133"/>
      <c r="AC589" s="1095"/>
      <c r="AD589" s="1133"/>
      <c r="AE589" s="1095"/>
      <c r="AF589" s="1095"/>
      <c r="AG589" s="1095"/>
      <c r="AH589" s="1095"/>
      <c r="AI589" s="1095"/>
      <c r="AJ589" s="1095"/>
      <c r="AK589" s="1095"/>
      <c r="AL589" s="1095"/>
      <c r="AM589" s="1095"/>
      <c r="AN589" s="1095"/>
      <c r="AO589" s="1095"/>
      <c r="AP589" s="1095"/>
      <c r="AQ589" s="1106"/>
      <c r="AR589" s="1097"/>
      <c r="AS589" s="1097"/>
      <c r="AV589" s="181"/>
      <c r="AW589" s="181"/>
      <c r="AX589" s="181"/>
      <c r="AY589" s="181"/>
      <c r="AZ589" s="181"/>
      <c r="BA589" s="181"/>
      <c r="BB589" s="181"/>
      <c r="BC589" s="181"/>
      <c r="BD589" s="181"/>
      <c r="BE589" s="181"/>
      <c r="BF589" s="181"/>
      <c r="BG589" s="181"/>
      <c r="BH589" s="181"/>
      <c r="BI589" s="181"/>
      <c r="BJ589" s="181"/>
      <c r="BK589" s="181"/>
      <c r="BL589" s="181"/>
      <c r="BM589" s="181"/>
      <c r="BN589" s="181"/>
      <c r="BO589" s="181"/>
      <c r="BP589" s="181"/>
      <c r="BQ589" s="181"/>
      <c r="BR589" s="181"/>
      <c r="BS589" s="181"/>
      <c r="BT589" s="181"/>
      <c r="BU589" s="181"/>
      <c r="BV589" s="181"/>
      <c r="BW589" s="181"/>
      <c r="BX589" s="181"/>
    </row>
    <row r="590" spans="1:76" s="30" customFormat="1" x14ac:dyDescent="0.25">
      <c r="A590" s="545"/>
      <c r="B590" s="1579"/>
      <c r="C590" s="1097"/>
      <c r="D590" s="1130"/>
      <c r="E590" s="1131"/>
      <c r="F590" s="1097"/>
      <c r="G590" s="1097"/>
      <c r="H590" s="1097"/>
      <c r="I590" s="1097"/>
      <c r="J590" s="1132"/>
      <c r="K590" s="1132"/>
      <c r="L590" s="1132"/>
      <c r="M590" s="1132"/>
      <c r="N590" s="1132"/>
      <c r="O590" s="1132"/>
      <c r="P590" s="1132"/>
      <c r="Q590" s="1132"/>
      <c r="R590" s="1132"/>
      <c r="S590" s="1132"/>
      <c r="T590" s="1132"/>
      <c r="U590" s="1132"/>
      <c r="V590" s="1132"/>
      <c r="W590" s="1132"/>
      <c r="X590" s="1132"/>
      <c r="Y590" s="1132"/>
      <c r="Z590" s="1097"/>
      <c r="AA590" s="1132"/>
      <c r="AB590" s="1133"/>
      <c r="AC590" s="1095"/>
      <c r="AD590" s="1133"/>
      <c r="AE590" s="1095"/>
      <c r="AF590" s="1095"/>
      <c r="AG590" s="1095"/>
      <c r="AH590" s="1095"/>
      <c r="AI590" s="1095"/>
      <c r="AJ590" s="1095"/>
      <c r="AK590" s="1095"/>
      <c r="AL590" s="1095"/>
      <c r="AM590" s="1095"/>
      <c r="AN590" s="1095"/>
      <c r="AO590" s="1095"/>
      <c r="AP590" s="1095"/>
      <c r="AQ590" s="1106"/>
      <c r="AR590" s="1097"/>
      <c r="AS590" s="1097"/>
      <c r="AV590" s="181"/>
      <c r="AW590" s="181"/>
      <c r="AX590" s="181"/>
      <c r="AY590" s="181"/>
      <c r="AZ590" s="181"/>
      <c r="BA590" s="181"/>
      <c r="BB590" s="181"/>
      <c r="BC590" s="181"/>
      <c r="BD590" s="181"/>
      <c r="BE590" s="181"/>
      <c r="BF590" s="181"/>
      <c r="BG590" s="181"/>
      <c r="BH590" s="181"/>
      <c r="BI590" s="181"/>
      <c r="BJ590" s="181"/>
      <c r="BK590" s="181"/>
      <c r="BL590" s="181"/>
      <c r="BM590" s="181"/>
      <c r="BN590" s="181"/>
      <c r="BO590" s="181"/>
      <c r="BP590" s="181"/>
      <c r="BQ590" s="181"/>
      <c r="BR590" s="181"/>
      <c r="BS590" s="181"/>
      <c r="BT590" s="181"/>
      <c r="BU590" s="181"/>
      <c r="BV590" s="181"/>
      <c r="BW590" s="181"/>
      <c r="BX590" s="181"/>
    </row>
    <row r="591" spans="1:76" s="30" customFormat="1" x14ac:dyDescent="0.25">
      <c r="A591" s="545"/>
      <c r="B591" s="1579"/>
      <c r="C591" s="1097"/>
      <c r="D591" s="1130"/>
      <c r="E591" s="1131"/>
      <c r="F591" s="1097"/>
      <c r="G591" s="2084">
        <v>42490</v>
      </c>
      <c r="H591" s="2084"/>
      <c r="I591" s="2084"/>
      <c r="J591" s="1132"/>
      <c r="K591" s="1132" t="s">
        <v>684</v>
      </c>
      <c r="L591" s="1132"/>
      <c r="M591" s="1132"/>
      <c r="N591" s="1132"/>
      <c r="O591" s="1132"/>
      <c r="P591" s="1132"/>
      <c r="Q591" s="1132"/>
      <c r="R591" s="1132"/>
      <c r="S591" s="1132"/>
      <c r="T591" s="1132"/>
      <c r="U591" s="1132"/>
      <c r="V591" s="1132"/>
      <c r="W591" s="1132"/>
      <c r="X591" s="1132"/>
      <c r="Y591" s="1132"/>
      <c r="Z591" s="1097"/>
      <c r="AA591" s="1132"/>
      <c r="AB591" s="1133"/>
      <c r="AC591" s="1095"/>
      <c r="AD591" s="1133"/>
      <c r="AE591" s="1095"/>
      <c r="AF591" s="1095"/>
      <c r="AG591" s="1095"/>
      <c r="AH591" s="1095"/>
      <c r="AI591" s="1095"/>
      <c r="AJ591" s="1095"/>
      <c r="AK591" s="1095"/>
      <c r="AL591" s="1095"/>
      <c r="AM591" s="1095"/>
      <c r="AN591" s="1095"/>
      <c r="AO591" s="1095"/>
      <c r="AP591" s="1095"/>
      <c r="AQ591" s="1106"/>
      <c r="AR591" s="1097"/>
      <c r="AS591" s="1097"/>
      <c r="AT591" s="199"/>
      <c r="AV591" s="181"/>
      <c r="AW591" s="181"/>
      <c r="AX591" s="181"/>
      <c r="AY591" s="181"/>
      <c r="AZ591" s="181"/>
      <c r="BA591" s="181"/>
      <c r="BB591" s="181"/>
      <c r="BC591" s="181"/>
      <c r="BD591" s="181"/>
      <c r="BE591" s="181"/>
      <c r="BF591" s="181"/>
      <c r="BG591" s="181"/>
      <c r="BH591" s="181"/>
      <c r="BI591" s="181"/>
      <c r="BJ591" s="181"/>
      <c r="BK591" s="181"/>
      <c r="BL591" s="181"/>
      <c r="BM591" s="181"/>
      <c r="BN591" s="181"/>
      <c r="BO591" s="181"/>
      <c r="BP591" s="181"/>
      <c r="BQ591" s="181"/>
      <c r="BR591" s="181"/>
      <c r="BS591" s="181"/>
      <c r="BT591" s="181"/>
      <c r="BU591" s="181"/>
      <c r="BV591" s="181"/>
      <c r="BW591" s="181"/>
      <c r="BX591" s="181"/>
    </row>
    <row r="592" spans="1:76" s="30" customFormat="1" x14ac:dyDescent="0.25">
      <c r="A592" s="545"/>
      <c r="B592" s="1579"/>
      <c r="C592" s="1097"/>
      <c r="D592" s="1130"/>
      <c r="E592" s="1131"/>
      <c r="F592" s="1097"/>
      <c r="G592" s="2084"/>
      <c r="H592" s="2084"/>
      <c r="I592" s="2084"/>
      <c r="J592" s="1132"/>
      <c r="K592" s="1132"/>
      <c r="L592" s="1132"/>
      <c r="M592" s="1132"/>
      <c r="N592" s="1132"/>
      <c r="O592" s="1132"/>
      <c r="P592" s="1132"/>
      <c r="Q592" s="1132"/>
      <c r="R592" s="1132"/>
      <c r="S592" s="1132"/>
      <c r="T592" s="1132"/>
      <c r="U592" s="1132"/>
      <c r="V592" s="1132"/>
      <c r="W592" s="1132"/>
      <c r="X592" s="1132"/>
      <c r="Y592" s="1132"/>
      <c r="Z592" s="1097"/>
      <c r="AA592" s="1132"/>
      <c r="AB592" s="1133"/>
      <c r="AC592" s="1095"/>
      <c r="AD592" s="1133"/>
      <c r="AE592" s="1095"/>
      <c r="AF592" s="1095"/>
      <c r="AG592" s="1095"/>
      <c r="AH592" s="1095"/>
      <c r="AI592" s="1095"/>
      <c r="AJ592" s="1095"/>
      <c r="AK592" s="1095"/>
      <c r="AL592" s="1095"/>
      <c r="AM592" s="1095"/>
      <c r="AN592" s="1095"/>
      <c r="AO592" s="1095"/>
      <c r="AP592" s="1095"/>
      <c r="AQ592" s="1106"/>
      <c r="AR592" s="1097"/>
      <c r="AS592" s="1097"/>
      <c r="AV592" s="181"/>
      <c r="AW592" s="181"/>
      <c r="AX592" s="181"/>
      <c r="AY592" s="181"/>
      <c r="AZ592" s="181"/>
      <c r="BA592" s="181"/>
      <c r="BB592" s="181"/>
      <c r="BC592" s="181"/>
      <c r="BD592" s="181"/>
      <c r="BE592" s="181"/>
      <c r="BF592" s="181"/>
      <c r="BG592" s="181"/>
      <c r="BH592" s="181"/>
      <c r="BI592" s="181"/>
      <c r="BJ592" s="181"/>
      <c r="BK592" s="181"/>
      <c r="BL592" s="181"/>
      <c r="BM592" s="181"/>
      <c r="BN592" s="181"/>
      <c r="BO592" s="181"/>
      <c r="BP592" s="181"/>
      <c r="BQ592" s="181"/>
      <c r="BR592" s="181"/>
      <c r="BS592" s="181"/>
      <c r="BT592" s="181"/>
      <c r="BU592" s="181"/>
      <c r="BV592" s="181"/>
      <c r="BW592" s="181"/>
      <c r="BX592" s="181"/>
    </row>
    <row r="593" spans="1:76" s="30" customFormat="1" x14ac:dyDescent="0.25">
      <c r="A593" s="545"/>
      <c r="B593" s="1579"/>
      <c r="C593" s="1097"/>
      <c r="D593" s="1130"/>
      <c r="E593" s="1131"/>
      <c r="F593" s="1097"/>
      <c r="G593" s="2084">
        <v>42492</v>
      </c>
      <c r="H593" s="2084"/>
      <c r="I593" s="2084"/>
      <c r="J593" s="1132"/>
      <c r="K593" s="1132" t="s">
        <v>695</v>
      </c>
      <c r="L593" s="1132"/>
      <c r="M593" s="1132"/>
      <c r="N593" s="1132"/>
      <c r="O593" s="1132"/>
      <c r="P593" s="1132"/>
      <c r="Q593" s="1132"/>
      <c r="R593" s="1132"/>
      <c r="S593" s="1132"/>
      <c r="T593" s="1132"/>
      <c r="U593" s="1132"/>
      <c r="V593" s="1132"/>
      <c r="W593" s="1132"/>
      <c r="X593" s="1132"/>
      <c r="Y593" s="1132"/>
      <c r="Z593" s="1097"/>
      <c r="AA593" s="1132"/>
      <c r="AB593" s="1133"/>
      <c r="AC593" s="1095"/>
      <c r="AD593" s="1133"/>
      <c r="AE593" s="1095"/>
      <c r="AF593" s="1095"/>
      <c r="AG593" s="1095"/>
      <c r="AH593" s="1095"/>
      <c r="AI593" s="1095"/>
      <c r="AJ593" s="1095"/>
      <c r="AK593" s="1095"/>
      <c r="AL593" s="1095"/>
      <c r="AM593" s="1095"/>
      <c r="AN593" s="1095"/>
      <c r="AO593" s="1095"/>
      <c r="AP593" s="1095"/>
      <c r="AQ593" s="1106"/>
      <c r="AR593" s="1097"/>
      <c r="AS593" s="1097"/>
      <c r="AV593" s="181"/>
      <c r="AW593" s="181"/>
      <c r="AX593" s="181"/>
      <c r="AY593" s="181"/>
      <c r="AZ593" s="181"/>
      <c r="BA593" s="181"/>
      <c r="BB593" s="181"/>
      <c r="BC593" s="181"/>
      <c r="BD593" s="181"/>
      <c r="BE593" s="181"/>
      <c r="BF593" s="181"/>
      <c r="BG593" s="181"/>
      <c r="BH593" s="181"/>
      <c r="BI593" s="181"/>
      <c r="BJ593" s="181"/>
      <c r="BK593" s="181"/>
      <c r="BL593" s="181"/>
      <c r="BM593" s="181"/>
      <c r="BN593" s="181"/>
      <c r="BO593" s="181"/>
      <c r="BP593" s="181"/>
      <c r="BQ593" s="181"/>
      <c r="BR593" s="181"/>
      <c r="BS593" s="181"/>
      <c r="BT593" s="181"/>
      <c r="BU593" s="181"/>
      <c r="BV593" s="181"/>
      <c r="BW593" s="181"/>
      <c r="BX593" s="181"/>
    </row>
    <row r="594" spans="1:76" s="30" customFormat="1" x14ac:dyDescent="0.25">
      <c r="A594" s="545"/>
      <c r="B594" s="1579"/>
      <c r="C594" s="1097"/>
      <c r="D594" s="1130"/>
      <c r="E594" s="1131"/>
      <c r="F594" s="1097"/>
      <c r="G594" s="2084"/>
      <c r="H594" s="2084"/>
      <c r="I594" s="2084"/>
      <c r="J594" s="1132"/>
      <c r="K594" s="1132"/>
      <c r="L594" s="1132"/>
      <c r="M594" s="1132"/>
      <c r="N594" s="1132"/>
      <c r="O594" s="1132"/>
      <c r="P594" s="1132"/>
      <c r="Q594" s="1132"/>
      <c r="R594" s="1132"/>
      <c r="S594" s="1132"/>
      <c r="T594" s="1132"/>
      <c r="U594" s="1132"/>
      <c r="V594" s="1132"/>
      <c r="W594" s="1132"/>
      <c r="X594" s="1132"/>
      <c r="Y594" s="1132"/>
      <c r="Z594" s="1097"/>
      <c r="AA594" s="1132"/>
      <c r="AB594" s="1133"/>
      <c r="AC594" s="1095"/>
      <c r="AD594" s="1133"/>
      <c r="AE594" s="1095"/>
      <c r="AF594" s="1095"/>
      <c r="AG594" s="1095"/>
      <c r="AH594" s="1095"/>
      <c r="AI594" s="1095"/>
      <c r="AJ594" s="1095"/>
      <c r="AK594" s="1095"/>
      <c r="AL594" s="1095"/>
      <c r="AM594" s="1095"/>
      <c r="AN594" s="1095"/>
      <c r="AO594" s="1095"/>
      <c r="AP594" s="1095"/>
      <c r="AQ594" s="1106"/>
      <c r="AR594" s="1097"/>
      <c r="AS594" s="1097"/>
      <c r="AV594" s="181"/>
      <c r="AW594" s="181"/>
      <c r="AX594" s="181"/>
      <c r="AY594" s="181"/>
      <c r="AZ594" s="181"/>
      <c r="BA594" s="181"/>
      <c r="BB594" s="181"/>
      <c r="BC594" s="181"/>
      <c r="BD594" s="181"/>
      <c r="BE594" s="181"/>
      <c r="BF594" s="181"/>
      <c r="BG594" s="181"/>
      <c r="BH594" s="181"/>
      <c r="BI594" s="181"/>
      <c r="BJ594" s="181"/>
      <c r="BK594" s="181"/>
      <c r="BL594" s="181"/>
      <c r="BM594" s="181"/>
      <c r="BN594" s="181"/>
      <c r="BO594" s="181"/>
      <c r="BP594" s="181"/>
      <c r="BQ594" s="181"/>
      <c r="BR594" s="181"/>
      <c r="BS594" s="181"/>
      <c r="BT594" s="181"/>
      <c r="BU594" s="181"/>
      <c r="BV594" s="181"/>
      <c r="BW594" s="181"/>
      <c r="BX594" s="181"/>
    </row>
    <row r="595" spans="1:76" s="30" customFormat="1" x14ac:dyDescent="0.25">
      <c r="A595" s="545"/>
      <c r="B595" s="1579"/>
      <c r="C595" s="1097"/>
      <c r="D595" s="1130"/>
      <c r="E595" s="1131"/>
      <c r="F595" s="1097"/>
      <c r="G595" s="2084">
        <v>42499</v>
      </c>
      <c r="H595" s="2084"/>
      <c r="I595" s="2084"/>
      <c r="J595" s="1132"/>
      <c r="K595" s="1132" t="str">
        <f>CONCATENATE("Added an ECHO Column which only has an 'N' if all phases listed are 'N'.  An 'N' in this echo column ",CHAR(COLUMN(E9)+64)," will strike out items in that row")</f>
        <v>Added an ECHO Column which only has an 'N' if all phases listed are 'N'.  An 'N' in this echo column E will strike out items in that row</v>
      </c>
      <c r="L595" s="1132"/>
      <c r="M595" s="1132"/>
      <c r="N595" s="1132"/>
      <c r="O595" s="1132"/>
      <c r="P595" s="1132"/>
      <c r="Q595" s="1132"/>
      <c r="R595" s="1132"/>
      <c r="S595" s="1132"/>
      <c r="T595" s="1132"/>
      <c r="U595" s="1132"/>
      <c r="V595" s="1132"/>
      <c r="W595" s="1132"/>
      <c r="X595" s="1132"/>
      <c r="Y595" s="1132"/>
      <c r="Z595" s="1097"/>
      <c r="AA595" s="1132"/>
      <c r="AB595" s="1133"/>
      <c r="AC595" s="1095"/>
      <c r="AD595" s="1133"/>
      <c r="AE595" s="1095"/>
      <c r="AF595" s="1095"/>
      <c r="AG595" s="1095"/>
      <c r="AH595" s="1095"/>
      <c r="AI595" s="1095"/>
      <c r="AJ595" s="1095"/>
      <c r="AK595" s="1095"/>
      <c r="AL595" s="1095"/>
      <c r="AM595" s="1095"/>
      <c r="AN595" s="1095"/>
      <c r="AO595" s="1095"/>
      <c r="AP595" s="1095"/>
      <c r="AQ595" s="1106"/>
      <c r="AR595" s="1097"/>
      <c r="AS595" s="1097"/>
      <c r="AV595" s="181"/>
      <c r="AW595" s="181"/>
      <c r="AX595" s="181"/>
      <c r="AY595" s="181"/>
      <c r="AZ595" s="181"/>
      <c r="BA595" s="181"/>
      <c r="BB595" s="181"/>
      <c r="BC595" s="181"/>
      <c r="BD595" s="181"/>
      <c r="BE595" s="181"/>
      <c r="BF595" s="181"/>
      <c r="BG595" s="181"/>
      <c r="BH595" s="181"/>
      <c r="BI595" s="181"/>
      <c r="BJ595" s="181"/>
      <c r="BK595" s="181"/>
      <c r="BL595" s="181"/>
      <c r="BM595" s="181"/>
      <c r="BN595" s="181"/>
      <c r="BO595" s="181"/>
      <c r="BP595" s="181"/>
      <c r="BQ595" s="181"/>
      <c r="BR595" s="181"/>
      <c r="BS595" s="181"/>
      <c r="BT595" s="181"/>
      <c r="BU595" s="181"/>
      <c r="BV595" s="181"/>
      <c r="BW595" s="181"/>
      <c r="BX595" s="181"/>
    </row>
    <row r="596" spans="1:76" s="30" customFormat="1" x14ac:dyDescent="0.25">
      <c r="A596" s="545"/>
      <c r="B596" s="1579"/>
      <c r="C596" s="1097"/>
      <c r="D596" s="1130"/>
      <c r="E596" s="1131"/>
      <c r="F596" s="1097"/>
      <c r="G596" s="2084"/>
      <c r="H596" s="2084"/>
      <c r="I596" s="2084"/>
      <c r="J596" s="1132"/>
      <c r="K596" s="1135" t="s">
        <v>771</v>
      </c>
      <c r="L596" s="1132"/>
      <c r="M596" s="1132"/>
      <c r="N596" s="1132"/>
      <c r="O596" s="1132"/>
      <c r="P596" s="1132"/>
      <c r="Q596" s="1132"/>
      <c r="R596" s="1132"/>
      <c r="S596" s="1132"/>
      <c r="T596" s="1132"/>
      <c r="U596" s="1132"/>
      <c r="V596" s="1132"/>
      <c r="W596" s="1132"/>
      <c r="X596" s="1132"/>
      <c r="Y596" s="1132"/>
      <c r="Z596" s="1097"/>
      <c r="AA596" s="1132"/>
      <c r="AB596" s="1133"/>
      <c r="AC596" s="1095"/>
      <c r="AD596" s="1133"/>
      <c r="AE596" s="1095"/>
      <c r="AF596" s="1095"/>
      <c r="AG596" s="1095"/>
      <c r="AH596" s="1095"/>
      <c r="AI596" s="1095"/>
      <c r="AJ596" s="1095"/>
      <c r="AK596" s="1095"/>
      <c r="AL596" s="1095"/>
      <c r="AM596" s="1095"/>
      <c r="AN596" s="1095"/>
      <c r="AO596" s="1095"/>
      <c r="AP596" s="1095"/>
      <c r="AQ596" s="1106"/>
      <c r="AR596" s="1097"/>
      <c r="AS596" s="1097"/>
      <c r="AV596" s="181"/>
      <c r="AW596" s="181"/>
      <c r="AX596" s="181"/>
      <c r="AY596" s="181"/>
      <c r="AZ596" s="181"/>
      <c r="BA596" s="181"/>
      <c r="BB596" s="181"/>
      <c r="BC596" s="181"/>
      <c r="BD596" s="181"/>
      <c r="BE596" s="181"/>
      <c r="BF596" s="181"/>
      <c r="BG596" s="181"/>
      <c r="BH596" s="181"/>
      <c r="BI596" s="181"/>
      <c r="BJ596" s="181"/>
      <c r="BK596" s="181"/>
      <c r="BL596" s="181"/>
      <c r="BM596" s="181"/>
      <c r="BN596" s="181"/>
      <c r="BO596" s="181"/>
      <c r="BP596" s="181"/>
      <c r="BQ596" s="181"/>
      <c r="BR596" s="181"/>
      <c r="BS596" s="181"/>
      <c r="BT596" s="181"/>
      <c r="BU596" s="181"/>
      <c r="BV596" s="181"/>
      <c r="BW596" s="181"/>
      <c r="BX596" s="181"/>
    </row>
    <row r="597" spans="1:76" s="30" customFormat="1" x14ac:dyDescent="0.25">
      <c r="A597" s="545"/>
      <c r="B597" s="1579"/>
      <c r="C597" s="1097"/>
      <c r="D597" s="1130"/>
      <c r="E597" s="1131"/>
      <c r="F597" s="1097"/>
      <c r="G597" s="2084"/>
      <c r="H597" s="2084"/>
      <c r="I597" s="2084"/>
      <c r="J597" s="1132"/>
      <c r="K597" s="1132"/>
      <c r="L597" s="1132"/>
      <c r="M597" s="1132"/>
      <c r="N597" s="1132"/>
      <c r="O597" s="1132"/>
      <c r="P597" s="1132"/>
      <c r="Q597" s="1132"/>
      <c r="R597" s="1132"/>
      <c r="S597" s="1132"/>
      <c r="T597" s="1132"/>
      <c r="U597" s="1132"/>
      <c r="V597" s="1132"/>
      <c r="W597" s="1132"/>
      <c r="X597" s="1132"/>
      <c r="Y597" s="1132"/>
      <c r="Z597" s="1097"/>
      <c r="AA597" s="1132"/>
      <c r="AB597" s="1133"/>
      <c r="AC597" s="1095"/>
      <c r="AD597" s="1133"/>
      <c r="AE597" s="1095"/>
      <c r="AF597" s="1095"/>
      <c r="AG597" s="1095"/>
      <c r="AH597" s="1095"/>
      <c r="AI597" s="1095"/>
      <c r="AJ597" s="1095"/>
      <c r="AK597" s="1095"/>
      <c r="AL597" s="1095"/>
      <c r="AM597" s="1095"/>
      <c r="AN597" s="1095"/>
      <c r="AO597" s="1095"/>
      <c r="AP597" s="1095"/>
      <c r="AQ597" s="1106"/>
      <c r="AR597" s="1097"/>
      <c r="AS597" s="1097"/>
      <c r="AV597" s="181"/>
      <c r="AW597" s="181"/>
      <c r="AX597" s="181"/>
      <c r="AY597" s="181"/>
      <c r="AZ597" s="181"/>
      <c r="BA597" s="181"/>
      <c r="BB597" s="181"/>
      <c r="BC597" s="181"/>
      <c r="BD597" s="181"/>
      <c r="BE597" s="181"/>
      <c r="BF597" s="181"/>
      <c r="BG597" s="181"/>
      <c r="BH597" s="181"/>
      <c r="BI597" s="181"/>
      <c r="BJ597" s="181"/>
      <c r="BK597" s="181"/>
      <c r="BL597" s="181"/>
      <c r="BM597" s="181"/>
      <c r="BN597" s="181"/>
      <c r="BO597" s="181"/>
      <c r="BP597" s="181"/>
      <c r="BQ597" s="181"/>
      <c r="BR597" s="181"/>
      <c r="BS597" s="181"/>
      <c r="BT597" s="181"/>
      <c r="BU597" s="181"/>
      <c r="BV597" s="181"/>
      <c r="BW597" s="181"/>
      <c r="BX597" s="181"/>
    </row>
    <row r="598" spans="1:76" s="30" customFormat="1" x14ac:dyDescent="0.25">
      <c r="A598" s="545"/>
      <c r="B598" s="1579"/>
      <c r="C598" s="1097"/>
      <c r="D598" s="1130"/>
      <c r="E598" s="1131"/>
      <c r="F598" s="1097"/>
      <c r="G598" s="2084">
        <v>42501</v>
      </c>
      <c r="H598" s="2084"/>
      <c r="I598" s="2084"/>
      <c r="J598" s="1132"/>
      <c r="K598" s="1132" t="s">
        <v>773</v>
      </c>
      <c r="L598" s="1132"/>
      <c r="M598" s="1132"/>
      <c r="N598" s="1132"/>
      <c r="O598" s="1132"/>
      <c r="P598" s="1132"/>
      <c r="Q598" s="1132"/>
      <c r="R598" s="1132"/>
      <c r="S598" s="1132"/>
      <c r="T598" s="1132"/>
      <c r="U598" s="1132"/>
      <c r="V598" s="1132"/>
      <c r="W598" s="1132"/>
      <c r="X598" s="1132"/>
      <c r="Y598" s="1132"/>
      <c r="Z598" s="1097"/>
      <c r="AA598" s="1132"/>
      <c r="AB598" s="1133"/>
      <c r="AC598" s="1095"/>
      <c r="AD598" s="1133"/>
      <c r="AE598" s="1095"/>
      <c r="AF598" s="1095"/>
      <c r="AG598" s="1095"/>
      <c r="AH598" s="1095"/>
      <c r="AI598" s="1095"/>
      <c r="AJ598" s="1095"/>
      <c r="AK598" s="1095"/>
      <c r="AL598" s="1095"/>
      <c r="AM598" s="1095"/>
      <c r="AN598" s="1095"/>
      <c r="AO598" s="1095"/>
      <c r="AP598" s="1095"/>
      <c r="AQ598" s="1106"/>
      <c r="AR598" s="1097"/>
      <c r="AS598" s="1097"/>
      <c r="AT598" s="199"/>
      <c r="AV598" s="181"/>
      <c r="AW598" s="181"/>
      <c r="AX598" s="181"/>
      <c r="AY598" s="181"/>
      <c r="AZ598" s="181"/>
      <c r="BA598" s="181"/>
      <c r="BB598" s="181"/>
      <c r="BC598" s="181"/>
      <c r="BD598" s="181"/>
      <c r="BE598" s="181"/>
      <c r="BF598" s="181"/>
      <c r="BG598" s="181"/>
      <c r="BH598" s="181"/>
      <c r="BI598" s="181"/>
      <c r="BJ598" s="181"/>
      <c r="BK598" s="181"/>
      <c r="BL598" s="181"/>
      <c r="BM598" s="181"/>
      <c r="BN598" s="181"/>
      <c r="BO598" s="181"/>
      <c r="BP598" s="181"/>
      <c r="BQ598" s="181"/>
      <c r="BR598" s="181"/>
      <c r="BS598" s="181"/>
      <c r="BT598" s="181"/>
      <c r="BU598" s="181"/>
      <c r="BV598" s="181"/>
      <c r="BW598" s="181"/>
      <c r="BX598" s="181"/>
    </row>
    <row r="599" spans="1:76" s="30" customFormat="1" x14ac:dyDescent="0.25">
      <c r="A599" s="545"/>
      <c r="B599" s="1579"/>
      <c r="C599" s="1097"/>
      <c r="D599" s="1130"/>
      <c r="E599" s="1131"/>
      <c r="F599" s="1097"/>
      <c r="G599" s="2084"/>
      <c r="H599" s="2084"/>
      <c r="I599" s="2084"/>
      <c r="J599" s="1132"/>
      <c r="K599" s="1132" t="s">
        <v>774</v>
      </c>
      <c r="L599" s="1132"/>
      <c r="M599" s="1132"/>
      <c r="N599" s="1132"/>
      <c r="O599" s="1132"/>
      <c r="P599" s="1132"/>
      <c r="Q599" s="1132"/>
      <c r="R599" s="1132"/>
      <c r="S599" s="1132"/>
      <c r="T599" s="1132"/>
      <c r="U599" s="1132"/>
      <c r="V599" s="1132"/>
      <c r="W599" s="1132"/>
      <c r="X599" s="1132"/>
      <c r="Y599" s="1132"/>
      <c r="Z599" s="1097"/>
      <c r="AA599" s="1132"/>
      <c r="AB599" s="1133"/>
      <c r="AC599" s="1095"/>
      <c r="AD599" s="1133"/>
      <c r="AE599" s="1095"/>
      <c r="AF599" s="1095"/>
      <c r="AG599" s="1095"/>
      <c r="AH599" s="1095"/>
      <c r="AI599" s="1095"/>
      <c r="AJ599" s="1095"/>
      <c r="AK599" s="1095"/>
      <c r="AL599" s="1095"/>
      <c r="AM599" s="1095"/>
      <c r="AN599" s="1095"/>
      <c r="AO599" s="1095"/>
      <c r="AP599" s="1095"/>
      <c r="AQ599" s="1106"/>
      <c r="AR599" s="1097"/>
      <c r="AS599" s="1097"/>
      <c r="AV599" s="181"/>
      <c r="AW599" s="181"/>
      <c r="AX599" s="181"/>
      <c r="AY599" s="181"/>
      <c r="AZ599" s="181"/>
      <c r="BA599" s="181"/>
      <c r="BB599" s="181"/>
      <c r="BC599" s="181"/>
      <c r="BD599" s="181"/>
      <c r="BE599" s="181"/>
      <c r="BF599" s="181"/>
      <c r="BG599" s="181"/>
      <c r="BH599" s="181"/>
      <c r="BI599" s="181"/>
      <c r="BJ599" s="181"/>
      <c r="BK599" s="181"/>
      <c r="BL599" s="181"/>
      <c r="BM599" s="181"/>
      <c r="BN599" s="181"/>
      <c r="BO599" s="181"/>
      <c r="BP599" s="181"/>
      <c r="BQ599" s="181"/>
      <c r="BR599" s="181"/>
      <c r="BS599" s="181"/>
      <c r="BT599" s="181"/>
      <c r="BU599" s="181"/>
      <c r="BV599" s="181"/>
      <c r="BW599" s="181"/>
      <c r="BX599" s="181"/>
    </row>
    <row r="600" spans="1:76" s="30" customFormat="1" x14ac:dyDescent="0.25">
      <c r="A600" s="545"/>
      <c r="B600" s="1579"/>
      <c r="C600" s="1097"/>
      <c r="D600" s="1130"/>
      <c r="E600" s="1131"/>
      <c r="F600" s="1097"/>
      <c r="G600" s="2084"/>
      <c r="H600" s="2084"/>
      <c r="I600" s="2084"/>
      <c r="J600" s="1132"/>
      <c r="K600" s="1132"/>
      <c r="L600" s="1132"/>
      <c r="M600" s="1132"/>
      <c r="N600" s="1132"/>
      <c r="O600" s="1132"/>
      <c r="P600" s="1132"/>
      <c r="Q600" s="1132"/>
      <c r="R600" s="1132"/>
      <c r="S600" s="1132"/>
      <c r="T600" s="1132"/>
      <c r="U600" s="1132"/>
      <c r="V600" s="1132"/>
      <c r="W600" s="1132"/>
      <c r="X600" s="1132"/>
      <c r="Y600" s="1132"/>
      <c r="Z600" s="1097"/>
      <c r="AA600" s="1132"/>
      <c r="AB600" s="1133"/>
      <c r="AC600" s="1095"/>
      <c r="AD600" s="1133"/>
      <c r="AE600" s="1095"/>
      <c r="AF600" s="1095"/>
      <c r="AG600" s="1095"/>
      <c r="AH600" s="1095"/>
      <c r="AI600" s="1095"/>
      <c r="AJ600" s="1095"/>
      <c r="AK600" s="1095"/>
      <c r="AL600" s="1095"/>
      <c r="AM600" s="1095"/>
      <c r="AN600" s="1095"/>
      <c r="AO600" s="1095"/>
      <c r="AP600" s="1095"/>
      <c r="AQ600" s="1106"/>
      <c r="AR600" s="1097"/>
      <c r="AS600" s="1097"/>
      <c r="AV600" s="181"/>
      <c r="AW600" s="181"/>
      <c r="AX600" s="181"/>
      <c r="AY600" s="181"/>
      <c r="AZ600" s="181"/>
      <c r="BA600" s="181"/>
      <c r="BB600" s="181"/>
      <c r="BC600" s="181"/>
      <c r="BD600" s="181"/>
      <c r="BE600" s="181"/>
      <c r="BF600" s="181"/>
      <c r="BG600" s="181"/>
      <c r="BH600" s="181"/>
      <c r="BI600" s="181"/>
      <c r="BJ600" s="181"/>
      <c r="BK600" s="181"/>
      <c r="BL600" s="181"/>
      <c r="BM600" s="181"/>
      <c r="BN600" s="181"/>
      <c r="BO600" s="181"/>
      <c r="BP600" s="181"/>
      <c r="BQ600" s="181"/>
      <c r="BR600" s="181"/>
      <c r="BS600" s="181"/>
      <c r="BT600" s="181"/>
      <c r="BU600" s="181"/>
      <c r="BV600" s="181"/>
      <c r="BW600" s="181"/>
      <c r="BX600" s="181"/>
    </row>
    <row r="601" spans="1:76" s="30" customFormat="1" x14ac:dyDescent="0.25">
      <c r="A601" s="545"/>
      <c r="B601" s="1579"/>
      <c r="C601" s="1097"/>
      <c r="D601" s="1130"/>
      <c r="E601" s="1131"/>
      <c r="F601" s="1097"/>
      <c r="G601" s="2084">
        <v>42506</v>
      </c>
      <c r="H601" s="2084"/>
      <c r="I601" s="2084"/>
      <c r="J601" s="1132"/>
      <c r="K601" s="1132" t="s">
        <v>777</v>
      </c>
      <c r="L601" s="1132"/>
      <c r="M601" s="1132"/>
      <c r="N601" s="1132"/>
      <c r="O601" s="1132"/>
      <c r="P601" s="1132"/>
      <c r="Q601" s="1132"/>
      <c r="R601" s="1132"/>
      <c r="S601" s="1132"/>
      <c r="T601" s="1132"/>
      <c r="U601" s="1132"/>
      <c r="V601" s="1132"/>
      <c r="W601" s="1132"/>
      <c r="X601" s="1132"/>
      <c r="Y601" s="1132"/>
      <c r="Z601" s="1097"/>
      <c r="AA601" s="1132"/>
      <c r="AB601" s="1133"/>
      <c r="AC601" s="1095"/>
      <c r="AD601" s="1133"/>
      <c r="AE601" s="1095"/>
      <c r="AF601" s="1095"/>
      <c r="AG601" s="1095"/>
      <c r="AH601" s="1095"/>
      <c r="AI601" s="1095"/>
      <c r="AJ601" s="1095"/>
      <c r="AK601" s="1095"/>
      <c r="AL601" s="1095"/>
      <c r="AM601" s="1095"/>
      <c r="AN601" s="1095"/>
      <c r="AO601" s="1095"/>
      <c r="AP601" s="1095"/>
      <c r="AQ601" s="1106"/>
      <c r="AR601" s="1097"/>
      <c r="AS601" s="1097"/>
      <c r="AV601" s="181"/>
      <c r="AW601" s="181"/>
      <c r="AX601" s="181"/>
      <c r="AY601" s="181"/>
      <c r="AZ601" s="181"/>
      <c r="BA601" s="181"/>
      <c r="BB601" s="181"/>
      <c r="BC601" s="181"/>
      <c r="BD601" s="181"/>
      <c r="BE601" s="181"/>
      <c r="BF601" s="181"/>
      <c r="BG601" s="181"/>
      <c r="BH601" s="181"/>
      <c r="BI601" s="181"/>
      <c r="BJ601" s="181"/>
      <c r="BK601" s="181"/>
      <c r="BL601" s="181"/>
      <c r="BM601" s="181"/>
      <c r="BN601" s="181"/>
      <c r="BO601" s="181"/>
      <c r="BP601" s="181"/>
      <c r="BQ601" s="181"/>
      <c r="BR601" s="181"/>
      <c r="BS601" s="181"/>
      <c r="BT601" s="181"/>
      <c r="BU601" s="181"/>
      <c r="BV601" s="181"/>
      <c r="BW601" s="181"/>
      <c r="BX601" s="181"/>
    </row>
    <row r="602" spans="1:76" s="30" customFormat="1" x14ac:dyDescent="0.25">
      <c r="A602" s="545"/>
      <c r="B602" s="1579"/>
      <c r="C602" s="1097"/>
      <c r="D602" s="1130"/>
      <c r="E602" s="1131"/>
      <c r="F602" s="1097"/>
      <c r="G602" s="2084"/>
      <c r="H602" s="2084"/>
      <c r="I602" s="2084"/>
      <c r="J602" s="1132"/>
      <c r="K602" s="1132"/>
      <c r="L602" s="1132"/>
      <c r="M602" s="1132"/>
      <c r="N602" s="1132"/>
      <c r="O602" s="1132"/>
      <c r="P602" s="1132"/>
      <c r="Q602" s="1132"/>
      <c r="R602" s="1132"/>
      <c r="S602" s="1132"/>
      <c r="T602" s="1132"/>
      <c r="U602" s="1132"/>
      <c r="V602" s="1132"/>
      <c r="W602" s="1132"/>
      <c r="X602" s="1132"/>
      <c r="Y602" s="1132"/>
      <c r="Z602" s="1097"/>
      <c r="AA602" s="1132"/>
      <c r="AB602" s="1133"/>
      <c r="AC602" s="1095"/>
      <c r="AD602" s="1133"/>
      <c r="AE602" s="1095"/>
      <c r="AF602" s="1095"/>
      <c r="AG602" s="1095"/>
      <c r="AH602" s="1095"/>
      <c r="AI602" s="1095"/>
      <c r="AJ602" s="1095"/>
      <c r="AK602" s="1095"/>
      <c r="AL602" s="1095"/>
      <c r="AM602" s="1095"/>
      <c r="AN602" s="1095"/>
      <c r="AO602" s="1095"/>
      <c r="AP602" s="1095"/>
      <c r="AQ602" s="1106"/>
      <c r="AR602" s="1097"/>
      <c r="AS602" s="1097"/>
      <c r="AV602" s="181"/>
      <c r="AW602" s="181"/>
      <c r="AX602" s="181"/>
      <c r="AY602" s="181"/>
      <c r="AZ602" s="181"/>
      <c r="BA602" s="181"/>
      <c r="BB602" s="181"/>
      <c r="BC602" s="181"/>
      <c r="BD602" s="181"/>
      <c r="BE602" s="181"/>
      <c r="BF602" s="181"/>
      <c r="BG602" s="181"/>
      <c r="BH602" s="181"/>
      <c r="BI602" s="181"/>
      <c r="BJ602" s="181"/>
      <c r="BK602" s="181"/>
      <c r="BL602" s="181"/>
      <c r="BM602" s="181"/>
      <c r="BN602" s="181"/>
      <c r="BO602" s="181"/>
      <c r="BP602" s="181"/>
      <c r="BQ602" s="181"/>
      <c r="BR602" s="181"/>
      <c r="BS602" s="181"/>
      <c r="BT602" s="181"/>
      <c r="BU602" s="181"/>
      <c r="BV602" s="181"/>
      <c r="BW602" s="181"/>
      <c r="BX602" s="181"/>
    </row>
    <row r="603" spans="1:76" s="30" customFormat="1" x14ac:dyDescent="0.25">
      <c r="A603" s="545"/>
      <c r="B603" s="1579"/>
      <c r="C603" s="1097"/>
      <c r="D603" s="1130"/>
      <c r="E603" s="1131"/>
      <c r="F603" s="1097"/>
      <c r="G603" s="2084">
        <v>42513</v>
      </c>
      <c r="H603" s="2084"/>
      <c r="I603" s="2084"/>
      <c r="J603" s="1132"/>
      <c r="K603" s="1132" t="s">
        <v>813</v>
      </c>
      <c r="L603" s="1132"/>
      <c r="M603" s="1132"/>
      <c r="N603" s="1132"/>
      <c r="O603" s="1132"/>
      <c r="P603" s="1132"/>
      <c r="Q603" s="1132"/>
      <c r="R603" s="1132"/>
      <c r="S603" s="1132"/>
      <c r="T603" s="1132"/>
      <c r="U603" s="1132"/>
      <c r="V603" s="1132"/>
      <c r="W603" s="1132"/>
      <c r="X603" s="1132"/>
      <c r="Y603" s="1132"/>
      <c r="Z603" s="1097"/>
      <c r="AA603" s="1132"/>
      <c r="AB603" s="1133"/>
      <c r="AC603" s="1095"/>
      <c r="AD603" s="1133"/>
      <c r="AE603" s="1095"/>
      <c r="AF603" s="1095"/>
      <c r="AG603" s="1095"/>
      <c r="AH603" s="1095"/>
      <c r="AI603" s="1095"/>
      <c r="AJ603" s="1095"/>
      <c r="AK603" s="1095"/>
      <c r="AL603" s="1095"/>
      <c r="AM603" s="1095"/>
      <c r="AN603" s="1095"/>
      <c r="AO603" s="1095"/>
      <c r="AP603" s="1095"/>
      <c r="AQ603" s="1106"/>
      <c r="AR603" s="1097"/>
      <c r="AS603" s="1097"/>
      <c r="AV603" s="181"/>
      <c r="AW603" s="181"/>
      <c r="AX603" s="181"/>
      <c r="AY603" s="181"/>
      <c r="AZ603" s="181"/>
      <c r="BA603" s="181"/>
      <c r="BB603" s="181"/>
      <c r="BC603" s="181"/>
      <c r="BD603" s="181"/>
      <c r="BE603" s="181"/>
      <c r="BF603" s="181"/>
      <c r="BG603" s="181"/>
      <c r="BH603" s="181"/>
      <c r="BI603" s="181"/>
      <c r="BJ603" s="181"/>
      <c r="BK603" s="181"/>
      <c r="BL603" s="181"/>
      <c r="BM603" s="181"/>
      <c r="BN603" s="181"/>
      <c r="BO603" s="181"/>
      <c r="BP603" s="181"/>
      <c r="BQ603" s="181"/>
      <c r="BR603" s="181"/>
      <c r="BS603" s="181"/>
      <c r="BT603" s="181"/>
      <c r="BU603" s="181"/>
      <c r="BV603" s="181"/>
      <c r="BW603" s="181"/>
      <c r="BX603" s="181"/>
    </row>
    <row r="604" spans="1:76" s="30" customFormat="1" x14ac:dyDescent="0.25">
      <c r="A604" s="545"/>
      <c r="B604" s="1579"/>
      <c r="C604" s="1097"/>
      <c r="D604" s="1130"/>
      <c r="E604" s="1131"/>
      <c r="F604" s="1097"/>
      <c r="G604" s="2084"/>
      <c r="H604" s="2084"/>
      <c r="I604" s="2084"/>
      <c r="J604" s="1132"/>
      <c r="K604" s="1132"/>
      <c r="L604" s="1132"/>
      <c r="M604" s="1132"/>
      <c r="N604" s="1132"/>
      <c r="O604" s="1132"/>
      <c r="P604" s="1132"/>
      <c r="Q604" s="1132"/>
      <c r="R604" s="1132"/>
      <c r="S604" s="1132"/>
      <c r="T604" s="1132"/>
      <c r="U604" s="1132"/>
      <c r="V604" s="1132"/>
      <c r="W604" s="1132"/>
      <c r="X604" s="1132"/>
      <c r="Y604" s="1132"/>
      <c r="Z604" s="1097"/>
      <c r="AA604" s="1132"/>
      <c r="AB604" s="1133"/>
      <c r="AC604" s="1095"/>
      <c r="AD604" s="1133"/>
      <c r="AE604" s="1095"/>
      <c r="AF604" s="1095"/>
      <c r="AG604" s="1095"/>
      <c r="AH604" s="1095"/>
      <c r="AI604" s="1095"/>
      <c r="AJ604" s="1095"/>
      <c r="AK604" s="1095"/>
      <c r="AL604" s="1095"/>
      <c r="AM604" s="1095"/>
      <c r="AN604" s="1095"/>
      <c r="AO604" s="1095"/>
      <c r="AP604" s="1095"/>
      <c r="AQ604" s="1106"/>
      <c r="AR604" s="1097"/>
      <c r="AS604" s="1097"/>
      <c r="AV604" s="181"/>
      <c r="AW604" s="181"/>
      <c r="AX604" s="181"/>
      <c r="AY604" s="181"/>
      <c r="AZ604" s="181"/>
      <c r="BA604" s="181"/>
      <c r="BB604" s="181"/>
      <c r="BC604" s="181"/>
      <c r="BD604" s="181"/>
      <c r="BE604" s="181"/>
      <c r="BF604" s="181"/>
      <c r="BG604" s="181"/>
      <c r="BH604" s="181"/>
      <c r="BI604" s="181"/>
      <c r="BJ604" s="181"/>
      <c r="BK604" s="181"/>
      <c r="BL604" s="181"/>
      <c r="BM604" s="181"/>
      <c r="BN604" s="181"/>
      <c r="BO604" s="181"/>
      <c r="BP604" s="181"/>
      <c r="BQ604" s="181"/>
      <c r="BR604" s="181"/>
      <c r="BS604" s="181"/>
      <c r="BT604" s="181"/>
      <c r="BU604" s="181"/>
      <c r="BV604" s="181"/>
      <c r="BW604" s="181"/>
      <c r="BX604" s="181"/>
    </row>
    <row r="605" spans="1:76" s="30" customFormat="1" x14ac:dyDescent="0.25">
      <c r="A605" s="545"/>
      <c r="B605" s="1579"/>
      <c r="C605" s="1097"/>
      <c r="D605" s="1130"/>
      <c r="E605" s="1131"/>
      <c r="F605" s="1097"/>
      <c r="G605" s="2084">
        <v>42514</v>
      </c>
      <c r="H605" s="2084"/>
      <c r="I605" s="2084"/>
      <c r="J605" s="1132"/>
      <c r="K605" s="1132" t="s">
        <v>819</v>
      </c>
      <c r="L605" s="1132"/>
      <c r="M605" s="1132"/>
      <c r="N605" s="1132"/>
      <c r="O605" s="1132"/>
      <c r="P605" s="1132"/>
      <c r="Q605" s="1132"/>
      <c r="R605" s="1132"/>
      <c r="S605" s="1132"/>
      <c r="T605" s="1132"/>
      <c r="U605" s="1132"/>
      <c r="V605" s="1132"/>
      <c r="W605" s="1132"/>
      <c r="X605" s="1132"/>
      <c r="Y605" s="1132"/>
      <c r="Z605" s="1097"/>
      <c r="AA605" s="1132"/>
      <c r="AB605" s="1133"/>
      <c r="AC605" s="1095"/>
      <c r="AD605" s="1133"/>
      <c r="AE605" s="1095"/>
      <c r="AF605" s="1095"/>
      <c r="AG605" s="1095"/>
      <c r="AH605" s="1095"/>
      <c r="AI605" s="1095"/>
      <c r="AJ605" s="1095"/>
      <c r="AK605" s="1095"/>
      <c r="AL605" s="1095"/>
      <c r="AM605" s="1095"/>
      <c r="AN605" s="1095"/>
      <c r="AO605" s="1095"/>
      <c r="AP605" s="1095"/>
      <c r="AQ605" s="1106"/>
      <c r="AR605" s="1097"/>
      <c r="AS605" s="1097"/>
      <c r="AT605" s="199"/>
      <c r="AV605" s="181"/>
      <c r="AW605" s="181"/>
      <c r="AX605" s="181"/>
      <c r="AY605" s="181"/>
      <c r="AZ605" s="181"/>
      <c r="BA605" s="181"/>
      <c r="BB605" s="181"/>
      <c r="BC605" s="181"/>
      <c r="BD605" s="181"/>
      <c r="BE605" s="181"/>
      <c r="BF605" s="181"/>
      <c r="BG605" s="181"/>
      <c r="BH605" s="181"/>
      <c r="BI605" s="181"/>
      <c r="BJ605" s="181"/>
      <c r="BK605" s="181"/>
      <c r="BL605" s="181"/>
      <c r="BM605" s="181"/>
      <c r="BN605" s="181"/>
      <c r="BO605" s="181"/>
      <c r="BP605" s="181"/>
      <c r="BQ605" s="181"/>
      <c r="BR605" s="181"/>
      <c r="BS605" s="181"/>
      <c r="BT605" s="181"/>
      <c r="BU605" s="181"/>
      <c r="BV605" s="181"/>
      <c r="BW605" s="181"/>
      <c r="BX605" s="181"/>
    </row>
    <row r="606" spans="1:76" s="30" customFormat="1" x14ac:dyDescent="0.25">
      <c r="A606" s="545"/>
      <c r="B606" s="1579"/>
      <c r="C606" s="1097"/>
      <c r="D606" s="1130"/>
      <c r="E606" s="1131"/>
      <c r="F606" s="1097"/>
      <c r="G606" s="2084"/>
      <c r="H606" s="2084"/>
      <c r="I606" s="2084"/>
      <c r="J606" s="1132"/>
      <c r="K606" s="1132"/>
      <c r="L606" s="1132"/>
      <c r="M606" s="1132"/>
      <c r="N606" s="1132"/>
      <c r="O606" s="1132"/>
      <c r="P606" s="1132"/>
      <c r="Q606" s="1132"/>
      <c r="R606" s="1132"/>
      <c r="S606" s="1132"/>
      <c r="T606" s="1132"/>
      <c r="U606" s="1132"/>
      <c r="V606" s="1132"/>
      <c r="W606" s="1132"/>
      <c r="X606" s="1132"/>
      <c r="Y606" s="1132"/>
      <c r="Z606" s="1097"/>
      <c r="AA606" s="1132"/>
      <c r="AB606" s="1133"/>
      <c r="AC606" s="1095"/>
      <c r="AD606" s="1133"/>
      <c r="AE606" s="1095"/>
      <c r="AF606" s="1095"/>
      <c r="AG606" s="1095"/>
      <c r="AH606" s="1095"/>
      <c r="AI606" s="1095"/>
      <c r="AJ606" s="1095"/>
      <c r="AK606" s="1095"/>
      <c r="AL606" s="1095"/>
      <c r="AM606" s="1095"/>
      <c r="AN606" s="1095"/>
      <c r="AO606" s="1095"/>
      <c r="AP606" s="1095"/>
      <c r="AQ606" s="1106"/>
      <c r="AR606" s="1097"/>
      <c r="AS606" s="1097"/>
      <c r="AV606" s="181"/>
      <c r="AW606" s="181"/>
      <c r="AX606" s="181"/>
      <c r="AY606" s="181"/>
      <c r="AZ606" s="181"/>
      <c r="BA606" s="181"/>
      <c r="BB606" s="181"/>
      <c r="BC606" s="181"/>
      <c r="BD606" s="181"/>
      <c r="BE606" s="181"/>
      <c r="BF606" s="181"/>
      <c r="BG606" s="181"/>
      <c r="BH606" s="181"/>
      <c r="BI606" s="181"/>
      <c r="BJ606" s="181"/>
      <c r="BK606" s="181"/>
      <c r="BL606" s="181"/>
      <c r="BM606" s="181"/>
      <c r="BN606" s="181"/>
      <c r="BO606" s="181"/>
      <c r="BP606" s="181"/>
      <c r="BQ606" s="181"/>
      <c r="BR606" s="181"/>
      <c r="BS606" s="181"/>
      <c r="BT606" s="181"/>
      <c r="BU606" s="181"/>
      <c r="BV606" s="181"/>
      <c r="BW606" s="181"/>
      <c r="BX606" s="181"/>
    </row>
    <row r="607" spans="1:76" s="30" customFormat="1" x14ac:dyDescent="0.25">
      <c r="A607" s="545"/>
      <c r="B607" s="1579"/>
      <c r="C607" s="1097"/>
      <c r="D607" s="1130"/>
      <c r="E607" s="1131"/>
      <c r="F607" s="1097"/>
      <c r="G607" s="2084">
        <v>42515</v>
      </c>
      <c r="H607" s="2084"/>
      <c r="I607" s="2084"/>
      <c r="J607" s="1132"/>
      <c r="K607" s="1132" t="s">
        <v>824</v>
      </c>
      <c r="L607" s="1132"/>
      <c r="M607" s="1132"/>
      <c r="N607" s="1132"/>
      <c r="O607" s="1132"/>
      <c r="P607" s="1132"/>
      <c r="Q607" s="1132"/>
      <c r="R607" s="1132"/>
      <c r="S607" s="1132"/>
      <c r="T607" s="1132"/>
      <c r="U607" s="1132"/>
      <c r="V607" s="1132"/>
      <c r="W607" s="1132"/>
      <c r="X607" s="1132"/>
      <c r="Y607" s="1132"/>
      <c r="Z607" s="1097"/>
      <c r="AA607" s="1132"/>
      <c r="AB607" s="1133"/>
      <c r="AC607" s="1095"/>
      <c r="AD607" s="1133"/>
      <c r="AE607" s="1095"/>
      <c r="AF607" s="1095"/>
      <c r="AG607" s="1095"/>
      <c r="AH607" s="1095"/>
      <c r="AI607" s="1095"/>
      <c r="AJ607" s="1095"/>
      <c r="AK607" s="1095"/>
      <c r="AL607" s="1095"/>
      <c r="AM607" s="1095"/>
      <c r="AN607" s="1095"/>
      <c r="AO607" s="1095"/>
      <c r="AP607" s="1095"/>
      <c r="AQ607" s="1106"/>
      <c r="AR607" s="1097"/>
      <c r="AS607" s="1097"/>
      <c r="AV607" s="181"/>
      <c r="AW607" s="181"/>
      <c r="AX607" s="181"/>
      <c r="AY607" s="181"/>
      <c r="AZ607" s="181"/>
      <c r="BA607" s="181"/>
      <c r="BB607" s="181"/>
      <c r="BC607" s="181"/>
      <c r="BD607" s="181"/>
      <c r="BE607" s="181"/>
      <c r="BF607" s="181"/>
      <c r="BG607" s="181"/>
      <c r="BH607" s="181"/>
      <c r="BI607" s="181"/>
      <c r="BJ607" s="181"/>
      <c r="BK607" s="181"/>
      <c r="BL607" s="181"/>
      <c r="BM607" s="181"/>
      <c r="BN607" s="181"/>
      <c r="BO607" s="181"/>
      <c r="BP607" s="181"/>
      <c r="BQ607" s="181"/>
      <c r="BR607" s="181"/>
      <c r="BS607" s="181"/>
      <c r="BT607" s="181"/>
      <c r="BU607" s="181"/>
      <c r="BV607" s="181"/>
      <c r="BW607" s="181"/>
      <c r="BX607" s="181"/>
    </row>
    <row r="608" spans="1:76" s="30" customFormat="1" x14ac:dyDescent="0.25">
      <c r="A608" s="545"/>
      <c r="B608" s="1579"/>
      <c r="C608" s="1097"/>
      <c r="D608" s="1130"/>
      <c r="E608" s="1131"/>
      <c r="F608" s="1097"/>
      <c r="G608" s="2084"/>
      <c r="H608" s="2084"/>
      <c r="I608" s="2084"/>
      <c r="J608" s="1132"/>
      <c r="K608" s="1132"/>
      <c r="L608" s="1132"/>
      <c r="M608" s="1132"/>
      <c r="N608" s="1132"/>
      <c r="O608" s="1132"/>
      <c r="P608" s="1132"/>
      <c r="Q608" s="1132"/>
      <c r="R608" s="1132"/>
      <c r="S608" s="1132"/>
      <c r="T608" s="1132"/>
      <c r="U608" s="1132"/>
      <c r="V608" s="1132"/>
      <c r="W608" s="1132"/>
      <c r="X608" s="1132"/>
      <c r="Y608" s="1132"/>
      <c r="Z608" s="1097"/>
      <c r="AA608" s="1132"/>
      <c r="AB608" s="1133"/>
      <c r="AC608" s="1095"/>
      <c r="AD608" s="1133"/>
      <c r="AE608" s="1095"/>
      <c r="AF608" s="1095"/>
      <c r="AG608" s="1095"/>
      <c r="AH608" s="1095"/>
      <c r="AI608" s="1095"/>
      <c r="AJ608" s="1095"/>
      <c r="AK608" s="1095"/>
      <c r="AL608" s="1095"/>
      <c r="AM608" s="1095"/>
      <c r="AN608" s="1095"/>
      <c r="AO608" s="1095"/>
      <c r="AP608" s="1095"/>
      <c r="AQ608" s="1106"/>
      <c r="AR608" s="1097"/>
      <c r="AS608" s="1097"/>
      <c r="AV608" s="181"/>
      <c r="AW608" s="181"/>
      <c r="AX608" s="181"/>
      <c r="AY608" s="181"/>
      <c r="AZ608" s="181"/>
      <c r="BA608" s="181"/>
      <c r="BB608" s="181"/>
      <c r="BC608" s="181"/>
      <c r="BD608" s="181"/>
      <c r="BE608" s="181"/>
      <c r="BF608" s="181"/>
      <c r="BG608" s="181"/>
      <c r="BH608" s="181"/>
      <c r="BI608" s="181"/>
      <c r="BJ608" s="181"/>
      <c r="BK608" s="181"/>
      <c r="BL608" s="181"/>
      <c r="BM608" s="181"/>
      <c r="BN608" s="181"/>
      <c r="BO608" s="181"/>
      <c r="BP608" s="181"/>
      <c r="BQ608" s="181"/>
      <c r="BR608" s="181"/>
      <c r="BS608" s="181"/>
      <c r="BT608" s="181"/>
      <c r="BU608" s="181"/>
      <c r="BV608" s="181"/>
      <c r="BW608" s="181"/>
      <c r="BX608" s="181"/>
    </row>
    <row r="609" spans="1:76" s="30" customFormat="1" x14ac:dyDescent="0.25">
      <c r="A609" s="545"/>
      <c r="B609" s="1579"/>
      <c r="C609" s="1097"/>
      <c r="D609" s="1130"/>
      <c r="E609" s="1131"/>
      <c r="F609" s="1097"/>
      <c r="G609" s="2084">
        <v>42536</v>
      </c>
      <c r="H609" s="2084"/>
      <c r="I609" s="2084"/>
      <c r="J609" s="1132"/>
      <c r="K609" s="1132" t="s">
        <v>830</v>
      </c>
      <c r="L609" s="1132"/>
      <c r="M609" s="1132"/>
      <c r="N609" s="1132"/>
      <c r="O609" s="1132"/>
      <c r="P609" s="1132"/>
      <c r="Q609" s="1132"/>
      <c r="R609" s="1132"/>
      <c r="S609" s="1132"/>
      <c r="T609" s="1132"/>
      <c r="U609" s="1132"/>
      <c r="V609" s="1132"/>
      <c r="W609" s="1132"/>
      <c r="X609" s="1132"/>
      <c r="Y609" s="1132"/>
      <c r="Z609" s="1097"/>
      <c r="AA609" s="1132"/>
      <c r="AB609" s="1133"/>
      <c r="AC609" s="1095"/>
      <c r="AD609" s="1133"/>
      <c r="AE609" s="1095"/>
      <c r="AF609" s="1095"/>
      <c r="AG609" s="1095"/>
      <c r="AH609" s="1095"/>
      <c r="AI609" s="1095"/>
      <c r="AJ609" s="1095"/>
      <c r="AK609" s="1095"/>
      <c r="AL609" s="1095"/>
      <c r="AM609" s="1095"/>
      <c r="AN609" s="1095"/>
      <c r="AO609" s="1095"/>
      <c r="AP609" s="1095"/>
      <c r="AQ609" s="1106"/>
      <c r="AR609" s="1097"/>
      <c r="AS609" s="1097"/>
      <c r="AV609" s="181"/>
      <c r="AW609" s="181"/>
      <c r="AX609" s="181"/>
      <c r="AY609" s="181"/>
      <c r="AZ609" s="181"/>
      <c r="BA609" s="181"/>
      <c r="BB609" s="181"/>
      <c r="BC609" s="181"/>
      <c r="BD609" s="181"/>
      <c r="BE609" s="181"/>
      <c r="BF609" s="181"/>
      <c r="BG609" s="181"/>
      <c r="BH609" s="181"/>
      <c r="BI609" s="181"/>
      <c r="BJ609" s="181"/>
      <c r="BK609" s="181"/>
      <c r="BL609" s="181"/>
      <c r="BM609" s="181"/>
      <c r="BN609" s="181"/>
      <c r="BO609" s="181"/>
      <c r="BP609" s="181"/>
      <c r="BQ609" s="181"/>
      <c r="BR609" s="181"/>
      <c r="BS609" s="181"/>
      <c r="BT609" s="181"/>
      <c r="BU609" s="181"/>
      <c r="BV609" s="181"/>
      <c r="BW609" s="181"/>
      <c r="BX609" s="181"/>
    </row>
    <row r="610" spans="1:76" s="30" customFormat="1" x14ac:dyDescent="0.25">
      <c r="A610" s="545"/>
      <c r="B610" s="1579"/>
      <c r="C610" s="1097"/>
      <c r="D610" s="1130"/>
      <c r="E610" s="1131"/>
      <c r="F610" s="1097"/>
      <c r="G610" s="2084"/>
      <c r="H610" s="2084"/>
      <c r="I610" s="2084"/>
      <c r="J610" s="1132"/>
      <c r="K610" s="1132"/>
      <c r="L610" s="1132"/>
      <c r="M610" s="1132"/>
      <c r="N610" s="1132"/>
      <c r="O610" s="1132"/>
      <c r="P610" s="1132"/>
      <c r="Q610" s="1132"/>
      <c r="R610" s="1132"/>
      <c r="S610" s="1132"/>
      <c r="T610" s="1132"/>
      <c r="U610" s="1132"/>
      <c r="V610" s="1132"/>
      <c r="W610" s="1132"/>
      <c r="X610" s="1132"/>
      <c r="Y610" s="1132"/>
      <c r="Z610" s="1097"/>
      <c r="AA610" s="1132"/>
      <c r="AB610" s="1133"/>
      <c r="AC610" s="1095"/>
      <c r="AD610" s="1133"/>
      <c r="AE610" s="1095"/>
      <c r="AF610" s="1095"/>
      <c r="AG610" s="1095"/>
      <c r="AH610" s="1095"/>
      <c r="AI610" s="1095"/>
      <c r="AJ610" s="1095"/>
      <c r="AK610" s="1095"/>
      <c r="AL610" s="1095"/>
      <c r="AM610" s="1095"/>
      <c r="AN610" s="1095"/>
      <c r="AO610" s="1095"/>
      <c r="AP610" s="1095"/>
      <c r="AQ610" s="1106"/>
      <c r="AR610" s="1097"/>
      <c r="AS610" s="1097"/>
      <c r="AV610" s="181"/>
      <c r="AW610" s="181"/>
      <c r="AX610" s="181"/>
      <c r="AY610" s="181"/>
      <c r="AZ610" s="181"/>
      <c r="BA610" s="181"/>
      <c r="BB610" s="181"/>
      <c r="BC610" s="181"/>
      <c r="BD610" s="181"/>
      <c r="BE610" s="181"/>
      <c r="BF610" s="181"/>
      <c r="BG610" s="181"/>
      <c r="BH610" s="181"/>
      <c r="BI610" s="181"/>
      <c r="BJ610" s="181"/>
      <c r="BK610" s="181"/>
      <c r="BL610" s="181"/>
      <c r="BM610" s="181"/>
      <c r="BN610" s="181"/>
      <c r="BO610" s="181"/>
      <c r="BP610" s="181"/>
      <c r="BQ610" s="181"/>
      <c r="BR610" s="181"/>
      <c r="BS610" s="181"/>
      <c r="BT610" s="181"/>
      <c r="BU610" s="181"/>
      <c r="BV610" s="181"/>
      <c r="BW610" s="181"/>
      <c r="BX610" s="181"/>
    </row>
    <row r="611" spans="1:76" s="30" customFormat="1" x14ac:dyDescent="0.25">
      <c r="A611" s="545"/>
      <c r="B611" s="1579"/>
      <c r="C611" s="1097"/>
      <c r="D611" s="1130"/>
      <c r="E611" s="1131"/>
      <c r="F611" s="1097"/>
      <c r="G611" s="2084">
        <v>42653</v>
      </c>
      <c r="H611" s="2084"/>
      <c r="I611" s="2084"/>
      <c r="J611" s="1132"/>
      <c r="K611" s="1132" t="s">
        <v>867</v>
      </c>
      <c r="L611" s="1132"/>
      <c r="M611" s="1132"/>
      <c r="N611" s="1132"/>
      <c r="O611" s="1132"/>
      <c r="P611" s="1132"/>
      <c r="Q611" s="1132"/>
      <c r="R611" s="1132"/>
      <c r="S611" s="1132"/>
      <c r="T611" s="1132"/>
      <c r="U611" s="1132"/>
      <c r="V611" s="1132"/>
      <c r="W611" s="1132"/>
      <c r="X611" s="1132"/>
      <c r="Y611" s="1132"/>
      <c r="Z611" s="1097"/>
      <c r="AA611" s="1132"/>
      <c r="AB611" s="1133"/>
      <c r="AC611" s="1095"/>
      <c r="AD611" s="1133"/>
      <c r="AE611" s="1095"/>
      <c r="AF611" s="1095"/>
      <c r="AG611" s="1095"/>
      <c r="AH611" s="1095"/>
      <c r="AI611" s="1095"/>
      <c r="AJ611" s="1095"/>
      <c r="AK611" s="1095"/>
      <c r="AL611" s="1095"/>
      <c r="AM611" s="1095"/>
      <c r="AN611" s="1095"/>
      <c r="AO611" s="1095"/>
      <c r="AP611" s="1095"/>
      <c r="AQ611" s="1106"/>
      <c r="AR611" s="1097"/>
      <c r="AS611" s="1097"/>
      <c r="AV611" s="181"/>
      <c r="AW611" s="181"/>
      <c r="AX611" s="181"/>
      <c r="AY611" s="181"/>
      <c r="AZ611" s="181"/>
      <c r="BA611" s="181"/>
      <c r="BB611" s="181"/>
      <c r="BC611" s="181"/>
      <c r="BD611" s="181"/>
      <c r="BE611" s="181"/>
      <c r="BF611" s="181"/>
      <c r="BG611" s="181"/>
      <c r="BH611" s="181"/>
      <c r="BI611" s="181"/>
      <c r="BJ611" s="181"/>
      <c r="BK611" s="181"/>
      <c r="BL611" s="181"/>
      <c r="BM611" s="181"/>
      <c r="BN611" s="181"/>
      <c r="BO611" s="181"/>
      <c r="BP611" s="181"/>
      <c r="BQ611" s="181"/>
      <c r="BR611" s="181"/>
      <c r="BS611" s="181"/>
      <c r="BT611" s="181"/>
      <c r="BU611" s="181"/>
      <c r="BV611" s="181"/>
      <c r="BW611" s="181"/>
      <c r="BX611" s="181"/>
    </row>
    <row r="612" spans="1:76" s="30" customFormat="1" x14ac:dyDescent="0.25">
      <c r="A612" s="545"/>
      <c r="B612" s="1579"/>
      <c r="C612" s="1097"/>
      <c r="D612" s="1130"/>
      <c r="E612" s="1131"/>
      <c r="F612" s="1097"/>
      <c r="G612" s="2084"/>
      <c r="H612" s="2084"/>
      <c r="I612" s="2084"/>
      <c r="J612" s="1132"/>
      <c r="K612" s="1132"/>
      <c r="L612" s="1118"/>
      <c r="M612" s="1097"/>
      <c r="N612" s="1118"/>
      <c r="O612" s="1097"/>
      <c r="P612" s="1118"/>
      <c r="Q612" s="1097"/>
      <c r="R612" s="1118"/>
      <c r="S612" s="1097"/>
      <c r="T612" s="1118"/>
      <c r="U612" s="1097"/>
      <c r="V612" s="1118"/>
      <c r="W612" s="1097"/>
      <c r="X612" s="1118"/>
      <c r="Y612" s="1119"/>
      <c r="Z612" s="1095"/>
      <c r="AA612" s="1119"/>
      <c r="AB612" s="1133"/>
      <c r="AC612" s="1095"/>
      <c r="AD612" s="1133"/>
      <c r="AE612" s="1095"/>
      <c r="AF612" s="1095"/>
      <c r="AG612" s="1095"/>
      <c r="AH612" s="1095"/>
      <c r="AI612" s="1095"/>
      <c r="AJ612" s="1095"/>
      <c r="AK612" s="1095"/>
      <c r="AL612" s="1095"/>
      <c r="AM612" s="1095"/>
      <c r="AN612" s="1095"/>
      <c r="AO612" s="1095"/>
      <c r="AP612" s="1095"/>
      <c r="AQ612" s="1106"/>
      <c r="AR612" s="1097"/>
      <c r="AS612" s="1097"/>
      <c r="AT612" s="199"/>
      <c r="AV612" s="181"/>
      <c r="AW612" s="181"/>
      <c r="AX612" s="181"/>
      <c r="AY612" s="181"/>
      <c r="AZ612" s="181"/>
      <c r="BA612" s="181"/>
      <c r="BB612" s="181"/>
      <c r="BC612" s="181"/>
      <c r="BD612" s="181"/>
      <c r="BE612" s="181"/>
      <c r="BF612" s="181"/>
      <c r="BG612" s="181"/>
      <c r="BH612" s="181"/>
      <c r="BI612" s="181"/>
      <c r="BJ612" s="181"/>
      <c r="BK612" s="181"/>
      <c r="BL612" s="181"/>
      <c r="BM612" s="181"/>
      <c r="BN612" s="181"/>
      <c r="BO612" s="181"/>
      <c r="BP612" s="181"/>
      <c r="BQ612" s="181"/>
      <c r="BR612" s="181"/>
      <c r="BS612" s="181"/>
      <c r="BT612" s="181"/>
      <c r="BU612" s="181"/>
      <c r="BV612" s="181"/>
      <c r="BW612" s="181"/>
      <c r="BX612" s="181"/>
    </row>
    <row r="613" spans="1:76" s="30" customFormat="1" x14ac:dyDescent="0.25">
      <c r="A613" s="545"/>
      <c r="B613" s="1579"/>
      <c r="C613" s="1097"/>
      <c r="D613" s="1130"/>
      <c r="E613" s="1131"/>
      <c r="F613" s="1097"/>
      <c r="G613" s="2084">
        <v>42696</v>
      </c>
      <c r="H613" s="2084"/>
      <c r="I613" s="2084"/>
      <c r="J613" s="1132"/>
      <c r="K613" s="1132" t="s">
        <v>892</v>
      </c>
      <c r="L613" s="1118"/>
      <c r="M613" s="1097"/>
      <c r="N613" s="1118"/>
      <c r="O613" s="1097"/>
      <c r="P613" s="1118"/>
      <c r="Q613" s="1097"/>
      <c r="R613" s="1118"/>
      <c r="S613" s="1097"/>
      <c r="T613" s="1118"/>
      <c r="U613" s="1097"/>
      <c r="V613" s="1118"/>
      <c r="W613" s="1097"/>
      <c r="X613" s="1118"/>
      <c r="Y613" s="1136"/>
      <c r="Z613" s="1095"/>
      <c r="AA613" s="1136"/>
      <c r="AB613" s="1133"/>
      <c r="AC613" s="1095"/>
      <c r="AD613" s="1133"/>
      <c r="AE613" s="1095"/>
      <c r="AF613" s="1095"/>
      <c r="AG613" s="1095"/>
      <c r="AH613" s="1095"/>
      <c r="AI613" s="1095"/>
      <c r="AJ613" s="1095"/>
      <c r="AK613" s="1095"/>
      <c r="AL613" s="1095"/>
      <c r="AM613" s="1095"/>
      <c r="AN613" s="1095"/>
      <c r="AO613" s="1095"/>
      <c r="AP613" s="1095"/>
      <c r="AQ613" s="1106"/>
      <c r="AR613" s="1097"/>
      <c r="AS613" s="1097"/>
      <c r="AV613" s="181"/>
      <c r="AW613" s="181"/>
      <c r="AX613" s="181"/>
      <c r="AY613" s="181"/>
      <c r="AZ613" s="181"/>
      <c r="BA613" s="181"/>
      <c r="BB613" s="181"/>
      <c r="BC613" s="181"/>
      <c r="BD613" s="181"/>
      <c r="BE613" s="181"/>
      <c r="BF613" s="181"/>
      <c r="BG613" s="181"/>
      <c r="BH613" s="181"/>
      <c r="BI613" s="181"/>
      <c r="BJ613" s="181"/>
      <c r="BK613" s="181"/>
      <c r="BL613" s="181"/>
      <c r="BM613" s="181"/>
      <c r="BN613" s="181"/>
      <c r="BO613" s="181"/>
      <c r="BP613" s="181"/>
      <c r="BQ613" s="181"/>
      <c r="BR613" s="181"/>
      <c r="BS613" s="181"/>
      <c r="BT613" s="181"/>
      <c r="BU613" s="181"/>
      <c r="BV613" s="181"/>
      <c r="BW613" s="181"/>
      <c r="BX613" s="181"/>
    </row>
    <row r="614" spans="1:76" s="30" customFormat="1" x14ac:dyDescent="0.25">
      <c r="A614" s="545"/>
      <c r="B614" s="1579"/>
      <c r="C614" s="1097"/>
      <c r="D614" s="1130"/>
      <c r="E614" s="1131"/>
      <c r="F614" s="1097"/>
      <c r="G614" s="2084"/>
      <c r="H614" s="2084"/>
      <c r="I614" s="2084"/>
      <c r="J614" s="1132"/>
      <c r="K614" s="1132" t="s">
        <v>893</v>
      </c>
      <c r="L614" s="1118"/>
      <c r="M614" s="1097"/>
      <c r="N614" s="1118"/>
      <c r="O614" s="1097"/>
      <c r="P614" s="1118"/>
      <c r="Q614" s="1097"/>
      <c r="R614" s="1118"/>
      <c r="S614" s="1097"/>
      <c r="T614" s="1118"/>
      <c r="U614" s="1097"/>
      <c r="V614" s="1118"/>
      <c r="W614" s="1097"/>
      <c r="X614" s="1118"/>
      <c r="Y614" s="1136"/>
      <c r="Z614" s="1095"/>
      <c r="AA614" s="1136"/>
      <c r="AB614" s="1133"/>
      <c r="AC614" s="1095"/>
      <c r="AD614" s="1133"/>
      <c r="AE614" s="1095"/>
      <c r="AF614" s="1095"/>
      <c r="AG614" s="1095"/>
      <c r="AH614" s="1095"/>
      <c r="AI614" s="1095"/>
      <c r="AJ614" s="1095"/>
      <c r="AK614" s="1095"/>
      <c r="AL614" s="1095"/>
      <c r="AM614" s="1095"/>
      <c r="AN614" s="1095"/>
      <c r="AO614" s="1095"/>
      <c r="AP614" s="1095"/>
      <c r="AQ614" s="1106"/>
      <c r="AR614" s="1097"/>
      <c r="AS614" s="1097"/>
      <c r="AV614" s="181"/>
      <c r="AW614" s="181"/>
      <c r="AX614" s="181"/>
      <c r="AY614" s="181"/>
      <c r="AZ614" s="181"/>
      <c r="BA614" s="181"/>
      <c r="BB614" s="181"/>
      <c r="BC614" s="181"/>
      <c r="BD614" s="181"/>
      <c r="BE614" s="181"/>
      <c r="BF614" s="181"/>
      <c r="BG614" s="181"/>
      <c r="BH614" s="181"/>
      <c r="BI614" s="181"/>
      <c r="BJ614" s="181"/>
      <c r="BK614" s="181"/>
      <c r="BL614" s="181"/>
      <c r="BM614" s="181"/>
      <c r="BN614" s="181"/>
      <c r="BO614" s="181"/>
      <c r="BP614" s="181"/>
      <c r="BQ614" s="181"/>
      <c r="BR614" s="181"/>
      <c r="BS614" s="181"/>
      <c r="BT614" s="181"/>
      <c r="BU614" s="181"/>
      <c r="BV614" s="181"/>
      <c r="BW614" s="181"/>
      <c r="BX614" s="181"/>
    </row>
    <row r="615" spans="1:76" s="30" customFormat="1" x14ac:dyDescent="0.25">
      <c r="A615" s="545"/>
      <c r="B615" s="1579"/>
      <c r="C615" s="1097"/>
      <c r="D615" s="1130"/>
      <c r="E615" s="1131"/>
      <c r="F615" s="1097"/>
      <c r="G615" s="2084"/>
      <c r="H615" s="2084"/>
      <c r="I615" s="2084"/>
      <c r="J615" s="1132"/>
      <c r="K615" s="1132" t="s">
        <v>894</v>
      </c>
      <c r="L615" s="1118"/>
      <c r="M615" s="1097"/>
      <c r="N615" s="1118"/>
      <c r="O615" s="1097"/>
      <c r="P615" s="1118"/>
      <c r="Q615" s="1097"/>
      <c r="R615" s="1118"/>
      <c r="S615" s="1097"/>
      <c r="T615" s="1118"/>
      <c r="U615" s="1097"/>
      <c r="V615" s="1118"/>
      <c r="W615" s="1097"/>
      <c r="X615" s="1118"/>
      <c r="Y615" s="1136"/>
      <c r="Z615" s="1095"/>
      <c r="AA615" s="1136"/>
      <c r="AB615" s="1133"/>
      <c r="AC615" s="1095"/>
      <c r="AD615" s="1133"/>
      <c r="AE615" s="1095"/>
      <c r="AF615" s="1095"/>
      <c r="AG615" s="1095"/>
      <c r="AH615" s="1095"/>
      <c r="AI615" s="1095"/>
      <c r="AJ615" s="1095"/>
      <c r="AK615" s="1095"/>
      <c r="AL615" s="1095"/>
      <c r="AM615" s="1095"/>
      <c r="AN615" s="1095"/>
      <c r="AO615" s="1095"/>
      <c r="AP615" s="1095"/>
      <c r="AQ615" s="1106"/>
      <c r="AR615" s="1097"/>
      <c r="AS615" s="1097"/>
      <c r="AV615" s="181"/>
      <c r="AW615" s="181"/>
      <c r="AX615" s="181"/>
      <c r="AY615" s="181"/>
      <c r="AZ615" s="181"/>
      <c r="BA615" s="181"/>
      <c r="BB615" s="181"/>
      <c r="BC615" s="181"/>
      <c r="BD615" s="181"/>
      <c r="BE615" s="181"/>
      <c r="BF615" s="181"/>
      <c r="BG615" s="181"/>
      <c r="BH615" s="181"/>
      <c r="BI615" s="181"/>
      <c r="BJ615" s="181"/>
      <c r="BK615" s="181"/>
      <c r="BL615" s="181"/>
      <c r="BM615" s="181"/>
      <c r="BN615" s="181"/>
      <c r="BO615" s="181"/>
      <c r="BP615" s="181"/>
      <c r="BQ615" s="181"/>
      <c r="BR615" s="181"/>
      <c r="BS615" s="181"/>
      <c r="BT615" s="181"/>
      <c r="BU615" s="181"/>
      <c r="BV615" s="181"/>
      <c r="BW615" s="181"/>
      <c r="BX615" s="181"/>
    </row>
    <row r="616" spans="1:76" s="30" customFormat="1" x14ac:dyDescent="0.25">
      <c r="A616" s="545"/>
      <c r="B616" s="1579"/>
      <c r="C616" s="1097"/>
      <c r="D616" s="1130"/>
      <c r="E616" s="1131"/>
      <c r="F616" s="1097"/>
      <c r="G616" s="2084"/>
      <c r="H616" s="2084"/>
      <c r="I616" s="2084"/>
      <c r="J616" s="1132"/>
      <c r="K616" s="1132"/>
      <c r="L616" s="1118"/>
      <c r="M616" s="1097"/>
      <c r="N616" s="1118"/>
      <c r="O616" s="1097"/>
      <c r="P616" s="1118"/>
      <c r="Q616" s="1097"/>
      <c r="R616" s="1118"/>
      <c r="S616" s="1097"/>
      <c r="T616" s="1118"/>
      <c r="U616" s="1097"/>
      <c r="V616" s="1118"/>
      <c r="W616" s="1097"/>
      <c r="X616" s="1118"/>
      <c r="Y616" s="1136"/>
      <c r="Z616" s="1095"/>
      <c r="AA616" s="1136"/>
      <c r="AB616" s="1133"/>
      <c r="AC616" s="1095"/>
      <c r="AD616" s="1133"/>
      <c r="AE616" s="1095"/>
      <c r="AF616" s="1095"/>
      <c r="AG616" s="1095"/>
      <c r="AH616" s="1095"/>
      <c r="AI616" s="1095"/>
      <c r="AJ616" s="1095"/>
      <c r="AK616" s="1095"/>
      <c r="AL616" s="1095"/>
      <c r="AM616" s="1095"/>
      <c r="AN616" s="1095"/>
      <c r="AO616" s="1095"/>
      <c r="AP616" s="1095"/>
      <c r="AQ616" s="1106"/>
      <c r="AR616" s="1097"/>
      <c r="AS616" s="1097"/>
      <c r="AV616" s="181"/>
      <c r="AW616" s="181"/>
      <c r="AX616" s="181"/>
      <c r="AY616" s="181"/>
      <c r="AZ616" s="181"/>
      <c r="BA616" s="181"/>
      <c r="BB616" s="181"/>
      <c r="BC616" s="181"/>
      <c r="BD616" s="181"/>
      <c r="BE616" s="181"/>
      <c r="BF616" s="181"/>
      <c r="BG616" s="181"/>
      <c r="BH616" s="181"/>
      <c r="BI616" s="181"/>
      <c r="BJ616" s="181"/>
      <c r="BK616" s="181"/>
      <c r="BL616" s="181"/>
      <c r="BM616" s="181"/>
      <c r="BN616" s="181"/>
      <c r="BO616" s="181"/>
      <c r="BP616" s="181"/>
      <c r="BQ616" s="181"/>
      <c r="BR616" s="181"/>
      <c r="BS616" s="181"/>
      <c r="BT616" s="181"/>
      <c r="BU616" s="181"/>
      <c r="BV616" s="181"/>
      <c r="BW616" s="181"/>
      <c r="BX616" s="181"/>
    </row>
    <row r="617" spans="1:76" s="30" customFormat="1" x14ac:dyDescent="0.25">
      <c r="A617" s="545"/>
      <c r="B617" s="1579"/>
      <c r="C617" s="1097"/>
      <c r="D617" s="1130"/>
      <c r="E617" s="1131"/>
      <c r="F617" s="1097"/>
      <c r="G617" s="2084">
        <v>42705</v>
      </c>
      <c r="H617" s="2084"/>
      <c r="I617" s="2084"/>
      <c r="J617" s="1132"/>
      <c r="K617" s="1132" t="s">
        <v>903</v>
      </c>
      <c r="L617" s="1118"/>
      <c r="M617" s="1097"/>
      <c r="N617" s="1118"/>
      <c r="O617" s="1097"/>
      <c r="P617" s="1118"/>
      <c r="Q617" s="1097"/>
      <c r="R617" s="1118"/>
      <c r="S617" s="1097"/>
      <c r="T617" s="1118"/>
      <c r="U617" s="1097"/>
      <c r="V617" s="1118"/>
      <c r="W617" s="1097"/>
      <c r="X617" s="1118"/>
      <c r="Y617" s="1136"/>
      <c r="Z617" s="1095"/>
      <c r="AA617" s="1136"/>
      <c r="AB617" s="1133"/>
      <c r="AC617" s="1095"/>
      <c r="AD617" s="1133"/>
      <c r="AE617" s="1095"/>
      <c r="AF617" s="1095"/>
      <c r="AG617" s="1095"/>
      <c r="AH617" s="1095"/>
      <c r="AI617" s="1095"/>
      <c r="AJ617" s="1095"/>
      <c r="AK617" s="1095"/>
      <c r="AL617" s="1095"/>
      <c r="AM617" s="1095"/>
      <c r="AN617" s="1095"/>
      <c r="AO617" s="1095"/>
      <c r="AP617" s="1095"/>
      <c r="AQ617" s="1106"/>
      <c r="AR617" s="1097"/>
      <c r="AS617" s="1097"/>
      <c r="AV617" s="181"/>
      <c r="AW617" s="181"/>
      <c r="AX617" s="181"/>
      <c r="AY617" s="181"/>
      <c r="AZ617" s="181"/>
      <c r="BA617" s="181"/>
      <c r="BB617" s="181"/>
      <c r="BC617" s="181"/>
      <c r="BD617" s="181"/>
      <c r="BE617" s="181"/>
      <c r="BF617" s="181"/>
      <c r="BG617" s="181"/>
      <c r="BH617" s="181"/>
      <c r="BI617" s="181"/>
      <c r="BJ617" s="181"/>
      <c r="BK617" s="181"/>
      <c r="BL617" s="181"/>
      <c r="BM617" s="181"/>
      <c r="BN617" s="181"/>
      <c r="BO617" s="181"/>
      <c r="BP617" s="181"/>
      <c r="BQ617" s="181"/>
      <c r="BR617" s="181"/>
      <c r="BS617" s="181"/>
      <c r="BT617" s="181"/>
      <c r="BU617" s="181"/>
      <c r="BV617" s="181"/>
      <c r="BW617" s="181"/>
      <c r="BX617" s="181"/>
    </row>
    <row r="618" spans="1:76" s="30" customFormat="1" x14ac:dyDescent="0.25">
      <c r="A618" s="545"/>
      <c r="B618" s="1579"/>
      <c r="C618" s="1097"/>
      <c r="D618" s="1130"/>
      <c r="E618" s="1131"/>
      <c r="F618" s="1097"/>
      <c r="G618" s="2084"/>
      <c r="H618" s="2084"/>
      <c r="I618" s="2084"/>
      <c r="J618" s="1132"/>
      <c r="K618" s="1132" t="s">
        <v>904</v>
      </c>
      <c r="L618" s="1118"/>
      <c r="M618" s="1097"/>
      <c r="N618" s="1118"/>
      <c r="O618" s="1097"/>
      <c r="P618" s="1118"/>
      <c r="Q618" s="1097"/>
      <c r="R618" s="1118"/>
      <c r="S618" s="1097"/>
      <c r="T618" s="1118"/>
      <c r="U618" s="1097"/>
      <c r="V618" s="1118"/>
      <c r="W618" s="1097"/>
      <c r="X618" s="1118"/>
      <c r="Y618" s="1136"/>
      <c r="Z618" s="1095"/>
      <c r="AA618" s="1136"/>
      <c r="AB618" s="1133"/>
      <c r="AC618" s="1095"/>
      <c r="AD618" s="1133"/>
      <c r="AE618" s="1095"/>
      <c r="AF618" s="1095"/>
      <c r="AG618" s="1095"/>
      <c r="AH618" s="1095"/>
      <c r="AI618" s="1095"/>
      <c r="AJ618" s="1095"/>
      <c r="AK618" s="1095"/>
      <c r="AL618" s="1095"/>
      <c r="AM618" s="1095"/>
      <c r="AN618" s="1095"/>
      <c r="AO618" s="1095"/>
      <c r="AP618" s="1095"/>
      <c r="AQ618" s="1106"/>
      <c r="AR618" s="1097"/>
      <c r="AS618" s="1097"/>
      <c r="AV618" s="181"/>
      <c r="AW618" s="181"/>
      <c r="AX618" s="181"/>
      <c r="AY618" s="181"/>
      <c r="AZ618" s="181"/>
      <c r="BA618" s="181"/>
      <c r="BB618" s="181"/>
      <c r="BC618" s="181"/>
      <c r="BD618" s="181"/>
      <c r="BE618" s="181"/>
      <c r="BF618" s="181"/>
      <c r="BG618" s="181"/>
      <c r="BH618" s="181"/>
      <c r="BI618" s="181"/>
      <c r="BJ618" s="181"/>
      <c r="BK618" s="181"/>
      <c r="BL618" s="181"/>
      <c r="BM618" s="181"/>
      <c r="BN618" s="181"/>
      <c r="BO618" s="181"/>
      <c r="BP618" s="181"/>
      <c r="BQ618" s="181"/>
      <c r="BR618" s="181"/>
      <c r="BS618" s="181"/>
      <c r="BT618" s="181"/>
      <c r="BU618" s="181"/>
      <c r="BV618" s="181"/>
      <c r="BW618" s="181"/>
      <c r="BX618" s="181"/>
    </row>
    <row r="619" spans="1:76" s="30" customFormat="1" x14ac:dyDescent="0.25">
      <c r="A619" s="545"/>
      <c r="B619" s="1579"/>
      <c r="C619" s="1097"/>
      <c r="D619" s="1130"/>
      <c r="E619" s="1131"/>
      <c r="F619" s="1097"/>
      <c r="G619" s="2084"/>
      <c r="H619" s="2084"/>
      <c r="I619" s="2084"/>
      <c r="J619" s="1132"/>
      <c r="K619" s="1132" t="s">
        <v>896</v>
      </c>
      <c r="L619" s="1118"/>
      <c r="M619" s="1097"/>
      <c r="N619" s="1118"/>
      <c r="O619" s="1097"/>
      <c r="P619" s="1118"/>
      <c r="Q619" s="1097"/>
      <c r="R619" s="1118"/>
      <c r="S619" s="1097"/>
      <c r="T619" s="1118"/>
      <c r="U619" s="1097"/>
      <c r="V619" s="1118"/>
      <c r="W619" s="1097"/>
      <c r="X619" s="1118"/>
      <c r="Y619" s="1136"/>
      <c r="Z619" s="1095"/>
      <c r="AA619" s="1136"/>
      <c r="AB619" s="1133"/>
      <c r="AC619" s="1095"/>
      <c r="AD619" s="1133"/>
      <c r="AE619" s="1095"/>
      <c r="AF619" s="1095"/>
      <c r="AG619" s="1095"/>
      <c r="AH619" s="1095"/>
      <c r="AI619" s="1095"/>
      <c r="AJ619" s="1095"/>
      <c r="AK619" s="1095"/>
      <c r="AL619" s="1095"/>
      <c r="AM619" s="1095"/>
      <c r="AN619" s="1095"/>
      <c r="AO619" s="1095"/>
      <c r="AP619" s="1095"/>
      <c r="AQ619" s="1106"/>
      <c r="AR619" s="1097"/>
      <c r="AS619" s="1097"/>
      <c r="AV619" s="181"/>
      <c r="AW619" s="181"/>
      <c r="AX619" s="181"/>
      <c r="AY619" s="181"/>
      <c r="AZ619" s="181"/>
      <c r="BA619" s="181"/>
      <c r="BB619" s="181"/>
      <c r="BC619" s="181"/>
      <c r="BD619" s="181"/>
      <c r="BE619" s="181"/>
      <c r="BF619" s="181"/>
      <c r="BG619" s="181"/>
      <c r="BH619" s="181"/>
      <c r="BI619" s="181"/>
      <c r="BJ619" s="181"/>
      <c r="BK619" s="181"/>
      <c r="BL619" s="181"/>
      <c r="BM619" s="181"/>
      <c r="BN619" s="181"/>
      <c r="BO619" s="181"/>
      <c r="BP619" s="181"/>
      <c r="BQ619" s="181"/>
      <c r="BR619" s="181"/>
      <c r="BS619" s="181"/>
      <c r="BT619" s="181"/>
      <c r="BU619" s="181"/>
      <c r="BV619" s="181"/>
      <c r="BW619" s="181"/>
      <c r="BX619" s="181"/>
    </row>
    <row r="620" spans="1:76" s="30" customFormat="1" x14ac:dyDescent="0.25">
      <c r="A620" s="545"/>
      <c r="B620" s="1579"/>
      <c r="C620" s="1097"/>
      <c r="D620" s="1130"/>
      <c r="E620" s="1131"/>
      <c r="F620" s="1097"/>
      <c r="G620" s="2084"/>
      <c r="H620" s="2084"/>
      <c r="I620" s="2084"/>
      <c r="J620" s="1132"/>
      <c r="K620" s="1132" t="s">
        <v>899</v>
      </c>
      <c r="L620" s="1118"/>
      <c r="M620" s="1097"/>
      <c r="N620" s="1118"/>
      <c r="O620" s="1097"/>
      <c r="P620" s="1118"/>
      <c r="Q620" s="1097"/>
      <c r="R620" s="1118"/>
      <c r="S620" s="1097"/>
      <c r="T620" s="1118"/>
      <c r="U620" s="1097"/>
      <c r="V620" s="1118"/>
      <c r="W620" s="1097"/>
      <c r="X620" s="1118"/>
      <c r="Y620" s="1136"/>
      <c r="Z620" s="1095"/>
      <c r="AA620" s="1136"/>
      <c r="AB620" s="1133"/>
      <c r="AC620" s="1095"/>
      <c r="AD620" s="1133"/>
      <c r="AE620" s="1095"/>
      <c r="AF620" s="1095"/>
      <c r="AG620" s="1095"/>
      <c r="AH620" s="1095"/>
      <c r="AI620" s="1095"/>
      <c r="AJ620" s="1095"/>
      <c r="AK620" s="1095"/>
      <c r="AL620" s="1095"/>
      <c r="AM620" s="1095"/>
      <c r="AN620" s="1095"/>
      <c r="AO620" s="1095"/>
      <c r="AP620" s="1095"/>
      <c r="AQ620" s="1106"/>
      <c r="AR620" s="1097"/>
      <c r="AS620" s="1097"/>
      <c r="AV620" s="181"/>
      <c r="AW620" s="181"/>
      <c r="AX620" s="181"/>
      <c r="AY620" s="181"/>
      <c r="AZ620" s="181"/>
      <c r="BA620" s="181"/>
      <c r="BB620" s="181"/>
      <c r="BC620" s="181"/>
      <c r="BD620" s="181"/>
      <c r="BE620" s="181"/>
      <c r="BF620" s="181"/>
      <c r="BG620" s="181"/>
      <c r="BH620" s="181"/>
      <c r="BI620" s="181"/>
      <c r="BJ620" s="181"/>
      <c r="BK620" s="181"/>
      <c r="BL620" s="181"/>
      <c r="BM620" s="181"/>
      <c r="BN620" s="181"/>
      <c r="BO620" s="181"/>
      <c r="BP620" s="181"/>
      <c r="BQ620" s="181"/>
      <c r="BR620" s="181"/>
      <c r="BS620" s="181"/>
      <c r="BT620" s="181"/>
      <c r="BU620" s="181"/>
      <c r="BV620" s="181"/>
      <c r="BW620" s="181"/>
      <c r="BX620" s="181"/>
    </row>
    <row r="621" spans="1:76" s="30" customFormat="1" x14ac:dyDescent="0.25">
      <c r="A621" s="545"/>
      <c r="B621" s="1579"/>
      <c r="C621" s="1097"/>
      <c r="D621" s="1130"/>
      <c r="E621" s="1131"/>
      <c r="F621" s="1097"/>
      <c r="G621" s="2084"/>
      <c r="H621" s="2084"/>
      <c r="I621" s="2084"/>
      <c r="J621" s="1132"/>
      <c r="K621" s="1132"/>
      <c r="L621" s="1118"/>
      <c r="M621" s="1097"/>
      <c r="N621" s="1118"/>
      <c r="O621" s="1097"/>
      <c r="P621" s="1118"/>
      <c r="Q621" s="1097"/>
      <c r="R621" s="1118"/>
      <c r="S621" s="1097"/>
      <c r="T621" s="1118"/>
      <c r="U621" s="1097"/>
      <c r="V621" s="1118"/>
      <c r="W621" s="1097"/>
      <c r="X621" s="1118"/>
      <c r="Y621" s="1136"/>
      <c r="Z621" s="1095"/>
      <c r="AA621" s="1136"/>
      <c r="AB621" s="1133"/>
      <c r="AC621" s="1095"/>
      <c r="AD621" s="1133"/>
      <c r="AE621" s="1095"/>
      <c r="AF621" s="1095"/>
      <c r="AG621" s="1095"/>
      <c r="AH621" s="1095"/>
      <c r="AI621" s="1095"/>
      <c r="AJ621" s="1095"/>
      <c r="AK621" s="1095"/>
      <c r="AL621" s="1095"/>
      <c r="AM621" s="1095"/>
      <c r="AN621" s="1095"/>
      <c r="AO621" s="1095"/>
      <c r="AP621" s="1095"/>
      <c r="AQ621" s="1106"/>
      <c r="AR621" s="1097"/>
      <c r="AS621" s="1097"/>
      <c r="AV621" s="181"/>
      <c r="AW621" s="181"/>
      <c r="AX621" s="181"/>
      <c r="AY621" s="181"/>
      <c r="AZ621" s="181"/>
      <c r="BA621" s="181"/>
      <c r="BB621" s="181"/>
      <c r="BC621" s="181"/>
      <c r="BD621" s="181"/>
      <c r="BE621" s="181"/>
      <c r="BF621" s="181"/>
      <c r="BG621" s="181"/>
      <c r="BH621" s="181"/>
      <c r="BI621" s="181"/>
      <c r="BJ621" s="181"/>
      <c r="BK621" s="181"/>
      <c r="BL621" s="181"/>
      <c r="BM621" s="181"/>
      <c r="BN621" s="181"/>
      <c r="BO621" s="181"/>
      <c r="BP621" s="181"/>
      <c r="BQ621" s="181"/>
      <c r="BR621" s="181"/>
      <c r="BS621" s="181"/>
      <c r="BT621" s="181"/>
      <c r="BU621" s="181"/>
      <c r="BV621" s="181"/>
      <c r="BW621" s="181"/>
      <c r="BX621" s="181"/>
    </row>
    <row r="622" spans="1:76" s="30" customFormat="1" x14ac:dyDescent="0.25">
      <c r="A622" s="545"/>
      <c r="B622" s="1579"/>
      <c r="C622" s="1097"/>
      <c r="D622" s="1130"/>
      <c r="E622" s="1131"/>
      <c r="F622" s="1097"/>
      <c r="G622" s="2084">
        <v>42746</v>
      </c>
      <c r="H622" s="2084"/>
      <c r="I622" s="2084"/>
      <c r="J622" s="1132"/>
      <c r="K622" s="1132" t="s">
        <v>919</v>
      </c>
      <c r="L622" s="1118"/>
      <c r="M622" s="1097"/>
      <c r="N622" s="1118"/>
      <c r="O622" s="1097"/>
      <c r="P622" s="1118"/>
      <c r="Q622" s="1097"/>
      <c r="R622" s="1118"/>
      <c r="S622" s="1097"/>
      <c r="T622" s="1118"/>
      <c r="U622" s="1097"/>
      <c r="V622" s="1118"/>
      <c r="W622" s="1097"/>
      <c r="X622" s="1118"/>
      <c r="Y622" s="1136"/>
      <c r="Z622" s="1095"/>
      <c r="AA622" s="1136"/>
      <c r="AB622" s="1133"/>
      <c r="AC622" s="1095"/>
      <c r="AD622" s="1133"/>
      <c r="AE622" s="1095"/>
      <c r="AF622" s="1095"/>
      <c r="AG622" s="1095"/>
      <c r="AH622" s="1095"/>
      <c r="AI622" s="1095"/>
      <c r="AJ622" s="1095"/>
      <c r="AK622" s="1095"/>
      <c r="AL622" s="1095"/>
      <c r="AM622" s="1095"/>
      <c r="AN622" s="1095"/>
      <c r="AO622" s="1095"/>
      <c r="AP622" s="1095"/>
      <c r="AQ622" s="1106"/>
      <c r="AR622" s="1097"/>
      <c r="AS622" s="1097"/>
      <c r="AV622" s="181"/>
      <c r="AW622" s="181"/>
      <c r="AX622" s="181"/>
      <c r="AY622" s="181"/>
      <c r="AZ622" s="181"/>
      <c r="BA622" s="181"/>
      <c r="BB622" s="181"/>
      <c r="BC622" s="181"/>
      <c r="BD622" s="181"/>
      <c r="BE622" s="181"/>
      <c r="BF622" s="181"/>
      <c r="BG622" s="181"/>
      <c r="BH622" s="181"/>
      <c r="BI622" s="181"/>
      <c r="BJ622" s="181"/>
      <c r="BK622" s="181"/>
      <c r="BL622" s="181"/>
      <c r="BM622" s="181"/>
      <c r="BN622" s="181"/>
      <c r="BO622" s="181"/>
      <c r="BP622" s="181"/>
      <c r="BQ622" s="181"/>
      <c r="BR622" s="181"/>
      <c r="BS622" s="181"/>
      <c r="BT622" s="181"/>
      <c r="BU622" s="181"/>
      <c r="BV622" s="181"/>
      <c r="BW622" s="181"/>
      <c r="BX622" s="181"/>
    </row>
    <row r="623" spans="1:76" s="30" customFormat="1" x14ac:dyDescent="0.25">
      <c r="A623" s="545"/>
      <c r="B623" s="1579"/>
      <c r="C623" s="1097"/>
      <c r="D623" s="1130"/>
      <c r="E623" s="1131"/>
      <c r="F623" s="1097"/>
      <c r="G623" s="2084"/>
      <c r="H623" s="2084"/>
      <c r="I623" s="2084"/>
      <c r="J623" s="1132"/>
      <c r="K623" s="1132" t="s">
        <v>927</v>
      </c>
      <c r="L623" s="1118"/>
      <c r="M623" s="1097"/>
      <c r="N623" s="1118"/>
      <c r="O623" s="1097"/>
      <c r="P623" s="1118"/>
      <c r="Q623" s="1097"/>
      <c r="R623" s="1118"/>
      <c r="S623" s="1097"/>
      <c r="T623" s="1118"/>
      <c r="U623" s="1097"/>
      <c r="V623" s="1118"/>
      <c r="W623" s="1097"/>
      <c r="X623" s="1118"/>
      <c r="Y623" s="1136"/>
      <c r="Z623" s="1095"/>
      <c r="AA623" s="1136"/>
      <c r="AB623" s="1133"/>
      <c r="AC623" s="1095"/>
      <c r="AD623" s="1133"/>
      <c r="AE623" s="1095"/>
      <c r="AF623" s="1095"/>
      <c r="AG623" s="1095"/>
      <c r="AH623" s="1095"/>
      <c r="AI623" s="1095"/>
      <c r="AJ623" s="1095"/>
      <c r="AK623" s="1095"/>
      <c r="AL623" s="1095"/>
      <c r="AM623" s="1095"/>
      <c r="AN623" s="1095"/>
      <c r="AO623" s="1095"/>
      <c r="AP623" s="1095"/>
      <c r="AQ623" s="1106"/>
      <c r="AR623" s="1097"/>
      <c r="AS623" s="1097"/>
      <c r="AV623" s="181"/>
      <c r="AW623" s="181"/>
      <c r="AX623" s="181"/>
      <c r="AY623" s="181"/>
      <c r="AZ623" s="181"/>
      <c r="BA623" s="181"/>
      <c r="BB623" s="181"/>
      <c r="BC623" s="181"/>
      <c r="BD623" s="181"/>
      <c r="BE623" s="181"/>
      <c r="BF623" s="181"/>
      <c r="BG623" s="181"/>
      <c r="BH623" s="181"/>
      <c r="BI623" s="181"/>
      <c r="BJ623" s="181"/>
      <c r="BK623" s="181"/>
      <c r="BL623" s="181"/>
      <c r="BM623" s="181"/>
      <c r="BN623" s="181"/>
      <c r="BO623" s="181"/>
      <c r="BP623" s="181"/>
      <c r="BQ623" s="181"/>
      <c r="BR623" s="181"/>
      <c r="BS623" s="181"/>
      <c r="BT623" s="181"/>
      <c r="BU623" s="181"/>
      <c r="BV623" s="181"/>
      <c r="BW623" s="181"/>
      <c r="BX623" s="181"/>
    </row>
    <row r="624" spans="1:76" s="30" customFormat="1" x14ac:dyDescent="0.25">
      <c r="A624" s="545"/>
      <c r="B624" s="1579"/>
      <c r="C624" s="1097"/>
      <c r="D624" s="1130"/>
      <c r="E624" s="1131"/>
      <c r="F624" s="1097"/>
      <c r="G624" s="2084"/>
      <c r="H624" s="2084"/>
      <c r="I624" s="2084"/>
      <c r="J624" s="1132"/>
      <c r="K624" s="1132"/>
      <c r="L624" s="1118"/>
      <c r="M624" s="1097"/>
      <c r="N624" s="1118"/>
      <c r="O624" s="1097"/>
      <c r="P624" s="1118"/>
      <c r="Q624" s="1097"/>
      <c r="R624" s="1118"/>
      <c r="S624" s="1097"/>
      <c r="T624" s="1118"/>
      <c r="U624" s="1097"/>
      <c r="V624" s="1118"/>
      <c r="W624" s="1097"/>
      <c r="X624" s="1118"/>
      <c r="Y624" s="1136"/>
      <c r="Z624" s="1095"/>
      <c r="AA624" s="1136"/>
      <c r="AB624" s="1133"/>
      <c r="AC624" s="1095"/>
      <c r="AD624" s="1133"/>
      <c r="AE624" s="1095"/>
      <c r="AF624" s="1095"/>
      <c r="AG624" s="1095"/>
      <c r="AH624" s="1095"/>
      <c r="AI624" s="1095"/>
      <c r="AJ624" s="1095"/>
      <c r="AK624" s="1095"/>
      <c r="AL624" s="1095"/>
      <c r="AM624" s="1095"/>
      <c r="AN624" s="1095"/>
      <c r="AO624" s="1095"/>
      <c r="AP624" s="1095"/>
      <c r="AQ624" s="1106"/>
      <c r="AR624" s="1097"/>
      <c r="AS624" s="1097"/>
      <c r="AT624" s="199"/>
      <c r="AV624" s="181"/>
      <c r="AW624" s="181"/>
      <c r="AX624" s="181"/>
      <c r="AY624" s="181"/>
      <c r="AZ624" s="181"/>
      <c r="BA624" s="181"/>
      <c r="BB624" s="181"/>
      <c r="BC624" s="181"/>
      <c r="BD624" s="181"/>
      <c r="BE624" s="181"/>
      <c r="BF624" s="181"/>
      <c r="BG624" s="181"/>
      <c r="BH624" s="181"/>
      <c r="BI624" s="181"/>
      <c r="BJ624" s="181"/>
      <c r="BK624" s="181"/>
      <c r="BL624" s="181"/>
      <c r="BM624" s="181"/>
      <c r="BN624" s="181"/>
      <c r="BO624" s="181"/>
      <c r="BP624" s="181"/>
      <c r="BQ624" s="181"/>
      <c r="BR624" s="181"/>
      <c r="BS624" s="181"/>
      <c r="BT624" s="181"/>
      <c r="BU624" s="181"/>
      <c r="BV624" s="181"/>
      <c r="BW624" s="181"/>
      <c r="BX624" s="181"/>
    </row>
    <row r="625" spans="1:76" s="30" customFormat="1" x14ac:dyDescent="0.25">
      <c r="A625" s="545"/>
      <c r="B625" s="1579"/>
      <c r="C625" s="1097"/>
      <c r="D625" s="1130"/>
      <c r="E625" s="1131"/>
      <c r="F625" s="1097"/>
      <c r="G625" s="2084">
        <v>42766</v>
      </c>
      <c r="H625" s="2084"/>
      <c r="I625" s="2084"/>
      <c r="J625" s="1132"/>
      <c r="K625" s="1132" t="s">
        <v>942</v>
      </c>
      <c r="L625" s="1118"/>
      <c r="M625" s="1097"/>
      <c r="N625" s="1118"/>
      <c r="O625" s="1097"/>
      <c r="P625" s="1118"/>
      <c r="Q625" s="1097"/>
      <c r="R625" s="1118"/>
      <c r="S625" s="1097"/>
      <c r="T625" s="1118"/>
      <c r="U625" s="1097"/>
      <c r="V625" s="1118"/>
      <c r="W625" s="1097"/>
      <c r="X625" s="1118"/>
      <c r="Y625" s="1136"/>
      <c r="Z625" s="1095"/>
      <c r="AA625" s="1136"/>
      <c r="AB625" s="1133"/>
      <c r="AC625" s="1095"/>
      <c r="AD625" s="1133"/>
      <c r="AE625" s="1095"/>
      <c r="AF625" s="1095"/>
      <c r="AG625" s="1095"/>
      <c r="AH625" s="1095"/>
      <c r="AI625" s="1095"/>
      <c r="AJ625" s="1095"/>
      <c r="AK625" s="1095"/>
      <c r="AL625" s="1095"/>
      <c r="AM625" s="1095"/>
      <c r="AN625" s="1095"/>
      <c r="AO625" s="1095"/>
      <c r="AP625" s="1095"/>
      <c r="AQ625" s="1106"/>
      <c r="AR625" s="1097"/>
      <c r="AS625" s="1097"/>
      <c r="AV625" s="181"/>
      <c r="AW625" s="181"/>
      <c r="AX625" s="181"/>
      <c r="AY625" s="181"/>
      <c r="AZ625" s="181"/>
      <c r="BA625" s="181"/>
      <c r="BB625" s="181"/>
      <c r="BC625" s="181"/>
      <c r="BD625" s="181"/>
      <c r="BE625" s="181"/>
      <c r="BF625" s="181"/>
      <c r="BG625" s="181"/>
      <c r="BH625" s="181"/>
      <c r="BI625" s="181"/>
      <c r="BJ625" s="181"/>
      <c r="BK625" s="181"/>
      <c r="BL625" s="181"/>
      <c r="BM625" s="181"/>
      <c r="BN625" s="181"/>
      <c r="BO625" s="181"/>
      <c r="BP625" s="181"/>
      <c r="BQ625" s="181"/>
      <c r="BR625" s="181"/>
      <c r="BS625" s="181"/>
      <c r="BT625" s="181"/>
      <c r="BU625" s="181"/>
      <c r="BV625" s="181"/>
      <c r="BW625" s="181"/>
      <c r="BX625" s="181"/>
    </row>
    <row r="626" spans="1:76" s="30" customFormat="1" x14ac:dyDescent="0.25">
      <c r="A626" s="545"/>
      <c r="B626" s="1579"/>
      <c r="C626" s="1097"/>
      <c r="D626" s="1130"/>
      <c r="E626" s="1131"/>
      <c r="F626" s="1097"/>
      <c r="G626" s="2084"/>
      <c r="H626" s="2084"/>
      <c r="I626" s="2084"/>
      <c r="J626" s="1132"/>
      <c r="K626" s="1132"/>
      <c r="L626" s="1118"/>
      <c r="M626" s="1097"/>
      <c r="N626" s="1118"/>
      <c r="O626" s="1097"/>
      <c r="P626" s="1118"/>
      <c r="Q626" s="1097"/>
      <c r="R626" s="1118"/>
      <c r="S626" s="1097"/>
      <c r="T626" s="1118"/>
      <c r="U626" s="1097"/>
      <c r="V626" s="1118"/>
      <c r="W626" s="1097"/>
      <c r="X626" s="1118"/>
      <c r="Y626" s="1136"/>
      <c r="Z626" s="1095"/>
      <c r="AA626" s="1136"/>
      <c r="AB626" s="1133"/>
      <c r="AC626" s="1095"/>
      <c r="AD626" s="1133"/>
      <c r="AE626" s="1095"/>
      <c r="AF626" s="1095"/>
      <c r="AG626" s="1095"/>
      <c r="AH626" s="1095"/>
      <c r="AI626" s="1095"/>
      <c r="AJ626" s="1095"/>
      <c r="AK626" s="1095"/>
      <c r="AL626" s="1095"/>
      <c r="AM626" s="1095"/>
      <c r="AN626" s="1095"/>
      <c r="AO626" s="1095"/>
      <c r="AP626" s="1095"/>
      <c r="AQ626" s="1106"/>
      <c r="AR626" s="1097"/>
      <c r="AS626" s="1097"/>
      <c r="AV626" s="181"/>
      <c r="AW626" s="181"/>
      <c r="AX626" s="181"/>
      <c r="AY626" s="181"/>
      <c r="AZ626" s="181"/>
      <c r="BA626" s="181"/>
      <c r="BB626" s="181"/>
      <c r="BC626" s="181"/>
      <c r="BD626" s="181"/>
      <c r="BE626" s="181"/>
      <c r="BF626" s="181"/>
      <c r="BG626" s="181"/>
      <c r="BH626" s="181"/>
      <c r="BI626" s="181"/>
      <c r="BJ626" s="181"/>
      <c r="BK626" s="181"/>
      <c r="BL626" s="181"/>
      <c r="BM626" s="181"/>
      <c r="BN626" s="181"/>
      <c r="BO626" s="181"/>
      <c r="BP626" s="181"/>
      <c r="BQ626" s="181"/>
      <c r="BR626" s="181"/>
      <c r="BS626" s="181"/>
      <c r="BT626" s="181"/>
      <c r="BU626" s="181"/>
      <c r="BV626" s="181"/>
      <c r="BW626" s="181"/>
      <c r="BX626" s="181"/>
    </row>
    <row r="627" spans="1:76" s="30" customFormat="1" x14ac:dyDescent="0.25">
      <c r="A627" s="545"/>
      <c r="B627" s="1579"/>
      <c r="C627" s="1097"/>
      <c r="D627" s="1130"/>
      <c r="E627" s="1131"/>
      <c r="F627" s="1097"/>
      <c r="G627" s="2084">
        <v>42810</v>
      </c>
      <c r="H627" s="2084"/>
      <c r="I627" s="2084"/>
      <c r="J627" s="1132"/>
      <c r="K627" s="1132" t="s">
        <v>953</v>
      </c>
      <c r="L627" s="1118"/>
      <c r="M627" s="1097"/>
      <c r="N627" s="1118"/>
      <c r="O627" s="1097"/>
      <c r="P627" s="1118"/>
      <c r="Q627" s="1097"/>
      <c r="R627" s="1118"/>
      <c r="S627" s="1097"/>
      <c r="T627" s="1118"/>
      <c r="U627" s="1097"/>
      <c r="V627" s="1118"/>
      <c r="W627" s="1097"/>
      <c r="X627" s="1118"/>
      <c r="Y627" s="1136"/>
      <c r="Z627" s="1095"/>
      <c r="AA627" s="1136"/>
      <c r="AB627" s="1133"/>
      <c r="AC627" s="1095"/>
      <c r="AD627" s="1133"/>
      <c r="AE627" s="1095"/>
      <c r="AF627" s="1095"/>
      <c r="AG627" s="1095"/>
      <c r="AH627" s="1095"/>
      <c r="AI627" s="1095"/>
      <c r="AJ627" s="1095"/>
      <c r="AK627" s="1095"/>
      <c r="AL627" s="1095"/>
      <c r="AM627" s="1095"/>
      <c r="AN627" s="1095"/>
      <c r="AO627" s="1095"/>
      <c r="AP627" s="1095"/>
      <c r="AQ627" s="1106"/>
      <c r="AR627" s="1097"/>
      <c r="AS627" s="1097"/>
      <c r="AV627" s="181"/>
      <c r="AW627" s="181"/>
      <c r="AX627" s="181"/>
      <c r="AY627" s="181"/>
      <c r="AZ627" s="181"/>
      <c r="BA627" s="181"/>
      <c r="BB627" s="181"/>
      <c r="BC627" s="181"/>
      <c r="BD627" s="181"/>
      <c r="BE627" s="181"/>
      <c r="BF627" s="181"/>
      <c r="BG627" s="181"/>
      <c r="BH627" s="181"/>
      <c r="BI627" s="181"/>
      <c r="BJ627" s="181"/>
      <c r="BK627" s="181"/>
      <c r="BL627" s="181"/>
      <c r="BM627" s="181"/>
      <c r="BN627" s="181"/>
      <c r="BO627" s="181"/>
      <c r="BP627" s="181"/>
      <c r="BQ627" s="181"/>
      <c r="BR627" s="181"/>
      <c r="BS627" s="181"/>
      <c r="BT627" s="181"/>
      <c r="BU627" s="181"/>
      <c r="BV627" s="181"/>
      <c r="BW627" s="181"/>
      <c r="BX627" s="181"/>
    </row>
    <row r="628" spans="1:76" s="30" customFormat="1" x14ac:dyDescent="0.25">
      <c r="A628" s="545"/>
      <c r="B628" s="1579"/>
      <c r="C628" s="1097"/>
      <c r="D628" s="1130"/>
      <c r="E628" s="1131"/>
      <c r="F628" s="1097"/>
      <c r="G628" s="2084"/>
      <c r="H628" s="2084"/>
      <c r="I628" s="2084"/>
      <c r="J628" s="1132"/>
      <c r="K628" s="1132" t="s">
        <v>954</v>
      </c>
      <c r="L628" s="1118"/>
      <c r="M628" s="1097"/>
      <c r="N628" s="1118"/>
      <c r="O628" s="1097"/>
      <c r="P628" s="1118"/>
      <c r="Q628" s="1097"/>
      <c r="R628" s="1118"/>
      <c r="S628" s="1097"/>
      <c r="T628" s="1118"/>
      <c r="U628" s="1097"/>
      <c r="V628" s="1118"/>
      <c r="W628" s="1097"/>
      <c r="X628" s="1118"/>
      <c r="Y628" s="1136"/>
      <c r="Z628" s="1095"/>
      <c r="AA628" s="1136"/>
      <c r="AB628" s="1133"/>
      <c r="AC628" s="1095"/>
      <c r="AD628" s="1133"/>
      <c r="AE628" s="1095"/>
      <c r="AF628" s="1095"/>
      <c r="AG628" s="1095"/>
      <c r="AH628" s="1095"/>
      <c r="AI628" s="1095"/>
      <c r="AJ628" s="1095"/>
      <c r="AK628" s="1095"/>
      <c r="AL628" s="1095"/>
      <c r="AM628" s="1095"/>
      <c r="AN628" s="1095"/>
      <c r="AO628" s="1095"/>
      <c r="AP628" s="1095"/>
      <c r="AQ628" s="1106"/>
      <c r="AR628" s="1097"/>
      <c r="AS628" s="1097"/>
      <c r="AT628" s="199"/>
      <c r="AV628" s="181"/>
      <c r="AW628" s="181"/>
      <c r="AX628" s="181"/>
      <c r="AY628" s="181"/>
      <c r="AZ628" s="181"/>
      <c r="BA628" s="181"/>
      <c r="BB628" s="181"/>
      <c r="BC628" s="181"/>
      <c r="BD628" s="181"/>
      <c r="BE628" s="181"/>
      <c r="BF628" s="181"/>
      <c r="BG628" s="181"/>
      <c r="BH628" s="181"/>
      <c r="BI628" s="181"/>
      <c r="BJ628" s="181"/>
      <c r="BK628" s="181"/>
      <c r="BL628" s="181"/>
      <c r="BM628" s="181"/>
      <c r="BN628" s="181"/>
      <c r="BO628" s="181"/>
      <c r="BP628" s="181"/>
      <c r="BQ628" s="181"/>
      <c r="BR628" s="181"/>
      <c r="BS628" s="181"/>
      <c r="BT628" s="181"/>
      <c r="BU628" s="181"/>
      <c r="BV628" s="181"/>
      <c r="BW628" s="181"/>
      <c r="BX628" s="181"/>
    </row>
    <row r="629" spans="1:76" s="30" customFormat="1" x14ac:dyDescent="0.25">
      <c r="A629" s="545"/>
      <c r="B629" s="1579"/>
      <c r="C629" s="1097"/>
      <c r="D629" s="1130"/>
      <c r="E629" s="1131"/>
      <c r="F629" s="1097"/>
      <c r="G629" s="2084"/>
      <c r="H629" s="2084"/>
      <c r="I629" s="2084"/>
      <c r="J629" s="1132"/>
      <c r="K629" s="1132"/>
      <c r="L629" s="1118"/>
      <c r="M629" s="1097"/>
      <c r="N629" s="1118"/>
      <c r="O629" s="1097"/>
      <c r="P629" s="1118"/>
      <c r="Q629" s="1097"/>
      <c r="R629" s="1118"/>
      <c r="S629" s="1097"/>
      <c r="T629" s="1118"/>
      <c r="U629" s="1097"/>
      <c r="V629" s="1118"/>
      <c r="W629" s="1097"/>
      <c r="X629" s="1118"/>
      <c r="Y629" s="1136"/>
      <c r="Z629" s="1095"/>
      <c r="AA629" s="1136"/>
      <c r="AB629" s="1133"/>
      <c r="AC629" s="1095"/>
      <c r="AD629" s="1133"/>
      <c r="AE629" s="1095"/>
      <c r="AF629" s="1095"/>
      <c r="AG629" s="1095"/>
      <c r="AH629" s="1095"/>
      <c r="AI629" s="1095"/>
      <c r="AJ629" s="1095"/>
      <c r="AK629" s="1095"/>
      <c r="AL629" s="1095"/>
      <c r="AM629" s="1095"/>
      <c r="AN629" s="1095"/>
      <c r="AO629" s="1095"/>
      <c r="AP629" s="1095"/>
      <c r="AQ629" s="1106"/>
      <c r="AR629" s="1097"/>
      <c r="AS629" s="1097"/>
      <c r="AV629" s="181"/>
      <c r="AW629" s="181"/>
      <c r="AX629" s="181"/>
      <c r="AY629" s="181"/>
      <c r="AZ629" s="181"/>
      <c r="BA629" s="181"/>
      <c r="BB629" s="181"/>
      <c r="BC629" s="181"/>
      <c r="BD629" s="181"/>
      <c r="BE629" s="181"/>
      <c r="BF629" s="181"/>
      <c r="BG629" s="181"/>
      <c r="BH629" s="181"/>
      <c r="BI629" s="181"/>
      <c r="BJ629" s="181"/>
      <c r="BK629" s="181"/>
      <c r="BL629" s="181"/>
      <c r="BM629" s="181"/>
      <c r="BN629" s="181"/>
      <c r="BO629" s="181"/>
      <c r="BP629" s="181"/>
      <c r="BQ629" s="181"/>
      <c r="BR629" s="181"/>
      <c r="BS629" s="181"/>
      <c r="BT629" s="181"/>
      <c r="BU629" s="181"/>
      <c r="BV629" s="181"/>
      <c r="BW629" s="181"/>
      <c r="BX629" s="181"/>
    </row>
    <row r="630" spans="1:76" s="30" customFormat="1" x14ac:dyDescent="0.25">
      <c r="A630" s="545"/>
      <c r="B630" s="1579"/>
      <c r="C630" s="1097"/>
      <c r="D630" s="1130"/>
      <c r="E630" s="1131"/>
      <c r="F630" s="1097"/>
      <c r="G630" s="2084">
        <v>42947</v>
      </c>
      <c r="H630" s="2084"/>
      <c r="I630" s="2084"/>
      <c r="J630" s="1132"/>
      <c r="K630" s="1132" t="s">
        <v>962</v>
      </c>
      <c r="L630" s="1118"/>
      <c r="M630" s="1097"/>
      <c r="N630" s="1118"/>
      <c r="O630" s="1097"/>
      <c r="P630" s="1118"/>
      <c r="Q630" s="1097"/>
      <c r="R630" s="1118"/>
      <c r="S630" s="1097"/>
      <c r="T630" s="1118"/>
      <c r="U630" s="1097"/>
      <c r="V630" s="1118"/>
      <c r="W630" s="1097"/>
      <c r="X630" s="1118"/>
      <c r="Y630" s="1136"/>
      <c r="Z630" s="1095"/>
      <c r="AA630" s="1136"/>
      <c r="AB630" s="1133"/>
      <c r="AC630" s="1095"/>
      <c r="AD630" s="1133"/>
      <c r="AE630" s="1095"/>
      <c r="AF630" s="1095"/>
      <c r="AG630" s="1095"/>
      <c r="AH630" s="1095"/>
      <c r="AI630" s="1095"/>
      <c r="AJ630" s="1095"/>
      <c r="AK630" s="1095"/>
      <c r="AL630" s="1095"/>
      <c r="AM630" s="1095"/>
      <c r="AN630" s="1095"/>
      <c r="AO630" s="1095"/>
      <c r="AP630" s="1095"/>
      <c r="AQ630" s="1106"/>
      <c r="AR630" s="1097"/>
      <c r="AS630" s="1097"/>
      <c r="AV630" s="181"/>
      <c r="AW630" s="181"/>
      <c r="AX630" s="181"/>
      <c r="AY630" s="181"/>
      <c r="AZ630" s="181"/>
      <c r="BA630" s="181"/>
      <c r="BB630" s="181"/>
      <c r="BC630" s="181"/>
      <c r="BD630" s="181"/>
      <c r="BE630" s="181"/>
      <c r="BF630" s="181"/>
      <c r="BG630" s="181"/>
      <c r="BH630" s="181"/>
      <c r="BI630" s="181"/>
      <c r="BJ630" s="181"/>
      <c r="BK630" s="181"/>
      <c r="BL630" s="181"/>
      <c r="BM630" s="181"/>
      <c r="BN630" s="181"/>
      <c r="BO630" s="181"/>
      <c r="BP630" s="181"/>
      <c r="BQ630" s="181"/>
      <c r="BR630" s="181"/>
      <c r="BS630" s="181"/>
      <c r="BT630" s="181"/>
      <c r="BU630" s="181"/>
      <c r="BV630" s="181"/>
      <c r="BW630" s="181"/>
      <c r="BX630" s="181"/>
    </row>
    <row r="631" spans="1:76" s="30" customFormat="1" x14ac:dyDescent="0.25">
      <c r="A631" s="545"/>
      <c r="B631" s="1579"/>
      <c r="C631" s="1097"/>
      <c r="D631" s="1130"/>
      <c r="E631" s="1131"/>
      <c r="F631" s="1097"/>
      <c r="G631" s="2084"/>
      <c r="H631" s="2084"/>
      <c r="I631" s="2084"/>
      <c r="J631" s="1132"/>
      <c r="K631" s="1132" t="s">
        <v>964</v>
      </c>
      <c r="L631" s="1118"/>
      <c r="M631" s="1097"/>
      <c r="N631" s="1118"/>
      <c r="O631" s="1097"/>
      <c r="P631" s="1118"/>
      <c r="Q631" s="1097"/>
      <c r="R631" s="1118"/>
      <c r="S631" s="1097"/>
      <c r="T631" s="1118"/>
      <c r="U631" s="1097"/>
      <c r="V631" s="1118"/>
      <c r="W631" s="1097"/>
      <c r="X631" s="1118"/>
      <c r="Y631" s="1136"/>
      <c r="Z631" s="1095"/>
      <c r="AA631" s="1136"/>
      <c r="AB631" s="1133"/>
      <c r="AC631" s="1095"/>
      <c r="AD631" s="1133"/>
      <c r="AE631" s="1095"/>
      <c r="AF631" s="1095"/>
      <c r="AG631" s="1095"/>
      <c r="AH631" s="1095"/>
      <c r="AI631" s="1095"/>
      <c r="AJ631" s="1095"/>
      <c r="AK631" s="1095"/>
      <c r="AL631" s="1095"/>
      <c r="AM631" s="1095"/>
      <c r="AN631" s="1095"/>
      <c r="AO631" s="1095"/>
      <c r="AP631" s="1095"/>
      <c r="AQ631" s="1106"/>
      <c r="AR631" s="1097"/>
      <c r="AS631" s="1097"/>
      <c r="AT631" s="181"/>
      <c r="AU631" s="181"/>
      <c r="AV631" s="181"/>
      <c r="AW631" s="181"/>
      <c r="AX631" s="181"/>
      <c r="AY631" s="181"/>
      <c r="AZ631" s="181"/>
      <c r="BA631" s="181"/>
      <c r="BB631" s="181"/>
      <c r="BC631" s="181"/>
      <c r="BD631" s="181"/>
      <c r="BE631" s="181"/>
      <c r="BF631" s="181"/>
      <c r="BG631" s="181"/>
      <c r="BH631" s="181"/>
      <c r="BI631" s="181"/>
      <c r="BJ631" s="181"/>
      <c r="BK631" s="181"/>
      <c r="BL631" s="181"/>
      <c r="BM631" s="181"/>
      <c r="BN631" s="181"/>
      <c r="BO631" s="181"/>
      <c r="BP631" s="181"/>
      <c r="BQ631" s="181"/>
      <c r="BR631" s="181"/>
      <c r="BS631" s="181"/>
      <c r="BT631" s="181"/>
      <c r="BU631" s="181"/>
      <c r="BV631" s="181"/>
    </row>
    <row r="632" spans="1:76" s="30" customFormat="1" x14ac:dyDescent="0.25">
      <c r="A632" s="545"/>
      <c r="B632" s="1579"/>
      <c r="C632" s="1097"/>
      <c r="D632" s="1130"/>
      <c r="E632" s="1131"/>
      <c r="F632" s="1097"/>
      <c r="G632" s="2084"/>
      <c r="H632" s="2084"/>
      <c r="I632" s="2084"/>
      <c r="J632" s="1132"/>
      <c r="K632" s="1667" t="s">
        <v>984</v>
      </c>
      <c r="L632" s="1118"/>
      <c r="M632" s="1097"/>
      <c r="N632" s="1118"/>
      <c r="O632" s="1097"/>
      <c r="P632" s="1118"/>
      <c r="Q632" s="1097"/>
      <c r="R632" s="1118"/>
      <c r="S632" s="1097"/>
      <c r="T632" s="1118"/>
      <c r="U632" s="1097"/>
      <c r="V632" s="1118"/>
      <c r="W632" s="1097"/>
      <c r="X632" s="1118"/>
      <c r="Y632" s="1136"/>
      <c r="Z632" s="1095"/>
      <c r="AA632" s="1136"/>
      <c r="AB632" s="1133"/>
      <c r="AC632" s="1095"/>
      <c r="AD632" s="1133"/>
      <c r="AE632" s="1095"/>
      <c r="AF632" s="1095"/>
      <c r="AG632" s="1095"/>
      <c r="AH632" s="1095"/>
      <c r="AI632" s="1095"/>
      <c r="AJ632" s="1095"/>
      <c r="AK632" s="1095"/>
      <c r="AL632" s="1095"/>
      <c r="AM632" s="1095"/>
      <c r="AN632" s="1095"/>
      <c r="AO632" s="1095"/>
      <c r="AP632" s="1095"/>
      <c r="AQ632" s="1106"/>
      <c r="AR632" s="1097"/>
      <c r="AS632" s="1097"/>
      <c r="AT632" s="181"/>
      <c r="AU632" s="181"/>
      <c r="AV632" s="181"/>
      <c r="AW632" s="181"/>
      <c r="AX632" s="181"/>
      <c r="AY632" s="181"/>
      <c r="AZ632" s="181"/>
      <c r="BA632" s="181"/>
      <c r="BB632" s="181"/>
      <c r="BC632" s="181"/>
      <c r="BD632" s="181"/>
      <c r="BE632" s="181"/>
      <c r="BF632" s="181"/>
      <c r="BG632" s="181"/>
      <c r="BH632" s="181"/>
      <c r="BI632" s="181"/>
      <c r="BJ632" s="181"/>
      <c r="BK632" s="181"/>
      <c r="BL632" s="181"/>
      <c r="BM632" s="181"/>
      <c r="BN632" s="181"/>
      <c r="BO632" s="181"/>
      <c r="BP632" s="181"/>
      <c r="BQ632" s="181"/>
      <c r="BR632" s="181"/>
      <c r="BS632" s="181"/>
      <c r="BT632" s="181"/>
      <c r="BU632" s="181"/>
      <c r="BV632" s="181"/>
    </row>
    <row r="633" spans="1:76" s="30" customFormat="1" x14ac:dyDescent="0.25">
      <c r="A633" s="545"/>
      <c r="B633" s="1579"/>
      <c r="C633" s="1097"/>
      <c r="D633" s="1130"/>
      <c r="E633" s="1131"/>
      <c r="F633" s="1097"/>
      <c r="G633" s="2084"/>
      <c r="H633" s="2084"/>
      <c r="I633" s="2084"/>
      <c r="J633" s="1132"/>
      <c r="K633" s="1132" t="s">
        <v>1038</v>
      </c>
      <c r="L633" s="1118"/>
      <c r="M633" s="1097"/>
      <c r="N633" s="1118"/>
      <c r="O633" s="1097"/>
      <c r="P633" s="1118"/>
      <c r="Q633" s="1097"/>
      <c r="R633" s="1118"/>
      <c r="S633" s="1097"/>
      <c r="T633" s="1118"/>
      <c r="U633" s="1097"/>
      <c r="V633" s="1118"/>
      <c r="W633" s="1097"/>
      <c r="X633" s="1118"/>
      <c r="Y633" s="1136"/>
      <c r="Z633" s="1095"/>
      <c r="AA633" s="1136"/>
      <c r="AB633" s="1133"/>
      <c r="AC633" s="1095"/>
      <c r="AD633" s="1133"/>
      <c r="AE633" s="1095"/>
      <c r="AF633" s="1095"/>
      <c r="AG633" s="1095"/>
      <c r="AH633" s="1095"/>
      <c r="AI633" s="1095"/>
      <c r="AJ633" s="1095"/>
      <c r="AK633" s="1095"/>
      <c r="AL633" s="1095"/>
      <c r="AM633" s="1095"/>
      <c r="AN633" s="1095"/>
      <c r="AO633" s="1095"/>
      <c r="AP633" s="1095"/>
      <c r="AQ633" s="1106"/>
      <c r="AR633" s="1097"/>
      <c r="AS633" s="1097"/>
      <c r="AT633" s="181"/>
      <c r="AU633" s="181"/>
      <c r="AV633" s="181"/>
      <c r="AW633" s="181"/>
      <c r="AX633" s="181"/>
      <c r="AY633" s="181"/>
      <c r="AZ633" s="181"/>
      <c r="BA633" s="181"/>
      <c r="BB633" s="181"/>
      <c r="BC633" s="181"/>
      <c r="BD633" s="181"/>
      <c r="BE633" s="181"/>
      <c r="BF633" s="181"/>
      <c r="BG633" s="181"/>
      <c r="BH633" s="181"/>
      <c r="BI633" s="181"/>
      <c r="BJ633" s="181"/>
      <c r="BK633" s="181"/>
      <c r="BL633" s="181"/>
      <c r="BM633" s="181"/>
      <c r="BN633" s="181"/>
      <c r="BO633" s="181"/>
      <c r="BP633" s="181"/>
      <c r="BQ633" s="181"/>
      <c r="BR633" s="181"/>
      <c r="BS633" s="181"/>
      <c r="BT633" s="181"/>
      <c r="BU633" s="181"/>
      <c r="BV633" s="181"/>
    </row>
    <row r="634" spans="1:76" s="30" customFormat="1" x14ac:dyDescent="0.2">
      <c r="A634" s="545"/>
      <c r="B634" s="1579"/>
      <c r="C634" s="1097"/>
      <c r="D634" s="1130"/>
      <c r="E634" s="1131"/>
      <c r="F634" s="1097"/>
      <c r="G634" s="2084"/>
      <c r="H634" s="2084"/>
      <c r="I634" s="2084"/>
      <c r="J634" s="1132"/>
      <c r="K634" s="1640" t="s">
        <v>1036</v>
      </c>
      <c r="L634" s="1118"/>
      <c r="M634" s="1097"/>
      <c r="N634" s="1118"/>
      <c r="O634" s="1097"/>
      <c r="P634" s="1118"/>
      <c r="Q634" s="1097"/>
      <c r="R634" s="1118"/>
      <c r="S634" s="1097"/>
      <c r="T634" s="1118"/>
      <c r="U634" s="1097"/>
      <c r="V634" s="1118"/>
      <c r="W634" s="1097"/>
      <c r="X634" s="1118"/>
      <c r="Y634" s="1136"/>
      <c r="Z634" s="1095"/>
      <c r="AA634" s="1136"/>
      <c r="AB634" s="1133"/>
      <c r="AC634" s="1095"/>
      <c r="AD634" s="1133"/>
      <c r="AE634" s="1095"/>
      <c r="AF634" s="1095"/>
      <c r="AG634" s="1095"/>
      <c r="AH634" s="1095"/>
      <c r="AI634" s="1095"/>
      <c r="AJ634" s="1095"/>
      <c r="AK634" s="1095"/>
      <c r="AL634" s="1095"/>
      <c r="AM634" s="1095"/>
      <c r="AN634" s="1095"/>
      <c r="AO634" s="1095"/>
      <c r="AP634" s="1095"/>
      <c r="AQ634" s="1106"/>
      <c r="AR634" s="1097"/>
      <c r="AS634" s="1097"/>
      <c r="AT634" s="181"/>
      <c r="AU634" s="181"/>
      <c r="AV634" s="181"/>
      <c r="AW634" s="181"/>
      <c r="AX634" s="181"/>
      <c r="AY634" s="181"/>
      <c r="AZ634" s="181"/>
      <c r="BA634" s="181"/>
      <c r="BB634" s="181"/>
      <c r="BC634" s="181"/>
      <c r="BD634" s="181"/>
      <c r="BE634" s="181"/>
      <c r="BF634" s="181"/>
      <c r="BG634" s="181"/>
      <c r="BH634" s="181"/>
      <c r="BI634" s="181"/>
      <c r="BJ634" s="181"/>
      <c r="BK634" s="181"/>
      <c r="BL634" s="181"/>
      <c r="BM634" s="181"/>
      <c r="BN634" s="181"/>
      <c r="BO634" s="181"/>
      <c r="BP634" s="181"/>
      <c r="BQ634" s="181"/>
      <c r="BR634" s="181"/>
      <c r="BS634" s="181"/>
      <c r="BT634" s="181"/>
      <c r="BU634" s="181"/>
      <c r="BV634" s="181"/>
    </row>
    <row r="635" spans="1:76" s="181" customFormat="1" x14ac:dyDescent="0.2">
      <c r="A635" s="551"/>
      <c r="B635" s="1578"/>
      <c r="C635" s="1097"/>
      <c r="D635" s="1130"/>
      <c r="E635" s="1131"/>
      <c r="F635" s="1097"/>
      <c r="G635" s="2084"/>
      <c r="H635" s="2084"/>
      <c r="I635" s="2084"/>
      <c r="J635" s="1132"/>
      <c r="K635" s="1640" t="s">
        <v>1037</v>
      </c>
      <c r="L635" s="1118"/>
      <c r="M635" s="1097"/>
      <c r="N635" s="1118"/>
      <c r="O635" s="1097"/>
      <c r="P635" s="1118"/>
      <c r="Q635" s="1097"/>
      <c r="R635" s="1118"/>
      <c r="S635" s="1097"/>
      <c r="T635" s="1118"/>
      <c r="U635" s="1097"/>
      <c r="V635" s="1118"/>
      <c r="W635" s="1097"/>
      <c r="X635" s="1118"/>
      <c r="Y635" s="1136"/>
      <c r="Z635" s="1095"/>
      <c r="AA635" s="1136"/>
      <c r="AB635" s="1133"/>
      <c r="AC635" s="1095"/>
      <c r="AD635" s="1133"/>
      <c r="AE635" s="1095"/>
      <c r="AF635" s="1095"/>
      <c r="AG635" s="1095"/>
      <c r="AH635" s="1095"/>
      <c r="AI635" s="1095"/>
      <c r="AJ635" s="1095"/>
      <c r="AK635" s="1095"/>
      <c r="AL635" s="1095"/>
      <c r="AM635" s="1095"/>
      <c r="AN635" s="1095"/>
      <c r="AO635" s="1095"/>
      <c r="AP635" s="1095"/>
      <c r="AQ635" s="1106"/>
      <c r="AR635" s="1097"/>
      <c r="AS635" s="1097"/>
      <c r="BW635" s="30"/>
      <c r="BX635" s="30"/>
    </row>
    <row r="636" spans="1:76" s="181" customFormat="1" x14ac:dyDescent="0.25">
      <c r="A636" s="551"/>
      <c r="B636" s="1578"/>
      <c r="C636" s="1097"/>
      <c r="D636" s="1130"/>
      <c r="E636" s="1131"/>
      <c r="F636" s="1097"/>
      <c r="G636" s="2084"/>
      <c r="H636" s="2084"/>
      <c r="I636" s="2084"/>
      <c r="J636" s="1132"/>
      <c r="K636" s="1132" t="s">
        <v>1044</v>
      </c>
      <c r="L636" s="1118"/>
      <c r="M636" s="1097"/>
      <c r="N636" s="1118"/>
      <c r="O636" s="1097"/>
      <c r="P636" s="1118"/>
      <c r="Q636" s="1097"/>
      <c r="R636" s="1118"/>
      <c r="S636" s="1097"/>
      <c r="T636" s="1118"/>
      <c r="U636" s="1097"/>
      <c r="V636" s="1118"/>
      <c r="W636" s="1097"/>
      <c r="X636" s="1118"/>
      <c r="Y636" s="1136"/>
      <c r="Z636" s="1095"/>
      <c r="AA636" s="1136"/>
      <c r="AB636" s="1133"/>
      <c r="AC636" s="1095"/>
      <c r="AD636" s="1133"/>
      <c r="AE636" s="1095"/>
      <c r="AF636" s="1095"/>
      <c r="AG636" s="1095"/>
      <c r="AH636" s="1095"/>
      <c r="AI636" s="1095"/>
      <c r="AJ636" s="1095"/>
      <c r="AK636" s="1095"/>
      <c r="AL636" s="1095"/>
      <c r="AM636" s="1095"/>
      <c r="AN636" s="1095"/>
      <c r="AO636" s="1095"/>
      <c r="AP636" s="1095"/>
      <c r="AQ636" s="1106"/>
      <c r="AR636" s="1097"/>
      <c r="AS636" s="1097"/>
      <c r="BW636" s="30"/>
      <c r="BX636" s="30"/>
    </row>
    <row r="637" spans="1:76" s="181" customFormat="1" x14ac:dyDescent="0.25">
      <c r="A637" s="551"/>
      <c r="B637" s="1578"/>
      <c r="C637" s="1097"/>
      <c r="D637" s="1130"/>
      <c r="E637" s="1131"/>
      <c r="F637" s="1097"/>
      <c r="G637" s="2084"/>
      <c r="H637" s="2084"/>
      <c r="I637" s="2084"/>
      <c r="J637" s="1132"/>
      <c r="K637" s="1132"/>
      <c r="L637" s="1118"/>
      <c r="M637" s="1097"/>
      <c r="N637" s="1118"/>
      <c r="O637" s="1097"/>
      <c r="P637" s="1118"/>
      <c r="Q637" s="1097"/>
      <c r="R637" s="1118"/>
      <c r="S637" s="1097"/>
      <c r="T637" s="1118"/>
      <c r="U637" s="1097"/>
      <c r="V637" s="1118"/>
      <c r="W637" s="1097"/>
      <c r="X637" s="1118"/>
      <c r="Y637" s="1136"/>
      <c r="Z637" s="1095"/>
      <c r="AA637" s="1136"/>
      <c r="AB637" s="1133"/>
      <c r="AC637" s="1095"/>
      <c r="AD637" s="1133"/>
      <c r="AE637" s="1095"/>
      <c r="AF637" s="1095"/>
      <c r="AG637" s="1095"/>
      <c r="AH637" s="1095"/>
      <c r="AI637" s="1095"/>
      <c r="AJ637" s="1095"/>
      <c r="AK637" s="1095"/>
      <c r="AL637" s="1095"/>
      <c r="AM637" s="1095"/>
      <c r="AN637" s="1095"/>
      <c r="AO637" s="1095"/>
      <c r="AP637" s="1095"/>
      <c r="AQ637" s="1106"/>
      <c r="AR637" s="1097"/>
      <c r="AS637" s="1097"/>
      <c r="BW637" s="30"/>
      <c r="BX637" s="30"/>
    </row>
    <row r="638" spans="1:76" s="181" customFormat="1" x14ac:dyDescent="0.2">
      <c r="A638" s="551"/>
      <c r="B638" s="1578"/>
      <c r="C638" s="1097"/>
      <c r="D638" s="1130"/>
      <c r="E638" s="1131"/>
      <c r="F638" s="1097"/>
      <c r="G638" s="2084">
        <v>42958</v>
      </c>
      <c r="H638" s="2084"/>
      <c r="I638" s="2084"/>
      <c r="J638" s="1132"/>
      <c r="K638" s="1132" t="s">
        <v>1050</v>
      </c>
      <c r="L638" s="1118"/>
      <c r="M638" s="1097"/>
      <c r="N638" s="1118"/>
      <c r="O638" s="1097"/>
      <c r="P638" s="1118"/>
      <c r="Q638" s="1097"/>
      <c r="R638" s="1118"/>
      <c r="S638" s="1097"/>
      <c r="T638" s="1118"/>
      <c r="U638" s="1097"/>
      <c r="V638" s="1118"/>
      <c r="W638" s="1097"/>
      <c r="X638" s="1118"/>
      <c r="Y638" s="1136"/>
      <c r="Z638" s="1639"/>
      <c r="AA638" s="1132"/>
      <c r="AB638" s="1133"/>
      <c r="AC638" s="1095"/>
      <c r="AD638" s="1133"/>
      <c r="AE638" s="1095"/>
      <c r="AF638" s="1095"/>
      <c r="AG638" s="1095"/>
      <c r="AH638" s="1095"/>
      <c r="AI638" s="1095"/>
      <c r="AJ638" s="1095"/>
      <c r="AK638" s="1095"/>
      <c r="AL638" s="1095"/>
      <c r="AM638" s="1095"/>
      <c r="AN638" s="1095"/>
      <c r="AO638" s="1095"/>
      <c r="AP638" s="1095"/>
      <c r="AQ638" s="1106"/>
      <c r="AR638" s="1097"/>
      <c r="AS638" s="1097"/>
      <c r="BW638" s="30"/>
      <c r="BX638" s="30"/>
    </row>
    <row r="639" spans="1:76" s="181" customFormat="1" x14ac:dyDescent="0.25">
      <c r="A639" s="551"/>
      <c r="B639" s="1578"/>
      <c r="C639" s="1097"/>
      <c r="D639" s="1130"/>
      <c r="E639" s="1131"/>
      <c r="F639" s="1097"/>
      <c r="G639" s="2084"/>
      <c r="H639" s="2084"/>
      <c r="I639" s="2084"/>
      <c r="J639" s="1132"/>
      <c r="K639" s="1132"/>
      <c r="L639" s="1118"/>
      <c r="M639" s="1097"/>
      <c r="N639" s="1118"/>
      <c r="O639" s="1097"/>
      <c r="P639" s="1118"/>
      <c r="Q639" s="1097"/>
      <c r="R639" s="1118"/>
      <c r="S639" s="1097"/>
      <c r="T639" s="1118"/>
      <c r="U639" s="1097"/>
      <c r="V639" s="1118"/>
      <c r="W639" s="1097"/>
      <c r="X639" s="1118"/>
      <c r="Y639" s="1136"/>
      <c r="Z639" s="1095"/>
      <c r="AA639" s="1136"/>
      <c r="AB639" s="1095"/>
      <c r="AC639" s="1095"/>
      <c r="AD639" s="1095"/>
      <c r="AE639" s="1095"/>
      <c r="AF639" s="1095"/>
      <c r="AG639" s="1095"/>
      <c r="AH639" s="1095"/>
      <c r="AI639" s="1095"/>
      <c r="AJ639" s="1095"/>
      <c r="AK639" s="1095"/>
      <c r="AL639" s="1095"/>
      <c r="AM639" s="1095"/>
      <c r="AN639" s="1095"/>
      <c r="AO639" s="1095"/>
      <c r="AP639" s="1095"/>
      <c r="AQ639" s="1106"/>
      <c r="AR639" s="1097"/>
      <c r="AS639" s="1097"/>
      <c r="BW639" s="30"/>
      <c r="BX639" s="30"/>
    </row>
    <row r="640" spans="1:76" s="181" customFormat="1" x14ac:dyDescent="0.2">
      <c r="A640" s="551"/>
      <c r="B640" s="1578"/>
      <c r="C640" s="1097"/>
      <c r="D640" s="1130"/>
      <c r="E640" s="1131"/>
      <c r="F640" s="1097"/>
      <c r="G640" s="2084">
        <v>42965</v>
      </c>
      <c r="H640" s="2084"/>
      <c r="I640" s="2084"/>
      <c r="J640" s="1132"/>
      <c r="K640" s="1830" t="s">
        <v>1066</v>
      </c>
      <c r="L640" s="1118"/>
      <c r="M640" s="1097"/>
      <c r="N640" s="1118"/>
      <c r="O640" s="1097"/>
      <c r="P640" s="1118"/>
      <c r="Q640" s="1097"/>
      <c r="R640" s="1118"/>
      <c r="S640" s="1097"/>
      <c r="T640" s="1118"/>
      <c r="U640" s="1097"/>
      <c r="V640" s="1118"/>
      <c r="W640" s="1097"/>
      <c r="X640" s="1118"/>
      <c r="Y640" s="1136"/>
      <c r="Z640" s="1095"/>
      <c r="AA640" s="1136"/>
      <c r="AB640" s="1095"/>
      <c r="AC640" s="1095"/>
      <c r="AD640" s="1095"/>
      <c r="AE640" s="1095"/>
      <c r="AF640" s="1095"/>
      <c r="AG640" s="1095"/>
      <c r="AH640" s="1095"/>
      <c r="AI640" s="1095"/>
      <c r="AJ640" s="1095"/>
      <c r="AK640" s="1095"/>
      <c r="AL640" s="1095"/>
      <c r="AM640" s="1095"/>
      <c r="AN640" s="1095"/>
      <c r="AO640" s="1095"/>
      <c r="AP640" s="1095"/>
      <c r="AQ640" s="1106"/>
      <c r="AR640" s="1097"/>
      <c r="AS640" s="1097"/>
      <c r="BW640" s="30"/>
      <c r="BX640" s="30"/>
    </row>
    <row r="641" spans="1:76" s="181" customFormat="1" x14ac:dyDescent="0.25">
      <c r="A641" s="551"/>
      <c r="B641" s="1578"/>
      <c r="C641" s="1097"/>
      <c r="D641" s="1130"/>
      <c r="E641" s="1131"/>
      <c r="F641" s="1097"/>
      <c r="G641" s="1831"/>
      <c r="H641" s="1114"/>
      <c r="I641" s="1830"/>
      <c r="J641" s="1132"/>
      <c r="K641" s="1830" t="s">
        <v>1067</v>
      </c>
      <c r="L641" s="1118"/>
      <c r="M641" s="1097"/>
      <c r="N641" s="1118"/>
      <c r="O641" s="1097"/>
      <c r="P641" s="1118"/>
      <c r="Q641" s="1097"/>
      <c r="R641" s="1118"/>
      <c r="S641" s="1097"/>
      <c r="T641" s="1118"/>
      <c r="U641" s="1097"/>
      <c r="V641" s="1118"/>
      <c r="W641" s="1097"/>
      <c r="X641" s="1118"/>
      <c r="Y641" s="1136"/>
      <c r="Z641" s="1095"/>
      <c r="AA641" s="1136"/>
      <c r="AB641" s="1095"/>
      <c r="AC641" s="1095"/>
      <c r="AD641" s="1095"/>
      <c r="AE641" s="1095"/>
      <c r="AF641" s="1095"/>
      <c r="AG641" s="1095"/>
      <c r="AH641" s="1095"/>
      <c r="AI641" s="1095"/>
      <c r="AJ641" s="1095"/>
      <c r="AK641" s="1095"/>
      <c r="AL641" s="1095"/>
      <c r="AM641" s="1095"/>
      <c r="AN641" s="1095"/>
      <c r="AO641" s="1095"/>
      <c r="AP641" s="1095"/>
      <c r="AQ641" s="1106"/>
      <c r="AR641" s="1097"/>
      <c r="AS641" s="1097"/>
      <c r="BW641" s="30"/>
      <c r="BX641" s="30"/>
    </row>
    <row r="642" spans="1:76" s="181" customFormat="1" x14ac:dyDescent="0.25">
      <c r="A642" s="551"/>
      <c r="B642" s="1578"/>
      <c r="C642" s="1097"/>
      <c r="D642" s="1130"/>
      <c r="E642" s="1131"/>
      <c r="F642" s="1097"/>
      <c r="G642" s="2084"/>
      <c r="H642" s="2084"/>
      <c r="I642" s="2084"/>
      <c r="J642" s="1132"/>
      <c r="K642" s="1132"/>
      <c r="L642" s="1118"/>
      <c r="M642" s="1097"/>
      <c r="N642" s="1118"/>
      <c r="O642" s="1097"/>
      <c r="P642" s="1118"/>
      <c r="Q642" s="1097"/>
      <c r="R642" s="1118"/>
      <c r="S642" s="1097"/>
      <c r="T642" s="1118"/>
      <c r="U642" s="1097"/>
      <c r="V642" s="1118"/>
      <c r="W642" s="1097"/>
      <c r="X642" s="1118"/>
      <c r="Y642" s="1136"/>
      <c r="Z642" s="1095"/>
      <c r="AA642" s="1136"/>
      <c r="AB642" s="1095"/>
      <c r="AC642" s="1095"/>
      <c r="AD642" s="1095"/>
      <c r="AE642" s="1095"/>
      <c r="AF642" s="1095"/>
      <c r="AG642" s="1095"/>
      <c r="AH642" s="1095"/>
      <c r="AI642" s="1095"/>
      <c r="AJ642" s="1095"/>
      <c r="AK642" s="1095"/>
      <c r="AL642" s="1095"/>
      <c r="AM642" s="1095"/>
      <c r="AN642" s="1095"/>
      <c r="AO642" s="1095"/>
      <c r="AP642" s="1095"/>
      <c r="AQ642" s="1106"/>
      <c r="AR642" s="1097"/>
      <c r="AS642" s="1097"/>
      <c r="BW642" s="30"/>
      <c r="BX642" s="30"/>
    </row>
    <row r="643" spans="1:76" s="181" customFormat="1" x14ac:dyDescent="0.25">
      <c r="A643" s="551"/>
      <c r="B643" s="1578"/>
      <c r="C643" s="1097"/>
      <c r="D643" s="1130"/>
      <c r="E643" s="1131"/>
      <c r="F643" s="1097"/>
      <c r="G643" s="2084">
        <v>42965</v>
      </c>
      <c r="H643" s="2084"/>
      <c r="I643" s="2084"/>
      <c r="J643" s="1132"/>
      <c r="K643" s="1832" t="s">
        <v>1066</v>
      </c>
      <c r="L643" s="1118"/>
      <c r="M643" s="1097"/>
      <c r="N643" s="1118"/>
      <c r="O643" s="1097"/>
      <c r="P643" s="1118"/>
      <c r="Q643" s="1097"/>
      <c r="R643" s="1118"/>
      <c r="S643" s="1097"/>
      <c r="T643" s="1118"/>
      <c r="U643" s="1097"/>
      <c r="V643" s="1118"/>
      <c r="W643" s="1097"/>
      <c r="X643" s="1118"/>
      <c r="Y643" s="1136"/>
      <c r="Z643" s="1095"/>
      <c r="AA643" s="1136"/>
      <c r="AB643" s="1095"/>
      <c r="AC643" s="1095"/>
      <c r="AD643" s="1095"/>
      <c r="AE643" s="1095"/>
      <c r="AF643" s="1095"/>
      <c r="AG643" s="1095"/>
      <c r="AH643" s="1095"/>
      <c r="AI643" s="1095"/>
      <c r="AJ643" s="1095"/>
      <c r="AK643" s="1095"/>
      <c r="AL643" s="1095"/>
      <c r="AM643" s="1095"/>
      <c r="AN643" s="1095"/>
      <c r="AO643" s="1095"/>
      <c r="AP643" s="1095"/>
      <c r="AQ643" s="1106"/>
      <c r="AR643" s="1097"/>
      <c r="AS643" s="1097"/>
      <c r="BW643" s="30"/>
      <c r="BX643" s="30"/>
    </row>
    <row r="644" spans="1:76" s="181" customFormat="1" x14ac:dyDescent="0.25">
      <c r="A644" s="551"/>
      <c r="B644" s="1578"/>
      <c r="C644" s="1097"/>
      <c r="D644" s="1130"/>
      <c r="E644" s="1131"/>
      <c r="F644" s="1097"/>
      <c r="G644" s="1833"/>
      <c r="H644" s="1097"/>
      <c r="I644" s="1832"/>
      <c r="J644" s="1132"/>
      <c r="K644" s="1832" t="s">
        <v>1067</v>
      </c>
      <c r="L644" s="1118"/>
      <c r="M644" s="1097"/>
      <c r="N644" s="1118"/>
      <c r="O644" s="1097"/>
      <c r="P644" s="1118"/>
      <c r="Q644" s="1097"/>
      <c r="R644" s="1118"/>
      <c r="S644" s="1097"/>
      <c r="T644" s="1118"/>
      <c r="U644" s="1097"/>
      <c r="V644" s="1118"/>
      <c r="W644" s="1097"/>
      <c r="X644" s="1118"/>
      <c r="Y644" s="1136"/>
      <c r="Z644" s="1095"/>
      <c r="AA644" s="1136"/>
      <c r="AB644" s="1095"/>
      <c r="AC644" s="1095"/>
      <c r="AD644" s="1095"/>
      <c r="AE644" s="1095"/>
      <c r="AF644" s="1095"/>
      <c r="AG644" s="1095"/>
      <c r="AH644" s="1095"/>
      <c r="AI644" s="1095"/>
      <c r="AJ644" s="1095"/>
      <c r="AK644" s="1095"/>
      <c r="AL644" s="1095"/>
      <c r="AM644" s="1095"/>
      <c r="AN644" s="1095"/>
      <c r="AO644" s="1095"/>
      <c r="AP644" s="1095"/>
      <c r="AQ644" s="1106"/>
      <c r="AR644" s="1097"/>
      <c r="AS644" s="1097"/>
      <c r="BW644" s="30"/>
      <c r="BX644" s="30"/>
    </row>
    <row r="645" spans="1:76" s="181" customFormat="1" x14ac:dyDescent="0.25">
      <c r="A645" s="551"/>
      <c r="B645" s="1578"/>
      <c r="C645" s="1097"/>
      <c r="D645" s="1130"/>
      <c r="E645" s="1131"/>
      <c r="F645" s="1097"/>
      <c r="G645" s="2084"/>
      <c r="H645" s="2084"/>
      <c r="I645" s="2084"/>
      <c r="J645" s="1132"/>
      <c r="K645" s="1132" t="s">
        <v>1069</v>
      </c>
      <c r="L645" s="1118"/>
      <c r="M645" s="1097"/>
      <c r="N645" s="1118"/>
      <c r="O645" s="1097"/>
      <c r="P645" s="1118"/>
      <c r="Q645" s="1097"/>
      <c r="R645" s="1118"/>
      <c r="S645" s="1097"/>
      <c r="T645" s="1118"/>
      <c r="U645" s="1097"/>
      <c r="V645" s="1118"/>
      <c r="W645" s="1097"/>
      <c r="X645" s="1118"/>
      <c r="Y645" s="1136"/>
      <c r="Z645" s="1095"/>
      <c r="AA645" s="1136"/>
      <c r="AB645" s="1095"/>
      <c r="AC645" s="1095"/>
      <c r="AD645" s="1095"/>
      <c r="AE645" s="1095"/>
      <c r="AF645" s="1095"/>
      <c r="AG645" s="1095"/>
      <c r="AH645" s="1095"/>
      <c r="AI645" s="1095"/>
      <c r="AJ645" s="1095"/>
      <c r="AK645" s="1095"/>
      <c r="AL645" s="1095"/>
      <c r="AM645" s="1095"/>
      <c r="AN645" s="1095"/>
      <c r="AO645" s="1095"/>
      <c r="AP645" s="1095"/>
      <c r="AQ645" s="1106"/>
      <c r="AR645" s="1097"/>
      <c r="AS645" s="1097"/>
      <c r="BW645" s="30"/>
      <c r="BX645" s="30"/>
    </row>
    <row r="646" spans="1:76" s="181" customFormat="1" x14ac:dyDescent="0.25">
      <c r="A646" s="551"/>
      <c r="B646" s="1578"/>
      <c r="C646" s="1097"/>
      <c r="D646" s="1130"/>
      <c r="E646" s="1131"/>
      <c r="F646" s="1097"/>
      <c r="G646" s="2084"/>
      <c r="H646" s="2084"/>
      <c r="I646" s="2084"/>
      <c r="J646" s="1132"/>
      <c r="K646" s="1132"/>
      <c r="L646" s="1118"/>
      <c r="M646" s="1097"/>
      <c r="N646" s="1118"/>
      <c r="O646" s="1097"/>
      <c r="P646" s="1118"/>
      <c r="Q646" s="1097"/>
      <c r="R646" s="1118"/>
      <c r="S646" s="1097"/>
      <c r="T646" s="1118"/>
      <c r="U646" s="1097"/>
      <c r="V646" s="1118"/>
      <c r="W646" s="1097"/>
      <c r="X646" s="1118"/>
      <c r="Y646" s="1136"/>
      <c r="Z646" s="1095"/>
      <c r="AA646" s="1136"/>
      <c r="AB646" s="1095"/>
      <c r="AC646" s="1095"/>
      <c r="AD646" s="1095"/>
      <c r="AE646" s="1095"/>
      <c r="AF646" s="1095"/>
      <c r="AG646" s="1095"/>
      <c r="AH646" s="1095"/>
      <c r="AI646" s="1095"/>
      <c r="AJ646" s="1095"/>
      <c r="AK646" s="1095"/>
      <c r="AL646" s="1095"/>
      <c r="AM646" s="1095"/>
      <c r="AN646" s="1095"/>
      <c r="AO646" s="1095"/>
      <c r="AP646" s="1095"/>
      <c r="AQ646" s="1106"/>
      <c r="AR646" s="1097"/>
      <c r="AS646" s="1097"/>
      <c r="BW646" s="30"/>
      <c r="BX646" s="30"/>
    </row>
    <row r="647" spans="1:76" s="181" customFormat="1" x14ac:dyDescent="0.25">
      <c r="A647" s="551"/>
      <c r="B647" s="1578"/>
      <c r="C647" s="1097"/>
      <c r="D647" s="1130"/>
      <c r="E647" s="1131"/>
      <c r="F647" s="1097"/>
      <c r="G647" s="2084">
        <v>42968</v>
      </c>
      <c r="H647" s="2084"/>
      <c r="I647" s="2084"/>
      <c r="J647" s="1132"/>
      <c r="K647" s="1132" t="s">
        <v>1070</v>
      </c>
      <c r="L647" s="1118"/>
      <c r="M647" s="1097"/>
      <c r="N647" s="1118"/>
      <c r="O647" s="1097"/>
      <c r="P647" s="1118"/>
      <c r="Q647" s="1097"/>
      <c r="R647" s="1118"/>
      <c r="S647" s="1097"/>
      <c r="T647" s="1118"/>
      <c r="U647" s="1097"/>
      <c r="V647" s="1118"/>
      <c r="W647" s="1097"/>
      <c r="X647" s="1118"/>
      <c r="Y647" s="1136"/>
      <c r="Z647" s="1095"/>
      <c r="AA647" s="1136"/>
      <c r="AB647" s="1095"/>
      <c r="AC647" s="1095"/>
      <c r="AD647" s="1095"/>
      <c r="AE647" s="1095"/>
      <c r="AF647" s="1095"/>
      <c r="AG647" s="1095"/>
      <c r="AH647" s="1095"/>
      <c r="AI647" s="1095"/>
      <c r="AJ647" s="1095"/>
      <c r="AK647" s="1095"/>
      <c r="AL647" s="1095"/>
      <c r="AM647" s="1095"/>
      <c r="AN647" s="1095"/>
      <c r="AO647" s="1095"/>
      <c r="AP647" s="1095"/>
      <c r="AQ647" s="1106"/>
      <c r="AR647" s="1097"/>
      <c r="AS647" s="1097"/>
      <c r="BW647" s="30"/>
      <c r="BX647" s="30"/>
    </row>
    <row r="648" spans="1:76" s="181" customFormat="1" x14ac:dyDescent="0.25">
      <c r="A648" s="551"/>
      <c r="B648" s="1578"/>
      <c r="C648" s="1097"/>
      <c r="D648" s="1130"/>
      <c r="E648" s="1131"/>
      <c r="F648" s="1097"/>
      <c r="G648" s="2084"/>
      <c r="H648" s="2084"/>
      <c r="I648" s="2084"/>
      <c r="J648" s="1132"/>
      <c r="K648" s="1132"/>
      <c r="L648" s="1118"/>
      <c r="M648" s="1097"/>
      <c r="N648" s="1118"/>
      <c r="O648" s="1097"/>
      <c r="P648" s="1118"/>
      <c r="Q648" s="1097"/>
      <c r="R648" s="1118"/>
      <c r="S648" s="1097"/>
      <c r="T648" s="1118"/>
      <c r="U648" s="1097"/>
      <c r="V648" s="1118"/>
      <c r="W648" s="1097"/>
      <c r="X648" s="1118"/>
      <c r="Y648" s="1136"/>
      <c r="Z648" s="1095"/>
      <c r="AA648" s="1136"/>
      <c r="AB648" s="1095"/>
      <c r="AC648" s="1095"/>
      <c r="AD648" s="1095"/>
      <c r="AE648" s="1095"/>
      <c r="AF648" s="1095"/>
      <c r="AG648" s="1095"/>
      <c r="AH648" s="1095"/>
      <c r="AI648" s="1095"/>
      <c r="AJ648" s="1095"/>
      <c r="AK648" s="1095"/>
      <c r="AL648" s="1095"/>
      <c r="AM648" s="1095"/>
      <c r="AN648" s="1095"/>
      <c r="AO648" s="1095"/>
      <c r="AP648" s="1095"/>
      <c r="AQ648" s="1106"/>
      <c r="AR648" s="1097"/>
      <c r="AS648" s="1097"/>
      <c r="BW648" s="30"/>
      <c r="BX648" s="30"/>
    </row>
    <row r="649" spans="1:76" s="181" customFormat="1" x14ac:dyDescent="0.25">
      <c r="A649" s="551"/>
      <c r="B649" s="1578"/>
      <c r="C649" s="1097"/>
      <c r="D649" s="1130"/>
      <c r="E649" s="1131"/>
      <c r="F649" s="1097"/>
      <c r="G649" s="2084">
        <v>42993</v>
      </c>
      <c r="H649" s="2084"/>
      <c r="I649" s="2084"/>
      <c r="J649" s="1132"/>
      <c r="K649" s="1132" t="s">
        <v>1084</v>
      </c>
      <c r="L649" s="1118"/>
      <c r="M649" s="1097"/>
      <c r="N649" s="1118"/>
      <c r="O649" s="1097"/>
      <c r="P649" s="1118"/>
      <c r="Q649" s="1097"/>
      <c r="R649" s="1118"/>
      <c r="S649" s="1097"/>
      <c r="T649" s="1118"/>
      <c r="U649" s="1097"/>
      <c r="V649" s="1118"/>
      <c r="W649" s="1097"/>
      <c r="X649" s="1118"/>
      <c r="Y649" s="1136"/>
      <c r="Z649" s="1095"/>
      <c r="AA649" s="1136"/>
      <c r="AB649" s="1095"/>
      <c r="AC649" s="1095"/>
      <c r="AD649" s="1095"/>
      <c r="AE649" s="1095"/>
      <c r="AF649" s="1095"/>
      <c r="AG649" s="1095"/>
      <c r="AH649" s="1095"/>
      <c r="AI649" s="1095"/>
      <c r="AJ649" s="1095"/>
      <c r="AK649" s="1095"/>
      <c r="AL649" s="1095"/>
      <c r="AM649" s="1095"/>
      <c r="AN649" s="1095"/>
      <c r="AO649" s="1095"/>
      <c r="AP649" s="1095"/>
      <c r="AQ649" s="1106"/>
      <c r="AR649" s="1097"/>
      <c r="AS649" s="1097"/>
      <c r="BW649" s="30"/>
      <c r="BX649" s="30"/>
    </row>
    <row r="650" spans="1:76" s="181" customFormat="1" x14ac:dyDescent="0.25">
      <c r="A650" s="551"/>
      <c r="B650" s="1578"/>
      <c r="C650" s="1097"/>
      <c r="D650" s="1130"/>
      <c r="E650" s="1131"/>
      <c r="F650" s="1097"/>
      <c r="G650" s="2084"/>
      <c r="H650" s="2084"/>
      <c r="I650" s="2084"/>
      <c r="J650" s="1132"/>
      <c r="K650" s="1132"/>
      <c r="L650" s="1118"/>
      <c r="M650" s="1097"/>
      <c r="N650" s="1118"/>
      <c r="O650" s="1097"/>
      <c r="P650" s="1118"/>
      <c r="Q650" s="1097"/>
      <c r="R650" s="1118"/>
      <c r="S650" s="1097"/>
      <c r="T650" s="1118"/>
      <c r="U650" s="1097"/>
      <c r="V650" s="1118"/>
      <c r="W650" s="1097"/>
      <c r="X650" s="1118"/>
      <c r="Y650" s="1136"/>
      <c r="Z650" s="1095"/>
      <c r="AA650" s="1136"/>
      <c r="AB650" s="1095"/>
      <c r="AC650" s="1095"/>
      <c r="AD650" s="1095"/>
      <c r="AE650" s="1095"/>
      <c r="AF650" s="1095"/>
      <c r="AG650" s="1095"/>
      <c r="AH650" s="1095"/>
      <c r="AI650" s="1095"/>
      <c r="AJ650" s="1095"/>
      <c r="AK650" s="1095"/>
      <c r="AL650" s="1095"/>
      <c r="AM650" s="1095"/>
      <c r="AN650" s="1095"/>
      <c r="AO650" s="1095"/>
      <c r="AP650" s="1095"/>
      <c r="AQ650" s="1106"/>
      <c r="AR650" s="1097"/>
      <c r="AS650" s="1097"/>
      <c r="BW650" s="30"/>
      <c r="BX650" s="30"/>
    </row>
    <row r="651" spans="1:76" s="181" customFormat="1" x14ac:dyDescent="0.25">
      <c r="A651" s="551"/>
      <c r="B651" s="1578"/>
      <c r="C651" s="1097"/>
      <c r="D651" s="1130"/>
      <c r="E651" s="1131"/>
      <c r="F651" s="1097"/>
      <c r="G651" s="2084">
        <v>43027</v>
      </c>
      <c r="H651" s="2084"/>
      <c r="I651" s="2084"/>
      <c r="J651" s="1132"/>
      <c r="K651" s="1132" t="s">
        <v>1094</v>
      </c>
      <c r="L651" s="1118"/>
      <c r="M651" s="1097"/>
      <c r="N651" s="1118"/>
      <c r="O651" s="1097"/>
      <c r="P651" s="1118"/>
      <c r="Q651" s="1097"/>
      <c r="R651" s="1118"/>
      <c r="S651" s="1097"/>
      <c r="T651" s="1118"/>
      <c r="U651" s="1097"/>
      <c r="V651" s="1118"/>
      <c r="W651" s="1097"/>
      <c r="X651" s="1118"/>
      <c r="Y651" s="1136"/>
      <c r="Z651" s="1095"/>
      <c r="AA651" s="1136"/>
      <c r="AB651" s="1095"/>
      <c r="AC651" s="1095"/>
      <c r="AD651" s="1095"/>
      <c r="AE651" s="1095"/>
      <c r="AF651" s="1095"/>
      <c r="AG651" s="1095"/>
      <c r="AH651" s="1095"/>
      <c r="AI651" s="1095"/>
      <c r="AJ651" s="1095"/>
      <c r="AK651" s="1095"/>
      <c r="AL651" s="1095"/>
      <c r="AM651" s="1095"/>
      <c r="AN651" s="1095"/>
      <c r="AO651" s="1095"/>
      <c r="AP651" s="1095"/>
      <c r="AQ651" s="1106"/>
      <c r="AR651" s="1097"/>
      <c r="AS651" s="1097"/>
      <c r="BW651" s="30"/>
      <c r="BX651" s="30"/>
    </row>
    <row r="652" spans="1:76" s="181" customFormat="1" x14ac:dyDescent="0.25">
      <c r="A652" s="551"/>
      <c r="B652" s="1578"/>
      <c r="C652" s="1097"/>
      <c r="D652" s="1130"/>
      <c r="E652" s="1131"/>
      <c r="F652" s="1097"/>
      <c r="G652" s="2084"/>
      <c r="H652" s="2084"/>
      <c r="I652" s="2084"/>
      <c r="J652" s="1132"/>
      <c r="K652" s="1132"/>
      <c r="L652" s="1118"/>
      <c r="M652" s="1097"/>
      <c r="N652" s="1118"/>
      <c r="O652" s="1097"/>
      <c r="P652" s="1118"/>
      <c r="Q652" s="1097"/>
      <c r="R652" s="1118"/>
      <c r="S652" s="1097"/>
      <c r="T652" s="1118"/>
      <c r="U652" s="1097"/>
      <c r="V652" s="1118"/>
      <c r="W652" s="1097"/>
      <c r="X652" s="1118"/>
      <c r="Y652" s="1136"/>
      <c r="Z652" s="1095"/>
      <c r="AA652" s="1136"/>
      <c r="AB652" s="1095"/>
      <c r="AC652" s="1095"/>
      <c r="AD652" s="1095"/>
      <c r="AE652" s="1095"/>
      <c r="AF652" s="1095"/>
      <c r="AG652" s="1095"/>
      <c r="AH652" s="1095"/>
      <c r="AI652" s="1095"/>
      <c r="AJ652" s="1095"/>
      <c r="AK652" s="1095"/>
      <c r="AL652" s="1095"/>
      <c r="AM652" s="1095"/>
      <c r="AN652" s="1095"/>
      <c r="AO652" s="1095"/>
      <c r="AP652" s="1095"/>
      <c r="AQ652" s="1106"/>
      <c r="AR652" s="1097"/>
      <c r="AS652" s="1097"/>
      <c r="BW652" s="30"/>
      <c r="BX652" s="30"/>
    </row>
    <row r="653" spans="1:76" s="181" customFormat="1" x14ac:dyDescent="0.25">
      <c r="A653" s="551"/>
      <c r="B653" s="1578"/>
      <c r="C653" s="1097"/>
      <c r="D653" s="1130"/>
      <c r="E653" s="1131"/>
      <c r="F653" s="1097"/>
      <c r="G653" s="2084">
        <v>43034</v>
      </c>
      <c r="H653" s="2084"/>
      <c r="I653" s="2084"/>
      <c r="J653" s="1132"/>
      <c r="K653" s="1132" t="s">
        <v>1105</v>
      </c>
      <c r="L653" s="1118"/>
      <c r="M653" s="1097"/>
      <c r="N653" s="1118"/>
      <c r="O653" s="1097"/>
      <c r="P653" s="1118"/>
      <c r="Q653" s="1097"/>
      <c r="R653" s="1118"/>
      <c r="S653" s="1097"/>
      <c r="T653" s="1118"/>
      <c r="U653" s="1097"/>
      <c r="V653" s="1118"/>
      <c r="W653" s="1097"/>
      <c r="X653" s="1118"/>
      <c r="Y653" s="1136"/>
      <c r="Z653" s="1095"/>
      <c r="AA653" s="1136"/>
      <c r="AB653" s="1095"/>
      <c r="AC653" s="1095"/>
      <c r="AD653" s="1095"/>
      <c r="AE653" s="1095"/>
      <c r="AF653" s="1095"/>
      <c r="AG653" s="1095"/>
      <c r="AH653" s="1095"/>
      <c r="AI653" s="1095"/>
      <c r="AJ653" s="1095"/>
      <c r="AK653" s="1095"/>
      <c r="AL653" s="1095"/>
      <c r="AM653" s="1095"/>
      <c r="AN653" s="1095"/>
      <c r="AO653" s="1095"/>
      <c r="AP653" s="1095"/>
      <c r="AQ653" s="1106"/>
      <c r="AR653" s="1097"/>
      <c r="AS653" s="1097"/>
      <c r="BW653" s="30"/>
      <c r="BX653" s="30"/>
    </row>
    <row r="654" spans="1:76" s="181" customFormat="1" x14ac:dyDescent="0.25">
      <c r="A654" s="551"/>
      <c r="B654" s="1578"/>
      <c r="C654" s="1097"/>
      <c r="D654" s="1130"/>
      <c r="E654" s="1131"/>
      <c r="F654" s="1097"/>
      <c r="G654" s="2084"/>
      <c r="H654" s="2084"/>
      <c r="I654" s="2084"/>
      <c r="J654" s="1132"/>
      <c r="K654" s="1132"/>
      <c r="L654" s="1118"/>
      <c r="M654" s="1097"/>
      <c r="N654" s="1118"/>
      <c r="O654" s="1097"/>
      <c r="P654" s="1118"/>
      <c r="Q654" s="1097"/>
      <c r="R654" s="1118"/>
      <c r="S654" s="1097"/>
      <c r="T654" s="1118"/>
      <c r="U654" s="1097"/>
      <c r="V654" s="1118"/>
      <c r="W654" s="1097"/>
      <c r="X654" s="1118"/>
      <c r="Y654" s="1136"/>
      <c r="Z654" s="1095"/>
      <c r="AA654" s="1136"/>
      <c r="AB654" s="1095"/>
      <c r="AC654" s="1095"/>
      <c r="AD654" s="1095"/>
      <c r="AE654" s="1095"/>
      <c r="AF654" s="1095"/>
      <c r="AG654" s="1095"/>
      <c r="AH654" s="1095"/>
      <c r="AI654" s="1095"/>
      <c r="AJ654" s="1095"/>
      <c r="AK654" s="1095"/>
      <c r="AL654" s="1095"/>
      <c r="AM654" s="1095"/>
      <c r="AN654" s="1095"/>
      <c r="AO654" s="1095"/>
      <c r="AP654" s="1095"/>
      <c r="AQ654" s="1106"/>
      <c r="AR654" s="1097"/>
      <c r="AS654" s="1097"/>
      <c r="BW654" s="30"/>
      <c r="BX654" s="30"/>
    </row>
    <row r="655" spans="1:76" s="181" customFormat="1" x14ac:dyDescent="0.25">
      <c r="A655" s="551"/>
      <c r="B655" s="1578"/>
      <c r="C655" s="1097"/>
      <c r="D655" s="1130"/>
      <c r="E655" s="1131"/>
      <c r="F655" s="1097"/>
      <c r="G655" s="2084">
        <v>43048</v>
      </c>
      <c r="H655" s="2084"/>
      <c r="I655" s="2084"/>
      <c r="J655" s="1132"/>
      <c r="K655" s="1132" t="s">
        <v>1120</v>
      </c>
      <c r="L655" s="1118"/>
      <c r="M655" s="1097"/>
      <c r="N655" s="1118"/>
      <c r="O655" s="1097"/>
      <c r="P655" s="1118"/>
      <c r="Q655" s="1097"/>
      <c r="R655" s="1118"/>
      <c r="S655" s="1097"/>
      <c r="T655" s="1118"/>
      <c r="U655" s="1097"/>
      <c r="V655" s="1118"/>
      <c r="W655" s="1097"/>
      <c r="X655" s="1118"/>
      <c r="Y655" s="1136"/>
      <c r="Z655" s="1095"/>
      <c r="AA655" s="1136"/>
      <c r="AB655" s="1095"/>
      <c r="AC655" s="1095"/>
      <c r="AD655" s="1095"/>
      <c r="AE655" s="1095"/>
      <c r="AF655" s="1095"/>
      <c r="AG655" s="1095"/>
      <c r="AH655" s="1095"/>
      <c r="AI655" s="1095"/>
      <c r="AJ655" s="1095"/>
      <c r="AK655" s="1095"/>
      <c r="AL655" s="1095"/>
      <c r="AM655" s="1095"/>
      <c r="AN655" s="1095"/>
      <c r="AO655" s="1095"/>
      <c r="AP655" s="1095"/>
      <c r="AQ655" s="1106"/>
      <c r="AR655" s="1097"/>
      <c r="AS655" s="1097"/>
      <c r="BW655" s="30"/>
      <c r="BX655" s="30"/>
    </row>
    <row r="656" spans="1:76" s="181" customFormat="1" x14ac:dyDescent="0.25">
      <c r="A656" s="551"/>
      <c r="B656" s="1578"/>
      <c r="C656" s="1097"/>
      <c r="D656" s="1130"/>
      <c r="E656" s="1131"/>
      <c r="F656" s="1097"/>
      <c r="G656" s="2084"/>
      <c r="H656" s="2084"/>
      <c r="I656" s="2084"/>
      <c r="J656" s="1132"/>
      <c r="K656" s="1132" t="s">
        <v>1121</v>
      </c>
      <c r="L656" s="1118"/>
      <c r="M656" s="1097"/>
      <c r="N656" s="1118"/>
      <c r="O656" s="1097"/>
      <c r="P656" s="1118"/>
      <c r="Q656" s="1097"/>
      <c r="R656" s="1118"/>
      <c r="S656" s="1097"/>
      <c r="T656" s="1118"/>
      <c r="U656" s="1097"/>
      <c r="V656" s="1118"/>
      <c r="W656" s="1097"/>
      <c r="X656" s="1118"/>
      <c r="Y656" s="1136"/>
      <c r="Z656" s="1095"/>
      <c r="AA656" s="1136"/>
      <c r="AB656" s="1095"/>
      <c r="AC656" s="1095"/>
      <c r="AD656" s="1095"/>
      <c r="AE656" s="1095"/>
      <c r="AF656" s="1095"/>
      <c r="AG656" s="1095"/>
      <c r="AH656" s="1095"/>
      <c r="AI656" s="1095"/>
      <c r="AJ656" s="1095"/>
      <c r="AK656" s="1095"/>
      <c r="AL656" s="1095"/>
      <c r="AM656" s="1095"/>
      <c r="AN656" s="1095"/>
      <c r="AO656" s="1095"/>
      <c r="AP656" s="1095"/>
      <c r="AQ656" s="1106"/>
      <c r="AR656" s="1097"/>
      <c r="AS656" s="1097"/>
      <c r="BW656" s="30"/>
      <c r="BX656" s="30"/>
    </row>
    <row r="657" spans="1:76" s="181" customFormat="1" x14ac:dyDescent="0.25">
      <c r="A657" s="551"/>
      <c r="B657" s="1578"/>
      <c r="C657" s="1097"/>
      <c r="D657" s="1130"/>
      <c r="E657" s="1131"/>
      <c r="F657" s="1097"/>
      <c r="G657" s="2084"/>
      <c r="H657" s="2084"/>
      <c r="I657" s="2084"/>
      <c r="J657" s="1132"/>
      <c r="K657" s="1132"/>
      <c r="L657" s="1118"/>
      <c r="M657" s="1097"/>
      <c r="N657" s="1118"/>
      <c r="O657" s="1097"/>
      <c r="P657" s="1118"/>
      <c r="Q657" s="1097"/>
      <c r="R657" s="1118"/>
      <c r="S657" s="1097"/>
      <c r="T657" s="1118"/>
      <c r="U657" s="1097"/>
      <c r="V657" s="1118"/>
      <c r="W657" s="1097"/>
      <c r="X657" s="1118"/>
      <c r="Y657" s="1136"/>
      <c r="Z657" s="1095"/>
      <c r="AA657" s="1136"/>
      <c r="AB657" s="1095"/>
      <c r="AC657" s="1095"/>
      <c r="AD657" s="1095"/>
      <c r="AE657" s="1095"/>
      <c r="AF657" s="1095"/>
      <c r="AG657" s="1095"/>
      <c r="AH657" s="1095"/>
      <c r="AI657" s="1095"/>
      <c r="AJ657" s="1095"/>
      <c r="AK657" s="1095"/>
      <c r="AL657" s="1095"/>
      <c r="AM657" s="1095"/>
      <c r="AN657" s="1095"/>
      <c r="AO657" s="1095"/>
      <c r="AP657" s="1095"/>
      <c r="AQ657" s="1106"/>
      <c r="AR657" s="1097"/>
      <c r="AS657" s="1097"/>
      <c r="BW657" s="30"/>
      <c r="BX657" s="30"/>
    </row>
    <row r="658" spans="1:76" s="181" customFormat="1" x14ac:dyDescent="0.25">
      <c r="A658" s="551"/>
      <c r="B658" s="1578"/>
      <c r="C658" s="1097"/>
      <c r="D658" s="1130"/>
      <c r="E658" s="1131"/>
      <c r="F658" s="1097"/>
      <c r="G658" s="2084">
        <v>43084</v>
      </c>
      <c r="H658" s="2084"/>
      <c r="I658" s="2084"/>
      <c r="J658" s="1132"/>
      <c r="K658" s="1132" t="s">
        <v>1127</v>
      </c>
      <c r="L658" s="1118"/>
      <c r="M658" s="1097"/>
      <c r="N658" s="1118"/>
      <c r="O658" s="1097"/>
      <c r="P658" s="1118"/>
      <c r="Q658" s="1097"/>
      <c r="R658" s="1118"/>
      <c r="S658" s="1097"/>
      <c r="T658" s="1118"/>
      <c r="U658" s="1097"/>
      <c r="V658" s="1118"/>
      <c r="W658" s="1097"/>
      <c r="X658" s="1118"/>
      <c r="Y658" s="1136"/>
      <c r="Z658" s="1095"/>
      <c r="AA658" s="1136"/>
      <c r="AB658" s="1095"/>
      <c r="AC658" s="1095"/>
      <c r="AD658" s="1095"/>
      <c r="AE658" s="1095"/>
      <c r="AF658" s="1095"/>
      <c r="AG658" s="1095"/>
      <c r="AH658" s="1095"/>
      <c r="AI658" s="1095"/>
      <c r="AJ658" s="1095"/>
      <c r="AK658" s="1095"/>
      <c r="AL658" s="1095"/>
      <c r="AM658" s="1095"/>
      <c r="AN658" s="1095"/>
      <c r="AO658" s="1095"/>
      <c r="AP658" s="1095"/>
      <c r="AQ658" s="1106"/>
      <c r="AR658" s="1097"/>
      <c r="AS658" s="1097"/>
      <c r="BW658" s="30"/>
      <c r="BX658" s="30"/>
    </row>
    <row r="659" spans="1:76" s="181" customFormat="1" x14ac:dyDescent="0.25">
      <c r="A659" s="551"/>
      <c r="B659" s="1578"/>
      <c r="C659" s="1097"/>
      <c r="D659" s="1130"/>
      <c r="E659" s="1131"/>
      <c r="F659" s="1097"/>
      <c r="G659" s="2084"/>
      <c r="H659" s="2084"/>
      <c r="I659" s="2084"/>
      <c r="J659" s="1132"/>
      <c r="K659" s="1132"/>
      <c r="L659" s="1118"/>
      <c r="M659" s="1097"/>
      <c r="N659" s="1118"/>
      <c r="O659" s="1097"/>
      <c r="P659" s="1118"/>
      <c r="Q659" s="1097"/>
      <c r="R659" s="1118"/>
      <c r="S659" s="1097"/>
      <c r="T659" s="1118"/>
      <c r="U659" s="1097"/>
      <c r="V659" s="1118"/>
      <c r="W659" s="1097"/>
      <c r="X659" s="1118"/>
      <c r="Y659" s="1136"/>
      <c r="Z659" s="1095"/>
      <c r="AA659" s="1136"/>
      <c r="AB659" s="1095"/>
      <c r="AC659" s="1095"/>
      <c r="AD659" s="1095"/>
      <c r="AE659" s="1095"/>
      <c r="AF659" s="1095"/>
      <c r="AG659" s="1095"/>
      <c r="AH659" s="1095"/>
      <c r="AI659" s="1095"/>
      <c r="AJ659" s="1095"/>
      <c r="AK659" s="1095"/>
      <c r="AL659" s="1095"/>
      <c r="AM659" s="1095"/>
      <c r="AN659" s="1095"/>
      <c r="AO659" s="1095"/>
      <c r="AP659" s="1095"/>
      <c r="AQ659" s="1106"/>
      <c r="AR659" s="1097"/>
      <c r="AS659" s="1097"/>
      <c r="BW659" s="30"/>
      <c r="BX659" s="30"/>
    </row>
    <row r="660" spans="1:76" s="181" customFormat="1" x14ac:dyDescent="0.25">
      <c r="A660" s="551"/>
      <c r="B660" s="1578"/>
      <c r="C660" s="1097"/>
      <c r="D660" s="1130"/>
      <c r="E660" s="1131"/>
      <c r="F660" s="1097"/>
      <c r="G660" s="2084">
        <v>43281</v>
      </c>
      <c r="H660" s="2084"/>
      <c r="I660" s="2084"/>
      <c r="J660" s="1132"/>
      <c r="K660" s="1132" t="s">
        <v>1150</v>
      </c>
      <c r="L660" s="1118"/>
      <c r="M660" s="1097"/>
      <c r="N660" s="1118"/>
      <c r="O660" s="1097"/>
      <c r="P660" s="1118"/>
      <c r="Q660" s="1097"/>
      <c r="R660" s="1118"/>
      <c r="S660" s="1097"/>
      <c r="T660" s="1118"/>
      <c r="U660" s="1097"/>
      <c r="V660" s="1118"/>
      <c r="W660" s="1097"/>
      <c r="X660" s="1118"/>
      <c r="Y660" s="1136"/>
      <c r="Z660" s="1095"/>
      <c r="AA660" s="1136"/>
      <c r="AB660" s="1095"/>
      <c r="AC660" s="1095"/>
      <c r="AD660" s="1095"/>
      <c r="AE660" s="1095"/>
      <c r="AF660" s="1095"/>
      <c r="AG660" s="1095"/>
      <c r="AH660" s="1095"/>
      <c r="AI660" s="1095"/>
      <c r="AJ660" s="1095"/>
      <c r="AK660" s="1095"/>
      <c r="AL660" s="1095"/>
      <c r="AM660" s="1095"/>
      <c r="AN660" s="1095"/>
      <c r="AO660" s="1095"/>
      <c r="AP660" s="1095"/>
      <c r="AQ660" s="1106"/>
      <c r="AR660" s="1097"/>
      <c r="AS660" s="1097"/>
      <c r="BW660" s="30"/>
      <c r="BX660" s="30"/>
    </row>
    <row r="661" spans="1:76" s="181" customFormat="1" x14ac:dyDescent="0.25">
      <c r="A661" s="551"/>
      <c r="B661" s="1578"/>
      <c r="C661" s="1097"/>
      <c r="D661" s="1130"/>
      <c r="E661" s="1131"/>
      <c r="F661" s="1097"/>
      <c r="G661" s="2084"/>
      <c r="H661" s="2084"/>
      <c r="I661" s="2084"/>
      <c r="J661" s="1132"/>
      <c r="K661" s="1132"/>
      <c r="L661" s="1118"/>
      <c r="M661" s="1097"/>
      <c r="N661" s="1118"/>
      <c r="O661" s="1097"/>
      <c r="P661" s="1118"/>
      <c r="Q661" s="1097"/>
      <c r="R661" s="1118"/>
      <c r="S661" s="1097"/>
      <c r="T661" s="1118"/>
      <c r="U661" s="1097"/>
      <c r="V661" s="1118"/>
      <c r="W661" s="1097"/>
      <c r="X661" s="1118"/>
      <c r="Y661" s="1136"/>
      <c r="Z661" s="1095"/>
      <c r="AA661" s="1136"/>
      <c r="AB661" s="1095"/>
      <c r="AC661" s="1095"/>
      <c r="AD661" s="1095"/>
      <c r="AE661" s="1095"/>
      <c r="AF661" s="1095"/>
      <c r="AG661" s="1095"/>
      <c r="AH661" s="1095"/>
      <c r="AI661" s="1095"/>
      <c r="AJ661" s="1095"/>
      <c r="AK661" s="1095"/>
      <c r="AL661" s="1095"/>
      <c r="AM661" s="1095"/>
      <c r="AN661" s="1095"/>
      <c r="AO661" s="1095"/>
      <c r="AP661" s="1095"/>
      <c r="AQ661" s="1106"/>
      <c r="AR661" s="1097"/>
      <c r="AS661" s="1097"/>
      <c r="BW661" s="30"/>
      <c r="BX661" s="30"/>
    </row>
    <row r="662" spans="1:76" s="181" customFormat="1" x14ac:dyDescent="0.25">
      <c r="A662" s="551"/>
      <c r="B662" s="1578"/>
      <c r="C662" s="1097"/>
      <c r="D662" s="1130"/>
      <c r="E662" s="1131"/>
      <c r="F662" s="1097"/>
      <c r="G662" s="2084">
        <v>43327</v>
      </c>
      <c r="H662" s="2084"/>
      <c r="I662" s="2084"/>
      <c r="J662" s="1132"/>
      <c r="K662" s="1132" t="s">
        <v>1168</v>
      </c>
      <c r="L662" s="1118"/>
      <c r="M662" s="1097"/>
      <c r="N662" s="1118"/>
      <c r="O662" s="1097"/>
      <c r="P662" s="1118"/>
      <c r="Q662" s="1097"/>
      <c r="R662" s="1118"/>
      <c r="S662" s="1097"/>
      <c r="T662" s="1118"/>
      <c r="U662" s="1097"/>
      <c r="V662" s="1118"/>
      <c r="W662" s="1097"/>
      <c r="X662" s="1118"/>
      <c r="Y662" s="1136"/>
      <c r="Z662" s="1095"/>
      <c r="AA662" s="1136"/>
      <c r="AB662" s="1095"/>
      <c r="AC662" s="1095"/>
      <c r="AD662" s="1095"/>
      <c r="AE662" s="1095"/>
      <c r="AF662" s="1095"/>
      <c r="AG662" s="1095"/>
      <c r="AH662" s="1095"/>
      <c r="AI662" s="1095"/>
      <c r="AJ662" s="1095"/>
      <c r="AK662" s="1095"/>
      <c r="AL662" s="1095"/>
      <c r="AM662" s="1095"/>
      <c r="AN662" s="1095"/>
      <c r="AO662" s="1095"/>
      <c r="AP662" s="1095"/>
      <c r="AQ662" s="1106"/>
      <c r="AR662" s="1097"/>
      <c r="AS662" s="1097"/>
      <c r="BW662" s="30"/>
      <c r="BX662" s="30"/>
    </row>
    <row r="663" spans="1:76" s="181" customFormat="1" x14ac:dyDescent="0.25">
      <c r="A663" s="551"/>
      <c r="B663" s="1578"/>
      <c r="C663" s="1097"/>
      <c r="D663" s="1130"/>
      <c r="E663" s="1131"/>
      <c r="F663" s="1097"/>
      <c r="G663" s="2084"/>
      <c r="H663" s="2084"/>
      <c r="I663" s="2084"/>
      <c r="J663" s="1132"/>
      <c r="K663" s="1132" t="s">
        <v>1166</v>
      </c>
      <c r="L663" s="1118"/>
      <c r="M663" s="1097"/>
      <c r="N663" s="1118"/>
      <c r="O663" s="1097"/>
      <c r="P663" s="1118"/>
      <c r="Q663" s="1097"/>
      <c r="R663" s="1118"/>
      <c r="S663" s="1097"/>
      <c r="T663" s="1118"/>
      <c r="U663" s="1097"/>
      <c r="V663" s="1118"/>
      <c r="W663" s="1097"/>
      <c r="X663" s="1118"/>
      <c r="Y663" s="1136"/>
      <c r="Z663" s="1095"/>
      <c r="AA663" s="1136"/>
      <c r="AB663" s="1095"/>
      <c r="AC663" s="1095"/>
      <c r="AD663" s="1095"/>
      <c r="AE663" s="1095"/>
      <c r="AF663" s="1095"/>
      <c r="AG663" s="1095"/>
      <c r="AH663" s="1095"/>
      <c r="AI663" s="1095"/>
      <c r="AJ663" s="1095"/>
      <c r="AK663" s="1095"/>
      <c r="AL663" s="1095"/>
      <c r="AM663" s="1095"/>
      <c r="AN663" s="1095"/>
      <c r="AO663" s="1095"/>
      <c r="AP663" s="1095"/>
      <c r="AQ663" s="1106"/>
      <c r="AR663" s="1097"/>
      <c r="AS663" s="1097"/>
      <c r="BW663" s="30"/>
      <c r="BX663" s="30"/>
    </row>
    <row r="664" spans="1:76" s="181" customFormat="1" x14ac:dyDescent="0.25">
      <c r="A664" s="551"/>
      <c r="B664" s="1578"/>
      <c r="C664" s="1097"/>
      <c r="D664" s="1130"/>
      <c r="E664" s="1131"/>
      <c r="F664" s="1097"/>
      <c r="G664" s="2084"/>
      <c r="H664" s="2084"/>
      <c r="I664" s="2084"/>
      <c r="J664" s="1132"/>
      <c r="K664" s="1132"/>
      <c r="L664" s="2084"/>
      <c r="M664" s="2084"/>
      <c r="N664" s="2084"/>
      <c r="O664" s="1132"/>
      <c r="P664" s="1132"/>
      <c r="Q664" s="2084"/>
      <c r="R664" s="2084"/>
      <c r="S664" s="2084"/>
      <c r="T664" s="1118"/>
      <c r="U664" s="1097"/>
      <c r="V664" s="1118"/>
      <c r="W664" s="1097"/>
      <c r="X664" s="1118"/>
      <c r="Y664" s="1136"/>
      <c r="Z664" s="1095"/>
      <c r="AA664" s="1136"/>
      <c r="AB664" s="1095"/>
      <c r="AC664" s="1095"/>
      <c r="AD664" s="1095"/>
      <c r="AE664" s="1095"/>
      <c r="AF664" s="1095"/>
      <c r="AG664" s="1095"/>
      <c r="AH664" s="1095"/>
      <c r="AI664" s="1095"/>
      <c r="AJ664" s="1095"/>
      <c r="AK664" s="1095"/>
      <c r="AL664" s="1095"/>
      <c r="AM664" s="1095"/>
      <c r="AN664" s="1095"/>
      <c r="AO664" s="1095"/>
      <c r="AP664" s="1095"/>
      <c r="AQ664" s="1106"/>
      <c r="AR664" s="1097"/>
      <c r="AS664" s="1097"/>
      <c r="BW664" s="30"/>
      <c r="BX664" s="30"/>
    </row>
    <row r="665" spans="1:76" s="181" customFormat="1" x14ac:dyDescent="0.25">
      <c r="A665" s="551"/>
      <c r="B665" s="1578"/>
      <c r="C665" s="1097"/>
      <c r="D665" s="1130"/>
      <c r="E665" s="1131"/>
      <c r="F665" s="1097"/>
      <c r="G665" s="2084">
        <v>43556</v>
      </c>
      <c r="H665" s="2084"/>
      <c r="I665" s="2084"/>
      <c r="J665" s="1132"/>
      <c r="K665" s="1132" t="s">
        <v>1179</v>
      </c>
      <c r="L665" s="1118"/>
      <c r="M665" s="1097"/>
      <c r="N665" s="1118"/>
      <c r="O665" s="1097"/>
      <c r="P665" s="1118"/>
      <c r="Q665" s="1097"/>
      <c r="R665" s="1118"/>
      <c r="S665" s="1097"/>
      <c r="T665" s="1118"/>
      <c r="U665" s="1097"/>
      <c r="V665" s="1118"/>
      <c r="W665" s="1097"/>
      <c r="X665" s="1118"/>
      <c r="Y665" s="1136"/>
      <c r="Z665" s="1095"/>
      <c r="AA665" s="1136"/>
      <c r="AB665" s="1095"/>
      <c r="AC665" s="1095"/>
      <c r="AD665" s="1095"/>
      <c r="AE665" s="1095"/>
      <c r="AF665" s="1095"/>
      <c r="AG665" s="1095"/>
      <c r="AH665" s="1095"/>
      <c r="AI665" s="1095"/>
      <c r="AJ665" s="1095"/>
      <c r="AK665" s="1095"/>
      <c r="AL665" s="1095"/>
      <c r="AM665" s="1095"/>
      <c r="AN665" s="1095"/>
      <c r="AO665" s="1095"/>
      <c r="AP665" s="1095"/>
      <c r="AQ665" s="1106"/>
      <c r="AR665" s="1097"/>
      <c r="AS665" s="1097"/>
      <c r="BW665" s="30"/>
      <c r="BX665" s="30"/>
    </row>
    <row r="666" spans="1:76" s="181" customFormat="1" x14ac:dyDescent="0.25">
      <c r="A666" s="551"/>
      <c r="B666" s="1578"/>
      <c r="C666" s="1097"/>
      <c r="D666" s="1130"/>
      <c r="E666" s="1131"/>
      <c r="F666" s="1097"/>
      <c r="G666" s="2084"/>
      <c r="H666" s="2084"/>
      <c r="I666" s="2084"/>
      <c r="J666" s="1132"/>
      <c r="K666" s="1132"/>
      <c r="L666" s="2084"/>
      <c r="M666" s="2084"/>
      <c r="N666" s="2084"/>
      <c r="O666" s="1132"/>
      <c r="P666" s="1132"/>
      <c r="Q666" s="2084"/>
      <c r="R666" s="2084"/>
      <c r="S666" s="2084"/>
      <c r="T666" s="1118"/>
      <c r="U666" s="1097"/>
      <c r="V666" s="1118"/>
      <c r="W666" s="1097"/>
      <c r="X666" s="1118"/>
      <c r="Y666" s="1136"/>
      <c r="Z666" s="1095"/>
      <c r="AA666" s="1136"/>
      <c r="AB666" s="1095"/>
      <c r="AC666" s="1095"/>
      <c r="AD666" s="1095"/>
      <c r="AE666" s="1095"/>
      <c r="AF666" s="1095"/>
      <c r="AG666" s="1095"/>
      <c r="AH666" s="1095"/>
      <c r="AI666" s="1095"/>
      <c r="AJ666" s="1095"/>
      <c r="AK666" s="1095"/>
      <c r="AL666" s="1095"/>
      <c r="AM666" s="1095"/>
      <c r="AN666" s="1095"/>
      <c r="AO666" s="1095"/>
      <c r="AP666" s="1095"/>
      <c r="AQ666" s="1106"/>
      <c r="AR666" s="1097"/>
      <c r="AS666" s="1097"/>
      <c r="BW666" s="30"/>
      <c r="BX666" s="30"/>
    </row>
    <row r="667" spans="1:76" s="181" customFormat="1" x14ac:dyDescent="0.25">
      <c r="A667" s="551"/>
      <c r="B667" s="1578"/>
      <c r="C667" s="1097"/>
      <c r="D667" s="1130"/>
      <c r="E667" s="1131"/>
      <c r="F667" s="1097"/>
      <c r="G667" s="2084">
        <v>43661</v>
      </c>
      <c r="H667" s="2084"/>
      <c r="I667" s="2084"/>
      <c r="J667" s="1132"/>
      <c r="K667" s="1132" t="s">
        <v>1184</v>
      </c>
      <c r="L667" s="1118"/>
      <c r="M667" s="1097"/>
      <c r="N667" s="1118"/>
      <c r="O667" s="1097"/>
      <c r="P667" s="1118"/>
      <c r="Q667" s="1097"/>
      <c r="R667" s="1118"/>
      <c r="S667" s="1097"/>
      <c r="T667" s="1118"/>
      <c r="U667" s="1097"/>
      <c r="V667" s="1118"/>
      <c r="W667" s="1097"/>
      <c r="X667" s="1118"/>
      <c r="Y667" s="1136"/>
      <c r="Z667" s="1095"/>
      <c r="AA667" s="1136"/>
      <c r="AB667" s="1095"/>
      <c r="AC667" s="1095"/>
      <c r="AD667" s="1095"/>
      <c r="AE667" s="1095"/>
      <c r="AF667" s="1095"/>
      <c r="AG667" s="1095"/>
      <c r="AH667" s="1095"/>
      <c r="AI667" s="1095"/>
      <c r="AJ667" s="1095"/>
      <c r="AK667" s="1095"/>
      <c r="AL667" s="1095"/>
      <c r="AM667" s="1095"/>
      <c r="AN667" s="1095"/>
      <c r="AO667" s="1095"/>
      <c r="AP667" s="1095"/>
      <c r="AQ667" s="1106"/>
      <c r="AR667" s="1097"/>
      <c r="AS667" s="1097"/>
      <c r="BW667" s="30"/>
      <c r="BX667" s="30"/>
    </row>
    <row r="668" spans="1:76" s="551" customFormat="1" x14ac:dyDescent="0.25">
      <c r="B668" s="1578"/>
      <c r="C668" s="1097"/>
      <c r="D668" s="1130"/>
      <c r="E668" s="1131"/>
      <c r="F668" s="1097"/>
      <c r="G668" s="2084"/>
      <c r="H668" s="2084"/>
      <c r="I668" s="2084"/>
      <c r="J668" s="1132"/>
      <c r="K668" s="1132"/>
      <c r="L668" s="1118"/>
      <c r="M668" s="1097"/>
      <c r="N668" s="1118"/>
      <c r="O668" s="1097"/>
      <c r="P668" s="1118"/>
      <c r="Q668" s="1097"/>
      <c r="R668" s="1118"/>
      <c r="S668" s="1097"/>
      <c r="T668" s="1118"/>
      <c r="U668" s="1097"/>
      <c r="V668" s="1118"/>
      <c r="W668" s="1097"/>
      <c r="X668" s="1118"/>
      <c r="Y668" s="1136"/>
      <c r="Z668" s="1095"/>
      <c r="AA668" s="1136"/>
      <c r="AB668" s="1095"/>
      <c r="AC668" s="1095"/>
      <c r="AD668" s="1095"/>
      <c r="AE668" s="1095"/>
      <c r="AF668" s="1095"/>
      <c r="AG668" s="1095"/>
      <c r="AH668" s="1095"/>
      <c r="AI668" s="1095"/>
      <c r="AJ668" s="1095"/>
      <c r="AK668" s="1095"/>
      <c r="AL668" s="1095"/>
      <c r="AM668" s="1095"/>
      <c r="AN668" s="1095"/>
      <c r="AO668" s="1095"/>
      <c r="AP668" s="1095"/>
      <c r="AQ668" s="1106"/>
      <c r="AR668" s="1097"/>
      <c r="AS668" s="1097"/>
      <c r="BW668" s="545"/>
      <c r="BX668" s="545"/>
    </row>
    <row r="669" spans="1:76" s="551" customFormat="1" x14ac:dyDescent="0.25">
      <c r="B669" s="1578"/>
      <c r="C669" s="1097"/>
      <c r="D669" s="1130"/>
      <c r="E669" s="1131"/>
      <c r="F669" s="1097"/>
      <c r="G669" s="2084">
        <v>43769</v>
      </c>
      <c r="H669" s="2084"/>
      <c r="I669" s="2084"/>
      <c r="J669" s="1132"/>
      <c r="K669" s="1132" t="s">
        <v>1193</v>
      </c>
      <c r="L669" s="1118"/>
      <c r="M669" s="1097"/>
      <c r="N669" s="1118"/>
      <c r="O669" s="1097"/>
      <c r="P669" s="1118"/>
      <c r="Q669" s="1097"/>
      <c r="R669" s="1118"/>
      <c r="S669" s="1097"/>
      <c r="T669" s="1118"/>
      <c r="U669" s="1097"/>
      <c r="V669" s="1118"/>
      <c r="W669" s="1097"/>
      <c r="X669" s="1118"/>
      <c r="Y669" s="1136"/>
      <c r="Z669" s="1095"/>
      <c r="AA669" s="1136"/>
      <c r="AB669" s="1095"/>
      <c r="AC669" s="1095"/>
      <c r="AD669" s="1095"/>
      <c r="AE669" s="1095"/>
      <c r="AF669" s="1095"/>
      <c r="AG669" s="1095"/>
      <c r="AH669" s="1095"/>
      <c r="AI669" s="1095"/>
      <c r="AJ669" s="1095"/>
      <c r="AK669" s="1095"/>
      <c r="AL669" s="1095"/>
      <c r="AM669" s="1095"/>
      <c r="AN669" s="1095"/>
      <c r="AO669" s="1095"/>
      <c r="AP669" s="1095"/>
      <c r="AQ669" s="1106"/>
      <c r="AR669" s="1097"/>
      <c r="AS669" s="1097"/>
      <c r="BW669" s="545"/>
      <c r="BX669" s="545"/>
    </row>
    <row r="670" spans="1:76" s="551" customFormat="1" x14ac:dyDescent="0.25">
      <c r="B670" s="1578"/>
      <c r="C670" s="1097"/>
      <c r="D670" s="1130"/>
      <c r="E670" s="1131"/>
      <c r="F670" s="1097"/>
      <c r="G670" s="2084"/>
      <c r="H670" s="2084"/>
      <c r="I670" s="2084"/>
      <c r="J670" s="1132"/>
      <c r="K670" s="1132" t="s">
        <v>1194</v>
      </c>
      <c r="L670" s="1118"/>
      <c r="M670" s="1097"/>
      <c r="N670" s="1118"/>
      <c r="O670" s="1097"/>
      <c r="P670" s="1118"/>
      <c r="Q670" s="1097"/>
      <c r="R670" s="1118"/>
      <c r="S670" s="1097"/>
      <c r="T670" s="1118"/>
      <c r="U670" s="1097"/>
      <c r="V670" s="1118"/>
      <c r="W670" s="1097"/>
      <c r="X670" s="1118"/>
      <c r="Y670" s="1136"/>
      <c r="Z670" s="1095"/>
      <c r="AA670" s="1136"/>
      <c r="AB670" s="1095"/>
      <c r="AC670" s="1095"/>
      <c r="AD670" s="1095"/>
      <c r="AE670" s="1095"/>
      <c r="AF670" s="1095"/>
      <c r="AG670" s="1095"/>
      <c r="AH670" s="1095"/>
      <c r="AI670" s="1095"/>
      <c r="AJ670" s="1095"/>
      <c r="AK670" s="1095"/>
      <c r="AL670" s="1095"/>
      <c r="AM670" s="1095"/>
      <c r="AN670" s="1095"/>
      <c r="AO670" s="1095"/>
      <c r="AP670" s="1095"/>
      <c r="AQ670" s="1106"/>
      <c r="AR670" s="1097"/>
      <c r="AS670" s="1097"/>
      <c r="BW670" s="545"/>
      <c r="BX670" s="545"/>
    </row>
    <row r="671" spans="1:76" s="551" customFormat="1" x14ac:dyDescent="0.25">
      <c r="B671" s="1578"/>
      <c r="C671" s="1097"/>
      <c r="D671" s="1130"/>
      <c r="E671" s="1131"/>
      <c r="F671" s="1097"/>
      <c r="G671" s="2084"/>
      <c r="H671" s="2084"/>
      <c r="I671" s="2084"/>
      <c r="J671" s="1132"/>
      <c r="K671" s="1132"/>
      <c r="L671" s="1118"/>
      <c r="M671" s="1097"/>
      <c r="N671" s="1118"/>
      <c r="O671" s="1097"/>
      <c r="P671" s="1118"/>
      <c r="Q671" s="1097"/>
      <c r="R671" s="1118"/>
      <c r="S671" s="1097"/>
      <c r="T671" s="1118"/>
      <c r="U671" s="1097"/>
      <c r="V671" s="1118"/>
      <c r="W671" s="1097"/>
      <c r="X671" s="1118"/>
      <c r="Y671" s="1136"/>
      <c r="Z671" s="1095"/>
      <c r="AA671" s="1136"/>
      <c r="AB671" s="1095"/>
      <c r="AC671" s="1095"/>
      <c r="AD671" s="1095"/>
      <c r="AE671" s="1095"/>
      <c r="AF671" s="1095"/>
      <c r="AG671" s="1095"/>
      <c r="AH671" s="1095"/>
      <c r="AI671" s="1095"/>
      <c r="AJ671" s="1095"/>
      <c r="AK671" s="1095"/>
      <c r="AL671" s="1095"/>
      <c r="AM671" s="1095"/>
      <c r="AN671" s="1095"/>
      <c r="AO671" s="1095"/>
      <c r="AP671" s="1095"/>
      <c r="AQ671" s="1106"/>
      <c r="AR671" s="1097"/>
      <c r="AS671" s="1097"/>
      <c r="BW671" s="545"/>
      <c r="BX671" s="545"/>
    </row>
    <row r="672" spans="1:76" s="551" customFormat="1" x14ac:dyDescent="0.25">
      <c r="B672" s="1578"/>
      <c r="C672" s="1097"/>
      <c r="D672" s="1130"/>
      <c r="E672" s="1131"/>
      <c r="F672" s="1097"/>
      <c r="G672" s="2084">
        <v>44053</v>
      </c>
      <c r="H672" s="2084"/>
      <c r="I672" s="2084"/>
      <c r="J672" s="1132"/>
      <c r="K672" s="1132" t="s">
        <v>1215</v>
      </c>
      <c r="L672" s="1118"/>
      <c r="M672" s="1097"/>
      <c r="N672" s="1118"/>
      <c r="O672" s="1097"/>
      <c r="P672" s="1118"/>
      <c r="Q672" s="1097"/>
      <c r="R672" s="1118"/>
      <c r="S672" s="1097"/>
      <c r="T672" s="1118"/>
      <c r="U672" s="1097"/>
      <c r="V672" s="1118"/>
      <c r="W672" s="1097"/>
      <c r="X672" s="1118"/>
      <c r="Y672" s="1136"/>
      <c r="Z672" s="1095"/>
      <c r="AA672" s="1136"/>
      <c r="AB672" s="1095"/>
      <c r="AC672" s="1095"/>
      <c r="AD672" s="1095"/>
      <c r="AE672" s="1095"/>
      <c r="AF672" s="1095"/>
      <c r="AG672" s="1095"/>
      <c r="AH672" s="1095"/>
      <c r="AI672" s="1095"/>
      <c r="AJ672" s="1095"/>
      <c r="AK672" s="1095"/>
      <c r="AL672" s="1095"/>
      <c r="AM672" s="1095"/>
      <c r="AN672" s="1095"/>
      <c r="AO672" s="1095"/>
      <c r="AP672" s="1095"/>
      <c r="AQ672" s="1106"/>
      <c r="AR672" s="1097"/>
      <c r="AS672" s="1097"/>
      <c r="BW672" s="545"/>
      <c r="BX672" s="545"/>
    </row>
    <row r="673" spans="2:76" s="551" customFormat="1" x14ac:dyDescent="0.25">
      <c r="B673" s="1578"/>
      <c r="C673" s="1097"/>
      <c r="D673" s="1130"/>
      <c r="E673" s="1131"/>
      <c r="F673" s="1097"/>
      <c r="G673" s="2084"/>
      <c r="H673" s="2084"/>
      <c r="I673" s="2084"/>
      <c r="J673" s="1132"/>
      <c r="K673" s="1132"/>
      <c r="L673" s="1118"/>
      <c r="M673" s="1097"/>
      <c r="N673" s="1118"/>
      <c r="O673" s="1097"/>
      <c r="P673" s="1118"/>
      <c r="Q673" s="1097"/>
      <c r="R673" s="1118"/>
      <c r="S673" s="1097"/>
      <c r="T673" s="1118"/>
      <c r="U673" s="1097"/>
      <c r="V673" s="1118"/>
      <c r="W673" s="1097"/>
      <c r="X673" s="1118"/>
      <c r="Y673" s="1136"/>
      <c r="Z673" s="1095"/>
      <c r="AA673" s="1136"/>
      <c r="AB673" s="1095"/>
      <c r="AC673" s="1095"/>
      <c r="AD673" s="1095"/>
      <c r="AE673" s="1095"/>
      <c r="AF673" s="1095"/>
      <c r="AG673" s="1095"/>
      <c r="AH673" s="1095"/>
      <c r="AI673" s="1095"/>
      <c r="AJ673" s="1095"/>
      <c r="AK673" s="1095"/>
      <c r="AL673" s="1095"/>
      <c r="AM673" s="1095"/>
      <c r="AN673" s="1095"/>
      <c r="AO673" s="1095"/>
      <c r="AP673" s="1095"/>
      <c r="AQ673" s="1106"/>
      <c r="AR673" s="1097"/>
      <c r="AS673" s="1097"/>
      <c r="BW673" s="545"/>
      <c r="BX673" s="545"/>
    </row>
    <row r="674" spans="2:76" s="551" customFormat="1" x14ac:dyDescent="0.25">
      <c r="B674" s="1578"/>
      <c r="C674" s="1097"/>
      <c r="D674" s="1130"/>
      <c r="E674" s="1131"/>
      <c r="F674" s="1097"/>
      <c r="G674" s="2084">
        <v>44069</v>
      </c>
      <c r="H674" s="2084"/>
      <c r="I674" s="2084"/>
      <c r="J674" s="1132"/>
      <c r="K674" s="1132" t="s">
        <v>1224</v>
      </c>
      <c r="L674" s="1118"/>
      <c r="M674" s="1097"/>
      <c r="N674" s="1118"/>
      <c r="O674" s="1097"/>
      <c r="P674" s="1118"/>
      <c r="Q674" s="1097"/>
      <c r="R674" s="1118"/>
      <c r="S674" s="1097"/>
      <c r="T674" s="1118"/>
      <c r="U674" s="1097"/>
      <c r="V674" s="1118"/>
      <c r="W674" s="1097"/>
      <c r="X674" s="1118"/>
      <c r="Y674" s="1136"/>
      <c r="Z674" s="1095"/>
      <c r="AA674" s="1136"/>
      <c r="AB674" s="1095"/>
      <c r="AC674" s="1095"/>
      <c r="AD674" s="1095"/>
      <c r="AE674" s="1095"/>
      <c r="AF674" s="1095"/>
      <c r="AG674" s="1095"/>
      <c r="AH674" s="1095"/>
      <c r="AI674" s="1095"/>
      <c r="AJ674" s="1095"/>
      <c r="AK674" s="1095"/>
      <c r="AL674" s="1095"/>
      <c r="AM674" s="1095"/>
      <c r="AN674" s="1095"/>
      <c r="AO674" s="1095"/>
      <c r="AP674" s="1095"/>
      <c r="AQ674" s="1106"/>
      <c r="AR674" s="1097"/>
      <c r="AS674" s="1097"/>
      <c r="BW674" s="545"/>
      <c r="BX674" s="545"/>
    </row>
    <row r="675" spans="2:76" s="551" customFormat="1" x14ac:dyDescent="0.25">
      <c r="B675" s="1578"/>
      <c r="C675" s="1097"/>
      <c r="D675" s="1130"/>
      <c r="E675" s="1131"/>
      <c r="F675" s="1097"/>
      <c r="G675" s="2084"/>
      <c r="H675" s="2084"/>
      <c r="I675" s="2084"/>
      <c r="J675" s="1132"/>
      <c r="K675" s="1132" t="s">
        <v>1225</v>
      </c>
      <c r="L675" s="1118"/>
      <c r="M675" s="1097"/>
      <c r="N675" s="1118"/>
      <c r="O675" s="1097"/>
      <c r="P675" s="1118"/>
      <c r="Q675" s="1097"/>
      <c r="R675" s="1118"/>
      <c r="S675" s="1097"/>
      <c r="T675" s="1118"/>
      <c r="U675" s="1097"/>
      <c r="V675" s="1118"/>
      <c r="W675" s="1097"/>
      <c r="X675" s="1118"/>
      <c r="Y675" s="1136"/>
      <c r="Z675" s="1095"/>
      <c r="AA675" s="1136"/>
      <c r="AB675" s="1095"/>
      <c r="AC675" s="1095"/>
      <c r="AD675" s="1095"/>
      <c r="AE675" s="1095"/>
      <c r="AF675" s="1095"/>
      <c r="AG675" s="1095"/>
      <c r="AH675" s="1095"/>
      <c r="AI675" s="1095"/>
      <c r="AJ675" s="1095"/>
      <c r="AK675" s="1095"/>
      <c r="AL675" s="1095"/>
      <c r="AM675" s="1095"/>
      <c r="AN675" s="1095"/>
      <c r="AO675" s="1095"/>
      <c r="AP675" s="1095"/>
      <c r="AQ675" s="1106"/>
      <c r="AR675" s="1097"/>
      <c r="AS675" s="1097"/>
      <c r="BW675" s="545"/>
      <c r="BX675" s="545"/>
    </row>
    <row r="676" spans="2:76" s="551" customFormat="1" x14ac:dyDescent="0.25">
      <c r="B676" s="1578"/>
      <c r="C676" s="1097"/>
      <c r="D676" s="1130"/>
      <c r="E676" s="1131"/>
      <c r="F676" s="1097"/>
      <c r="G676" s="2084"/>
      <c r="H676" s="2084"/>
      <c r="I676" s="2084"/>
      <c r="J676" s="1132"/>
      <c r="K676" s="1132"/>
      <c r="L676" s="1118"/>
      <c r="M676" s="1097"/>
      <c r="N676" s="1118"/>
      <c r="O676" s="1097"/>
      <c r="P676" s="1118"/>
      <c r="Q676" s="1097"/>
      <c r="R676" s="1118"/>
      <c r="S676" s="1097"/>
      <c r="T676" s="1118"/>
      <c r="U676" s="1097"/>
      <c r="V676" s="1118"/>
      <c r="W676" s="1097"/>
      <c r="X676" s="1118"/>
      <c r="Y676" s="1136"/>
      <c r="Z676" s="1095"/>
      <c r="AA676" s="1136"/>
      <c r="AB676" s="1095"/>
      <c r="AC676" s="1095"/>
      <c r="AD676" s="1095"/>
      <c r="AE676" s="1095"/>
      <c r="AF676" s="1095"/>
      <c r="AG676" s="1095"/>
      <c r="AH676" s="1095"/>
      <c r="AI676" s="1095"/>
      <c r="AJ676" s="1095"/>
      <c r="AK676" s="1095"/>
      <c r="AL676" s="1095"/>
      <c r="AM676" s="1095"/>
      <c r="AN676" s="1095"/>
      <c r="AO676" s="1095"/>
      <c r="AP676" s="1095"/>
      <c r="AQ676" s="1106"/>
      <c r="AR676" s="1097"/>
      <c r="AS676" s="1097"/>
      <c r="BW676" s="545"/>
      <c r="BX676" s="545"/>
    </row>
    <row r="677" spans="2:76" s="551" customFormat="1" x14ac:dyDescent="0.25">
      <c r="B677" s="1578"/>
      <c r="C677" s="1097"/>
      <c r="D677" s="1130"/>
      <c r="E677" s="1131"/>
      <c r="F677" s="1097"/>
      <c r="G677" s="2084"/>
      <c r="H677" s="2084"/>
      <c r="I677" s="2084"/>
      <c r="J677" s="1132"/>
      <c r="K677" s="1132"/>
      <c r="L677" s="1118"/>
      <c r="M677" s="1097"/>
      <c r="N677" s="1118"/>
      <c r="O677" s="1097"/>
      <c r="P677" s="1118"/>
      <c r="Q677" s="1097"/>
      <c r="R677" s="1118"/>
      <c r="S677" s="1097"/>
      <c r="T677" s="1118"/>
      <c r="U677" s="1097"/>
      <c r="V677" s="1118"/>
      <c r="W677" s="1097"/>
      <c r="X677" s="1118"/>
      <c r="Y677" s="1136"/>
      <c r="Z677" s="1095"/>
      <c r="AA677" s="1136"/>
      <c r="AB677" s="1095"/>
      <c r="AC677" s="1095"/>
      <c r="AD677" s="1095"/>
      <c r="AE677" s="1095"/>
      <c r="AF677" s="1095"/>
      <c r="AG677" s="1095"/>
      <c r="AH677" s="1095"/>
      <c r="AI677" s="1095"/>
      <c r="AJ677" s="1095"/>
      <c r="AK677" s="1095"/>
      <c r="AL677" s="1095"/>
      <c r="AM677" s="1095"/>
      <c r="AN677" s="1095"/>
      <c r="AO677" s="1095"/>
      <c r="AP677" s="1095"/>
      <c r="AQ677" s="1106"/>
      <c r="AR677" s="1097"/>
      <c r="AS677" s="1097"/>
      <c r="BW677" s="545"/>
      <c r="BX677" s="545"/>
    </row>
    <row r="678" spans="2:76" s="551" customFormat="1" x14ac:dyDescent="0.25">
      <c r="B678" s="1578"/>
      <c r="C678" s="1097"/>
      <c r="D678" s="1130"/>
      <c r="E678" s="1131"/>
      <c r="F678" s="1097"/>
      <c r="G678" s="2084"/>
      <c r="H678" s="2084"/>
      <c r="I678" s="2084"/>
      <c r="J678" s="1132"/>
      <c r="K678" s="1132"/>
      <c r="L678" s="1118"/>
      <c r="M678" s="1097"/>
      <c r="N678" s="1118"/>
      <c r="O678" s="1097"/>
      <c r="P678" s="1118"/>
      <c r="Q678" s="1097"/>
      <c r="R678" s="1118"/>
      <c r="S678" s="1097"/>
      <c r="T678" s="1118"/>
      <c r="U678" s="1097"/>
      <c r="V678" s="1118"/>
      <c r="W678" s="1097"/>
      <c r="X678" s="1118"/>
      <c r="Y678" s="1136"/>
      <c r="Z678" s="1095"/>
      <c r="AA678" s="1136"/>
      <c r="AB678" s="1095"/>
      <c r="AC678" s="1095"/>
      <c r="AD678" s="1095"/>
      <c r="AE678" s="1095"/>
      <c r="AF678" s="1095"/>
      <c r="AG678" s="1095"/>
      <c r="AH678" s="1095"/>
      <c r="AI678" s="1095"/>
      <c r="AJ678" s="1095"/>
      <c r="AK678" s="1095"/>
      <c r="AL678" s="1095"/>
      <c r="AM678" s="1095"/>
      <c r="AN678" s="1095"/>
      <c r="AO678" s="1095"/>
      <c r="AP678" s="1095"/>
      <c r="AQ678" s="1106"/>
      <c r="AR678" s="1097"/>
      <c r="AS678" s="1097"/>
      <c r="BW678" s="545"/>
      <c r="BX678" s="545"/>
    </row>
    <row r="679" spans="2:76" s="551" customFormat="1" x14ac:dyDescent="0.25">
      <c r="B679" s="1578"/>
      <c r="C679" s="1097"/>
      <c r="D679" s="1130"/>
      <c r="E679" s="1131"/>
      <c r="F679" s="1097"/>
      <c r="G679" s="2084"/>
      <c r="H679" s="2084"/>
      <c r="I679" s="2084"/>
      <c r="J679" s="1132"/>
      <c r="K679" s="1132"/>
      <c r="L679" s="1118"/>
      <c r="M679" s="1097"/>
      <c r="N679" s="1118"/>
      <c r="O679" s="1097"/>
      <c r="P679" s="1118"/>
      <c r="Q679" s="1097"/>
      <c r="R679" s="1118"/>
      <c r="S679" s="1097"/>
      <c r="T679" s="1118"/>
      <c r="U679" s="1097"/>
      <c r="V679" s="1118"/>
      <c r="W679" s="1097"/>
      <c r="X679" s="1118"/>
      <c r="Y679" s="1136"/>
      <c r="Z679" s="1095"/>
      <c r="AA679" s="1136"/>
      <c r="AB679" s="1095"/>
      <c r="AC679" s="1095"/>
      <c r="AD679" s="1095"/>
      <c r="AE679" s="1095"/>
      <c r="AF679" s="1095"/>
      <c r="AG679" s="1095"/>
      <c r="AH679" s="1095"/>
      <c r="AI679" s="1095"/>
      <c r="AJ679" s="1095"/>
      <c r="AK679" s="1095"/>
      <c r="AL679" s="1095"/>
      <c r="AM679" s="1095"/>
      <c r="AN679" s="1095"/>
      <c r="AO679" s="1095"/>
      <c r="AP679" s="1095"/>
      <c r="AQ679" s="1106"/>
      <c r="AR679" s="1097"/>
      <c r="AS679" s="1097"/>
      <c r="BW679" s="545"/>
      <c r="BX679" s="545"/>
    </row>
    <row r="680" spans="2:76" s="551" customFormat="1" x14ac:dyDescent="0.25">
      <c r="B680" s="1578"/>
      <c r="C680" s="1097"/>
      <c r="D680" s="1130"/>
      <c r="E680" s="1131"/>
      <c r="F680" s="1097"/>
      <c r="G680" s="2084"/>
      <c r="H680" s="2084"/>
      <c r="I680" s="2084"/>
      <c r="J680" s="1132"/>
      <c r="K680" s="1132"/>
      <c r="L680" s="1118"/>
      <c r="M680" s="1097"/>
      <c r="N680" s="1118"/>
      <c r="O680" s="1097"/>
      <c r="P680" s="1118"/>
      <c r="Q680" s="1097"/>
      <c r="R680" s="1118"/>
      <c r="S680" s="1097"/>
      <c r="T680" s="1118"/>
      <c r="U680" s="1097"/>
      <c r="V680" s="1118"/>
      <c r="W680" s="1097"/>
      <c r="X680" s="1118"/>
      <c r="Y680" s="1136"/>
      <c r="Z680" s="1095"/>
      <c r="AA680" s="1136"/>
      <c r="AB680" s="1095"/>
      <c r="AC680" s="1095"/>
      <c r="AD680" s="1095"/>
      <c r="AE680" s="1095"/>
      <c r="AF680" s="1095"/>
      <c r="AG680" s="1095"/>
      <c r="AH680" s="1095"/>
      <c r="AI680" s="1095"/>
      <c r="AJ680" s="1095"/>
      <c r="AK680" s="1095"/>
      <c r="AL680" s="1095"/>
      <c r="AM680" s="1095"/>
      <c r="AN680" s="1095"/>
      <c r="AO680" s="1095"/>
      <c r="AP680" s="1095"/>
      <c r="AQ680" s="1106"/>
      <c r="AR680" s="1097"/>
      <c r="AS680" s="1097"/>
      <c r="BW680" s="545"/>
      <c r="BX680" s="545"/>
    </row>
    <row r="681" spans="2:76" s="551" customFormat="1" x14ac:dyDescent="0.25">
      <c r="B681" s="1578"/>
      <c r="C681" s="1097"/>
      <c r="D681" s="1130"/>
      <c r="E681" s="1131"/>
      <c r="F681" s="1097"/>
      <c r="G681" s="2084"/>
      <c r="H681" s="2084"/>
      <c r="I681" s="2084"/>
      <c r="J681" s="1132"/>
      <c r="K681" s="1132"/>
      <c r="L681" s="1118"/>
      <c r="M681" s="1097"/>
      <c r="N681" s="1118"/>
      <c r="O681" s="1097"/>
      <c r="P681" s="1118"/>
      <c r="Q681" s="1097"/>
      <c r="R681" s="1118"/>
      <c r="S681" s="1097"/>
      <c r="T681" s="1118"/>
      <c r="U681" s="1097"/>
      <c r="V681" s="1118"/>
      <c r="W681" s="1097"/>
      <c r="X681" s="1118"/>
      <c r="Y681" s="1136"/>
      <c r="Z681" s="1095"/>
      <c r="AA681" s="1136"/>
      <c r="AB681" s="1095"/>
      <c r="AC681" s="1095"/>
      <c r="AD681" s="1095"/>
      <c r="AE681" s="1095"/>
      <c r="AF681" s="1095"/>
      <c r="AG681" s="1095"/>
      <c r="AH681" s="1095"/>
      <c r="AI681" s="1095"/>
      <c r="AJ681" s="1095"/>
      <c r="AK681" s="1095"/>
      <c r="AL681" s="1095"/>
      <c r="AM681" s="1095"/>
      <c r="AN681" s="1095"/>
      <c r="AO681" s="1095"/>
      <c r="AP681" s="1095"/>
      <c r="AQ681" s="1106"/>
      <c r="AR681" s="1097"/>
      <c r="AS681" s="1097"/>
      <c r="BW681" s="545"/>
      <c r="BX681" s="545"/>
    </row>
    <row r="682" spans="2:76" s="551" customFormat="1" x14ac:dyDescent="0.25">
      <c r="B682" s="1578"/>
      <c r="C682" s="1097"/>
      <c r="D682" s="1130"/>
      <c r="E682" s="1131"/>
      <c r="F682" s="1097"/>
      <c r="G682" s="2084"/>
      <c r="H682" s="2084"/>
      <c r="I682" s="2084"/>
      <c r="J682" s="1132"/>
      <c r="K682" s="1132"/>
      <c r="L682" s="1118"/>
      <c r="M682" s="1097"/>
      <c r="N682" s="1118"/>
      <c r="O682" s="1097"/>
      <c r="P682" s="1118"/>
      <c r="Q682" s="1097"/>
      <c r="R682" s="1118"/>
      <c r="S682" s="1097"/>
      <c r="T682" s="1118"/>
      <c r="U682" s="1097"/>
      <c r="V682" s="1118"/>
      <c r="W682" s="1097"/>
      <c r="X682" s="1118"/>
      <c r="Y682" s="1136"/>
      <c r="Z682" s="1095"/>
      <c r="AA682" s="1136"/>
      <c r="AB682" s="1095"/>
      <c r="AC682" s="1095"/>
      <c r="AD682" s="1095"/>
      <c r="AE682" s="1095"/>
      <c r="AF682" s="1095"/>
      <c r="AG682" s="1095"/>
      <c r="AH682" s="1095"/>
      <c r="AI682" s="1095"/>
      <c r="AJ682" s="1095"/>
      <c r="AK682" s="1095"/>
      <c r="AL682" s="1095"/>
      <c r="AM682" s="1095"/>
      <c r="AN682" s="1095"/>
      <c r="AO682" s="1095"/>
      <c r="AP682" s="1095"/>
      <c r="AQ682" s="1106"/>
      <c r="AR682" s="1097"/>
      <c r="AS682" s="1097"/>
      <c r="BW682" s="545"/>
      <c r="BX682" s="545"/>
    </row>
    <row r="683" spans="2:76" s="551" customFormat="1" x14ac:dyDescent="0.25">
      <c r="B683" s="1578"/>
      <c r="C683" s="1097"/>
      <c r="D683" s="1130"/>
      <c r="E683" s="1131"/>
      <c r="F683" s="1097"/>
      <c r="G683" s="2084"/>
      <c r="H683" s="2084"/>
      <c r="I683" s="2084"/>
      <c r="J683" s="1132"/>
      <c r="K683" s="1132"/>
      <c r="L683" s="1118"/>
      <c r="M683" s="1097"/>
      <c r="N683" s="1118"/>
      <c r="O683" s="1097"/>
      <c r="P683" s="1118"/>
      <c r="Q683" s="1097"/>
      <c r="R683" s="1118"/>
      <c r="S683" s="1097"/>
      <c r="T683" s="1118"/>
      <c r="U683" s="1097"/>
      <c r="V683" s="1118"/>
      <c r="W683" s="1097"/>
      <c r="X683" s="1118"/>
      <c r="Y683" s="1136"/>
      <c r="Z683" s="1095"/>
      <c r="AA683" s="1136"/>
      <c r="AB683" s="1095"/>
      <c r="AC683" s="1095"/>
      <c r="AD683" s="1095"/>
      <c r="AE683" s="1095"/>
      <c r="AF683" s="1095"/>
      <c r="AG683" s="1095"/>
      <c r="AH683" s="1095"/>
      <c r="AI683" s="1095"/>
      <c r="AJ683" s="1095"/>
      <c r="AK683" s="1095"/>
      <c r="AL683" s="1095"/>
      <c r="AM683" s="1095"/>
      <c r="AN683" s="1095"/>
      <c r="AO683" s="1095"/>
      <c r="AP683" s="1095"/>
      <c r="AQ683" s="1106"/>
      <c r="AR683" s="1097"/>
      <c r="AS683" s="1097"/>
      <c r="BW683" s="545"/>
      <c r="BX683" s="545"/>
    </row>
    <row r="684" spans="2:76" s="551" customFormat="1" x14ac:dyDescent="0.25">
      <c r="B684" s="1578"/>
      <c r="C684" s="1097"/>
      <c r="D684" s="1130"/>
      <c r="E684" s="1131"/>
      <c r="F684" s="1097"/>
      <c r="G684" s="2084"/>
      <c r="H684" s="2084"/>
      <c r="I684" s="2084"/>
      <c r="J684" s="1132"/>
      <c r="K684" s="1132"/>
      <c r="L684" s="1118"/>
      <c r="M684" s="1097"/>
      <c r="N684" s="1118"/>
      <c r="O684" s="1097"/>
      <c r="P684" s="1118"/>
      <c r="Q684" s="1097"/>
      <c r="R684" s="1118"/>
      <c r="S684" s="1097"/>
      <c r="T684" s="1118"/>
      <c r="U684" s="1097"/>
      <c r="V684" s="1118"/>
      <c r="W684" s="1097"/>
      <c r="X684" s="1118"/>
      <c r="Y684" s="1136"/>
      <c r="Z684" s="1095"/>
      <c r="AA684" s="1136"/>
      <c r="AB684" s="1095"/>
      <c r="AC684" s="1095"/>
      <c r="AD684" s="1095"/>
      <c r="AE684" s="1095"/>
      <c r="AF684" s="1095"/>
      <c r="AG684" s="1095"/>
      <c r="AH684" s="1095"/>
      <c r="AI684" s="1095"/>
      <c r="AJ684" s="1095"/>
      <c r="AK684" s="1095"/>
      <c r="AL684" s="1095"/>
      <c r="AM684" s="1095"/>
      <c r="AN684" s="1095"/>
      <c r="AO684" s="1095"/>
      <c r="AP684" s="1095"/>
      <c r="AQ684" s="1106"/>
      <c r="AR684" s="1097"/>
      <c r="AS684" s="1097"/>
      <c r="BW684" s="545"/>
      <c r="BX684" s="545"/>
    </row>
    <row r="685" spans="2:76" s="551" customFormat="1" x14ac:dyDescent="0.25">
      <c r="B685" s="1578"/>
      <c r="C685" s="1097"/>
      <c r="D685" s="1130"/>
      <c r="E685" s="1131"/>
      <c r="F685" s="1097"/>
      <c r="G685" s="2084"/>
      <c r="H685" s="2084"/>
      <c r="I685" s="2084"/>
      <c r="J685" s="1132"/>
      <c r="K685" s="1132"/>
      <c r="L685" s="1118"/>
      <c r="M685" s="1097"/>
      <c r="N685" s="1118"/>
      <c r="O685" s="1097"/>
      <c r="P685" s="1118"/>
      <c r="Q685" s="1097"/>
      <c r="R685" s="1118"/>
      <c r="S685" s="1097"/>
      <c r="T685" s="1118"/>
      <c r="U685" s="1097"/>
      <c r="V685" s="1118"/>
      <c r="W685" s="1097"/>
      <c r="X685" s="1118"/>
      <c r="Y685" s="1136"/>
      <c r="Z685" s="1095"/>
      <c r="AA685" s="1136"/>
      <c r="AB685" s="1095"/>
      <c r="AC685" s="1095"/>
      <c r="AD685" s="1095"/>
      <c r="AE685" s="1095"/>
      <c r="AF685" s="1095"/>
      <c r="AG685" s="1095"/>
      <c r="AH685" s="1095"/>
      <c r="AI685" s="1095"/>
      <c r="AJ685" s="1095"/>
      <c r="AK685" s="1095"/>
      <c r="AL685" s="1095"/>
      <c r="AM685" s="1095"/>
      <c r="AN685" s="1095"/>
      <c r="AO685" s="1095"/>
      <c r="AP685" s="1095"/>
      <c r="AQ685" s="1106"/>
      <c r="AR685" s="1097"/>
      <c r="AS685" s="1097"/>
      <c r="BW685" s="545"/>
      <c r="BX685" s="545"/>
    </row>
    <row r="686" spans="2:76" s="551" customFormat="1" x14ac:dyDescent="0.25">
      <c r="B686" s="1578"/>
      <c r="C686" s="1097"/>
      <c r="D686" s="1130"/>
      <c r="E686" s="1131"/>
      <c r="F686" s="1097"/>
      <c r="G686" s="2084"/>
      <c r="H686" s="2084"/>
      <c r="I686" s="2084"/>
      <c r="J686" s="1132"/>
      <c r="K686" s="1132"/>
      <c r="L686" s="1118"/>
      <c r="M686" s="1097"/>
      <c r="N686" s="1118"/>
      <c r="O686" s="1097"/>
      <c r="P686" s="1118"/>
      <c r="Q686" s="1097"/>
      <c r="R686" s="1118"/>
      <c r="S686" s="1097"/>
      <c r="T686" s="1118"/>
      <c r="U686" s="1097"/>
      <c r="V686" s="1118"/>
      <c r="W686" s="1097"/>
      <c r="X686" s="1118"/>
      <c r="Y686" s="1136"/>
      <c r="Z686" s="1095"/>
      <c r="AA686" s="1136"/>
      <c r="AB686" s="1095"/>
      <c r="AC686" s="1095"/>
      <c r="AD686" s="1095"/>
      <c r="AE686" s="1095"/>
      <c r="AF686" s="1095"/>
      <c r="AG686" s="1095"/>
      <c r="AH686" s="1095"/>
      <c r="AI686" s="1095"/>
      <c r="AJ686" s="1095"/>
      <c r="AK686" s="1095"/>
      <c r="AL686" s="1095"/>
      <c r="AM686" s="1095"/>
      <c r="AN686" s="1095"/>
      <c r="AO686" s="1095"/>
      <c r="AP686" s="1095"/>
      <c r="AQ686" s="1106"/>
      <c r="AR686" s="1097"/>
      <c r="AS686" s="1097"/>
      <c r="BW686" s="545"/>
      <c r="BX686" s="545"/>
    </row>
    <row r="687" spans="2:76" s="551" customFormat="1" x14ac:dyDescent="0.25">
      <c r="B687" s="1578"/>
      <c r="C687" s="1097"/>
      <c r="D687" s="1130"/>
      <c r="E687" s="1131"/>
      <c r="F687" s="1097"/>
      <c r="G687" s="2084"/>
      <c r="H687" s="2084"/>
      <c r="I687" s="2084"/>
      <c r="J687" s="1132"/>
      <c r="K687" s="1132"/>
      <c r="L687" s="1118"/>
      <c r="M687" s="1097"/>
      <c r="N687" s="1118"/>
      <c r="O687" s="1097"/>
      <c r="P687" s="1118"/>
      <c r="Q687" s="1097"/>
      <c r="R687" s="1118"/>
      <c r="S687" s="1097"/>
      <c r="T687" s="1118"/>
      <c r="U687" s="1097"/>
      <c r="V687" s="1118"/>
      <c r="W687" s="1097"/>
      <c r="X687" s="1118"/>
      <c r="Y687" s="1136"/>
      <c r="Z687" s="1095"/>
      <c r="AA687" s="1136"/>
      <c r="AB687" s="1095"/>
      <c r="AC687" s="1095"/>
      <c r="AD687" s="1095"/>
      <c r="AE687" s="1095"/>
      <c r="AF687" s="1095"/>
      <c r="AG687" s="1095"/>
      <c r="AH687" s="1095"/>
      <c r="AI687" s="1095"/>
      <c r="AJ687" s="1095"/>
      <c r="AK687" s="1095"/>
      <c r="AL687" s="1095"/>
      <c r="AM687" s="1095"/>
      <c r="AN687" s="1095"/>
      <c r="AO687" s="1095"/>
      <c r="AP687" s="1095"/>
      <c r="AQ687" s="1106"/>
      <c r="AR687" s="1097"/>
      <c r="AS687" s="1097"/>
      <c r="BW687" s="545"/>
      <c r="BX687" s="545"/>
    </row>
    <row r="688" spans="2:76" s="551" customFormat="1" x14ac:dyDescent="0.25">
      <c r="B688" s="1578"/>
      <c r="C688" s="1097"/>
      <c r="D688" s="1130"/>
      <c r="E688" s="1131"/>
      <c r="F688" s="1097"/>
      <c r="G688" s="2084"/>
      <c r="H688" s="2084"/>
      <c r="I688" s="2084"/>
      <c r="J688" s="1132"/>
      <c r="K688" s="1132"/>
      <c r="L688" s="1118"/>
      <c r="M688" s="1097"/>
      <c r="N688" s="1118"/>
      <c r="O688" s="1097"/>
      <c r="P688" s="1118"/>
      <c r="Q688" s="1097"/>
      <c r="R688" s="1118"/>
      <c r="S688" s="1097"/>
      <c r="T688" s="1118"/>
      <c r="U688" s="1097"/>
      <c r="V688" s="1118"/>
      <c r="W688" s="1097"/>
      <c r="X688" s="1118"/>
      <c r="Y688" s="1136"/>
      <c r="Z688" s="1095"/>
      <c r="AA688" s="1136"/>
      <c r="AB688" s="1095"/>
      <c r="AC688" s="1095"/>
      <c r="AD688" s="1095"/>
      <c r="AE688" s="1095"/>
      <c r="AF688" s="1095"/>
      <c r="AG688" s="1095"/>
      <c r="AH688" s="1095"/>
      <c r="AI688" s="1095"/>
      <c r="AJ688" s="1095"/>
      <c r="AK688" s="1095"/>
      <c r="AL688" s="1095"/>
      <c r="AM688" s="1095"/>
      <c r="AN688" s="1095"/>
      <c r="AO688" s="1095"/>
      <c r="AP688" s="1095"/>
      <c r="AQ688" s="1106"/>
      <c r="AR688" s="1097"/>
      <c r="AS688" s="1097"/>
      <c r="BW688" s="545"/>
      <c r="BX688" s="545"/>
    </row>
    <row r="689" spans="2:76" s="551" customFormat="1" x14ac:dyDescent="0.25">
      <c r="B689" s="1578"/>
      <c r="C689" s="1097"/>
      <c r="D689" s="1130"/>
      <c r="E689" s="1131"/>
      <c r="F689" s="1097"/>
      <c r="G689" s="2084"/>
      <c r="H689" s="2084"/>
      <c r="I689" s="2084"/>
      <c r="J689" s="1132"/>
      <c r="K689" s="1132"/>
      <c r="L689" s="1118"/>
      <c r="M689" s="1097"/>
      <c r="N689" s="1118"/>
      <c r="O689" s="1097"/>
      <c r="P689" s="1118"/>
      <c r="Q689" s="1097"/>
      <c r="R689" s="1118"/>
      <c r="S689" s="1097"/>
      <c r="T689" s="1118"/>
      <c r="U689" s="1097"/>
      <c r="V689" s="1118"/>
      <c r="W689" s="1097"/>
      <c r="X689" s="1118"/>
      <c r="Y689" s="1136"/>
      <c r="Z689" s="1095"/>
      <c r="AA689" s="1136"/>
      <c r="AB689" s="1095"/>
      <c r="AC689" s="1095"/>
      <c r="AD689" s="1095"/>
      <c r="AE689" s="1095"/>
      <c r="AF689" s="1095"/>
      <c r="AG689" s="1095"/>
      <c r="AH689" s="1095"/>
      <c r="AI689" s="1095"/>
      <c r="AJ689" s="1095"/>
      <c r="AK689" s="1095"/>
      <c r="AL689" s="1095"/>
      <c r="AM689" s="1095"/>
      <c r="AN689" s="1095"/>
      <c r="AO689" s="1095"/>
      <c r="AP689" s="1095"/>
      <c r="AQ689" s="1106"/>
      <c r="AR689" s="1097"/>
      <c r="AS689" s="1097"/>
      <c r="BW689" s="545"/>
      <c r="BX689" s="545"/>
    </row>
    <row r="690" spans="2:76" s="551" customFormat="1" x14ac:dyDescent="0.25">
      <c r="B690" s="1578"/>
      <c r="C690" s="1097"/>
      <c r="D690" s="1130"/>
      <c r="E690" s="1131"/>
      <c r="F690" s="1097"/>
      <c r="G690" s="2084"/>
      <c r="H690" s="2084"/>
      <c r="I690" s="2084"/>
      <c r="J690" s="1132"/>
      <c r="K690" s="1132"/>
      <c r="L690" s="1118"/>
      <c r="M690" s="1097"/>
      <c r="N690" s="1118"/>
      <c r="O690" s="1097"/>
      <c r="P690" s="1118"/>
      <c r="Q690" s="1097"/>
      <c r="R690" s="1118"/>
      <c r="S690" s="1097"/>
      <c r="T690" s="1118"/>
      <c r="U690" s="1097"/>
      <c r="V690" s="1118"/>
      <c r="W690" s="1097"/>
      <c r="X690" s="1118"/>
      <c r="Y690" s="1136"/>
      <c r="Z690" s="1095"/>
      <c r="AA690" s="1136"/>
      <c r="AB690" s="1095"/>
      <c r="AC690" s="1095"/>
      <c r="AD690" s="1095"/>
      <c r="AE690" s="1095"/>
      <c r="AF690" s="1095"/>
      <c r="AG690" s="1095"/>
      <c r="AH690" s="1095"/>
      <c r="AI690" s="1095"/>
      <c r="AJ690" s="1095"/>
      <c r="AK690" s="1095"/>
      <c r="AL690" s="1095"/>
      <c r="AM690" s="1095"/>
      <c r="AN690" s="1095"/>
      <c r="AO690" s="1095"/>
      <c r="AP690" s="1095"/>
      <c r="AQ690" s="1106"/>
      <c r="AR690" s="1097"/>
      <c r="AS690" s="1097"/>
      <c r="BW690" s="545"/>
      <c r="BX690" s="545"/>
    </row>
    <row r="691" spans="2:76" s="551" customFormat="1" x14ac:dyDescent="0.25">
      <c r="B691" s="1578"/>
      <c r="C691" s="1097"/>
      <c r="D691" s="1130"/>
      <c r="E691" s="1131"/>
      <c r="F691" s="1097"/>
      <c r="G691" s="2084"/>
      <c r="H691" s="2084"/>
      <c r="I691" s="2084"/>
      <c r="J691" s="1132"/>
      <c r="K691" s="1132"/>
      <c r="L691" s="1118"/>
      <c r="M691" s="1097"/>
      <c r="N691" s="1118"/>
      <c r="O691" s="1097"/>
      <c r="P691" s="1118"/>
      <c r="Q691" s="1097"/>
      <c r="R691" s="1118"/>
      <c r="S691" s="1097"/>
      <c r="T691" s="1118"/>
      <c r="U691" s="1097"/>
      <c r="V691" s="1118"/>
      <c r="W691" s="1097"/>
      <c r="X691" s="1118"/>
      <c r="Y691" s="1136"/>
      <c r="Z691" s="1095"/>
      <c r="AA691" s="1136"/>
      <c r="AB691" s="1095"/>
      <c r="AC691" s="1095"/>
      <c r="AD691" s="1095"/>
      <c r="AE691" s="1095"/>
      <c r="AF691" s="1095"/>
      <c r="AG691" s="1095"/>
      <c r="AH691" s="1095"/>
      <c r="AI691" s="1095"/>
      <c r="AJ691" s="1095"/>
      <c r="AK691" s="1095"/>
      <c r="AL691" s="1095"/>
      <c r="AM691" s="1095"/>
      <c r="AN691" s="1095"/>
      <c r="AO691" s="1095"/>
      <c r="AP691" s="1095"/>
      <c r="AQ691" s="1106"/>
      <c r="AR691" s="1097"/>
      <c r="AS691" s="1097"/>
      <c r="BW691" s="545"/>
      <c r="BX691" s="545"/>
    </row>
    <row r="692" spans="2:76" s="551" customFormat="1" x14ac:dyDescent="0.25">
      <c r="B692" s="1578"/>
      <c r="C692" s="1097"/>
      <c r="D692" s="1130"/>
      <c r="E692" s="1131"/>
      <c r="F692" s="1097"/>
      <c r="G692" s="2084"/>
      <c r="H692" s="2084"/>
      <c r="I692" s="2084"/>
      <c r="J692" s="1132"/>
      <c r="K692" s="1132"/>
      <c r="L692" s="1118"/>
      <c r="M692" s="1097"/>
      <c r="N692" s="1118"/>
      <c r="O692" s="1097"/>
      <c r="P692" s="1118"/>
      <c r="Q692" s="1097"/>
      <c r="R692" s="1118"/>
      <c r="S692" s="1097"/>
      <c r="T692" s="1118"/>
      <c r="U692" s="1097"/>
      <c r="V692" s="1118"/>
      <c r="W692" s="1097"/>
      <c r="X692" s="1118"/>
      <c r="Y692" s="1136"/>
      <c r="Z692" s="1095"/>
      <c r="AA692" s="1136"/>
      <c r="AB692" s="1095"/>
      <c r="AC692" s="1095"/>
      <c r="AD692" s="1095"/>
      <c r="AE692" s="1095"/>
      <c r="AF692" s="1095"/>
      <c r="AG692" s="1095"/>
      <c r="AH692" s="1095"/>
      <c r="AI692" s="1095"/>
      <c r="AJ692" s="1095"/>
      <c r="AK692" s="1095"/>
      <c r="AL692" s="1095"/>
      <c r="AM692" s="1095"/>
      <c r="AN692" s="1095"/>
      <c r="AO692" s="1095"/>
      <c r="AP692" s="1095"/>
      <c r="AQ692" s="1106"/>
      <c r="AR692" s="1097"/>
      <c r="AS692" s="1097"/>
      <c r="BW692" s="545"/>
      <c r="BX692" s="545"/>
    </row>
    <row r="693" spans="2:76" s="551" customFormat="1" x14ac:dyDescent="0.25">
      <c r="B693" s="1578"/>
      <c r="C693" s="1097"/>
      <c r="D693" s="1130"/>
      <c r="E693" s="1131"/>
      <c r="F693" s="1097"/>
      <c r="G693" s="2084"/>
      <c r="H693" s="2084"/>
      <c r="I693" s="2084"/>
      <c r="J693" s="1132"/>
      <c r="K693" s="1132"/>
      <c r="L693" s="1118"/>
      <c r="M693" s="1097"/>
      <c r="N693" s="1118"/>
      <c r="O693" s="1097"/>
      <c r="P693" s="1118"/>
      <c r="Q693" s="1097"/>
      <c r="R693" s="1118"/>
      <c r="S693" s="1097"/>
      <c r="T693" s="1118"/>
      <c r="U693" s="1097"/>
      <c r="V693" s="1118"/>
      <c r="W693" s="1097"/>
      <c r="X693" s="1118"/>
      <c r="Y693" s="1136"/>
      <c r="Z693" s="1095"/>
      <c r="AA693" s="1136"/>
      <c r="AB693" s="1095"/>
      <c r="AC693" s="1095"/>
      <c r="AD693" s="1095"/>
      <c r="AE693" s="1095"/>
      <c r="AF693" s="1095"/>
      <c r="AG693" s="1095"/>
      <c r="AH693" s="1095"/>
      <c r="AI693" s="1095"/>
      <c r="AJ693" s="1095"/>
      <c r="AK693" s="1095"/>
      <c r="AL693" s="1095"/>
      <c r="AM693" s="1095"/>
      <c r="AN693" s="1095"/>
      <c r="AO693" s="1095"/>
      <c r="AP693" s="1095"/>
      <c r="AQ693" s="1106"/>
      <c r="AR693" s="1097"/>
      <c r="AS693" s="1097"/>
      <c r="BW693" s="545"/>
      <c r="BX693" s="545"/>
    </row>
    <row r="694" spans="2:76" s="551" customFormat="1" x14ac:dyDescent="0.25">
      <c r="B694" s="1578"/>
      <c r="C694" s="1097"/>
      <c r="D694" s="1130"/>
      <c r="E694" s="1131"/>
      <c r="F694" s="1097"/>
      <c r="G694" s="2084"/>
      <c r="H694" s="2084"/>
      <c r="I694" s="2084"/>
      <c r="J694" s="1132"/>
      <c r="K694" s="1132"/>
      <c r="L694" s="1118"/>
      <c r="M694" s="1097"/>
      <c r="N694" s="1118"/>
      <c r="O694" s="1097"/>
      <c r="P694" s="1118"/>
      <c r="Q694" s="1097"/>
      <c r="R694" s="1118"/>
      <c r="S694" s="1097"/>
      <c r="T694" s="1118"/>
      <c r="U694" s="1097"/>
      <c r="V694" s="1118"/>
      <c r="W694" s="1097"/>
      <c r="X694" s="1118"/>
      <c r="Y694" s="1136"/>
      <c r="Z694" s="1095"/>
      <c r="AA694" s="1136"/>
      <c r="AB694" s="1095"/>
      <c r="AC694" s="1095"/>
      <c r="AD694" s="1095"/>
      <c r="AE694" s="1095"/>
      <c r="AF694" s="1095"/>
      <c r="AG694" s="1095"/>
      <c r="AH694" s="1095"/>
      <c r="AI694" s="1095"/>
      <c r="AJ694" s="1095"/>
      <c r="AK694" s="1095"/>
      <c r="AL694" s="1095"/>
      <c r="AM694" s="1095"/>
      <c r="AN694" s="1095"/>
      <c r="AO694" s="1095"/>
      <c r="AP694" s="1095"/>
      <c r="AQ694" s="1106"/>
      <c r="AR694" s="1097"/>
      <c r="AS694" s="1097"/>
      <c r="BW694" s="545"/>
      <c r="BX694" s="545"/>
    </row>
    <row r="695" spans="2:76" s="551" customFormat="1" x14ac:dyDescent="0.25">
      <c r="B695" s="1578"/>
      <c r="C695" s="1097"/>
      <c r="D695" s="1130"/>
      <c r="E695" s="1131"/>
      <c r="F695" s="1097"/>
      <c r="G695" s="2084"/>
      <c r="H695" s="2084"/>
      <c r="I695" s="2084"/>
      <c r="J695" s="1132"/>
      <c r="K695" s="1132"/>
      <c r="L695" s="1118"/>
      <c r="M695" s="1097"/>
      <c r="N695" s="1118"/>
      <c r="O695" s="1097"/>
      <c r="P695" s="1118"/>
      <c r="Q695" s="1097"/>
      <c r="R695" s="1118"/>
      <c r="S695" s="1097"/>
      <c r="T695" s="1118"/>
      <c r="U695" s="1097"/>
      <c r="V695" s="1118"/>
      <c r="W695" s="1097"/>
      <c r="X695" s="1118"/>
      <c r="Y695" s="1136"/>
      <c r="Z695" s="1095"/>
      <c r="AA695" s="1136"/>
      <c r="AB695" s="1095"/>
      <c r="AC695" s="1095"/>
      <c r="AD695" s="1095"/>
      <c r="AE695" s="1095"/>
      <c r="AF695" s="1095"/>
      <c r="AG695" s="1095"/>
      <c r="AH695" s="1095"/>
      <c r="AI695" s="1095"/>
      <c r="AJ695" s="1095"/>
      <c r="AK695" s="1095"/>
      <c r="AL695" s="1095"/>
      <c r="AM695" s="1095"/>
      <c r="AN695" s="1095"/>
      <c r="AO695" s="1095"/>
      <c r="AP695" s="1095"/>
      <c r="AQ695" s="1106"/>
      <c r="AR695" s="1097"/>
      <c r="AS695" s="1097"/>
      <c r="BW695" s="545"/>
      <c r="BX695" s="545"/>
    </row>
    <row r="696" spans="2:76" s="551" customFormat="1" x14ac:dyDescent="0.25">
      <c r="B696" s="1578"/>
      <c r="C696" s="1097"/>
      <c r="D696" s="1130"/>
      <c r="E696" s="1131"/>
      <c r="F696" s="1097"/>
      <c r="G696" s="2084"/>
      <c r="H696" s="2084"/>
      <c r="I696" s="2084"/>
      <c r="J696" s="1132"/>
      <c r="K696" s="1132"/>
      <c r="L696" s="1118"/>
      <c r="M696" s="1097"/>
      <c r="N696" s="1118"/>
      <c r="O696" s="1097"/>
      <c r="P696" s="1118"/>
      <c r="Q696" s="1097"/>
      <c r="R696" s="1118"/>
      <c r="S696" s="1097"/>
      <c r="T696" s="1118"/>
      <c r="U696" s="1097"/>
      <c r="V696" s="1118"/>
      <c r="W696" s="1097"/>
      <c r="X696" s="1118"/>
      <c r="Y696" s="1136"/>
      <c r="Z696" s="1095"/>
      <c r="AA696" s="1136"/>
      <c r="AB696" s="1095"/>
      <c r="AC696" s="1095"/>
      <c r="AD696" s="1095"/>
      <c r="AE696" s="1095"/>
      <c r="AF696" s="1095"/>
      <c r="AG696" s="1095"/>
      <c r="AH696" s="1095"/>
      <c r="AI696" s="1095"/>
      <c r="AJ696" s="1095"/>
      <c r="AK696" s="1095"/>
      <c r="AL696" s="1095"/>
      <c r="AM696" s="1095"/>
      <c r="AN696" s="1095"/>
      <c r="AO696" s="1095"/>
      <c r="AP696" s="1095"/>
      <c r="AQ696" s="1106"/>
      <c r="AR696" s="1097"/>
      <c r="AS696" s="1097"/>
      <c r="BW696" s="545"/>
      <c r="BX696" s="545"/>
    </row>
    <row r="697" spans="2:76" s="551" customFormat="1" x14ac:dyDescent="0.25">
      <c r="B697" s="1578"/>
      <c r="C697" s="1097"/>
      <c r="D697" s="1130"/>
      <c r="E697" s="1131"/>
      <c r="F697" s="1097"/>
      <c r="G697" s="2084"/>
      <c r="H697" s="2084"/>
      <c r="I697" s="2084"/>
      <c r="J697" s="1132"/>
      <c r="K697" s="1132"/>
      <c r="L697" s="1118"/>
      <c r="M697" s="1097"/>
      <c r="N697" s="1118"/>
      <c r="O697" s="1097"/>
      <c r="P697" s="1118"/>
      <c r="Q697" s="1097"/>
      <c r="R697" s="1118"/>
      <c r="S697" s="1097"/>
      <c r="T697" s="1118"/>
      <c r="U697" s="1097"/>
      <c r="V697" s="1118"/>
      <c r="W697" s="1097"/>
      <c r="X697" s="1118"/>
      <c r="Y697" s="1136"/>
      <c r="Z697" s="1095"/>
      <c r="AA697" s="1136"/>
      <c r="AB697" s="1095"/>
      <c r="AC697" s="1095"/>
      <c r="AD697" s="1095"/>
      <c r="AE697" s="1095"/>
      <c r="AF697" s="1095"/>
      <c r="AG697" s="1095"/>
      <c r="AH697" s="1095"/>
      <c r="AI697" s="1095"/>
      <c r="AJ697" s="1095"/>
      <c r="AK697" s="1095"/>
      <c r="AL697" s="1095"/>
      <c r="AM697" s="1095"/>
      <c r="AN697" s="1095"/>
      <c r="AO697" s="1095"/>
      <c r="AP697" s="1095"/>
      <c r="AQ697" s="1106"/>
      <c r="AR697" s="1097"/>
      <c r="AS697" s="1097"/>
      <c r="BW697" s="545"/>
      <c r="BX697" s="545"/>
    </row>
    <row r="698" spans="2:76" s="551" customFormat="1" x14ac:dyDescent="0.25">
      <c r="B698" s="1578"/>
      <c r="C698" s="1097"/>
      <c r="D698" s="1130"/>
      <c r="E698" s="1131"/>
      <c r="F698" s="1097"/>
      <c r="G698" s="2084"/>
      <c r="H698" s="2084"/>
      <c r="I698" s="2084"/>
      <c r="J698" s="1132"/>
      <c r="K698" s="1132"/>
      <c r="L698" s="1118"/>
      <c r="M698" s="1097"/>
      <c r="N698" s="1118"/>
      <c r="O698" s="1097"/>
      <c r="P698" s="1118"/>
      <c r="Q698" s="1097"/>
      <c r="R698" s="1118"/>
      <c r="S698" s="1097"/>
      <c r="T698" s="1118"/>
      <c r="U698" s="1097"/>
      <c r="V698" s="1118"/>
      <c r="W698" s="1097"/>
      <c r="X698" s="1118"/>
      <c r="Y698" s="1136"/>
      <c r="Z698" s="1095"/>
      <c r="AA698" s="1136"/>
      <c r="AB698" s="1095"/>
      <c r="AC698" s="1095"/>
      <c r="AD698" s="1095"/>
      <c r="AE698" s="1095"/>
      <c r="AF698" s="1095"/>
      <c r="AG698" s="1095"/>
      <c r="AH698" s="1095"/>
      <c r="AI698" s="1095"/>
      <c r="AJ698" s="1095"/>
      <c r="AK698" s="1095"/>
      <c r="AL698" s="1095"/>
      <c r="AM698" s="1095"/>
      <c r="AN698" s="1095"/>
      <c r="AO698" s="1095"/>
      <c r="AP698" s="1095"/>
      <c r="AQ698" s="1106"/>
      <c r="AR698" s="1097"/>
      <c r="AS698" s="1097"/>
      <c r="BW698" s="545"/>
      <c r="BX698" s="545"/>
    </row>
    <row r="699" spans="2:76" s="551" customFormat="1" x14ac:dyDescent="0.25">
      <c r="B699" s="1578"/>
      <c r="C699" s="1097"/>
      <c r="D699" s="1130"/>
      <c r="E699" s="1131"/>
      <c r="F699" s="1097"/>
      <c r="G699" s="2084"/>
      <c r="H699" s="2084"/>
      <c r="I699" s="2084"/>
      <c r="J699" s="1132"/>
      <c r="K699" s="1132"/>
      <c r="L699" s="1118"/>
      <c r="M699" s="1097"/>
      <c r="N699" s="1118"/>
      <c r="O699" s="1097"/>
      <c r="P699" s="1118"/>
      <c r="Q699" s="1097"/>
      <c r="R699" s="1118"/>
      <c r="S699" s="1097"/>
      <c r="T699" s="1118"/>
      <c r="U699" s="1097"/>
      <c r="V699" s="1118"/>
      <c r="W699" s="1097"/>
      <c r="X699" s="1118"/>
      <c r="Y699" s="1136"/>
      <c r="Z699" s="1095"/>
      <c r="AA699" s="1136"/>
      <c r="AB699" s="1095"/>
      <c r="AC699" s="1095"/>
      <c r="AD699" s="1095"/>
      <c r="AE699" s="1095"/>
      <c r="AF699" s="1095"/>
      <c r="AG699" s="1095"/>
      <c r="AH699" s="1095"/>
      <c r="AI699" s="1095"/>
      <c r="AJ699" s="1095"/>
      <c r="AK699" s="1095"/>
      <c r="AL699" s="1095"/>
      <c r="AM699" s="1095"/>
      <c r="AN699" s="1095"/>
      <c r="AO699" s="1095"/>
      <c r="AP699" s="1095"/>
      <c r="AQ699" s="1106"/>
      <c r="AR699" s="1097"/>
      <c r="AS699" s="1097"/>
      <c r="BW699" s="545"/>
      <c r="BX699" s="545"/>
    </row>
    <row r="700" spans="2:76" s="551" customFormat="1" x14ac:dyDescent="0.25">
      <c r="B700" s="1578"/>
      <c r="C700" s="1097"/>
      <c r="D700" s="1130"/>
      <c r="E700" s="1131"/>
      <c r="F700" s="1097"/>
      <c r="G700" s="2084"/>
      <c r="H700" s="2084"/>
      <c r="I700" s="2084"/>
      <c r="J700" s="1132"/>
      <c r="K700" s="1132"/>
      <c r="L700" s="1118"/>
      <c r="M700" s="1097"/>
      <c r="N700" s="1118"/>
      <c r="O700" s="1097"/>
      <c r="P700" s="1118"/>
      <c r="Q700" s="1097"/>
      <c r="R700" s="1118"/>
      <c r="S700" s="1097"/>
      <c r="T700" s="1118"/>
      <c r="U700" s="1097"/>
      <c r="V700" s="1118"/>
      <c r="W700" s="1097"/>
      <c r="X700" s="1118"/>
      <c r="Y700" s="1136"/>
      <c r="Z700" s="1095"/>
      <c r="AA700" s="1136"/>
      <c r="AB700" s="1095"/>
      <c r="AC700" s="1095"/>
      <c r="AD700" s="1095"/>
      <c r="AE700" s="1095"/>
      <c r="AF700" s="1095"/>
      <c r="AG700" s="1095"/>
      <c r="AH700" s="1095"/>
      <c r="AI700" s="1095"/>
      <c r="AJ700" s="1095"/>
      <c r="AK700" s="1095"/>
      <c r="AL700" s="1095"/>
      <c r="AM700" s="1095"/>
      <c r="AN700" s="1095"/>
      <c r="AO700" s="1095"/>
      <c r="AP700" s="1095"/>
      <c r="AQ700" s="1106"/>
      <c r="AR700" s="1097"/>
      <c r="AS700" s="1097"/>
      <c r="BW700" s="545"/>
      <c r="BX700" s="545"/>
    </row>
    <row r="701" spans="2:76" s="551" customFormat="1" x14ac:dyDescent="0.25">
      <c r="B701" s="1578"/>
      <c r="C701" s="1097"/>
      <c r="D701" s="1130"/>
      <c r="E701" s="1131"/>
      <c r="F701" s="1097"/>
      <c r="G701" s="2084"/>
      <c r="H701" s="2084"/>
      <c r="I701" s="2084"/>
      <c r="J701" s="1132"/>
      <c r="K701" s="1132"/>
      <c r="L701" s="1118"/>
      <c r="M701" s="1097"/>
      <c r="N701" s="1118"/>
      <c r="O701" s="1097"/>
      <c r="P701" s="1118"/>
      <c r="Q701" s="1097"/>
      <c r="R701" s="1118"/>
      <c r="S701" s="1097"/>
      <c r="T701" s="1118"/>
      <c r="U701" s="1097"/>
      <c r="V701" s="1118"/>
      <c r="W701" s="1097"/>
      <c r="X701" s="1118"/>
      <c r="Y701" s="1136"/>
      <c r="Z701" s="1095"/>
      <c r="AA701" s="1136"/>
      <c r="AB701" s="1095"/>
      <c r="AC701" s="1095"/>
      <c r="AD701" s="1095"/>
      <c r="AE701" s="1095"/>
      <c r="AF701" s="1095"/>
      <c r="AG701" s="1095"/>
      <c r="AH701" s="1095"/>
      <c r="AI701" s="1095"/>
      <c r="AJ701" s="1095"/>
      <c r="AK701" s="1095"/>
      <c r="AL701" s="1095"/>
      <c r="AM701" s="1095"/>
      <c r="AN701" s="1095"/>
      <c r="AO701" s="1095"/>
      <c r="AP701" s="1095"/>
      <c r="AQ701" s="1106"/>
      <c r="AR701" s="1097"/>
      <c r="AS701" s="1097"/>
      <c r="BW701" s="545"/>
      <c r="BX701" s="545"/>
    </row>
    <row r="702" spans="2:76" s="551" customFormat="1" x14ac:dyDescent="0.25">
      <c r="B702" s="1578"/>
      <c r="C702" s="1097"/>
      <c r="D702" s="1130"/>
      <c r="E702" s="1131"/>
      <c r="F702" s="1097"/>
      <c r="G702" s="2084"/>
      <c r="H702" s="2084"/>
      <c r="I702" s="2084"/>
      <c r="J702" s="1132"/>
      <c r="K702" s="1132"/>
      <c r="L702" s="1118"/>
      <c r="M702" s="1097"/>
      <c r="N702" s="1118"/>
      <c r="O702" s="1097"/>
      <c r="P702" s="1118"/>
      <c r="Q702" s="1097"/>
      <c r="R702" s="1118"/>
      <c r="S702" s="1097"/>
      <c r="T702" s="1118"/>
      <c r="U702" s="1097"/>
      <c r="V702" s="1118"/>
      <c r="W702" s="1097"/>
      <c r="X702" s="1118"/>
      <c r="Y702" s="1136"/>
      <c r="Z702" s="1095"/>
      <c r="AA702" s="1136"/>
      <c r="AB702" s="1095"/>
      <c r="AC702" s="1095"/>
      <c r="AD702" s="1095"/>
      <c r="AE702" s="1095"/>
      <c r="AF702" s="1095"/>
      <c r="AG702" s="1095"/>
      <c r="AH702" s="1095"/>
      <c r="AI702" s="1095"/>
      <c r="AJ702" s="1095"/>
      <c r="AK702" s="1095"/>
      <c r="AL702" s="1095"/>
      <c r="AM702" s="1095"/>
      <c r="AN702" s="1095"/>
      <c r="AO702" s="1095"/>
      <c r="AP702" s="1095"/>
      <c r="AQ702" s="1106"/>
      <c r="AR702" s="1097"/>
      <c r="AS702" s="1097"/>
      <c r="BW702" s="545"/>
      <c r="BX702" s="545"/>
    </row>
    <row r="703" spans="2:76" s="551" customFormat="1" x14ac:dyDescent="0.25">
      <c r="B703" s="1578"/>
      <c r="C703" s="1097"/>
      <c r="D703" s="1130"/>
      <c r="E703" s="1131"/>
      <c r="F703" s="1097"/>
      <c r="G703" s="2084"/>
      <c r="H703" s="2084"/>
      <c r="I703" s="2084"/>
      <c r="J703" s="1132"/>
      <c r="K703" s="1132"/>
      <c r="L703" s="1118"/>
      <c r="M703" s="1097"/>
      <c r="N703" s="1118"/>
      <c r="O703" s="1097"/>
      <c r="P703" s="1118"/>
      <c r="Q703" s="1097"/>
      <c r="R703" s="1118"/>
      <c r="S703" s="1097"/>
      <c r="T703" s="1118"/>
      <c r="U703" s="1097"/>
      <c r="V703" s="1118"/>
      <c r="W703" s="1097"/>
      <c r="X703" s="1118"/>
      <c r="Y703" s="1136"/>
      <c r="Z703" s="1095"/>
      <c r="AA703" s="1136"/>
      <c r="AB703" s="1095"/>
      <c r="AC703" s="1095"/>
      <c r="AD703" s="1095"/>
      <c r="AE703" s="1095"/>
      <c r="AF703" s="1095"/>
      <c r="AG703" s="1095"/>
      <c r="AH703" s="1095"/>
      <c r="AI703" s="1095"/>
      <c r="AJ703" s="1095"/>
      <c r="AK703" s="1095"/>
      <c r="AL703" s="1095"/>
      <c r="AM703" s="1095"/>
      <c r="AN703" s="1095"/>
      <c r="AO703" s="1095"/>
      <c r="AP703" s="1095"/>
      <c r="AQ703" s="1106"/>
      <c r="AR703" s="1097"/>
      <c r="AS703" s="1097"/>
      <c r="BW703" s="545"/>
      <c r="BX703" s="545"/>
    </row>
    <row r="704" spans="2:76" s="551" customFormat="1" x14ac:dyDescent="0.25">
      <c r="B704" s="1578"/>
      <c r="C704" s="1097"/>
      <c r="D704" s="1130"/>
      <c r="E704" s="1131"/>
      <c r="F704" s="1097"/>
      <c r="G704" s="2084"/>
      <c r="H704" s="2084"/>
      <c r="I704" s="2084"/>
      <c r="J704" s="1132"/>
      <c r="K704" s="1132"/>
      <c r="L704" s="1118"/>
      <c r="M704" s="1097"/>
      <c r="N704" s="1118"/>
      <c r="O704" s="1097"/>
      <c r="P704" s="1118"/>
      <c r="Q704" s="1097"/>
      <c r="R704" s="1118"/>
      <c r="S704" s="1097"/>
      <c r="T704" s="1118"/>
      <c r="U704" s="1097"/>
      <c r="V704" s="1118"/>
      <c r="W704" s="1097"/>
      <c r="X704" s="1118"/>
      <c r="Y704" s="1136"/>
      <c r="Z704" s="1095"/>
      <c r="AA704" s="1136"/>
      <c r="AB704" s="1095"/>
      <c r="AC704" s="1095"/>
      <c r="AD704" s="1095"/>
      <c r="AE704" s="1095"/>
      <c r="AF704" s="1095"/>
      <c r="AG704" s="1095"/>
      <c r="AH704" s="1095"/>
      <c r="AI704" s="1095"/>
      <c r="AJ704" s="1095"/>
      <c r="AK704" s="1095"/>
      <c r="AL704" s="1095"/>
      <c r="AM704" s="1095"/>
      <c r="AN704" s="1095"/>
      <c r="AO704" s="1095"/>
      <c r="AP704" s="1095"/>
      <c r="AQ704" s="1106"/>
      <c r="AR704" s="1097"/>
      <c r="AS704" s="1097"/>
      <c r="BW704" s="545"/>
      <c r="BX704" s="545"/>
    </row>
    <row r="705" spans="2:76" s="551" customFormat="1" x14ac:dyDescent="0.25">
      <c r="B705" s="1578"/>
      <c r="C705" s="1097"/>
      <c r="D705" s="1130"/>
      <c r="E705" s="1131"/>
      <c r="F705" s="1097"/>
      <c r="G705" s="2084"/>
      <c r="H705" s="2084"/>
      <c r="I705" s="2084"/>
      <c r="J705" s="1132"/>
      <c r="K705" s="1132"/>
      <c r="L705" s="1118"/>
      <c r="M705" s="1097"/>
      <c r="N705" s="1118"/>
      <c r="O705" s="1097"/>
      <c r="P705" s="1118"/>
      <c r="Q705" s="1097"/>
      <c r="R705" s="1118"/>
      <c r="S705" s="1097"/>
      <c r="T705" s="1118"/>
      <c r="U705" s="1097"/>
      <c r="V705" s="1118"/>
      <c r="W705" s="1097"/>
      <c r="X705" s="1118"/>
      <c r="Y705" s="1136"/>
      <c r="Z705" s="1095"/>
      <c r="AA705" s="1136"/>
      <c r="AB705" s="1095"/>
      <c r="AC705" s="1095"/>
      <c r="AD705" s="1095"/>
      <c r="AE705" s="1095"/>
      <c r="AF705" s="1095"/>
      <c r="AG705" s="1095"/>
      <c r="AH705" s="1095"/>
      <c r="AI705" s="1095"/>
      <c r="AJ705" s="1095"/>
      <c r="AK705" s="1095"/>
      <c r="AL705" s="1095"/>
      <c r="AM705" s="1095"/>
      <c r="AN705" s="1095"/>
      <c r="AO705" s="1095"/>
      <c r="AP705" s="1095"/>
      <c r="AQ705" s="1106"/>
      <c r="AR705" s="1097"/>
      <c r="AS705" s="1097"/>
      <c r="BW705" s="545"/>
      <c r="BX705" s="545"/>
    </row>
    <row r="706" spans="2:76" s="551" customFormat="1" x14ac:dyDescent="0.25">
      <c r="B706" s="1578"/>
      <c r="C706" s="1097"/>
      <c r="D706" s="1130"/>
      <c r="E706" s="1131"/>
      <c r="F706" s="1097"/>
      <c r="G706" s="2084"/>
      <c r="H706" s="2084"/>
      <c r="I706" s="2084"/>
      <c r="J706" s="1132"/>
      <c r="K706" s="1132"/>
      <c r="L706" s="1118"/>
      <c r="M706" s="1097"/>
      <c r="N706" s="1118"/>
      <c r="O706" s="1097"/>
      <c r="P706" s="1118"/>
      <c r="Q706" s="1097"/>
      <c r="R706" s="1118"/>
      <c r="S706" s="1097"/>
      <c r="T706" s="1118"/>
      <c r="U706" s="1097"/>
      <c r="V706" s="1118"/>
      <c r="W706" s="1097"/>
      <c r="X706" s="1118"/>
      <c r="Y706" s="1136"/>
      <c r="Z706" s="1095"/>
      <c r="AA706" s="1136"/>
      <c r="AB706" s="1095"/>
      <c r="AC706" s="1095"/>
      <c r="AD706" s="1095"/>
      <c r="AE706" s="1095"/>
      <c r="AF706" s="1095"/>
      <c r="AG706" s="1095"/>
      <c r="AH706" s="1095"/>
      <c r="AI706" s="1095"/>
      <c r="AJ706" s="1095"/>
      <c r="AK706" s="1095"/>
      <c r="AL706" s="1095"/>
      <c r="AM706" s="1095"/>
      <c r="AN706" s="1095"/>
      <c r="AO706" s="1095"/>
      <c r="AP706" s="1095"/>
      <c r="AQ706" s="1106"/>
      <c r="AR706" s="1097"/>
      <c r="AS706" s="1097"/>
      <c r="BW706" s="545"/>
      <c r="BX706" s="545"/>
    </row>
    <row r="707" spans="2:76" s="551" customFormat="1" x14ac:dyDescent="0.25">
      <c r="B707" s="1578"/>
      <c r="C707" s="1097"/>
      <c r="D707" s="1130"/>
      <c r="E707" s="1131"/>
      <c r="F707" s="1097"/>
      <c r="G707" s="2084"/>
      <c r="H707" s="2084"/>
      <c r="I707" s="2084"/>
      <c r="J707" s="1132"/>
      <c r="K707" s="1132"/>
      <c r="L707" s="1118"/>
      <c r="M707" s="1097"/>
      <c r="N707" s="1118"/>
      <c r="O707" s="1097"/>
      <c r="P707" s="1118"/>
      <c r="Q707" s="1097"/>
      <c r="R707" s="1118"/>
      <c r="S707" s="1097"/>
      <c r="T707" s="1118"/>
      <c r="U707" s="1097"/>
      <c r="V707" s="1118"/>
      <c r="W707" s="1097"/>
      <c r="X707" s="1118"/>
      <c r="Y707" s="1136"/>
      <c r="Z707" s="1095"/>
      <c r="AA707" s="1136"/>
      <c r="AB707" s="1095"/>
      <c r="AC707" s="1095"/>
      <c r="AD707" s="1095"/>
      <c r="AE707" s="1095"/>
      <c r="AF707" s="1095"/>
      <c r="AG707" s="1095"/>
      <c r="AH707" s="1095"/>
      <c r="AI707" s="1095"/>
      <c r="AJ707" s="1095"/>
      <c r="AK707" s="1095"/>
      <c r="AL707" s="1095"/>
      <c r="AM707" s="1095"/>
      <c r="AN707" s="1095"/>
      <c r="AO707" s="1095"/>
      <c r="AP707" s="1095"/>
      <c r="AQ707" s="1106"/>
      <c r="AR707" s="1097"/>
      <c r="AS707" s="1097"/>
      <c r="BW707" s="545"/>
      <c r="BX707" s="545"/>
    </row>
    <row r="708" spans="2:76" x14ac:dyDescent="0.25">
      <c r="B708" s="1579"/>
      <c r="C708" s="1078"/>
      <c r="D708" s="1137"/>
      <c r="E708" s="1138"/>
      <c r="F708" s="1114"/>
      <c r="G708" s="1114"/>
      <c r="H708" s="1139"/>
      <c r="I708" s="1114"/>
      <c r="J708" s="1139"/>
      <c r="K708" s="1114"/>
      <c r="L708" s="1139"/>
      <c r="M708" s="1114"/>
      <c r="N708" s="1139"/>
      <c r="O708" s="1114"/>
      <c r="P708" s="1139"/>
      <c r="Q708" s="1114"/>
      <c r="R708" s="1139"/>
      <c r="S708" s="1114"/>
      <c r="T708" s="1139"/>
      <c r="U708" s="1114"/>
      <c r="V708" s="1139"/>
      <c r="W708" s="1114"/>
      <c r="X708" s="1139"/>
      <c r="Y708" s="1140"/>
      <c r="Z708" s="1078"/>
      <c r="AA708" s="1140"/>
      <c r="AB708" s="1078"/>
      <c r="AC708" s="1078"/>
      <c r="AD708" s="1078"/>
      <c r="AE708" s="1078"/>
      <c r="AF708" s="1078"/>
      <c r="AG708" s="1078"/>
      <c r="AH708" s="1078"/>
      <c r="AI708" s="1078"/>
      <c r="AJ708" s="1078"/>
      <c r="AK708" s="1078"/>
      <c r="AL708" s="1078"/>
      <c r="AM708" s="1078"/>
      <c r="AN708" s="1078"/>
      <c r="AO708" s="1078"/>
      <c r="AP708" s="1078"/>
      <c r="AQ708" s="1078"/>
      <c r="AR708" s="1102"/>
      <c r="AS708" s="1078"/>
    </row>
    <row r="709" spans="2:76" x14ac:dyDescent="0.25">
      <c r="B709" s="1579"/>
      <c r="C709" s="1078"/>
      <c r="D709" s="1137"/>
      <c r="E709" s="1138"/>
      <c r="F709" s="1114"/>
      <c r="G709" s="1114"/>
      <c r="H709" s="1139"/>
      <c r="I709" s="1114"/>
      <c r="J709" s="1139"/>
      <c r="K709" s="1114"/>
      <c r="L709" s="1139"/>
      <c r="M709" s="1114"/>
      <c r="N709" s="1139"/>
      <c r="O709" s="1114"/>
      <c r="P709" s="1139"/>
      <c r="Q709" s="1114"/>
      <c r="R709" s="1139"/>
      <c r="S709" s="1114"/>
      <c r="T709" s="1139"/>
      <c r="U709" s="1114"/>
      <c r="V709" s="1139"/>
      <c r="W709" s="1114"/>
      <c r="X709" s="1139"/>
      <c r="Y709" s="1140"/>
      <c r="Z709" s="1078"/>
      <c r="AA709" s="1140"/>
      <c r="AB709" s="1078"/>
      <c r="AC709" s="1078"/>
      <c r="AD709" s="1078"/>
      <c r="AE709" s="1078"/>
      <c r="AF709" s="1078"/>
      <c r="AG709" s="1078"/>
      <c r="AH709" s="1078"/>
      <c r="AI709" s="1078"/>
      <c r="AJ709" s="1078"/>
      <c r="AK709" s="1078"/>
      <c r="AL709" s="1078"/>
      <c r="AM709" s="1078"/>
      <c r="AN709" s="1078"/>
      <c r="AO709" s="1078"/>
      <c r="AP709" s="1078"/>
      <c r="AQ709" s="1078"/>
      <c r="AR709" s="1102"/>
      <c r="AS709" s="1078"/>
    </row>
    <row r="710" spans="2:76" x14ac:dyDescent="0.25">
      <c r="B710" s="1579"/>
      <c r="C710" s="1078"/>
      <c r="D710" s="1137"/>
      <c r="E710" s="1138"/>
      <c r="F710" s="1114"/>
      <c r="G710" s="1114"/>
      <c r="H710" s="1139"/>
      <c r="I710" s="1114"/>
      <c r="J710" s="1139"/>
      <c r="K710" s="1114"/>
      <c r="L710" s="1139"/>
      <c r="M710" s="1114"/>
      <c r="N710" s="1139"/>
      <c r="O710" s="1114"/>
      <c r="P710" s="1139"/>
      <c r="Q710" s="1114"/>
      <c r="R710" s="1139"/>
      <c r="S710" s="1114"/>
      <c r="T710" s="1139"/>
      <c r="U710" s="1114"/>
      <c r="V710" s="1139"/>
      <c r="W710" s="1114"/>
      <c r="X710" s="1139"/>
      <c r="Y710" s="1140"/>
      <c r="Z710" s="1078"/>
      <c r="AA710" s="1140"/>
      <c r="AB710" s="1078"/>
      <c r="AC710" s="1078"/>
      <c r="AD710" s="1078"/>
      <c r="AE710" s="1078"/>
      <c r="AF710" s="1078"/>
      <c r="AG710" s="1078"/>
      <c r="AH710" s="1078"/>
      <c r="AI710" s="1078"/>
      <c r="AJ710" s="1078"/>
      <c r="AK710" s="1078"/>
      <c r="AL710" s="1078"/>
      <c r="AM710" s="1078"/>
      <c r="AN710" s="1078"/>
      <c r="AO710" s="1078"/>
      <c r="AP710" s="1078"/>
      <c r="AQ710" s="1078"/>
      <c r="AR710" s="1102"/>
      <c r="AS710" s="1078"/>
    </row>
    <row r="711" spans="2:76" x14ac:dyDescent="0.25">
      <c r="B711" s="1579"/>
      <c r="C711" s="1078"/>
      <c r="D711" s="1137"/>
      <c r="E711" s="1138"/>
      <c r="F711" s="1114"/>
      <c r="G711" s="1114"/>
      <c r="H711" s="1139"/>
      <c r="I711" s="1114"/>
      <c r="J711" s="1139"/>
      <c r="K711" s="1114"/>
      <c r="L711" s="1139"/>
      <c r="M711" s="1114"/>
      <c r="N711" s="1139"/>
      <c r="O711" s="1114"/>
      <c r="P711" s="1139"/>
      <c r="Q711" s="1114"/>
      <c r="R711" s="1139"/>
      <c r="S711" s="1114"/>
      <c r="T711" s="1139"/>
      <c r="U711" s="1114"/>
      <c r="V711" s="1139"/>
      <c r="W711" s="1114"/>
      <c r="X711" s="1139"/>
      <c r="Y711" s="1140"/>
      <c r="Z711" s="1078"/>
      <c r="AA711" s="1140"/>
      <c r="AB711" s="1078"/>
      <c r="AC711" s="1078"/>
      <c r="AD711" s="1078"/>
      <c r="AE711" s="1078"/>
      <c r="AF711" s="1078"/>
      <c r="AG711" s="1078"/>
      <c r="AH711" s="1078"/>
      <c r="AI711" s="1078"/>
      <c r="AJ711" s="1078"/>
      <c r="AK711" s="1078"/>
      <c r="AL711" s="1078"/>
      <c r="AM711" s="1078"/>
      <c r="AN711" s="1078"/>
      <c r="AO711" s="1078"/>
      <c r="AP711" s="1078"/>
      <c r="AQ711" s="1078"/>
      <c r="AR711" s="1102"/>
      <c r="AS711" s="1078"/>
    </row>
  </sheetData>
  <sheetProtection formatCells="0" formatRows="0"/>
  <mergeCells count="185">
    <mergeCell ref="G707:I707"/>
    <mergeCell ref="G698:I698"/>
    <mergeCell ref="G699:I699"/>
    <mergeCell ref="G700:I700"/>
    <mergeCell ref="G701:I701"/>
    <mergeCell ref="G702:I702"/>
    <mergeCell ref="G703:I703"/>
    <mergeCell ref="G704:I704"/>
    <mergeCell ref="G705:I705"/>
    <mergeCell ref="G706:I706"/>
    <mergeCell ref="G696:I696"/>
    <mergeCell ref="G697:I697"/>
    <mergeCell ref="G693:I693"/>
    <mergeCell ref="G694:I694"/>
    <mergeCell ref="G695:I695"/>
    <mergeCell ref="G690:I690"/>
    <mergeCell ref="G691:I691"/>
    <mergeCell ref="G692:I692"/>
    <mergeCell ref="G687:I687"/>
    <mergeCell ref="G688:I688"/>
    <mergeCell ref="G689:I689"/>
    <mergeCell ref="G684:I684"/>
    <mergeCell ref="G685:I685"/>
    <mergeCell ref="G686:I686"/>
    <mergeCell ref="G681:I681"/>
    <mergeCell ref="G682:I682"/>
    <mergeCell ref="G683:I683"/>
    <mergeCell ref="G678:I678"/>
    <mergeCell ref="G679:I679"/>
    <mergeCell ref="G680:I680"/>
    <mergeCell ref="G675:I675"/>
    <mergeCell ref="G676:I676"/>
    <mergeCell ref="G677:I677"/>
    <mergeCell ref="G672:I672"/>
    <mergeCell ref="G673:I673"/>
    <mergeCell ref="G674:I674"/>
    <mergeCell ref="G669:I669"/>
    <mergeCell ref="G670:I670"/>
    <mergeCell ref="G671:I671"/>
    <mergeCell ref="G666:I666"/>
    <mergeCell ref="L666:N666"/>
    <mergeCell ref="Q666:S666"/>
    <mergeCell ref="G667:I667"/>
    <mergeCell ref="G668:I668"/>
    <mergeCell ref="G663:I663"/>
    <mergeCell ref="G664:I664"/>
    <mergeCell ref="L664:N664"/>
    <mergeCell ref="Q664:S664"/>
    <mergeCell ref="G665:I665"/>
    <mergeCell ref="AL20:AN20"/>
    <mergeCell ref="AL22:AN22"/>
    <mergeCell ref="G1:K1"/>
    <mergeCell ref="G648:I648"/>
    <mergeCell ref="G649:I649"/>
    <mergeCell ref="G650:I650"/>
    <mergeCell ref="G651:I651"/>
    <mergeCell ref="G652:I652"/>
    <mergeCell ref="G653:I653"/>
    <mergeCell ref="AL3:AL15"/>
    <mergeCell ref="P17:T17"/>
    <mergeCell ref="Y21:Z21"/>
    <mergeCell ref="I17:K17"/>
    <mergeCell ref="G17:H17"/>
    <mergeCell ref="AA422:AA424"/>
    <mergeCell ref="Y22:Z22"/>
    <mergeCell ref="M17:O17"/>
    <mergeCell ref="S12:T12"/>
    <mergeCell ref="M1:AA1"/>
    <mergeCell ref="U2:U6"/>
    <mergeCell ref="Q13:R13"/>
    <mergeCell ref="AD20:AK20"/>
    <mergeCell ref="AD19:AK19"/>
    <mergeCell ref="Q12:R12"/>
    <mergeCell ref="G654:I654"/>
    <mergeCell ref="G655:I655"/>
    <mergeCell ref="G656:I656"/>
    <mergeCell ref="G657:I657"/>
    <mergeCell ref="G658:I658"/>
    <mergeCell ref="G659:I659"/>
    <mergeCell ref="G660:I660"/>
    <mergeCell ref="G661:I661"/>
    <mergeCell ref="G662:I662"/>
    <mergeCell ref="R2:R6"/>
    <mergeCell ref="T2:T6"/>
    <mergeCell ref="V2:V6"/>
    <mergeCell ref="X2:X6"/>
    <mergeCell ref="U13:V13"/>
    <mergeCell ref="W13:X13"/>
    <mergeCell ref="W2:W6"/>
    <mergeCell ref="S13:T13"/>
    <mergeCell ref="Q2:Q6"/>
    <mergeCell ref="S2:S6"/>
    <mergeCell ref="G19:AB19"/>
    <mergeCell ref="G20:AB20"/>
    <mergeCell ref="G587:I587"/>
    <mergeCell ref="AA502:AA503"/>
    <mergeCell ref="AA527:AA528"/>
    <mergeCell ref="U12:V12"/>
    <mergeCell ref="W12:X12"/>
    <mergeCell ref="D2:D14"/>
    <mergeCell ref="O13:P13"/>
    <mergeCell ref="G2:G6"/>
    <mergeCell ref="I2:I6"/>
    <mergeCell ref="K2:K6"/>
    <mergeCell ref="M2:M6"/>
    <mergeCell ref="O2:O6"/>
    <mergeCell ref="G13:H13"/>
    <mergeCell ref="H2:H6"/>
    <mergeCell ref="J2:J6"/>
    <mergeCell ref="G12:H12"/>
    <mergeCell ref="I12:J12"/>
    <mergeCell ref="I13:J13"/>
    <mergeCell ref="K12:L12"/>
    <mergeCell ref="M12:N12"/>
    <mergeCell ref="O12:P12"/>
    <mergeCell ref="L2:L6"/>
    <mergeCell ref="N2:N6"/>
    <mergeCell ref="P2:P6"/>
    <mergeCell ref="K13:L13"/>
    <mergeCell ref="M13:N13"/>
    <mergeCell ref="E17:E22"/>
    <mergeCell ref="G602:I602"/>
    <mergeCell ref="G603:I603"/>
    <mergeCell ref="G604:I604"/>
    <mergeCell ref="G605:I605"/>
    <mergeCell ref="G597:I597"/>
    <mergeCell ref="G598:I598"/>
    <mergeCell ref="G599:I599"/>
    <mergeCell ref="G600:I600"/>
    <mergeCell ref="G601:I601"/>
    <mergeCell ref="G592:I592"/>
    <mergeCell ref="G593:I593"/>
    <mergeCell ref="G594:I594"/>
    <mergeCell ref="G595:I595"/>
    <mergeCell ref="G596:I596"/>
    <mergeCell ref="G586:I586"/>
    <mergeCell ref="G588:I588"/>
    <mergeCell ref="G589:I589"/>
    <mergeCell ref="G591:I591"/>
    <mergeCell ref="G581:I581"/>
    <mergeCell ref="G582:I582"/>
    <mergeCell ref="G583:I583"/>
    <mergeCell ref="G619:I619"/>
    <mergeCell ref="G620:I620"/>
    <mergeCell ref="G631:I631"/>
    <mergeCell ref="G632:I632"/>
    <mergeCell ref="G615:I615"/>
    <mergeCell ref="G606:I606"/>
    <mergeCell ref="G607:I607"/>
    <mergeCell ref="G608:I608"/>
    <mergeCell ref="G609:I609"/>
    <mergeCell ref="G610:I610"/>
    <mergeCell ref="G621:I621"/>
    <mergeCell ref="G622:I622"/>
    <mergeCell ref="G623:I623"/>
    <mergeCell ref="G611:I611"/>
    <mergeCell ref="G612:I612"/>
    <mergeCell ref="G613:I613"/>
    <mergeCell ref="G614:I614"/>
    <mergeCell ref="G617:I617"/>
    <mergeCell ref="G618:I618"/>
    <mergeCell ref="AB21:AB22"/>
    <mergeCell ref="G647:I647"/>
    <mergeCell ref="G642:I642"/>
    <mergeCell ref="G643:I643"/>
    <mergeCell ref="G645:I645"/>
    <mergeCell ref="G636:I636"/>
    <mergeCell ref="G637:I637"/>
    <mergeCell ref="G638:I638"/>
    <mergeCell ref="G639:I639"/>
    <mergeCell ref="G640:I640"/>
    <mergeCell ref="G633:I633"/>
    <mergeCell ref="G634:I634"/>
    <mergeCell ref="G635:I635"/>
    <mergeCell ref="G626:I626"/>
    <mergeCell ref="G627:I627"/>
    <mergeCell ref="G628:I628"/>
    <mergeCell ref="G629:I629"/>
    <mergeCell ref="G630:I630"/>
    <mergeCell ref="G646:I646"/>
    <mergeCell ref="G624:I624"/>
    <mergeCell ref="G625:I625"/>
    <mergeCell ref="G616:I616"/>
    <mergeCell ref="G584:I584"/>
    <mergeCell ref="G585:I585"/>
  </mergeCells>
  <conditionalFormatting sqref="Z503">
    <cfRule type="expression" dxfId="1576" priority="190">
      <formula>$J503="N"</formula>
    </cfRule>
  </conditionalFormatting>
  <conditionalFormatting sqref="Z503">
    <cfRule type="expression" dxfId="1575" priority="189">
      <formula>$I503="N"</formula>
    </cfRule>
  </conditionalFormatting>
  <conditionalFormatting sqref="Z503">
    <cfRule type="expression" dxfId="1574" priority="188">
      <formula>$H503="N"</formula>
    </cfRule>
  </conditionalFormatting>
  <conditionalFormatting sqref="Z503">
    <cfRule type="expression" dxfId="1573" priority="191">
      <formula>$H$474="N"</formula>
    </cfRule>
  </conditionalFormatting>
  <conditionalFormatting sqref="G19:G20">
    <cfRule type="containsText" dxfId="1572" priority="181" operator="containsText" text="Insert">
      <formula>NOT(ISERROR(SEARCH("Insert",G19)))</formula>
    </cfRule>
    <cfRule type="expression" dxfId="1571" priority="182">
      <formula>$AL19="&lt;--Complete Peach Cells at the top of TAB 00a"</formula>
    </cfRule>
  </conditionalFormatting>
  <conditionalFormatting sqref="G21:X22">
    <cfRule type="expression" dxfId="1570" priority="180">
      <formula>G$14="No"</formula>
    </cfRule>
  </conditionalFormatting>
  <conditionalFormatting sqref="AL19">
    <cfRule type="containsText" dxfId="1569" priority="179" operator="containsText" text="Complete">
      <formula>NOT(ISERROR(SEARCH("Complete",AL19)))</formula>
    </cfRule>
  </conditionalFormatting>
  <conditionalFormatting sqref="G169:X172">
    <cfRule type="expression" dxfId="1568" priority="140">
      <formula>G$14="No"</formula>
    </cfRule>
    <cfRule type="cellIs" dxfId="1567" priority="173" operator="equal">
      <formula>"Y"</formula>
    </cfRule>
  </conditionalFormatting>
  <conditionalFormatting sqref="AD22">
    <cfRule type="expression" dxfId="1566" priority="172">
      <formula>AD$14="No"</formula>
    </cfRule>
  </conditionalFormatting>
  <conditionalFormatting sqref="AE22">
    <cfRule type="expression" dxfId="1565" priority="171">
      <formula>AE$14="No"</formula>
    </cfRule>
  </conditionalFormatting>
  <conditionalFormatting sqref="AF22">
    <cfRule type="expression" dxfId="1564" priority="170">
      <formula>AF$14="No"</formula>
    </cfRule>
  </conditionalFormatting>
  <conditionalFormatting sqref="AG22">
    <cfRule type="expression" dxfId="1563" priority="169">
      <formula>AG$14="No"</formula>
    </cfRule>
  </conditionalFormatting>
  <conditionalFormatting sqref="AH22">
    <cfRule type="expression" dxfId="1562" priority="168">
      <formula>AH$14="No"</formula>
    </cfRule>
  </conditionalFormatting>
  <conditionalFormatting sqref="AK22">
    <cfRule type="expression" dxfId="1561" priority="167">
      <formula>AK$14="No"</formula>
    </cfRule>
  </conditionalFormatting>
  <conditionalFormatting sqref="AI22">
    <cfRule type="expression" dxfId="1560" priority="166">
      <formula>AI$14="No"</formula>
    </cfRule>
  </conditionalFormatting>
  <conditionalFormatting sqref="AL20">
    <cfRule type="containsText" dxfId="1559" priority="165" operator="containsText" text="Complete">
      <formula>NOT(ISERROR(SEARCH("Complete",AL20)))</formula>
    </cfRule>
  </conditionalFormatting>
  <conditionalFormatting sqref="I17">
    <cfRule type="expression" dxfId="1558" priority="157">
      <formula>$G$14="CONCEPTUALIZATION IS NOT IN PROJECT"</formula>
    </cfRule>
  </conditionalFormatting>
  <conditionalFormatting sqref="Z17">
    <cfRule type="expression" dxfId="1557" priority="156">
      <formula>$G$14="CONCEPTUALIZATION IS NOT IN PROJECT"</formula>
    </cfRule>
  </conditionalFormatting>
  <conditionalFormatting sqref="P17">
    <cfRule type="expression" dxfId="1556" priority="155">
      <formula>$G$14="CONCEPTUALIZATION IS NOT IN PROJECT"</formula>
    </cfRule>
  </conditionalFormatting>
  <conditionalFormatting sqref="I17">
    <cfRule type="expression" dxfId="1555" priority="26814">
      <formula>$O17="Y"</formula>
    </cfRule>
    <cfRule type="expression" dxfId="1554" priority="26815">
      <formula>$I17="Y"</formula>
    </cfRule>
    <cfRule type="expression" dxfId="1553" priority="26816">
      <formula>$S17="Y"</formula>
    </cfRule>
  </conditionalFormatting>
  <conditionalFormatting sqref="P17:T17">
    <cfRule type="containsText" dxfId="1552" priority="154" operator="containsText" text="entity">
      <formula>NOT(ISERROR(SEARCH("entity",P17)))</formula>
    </cfRule>
  </conditionalFormatting>
  <conditionalFormatting sqref="G528:W540">
    <cfRule type="expression" dxfId="1551" priority="184">
      <formula>AND(G529="Y",G$527="N")</formula>
    </cfRule>
  </conditionalFormatting>
  <conditionalFormatting sqref="G504:W514">
    <cfRule type="expression" dxfId="1550" priority="183">
      <formula>AND(G$502="N",G504="Y")</formula>
    </cfRule>
  </conditionalFormatting>
  <conditionalFormatting sqref="G496:Z500">
    <cfRule type="expression" dxfId="1549" priority="149">
      <formula>AND(G$495="N",G496="Y")</formula>
    </cfRule>
  </conditionalFormatting>
  <conditionalFormatting sqref="G488:Z493">
    <cfRule type="expression" dxfId="1548" priority="148">
      <formula>AND(G$487="N",G488="Y")</formula>
    </cfRule>
  </conditionalFormatting>
  <conditionalFormatting sqref="G473:Z478">
    <cfRule type="expression" dxfId="1547" priority="147">
      <formula>AND(G$472="N",G473="Y")</formula>
    </cfRule>
  </conditionalFormatting>
  <conditionalFormatting sqref="G444:Z454">
    <cfRule type="expression" dxfId="1546" priority="150">
      <formula>AND(G$443="N",G444="Y")</formula>
    </cfRule>
  </conditionalFormatting>
  <conditionalFormatting sqref="G386:Z441">
    <cfRule type="expression" dxfId="1545" priority="66">
      <formula>AND(G$385="N",G386="Y")</formula>
    </cfRule>
  </conditionalFormatting>
  <conditionalFormatting sqref="G207:Z380">
    <cfRule type="expression" dxfId="1544" priority="126">
      <formula>AND(G$206="N",G207="Y")</formula>
    </cfRule>
  </conditionalFormatting>
  <conditionalFormatting sqref="G181:Z205">
    <cfRule type="expression" dxfId="1543" priority="143">
      <formula>AND(G$180="N",G181="Y")</formula>
    </cfRule>
  </conditionalFormatting>
  <conditionalFormatting sqref="G175:Z178">
    <cfRule type="expression" dxfId="1542" priority="142">
      <formula>AND(G$174="N",G175="Y")</formula>
    </cfRule>
  </conditionalFormatting>
  <conditionalFormatting sqref="G169:Z172">
    <cfRule type="expression" dxfId="1541" priority="174">
      <formula>AND(G$168="N",G169="Y")</formula>
    </cfRule>
  </conditionalFormatting>
  <conditionalFormatting sqref="G127:Z160">
    <cfRule type="expression" dxfId="1540" priority="141">
      <formula>AND(G$126="N",G127="Y")</formula>
    </cfRule>
  </conditionalFormatting>
  <conditionalFormatting sqref="G40:W124">
    <cfRule type="expression" dxfId="1539" priority="138">
      <formula>AND(G$39="N",G40="Y")</formula>
    </cfRule>
  </conditionalFormatting>
  <conditionalFormatting sqref="G57:W124">
    <cfRule type="expression" dxfId="1538" priority="139">
      <formula>AND(G$56="N",G57="Y")</formula>
    </cfRule>
  </conditionalFormatting>
  <conditionalFormatting sqref="G219:W230">
    <cfRule type="expression" dxfId="1537" priority="144">
      <formula>AND(G$218="N",G219="Y")</formula>
    </cfRule>
  </conditionalFormatting>
  <conditionalFormatting sqref="G271:W278">
    <cfRule type="expression" dxfId="1536" priority="136">
      <formula>AND(G$270="N",G271="Y")</formula>
    </cfRule>
  </conditionalFormatting>
  <conditionalFormatting sqref="G280:W288">
    <cfRule type="expression" dxfId="1535" priority="135">
      <formula>AND(G$279="N",G280="Y")</formula>
    </cfRule>
  </conditionalFormatting>
  <conditionalFormatting sqref="G290:W298">
    <cfRule type="expression" dxfId="1534" priority="134">
      <formula>AND(G$289="N",G290="Y")</formula>
    </cfRule>
  </conditionalFormatting>
  <conditionalFormatting sqref="G300:W308">
    <cfRule type="expression" dxfId="1533" priority="133">
      <formula>AND(G$299="N",G300="Y")</formula>
    </cfRule>
  </conditionalFormatting>
  <conditionalFormatting sqref="G317:W331">
    <cfRule type="expression" dxfId="1532" priority="132">
      <formula>AND(G$316="N",G317="Y")</formula>
    </cfRule>
  </conditionalFormatting>
  <conditionalFormatting sqref="G333:W339">
    <cfRule type="expression" dxfId="1531" priority="131">
      <formula>AND(G$332="N",G333="Y")</formula>
    </cfRule>
  </conditionalFormatting>
  <conditionalFormatting sqref="G359:W366">
    <cfRule type="expression" dxfId="1530" priority="130">
      <formula>AND($G$358="N",$G$359="Y")</formula>
    </cfRule>
  </conditionalFormatting>
  <conditionalFormatting sqref="G368:W380">
    <cfRule type="expression" dxfId="1529" priority="129">
      <formula>AND(G$367="N",G368="Y")</formula>
    </cfRule>
  </conditionalFormatting>
  <conditionalFormatting sqref="G404:W420">
    <cfRule type="expression" dxfId="1528" priority="145">
      <formula>AND(G$403="N",G404="Y")</formula>
    </cfRule>
  </conditionalFormatting>
  <conditionalFormatting sqref="G423:W441">
    <cfRule type="expression" dxfId="1527" priority="125">
      <formula>AND(G$422="N",G423="Y")</formula>
    </cfRule>
  </conditionalFormatting>
  <conditionalFormatting sqref="G481:W483">
    <cfRule type="expression" dxfId="1526" priority="121">
      <formula>AND(G$480="N",G481="Y")</formula>
    </cfRule>
  </conditionalFormatting>
  <conditionalFormatting sqref="G139:G141 I139:I141 K139:K141 M139:M141 O139:O141 Q139:Q141 S139:S141 U139:U142 W139:W141">
    <cfRule type="expression" dxfId="1525" priority="120">
      <formula>AND(H139="Y",G139="N")</formula>
    </cfRule>
  </conditionalFormatting>
  <conditionalFormatting sqref="G139:G141 I139:I141 K139:K141 M139:M141 O139:O141 Q139:Q141 S139:S141 U139:U141 W139:W141">
    <cfRule type="expression" dxfId="1524" priority="119">
      <formula>AND(H139="N",G139="Y")</formula>
    </cfRule>
  </conditionalFormatting>
  <conditionalFormatting sqref="G382:W382">
    <cfRule type="expression" dxfId="1523" priority="68">
      <formula>AND(G$382="N",H$382="Y")</formula>
    </cfRule>
  </conditionalFormatting>
  <conditionalFormatting sqref="G27:R27 G37:R37 U39:V39 G39:R39 G126:R126 U126:V126 K168:R168 U168:V168 K174:R174 U174:V174 K180:V180 I206:V206 G385:J385 Q459:R459 Q461:R461 Q463:R463 Q468:R468 S472:T472 S485:T485 S487:T487 S495:T495 S502:T502 S521:T521 U523:V523 U519:V519 U527:V527 U546:V546 U551:V551 U553:V553 G25:W25 W557 W559 G32:R35">
    <cfRule type="expression" dxfId="1522" priority="46">
      <formula>AND(G25="N",H25="Y")</formula>
    </cfRule>
  </conditionalFormatting>
  <conditionalFormatting sqref="G341:W349">
    <cfRule type="expression" dxfId="1521" priority="31481">
      <formula>AND(G$340="N",G341="Y")</formula>
    </cfRule>
  </conditionalFormatting>
  <conditionalFormatting sqref="G351:W357">
    <cfRule type="expression" dxfId="1520" priority="31482">
      <formula>AND(G$350="N",G351="Y")</formula>
    </cfRule>
  </conditionalFormatting>
  <conditionalFormatting sqref="G25:AA564">
    <cfRule type="expression" dxfId="1519" priority="35">
      <formula>$E25="N"</formula>
    </cfRule>
  </conditionalFormatting>
  <conditionalFormatting sqref="I403:J420 I425:J441">
    <cfRule type="expression" dxfId="1518" priority="124">
      <formula>$I403&lt;&gt;$J403</formula>
    </cfRule>
  </conditionalFormatting>
  <conditionalFormatting sqref="G139:W141">
    <cfRule type="expression" dxfId="1517" priority="47">
      <formula>G139&lt;&gt;H139</formula>
    </cfRule>
  </conditionalFormatting>
  <conditionalFormatting sqref="G25:X564">
    <cfRule type="cellIs" dxfId="1516" priority="44" operator="equal">
      <formula>"?"</formula>
    </cfRule>
  </conditionalFormatting>
  <conditionalFormatting sqref="X25 X557 X559">
    <cfRule type="expression" dxfId="1515" priority="34550">
      <formula>AND(X25="N",AA25="Y")</formula>
    </cfRule>
  </conditionalFormatting>
  <conditionalFormatting sqref="X139:X141">
    <cfRule type="expression" dxfId="1514" priority="34558">
      <formula>X139&lt;&gt;AA139</formula>
    </cfRule>
  </conditionalFormatting>
  <conditionalFormatting sqref="X382">
    <cfRule type="expression" dxfId="1513" priority="34561">
      <formula>AND(X$382="N",AA$382="Y")</formula>
    </cfRule>
  </conditionalFormatting>
  <conditionalFormatting sqref="G541:W541">
    <cfRule type="expression" dxfId="1512" priority="34563">
      <formula>AND(G545="Y",G$527="N")</formula>
    </cfRule>
  </conditionalFormatting>
  <conditionalFormatting sqref="G232:W233">
    <cfRule type="expression" dxfId="1511" priority="36138">
      <formula>AND(G$255="N",G256="Y")</formula>
    </cfRule>
  </conditionalFormatting>
  <conditionalFormatting sqref="G237:W237">
    <cfRule type="expression" dxfId="1510" priority="36155">
      <formula>AND(G$255="N",G265="Y")</formula>
    </cfRule>
  </conditionalFormatting>
  <conditionalFormatting sqref="G443:G454 I443:I454 K443:K454 M443:M454 O443:O454 Q443:Q454 S443:S454 U443:U454 W443:W454">
    <cfRule type="expression" dxfId="1509" priority="65">
      <formula>G443&lt;&gt;H443</formula>
    </cfRule>
  </conditionalFormatting>
  <conditionalFormatting sqref="Y21:AA564">
    <cfRule type="expression" dxfId="1508" priority="2">
      <formula>$Z$14&lt;&gt;"Design &amp; Construction"</formula>
    </cfRule>
  </conditionalFormatting>
  <conditionalFormatting sqref="Y423:Z424">
    <cfRule type="expression" dxfId="1507" priority="43">
      <formula>$E$422="N"</formula>
    </cfRule>
  </conditionalFormatting>
  <conditionalFormatting sqref="G255:W269">
    <cfRule type="expression" dxfId="1506" priority="41078">
      <formula>AND(G$255="N",G280="Y")</formula>
    </cfRule>
  </conditionalFormatting>
  <conditionalFormatting sqref="AJ22">
    <cfRule type="expression" dxfId="1505" priority="15">
      <formula>AJ$14="No"</formula>
    </cfRule>
  </conditionalFormatting>
  <conditionalFormatting sqref="S521 U527:U541 U546:U547 U551 U553 W557 W559 S505:S507 S489 S477:S478 S473:S475 Q459">
    <cfRule type="cellIs" dxfId="1504" priority="14" operator="notEqual">
      <formula>R459</formula>
    </cfRule>
  </conditionalFormatting>
  <conditionalFormatting sqref="G23:X564">
    <cfRule type="expression" dxfId="1503" priority="1">
      <formula>G$14="No"</formula>
    </cfRule>
    <cfRule type="cellIs" dxfId="1502" priority="25" operator="equal">
      <formula>"Y"</formula>
    </cfRule>
  </conditionalFormatting>
  <conditionalFormatting sqref="AA25:AA564">
    <cfRule type="cellIs" dxfId="1501" priority="67" operator="equal">
      <formula>"?"</formula>
    </cfRule>
    <cfRule type="cellIs" dxfId="1500" priority="69" operator="equal">
      <formula>"Y"</formula>
    </cfRule>
  </conditionalFormatting>
  <conditionalFormatting sqref="G33:W35">
    <cfRule type="expression" dxfId="1499" priority="70">
      <formula>AND(G$32="N",G33="Y")</formula>
    </cfRule>
  </conditionalFormatting>
  <conditionalFormatting sqref="G28:W30">
    <cfRule type="expression" dxfId="1498" priority="45">
      <formula>AND(G$27="N",G28="Y")</formula>
    </cfRule>
  </conditionalFormatting>
  <dataValidations count="4">
    <dataValidation type="list" allowBlank="1" showInputMessage="1" showErrorMessage="1" sqref="AA425:AA502 AA504:AA527 AA529:AA564 O25:O564 M25:M564 B25:B564 K25:K564 I25:I564 G25:G564 W25:W564 U25:U564 S25:S564 Q25:Q564 AA25:AA422">
      <formula1>$Z$9:$Z$12</formula1>
    </dataValidation>
    <dataValidation type="list" allowBlank="1" showInputMessage="1" showErrorMessage="1" sqref="P17:T17">
      <formula1>$Z$3:$Z$6</formula1>
    </dataValidation>
    <dataValidation allowBlank="1" showInputMessage="1" showErrorMessage="1" promptTitle="NOT AN INPUT." prompt="_x000a_Cell is an echo only!" sqref="C23:E565"/>
    <dataValidation allowBlank="1" showInputMessage="1" showErrorMessage="1" promptTitle="Optional column" prompt="Lead consultant can record/assign responsibility of certain items." sqref="AB21:AB22"/>
  </dataValidations>
  <hyperlinks>
    <hyperlink ref="Z528" r:id="rId1"/>
    <hyperlink ref="Z503" r:id="rId2" display="http://www.fs.illinois.edu/docs/default-source/facility-standards/technical-sections/division-01---administrative/01-33-23---shop-drawings-product-data-and-samples.docx?sfvrsn=2"/>
  </hyperlinks>
  <printOptions horizontalCentered="1"/>
  <pageMargins left="0.45" right="0.45" top="0.4" bottom="0.65" header="0.3" footer="0.3"/>
  <pageSetup scale="60" fitToHeight="13" orientation="portrait" r:id="rId3"/>
  <headerFooter>
    <oddFooter>&amp;C&amp;"Ebrima,Regular"&amp;8&amp;P of &amp;N&amp;R&amp;G</oddFooter>
  </headerFooter>
  <rowBreaks count="9" manualBreakCount="9">
    <brk id="94" min="6" max="27" man="1"/>
    <brk id="155" min="6" max="27" man="1"/>
    <brk id="217" min="6" max="27" man="1"/>
    <brk id="278" min="6" max="27" man="1"/>
    <brk id="349" min="6" max="27" man="1"/>
    <brk id="402" min="6" max="27" man="1"/>
    <brk id="455" min="6" max="27" man="1"/>
    <brk id="501" min="6" max="27" man="1"/>
    <brk id="554" min="6" max="27" man="1"/>
  </rowBreaks>
  <drawing r:id="rId4"/>
  <legacyDrawing r:id="rId5"/>
  <legacyDrawingHF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XEN210"/>
  <sheetViews>
    <sheetView showGridLines="0" zoomScaleNormal="100" zoomScaleSheetLayoutView="100" workbookViewId="0">
      <pane ySplit="4" topLeftCell="A5" activePane="bottomLeft" state="frozen"/>
      <selection pane="bottomLeft" activeCell="F13" sqref="F13:I13"/>
    </sheetView>
  </sheetViews>
  <sheetFormatPr defaultRowHeight="15" x14ac:dyDescent="0.25"/>
  <cols>
    <col min="1" max="1" width="3.140625" style="542" customWidth="1"/>
    <col min="2" max="2" width="4.85546875" style="542" hidden="1" customWidth="1"/>
    <col min="3" max="3" width="1" hidden="1" customWidth="1"/>
    <col min="4" max="4" width="0.7109375" customWidth="1"/>
    <col min="5" max="5" width="8.7109375" customWidth="1"/>
    <col min="6" max="6" width="44.28515625" customWidth="1"/>
    <col min="7" max="7" width="25.5703125" style="542" customWidth="1"/>
    <col min="8" max="8" width="11" customWidth="1"/>
    <col min="9" max="9" width="45.28515625" customWidth="1"/>
    <col min="10" max="10" width="7.5703125" customWidth="1"/>
    <col min="11" max="11" width="0.5703125" customWidth="1"/>
    <col min="12" max="12" width="5.7109375" hidden="1" customWidth="1"/>
    <col min="13" max="13" width="7.140625" hidden="1" customWidth="1"/>
    <col min="14" max="17" width="5.7109375" hidden="1" customWidth="1"/>
    <col min="18" max="18" width="7.42578125" hidden="1" customWidth="1"/>
    <col min="19" max="21" width="5.7109375" hidden="1" customWidth="1"/>
    <col min="22" max="22" width="9.140625" hidden="1" customWidth="1"/>
    <col min="23" max="36" width="9.140625" customWidth="1"/>
    <col min="37" max="37" width="8" hidden="1" customWidth="1"/>
    <col min="38" max="38" width="0.5703125" customWidth="1"/>
    <col min="39" max="39" width="6.28515625" customWidth="1"/>
    <col min="43" max="43" width="7.5703125" customWidth="1"/>
    <col min="44" max="44" width="1.140625" customWidth="1"/>
    <col min="45" max="45" width="2.7109375" customWidth="1"/>
    <col min="46" max="46" width="56.7109375" customWidth="1"/>
    <col min="47" max="47" width="62.5703125" customWidth="1"/>
    <col min="48" max="48" width="9.140625" style="246"/>
    <col min="49" max="49" width="25.85546875" customWidth="1"/>
    <col min="58" max="58" width="162.42578125" customWidth="1"/>
  </cols>
  <sheetData>
    <row r="1" spans="1:58" ht="27.75" customHeight="1" x14ac:dyDescent="0.3">
      <c r="A1" s="1114"/>
      <c r="B1" s="2191" t="s">
        <v>905</v>
      </c>
      <c r="C1" s="1114"/>
      <c r="D1" s="90"/>
      <c r="E1" s="1581" t="s">
        <v>1040</v>
      </c>
      <c r="F1" s="1582"/>
      <c r="G1" s="1583"/>
      <c r="H1" s="1185"/>
      <c r="I1" s="1185"/>
      <c r="J1" s="1185"/>
      <c r="L1" s="1642"/>
      <c r="M1" s="1642"/>
      <c r="N1" s="1642"/>
      <c r="O1" s="1642"/>
      <c r="P1" s="1642"/>
      <c r="Q1" s="1642"/>
      <c r="R1" s="1642"/>
      <c r="S1" s="1642"/>
      <c r="T1" s="1642"/>
      <c r="U1" s="1642"/>
      <c r="V1" s="1642"/>
      <c r="W1" s="2232" t="s">
        <v>125</v>
      </c>
      <c r="X1" s="2233"/>
      <c r="Y1" s="2233"/>
      <c r="Z1" s="2233"/>
      <c r="AA1" s="2233"/>
      <c r="AB1" s="1114"/>
      <c r="AC1" s="1114"/>
      <c r="AD1" s="1114"/>
      <c r="AE1" s="1114"/>
      <c r="AF1" s="1114"/>
      <c r="AG1" s="1114"/>
      <c r="AH1" s="1114"/>
      <c r="AI1" s="1114"/>
      <c r="AJ1" s="1114"/>
      <c r="AK1" s="1114"/>
      <c r="AL1" s="1114"/>
      <c r="AM1" s="1114"/>
      <c r="AN1" s="1114"/>
      <c r="AO1" s="1114"/>
      <c r="AP1" s="1114"/>
      <c r="AQ1" s="1114"/>
      <c r="AR1" s="1114"/>
      <c r="AS1" s="1114"/>
      <c r="AT1" s="1114"/>
      <c r="AU1" s="1114"/>
      <c r="AV1" s="1109"/>
      <c r="AW1" s="1114"/>
      <c r="AX1" s="1114"/>
      <c r="AY1" s="1114"/>
      <c r="AZ1" s="1114"/>
      <c r="BA1" s="1114"/>
      <c r="BB1" s="1114"/>
      <c r="BC1" s="1114"/>
      <c r="BD1" s="1114"/>
      <c r="BE1" s="1114"/>
      <c r="BF1" s="1114"/>
    </row>
    <row r="2" spans="1:58" ht="4.5" customHeight="1" x14ac:dyDescent="0.25">
      <c r="A2" s="1114"/>
      <c r="B2" s="2191"/>
      <c r="C2" s="1114"/>
      <c r="D2" s="100"/>
      <c r="E2" s="101"/>
      <c r="F2" s="18"/>
      <c r="G2" s="18"/>
      <c r="H2" s="101"/>
      <c r="I2" s="101"/>
      <c r="J2" s="101"/>
      <c r="K2" s="102"/>
      <c r="L2" s="1643"/>
      <c r="M2" s="1643"/>
      <c r="N2" s="1643"/>
      <c r="O2" s="1643"/>
      <c r="P2" s="1643"/>
      <c r="Q2" s="1643"/>
      <c r="R2" s="1643"/>
      <c r="S2" s="1643"/>
      <c r="T2" s="1643"/>
      <c r="U2" s="1643"/>
      <c r="V2" s="1642"/>
      <c r="W2" s="1597"/>
      <c r="X2" s="1597"/>
      <c r="Y2" s="1597"/>
      <c r="Z2" s="1597"/>
      <c r="AA2" s="1597"/>
      <c r="AB2" s="1114"/>
      <c r="AC2" s="1114"/>
      <c r="AD2" s="1114"/>
      <c r="AE2" s="1114"/>
      <c r="AF2" s="1114"/>
      <c r="AG2" s="1114"/>
      <c r="AH2" s="1114"/>
      <c r="AI2" s="1114"/>
      <c r="AJ2" s="1114"/>
      <c r="AK2" s="1114"/>
      <c r="AL2" s="1114"/>
      <c r="AM2" s="1114"/>
      <c r="AN2" s="1114"/>
      <c r="AO2" s="1114"/>
      <c r="AP2" s="1114"/>
      <c r="AQ2" s="1114"/>
      <c r="AR2" s="1114"/>
      <c r="AS2" s="1114"/>
      <c r="AT2" s="1114"/>
      <c r="AU2" s="1114"/>
      <c r="AV2" s="1109"/>
      <c r="AW2" s="1114"/>
      <c r="AX2" s="1114"/>
      <c r="AY2" s="1114"/>
      <c r="AZ2" s="1114"/>
      <c r="BA2" s="1114"/>
      <c r="BB2" s="1114"/>
      <c r="BC2" s="1114"/>
      <c r="BD2" s="1114"/>
      <c r="BE2" s="1114"/>
      <c r="BF2" s="1114"/>
    </row>
    <row r="3" spans="1:58" ht="18" customHeight="1" x14ac:dyDescent="0.35">
      <c r="A3" s="1114"/>
      <c r="B3" s="2191"/>
      <c r="C3" s="1114"/>
      <c r="D3" s="103"/>
      <c r="E3" s="2235" t="s">
        <v>311</v>
      </c>
      <c r="F3" s="2235"/>
      <c r="G3" s="2235"/>
      <c r="H3" s="2235"/>
      <c r="I3" s="2235"/>
      <c r="J3" s="2235"/>
      <c r="K3" s="104"/>
      <c r="L3" s="1644"/>
      <c r="M3" s="1644"/>
      <c r="N3" s="1644"/>
      <c r="O3" s="1644"/>
      <c r="P3" s="1644"/>
      <c r="Q3" s="1644"/>
      <c r="R3" s="1644"/>
      <c r="S3" s="1644"/>
      <c r="T3" s="1644"/>
      <c r="U3" s="1644"/>
      <c r="V3" s="1642"/>
      <c r="W3" s="1114"/>
      <c r="X3" s="1114"/>
      <c r="Y3" s="1114"/>
      <c r="Z3" s="1114"/>
      <c r="AA3" s="1114"/>
      <c r="AB3" s="1114"/>
      <c r="AC3" s="1114"/>
      <c r="AD3" s="1114"/>
      <c r="AE3" s="1114"/>
      <c r="AF3" s="1114"/>
      <c r="AG3" s="1114"/>
      <c r="AH3" s="1114"/>
      <c r="AI3" s="1114"/>
      <c r="AJ3" s="1114"/>
      <c r="AK3" s="1114"/>
      <c r="AL3" s="1114"/>
      <c r="AM3" s="1114"/>
      <c r="AN3" s="1114"/>
      <c r="AO3" s="1114"/>
      <c r="AP3" s="1114"/>
      <c r="AQ3" s="1114"/>
      <c r="AR3" s="1114"/>
      <c r="AS3" s="1114"/>
      <c r="AT3" s="1114"/>
      <c r="AU3" s="1114"/>
      <c r="AV3" s="1109"/>
      <c r="AW3" s="617" t="s">
        <v>1156</v>
      </c>
      <c r="AX3" s="1114"/>
      <c r="AY3" s="1114"/>
      <c r="AZ3" s="1114"/>
      <c r="BA3" s="1114"/>
      <c r="BB3" s="1114"/>
      <c r="BC3" s="1114"/>
      <c r="BD3" s="1114"/>
      <c r="BE3" s="1114"/>
      <c r="BF3" s="1114"/>
    </row>
    <row r="4" spans="1:58" ht="18" customHeight="1" thickBot="1" x14ac:dyDescent="0.4">
      <c r="A4" s="1114"/>
      <c r="B4" s="2192"/>
      <c r="C4" s="1114"/>
      <c r="D4" s="103"/>
      <c r="E4" s="2238" t="str">
        <f>CONCATENATE(Project_No," - ",Project_Name)</f>
        <v>U12345 - Davenport Hall Addition &amp; Remodel - Example</v>
      </c>
      <c r="F4" s="2238"/>
      <c r="G4" s="2238"/>
      <c r="H4" s="2238"/>
      <c r="I4" s="2238"/>
      <c r="J4" s="2238"/>
      <c r="K4" s="104"/>
      <c r="L4" s="1644"/>
      <c r="M4" s="1644"/>
      <c r="N4" s="1644"/>
      <c r="O4" s="1644"/>
      <c r="P4" s="1644"/>
      <c r="Q4" s="1644"/>
      <c r="R4" s="1644"/>
      <c r="S4" s="1644"/>
      <c r="T4" s="1644"/>
      <c r="U4" s="1644"/>
      <c r="V4" s="1642"/>
      <c r="W4" s="1378" t="str">
        <f ca="1">CONCATENATE(IF(OR(ISNUMBER(SEARCH("INSERT",E4))=TRUE,ISNUMBER(SEARCH("Name",E4))=TRUE,ISNUMBER(SEARCH("U#####",O4))=TRUE),"&lt;----PM / Planner should fill in information in tab [","&lt;----ECHOED from Tab ["),MID(CELL("filename",'A-Info, Phases, Recip.'!C4),FIND("]",CELL("filename",'A-Info, Phases, Recip.'!C4))+1,255),"]")</f>
        <v>&lt;----ECHOED from Tab [A-Info, Phases, Recip.]</v>
      </c>
      <c r="X4" s="1114"/>
      <c r="Y4" s="1114"/>
      <c r="Z4" s="1114"/>
      <c r="AA4" s="1114"/>
      <c r="AB4" s="1114"/>
      <c r="AC4" s="1114"/>
      <c r="AD4" s="1114"/>
      <c r="AE4" s="1114"/>
      <c r="AF4" s="1114"/>
      <c r="AG4" s="1114"/>
      <c r="AH4" s="1114"/>
      <c r="AI4" s="1114"/>
      <c r="AJ4" s="1114"/>
      <c r="AK4" s="1114"/>
      <c r="AL4" s="1114"/>
      <c r="AM4" s="1114"/>
      <c r="AN4" s="1114"/>
      <c r="AO4" s="1114"/>
      <c r="AP4" s="1114"/>
      <c r="AQ4" s="1114"/>
      <c r="AR4" s="1114"/>
      <c r="AS4" s="1114"/>
      <c r="AT4" s="1114"/>
      <c r="AU4" s="1114"/>
      <c r="AV4" s="1109"/>
      <c r="AW4" s="1114"/>
      <c r="AX4" s="1114"/>
      <c r="AY4" s="1114"/>
      <c r="AZ4" s="1114"/>
      <c r="BA4" s="1114"/>
      <c r="BB4" s="1114"/>
      <c r="BC4" s="1114"/>
      <c r="BD4" s="1114"/>
      <c r="BE4" s="1114"/>
      <c r="BF4" s="1114"/>
    </row>
    <row r="5" spans="1:58" ht="13.5" customHeight="1" thickTop="1" thickBot="1" x14ac:dyDescent="0.3">
      <c r="A5" s="1114"/>
      <c r="B5" s="1114"/>
      <c r="C5" s="1114"/>
      <c r="D5" s="103"/>
      <c r="E5" s="2237" t="str">
        <f>CONCATENATE("Master Template last updated on: ",TEXT(Form_Update,"MM/DD/YYYY"))</f>
        <v>Master Template last updated on: 08/31/2020</v>
      </c>
      <c r="F5" s="2237"/>
      <c r="G5" s="2237"/>
      <c r="H5" s="2237"/>
      <c r="I5" s="2237"/>
      <c r="J5" s="2237"/>
      <c r="K5" s="105"/>
      <c r="L5" s="1643"/>
      <c r="M5" s="1643"/>
      <c r="N5" s="1643"/>
      <c r="O5" s="1643"/>
      <c r="P5" s="1643"/>
      <c r="Q5" s="1643"/>
      <c r="R5" s="1643"/>
      <c r="S5" s="1643"/>
      <c r="T5" s="1643"/>
      <c r="U5" s="1643"/>
      <c r="V5" s="1642"/>
      <c r="W5" s="1590"/>
      <c r="X5" s="1590"/>
      <c r="Y5" s="1590"/>
      <c r="Z5" s="1590"/>
      <c r="AA5" s="1114"/>
      <c r="AB5" s="1114"/>
      <c r="AC5" s="1114"/>
      <c r="AD5" s="1114"/>
      <c r="AE5" s="1114"/>
      <c r="AF5" s="1114"/>
      <c r="AG5" s="1114"/>
      <c r="AH5" s="1114"/>
      <c r="AI5" s="1114"/>
      <c r="AJ5" s="1114"/>
      <c r="AK5" s="1114"/>
      <c r="AL5" s="1114"/>
      <c r="AM5" s="1114"/>
      <c r="AN5" s="1114"/>
      <c r="AO5" s="1114"/>
      <c r="AP5" s="1114"/>
      <c r="AQ5" s="1114"/>
      <c r="AR5" s="1114"/>
      <c r="AS5" s="1114"/>
      <c r="AT5" s="364" t="s">
        <v>270</v>
      </c>
      <c r="AU5" s="365" t="s">
        <v>271</v>
      </c>
      <c r="AV5" s="1109"/>
      <c r="AW5" s="1114"/>
      <c r="AX5" s="1114"/>
      <c r="AY5" s="1114"/>
      <c r="AZ5" s="1114"/>
      <c r="BA5" s="1114"/>
      <c r="BB5" s="1114"/>
      <c r="BC5" s="1114"/>
      <c r="BD5" s="1114"/>
      <c r="BE5" s="1114"/>
      <c r="BF5" s="1114"/>
    </row>
    <row r="6" spans="1:58" ht="9.75" customHeight="1" thickTop="1" x14ac:dyDescent="0.25">
      <c r="A6" s="1114"/>
      <c r="B6" s="1114"/>
      <c r="C6" s="1114"/>
      <c r="D6" s="103"/>
      <c r="E6" s="106"/>
      <c r="F6" s="106"/>
      <c r="G6" s="106"/>
      <c r="H6" s="106"/>
      <c r="I6" s="106"/>
      <c r="J6" s="106"/>
      <c r="K6" s="105"/>
      <c r="L6" s="1643"/>
      <c r="M6" s="1643"/>
      <c r="N6" s="1643"/>
      <c r="O6" s="1643"/>
      <c r="P6" s="1643"/>
      <c r="Q6" s="1643"/>
      <c r="R6" s="1643"/>
      <c r="S6" s="1643"/>
      <c r="T6" s="1643"/>
      <c r="U6" s="1643"/>
      <c r="V6" s="1642"/>
      <c r="W6" s="1590"/>
      <c r="X6" s="1590"/>
      <c r="Y6" s="1590"/>
      <c r="Z6" s="1590"/>
      <c r="AA6" s="1114"/>
      <c r="AB6" s="1114"/>
      <c r="AC6" s="1114"/>
      <c r="AD6" s="1114"/>
      <c r="AE6" s="1114"/>
      <c r="AF6" s="1114"/>
      <c r="AG6" s="1114"/>
      <c r="AH6" s="1114"/>
      <c r="AI6" s="1114"/>
      <c r="AJ6" s="1114"/>
      <c r="AK6" s="1114"/>
      <c r="AL6" s="1114"/>
      <c r="AM6" s="1114"/>
      <c r="AN6" s="1114"/>
      <c r="AO6" s="1114"/>
      <c r="AP6" s="1114"/>
      <c r="AQ6" s="1114"/>
      <c r="AR6" s="1114"/>
      <c r="AS6" s="1114"/>
      <c r="AT6" s="1114"/>
      <c r="AU6" s="1114"/>
      <c r="AV6" s="1109"/>
      <c r="AW6" s="1114"/>
      <c r="AX6" s="1114"/>
      <c r="AY6" s="1114"/>
      <c r="AZ6" s="1114"/>
      <c r="BA6" s="1114"/>
      <c r="BB6" s="1114"/>
      <c r="BC6" s="1114"/>
      <c r="BD6" s="1114"/>
      <c r="BE6" s="1114"/>
      <c r="BF6" s="1114"/>
    </row>
    <row r="7" spans="1:58" ht="15.75" x14ac:dyDescent="0.25">
      <c r="A7" s="1114"/>
      <c r="B7" s="1114"/>
      <c r="C7" s="1114"/>
      <c r="D7" s="103"/>
      <c r="E7" s="2199" t="s">
        <v>111</v>
      </c>
      <c r="F7" s="2199"/>
      <c r="G7" s="2199"/>
      <c r="H7" s="2199"/>
      <c r="I7" s="2199"/>
      <c r="J7" s="2199"/>
      <c r="K7" s="105"/>
      <c r="L7" s="1643"/>
      <c r="M7" s="1643"/>
      <c r="N7" s="1643"/>
      <c r="O7" s="1643"/>
      <c r="P7" s="1643"/>
      <c r="Q7" s="1643"/>
      <c r="R7" s="1643"/>
      <c r="S7" s="1643"/>
      <c r="T7" s="1643"/>
      <c r="U7" s="1643"/>
      <c r="V7" s="1642"/>
      <c r="W7" s="1114"/>
      <c r="X7" s="1114"/>
      <c r="Y7" s="1114"/>
      <c r="Z7" s="1114"/>
      <c r="AA7" s="1114"/>
      <c r="AB7" s="1114"/>
      <c r="AC7" s="1114"/>
      <c r="AD7" s="1114"/>
      <c r="AE7" s="1114"/>
      <c r="AF7" s="1114"/>
      <c r="AG7" s="1114"/>
      <c r="AH7" s="1114"/>
      <c r="AI7" s="1114"/>
      <c r="AJ7" s="1114"/>
      <c r="AK7" s="1114"/>
      <c r="AL7" s="1114"/>
      <c r="AM7" s="1114"/>
      <c r="AN7" s="1114"/>
      <c r="AO7" s="1114"/>
      <c r="AP7" s="1114"/>
      <c r="AQ7" s="1114"/>
      <c r="AR7" s="1114"/>
      <c r="AS7" s="1114"/>
      <c r="AT7" s="1114"/>
      <c r="AU7" s="1114"/>
      <c r="AV7" s="1109"/>
      <c r="AW7" s="1114"/>
      <c r="AX7" s="1114"/>
      <c r="AY7" s="1114"/>
      <c r="AZ7" s="1114"/>
      <c r="BA7" s="1114"/>
      <c r="BB7" s="1114"/>
      <c r="BC7" s="1114"/>
      <c r="BD7" s="1114"/>
      <c r="BE7" s="1114"/>
      <c r="BF7" s="1114"/>
    </row>
    <row r="8" spans="1:58" x14ac:dyDescent="0.25">
      <c r="A8" s="1114"/>
      <c r="B8" s="1114"/>
      <c r="C8" s="1114"/>
      <c r="D8" s="103"/>
      <c r="E8" s="108" t="s">
        <v>93</v>
      </c>
      <c r="F8" s="2201" t="s">
        <v>12</v>
      </c>
      <c r="G8" s="2201"/>
      <c r="H8" s="2200" t="s">
        <v>705</v>
      </c>
      <c r="I8" s="2200"/>
      <c r="J8" s="2200"/>
      <c r="K8" s="105"/>
      <c r="L8" s="1643"/>
      <c r="M8" s="1643"/>
      <c r="N8" s="1643"/>
      <c r="O8" s="1643"/>
      <c r="P8" s="1643"/>
      <c r="Q8" s="1643"/>
      <c r="R8" s="1643"/>
      <c r="S8" s="1643"/>
      <c r="T8" s="1643"/>
      <c r="U8" s="1643"/>
      <c r="V8" s="1642"/>
      <c r="W8" s="1114"/>
      <c r="X8" s="1114"/>
      <c r="Y8" s="1114"/>
      <c r="Z8" s="1114"/>
      <c r="AA8" s="1114"/>
      <c r="AB8" s="1114"/>
      <c r="AC8" s="1114"/>
      <c r="AD8" s="1114"/>
      <c r="AE8" s="1114"/>
      <c r="AF8" s="1114"/>
      <c r="AG8" s="1114"/>
      <c r="AH8" s="1114"/>
      <c r="AI8" s="1114"/>
      <c r="AJ8" s="1114"/>
      <c r="AK8" s="1114"/>
      <c r="AL8" s="1114"/>
      <c r="AM8" s="1114"/>
      <c r="AN8" s="1114"/>
      <c r="AO8" s="1114"/>
      <c r="AP8" s="1114"/>
      <c r="AQ8" s="1114"/>
      <c r="AR8" s="1114"/>
      <c r="AS8" s="1114"/>
      <c r="AT8" s="1114"/>
      <c r="AU8" s="1114"/>
      <c r="AV8" s="1109"/>
      <c r="AW8" s="1114"/>
      <c r="AX8" s="1114"/>
      <c r="AY8" s="1114"/>
      <c r="AZ8" s="1114"/>
      <c r="BA8" s="1114"/>
      <c r="BB8" s="1114"/>
      <c r="BC8" s="1114"/>
      <c r="BD8" s="1114"/>
      <c r="BE8" s="1114"/>
      <c r="BF8" s="1114"/>
    </row>
    <row r="9" spans="1:58" ht="15" customHeight="1" x14ac:dyDescent="0.25">
      <c r="A9" s="1114"/>
      <c r="B9" s="1114"/>
      <c r="C9" s="1114"/>
      <c r="D9" s="103"/>
      <c r="E9" s="108" t="s">
        <v>93</v>
      </c>
      <c r="F9" s="2203" t="str">
        <f>CONCATENATE(IF(Design="Design Does Not Apply","","Design Phase (SD, DD, 50% CD, etc….) or  
"),IF(Feasibility_Concept="Feasibility Study","Report of Feasibility Study Phase (Draft, 50% Draft, 75% Draft, Final, etc..).",IF(OR(Feasibility_Concept="Conceptualization",Feasibility_Concept="Conceptualization Only"),"Report of Conceptualization Phase (Draft, 50% Draft, 75% Draft, Final, etc...)",IF(Feasibility_Concept="Memorandum or Short Report","Memorandum or Short Report (Draft, 50% Draft, 75% Draft, Final, etc..)","-"""))))</f>
        <v>Design Phase (SD, DD, 50% CD, etc….) or  
Report of Conceptualization Phase (Draft, 50% Draft, 75% Draft, Final, etc...)</v>
      </c>
      <c r="G9" s="2203"/>
      <c r="H9" s="2201" t="s">
        <v>706</v>
      </c>
      <c r="I9" s="2201"/>
      <c r="J9" s="2201"/>
      <c r="K9" s="105"/>
      <c r="L9" s="1643"/>
      <c r="M9" s="1643"/>
      <c r="N9" s="1643"/>
      <c r="O9" s="1643"/>
      <c r="P9" s="1643"/>
      <c r="Q9" s="1643"/>
      <c r="R9" s="1643"/>
      <c r="S9" s="1643"/>
      <c r="T9" s="1643"/>
      <c r="U9" s="1643"/>
      <c r="V9" s="1642"/>
      <c r="W9" s="1114"/>
      <c r="X9" s="1114"/>
      <c r="Y9" s="1114"/>
      <c r="Z9" s="1114"/>
      <c r="AA9" s="1114"/>
      <c r="AB9" s="1114"/>
      <c r="AC9" s="1114"/>
      <c r="AD9" s="1114"/>
      <c r="AE9" s="1114"/>
      <c r="AF9" s="1114"/>
      <c r="AG9" s="1114"/>
      <c r="AH9" s="1114"/>
      <c r="AI9" s="1114"/>
      <c r="AJ9" s="1114"/>
      <c r="AK9" s="1114"/>
      <c r="AL9" s="1114"/>
      <c r="AM9" s="1114"/>
      <c r="AN9" s="1114"/>
      <c r="AO9" s="1114"/>
      <c r="AP9" s="1114"/>
      <c r="AQ9" s="1114"/>
      <c r="AR9" s="1114"/>
      <c r="AS9" s="1114"/>
      <c r="AT9" s="1114"/>
      <c r="AU9" s="1114"/>
      <c r="AV9" s="1109"/>
      <c r="AW9" s="1114"/>
      <c r="AX9" s="1114"/>
      <c r="AY9" s="1114"/>
      <c r="AZ9" s="1114"/>
      <c r="BA9" s="1114"/>
      <c r="BB9" s="1114"/>
      <c r="BC9" s="1114"/>
      <c r="BD9" s="1114"/>
      <c r="BE9" s="1114"/>
      <c r="BF9" s="1114"/>
    </row>
    <row r="10" spans="1:58" ht="15" customHeight="1" x14ac:dyDescent="0.25">
      <c r="A10" s="1114"/>
      <c r="B10" s="1114"/>
      <c r="C10" s="1114"/>
      <c r="D10" s="103"/>
      <c r="E10" s="108"/>
      <c r="F10" s="2203"/>
      <c r="G10" s="2203"/>
      <c r="H10" s="2201" t="s">
        <v>707</v>
      </c>
      <c r="I10" s="2201"/>
      <c r="J10" s="2201"/>
      <c r="K10" s="105"/>
      <c r="L10" s="1643"/>
      <c r="M10" s="1643"/>
      <c r="N10" s="1643"/>
      <c r="O10" s="1643"/>
      <c r="P10" s="1643"/>
      <c r="Q10" s="1643"/>
      <c r="R10" s="1643"/>
      <c r="S10" s="1643"/>
      <c r="T10" s="1643"/>
      <c r="U10" s="1643"/>
      <c r="V10" s="1642"/>
      <c r="W10" s="1114"/>
      <c r="X10" s="1114"/>
      <c r="Y10" s="1114"/>
      <c r="Z10" s="1114"/>
      <c r="AA10" s="1114"/>
      <c r="AB10" s="1114"/>
      <c r="AC10" s="1114"/>
      <c r="AD10" s="1114"/>
      <c r="AE10" s="1114"/>
      <c r="AF10" s="1114"/>
      <c r="AG10" s="1114"/>
      <c r="AH10" s="1114"/>
      <c r="AI10" s="1114"/>
      <c r="AJ10" s="1114"/>
      <c r="AK10" s="1114"/>
      <c r="AL10" s="1114"/>
      <c r="AM10" s="1114"/>
      <c r="AN10" s="1114"/>
      <c r="AO10" s="1114"/>
      <c r="AP10" s="1114"/>
      <c r="AQ10" s="1114"/>
      <c r="AR10" s="1114"/>
      <c r="AS10" s="1114"/>
      <c r="AT10" s="1114"/>
      <c r="AU10" s="1114"/>
      <c r="AV10" s="1109"/>
      <c r="AW10" s="1114"/>
      <c r="AX10" s="1114"/>
      <c r="AY10" s="1114"/>
      <c r="AZ10" s="1114"/>
      <c r="BA10" s="1114"/>
      <c r="BB10" s="1114"/>
      <c r="BC10" s="1114"/>
      <c r="BD10" s="1114"/>
      <c r="BE10" s="1114"/>
      <c r="BF10" s="1114"/>
    </row>
    <row r="11" spans="1:58" ht="15" customHeight="1" x14ac:dyDescent="0.25">
      <c r="A11" s="1114"/>
      <c r="B11" s="1114"/>
      <c r="C11" s="1114"/>
      <c r="D11" s="103"/>
      <c r="E11" s="108"/>
      <c r="F11" s="2203"/>
      <c r="G11" s="2203"/>
      <c r="H11" s="2202"/>
      <c r="I11" s="2202"/>
      <c r="J11" s="2202"/>
      <c r="K11" s="105"/>
      <c r="L11" s="1643"/>
      <c r="M11" s="1643"/>
      <c r="N11" s="1643"/>
      <c r="O11" s="1643"/>
      <c r="P11" s="1643"/>
      <c r="Q11" s="1643"/>
      <c r="R11" s="1643"/>
      <c r="S11" s="1643"/>
      <c r="T11" s="1643"/>
      <c r="U11" s="1643"/>
      <c r="V11" s="1642"/>
      <c r="W11" s="1114"/>
      <c r="X11" s="1114"/>
      <c r="Y11" s="1114"/>
      <c r="Z11" s="1114"/>
      <c r="AA11" s="1114"/>
      <c r="AB11" s="1114"/>
      <c r="AC11" s="1114"/>
      <c r="AD11" s="1114"/>
      <c r="AE11" s="1114"/>
      <c r="AF11" s="1114"/>
      <c r="AG11" s="1114"/>
      <c r="AH11" s="1114"/>
      <c r="AI11" s="1114"/>
      <c r="AJ11" s="1114"/>
      <c r="AK11" s="1114"/>
      <c r="AL11" s="1114"/>
      <c r="AM11" s="1114"/>
      <c r="AN11" s="1114"/>
      <c r="AO11" s="1114"/>
      <c r="AP11" s="1114"/>
      <c r="AQ11" s="1114"/>
      <c r="AR11" s="1114"/>
      <c r="AS11" s="1114"/>
      <c r="AT11" s="1114"/>
      <c r="AU11" s="1114"/>
      <c r="AV11" s="1109"/>
      <c r="AW11" s="1114"/>
      <c r="AX11" s="1114"/>
      <c r="AY11" s="1114"/>
      <c r="AZ11" s="1114"/>
      <c r="BA11" s="1114"/>
      <c r="BB11" s="1114"/>
      <c r="BC11" s="1114"/>
      <c r="BD11" s="1114"/>
      <c r="BE11" s="1114"/>
      <c r="BF11" s="1114"/>
    </row>
    <row r="12" spans="1:58" ht="15" customHeight="1" x14ac:dyDescent="0.25">
      <c r="A12" s="1114"/>
      <c r="B12" s="1114"/>
      <c r="C12" s="1114"/>
      <c r="D12" s="103"/>
      <c r="E12" s="118"/>
      <c r="F12" s="2204" t="str">
        <f>IF(Phase_dropdown="Bid &amp; Award", "Addenda is included in Bid &amp; Award","")</f>
        <v/>
      </c>
      <c r="G12" s="2204"/>
      <c r="H12" s="2204"/>
      <c r="I12" s="2204"/>
      <c r="J12" s="1046"/>
      <c r="K12" s="109"/>
      <c r="L12" s="1645"/>
      <c r="M12" s="1645"/>
      <c r="N12" s="1645"/>
      <c r="O12" s="1645"/>
      <c r="P12" s="1645"/>
      <c r="Q12" s="1645"/>
      <c r="R12" s="1645"/>
      <c r="S12" s="1645"/>
      <c r="T12" s="1645"/>
      <c r="U12" s="1645"/>
      <c r="V12" s="1642"/>
      <c r="W12" s="1591" t="s">
        <v>101</v>
      </c>
      <c r="X12" s="1592"/>
      <c r="Y12" s="1592"/>
      <c r="Z12" s="1592"/>
      <c r="AA12" s="1114"/>
      <c r="AB12" s="1114"/>
      <c r="AC12" s="1114"/>
      <c r="AD12" s="1114"/>
      <c r="AE12" s="1114"/>
      <c r="AF12" s="1114"/>
      <c r="AG12" s="1114"/>
      <c r="AH12" s="1114"/>
      <c r="AI12" s="1114"/>
      <c r="AJ12" s="1114"/>
      <c r="AK12" s="1114"/>
      <c r="AL12" s="1114"/>
      <c r="AM12" s="1114"/>
      <c r="AN12" s="1114"/>
      <c r="AO12" s="1114"/>
      <c r="AP12" s="1114"/>
      <c r="AQ12" s="1114"/>
      <c r="AR12" s="1114"/>
      <c r="AS12" s="1114"/>
      <c r="AT12" s="1114"/>
      <c r="AU12" s="1114"/>
      <c r="AV12" s="1109"/>
      <c r="AW12" s="1114"/>
      <c r="AX12" s="1114"/>
      <c r="AY12" s="1114"/>
      <c r="AZ12" s="1114"/>
      <c r="BA12" s="1114"/>
      <c r="BB12" s="1114"/>
      <c r="BC12" s="1114"/>
      <c r="BD12" s="1114"/>
      <c r="BE12" s="1114"/>
      <c r="BF12" s="1114"/>
    </row>
    <row r="13" spans="1:58" ht="18.75" x14ac:dyDescent="0.25">
      <c r="A13" s="1114"/>
      <c r="B13" s="1114"/>
      <c r="C13" s="1114"/>
      <c r="D13" s="103"/>
      <c r="E13" s="18"/>
      <c r="F13" s="2239" t="s">
        <v>1</v>
      </c>
      <c r="G13" s="2239"/>
      <c r="H13" s="2239"/>
      <c r="I13" s="2239"/>
      <c r="J13" s="18"/>
      <c r="K13" s="105"/>
      <c r="L13" s="1643"/>
      <c r="M13" s="1643"/>
      <c r="N13" s="1643"/>
      <c r="O13" s="1643"/>
      <c r="P13" s="1643"/>
      <c r="Q13" s="1643"/>
      <c r="R13" s="1643"/>
      <c r="S13" s="1643"/>
      <c r="T13" s="1643"/>
      <c r="U13" s="1643"/>
      <c r="V13" s="1642"/>
      <c r="W13" s="1593" t="str">
        <f>CONCATENATE("&lt;----Use DROP DOWN to chose applicable design phase - refers to choices from tab A, cells E",ROW('A-Info, Phases, Recip.'!E124),":E",ROW('A-Info, Phases, Recip.'!E141))</f>
        <v>&lt;----Use DROP DOWN to chose applicable design phase - refers to choices from tab A, cells E124:E141</v>
      </c>
      <c r="X13" s="1113"/>
      <c r="Y13" s="1113"/>
      <c r="Z13" s="1113"/>
      <c r="AA13" s="1114"/>
      <c r="AB13" s="1114"/>
      <c r="AC13" s="1114"/>
      <c r="AD13" s="1114"/>
      <c r="AE13" s="1114"/>
      <c r="AF13" s="1114"/>
      <c r="AG13" s="1114"/>
      <c r="AH13" s="1114"/>
      <c r="AI13" s="1114"/>
      <c r="AJ13" s="1114"/>
      <c r="AK13" s="1114"/>
      <c r="AL13" s="1114"/>
      <c r="AM13" s="1114"/>
      <c r="AN13" s="1114"/>
      <c r="AO13" s="1114"/>
      <c r="AP13" s="1114"/>
      <c r="AQ13" s="1114"/>
      <c r="AR13" s="1114"/>
      <c r="AS13" s="1114"/>
      <c r="AT13" s="1114"/>
      <c r="AU13" s="1114"/>
      <c r="AV13" s="1109"/>
      <c r="AW13" s="1114"/>
      <c r="AX13" s="1114"/>
      <c r="AY13" s="1114"/>
      <c r="AZ13" s="1114"/>
      <c r="BA13" s="1114"/>
      <c r="BB13" s="1114"/>
      <c r="BC13" s="1114"/>
      <c r="BD13" s="1114"/>
      <c r="BE13" s="1114"/>
      <c r="BF13" s="1114"/>
    </row>
    <row r="14" spans="1:58" x14ac:dyDescent="0.25">
      <c r="A14" s="1114"/>
      <c r="B14" s="1114"/>
      <c r="C14" s="1114"/>
      <c r="D14" s="103"/>
      <c r="E14" s="18"/>
      <c r="F14" s="2240" t="s">
        <v>180</v>
      </c>
      <c r="G14" s="2240"/>
      <c r="H14" s="2240"/>
      <c r="I14" s="2240"/>
      <c r="J14" s="2175" t="s">
        <v>1198</v>
      </c>
      <c r="K14" s="2176"/>
      <c r="L14" s="1643"/>
      <c r="M14" s="1643"/>
      <c r="N14" s="1643"/>
      <c r="O14" s="1643"/>
      <c r="P14" s="1643"/>
      <c r="Q14" s="1643"/>
      <c r="R14" s="1643"/>
      <c r="S14" s="1643"/>
      <c r="T14" s="1643"/>
      <c r="U14" s="1643"/>
      <c r="V14" s="1642"/>
      <c r="W14" s="1114"/>
      <c r="X14" s="1114"/>
      <c r="Y14" s="1114"/>
      <c r="Z14" s="1114"/>
      <c r="AA14" s="1114"/>
      <c r="AB14" s="1114"/>
      <c r="AC14" s="1114"/>
      <c r="AD14" s="1114"/>
      <c r="AE14" s="1114"/>
      <c r="AF14" s="1114"/>
      <c r="AG14" s="1114"/>
      <c r="AH14" s="1114"/>
      <c r="AI14" s="1114"/>
      <c r="AJ14" s="1114"/>
      <c r="AK14" s="1114"/>
      <c r="AL14" s="1114"/>
      <c r="AM14" s="1114"/>
      <c r="AN14" s="1114"/>
      <c r="AO14" s="1114"/>
      <c r="AP14" s="1114"/>
      <c r="AQ14" s="1114"/>
      <c r="AR14" s="1114"/>
      <c r="AS14" s="1114"/>
      <c r="AT14" s="1114"/>
      <c r="AU14" s="1114"/>
      <c r="AV14" s="1109"/>
      <c r="AW14" s="1114"/>
      <c r="AX14" s="1114"/>
      <c r="AY14" s="1114"/>
      <c r="AZ14" s="1114"/>
      <c r="BA14" s="1114"/>
      <c r="BB14" s="1114"/>
      <c r="BC14" s="1114"/>
      <c r="BD14" s="1114"/>
      <c r="BE14" s="1114"/>
      <c r="BF14" s="1114"/>
    </row>
    <row r="15" spans="1:58" ht="16.5" thickBot="1" x14ac:dyDescent="0.3">
      <c r="A15" s="1114"/>
      <c r="B15" s="1114"/>
      <c r="C15" s="1584" t="s">
        <v>222</v>
      </c>
      <c r="D15" s="103"/>
      <c r="E15" s="18"/>
      <c r="F15" s="2195" t="s">
        <v>92</v>
      </c>
      <c r="G15" s="2196"/>
      <c r="H15" s="2195" t="s">
        <v>308</v>
      </c>
      <c r="I15" s="2196"/>
      <c r="J15" s="2177" t="s">
        <v>1196</v>
      </c>
      <c r="K15" s="2178"/>
      <c r="L15" s="1643"/>
      <c r="M15" s="1643"/>
      <c r="N15" s="1643"/>
      <c r="O15" s="1643"/>
      <c r="P15" s="1643"/>
      <c r="Q15" s="1643"/>
      <c r="R15" s="1643"/>
      <c r="S15" s="1643"/>
      <c r="T15" s="1643"/>
      <c r="U15" s="1643"/>
      <c r="V15" s="1642"/>
      <c r="W15" s="1114"/>
      <c r="X15" s="1114"/>
      <c r="Y15" s="1114"/>
      <c r="Z15" s="1114"/>
      <c r="AA15" s="1114"/>
      <c r="AB15" s="1114"/>
      <c r="AC15" s="1114"/>
      <c r="AD15" s="1114"/>
      <c r="AE15" s="1114"/>
      <c r="AF15" s="1114"/>
      <c r="AG15" s="1114"/>
      <c r="AH15" s="1114"/>
      <c r="AI15" s="1114"/>
      <c r="AJ15" s="1114"/>
      <c r="AK15" s="1114"/>
      <c r="AL15" s="1114"/>
      <c r="AM15" s="1114"/>
      <c r="AN15" s="1114"/>
      <c r="AO15" s="1114"/>
      <c r="AP15" s="1114"/>
      <c r="AQ15" s="1114"/>
      <c r="AR15" s="1114"/>
      <c r="AS15" s="1114"/>
      <c r="AT15" s="1114"/>
      <c r="AU15" s="1114"/>
      <c r="AV15" s="1109"/>
      <c r="AW15" s="1114"/>
      <c r="AX15" s="1114"/>
      <c r="AY15" s="1114"/>
      <c r="AZ15" s="1114"/>
      <c r="BA15" s="1114"/>
      <c r="BB15" s="1114"/>
      <c r="BC15" s="1114"/>
      <c r="BD15" s="1114"/>
      <c r="BE15" s="1114"/>
      <c r="BF15" s="1114"/>
    </row>
    <row r="16" spans="1:58" ht="15.75" thickTop="1" x14ac:dyDescent="0.25">
      <c r="A16" s="1114"/>
      <c r="B16" s="1114"/>
      <c r="C16" s="1585">
        <f>'A-Info, Phases, Recip.'!A16</f>
        <v>4</v>
      </c>
      <c r="D16" s="103"/>
      <c r="E16" s="18"/>
      <c r="F16" s="2193" t="str">
        <f>'A-Info, Phases, Recip.'!E16</f>
        <v>F&amp;S Planner and/or PM: Jane Doe (Planner);  John Smith (PM)</v>
      </c>
      <c r="G16" s="2194"/>
      <c r="H16" s="2179" t="str">
        <f>IF('A-Info, Phases, Recip.'!PM_Planner_Applies="Yes",IF(COUNTIF('A-Info, Phases, Recip.'!$E$126:$E$146,Phase_dropdown)=0,"Choose applicable Phase or Combined Phases",IF(COUNTIF('A-Info, Phases, Recip.'!$F$13:$R$13,Phase_dropdown),HLOOKUP(Phase_dropdown,'A-Info, Phases, Recip.'!$F$13:$R$35,4,FALSE),"Choose applicable Phase or Combined Phases")),"Recipient not applicable")</f>
        <v>e, D, PBOD</v>
      </c>
      <c r="I16" s="2180"/>
      <c r="J16" s="2179" t="str">
        <f>IF(OR(ISNUMBER(SEARCH("choose",H16))=TRUE,ISNUMBER(SEARCH("error",H16))=TRUE),"ERROR",IF('A-Info, Phases, Recip.'!S16="","",'A-Info, Phases, Recip.'!S16))</f>
        <v>Half Size</v>
      </c>
      <c r="K16" s="2180"/>
      <c r="L16" s="1646"/>
      <c r="M16" s="1646"/>
      <c r="N16" s="1646"/>
      <c r="O16" s="1646"/>
      <c r="P16" s="1646"/>
      <c r="Q16" s="1646"/>
      <c r="R16" s="1646"/>
      <c r="S16" s="1646"/>
      <c r="T16" s="1646"/>
      <c r="U16" s="1646"/>
      <c r="V16" s="1642"/>
      <c r="W16" s="1620" t="str">
        <f>IF(H16="Choose applicable Phase or Combined Phases",CONCATENATE("NOTE: Change selection in merged cell D",ROW(Phase_dropdown)," !!!"),"&lt;--- AUTO")</f>
        <v>&lt;--- AUTO</v>
      </c>
      <c r="X16" s="1592"/>
      <c r="Y16" s="1592"/>
      <c r="Z16" s="1592"/>
      <c r="AA16" s="1097"/>
      <c r="AB16" s="1114"/>
      <c r="AC16" s="1114"/>
      <c r="AD16" s="1114"/>
      <c r="AE16" s="1114"/>
      <c r="AF16" s="1114"/>
      <c r="AG16" s="1114"/>
      <c r="AH16" s="1114"/>
      <c r="AI16" s="1114"/>
      <c r="AJ16" s="1114"/>
      <c r="AK16" s="1114"/>
      <c r="AL16" s="1114"/>
      <c r="AM16" s="1114"/>
      <c r="AN16" s="1114"/>
      <c r="AO16" s="1114"/>
      <c r="AP16" s="1114"/>
      <c r="AQ16" s="1114"/>
      <c r="AR16" s="1114"/>
      <c r="AS16" s="1114"/>
      <c r="AT16" s="1114"/>
      <c r="AU16" s="1114"/>
      <c r="AV16" s="1109"/>
      <c r="AW16" s="1114"/>
      <c r="AX16" s="1114"/>
      <c r="AY16" s="1114"/>
      <c r="AZ16" s="1114"/>
      <c r="BA16" s="1114"/>
      <c r="BB16" s="1114"/>
      <c r="BC16" s="1114"/>
      <c r="BD16" s="1114"/>
      <c r="BE16" s="1114"/>
      <c r="BF16" s="1114"/>
    </row>
    <row r="17" spans="1:58" ht="3.95" customHeight="1" x14ac:dyDescent="0.25">
      <c r="A17" s="1114"/>
      <c r="B17" s="1114"/>
      <c r="C17" s="1586">
        <f>'A-Info, Phases, Recip.'!A17</f>
        <v>5</v>
      </c>
      <c r="D17" s="103"/>
      <c r="E17" s="18"/>
      <c r="F17" s="2173"/>
      <c r="G17" s="2174"/>
      <c r="H17" s="2171"/>
      <c r="I17" s="2172"/>
      <c r="J17" s="2171"/>
      <c r="K17" s="2172"/>
      <c r="L17" s="1646"/>
      <c r="M17" s="1646"/>
      <c r="N17" s="1646"/>
      <c r="O17" s="1646"/>
      <c r="P17" s="1646"/>
      <c r="Q17" s="1646"/>
      <c r="R17" s="1646"/>
      <c r="S17" s="1646"/>
      <c r="T17" s="1646"/>
      <c r="U17" s="1646"/>
      <c r="V17" s="1642"/>
      <c r="W17" s="1621"/>
      <c r="X17" s="1097"/>
      <c r="Y17" s="1097"/>
      <c r="Z17" s="1097"/>
      <c r="AA17" s="1097"/>
      <c r="AB17" s="1114"/>
      <c r="AC17" s="1114"/>
      <c r="AD17" s="1114"/>
      <c r="AE17" s="1114"/>
      <c r="AF17" s="1114"/>
      <c r="AG17" s="1114"/>
      <c r="AH17" s="1114"/>
      <c r="AI17" s="1114"/>
      <c r="AJ17" s="1114"/>
      <c r="AK17" s="1114"/>
      <c r="AL17" s="1114"/>
      <c r="AM17" s="1114"/>
      <c r="AN17" s="1114"/>
      <c r="AO17" s="1114"/>
      <c r="AP17" s="1114"/>
      <c r="AQ17" s="1114"/>
      <c r="AR17" s="1114"/>
      <c r="AS17" s="1114"/>
      <c r="AT17" s="1114"/>
      <c r="AU17" s="1114"/>
      <c r="AV17" s="1109"/>
      <c r="AW17" s="1114"/>
      <c r="AX17" s="1114"/>
      <c r="AY17" s="1114"/>
      <c r="AZ17" s="1114"/>
      <c r="BA17" s="1114"/>
      <c r="BB17" s="1114"/>
      <c r="BC17" s="1114"/>
      <c r="BD17" s="1114"/>
      <c r="BE17" s="1114"/>
      <c r="BF17" s="1114"/>
    </row>
    <row r="18" spans="1:58" ht="36.75" customHeight="1" x14ac:dyDescent="0.25">
      <c r="A18" s="1114"/>
      <c r="B18" s="1114"/>
      <c r="C18" s="1585">
        <f>'A-Info, Phases, Recip.'!A18</f>
        <v>6</v>
      </c>
      <c r="D18" s="103"/>
      <c r="E18" s="18"/>
      <c r="F18" s="2197" t="str">
        <f>'A-Info, Phases, Recip.'!E18</f>
        <v xml:space="preserve">Design &amp; Construction Submittal Receiving  </v>
      </c>
      <c r="G18" s="2198"/>
      <c r="H18" s="2173" t="str">
        <f>IF('A-Info, Phases, Recip.'!Quality_assurance_applies="Yes",IF(COUNTIF('A-Info, Phases, Recip.'!$E$126:$E$146,Phase_dropdown)=0,"Choose applicable Phase or Combined Phases",IF(COUNTIF('A-Info, Phases, Recip.'!$F$13:$R$13,Phase_dropdown),CONCATENATE(HLOOKUP(Phase_dropdown,'A-Info, Phases, Recip.'!$F$13:$R$35,6,FALSE)),"Choose applicable Phase or Combined Phases")),"Recipient not applicable")</f>
        <v>DD</v>
      </c>
      <c r="I18" s="2174"/>
      <c r="J18" s="2173" t="str">
        <f>IF(OR(ISNUMBER(SEARCH("choose",H16))=TRUE,ISNUMBER(SEARCH("error",H16))=TRUE),"ERROR",IF(ISNUMBER(SEARCH("Closeout",Phase_dropdown))=TRUE,"Full Size",IF(ISNUMBER(SEARCH("Post",Phase_dropdown))=TRUE,"-","half Size")))</f>
        <v>half Size</v>
      </c>
      <c r="K18" s="2174"/>
      <c r="L18" s="1646"/>
      <c r="M18" s="1646"/>
      <c r="N18" s="1646"/>
      <c r="O18" s="1646"/>
      <c r="P18" s="1646"/>
      <c r="Q18" s="1646"/>
      <c r="R18" s="1646"/>
      <c r="S18" s="1646"/>
      <c r="T18" s="1646"/>
      <c r="U18" s="1646"/>
      <c r="V18" s="1642"/>
      <c r="W18" s="1620" t="str">
        <f>IF(H18="Choose applicable Phase or Combined Phases",CONCATENATE("NOTE: Change selection in merged cell D",ROW(Phase_dropdown)," !!!"),"&lt;--- AUTO, custom formula")</f>
        <v>&lt;--- AUTO, custom formula</v>
      </c>
      <c r="X18" s="1592"/>
      <c r="Y18" s="1592"/>
      <c r="Z18" s="1592"/>
      <c r="AA18" s="1097"/>
      <c r="AB18" s="1114"/>
      <c r="AC18" s="1114"/>
      <c r="AD18" s="1114"/>
      <c r="AE18" s="1114"/>
      <c r="AF18" s="1114"/>
      <c r="AG18" s="1114"/>
      <c r="AH18" s="1114"/>
      <c r="AI18" s="1114"/>
      <c r="AJ18" s="1114"/>
      <c r="AK18" s="1114"/>
      <c r="AL18" s="1114"/>
      <c r="AM18" s="1114"/>
      <c r="AN18" s="1114"/>
      <c r="AO18" s="1114"/>
      <c r="AP18" s="1114"/>
      <c r="AQ18" s="1114"/>
      <c r="AR18" s="1114"/>
      <c r="AS18" s="1114"/>
      <c r="AT18" s="1114"/>
      <c r="AU18" s="1114"/>
      <c r="AV18" s="1109"/>
      <c r="AW18" s="1114"/>
      <c r="AX18" s="1114"/>
      <c r="AY18" s="1114"/>
      <c r="AZ18" s="1114"/>
      <c r="BA18" s="1114"/>
      <c r="BB18" s="1114"/>
      <c r="BC18" s="1114"/>
      <c r="BD18" s="1114"/>
      <c r="BE18" s="1114"/>
      <c r="BF18" s="1114"/>
    </row>
    <row r="19" spans="1:58" ht="3.95" customHeight="1" x14ac:dyDescent="0.25">
      <c r="A19" s="1114"/>
      <c r="B19" s="1114"/>
      <c r="C19" s="1586">
        <f>'A-Info, Phases, Recip.'!A19</f>
        <v>7</v>
      </c>
      <c r="D19" s="103"/>
      <c r="E19" s="18"/>
      <c r="F19" s="2173"/>
      <c r="G19" s="2174"/>
      <c r="H19" s="2171"/>
      <c r="I19" s="2172"/>
      <c r="J19" s="2171"/>
      <c r="K19" s="2172"/>
      <c r="L19" s="1646"/>
      <c r="M19" s="1646"/>
      <c r="N19" s="1646"/>
      <c r="O19" s="1646"/>
      <c r="P19" s="1646"/>
      <c r="Q19" s="1646"/>
      <c r="R19" s="1646"/>
      <c r="S19" s="1646"/>
      <c r="T19" s="1646"/>
      <c r="U19" s="1646"/>
      <c r="V19" s="1642"/>
      <c r="W19" s="1621"/>
      <c r="X19" s="1097"/>
      <c r="Y19" s="1097"/>
      <c r="Z19" s="1097"/>
      <c r="AA19" s="1097"/>
      <c r="AB19" s="1114"/>
      <c r="AC19" s="1114"/>
      <c r="AD19" s="1114"/>
      <c r="AE19" s="1114"/>
      <c r="AF19" s="1114"/>
      <c r="AG19" s="1114"/>
      <c r="AH19" s="1114"/>
      <c r="AI19" s="1114"/>
      <c r="AJ19" s="1114"/>
      <c r="AK19" s="1114"/>
      <c r="AL19" s="1114"/>
      <c r="AM19" s="1114"/>
      <c r="AN19" s="1114"/>
      <c r="AO19" s="1114"/>
      <c r="AP19" s="1114"/>
      <c r="AQ19" s="1114"/>
      <c r="AR19" s="1114"/>
      <c r="AS19" s="1114"/>
      <c r="AT19" s="1114"/>
      <c r="AU19" s="1114"/>
      <c r="AV19" s="1109"/>
      <c r="AW19" s="1114"/>
      <c r="AX19" s="1114"/>
      <c r="AY19" s="1114"/>
      <c r="AZ19" s="1114"/>
      <c r="BA19" s="1114"/>
      <c r="BB19" s="1114"/>
      <c r="BC19" s="1114"/>
      <c r="BD19" s="1114"/>
      <c r="BE19" s="1114"/>
      <c r="BF19" s="1114"/>
    </row>
    <row r="20" spans="1:58" ht="24" customHeight="1" x14ac:dyDescent="0.25">
      <c r="A20" s="1114"/>
      <c r="B20" s="1114"/>
      <c r="C20" s="1585">
        <f>'A-Info, Phases, Recip.'!A20</f>
        <v>8</v>
      </c>
      <c r="D20" s="103"/>
      <c r="E20" s="18"/>
      <c r="F20" s="2197" t="str">
        <f>'A-Info, Phases, Recip.'!E20</f>
        <v xml:space="preserve">Code Compliance:    Craig Grant &lt;cpgrant@illinois.edu&gt;                                                 </v>
      </c>
      <c r="G20" s="2198"/>
      <c r="H20" s="2173" t="str">
        <f>IF('A-Info, Phases, Recip.'!Code_Compl_applies="Yes",IF(COUNTIF('A-Info, Phases, Recip.'!$E$126:$E$146,Phase_dropdown)=0,"Choose applicable Phase or Combined Phases",IF(COUNTIF('A-Info, Phases, Recip.'!$F$13:$R$13,Phase_dropdown),HLOOKUP(Phase_dropdown,'A-Info, Phases, Recip.'!$F$13:$R$35,8,FALSE),"Choose applicable Phase or Combined Phases")),"Recipient not applicable")</f>
        <v>e</v>
      </c>
      <c r="I20" s="2174"/>
      <c r="J20" s="2173" t="str">
        <f>IF(OR(ISNUMBER(SEARCH("choose",H20))=TRUE,ISNUMBER(SEARCH("error",H20))=TRUE),"ERROR",IF('A-Info, Phases, Recip.'!S20="","",'A-Info, Phases, Recip.'!S20))</f>
        <v/>
      </c>
      <c r="K20" s="2174"/>
      <c r="L20" s="1646"/>
      <c r="M20" s="1646"/>
      <c r="N20" s="1646"/>
      <c r="O20" s="1646"/>
      <c r="P20" s="1646"/>
      <c r="Q20" s="1646"/>
      <c r="R20" s="1646"/>
      <c r="S20" s="1646"/>
      <c r="T20" s="1646"/>
      <c r="U20" s="1646"/>
      <c r="V20" s="1642"/>
      <c r="W20" s="1620" t="str">
        <f>IF(H20="Choose applicable Phase or Combined Phases",CONCATENATE("NOTE: Change selection in merged cell D",ROW(Phase_dropdown)," !!!"),"&lt;--- AUTO")</f>
        <v>&lt;--- AUTO</v>
      </c>
      <c r="X20" s="1592"/>
      <c r="Y20" s="1592"/>
      <c r="Z20" s="1592"/>
      <c r="AA20" s="1097"/>
      <c r="AB20" s="1114"/>
      <c r="AC20" s="1114"/>
      <c r="AD20" s="1114"/>
      <c r="AE20" s="1114"/>
      <c r="AF20" s="1114"/>
      <c r="AG20" s="1114"/>
      <c r="AH20" s="1114"/>
      <c r="AI20" s="1114"/>
      <c r="AJ20" s="1114"/>
      <c r="AK20" s="1114"/>
      <c r="AL20" s="1114"/>
      <c r="AM20" s="1114"/>
      <c r="AN20" s="1114"/>
      <c r="AO20" s="1114"/>
      <c r="AP20" s="1114"/>
      <c r="AQ20" s="1114"/>
      <c r="AR20" s="1114"/>
      <c r="AS20" s="1114"/>
      <c r="AT20" s="1114"/>
      <c r="AU20" s="1114"/>
      <c r="AV20" s="1109"/>
      <c r="AW20" s="1114"/>
      <c r="AX20" s="1114"/>
      <c r="AY20" s="1114"/>
      <c r="AZ20" s="1114"/>
      <c r="BA20" s="1114"/>
      <c r="BB20" s="1114"/>
      <c r="BC20" s="1114"/>
      <c r="BD20" s="1114"/>
      <c r="BE20" s="1114"/>
      <c r="BF20" s="1114"/>
    </row>
    <row r="21" spans="1:58" ht="3.95" customHeight="1" x14ac:dyDescent="0.25">
      <c r="A21" s="1114"/>
      <c r="B21" s="1114"/>
      <c r="C21" s="1586">
        <f>'A-Info, Phases, Recip.'!A21</f>
        <v>9</v>
      </c>
      <c r="D21" s="103"/>
      <c r="E21" s="18"/>
      <c r="F21" s="2173"/>
      <c r="G21" s="2174"/>
      <c r="H21" s="2171"/>
      <c r="I21" s="2172"/>
      <c r="J21" s="2171"/>
      <c r="K21" s="2172"/>
      <c r="L21" s="1646"/>
      <c r="M21" s="1646"/>
      <c r="N21" s="1646"/>
      <c r="O21" s="1646"/>
      <c r="P21" s="1646"/>
      <c r="Q21" s="1646"/>
      <c r="R21" s="1646"/>
      <c r="S21" s="1646"/>
      <c r="T21" s="1646"/>
      <c r="U21" s="1646"/>
      <c r="V21" s="1642"/>
      <c r="W21" s="1621"/>
      <c r="X21" s="1097"/>
      <c r="Y21" s="1097"/>
      <c r="Z21" s="1097"/>
      <c r="AA21" s="1097"/>
      <c r="AB21" s="1114"/>
      <c r="AC21" s="1114"/>
      <c r="AD21" s="1114"/>
      <c r="AE21" s="1114"/>
      <c r="AF21" s="1114"/>
      <c r="AG21" s="1114"/>
      <c r="AH21" s="1114"/>
      <c r="AI21" s="1114"/>
      <c r="AJ21" s="1114"/>
      <c r="AK21" s="1114"/>
      <c r="AL21" s="1114"/>
      <c r="AM21" s="1114"/>
      <c r="AN21" s="1114"/>
      <c r="AO21" s="1114"/>
      <c r="AP21" s="1114"/>
      <c r="AQ21" s="1114"/>
      <c r="AR21" s="1114"/>
      <c r="AS21" s="1114"/>
      <c r="AT21" s="1114"/>
      <c r="AU21" s="1114"/>
      <c r="AV21" s="1109"/>
      <c r="AW21" s="1114"/>
      <c r="AX21" s="1114"/>
      <c r="AY21" s="1114"/>
      <c r="AZ21" s="1114"/>
      <c r="BA21" s="1114"/>
      <c r="BB21" s="1114"/>
      <c r="BC21" s="1114"/>
      <c r="BD21" s="1114"/>
      <c r="BE21" s="1114"/>
      <c r="BF21" s="1114"/>
    </row>
    <row r="22" spans="1:58" ht="27" customHeight="1" x14ac:dyDescent="0.25">
      <c r="A22" s="1114"/>
      <c r="B22" s="1114"/>
      <c r="C22" s="1585">
        <f>'A-Info, Phases, Recip.'!A22</f>
        <v>10</v>
      </c>
      <c r="D22" s="103"/>
      <c r="E22" s="18"/>
      <c r="F22" s="2197" t="str">
        <f>'A-Info, Phases, Recip.'!E22</f>
        <v xml:space="preserve">Technology Services (CITES) Plant Design:     Vince Tutich    
&lt;vgtutich @illinois.edu&gt;                                        </v>
      </c>
      <c r="G22" s="2198"/>
      <c r="H22" s="2173" t="str">
        <f>IF('A-Info, Phases, Recip.'!CITES_Plant_Design_Applies="Yes",IF(COUNTIF('A-Info, Phases, Recip.'!$E$126:$E$146,Phase_dropdown)=0,"Choose applicable Phase or Combined Phases",IF(COUNTIF('A-Info, Phases, Recip.'!$F$13:$R$13,Phase_dropdown),HLOOKUP(Phase_dropdown,'A-Info, Phases, Recip.'!$F$13:$R$35,10,FALSE),"Choose applicable Phase or Combined Phases")),"Recipient not applicable")</f>
        <v>e, D</v>
      </c>
      <c r="I22" s="2174"/>
      <c r="J22" s="2173" t="str">
        <f>IF(OR(ISNUMBER(SEARCH("choose",H22))=TRUE,ISNUMBER(SEARCH("error",H22))=TRUE),"ERROR",IF('A-Info, Phases, Recip.'!S22="","",'A-Info, Phases, Recip.'!S22))</f>
        <v>Half Size</v>
      </c>
      <c r="K22" s="2174"/>
      <c r="L22" s="1646"/>
      <c r="M22" s="1646"/>
      <c r="N22" s="1646"/>
      <c r="O22" s="1646"/>
      <c r="P22" s="1646"/>
      <c r="Q22" s="1646"/>
      <c r="R22" s="1646"/>
      <c r="S22" s="1646"/>
      <c r="T22" s="1646"/>
      <c r="U22" s="1646"/>
      <c r="V22" s="1642"/>
      <c r="W22" s="1620" t="str">
        <f>IF(H22="Choose applicable Phase or Combined Phases",CONCATENATE("NOTE: Change selection in merged cell D",ROW(Phase_dropdown)," !!!"),"&lt;--- AUTO")</f>
        <v>&lt;--- AUTO</v>
      </c>
      <c r="X22" s="1592"/>
      <c r="Y22" s="1592"/>
      <c r="Z22" s="1592"/>
      <c r="AA22" s="1097"/>
      <c r="AB22" s="1114"/>
      <c r="AC22" s="1114"/>
      <c r="AD22" s="1114"/>
      <c r="AE22" s="1114"/>
      <c r="AF22" s="1114"/>
      <c r="AG22" s="1114"/>
      <c r="AH22" s="1114"/>
      <c r="AI22" s="1114"/>
      <c r="AJ22" s="1114"/>
      <c r="AK22" s="1114"/>
      <c r="AL22" s="1114"/>
      <c r="AM22" s="1114"/>
      <c r="AN22" s="1114"/>
      <c r="AO22" s="1114"/>
      <c r="AP22" s="1114"/>
      <c r="AQ22" s="1114"/>
      <c r="AR22" s="1114"/>
      <c r="AS22" s="1114"/>
      <c r="AT22" s="1114"/>
      <c r="AU22" s="1114"/>
      <c r="AV22" s="1109"/>
      <c r="AW22" s="1114"/>
      <c r="AX22" s="1114"/>
      <c r="AY22" s="1114"/>
      <c r="AZ22" s="1114"/>
      <c r="BA22" s="1114"/>
      <c r="BB22" s="1114"/>
      <c r="BC22" s="1114"/>
      <c r="BD22" s="1114"/>
      <c r="BE22" s="1114"/>
      <c r="BF22" s="1114"/>
    </row>
    <row r="23" spans="1:58" ht="3.95" customHeight="1" x14ac:dyDescent="0.25">
      <c r="A23" s="1114"/>
      <c r="B23" s="1114"/>
      <c r="C23" s="1586">
        <f>'A-Info, Phases, Recip.'!A23</f>
        <v>11</v>
      </c>
      <c r="D23" s="103"/>
      <c r="E23" s="18"/>
      <c r="F23" s="2173"/>
      <c r="G23" s="2174"/>
      <c r="H23" s="2171"/>
      <c r="I23" s="2172"/>
      <c r="J23" s="2171"/>
      <c r="K23" s="2172"/>
      <c r="L23" s="1646"/>
      <c r="M23" s="1646"/>
      <c r="N23" s="1646"/>
      <c r="O23" s="1646"/>
      <c r="P23" s="1646"/>
      <c r="Q23" s="1646"/>
      <c r="R23" s="1646"/>
      <c r="S23" s="1646"/>
      <c r="T23" s="1646"/>
      <c r="U23" s="1646"/>
      <c r="V23" s="1642"/>
      <c r="W23" s="1621"/>
      <c r="X23" s="1097"/>
      <c r="Y23" s="1097"/>
      <c r="Z23" s="1097"/>
      <c r="AA23" s="1097"/>
      <c r="AB23" s="1114"/>
      <c r="AC23" s="1114"/>
      <c r="AD23" s="1114"/>
      <c r="AE23" s="1114"/>
      <c r="AF23" s="1114"/>
      <c r="AG23" s="1114"/>
      <c r="AH23" s="1114"/>
      <c r="AI23" s="1114"/>
      <c r="AJ23" s="1114"/>
      <c r="AK23" s="1114"/>
      <c r="AL23" s="1114"/>
      <c r="AM23" s="1114"/>
      <c r="AN23" s="1114"/>
      <c r="AO23" s="1114"/>
      <c r="AP23" s="1114"/>
      <c r="AQ23" s="1114"/>
      <c r="AR23" s="1114"/>
      <c r="AS23" s="1114"/>
      <c r="AT23" s="1114"/>
      <c r="AU23" s="1114"/>
      <c r="AV23" s="1109"/>
      <c r="AW23" s="1114"/>
      <c r="AX23" s="1114"/>
      <c r="AY23" s="1114"/>
      <c r="AZ23" s="1114"/>
      <c r="BA23" s="1114"/>
      <c r="BB23" s="1114"/>
      <c r="BC23" s="1114"/>
      <c r="BD23" s="1114"/>
      <c r="BE23" s="1114"/>
      <c r="BF23" s="1114"/>
    </row>
    <row r="24" spans="1:58" ht="25.5" customHeight="1" x14ac:dyDescent="0.25">
      <c r="A24" s="1114"/>
      <c r="B24" s="1114"/>
      <c r="C24" s="1585">
        <f>'A-Info, Phases, Recip.'!A24</f>
        <v>12</v>
      </c>
      <c r="D24" s="103"/>
      <c r="E24" s="18"/>
      <c r="F24" s="2197" t="str">
        <f>'A-Info, Phases, Recip.'!E24</f>
        <v xml:space="preserve">Technology Services - Service/Project Management Office (formerly CITES CCME) :                                  </v>
      </c>
      <c r="G24" s="2198"/>
      <c r="H24" s="2173" t="str">
        <f>IF('A-Info, Phases, Recip.'!CITES_CCME_applies="Yes",IF(COUNTIF('A-Info, Phases, Recip.'!$E$126:$E$146,Phase_dropdown)=0,"Choose applicable Phase or Combined Phases",IF(COUNTIF('A-Info, Phases, Recip.'!$F$13:$R$13,Phase_dropdown),HLOOKUP(Phase_dropdown,'A-Info, Phases, Recip.'!$F$13:$R$35,12,FALSE),"Choose applicable Phase or Combined Phases")),"Recipient not applicable")</f>
        <v>e</v>
      </c>
      <c r="I24" s="2174"/>
      <c r="J24" s="2173" t="str">
        <f>IF(OR(ISNUMBER(SEARCH("choose",H24))=TRUE,ISNUMBER(SEARCH("error",H24))=TRUE),"ERROR",IF('A-Info, Phases, Recip.'!S24="","",'A-Info, Phases, Recip.'!S24))</f>
        <v/>
      </c>
      <c r="K24" s="2174"/>
      <c r="L24" s="1646"/>
      <c r="M24" s="1646"/>
      <c r="N24" s="1646"/>
      <c r="O24" s="1646"/>
      <c r="P24" s="1646"/>
      <c r="Q24" s="1646"/>
      <c r="R24" s="1646"/>
      <c r="S24" s="1646"/>
      <c r="T24" s="1646"/>
      <c r="U24" s="1646"/>
      <c r="V24" s="1642"/>
      <c r="W24" s="1620" t="str">
        <f>IF(H24="Choose applicable Phase or Combined Phases",CONCATENATE("NOTE: Change selection in merged cell D",ROW(Phase_dropdown)," !!!"),"&lt;--- AUTO")</f>
        <v>&lt;--- AUTO</v>
      </c>
      <c r="X24" s="1592"/>
      <c r="Y24" s="1592"/>
      <c r="Z24" s="1592"/>
      <c r="AA24" s="1097"/>
      <c r="AB24" s="1114"/>
      <c r="AC24" s="1114"/>
      <c r="AD24" s="1114"/>
      <c r="AE24" s="1114"/>
      <c r="AF24" s="1114"/>
      <c r="AG24" s="1114"/>
      <c r="AH24" s="1114"/>
      <c r="AI24" s="1114"/>
      <c r="AJ24" s="1114"/>
      <c r="AK24" s="1114"/>
      <c r="AL24" s="1114"/>
      <c r="AM24" s="1114"/>
      <c r="AN24" s="1114"/>
      <c r="AO24" s="1114"/>
      <c r="AP24" s="1114"/>
      <c r="AQ24" s="1114"/>
      <c r="AR24" s="1114"/>
      <c r="AS24" s="1114"/>
      <c r="AT24" s="1114"/>
      <c r="AU24" s="1114"/>
      <c r="AV24" s="1109"/>
      <c r="AW24" s="1114"/>
      <c r="AX24" s="1114"/>
      <c r="AY24" s="1114"/>
      <c r="AZ24" s="1114"/>
      <c r="BA24" s="1114"/>
      <c r="BB24" s="1114"/>
      <c r="BC24" s="1114"/>
      <c r="BD24" s="1114"/>
      <c r="BE24" s="1114"/>
      <c r="BF24" s="1114"/>
    </row>
    <row r="25" spans="1:58" ht="3.95" customHeight="1" x14ac:dyDescent="0.25">
      <c r="A25" s="1114"/>
      <c r="B25" s="1114"/>
      <c r="C25" s="1586">
        <f>'A-Info, Phases, Recip.'!A25</f>
        <v>13</v>
      </c>
      <c r="D25" s="103"/>
      <c r="E25" s="18"/>
      <c r="F25" s="2173"/>
      <c r="G25" s="2174"/>
      <c r="H25" s="2171"/>
      <c r="I25" s="2172"/>
      <c r="J25" s="2171"/>
      <c r="K25" s="2172"/>
      <c r="L25" s="1646"/>
      <c r="M25" s="1646"/>
      <c r="N25" s="1646"/>
      <c r="O25" s="1646"/>
      <c r="P25" s="1646"/>
      <c r="Q25" s="1646"/>
      <c r="R25" s="1646"/>
      <c r="S25" s="1646"/>
      <c r="T25" s="1646"/>
      <c r="U25" s="1646"/>
      <c r="V25" s="1642"/>
      <c r="W25" s="1621"/>
      <c r="X25" s="1097"/>
      <c r="Y25" s="1097"/>
      <c r="Z25" s="1097"/>
      <c r="AA25" s="1097"/>
      <c r="AB25" s="1114"/>
      <c r="AC25" s="1114"/>
      <c r="AD25" s="1114"/>
      <c r="AE25" s="1114"/>
      <c r="AF25" s="1114"/>
      <c r="AG25" s="1114"/>
      <c r="AH25" s="1114"/>
      <c r="AI25" s="1114"/>
      <c r="AJ25" s="1114"/>
      <c r="AK25" s="1114"/>
      <c r="AL25" s="1114"/>
      <c r="AM25" s="1114"/>
      <c r="AN25" s="1114"/>
      <c r="AO25" s="1114"/>
      <c r="AP25" s="1114"/>
      <c r="AQ25" s="1114"/>
      <c r="AR25" s="1114"/>
      <c r="AS25" s="1114"/>
      <c r="AT25" s="1114"/>
      <c r="AU25" s="1114"/>
      <c r="AV25" s="1109"/>
      <c r="AW25" s="1114"/>
      <c r="AX25" s="1114"/>
      <c r="AY25" s="1114"/>
      <c r="AZ25" s="1114"/>
      <c r="BA25" s="1114"/>
      <c r="BB25" s="1114"/>
      <c r="BC25" s="1114"/>
      <c r="BD25" s="1114"/>
      <c r="BE25" s="1114"/>
      <c r="BF25" s="1114"/>
    </row>
    <row r="26" spans="1:58" s="542" customFormat="1" ht="15.75" customHeight="1" x14ac:dyDescent="0.25">
      <c r="A26" s="1114"/>
      <c r="B26" s="1114"/>
      <c r="C26" s="1585">
        <f>'A-Info, Phases, Recip.'!A26</f>
        <v>14</v>
      </c>
      <c r="D26" s="103"/>
      <c r="E26" s="18"/>
      <c r="F26" s="2197" t="str">
        <f>'A-Info, Phases, Recip.'!E26</f>
        <v>Division of Public Safety:</v>
      </c>
      <c r="G26" s="2198"/>
      <c r="H26" s="2173" t="str">
        <f>IF('A-Info, Phases, Recip.'!Public_Safety_Applies="Yes",IF(COUNTIF('A-Info, Phases, Recip.'!$E$126:$E$146,Phase_dropdown)=0,"Choose applicable Phase or Combined Phases",IF(COUNTIF('A-Info, Phases, Recip.'!$F$13:$R$13,Phase_dropdown),HLOOKUP(Phase_dropdown,'A-Info, Phases, Recip.'!$F$13:$R$35,12,FALSE),"Choose applicable Phase or Combined Phases")),"Recipient not applicable")</f>
        <v>e</v>
      </c>
      <c r="I26" s="2174"/>
      <c r="J26" s="2173" t="str">
        <f>IF(OR(ISNUMBER(SEARCH("choose",H26))=TRUE,ISNUMBER(SEARCH("error",H26))=TRUE),"ERROR",IF('A-Info, Phases, Recip.'!S26="","",'A-Info, Phases, Recip.'!S26))</f>
        <v/>
      </c>
      <c r="K26" s="2174"/>
      <c r="L26" s="1646"/>
      <c r="M26" s="1646"/>
      <c r="N26" s="1646"/>
      <c r="O26" s="1646"/>
      <c r="P26" s="1646"/>
      <c r="Q26" s="1646"/>
      <c r="R26" s="1646"/>
      <c r="S26" s="1646"/>
      <c r="T26" s="1646"/>
      <c r="U26" s="1646"/>
      <c r="V26" s="1642"/>
      <c r="W26" s="1620" t="str">
        <f>IF(H26="Choose applicable Phase or Combined Phases",CONCATENATE("NOTE: Change selection in merged cell D",ROW(Phase_dropdown)," !!!"),"&lt;--- AUTO")</f>
        <v>&lt;--- AUTO</v>
      </c>
      <c r="X26" s="1592"/>
      <c r="Y26" s="1592"/>
      <c r="Z26" s="1592"/>
      <c r="AA26" s="1097"/>
      <c r="AB26" s="1114"/>
      <c r="AC26" s="1114"/>
      <c r="AD26" s="1114"/>
      <c r="AE26" s="1114"/>
      <c r="AF26" s="1114"/>
      <c r="AG26" s="1114"/>
      <c r="AH26" s="1114"/>
      <c r="AI26" s="1114"/>
      <c r="AJ26" s="1114"/>
      <c r="AK26" s="1114"/>
      <c r="AL26" s="1114"/>
      <c r="AM26" s="1114"/>
      <c r="AN26" s="1114"/>
      <c r="AO26" s="1114"/>
      <c r="AP26" s="1114"/>
      <c r="AQ26" s="1114"/>
      <c r="AR26" s="1114"/>
      <c r="AS26" s="1114"/>
      <c r="AT26" s="1114"/>
      <c r="AU26" s="1114"/>
      <c r="AV26" s="1109"/>
      <c r="AW26" s="1114"/>
      <c r="AX26" s="1114"/>
      <c r="AY26" s="1114"/>
      <c r="AZ26" s="1114"/>
      <c r="BA26" s="1114"/>
      <c r="BB26" s="1114"/>
      <c r="BC26" s="1114"/>
      <c r="BD26" s="1114"/>
      <c r="BE26" s="1114"/>
      <c r="BF26" s="1114"/>
    </row>
    <row r="27" spans="1:58" s="542" customFormat="1" ht="3.95" customHeight="1" x14ac:dyDescent="0.25">
      <c r="A27" s="1114"/>
      <c r="B27" s="1114"/>
      <c r="C27" s="1586">
        <f>'A-Info, Phases, Recip.'!A27</f>
        <v>15</v>
      </c>
      <c r="D27" s="103"/>
      <c r="E27" s="18"/>
      <c r="F27" s="2173"/>
      <c r="G27" s="2174"/>
      <c r="H27" s="2171"/>
      <c r="I27" s="2172"/>
      <c r="J27" s="2171"/>
      <c r="K27" s="2172"/>
      <c r="L27" s="1646"/>
      <c r="M27" s="1646"/>
      <c r="N27" s="1646"/>
      <c r="O27" s="1646"/>
      <c r="P27" s="1646"/>
      <c r="Q27" s="1646"/>
      <c r="R27" s="1646"/>
      <c r="S27" s="1646"/>
      <c r="T27" s="1646"/>
      <c r="U27" s="1646"/>
      <c r="V27" s="1642"/>
      <c r="W27" s="1621"/>
      <c r="X27" s="1097"/>
      <c r="Y27" s="1097"/>
      <c r="Z27" s="1097"/>
      <c r="AA27" s="1097"/>
      <c r="AB27" s="1114"/>
      <c r="AC27" s="1114"/>
      <c r="AD27" s="1114"/>
      <c r="AE27" s="1114"/>
      <c r="AF27" s="1114"/>
      <c r="AG27" s="1114"/>
      <c r="AH27" s="1114"/>
      <c r="AI27" s="1114"/>
      <c r="AJ27" s="1114"/>
      <c r="AK27" s="1114"/>
      <c r="AL27" s="1114"/>
      <c r="AM27" s="1114"/>
      <c r="AN27" s="1114"/>
      <c r="AO27" s="1114"/>
      <c r="AP27" s="1114"/>
      <c r="AQ27" s="1114"/>
      <c r="AR27" s="1114"/>
      <c r="AS27" s="1114"/>
      <c r="AT27" s="1114"/>
      <c r="AU27" s="1114"/>
      <c r="AV27" s="1109"/>
      <c r="AW27" s="1114"/>
      <c r="AX27" s="1114"/>
      <c r="AY27" s="1114"/>
      <c r="AZ27" s="1114"/>
      <c r="BA27" s="1114"/>
      <c r="BB27" s="1114"/>
      <c r="BC27" s="1114"/>
      <c r="BD27" s="1114"/>
      <c r="BE27" s="1114"/>
      <c r="BF27" s="1114"/>
    </row>
    <row r="28" spans="1:58" s="542" customFormat="1" ht="16.5" customHeight="1" x14ac:dyDescent="0.25">
      <c r="A28" s="1114"/>
      <c r="B28" s="1114"/>
      <c r="C28" s="1585">
        <f>'A-Info, Phases, Recip.'!A28</f>
        <v>16</v>
      </c>
      <c r="D28" s="103"/>
      <c r="E28" s="18"/>
      <c r="F28" s="2197" t="str">
        <f>'A-Info, Phases, Recip.'!E28</f>
        <v>Parking Department:</v>
      </c>
      <c r="G28" s="2198"/>
      <c r="H28" s="2173" t="str">
        <f>IF('A-Info, Phases, Recip.'!Parking_Applies="Yes",IF(COUNTIF('A-Info, Phases, Recip.'!$E$126:$E$146,Phase_dropdown)=0,"Choose applicable Phase or Combined Phases",IF(COUNTIF('A-Info, Phases, Recip.'!$F$13:$R$13,Phase_dropdown),HLOOKUP(Phase_dropdown,'A-Info, Phases, Recip.'!$F$13:$R$35,12,FALSE),"Choose applicable Phase or Combined Phases")),"Recipient not applicable")</f>
        <v>e</v>
      </c>
      <c r="I28" s="2174"/>
      <c r="J28" s="2173" t="str">
        <f>IF(OR(ISNUMBER(SEARCH("choose",H28))=TRUE,ISNUMBER(SEARCH("error",H28))=TRUE),"ERROR",IF('A-Info, Phases, Recip.'!S28="","",'A-Info, Phases, Recip.'!S28))</f>
        <v/>
      </c>
      <c r="K28" s="2174"/>
      <c r="L28" s="1646"/>
      <c r="M28" s="1646"/>
      <c r="N28" s="1646"/>
      <c r="O28" s="1646"/>
      <c r="P28" s="1646"/>
      <c r="Q28" s="1646"/>
      <c r="R28" s="1646"/>
      <c r="S28" s="1646"/>
      <c r="T28" s="1646"/>
      <c r="U28" s="1646"/>
      <c r="V28" s="1642"/>
      <c r="W28" s="1620" t="str">
        <f>IF(H28="Choose applicable Phase or Combined Phases",CONCATENATE("NOTE: Change selection in merged cell D",ROW(Phase_dropdown)," !!!"),"&lt;--- AUTO")</f>
        <v>&lt;--- AUTO</v>
      </c>
      <c r="X28" s="1592"/>
      <c r="Y28" s="1592"/>
      <c r="Z28" s="1592"/>
      <c r="AA28" s="1097"/>
      <c r="AB28" s="1114"/>
      <c r="AC28" s="1114"/>
      <c r="AD28" s="1114"/>
      <c r="AE28" s="1114"/>
      <c r="AF28" s="1114"/>
      <c r="AG28" s="1114"/>
      <c r="AH28" s="1114"/>
      <c r="AI28" s="1114"/>
      <c r="AJ28" s="1114"/>
      <c r="AK28" s="1114"/>
      <c r="AL28" s="1114"/>
      <c r="AM28" s="1114"/>
      <c r="AN28" s="1114"/>
      <c r="AO28" s="1114"/>
      <c r="AP28" s="1114"/>
      <c r="AQ28" s="1114"/>
      <c r="AR28" s="1114"/>
      <c r="AS28" s="1114"/>
      <c r="AT28" s="1114"/>
      <c r="AU28" s="1114"/>
      <c r="AV28" s="1109"/>
      <c r="AW28" s="1114"/>
      <c r="AX28" s="1114"/>
      <c r="AY28" s="1114"/>
      <c r="AZ28" s="1114"/>
      <c r="BA28" s="1114"/>
      <c r="BB28" s="1114"/>
      <c r="BC28" s="1114"/>
      <c r="BD28" s="1114"/>
      <c r="BE28" s="1114"/>
      <c r="BF28" s="1114"/>
    </row>
    <row r="29" spans="1:58" s="542" customFormat="1" ht="3.95" customHeight="1" x14ac:dyDescent="0.25">
      <c r="A29" s="1114"/>
      <c r="B29" s="1114"/>
      <c r="C29" s="1586">
        <f>'A-Info, Phases, Recip.'!A29</f>
        <v>17</v>
      </c>
      <c r="D29" s="103"/>
      <c r="E29" s="18"/>
      <c r="F29" s="2173"/>
      <c r="G29" s="2174"/>
      <c r="H29" s="2171"/>
      <c r="I29" s="2172"/>
      <c r="J29" s="2171"/>
      <c r="K29" s="2172"/>
      <c r="L29" s="1646"/>
      <c r="M29" s="1646"/>
      <c r="N29" s="1646"/>
      <c r="O29" s="1646"/>
      <c r="P29" s="1646"/>
      <c r="Q29" s="1646"/>
      <c r="R29" s="1646"/>
      <c r="S29" s="1646"/>
      <c r="T29" s="1646"/>
      <c r="U29" s="1646"/>
      <c r="V29" s="1642"/>
      <c r="W29" s="1621"/>
      <c r="X29" s="1097"/>
      <c r="Y29" s="1097"/>
      <c r="Z29" s="1097"/>
      <c r="AA29" s="1097"/>
      <c r="AB29" s="1114"/>
      <c r="AC29" s="1114"/>
      <c r="AD29" s="1114"/>
      <c r="AE29" s="1114"/>
      <c r="AF29" s="1114"/>
      <c r="AG29" s="1114"/>
      <c r="AH29" s="1114"/>
      <c r="AI29" s="1114"/>
      <c r="AJ29" s="1114"/>
      <c r="AK29" s="1114"/>
      <c r="AL29" s="1114"/>
      <c r="AM29" s="1114"/>
      <c r="AN29" s="1114"/>
      <c r="AO29" s="1114"/>
      <c r="AP29" s="1114"/>
      <c r="AQ29" s="1114"/>
      <c r="AR29" s="1114"/>
      <c r="AS29" s="1114"/>
      <c r="AT29" s="1114"/>
      <c r="AU29" s="1114"/>
      <c r="AV29" s="1109"/>
      <c r="AW29" s="1114"/>
      <c r="AX29" s="1114"/>
      <c r="AY29" s="1114"/>
      <c r="AZ29" s="1114"/>
      <c r="BA29" s="1114"/>
      <c r="BB29" s="1114"/>
      <c r="BC29" s="1114"/>
      <c r="BD29" s="1114"/>
      <c r="BE29" s="1114"/>
      <c r="BF29" s="1114"/>
    </row>
    <row r="30" spans="1:58" ht="23.25" customHeight="1" x14ac:dyDescent="0.25">
      <c r="A30" s="1114"/>
      <c r="B30" s="1114"/>
      <c r="C30" s="1585">
        <f>'A-Info, Phases, Recip.'!A30</f>
        <v>18</v>
      </c>
      <c r="D30" s="103"/>
      <c r="E30" s="18"/>
      <c r="F30" s="2197" t="str">
        <f>'A-Info, Phases, Recip.'!E30</f>
        <v>Project Department(s):    Provost Office</v>
      </c>
      <c r="G30" s="2198"/>
      <c r="H30" s="2173" t="str">
        <f>IF('A-Info, Phases, Recip.'!Proj_Department_Applies="Select","ERROR - Selection not made on [Tab A]",IF('A-Info, Phases, Recip.'!Proj_Department_Applies="Yes",IF(COUNTIF('A-Info, Phases, Recip.'!$E$126:$E$146,Phase_dropdown)=0,"Choose applicable Phase or Combined Phases",IF(COUNTIF('A-Info, Phases, Recip.'!$F$13:$R$13,Phase_dropdown),HLOOKUP(Phase_dropdown,'A-Info, Phases, Recip.'!$F$13:$R$35,18,FALSE),"Choose applicable Phase or Combined Phases")),"Recipient not applicable"))</f>
        <v>E,D,PM</v>
      </c>
      <c r="I30" s="2174"/>
      <c r="J30" s="2173" t="str">
        <f>IF(OR(ISNUMBER(SEARCH("choose",H30))=TRUE,ISNUMBER(SEARCH("error",H30))=TRUE),"ERROR",IF('A-Info, Phases, Recip.'!S30="","",'A-Info, Phases, Recip.'!S30))</f>
        <v>Half Size</v>
      </c>
      <c r="K30" s="2174"/>
      <c r="L30" s="1646"/>
      <c r="M30" s="1646"/>
      <c r="N30" s="1646"/>
      <c r="O30" s="1646"/>
      <c r="P30" s="1646"/>
      <c r="Q30" s="1646"/>
      <c r="R30" s="1646"/>
      <c r="S30" s="1646"/>
      <c r="T30" s="1646"/>
      <c r="U30" s="1646"/>
      <c r="V30" s="1642"/>
      <c r="W30" s="1620" t="str">
        <f>IF(H30="Choose applicable Phase or Combined Phases",CONCATENATE("NOTE: Change selection in merged cell D",ROW(Phase_dropdown)," !!!"),"&lt;--- AUTO")</f>
        <v>&lt;--- AUTO</v>
      </c>
      <c r="X30" s="1592"/>
      <c r="Y30" s="1592"/>
      <c r="Z30" s="1592"/>
      <c r="AA30" s="1097"/>
      <c r="AB30" s="1114"/>
      <c r="AC30" s="1114"/>
      <c r="AD30" s="1114"/>
      <c r="AE30" s="1114"/>
      <c r="AF30" s="1114"/>
      <c r="AG30" s="1114"/>
      <c r="AH30" s="1114"/>
      <c r="AI30" s="1114"/>
      <c r="AJ30" s="1114"/>
      <c r="AK30" s="1114"/>
      <c r="AL30" s="1114"/>
      <c r="AM30" s="1114"/>
      <c r="AN30" s="1114"/>
      <c r="AO30" s="1114"/>
      <c r="AP30" s="1114"/>
      <c r="AQ30" s="1114"/>
      <c r="AR30" s="1114"/>
      <c r="AS30" s="1114"/>
      <c r="AT30" s="1114"/>
      <c r="AU30" s="1114"/>
      <c r="AV30" s="1109"/>
      <c r="AW30" s="1114"/>
      <c r="AX30" s="1114"/>
      <c r="AY30" s="1114"/>
      <c r="AZ30" s="1114"/>
      <c r="BA30" s="1114"/>
      <c r="BB30" s="1114"/>
      <c r="BC30" s="1114"/>
      <c r="BD30" s="1114"/>
      <c r="BE30" s="1114"/>
      <c r="BF30" s="1114"/>
    </row>
    <row r="31" spans="1:58" ht="3.95" customHeight="1" x14ac:dyDescent="0.25">
      <c r="A31" s="1114"/>
      <c r="B31" s="1114"/>
      <c r="C31" s="1586">
        <f>'A-Info, Phases, Recip.'!A31</f>
        <v>19</v>
      </c>
      <c r="D31" s="103"/>
      <c r="E31" s="18"/>
      <c r="F31" s="2173"/>
      <c r="G31" s="2174"/>
      <c r="H31" s="2171"/>
      <c r="I31" s="2172"/>
      <c r="J31" s="2171"/>
      <c r="K31" s="2172"/>
      <c r="L31" s="1646"/>
      <c r="M31" s="1646"/>
      <c r="N31" s="1646"/>
      <c r="O31" s="1646"/>
      <c r="P31" s="1646"/>
      <c r="Q31" s="1646"/>
      <c r="R31" s="1646"/>
      <c r="S31" s="1646"/>
      <c r="T31" s="1646"/>
      <c r="U31" s="1646"/>
      <c r="V31" s="1642"/>
      <c r="W31" s="1621"/>
      <c r="X31" s="1097"/>
      <c r="Y31" s="1097"/>
      <c r="Z31" s="1097"/>
      <c r="AA31" s="1097"/>
      <c r="AB31" s="1114"/>
      <c r="AC31" s="1114"/>
      <c r="AD31" s="1114"/>
      <c r="AE31" s="1114"/>
      <c r="AF31" s="1114"/>
      <c r="AG31" s="1114"/>
      <c r="AH31" s="1114"/>
      <c r="AI31" s="1114"/>
      <c r="AJ31" s="1114"/>
      <c r="AK31" s="1114"/>
      <c r="AL31" s="1114"/>
      <c r="AM31" s="1114"/>
      <c r="AN31" s="1114"/>
      <c r="AO31" s="1114"/>
      <c r="AP31" s="1114"/>
      <c r="AQ31" s="1114"/>
      <c r="AR31" s="1114"/>
      <c r="AS31" s="1114"/>
      <c r="AT31" s="1114"/>
      <c r="AU31" s="1114"/>
      <c r="AV31" s="1109"/>
      <c r="AW31" s="1114"/>
      <c r="AX31" s="1114"/>
      <c r="AY31" s="1114"/>
      <c r="AZ31" s="1114"/>
      <c r="BA31" s="1114"/>
      <c r="BB31" s="1114"/>
      <c r="BC31" s="1114"/>
      <c r="BD31" s="1114"/>
      <c r="BE31" s="1114"/>
      <c r="BF31" s="1114"/>
    </row>
    <row r="32" spans="1:58" ht="23.25" customHeight="1" x14ac:dyDescent="0.25">
      <c r="A32" s="1114"/>
      <c r="B32" s="1114"/>
      <c r="C32" s="1585">
        <f>'A-Info, Phases, Recip.'!A32</f>
        <v>20</v>
      </c>
      <c r="D32" s="103"/>
      <c r="E32" s="18"/>
      <c r="F32" s="2197" t="str">
        <f>'A-Info, Phases, Recip.'!E32</f>
        <v xml:space="preserve">Project College (as applicable):     LAS       </v>
      </c>
      <c r="G32" s="2198"/>
      <c r="H32" s="2173" t="str">
        <f>IF('A-Info, Phases, Recip.'!Proj_College_Applies="Select","ERROR - Selection not made on [Tab A]",IF('A-Info, Phases, Recip.'!Proj_College_Applies="Yes",IF(COUNTIF('A-Info, Phases, Recip.'!$E$126:$E$146,Phase_dropdown)=0,"Choose applicable Phase or Combined Phases",IF(COUNTIF('A-Info, Phases, Recip.'!$F$13:$R$13,Phase_dropdown),HLOOKUP(Phase_dropdown,'A-Info, Phases, Recip.'!$F$13:$R$35,20,FALSE),"Choose applicable Phase or Combined Phases")),"Recipient not applicable"))</f>
        <v>E,D,PM</v>
      </c>
      <c r="I32" s="2174"/>
      <c r="J32" s="2173" t="str">
        <f>IF(OR(ISNUMBER(SEARCH("choose",H32))=TRUE,ISNUMBER(SEARCH("error",H32))=TRUE),"ERROR",IF('A-Info, Phases, Recip.'!S32="","",'A-Info, Phases, Recip.'!S32))</f>
        <v>Half Size</v>
      </c>
      <c r="K32" s="2174"/>
      <c r="L32" s="1646"/>
      <c r="M32" s="1646"/>
      <c r="N32" s="1646"/>
      <c r="O32" s="1646"/>
      <c r="P32" s="1646"/>
      <c r="Q32" s="1646"/>
      <c r="R32" s="1646"/>
      <c r="S32" s="1646"/>
      <c r="T32" s="1646"/>
      <c r="U32" s="1646"/>
      <c r="V32" s="1642"/>
      <c r="W32" s="1620" t="str">
        <f>IF(H32="Choose applicable Phase or Combined Phases",CONCATENATE("NOTE: Change selection in merged cell D",ROW(Phase_dropdown)," !!!"),"&lt;--- AUTO")</f>
        <v>&lt;--- AUTO</v>
      </c>
      <c r="X32" s="1592"/>
      <c r="Y32" s="1592"/>
      <c r="Z32" s="1592"/>
      <c r="AA32" s="1097"/>
      <c r="AB32" s="1114"/>
      <c r="AC32" s="1114"/>
      <c r="AD32" s="1114"/>
      <c r="AE32" s="1114"/>
      <c r="AF32" s="1114"/>
      <c r="AG32" s="1114"/>
      <c r="AH32" s="1114"/>
      <c r="AI32" s="1114"/>
      <c r="AJ32" s="1114"/>
      <c r="AK32" s="1114"/>
      <c r="AL32" s="1114"/>
      <c r="AM32" s="1114"/>
      <c r="AN32" s="1114"/>
      <c r="AO32" s="1114"/>
      <c r="AP32" s="1114"/>
      <c r="AQ32" s="1114"/>
      <c r="AR32" s="1114"/>
      <c r="AS32" s="1114"/>
      <c r="AT32" s="1114"/>
      <c r="AU32" s="1114"/>
      <c r="AV32" s="1109"/>
      <c r="AW32" s="1114"/>
      <c r="AX32" s="1114"/>
      <c r="AY32" s="1114"/>
      <c r="AZ32" s="1114"/>
      <c r="BA32" s="1114"/>
      <c r="BB32" s="1114"/>
      <c r="BC32" s="1114"/>
      <c r="BD32" s="1114"/>
      <c r="BE32" s="1114"/>
      <c r="BF32" s="1114"/>
    </row>
    <row r="33" spans="1:58" ht="3.95" customHeight="1" x14ac:dyDescent="0.25">
      <c r="A33" s="1114"/>
      <c r="B33" s="1114"/>
      <c r="C33" s="1586">
        <f>'A-Info, Phases, Recip.'!A33</f>
        <v>21</v>
      </c>
      <c r="D33" s="103"/>
      <c r="E33" s="18"/>
      <c r="F33" s="2173"/>
      <c r="G33" s="2174"/>
      <c r="H33" s="2171"/>
      <c r="I33" s="2172"/>
      <c r="J33" s="2171"/>
      <c r="K33" s="2172"/>
      <c r="L33" s="1646"/>
      <c r="M33" s="1646"/>
      <c r="N33" s="1646"/>
      <c r="O33" s="1646"/>
      <c r="P33" s="1646"/>
      <c r="Q33" s="1646"/>
      <c r="R33" s="1646"/>
      <c r="S33" s="1646"/>
      <c r="T33" s="1646"/>
      <c r="U33" s="1646"/>
      <c r="V33" s="1642"/>
      <c r="W33" s="1621"/>
      <c r="X33" s="1097"/>
      <c r="Y33" s="1097"/>
      <c r="Z33" s="1097"/>
      <c r="AA33" s="1097"/>
      <c r="AB33" s="1114"/>
      <c r="AC33" s="1114"/>
      <c r="AD33" s="1114"/>
      <c r="AE33" s="1114"/>
      <c r="AF33" s="1114"/>
      <c r="AG33" s="1114"/>
      <c r="AH33" s="1114"/>
      <c r="AI33" s="1114"/>
      <c r="AJ33" s="1114"/>
      <c r="AK33" s="1114"/>
      <c r="AL33" s="1114"/>
      <c r="AM33" s="1114"/>
      <c r="AN33" s="1114"/>
      <c r="AO33" s="1114"/>
      <c r="AP33" s="1114"/>
      <c r="AQ33" s="1114"/>
      <c r="AR33" s="1114"/>
      <c r="AS33" s="1114"/>
      <c r="AT33" s="1114"/>
      <c r="AU33" s="1114"/>
      <c r="AV33" s="1109"/>
      <c r="AW33" s="1114"/>
      <c r="AX33" s="1114"/>
      <c r="AY33" s="1114"/>
      <c r="AZ33" s="1114"/>
      <c r="BA33" s="1114"/>
      <c r="BB33" s="1114"/>
      <c r="BC33" s="1114"/>
      <c r="BD33" s="1114"/>
      <c r="BE33" s="1114"/>
      <c r="BF33" s="1114"/>
    </row>
    <row r="34" spans="1:58" ht="21.75" customHeight="1" x14ac:dyDescent="0.25">
      <c r="A34" s="1114"/>
      <c r="B34" s="1114"/>
      <c r="C34" s="1585">
        <f>'A-Info, Phases, Recip.'!A34</f>
        <v>22</v>
      </c>
      <c r="D34" s="103"/>
      <c r="E34" s="18"/>
      <c r="F34" s="2197" t="str">
        <f>'A-Info, Phases, Recip.'!E34</f>
        <v xml:space="preserve">Other:    Campus Historic Preservation Officer                                                                                                              </v>
      </c>
      <c r="G34" s="2198"/>
      <c r="H34" s="2173" t="str">
        <f>IF('A-Info, Phases, Recip.'!Proj_Other_Recipient_Applies="Select","ERROR - Selection not made on [Tab A]",IF('A-Info, Phases, Recip.'!Proj_Other_Recipient_Applies="Yes",IF(COUNTIF('A-Info, Phases, Recip.'!$E$126:$E$146,Phase_dropdown)=0,"Choose applicable Phase or Combined Phases",IF(COUNTIF('A-Info, Phases, Recip.'!$F$13:$R$13,Phase_dropdown),HLOOKUP(Phase_dropdown,'A-Info, Phases, Recip.'!$F$13:$R$35,22,FALSE),"Choose applicable Phase or Combined Phases")),"Recipient not applicable"))</f>
        <v>E,D,PM</v>
      </c>
      <c r="I34" s="2174"/>
      <c r="J34" s="2173" t="str">
        <f>IF(OR(ISNUMBER(SEARCH("choose",H34))=TRUE,ISNUMBER(SEARCH("error",H34))=TRUE),"ERROR",IF('A-Info, Phases, Recip.'!S34="","",'A-Info, Phases, Recip.'!S34))</f>
        <v>Half Size</v>
      </c>
      <c r="K34" s="2174"/>
      <c r="L34" s="1646"/>
      <c r="M34" s="1646"/>
      <c r="N34" s="1646"/>
      <c r="O34" s="1646"/>
      <c r="P34" s="1646"/>
      <c r="Q34" s="1646"/>
      <c r="R34" s="1646"/>
      <c r="S34" s="1646"/>
      <c r="T34" s="1646"/>
      <c r="U34" s="1646"/>
      <c r="V34" s="1642"/>
      <c r="W34" s="1620" t="str">
        <f>IF(H34="Choose applicable Phase or Combined Phases",CONCATENATE("NOTE: Change selection in merged cell D",ROW(Phase_dropdown)," !!!"),"&lt;--- AUTO")</f>
        <v>&lt;--- AUTO</v>
      </c>
      <c r="X34" s="1592"/>
      <c r="Y34" s="1592"/>
      <c r="Z34" s="1592"/>
      <c r="AA34" s="1097"/>
      <c r="AB34" s="1114"/>
      <c r="AC34" s="1114"/>
      <c r="AD34" s="1114"/>
      <c r="AE34" s="1114"/>
      <c r="AF34" s="1114"/>
      <c r="AG34" s="1114"/>
      <c r="AH34" s="1114"/>
      <c r="AI34" s="1114"/>
      <c r="AJ34" s="1114"/>
      <c r="AK34" s="1114"/>
      <c r="AL34" s="1114"/>
      <c r="AM34" s="1114"/>
      <c r="AN34" s="1114"/>
      <c r="AO34" s="1114"/>
      <c r="AP34" s="1114"/>
      <c r="AQ34" s="1114"/>
      <c r="AR34" s="1114"/>
      <c r="AS34" s="1114"/>
      <c r="AT34" s="1114"/>
      <c r="AU34" s="1114"/>
      <c r="AV34" s="1109"/>
      <c r="AW34" s="1114"/>
      <c r="AX34" s="1114"/>
      <c r="AY34" s="1114"/>
      <c r="AZ34" s="1114"/>
      <c r="BA34" s="1114"/>
      <c r="BB34" s="1114"/>
      <c r="BC34" s="1114"/>
      <c r="BD34" s="1114"/>
      <c r="BE34" s="1114"/>
      <c r="BF34" s="1114"/>
    </row>
    <row r="35" spans="1:58" s="542" customFormat="1" ht="3.95" customHeight="1" x14ac:dyDescent="0.25">
      <c r="A35" s="1114"/>
      <c r="B35" s="1114"/>
      <c r="C35" s="1586">
        <f>'A-Info, Phases, Recip.'!A35</f>
        <v>23</v>
      </c>
      <c r="D35" s="103"/>
      <c r="E35" s="18"/>
      <c r="F35" s="2173"/>
      <c r="G35" s="2174"/>
      <c r="H35" s="2171"/>
      <c r="I35" s="2172"/>
      <c r="J35" s="2171"/>
      <c r="K35" s="2172"/>
      <c r="L35" s="1646"/>
      <c r="M35" s="1646"/>
      <c r="N35" s="1646"/>
      <c r="O35" s="1646"/>
      <c r="P35" s="1646"/>
      <c r="Q35" s="1646"/>
      <c r="R35" s="1646"/>
      <c r="S35" s="1646"/>
      <c r="T35" s="1646"/>
      <c r="U35" s="1646"/>
      <c r="V35" s="1642"/>
      <c r="W35" s="1621"/>
      <c r="X35" s="1097"/>
      <c r="Y35" s="1097"/>
      <c r="Z35" s="1097"/>
      <c r="AA35" s="1097"/>
      <c r="AB35" s="1114"/>
      <c r="AC35" s="1114"/>
      <c r="AD35" s="1114"/>
      <c r="AE35" s="1114"/>
      <c r="AF35" s="1114"/>
      <c r="AG35" s="1114"/>
      <c r="AH35" s="1114"/>
      <c r="AI35" s="1114"/>
      <c r="AJ35" s="1114"/>
      <c r="AK35" s="1114"/>
      <c r="AL35" s="1114"/>
      <c r="AM35" s="1114"/>
      <c r="AN35" s="1114"/>
      <c r="AO35" s="1114"/>
      <c r="AP35" s="1114"/>
      <c r="AQ35" s="1114"/>
      <c r="AR35" s="1114"/>
      <c r="AS35" s="1114"/>
      <c r="AT35" s="1114"/>
      <c r="AU35" s="1114"/>
      <c r="AV35" s="1109"/>
      <c r="AW35" s="1114"/>
      <c r="AX35" s="1114"/>
      <c r="AY35" s="1114"/>
      <c r="AZ35" s="1114"/>
      <c r="BA35" s="1114"/>
      <c r="BB35" s="1114"/>
      <c r="BC35" s="1114"/>
      <c r="BD35" s="1114"/>
      <c r="BE35" s="1114"/>
      <c r="BF35" s="1114"/>
    </row>
    <row r="36" spans="1:58" s="542" customFormat="1" ht="21.75" customHeight="1" x14ac:dyDescent="0.25">
      <c r="A36" s="1114"/>
      <c r="B36" s="1114"/>
      <c r="C36" s="1585">
        <f>'A-Info, Phases, Recip.'!A35</f>
        <v>23</v>
      </c>
      <c r="D36" s="103"/>
      <c r="E36" s="18"/>
      <c r="F36" s="2197" t="str">
        <f>'A-Info, Phases, Recip.'!E36</f>
        <v>Email electronics only: INSERT email addresses of recipients</v>
      </c>
      <c r="G36" s="2198"/>
      <c r="H36" s="2173" t="str">
        <f>IF('A-Info, Phases, Recip.'!Proj_email_only_recipients="Select","ERROR - Selection not made on [Tab A]",IF('A-Info, Phases, Recip.'!Proj_email_only_recipients="Yes",IF(COUNTIF('A-Info, Phases, Recip.'!$E$126:$E$146,Phase_dropdown)=0,"Choose applicable Phase or Combined Phases",IF(COUNTIF('A-Info, Phases, Recip.'!$F$13:$R$13,Phase_dropdown),HLOOKUP(Phase_dropdown,'A-Info, Phases, Recip.'!$F$13:$R$36,24,FALSE),"Choose applicable Phase or Combined Phases")),"Recipient not applicable"))</f>
        <v>Recipient not applicable</v>
      </c>
      <c r="I36" s="2174"/>
      <c r="J36" s="2173" t="str">
        <f>IF(OR(ISNUMBER(SEARCH("choose",H36))=TRUE,ISNUMBER(SEARCH("error",H36))=TRUE),"ERROR",IF('A-Info, Phases, Recip.'!S36="","",'A-Info, Phases, Recip.'!S36))</f>
        <v/>
      </c>
      <c r="K36" s="2174"/>
      <c r="L36" s="1646"/>
      <c r="M36" s="1646"/>
      <c r="N36" s="1646"/>
      <c r="O36" s="1646"/>
      <c r="P36" s="1646"/>
      <c r="Q36" s="1646"/>
      <c r="R36" s="1646"/>
      <c r="S36" s="1646"/>
      <c r="T36" s="1646"/>
      <c r="U36" s="1646"/>
      <c r="V36" s="1642"/>
      <c r="W36" s="1620" t="str">
        <f>IF(H36="Choose applicable Phase or Combined Phases",CONCATENATE("NOTE: Change selection in merged cell D",ROW(Phase_dropdown)," !!!"),"&lt;--- AUTO")</f>
        <v>&lt;--- AUTO</v>
      </c>
      <c r="X36" s="1592"/>
      <c r="Y36" s="1592"/>
      <c r="Z36" s="1592"/>
      <c r="AA36" s="1097"/>
      <c r="AB36" s="1114"/>
      <c r="AC36" s="1114"/>
      <c r="AD36" s="1114"/>
      <c r="AE36" s="1114"/>
      <c r="AF36" s="1114"/>
      <c r="AG36" s="1114"/>
      <c r="AH36" s="1114"/>
      <c r="AI36" s="1114"/>
      <c r="AJ36" s="1114"/>
      <c r="AK36" s="1114"/>
      <c r="AL36" s="1114"/>
      <c r="AM36" s="1114"/>
      <c r="AN36" s="1114"/>
      <c r="AO36" s="1114"/>
      <c r="AP36" s="1114"/>
      <c r="AQ36" s="1114"/>
      <c r="AR36" s="1114"/>
      <c r="AS36" s="1114"/>
      <c r="AT36" s="1114"/>
      <c r="AU36" s="1114"/>
      <c r="AV36" s="1109"/>
      <c r="AW36" s="1114"/>
      <c r="AX36" s="1114"/>
      <c r="AY36" s="1114"/>
      <c r="AZ36" s="1114"/>
      <c r="BA36" s="1114"/>
      <c r="BB36" s="1114"/>
      <c r="BC36" s="1114"/>
      <c r="BD36" s="1114"/>
      <c r="BE36" s="1114"/>
      <c r="BF36" s="1114"/>
    </row>
    <row r="37" spans="1:58" ht="39.75" customHeight="1" x14ac:dyDescent="0.25">
      <c r="A37" s="1114"/>
      <c r="B37" s="1114"/>
      <c r="C37" s="1114"/>
      <c r="D37" s="103"/>
      <c r="E37" s="1906" t="s">
        <v>4</v>
      </c>
      <c r="F37" s="2211" t="s">
        <v>1245</v>
      </c>
      <c r="G37" s="2211"/>
      <c r="H37" s="2211"/>
      <c r="I37" s="2211"/>
      <c r="J37" s="2211"/>
      <c r="K37" s="110"/>
      <c r="L37" s="1646"/>
      <c r="M37" s="1646"/>
      <c r="N37" s="1646"/>
      <c r="O37" s="1646"/>
      <c r="P37" s="1646"/>
      <c r="Q37" s="1646"/>
      <c r="R37" s="1646"/>
      <c r="S37" s="1646"/>
      <c r="T37" s="1646"/>
      <c r="U37" s="1646"/>
      <c r="V37" s="1642"/>
      <c r="W37" s="1620"/>
      <c r="X37" s="1594"/>
      <c r="Y37" s="1594"/>
      <c r="Z37" s="1594"/>
      <c r="AA37" s="1594"/>
      <c r="AB37" s="1594"/>
      <c r="AC37" s="1594"/>
      <c r="AD37" s="1594"/>
      <c r="AE37" s="1594"/>
      <c r="AF37" s="1594"/>
      <c r="AG37" s="1594"/>
      <c r="AH37" s="1594"/>
      <c r="AI37" s="1594"/>
      <c r="AJ37" s="1594"/>
      <c r="AK37" s="1594"/>
      <c r="AL37" s="1594"/>
      <c r="AM37" s="1594"/>
      <c r="AN37" s="1594"/>
      <c r="AO37" s="1594"/>
      <c r="AP37" s="1594"/>
      <c r="AQ37" s="1594"/>
      <c r="AR37" s="1114"/>
      <c r="AS37" s="1114"/>
      <c r="AT37" s="1114"/>
      <c r="AU37" s="1114"/>
      <c r="AV37" s="1109"/>
      <c r="AW37" s="1114"/>
      <c r="AX37" s="1114"/>
      <c r="AY37" s="1114"/>
      <c r="AZ37" s="1114"/>
      <c r="BA37" s="1114"/>
      <c r="BB37" s="1114"/>
      <c r="BC37" s="1114"/>
      <c r="BD37" s="1114"/>
      <c r="BE37" s="1114"/>
      <c r="BF37" s="1114"/>
    </row>
    <row r="38" spans="1:58" ht="7.5" customHeight="1" thickBot="1" x14ac:dyDescent="0.3">
      <c r="A38" s="1114"/>
      <c r="B38" s="1114"/>
      <c r="C38" s="1114"/>
      <c r="D38" s="103"/>
      <c r="E38" s="18"/>
      <c r="F38" s="158"/>
      <c r="G38" s="158"/>
      <c r="H38" s="159"/>
      <c r="I38" s="159"/>
      <c r="J38" s="32"/>
      <c r="K38" s="110"/>
      <c r="L38" s="1646"/>
      <c r="M38" s="1646"/>
      <c r="N38" s="1646"/>
      <c r="O38" s="1646"/>
      <c r="P38" s="1646"/>
      <c r="Q38" s="1646"/>
      <c r="R38" s="1646"/>
      <c r="S38" s="1646"/>
      <c r="T38" s="1646"/>
      <c r="U38" s="1646"/>
      <c r="V38" s="1642"/>
      <c r="W38" s="1620"/>
      <c r="X38" s="1592"/>
      <c r="Y38" s="1114"/>
      <c r="Z38" s="1114"/>
      <c r="AA38" s="1114"/>
      <c r="AB38" s="1114"/>
      <c r="AC38" s="1114"/>
      <c r="AD38" s="1114"/>
      <c r="AE38" s="1114"/>
      <c r="AF38" s="1114"/>
      <c r="AG38" s="1114"/>
      <c r="AH38" s="1114"/>
      <c r="AI38" s="1114"/>
      <c r="AJ38" s="1114"/>
      <c r="AK38" s="1114"/>
      <c r="AL38" s="1114"/>
      <c r="AM38" s="1114"/>
      <c r="AN38" s="1114"/>
      <c r="AO38" s="1114"/>
      <c r="AP38" s="1114"/>
      <c r="AQ38" s="1114"/>
      <c r="AR38" s="1114"/>
      <c r="AS38" s="1114"/>
      <c r="AT38" s="1114"/>
      <c r="AU38" s="1114"/>
      <c r="AV38" s="1109"/>
      <c r="AW38" s="1114"/>
      <c r="AX38" s="1114"/>
      <c r="AY38" s="1114"/>
      <c r="AZ38" s="1114"/>
      <c r="BA38" s="1114"/>
      <c r="BB38" s="1114"/>
      <c r="BC38" s="1114"/>
      <c r="BD38" s="1114"/>
      <c r="BE38" s="1114"/>
      <c r="BF38" s="1114"/>
    </row>
    <row r="39" spans="1:58" s="542" customFormat="1" ht="17.25" thickTop="1" thickBot="1" x14ac:dyDescent="0.3">
      <c r="A39" s="1114"/>
      <c r="B39" s="1114"/>
      <c r="C39" s="1584"/>
      <c r="D39" s="103"/>
      <c r="E39" s="18"/>
      <c r="F39" s="2215" t="s">
        <v>579</v>
      </c>
      <c r="G39" s="2216"/>
      <c r="H39" s="2216"/>
      <c r="I39" s="2217"/>
      <c r="J39" s="18"/>
      <c r="K39" s="105"/>
      <c r="L39" s="1643"/>
      <c r="M39" s="1643"/>
      <c r="N39" s="1643"/>
      <c r="O39" s="1643"/>
      <c r="P39" s="1643"/>
      <c r="Q39" s="1643"/>
      <c r="R39" s="1643"/>
      <c r="S39" s="1643"/>
      <c r="T39" s="1643"/>
      <c r="U39" s="1643"/>
      <c r="V39" s="1642"/>
      <c r="W39" s="1622"/>
      <c r="X39" s="1114"/>
      <c r="Y39" s="1114"/>
      <c r="Z39" s="1114"/>
      <c r="AA39" s="1114"/>
      <c r="AB39" s="1114"/>
      <c r="AC39" s="1114"/>
      <c r="AD39" s="1114"/>
      <c r="AE39" s="1114"/>
      <c r="AF39" s="1114"/>
      <c r="AG39" s="1114"/>
      <c r="AH39" s="1114"/>
      <c r="AI39" s="1114"/>
      <c r="AJ39" s="1114"/>
      <c r="AK39" s="1114"/>
      <c r="AL39" s="1114"/>
      <c r="AM39" s="1114"/>
      <c r="AN39" s="1114"/>
      <c r="AO39" s="1114"/>
      <c r="AP39" s="1114"/>
      <c r="AQ39" s="1114"/>
      <c r="AR39" s="1114"/>
      <c r="AS39" s="1114"/>
      <c r="AT39" s="1114"/>
      <c r="AU39" s="1114"/>
      <c r="AV39" s="1109"/>
      <c r="AW39" s="1114"/>
      <c r="AX39" s="1114"/>
      <c r="AY39" s="1114"/>
      <c r="AZ39" s="1114"/>
      <c r="BA39" s="1114"/>
      <c r="BB39" s="1114"/>
      <c r="BC39" s="1114"/>
      <c r="BD39" s="1114"/>
      <c r="BE39" s="1114"/>
      <c r="BF39" s="1114"/>
    </row>
    <row r="40" spans="1:58" ht="19.5" customHeight="1" thickTop="1" x14ac:dyDescent="0.25">
      <c r="A40" s="1114"/>
      <c r="B40" s="1114"/>
      <c r="C40" s="1114"/>
      <c r="D40" s="103"/>
      <c r="E40" s="18"/>
      <c r="F40" s="2213" t="s">
        <v>141</v>
      </c>
      <c r="G40" s="983"/>
      <c r="H40" s="2207" t="s">
        <v>122</v>
      </c>
      <c r="I40" s="2208"/>
      <c r="J40" s="32"/>
      <c r="K40" s="110"/>
      <c r="L40" s="1646"/>
      <c r="M40" s="1646"/>
      <c r="N40" s="1646"/>
      <c r="O40" s="1646"/>
      <c r="P40" s="1646"/>
      <c r="Q40" s="1646"/>
      <c r="R40" s="1646"/>
      <c r="S40" s="1646"/>
      <c r="T40" s="1646"/>
      <c r="U40" s="1646"/>
      <c r="V40" s="1642"/>
      <c r="W40" s="1620"/>
      <c r="X40" s="1592"/>
      <c r="Y40" s="1114"/>
      <c r="Z40" s="1114"/>
      <c r="AA40" s="1114"/>
      <c r="AB40" s="1114"/>
      <c r="AC40" s="1114"/>
      <c r="AD40" s="1114"/>
      <c r="AE40" s="1114"/>
      <c r="AF40" s="1114"/>
      <c r="AG40" s="1114"/>
      <c r="AH40" s="1114"/>
      <c r="AI40" s="1114"/>
      <c r="AJ40" s="1114"/>
      <c r="AK40" s="1114"/>
      <c r="AL40" s="1114"/>
      <c r="AM40" s="1114"/>
      <c r="AN40" s="1114"/>
      <c r="AO40" s="1114"/>
      <c r="AP40" s="1114"/>
      <c r="AQ40" s="1114"/>
      <c r="AR40" s="1114"/>
      <c r="AS40" s="1114"/>
      <c r="AT40" s="1114"/>
      <c r="AU40" s="1114"/>
      <c r="AV40" s="1109"/>
      <c r="AW40" s="1114"/>
      <c r="AX40" s="1114"/>
      <c r="AY40" s="1114"/>
      <c r="AZ40" s="1114"/>
      <c r="BA40" s="1114"/>
      <c r="BB40" s="1114"/>
      <c r="BC40" s="1114"/>
      <c r="BD40" s="1114"/>
      <c r="BE40" s="1114"/>
      <c r="BF40" s="1114"/>
    </row>
    <row r="41" spans="1:58" ht="15" customHeight="1" thickBot="1" x14ac:dyDescent="0.3">
      <c r="A41" s="1114"/>
      <c r="B41" s="1114"/>
      <c r="C41" s="1114"/>
      <c r="D41" s="103"/>
      <c r="E41" s="18"/>
      <c r="F41" s="2214"/>
      <c r="G41" s="984"/>
      <c r="H41" s="982" t="s">
        <v>129</v>
      </c>
      <c r="I41" s="327" t="s">
        <v>309</v>
      </c>
      <c r="J41" s="32"/>
      <c r="K41" s="110"/>
      <c r="L41" s="1646"/>
      <c r="M41" s="1646"/>
      <c r="N41" s="1646"/>
      <c r="O41" s="1646"/>
      <c r="P41" s="1646"/>
      <c r="Q41" s="1646"/>
      <c r="R41" s="1646"/>
      <c r="S41" s="1646"/>
      <c r="T41" s="1646"/>
      <c r="U41" s="1646"/>
      <c r="V41" s="1642"/>
      <c r="W41" s="1620"/>
      <c r="X41" s="1592"/>
      <c r="Y41" s="1114"/>
      <c r="Z41" s="1114"/>
      <c r="AA41" s="1114"/>
      <c r="AB41" s="1114"/>
      <c r="AC41" s="1114"/>
      <c r="AD41" s="1114"/>
      <c r="AE41" s="1114"/>
      <c r="AF41" s="1114"/>
      <c r="AG41" s="1114"/>
      <c r="AH41" s="1114"/>
      <c r="AI41" s="1114"/>
      <c r="AJ41" s="1114"/>
      <c r="AK41" s="1114"/>
      <c r="AL41" s="1114"/>
      <c r="AM41" s="1114"/>
      <c r="AN41" s="1114"/>
      <c r="AO41" s="1114"/>
      <c r="AP41" s="1114"/>
      <c r="AQ41" s="1114"/>
      <c r="AR41" s="1114"/>
      <c r="AS41" s="1114"/>
      <c r="AT41" s="1114"/>
      <c r="AU41" s="1114"/>
      <c r="AV41" s="1109"/>
      <c r="AW41" s="1114"/>
      <c r="AX41" s="1114"/>
      <c r="AY41" s="1114"/>
      <c r="AZ41" s="1114"/>
      <c r="BA41" s="1114"/>
      <c r="BB41" s="1114"/>
      <c r="BC41" s="1114"/>
      <c r="BD41" s="1114"/>
      <c r="BE41" s="1114"/>
      <c r="BF41" s="1114"/>
    </row>
    <row r="42" spans="1:58" ht="27" customHeight="1" thickTop="1" x14ac:dyDescent="0.25">
      <c r="A42" s="1114"/>
      <c r="B42" s="1114"/>
      <c r="C42" s="1114"/>
      <c r="D42" s="103"/>
      <c r="E42" s="18"/>
      <c r="F42" s="1896" t="str">
        <f>Item_00</f>
        <v>00 - Minimum List of Deliverables</v>
      </c>
      <c r="G42" s="1897"/>
      <c r="H42" s="402" t="str">
        <f>IF(COUNTIF('A-Info, Phases, Recip.'!$E$126:$E$146,Phase_dropdown)=0,"error in",IF(COUNTIF('A-Info, Phases, Recip.'!$F$13:$R$13,Phase_dropdown),HLOOKUP(Phase_dropdown,$W$81:$AQ$95,3,FALSE),"error in"))</f>
        <v>Y</v>
      </c>
      <c r="I42" s="398" t="str">
        <f t="shared" ref="I42:I63" si="0">IF(H42="Y",VLOOKUP(F42,$AT$83:$AU$117,2,FALSE),IF(H42="N","",IF(H42="error in",CONCATENATE("cell D",ROW(Phase_dropdown)),"")))</f>
        <v>Digital Download of native file and pdf of phase specific tab to PM &amp; Design and Construction Submittal Receiving</v>
      </c>
      <c r="J42" s="32"/>
      <c r="K42" s="110"/>
      <c r="L42" s="1646"/>
      <c r="M42" s="1646"/>
      <c r="N42" s="1646"/>
      <c r="O42" s="1646"/>
      <c r="P42" s="1646"/>
      <c r="Q42" s="1646"/>
      <c r="R42" s="1646"/>
      <c r="S42" s="1646"/>
      <c r="T42" s="1646"/>
      <c r="U42" s="1646"/>
      <c r="V42" s="1642"/>
      <c r="W42" s="1620" t="str">
        <f t="shared" ref="W42:W63" si="1">IF(H42="error in",CONCATENATE("NOTE: Change selection in merged cell D",ROW(Phase_dropdown)," !!!"),"&lt;--- AUTO")</f>
        <v>&lt;--- AUTO</v>
      </c>
      <c r="X42" s="1592"/>
      <c r="Y42" s="1114"/>
      <c r="Z42" s="1114"/>
      <c r="AA42" s="1114"/>
      <c r="AB42" s="1114"/>
      <c r="AC42" s="1114"/>
      <c r="AD42" s="1114"/>
      <c r="AE42" s="1114"/>
      <c r="AF42" s="1114"/>
      <c r="AG42" s="1114"/>
      <c r="AH42" s="1114"/>
      <c r="AI42" s="1114"/>
      <c r="AJ42" s="1114"/>
      <c r="AK42" s="1114"/>
      <c r="AL42" s="1114"/>
      <c r="AM42" s="1114"/>
      <c r="AN42" s="1114"/>
      <c r="AO42" s="1114"/>
      <c r="AP42" s="1114"/>
      <c r="AQ42" s="1114"/>
      <c r="AR42" s="1114"/>
      <c r="AS42" s="1114"/>
      <c r="AT42" s="1114"/>
      <c r="AU42" s="1114"/>
      <c r="AV42" s="1109"/>
      <c r="AW42" s="1114"/>
      <c r="AX42" s="1114"/>
      <c r="AY42" s="1114"/>
      <c r="AZ42" s="1114"/>
      <c r="BA42" s="1114"/>
      <c r="BB42" s="1114"/>
      <c r="BC42" s="1114"/>
      <c r="BD42" s="1114"/>
      <c r="BE42" s="1114"/>
      <c r="BF42" s="1114"/>
    </row>
    <row r="43" spans="1:58" ht="40.5" customHeight="1" x14ac:dyDescent="0.25">
      <c r="A43" s="1114"/>
      <c r="B43" s="1114"/>
      <c r="C43" s="1114"/>
      <c r="D43" s="103"/>
      <c r="E43" s="18"/>
      <c r="F43" s="1609" t="str">
        <f>Item_01</f>
        <v>01 - Construction Cost Estimate</v>
      </c>
      <c r="G43" s="1905" t="str">
        <f>IF(H43="Y",IF(ISNUMBER(SEARCH("close",Phase_dropdown))=TRUE,VLOOKUP(F43,$AT$83:$BC$117,10,FALSE),IF(ISNUMBER(SEARCH("bid",Phase_dropdown))=TRUE,VLOOKUP(F43,$AT$83:$BC$117,9,FALSE),IF(ISNUMBER(SEARCH("95%",Phase_dropdown))=TRUE,VLOOKUP(F43,$AT$83:$BC$117,8,FALSE),IF(ISNUMBER(SEARCH("50%",Phase_dropdown))=TRUE,VLOOKUP(F43,$AT$83:$BC$117,7,FALSE),IF(ISNUMBER(SEARCH("DD",Phase_dropdown))=TRUE,VLOOKUP(F43,$AT$83:$BC$117,6,FALSE),IF(ISNUMBER(SEARCH("SD",Phase_dropdown))=TRUE,VLOOKUP(F43,$AT$83:$BC$117,5,FALSE),"-")))))),"")</f>
        <v xml:space="preserve"> (area; volume; unit costs) </v>
      </c>
      <c r="H43" s="403" t="str">
        <f>IF(COUNTIF('A-Info, Phases, Recip.'!$E$126:$E$146,Phase_dropdown)=0,"error in",IF(COUNTIF('A-Info, Phases, Recip.'!$F$13:$R$13,Phase_dropdown),HLOOKUP(Phase_dropdown,$W$81:$AQ$95,4,FALSE),"error in"))</f>
        <v>Y</v>
      </c>
      <c r="I43" s="399" t="str">
        <f t="shared" si="0"/>
        <v xml:space="preserve">before review meeting, emailed to 
&lt;fandssubmittalrev@mx.uillinois.edu&gt; &amp; PM. </v>
      </c>
      <c r="J43" s="32"/>
      <c r="K43" s="110"/>
      <c r="L43" s="1646"/>
      <c r="M43" s="1646"/>
      <c r="N43" s="1646"/>
      <c r="O43" s="1646"/>
      <c r="P43" s="1646"/>
      <c r="Q43" s="1646"/>
      <c r="R43" s="1646"/>
      <c r="S43" s="1646"/>
      <c r="T43" s="1646"/>
      <c r="U43" s="1646"/>
      <c r="V43" s="1642"/>
      <c r="W43" s="1620" t="str">
        <f t="shared" si="1"/>
        <v>&lt;--- AUTO</v>
      </c>
      <c r="X43" s="1592"/>
      <c r="Y43" s="1114"/>
      <c r="Z43" s="1114"/>
      <c r="AA43" s="1114"/>
      <c r="AB43" s="1114"/>
      <c r="AC43" s="1114"/>
      <c r="AD43" s="1114"/>
      <c r="AE43" s="1114"/>
      <c r="AF43" s="1114"/>
      <c r="AG43" s="1114"/>
      <c r="AH43" s="1114"/>
      <c r="AI43" s="1114"/>
      <c r="AJ43" s="1114"/>
      <c r="AK43" s="1114"/>
      <c r="AL43" s="1114"/>
      <c r="AM43" s="1114"/>
      <c r="AN43" s="1114"/>
      <c r="AO43" s="1114"/>
      <c r="AP43" s="1114"/>
      <c r="AQ43" s="1114"/>
      <c r="AR43" s="1114"/>
      <c r="AS43" s="1114"/>
      <c r="AT43" s="1114"/>
      <c r="AU43" s="1114"/>
      <c r="AV43" s="1109"/>
      <c r="AW43" s="1114"/>
      <c r="AX43" s="1114"/>
      <c r="AY43" s="1114"/>
      <c r="AZ43" s="1114"/>
      <c r="BA43" s="1114"/>
      <c r="BB43" s="1114"/>
      <c r="BC43" s="1114"/>
      <c r="BD43" s="1114"/>
      <c r="BE43" s="1114"/>
      <c r="BF43" s="1114"/>
    </row>
    <row r="44" spans="1:58" ht="27" customHeight="1" x14ac:dyDescent="0.25">
      <c r="A44" s="1114"/>
      <c r="B44" s="1114"/>
      <c r="C44" s="1114"/>
      <c r="D44" s="103"/>
      <c r="E44" s="18"/>
      <c r="F44" s="1609" t="str">
        <f>Item_02</f>
        <v>02 - Project Schedule</v>
      </c>
      <c r="G44" s="1905" t="str">
        <f>IF(H44="Y",IF(ISNUMBER(SEARCH("close",Phase_dropdown))=TRUE,VLOOKUP(F44,$AT$83:$BC$117,10,FALSE),IF(ISNUMBER(SEARCH("bid",Phase_dropdown))=TRUE,VLOOKUP(F44,$AT$83:$BC$117,9,FALSE),IF(ISNUMBER(SEARCH("95%",Phase_dropdown))=TRUE,VLOOKUP(F44,$AT$83:$BC$117,8,FALSE),IF(ISNUMBER(SEARCH("50%",Phase_dropdown))=TRUE,VLOOKUP(F44,$AT$83:$BC$117,7,FALSE),IF(ISNUMBER(SEARCH("DD",Phase_dropdown))=TRUE,VLOOKUP(F44,$AT$83:$BC$117,6,FALSE),IF(ISNUMBER(SEARCH("SD",Phase_dropdown))=TRUE,VLOOKUP(F44,$AT$83:$BC$117,5,FALSE),"-")))))),"")</f>
        <v xml:space="preserve"> - Updated</v>
      </c>
      <c r="H44" s="403" t="str">
        <f>IF(COUNTIF('A-Info, Phases, Recip.'!$E$126:$E$146,Phase_dropdown)=0,"error in",IF(COUNTIF('A-Info, Phases, Recip.'!$F$13:$R$13,Phase_dropdown),HLOOKUP(Phase_dropdown,$W$81:$AQ$95,5,FALSE),"error in"))</f>
        <v>Y</v>
      </c>
      <c r="I44" s="399" t="str">
        <f t="shared" si="0"/>
        <v xml:space="preserve">Before review meeting, emailed to &lt;fandssubmittalrev@mx.uillinois.edu&gt; </v>
      </c>
      <c r="J44" s="32"/>
      <c r="K44" s="110"/>
      <c r="L44" s="1646"/>
      <c r="M44" s="1646"/>
      <c r="N44" s="1646"/>
      <c r="O44" s="1646"/>
      <c r="P44" s="1646"/>
      <c r="Q44" s="1646"/>
      <c r="R44" s="1646"/>
      <c r="S44" s="1646"/>
      <c r="T44" s="1646"/>
      <c r="U44" s="1646"/>
      <c r="V44" s="1642"/>
      <c r="W44" s="1620" t="str">
        <f t="shared" si="1"/>
        <v>&lt;--- AUTO</v>
      </c>
      <c r="X44" s="1592"/>
      <c r="Y44" s="1114"/>
      <c r="Z44" s="1114"/>
      <c r="AA44" s="1114"/>
      <c r="AB44" s="1114"/>
      <c r="AC44" s="1114"/>
      <c r="AD44" s="1114"/>
      <c r="AE44" s="1114"/>
      <c r="AF44" s="1114"/>
      <c r="AG44" s="1114"/>
      <c r="AH44" s="1114"/>
      <c r="AI44" s="1114"/>
      <c r="AJ44" s="1114"/>
      <c r="AK44" s="1114"/>
      <c r="AL44" s="1114"/>
      <c r="AM44" s="1114"/>
      <c r="AN44" s="1114"/>
      <c r="AO44" s="1114"/>
      <c r="AP44" s="1114"/>
      <c r="AQ44" s="1114"/>
      <c r="AR44" s="1114"/>
      <c r="AS44" s="1114"/>
      <c r="AT44" s="1114"/>
      <c r="AU44" s="1114"/>
      <c r="AV44" s="1109"/>
      <c r="AW44" s="1114"/>
      <c r="AX44" s="1114"/>
      <c r="AY44" s="1114"/>
      <c r="AZ44" s="1114"/>
      <c r="BA44" s="1114"/>
      <c r="BB44" s="1114"/>
      <c r="BC44" s="1114"/>
      <c r="BD44" s="1114"/>
      <c r="BE44" s="1114"/>
      <c r="BF44" s="1114"/>
    </row>
    <row r="45" spans="1:58" ht="26.25" customHeight="1" x14ac:dyDescent="0.25">
      <c r="A45" s="1114"/>
      <c r="B45" s="1114"/>
      <c r="C45" s="1114"/>
      <c r="D45" s="103"/>
      <c r="E45" s="18"/>
      <c r="F45" s="1609" t="str">
        <f>Item_03</f>
        <v>03 - Written Response to Comments</v>
      </c>
      <c r="G45" s="1905"/>
      <c r="H45" s="403" t="str">
        <f>IF(COUNTIF('A-Info, Phases, Recip.'!$E$126:$E$146,Phase_dropdown)=0,"error in",IF(COUNTIF('A-Info, Phases, Recip.'!$F$13:$R$13,Phase_dropdown),HLOOKUP(Phase_dropdown,$W$81:$AQ$95,6,FALSE),"error in"))</f>
        <v>Y</v>
      </c>
      <c r="I45" s="399" t="str">
        <f t="shared" si="0"/>
        <v>before review meeting, emailed to &lt;fandsderevprocom@mx.uillinois.edu&gt; and PM or Planner</v>
      </c>
      <c r="J45" s="32"/>
      <c r="K45" s="110"/>
      <c r="L45" s="1646"/>
      <c r="M45" s="1646"/>
      <c r="N45" s="1646"/>
      <c r="O45" s="1646"/>
      <c r="P45" s="1646"/>
      <c r="Q45" s="1646"/>
      <c r="R45" s="1646"/>
      <c r="S45" s="1646"/>
      <c r="T45" s="1646"/>
      <c r="U45" s="1646"/>
      <c r="V45" s="1642"/>
      <c r="W45" s="1620" t="str">
        <f t="shared" si="1"/>
        <v>&lt;--- AUTO</v>
      </c>
      <c r="X45" s="1592"/>
      <c r="Y45" s="1114"/>
      <c r="Z45" s="1114"/>
      <c r="AA45" s="1114"/>
      <c r="AB45" s="1114"/>
      <c r="AC45" s="1114"/>
      <c r="AD45" s="1114"/>
      <c r="AE45" s="1114"/>
      <c r="AF45" s="1114"/>
      <c r="AG45" s="1114"/>
      <c r="AH45" s="1114"/>
      <c r="AI45" s="1114"/>
      <c r="AJ45" s="1114"/>
      <c r="AK45" s="1114"/>
      <c r="AL45" s="1114"/>
      <c r="AM45" s="1114"/>
      <c r="AN45" s="1114"/>
      <c r="AO45" s="1114"/>
      <c r="AP45" s="1114"/>
      <c r="AQ45" s="1114"/>
      <c r="AR45" s="1114"/>
      <c r="AS45" s="1114"/>
      <c r="AT45" s="1114"/>
      <c r="AU45" s="1114"/>
      <c r="AV45" s="1109"/>
      <c r="AW45" s="1114"/>
      <c r="AX45" s="1114"/>
      <c r="AY45" s="1114"/>
      <c r="AZ45" s="1114"/>
      <c r="BA45" s="1114"/>
      <c r="BB45" s="1114"/>
      <c r="BC45" s="1114"/>
      <c r="BD45" s="1114"/>
      <c r="BE45" s="1114"/>
      <c r="BF45" s="1114"/>
    </row>
    <row r="46" spans="1:58" ht="18" customHeight="1" x14ac:dyDescent="0.25">
      <c r="A46" s="1114"/>
      <c r="B46" s="1114"/>
      <c r="C46" s="1114"/>
      <c r="D46" s="103"/>
      <c r="E46" s="18"/>
      <c r="F46" s="981" t="str">
        <f>Item_04a</f>
        <v>04a - Basis of Design (BOD)</v>
      </c>
      <c r="G46" s="1905" t="str">
        <f t="shared" ref="G46:G52" si="2">IF(H46="Y",IF(ISNUMBER(SEARCH("close",Phase_dropdown))=TRUE,VLOOKUP(F46,$AT$83:$BC$117,10,FALSE),IF(ISNUMBER(SEARCH("bid",Phase_dropdown))=TRUE,VLOOKUP(F46,$AT$83:$BC$117,9,FALSE),IF(ISNUMBER(SEARCH("95%",Phase_dropdown))=TRUE,VLOOKUP(F46,$AT$83:$BC$117,8,FALSE),IF(ISNUMBER(SEARCH("50%",Phase_dropdown))=TRUE,VLOOKUP(F46,$AT$83:$BC$117,7,FALSE),IF(ISNUMBER(SEARCH("DD",Phase_dropdown))=TRUE,VLOOKUP(F46,$AT$83:$BC$117,6,FALSE),IF(ISNUMBER(SEARCH("SD",Phase_dropdown))=TRUE,VLOOKUP(F46,$AT$83:$BC$117,5,FALSE),"-")))))),"")</f>
        <v xml:space="preserve"> - Updated</v>
      </c>
      <c r="H46" s="403" t="str">
        <f>IF(COUNTIF('A-Info, Phases, Recip.'!$E$126:$E$146,Phase_dropdown)=0,"error in",IF(COUNTIF('A-Info, Phases, Recip.'!$F$13:$R$13,Phase_dropdown),HLOOKUP(Phase_dropdown,$W$81:$AQ$95,7,FALSE),"error in"))</f>
        <v>Y</v>
      </c>
      <c r="I46" s="399" t="str">
        <f t="shared" si="0"/>
        <v>Printed (upon request) &amp; Digital Download</v>
      </c>
      <c r="J46" s="32"/>
      <c r="K46" s="110"/>
      <c r="L46" s="1646"/>
      <c r="M46" s="1646"/>
      <c r="N46" s="1646"/>
      <c r="O46" s="1646"/>
      <c r="P46" s="1646"/>
      <c r="Q46" s="1646"/>
      <c r="R46" s="1646"/>
      <c r="S46" s="1646"/>
      <c r="T46" s="1646"/>
      <c r="U46" s="1646"/>
      <c r="V46" s="1642"/>
      <c r="W46" s="1620" t="str">
        <f t="shared" si="1"/>
        <v>&lt;--- AUTO</v>
      </c>
      <c r="X46" s="1592"/>
      <c r="Y46" s="1114"/>
      <c r="Z46" s="1114"/>
      <c r="AA46" s="1114"/>
      <c r="AB46" s="1114"/>
      <c r="AC46" s="1114"/>
      <c r="AD46" s="1114"/>
      <c r="AE46" s="1114"/>
      <c r="AF46" s="1114"/>
      <c r="AG46" s="1114"/>
      <c r="AH46" s="1114"/>
      <c r="AI46" s="1114"/>
      <c r="AJ46" s="1114"/>
      <c r="AK46" s="1114"/>
      <c r="AL46" s="1114"/>
      <c r="AM46" s="1114"/>
      <c r="AN46" s="1114"/>
      <c r="AO46" s="1114"/>
      <c r="AP46" s="1114"/>
      <c r="AQ46" s="1114"/>
      <c r="AR46" s="1114"/>
      <c r="AS46" s="1114"/>
      <c r="AT46" s="1114"/>
      <c r="AU46" s="1114"/>
      <c r="AV46" s="1109"/>
      <c r="AW46" s="1114"/>
      <c r="AX46" s="1114"/>
      <c r="AY46" s="1114"/>
      <c r="AZ46" s="1114"/>
      <c r="BA46" s="1114"/>
      <c r="BB46" s="1114"/>
      <c r="BC46" s="1114"/>
      <c r="BD46" s="1114"/>
      <c r="BE46" s="1114"/>
      <c r="BF46" s="1114"/>
    </row>
    <row r="47" spans="1:58" ht="18" customHeight="1" x14ac:dyDescent="0.25">
      <c r="A47" s="1114"/>
      <c r="B47" s="1114"/>
      <c r="C47" s="1114"/>
      <c r="D47" s="103"/>
      <c r="E47" s="18"/>
      <c r="F47" s="1609" t="str">
        <f>Item_04b</f>
        <v>04b - Project Applicable Information / Calculations</v>
      </c>
      <c r="G47" s="1905" t="str">
        <f t="shared" si="2"/>
        <v xml:space="preserve"> - Updated</v>
      </c>
      <c r="H47" s="403" t="str">
        <f>IF(COUNTIF('A-Info, Phases, Recip.'!$E$126:$E$146,Phase_dropdown)=0,"error in",IF(COUNTIF('A-Info, Phases, Recip.'!$F$13:$R$13,Phase_dropdown),HLOOKUP(Phase_dropdown,$W$81:$AQ$95,8,FALSE),"error in"))</f>
        <v>Y</v>
      </c>
      <c r="I47" s="399" t="str">
        <f t="shared" si="0"/>
        <v>Printed (upon request) &amp; Digital Download</v>
      </c>
      <c r="J47" s="32"/>
      <c r="K47" s="110"/>
      <c r="L47" s="1646"/>
      <c r="M47" s="1646"/>
      <c r="N47" s="1646"/>
      <c r="O47" s="1646"/>
      <c r="P47" s="1646"/>
      <c r="Q47" s="1646"/>
      <c r="R47" s="1646"/>
      <c r="S47" s="1646"/>
      <c r="T47" s="1646"/>
      <c r="U47" s="1646"/>
      <c r="V47" s="1642"/>
      <c r="W47" s="1620" t="str">
        <f t="shared" si="1"/>
        <v>&lt;--- AUTO</v>
      </c>
      <c r="X47" s="1592"/>
      <c r="Y47" s="1114"/>
      <c r="Z47" s="1114"/>
      <c r="AA47" s="1114"/>
      <c r="AB47" s="1114"/>
      <c r="AC47" s="1114"/>
      <c r="AD47" s="1114"/>
      <c r="AE47" s="1114"/>
      <c r="AF47" s="1114"/>
      <c r="AG47" s="1114"/>
      <c r="AH47" s="1114"/>
      <c r="AI47" s="1114"/>
      <c r="AJ47" s="1114"/>
      <c r="AK47" s="1114"/>
      <c r="AL47" s="1114"/>
      <c r="AM47" s="1114"/>
      <c r="AN47" s="1114"/>
      <c r="AO47" s="1114"/>
      <c r="AP47" s="1114"/>
      <c r="AQ47" s="1114"/>
      <c r="AR47" s="1114"/>
      <c r="AS47" s="1114"/>
      <c r="AT47" s="1114"/>
      <c r="AU47" s="1114"/>
      <c r="AV47" s="1109"/>
      <c r="AW47" s="1114"/>
      <c r="AX47" s="1114"/>
      <c r="AY47" s="1114"/>
      <c r="AZ47" s="1114"/>
      <c r="BA47" s="1114"/>
      <c r="BB47" s="1114"/>
      <c r="BC47" s="1114"/>
      <c r="BD47" s="1114"/>
      <c r="BE47" s="1114"/>
      <c r="BF47" s="1114"/>
    </row>
    <row r="48" spans="1:58" ht="18" customHeight="1" x14ac:dyDescent="0.25">
      <c r="A48" s="1114"/>
      <c r="B48" s="1114"/>
      <c r="C48" s="1114"/>
      <c r="D48" s="103"/>
      <c r="E48" s="18"/>
      <c r="F48" s="1609" t="str">
        <f>Item_05a</f>
        <v xml:space="preserve">05a - Ext. &amp; Int. Finishes Binder(s)/Finishes Board(s) </v>
      </c>
      <c r="G48" s="1905" t="str">
        <f t="shared" si="2"/>
        <v/>
      </c>
      <c r="H48" s="403" t="str">
        <f>IF(COUNTIF('A-Info, Phases, Recip.'!$E$126:$E$146,Phase_dropdown)=0,"error in",IF(COUNTIF('A-Info, Phases, Recip.'!$F$13:$R$13,Phase_dropdown),HLOOKUP(Phase_dropdown,$W$81:$AQ$95,9,FALSE),"error in"))</f>
        <v>N</v>
      </c>
      <c r="I48" s="399" t="str">
        <f t="shared" si="0"/>
        <v/>
      </c>
      <c r="J48" s="32"/>
      <c r="K48" s="110"/>
      <c r="L48" s="1646"/>
      <c r="M48" s="1646"/>
      <c r="N48" s="1646"/>
      <c r="O48" s="1646"/>
      <c r="P48" s="1646"/>
      <c r="Q48" s="1646"/>
      <c r="R48" s="1646"/>
      <c r="S48" s="1646"/>
      <c r="T48" s="1646"/>
      <c r="U48" s="1646"/>
      <c r="V48" s="1642"/>
      <c r="W48" s="1620" t="str">
        <f t="shared" si="1"/>
        <v>&lt;--- AUTO</v>
      </c>
      <c r="X48" s="1592"/>
      <c r="Y48" s="1114"/>
      <c r="Z48" s="1114"/>
      <c r="AA48" s="1114"/>
      <c r="AB48" s="1114"/>
      <c r="AC48" s="1114"/>
      <c r="AD48" s="1114"/>
      <c r="AE48" s="1114"/>
      <c r="AF48" s="1114"/>
      <c r="AG48" s="1114"/>
      <c r="AH48" s="1114"/>
      <c r="AI48" s="1114"/>
      <c r="AJ48" s="1114"/>
      <c r="AK48" s="1114"/>
      <c r="AL48" s="1114"/>
      <c r="AM48" s="1114"/>
      <c r="AN48" s="1114"/>
      <c r="AO48" s="1114"/>
      <c r="AP48" s="1114"/>
      <c r="AQ48" s="1114"/>
      <c r="AR48" s="1114"/>
      <c r="AS48" s="1114"/>
      <c r="AT48" s="1114"/>
      <c r="AU48" s="1114"/>
      <c r="AV48" s="1109"/>
      <c r="AW48" s="1114"/>
      <c r="AX48" s="1114"/>
      <c r="AY48" s="1114"/>
      <c r="AZ48" s="1114"/>
      <c r="BA48" s="1114"/>
      <c r="BB48" s="1114"/>
      <c r="BC48" s="1114"/>
      <c r="BD48" s="1114"/>
      <c r="BE48" s="1114"/>
      <c r="BF48" s="1114"/>
    </row>
    <row r="49" spans="1:58" ht="18" customHeight="1" x14ac:dyDescent="0.25">
      <c r="A49" s="1114"/>
      <c r="B49" s="1114"/>
      <c r="C49" s="1114"/>
      <c r="D49" s="103"/>
      <c r="E49" s="18"/>
      <c r="F49" s="1609" t="str">
        <f>Item_05b</f>
        <v>05b - Furnitures, Fixtures, and Equipment Binder(s)</v>
      </c>
      <c r="G49" s="1905" t="str">
        <f t="shared" si="2"/>
        <v/>
      </c>
      <c r="H49" s="403" t="str">
        <f>IF(COUNTIF('A-Info, Phases, Recip.'!$E$126:$E$146,Phase_dropdown)=0,"error in",IF(COUNTIF('A-Info, Phases, Recip.'!$F$13:$R$13,Phase_dropdown),HLOOKUP(Phase_dropdown,$W$81:$AQ$95,10,FALSE),"error in"))</f>
        <v>N</v>
      </c>
      <c r="I49" s="399" t="str">
        <f t="shared" si="0"/>
        <v/>
      </c>
      <c r="J49" s="32"/>
      <c r="K49" s="110"/>
      <c r="L49" s="1646"/>
      <c r="M49" s="1646"/>
      <c r="N49" s="1646"/>
      <c r="O49" s="1646"/>
      <c r="P49" s="1646"/>
      <c r="Q49" s="1646"/>
      <c r="R49" s="1646"/>
      <c r="S49" s="1646"/>
      <c r="T49" s="1646"/>
      <c r="U49" s="1646"/>
      <c r="V49" s="1642"/>
      <c r="W49" s="1620" t="str">
        <f t="shared" si="1"/>
        <v>&lt;--- AUTO</v>
      </c>
      <c r="X49" s="1592"/>
      <c r="Y49" s="1114"/>
      <c r="Z49" s="1114"/>
      <c r="AA49" s="1114"/>
      <c r="AB49" s="1114"/>
      <c r="AC49" s="1114"/>
      <c r="AD49" s="1114"/>
      <c r="AE49" s="1114"/>
      <c r="AF49" s="1114"/>
      <c r="AG49" s="1114"/>
      <c r="AH49" s="1114"/>
      <c r="AI49" s="1114"/>
      <c r="AJ49" s="1114"/>
      <c r="AK49" s="1114"/>
      <c r="AL49" s="1114"/>
      <c r="AM49" s="1114"/>
      <c r="AN49" s="1114"/>
      <c r="AO49" s="1114"/>
      <c r="AP49" s="1114"/>
      <c r="AQ49" s="1114"/>
      <c r="AR49" s="1114"/>
      <c r="AS49" s="1114"/>
      <c r="AT49" s="1114"/>
      <c r="AU49" s="1114"/>
      <c r="AV49" s="1109"/>
      <c r="AW49" s="1114"/>
      <c r="AX49" s="1114"/>
      <c r="AY49" s="1114"/>
      <c r="AZ49" s="1114"/>
      <c r="BA49" s="1114"/>
      <c r="BB49" s="1114"/>
      <c r="BC49" s="1114"/>
      <c r="BD49" s="1114"/>
      <c r="BE49" s="1114"/>
      <c r="BF49" s="1114"/>
    </row>
    <row r="50" spans="1:58" ht="36" customHeight="1" x14ac:dyDescent="0.25">
      <c r="A50" s="1114"/>
      <c r="B50" s="1114"/>
      <c r="C50" s="1114"/>
      <c r="D50" s="103"/>
      <c r="E50" s="18"/>
      <c r="F50" s="1609" t="str">
        <f>Item_06</f>
        <v xml:space="preserve">06 - Project Manual </v>
      </c>
      <c r="G50" s="1905" t="str">
        <f t="shared" si="2"/>
        <v/>
      </c>
      <c r="H50" s="403" t="str">
        <f>IF(COUNTIF('A-Info, Phases, Recip.'!$E$126:$E$146,Phase_dropdown)=0,"error in",IF(COUNTIF('A-Info, Phases, Recip.'!$F$13:$R$13,Phase_dropdown),HLOOKUP(Phase_dropdown,$W$81:$AQ$95,11,FALSE),"error in"))</f>
        <v>Y</v>
      </c>
      <c r="I50" s="399" t="str">
        <f t="shared" si="0"/>
        <v>Printed (upon requrest) &amp; Digital Download</v>
      </c>
      <c r="J50" s="32"/>
      <c r="K50" s="110"/>
      <c r="L50" s="1646"/>
      <c r="M50" s="1646"/>
      <c r="N50" s="1646"/>
      <c r="O50" s="1646"/>
      <c r="P50" s="1646"/>
      <c r="Q50" s="1646"/>
      <c r="R50" s="1646"/>
      <c r="S50" s="1646"/>
      <c r="T50" s="1646"/>
      <c r="U50" s="1646"/>
      <c r="V50" s="1642"/>
      <c r="W50" s="1620" t="str">
        <f t="shared" si="1"/>
        <v>&lt;--- AUTO</v>
      </c>
      <c r="X50" s="1592"/>
      <c r="Y50" s="1114"/>
      <c r="Z50" s="1114"/>
      <c r="AA50" s="1114"/>
      <c r="AB50" s="1114"/>
      <c r="AC50" s="1114"/>
      <c r="AD50" s="1114"/>
      <c r="AE50" s="1114"/>
      <c r="AF50" s="1114"/>
      <c r="AG50" s="1114"/>
      <c r="AH50" s="1114"/>
      <c r="AI50" s="1114"/>
      <c r="AJ50" s="1114"/>
      <c r="AK50" s="1114"/>
      <c r="AL50" s="1114"/>
      <c r="AM50" s="1114"/>
      <c r="AN50" s="1114"/>
      <c r="AO50" s="1114"/>
      <c r="AP50" s="1114"/>
      <c r="AQ50" s="1114"/>
      <c r="AR50" s="1114"/>
      <c r="AS50" s="1114"/>
      <c r="AT50" s="1114"/>
      <c r="AU50" s="1114"/>
      <c r="AV50" s="1109"/>
      <c r="AW50" s="1114"/>
      <c r="AX50" s="1114"/>
      <c r="AY50" s="1114"/>
      <c r="AZ50" s="1114"/>
      <c r="BA50" s="1114"/>
      <c r="BB50" s="1114"/>
      <c r="BC50" s="1114"/>
      <c r="BD50" s="1114"/>
      <c r="BE50" s="1114"/>
      <c r="BF50" s="1114"/>
    </row>
    <row r="51" spans="1:58" ht="42" customHeight="1" x14ac:dyDescent="0.25">
      <c r="A51" s="1114"/>
      <c r="B51" s="1114"/>
      <c r="C51" s="1114"/>
      <c r="D51" s="103"/>
      <c r="E51" s="18"/>
      <c r="F51" s="1609" t="str">
        <f>Item_07a</f>
        <v>07a - Drawing Set</v>
      </c>
      <c r="G51" s="1905" t="str">
        <f t="shared" si="2"/>
        <v/>
      </c>
      <c r="H51" s="403" t="str">
        <f>IF(COUNTIF('A-Info, Phases, Recip.'!$E$126:$E$146,Phase_dropdown)=0,"error in",IF(COUNTIF('A-Info, Phases, Recip.'!$F$13:$R$13,Phase_dropdown),HLOOKUP(Phase_dropdown,$W$81:$AQ$95,12,FALSE),"error in"))</f>
        <v>Y</v>
      </c>
      <c r="I51" s="399" t="str">
        <f t="shared" si="0"/>
        <v>Printed (upon requrest) &amp; Digital Download</v>
      </c>
      <c r="J51" s="32"/>
      <c r="K51" s="110"/>
      <c r="L51" s="1646"/>
      <c r="M51" s="1646"/>
      <c r="N51" s="1646"/>
      <c r="O51" s="1646"/>
      <c r="P51" s="1646"/>
      <c r="Q51" s="1646"/>
      <c r="R51" s="1646"/>
      <c r="S51" s="1646"/>
      <c r="T51" s="1646"/>
      <c r="U51" s="1646"/>
      <c r="V51" s="1642"/>
      <c r="W51" s="1620" t="str">
        <f t="shared" si="1"/>
        <v>&lt;--- AUTO</v>
      </c>
      <c r="X51" s="1592"/>
      <c r="Y51" s="1114"/>
      <c r="Z51" s="1114"/>
      <c r="AA51" s="1114"/>
      <c r="AB51" s="1114"/>
      <c r="AC51" s="1114"/>
      <c r="AD51" s="1114"/>
      <c r="AE51" s="1114"/>
      <c r="AF51" s="1114"/>
      <c r="AG51" s="1114"/>
      <c r="AH51" s="1114"/>
      <c r="AI51" s="1114"/>
      <c r="AJ51" s="1114"/>
      <c r="AK51" s="1114"/>
      <c r="AL51" s="1114"/>
      <c r="AM51" s="1114"/>
      <c r="AN51" s="1114"/>
      <c r="AO51" s="1114"/>
      <c r="AP51" s="1114"/>
      <c r="AQ51" s="1114"/>
      <c r="AR51" s="1114"/>
      <c r="AS51" s="1114"/>
      <c r="AT51" s="1114"/>
      <c r="AU51" s="1114"/>
      <c r="AV51" s="1109"/>
      <c r="AW51" s="1114"/>
      <c r="AX51" s="1114"/>
      <c r="AY51" s="1114"/>
      <c r="AZ51" s="1114"/>
      <c r="BA51" s="1114"/>
      <c r="BB51" s="1114"/>
      <c r="BC51" s="1114"/>
      <c r="BD51" s="1114"/>
      <c r="BE51" s="1114"/>
      <c r="BF51" s="1114"/>
    </row>
    <row r="52" spans="1:58" ht="18" customHeight="1" x14ac:dyDescent="0.25">
      <c r="A52" s="1114"/>
      <c r="B52" s="1114"/>
      <c r="C52" s="1114"/>
      <c r="D52" s="103"/>
      <c r="E52" s="18"/>
      <c r="F52" s="1609" t="str">
        <f>Item_07b</f>
        <v>07b - Building Information Model (BIM)</v>
      </c>
      <c r="G52" s="1905" t="str">
        <f t="shared" si="2"/>
        <v/>
      </c>
      <c r="H52" s="403" t="str">
        <f>IF(COUNTIF('A-Info, Phases, Recip.'!$E$126:$E$146,Phase_dropdown)=0,"error in",IF(COUNTIF('A-Info, Phases, Recip.'!$F$13:$R$13,Phase_dropdown),HLOOKUP(Phase_dropdown,$W$81:$AQ$95,13,FALSE),"error in"))</f>
        <v>N</v>
      </c>
      <c r="I52" s="399" t="str">
        <f>IF(H52="Y",VLOOKUP(F52,$AT$83:$AU$117,2,FALSE),IF(H52="N","",IF(H52="error in",CONCATENATE("cell D",ROW(Phase_dropdown)),IF(H52="?","Error - Confirm if in contract",""))))</f>
        <v/>
      </c>
      <c r="J52" s="32"/>
      <c r="K52" s="110"/>
      <c r="L52" s="1646"/>
      <c r="M52" s="1646"/>
      <c r="N52" s="1646"/>
      <c r="O52" s="1646"/>
      <c r="P52" s="1646"/>
      <c r="Q52" s="1646"/>
      <c r="R52" s="1646"/>
      <c r="S52" s="1646"/>
      <c r="T52" s="1646"/>
      <c r="U52" s="1646"/>
      <c r="V52" s="1642"/>
      <c r="W52" s="1620" t="str">
        <f t="shared" si="1"/>
        <v>&lt;--- AUTO</v>
      </c>
      <c r="X52" s="1592"/>
      <c r="Y52" s="1114"/>
      <c r="Z52" s="1114"/>
      <c r="AA52" s="1114"/>
      <c r="AB52" s="1114"/>
      <c r="AC52" s="1114"/>
      <c r="AD52" s="1114"/>
      <c r="AE52" s="1114"/>
      <c r="AF52" s="1114"/>
      <c r="AG52" s="1114"/>
      <c r="AH52" s="1114"/>
      <c r="AI52" s="1114"/>
      <c r="AJ52" s="1114"/>
      <c r="AK52" s="1114"/>
      <c r="AL52" s="1114"/>
      <c r="AM52" s="1114"/>
      <c r="AN52" s="1114"/>
      <c r="AO52" s="1114"/>
      <c r="AP52" s="1114"/>
      <c r="AQ52" s="1114"/>
      <c r="AR52" s="1114"/>
      <c r="AS52" s="1114"/>
      <c r="AT52" s="1114"/>
      <c r="AU52" s="1114"/>
      <c r="AV52" s="1109"/>
      <c r="AW52" s="1114"/>
      <c r="AX52" s="1114"/>
      <c r="AY52" s="1114"/>
      <c r="AZ52" s="1114"/>
      <c r="BA52" s="1114"/>
      <c r="BB52" s="1114"/>
      <c r="BC52" s="1114"/>
      <c r="BD52" s="1114"/>
      <c r="BE52" s="1114"/>
      <c r="BF52" s="1114"/>
    </row>
    <row r="53" spans="1:58" ht="41.25" customHeight="1" x14ac:dyDescent="0.25">
      <c r="A53" s="1114"/>
      <c r="B53" s="1114"/>
      <c r="C53" s="1114"/>
      <c r="D53" s="103"/>
      <c r="E53" s="18"/>
      <c r="F53" s="2218" t="str">
        <f>Item_08</f>
        <v>08 - Design Presentation</v>
      </c>
      <c r="G53" s="2219"/>
      <c r="H53" s="404" t="str">
        <f>IF(COUNTIF('A-Info, Phases, Recip.'!$E$126:$E$146,Phase_dropdown)=0,"error in",IF(COUNTIF('A-Info, Phases, Recip.'!$F$13:$R$13,Phase_dropdown),HLOOKUP(Phase_dropdown,$W$81:$AQ$95,14,FALSE),"error in"))</f>
        <v>Y</v>
      </c>
      <c r="I53" s="400" t="str">
        <f t="shared" si="0"/>
        <v>ARC, CDAC, Pres. &amp; Chancellor, and BOT versions emailed to PM/Planner. By DD submittal, final BOT version as Digital Download</v>
      </c>
      <c r="J53" s="18"/>
      <c r="K53" s="105"/>
      <c r="L53" s="1643"/>
      <c r="M53" s="1643"/>
      <c r="N53" s="1643"/>
      <c r="O53" s="1643"/>
      <c r="P53" s="1643"/>
      <c r="Q53" s="1643"/>
      <c r="R53" s="1643"/>
      <c r="S53" s="1643"/>
      <c r="T53" s="1643"/>
      <c r="U53" s="1643"/>
      <c r="V53" s="1642"/>
      <c r="W53" s="1620" t="str">
        <f t="shared" si="1"/>
        <v>&lt;--- AUTO</v>
      </c>
      <c r="X53" s="1592"/>
      <c r="Y53" s="1114"/>
      <c r="Z53" s="1114"/>
      <c r="AA53" s="1114"/>
      <c r="AB53" s="1114"/>
      <c r="AC53" s="1114"/>
      <c r="AD53" s="1114"/>
      <c r="AE53" s="1114"/>
      <c r="AF53" s="1114"/>
      <c r="AG53" s="1114"/>
      <c r="AH53" s="1114"/>
      <c r="AI53" s="1114"/>
      <c r="AJ53" s="1114"/>
      <c r="AK53" s="1114"/>
      <c r="AL53" s="1114"/>
      <c r="AM53" s="1114"/>
      <c r="AN53" s="1114"/>
      <c r="AO53" s="1114"/>
      <c r="AP53" s="1114"/>
      <c r="AQ53" s="1114"/>
      <c r="AR53" s="1114"/>
      <c r="AS53" s="1114"/>
      <c r="AT53" s="1114"/>
      <c r="AU53" s="1114"/>
      <c r="AV53" s="1109"/>
      <c r="AW53" s="1114"/>
      <c r="AX53" s="1114"/>
      <c r="AY53" s="1114"/>
      <c r="AZ53" s="1114"/>
      <c r="BA53" s="1114"/>
      <c r="BB53" s="1114"/>
      <c r="BC53" s="1114"/>
      <c r="BD53" s="1114"/>
      <c r="BE53" s="1114"/>
      <c r="BF53" s="1114"/>
    </row>
    <row r="54" spans="1:58" ht="18" customHeight="1" x14ac:dyDescent="0.25">
      <c r="A54" s="1114"/>
      <c r="B54" s="1114"/>
      <c r="C54" s="1114"/>
      <c r="D54" s="103"/>
      <c r="E54" s="18"/>
      <c r="F54" s="2220" t="str">
        <f>Item_09</f>
        <v>09 - Illinois State Historic Preservation Office (ISHPO)</v>
      </c>
      <c r="G54" s="2221"/>
      <c r="H54" s="405" t="str">
        <f>IF(COUNTIF('A-Info, Phases, Recip.'!$E$126:$E$146,Phase_dropdown)=0,"error in",IF(COUNTIF('A-Info, Phases, Recip.'!$F$13:$R$13,Phase_dropdown),HLOOKUP(Phase_dropdown,$W$81:$AQ$95,15,FALSE),"error in"))</f>
        <v>Y</v>
      </c>
      <c r="I54" s="401" t="str">
        <f ca="1">IF(H54="Y",VLOOKUP(F54,$AT$83:$AU$117,2,FALSE),IF(H54="N","",IF(H54="error in",CONCATENATE("cell D",ROW(Phase_dropdown)),IF(H54="?",VLOOKUP(F54,$AT$83:$AU$117,2,FALSE),""))))</f>
        <v>Do not directly submit to ISHPO.  Discuss ISHPO submittal(s) with Campus Historic Preservation Officer.  Should be received by University by end of SD submittal.</v>
      </c>
      <c r="J54" s="18"/>
      <c r="K54" s="105"/>
      <c r="L54" s="1643"/>
      <c r="M54" s="1643"/>
      <c r="N54" s="1643"/>
      <c r="O54" s="1643"/>
      <c r="P54" s="1643"/>
      <c r="Q54" s="1643"/>
      <c r="R54" s="1643"/>
      <c r="S54" s="1643"/>
      <c r="T54" s="1643"/>
      <c r="U54" s="1643"/>
      <c r="V54" s="1642"/>
      <c r="W54" s="1620" t="str">
        <f t="shared" si="1"/>
        <v>&lt;--- AUTO</v>
      </c>
      <c r="X54" s="1592"/>
      <c r="Y54" s="1114"/>
      <c r="Z54" s="1114"/>
      <c r="AA54" s="1114"/>
      <c r="AB54" s="1114"/>
      <c r="AC54" s="1114"/>
      <c r="AD54" s="1114"/>
      <c r="AE54" s="1114"/>
      <c r="AF54" s="1114"/>
      <c r="AG54" s="1114"/>
      <c r="AH54" s="1114"/>
      <c r="AI54" s="1114"/>
      <c r="AJ54" s="1114"/>
      <c r="AK54" s="1114"/>
      <c r="AL54" s="1114"/>
      <c r="AM54" s="1114"/>
      <c r="AN54" s="1114"/>
      <c r="AO54" s="1114"/>
      <c r="AP54" s="1114"/>
      <c r="AQ54" s="1114"/>
      <c r="AR54" s="1114"/>
      <c r="AS54" s="1114"/>
      <c r="AT54" s="1114"/>
      <c r="AU54" s="1114"/>
      <c r="AV54" s="1109"/>
      <c r="AW54" s="1114"/>
      <c r="AX54" s="1114"/>
      <c r="AY54" s="1114"/>
      <c r="AZ54" s="1114"/>
      <c r="BA54" s="1114"/>
      <c r="BB54" s="1114"/>
      <c r="BC54" s="1114"/>
      <c r="BD54" s="1114"/>
      <c r="BE54" s="1114"/>
      <c r="BF54" s="1114"/>
    </row>
    <row r="55" spans="1:58" ht="49.5" customHeight="1" x14ac:dyDescent="0.25">
      <c r="A55" s="1114"/>
      <c r="B55" s="1114"/>
      <c r="C55" s="1114"/>
      <c r="D55" s="103"/>
      <c r="E55" s="18"/>
      <c r="F55" s="2228" t="str">
        <f>IF(Phase_dropdown="Bid &amp; Award",Bid_Award_Item_10,IF(Phase_dropdown="Const.",Const_Item_20,IF(Phase_dropdown="Closeout",Close_Out_Item_30,IF(Phase_dropdown="Post Const.",Post_Const_Item_40,"N/A"))))</f>
        <v>N/A</v>
      </c>
      <c r="G55" s="2229"/>
      <c r="H55" s="404" t="str">
        <f>IF(OR(Phase_dropdown="bid &amp; award",Phase_dropdown="Const.",Phase_dropdown="Closeout",Phase_dropdown="Post Const."),IF(COUNTIF('A-Info, Phases, Recip.'!$F$13:$R$13,Phase_dropdown),HLOOKUP(Phase_dropdown,$W$81:$AQ$117,IF(Phase_dropdown="bid &amp; award",16,IF(Phase_dropdown="Const.",20,IF(Phase_dropdown="Closeout",29,33))),FALSE),"error in"),"-")</f>
        <v>-</v>
      </c>
      <c r="I55" s="400" t="str">
        <f t="shared" si="0"/>
        <v/>
      </c>
      <c r="J55" s="18"/>
      <c r="K55" s="105"/>
      <c r="L55" s="1643"/>
      <c r="M55" s="1643"/>
      <c r="N55" s="1643"/>
      <c r="O55" s="1643"/>
      <c r="P55" s="1643"/>
      <c r="Q55" s="1643"/>
      <c r="R55" s="1643"/>
      <c r="S55" s="1643"/>
      <c r="T55" s="1643"/>
      <c r="U55" s="1643"/>
      <c r="V55" s="1642"/>
      <c r="W55" s="1592" t="str">
        <f t="shared" si="1"/>
        <v>&lt;--- AUTO</v>
      </c>
      <c r="X55" s="1592"/>
      <c r="Y55" s="1114"/>
      <c r="Z55" s="1114"/>
      <c r="AA55" s="1114"/>
      <c r="AB55" s="1114"/>
      <c r="AC55" s="1114"/>
      <c r="AD55" s="1114"/>
      <c r="AE55" s="1114"/>
      <c r="AF55" s="1114"/>
      <c r="AG55" s="1114"/>
      <c r="AH55" s="1114"/>
      <c r="AI55" s="1114"/>
      <c r="AJ55" s="1114"/>
      <c r="AK55" s="1114"/>
      <c r="AL55" s="1114"/>
      <c r="AM55" s="1114"/>
      <c r="AN55" s="1114"/>
      <c r="AO55" s="1114"/>
      <c r="AP55" s="1114"/>
      <c r="AQ55" s="1114"/>
      <c r="AR55" s="1114"/>
      <c r="AS55" s="1114"/>
      <c r="AT55" s="1114"/>
      <c r="AU55" s="1114"/>
      <c r="AV55" s="1109"/>
      <c r="AW55" s="1114"/>
      <c r="AX55" s="1114"/>
      <c r="AY55" s="1114"/>
      <c r="AZ55" s="1114"/>
      <c r="BA55" s="1114"/>
      <c r="BB55" s="1114"/>
      <c r="BC55" s="1114"/>
      <c r="BD55" s="1114"/>
      <c r="BE55" s="1114"/>
      <c r="BF55" s="1114"/>
    </row>
    <row r="56" spans="1:58" ht="29.25" customHeight="1" x14ac:dyDescent="0.25">
      <c r="A56" s="1114"/>
      <c r="B56" s="1114"/>
      <c r="C56" s="1114"/>
      <c r="D56" s="103"/>
      <c r="E56" s="18"/>
      <c r="F56" s="2226" t="str">
        <f>IF(Phase_dropdown="Bid &amp; Award",Bid_Award_Item_11,IF(Phase_dropdown="Const.",Const_Item_21,IF(Phase_dropdown="Closeout",Close_Out_Item_31,IF(Phase_dropdown="Post Const.",Post_Const_Item_41,"N/A"))))</f>
        <v>N/A</v>
      </c>
      <c r="G56" s="2227"/>
      <c r="H56" s="404" t="str">
        <f>IF(OR(Phase_dropdown="bid &amp; award",Phase_dropdown="Const.",Phase_dropdown="Closeout",Phase_dropdown="Post Const."),IF(COUNTIF('A-Info, Phases, Recip.'!$F$13:$R$13,Phase_dropdown),HLOOKUP(Phase_dropdown,$W$81:$AQ$117,IF(Phase_dropdown="bid &amp; award",17,IF(Phase_dropdown="Const.",21,IF(Phase_dropdown="Closeout",30,34))),FALSE),"error in"),"-")</f>
        <v>-</v>
      </c>
      <c r="I56" s="400" t="str">
        <f t="shared" si="0"/>
        <v/>
      </c>
      <c r="J56" s="18"/>
      <c r="K56" s="105"/>
      <c r="L56" s="1643"/>
      <c r="M56" s="1643"/>
      <c r="N56" s="1643"/>
      <c r="O56" s="1643"/>
      <c r="P56" s="1643"/>
      <c r="Q56" s="1643"/>
      <c r="R56" s="1643"/>
      <c r="S56" s="1643"/>
      <c r="T56" s="1643"/>
      <c r="U56" s="1643"/>
      <c r="V56" s="1642"/>
      <c r="W56" s="1592" t="str">
        <f t="shared" si="1"/>
        <v>&lt;--- AUTO</v>
      </c>
      <c r="X56" s="1592"/>
      <c r="Y56" s="1114"/>
      <c r="Z56" s="1114"/>
      <c r="AA56" s="1114"/>
      <c r="AB56" s="1114"/>
      <c r="AC56" s="1114"/>
      <c r="AD56" s="1114"/>
      <c r="AE56" s="1114"/>
      <c r="AF56" s="1114"/>
      <c r="AG56" s="1114"/>
      <c r="AH56" s="1114"/>
      <c r="AI56" s="1114"/>
      <c r="AJ56" s="1114"/>
      <c r="AK56" s="1114"/>
      <c r="AL56" s="1114"/>
      <c r="AM56" s="1114"/>
      <c r="AN56" s="1114"/>
      <c r="AO56" s="1114"/>
      <c r="AP56" s="1114"/>
      <c r="AQ56" s="1114"/>
      <c r="AR56" s="1114"/>
      <c r="AS56" s="1114"/>
      <c r="AT56" s="1114"/>
      <c r="AU56" s="1114"/>
      <c r="AV56" s="1109"/>
      <c r="AW56" s="1114"/>
      <c r="AX56" s="1114"/>
      <c r="AY56" s="1114"/>
      <c r="AZ56" s="1114"/>
      <c r="BA56" s="1114"/>
      <c r="BB56" s="1114"/>
      <c r="BC56" s="1114"/>
      <c r="BD56" s="1114"/>
      <c r="BE56" s="1114"/>
      <c r="BF56" s="1114"/>
    </row>
    <row r="57" spans="1:58" ht="25.5" customHeight="1" x14ac:dyDescent="0.25">
      <c r="A57" s="1114"/>
      <c r="B57" s="1114"/>
      <c r="C57" s="1114"/>
      <c r="D57" s="103"/>
      <c r="E57" s="18"/>
      <c r="F57" s="2226" t="str">
        <f>IF(Phase_dropdown="Bid &amp; Award",Bid_Award_Item_12,IF(Phase_dropdown="Const.",Const_Item_22,IF(Phase_dropdown="Closeout",Close_Out_Item_32,IF(Phase_dropdown="Post Const.",Post_Const_Item_42,"N/A"))))</f>
        <v>N/A</v>
      </c>
      <c r="G57" s="2227"/>
      <c r="H57" s="404" t="str">
        <f>IF(OR(Phase_dropdown="bid &amp; award",Phase_dropdown="Const.",Phase_dropdown="Closeout",Phase_dropdown="Post Const."),IF(COUNTIF('A-Info, Phases, Recip.'!$F$13:$R$13,Phase_dropdown),HLOOKUP(Phase_dropdown,$W$81:$AQ$117,IF(Phase_dropdown="bid &amp; award",18,IF(Phase_dropdown="Const.",22,IF(Phase_dropdown="Closeout",31,35))),FALSE),"error in"),"-")</f>
        <v>-</v>
      </c>
      <c r="I57" s="400" t="str">
        <f t="shared" si="0"/>
        <v/>
      </c>
      <c r="J57" s="18"/>
      <c r="K57" s="105"/>
      <c r="L57" s="1643"/>
      <c r="M57" s="1643"/>
      <c r="N57" s="1643"/>
      <c r="O57" s="1643"/>
      <c r="P57" s="1643"/>
      <c r="Q57" s="1643"/>
      <c r="R57" s="1643"/>
      <c r="S57" s="1643"/>
      <c r="T57" s="1643"/>
      <c r="U57" s="1643"/>
      <c r="V57" s="1642"/>
      <c r="W57" s="1592" t="str">
        <f t="shared" si="1"/>
        <v>&lt;--- AUTO</v>
      </c>
      <c r="X57" s="1592"/>
      <c r="Y57" s="1114"/>
      <c r="Z57" s="1114"/>
      <c r="AA57" s="1114"/>
      <c r="AB57" s="1114"/>
      <c r="AC57" s="1114"/>
      <c r="AD57" s="1114"/>
      <c r="AE57" s="1114"/>
      <c r="AF57" s="1114"/>
      <c r="AG57" s="1114"/>
      <c r="AH57" s="1114"/>
      <c r="AI57" s="1114"/>
      <c r="AJ57" s="1114"/>
      <c r="AK57" s="1114"/>
      <c r="AL57" s="1114"/>
      <c r="AM57" s="1114"/>
      <c r="AN57" s="1114"/>
      <c r="AO57" s="1114"/>
      <c r="AP57" s="1114"/>
      <c r="AQ57" s="1114"/>
      <c r="AR57" s="1114"/>
      <c r="AS57" s="1114"/>
      <c r="AT57" s="1598"/>
      <c r="AU57" s="1114"/>
      <c r="AV57" s="1109"/>
      <c r="AW57" s="1114"/>
      <c r="AX57" s="1114"/>
      <c r="AY57" s="1114"/>
      <c r="AZ57" s="1114"/>
      <c r="BA57" s="1114"/>
      <c r="BB57" s="1114"/>
      <c r="BC57" s="1114"/>
      <c r="BD57" s="1114"/>
      <c r="BE57" s="1114"/>
      <c r="BF57" s="1114"/>
    </row>
    <row r="58" spans="1:58" ht="23.25" customHeight="1" x14ac:dyDescent="0.25">
      <c r="A58" s="1114"/>
      <c r="B58" s="1114"/>
      <c r="C58" s="1114"/>
      <c r="D58" s="103"/>
      <c r="E58" s="18"/>
      <c r="F58" s="2226" t="str">
        <f>IF(Phase_dropdown="Bid &amp; Award",Bid_Award_Item_13,IF(Phase_dropdown="Const.",Const_Item_23,IF(Phase_dropdown="Closeout",Close_Out_Item_33,IF(Phase_dropdown="Post Const.",Post_Const_Item_43,"N/A"))))</f>
        <v>N/A</v>
      </c>
      <c r="G58" s="2227"/>
      <c r="H58" s="404" t="str">
        <f>IF(OR(Phase_dropdown="bid &amp; award",Phase_dropdown="Const.",Phase_dropdown="Closeout",Phase_dropdown="Post Const."),IF(COUNTIF('A-Info, Phases, Recip.'!$F$13:$R$13,Phase_dropdown),HLOOKUP(Phase_dropdown,$W$81:$AQ$117,IF(Phase_dropdown="bid &amp; award",19,IF(Phase_dropdown="Const.",23,IF(Phase_dropdown="Closeout",32,36))),FALSE),"error in"),"-")</f>
        <v>-</v>
      </c>
      <c r="I58" s="328" t="str">
        <f t="shared" si="0"/>
        <v/>
      </c>
      <c r="J58" s="18"/>
      <c r="K58" s="105"/>
      <c r="L58" s="1643"/>
      <c r="M58" s="1643"/>
      <c r="N58" s="1643"/>
      <c r="O58" s="1643"/>
      <c r="P58" s="1643"/>
      <c r="Q58" s="1643"/>
      <c r="R58" s="1643"/>
      <c r="S58" s="1643"/>
      <c r="T58" s="1643"/>
      <c r="U58" s="1643"/>
      <c r="V58" s="1642"/>
      <c r="W58" s="1592" t="str">
        <f t="shared" si="1"/>
        <v>&lt;--- AUTO</v>
      </c>
      <c r="X58" s="1592"/>
      <c r="Y58" s="1114"/>
      <c r="Z58" s="1114"/>
      <c r="AA58" s="1114"/>
      <c r="AB58" s="1114"/>
      <c r="AC58" s="1114"/>
      <c r="AD58" s="1114"/>
      <c r="AE58" s="1114"/>
      <c r="AF58" s="1114"/>
      <c r="AG58" s="1114"/>
      <c r="AH58" s="1114"/>
      <c r="AI58" s="1114"/>
      <c r="AJ58" s="1114"/>
      <c r="AK58" s="1114"/>
      <c r="AL58" s="1114"/>
      <c r="AM58" s="1114"/>
      <c r="AN58" s="1114"/>
      <c r="AO58" s="1114"/>
      <c r="AP58" s="1114"/>
      <c r="AQ58" s="1114"/>
      <c r="AR58" s="1114"/>
      <c r="AS58" s="1114"/>
      <c r="AT58" s="1114"/>
      <c r="AU58" s="1114"/>
      <c r="AV58" s="1109"/>
      <c r="AW58" s="1114"/>
      <c r="AX58" s="1114"/>
      <c r="AY58" s="1114"/>
      <c r="AZ58" s="1114"/>
      <c r="BA58" s="1114"/>
      <c r="BB58" s="1114"/>
      <c r="BC58" s="1114"/>
      <c r="BD58" s="1114"/>
      <c r="BE58" s="1114"/>
      <c r="BF58" s="1114"/>
    </row>
    <row r="59" spans="1:58" s="16" customFormat="1" ht="27.75" customHeight="1" x14ac:dyDescent="0.25">
      <c r="A59" s="1587"/>
      <c r="B59" s="1587"/>
      <c r="C59" s="1587"/>
      <c r="D59" s="366"/>
      <c r="E59" s="21"/>
      <c r="F59" s="2226" t="str">
        <f>IF(Phase_dropdown="Bid &amp; Award"," ",IF(Phase_dropdown="Const.",Const_Item_24,IF(Phase_dropdown="Closeout","-",IF(Phase_dropdown="Post Const.","-","N/A"))))</f>
        <v>N/A</v>
      </c>
      <c r="G59" s="2227"/>
      <c r="H59" s="404" t="str">
        <f>IF(OR(Phase_dropdown="bid &amp; award",Phase_dropdown="const.",Phase_dropdown="closeout",Phase_dropdown="post const."),IF(Phase_dropdown="Const.",IF(COUNTIF('A-Info, Phases, Recip.'!$F$13:$R$13,Phase_dropdown),HLOOKUP(Phase_dropdown,$W$81:$AQ$117,26,FALSE)),""),"-")</f>
        <v>-</v>
      </c>
      <c r="I59" s="328" t="str">
        <f t="shared" si="0"/>
        <v/>
      </c>
      <c r="J59" s="21"/>
      <c r="K59" s="368"/>
      <c r="L59" s="1647"/>
      <c r="M59" s="1647"/>
      <c r="N59" s="1647"/>
      <c r="O59" s="1647"/>
      <c r="P59" s="1647"/>
      <c r="Q59" s="1647"/>
      <c r="R59" s="1647"/>
      <c r="S59" s="1647"/>
      <c r="T59" s="1647"/>
      <c r="U59" s="1647"/>
      <c r="V59" s="1648"/>
      <c r="W59" s="1595" t="str">
        <f t="shared" si="1"/>
        <v>&lt;--- AUTO</v>
      </c>
      <c r="X59" s="1595"/>
      <c r="Y59" s="1587"/>
      <c r="Z59" s="1587"/>
      <c r="AA59" s="1587"/>
      <c r="AB59" s="1587"/>
      <c r="AC59" s="1587"/>
      <c r="AD59" s="1587"/>
      <c r="AE59" s="1587"/>
      <c r="AF59" s="1587"/>
      <c r="AG59" s="1587"/>
      <c r="AH59" s="1587"/>
      <c r="AI59" s="1587"/>
      <c r="AJ59" s="1587"/>
      <c r="AK59" s="1587"/>
      <c r="AL59" s="1587"/>
      <c r="AM59" s="1587"/>
      <c r="AN59" s="1587"/>
      <c r="AO59" s="1587"/>
      <c r="AP59" s="1587"/>
      <c r="AQ59" s="1587"/>
      <c r="AR59" s="1587"/>
      <c r="AS59" s="1587"/>
      <c r="AT59" s="1587"/>
      <c r="AU59" s="1587"/>
      <c r="AV59" s="1109"/>
      <c r="AW59" s="1587"/>
      <c r="AX59" s="1587"/>
      <c r="AY59" s="1587"/>
      <c r="AZ59" s="1587"/>
      <c r="BA59" s="1587"/>
      <c r="BB59" s="1587"/>
      <c r="BC59" s="1587"/>
      <c r="BD59" s="1587"/>
      <c r="BE59" s="1587"/>
      <c r="BF59" s="1587"/>
    </row>
    <row r="60" spans="1:58" s="16" customFormat="1" ht="27.75" customHeight="1" x14ac:dyDescent="0.25">
      <c r="A60" s="1587"/>
      <c r="B60" s="1587"/>
      <c r="C60" s="1587"/>
      <c r="D60" s="366"/>
      <c r="E60" s="21"/>
      <c r="F60" s="2226" t="str">
        <f>IF(Phase_dropdown="Bid &amp; Award","-",IF(Phase_dropdown="Const.",Const_Item_25,IF(Phase_dropdown="Closeout","-",IF(Phase_dropdown="Post Const.","-","N/A"))))</f>
        <v>N/A</v>
      </c>
      <c r="G60" s="2227"/>
      <c r="H60" s="404" t="str">
        <f>IF(OR(Phase_dropdown="bid &amp; award",Phase_dropdown="const.",Phase_dropdown="closeout",Phase_dropdown="post const."),IF(Phase_dropdown="Const.",IF(COUNTIF('A-Info, Phases, Recip.'!$F$13:$R$13,Phase_dropdown),HLOOKUP(Phase_dropdown,$W$81:$AQ$117,26,FALSE)),""),"-")</f>
        <v>-</v>
      </c>
      <c r="I60" s="328" t="str">
        <f t="shared" si="0"/>
        <v/>
      </c>
      <c r="J60" s="21"/>
      <c r="K60" s="368"/>
      <c r="L60" s="1647"/>
      <c r="M60" s="1647"/>
      <c r="N60" s="1647"/>
      <c r="O60" s="1647"/>
      <c r="P60" s="1647"/>
      <c r="Q60" s="1647"/>
      <c r="R60" s="1647"/>
      <c r="S60" s="1647"/>
      <c r="T60" s="1647"/>
      <c r="U60" s="1647"/>
      <c r="V60" s="1648"/>
      <c r="W60" s="1595" t="str">
        <f t="shared" si="1"/>
        <v>&lt;--- AUTO</v>
      </c>
      <c r="X60" s="1595"/>
      <c r="Y60" s="1587"/>
      <c r="Z60" s="1587"/>
      <c r="AA60" s="1587"/>
      <c r="AB60" s="1587"/>
      <c r="AC60" s="1587"/>
      <c r="AD60" s="1587"/>
      <c r="AE60" s="1587"/>
      <c r="AF60" s="1587"/>
      <c r="AG60" s="1587"/>
      <c r="AH60" s="1587"/>
      <c r="AI60" s="1587"/>
      <c r="AJ60" s="1587"/>
      <c r="AK60" s="1587"/>
      <c r="AL60" s="1587"/>
      <c r="AM60" s="1587"/>
      <c r="AN60" s="1587"/>
      <c r="AO60" s="1587"/>
      <c r="AP60" s="1587"/>
      <c r="AQ60" s="1587"/>
      <c r="AR60" s="1587"/>
      <c r="AS60" s="1587"/>
      <c r="AT60" s="1587"/>
      <c r="AU60" s="1587"/>
      <c r="AV60" s="1109"/>
      <c r="AW60" s="1587"/>
      <c r="AX60" s="1587"/>
      <c r="AY60" s="1587"/>
      <c r="AZ60" s="1587"/>
      <c r="BA60" s="1587"/>
      <c r="BB60" s="1587"/>
      <c r="BC60" s="1587"/>
      <c r="BD60" s="1587"/>
      <c r="BE60" s="1587"/>
      <c r="BF60" s="1587"/>
    </row>
    <row r="61" spans="1:58" s="16" customFormat="1" x14ac:dyDescent="0.25">
      <c r="A61" s="1587"/>
      <c r="B61" s="1587"/>
      <c r="C61" s="1587"/>
      <c r="D61" s="366"/>
      <c r="E61" s="21"/>
      <c r="F61" s="2224" t="str">
        <f>IF(Phase_dropdown="Bid &amp; Award"," -",IF(Phase_dropdown="Const.",Const_Item_26,IF(Phase_dropdown="Closeout","-",IF(Phase_dropdown="Post Const.","-","N/A"))))</f>
        <v>N/A</v>
      </c>
      <c r="G61" s="2225"/>
      <c r="H61" s="406" t="str">
        <f>IF(OR(Phase_dropdown="bid &amp; award",Phase_dropdown="const.",Phase_dropdown="closeout",Phase_dropdown="post const."),IF(Phase_dropdown="Const.",IF(COUNTIF('A-Info, Phases, Recip.'!$F$13:$R$13,Phase_dropdown),HLOOKUP(Phase_dropdown,$W$81:$AQ$117,26,FALSE)),""),"-")</f>
        <v>-</v>
      </c>
      <c r="I61" s="367" t="str">
        <f t="shared" si="0"/>
        <v/>
      </c>
      <c r="J61" s="21"/>
      <c r="K61" s="368"/>
      <c r="L61" s="1647"/>
      <c r="M61" s="1647"/>
      <c r="N61" s="1647"/>
      <c r="O61" s="1647"/>
      <c r="P61" s="1647"/>
      <c r="Q61" s="1647"/>
      <c r="R61" s="1647"/>
      <c r="S61" s="1647"/>
      <c r="T61" s="1647"/>
      <c r="U61" s="1647"/>
      <c r="V61" s="1648"/>
      <c r="W61" s="1595" t="str">
        <f t="shared" si="1"/>
        <v>&lt;--- AUTO</v>
      </c>
      <c r="X61" s="1595"/>
      <c r="Y61" s="1587"/>
      <c r="Z61" s="1587"/>
      <c r="AA61" s="1587"/>
      <c r="AB61" s="1587"/>
      <c r="AC61" s="1587"/>
      <c r="AD61" s="1587"/>
      <c r="AE61" s="1587"/>
      <c r="AF61" s="1587"/>
      <c r="AG61" s="1587"/>
      <c r="AH61" s="1587"/>
      <c r="AI61" s="1587"/>
      <c r="AJ61" s="1587"/>
      <c r="AK61" s="1587"/>
      <c r="AL61" s="1587"/>
      <c r="AM61" s="1587"/>
      <c r="AN61" s="1587"/>
      <c r="AO61" s="1587"/>
      <c r="AP61" s="1587"/>
      <c r="AQ61" s="1587"/>
      <c r="AR61" s="1587"/>
      <c r="AS61" s="1587"/>
      <c r="AT61" s="1587"/>
      <c r="AU61" s="1587"/>
      <c r="AV61" s="1109"/>
      <c r="AW61" s="1587"/>
      <c r="AX61" s="1587"/>
      <c r="AY61" s="1587"/>
      <c r="AZ61" s="1587"/>
      <c r="BA61" s="1587"/>
      <c r="BB61" s="1587"/>
      <c r="BC61" s="1587"/>
      <c r="BD61" s="1587"/>
      <c r="BE61" s="1587"/>
      <c r="BF61" s="1587"/>
    </row>
    <row r="62" spans="1:58" s="543" customFormat="1" x14ac:dyDescent="0.25">
      <c r="A62" s="1587"/>
      <c r="B62" s="1587"/>
      <c r="C62" s="1587"/>
      <c r="D62" s="366"/>
      <c r="E62" s="21"/>
      <c r="F62" s="2224" t="str">
        <f>IF(Phase_dropdown="Bid &amp; Award"," ",IF(Phase_dropdown="Const.",Const_Item_27,IF(Phase_dropdown="Closeout","-",IF(Phase_dropdown="Post Const.","-","N/A"))))</f>
        <v>N/A</v>
      </c>
      <c r="G62" s="2225"/>
      <c r="H62" s="406" t="str">
        <f>IF(OR(Phase_dropdown="bid &amp; award",Phase_dropdown="const.",Phase_dropdown="closeout",Phase_dropdown="post const."),IF(Phase_dropdown="Const.",IF(COUNTIF('A-Info, Phases, Recip.'!$F$13:$R$13,Phase_dropdown),HLOOKUP(Phase_dropdown,$W$81:$AQ$117,27,FALSE)),""),"-")</f>
        <v>-</v>
      </c>
      <c r="I62" s="367" t="str">
        <f t="shared" si="0"/>
        <v/>
      </c>
      <c r="J62" s="21"/>
      <c r="K62" s="368"/>
      <c r="L62" s="1647"/>
      <c r="M62" s="1647"/>
      <c r="N62" s="1647"/>
      <c r="O62" s="1647"/>
      <c r="P62" s="1647"/>
      <c r="Q62" s="1647"/>
      <c r="R62" s="1647"/>
      <c r="S62" s="1647"/>
      <c r="T62" s="1647"/>
      <c r="U62" s="1647"/>
      <c r="V62" s="1648"/>
      <c r="W62" s="1595" t="str">
        <f t="shared" si="1"/>
        <v>&lt;--- AUTO</v>
      </c>
      <c r="X62" s="1595"/>
      <c r="Y62" s="1587"/>
      <c r="Z62" s="1587"/>
      <c r="AA62" s="1587"/>
      <c r="AB62" s="1587"/>
      <c r="AC62" s="1587"/>
      <c r="AD62" s="1587"/>
      <c r="AE62" s="1587"/>
      <c r="AF62" s="1587"/>
      <c r="AG62" s="1587"/>
      <c r="AH62" s="1587"/>
      <c r="AI62" s="1587"/>
      <c r="AJ62" s="1587"/>
      <c r="AK62" s="1587"/>
      <c r="AL62" s="1587"/>
      <c r="AM62" s="1587"/>
      <c r="AN62" s="1587"/>
      <c r="AO62" s="1587"/>
      <c r="AP62" s="1587"/>
      <c r="AQ62" s="1587"/>
      <c r="AR62" s="1587"/>
      <c r="AS62" s="1587"/>
      <c r="AT62" s="1587"/>
      <c r="AU62" s="1587"/>
      <c r="AV62" s="1109"/>
      <c r="AW62" s="1587"/>
      <c r="AX62" s="1587"/>
      <c r="AY62" s="1587"/>
      <c r="AZ62" s="1587"/>
      <c r="BA62" s="1587"/>
      <c r="BB62" s="1587"/>
      <c r="BC62" s="1587"/>
      <c r="BD62" s="1587"/>
      <c r="BE62" s="1587"/>
      <c r="BF62" s="1587"/>
    </row>
    <row r="63" spans="1:58" s="543" customFormat="1" x14ac:dyDescent="0.25">
      <c r="A63" s="1587"/>
      <c r="B63" s="1587"/>
      <c r="C63" s="1587"/>
      <c r="D63" s="366"/>
      <c r="E63" s="21"/>
      <c r="F63" s="2224" t="str">
        <f>IF(Phase_dropdown="Bid &amp; Award","-",IF(Phase_dropdown="Const.",Const_Item_28,IF(Phase_dropdown="Closeout","-",IF(Phase_dropdown="Post Const.","-","N/A"))))</f>
        <v>N/A</v>
      </c>
      <c r="G63" s="2225"/>
      <c r="H63" s="406" t="str">
        <f>IF(OR(Phase_dropdown="bid &amp; award",Phase_dropdown="const.",Phase_dropdown="closeout",Phase_dropdown="post const."),IF(Phase_dropdown="Const.",IF(COUNTIF('A-Info, Phases, Recip.'!$F$13:$R$13,Phase_dropdown),HLOOKUP(Phase_dropdown,$W$81:$AQ$117,28,FALSE)),""),"-")</f>
        <v>-</v>
      </c>
      <c r="I63" s="367" t="str">
        <f t="shared" si="0"/>
        <v/>
      </c>
      <c r="J63" s="21"/>
      <c r="K63" s="368"/>
      <c r="L63" s="1647"/>
      <c r="M63" s="1647"/>
      <c r="N63" s="1647"/>
      <c r="O63" s="1647"/>
      <c r="P63" s="1647"/>
      <c r="Q63" s="1647"/>
      <c r="R63" s="1647"/>
      <c r="S63" s="1647"/>
      <c r="T63" s="1647"/>
      <c r="U63" s="1647"/>
      <c r="V63" s="1648"/>
      <c r="W63" s="1595" t="str">
        <f t="shared" si="1"/>
        <v>&lt;--- AUTO</v>
      </c>
      <c r="X63" s="1595"/>
      <c r="Y63" s="1587"/>
      <c r="Z63" s="1587"/>
      <c r="AA63" s="1587"/>
      <c r="AB63" s="1587"/>
      <c r="AC63" s="1587"/>
      <c r="AD63" s="1587"/>
      <c r="AE63" s="1587"/>
      <c r="AF63" s="1587"/>
      <c r="AG63" s="1587"/>
      <c r="AH63" s="1587"/>
      <c r="AI63" s="1587"/>
      <c r="AJ63" s="1587"/>
      <c r="AK63" s="1587"/>
      <c r="AL63" s="1587"/>
      <c r="AM63" s="1587"/>
      <c r="AN63" s="1587"/>
      <c r="AO63" s="1587"/>
      <c r="AP63" s="1587"/>
      <c r="AQ63" s="1587"/>
      <c r="AR63" s="1587"/>
      <c r="AS63" s="1587"/>
      <c r="AT63" s="1587"/>
      <c r="AU63" s="1587"/>
      <c r="AV63" s="1109"/>
      <c r="AW63" s="1587"/>
      <c r="AX63" s="1587"/>
      <c r="AY63" s="1587"/>
      <c r="AZ63" s="1587"/>
      <c r="BA63" s="1587"/>
      <c r="BB63" s="1587"/>
      <c r="BC63" s="1587"/>
      <c r="BD63" s="1587"/>
      <c r="BE63" s="1587"/>
      <c r="BF63" s="1587"/>
    </row>
    <row r="64" spans="1:58" s="16" customFormat="1" ht="4.5" customHeight="1" thickBot="1" x14ac:dyDescent="0.3">
      <c r="A64" s="1587"/>
      <c r="B64" s="1587"/>
      <c r="C64" s="1587"/>
      <c r="D64" s="366"/>
      <c r="E64" s="21"/>
      <c r="F64" s="2222"/>
      <c r="G64" s="2223"/>
      <c r="H64" s="407"/>
      <c r="I64" s="369"/>
      <c r="J64" s="21"/>
      <c r="K64" s="368"/>
      <c r="L64" s="1647"/>
      <c r="M64" s="1647"/>
      <c r="N64" s="1647"/>
      <c r="O64" s="1647"/>
      <c r="P64" s="1647"/>
      <c r="Q64" s="1647"/>
      <c r="R64" s="1647"/>
      <c r="S64" s="1647"/>
      <c r="T64" s="1647"/>
      <c r="U64" s="1647"/>
      <c r="V64" s="1648"/>
      <c r="W64" s="1595"/>
      <c r="X64" s="1595"/>
      <c r="Y64" s="1587"/>
      <c r="Z64" s="1587"/>
      <c r="AA64" s="1587"/>
      <c r="AB64" s="1587"/>
      <c r="AC64" s="1587"/>
      <c r="AD64" s="1587"/>
      <c r="AE64" s="1587"/>
      <c r="AF64" s="1587"/>
      <c r="AG64" s="1587"/>
      <c r="AH64" s="1587"/>
      <c r="AI64" s="1587"/>
      <c r="AJ64" s="1587"/>
      <c r="AK64" s="1587"/>
      <c r="AL64" s="1587"/>
      <c r="AM64" s="1587"/>
      <c r="AN64" s="1587"/>
      <c r="AO64" s="1587"/>
      <c r="AP64" s="1587"/>
      <c r="AQ64" s="1587"/>
      <c r="AR64" s="1587"/>
      <c r="AS64" s="1587"/>
      <c r="AT64" s="1587"/>
      <c r="AU64" s="1587"/>
      <c r="AV64" s="1109"/>
      <c r="AW64" s="1587"/>
      <c r="AX64" s="1587"/>
      <c r="AY64" s="1587"/>
      <c r="AZ64" s="1587"/>
      <c r="BA64" s="1587"/>
      <c r="BB64" s="1587"/>
      <c r="BC64" s="1587"/>
      <c r="BD64" s="1587"/>
      <c r="BE64" s="1587"/>
      <c r="BF64" s="1587"/>
    </row>
    <row r="65" spans="1:16368" s="16" customFormat="1" ht="8.25" customHeight="1" thickTop="1" x14ac:dyDescent="0.25">
      <c r="A65" s="1587"/>
      <c r="B65" s="1587"/>
      <c r="C65" s="1587"/>
      <c r="D65" s="366"/>
      <c r="E65" s="21"/>
      <c r="F65" s="155"/>
      <c r="G65" s="155"/>
      <c r="H65" s="977"/>
      <c r="I65" s="977"/>
      <c r="J65" s="21"/>
      <c r="K65" s="368"/>
      <c r="L65" s="1647"/>
      <c r="M65" s="1647"/>
      <c r="N65" s="1647"/>
      <c r="O65" s="1647"/>
      <c r="P65" s="1647"/>
      <c r="Q65" s="1647"/>
      <c r="R65" s="1647"/>
      <c r="S65" s="1647"/>
      <c r="T65" s="1647"/>
      <c r="U65" s="1647"/>
      <c r="V65" s="1648"/>
      <c r="W65" s="1587"/>
      <c r="X65" s="1587"/>
      <c r="Y65" s="1587"/>
      <c r="Z65" s="1587"/>
      <c r="AA65" s="1587"/>
      <c r="AB65" s="1587"/>
      <c r="AC65" s="1587"/>
      <c r="AD65" s="1587"/>
      <c r="AE65" s="1587"/>
      <c r="AF65" s="1587"/>
      <c r="AG65" s="1587"/>
      <c r="AH65" s="1587"/>
      <c r="AI65" s="1587"/>
      <c r="AJ65" s="1587"/>
      <c r="AK65" s="1587"/>
      <c r="AL65" s="1587"/>
      <c r="AM65" s="1587"/>
      <c r="AN65" s="1587"/>
      <c r="AO65" s="1587"/>
      <c r="AP65" s="1587"/>
      <c r="AQ65" s="1587"/>
      <c r="AR65" s="1587"/>
      <c r="AS65" s="1587"/>
      <c r="AT65" s="1587"/>
      <c r="AU65" s="1587"/>
      <c r="AV65" s="1109"/>
      <c r="AW65" s="1587"/>
      <c r="AX65" s="1587"/>
      <c r="AY65" s="1587"/>
      <c r="AZ65" s="1587"/>
      <c r="BA65" s="1587"/>
      <c r="BB65" s="1587"/>
      <c r="BC65" s="1587"/>
      <c r="BD65" s="1587"/>
      <c r="BE65" s="1587"/>
      <c r="BF65" s="1587"/>
    </row>
    <row r="66" spans="1:16368" s="16" customFormat="1" ht="12.75" customHeight="1" x14ac:dyDescent="0.25">
      <c r="A66" s="1587"/>
      <c r="B66" s="1587"/>
      <c r="C66" s="1587"/>
      <c r="D66" s="366"/>
      <c r="E66" s="2236" t="s">
        <v>704</v>
      </c>
      <c r="F66" s="2236"/>
      <c r="G66" s="2236"/>
      <c r="H66" s="2236"/>
      <c r="I66" s="2236"/>
      <c r="J66" s="2236"/>
      <c r="K66" s="111"/>
      <c r="L66" s="1649"/>
      <c r="M66" s="1649"/>
      <c r="N66" s="1649"/>
      <c r="O66" s="1649"/>
      <c r="P66" s="1649"/>
      <c r="Q66" s="1649"/>
      <c r="R66" s="1649"/>
      <c r="S66" s="1649"/>
      <c r="T66" s="1649"/>
      <c r="U66" s="1649"/>
      <c r="V66" s="1648"/>
      <c r="W66" s="1587"/>
      <c r="X66" s="1587"/>
      <c r="Y66" s="1587"/>
      <c r="Z66" s="1587"/>
      <c r="AA66" s="1587"/>
      <c r="AB66" s="1587"/>
      <c r="AC66" s="1587"/>
      <c r="AD66" s="1587"/>
      <c r="AE66" s="1587"/>
      <c r="AF66" s="1587"/>
      <c r="AG66" s="1587"/>
      <c r="AH66" s="1587"/>
      <c r="AI66" s="1587"/>
      <c r="AJ66" s="1587"/>
      <c r="AK66" s="1587"/>
      <c r="AL66" s="1587"/>
      <c r="AM66" s="1587"/>
      <c r="AN66" s="1587"/>
      <c r="AO66" s="1587"/>
      <c r="AP66" s="1587"/>
      <c r="AQ66" s="1587"/>
      <c r="AR66" s="1587"/>
      <c r="AS66" s="1587"/>
      <c r="AT66" s="1587"/>
      <c r="AU66" s="1587"/>
      <c r="AV66" s="1109"/>
      <c r="AW66" s="1587"/>
      <c r="AX66" s="1587"/>
      <c r="AY66" s="1587"/>
      <c r="AZ66" s="1587"/>
      <c r="BA66" s="1587"/>
      <c r="BB66" s="1587"/>
      <c r="BC66" s="1587"/>
      <c r="BD66" s="1587"/>
      <c r="BE66" s="1587"/>
      <c r="BF66" s="1587"/>
    </row>
    <row r="67" spans="1:16368" s="16" customFormat="1" ht="12" customHeight="1" x14ac:dyDescent="0.25">
      <c r="A67" s="1587"/>
      <c r="B67" s="1587"/>
      <c r="C67" s="1587"/>
      <c r="D67" s="366"/>
      <c r="E67" s="370"/>
      <c r="F67" s="371"/>
      <c r="G67" s="371"/>
      <c r="H67" s="21"/>
      <c r="I67" s="21"/>
      <c r="J67" s="21"/>
      <c r="K67" s="368"/>
      <c r="L67" s="1647"/>
      <c r="M67" s="1647"/>
      <c r="N67" s="1647"/>
      <c r="O67" s="1647"/>
      <c r="P67" s="1647"/>
      <c r="Q67" s="1647"/>
      <c r="R67" s="1647"/>
      <c r="S67" s="1647"/>
      <c r="T67" s="1647"/>
      <c r="U67" s="1647"/>
      <c r="V67" s="1648"/>
      <c r="W67" s="1587"/>
      <c r="X67" s="1587"/>
      <c r="Y67" s="1587"/>
      <c r="Z67" s="1587"/>
      <c r="AA67" s="1587"/>
      <c r="AB67" s="1587"/>
      <c r="AC67" s="1587"/>
      <c r="AD67" s="1587"/>
      <c r="AE67" s="1587"/>
      <c r="AF67" s="1587"/>
      <c r="AG67" s="1587"/>
      <c r="AH67" s="1587"/>
      <c r="AI67" s="1587"/>
      <c r="AJ67" s="1587"/>
      <c r="AK67" s="1587"/>
      <c r="AL67" s="1587"/>
      <c r="AM67" s="1587"/>
      <c r="AN67" s="1587"/>
      <c r="AO67" s="1587"/>
      <c r="AP67" s="1587"/>
      <c r="AQ67" s="1587"/>
      <c r="AR67" s="1587"/>
      <c r="AS67" s="1587"/>
      <c r="AT67" s="1587"/>
      <c r="AU67" s="1587"/>
      <c r="AV67" s="1109"/>
      <c r="AW67" s="1587"/>
      <c r="AX67" s="1587"/>
      <c r="AY67" s="1587"/>
      <c r="AZ67" s="1587"/>
      <c r="BA67" s="1587"/>
      <c r="BB67" s="1587"/>
      <c r="BC67" s="1587"/>
      <c r="BD67" s="1587"/>
      <c r="BE67" s="1587"/>
      <c r="BF67" s="1587"/>
    </row>
    <row r="68" spans="1:16368" s="16" customFormat="1" ht="30" customHeight="1" x14ac:dyDescent="0.25">
      <c r="A68" s="1587"/>
      <c r="B68" s="1587"/>
      <c r="C68" s="1587"/>
      <c r="D68" s="366"/>
      <c r="E68" s="2234" t="s">
        <v>217</v>
      </c>
      <c r="F68" s="2234"/>
      <c r="G68" s="2234"/>
      <c r="H68" s="2234"/>
      <c r="I68" s="2234"/>
      <c r="J68" s="2234"/>
      <c r="K68" s="111"/>
      <c r="L68" s="1649"/>
      <c r="M68" s="1649"/>
      <c r="N68" s="1649"/>
      <c r="O68" s="1649"/>
      <c r="P68" s="1649"/>
      <c r="Q68" s="1649"/>
      <c r="R68" s="1649"/>
      <c r="S68" s="1649"/>
      <c r="T68" s="1649"/>
      <c r="U68" s="1649"/>
      <c r="V68" s="1648"/>
      <c r="W68" s="1587"/>
      <c r="X68" s="1587"/>
      <c r="Y68" s="1587"/>
      <c r="Z68" s="1587"/>
      <c r="AA68" s="1587"/>
      <c r="AB68" s="1587"/>
      <c r="AC68" s="1587"/>
      <c r="AD68" s="1587"/>
      <c r="AE68" s="1587"/>
      <c r="AF68" s="1587"/>
      <c r="AG68" s="1587"/>
      <c r="AH68" s="1587"/>
      <c r="AI68" s="1587"/>
      <c r="AJ68" s="1587"/>
      <c r="AK68" s="1587"/>
      <c r="AL68" s="1587"/>
      <c r="AM68" s="1587"/>
      <c r="AN68" s="1587"/>
      <c r="AO68" s="1587"/>
      <c r="AP68" s="1587"/>
      <c r="AQ68" s="1587"/>
      <c r="AR68" s="1587"/>
      <c r="AS68" s="1587"/>
      <c r="AT68" s="1587"/>
      <c r="AU68" s="1587"/>
      <c r="AV68" s="1109"/>
      <c r="AW68" s="1587"/>
      <c r="AX68" s="1587"/>
      <c r="AY68" s="1587"/>
      <c r="AZ68" s="1587"/>
      <c r="BA68" s="1587"/>
      <c r="BB68" s="1587"/>
      <c r="BC68" s="1587"/>
      <c r="BD68" s="1587"/>
      <c r="BE68" s="1587"/>
      <c r="BF68" s="1587"/>
    </row>
    <row r="69" spans="1:16368" s="16" customFormat="1" x14ac:dyDescent="0.25">
      <c r="A69" s="1587"/>
      <c r="B69" s="1587"/>
      <c r="C69" s="1587"/>
      <c r="D69" s="366"/>
      <c r="E69" s="370" t="s">
        <v>93</v>
      </c>
      <c r="F69" s="371" t="str">
        <f ca="1">CONCATENATE("Printout of ","TAB [",MID(CELL("filename",'A-Info, Phases, Recip.'!C4),FIND("]",CELL("filename",'A-Info, Phases, Recip.'!C4))+1,255),"] ")</f>
        <v xml:space="preserve">Printout of TAB [A-Info, Phases, Recip.] </v>
      </c>
      <c r="G69" s="371"/>
      <c r="H69" s="21"/>
      <c r="I69" s="21"/>
      <c r="J69" s="21"/>
      <c r="K69" s="368"/>
      <c r="L69" s="1647"/>
      <c r="M69" s="1647"/>
      <c r="N69" s="1647"/>
      <c r="O69" s="1647"/>
      <c r="P69" s="1647"/>
      <c r="Q69" s="1647"/>
      <c r="R69" s="1647"/>
      <c r="S69" s="1647"/>
      <c r="T69" s="1647"/>
      <c r="U69" s="1647"/>
      <c r="V69" s="1648"/>
      <c r="W69" s="1595" t="s">
        <v>101</v>
      </c>
      <c r="X69" s="1587"/>
      <c r="Y69" s="1587"/>
      <c r="Z69" s="1587"/>
      <c r="AA69" s="1587"/>
      <c r="AB69" s="1587"/>
      <c r="AC69" s="1587"/>
      <c r="AD69" s="1587"/>
      <c r="AE69" s="1587"/>
      <c r="AF69" s="1587"/>
      <c r="AG69" s="1587"/>
      <c r="AH69" s="1587"/>
      <c r="AI69" s="1587"/>
      <c r="AJ69" s="1587"/>
      <c r="AK69" s="1587"/>
      <c r="AL69" s="1587"/>
      <c r="AM69" s="1587"/>
      <c r="AN69" s="1587"/>
      <c r="AO69" s="1587"/>
      <c r="AP69" s="1587"/>
      <c r="AQ69" s="1587"/>
      <c r="AR69" s="1587"/>
      <c r="AS69" s="1587"/>
      <c r="AT69" s="1587"/>
      <c r="AU69" s="1587"/>
      <c r="AV69" s="1109"/>
      <c r="AW69" s="1587"/>
      <c r="AX69" s="1587"/>
      <c r="AY69" s="1587"/>
      <c r="AZ69" s="1587"/>
      <c r="BA69" s="1587"/>
      <c r="BB69" s="1587"/>
      <c r="BC69" s="1587"/>
      <c r="BD69" s="1587"/>
      <c r="BE69" s="1587"/>
      <c r="BF69" s="1587"/>
    </row>
    <row r="70" spans="1:16368" s="16" customFormat="1" x14ac:dyDescent="0.25">
      <c r="A70" s="1587"/>
      <c r="B70" s="1587"/>
      <c r="C70" s="1587"/>
      <c r="D70" s="366"/>
      <c r="E70" s="370" t="s">
        <v>93</v>
      </c>
      <c r="F70" s="371" t="str">
        <f>CONCATENATE("Printout of Updated  ''",Phase_dropdown," Minimum List of Deliverables'' Checklist for Phase")</f>
        <v>Printout of Updated  ''SD Minimum List of Deliverables'' Checklist for Phase</v>
      </c>
      <c r="G70" s="371"/>
      <c r="H70" s="21"/>
      <c r="I70" s="21"/>
      <c r="J70" s="21"/>
      <c r="K70" s="368"/>
      <c r="L70" s="1647"/>
      <c r="M70" s="1647"/>
      <c r="N70" s="1647"/>
      <c r="O70" s="1647"/>
      <c r="P70" s="1647"/>
      <c r="Q70" s="1647"/>
      <c r="R70" s="1647"/>
      <c r="S70" s="1647"/>
      <c r="T70" s="1647"/>
      <c r="U70" s="1647"/>
      <c r="V70" s="1648"/>
      <c r="W70" s="1595" t="s">
        <v>101</v>
      </c>
      <c r="X70" s="1595"/>
      <c r="Y70" s="1595"/>
      <c r="Z70" s="1595"/>
      <c r="AA70" s="1587"/>
      <c r="AB70" s="1587"/>
      <c r="AC70" s="1587"/>
      <c r="AD70" s="1587"/>
      <c r="AE70" s="1587"/>
      <c r="AF70" s="1587"/>
      <c r="AG70" s="1587"/>
      <c r="AH70" s="1587"/>
      <c r="AI70" s="1587"/>
      <c r="AJ70" s="1587"/>
      <c r="AK70" s="1587"/>
      <c r="AL70" s="1587"/>
      <c r="AM70" s="1587"/>
      <c r="AN70" s="1587"/>
      <c r="AO70" s="1587"/>
      <c r="AP70" s="1587"/>
      <c r="AQ70" s="1587"/>
      <c r="AR70" s="1587"/>
      <c r="AS70" s="1587"/>
      <c r="AT70" s="1587"/>
      <c r="AU70" s="1587"/>
      <c r="AV70" s="1109"/>
      <c r="AW70" s="1587"/>
      <c r="AX70" s="1587"/>
      <c r="AY70" s="1587"/>
      <c r="AZ70" s="1587"/>
      <c r="BA70" s="1587"/>
      <c r="BB70" s="1587"/>
      <c r="BC70" s="1587"/>
      <c r="BD70" s="1587"/>
      <c r="BE70" s="1587"/>
      <c r="BF70" s="1587"/>
    </row>
    <row r="71" spans="1:16368" s="16" customFormat="1" x14ac:dyDescent="0.25">
      <c r="A71" s="1587"/>
      <c r="B71" s="1587"/>
      <c r="C71" s="1587"/>
      <c r="D71" s="366"/>
      <c r="E71" s="370" t="s">
        <v>93</v>
      </c>
      <c r="F71" s="371" t="s">
        <v>123</v>
      </c>
      <c r="G71" s="371"/>
      <c r="H71" s="21"/>
      <c r="I71" s="21"/>
      <c r="J71" s="21"/>
      <c r="K71" s="368"/>
      <c r="L71" s="1647"/>
      <c r="M71" s="1647"/>
      <c r="N71" s="1647"/>
      <c r="O71" s="1647"/>
      <c r="P71" s="1647"/>
      <c r="Q71" s="1647"/>
      <c r="R71" s="1647"/>
      <c r="S71" s="1647"/>
      <c r="T71" s="1647"/>
      <c r="U71" s="1647"/>
      <c r="V71" s="1648"/>
      <c r="W71" s="1595" t="s">
        <v>101</v>
      </c>
      <c r="X71" s="1587"/>
      <c r="Y71" s="1587"/>
      <c r="Z71" s="1587"/>
      <c r="AA71" s="1587"/>
      <c r="AB71" s="1587"/>
      <c r="AC71" s="1587"/>
      <c r="AD71" s="1587"/>
      <c r="AE71" s="1587"/>
      <c r="AF71" s="1587"/>
      <c r="AG71" s="1587"/>
      <c r="AH71" s="1587"/>
      <c r="AI71" s="1587"/>
      <c r="AJ71" s="1587"/>
      <c r="AK71" s="1587"/>
      <c r="AL71" s="1587"/>
      <c r="AM71" s="1587"/>
      <c r="AN71" s="1587"/>
      <c r="AO71" s="1587"/>
      <c r="AP71" s="1587"/>
      <c r="AQ71" s="1587"/>
      <c r="AR71" s="1587"/>
      <c r="AS71" s="1587"/>
      <c r="AT71" s="1587"/>
      <c r="AU71" s="1587"/>
      <c r="AV71" s="1109"/>
      <c r="AW71" s="1587"/>
      <c r="AX71" s="1587"/>
      <c r="AY71" s="1587"/>
      <c r="AZ71" s="1587"/>
      <c r="BA71" s="1587"/>
      <c r="BB71" s="1587"/>
      <c r="BC71" s="1587"/>
      <c r="BD71" s="1587"/>
      <c r="BE71" s="1587"/>
      <c r="BF71" s="1587"/>
    </row>
    <row r="72" spans="1:16368" s="16" customFormat="1" ht="8.25" customHeight="1" x14ac:dyDescent="0.25">
      <c r="A72" s="1587"/>
      <c r="B72" s="1587"/>
      <c r="C72" s="1587"/>
      <c r="D72" s="366"/>
      <c r="E72" s="21"/>
      <c r="F72" s="21"/>
      <c r="G72" s="21"/>
      <c r="H72" s="21"/>
      <c r="I72" s="21"/>
      <c r="J72" s="21"/>
      <c r="K72" s="368"/>
      <c r="L72" s="1647"/>
      <c r="M72" s="1647"/>
      <c r="N72" s="1647"/>
      <c r="O72" s="1647"/>
      <c r="P72" s="1647"/>
      <c r="Q72" s="1647"/>
      <c r="R72" s="1647"/>
      <c r="S72" s="1647"/>
      <c r="T72" s="1647"/>
      <c r="U72" s="1647"/>
      <c r="V72" s="1648"/>
      <c r="W72" s="1587"/>
      <c r="X72" s="1587"/>
      <c r="Y72" s="1587"/>
      <c r="Z72" s="1587"/>
      <c r="AA72" s="1587"/>
      <c r="AB72" s="1587"/>
      <c r="AC72" s="1587"/>
      <c r="AD72" s="1587"/>
      <c r="AE72" s="1587"/>
      <c r="AF72" s="1587"/>
      <c r="AG72" s="1587"/>
      <c r="AH72" s="1587"/>
      <c r="AI72" s="1587"/>
      <c r="AJ72" s="1587"/>
      <c r="AK72" s="1587"/>
      <c r="AL72" s="1587"/>
      <c r="AM72" s="1587"/>
      <c r="AN72" s="1587"/>
      <c r="AO72" s="1587"/>
      <c r="AP72" s="1587"/>
      <c r="AQ72" s="1587"/>
      <c r="AR72" s="1587"/>
      <c r="AS72" s="1587"/>
      <c r="AT72" s="1587"/>
      <c r="AU72" s="1587"/>
      <c r="AV72" s="1109"/>
      <c r="AW72" s="1587"/>
      <c r="AX72" s="1587"/>
      <c r="AY72" s="1587"/>
      <c r="AZ72" s="1587"/>
      <c r="BA72" s="1587"/>
      <c r="BB72" s="1587"/>
      <c r="BC72" s="1587"/>
      <c r="BD72" s="1587"/>
      <c r="BE72" s="1587"/>
      <c r="BF72" s="1587"/>
    </row>
    <row r="73" spans="1:16368" s="16" customFormat="1" ht="94.5" customHeight="1" x14ac:dyDescent="0.25">
      <c r="A73" s="1587"/>
      <c r="B73" s="1587"/>
      <c r="C73" s="1587"/>
      <c r="D73" s="1867"/>
      <c r="E73" s="1867"/>
      <c r="F73" s="1868"/>
      <c r="G73" s="1868"/>
      <c r="H73" s="1867"/>
      <c r="I73" s="1867"/>
      <c r="J73" s="1867"/>
      <c r="K73" s="1867"/>
      <c r="L73" s="1647"/>
      <c r="M73" s="1647"/>
      <c r="N73" s="1647"/>
      <c r="O73" s="1647"/>
      <c r="P73" s="1647"/>
      <c r="Q73" s="1647"/>
      <c r="R73" s="1647"/>
      <c r="S73" s="1647"/>
      <c r="T73" s="1647"/>
      <c r="U73" s="1647"/>
      <c r="V73" s="1648"/>
      <c r="W73" s="1587"/>
      <c r="X73" s="1587"/>
      <c r="Y73" s="1587"/>
      <c r="Z73" s="1587"/>
      <c r="AA73" s="1587"/>
      <c r="AB73" s="1587"/>
      <c r="AC73" s="1587"/>
      <c r="AD73" s="1587"/>
      <c r="AE73" s="1587"/>
      <c r="AF73" s="1587"/>
      <c r="AG73" s="1587"/>
      <c r="AH73" s="1587"/>
      <c r="AI73" s="1587"/>
      <c r="AJ73" s="1587"/>
      <c r="AK73" s="1587"/>
      <c r="AL73" s="1587"/>
      <c r="AM73" s="1587"/>
      <c r="AN73" s="1587"/>
      <c r="AO73" s="1587"/>
      <c r="AP73" s="1587"/>
      <c r="AQ73" s="1587"/>
      <c r="AR73" s="1587"/>
      <c r="AS73" s="1587"/>
      <c r="AT73" s="1587"/>
      <c r="AU73" s="1587"/>
      <c r="AV73" s="1109"/>
      <c r="AW73" s="1587"/>
      <c r="AX73" s="1587"/>
      <c r="AY73" s="1587"/>
      <c r="AZ73" s="1587"/>
      <c r="BA73" s="1587"/>
      <c r="BB73" s="1587"/>
      <c r="BC73" s="1587"/>
      <c r="BD73" s="1587"/>
      <c r="BE73" s="1587"/>
      <c r="BF73" s="1587"/>
    </row>
    <row r="74" spans="1:16368" s="16" customFormat="1" ht="5.25" customHeight="1" x14ac:dyDescent="0.25">
      <c r="A74" s="1587"/>
      <c r="B74" s="1587"/>
      <c r="C74" s="1587"/>
      <c r="D74" s="1614"/>
      <c r="E74" s="1614"/>
      <c r="F74" s="1614"/>
      <c r="G74" s="1614"/>
      <c r="H74" s="1614"/>
      <c r="I74" s="1614"/>
      <c r="J74" s="1614"/>
      <c r="K74" s="1614"/>
      <c r="L74" s="1647"/>
      <c r="M74" s="1647"/>
      <c r="N74" s="1647"/>
      <c r="O74" s="1647"/>
      <c r="P74" s="1647"/>
      <c r="Q74" s="1647"/>
      <c r="R74" s="1647"/>
      <c r="S74" s="1647"/>
      <c r="T74" s="1647"/>
      <c r="U74" s="1647"/>
      <c r="V74" s="1648"/>
      <c r="W74" s="1587"/>
      <c r="X74" s="1587"/>
      <c r="Y74" s="1587"/>
      <c r="Z74" s="1587"/>
      <c r="AA74" s="1587"/>
      <c r="AB74" s="1587"/>
      <c r="AC74" s="1587"/>
      <c r="AD74" s="1587"/>
      <c r="AE74" s="1587"/>
      <c r="AF74" s="1587"/>
      <c r="AG74" s="1587"/>
      <c r="AH74" s="1587"/>
      <c r="AI74" s="1587"/>
      <c r="AJ74" s="1587"/>
      <c r="AK74" s="1587"/>
      <c r="AL74" s="1587"/>
      <c r="AM74" s="1587"/>
      <c r="AN74" s="1587"/>
      <c r="AO74" s="1587"/>
      <c r="AP74" s="1587"/>
      <c r="AQ74" s="1587"/>
      <c r="AR74" s="1587"/>
      <c r="AS74" s="1587"/>
      <c r="AT74" s="1587"/>
      <c r="AU74" s="1587"/>
      <c r="AV74" s="1109"/>
      <c r="AW74" s="1587"/>
      <c r="AX74" s="1587"/>
      <c r="AY74" s="1587"/>
      <c r="AZ74" s="1587"/>
      <c r="BA74" s="1587"/>
      <c r="BB74" s="1587"/>
      <c r="BC74" s="1587"/>
      <c r="BD74" s="1587"/>
      <c r="BE74" s="1587"/>
      <c r="BF74" s="1587"/>
    </row>
    <row r="75" spans="1:16368" s="543" customFormat="1" ht="5.25" customHeight="1" thickBot="1" x14ac:dyDescent="0.3">
      <c r="A75" s="1615"/>
      <c r="B75" s="1615"/>
      <c r="C75" s="1616" t="s">
        <v>32</v>
      </c>
      <c r="D75" s="1588" t="s">
        <v>32</v>
      </c>
      <c r="E75" s="1588" t="s">
        <v>32</v>
      </c>
      <c r="F75" s="1588" t="s">
        <v>32</v>
      </c>
      <c r="G75" s="1588"/>
      <c r="H75" s="1588" t="s">
        <v>32</v>
      </c>
      <c r="I75" s="1588" t="s">
        <v>32</v>
      </c>
      <c r="J75" s="1588" t="s">
        <v>32</v>
      </c>
      <c r="K75" s="1588" t="s">
        <v>32</v>
      </c>
      <c r="L75" s="1588" t="s">
        <v>32</v>
      </c>
      <c r="M75" s="1588" t="s">
        <v>32</v>
      </c>
      <c r="N75" s="1588" t="s">
        <v>32</v>
      </c>
      <c r="O75" s="1588" t="s">
        <v>32</v>
      </c>
      <c r="P75" s="1588" t="s">
        <v>32</v>
      </c>
      <c r="Q75" s="1588" t="s">
        <v>32</v>
      </c>
      <c r="R75" s="1588" t="s">
        <v>32</v>
      </c>
      <c r="S75" s="1588" t="s">
        <v>32</v>
      </c>
      <c r="T75" s="1588" t="s">
        <v>32</v>
      </c>
      <c r="U75" s="1588" t="s">
        <v>32</v>
      </c>
      <c r="V75" s="1588" t="s">
        <v>32</v>
      </c>
      <c r="W75" s="1588" t="s">
        <v>32</v>
      </c>
      <c r="X75" s="1588" t="s">
        <v>32</v>
      </c>
      <c r="Y75" s="1588" t="s">
        <v>32</v>
      </c>
      <c r="Z75" s="1588" t="s">
        <v>32</v>
      </c>
      <c r="AA75" s="1588" t="s">
        <v>32</v>
      </c>
      <c r="AB75" s="1588" t="s">
        <v>32</v>
      </c>
      <c r="AC75" s="1588" t="s">
        <v>32</v>
      </c>
      <c r="AD75" s="1588" t="s">
        <v>32</v>
      </c>
      <c r="AE75" s="1588" t="s">
        <v>32</v>
      </c>
      <c r="AF75" s="1588" t="s">
        <v>32</v>
      </c>
      <c r="AG75" s="1588" t="s">
        <v>32</v>
      </c>
      <c r="AH75" s="1588" t="s">
        <v>32</v>
      </c>
      <c r="AI75" s="1588" t="s">
        <v>32</v>
      </c>
      <c r="AJ75" s="1588" t="s">
        <v>32</v>
      </c>
      <c r="AK75" s="1588" t="s">
        <v>32</v>
      </c>
      <c r="AL75" s="1588" t="s">
        <v>32</v>
      </c>
      <c r="AM75" s="1588" t="s">
        <v>32</v>
      </c>
      <c r="AN75" s="1588" t="s">
        <v>32</v>
      </c>
      <c r="AO75" s="1588" t="s">
        <v>32</v>
      </c>
      <c r="AP75" s="1588" t="s">
        <v>32</v>
      </c>
      <c r="AQ75" s="1588" t="s">
        <v>32</v>
      </c>
      <c r="AR75" s="1588" t="s">
        <v>32</v>
      </c>
      <c r="AS75" s="1588" t="s">
        <v>32</v>
      </c>
      <c r="AT75" s="1588" t="s">
        <v>32</v>
      </c>
      <c r="AU75" s="1588" t="s">
        <v>32</v>
      </c>
      <c r="AV75" s="1861" t="s">
        <v>32</v>
      </c>
      <c r="AW75" s="1588" t="s">
        <v>32</v>
      </c>
      <c r="AX75" s="1588" t="s">
        <v>32</v>
      </c>
      <c r="AY75" s="1588" t="s">
        <v>32</v>
      </c>
      <c r="AZ75" s="1588" t="s">
        <v>32</v>
      </c>
      <c r="BA75" s="1588" t="s">
        <v>32</v>
      </c>
      <c r="BB75" s="1588" t="s">
        <v>32</v>
      </c>
      <c r="BC75" s="1588" t="s">
        <v>32</v>
      </c>
      <c r="BD75" s="1588" t="s">
        <v>32</v>
      </c>
      <c r="BE75" s="1588" t="s">
        <v>32</v>
      </c>
      <c r="BF75" s="1588" t="s">
        <v>32</v>
      </c>
      <c r="BG75" s="244" t="s">
        <v>32</v>
      </c>
      <c r="BH75" s="244" t="s">
        <v>32</v>
      </c>
      <c r="BI75" s="244" t="s">
        <v>32</v>
      </c>
      <c r="BJ75" s="244" t="s">
        <v>32</v>
      </c>
      <c r="BK75" s="244" t="s">
        <v>32</v>
      </c>
      <c r="BL75" s="244" t="s">
        <v>32</v>
      </c>
      <c r="BM75" s="244" t="s">
        <v>32</v>
      </c>
      <c r="BN75" s="244" t="s">
        <v>32</v>
      </c>
      <c r="BO75" s="244" t="s">
        <v>32</v>
      </c>
      <c r="BP75" s="244" t="s">
        <v>32</v>
      </c>
      <c r="BQ75" s="244" t="s">
        <v>32</v>
      </c>
      <c r="BR75" s="244" t="s">
        <v>32</v>
      </c>
      <c r="BS75" s="244" t="s">
        <v>32</v>
      </c>
      <c r="BT75" s="244" t="s">
        <v>32</v>
      </c>
      <c r="BU75" s="244" t="s">
        <v>32</v>
      </c>
      <c r="BV75" s="244" t="s">
        <v>32</v>
      </c>
      <c r="BW75" s="244" t="s">
        <v>32</v>
      </c>
      <c r="BX75" s="244" t="s">
        <v>32</v>
      </c>
      <c r="BY75" s="244" t="s">
        <v>32</v>
      </c>
      <c r="BZ75" s="244" t="s">
        <v>32</v>
      </c>
      <c r="CA75" s="244" t="s">
        <v>32</v>
      </c>
      <c r="CB75" s="244" t="s">
        <v>32</v>
      </c>
      <c r="CC75" s="244" t="s">
        <v>32</v>
      </c>
      <c r="CD75" s="244" t="s">
        <v>32</v>
      </c>
      <c r="CE75" s="244" t="s">
        <v>32</v>
      </c>
      <c r="CF75" s="244" t="s">
        <v>32</v>
      </c>
      <c r="CG75" s="244" t="s">
        <v>32</v>
      </c>
      <c r="CH75" s="244" t="s">
        <v>32</v>
      </c>
      <c r="CI75" s="244" t="s">
        <v>32</v>
      </c>
      <c r="CJ75" s="244" t="s">
        <v>32</v>
      </c>
      <c r="CK75" s="244" t="s">
        <v>32</v>
      </c>
      <c r="CL75" s="244" t="s">
        <v>32</v>
      </c>
      <c r="CM75" s="244" t="s">
        <v>32</v>
      </c>
      <c r="CN75" s="244" t="s">
        <v>32</v>
      </c>
      <c r="CO75" s="244" t="s">
        <v>32</v>
      </c>
      <c r="CP75" s="244" t="s">
        <v>32</v>
      </c>
      <c r="CQ75" s="244" t="s">
        <v>32</v>
      </c>
      <c r="CR75" s="244" t="s">
        <v>32</v>
      </c>
      <c r="CS75" s="244" t="s">
        <v>32</v>
      </c>
      <c r="CT75" s="244" t="s">
        <v>32</v>
      </c>
      <c r="CU75" s="244" t="s">
        <v>32</v>
      </c>
      <c r="CV75" s="244" t="s">
        <v>32</v>
      </c>
      <c r="CW75" s="244" t="s">
        <v>32</v>
      </c>
      <c r="CX75" s="244" t="s">
        <v>32</v>
      </c>
      <c r="CY75" s="244" t="s">
        <v>32</v>
      </c>
      <c r="CZ75" s="244" t="s">
        <v>32</v>
      </c>
      <c r="DA75" s="244" t="s">
        <v>32</v>
      </c>
      <c r="DB75" s="244" t="s">
        <v>32</v>
      </c>
      <c r="DC75" s="244" t="s">
        <v>32</v>
      </c>
      <c r="DD75" s="244" t="s">
        <v>32</v>
      </c>
      <c r="DE75" s="244" t="s">
        <v>32</v>
      </c>
      <c r="DF75" s="244" t="s">
        <v>32</v>
      </c>
      <c r="DG75" s="244" t="s">
        <v>32</v>
      </c>
      <c r="DH75" s="244" t="s">
        <v>32</v>
      </c>
      <c r="DI75" s="244" t="s">
        <v>32</v>
      </c>
      <c r="DJ75" s="244" t="s">
        <v>32</v>
      </c>
      <c r="DK75" s="244" t="s">
        <v>32</v>
      </c>
      <c r="DL75" s="244" t="s">
        <v>32</v>
      </c>
      <c r="DM75" s="244" t="s">
        <v>32</v>
      </c>
      <c r="DN75" s="244" t="s">
        <v>32</v>
      </c>
      <c r="DO75" s="244" t="s">
        <v>32</v>
      </c>
      <c r="DP75" s="244" t="s">
        <v>32</v>
      </c>
      <c r="DQ75" s="244" t="s">
        <v>32</v>
      </c>
      <c r="DR75" s="244" t="s">
        <v>32</v>
      </c>
      <c r="DS75" s="244" t="s">
        <v>32</v>
      </c>
      <c r="DT75" s="244" t="s">
        <v>32</v>
      </c>
      <c r="DU75" s="244" t="s">
        <v>32</v>
      </c>
      <c r="DV75" s="244" t="s">
        <v>32</v>
      </c>
      <c r="DW75" s="244" t="s">
        <v>32</v>
      </c>
      <c r="DX75" s="244" t="s">
        <v>32</v>
      </c>
      <c r="DY75" s="244" t="s">
        <v>32</v>
      </c>
      <c r="DZ75" s="244" t="s">
        <v>32</v>
      </c>
      <c r="EA75" s="244" t="s">
        <v>32</v>
      </c>
      <c r="EB75" s="244" t="s">
        <v>32</v>
      </c>
      <c r="EC75" s="244" t="s">
        <v>32</v>
      </c>
      <c r="ED75" s="244" t="s">
        <v>32</v>
      </c>
      <c r="EE75" s="244" t="s">
        <v>32</v>
      </c>
      <c r="EF75" s="244" t="s">
        <v>32</v>
      </c>
      <c r="EG75" s="244" t="s">
        <v>32</v>
      </c>
      <c r="EH75" s="244" t="s">
        <v>32</v>
      </c>
      <c r="EI75" s="244" t="s">
        <v>32</v>
      </c>
      <c r="EJ75" s="244" t="s">
        <v>32</v>
      </c>
      <c r="EK75" s="244" t="s">
        <v>32</v>
      </c>
      <c r="EL75" s="244" t="s">
        <v>32</v>
      </c>
      <c r="EM75" s="244" t="s">
        <v>32</v>
      </c>
      <c r="EN75" s="244" t="s">
        <v>32</v>
      </c>
      <c r="EO75" s="244" t="s">
        <v>32</v>
      </c>
      <c r="EP75" s="244" t="s">
        <v>32</v>
      </c>
      <c r="EQ75" s="244" t="s">
        <v>32</v>
      </c>
      <c r="ER75" s="244" t="s">
        <v>32</v>
      </c>
      <c r="ES75" s="244" t="s">
        <v>32</v>
      </c>
      <c r="ET75" s="244" t="s">
        <v>32</v>
      </c>
      <c r="EU75" s="244" t="s">
        <v>32</v>
      </c>
      <c r="EV75" s="244" t="s">
        <v>32</v>
      </c>
      <c r="EW75" s="244" t="s">
        <v>32</v>
      </c>
      <c r="EX75" s="244" t="s">
        <v>32</v>
      </c>
      <c r="EY75" s="244" t="s">
        <v>32</v>
      </c>
      <c r="EZ75" s="244" t="s">
        <v>32</v>
      </c>
      <c r="FA75" s="244" t="s">
        <v>32</v>
      </c>
      <c r="FB75" s="244" t="s">
        <v>32</v>
      </c>
      <c r="FC75" s="244" t="s">
        <v>32</v>
      </c>
      <c r="FD75" s="244" t="s">
        <v>32</v>
      </c>
      <c r="FE75" s="244" t="s">
        <v>32</v>
      </c>
      <c r="FF75" s="244" t="s">
        <v>32</v>
      </c>
      <c r="FG75" s="244" t="s">
        <v>32</v>
      </c>
      <c r="FH75" s="244" t="s">
        <v>32</v>
      </c>
      <c r="FI75" s="244" t="s">
        <v>32</v>
      </c>
      <c r="FJ75" s="244" t="s">
        <v>32</v>
      </c>
      <c r="FK75" s="244" t="s">
        <v>32</v>
      </c>
      <c r="FL75" s="244" t="s">
        <v>32</v>
      </c>
      <c r="FM75" s="244" t="s">
        <v>32</v>
      </c>
      <c r="FN75" s="244" t="s">
        <v>32</v>
      </c>
      <c r="FO75" s="244" t="s">
        <v>32</v>
      </c>
      <c r="FP75" s="244" t="s">
        <v>32</v>
      </c>
      <c r="FQ75" s="244" t="s">
        <v>32</v>
      </c>
      <c r="FR75" s="244" t="s">
        <v>32</v>
      </c>
      <c r="FS75" s="244" t="s">
        <v>32</v>
      </c>
      <c r="FT75" s="244" t="s">
        <v>32</v>
      </c>
      <c r="FU75" s="244" t="s">
        <v>32</v>
      </c>
      <c r="FV75" s="244" t="s">
        <v>32</v>
      </c>
      <c r="FW75" s="244" t="s">
        <v>32</v>
      </c>
      <c r="FX75" s="244" t="s">
        <v>32</v>
      </c>
      <c r="FY75" s="244" t="s">
        <v>32</v>
      </c>
      <c r="FZ75" s="244" t="s">
        <v>32</v>
      </c>
      <c r="GA75" s="244" t="s">
        <v>32</v>
      </c>
      <c r="GB75" s="244" t="s">
        <v>32</v>
      </c>
      <c r="GC75" s="244" t="s">
        <v>32</v>
      </c>
      <c r="GD75" s="244" t="s">
        <v>32</v>
      </c>
      <c r="GE75" s="244" t="s">
        <v>32</v>
      </c>
      <c r="GF75" s="244" t="s">
        <v>32</v>
      </c>
      <c r="GG75" s="244" t="s">
        <v>32</v>
      </c>
      <c r="GH75" s="244" t="s">
        <v>32</v>
      </c>
      <c r="GI75" s="244" t="s">
        <v>32</v>
      </c>
      <c r="GJ75" s="244" t="s">
        <v>32</v>
      </c>
      <c r="GK75" s="244" t="s">
        <v>32</v>
      </c>
      <c r="GL75" s="244" t="s">
        <v>32</v>
      </c>
      <c r="GM75" s="244" t="s">
        <v>32</v>
      </c>
      <c r="GN75" s="244" t="s">
        <v>32</v>
      </c>
      <c r="GO75" s="244" t="s">
        <v>32</v>
      </c>
      <c r="GP75" s="244" t="s">
        <v>32</v>
      </c>
      <c r="GQ75" s="244" t="s">
        <v>32</v>
      </c>
      <c r="GR75" s="244" t="s">
        <v>32</v>
      </c>
      <c r="GS75" s="244" t="s">
        <v>32</v>
      </c>
      <c r="GT75" s="244" t="s">
        <v>32</v>
      </c>
      <c r="GU75" s="244" t="s">
        <v>32</v>
      </c>
      <c r="GV75" s="244" t="s">
        <v>32</v>
      </c>
      <c r="GW75" s="244" t="s">
        <v>32</v>
      </c>
      <c r="GX75" s="244" t="s">
        <v>32</v>
      </c>
      <c r="GY75" s="244" t="s">
        <v>32</v>
      </c>
      <c r="GZ75" s="244" t="s">
        <v>32</v>
      </c>
      <c r="HA75" s="244" t="s">
        <v>32</v>
      </c>
      <c r="HB75" s="244" t="s">
        <v>32</v>
      </c>
      <c r="HC75" s="244" t="s">
        <v>32</v>
      </c>
      <c r="HD75" s="244" t="s">
        <v>32</v>
      </c>
      <c r="HE75" s="244" t="s">
        <v>32</v>
      </c>
      <c r="HF75" s="244" t="s">
        <v>32</v>
      </c>
      <c r="HG75" s="244" t="s">
        <v>32</v>
      </c>
      <c r="HH75" s="244" t="s">
        <v>32</v>
      </c>
      <c r="HI75" s="244" t="s">
        <v>32</v>
      </c>
      <c r="HJ75" s="244" t="s">
        <v>32</v>
      </c>
      <c r="HK75" s="244" t="s">
        <v>32</v>
      </c>
      <c r="HL75" s="244" t="s">
        <v>32</v>
      </c>
      <c r="HM75" s="244" t="s">
        <v>32</v>
      </c>
      <c r="HN75" s="244" t="s">
        <v>32</v>
      </c>
      <c r="HO75" s="244" t="s">
        <v>32</v>
      </c>
      <c r="HP75" s="244" t="s">
        <v>32</v>
      </c>
      <c r="HQ75" s="244" t="s">
        <v>32</v>
      </c>
      <c r="HR75" s="244" t="s">
        <v>32</v>
      </c>
      <c r="HS75" s="244" t="s">
        <v>32</v>
      </c>
      <c r="HT75" s="244" t="s">
        <v>32</v>
      </c>
      <c r="HU75" s="244" t="s">
        <v>32</v>
      </c>
      <c r="HV75" s="244" t="s">
        <v>32</v>
      </c>
      <c r="HW75" s="244" t="s">
        <v>32</v>
      </c>
      <c r="HX75" s="244" t="s">
        <v>32</v>
      </c>
      <c r="HY75" s="244" t="s">
        <v>32</v>
      </c>
      <c r="HZ75" s="244" t="s">
        <v>32</v>
      </c>
      <c r="IA75" s="244" t="s">
        <v>32</v>
      </c>
      <c r="IB75" s="244" t="s">
        <v>32</v>
      </c>
      <c r="IC75" s="244" t="s">
        <v>32</v>
      </c>
      <c r="ID75" s="244" t="s">
        <v>32</v>
      </c>
      <c r="IE75" s="244" t="s">
        <v>32</v>
      </c>
      <c r="IF75" s="244" t="s">
        <v>32</v>
      </c>
      <c r="IG75" s="244" t="s">
        <v>32</v>
      </c>
      <c r="IH75" s="244" t="s">
        <v>32</v>
      </c>
      <c r="II75" s="244" t="s">
        <v>32</v>
      </c>
      <c r="IJ75" s="244" t="s">
        <v>32</v>
      </c>
      <c r="IK75" s="244" t="s">
        <v>32</v>
      </c>
      <c r="IL75" s="244" t="s">
        <v>32</v>
      </c>
      <c r="IM75" s="244" t="s">
        <v>32</v>
      </c>
      <c r="IN75" s="244" t="s">
        <v>32</v>
      </c>
      <c r="IO75" s="244" t="s">
        <v>32</v>
      </c>
      <c r="IP75" s="244" t="s">
        <v>32</v>
      </c>
      <c r="IQ75" s="244" t="s">
        <v>32</v>
      </c>
      <c r="IR75" s="244" t="s">
        <v>32</v>
      </c>
      <c r="IS75" s="244" t="s">
        <v>32</v>
      </c>
      <c r="IT75" s="244" t="s">
        <v>32</v>
      </c>
      <c r="IU75" s="244" t="s">
        <v>32</v>
      </c>
      <c r="IV75" s="244" t="s">
        <v>32</v>
      </c>
      <c r="IW75" s="244" t="s">
        <v>32</v>
      </c>
      <c r="IX75" s="244" t="s">
        <v>32</v>
      </c>
      <c r="IY75" s="244" t="s">
        <v>32</v>
      </c>
      <c r="IZ75" s="244" t="s">
        <v>32</v>
      </c>
      <c r="JA75" s="244" t="s">
        <v>32</v>
      </c>
      <c r="JB75" s="244" t="s">
        <v>32</v>
      </c>
      <c r="JC75" s="244" t="s">
        <v>32</v>
      </c>
      <c r="JD75" s="244" t="s">
        <v>32</v>
      </c>
      <c r="JE75" s="244" t="s">
        <v>32</v>
      </c>
      <c r="JF75" s="244" t="s">
        <v>32</v>
      </c>
      <c r="JG75" s="244" t="s">
        <v>32</v>
      </c>
      <c r="JH75" s="244" t="s">
        <v>32</v>
      </c>
      <c r="JI75" s="244" t="s">
        <v>32</v>
      </c>
      <c r="JJ75" s="244" t="s">
        <v>32</v>
      </c>
      <c r="JK75" s="244" t="s">
        <v>32</v>
      </c>
      <c r="JL75" s="244" t="s">
        <v>32</v>
      </c>
      <c r="JM75" s="244" t="s">
        <v>32</v>
      </c>
      <c r="JN75" s="244" t="s">
        <v>32</v>
      </c>
      <c r="JO75" s="244" t="s">
        <v>32</v>
      </c>
      <c r="JP75" s="244" t="s">
        <v>32</v>
      </c>
      <c r="JQ75" s="244" t="s">
        <v>32</v>
      </c>
      <c r="JR75" s="244" t="s">
        <v>32</v>
      </c>
      <c r="JS75" s="244" t="s">
        <v>32</v>
      </c>
      <c r="JT75" s="244" t="s">
        <v>32</v>
      </c>
      <c r="JU75" s="244" t="s">
        <v>32</v>
      </c>
      <c r="JV75" s="244" t="s">
        <v>32</v>
      </c>
      <c r="JW75" s="244" t="s">
        <v>32</v>
      </c>
      <c r="JX75" s="244" t="s">
        <v>32</v>
      </c>
      <c r="JY75" s="244" t="s">
        <v>32</v>
      </c>
      <c r="JZ75" s="244" t="s">
        <v>32</v>
      </c>
      <c r="KA75" s="244" t="s">
        <v>32</v>
      </c>
      <c r="KB75" s="244" t="s">
        <v>32</v>
      </c>
      <c r="KC75" s="244" t="s">
        <v>32</v>
      </c>
      <c r="KD75" s="244" t="s">
        <v>32</v>
      </c>
      <c r="KE75" s="244" t="s">
        <v>32</v>
      </c>
      <c r="KF75" s="244" t="s">
        <v>32</v>
      </c>
      <c r="KG75" s="244" t="s">
        <v>32</v>
      </c>
      <c r="KH75" s="244" t="s">
        <v>32</v>
      </c>
      <c r="KI75" s="244" t="s">
        <v>32</v>
      </c>
      <c r="KJ75" s="244" t="s">
        <v>32</v>
      </c>
      <c r="KK75" s="244" t="s">
        <v>32</v>
      </c>
      <c r="KL75" s="244" t="s">
        <v>32</v>
      </c>
      <c r="KM75" s="244" t="s">
        <v>32</v>
      </c>
      <c r="KN75" s="244" t="s">
        <v>32</v>
      </c>
      <c r="KO75" s="244" t="s">
        <v>32</v>
      </c>
      <c r="KP75" s="244" t="s">
        <v>32</v>
      </c>
      <c r="KQ75" s="244" t="s">
        <v>32</v>
      </c>
      <c r="KR75" s="244" t="s">
        <v>32</v>
      </c>
      <c r="KS75" s="244" t="s">
        <v>32</v>
      </c>
      <c r="KT75" s="244" t="s">
        <v>32</v>
      </c>
      <c r="KU75" s="244" t="s">
        <v>32</v>
      </c>
      <c r="KV75" s="244" t="s">
        <v>32</v>
      </c>
      <c r="KW75" s="244" t="s">
        <v>32</v>
      </c>
      <c r="KX75" s="244" t="s">
        <v>32</v>
      </c>
      <c r="KY75" s="244" t="s">
        <v>32</v>
      </c>
      <c r="KZ75" s="244" t="s">
        <v>32</v>
      </c>
      <c r="LA75" s="244" t="s">
        <v>32</v>
      </c>
      <c r="LB75" s="244" t="s">
        <v>32</v>
      </c>
      <c r="LC75" s="244" t="s">
        <v>32</v>
      </c>
      <c r="LD75" s="244" t="s">
        <v>32</v>
      </c>
      <c r="LE75" s="244" t="s">
        <v>32</v>
      </c>
      <c r="LF75" s="244" t="s">
        <v>32</v>
      </c>
      <c r="LG75" s="244" t="s">
        <v>32</v>
      </c>
      <c r="LH75" s="244" t="s">
        <v>32</v>
      </c>
      <c r="LI75" s="244" t="s">
        <v>32</v>
      </c>
      <c r="LJ75" s="244" t="s">
        <v>32</v>
      </c>
      <c r="LK75" s="244" t="s">
        <v>32</v>
      </c>
      <c r="LL75" s="244" t="s">
        <v>32</v>
      </c>
      <c r="LM75" s="244" t="s">
        <v>32</v>
      </c>
      <c r="LN75" s="244" t="s">
        <v>32</v>
      </c>
      <c r="LO75" s="244" t="s">
        <v>32</v>
      </c>
      <c r="LP75" s="244" t="s">
        <v>32</v>
      </c>
      <c r="LQ75" s="244" t="s">
        <v>32</v>
      </c>
      <c r="LR75" s="244" t="s">
        <v>32</v>
      </c>
      <c r="LS75" s="244" t="s">
        <v>32</v>
      </c>
      <c r="LT75" s="244" t="s">
        <v>32</v>
      </c>
      <c r="LU75" s="244" t="s">
        <v>32</v>
      </c>
      <c r="LV75" s="244" t="s">
        <v>32</v>
      </c>
      <c r="LW75" s="244" t="s">
        <v>32</v>
      </c>
      <c r="LX75" s="244" t="s">
        <v>32</v>
      </c>
      <c r="LY75" s="244" t="s">
        <v>32</v>
      </c>
      <c r="LZ75" s="244" t="s">
        <v>32</v>
      </c>
      <c r="MA75" s="244" t="s">
        <v>32</v>
      </c>
      <c r="MB75" s="244" t="s">
        <v>32</v>
      </c>
      <c r="MC75" s="244" t="s">
        <v>32</v>
      </c>
      <c r="MD75" s="244" t="s">
        <v>32</v>
      </c>
      <c r="ME75" s="244" t="s">
        <v>32</v>
      </c>
      <c r="MF75" s="244" t="s">
        <v>32</v>
      </c>
      <c r="MG75" s="244" t="s">
        <v>32</v>
      </c>
      <c r="MH75" s="244" t="s">
        <v>32</v>
      </c>
      <c r="MI75" s="244" t="s">
        <v>32</v>
      </c>
      <c r="MJ75" s="244" t="s">
        <v>32</v>
      </c>
      <c r="MK75" s="244" t="s">
        <v>32</v>
      </c>
      <c r="ML75" s="244" t="s">
        <v>32</v>
      </c>
      <c r="MM75" s="244" t="s">
        <v>32</v>
      </c>
      <c r="MN75" s="244" t="s">
        <v>32</v>
      </c>
      <c r="MO75" s="244" t="s">
        <v>32</v>
      </c>
      <c r="MP75" s="244" t="s">
        <v>32</v>
      </c>
      <c r="MQ75" s="244" t="s">
        <v>32</v>
      </c>
      <c r="MR75" s="244" t="s">
        <v>32</v>
      </c>
      <c r="MS75" s="244" t="s">
        <v>32</v>
      </c>
      <c r="MT75" s="244" t="s">
        <v>32</v>
      </c>
      <c r="MU75" s="244" t="s">
        <v>32</v>
      </c>
      <c r="MV75" s="244" t="s">
        <v>32</v>
      </c>
      <c r="MW75" s="244" t="s">
        <v>32</v>
      </c>
      <c r="MX75" s="244" t="s">
        <v>32</v>
      </c>
      <c r="MY75" s="244" t="s">
        <v>32</v>
      </c>
      <c r="MZ75" s="244" t="s">
        <v>32</v>
      </c>
      <c r="NA75" s="244" t="s">
        <v>32</v>
      </c>
      <c r="NB75" s="244" t="s">
        <v>32</v>
      </c>
      <c r="NC75" s="244" t="s">
        <v>32</v>
      </c>
      <c r="ND75" s="244" t="s">
        <v>32</v>
      </c>
      <c r="NE75" s="244" t="s">
        <v>32</v>
      </c>
      <c r="NF75" s="244" t="s">
        <v>32</v>
      </c>
      <c r="NG75" s="244" t="s">
        <v>32</v>
      </c>
      <c r="NH75" s="244" t="s">
        <v>32</v>
      </c>
      <c r="NI75" s="244" t="s">
        <v>32</v>
      </c>
      <c r="NJ75" s="244" t="s">
        <v>32</v>
      </c>
      <c r="NK75" s="244" t="s">
        <v>32</v>
      </c>
      <c r="NL75" s="244" t="s">
        <v>32</v>
      </c>
      <c r="NM75" s="244" t="s">
        <v>32</v>
      </c>
      <c r="NN75" s="244" t="s">
        <v>32</v>
      </c>
      <c r="NO75" s="244" t="s">
        <v>32</v>
      </c>
      <c r="NP75" s="244" t="s">
        <v>32</v>
      </c>
      <c r="NQ75" s="244" t="s">
        <v>32</v>
      </c>
      <c r="NR75" s="244" t="s">
        <v>32</v>
      </c>
      <c r="NS75" s="244" t="s">
        <v>32</v>
      </c>
      <c r="NT75" s="244" t="s">
        <v>32</v>
      </c>
      <c r="NU75" s="244" t="s">
        <v>32</v>
      </c>
      <c r="NV75" s="244" t="s">
        <v>32</v>
      </c>
      <c r="NW75" s="244" t="s">
        <v>32</v>
      </c>
      <c r="NX75" s="244" t="s">
        <v>32</v>
      </c>
      <c r="NY75" s="244" t="s">
        <v>32</v>
      </c>
      <c r="NZ75" s="244" t="s">
        <v>32</v>
      </c>
      <c r="OA75" s="244" t="s">
        <v>32</v>
      </c>
      <c r="OB75" s="244" t="s">
        <v>32</v>
      </c>
      <c r="OC75" s="244" t="s">
        <v>32</v>
      </c>
      <c r="OD75" s="244" t="s">
        <v>32</v>
      </c>
      <c r="OE75" s="244" t="s">
        <v>32</v>
      </c>
      <c r="OF75" s="244" t="s">
        <v>32</v>
      </c>
      <c r="OG75" s="244" t="s">
        <v>32</v>
      </c>
      <c r="OH75" s="244" t="s">
        <v>32</v>
      </c>
      <c r="OI75" s="244" t="s">
        <v>32</v>
      </c>
      <c r="OJ75" s="244" t="s">
        <v>32</v>
      </c>
      <c r="OK75" s="244" t="s">
        <v>32</v>
      </c>
      <c r="OL75" s="244" t="s">
        <v>32</v>
      </c>
      <c r="OM75" s="244" t="s">
        <v>32</v>
      </c>
      <c r="ON75" s="244" t="s">
        <v>32</v>
      </c>
      <c r="OO75" s="244" t="s">
        <v>32</v>
      </c>
      <c r="OP75" s="244" t="s">
        <v>32</v>
      </c>
      <c r="OQ75" s="244" t="s">
        <v>32</v>
      </c>
      <c r="OR75" s="244" t="s">
        <v>32</v>
      </c>
      <c r="OS75" s="244" t="s">
        <v>32</v>
      </c>
      <c r="OT75" s="244" t="s">
        <v>32</v>
      </c>
      <c r="OU75" s="244" t="s">
        <v>32</v>
      </c>
      <c r="OV75" s="244" t="s">
        <v>32</v>
      </c>
      <c r="OW75" s="244" t="s">
        <v>32</v>
      </c>
      <c r="OX75" s="244" t="s">
        <v>32</v>
      </c>
      <c r="OY75" s="244" t="s">
        <v>32</v>
      </c>
      <c r="OZ75" s="244" t="s">
        <v>32</v>
      </c>
      <c r="PA75" s="244" t="s">
        <v>32</v>
      </c>
      <c r="PB75" s="244" t="s">
        <v>32</v>
      </c>
      <c r="PC75" s="244" t="s">
        <v>32</v>
      </c>
      <c r="PD75" s="244" t="s">
        <v>32</v>
      </c>
      <c r="PE75" s="244" t="s">
        <v>32</v>
      </c>
      <c r="PF75" s="244" t="s">
        <v>32</v>
      </c>
      <c r="PG75" s="244" t="s">
        <v>32</v>
      </c>
      <c r="PH75" s="244" t="s">
        <v>32</v>
      </c>
      <c r="PI75" s="244" t="s">
        <v>32</v>
      </c>
      <c r="PJ75" s="244" t="s">
        <v>32</v>
      </c>
      <c r="PK75" s="244" t="s">
        <v>32</v>
      </c>
      <c r="PL75" s="244" t="s">
        <v>32</v>
      </c>
      <c r="PM75" s="244" t="s">
        <v>32</v>
      </c>
      <c r="PN75" s="244" t="s">
        <v>32</v>
      </c>
      <c r="PO75" s="244" t="s">
        <v>32</v>
      </c>
      <c r="PP75" s="244" t="s">
        <v>32</v>
      </c>
      <c r="PQ75" s="244" t="s">
        <v>32</v>
      </c>
      <c r="PR75" s="244" t="s">
        <v>32</v>
      </c>
      <c r="PS75" s="244" t="s">
        <v>32</v>
      </c>
      <c r="PT75" s="244" t="s">
        <v>32</v>
      </c>
      <c r="PU75" s="244" t="s">
        <v>32</v>
      </c>
      <c r="PV75" s="244" t="s">
        <v>32</v>
      </c>
      <c r="PW75" s="244" t="s">
        <v>32</v>
      </c>
      <c r="PX75" s="244" t="s">
        <v>32</v>
      </c>
      <c r="PY75" s="244" t="s">
        <v>32</v>
      </c>
      <c r="PZ75" s="244" t="s">
        <v>32</v>
      </c>
      <c r="QA75" s="244" t="s">
        <v>32</v>
      </c>
      <c r="QB75" s="244" t="s">
        <v>32</v>
      </c>
      <c r="QC75" s="244" t="s">
        <v>32</v>
      </c>
      <c r="QD75" s="244" t="s">
        <v>32</v>
      </c>
      <c r="QE75" s="244" t="s">
        <v>32</v>
      </c>
      <c r="QF75" s="244" t="s">
        <v>32</v>
      </c>
      <c r="QG75" s="244" t="s">
        <v>32</v>
      </c>
      <c r="QH75" s="244" t="s">
        <v>32</v>
      </c>
      <c r="QI75" s="244" t="s">
        <v>32</v>
      </c>
      <c r="QJ75" s="244" t="s">
        <v>32</v>
      </c>
      <c r="QK75" s="244" t="s">
        <v>32</v>
      </c>
      <c r="QL75" s="244" t="s">
        <v>32</v>
      </c>
      <c r="QM75" s="244" t="s">
        <v>32</v>
      </c>
      <c r="QN75" s="244" t="s">
        <v>32</v>
      </c>
      <c r="QO75" s="244" t="s">
        <v>32</v>
      </c>
      <c r="QP75" s="244" t="s">
        <v>32</v>
      </c>
      <c r="QQ75" s="244" t="s">
        <v>32</v>
      </c>
      <c r="QR75" s="244" t="s">
        <v>32</v>
      </c>
      <c r="QS75" s="244" t="s">
        <v>32</v>
      </c>
      <c r="QT75" s="244" t="s">
        <v>32</v>
      </c>
      <c r="QU75" s="244" t="s">
        <v>32</v>
      </c>
      <c r="QV75" s="244" t="s">
        <v>32</v>
      </c>
      <c r="QW75" s="244" t="s">
        <v>32</v>
      </c>
      <c r="QX75" s="244" t="s">
        <v>32</v>
      </c>
      <c r="QY75" s="244" t="s">
        <v>32</v>
      </c>
      <c r="QZ75" s="244" t="s">
        <v>32</v>
      </c>
      <c r="RA75" s="244" t="s">
        <v>32</v>
      </c>
      <c r="RB75" s="244" t="s">
        <v>32</v>
      </c>
      <c r="RC75" s="244" t="s">
        <v>32</v>
      </c>
      <c r="RD75" s="244" t="s">
        <v>32</v>
      </c>
      <c r="RE75" s="244" t="s">
        <v>32</v>
      </c>
      <c r="RF75" s="244" t="s">
        <v>32</v>
      </c>
      <c r="RG75" s="244" t="s">
        <v>32</v>
      </c>
      <c r="RH75" s="244" t="s">
        <v>32</v>
      </c>
      <c r="RI75" s="244" t="s">
        <v>32</v>
      </c>
      <c r="RJ75" s="244" t="s">
        <v>32</v>
      </c>
      <c r="RK75" s="244" t="s">
        <v>32</v>
      </c>
      <c r="RL75" s="244" t="s">
        <v>32</v>
      </c>
      <c r="RM75" s="244" t="s">
        <v>32</v>
      </c>
      <c r="RN75" s="244" t="s">
        <v>32</v>
      </c>
      <c r="RO75" s="244" t="s">
        <v>32</v>
      </c>
      <c r="RP75" s="244" t="s">
        <v>32</v>
      </c>
      <c r="RQ75" s="244" t="s">
        <v>32</v>
      </c>
      <c r="RR75" s="244" t="s">
        <v>32</v>
      </c>
      <c r="RS75" s="244" t="s">
        <v>32</v>
      </c>
      <c r="RT75" s="244" t="s">
        <v>32</v>
      </c>
      <c r="RU75" s="244" t="s">
        <v>32</v>
      </c>
      <c r="RV75" s="244" t="s">
        <v>32</v>
      </c>
      <c r="RW75" s="244" t="s">
        <v>32</v>
      </c>
      <c r="RX75" s="244" t="s">
        <v>32</v>
      </c>
      <c r="RY75" s="244" t="s">
        <v>32</v>
      </c>
      <c r="RZ75" s="244" t="s">
        <v>32</v>
      </c>
      <c r="SA75" s="244" t="s">
        <v>32</v>
      </c>
      <c r="SB75" s="244" t="s">
        <v>32</v>
      </c>
      <c r="SC75" s="244" t="s">
        <v>32</v>
      </c>
      <c r="SD75" s="244" t="s">
        <v>32</v>
      </c>
      <c r="SE75" s="244" t="s">
        <v>32</v>
      </c>
      <c r="SF75" s="244" t="s">
        <v>32</v>
      </c>
      <c r="SG75" s="244" t="s">
        <v>32</v>
      </c>
      <c r="SH75" s="244" t="s">
        <v>32</v>
      </c>
      <c r="SI75" s="244" t="s">
        <v>32</v>
      </c>
      <c r="SJ75" s="244" t="s">
        <v>32</v>
      </c>
      <c r="SK75" s="244" t="s">
        <v>32</v>
      </c>
      <c r="SL75" s="244" t="s">
        <v>32</v>
      </c>
      <c r="SM75" s="244" t="s">
        <v>32</v>
      </c>
      <c r="SN75" s="244" t="s">
        <v>32</v>
      </c>
      <c r="SO75" s="244" t="s">
        <v>32</v>
      </c>
      <c r="SP75" s="244" t="s">
        <v>32</v>
      </c>
      <c r="SQ75" s="244" t="s">
        <v>32</v>
      </c>
      <c r="SR75" s="244" t="s">
        <v>32</v>
      </c>
      <c r="SS75" s="244" t="s">
        <v>32</v>
      </c>
      <c r="ST75" s="244" t="s">
        <v>32</v>
      </c>
      <c r="SU75" s="244" t="s">
        <v>32</v>
      </c>
      <c r="SV75" s="244" t="s">
        <v>32</v>
      </c>
      <c r="SW75" s="244" t="s">
        <v>32</v>
      </c>
      <c r="SX75" s="244" t="s">
        <v>32</v>
      </c>
      <c r="SY75" s="244" t="s">
        <v>32</v>
      </c>
      <c r="SZ75" s="244" t="s">
        <v>32</v>
      </c>
      <c r="TA75" s="244" t="s">
        <v>32</v>
      </c>
      <c r="TB75" s="244" t="s">
        <v>32</v>
      </c>
      <c r="TC75" s="244" t="s">
        <v>32</v>
      </c>
      <c r="TD75" s="244" t="s">
        <v>32</v>
      </c>
      <c r="TE75" s="244" t="s">
        <v>32</v>
      </c>
      <c r="TF75" s="244" t="s">
        <v>32</v>
      </c>
      <c r="TG75" s="244" t="s">
        <v>32</v>
      </c>
      <c r="TH75" s="244" t="s">
        <v>32</v>
      </c>
      <c r="TI75" s="244" t="s">
        <v>32</v>
      </c>
      <c r="TJ75" s="244" t="s">
        <v>32</v>
      </c>
      <c r="TK75" s="244" t="s">
        <v>32</v>
      </c>
      <c r="TL75" s="244" t="s">
        <v>32</v>
      </c>
      <c r="TM75" s="244" t="s">
        <v>32</v>
      </c>
      <c r="TN75" s="244" t="s">
        <v>32</v>
      </c>
      <c r="TO75" s="244" t="s">
        <v>32</v>
      </c>
      <c r="TP75" s="244" t="s">
        <v>32</v>
      </c>
      <c r="TQ75" s="244" t="s">
        <v>32</v>
      </c>
      <c r="TR75" s="244" t="s">
        <v>32</v>
      </c>
      <c r="TS75" s="244" t="s">
        <v>32</v>
      </c>
      <c r="TT75" s="244" t="s">
        <v>32</v>
      </c>
      <c r="TU75" s="244" t="s">
        <v>32</v>
      </c>
      <c r="TV75" s="244" t="s">
        <v>32</v>
      </c>
      <c r="TW75" s="244" t="s">
        <v>32</v>
      </c>
      <c r="TX75" s="244" t="s">
        <v>32</v>
      </c>
      <c r="TY75" s="244" t="s">
        <v>32</v>
      </c>
      <c r="TZ75" s="244" t="s">
        <v>32</v>
      </c>
      <c r="UA75" s="244" t="s">
        <v>32</v>
      </c>
      <c r="UB75" s="244" t="s">
        <v>32</v>
      </c>
      <c r="UC75" s="244" t="s">
        <v>32</v>
      </c>
      <c r="UD75" s="244" t="s">
        <v>32</v>
      </c>
      <c r="UE75" s="244" t="s">
        <v>32</v>
      </c>
      <c r="UF75" s="244" t="s">
        <v>32</v>
      </c>
      <c r="UG75" s="244" t="s">
        <v>32</v>
      </c>
      <c r="UH75" s="244" t="s">
        <v>32</v>
      </c>
      <c r="UI75" s="244" t="s">
        <v>32</v>
      </c>
      <c r="UJ75" s="244" t="s">
        <v>32</v>
      </c>
      <c r="UK75" s="244" t="s">
        <v>32</v>
      </c>
      <c r="UL75" s="244" t="s">
        <v>32</v>
      </c>
      <c r="UM75" s="244" t="s">
        <v>32</v>
      </c>
      <c r="UN75" s="244" t="s">
        <v>32</v>
      </c>
      <c r="UO75" s="244" t="s">
        <v>32</v>
      </c>
      <c r="UP75" s="244" t="s">
        <v>32</v>
      </c>
      <c r="UQ75" s="244" t="s">
        <v>32</v>
      </c>
      <c r="UR75" s="244" t="s">
        <v>32</v>
      </c>
      <c r="US75" s="244" t="s">
        <v>32</v>
      </c>
      <c r="UT75" s="244" t="s">
        <v>32</v>
      </c>
      <c r="UU75" s="244" t="s">
        <v>32</v>
      </c>
      <c r="UV75" s="244" t="s">
        <v>32</v>
      </c>
      <c r="UW75" s="244" t="s">
        <v>32</v>
      </c>
      <c r="UX75" s="244" t="s">
        <v>32</v>
      </c>
      <c r="UY75" s="244" t="s">
        <v>32</v>
      </c>
      <c r="UZ75" s="244" t="s">
        <v>32</v>
      </c>
      <c r="VA75" s="244" t="s">
        <v>32</v>
      </c>
      <c r="VB75" s="244" t="s">
        <v>32</v>
      </c>
      <c r="VC75" s="244" t="s">
        <v>32</v>
      </c>
      <c r="VD75" s="244" t="s">
        <v>32</v>
      </c>
      <c r="VE75" s="244" t="s">
        <v>32</v>
      </c>
      <c r="VF75" s="244" t="s">
        <v>32</v>
      </c>
      <c r="VG75" s="244" t="s">
        <v>32</v>
      </c>
      <c r="VH75" s="244" t="s">
        <v>32</v>
      </c>
      <c r="VI75" s="244" t="s">
        <v>32</v>
      </c>
      <c r="VJ75" s="244" t="s">
        <v>32</v>
      </c>
      <c r="VK75" s="244" t="s">
        <v>32</v>
      </c>
      <c r="VL75" s="244" t="s">
        <v>32</v>
      </c>
      <c r="VM75" s="244" t="s">
        <v>32</v>
      </c>
      <c r="VN75" s="244" t="s">
        <v>32</v>
      </c>
      <c r="VO75" s="244" t="s">
        <v>32</v>
      </c>
      <c r="VP75" s="244" t="s">
        <v>32</v>
      </c>
      <c r="VQ75" s="244" t="s">
        <v>32</v>
      </c>
      <c r="VR75" s="244" t="s">
        <v>32</v>
      </c>
      <c r="VS75" s="244" t="s">
        <v>32</v>
      </c>
      <c r="VT75" s="244" t="s">
        <v>32</v>
      </c>
      <c r="VU75" s="244" t="s">
        <v>32</v>
      </c>
      <c r="VV75" s="244" t="s">
        <v>32</v>
      </c>
      <c r="VW75" s="244" t="s">
        <v>32</v>
      </c>
      <c r="VX75" s="244" t="s">
        <v>32</v>
      </c>
      <c r="VY75" s="244" t="s">
        <v>32</v>
      </c>
      <c r="VZ75" s="244" t="s">
        <v>32</v>
      </c>
      <c r="WA75" s="244" t="s">
        <v>32</v>
      </c>
      <c r="WB75" s="244" t="s">
        <v>32</v>
      </c>
      <c r="WC75" s="244" t="s">
        <v>32</v>
      </c>
      <c r="WD75" s="244" t="s">
        <v>32</v>
      </c>
      <c r="WE75" s="244" t="s">
        <v>32</v>
      </c>
      <c r="WF75" s="244" t="s">
        <v>32</v>
      </c>
      <c r="WG75" s="244" t="s">
        <v>32</v>
      </c>
      <c r="WH75" s="244" t="s">
        <v>32</v>
      </c>
      <c r="WI75" s="244" t="s">
        <v>32</v>
      </c>
      <c r="WJ75" s="244" t="s">
        <v>32</v>
      </c>
      <c r="WK75" s="244" t="s">
        <v>32</v>
      </c>
      <c r="WL75" s="244" t="s">
        <v>32</v>
      </c>
      <c r="WM75" s="244" t="s">
        <v>32</v>
      </c>
      <c r="WN75" s="244" t="s">
        <v>32</v>
      </c>
      <c r="WO75" s="244" t="s">
        <v>32</v>
      </c>
      <c r="WP75" s="244" t="s">
        <v>32</v>
      </c>
      <c r="WQ75" s="244" t="s">
        <v>32</v>
      </c>
      <c r="WR75" s="244" t="s">
        <v>32</v>
      </c>
      <c r="WS75" s="244" t="s">
        <v>32</v>
      </c>
      <c r="WT75" s="244" t="s">
        <v>32</v>
      </c>
      <c r="WU75" s="244" t="s">
        <v>32</v>
      </c>
      <c r="WV75" s="244" t="s">
        <v>32</v>
      </c>
      <c r="WW75" s="244" t="s">
        <v>32</v>
      </c>
      <c r="WX75" s="244" t="s">
        <v>32</v>
      </c>
      <c r="WY75" s="244" t="s">
        <v>32</v>
      </c>
      <c r="WZ75" s="244" t="s">
        <v>32</v>
      </c>
      <c r="XA75" s="244" t="s">
        <v>32</v>
      </c>
      <c r="XB75" s="244" t="s">
        <v>32</v>
      </c>
      <c r="XC75" s="244" t="s">
        <v>32</v>
      </c>
      <c r="XD75" s="244" t="s">
        <v>32</v>
      </c>
      <c r="XE75" s="244" t="s">
        <v>32</v>
      </c>
      <c r="XF75" s="244" t="s">
        <v>32</v>
      </c>
      <c r="XG75" s="244" t="s">
        <v>32</v>
      </c>
      <c r="XH75" s="244" t="s">
        <v>32</v>
      </c>
      <c r="XI75" s="244" t="s">
        <v>32</v>
      </c>
      <c r="XJ75" s="244" t="s">
        <v>32</v>
      </c>
      <c r="XK75" s="244" t="s">
        <v>32</v>
      </c>
      <c r="XL75" s="244" t="s">
        <v>32</v>
      </c>
      <c r="XM75" s="244" t="s">
        <v>32</v>
      </c>
      <c r="XN75" s="244" t="s">
        <v>32</v>
      </c>
      <c r="XO75" s="244" t="s">
        <v>32</v>
      </c>
      <c r="XP75" s="244" t="s">
        <v>32</v>
      </c>
      <c r="XQ75" s="244" t="s">
        <v>32</v>
      </c>
      <c r="XR75" s="244" t="s">
        <v>32</v>
      </c>
      <c r="XS75" s="244" t="s">
        <v>32</v>
      </c>
      <c r="XT75" s="244" t="s">
        <v>32</v>
      </c>
      <c r="XU75" s="244" t="s">
        <v>32</v>
      </c>
      <c r="XV75" s="244" t="s">
        <v>32</v>
      </c>
      <c r="XW75" s="244" t="s">
        <v>32</v>
      </c>
      <c r="XX75" s="244" t="s">
        <v>32</v>
      </c>
      <c r="XY75" s="244" t="s">
        <v>32</v>
      </c>
      <c r="XZ75" s="244" t="s">
        <v>32</v>
      </c>
      <c r="YA75" s="244" t="s">
        <v>32</v>
      </c>
      <c r="YB75" s="244" t="s">
        <v>32</v>
      </c>
      <c r="YC75" s="244" t="s">
        <v>32</v>
      </c>
      <c r="YD75" s="244" t="s">
        <v>32</v>
      </c>
      <c r="YE75" s="244" t="s">
        <v>32</v>
      </c>
      <c r="YF75" s="244" t="s">
        <v>32</v>
      </c>
      <c r="YG75" s="244" t="s">
        <v>32</v>
      </c>
      <c r="YH75" s="244" t="s">
        <v>32</v>
      </c>
      <c r="YI75" s="244" t="s">
        <v>32</v>
      </c>
      <c r="YJ75" s="244" t="s">
        <v>32</v>
      </c>
      <c r="YK75" s="244" t="s">
        <v>32</v>
      </c>
      <c r="YL75" s="244" t="s">
        <v>32</v>
      </c>
      <c r="YM75" s="244" t="s">
        <v>32</v>
      </c>
      <c r="YN75" s="244" t="s">
        <v>32</v>
      </c>
      <c r="YO75" s="244" t="s">
        <v>32</v>
      </c>
      <c r="YP75" s="244" t="s">
        <v>32</v>
      </c>
      <c r="YQ75" s="244" t="s">
        <v>32</v>
      </c>
      <c r="YR75" s="244" t="s">
        <v>32</v>
      </c>
      <c r="YS75" s="244" t="s">
        <v>32</v>
      </c>
      <c r="YT75" s="244" t="s">
        <v>32</v>
      </c>
      <c r="YU75" s="244" t="s">
        <v>32</v>
      </c>
      <c r="YV75" s="244" t="s">
        <v>32</v>
      </c>
      <c r="YW75" s="244" t="s">
        <v>32</v>
      </c>
      <c r="YX75" s="244" t="s">
        <v>32</v>
      </c>
      <c r="YY75" s="244" t="s">
        <v>32</v>
      </c>
      <c r="YZ75" s="244" t="s">
        <v>32</v>
      </c>
      <c r="ZA75" s="244" t="s">
        <v>32</v>
      </c>
      <c r="ZB75" s="244" t="s">
        <v>32</v>
      </c>
      <c r="ZC75" s="244" t="s">
        <v>32</v>
      </c>
      <c r="ZD75" s="244" t="s">
        <v>32</v>
      </c>
      <c r="ZE75" s="244" t="s">
        <v>32</v>
      </c>
      <c r="ZF75" s="244" t="s">
        <v>32</v>
      </c>
      <c r="ZG75" s="244" t="s">
        <v>32</v>
      </c>
      <c r="ZH75" s="244" t="s">
        <v>32</v>
      </c>
      <c r="ZI75" s="244" t="s">
        <v>32</v>
      </c>
      <c r="ZJ75" s="244" t="s">
        <v>32</v>
      </c>
      <c r="ZK75" s="244" t="s">
        <v>32</v>
      </c>
      <c r="ZL75" s="244" t="s">
        <v>32</v>
      </c>
      <c r="ZM75" s="244" t="s">
        <v>32</v>
      </c>
      <c r="ZN75" s="244" t="s">
        <v>32</v>
      </c>
      <c r="ZO75" s="244" t="s">
        <v>32</v>
      </c>
      <c r="ZP75" s="244" t="s">
        <v>32</v>
      </c>
      <c r="ZQ75" s="244" t="s">
        <v>32</v>
      </c>
      <c r="ZR75" s="244" t="s">
        <v>32</v>
      </c>
      <c r="ZS75" s="244" t="s">
        <v>32</v>
      </c>
      <c r="ZT75" s="244" t="s">
        <v>32</v>
      </c>
      <c r="ZU75" s="244" t="s">
        <v>32</v>
      </c>
      <c r="ZV75" s="244" t="s">
        <v>32</v>
      </c>
      <c r="ZW75" s="244" t="s">
        <v>32</v>
      </c>
      <c r="ZX75" s="244" t="s">
        <v>32</v>
      </c>
      <c r="ZY75" s="244" t="s">
        <v>32</v>
      </c>
      <c r="ZZ75" s="244" t="s">
        <v>32</v>
      </c>
      <c r="AAA75" s="244" t="s">
        <v>32</v>
      </c>
      <c r="AAB75" s="244" t="s">
        <v>32</v>
      </c>
      <c r="AAC75" s="244" t="s">
        <v>32</v>
      </c>
      <c r="AAD75" s="244" t="s">
        <v>32</v>
      </c>
      <c r="AAE75" s="244" t="s">
        <v>32</v>
      </c>
      <c r="AAF75" s="244" t="s">
        <v>32</v>
      </c>
      <c r="AAG75" s="244" t="s">
        <v>32</v>
      </c>
      <c r="AAH75" s="244" t="s">
        <v>32</v>
      </c>
      <c r="AAI75" s="244" t="s">
        <v>32</v>
      </c>
      <c r="AAJ75" s="244" t="s">
        <v>32</v>
      </c>
      <c r="AAK75" s="244" t="s">
        <v>32</v>
      </c>
      <c r="AAL75" s="244" t="s">
        <v>32</v>
      </c>
      <c r="AAM75" s="244" t="s">
        <v>32</v>
      </c>
      <c r="AAN75" s="244" t="s">
        <v>32</v>
      </c>
      <c r="AAO75" s="244" t="s">
        <v>32</v>
      </c>
      <c r="AAP75" s="244" t="s">
        <v>32</v>
      </c>
      <c r="AAQ75" s="244" t="s">
        <v>32</v>
      </c>
      <c r="AAR75" s="244" t="s">
        <v>32</v>
      </c>
      <c r="AAS75" s="244" t="s">
        <v>32</v>
      </c>
      <c r="AAT75" s="244" t="s">
        <v>32</v>
      </c>
      <c r="AAU75" s="244" t="s">
        <v>32</v>
      </c>
      <c r="AAV75" s="244" t="s">
        <v>32</v>
      </c>
      <c r="AAW75" s="244" t="s">
        <v>32</v>
      </c>
      <c r="AAX75" s="244" t="s">
        <v>32</v>
      </c>
      <c r="AAY75" s="244" t="s">
        <v>32</v>
      </c>
      <c r="AAZ75" s="244" t="s">
        <v>32</v>
      </c>
      <c r="ABA75" s="244" t="s">
        <v>32</v>
      </c>
      <c r="ABB75" s="244" t="s">
        <v>32</v>
      </c>
      <c r="ABC75" s="244" t="s">
        <v>32</v>
      </c>
      <c r="ABD75" s="244" t="s">
        <v>32</v>
      </c>
      <c r="ABE75" s="244" t="s">
        <v>32</v>
      </c>
      <c r="ABF75" s="244" t="s">
        <v>32</v>
      </c>
      <c r="ABG75" s="244" t="s">
        <v>32</v>
      </c>
      <c r="ABH75" s="244" t="s">
        <v>32</v>
      </c>
      <c r="ABI75" s="244" t="s">
        <v>32</v>
      </c>
      <c r="ABJ75" s="244" t="s">
        <v>32</v>
      </c>
      <c r="ABK75" s="244" t="s">
        <v>32</v>
      </c>
      <c r="ABL75" s="244" t="s">
        <v>32</v>
      </c>
      <c r="ABM75" s="244" t="s">
        <v>32</v>
      </c>
      <c r="ABN75" s="244" t="s">
        <v>32</v>
      </c>
      <c r="ABO75" s="244" t="s">
        <v>32</v>
      </c>
      <c r="ABP75" s="244" t="s">
        <v>32</v>
      </c>
      <c r="ABQ75" s="244" t="s">
        <v>32</v>
      </c>
      <c r="ABR75" s="244" t="s">
        <v>32</v>
      </c>
      <c r="ABS75" s="244" t="s">
        <v>32</v>
      </c>
      <c r="ABT75" s="244" t="s">
        <v>32</v>
      </c>
      <c r="ABU75" s="244" t="s">
        <v>32</v>
      </c>
      <c r="ABV75" s="244" t="s">
        <v>32</v>
      </c>
      <c r="ABW75" s="244" t="s">
        <v>32</v>
      </c>
      <c r="ABX75" s="244" t="s">
        <v>32</v>
      </c>
      <c r="ABY75" s="244" t="s">
        <v>32</v>
      </c>
      <c r="ABZ75" s="244" t="s">
        <v>32</v>
      </c>
      <c r="ACA75" s="244" t="s">
        <v>32</v>
      </c>
      <c r="ACB75" s="244" t="s">
        <v>32</v>
      </c>
      <c r="ACC75" s="244" t="s">
        <v>32</v>
      </c>
      <c r="ACD75" s="244" t="s">
        <v>32</v>
      </c>
      <c r="ACE75" s="244" t="s">
        <v>32</v>
      </c>
      <c r="ACF75" s="244" t="s">
        <v>32</v>
      </c>
      <c r="ACG75" s="244" t="s">
        <v>32</v>
      </c>
      <c r="ACH75" s="244" t="s">
        <v>32</v>
      </c>
      <c r="ACI75" s="244" t="s">
        <v>32</v>
      </c>
      <c r="ACJ75" s="244" t="s">
        <v>32</v>
      </c>
      <c r="ACK75" s="244" t="s">
        <v>32</v>
      </c>
      <c r="ACL75" s="244" t="s">
        <v>32</v>
      </c>
      <c r="ACM75" s="244" t="s">
        <v>32</v>
      </c>
      <c r="ACN75" s="244" t="s">
        <v>32</v>
      </c>
      <c r="ACO75" s="244" t="s">
        <v>32</v>
      </c>
      <c r="ACP75" s="244" t="s">
        <v>32</v>
      </c>
      <c r="ACQ75" s="244" t="s">
        <v>32</v>
      </c>
      <c r="ACR75" s="244" t="s">
        <v>32</v>
      </c>
      <c r="ACS75" s="244" t="s">
        <v>32</v>
      </c>
      <c r="ACT75" s="244" t="s">
        <v>32</v>
      </c>
      <c r="ACU75" s="244" t="s">
        <v>32</v>
      </c>
      <c r="ACV75" s="244" t="s">
        <v>32</v>
      </c>
      <c r="ACW75" s="244" t="s">
        <v>32</v>
      </c>
      <c r="ACX75" s="244" t="s">
        <v>32</v>
      </c>
      <c r="ACY75" s="244" t="s">
        <v>32</v>
      </c>
      <c r="ACZ75" s="244" t="s">
        <v>32</v>
      </c>
      <c r="ADA75" s="244" t="s">
        <v>32</v>
      </c>
      <c r="ADB75" s="244" t="s">
        <v>32</v>
      </c>
      <c r="ADC75" s="244" t="s">
        <v>32</v>
      </c>
      <c r="ADD75" s="244" t="s">
        <v>32</v>
      </c>
      <c r="ADE75" s="244" t="s">
        <v>32</v>
      </c>
      <c r="ADF75" s="244" t="s">
        <v>32</v>
      </c>
      <c r="ADG75" s="244" t="s">
        <v>32</v>
      </c>
      <c r="ADH75" s="244" t="s">
        <v>32</v>
      </c>
      <c r="ADI75" s="244" t="s">
        <v>32</v>
      </c>
      <c r="ADJ75" s="244" t="s">
        <v>32</v>
      </c>
      <c r="ADK75" s="244" t="s">
        <v>32</v>
      </c>
      <c r="ADL75" s="244" t="s">
        <v>32</v>
      </c>
      <c r="ADM75" s="244" t="s">
        <v>32</v>
      </c>
      <c r="ADN75" s="244" t="s">
        <v>32</v>
      </c>
      <c r="ADO75" s="244" t="s">
        <v>32</v>
      </c>
      <c r="ADP75" s="244" t="s">
        <v>32</v>
      </c>
      <c r="ADQ75" s="244" t="s">
        <v>32</v>
      </c>
      <c r="ADR75" s="244" t="s">
        <v>32</v>
      </c>
      <c r="ADS75" s="244" t="s">
        <v>32</v>
      </c>
      <c r="ADT75" s="244" t="s">
        <v>32</v>
      </c>
      <c r="ADU75" s="244" t="s">
        <v>32</v>
      </c>
      <c r="ADV75" s="244" t="s">
        <v>32</v>
      </c>
      <c r="ADW75" s="244" t="s">
        <v>32</v>
      </c>
      <c r="ADX75" s="244" t="s">
        <v>32</v>
      </c>
      <c r="ADY75" s="244" t="s">
        <v>32</v>
      </c>
      <c r="ADZ75" s="244" t="s">
        <v>32</v>
      </c>
      <c r="AEA75" s="244" t="s">
        <v>32</v>
      </c>
      <c r="AEB75" s="244" t="s">
        <v>32</v>
      </c>
      <c r="AEC75" s="244" t="s">
        <v>32</v>
      </c>
      <c r="AED75" s="244" t="s">
        <v>32</v>
      </c>
      <c r="AEE75" s="244" t="s">
        <v>32</v>
      </c>
      <c r="AEF75" s="244" t="s">
        <v>32</v>
      </c>
      <c r="AEG75" s="244" t="s">
        <v>32</v>
      </c>
      <c r="AEH75" s="244" t="s">
        <v>32</v>
      </c>
      <c r="AEI75" s="244" t="s">
        <v>32</v>
      </c>
      <c r="AEJ75" s="244" t="s">
        <v>32</v>
      </c>
      <c r="AEK75" s="244" t="s">
        <v>32</v>
      </c>
      <c r="AEL75" s="244" t="s">
        <v>32</v>
      </c>
      <c r="AEM75" s="244" t="s">
        <v>32</v>
      </c>
      <c r="AEN75" s="244" t="s">
        <v>32</v>
      </c>
      <c r="AEO75" s="244" t="s">
        <v>32</v>
      </c>
      <c r="AEP75" s="244" t="s">
        <v>32</v>
      </c>
      <c r="AEQ75" s="244" t="s">
        <v>32</v>
      </c>
      <c r="AER75" s="244" t="s">
        <v>32</v>
      </c>
      <c r="AES75" s="244" t="s">
        <v>32</v>
      </c>
      <c r="AET75" s="244" t="s">
        <v>32</v>
      </c>
      <c r="AEU75" s="244" t="s">
        <v>32</v>
      </c>
      <c r="AEV75" s="244" t="s">
        <v>32</v>
      </c>
      <c r="AEW75" s="244" t="s">
        <v>32</v>
      </c>
      <c r="AEX75" s="244" t="s">
        <v>32</v>
      </c>
      <c r="AEY75" s="244" t="s">
        <v>32</v>
      </c>
      <c r="AEZ75" s="244" t="s">
        <v>32</v>
      </c>
      <c r="AFA75" s="244" t="s">
        <v>32</v>
      </c>
      <c r="AFB75" s="244" t="s">
        <v>32</v>
      </c>
      <c r="AFC75" s="244" t="s">
        <v>32</v>
      </c>
      <c r="AFD75" s="244" t="s">
        <v>32</v>
      </c>
      <c r="AFE75" s="244" t="s">
        <v>32</v>
      </c>
      <c r="AFF75" s="244" t="s">
        <v>32</v>
      </c>
      <c r="AFG75" s="244" t="s">
        <v>32</v>
      </c>
      <c r="AFH75" s="244" t="s">
        <v>32</v>
      </c>
      <c r="AFI75" s="244" t="s">
        <v>32</v>
      </c>
      <c r="AFJ75" s="244" t="s">
        <v>32</v>
      </c>
      <c r="AFK75" s="244" t="s">
        <v>32</v>
      </c>
      <c r="AFL75" s="244" t="s">
        <v>32</v>
      </c>
      <c r="AFM75" s="244" t="s">
        <v>32</v>
      </c>
      <c r="AFN75" s="244" t="s">
        <v>32</v>
      </c>
      <c r="AFO75" s="244" t="s">
        <v>32</v>
      </c>
      <c r="AFP75" s="244" t="s">
        <v>32</v>
      </c>
      <c r="AFQ75" s="244" t="s">
        <v>32</v>
      </c>
      <c r="AFR75" s="244" t="s">
        <v>32</v>
      </c>
      <c r="AFS75" s="244" t="s">
        <v>32</v>
      </c>
      <c r="AFT75" s="244" t="s">
        <v>32</v>
      </c>
      <c r="AFU75" s="244" t="s">
        <v>32</v>
      </c>
      <c r="AFV75" s="244" t="s">
        <v>32</v>
      </c>
      <c r="AFW75" s="244" t="s">
        <v>32</v>
      </c>
      <c r="AFX75" s="244" t="s">
        <v>32</v>
      </c>
      <c r="AFY75" s="244" t="s">
        <v>32</v>
      </c>
      <c r="AFZ75" s="244" t="s">
        <v>32</v>
      </c>
      <c r="AGA75" s="244" t="s">
        <v>32</v>
      </c>
      <c r="AGB75" s="244" t="s">
        <v>32</v>
      </c>
      <c r="AGC75" s="244" t="s">
        <v>32</v>
      </c>
      <c r="AGD75" s="244" t="s">
        <v>32</v>
      </c>
      <c r="AGE75" s="244" t="s">
        <v>32</v>
      </c>
      <c r="AGF75" s="244" t="s">
        <v>32</v>
      </c>
      <c r="AGG75" s="244" t="s">
        <v>32</v>
      </c>
      <c r="AGH75" s="244" t="s">
        <v>32</v>
      </c>
      <c r="AGI75" s="244" t="s">
        <v>32</v>
      </c>
      <c r="AGJ75" s="244" t="s">
        <v>32</v>
      </c>
      <c r="AGK75" s="244" t="s">
        <v>32</v>
      </c>
      <c r="AGL75" s="244" t="s">
        <v>32</v>
      </c>
      <c r="AGM75" s="244" t="s">
        <v>32</v>
      </c>
      <c r="AGN75" s="244" t="s">
        <v>32</v>
      </c>
      <c r="AGO75" s="244" t="s">
        <v>32</v>
      </c>
      <c r="AGP75" s="244" t="s">
        <v>32</v>
      </c>
      <c r="AGQ75" s="244" t="s">
        <v>32</v>
      </c>
      <c r="AGR75" s="244" t="s">
        <v>32</v>
      </c>
      <c r="AGS75" s="244" t="s">
        <v>32</v>
      </c>
      <c r="AGT75" s="244" t="s">
        <v>32</v>
      </c>
      <c r="AGU75" s="244" t="s">
        <v>32</v>
      </c>
      <c r="AGV75" s="244" t="s">
        <v>32</v>
      </c>
      <c r="AGW75" s="244" t="s">
        <v>32</v>
      </c>
      <c r="AGX75" s="244" t="s">
        <v>32</v>
      </c>
      <c r="AGY75" s="244" t="s">
        <v>32</v>
      </c>
      <c r="AGZ75" s="244" t="s">
        <v>32</v>
      </c>
      <c r="AHA75" s="244" t="s">
        <v>32</v>
      </c>
      <c r="AHB75" s="244" t="s">
        <v>32</v>
      </c>
      <c r="AHC75" s="244" t="s">
        <v>32</v>
      </c>
      <c r="AHD75" s="244" t="s">
        <v>32</v>
      </c>
      <c r="AHE75" s="244" t="s">
        <v>32</v>
      </c>
      <c r="AHF75" s="244" t="s">
        <v>32</v>
      </c>
      <c r="AHG75" s="244" t="s">
        <v>32</v>
      </c>
      <c r="AHH75" s="244" t="s">
        <v>32</v>
      </c>
      <c r="AHI75" s="244" t="s">
        <v>32</v>
      </c>
      <c r="AHJ75" s="244" t="s">
        <v>32</v>
      </c>
      <c r="AHK75" s="244" t="s">
        <v>32</v>
      </c>
      <c r="AHL75" s="244" t="s">
        <v>32</v>
      </c>
      <c r="AHM75" s="244" t="s">
        <v>32</v>
      </c>
      <c r="AHN75" s="244" t="s">
        <v>32</v>
      </c>
      <c r="AHO75" s="244" t="s">
        <v>32</v>
      </c>
      <c r="AHP75" s="244" t="s">
        <v>32</v>
      </c>
      <c r="AHQ75" s="244" t="s">
        <v>32</v>
      </c>
      <c r="AHR75" s="244" t="s">
        <v>32</v>
      </c>
      <c r="AHS75" s="244" t="s">
        <v>32</v>
      </c>
      <c r="AHT75" s="244" t="s">
        <v>32</v>
      </c>
      <c r="AHU75" s="244" t="s">
        <v>32</v>
      </c>
      <c r="AHV75" s="244" t="s">
        <v>32</v>
      </c>
      <c r="AHW75" s="244" t="s">
        <v>32</v>
      </c>
      <c r="AHX75" s="244" t="s">
        <v>32</v>
      </c>
      <c r="AHY75" s="244" t="s">
        <v>32</v>
      </c>
      <c r="AHZ75" s="244" t="s">
        <v>32</v>
      </c>
      <c r="AIA75" s="244" t="s">
        <v>32</v>
      </c>
      <c r="AIB75" s="244" t="s">
        <v>32</v>
      </c>
      <c r="AIC75" s="244" t="s">
        <v>32</v>
      </c>
      <c r="AID75" s="244" t="s">
        <v>32</v>
      </c>
      <c r="AIE75" s="244" t="s">
        <v>32</v>
      </c>
      <c r="AIF75" s="244" t="s">
        <v>32</v>
      </c>
      <c r="AIG75" s="244" t="s">
        <v>32</v>
      </c>
      <c r="AIH75" s="244" t="s">
        <v>32</v>
      </c>
      <c r="AII75" s="244" t="s">
        <v>32</v>
      </c>
      <c r="AIJ75" s="244" t="s">
        <v>32</v>
      </c>
      <c r="AIK75" s="244" t="s">
        <v>32</v>
      </c>
      <c r="AIL75" s="244" t="s">
        <v>32</v>
      </c>
      <c r="AIM75" s="244" t="s">
        <v>32</v>
      </c>
      <c r="AIN75" s="244" t="s">
        <v>32</v>
      </c>
      <c r="AIO75" s="244" t="s">
        <v>32</v>
      </c>
      <c r="AIP75" s="244" t="s">
        <v>32</v>
      </c>
      <c r="AIQ75" s="244" t="s">
        <v>32</v>
      </c>
      <c r="AIR75" s="244" t="s">
        <v>32</v>
      </c>
      <c r="AIS75" s="244" t="s">
        <v>32</v>
      </c>
      <c r="AIT75" s="244" t="s">
        <v>32</v>
      </c>
      <c r="AIU75" s="244" t="s">
        <v>32</v>
      </c>
      <c r="AIV75" s="244" t="s">
        <v>32</v>
      </c>
      <c r="AIW75" s="244" t="s">
        <v>32</v>
      </c>
      <c r="AIX75" s="244" t="s">
        <v>32</v>
      </c>
      <c r="AIY75" s="244" t="s">
        <v>32</v>
      </c>
      <c r="AIZ75" s="244" t="s">
        <v>32</v>
      </c>
      <c r="AJA75" s="244" t="s">
        <v>32</v>
      </c>
      <c r="AJB75" s="244" t="s">
        <v>32</v>
      </c>
      <c r="AJC75" s="244" t="s">
        <v>32</v>
      </c>
      <c r="AJD75" s="244" t="s">
        <v>32</v>
      </c>
      <c r="AJE75" s="244" t="s">
        <v>32</v>
      </c>
      <c r="AJF75" s="244" t="s">
        <v>32</v>
      </c>
      <c r="AJG75" s="244" t="s">
        <v>32</v>
      </c>
      <c r="AJH75" s="244" t="s">
        <v>32</v>
      </c>
      <c r="AJI75" s="244" t="s">
        <v>32</v>
      </c>
      <c r="AJJ75" s="244" t="s">
        <v>32</v>
      </c>
      <c r="AJK75" s="244" t="s">
        <v>32</v>
      </c>
      <c r="AJL75" s="244" t="s">
        <v>32</v>
      </c>
      <c r="AJM75" s="244" t="s">
        <v>32</v>
      </c>
      <c r="AJN75" s="244" t="s">
        <v>32</v>
      </c>
      <c r="AJO75" s="244" t="s">
        <v>32</v>
      </c>
      <c r="AJP75" s="244" t="s">
        <v>32</v>
      </c>
      <c r="AJQ75" s="244" t="s">
        <v>32</v>
      </c>
      <c r="AJR75" s="244" t="s">
        <v>32</v>
      </c>
      <c r="AJS75" s="244" t="s">
        <v>32</v>
      </c>
      <c r="AJT75" s="244" t="s">
        <v>32</v>
      </c>
      <c r="AJU75" s="244" t="s">
        <v>32</v>
      </c>
      <c r="AJV75" s="244" t="s">
        <v>32</v>
      </c>
      <c r="AJW75" s="244" t="s">
        <v>32</v>
      </c>
      <c r="AJX75" s="244" t="s">
        <v>32</v>
      </c>
      <c r="AJY75" s="244" t="s">
        <v>32</v>
      </c>
      <c r="AJZ75" s="244" t="s">
        <v>32</v>
      </c>
      <c r="AKA75" s="244" t="s">
        <v>32</v>
      </c>
      <c r="AKB75" s="244" t="s">
        <v>32</v>
      </c>
      <c r="AKC75" s="244" t="s">
        <v>32</v>
      </c>
      <c r="AKD75" s="244" t="s">
        <v>32</v>
      </c>
      <c r="AKE75" s="244" t="s">
        <v>32</v>
      </c>
      <c r="AKF75" s="244" t="s">
        <v>32</v>
      </c>
      <c r="AKG75" s="244" t="s">
        <v>32</v>
      </c>
      <c r="AKH75" s="244" t="s">
        <v>32</v>
      </c>
      <c r="AKI75" s="244" t="s">
        <v>32</v>
      </c>
      <c r="AKJ75" s="244" t="s">
        <v>32</v>
      </c>
      <c r="AKK75" s="244" t="s">
        <v>32</v>
      </c>
      <c r="AKL75" s="244" t="s">
        <v>32</v>
      </c>
      <c r="AKM75" s="244" t="s">
        <v>32</v>
      </c>
      <c r="AKN75" s="244" t="s">
        <v>32</v>
      </c>
      <c r="AKO75" s="244" t="s">
        <v>32</v>
      </c>
      <c r="AKP75" s="244" t="s">
        <v>32</v>
      </c>
      <c r="AKQ75" s="244" t="s">
        <v>32</v>
      </c>
      <c r="AKR75" s="244" t="s">
        <v>32</v>
      </c>
      <c r="AKS75" s="244" t="s">
        <v>32</v>
      </c>
      <c r="AKT75" s="244" t="s">
        <v>32</v>
      </c>
      <c r="AKU75" s="244" t="s">
        <v>32</v>
      </c>
      <c r="AKV75" s="244" t="s">
        <v>32</v>
      </c>
      <c r="AKW75" s="244" t="s">
        <v>32</v>
      </c>
      <c r="AKX75" s="244" t="s">
        <v>32</v>
      </c>
      <c r="AKY75" s="244" t="s">
        <v>32</v>
      </c>
      <c r="AKZ75" s="244" t="s">
        <v>32</v>
      </c>
      <c r="ALA75" s="244" t="s">
        <v>32</v>
      </c>
      <c r="ALB75" s="244" t="s">
        <v>32</v>
      </c>
      <c r="ALC75" s="244" t="s">
        <v>32</v>
      </c>
      <c r="ALD75" s="244" t="s">
        <v>32</v>
      </c>
      <c r="ALE75" s="244" t="s">
        <v>32</v>
      </c>
      <c r="ALF75" s="244" t="s">
        <v>32</v>
      </c>
      <c r="ALG75" s="244" t="s">
        <v>32</v>
      </c>
      <c r="ALH75" s="244" t="s">
        <v>32</v>
      </c>
      <c r="ALI75" s="244" t="s">
        <v>32</v>
      </c>
      <c r="ALJ75" s="244" t="s">
        <v>32</v>
      </c>
      <c r="ALK75" s="244" t="s">
        <v>32</v>
      </c>
      <c r="ALL75" s="244" t="s">
        <v>32</v>
      </c>
      <c r="ALM75" s="244" t="s">
        <v>32</v>
      </c>
      <c r="ALN75" s="244" t="s">
        <v>32</v>
      </c>
      <c r="ALO75" s="244" t="s">
        <v>32</v>
      </c>
      <c r="ALP75" s="244" t="s">
        <v>32</v>
      </c>
      <c r="ALQ75" s="244" t="s">
        <v>32</v>
      </c>
      <c r="ALR75" s="244" t="s">
        <v>32</v>
      </c>
      <c r="ALS75" s="244" t="s">
        <v>32</v>
      </c>
      <c r="ALT75" s="244" t="s">
        <v>32</v>
      </c>
      <c r="ALU75" s="244" t="s">
        <v>32</v>
      </c>
      <c r="ALV75" s="244" t="s">
        <v>32</v>
      </c>
      <c r="ALW75" s="244" t="s">
        <v>32</v>
      </c>
      <c r="ALX75" s="244" t="s">
        <v>32</v>
      </c>
      <c r="ALY75" s="244" t="s">
        <v>32</v>
      </c>
      <c r="ALZ75" s="244" t="s">
        <v>32</v>
      </c>
      <c r="AMA75" s="244" t="s">
        <v>32</v>
      </c>
      <c r="AMB75" s="244" t="s">
        <v>32</v>
      </c>
      <c r="AMC75" s="244" t="s">
        <v>32</v>
      </c>
      <c r="AMD75" s="244" t="s">
        <v>32</v>
      </c>
      <c r="AME75" s="244" t="s">
        <v>32</v>
      </c>
      <c r="AMF75" s="244" t="s">
        <v>32</v>
      </c>
      <c r="AMG75" s="244" t="s">
        <v>32</v>
      </c>
      <c r="AMH75" s="244" t="s">
        <v>32</v>
      </c>
      <c r="AMI75" s="244" t="s">
        <v>32</v>
      </c>
      <c r="AMJ75" s="244" t="s">
        <v>32</v>
      </c>
      <c r="AMK75" s="244" t="s">
        <v>32</v>
      </c>
      <c r="AML75" s="244" t="s">
        <v>32</v>
      </c>
      <c r="AMM75" s="244" t="s">
        <v>32</v>
      </c>
      <c r="AMN75" s="244" t="s">
        <v>32</v>
      </c>
      <c r="AMO75" s="244" t="s">
        <v>32</v>
      </c>
      <c r="AMP75" s="244" t="s">
        <v>32</v>
      </c>
      <c r="AMQ75" s="244" t="s">
        <v>32</v>
      </c>
      <c r="AMR75" s="244" t="s">
        <v>32</v>
      </c>
      <c r="AMS75" s="244" t="s">
        <v>32</v>
      </c>
      <c r="AMT75" s="244" t="s">
        <v>32</v>
      </c>
      <c r="AMU75" s="244" t="s">
        <v>32</v>
      </c>
      <c r="AMV75" s="244" t="s">
        <v>32</v>
      </c>
      <c r="AMW75" s="244" t="s">
        <v>32</v>
      </c>
      <c r="AMX75" s="244" t="s">
        <v>32</v>
      </c>
      <c r="AMY75" s="244" t="s">
        <v>32</v>
      </c>
      <c r="AMZ75" s="244" t="s">
        <v>32</v>
      </c>
      <c r="ANA75" s="244" t="s">
        <v>32</v>
      </c>
      <c r="ANB75" s="244" t="s">
        <v>32</v>
      </c>
      <c r="ANC75" s="244" t="s">
        <v>32</v>
      </c>
      <c r="AND75" s="244" t="s">
        <v>32</v>
      </c>
      <c r="ANE75" s="244" t="s">
        <v>32</v>
      </c>
      <c r="ANF75" s="244" t="s">
        <v>32</v>
      </c>
      <c r="ANG75" s="244" t="s">
        <v>32</v>
      </c>
      <c r="ANH75" s="244" t="s">
        <v>32</v>
      </c>
      <c r="ANI75" s="244" t="s">
        <v>32</v>
      </c>
      <c r="ANJ75" s="244" t="s">
        <v>32</v>
      </c>
      <c r="ANK75" s="244" t="s">
        <v>32</v>
      </c>
      <c r="ANL75" s="244" t="s">
        <v>32</v>
      </c>
      <c r="ANM75" s="244" t="s">
        <v>32</v>
      </c>
      <c r="ANN75" s="244" t="s">
        <v>32</v>
      </c>
      <c r="ANO75" s="244" t="s">
        <v>32</v>
      </c>
      <c r="ANP75" s="244" t="s">
        <v>32</v>
      </c>
      <c r="ANQ75" s="244" t="s">
        <v>32</v>
      </c>
      <c r="ANR75" s="244" t="s">
        <v>32</v>
      </c>
      <c r="ANS75" s="244" t="s">
        <v>32</v>
      </c>
      <c r="ANT75" s="244" t="s">
        <v>32</v>
      </c>
      <c r="ANU75" s="244" t="s">
        <v>32</v>
      </c>
      <c r="ANV75" s="244" t="s">
        <v>32</v>
      </c>
      <c r="ANW75" s="244" t="s">
        <v>32</v>
      </c>
      <c r="ANX75" s="244" t="s">
        <v>32</v>
      </c>
      <c r="ANY75" s="244" t="s">
        <v>32</v>
      </c>
      <c r="ANZ75" s="244" t="s">
        <v>32</v>
      </c>
      <c r="AOA75" s="244" t="s">
        <v>32</v>
      </c>
      <c r="AOB75" s="244" t="s">
        <v>32</v>
      </c>
      <c r="AOC75" s="244" t="s">
        <v>32</v>
      </c>
      <c r="AOD75" s="244" t="s">
        <v>32</v>
      </c>
      <c r="AOE75" s="244" t="s">
        <v>32</v>
      </c>
      <c r="AOF75" s="244" t="s">
        <v>32</v>
      </c>
      <c r="AOG75" s="244" t="s">
        <v>32</v>
      </c>
      <c r="AOH75" s="244" t="s">
        <v>32</v>
      </c>
      <c r="AOI75" s="244" t="s">
        <v>32</v>
      </c>
      <c r="AOJ75" s="244" t="s">
        <v>32</v>
      </c>
      <c r="AOK75" s="244" t="s">
        <v>32</v>
      </c>
      <c r="AOL75" s="244" t="s">
        <v>32</v>
      </c>
      <c r="AOM75" s="244" t="s">
        <v>32</v>
      </c>
      <c r="AON75" s="244" t="s">
        <v>32</v>
      </c>
      <c r="AOO75" s="244" t="s">
        <v>32</v>
      </c>
      <c r="AOP75" s="244" t="s">
        <v>32</v>
      </c>
      <c r="AOQ75" s="244" t="s">
        <v>32</v>
      </c>
      <c r="AOR75" s="244" t="s">
        <v>32</v>
      </c>
      <c r="AOS75" s="244" t="s">
        <v>32</v>
      </c>
      <c r="AOT75" s="244" t="s">
        <v>32</v>
      </c>
      <c r="AOU75" s="244" t="s">
        <v>32</v>
      </c>
      <c r="AOV75" s="244" t="s">
        <v>32</v>
      </c>
      <c r="AOW75" s="244" t="s">
        <v>32</v>
      </c>
      <c r="AOX75" s="244" t="s">
        <v>32</v>
      </c>
      <c r="AOY75" s="244" t="s">
        <v>32</v>
      </c>
      <c r="AOZ75" s="244" t="s">
        <v>32</v>
      </c>
      <c r="APA75" s="244" t="s">
        <v>32</v>
      </c>
      <c r="APB75" s="244" t="s">
        <v>32</v>
      </c>
      <c r="APC75" s="244" t="s">
        <v>32</v>
      </c>
      <c r="APD75" s="244" t="s">
        <v>32</v>
      </c>
      <c r="APE75" s="244" t="s">
        <v>32</v>
      </c>
      <c r="APF75" s="244" t="s">
        <v>32</v>
      </c>
      <c r="APG75" s="244" t="s">
        <v>32</v>
      </c>
      <c r="APH75" s="244" t="s">
        <v>32</v>
      </c>
      <c r="API75" s="244" t="s">
        <v>32</v>
      </c>
      <c r="APJ75" s="244" t="s">
        <v>32</v>
      </c>
      <c r="APK75" s="244" t="s">
        <v>32</v>
      </c>
      <c r="APL75" s="244" t="s">
        <v>32</v>
      </c>
      <c r="APM75" s="244" t="s">
        <v>32</v>
      </c>
      <c r="APN75" s="244" t="s">
        <v>32</v>
      </c>
      <c r="APO75" s="244" t="s">
        <v>32</v>
      </c>
      <c r="APP75" s="244" t="s">
        <v>32</v>
      </c>
      <c r="APQ75" s="244" t="s">
        <v>32</v>
      </c>
      <c r="APR75" s="244" t="s">
        <v>32</v>
      </c>
      <c r="APS75" s="244" t="s">
        <v>32</v>
      </c>
      <c r="APT75" s="244" t="s">
        <v>32</v>
      </c>
      <c r="APU75" s="244" t="s">
        <v>32</v>
      </c>
      <c r="APV75" s="244" t="s">
        <v>32</v>
      </c>
      <c r="APW75" s="244" t="s">
        <v>32</v>
      </c>
      <c r="APX75" s="244" t="s">
        <v>32</v>
      </c>
      <c r="APY75" s="244" t="s">
        <v>32</v>
      </c>
      <c r="APZ75" s="244" t="s">
        <v>32</v>
      </c>
      <c r="AQA75" s="244" t="s">
        <v>32</v>
      </c>
      <c r="AQB75" s="244" t="s">
        <v>32</v>
      </c>
      <c r="AQC75" s="244" t="s">
        <v>32</v>
      </c>
      <c r="AQD75" s="244" t="s">
        <v>32</v>
      </c>
      <c r="AQE75" s="244" t="s">
        <v>32</v>
      </c>
      <c r="AQF75" s="244" t="s">
        <v>32</v>
      </c>
      <c r="AQG75" s="244" t="s">
        <v>32</v>
      </c>
      <c r="AQH75" s="244" t="s">
        <v>32</v>
      </c>
      <c r="AQI75" s="244" t="s">
        <v>32</v>
      </c>
      <c r="AQJ75" s="244" t="s">
        <v>32</v>
      </c>
      <c r="AQK75" s="244" t="s">
        <v>32</v>
      </c>
      <c r="AQL75" s="244" t="s">
        <v>32</v>
      </c>
      <c r="AQM75" s="244" t="s">
        <v>32</v>
      </c>
      <c r="AQN75" s="244" t="s">
        <v>32</v>
      </c>
      <c r="AQO75" s="244" t="s">
        <v>32</v>
      </c>
      <c r="AQP75" s="244" t="s">
        <v>32</v>
      </c>
      <c r="AQQ75" s="244" t="s">
        <v>32</v>
      </c>
      <c r="AQR75" s="244" t="s">
        <v>32</v>
      </c>
      <c r="AQS75" s="244" t="s">
        <v>32</v>
      </c>
      <c r="AQT75" s="244" t="s">
        <v>32</v>
      </c>
      <c r="AQU75" s="244" t="s">
        <v>32</v>
      </c>
      <c r="AQV75" s="244" t="s">
        <v>32</v>
      </c>
      <c r="AQW75" s="244" t="s">
        <v>32</v>
      </c>
      <c r="AQX75" s="244" t="s">
        <v>32</v>
      </c>
      <c r="AQY75" s="244" t="s">
        <v>32</v>
      </c>
      <c r="AQZ75" s="244" t="s">
        <v>32</v>
      </c>
      <c r="ARA75" s="244" t="s">
        <v>32</v>
      </c>
      <c r="ARB75" s="244" t="s">
        <v>32</v>
      </c>
      <c r="ARC75" s="244" t="s">
        <v>32</v>
      </c>
      <c r="ARD75" s="244" t="s">
        <v>32</v>
      </c>
      <c r="ARE75" s="244" t="s">
        <v>32</v>
      </c>
      <c r="ARF75" s="244" t="s">
        <v>32</v>
      </c>
      <c r="ARG75" s="244" t="s">
        <v>32</v>
      </c>
      <c r="ARH75" s="244" t="s">
        <v>32</v>
      </c>
      <c r="ARI75" s="244" t="s">
        <v>32</v>
      </c>
      <c r="ARJ75" s="244" t="s">
        <v>32</v>
      </c>
      <c r="ARK75" s="244" t="s">
        <v>32</v>
      </c>
      <c r="ARL75" s="244" t="s">
        <v>32</v>
      </c>
      <c r="ARM75" s="244" t="s">
        <v>32</v>
      </c>
      <c r="ARN75" s="244" t="s">
        <v>32</v>
      </c>
      <c r="ARO75" s="244" t="s">
        <v>32</v>
      </c>
      <c r="ARP75" s="244" t="s">
        <v>32</v>
      </c>
      <c r="ARQ75" s="244" t="s">
        <v>32</v>
      </c>
      <c r="ARR75" s="244" t="s">
        <v>32</v>
      </c>
      <c r="ARS75" s="244" t="s">
        <v>32</v>
      </c>
      <c r="ART75" s="244" t="s">
        <v>32</v>
      </c>
      <c r="ARU75" s="244" t="s">
        <v>32</v>
      </c>
      <c r="ARV75" s="244" t="s">
        <v>32</v>
      </c>
      <c r="ARW75" s="244" t="s">
        <v>32</v>
      </c>
      <c r="ARX75" s="244" t="s">
        <v>32</v>
      </c>
      <c r="ARY75" s="244" t="s">
        <v>32</v>
      </c>
      <c r="ARZ75" s="244" t="s">
        <v>32</v>
      </c>
      <c r="ASA75" s="244" t="s">
        <v>32</v>
      </c>
      <c r="ASB75" s="244" t="s">
        <v>32</v>
      </c>
      <c r="ASC75" s="244" t="s">
        <v>32</v>
      </c>
      <c r="ASD75" s="244" t="s">
        <v>32</v>
      </c>
      <c r="ASE75" s="244" t="s">
        <v>32</v>
      </c>
      <c r="ASF75" s="244" t="s">
        <v>32</v>
      </c>
      <c r="ASG75" s="244" t="s">
        <v>32</v>
      </c>
      <c r="ASH75" s="244" t="s">
        <v>32</v>
      </c>
      <c r="ASI75" s="244" t="s">
        <v>32</v>
      </c>
      <c r="ASJ75" s="244" t="s">
        <v>32</v>
      </c>
      <c r="ASK75" s="244" t="s">
        <v>32</v>
      </c>
      <c r="ASL75" s="244" t="s">
        <v>32</v>
      </c>
      <c r="ASM75" s="244" t="s">
        <v>32</v>
      </c>
      <c r="ASN75" s="244" t="s">
        <v>32</v>
      </c>
      <c r="ASO75" s="244" t="s">
        <v>32</v>
      </c>
      <c r="ASP75" s="244" t="s">
        <v>32</v>
      </c>
      <c r="ASQ75" s="244" t="s">
        <v>32</v>
      </c>
      <c r="ASR75" s="244" t="s">
        <v>32</v>
      </c>
      <c r="ASS75" s="244" t="s">
        <v>32</v>
      </c>
      <c r="AST75" s="244" t="s">
        <v>32</v>
      </c>
      <c r="ASU75" s="244" t="s">
        <v>32</v>
      </c>
      <c r="ASV75" s="244" t="s">
        <v>32</v>
      </c>
      <c r="ASW75" s="244" t="s">
        <v>32</v>
      </c>
      <c r="ASX75" s="244" t="s">
        <v>32</v>
      </c>
      <c r="ASY75" s="244" t="s">
        <v>32</v>
      </c>
      <c r="ASZ75" s="244" t="s">
        <v>32</v>
      </c>
      <c r="ATA75" s="244" t="s">
        <v>32</v>
      </c>
      <c r="ATB75" s="244" t="s">
        <v>32</v>
      </c>
      <c r="ATC75" s="244" t="s">
        <v>32</v>
      </c>
      <c r="ATD75" s="244" t="s">
        <v>32</v>
      </c>
      <c r="ATE75" s="244" t="s">
        <v>32</v>
      </c>
      <c r="ATF75" s="244" t="s">
        <v>32</v>
      </c>
      <c r="ATG75" s="244" t="s">
        <v>32</v>
      </c>
      <c r="ATH75" s="244" t="s">
        <v>32</v>
      </c>
      <c r="ATI75" s="244" t="s">
        <v>32</v>
      </c>
      <c r="ATJ75" s="244" t="s">
        <v>32</v>
      </c>
      <c r="ATK75" s="244" t="s">
        <v>32</v>
      </c>
      <c r="ATL75" s="244" t="s">
        <v>32</v>
      </c>
      <c r="ATM75" s="244" t="s">
        <v>32</v>
      </c>
      <c r="ATN75" s="244" t="s">
        <v>32</v>
      </c>
      <c r="ATO75" s="244" t="s">
        <v>32</v>
      </c>
      <c r="ATP75" s="244" t="s">
        <v>32</v>
      </c>
      <c r="ATQ75" s="244" t="s">
        <v>32</v>
      </c>
      <c r="ATR75" s="244" t="s">
        <v>32</v>
      </c>
      <c r="ATS75" s="244" t="s">
        <v>32</v>
      </c>
      <c r="ATT75" s="244" t="s">
        <v>32</v>
      </c>
      <c r="ATU75" s="244" t="s">
        <v>32</v>
      </c>
      <c r="ATV75" s="244" t="s">
        <v>32</v>
      </c>
      <c r="ATW75" s="244" t="s">
        <v>32</v>
      </c>
      <c r="ATX75" s="244" t="s">
        <v>32</v>
      </c>
      <c r="ATY75" s="244" t="s">
        <v>32</v>
      </c>
      <c r="ATZ75" s="244" t="s">
        <v>32</v>
      </c>
      <c r="AUA75" s="244" t="s">
        <v>32</v>
      </c>
      <c r="AUB75" s="244" t="s">
        <v>32</v>
      </c>
      <c r="AUC75" s="244" t="s">
        <v>32</v>
      </c>
      <c r="AUD75" s="244" t="s">
        <v>32</v>
      </c>
      <c r="AUE75" s="244" t="s">
        <v>32</v>
      </c>
      <c r="AUF75" s="244" t="s">
        <v>32</v>
      </c>
      <c r="AUG75" s="244" t="s">
        <v>32</v>
      </c>
      <c r="AUH75" s="244" t="s">
        <v>32</v>
      </c>
      <c r="AUI75" s="244" t="s">
        <v>32</v>
      </c>
      <c r="AUJ75" s="244" t="s">
        <v>32</v>
      </c>
      <c r="AUK75" s="244" t="s">
        <v>32</v>
      </c>
      <c r="AUL75" s="244" t="s">
        <v>32</v>
      </c>
      <c r="AUM75" s="244" t="s">
        <v>32</v>
      </c>
      <c r="AUN75" s="244" t="s">
        <v>32</v>
      </c>
      <c r="AUO75" s="244" t="s">
        <v>32</v>
      </c>
      <c r="AUP75" s="244" t="s">
        <v>32</v>
      </c>
      <c r="AUQ75" s="244" t="s">
        <v>32</v>
      </c>
      <c r="AUR75" s="244" t="s">
        <v>32</v>
      </c>
      <c r="AUS75" s="244" t="s">
        <v>32</v>
      </c>
      <c r="AUT75" s="244" t="s">
        <v>32</v>
      </c>
      <c r="AUU75" s="244" t="s">
        <v>32</v>
      </c>
      <c r="AUV75" s="244" t="s">
        <v>32</v>
      </c>
      <c r="AUW75" s="244" t="s">
        <v>32</v>
      </c>
      <c r="AUX75" s="244" t="s">
        <v>32</v>
      </c>
      <c r="AUY75" s="244" t="s">
        <v>32</v>
      </c>
      <c r="AUZ75" s="244" t="s">
        <v>32</v>
      </c>
      <c r="AVA75" s="244" t="s">
        <v>32</v>
      </c>
      <c r="AVB75" s="244" t="s">
        <v>32</v>
      </c>
      <c r="AVC75" s="244" t="s">
        <v>32</v>
      </c>
      <c r="AVD75" s="244" t="s">
        <v>32</v>
      </c>
      <c r="AVE75" s="244" t="s">
        <v>32</v>
      </c>
      <c r="AVF75" s="244" t="s">
        <v>32</v>
      </c>
      <c r="AVG75" s="244" t="s">
        <v>32</v>
      </c>
      <c r="AVH75" s="244" t="s">
        <v>32</v>
      </c>
      <c r="AVI75" s="244" t="s">
        <v>32</v>
      </c>
      <c r="AVJ75" s="244" t="s">
        <v>32</v>
      </c>
      <c r="AVK75" s="244" t="s">
        <v>32</v>
      </c>
      <c r="AVL75" s="244" t="s">
        <v>32</v>
      </c>
      <c r="AVM75" s="244" t="s">
        <v>32</v>
      </c>
      <c r="AVN75" s="244" t="s">
        <v>32</v>
      </c>
      <c r="AVO75" s="244" t="s">
        <v>32</v>
      </c>
      <c r="AVP75" s="244" t="s">
        <v>32</v>
      </c>
      <c r="AVQ75" s="244" t="s">
        <v>32</v>
      </c>
      <c r="AVR75" s="244" t="s">
        <v>32</v>
      </c>
      <c r="AVS75" s="244" t="s">
        <v>32</v>
      </c>
      <c r="AVT75" s="244" t="s">
        <v>32</v>
      </c>
      <c r="AVU75" s="244" t="s">
        <v>32</v>
      </c>
      <c r="AVV75" s="244" t="s">
        <v>32</v>
      </c>
      <c r="AVW75" s="244" t="s">
        <v>32</v>
      </c>
      <c r="AVX75" s="244" t="s">
        <v>32</v>
      </c>
      <c r="AVY75" s="244" t="s">
        <v>32</v>
      </c>
      <c r="AVZ75" s="244" t="s">
        <v>32</v>
      </c>
      <c r="AWA75" s="244" t="s">
        <v>32</v>
      </c>
      <c r="AWB75" s="244" t="s">
        <v>32</v>
      </c>
      <c r="AWC75" s="244" t="s">
        <v>32</v>
      </c>
      <c r="AWD75" s="244" t="s">
        <v>32</v>
      </c>
      <c r="AWE75" s="244" t="s">
        <v>32</v>
      </c>
      <c r="AWF75" s="244" t="s">
        <v>32</v>
      </c>
      <c r="AWG75" s="244" t="s">
        <v>32</v>
      </c>
      <c r="AWH75" s="244" t="s">
        <v>32</v>
      </c>
      <c r="AWI75" s="244" t="s">
        <v>32</v>
      </c>
      <c r="AWJ75" s="244" t="s">
        <v>32</v>
      </c>
      <c r="AWK75" s="244" t="s">
        <v>32</v>
      </c>
      <c r="AWL75" s="244" t="s">
        <v>32</v>
      </c>
      <c r="AWM75" s="244" t="s">
        <v>32</v>
      </c>
      <c r="AWN75" s="244" t="s">
        <v>32</v>
      </c>
      <c r="AWO75" s="244" t="s">
        <v>32</v>
      </c>
      <c r="AWP75" s="244" t="s">
        <v>32</v>
      </c>
      <c r="AWQ75" s="244" t="s">
        <v>32</v>
      </c>
      <c r="AWR75" s="244" t="s">
        <v>32</v>
      </c>
      <c r="AWS75" s="244" t="s">
        <v>32</v>
      </c>
      <c r="AWT75" s="244" t="s">
        <v>32</v>
      </c>
      <c r="AWU75" s="244" t="s">
        <v>32</v>
      </c>
      <c r="AWV75" s="244" t="s">
        <v>32</v>
      </c>
      <c r="AWW75" s="244" t="s">
        <v>32</v>
      </c>
      <c r="AWX75" s="244" t="s">
        <v>32</v>
      </c>
      <c r="AWY75" s="244" t="s">
        <v>32</v>
      </c>
      <c r="AWZ75" s="244" t="s">
        <v>32</v>
      </c>
      <c r="AXA75" s="244" t="s">
        <v>32</v>
      </c>
      <c r="AXB75" s="244" t="s">
        <v>32</v>
      </c>
      <c r="AXC75" s="244" t="s">
        <v>32</v>
      </c>
      <c r="AXD75" s="244" t="s">
        <v>32</v>
      </c>
      <c r="AXE75" s="244" t="s">
        <v>32</v>
      </c>
      <c r="AXF75" s="244" t="s">
        <v>32</v>
      </c>
      <c r="AXG75" s="244" t="s">
        <v>32</v>
      </c>
      <c r="AXH75" s="244" t="s">
        <v>32</v>
      </c>
      <c r="AXI75" s="244" t="s">
        <v>32</v>
      </c>
      <c r="AXJ75" s="244" t="s">
        <v>32</v>
      </c>
      <c r="AXK75" s="244" t="s">
        <v>32</v>
      </c>
      <c r="AXL75" s="244" t="s">
        <v>32</v>
      </c>
      <c r="AXM75" s="244" t="s">
        <v>32</v>
      </c>
      <c r="AXN75" s="244" t="s">
        <v>32</v>
      </c>
      <c r="AXO75" s="244" t="s">
        <v>32</v>
      </c>
      <c r="AXP75" s="244" t="s">
        <v>32</v>
      </c>
      <c r="AXQ75" s="244" t="s">
        <v>32</v>
      </c>
      <c r="AXR75" s="244" t="s">
        <v>32</v>
      </c>
      <c r="AXS75" s="244" t="s">
        <v>32</v>
      </c>
      <c r="AXT75" s="244" t="s">
        <v>32</v>
      </c>
      <c r="AXU75" s="244" t="s">
        <v>32</v>
      </c>
      <c r="AXV75" s="244" t="s">
        <v>32</v>
      </c>
      <c r="AXW75" s="244" t="s">
        <v>32</v>
      </c>
      <c r="AXX75" s="244" t="s">
        <v>32</v>
      </c>
      <c r="AXY75" s="244" t="s">
        <v>32</v>
      </c>
      <c r="AXZ75" s="244" t="s">
        <v>32</v>
      </c>
      <c r="AYA75" s="244" t="s">
        <v>32</v>
      </c>
      <c r="AYB75" s="244" t="s">
        <v>32</v>
      </c>
      <c r="AYC75" s="244" t="s">
        <v>32</v>
      </c>
      <c r="AYD75" s="244" t="s">
        <v>32</v>
      </c>
      <c r="AYE75" s="244" t="s">
        <v>32</v>
      </c>
      <c r="AYF75" s="244" t="s">
        <v>32</v>
      </c>
      <c r="AYG75" s="244" t="s">
        <v>32</v>
      </c>
      <c r="AYH75" s="244" t="s">
        <v>32</v>
      </c>
      <c r="AYI75" s="244" t="s">
        <v>32</v>
      </c>
      <c r="AYJ75" s="244" t="s">
        <v>32</v>
      </c>
      <c r="AYK75" s="244" t="s">
        <v>32</v>
      </c>
      <c r="AYL75" s="244" t="s">
        <v>32</v>
      </c>
      <c r="AYM75" s="244" t="s">
        <v>32</v>
      </c>
      <c r="AYN75" s="244" t="s">
        <v>32</v>
      </c>
      <c r="AYO75" s="244" t="s">
        <v>32</v>
      </c>
      <c r="AYP75" s="244" t="s">
        <v>32</v>
      </c>
      <c r="AYQ75" s="244" t="s">
        <v>32</v>
      </c>
      <c r="AYR75" s="244" t="s">
        <v>32</v>
      </c>
      <c r="AYS75" s="244" t="s">
        <v>32</v>
      </c>
      <c r="AYT75" s="244" t="s">
        <v>32</v>
      </c>
      <c r="AYU75" s="244" t="s">
        <v>32</v>
      </c>
      <c r="AYV75" s="244" t="s">
        <v>32</v>
      </c>
      <c r="AYW75" s="244" t="s">
        <v>32</v>
      </c>
      <c r="AYX75" s="244" t="s">
        <v>32</v>
      </c>
      <c r="AYY75" s="244" t="s">
        <v>32</v>
      </c>
      <c r="AYZ75" s="244" t="s">
        <v>32</v>
      </c>
      <c r="AZA75" s="244" t="s">
        <v>32</v>
      </c>
      <c r="AZB75" s="244" t="s">
        <v>32</v>
      </c>
      <c r="AZC75" s="244" t="s">
        <v>32</v>
      </c>
      <c r="AZD75" s="244" t="s">
        <v>32</v>
      </c>
      <c r="AZE75" s="244" t="s">
        <v>32</v>
      </c>
      <c r="AZF75" s="244" t="s">
        <v>32</v>
      </c>
      <c r="AZG75" s="244" t="s">
        <v>32</v>
      </c>
      <c r="AZH75" s="244" t="s">
        <v>32</v>
      </c>
      <c r="AZI75" s="244" t="s">
        <v>32</v>
      </c>
      <c r="AZJ75" s="244" t="s">
        <v>32</v>
      </c>
      <c r="AZK75" s="244" t="s">
        <v>32</v>
      </c>
      <c r="AZL75" s="244" t="s">
        <v>32</v>
      </c>
      <c r="AZM75" s="244" t="s">
        <v>32</v>
      </c>
      <c r="AZN75" s="244" t="s">
        <v>32</v>
      </c>
      <c r="AZO75" s="244" t="s">
        <v>32</v>
      </c>
      <c r="AZP75" s="244" t="s">
        <v>32</v>
      </c>
      <c r="AZQ75" s="244" t="s">
        <v>32</v>
      </c>
      <c r="AZR75" s="244" t="s">
        <v>32</v>
      </c>
      <c r="AZS75" s="244" t="s">
        <v>32</v>
      </c>
      <c r="AZT75" s="244" t="s">
        <v>32</v>
      </c>
      <c r="AZU75" s="244" t="s">
        <v>32</v>
      </c>
      <c r="AZV75" s="244" t="s">
        <v>32</v>
      </c>
      <c r="AZW75" s="244" t="s">
        <v>32</v>
      </c>
      <c r="AZX75" s="244" t="s">
        <v>32</v>
      </c>
      <c r="AZY75" s="244" t="s">
        <v>32</v>
      </c>
      <c r="AZZ75" s="244" t="s">
        <v>32</v>
      </c>
      <c r="BAA75" s="244" t="s">
        <v>32</v>
      </c>
      <c r="BAB75" s="244" t="s">
        <v>32</v>
      </c>
      <c r="BAC75" s="244" t="s">
        <v>32</v>
      </c>
      <c r="BAD75" s="244" t="s">
        <v>32</v>
      </c>
      <c r="BAE75" s="244" t="s">
        <v>32</v>
      </c>
      <c r="BAF75" s="244" t="s">
        <v>32</v>
      </c>
      <c r="BAG75" s="244" t="s">
        <v>32</v>
      </c>
      <c r="BAH75" s="244" t="s">
        <v>32</v>
      </c>
      <c r="BAI75" s="244" t="s">
        <v>32</v>
      </c>
      <c r="BAJ75" s="244" t="s">
        <v>32</v>
      </c>
      <c r="BAK75" s="244" t="s">
        <v>32</v>
      </c>
      <c r="BAL75" s="244" t="s">
        <v>32</v>
      </c>
      <c r="BAM75" s="244" t="s">
        <v>32</v>
      </c>
      <c r="BAN75" s="244" t="s">
        <v>32</v>
      </c>
      <c r="BAO75" s="244" t="s">
        <v>32</v>
      </c>
      <c r="BAP75" s="244" t="s">
        <v>32</v>
      </c>
      <c r="BAQ75" s="244" t="s">
        <v>32</v>
      </c>
      <c r="BAR75" s="244" t="s">
        <v>32</v>
      </c>
      <c r="BAS75" s="244" t="s">
        <v>32</v>
      </c>
      <c r="BAT75" s="244" t="s">
        <v>32</v>
      </c>
      <c r="BAU75" s="244" t="s">
        <v>32</v>
      </c>
      <c r="BAV75" s="244" t="s">
        <v>32</v>
      </c>
      <c r="BAW75" s="244" t="s">
        <v>32</v>
      </c>
      <c r="BAX75" s="244" t="s">
        <v>32</v>
      </c>
      <c r="BAY75" s="244" t="s">
        <v>32</v>
      </c>
      <c r="BAZ75" s="244" t="s">
        <v>32</v>
      </c>
      <c r="BBA75" s="244" t="s">
        <v>32</v>
      </c>
      <c r="BBB75" s="244" t="s">
        <v>32</v>
      </c>
      <c r="BBC75" s="244" t="s">
        <v>32</v>
      </c>
      <c r="BBD75" s="244" t="s">
        <v>32</v>
      </c>
      <c r="BBE75" s="244" t="s">
        <v>32</v>
      </c>
      <c r="BBF75" s="244" t="s">
        <v>32</v>
      </c>
      <c r="BBG75" s="244" t="s">
        <v>32</v>
      </c>
      <c r="BBH75" s="244" t="s">
        <v>32</v>
      </c>
      <c r="BBI75" s="244" t="s">
        <v>32</v>
      </c>
      <c r="BBJ75" s="244" t="s">
        <v>32</v>
      </c>
      <c r="BBK75" s="244" t="s">
        <v>32</v>
      </c>
      <c r="BBL75" s="244" t="s">
        <v>32</v>
      </c>
      <c r="BBM75" s="244" t="s">
        <v>32</v>
      </c>
      <c r="BBN75" s="244" t="s">
        <v>32</v>
      </c>
      <c r="BBO75" s="244" t="s">
        <v>32</v>
      </c>
      <c r="BBP75" s="244" t="s">
        <v>32</v>
      </c>
      <c r="BBQ75" s="244" t="s">
        <v>32</v>
      </c>
      <c r="BBR75" s="244" t="s">
        <v>32</v>
      </c>
      <c r="BBS75" s="244" t="s">
        <v>32</v>
      </c>
      <c r="BBT75" s="244" t="s">
        <v>32</v>
      </c>
      <c r="BBU75" s="244" t="s">
        <v>32</v>
      </c>
      <c r="BBV75" s="244" t="s">
        <v>32</v>
      </c>
      <c r="BBW75" s="244" t="s">
        <v>32</v>
      </c>
      <c r="BBX75" s="244" t="s">
        <v>32</v>
      </c>
      <c r="BBY75" s="244" t="s">
        <v>32</v>
      </c>
      <c r="BBZ75" s="244" t="s">
        <v>32</v>
      </c>
      <c r="BCA75" s="244" t="s">
        <v>32</v>
      </c>
      <c r="BCB75" s="244" t="s">
        <v>32</v>
      </c>
      <c r="BCC75" s="244" t="s">
        <v>32</v>
      </c>
      <c r="BCD75" s="244" t="s">
        <v>32</v>
      </c>
      <c r="BCE75" s="244" t="s">
        <v>32</v>
      </c>
      <c r="BCF75" s="244" t="s">
        <v>32</v>
      </c>
      <c r="BCG75" s="244" t="s">
        <v>32</v>
      </c>
      <c r="BCH75" s="244" t="s">
        <v>32</v>
      </c>
      <c r="BCI75" s="244" t="s">
        <v>32</v>
      </c>
      <c r="BCJ75" s="244" t="s">
        <v>32</v>
      </c>
      <c r="BCK75" s="244" t="s">
        <v>32</v>
      </c>
      <c r="BCL75" s="244" t="s">
        <v>32</v>
      </c>
      <c r="BCM75" s="244" t="s">
        <v>32</v>
      </c>
      <c r="BCN75" s="244" t="s">
        <v>32</v>
      </c>
      <c r="BCO75" s="244" t="s">
        <v>32</v>
      </c>
      <c r="BCP75" s="244" t="s">
        <v>32</v>
      </c>
      <c r="BCQ75" s="244" t="s">
        <v>32</v>
      </c>
      <c r="BCR75" s="244" t="s">
        <v>32</v>
      </c>
      <c r="BCS75" s="244" t="s">
        <v>32</v>
      </c>
      <c r="BCT75" s="244" t="s">
        <v>32</v>
      </c>
      <c r="BCU75" s="244" t="s">
        <v>32</v>
      </c>
      <c r="BCV75" s="244" t="s">
        <v>32</v>
      </c>
      <c r="BCW75" s="244" t="s">
        <v>32</v>
      </c>
      <c r="BCX75" s="244" t="s">
        <v>32</v>
      </c>
      <c r="BCY75" s="244" t="s">
        <v>32</v>
      </c>
      <c r="BCZ75" s="244" t="s">
        <v>32</v>
      </c>
      <c r="BDA75" s="244" t="s">
        <v>32</v>
      </c>
      <c r="BDB75" s="244" t="s">
        <v>32</v>
      </c>
      <c r="BDC75" s="244" t="s">
        <v>32</v>
      </c>
      <c r="BDD75" s="244" t="s">
        <v>32</v>
      </c>
      <c r="BDE75" s="244" t="s">
        <v>32</v>
      </c>
      <c r="BDF75" s="244" t="s">
        <v>32</v>
      </c>
      <c r="BDG75" s="244" t="s">
        <v>32</v>
      </c>
      <c r="BDH75" s="244" t="s">
        <v>32</v>
      </c>
      <c r="BDI75" s="244" t="s">
        <v>32</v>
      </c>
      <c r="BDJ75" s="244" t="s">
        <v>32</v>
      </c>
      <c r="BDK75" s="244" t="s">
        <v>32</v>
      </c>
      <c r="BDL75" s="244" t="s">
        <v>32</v>
      </c>
      <c r="BDM75" s="244" t="s">
        <v>32</v>
      </c>
      <c r="BDN75" s="244" t="s">
        <v>32</v>
      </c>
      <c r="BDO75" s="244" t="s">
        <v>32</v>
      </c>
      <c r="BDP75" s="244" t="s">
        <v>32</v>
      </c>
      <c r="BDQ75" s="244" t="s">
        <v>32</v>
      </c>
      <c r="BDR75" s="244" t="s">
        <v>32</v>
      </c>
      <c r="BDS75" s="244" t="s">
        <v>32</v>
      </c>
      <c r="BDT75" s="244" t="s">
        <v>32</v>
      </c>
      <c r="BDU75" s="244" t="s">
        <v>32</v>
      </c>
      <c r="BDV75" s="244" t="s">
        <v>32</v>
      </c>
      <c r="BDW75" s="244" t="s">
        <v>32</v>
      </c>
      <c r="BDX75" s="244" t="s">
        <v>32</v>
      </c>
      <c r="BDY75" s="244" t="s">
        <v>32</v>
      </c>
      <c r="BDZ75" s="244" t="s">
        <v>32</v>
      </c>
      <c r="BEA75" s="244" t="s">
        <v>32</v>
      </c>
      <c r="BEB75" s="244" t="s">
        <v>32</v>
      </c>
      <c r="BEC75" s="244" t="s">
        <v>32</v>
      </c>
      <c r="BED75" s="244" t="s">
        <v>32</v>
      </c>
      <c r="BEE75" s="244" t="s">
        <v>32</v>
      </c>
      <c r="BEF75" s="244" t="s">
        <v>32</v>
      </c>
      <c r="BEG75" s="244" t="s">
        <v>32</v>
      </c>
      <c r="BEH75" s="244" t="s">
        <v>32</v>
      </c>
      <c r="BEI75" s="244" t="s">
        <v>32</v>
      </c>
      <c r="BEJ75" s="244" t="s">
        <v>32</v>
      </c>
      <c r="BEK75" s="244" t="s">
        <v>32</v>
      </c>
      <c r="BEL75" s="244" t="s">
        <v>32</v>
      </c>
      <c r="BEM75" s="244" t="s">
        <v>32</v>
      </c>
      <c r="BEN75" s="244" t="s">
        <v>32</v>
      </c>
      <c r="BEO75" s="244" t="s">
        <v>32</v>
      </c>
      <c r="BEP75" s="244" t="s">
        <v>32</v>
      </c>
      <c r="BEQ75" s="244" t="s">
        <v>32</v>
      </c>
      <c r="BER75" s="244" t="s">
        <v>32</v>
      </c>
      <c r="BES75" s="244" t="s">
        <v>32</v>
      </c>
      <c r="BET75" s="244" t="s">
        <v>32</v>
      </c>
      <c r="BEU75" s="244" t="s">
        <v>32</v>
      </c>
      <c r="BEV75" s="244" t="s">
        <v>32</v>
      </c>
      <c r="BEW75" s="244" t="s">
        <v>32</v>
      </c>
      <c r="BEX75" s="244" t="s">
        <v>32</v>
      </c>
      <c r="BEY75" s="244" t="s">
        <v>32</v>
      </c>
      <c r="BEZ75" s="244" t="s">
        <v>32</v>
      </c>
      <c r="BFA75" s="244" t="s">
        <v>32</v>
      </c>
      <c r="BFB75" s="244" t="s">
        <v>32</v>
      </c>
      <c r="BFC75" s="244" t="s">
        <v>32</v>
      </c>
      <c r="BFD75" s="244" t="s">
        <v>32</v>
      </c>
      <c r="BFE75" s="244" t="s">
        <v>32</v>
      </c>
      <c r="BFF75" s="244" t="s">
        <v>32</v>
      </c>
      <c r="BFG75" s="244" t="s">
        <v>32</v>
      </c>
      <c r="BFH75" s="244" t="s">
        <v>32</v>
      </c>
      <c r="BFI75" s="244" t="s">
        <v>32</v>
      </c>
      <c r="BFJ75" s="244" t="s">
        <v>32</v>
      </c>
      <c r="BFK75" s="244" t="s">
        <v>32</v>
      </c>
      <c r="BFL75" s="244" t="s">
        <v>32</v>
      </c>
      <c r="BFM75" s="244" t="s">
        <v>32</v>
      </c>
      <c r="BFN75" s="244" t="s">
        <v>32</v>
      </c>
      <c r="BFO75" s="244" t="s">
        <v>32</v>
      </c>
      <c r="BFP75" s="244" t="s">
        <v>32</v>
      </c>
      <c r="BFQ75" s="244" t="s">
        <v>32</v>
      </c>
      <c r="BFR75" s="244" t="s">
        <v>32</v>
      </c>
      <c r="BFS75" s="244" t="s">
        <v>32</v>
      </c>
      <c r="BFT75" s="244" t="s">
        <v>32</v>
      </c>
      <c r="BFU75" s="244" t="s">
        <v>32</v>
      </c>
      <c r="BFV75" s="244" t="s">
        <v>32</v>
      </c>
      <c r="BFW75" s="244" t="s">
        <v>32</v>
      </c>
      <c r="BFX75" s="244" t="s">
        <v>32</v>
      </c>
      <c r="BFY75" s="244" t="s">
        <v>32</v>
      </c>
      <c r="BFZ75" s="244" t="s">
        <v>32</v>
      </c>
      <c r="BGA75" s="244" t="s">
        <v>32</v>
      </c>
      <c r="BGB75" s="244" t="s">
        <v>32</v>
      </c>
      <c r="BGC75" s="244" t="s">
        <v>32</v>
      </c>
      <c r="BGD75" s="244" t="s">
        <v>32</v>
      </c>
      <c r="BGE75" s="244" t="s">
        <v>32</v>
      </c>
      <c r="BGF75" s="244" t="s">
        <v>32</v>
      </c>
      <c r="BGG75" s="244" t="s">
        <v>32</v>
      </c>
      <c r="BGH75" s="244" t="s">
        <v>32</v>
      </c>
      <c r="BGI75" s="244" t="s">
        <v>32</v>
      </c>
      <c r="BGJ75" s="244" t="s">
        <v>32</v>
      </c>
      <c r="BGK75" s="244" t="s">
        <v>32</v>
      </c>
      <c r="BGL75" s="244" t="s">
        <v>32</v>
      </c>
      <c r="BGM75" s="244" t="s">
        <v>32</v>
      </c>
      <c r="BGN75" s="244" t="s">
        <v>32</v>
      </c>
      <c r="BGO75" s="244" t="s">
        <v>32</v>
      </c>
      <c r="BGP75" s="244" t="s">
        <v>32</v>
      </c>
      <c r="BGQ75" s="244" t="s">
        <v>32</v>
      </c>
      <c r="BGR75" s="244" t="s">
        <v>32</v>
      </c>
      <c r="BGS75" s="244" t="s">
        <v>32</v>
      </c>
      <c r="BGT75" s="244" t="s">
        <v>32</v>
      </c>
      <c r="BGU75" s="244" t="s">
        <v>32</v>
      </c>
      <c r="BGV75" s="244" t="s">
        <v>32</v>
      </c>
      <c r="BGW75" s="244" t="s">
        <v>32</v>
      </c>
      <c r="BGX75" s="244" t="s">
        <v>32</v>
      </c>
      <c r="BGY75" s="244" t="s">
        <v>32</v>
      </c>
      <c r="BGZ75" s="244" t="s">
        <v>32</v>
      </c>
      <c r="BHA75" s="244" t="s">
        <v>32</v>
      </c>
      <c r="BHB75" s="244" t="s">
        <v>32</v>
      </c>
      <c r="BHC75" s="244" t="s">
        <v>32</v>
      </c>
      <c r="BHD75" s="244" t="s">
        <v>32</v>
      </c>
      <c r="BHE75" s="244" t="s">
        <v>32</v>
      </c>
      <c r="BHF75" s="244" t="s">
        <v>32</v>
      </c>
      <c r="BHG75" s="244" t="s">
        <v>32</v>
      </c>
      <c r="BHH75" s="244" t="s">
        <v>32</v>
      </c>
      <c r="BHI75" s="244" t="s">
        <v>32</v>
      </c>
      <c r="BHJ75" s="244" t="s">
        <v>32</v>
      </c>
      <c r="BHK75" s="244" t="s">
        <v>32</v>
      </c>
      <c r="BHL75" s="244" t="s">
        <v>32</v>
      </c>
      <c r="BHM75" s="244" t="s">
        <v>32</v>
      </c>
      <c r="BHN75" s="244" t="s">
        <v>32</v>
      </c>
      <c r="BHO75" s="244" t="s">
        <v>32</v>
      </c>
      <c r="BHP75" s="244" t="s">
        <v>32</v>
      </c>
      <c r="BHQ75" s="244" t="s">
        <v>32</v>
      </c>
      <c r="BHR75" s="244" t="s">
        <v>32</v>
      </c>
      <c r="BHS75" s="244" t="s">
        <v>32</v>
      </c>
      <c r="BHT75" s="244" t="s">
        <v>32</v>
      </c>
      <c r="BHU75" s="244" t="s">
        <v>32</v>
      </c>
      <c r="BHV75" s="244" t="s">
        <v>32</v>
      </c>
      <c r="BHW75" s="244" t="s">
        <v>32</v>
      </c>
      <c r="BHX75" s="244" t="s">
        <v>32</v>
      </c>
      <c r="BHY75" s="244" t="s">
        <v>32</v>
      </c>
      <c r="BHZ75" s="244" t="s">
        <v>32</v>
      </c>
      <c r="BIA75" s="244" t="s">
        <v>32</v>
      </c>
      <c r="BIB75" s="244" t="s">
        <v>32</v>
      </c>
      <c r="BIC75" s="244" t="s">
        <v>32</v>
      </c>
      <c r="BID75" s="244" t="s">
        <v>32</v>
      </c>
      <c r="BIE75" s="244" t="s">
        <v>32</v>
      </c>
      <c r="BIF75" s="244" t="s">
        <v>32</v>
      </c>
      <c r="BIG75" s="244" t="s">
        <v>32</v>
      </c>
      <c r="BIH75" s="244" t="s">
        <v>32</v>
      </c>
      <c r="BII75" s="244" t="s">
        <v>32</v>
      </c>
      <c r="BIJ75" s="244" t="s">
        <v>32</v>
      </c>
      <c r="BIK75" s="244" t="s">
        <v>32</v>
      </c>
      <c r="BIL75" s="244" t="s">
        <v>32</v>
      </c>
      <c r="BIM75" s="244" t="s">
        <v>32</v>
      </c>
      <c r="BIN75" s="244" t="s">
        <v>32</v>
      </c>
      <c r="BIO75" s="244" t="s">
        <v>32</v>
      </c>
      <c r="BIP75" s="244" t="s">
        <v>32</v>
      </c>
      <c r="BIQ75" s="244" t="s">
        <v>32</v>
      </c>
      <c r="BIR75" s="244" t="s">
        <v>32</v>
      </c>
      <c r="BIS75" s="244" t="s">
        <v>32</v>
      </c>
      <c r="BIT75" s="244" t="s">
        <v>32</v>
      </c>
      <c r="BIU75" s="244" t="s">
        <v>32</v>
      </c>
      <c r="BIV75" s="244" t="s">
        <v>32</v>
      </c>
      <c r="BIW75" s="244" t="s">
        <v>32</v>
      </c>
      <c r="BIX75" s="244" t="s">
        <v>32</v>
      </c>
      <c r="BIY75" s="244" t="s">
        <v>32</v>
      </c>
      <c r="BIZ75" s="244" t="s">
        <v>32</v>
      </c>
      <c r="BJA75" s="244" t="s">
        <v>32</v>
      </c>
      <c r="BJB75" s="244" t="s">
        <v>32</v>
      </c>
      <c r="BJC75" s="244" t="s">
        <v>32</v>
      </c>
      <c r="BJD75" s="244" t="s">
        <v>32</v>
      </c>
      <c r="BJE75" s="244" t="s">
        <v>32</v>
      </c>
      <c r="BJF75" s="244" t="s">
        <v>32</v>
      </c>
      <c r="BJG75" s="244" t="s">
        <v>32</v>
      </c>
      <c r="BJH75" s="244" t="s">
        <v>32</v>
      </c>
      <c r="BJI75" s="244" t="s">
        <v>32</v>
      </c>
      <c r="BJJ75" s="244" t="s">
        <v>32</v>
      </c>
      <c r="BJK75" s="244" t="s">
        <v>32</v>
      </c>
      <c r="BJL75" s="244" t="s">
        <v>32</v>
      </c>
      <c r="BJM75" s="244" t="s">
        <v>32</v>
      </c>
      <c r="BJN75" s="244" t="s">
        <v>32</v>
      </c>
      <c r="BJO75" s="244" t="s">
        <v>32</v>
      </c>
      <c r="BJP75" s="244" t="s">
        <v>32</v>
      </c>
      <c r="BJQ75" s="244" t="s">
        <v>32</v>
      </c>
      <c r="BJR75" s="244" t="s">
        <v>32</v>
      </c>
      <c r="BJS75" s="244" t="s">
        <v>32</v>
      </c>
      <c r="BJT75" s="244" t="s">
        <v>32</v>
      </c>
      <c r="BJU75" s="244" t="s">
        <v>32</v>
      </c>
      <c r="BJV75" s="244" t="s">
        <v>32</v>
      </c>
      <c r="BJW75" s="244" t="s">
        <v>32</v>
      </c>
      <c r="BJX75" s="244" t="s">
        <v>32</v>
      </c>
      <c r="BJY75" s="244" t="s">
        <v>32</v>
      </c>
      <c r="BJZ75" s="244" t="s">
        <v>32</v>
      </c>
      <c r="BKA75" s="244" t="s">
        <v>32</v>
      </c>
      <c r="BKB75" s="244" t="s">
        <v>32</v>
      </c>
      <c r="BKC75" s="244" t="s">
        <v>32</v>
      </c>
      <c r="BKD75" s="244" t="s">
        <v>32</v>
      </c>
      <c r="BKE75" s="244" t="s">
        <v>32</v>
      </c>
      <c r="BKF75" s="244" t="s">
        <v>32</v>
      </c>
      <c r="BKG75" s="244" t="s">
        <v>32</v>
      </c>
      <c r="BKH75" s="244" t="s">
        <v>32</v>
      </c>
      <c r="BKI75" s="244" t="s">
        <v>32</v>
      </c>
      <c r="BKJ75" s="244" t="s">
        <v>32</v>
      </c>
      <c r="BKK75" s="244" t="s">
        <v>32</v>
      </c>
      <c r="BKL75" s="244" t="s">
        <v>32</v>
      </c>
      <c r="BKM75" s="244" t="s">
        <v>32</v>
      </c>
      <c r="BKN75" s="244" t="s">
        <v>32</v>
      </c>
      <c r="BKO75" s="244" t="s">
        <v>32</v>
      </c>
      <c r="BKP75" s="244" t="s">
        <v>32</v>
      </c>
      <c r="BKQ75" s="244" t="s">
        <v>32</v>
      </c>
      <c r="BKR75" s="244" t="s">
        <v>32</v>
      </c>
      <c r="BKS75" s="244" t="s">
        <v>32</v>
      </c>
      <c r="BKT75" s="244" t="s">
        <v>32</v>
      </c>
      <c r="BKU75" s="244" t="s">
        <v>32</v>
      </c>
      <c r="BKV75" s="244" t="s">
        <v>32</v>
      </c>
      <c r="BKW75" s="244" t="s">
        <v>32</v>
      </c>
      <c r="BKX75" s="244" t="s">
        <v>32</v>
      </c>
      <c r="BKY75" s="244" t="s">
        <v>32</v>
      </c>
      <c r="BKZ75" s="244" t="s">
        <v>32</v>
      </c>
      <c r="BLA75" s="244" t="s">
        <v>32</v>
      </c>
      <c r="BLB75" s="244" t="s">
        <v>32</v>
      </c>
      <c r="BLC75" s="244" t="s">
        <v>32</v>
      </c>
      <c r="BLD75" s="244" t="s">
        <v>32</v>
      </c>
      <c r="BLE75" s="244" t="s">
        <v>32</v>
      </c>
      <c r="BLF75" s="244" t="s">
        <v>32</v>
      </c>
      <c r="BLG75" s="244" t="s">
        <v>32</v>
      </c>
      <c r="BLH75" s="244" t="s">
        <v>32</v>
      </c>
      <c r="BLI75" s="244" t="s">
        <v>32</v>
      </c>
      <c r="BLJ75" s="244" t="s">
        <v>32</v>
      </c>
      <c r="BLK75" s="244" t="s">
        <v>32</v>
      </c>
      <c r="BLL75" s="244" t="s">
        <v>32</v>
      </c>
      <c r="BLM75" s="244" t="s">
        <v>32</v>
      </c>
      <c r="BLN75" s="244" t="s">
        <v>32</v>
      </c>
      <c r="BLO75" s="244" t="s">
        <v>32</v>
      </c>
      <c r="BLP75" s="244" t="s">
        <v>32</v>
      </c>
      <c r="BLQ75" s="244" t="s">
        <v>32</v>
      </c>
      <c r="BLR75" s="244" t="s">
        <v>32</v>
      </c>
      <c r="BLS75" s="244" t="s">
        <v>32</v>
      </c>
      <c r="BLT75" s="244" t="s">
        <v>32</v>
      </c>
      <c r="BLU75" s="244" t="s">
        <v>32</v>
      </c>
      <c r="BLV75" s="244" t="s">
        <v>32</v>
      </c>
      <c r="BLW75" s="244" t="s">
        <v>32</v>
      </c>
      <c r="BLX75" s="244" t="s">
        <v>32</v>
      </c>
      <c r="BLY75" s="244" t="s">
        <v>32</v>
      </c>
      <c r="BLZ75" s="244" t="s">
        <v>32</v>
      </c>
      <c r="BMA75" s="244" t="s">
        <v>32</v>
      </c>
      <c r="BMB75" s="244" t="s">
        <v>32</v>
      </c>
      <c r="BMC75" s="244" t="s">
        <v>32</v>
      </c>
      <c r="BMD75" s="244" t="s">
        <v>32</v>
      </c>
      <c r="BME75" s="244" t="s">
        <v>32</v>
      </c>
      <c r="BMF75" s="244" t="s">
        <v>32</v>
      </c>
      <c r="BMG75" s="244" t="s">
        <v>32</v>
      </c>
      <c r="BMH75" s="244" t="s">
        <v>32</v>
      </c>
      <c r="BMI75" s="244" t="s">
        <v>32</v>
      </c>
      <c r="BMJ75" s="244" t="s">
        <v>32</v>
      </c>
      <c r="BMK75" s="244" t="s">
        <v>32</v>
      </c>
      <c r="BML75" s="244" t="s">
        <v>32</v>
      </c>
      <c r="BMM75" s="244" t="s">
        <v>32</v>
      </c>
      <c r="BMN75" s="244" t="s">
        <v>32</v>
      </c>
      <c r="BMO75" s="244" t="s">
        <v>32</v>
      </c>
      <c r="BMP75" s="244" t="s">
        <v>32</v>
      </c>
      <c r="BMQ75" s="244" t="s">
        <v>32</v>
      </c>
      <c r="BMR75" s="244" t="s">
        <v>32</v>
      </c>
      <c r="BMS75" s="244" t="s">
        <v>32</v>
      </c>
      <c r="BMT75" s="244" t="s">
        <v>32</v>
      </c>
      <c r="BMU75" s="244" t="s">
        <v>32</v>
      </c>
      <c r="BMV75" s="244" t="s">
        <v>32</v>
      </c>
      <c r="BMW75" s="244" t="s">
        <v>32</v>
      </c>
      <c r="BMX75" s="244" t="s">
        <v>32</v>
      </c>
      <c r="BMY75" s="244" t="s">
        <v>32</v>
      </c>
      <c r="BMZ75" s="244" t="s">
        <v>32</v>
      </c>
      <c r="BNA75" s="244" t="s">
        <v>32</v>
      </c>
      <c r="BNB75" s="244" t="s">
        <v>32</v>
      </c>
      <c r="BNC75" s="244" t="s">
        <v>32</v>
      </c>
      <c r="BND75" s="244" t="s">
        <v>32</v>
      </c>
      <c r="BNE75" s="244" t="s">
        <v>32</v>
      </c>
      <c r="BNF75" s="244" t="s">
        <v>32</v>
      </c>
      <c r="BNG75" s="244" t="s">
        <v>32</v>
      </c>
      <c r="BNH75" s="244" t="s">
        <v>32</v>
      </c>
      <c r="BNI75" s="244" t="s">
        <v>32</v>
      </c>
      <c r="BNJ75" s="244" t="s">
        <v>32</v>
      </c>
      <c r="BNK75" s="244" t="s">
        <v>32</v>
      </c>
      <c r="BNL75" s="244" t="s">
        <v>32</v>
      </c>
      <c r="BNM75" s="244" t="s">
        <v>32</v>
      </c>
      <c r="BNN75" s="244" t="s">
        <v>32</v>
      </c>
      <c r="BNO75" s="244" t="s">
        <v>32</v>
      </c>
      <c r="BNP75" s="244" t="s">
        <v>32</v>
      </c>
      <c r="BNQ75" s="244" t="s">
        <v>32</v>
      </c>
      <c r="BNR75" s="244" t="s">
        <v>32</v>
      </c>
      <c r="BNS75" s="244" t="s">
        <v>32</v>
      </c>
      <c r="BNT75" s="244" t="s">
        <v>32</v>
      </c>
      <c r="BNU75" s="244" t="s">
        <v>32</v>
      </c>
      <c r="BNV75" s="244" t="s">
        <v>32</v>
      </c>
      <c r="BNW75" s="244" t="s">
        <v>32</v>
      </c>
      <c r="BNX75" s="244" t="s">
        <v>32</v>
      </c>
      <c r="BNY75" s="244" t="s">
        <v>32</v>
      </c>
      <c r="BNZ75" s="244" t="s">
        <v>32</v>
      </c>
      <c r="BOA75" s="244" t="s">
        <v>32</v>
      </c>
      <c r="BOB75" s="244" t="s">
        <v>32</v>
      </c>
      <c r="BOC75" s="244" t="s">
        <v>32</v>
      </c>
      <c r="BOD75" s="244" t="s">
        <v>32</v>
      </c>
      <c r="BOE75" s="244" t="s">
        <v>32</v>
      </c>
      <c r="BOF75" s="244" t="s">
        <v>32</v>
      </c>
      <c r="BOG75" s="244" t="s">
        <v>32</v>
      </c>
      <c r="BOH75" s="244" t="s">
        <v>32</v>
      </c>
      <c r="BOI75" s="244" t="s">
        <v>32</v>
      </c>
      <c r="BOJ75" s="244" t="s">
        <v>32</v>
      </c>
      <c r="BOK75" s="244" t="s">
        <v>32</v>
      </c>
      <c r="BOL75" s="244" t="s">
        <v>32</v>
      </c>
      <c r="BOM75" s="244" t="s">
        <v>32</v>
      </c>
      <c r="BON75" s="244" t="s">
        <v>32</v>
      </c>
      <c r="BOO75" s="244" t="s">
        <v>32</v>
      </c>
      <c r="BOP75" s="244" t="s">
        <v>32</v>
      </c>
      <c r="BOQ75" s="244" t="s">
        <v>32</v>
      </c>
      <c r="BOR75" s="244" t="s">
        <v>32</v>
      </c>
      <c r="BOS75" s="244" t="s">
        <v>32</v>
      </c>
      <c r="BOT75" s="244" t="s">
        <v>32</v>
      </c>
      <c r="BOU75" s="244" t="s">
        <v>32</v>
      </c>
      <c r="BOV75" s="244" t="s">
        <v>32</v>
      </c>
      <c r="BOW75" s="244" t="s">
        <v>32</v>
      </c>
      <c r="BOX75" s="244" t="s">
        <v>32</v>
      </c>
      <c r="BOY75" s="244" t="s">
        <v>32</v>
      </c>
      <c r="BOZ75" s="244" t="s">
        <v>32</v>
      </c>
      <c r="BPA75" s="244" t="s">
        <v>32</v>
      </c>
      <c r="BPB75" s="244" t="s">
        <v>32</v>
      </c>
      <c r="BPC75" s="244" t="s">
        <v>32</v>
      </c>
      <c r="BPD75" s="244" t="s">
        <v>32</v>
      </c>
      <c r="BPE75" s="244" t="s">
        <v>32</v>
      </c>
      <c r="BPF75" s="244" t="s">
        <v>32</v>
      </c>
      <c r="BPG75" s="244" t="s">
        <v>32</v>
      </c>
      <c r="BPH75" s="244" t="s">
        <v>32</v>
      </c>
      <c r="BPI75" s="244" t="s">
        <v>32</v>
      </c>
      <c r="BPJ75" s="244" t="s">
        <v>32</v>
      </c>
      <c r="BPK75" s="244" t="s">
        <v>32</v>
      </c>
      <c r="BPL75" s="244" t="s">
        <v>32</v>
      </c>
      <c r="BPM75" s="244" t="s">
        <v>32</v>
      </c>
      <c r="BPN75" s="244" t="s">
        <v>32</v>
      </c>
      <c r="BPO75" s="244" t="s">
        <v>32</v>
      </c>
      <c r="BPP75" s="244" t="s">
        <v>32</v>
      </c>
      <c r="BPQ75" s="244" t="s">
        <v>32</v>
      </c>
      <c r="BPR75" s="244" t="s">
        <v>32</v>
      </c>
      <c r="BPS75" s="244" t="s">
        <v>32</v>
      </c>
      <c r="BPT75" s="244" t="s">
        <v>32</v>
      </c>
      <c r="BPU75" s="244" t="s">
        <v>32</v>
      </c>
      <c r="BPV75" s="244" t="s">
        <v>32</v>
      </c>
      <c r="BPW75" s="244" t="s">
        <v>32</v>
      </c>
      <c r="BPX75" s="244" t="s">
        <v>32</v>
      </c>
      <c r="BPY75" s="244" t="s">
        <v>32</v>
      </c>
      <c r="BPZ75" s="244" t="s">
        <v>32</v>
      </c>
      <c r="BQA75" s="244" t="s">
        <v>32</v>
      </c>
      <c r="BQB75" s="244" t="s">
        <v>32</v>
      </c>
      <c r="BQC75" s="244" t="s">
        <v>32</v>
      </c>
      <c r="BQD75" s="244" t="s">
        <v>32</v>
      </c>
      <c r="BQE75" s="244" t="s">
        <v>32</v>
      </c>
      <c r="BQF75" s="244" t="s">
        <v>32</v>
      </c>
      <c r="BQG75" s="244" t="s">
        <v>32</v>
      </c>
      <c r="BQH75" s="244" t="s">
        <v>32</v>
      </c>
      <c r="BQI75" s="244" t="s">
        <v>32</v>
      </c>
      <c r="BQJ75" s="244" t="s">
        <v>32</v>
      </c>
      <c r="BQK75" s="244" t="s">
        <v>32</v>
      </c>
      <c r="BQL75" s="244" t="s">
        <v>32</v>
      </c>
      <c r="BQM75" s="244" t="s">
        <v>32</v>
      </c>
      <c r="BQN75" s="244" t="s">
        <v>32</v>
      </c>
      <c r="BQO75" s="244" t="s">
        <v>32</v>
      </c>
      <c r="BQP75" s="244" t="s">
        <v>32</v>
      </c>
      <c r="BQQ75" s="244" t="s">
        <v>32</v>
      </c>
      <c r="BQR75" s="244" t="s">
        <v>32</v>
      </c>
      <c r="BQS75" s="244" t="s">
        <v>32</v>
      </c>
      <c r="BQT75" s="244" t="s">
        <v>32</v>
      </c>
      <c r="BQU75" s="244" t="s">
        <v>32</v>
      </c>
      <c r="BQV75" s="244" t="s">
        <v>32</v>
      </c>
      <c r="BQW75" s="244" t="s">
        <v>32</v>
      </c>
      <c r="BQX75" s="244" t="s">
        <v>32</v>
      </c>
      <c r="BQY75" s="244" t="s">
        <v>32</v>
      </c>
      <c r="BQZ75" s="244" t="s">
        <v>32</v>
      </c>
      <c r="BRA75" s="244" t="s">
        <v>32</v>
      </c>
      <c r="BRB75" s="244" t="s">
        <v>32</v>
      </c>
      <c r="BRC75" s="244" t="s">
        <v>32</v>
      </c>
      <c r="BRD75" s="244" t="s">
        <v>32</v>
      </c>
      <c r="BRE75" s="244" t="s">
        <v>32</v>
      </c>
      <c r="BRF75" s="244" t="s">
        <v>32</v>
      </c>
      <c r="BRG75" s="244" t="s">
        <v>32</v>
      </c>
      <c r="BRH75" s="244" t="s">
        <v>32</v>
      </c>
      <c r="BRI75" s="244" t="s">
        <v>32</v>
      </c>
      <c r="BRJ75" s="244" t="s">
        <v>32</v>
      </c>
      <c r="BRK75" s="244" t="s">
        <v>32</v>
      </c>
      <c r="BRL75" s="244" t="s">
        <v>32</v>
      </c>
      <c r="BRM75" s="244" t="s">
        <v>32</v>
      </c>
      <c r="BRN75" s="244" t="s">
        <v>32</v>
      </c>
      <c r="BRO75" s="244" t="s">
        <v>32</v>
      </c>
      <c r="BRP75" s="244" t="s">
        <v>32</v>
      </c>
      <c r="BRQ75" s="244" t="s">
        <v>32</v>
      </c>
      <c r="BRR75" s="244" t="s">
        <v>32</v>
      </c>
      <c r="BRS75" s="244" t="s">
        <v>32</v>
      </c>
      <c r="BRT75" s="244" t="s">
        <v>32</v>
      </c>
      <c r="BRU75" s="244" t="s">
        <v>32</v>
      </c>
      <c r="BRV75" s="244" t="s">
        <v>32</v>
      </c>
      <c r="BRW75" s="244" t="s">
        <v>32</v>
      </c>
      <c r="BRX75" s="244" t="s">
        <v>32</v>
      </c>
      <c r="BRY75" s="244" t="s">
        <v>32</v>
      </c>
      <c r="BRZ75" s="244" t="s">
        <v>32</v>
      </c>
      <c r="BSA75" s="244" t="s">
        <v>32</v>
      </c>
      <c r="BSB75" s="244" t="s">
        <v>32</v>
      </c>
      <c r="BSC75" s="244" t="s">
        <v>32</v>
      </c>
      <c r="BSD75" s="244" t="s">
        <v>32</v>
      </c>
      <c r="BSE75" s="244" t="s">
        <v>32</v>
      </c>
      <c r="BSF75" s="244" t="s">
        <v>32</v>
      </c>
      <c r="BSG75" s="244" t="s">
        <v>32</v>
      </c>
      <c r="BSH75" s="244" t="s">
        <v>32</v>
      </c>
      <c r="BSI75" s="244" t="s">
        <v>32</v>
      </c>
      <c r="BSJ75" s="244" t="s">
        <v>32</v>
      </c>
      <c r="BSK75" s="244" t="s">
        <v>32</v>
      </c>
      <c r="BSL75" s="244" t="s">
        <v>32</v>
      </c>
      <c r="BSM75" s="244" t="s">
        <v>32</v>
      </c>
      <c r="BSN75" s="244" t="s">
        <v>32</v>
      </c>
      <c r="BSO75" s="244" t="s">
        <v>32</v>
      </c>
      <c r="BSP75" s="244" t="s">
        <v>32</v>
      </c>
      <c r="BSQ75" s="244" t="s">
        <v>32</v>
      </c>
      <c r="BSR75" s="244" t="s">
        <v>32</v>
      </c>
      <c r="BSS75" s="244" t="s">
        <v>32</v>
      </c>
      <c r="BST75" s="244" t="s">
        <v>32</v>
      </c>
      <c r="BSU75" s="244" t="s">
        <v>32</v>
      </c>
      <c r="BSV75" s="244" t="s">
        <v>32</v>
      </c>
      <c r="BSW75" s="244" t="s">
        <v>32</v>
      </c>
      <c r="BSX75" s="244" t="s">
        <v>32</v>
      </c>
      <c r="BSY75" s="244" t="s">
        <v>32</v>
      </c>
      <c r="BSZ75" s="244" t="s">
        <v>32</v>
      </c>
      <c r="BTA75" s="244" t="s">
        <v>32</v>
      </c>
      <c r="BTB75" s="244" t="s">
        <v>32</v>
      </c>
      <c r="BTC75" s="244" t="s">
        <v>32</v>
      </c>
      <c r="BTD75" s="244" t="s">
        <v>32</v>
      </c>
      <c r="BTE75" s="244" t="s">
        <v>32</v>
      </c>
      <c r="BTF75" s="244" t="s">
        <v>32</v>
      </c>
      <c r="BTG75" s="244" t="s">
        <v>32</v>
      </c>
      <c r="BTH75" s="244" t="s">
        <v>32</v>
      </c>
      <c r="BTI75" s="244" t="s">
        <v>32</v>
      </c>
      <c r="BTJ75" s="244" t="s">
        <v>32</v>
      </c>
      <c r="BTK75" s="244" t="s">
        <v>32</v>
      </c>
      <c r="BTL75" s="244" t="s">
        <v>32</v>
      </c>
      <c r="BTM75" s="244" t="s">
        <v>32</v>
      </c>
      <c r="BTN75" s="244" t="s">
        <v>32</v>
      </c>
      <c r="BTO75" s="244" t="s">
        <v>32</v>
      </c>
      <c r="BTP75" s="244" t="s">
        <v>32</v>
      </c>
      <c r="BTQ75" s="244" t="s">
        <v>32</v>
      </c>
      <c r="BTR75" s="244" t="s">
        <v>32</v>
      </c>
      <c r="BTS75" s="244" t="s">
        <v>32</v>
      </c>
      <c r="BTT75" s="244" t="s">
        <v>32</v>
      </c>
      <c r="BTU75" s="244" t="s">
        <v>32</v>
      </c>
      <c r="BTV75" s="244" t="s">
        <v>32</v>
      </c>
      <c r="BTW75" s="244" t="s">
        <v>32</v>
      </c>
      <c r="BTX75" s="244" t="s">
        <v>32</v>
      </c>
      <c r="BTY75" s="244" t="s">
        <v>32</v>
      </c>
      <c r="BTZ75" s="244" t="s">
        <v>32</v>
      </c>
      <c r="BUA75" s="244" t="s">
        <v>32</v>
      </c>
      <c r="BUB75" s="244" t="s">
        <v>32</v>
      </c>
      <c r="BUC75" s="244" t="s">
        <v>32</v>
      </c>
      <c r="BUD75" s="244" t="s">
        <v>32</v>
      </c>
      <c r="BUE75" s="244" t="s">
        <v>32</v>
      </c>
      <c r="BUF75" s="244" t="s">
        <v>32</v>
      </c>
      <c r="BUG75" s="244" t="s">
        <v>32</v>
      </c>
      <c r="BUH75" s="244" t="s">
        <v>32</v>
      </c>
      <c r="BUI75" s="244" t="s">
        <v>32</v>
      </c>
      <c r="BUJ75" s="244" t="s">
        <v>32</v>
      </c>
      <c r="BUK75" s="244" t="s">
        <v>32</v>
      </c>
      <c r="BUL75" s="244" t="s">
        <v>32</v>
      </c>
      <c r="BUM75" s="244" t="s">
        <v>32</v>
      </c>
      <c r="BUN75" s="244" t="s">
        <v>32</v>
      </c>
      <c r="BUO75" s="244" t="s">
        <v>32</v>
      </c>
      <c r="BUP75" s="244" t="s">
        <v>32</v>
      </c>
      <c r="BUQ75" s="244" t="s">
        <v>32</v>
      </c>
      <c r="BUR75" s="244" t="s">
        <v>32</v>
      </c>
      <c r="BUS75" s="244" t="s">
        <v>32</v>
      </c>
      <c r="BUT75" s="244" t="s">
        <v>32</v>
      </c>
      <c r="BUU75" s="244" t="s">
        <v>32</v>
      </c>
      <c r="BUV75" s="244" t="s">
        <v>32</v>
      </c>
      <c r="BUW75" s="244" t="s">
        <v>32</v>
      </c>
      <c r="BUX75" s="244" t="s">
        <v>32</v>
      </c>
      <c r="BUY75" s="244" t="s">
        <v>32</v>
      </c>
      <c r="BUZ75" s="244" t="s">
        <v>32</v>
      </c>
      <c r="BVA75" s="244" t="s">
        <v>32</v>
      </c>
      <c r="BVB75" s="244" t="s">
        <v>32</v>
      </c>
      <c r="BVC75" s="244" t="s">
        <v>32</v>
      </c>
      <c r="BVD75" s="244" t="s">
        <v>32</v>
      </c>
      <c r="BVE75" s="244" t="s">
        <v>32</v>
      </c>
      <c r="BVF75" s="244" t="s">
        <v>32</v>
      </c>
      <c r="BVG75" s="244" t="s">
        <v>32</v>
      </c>
      <c r="BVH75" s="244" t="s">
        <v>32</v>
      </c>
      <c r="BVI75" s="244" t="s">
        <v>32</v>
      </c>
      <c r="BVJ75" s="244" t="s">
        <v>32</v>
      </c>
      <c r="BVK75" s="244" t="s">
        <v>32</v>
      </c>
      <c r="BVL75" s="244" t="s">
        <v>32</v>
      </c>
      <c r="BVM75" s="244" t="s">
        <v>32</v>
      </c>
      <c r="BVN75" s="244" t="s">
        <v>32</v>
      </c>
      <c r="BVO75" s="244" t="s">
        <v>32</v>
      </c>
      <c r="BVP75" s="244" t="s">
        <v>32</v>
      </c>
      <c r="BVQ75" s="244" t="s">
        <v>32</v>
      </c>
      <c r="BVR75" s="244" t="s">
        <v>32</v>
      </c>
      <c r="BVS75" s="244" t="s">
        <v>32</v>
      </c>
      <c r="BVT75" s="244" t="s">
        <v>32</v>
      </c>
      <c r="BVU75" s="244" t="s">
        <v>32</v>
      </c>
      <c r="BVV75" s="244" t="s">
        <v>32</v>
      </c>
      <c r="BVW75" s="244" t="s">
        <v>32</v>
      </c>
      <c r="BVX75" s="244" t="s">
        <v>32</v>
      </c>
      <c r="BVY75" s="244" t="s">
        <v>32</v>
      </c>
      <c r="BVZ75" s="244" t="s">
        <v>32</v>
      </c>
      <c r="BWA75" s="244" t="s">
        <v>32</v>
      </c>
      <c r="BWB75" s="244" t="s">
        <v>32</v>
      </c>
      <c r="BWC75" s="244" t="s">
        <v>32</v>
      </c>
      <c r="BWD75" s="244" t="s">
        <v>32</v>
      </c>
      <c r="BWE75" s="244" t="s">
        <v>32</v>
      </c>
      <c r="BWF75" s="244" t="s">
        <v>32</v>
      </c>
      <c r="BWG75" s="244" t="s">
        <v>32</v>
      </c>
      <c r="BWH75" s="244" t="s">
        <v>32</v>
      </c>
      <c r="BWI75" s="244" t="s">
        <v>32</v>
      </c>
      <c r="BWJ75" s="244" t="s">
        <v>32</v>
      </c>
      <c r="BWK75" s="244" t="s">
        <v>32</v>
      </c>
      <c r="BWL75" s="244" t="s">
        <v>32</v>
      </c>
      <c r="BWM75" s="244" t="s">
        <v>32</v>
      </c>
      <c r="BWN75" s="244" t="s">
        <v>32</v>
      </c>
      <c r="BWO75" s="244" t="s">
        <v>32</v>
      </c>
      <c r="BWP75" s="244" t="s">
        <v>32</v>
      </c>
      <c r="BWQ75" s="244" t="s">
        <v>32</v>
      </c>
      <c r="BWR75" s="244" t="s">
        <v>32</v>
      </c>
      <c r="BWS75" s="244" t="s">
        <v>32</v>
      </c>
      <c r="BWT75" s="244" t="s">
        <v>32</v>
      </c>
      <c r="BWU75" s="244" t="s">
        <v>32</v>
      </c>
      <c r="BWV75" s="244" t="s">
        <v>32</v>
      </c>
      <c r="BWW75" s="244" t="s">
        <v>32</v>
      </c>
      <c r="BWX75" s="244" t="s">
        <v>32</v>
      </c>
      <c r="BWY75" s="244" t="s">
        <v>32</v>
      </c>
      <c r="BWZ75" s="244" t="s">
        <v>32</v>
      </c>
      <c r="BXA75" s="244" t="s">
        <v>32</v>
      </c>
      <c r="BXB75" s="244" t="s">
        <v>32</v>
      </c>
      <c r="BXC75" s="244" t="s">
        <v>32</v>
      </c>
      <c r="BXD75" s="244" t="s">
        <v>32</v>
      </c>
      <c r="BXE75" s="244" t="s">
        <v>32</v>
      </c>
      <c r="BXF75" s="244" t="s">
        <v>32</v>
      </c>
      <c r="BXG75" s="244" t="s">
        <v>32</v>
      </c>
      <c r="BXH75" s="244" t="s">
        <v>32</v>
      </c>
      <c r="BXI75" s="244" t="s">
        <v>32</v>
      </c>
      <c r="BXJ75" s="244" t="s">
        <v>32</v>
      </c>
      <c r="BXK75" s="244" t="s">
        <v>32</v>
      </c>
      <c r="BXL75" s="244" t="s">
        <v>32</v>
      </c>
      <c r="BXM75" s="244" t="s">
        <v>32</v>
      </c>
      <c r="BXN75" s="244" t="s">
        <v>32</v>
      </c>
      <c r="BXO75" s="244" t="s">
        <v>32</v>
      </c>
      <c r="BXP75" s="244" t="s">
        <v>32</v>
      </c>
      <c r="BXQ75" s="244" t="s">
        <v>32</v>
      </c>
      <c r="BXR75" s="244" t="s">
        <v>32</v>
      </c>
      <c r="BXS75" s="244" t="s">
        <v>32</v>
      </c>
      <c r="BXT75" s="244" t="s">
        <v>32</v>
      </c>
      <c r="BXU75" s="244" t="s">
        <v>32</v>
      </c>
      <c r="BXV75" s="244" t="s">
        <v>32</v>
      </c>
      <c r="BXW75" s="244" t="s">
        <v>32</v>
      </c>
      <c r="BXX75" s="244" t="s">
        <v>32</v>
      </c>
      <c r="BXY75" s="244" t="s">
        <v>32</v>
      </c>
      <c r="BXZ75" s="244" t="s">
        <v>32</v>
      </c>
      <c r="BYA75" s="244" t="s">
        <v>32</v>
      </c>
      <c r="BYB75" s="244" t="s">
        <v>32</v>
      </c>
      <c r="BYC75" s="244" t="s">
        <v>32</v>
      </c>
      <c r="BYD75" s="244" t="s">
        <v>32</v>
      </c>
      <c r="BYE75" s="244" t="s">
        <v>32</v>
      </c>
      <c r="BYF75" s="244" t="s">
        <v>32</v>
      </c>
      <c r="BYG75" s="244" t="s">
        <v>32</v>
      </c>
      <c r="BYH75" s="244" t="s">
        <v>32</v>
      </c>
      <c r="BYI75" s="244" t="s">
        <v>32</v>
      </c>
      <c r="BYJ75" s="244" t="s">
        <v>32</v>
      </c>
      <c r="BYK75" s="244" t="s">
        <v>32</v>
      </c>
      <c r="BYL75" s="244" t="s">
        <v>32</v>
      </c>
      <c r="BYM75" s="244" t="s">
        <v>32</v>
      </c>
      <c r="BYN75" s="244" t="s">
        <v>32</v>
      </c>
      <c r="BYO75" s="244" t="s">
        <v>32</v>
      </c>
      <c r="BYP75" s="244" t="s">
        <v>32</v>
      </c>
      <c r="BYQ75" s="244" t="s">
        <v>32</v>
      </c>
      <c r="BYR75" s="244" t="s">
        <v>32</v>
      </c>
      <c r="BYS75" s="244" t="s">
        <v>32</v>
      </c>
      <c r="BYT75" s="244" t="s">
        <v>32</v>
      </c>
      <c r="BYU75" s="244" t="s">
        <v>32</v>
      </c>
      <c r="BYV75" s="244" t="s">
        <v>32</v>
      </c>
      <c r="BYW75" s="244" t="s">
        <v>32</v>
      </c>
      <c r="BYX75" s="244" t="s">
        <v>32</v>
      </c>
      <c r="BYY75" s="244" t="s">
        <v>32</v>
      </c>
      <c r="BYZ75" s="244" t="s">
        <v>32</v>
      </c>
      <c r="BZA75" s="244" t="s">
        <v>32</v>
      </c>
      <c r="BZB75" s="244" t="s">
        <v>32</v>
      </c>
      <c r="BZC75" s="244" t="s">
        <v>32</v>
      </c>
      <c r="BZD75" s="244" t="s">
        <v>32</v>
      </c>
      <c r="BZE75" s="244" t="s">
        <v>32</v>
      </c>
      <c r="BZF75" s="244" t="s">
        <v>32</v>
      </c>
      <c r="BZG75" s="244" t="s">
        <v>32</v>
      </c>
      <c r="BZH75" s="244" t="s">
        <v>32</v>
      </c>
      <c r="BZI75" s="244" t="s">
        <v>32</v>
      </c>
      <c r="BZJ75" s="244" t="s">
        <v>32</v>
      </c>
      <c r="BZK75" s="244" t="s">
        <v>32</v>
      </c>
      <c r="BZL75" s="244" t="s">
        <v>32</v>
      </c>
      <c r="BZM75" s="244" t="s">
        <v>32</v>
      </c>
      <c r="BZN75" s="244" t="s">
        <v>32</v>
      </c>
      <c r="BZO75" s="244" t="s">
        <v>32</v>
      </c>
      <c r="BZP75" s="244" t="s">
        <v>32</v>
      </c>
      <c r="BZQ75" s="244" t="s">
        <v>32</v>
      </c>
      <c r="BZR75" s="244" t="s">
        <v>32</v>
      </c>
      <c r="BZS75" s="244" t="s">
        <v>32</v>
      </c>
      <c r="BZT75" s="244" t="s">
        <v>32</v>
      </c>
      <c r="BZU75" s="244" t="s">
        <v>32</v>
      </c>
      <c r="BZV75" s="244" t="s">
        <v>32</v>
      </c>
      <c r="BZW75" s="244" t="s">
        <v>32</v>
      </c>
      <c r="BZX75" s="244" t="s">
        <v>32</v>
      </c>
      <c r="BZY75" s="244" t="s">
        <v>32</v>
      </c>
      <c r="BZZ75" s="244" t="s">
        <v>32</v>
      </c>
      <c r="CAA75" s="244" t="s">
        <v>32</v>
      </c>
      <c r="CAB75" s="244" t="s">
        <v>32</v>
      </c>
      <c r="CAC75" s="244" t="s">
        <v>32</v>
      </c>
      <c r="CAD75" s="244" t="s">
        <v>32</v>
      </c>
      <c r="CAE75" s="244" t="s">
        <v>32</v>
      </c>
      <c r="CAF75" s="244" t="s">
        <v>32</v>
      </c>
      <c r="CAG75" s="244" t="s">
        <v>32</v>
      </c>
      <c r="CAH75" s="244" t="s">
        <v>32</v>
      </c>
      <c r="CAI75" s="244" t="s">
        <v>32</v>
      </c>
      <c r="CAJ75" s="244" t="s">
        <v>32</v>
      </c>
      <c r="CAK75" s="244" t="s">
        <v>32</v>
      </c>
      <c r="CAL75" s="244" t="s">
        <v>32</v>
      </c>
      <c r="CAM75" s="244" t="s">
        <v>32</v>
      </c>
      <c r="CAN75" s="244" t="s">
        <v>32</v>
      </c>
      <c r="CAO75" s="244" t="s">
        <v>32</v>
      </c>
      <c r="CAP75" s="244" t="s">
        <v>32</v>
      </c>
      <c r="CAQ75" s="244" t="s">
        <v>32</v>
      </c>
      <c r="CAR75" s="244" t="s">
        <v>32</v>
      </c>
      <c r="CAS75" s="244" t="s">
        <v>32</v>
      </c>
      <c r="CAT75" s="244" t="s">
        <v>32</v>
      </c>
      <c r="CAU75" s="244" t="s">
        <v>32</v>
      </c>
      <c r="CAV75" s="244" t="s">
        <v>32</v>
      </c>
      <c r="CAW75" s="244" t="s">
        <v>32</v>
      </c>
      <c r="CAX75" s="244" t="s">
        <v>32</v>
      </c>
      <c r="CAY75" s="244" t="s">
        <v>32</v>
      </c>
      <c r="CAZ75" s="244" t="s">
        <v>32</v>
      </c>
      <c r="CBA75" s="244" t="s">
        <v>32</v>
      </c>
      <c r="CBB75" s="244" t="s">
        <v>32</v>
      </c>
      <c r="CBC75" s="244" t="s">
        <v>32</v>
      </c>
      <c r="CBD75" s="244" t="s">
        <v>32</v>
      </c>
      <c r="CBE75" s="244" t="s">
        <v>32</v>
      </c>
      <c r="CBF75" s="244" t="s">
        <v>32</v>
      </c>
      <c r="CBG75" s="244" t="s">
        <v>32</v>
      </c>
      <c r="CBH75" s="244" t="s">
        <v>32</v>
      </c>
      <c r="CBI75" s="244" t="s">
        <v>32</v>
      </c>
      <c r="CBJ75" s="244" t="s">
        <v>32</v>
      </c>
      <c r="CBK75" s="244" t="s">
        <v>32</v>
      </c>
      <c r="CBL75" s="244" t="s">
        <v>32</v>
      </c>
      <c r="CBM75" s="244" t="s">
        <v>32</v>
      </c>
      <c r="CBN75" s="244" t="s">
        <v>32</v>
      </c>
      <c r="CBO75" s="244" t="s">
        <v>32</v>
      </c>
      <c r="CBP75" s="244" t="s">
        <v>32</v>
      </c>
      <c r="CBQ75" s="244" t="s">
        <v>32</v>
      </c>
      <c r="CBR75" s="244" t="s">
        <v>32</v>
      </c>
      <c r="CBS75" s="244" t="s">
        <v>32</v>
      </c>
      <c r="CBT75" s="244" t="s">
        <v>32</v>
      </c>
      <c r="CBU75" s="244" t="s">
        <v>32</v>
      </c>
      <c r="CBV75" s="244" t="s">
        <v>32</v>
      </c>
      <c r="CBW75" s="244" t="s">
        <v>32</v>
      </c>
      <c r="CBX75" s="244" t="s">
        <v>32</v>
      </c>
      <c r="CBY75" s="244" t="s">
        <v>32</v>
      </c>
      <c r="CBZ75" s="244" t="s">
        <v>32</v>
      </c>
      <c r="CCA75" s="244" t="s">
        <v>32</v>
      </c>
      <c r="CCB75" s="244" t="s">
        <v>32</v>
      </c>
      <c r="CCC75" s="244" t="s">
        <v>32</v>
      </c>
      <c r="CCD75" s="244" t="s">
        <v>32</v>
      </c>
      <c r="CCE75" s="244" t="s">
        <v>32</v>
      </c>
      <c r="CCF75" s="244" t="s">
        <v>32</v>
      </c>
      <c r="CCG75" s="244" t="s">
        <v>32</v>
      </c>
      <c r="CCH75" s="244" t="s">
        <v>32</v>
      </c>
      <c r="CCI75" s="244" t="s">
        <v>32</v>
      </c>
      <c r="CCJ75" s="244" t="s">
        <v>32</v>
      </c>
      <c r="CCK75" s="244" t="s">
        <v>32</v>
      </c>
      <c r="CCL75" s="244" t="s">
        <v>32</v>
      </c>
      <c r="CCM75" s="244" t="s">
        <v>32</v>
      </c>
      <c r="CCN75" s="244" t="s">
        <v>32</v>
      </c>
      <c r="CCO75" s="244" t="s">
        <v>32</v>
      </c>
      <c r="CCP75" s="244" t="s">
        <v>32</v>
      </c>
      <c r="CCQ75" s="244" t="s">
        <v>32</v>
      </c>
      <c r="CCR75" s="244" t="s">
        <v>32</v>
      </c>
      <c r="CCS75" s="244" t="s">
        <v>32</v>
      </c>
      <c r="CCT75" s="244" t="s">
        <v>32</v>
      </c>
      <c r="CCU75" s="244" t="s">
        <v>32</v>
      </c>
      <c r="CCV75" s="244" t="s">
        <v>32</v>
      </c>
      <c r="CCW75" s="244" t="s">
        <v>32</v>
      </c>
      <c r="CCX75" s="244" t="s">
        <v>32</v>
      </c>
      <c r="CCY75" s="244" t="s">
        <v>32</v>
      </c>
      <c r="CCZ75" s="244" t="s">
        <v>32</v>
      </c>
      <c r="CDA75" s="244" t="s">
        <v>32</v>
      </c>
      <c r="CDB75" s="244" t="s">
        <v>32</v>
      </c>
      <c r="CDC75" s="244" t="s">
        <v>32</v>
      </c>
      <c r="CDD75" s="244" t="s">
        <v>32</v>
      </c>
      <c r="CDE75" s="244" t="s">
        <v>32</v>
      </c>
      <c r="CDF75" s="244" t="s">
        <v>32</v>
      </c>
      <c r="CDG75" s="244" t="s">
        <v>32</v>
      </c>
      <c r="CDH75" s="244" t="s">
        <v>32</v>
      </c>
      <c r="CDI75" s="244" t="s">
        <v>32</v>
      </c>
      <c r="CDJ75" s="244" t="s">
        <v>32</v>
      </c>
      <c r="CDK75" s="244" t="s">
        <v>32</v>
      </c>
      <c r="CDL75" s="244" t="s">
        <v>32</v>
      </c>
      <c r="CDM75" s="244" t="s">
        <v>32</v>
      </c>
      <c r="CDN75" s="244" t="s">
        <v>32</v>
      </c>
      <c r="CDO75" s="244" t="s">
        <v>32</v>
      </c>
      <c r="CDP75" s="244" t="s">
        <v>32</v>
      </c>
      <c r="CDQ75" s="244" t="s">
        <v>32</v>
      </c>
      <c r="CDR75" s="244" t="s">
        <v>32</v>
      </c>
      <c r="CDS75" s="244" t="s">
        <v>32</v>
      </c>
      <c r="CDT75" s="244" t="s">
        <v>32</v>
      </c>
      <c r="CDU75" s="244" t="s">
        <v>32</v>
      </c>
      <c r="CDV75" s="244" t="s">
        <v>32</v>
      </c>
      <c r="CDW75" s="244" t="s">
        <v>32</v>
      </c>
      <c r="CDX75" s="244" t="s">
        <v>32</v>
      </c>
      <c r="CDY75" s="244" t="s">
        <v>32</v>
      </c>
      <c r="CDZ75" s="244" t="s">
        <v>32</v>
      </c>
      <c r="CEA75" s="244" t="s">
        <v>32</v>
      </c>
      <c r="CEB75" s="244" t="s">
        <v>32</v>
      </c>
      <c r="CEC75" s="244" t="s">
        <v>32</v>
      </c>
      <c r="CED75" s="244" t="s">
        <v>32</v>
      </c>
      <c r="CEE75" s="244" t="s">
        <v>32</v>
      </c>
      <c r="CEF75" s="244" t="s">
        <v>32</v>
      </c>
      <c r="CEG75" s="244" t="s">
        <v>32</v>
      </c>
      <c r="CEH75" s="244" t="s">
        <v>32</v>
      </c>
      <c r="CEI75" s="244" t="s">
        <v>32</v>
      </c>
      <c r="CEJ75" s="244" t="s">
        <v>32</v>
      </c>
      <c r="CEK75" s="244" t="s">
        <v>32</v>
      </c>
      <c r="CEL75" s="244" t="s">
        <v>32</v>
      </c>
      <c r="CEM75" s="244" t="s">
        <v>32</v>
      </c>
      <c r="CEN75" s="244" t="s">
        <v>32</v>
      </c>
      <c r="CEO75" s="244" t="s">
        <v>32</v>
      </c>
      <c r="CEP75" s="244" t="s">
        <v>32</v>
      </c>
      <c r="CEQ75" s="244" t="s">
        <v>32</v>
      </c>
      <c r="CER75" s="244" t="s">
        <v>32</v>
      </c>
      <c r="CES75" s="244" t="s">
        <v>32</v>
      </c>
      <c r="CET75" s="244" t="s">
        <v>32</v>
      </c>
      <c r="CEU75" s="244" t="s">
        <v>32</v>
      </c>
      <c r="CEV75" s="244" t="s">
        <v>32</v>
      </c>
      <c r="CEW75" s="244" t="s">
        <v>32</v>
      </c>
      <c r="CEX75" s="244" t="s">
        <v>32</v>
      </c>
      <c r="CEY75" s="244" t="s">
        <v>32</v>
      </c>
      <c r="CEZ75" s="244" t="s">
        <v>32</v>
      </c>
      <c r="CFA75" s="244" t="s">
        <v>32</v>
      </c>
      <c r="CFB75" s="244" t="s">
        <v>32</v>
      </c>
      <c r="CFC75" s="244" t="s">
        <v>32</v>
      </c>
      <c r="CFD75" s="244" t="s">
        <v>32</v>
      </c>
      <c r="CFE75" s="244" t="s">
        <v>32</v>
      </c>
      <c r="CFF75" s="244" t="s">
        <v>32</v>
      </c>
      <c r="CFG75" s="244" t="s">
        <v>32</v>
      </c>
      <c r="CFH75" s="244" t="s">
        <v>32</v>
      </c>
      <c r="CFI75" s="244" t="s">
        <v>32</v>
      </c>
      <c r="CFJ75" s="244" t="s">
        <v>32</v>
      </c>
      <c r="CFK75" s="244" t="s">
        <v>32</v>
      </c>
      <c r="CFL75" s="244" t="s">
        <v>32</v>
      </c>
      <c r="CFM75" s="244" t="s">
        <v>32</v>
      </c>
      <c r="CFN75" s="244" t="s">
        <v>32</v>
      </c>
      <c r="CFO75" s="244" t="s">
        <v>32</v>
      </c>
      <c r="CFP75" s="244" t="s">
        <v>32</v>
      </c>
      <c r="CFQ75" s="244" t="s">
        <v>32</v>
      </c>
      <c r="CFR75" s="244" t="s">
        <v>32</v>
      </c>
      <c r="CFS75" s="244" t="s">
        <v>32</v>
      </c>
      <c r="CFT75" s="244" t="s">
        <v>32</v>
      </c>
      <c r="CFU75" s="244" t="s">
        <v>32</v>
      </c>
      <c r="CFV75" s="244" t="s">
        <v>32</v>
      </c>
      <c r="CFW75" s="244" t="s">
        <v>32</v>
      </c>
      <c r="CFX75" s="244" t="s">
        <v>32</v>
      </c>
      <c r="CFY75" s="244" t="s">
        <v>32</v>
      </c>
      <c r="CFZ75" s="244" t="s">
        <v>32</v>
      </c>
      <c r="CGA75" s="244" t="s">
        <v>32</v>
      </c>
      <c r="CGB75" s="244" t="s">
        <v>32</v>
      </c>
      <c r="CGC75" s="244" t="s">
        <v>32</v>
      </c>
      <c r="CGD75" s="244" t="s">
        <v>32</v>
      </c>
      <c r="CGE75" s="244" t="s">
        <v>32</v>
      </c>
      <c r="CGF75" s="244" t="s">
        <v>32</v>
      </c>
      <c r="CGG75" s="244" t="s">
        <v>32</v>
      </c>
      <c r="CGH75" s="244" t="s">
        <v>32</v>
      </c>
      <c r="CGI75" s="244" t="s">
        <v>32</v>
      </c>
      <c r="CGJ75" s="244" t="s">
        <v>32</v>
      </c>
      <c r="CGK75" s="244" t="s">
        <v>32</v>
      </c>
      <c r="CGL75" s="244" t="s">
        <v>32</v>
      </c>
      <c r="CGM75" s="244" t="s">
        <v>32</v>
      </c>
      <c r="CGN75" s="244" t="s">
        <v>32</v>
      </c>
      <c r="CGO75" s="244" t="s">
        <v>32</v>
      </c>
      <c r="CGP75" s="244" t="s">
        <v>32</v>
      </c>
      <c r="CGQ75" s="244" t="s">
        <v>32</v>
      </c>
      <c r="CGR75" s="244" t="s">
        <v>32</v>
      </c>
      <c r="CGS75" s="244" t="s">
        <v>32</v>
      </c>
      <c r="CGT75" s="244" t="s">
        <v>32</v>
      </c>
      <c r="CGU75" s="244" t="s">
        <v>32</v>
      </c>
      <c r="CGV75" s="244" t="s">
        <v>32</v>
      </c>
      <c r="CGW75" s="244" t="s">
        <v>32</v>
      </c>
      <c r="CGX75" s="244" t="s">
        <v>32</v>
      </c>
      <c r="CGY75" s="244" t="s">
        <v>32</v>
      </c>
      <c r="CGZ75" s="244" t="s">
        <v>32</v>
      </c>
      <c r="CHA75" s="244" t="s">
        <v>32</v>
      </c>
      <c r="CHB75" s="244" t="s">
        <v>32</v>
      </c>
      <c r="CHC75" s="244" t="s">
        <v>32</v>
      </c>
      <c r="CHD75" s="244" t="s">
        <v>32</v>
      </c>
      <c r="CHE75" s="244" t="s">
        <v>32</v>
      </c>
      <c r="CHF75" s="244" t="s">
        <v>32</v>
      </c>
      <c r="CHG75" s="244" t="s">
        <v>32</v>
      </c>
      <c r="CHH75" s="244" t="s">
        <v>32</v>
      </c>
      <c r="CHI75" s="244" t="s">
        <v>32</v>
      </c>
      <c r="CHJ75" s="244" t="s">
        <v>32</v>
      </c>
      <c r="CHK75" s="244" t="s">
        <v>32</v>
      </c>
      <c r="CHL75" s="244" t="s">
        <v>32</v>
      </c>
      <c r="CHM75" s="244" t="s">
        <v>32</v>
      </c>
      <c r="CHN75" s="244" t="s">
        <v>32</v>
      </c>
      <c r="CHO75" s="244" t="s">
        <v>32</v>
      </c>
      <c r="CHP75" s="244" t="s">
        <v>32</v>
      </c>
      <c r="CHQ75" s="244" t="s">
        <v>32</v>
      </c>
      <c r="CHR75" s="244" t="s">
        <v>32</v>
      </c>
      <c r="CHS75" s="244" t="s">
        <v>32</v>
      </c>
      <c r="CHT75" s="244" t="s">
        <v>32</v>
      </c>
      <c r="CHU75" s="244" t="s">
        <v>32</v>
      </c>
      <c r="CHV75" s="244" t="s">
        <v>32</v>
      </c>
      <c r="CHW75" s="244" t="s">
        <v>32</v>
      </c>
      <c r="CHX75" s="244" t="s">
        <v>32</v>
      </c>
      <c r="CHY75" s="244" t="s">
        <v>32</v>
      </c>
      <c r="CHZ75" s="244" t="s">
        <v>32</v>
      </c>
      <c r="CIA75" s="244" t="s">
        <v>32</v>
      </c>
      <c r="CIB75" s="244" t="s">
        <v>32</v>
      </c>
      <c r="CIC75" s="244" t="s">
        <v>32</v>
      </c>
      <c r="CID75" s="244" t="s">
        <v>32</v>
      </c>
      <c r="CIE75" s="244" t="s">
        <v>32</v>
      </c>
      <c r="CIF75" s="244" t="s">
        <v>32</v>
      </c>
      <c r="CIG75" s="244" t="s">
        <v>32</v>
      </c>
      <c r="CIH75" s="244" t="s">
        <v>32</v>
      </c>
      <c r="CII75" s="244" t="s">
        <v>32</v>
      </c>
      <c r="CIJ75" s="244" t="s">
        <v>32</v>
      </c>
      <c r="CIK75" s="244" t="s">
        <v>32</v>
      </c>
      <c r="CIL75" s="244" t="s">
        <v>32</v>
      </c>
      <c r="CIM75" s="244" t="s">
        <v>32</v>
      </c>
      <c r="CIN75" s="244" t="s">
        <v>32</v>
      </c>
      <c r="CIO75" s="244" t="s">
        <v>32</v>
      </c>
      <c r="CIP75" s="244" t="s">
        <v>32</v>
      </c>
      <c r="CIQ75" s="244" t="s">
        <v>32</v>
      </c>
      <c r="CIR75" s="244" t="s">
        <v>32</v>
      </c>
      <c r="CIS75" s="244" t="s">
        <v>32</v>
      </c>
      <c r="CIT75" s="244" t="s">
        <v>32</v>
      </c>
      <c r="CIU75" s="244" t="s">
        <v>32</v>
      </c>
      <c r="CIV75" s="244" t="s">
        <v>32</v>
      </c>
      <c r="CIW75" s="244" t="s">
        <v>32</v>
      </c>
      <c r="CIX75" s="244" t="s">
        <v>32</v>
      </c>
      <c r="CIY75" s="244" t="s">
        <v>32</v>
      </c>
      <c r="CIZ75" s="244" t="s">
        <v>32</v>
      </c>
      <c r="CJA75" s="244" t="s">
        <v>32</v>
      </c>
      <c r="CJB75" s="244" t="s">
        <v>32</v>
      </c>
      <c r="CJC75" s="244" t="s">
        <v>32</v>
      </c>
      <c r="CJD75" s="244" t="s">
        <v>32</v>
      </c>
      <c r="CJE75" s="244" t="s">
        <v>32</v>
      </c>
      <c r="CJF75" s="244" t="s">
        <v>32</v>
      </c>
      <c r="CJG75" s="244" t="s">
        <v>32</v>
      </c>
      <c r="CJH75" s="244" t="s">
        <v>32</v>
      </c>
      <c r="CJI75" s="244" t="s">
        <v>32</v>
      </c>
      <c r="CJJ75" s="244" t="s">
        <v>32</v>
      </c>
      <c r="CJK75" s="244" t="s">
        <v>32</v>
      </c>
      <c r="CJL75" s="244" t="s">
        <v>32</v>
      </c>
      <c r="CJM75" s="244" t="s">
        <v>32</v>
      </c>
      <c r="CJN75" s="244" t="s">
        <v>32</v>
      </c>
      <c r="CJO75" s="244" t="s">
        <v>32</v>
      </c>
      <c r="CJP75" s="244" t="s">
        <v>32</v>
      </c>
      <c r="CJQ75" s="244" t="s">
        <v>32</v>
      </c>
      <c r="CJR75" s="244" t="s">
        <v>32</v>
      </c>
      <c r="CJS75" s="244" t="s">
        <v>32</v>
      </c>
      <c r="CJT75" s="244" t="s">
        <v>32</v>
      </c>
      <c r="CJU75" s="244" t="s">
        <v>32</v>
      </c>
      <c r="CJV75" s="244" t="s">
        <v>32</v>
      </c>
      <c r="CJW75" s="244" t="s">
        <v>32</v>
      </c>
      <c r="CJX75" s="244" t="s">
        <v>32</v>
      </c>
      <c r="CJY75" s="244" t="s">
        <v>32</v>
      </c>
      <c r="CJZ75" s="244" t="s">
        <v>32</v>
      </c>
      <c r="CKA75" s="244" t="s">
        <v>32</v>
      </c>
      <c r="CKB75" s="244" t="s">
        <v>32</v>
      </c>
      <c r="CKC75" s="244" t="s">
        <v>32</v>
      </c>
      <c r="CKD75" s="244" t="s">
        <v>32</v>
      </c>
      <c r="CKE75" s="244" t="s">
        <v>32</v>
      </c>
      <c r="CKF75" s="244" t="s">
        <v>32</v>
      </c>
      <c r="CKG75" s="244" t="s">
        <v>32</v>
      </c>
      <c r="CKH75" s="244" t="s">
        <v>32</v>
      </c>
      <c r="CKI75" s="244" t="s">
        <v>32</v>
      </c>
      <c r="CKJ75" s="244" t="s">
        <v>32</v>
      </c>
      <c r="CKK75" s="244" t="s">
        <v>32</v>
      </c>
      <c r="CKL75" s="244" t="s">
        <v>32</v>
      </c>
      <c r="CKM75" s="244" t="s">
        <v>32</v>
      </c>
      <c r="CKN75" s="244" t="s">
        <v>32</v>
      </c>
      <c r="CKO75" s="244" t="s">
        <v>32</v>
      </c>
      <c r="CKP75" s="244" t="s">
        <v>32</v>
      </c>
      <c r="CKQ75" s="244" t="s">
        <v>32</v>
      </c>
      <c r="CKR75" s="244" t="s">
        <v>32</v>
      </c>
      <c r="CKS75" s="244" t="s">
        <v>32</v>
      </c>
      <c r="CKT75" s="244" t="s">
        <v>32</v>
      </c>
      <c r="CKU75" s="244" t="s">
        <v>32</v>
      </c>
      <c r="CKV75" s="244" t="s">
        <v>32</v>
      </c>
      <c r="CKW75" s="244" t="s">
        <v>32</v>
      </c>
      <c r="CKX75" s="244" t="s">
        <v>32</v>
      </c>
      <c r="CKY75" s="244" t="s">
        <v>32</v>
      </c>
      <c r="CKZ75" s="244" t="s">
        <v>32</v>
      </c>
      <c r="CLA75" s="244" t="s">
        <v>32</v>
      </c>
      <c r="CLB75" s="244" t="s">
        <v>32</v>
      </c>
      <c r="CLC75" s="244" t="s">
        <v>32</v>
      </c>
      <c r="CLD75" s="244" t="s">
        <v>32</v>
      </c>
      <c r="CLE75" s="244" t="s">
        <v>32</v>
      </c>
      <c r="CLF75" s="244" t="s">
        <v>32</v>
      </c>
      <c r="CLG75" s="244" t="s">
        <v>32</v>
      </c>
      <c r="CLH75" s="244" t="s">
        <v>32</v>
      </c>
      <c r="CLI75" s="244" t="s">
        <v>32</v>
      </c>
      <c r="CLJ75" s="244" t="s">
        <v>32</v>
      </c>
      <c r="CLK75" s="244" t="s">
        <v>32</v>
      </c>
      <c r="CLL75" s="244" t="s">
        <v>32</v>
      </c>
      <c r="CLM75" s="244" t="s">
        <v>32</v>
      </c>
      <c r="CLN75" s="244" t="s">
        <v>32</v>
      </c>
      <c r="CLO75" s="244" t="s">
        <v>32</v>
      </c>
      <c r="CLP75" s="244" t="s">
        <v>32</v>
      </c>
      <c r="CLQ75" s="244" t="s">
        <v>32</v>
      </c>
      <c r="CLR75" s="244" t="s">
        <v>32</v>
      </c>
      <c r="CLS75" s="244" t="s">
        <v>32</v>
      </c>
      <c r="CLT75" s="244" t="s">
        <v>32</v>
      </c>
      <c r="CLU75" s="244" t="s">
        <v>32</v>
      </c>
      <c r="CLV75" s="244" t="s">
        <v>32</v>
      </c>
      <c r="CLW75" s="244" t="s">
        <v>32</v>
      </c>
      <c r="CLX75" s="244" t="s">
        <v>32</v>
      </c>
      <c r="CLY75" s="244" t="s">
        <v>32</v>
      </c>
      <c r="CLZ75" s="244" t="s">
        <v>32</v>
      </c>
      <c r="CMA75" s="244" t="s">
        <v>32</v>
      </c>
      <c r="CMB75" s="244" t="s">
        <v>32</v>
      </c>
      <c r="CMC75" s="244" t="s">
        <v>32</v>
      </c>
      <c r="CMD75" s="244" t="s">
        <v>32</v>
      </c>
      <c r="CME75" s="244" t="s">
        <v>32</v>
      </c>
      <c r="CMF75" s="244" t="s">
        <v>32</v>
      </c>
      <c r="CMG75" s="244" t="s">
        <v>32</v>
      </c>
      <c r="CMH75" s="244" t="s">
        <v>32</v>
      </c>
      <c r="CMI75" s="244" t="s">
        <v>32</v>
      </c>
      <c r="CMJ75" s="244" t="s">
        <v>32</v>
      </c>
      <c r="CMK75" s="244" t="s">
        <v>32</v>
      </c>
      <c r="CML75" s="244" t="s">
        <v>32</v>
      </c>
      <c r="CMM75" s="244" t="s">
        <v>32</v>
      </c>
      <c r="CMN75" s="244" t="s">
        <v>32</v>
      </c>
      <c r="CMO75" s="244" t="s">
        <v>32</v>
      </c>
      <c r="CMP75" s="244" t="s">
        <v>32</v>
      </c>
      <c r="CMQ75" s="244" t="s">
        <v>32</v>
      </c>
      <c r="CMR75" s="244" t="s">
        <v>32</v>
      </c>
      <c r="CMS75" s="244" t="s">
        <v>32</v>
      </c>
      <c r="CMT75" s="244" t="s">
        <v>32</v>
      </c>
      <c r="CMU75" s="244" t="s">
        <v>32</v>
      </c>
      <c r="CMV75" s="244" t="s">
        <v>32</v>
      </c>
      <c r="CMW75" s="244" t="s">
        <v>32</v>
      </c>
      <c r="CMX75" s="244" t="s">
        <v>32</v>
      </c>
      <c r="CMY75" s="244" t="s">
        <v>32</v>
      </c>
      <c r="CMZ75" s="244" t="s">
        <v>32</v>
      </c>
      <c r="CNA75" s="244" t="s">
        <v>32</v>
      </c>
      <c r="CNB75" s="244" t="s">
        <v>32</v>
      </c>
      <c r="CNC75" s="244" t="s">
        <v>32</v>
      </c>
      <c r="CND75" s="244" t="s">
        <v>32</v>
      </c>
      <c r="CNE75" s="244" t="s">
        <v>32</v>
      </c>
      <c r="CNF75" s="244" t="s">
        <v>32</v>
      </c>
      <c r="CNG75" s="244" t="s">
        <v>32</v>
      </c>
      <c r="CNH75" s="244" t="s">
        <v>32</v>
      </c>
      <c r="CNI75" s="244" t="s">
        <v>32</v>
      </c>
      <c r="CNJ75" s="244" t="s">
        <v>32</v>
      </c>
      <c r="CNK75" s="244" t="s">
        <v>32</v>
      </c>
      <c r="CNL75" s="244" t="s">
        <v>32</v>
      </c>
      <c r="CNM75" s="244" t="s">
        <v>32</v>
      </c>
      <c r="CNN75" s="244" t="s">
        <v>32</v>
      </c>
      <c r="CNO75" s="244" t="s">
        <v>32</v>
      </c>
      <c r="CNP75" s="244" t="s">
        <v>32</v>
      </c>
      <c r="CNQ75" s="244" t="s">
        <v>32</v>
      </c>
      <c r="CNR75" s="244" t="s">
        <v>32</v>
      </c>
      <c r="CNS75" s="244" t="s">
        <v>32</v>
      </c>
      <c r="CNT75" s="244" t="s">
        <v>32</v>
      </c>
      <c r="CNU75" s="244" t="s">
        <v>32</v>
      </c>
      <c r="CNV75" s="244" t="s">
        <v>32</v>
      </c>
      <c r="CNW75" s="244" t="s">
        <v>32</v>
      </c>
      <c r="CNX75" s="244" t="s">
        <v>32</v>
      </c>
      <c r="CNY75" s="244" t="s">
        <v>32</v>
      </c>
      <c r="CNZ75" s="244" t="s">
        <v>32</v>
      </c>
      <c r="COA75" s="244" t="s">
        <v>32</v>
      </c>
      <c r="COB75" s="244" t="s">
        <v>32</v>
      </c>
      <c r="COC75" s="244" t="s">
        <v>32</v>
      </c>
      <c r="COD75" s="244" t="s">
        <v>32</v>
      </c>
      <c r="COE75" s="244" t="s">
        <v>32</v>
      </c>
      <c r="COF75" s="244" t="s">
        <v>32</v>
      </c>
      <c r="COG75" s="244" t="s">
        <v>32</v>
      </c>
      <c r="COH75" s="244" t="s">
        <v>32</v>
      </c>
      <c r="COI75" s="244" t="s">
        <v>32</v>
      </c>
      <c r="COJ75" s="244" t="s">
        <v>32</v>
      </c>
      <c r="COK75" s="244" t="s">
        <v>32</v>
      </c>
      <c r="COL75" s="244" t="s">
        <v>32</v>
      </c>
      <c r="COM75" s="244" t="s">
        <v>32</v>
      </c>
      <c r="CON75" s="244" t="s">
        <v>32</v>
      </c>
      <c r="COO75" s="244" t="s">
        <v>32</v>
      </c>
      <c r="COP75" s="244" t="s">
        <v>32</v>
      </c>
      <c r="COQ75" s="244" t="s">
        <v>32</v>
      </c>
      <c r="COR75" s="244" t="s">
        <v>32</v>
      </c>
      <c r="COS75" s="244" t="s">
        <v>32</v>
      </c>
      <c r="COT75" s="244" t="s">
        <v>32</v>
      </c>
      <c r="COU75" s="244" t="s">
        <v>32</v>
      </c>
      <c r="COV75" s="244" t="s">
        <v>32</v>
      </c>
      <c r="COW75" s="244" t="s">
        <v>32</v>
      </c>
      <c r="COX75" s="244" t="s">
        <v>32</v>
      </c>
      <c r="COY75" s="244" t="s">
        <v>32</v>
      </c>
      <c r="COZ75" s="244" t="s">
        <v>32</v>
      </c>
      <c r="CPA75" s="244" t="s">
        <v>32</v>
      </c>
      <c r="CPB75" s="244" t="s">
        <v>32</v>
      </c>
      <c r="CPC75" s="244" t="s">
        <v>32</v>
      </c>
      <c r="CPD75" s="244" t="s">
        <v>32</v>
      </c>
      <c r="CPE75" s="244" t="s">
        <v>32</v>
      </c>
      <c r="CPF75" s="244" t="s">
        <v>32</v>
      </c>
      <c r="CPG75" s="244" t="s">
        <v>32</v>
      </c>
      <c r="CPH75" s="244" t="s">
        <v>32</v>
      </c>
      <c r="CPI75" s="244" t="s">
        <v>32</v>
      </c>
      <c r="CPJ75" s="244" t="s">
        <v>32</v>
      </c>
      <c r="CPK75" s="244" t="s">
        <v>32</v>
      </c>
      <c r="CPL75" s="244" t="s">
        <v>32</v>
      </c>
      <c r="CPM75" s="244" t="s">
        <v>32</v>
      </c>
      <c r="CPN75" s="244" t="s">
        <v>32</v>
      </c>
      <c r="CPO75" s="244" t="s">
        <v>32</v>
      </c>
      <c r="CPP75" s="244" t="s">
        <v>32</v>
      </c>
      <c r="CPQ75" s="244" t="s">
        <v>32</v>
      </c>
      <c r="CPR75" s="244" t="s">
        <v>32</v>
      </c>
      <c r="CPS75" s="244" t="s">
        <v>32</v>
      </c>
      <c r="CPT75" s="244" t="s">
        <v>32</v>
      </c>
      <c r="CPU75" s="244" t="s">
        <v>32</v>
      </c>
      <c r="CPV75" s="244" t="s">
        <v>32</v>
      </c>
      <c r="CPW75" s="244" t="s">
        <v>32</v>
      </c>
      <c r="CPX75" s="244" t="s">
        <v>32</v>
      </c>
      <c r="CPY75" s="244" t="s">
        <v>32</v>
      </c>
      <c r="CPZ75" s="244" t="s">
        <v>32</v>
      </c>
      <c r="CQA75" s="244" t="s">
        <v>32</v>
      </c>
      <c r="CQB75" s="244" t="s">
        <v>32</v>
      </c>
      <c r="CQC75" s="244" t="s">
        <v>32</v>
      </c>
      <c r="CQD75" s="244" t="s">
        <v>32</v>
      </c>
      <c r="CQE75" s="244" t="s">
        <v>32</v>
      </c>
      <c r="CQF75" s="244" t="s">
        <v>32</v>
      </c>
      <c r="CQG75" s="244" t="s">
        <v>32</v>
      </c>
      <c r="CQH75" s="244" t="s">
        <v>32</v>
      </c>
      <c r="CQI75" s="244" t="s">
        <v>32</v>
      </c>
      <c r="CQJ75" s="244" t="s">
        <v>32</v>
      </c>
      <c r="CQK75" s="244" t="s">
        <v>32</v>
      </c>
      <c r="CQL75" s="244" t="s">
        <v>32</v>
      </c>
      <c r="CQM75" s="244" t="s">
        <v>32</v>
      </c>
      <c r="CQN75" s="244" t="s">
        <v>32</v>
      </c>
      <c r="CQO75" s="244" t="s">
        <v>32</v>
      </c>
      <c r="CQP75" s="244" t="s">
        <v>32</v>
      </c>
      <c r="CQQ75" s="244" t="s">
        <v>32</v>
      </c>
      <c r="CQR75" s="244" t="s">
        <v>32</v>
      </c>
      <c r="CQS75" s="244" t="s">
        <v>32</v>
      </c>
      <c r="CQT75" s="244" t="s">
        <v>32</v>
      </c>
      <c r="CQU75" s="244" t="s">
        <v>32</v>
      </c>
      <c r="CQV75" s="244" t="s">
        <v>32</v>
      </c>
      <c r="CQW75" s="244" t="s">
        <v>32</v>
      </c>
      <c r="CQX75" s="244" t="s">
        <v>32</v>
      </c>
      <c r="CQY75" s="244" t="s">
        <v>32</v>
      </c>
      <c r="CQZ75" s="244" t="s">
        <v>32</v>
      </c>
      <c r="CRA75" s="244" t="s">
        <v>32</v>
      </c>
      <c r="CRB75" s="244" t="s">
        <v>32</v>
      </c>
      <c r="CRC75" s="244" t="s">
        <v>32</v>
      </c>
      <c r="CRD75" s="244" t="s">
        <v>32</v>
      </c>
      <c r="CRE75" s="244" t="s">
        <v>32</v>
      </c>
      <c r="CRF75" s="244" t="s">
        <v>32</v>
      </c>
      <c r="CRG75" s="244" t="s">
        <v>32</v>
      </c>
      <c r="CRH75" s="244" t="s">
        <v>32</v>
      </c>
      <c r="CRI75" s="244" t="s">
        <v>32</v>
      </c>
      <c r="CRJ75" s="244" t="s">
        <v>32</v>
      </c>
      <c r="CRK75" s="244" t="s">
        <v>32</v>
      </c>
      <c r="CRL75" s="244" t="s">
        <v>32</v>
      </c>
      <c r="CRM75" s="244" t="s">
        <v>32</v>
      </c>
      <c r="CRN75" s="244" t="s">
        <v>32</v>
      </c>
      <c r="CRO75" s="244" t="s">
        <v>32</v>
      </c>
      <c r="CRP75" s="244" t="s">
        <v>32</v>
      </c>
      <c r="CRQ75" s="244" t="s">
        <v>32</v>
      </c>
      <c r="CRR75" s="244" t="s">
        <v>32</v>
      </c>
      <c r="CRS75" s="244" t="s">
        <v>32</v>
      </c>
      <c r="CRT75" s="244" t="s">
        <v>32</v>
      </c>
      <c r="CRU75" s="244" t="s">
        <v>32</v>
      </c>
      <c r="CRV75" s="244" t="s">
        <v>32</v>
      </c>
      <c r="CRW75" s="244" t="s">
        <v>32</v>
      </c>
      <c r="CRX75" s="244" t="s">
        <v>32</v>
      </c>
      <c r="CRY75" s="244" t="s">
        <v>32</v>
      </c>
      <c r="CRZ75" s="244" t="s">
        <v>32</v>
      </c>
      <c r="CSA75" s="244" t="s">
        <v>32</v>
      </c>
      <c r="CSB75" s="244" t="s">
        <v>32</v>
      </c>
      <c r="CSC75" s="244" t="s">
        <v>32</v>
      </c>
      <c r="CSD75" s="244" t="s">
        <v>32</v>
      </c>
      <c r="CSE75" s="244" t="s">
        <v>32</v>
      </c>
      <c r="CSF75" s="244" t="s">
        <v>32</v>
      </c>
      <c r="CSG75" s="244" t="s">
        <v>32</v>
      </c>
      <c r="CSH75" s="244" t="s">
        <v>32</v>
      </c>
      <c r="CSI75" s="244" t="s">
        <v>32</v>
      </c>
      <c r="CSJ75" s="244" t="s">
        <v>32</v>
      </c>
      <c r="CSK75" s="244" t="s">
        <v>32</v>
      </c>
      <c r="CSL75" s="244" t="s">
        <v>32</v>
      </c>
      <c r="CSM75" s="244" t="s">
        <v>32</v>
      </c>
      <c r="CSN75" s="244" t="s">
        <v>32</v>
      </c>
      <c r="CSO75" s="244" t="s">
        <v>32</v>
      </c>
      <c r="CSP75" s="244" t="s">
        <v>32</v>
      </c>
      <c r="CSQ75" s="244" t="s">
        <v>32</v>
      </c>
      <c r="CSR75" s="244" t="s">
        <v>32</v>
      </c>
      <c r="CSS75" s="244" t="s">
        <v>32</v>
      </c>
      <c r="CST75" s="244" t="s">
        <v>32</v>
      </c>
      <c r="CSU75" s="244" t="s">
        <v>32</v>
      </c>
      <c r="CSV75" s="244" t="s">
        <v>32</v>
      </c>
      <c r="CSW75" s="244" t="s">
        <v>32</v>
      </c>
      <c r="CSX75" s="244" t="s">
        <v>32</v>
      </c>
      <c r="CSY75" s="244" t="s">
        <v>32</v>
      </c>
      <c r="CSZ75" s="244" t="s">
        <v>32</v>
      </c>
      <c r="CTA75" s="244" t="s">
        <v>32</v>
      </c>
      <c r="CTB75" s="244" t="s">
        <v>32</v>
      </c>
      <c r="CTC75" s="244" t="s">
        <v>32</v>
      </c>
      <c r="CTD75" s="244" t="s">
        <v>32</v>
      </c>
      <c r="CTE75" s="244" t="s">
        <v>32</v>
      </c>
      <c r="CTF75" s="244" t="s">
        <v>32</v>
      </c>
      <c r="CTG75" s="244" t="s">
        <v>32</v>
      </c>
      <c r="CTH75" s="244" t="s">
        <v>32</v>
      </c>
      <c r="CTI75" s="244" t="s">
        <v>32</v>
      </c>
      <c r="CTJ75" s="244" t="s">
        <v>32</v>
      </c>
      <c r="CTK75" s="244" t="s">
        <v>32</v>
      </c>
      <c r="CTL75" s="244" t="s">
        <v>32</v>
      </c>
      <c r="CTM75" s="244" t="s">
        <v>32</v>
      </c>
      <c r="CTN75" s="244" t="s">
        <v>32</v>
      </c>
      <c r="CTO75" s="244" t="s">
        <v>32</v>
      </c>
      <c r="CTP75" s="244" t="s">
        <v>32</v>
      </c>
      <c r="CTQ75" s="244" t="s">
        <v>32</v>
      </c>
      <c r="CTR75" s="244" t="s">
        <v>32</v>
      </c>
      <c r="CTS75" s="244" t="s">
        <v>32</v>
      </c>
      <c r="CTT75" s="244" t="s">
        <v>32</v>
      </c>
      <c r="CTU75" s="244" t="s">
        <v>32</v>
      </c>
      <c r="CTV75" s="244" t="s">
        <v>32</v>
      </c>
      <c r="CTW75" s="244" t="s">
        <v>32</v>
      </c>
      <c r="CTX75" s="244" t="s">
        <v>32</v>
      </c>
      <c r="CTY75" s="244" t="s">
        <v>32</v>
      </c>
      <c r="CTZ75" s="244" t="s">
        <v>32</v>
      </c>
      <c r="CUA75" s="244" t="s">
        <v>32</v>
      </c>
      <c r="CUB75" s="244" t="s">
        <v>32</v>
      </c>
      <c r="CUC75" s="244" t="s">
        <v>32</v>
      </c>
      <c r="CUD75" s="244" t="s">
        <v>32</v>
      </c>
      <c r="CUE75" s="244" t="s">
        <v>32</v>
      </c>
      <c r="CUF75" s="244" t="s">
        <v>32</v>
      </c>
      <c r="CUG75" s="244" t="s">
        <v>32</v>
      </c>
      <c r="CUH75" s="244" t="s">
        <v>32</v>
      </c>
      <c r="CUI75" s="244" t="s">
        <v>32</v>
      </c>
      <c r="CUJ75" s="244" t="s">
        <v>32</v>
      </c>
      <c r="CUK75" s="244" t="s">
        <v>32</v>
      </c>
      <c r="CUL75" s="244" t="s">
        <v>32</v>
      </c>
      <c r="CUM75" s="244" t="s">
        <v>32</v>
      </c>
      <c r="CUN75" s="244" t="s">
        <v>32</v>
      </c>
      <c r="CUO75" s="244" t="s">
        <v>32</v>
      </c>
      <c r="CUP75" s="244" t="s">
        <v>32</v>
      </c>
      <c r="CUQ75" s="244" t="s">
        <v>32</v>
      </c>
      <c r="CUR75" s="244" t="s">
        <v>32</v>
      </c>
      <c r="CUS75" s="244" t="s">
        <v>32</v>
      </c>
      <c r="CUT75" s="244" t="s">
        <v>32</v>
      </c>
      <c r="CUU75" s="244" t="s">
        <v>32</v>
      </c>
      <c r="CUV75" s="244" t="s">
        <v>32</v>
      </c>
      <c r="CUW75" s="244" t="s">
        <v>32</v>
      </c>
      <c r="CUX75" s="244" t="s">
        <v>32</v>
      </c>
      <c r="CUY75" s="244" t="s">
        <v>32</v>
      </c>
      <c r="CUZ75" s="244" t="s">
        <v>32</v>
      </c>
      <c r="CVA75" s="244" t="s">
        <v>32</v>
      </c>
      <c r="CVB75" s="244" t="s">
        <v>32</v>
      </c>
      <c r="CVC75" s="244" t="s">
        <v>32</v>
      </c>
      <c r="CVD75" s="244" t="s">
        <v>32</v>
      </c>
      <c r="CVE75" s="244" t="s">
        <v>32</v>
      </c>
      <c r="CVF75" s="244" t="s">
        <v>32</v>
      </c>
      <c r="CVG75" s="244" t="s">
        <v>32</v>
      </c>
      <c r="CVH75" s="244" t="s">
        <v>32</v>
      </c>
      <c r="CVI75" s="244" t="s">
        <v>32</v>
      </c>
      <c r="CVJ75" s="244" t="s">
        <v>32</v>
      </c>
      <c r="CVK75" s="244" t="s">
        <v>32</v>
      </c>
      <c r="CVL75" s="244" t="s">
        <v>32</v>
      </c>
      <c r="CVM75" s="244" t="s">
        <v>32</v>
      </c>
      <c r="CVN75" s="244" t="s">
        <v>32</v>
      </c>
      <c r="CVO75" s="244" t="s">
        <v>32</v>
      </c>
      <c r="CVP75" s="244" t="s">
        <v>32</v>
      </c>
      <c r="CVQ75" s="244" t="s">
        <v>32</v>
      </c>
      <c r="CVR75" s="244" t="s">
        <v>32</v>
      </c>
      <c r="CVS75" s="244" t="s">
        <v>32</v>
      </c>
      <c r="CVT75" s="244" t="s">
        <v>32</v>
      </c>
      <c r="CVU75" s="244" t="s">
        <v>32</v>
      </c>
      <c r="CVV75" s="244" t="s">
        <v>32</v>
      </c>
      <c r="CVW75" s="244" t="s">
        <v>32</v>
      </c>
      <c r="CVX75" s="244" t="s">
        <v>32</v>
      </c>
      <c r="CVY75" s="244" t="s">
        <v>32</v>
      </c>
      <c r="CVZ75" s="244" t="s">
        <v>32</v>
      </c>
      <c r="CWA75" s="244" t="s">
        <v>32</v>
      </c>
      <c r="CWB75" s="244" t="s">
        <v>32</v>
      </c>
      <c r="CWC75" s="244" t="s">
        <v>32</v>
      </c>
      <c r="CWD75" s="244" t="s">
        <v>32</v>
      </c>
      <c r="CWE75" s="244" t="s">
        <v>32</v>
      </c>
      <c r="CWF75" s="244" t="s">
        <v>32</v>
      </c>
      <c r="CWG75" s="244" t="s">
        <v>32</v>
      </c>
      <c r="CWH75" s="244" t="s">
        <v>32</v>
      </c>
      <c r="CWI75" s="244" t="s">
        <v>32</v>
      </c>
      <c r="CWJ75" s="244" t="s">
        <v>32</v>
      </c>
      <c r="CWK75" s="244" t="s">
        <v>32</v>
      </c>
      <c r="CWL75" s="244" t="s">
        <v>32</v>
      </c>
      <c r="CWM75" s="244" t="s">
        <v>32</v>
      </c>
      <c r="CWN75" s="244" t="s">
        <v>32</v>
      </c>
      <c r="CWO75" s="244" t="s">
        <v>32</v>
      </c>
      <c r="CWP75" s="244" t="s">
        <v>32</v>
      </c>
      <c r="CWQ75" s="244" t="s">
        <v>32</v>
      </c>
      <c r="CWR75" s="244" t="s">
        <v>32</v>
      </c>
      <c r="CWS75" s="244" t="s">
        <v>32</v>
      </c>
      <c r="CWT75" s="244" t="s">
        <v>32</v>
      </c>
      <c r="CWU75" s="244" t="s">
        <v>32</v>
      </c>
      <c r="CWV75" s="244" t="s">
        <v>32</v>
      </c>
      <c r="CWW75" s="244" t="s">
        <v>32</v>
      </c>
      <c r="CWX75" s="244" t="s">
        <v>32</v>
      </c>
      <c r="CWY75" s="244" t="s">
        <v>32</v>
      </c>
      <c r="CWZ75" s="244" t="s">
        <v>32</v>
      </c>
      <c r="CXA75" s="244" t="s">
        <v>32</v>
      </c>
      <c r="CXB75" s="244" t="s">
        <v>32</v>
      </c>
      <c r="CXC75" s="244" t="s">
        <v>32</v>
      </c>
      <c r="CXD75" s="244" t="s">
        <v>32</v>
      </c>
      <c r="CXE75" s="244" t="s">
        <v>32</v>
      </c>
      <c r="CXF75" s="244" t="s">
        <v>32</v>
      </c>
      <c r="CXG75" s="244" t="s">
        <v>32</v>
      </c>
      <c r="CXH75" s="244" t="s">
        <v>32</v>
      </c>
      <c r="CXI75" s="244" t="s">
        <v>32</v>
      </c>
      <c r="CXJ75" s="244" t="s">
        <v>32</v>
      </c>
      <c r="CXK75" s="244" t="s">
        <v>32</v>
      </c>
      <c r="CXL75" s="244" t="s">
        <v>32</v>
      </c>
      <c r="CXM75" s="244" t="s">
        <v>32</v>
      </c>
      <c r="CXN75" s="244" t="s">
        <v>32</v>
      </c>
      <c r="CXO75" s="244" t="s">
        <v>32</v>
      </c>
      <c r="CXP75" s="244" t="s">
        <v>32</v>
      </c>
      <c r="CXQ75" s="244" t="s">
        <v>32</v>
      </c>
      <c r="CXR75" s="244" t="s">
        <v>32</v>
      </c>
      <c r="CXS75" s="244" t="s">
        <v>32</v>
      </c>
      <c r="CXT75" s="244" t="s">
        <v>32</v>
      </c>
      <c r="CXU75" s="244" t="s">
        <v>32</v>
      </c>
      <c r="CXV75" s="244" t="s">
        <v>32</v>
      </c>
      <c r="CXW75" s="244" t="s">
        <v>32</v>
      </c>
      <c r="CXX75" s="244" t="s">
        <v>32</v>
      </c>
      <c r="CXY75" s="244" t="s">
        <v>32</v>
      </c>
      <c r="CXZ75" s="244" t="s">
        <v>32</v>
      </c>
      <c r="CYA75" s="244" t="s">
        <v>32</v>
      </c>
      <c r="CYB75" s="244" t="s">
        <v>32</v>
      </c>
      <c r="CYC75" s="244" t="s">
        <v>32</v>
      </c>
      <c r="CYD75" s="244" t="s">
        <v>32</v>
      </c>
      <c r="CYE75" s="244" t="s">
        <v>32</v>
      </c>
      <c r="CYF75" s="244" t="s">
        <v>32</v>
      </c>
      <c r="CYG75" s="244" t="s">
        <v>32</v>
      </c>
      <c r="CYH75" s="244" t="s">
        <v>32</v>
      </c>
      <c r="CYI75" s="244" t="s">
        <v>32</v>
      </c>
      <c r="CYJ75" s="244" t="s">
        <v>32</v>
      </c>
      <c r="CYK75" s="244" t="s">
        <v>32</v>
      </c>
      <c r="CYL75" s="244" t="s">
        <v>32</v>
      </c>
      <c r="CYM75" s="244" t="s">
        <v>32</v>
      </c>
      <c r="CYN75" s="244" t="s">
        <v>32</v>
      </c>
      <c r="CYO75" s="244" t="s">
        <v>32</v>
      </c>
      <c r="CYP75" s="244" t="s">
        <v>32</v>
      </c>
      <c r="CYQ75" s="244" t="s">
        <v>32</v>
      </c>
      <c r="CYR75" s="244" t="s">
        <v>32</v>
      </c>
      <c r="CYS75" s="244" t="s">
        <v>32</v>
      </c>
      <c r="CYT75" s="244" t="s">
        <v>32</v>
      </c>
      <c r="CYU75" s="244" t="s">
        <v>32</v>
      </c>
      <c r="CYV75" s="244" t="s">
        <v>32</v>
      </c>
      <c r="CYW75" s="244" t="s">
        <v>32</v>
      </c>
      <c r="CYX75" s="244" t="s">
        <v>32</v>
      </c>
      <c r="CYY75" s="244" t="s">
        <v>32</v>
      </c>
      <c r="CYZ75" s="244" t="s">
        <v>32</v>
      </c>
      <c r="CZA75" s="244" t="s">
        <v>32</v>
      </c>
      <c r="CZB75" s="244" t="s">
        <v>32</v>
      </c>
      <c r="CZC75" s="244" t="s">
        <v>32</v>
      </c>
      <c r="CZD75" s="244" t="s">
        <v>32</v>
      </c>
      <c r="CZE75" s="244" t="s">
        <v>32</v>
      </c>
      <c r="CZF75" s="244" t="s">
        <v>32</v>
      </c>
      <c r="CZG75" s="244" t="s">
        <v>32</v>
      </c>
      <c r="CZH75" s="244" t="s">
        <v>32</v>
      </c>
      <c r="CZI75" s="244" t="s">
        <v>32</v>
      </c>
      <c r="CZJ75" s="244" t="s">
        <v>32</v>
      </c>
      <c r="CZK75" s="244" t="s">
        <v>32</v>
      </c>
      <c r="CZL75" s="244" t="s">
        <v>32</v>
      </c>
      <c r="CZM75" s="244" t="s">
        <v>32</v>
      </c>
      <c r="CZN75" s="244" t="s">
        <v>32</v>
      </c>
      <c r="CZO75" s="244" t="s">
        <v>32</v>
      </c>
      <c r="CZP75" s="244" t="s">
        <v>32</v>
      </c>
      <c r="CZQ75" s="244" t="s">
        <v>32</v>
      </c>
      <c r="CZR75" s="244" t="s">
        <v>32</v>
      </c>
      <c r="CZS75" s="244" t="s">
        <v>32</v>
      </c>
      <c r="CZT75" s="244" t="s">
        <v>32</v>
      </c>
      <c r="CZU75" s="244" t="s">
        <v>32</v>
      </c>
      <c r="CZV75" s="244" t="s">
        <v>32</v>
      </c>
      <c r="CZW75" s="244" t="s">
        <v>32</v>
      </c>
      <c r="CZX75" s="244" t="s">
        <v>32</v>
      </c>
      <c r="CZY75" s="244" t="s">
        <v>32</v>
      </c>
      <c r="CZZ75" s="244" t="s">
        <v>32</v>
      </c>
      <c r="DAA75" s="244" t="s">
        <v>32</v>
      </c>
      <c r="DAB75" s="244" t="s">
        <v>32</v>
      </c>
      <c r="DAC75" s="244" t="s">
        <v>32</v>
      </c>
      <c r="DAD75" s="244" t="s">
        <v>32</v>
      </c>
      <c r="DAE75" s="244" t="s">
        <v>32</v>
      </c>
      <c r="DAF75" s="244" t="s">
        <v>32</v>
      </c>
      <c r="DAG75" s="244" t="s">
        <v>32</v>
      </c>
      <c r="DAH75" s="244" t="s">
        <v>32</v>
      </c>
      <c r="DAI75" s="244" t="s">
        <v>32</v>
      </c>
      <c r="DAJ75" s="244" t="s">
        <v>32</v>
      </c>
      <c r="DAK75" s="244" t="s">
        <v>32</v>
      </c>
      <c r="DAL75" s="244" t="s">
        <v>32</v>
      </c>
      <c r="DAM75" s="244" t="s">
        <v>32</v>
      </c>
      <c r="DAN75" s="244" t="s">
        <v>32</v>
      </c>
      <c r="DAO75" s="244" t="s">
        <v>32</v>
      </c>
      <c r="DAP75" s="244" t="s">
        <v>32</v>
      </c>
      <c r="DAQ75" s="244" t="s">
        <v>32</v>
      </c>
      <c r="DAR75" s="244" t="s">
        <v>32</v>
      </c>
      <c r="DAS75" s="244" t="s">
        <v>32</v>
      </c>
      <c r="DAT75" s="244" t="s">
        <v>32</v>
      </c>
      <c r="DAU75" s="244" t="s">
        <v>32</v>
      </c>
      <c r="DAV75" s="244" t="s">
        <v>32</v>
      </c>
      <c r="DAW75" s="244" t="s">
        <v>32</v>
      </c>
      <c r="DAX75" s="244" t="s">
        <v>32</v>
      </c>
      <c r="DAY75" s="244" t="s">
        <v>32</v>
      </c>
      <c r="DAZ75" s="244" t="s">
        <v>32</v>
      </c>
      <c r="DBA75" s="244" t="s">
        <v>32</v>
      </c>
      <c r="DBB75" s="244" t="s">
        <v>32</v>
      </c>
      <c r="DBC75" s="244" t="s">
        <v>32</v>
      </c>
      <c r="DBD75" s="244" t="s">
        <v>32</v>
      </c>
      <c r="DBE75" s="244" t="s">
        <v>32</v>
      </c>
      <c r="DBF75" s="244" t="s">
        <v>32</v>
      </c>
      <c r="DBG75" s="244" t="s">
        <v>32</v>
      </c>
      <c r="DBH75" s="244" t="s">
        <v>32</v>
      </c>
      <c r="DBI75" s="244" t="s">
        <v>32</v>
      </c>
      <c r="DBJ75" s="244" t="s">
        <v>32</v>
      </c>
      <c r="DBK75" s="244" t="s">
        <v>32</v>
      </c>
      <c r="DBL75" s="244" t="s">
        <v>32</v>
      </c>
      <c r="DBM75" s="244" t="s">
        <v>32</v>
      </c>
      <c r="DBN75" s="244" t="s">
        <v>32</v>
      </c>
      <c r="DBO75" s="244" t="s">
        <v>32</v>
      </c>
      <c r="DBP75" s="244" t="s">
        <v>32</v>
      </c>
      <c r="DBQ75" s="244" t="s">
        <v>32</v>
      </c>
      <c r="DBR75" s="244" t="s">
        <v>32</v>
      </c>
      <c r="DBS75" s="244" t="s">
        <v>32</v>
      </c>
      <c r="DBT75" s="244" t="s">
        <v>32</v>
      </c>
      <c r="DBU75" s="244" t="s">
        <v>32</v>
      </c>
      <c r="DBV75" s="244" t="s">
        <v>32</v>
      </c>
      <c r="DBW75" s="244" t="s">
        <v>32</v>
      </c>
      <c r="DBX75" s="244" t="s">
        <v>32</v>
      </c>
      <c r="DBY75" s="244" t="s">
        <v>32</v>
      </c>
      <c r="DBZ75" s="244" t="s">
        <v>32</v>
      </c>
      <c r="DCA75" s="244" t="s">
        <v>32</v>
      </c>
      <c r="DCB75" s="244" t="s">
        <v>32</v>
      </c>
      <c r="DCC75" s="244" t="s">
        <v>32</v>
      </c>
      <c r="DCD75" s="244" t="s">
        <v>32</v>
      </c>
      <c r="DCE75" s="244" t="s">
        <v>32</v>
      </c>
      <c r="DCF75" s="244" t="s">
        <v>32</v>
      </c>
      <c r="DCG75" s="244" t="s">
        <v>32</v>
      </c>
      <c r="DCH75" s="244" t="s">
        <v>32</v>
      </c>
      <c r="DCI75" s="244" t="s">
        <v>32</v>
      </c>
      <c r="DCJ75" s="244" t="s">
        <v>32</v>
      </c>
      <c r="DCK75" s="244" t="s">
        <v>32</v>
      </c>
      <c r="DCL75" s="244" t="s">
        <v>32</v>
      </c>
      <c r="DCM75" s="244" t="s">
        <v>32</v>
      </c>
      <c r="DCN75" s="244" t="s">
        <v>32</v>
      </c>
      <c r="DCO75" s="244" t="s">
        <v>32</v>
      </c>
      <c r="DCP75" s="244" t="s">
        <v>32</v>
      </c>
      <c r="DCQ75" s="244" t="s">
        <v>32</v>
      </c>
      <c r="DCR75" s="244" t="s">
        <v>32</v>
      </c>
      <c r="DCS75" s="244" t="s">
        <v>32</v>
      </c>
      <c r="DCT75" s="244" t="s">
        <v>32</v>
      </c>
      <c r="DCU75" s="244" t="s">
        <v>32</v>
      </c>
      <c r="DCV75" s="244" t="s">
        <v>32</v>
      </c>
      <c r="DCW75" s="244" t="s">
        <v>32</v>
      </c>
      <c r="DCX75" s="244" t="s">
        <v>32</v>
      </c>
      <c r="DCY75" s="244" t="s">
        <v>32</v>
      </c>
      <c r="DCZ75" s="244" t="s">
        <v>32</v>
      </c>
      <c r="DDA75" s="244" t="s">
        <v>32</v>
      </c>
      <c r="DDB75" s="244" t="s">
        <v>32</v>
      </c>
      <c r="DDC75" s="244" t="s">
        <v>32</v>
      </c>
      <c r="DDD75" s="244" t="s">
        <v>32</v>
      </c>
      <c r="DDE75" s="244" t="s">
        <v>32</v>
      </c>
      <c r="DDF75" s="244" t="s">
        <v>32</v>
      </c>
      <c r="DDG75" s="244" t="s">
        <v>32</v>
      </c>
      <c r="DDH75" s="244" t="s">
        <v>32</v>
      </c>
      <c r="DDI75" s="244" t="s">
        <v>32</v>
      </c>
      <c r="DDJ75" s="244" t="s">
        <v>32</v>
      </c>
      <c r="DDK75" s="244" t="s">
        <v>32</v>
      </c>
      <c r="DDL75" s="244" t="s">
        <v>32</v>
      </c>
      <c r="DDM75" s="244" t="s">
        <v>32</v>
      </c>
      <c r="DDN75" s="244" t="s">
        <v>32</v>
      </c>
      <c r="DDO75" s="244" t="s">
        <v>32</v>
      </c>
      <c r="DDP75" s="244" t="s">
        <v>32</v>
      </c>
      <c r="DDQ75" s="244" t="s">
        <v>32</v>
      </c>
      <c r="DDR75" s="244" t="s">
        <v>32</v>
      </c>
      <c r="DDS75" s="244" t="s">
        <v>32</v>
      </c>
      <c r="DDT75" s="244" t="s">
        <v>32</v>
      </c>
      <c r="DDU75" s="244" t="s">
        <v>32</v>
      </c>
      <c r="DDV75" s="244" t="s">
        <v>32</v>
      </c>
      <c r="DDW75" s="244" t="s">
        <v>32</v>
      </c>
      <c r="DDX75" s="244" t="s">
        <v>32</v>
      </c>
      <c r="DDY75" s="244" t="s">
        <v>32</v>
      </c>
      <c r="DDZ75" s="244" t="s">
        <v>32</v>
      </c>
      <c r="DEA75" s="244" t="s">
        <v>32</v>
      </c>
      <c r="DEB75" s="244" t="s">
        <v>32</v>
      </c>
      <c r="DEC75" s="244" t="s">
        <v>32</v>
      </c>
      <c r="DED75" s="244" t="s">
        <v>32</v>
      </c>
      <c r="DEE75" s="244" t="s">
        <v>32</v>
      </c>
      <c r="DEF75" s="244" t="s">
        <v>32</v>
      </c>
      <c r="DEG75" s="244" t="s">
        <v>32</v>
      </c>
      <c r="DEH75" s="244" t="s">
        <v>32</v>
      </c>
      <c r="DEI75" s="244" t="s">
        <v>32</v>
      </c>
      <c r="DEJ75" s="244" t="s">
        <v>32</v>
      </c>
      <c r="DEK75" s="244" t="s">
        <v>32</v>
      </c>
      <c r="DEL75" s="244" t="s">
        <v>32</v>
      </c>
      <c r="DEM75" s="244" t="s">
        <v>32</v>
      </c>
      <c r="DEN75" s="244" t="s">
        <v>32</v>
      </c>
      <c r="DEO75" s="244" t="s">
        <v>32</v>
      </c>
      <c r="DEP75" s="244" t="s">
        <v>32</v>
      </c>
      <c r="DEQ75" s="244" t="s">
        <v>32</v>
      </c>
      <c r="DER75" s="244" t="s">
        <v>32</v>
      </c>
      <c r="DES75" s="244" t="s">
        <v>32</v>
      </c>
      <c r="DET75" s="244" t="s">
        <v>32</v>
      </c>
      <c r="DEU75" s="244" t="s">
        <v>32</v>
      </c>
      <c r="DEV75" s="244" t="s">
        <v>32</v>
      </c>
      <c r="DEW75" s="244" t="s">
        <v>32</v>
      </c>
      <c r="DEX75" s="244" t="s">
        <v>32</v>
      </c>
      <c r="DEY75" s="244" t="s">
        <v>32</v>
      </c>
      <c r="DEZ75" s="244" t="s">
        <v>32</v>
      </c>
      <c r="DFA75" s="244" t="s">
        <v>32</v>
      </c>
      <c r="DFB75" s="244" t="s">
        <v>32</v>
      </c>
      <c r="DFC75" s="244" t="s">
        <v>32</v>
      </c>
      <c r="DFD75" s="244" t="s">
        <v>32</v>
      </c>
      <c r="DFE75" s="244" t="s">
        <v>32</v>
      </c>
      <c r="DFF75" s="244" t="s">
        <v>32</v>
      </c>
      <c r="DFG75" s="244" t="s">
        <v>32</v>
      </c>
      <c r="DFH75" s="244" t="s">
        <v>32</v>
      </c>
      <c r="DFI75" s="244" t="s">
        <v>32</v>
      </c>
      <c r="DFJ75" s="244" t="s">
        <v>32</v>
      </c>
      <c r="DFK75" s="244" t="s">
        <v>32</v>
      </c>
      <c r="DFL75" s="244" t="s">
        <v>32</v>
      </c>
      <c r="DFM75" s="244" t="s">
        <v>32</v>
      </c>
      <c r="DFN75" s="244" t="s">
        <v>32</v>
      </c>
      <c r="DFO75" s="244" t="s">
        <v>32</v>
      </c>
      <c r="DFP75" s="244" t="s">
        <v>32</v>
      </c>
      <c r="DFQ75" s="244" t="s">
        <v>32</v>
      </c>
      <c r="DFR75" s="244" t="s">
        <v>32</v>
      </c>
      <c r="DFS75" s="244" t="s">
        <v>32</v>
      </c>
      <c r="DFT75" s="244" t="s">
        <v>32</v>
      </c>
      <c r="DFU75" s="244" t="s">
        <v>32</v>
      </c>
      <c r="DFV75" s="244" t="s">
        <v>32</v>
      </c>
      <c r="DFW75" s="244" t="s">
        <v>32</v>
      </c>
      <c r="DFX75" s="244" t="s">
        <v>32</v>
      </c>
      <c r="DFY75" s="244" t="s">
        <v>32</v>
      </c>
      <c r="DFZ75" s="244" t="s">
        <v>32</v>
      </c>
      <c r="DGA75" s="244" t="s">
        <v>32</v>
      </c>
      <c r="DGB75" s="244" t="s">
        <v>32</v>
      </c>
      <c r="DGC75" s="244" t="s">
        <v>32</v>
      </c>
      <c r="DGD75" s="244" t="s">
        <v>32</v>
      </c>
      <c r="DGE75" s="244" t="s">
        <v>32</v>
      </c>
      <c r="DGF75" s="244" t="s">
        <v>32</v>
      </c>
      <c r="DGG75" s="244" t="s">
        <v>32</v>
      </c>
      <c r="DGH75" s="244" t="s">
        <v>32</v>
      </c>
      <c r="DGI75" s="244" t="s">
        <v>32</v>
      </c>
      <c r="DGJ75" s="244" t="s">
        <v>32</v>
      </c>
      <c r="DGK75" s="244" t="s">
        <v>32</v>
      </c>
      <c r="DGL75" s="244" t="s">
        <v>32</v>
      </c>
      <c r="DGM75" s="244" t="s">
        <v>32</v>
      </c>
      <c r="DGN75" s="244" t="s">
        <v>32</v>
      </c>
      <c r="DGO75" s="244" t="s">
        <v>32</v>
      </c>
      <c r="DGP75" s="244" t="s">
        <v>32</v>
      </c>
      <c r="DGQ75" s="244" t="s">
        <v>32</v>
      </c>
      <c r="DGR75" s="244" t="s">
        <v>32</v>
      </c>
      <c r="DGS75" s="244" t="s">
        <v>32</v>
      </c>
      <c r="DGT75" s="244" t="s">
        <v>32</v>
      </c>
      <c r="DGU75" s="244" t="s">
        <v>32</v>
      </c>
      <c r="DGV75" s="244" t="s">
        <v>32</v>
      </c>
      <c r="DGW75" s="244" t="s">
        <v>32</v>
      </c>
      <c r="DGX75" s="244" t="s">
        <v>32</v>
      </c>
      <c r="DGY75" s="244" t="s">
        <v>32</v>
      </c>
      <c r="DGZ75" s="244" t="s">
        <v>32</v>
      </c>
      <c r="DHA75" s="244" t="s">
        <v>32</v>
      </c>
      <c r="DHB75" s="244" t="s">
        <v>32</v>
      </c>
      <c r="DHC75" s="244" t="s">
        <v>32</v>
      </c>
      <c r="DHD75" s="244" t="s">
        <v>32</v>
      </c>
      <c r="DHE75" s="244" t="s">
        <v>32</v>
      </c>
      <c r="DHF75" s="244" t="s">
        <v>32</v>
      </c>
      <c r="DHG75" s="244" t="s">
        <v>32</v>
      </c>
      <c r="DHH75" s="244" t="s">
        <v>32</v>
      </c>
      <c r="DHI75" s="244" t="s">
        <v>32</v>
      </c>
      <c r="DHJ75" s="244" t="s">
        <v>32</v>
      </c>
      <c r="DHK75" s="244" t="s">
        <v>32</v>
      </c>
      <c r="DHL75" s="244" t="s">
        <v>32</v>
      </c>
      <c r="DHM75" s="244" t="s">
        <v>32</v>
      </c>
      <c r="DHN75" s="244" t="s">
        <v>32</v>
      </c>
      <c r="DHO75" s="244" t="s">
        <v>32</v>
      </c>
      <c r="DHP75" s="244" t="s">
        <v>32</v>
      </c>
      <c r="DHQ75" s="244" t="s">
        <v>32</v>
      </c>
      <c r="DHR75" s="244" t="s">
        <v>32</v>
      </c>
      <c r="DHS75" s="244" t="s">
        <v>32</v>
      </c>
      <c r="DHT75" s="244" t="s">
        <v>32</v>
      </c>
      <c r="DHU75" s="244" t="s">
        <v>32</v>
      </c>
      <c r="DHV75" s="244" t="s">
        <v>32</v>
      </c>
      <c r="DHW75" s="244" t="s">
        <v>32</v>
      </c>
      <c r="DHX75" s="244" t="s">
        <v>32</v>
      </c>
      <c r="DHY75" s="244" t="s">
        <v>32</v>
      </c>
      <c r="DHZ75" s="244" t="s">
        <v>32</v>
      </c>
      <c r="DIA75" s="244" t="s">
        <v>32</v>
      </c>
      <c r="DIB75" s="244" t="s">
        <v>32</v>
      </c>
      <c r="DIC75" s="244" t="s">
        <v>32</v>
      </c>
      <c r="DID75" s="244" t="s">
        <v>32</v>
      </c>
      <c r="DIE75" s="244" t="s">
        <v>32</v>
      </c>
      <c r="DIF75" s="244" t="s">
        <v>32</v>
      </c>
      <c r="DIG75" s="244" t="s">
        <v>32</v>
      </c>
      <c r="DIH75" s="244" t="s">
        <v>32</v>
      </c>
      <c r="DII75" s="244" t="s">
        <v>32</v>
      </c>
      <c r="DIJ75" s="244" t="s">
        <v>32</v>
      </c>
      <c r="DIK75" s="244" t="s">
        <v>32</v>
      </c>
      <c r="DIL75" s="244" t="s">
        <v>32</v>
      </c>
      <c r="DIM75" s="244" t="s">
        <v>32</v>
      </c>
      <c r="DIN75" s="244" t="s">
        <v>32</v>
      </c>
      <c r="DIO75" s="244" t="s">
        <v>32</v>
      </c>
      <c r="DIP75" s="244" t="s">
        <v>32</v>
      </c>
      <c r="DIQ75" s="244" t="s">
        <v>32</v>
      </c>
      <c r="DIR75" s="244" t="s">
        <v>32</v>
      </c>
      <c r="DIS75" s="244" t="s">
        <v>32</v>
      </c>
      <c r="DIT75" s="244" t="s">
        <v>32</v>
      </c>
      <c r="DIU75" s="244" t="s">
        <v>32</v>
      </c>
      <c r="DIV75" s="244" t="s">
        <v>32</v>
      </c>
      <c r="DIW75" s="244" t="s">
        <v>32</v>
      </c>
      <c r="DIX75" s="244" t="s">
        <v>32</v>
      </c>
      <c r="DIY75" s="244" t="s">
        <v>32</v>
      </c>
      <c r="DIZ75" s="244" t="s">
        <v>32</v>
      </c>
      <c r="DJA75" s="244" t="s">
        <v>32</v>
      </c>
      <c r="DJB75" s="244" t="s">
        <v>32</v>
      </c>
      <c r="DJC75" s="244" t="s">
        <v>32</v>
      </c>
      <c r="DJD75" s="244" t="s">
        <v>32</v>
      </c>
      <c r="DJE75" s="244" t="s">
        <v>32</v>
      </c>
      <c r="DJF75" s="244" t="s">
        <v>32</v>
      </c>
      <c r="DJG75" s="244" t="s">
        <v>32</v>
      </c>
      <c r="DJH75" s="244" t="s">
        <v>32</v>
      </c>
      <c r="DJI75" s="244" t="s">
        <v>32</v>
      </c>
      <c r="DJJ75" s="244" t="s">
        <v>32</v>
      </c>
      <c r="DJK75" s="244" t="s">
        <v>32</v>
      </c>
      <c r="DJL75" s="244" t="s">
        <v>32</v>
      </c>
      <c r="DJM75" s="244" t="s">
        <v>32</v>
      </c>
      <c r="DJN75" s="244" t="s">
        <v>32</v>
      </c>
      <c r="DJO75" s="244" t="s">
        <v>32</v>
      </c>
      <c r="DJP75" s="244" t="s">
        <v>32</v>
      </c>
      <c r="DJQ75" s="244" t="s">
        <v>32</v>
      </c>
      <c r="DJR75" s="244" t="s">
        <v>32</v>
      </c>
      <c r="DJS75" s="244" t="s">
        <v>32</v>
      </c>
      <c r="DJT75" s="244" t="s">
        <v>32</v>
      </c>
      <c r="DJU75" s="244" t="s">
        <v>32</v>
      </c>
      <c r="DJV75" s="244" t="s">
        <v>32</v>
      </c>
      <c r="DJW75" s="244" t="s">
        <v>32</v>
      </c>
      <c r="DJX75" s="244" t="s">
        <v>32</v>
      </c>
      <c r="DJY75" s="244" t="s">
        <v>32</v>
      </c>
      <c r="DJZ75" s="244" t="s">
        <v>32</v>
      </c>
      <c r="DKA75" s="244" t="s">
        <v>32</v>
      </c>
      <c r="DKB75" s="244" t="s">
        <v>32</v>
      </c>
      <c r="DKC75" s="244" t="s">
        <v>32</v>
      </c>
      <c r="DKD75" s="244" t="s">
        <v>32</v>
      </c>
      <c r="DKE75" s="244" t="s">
        <v>32</v>
      </c>
      <c r="DKF75" s="244" t="s">
        <v>32</v>
      </c>
      <c r="DKG75" s="244" t="s">
        <v>32</v>
      </c>
      <c r="DKH75" s="244" t="s">
        <v>32</v>
      </c>
      <c r="DKI75" s="244" t="s">
        <v>32</v>
      </c>
      <c r="DKJ75" s="244" t="s">
        <v>32</v>
      </c>
      <c r="DKK75" s="244" t="s">
        <v>32</v>
      </c>
      <c r="DKL75" s="244" t="s">
        <v>32</v>
      </c>
      <c r="DKM75" s="244" t="s">
        <v>32</v>
      </c>
      <c r="DKN75" s="244" t="s">
        <v>32</v>
      </c>
      <c r="DKO75" s="244" t="s">
        <v>32</v>
      </c>
      <c r="DKP75" s="244" t="s">
        <v>32</v>
      </c>
      <c r="DKQ75" s="244" t="s">
        <v>32</v>
      </c>
      <c r="DKR75" s="244" t="s">
        <v>32</v>
      </c>
      <c r="DKS75" s="244" t="s">
        <v>32</v>
      </c>
      <c r="DKT75" s="244" t="s">
        <v>32</v>
      </c>
      <c r="DKU75" s="244" t="s">
        <v>32</v>
      </c>
      <c r="DKV75" s="244" t="s">
        <v>32</v>
      </c>
      <c r="DKW75" s="244" t="s">
        <v>32</v>
      </c>
      <c r="DKX75" s="244" t="s">
        <v>32</v>
      </c>
      <c r="DKY75" s="244" t="s">
        <v>32</v>
      </c>
      <c r="DKZ75" s="244" t="s">
        <v>32</v>
      </c>
      <c r="DLA75" s="244" t="s">
        <v>32</v>
      </c>
      <c r="DLB75" s="244" t="s">
        <v>32</v>
      </c>
      <c r="DLC75" s="244" t="s">
        <v>32</v>
      </c>
      <c r="DLD75" s="244" t="s">
        <v>32</v>
      </c>
      <c r="DLE75" s="244" t="s">
        <v>32</v>
      </c>
      <c r="DLF75" s="244" t="s">
        <v>32</v>
      </c>
      <c r="DLG75" s="244" t="s">
        <v>32</v>
      </c>
      <c r="DLH75" s="244" t="s">
        <v>32</v>
      </c>
      <c r="DLI75" s="244" t="s">
        <v>32</v>
      </c>
      <c r="DLJ75" s="244" t="s">
        <v>32</v>
      </c>
      <c r="DLK75" s="244" t="s">
        <v>32</v>
      </c>
      <c r="DLL75" s="244" t="s">
        <v>32</v>
      </c>
      <c r="DLM75" s="244" t="s">
        <v>32</v>
      </c>
      <c r="DLN75" s="244" t="s">
        <v>32</v>
      </c>
      <c r="DLO75" s="244" t="s">
        <v>32</v>
      </c>
      <c r="DLP75" s="244" t="s">
        <v>32</v>
      </c>
      <c r="DLQ75" s="244" t="s">
        <v>32</v>
      </c>
      <c r="DLR75" s="244" t="s">
        <v>32</v>
      </c>
      <c r="DLS75" s="244" t="s">
        <v>32</v>
      </c>
      <c r="DLT75" s="244" t="s">
        <v>32</v>
      </c>
      <c r="DLU75" s="244" t="s">
        <v>32</v>
      </c>
      <c r="DLV75" s="244" t="s">
        <v>32</v>
      </c>
      <c r="DLW75" s="244" t="s">
        <v>32</v>
      </c>
      <c r="DLX75" s="244" t="s">
        <v>32</v>
      </c>
      <c r="DLY75" s="244" t="s">
        <v>32</v>
      </c>
      <c r="DLZ75" s="244" t="s">
        <v>32</v>
      </c>
      <c r="DMA75" s="244" t="s">
        <v>32</v>
      </c>
      <c r="DMB75" s="244" t="s">
        <v>32</v>
      </c>
      <c r="DMC75" s="244" t="s">
        <v>32</v>
      </c>
      <c r="DMD75" s="244" t="s">
        <v>32</v>
      </c>
      <c r="DME75" s="244" t="s">
        <v>32</v>
      </c>
      <c r="DMF75" s="244" t="s">
        <v>32</v>
      </c>
      <c r="DMG75" s="244" t="s">
        <v>32</v>
      </c>
      <c r="DMH75" s="244" t="s">
        <v>32</v>
      </c>
      <c r="DMI75" s="244" t="s">
        <v>32</v>
      </c>
      <c r="DMJ75" s="244" t="s">
        <v>32</v>
      </c>
      <c r="DMK75" s="244" t="s">
        <v>32</v>
      </c>
      <c r="DML75" s="244" t="s">
        <v>32</v>
      </c>
      <c r="DMM75" s="244" t="s">
        <v>32</v>
      </c>
      <c r="DMN75" s="244" t="s">
        <v>32</v>
      </c>
      <c r="DMO75" s="244" t="s">
        <v>32</v>
      </c>
      <c r="DMP75" s="244" t="s">
        <v>32</v>
      </c>
      <c r="DMQ75" s="244" t="s">
        <v>32</v>
      </c>
      <c r="DMR75" s="244" t="s">
        <v>32</v>
      </c>
      <c r="DMS75" s="244" t="s">
        <v>32</v>
      </c>
      <c r="DMT75" s="244" t="s">
        <v>32</v>
      </c>
      <c r="DMU75" s="244" t="s">
        <v>32</v>
      </c>
      <c r="DMV75" s="244" t="s">
        <v>32</v>
      </c>
      <c r="DMW75" s="244" t="s">
        <v>32</v>
      </c>
      <c r="DMX75" s="244" t="s">
        <v>32</v>
      </c>
      <c r="DMY75" s="244" t="s">
        <v>32</v>
      </c>
      <c r="DMZ75" s="244" t="s">
        <v>32</v>
      </c>
      <c r="DNA75" s="244" t="s">
        <v>32</v>
      </c>
      <c r="DNB75" s="244" t="s">
        <v>32</v>
      </c>
      <c r="DNC75" s="244" t="s">
        <v>32</v>
      </c>
      <c r="DND75" s="244" t="s">
        <v>32</v>
      </c>
      <c r="DNE75" s="244" t="s">
        <v>32</v>
      </c>
      <c r="DNF75" s="244" t="s">
        <v>32</v>
      </c>
      <c r="DNG75" s="244" t="s">
        <v>32</v>
      </c>
      <c r="DNH75" s="244" t="s">
        <v>32</v>
      </c>
      <c r="DNI75" s="244" t="s">
        <v>32</v>
      </c>
      <c r="DNJ75" s="244" t="s">
        <v>32</v>
      </c>
      <c r="DNK75" s="244" t="s">
        <v>32</v>
      </c>
      <c r="DNL75" s="244" t="s">
        <v>32</v>
      </c>
      <c r="DNM75" s="244" t="s">
        <v>32</v>
      </c>
      <c r="DNN75" s="244" t="s">
        <v>32</v>
      </c>
      <c r="DNO75" s="244" t="s">
        <v>32</v>
      </c>
      <c r="DNP75" s="244" t="s">
        <v>32</v>
      </c>
      <c r="DNQ75" s="244" t="s">
        <v>32</v>
      </c>
      <c r="DNR75" s="244" t="s">
        <v>32</v>
      </c>
      <c r="DNS75" s="244" t="s">
        <v>32</v>
      </c>
      <c r="DNT75" s="244" t="s">
        <v>32</v>
      </c>
      <c r="DNU75" s="244" t="s">
        <v>32</v>
      </c>
      <c r="DNV75" s="244" t="s">
        <v>32</v>
      </c>
      <c r="DNW75" s="244" t="s">
        <v>32</v>
      </c>
      <c r="DNX75" s="244" t="s">
        <v>32</v>
      </c>
      <c r="DNY75" s="244" t="s">
        <v>32</v>
      </c>
      <c r="DNZ75" s="244" t="s">
        <v>32</v>
      </c>
      <c r="DOA75" s="244" t="s">
        <v>32</v>
      </c>
      <c r="DOB75" s="244" t="s">
        <v>32</v>
      </c>
      <c r="DOC75" s="244" t="s">
        <v>32</v>
      </c>
      <c r="DOD75" s="244" t="s">
        <v>32</v>
      </c>
      <c r="DOE75" s="244" t="s">
        <v>32</v>
      </c>
      <c r="DOF75" s="244" t="s">
        <v>32</v>
      </c>
      <c r="DOG75" s="244" t="s">
        <v>32</v>
      </c>
      <c r="DOH75" s="244" t="s">
        <v>32</v>
      </c>
      <c r="DOI75" s="244" t="s">
        <v>32</v>
      </c>
      <c r="DOJ75" s="244" t="s">
        <v>32</v>
      </c>
      <c r="DOK75" s="244" t="s">
        <v>32</v>
      </c>
      <c r="DOL75" s="244" t="s">
        <v>32</v>
      </c>
      <c r="DOM75" s="244" t="s">
        <v>32</v>
      </c>
      <c r="DON75" s="244" t="s">
        <v>32</v>
      </c>
      <c r="DOO75" s="244" t="s">
        <v>32</v>
      </c>
      <c r="DOP75" s="244" t="s">
        <v>32</v>
      </c>
      <c r="DOQ75" s="244" t="s">
        <v>32</v>
      </c>
      <c r="DOR75" s="244" t="s">
        <v>32</v>
      </c>
      <c r="DOS75" s="244" t="s">
        <v>32</v>
      </c>
      <c r="DOT75" s="244" t="s">
        <v>32</v>
      </c>
      <c r="DOU75" s="244" t="s">
        <v>32</v>
      </c>
      <c r="DOV75" s="244" t="s">
        <v>32</v>
      </c>
      <c r="DOW75" s="244" t="s">
        <v>32</v>
      </c>
      <c r="DOX75" s="244" t="s">
        <v>32</v>
      </c>
      <c r="DOY75" s="244" t="s">
        <v>32</v>
      </c>
      <c r="DOZ75" s="244" t="s">
        <v>32</v>
      </c>
      <c r="DPA75" s="244" t="s">
        <v>32</v>
      </c>
      <c r="DPB75" s="244" t="s">
        <v>32</v>
      </c>
      <c r="DPC75" s="244" t="s">
        <v>32</v>
      </c>
      <c r="DPD75" s="244" t="s">
        <v>32</v>
      </c>
      <c r="DPE75" s="244" t="s">
        <v>32</v>
      </c>
      <c r="DPF75" s="244" t="s">
        <v>32</v>
      </c>
      <c r="DPG75" s="244" t="s">
        <v>32</v>
      </c>
      <c r="DPH75" s="244" t="s">
        <v>32</v>
      </c>
      <c r="DPI75" s="244" t="s">
        <v>32</v>
      </c>
      <c r="DPJ75" s="244" t="s">
        <v>32</v>
      </c>
      <c r="DPK75" s="244" t="s">
        <v>32</v>
      </c>
      <c r="DPL75" s="244" t="s">
        <v>32</v>
      </c>
      <c r="DPM75" s="244" t="s">
        <v>32</v>
      </c>
      <c r="DPN75" s="244" t="s">
        <v>32</v>
      </c>
      <c r="DPO75" s="244" t="s">
        <v>32</v>
      </c>
      <c r="DPP75" s="244" t="s">
        <v>32</v>
      </c>
      <c r="DPQ75" s="244" t="s">
        <v>32</v>
      </c>
      <c r="DPR75" s="244" t="s">
        <v>32</v>
      </c>
      <c r="DPS75" s="244" t="s">
        <v>32</v>
      </c>
      <c r="DPT75" s="244" t="s">
        <v>32</v>
      </c>
      <c r="DPU75" s="244" t="s">
        <v>32</v>
      </c>
      <c r="DPV75" s="244" t="s">
        <v>32</v>
      </c>
      <c r="DPW75" s="244" t="s">
        <v>32</v>
      </c>
      <c r="DPX75" s="244" t="s">
        <v>32</v>
      </c>
      <c r="DPY75" s="244" t="s">
        <v>32</v>
      </c>
      <c r="DPZ75" s="244" t="s">
        <v>32</v>
      </c>
      <c r="DQA75" s="244" t="s">
        <v>32</v>
      </c>
      <c r="DQB75" s="244" t="s">
        <v>32</v>
      </c>
      <c r="DQC75" s="244" t="s">
        <v>32</v>
      </c>
      <c r="DQD75" s="244" t="s">
        <v>32</v>
      </c>
      <c r="DQE75" s="244" t="s">
        <v>32</v>
      </c>
      <c r="DQF75" s="244" t="s">
        <v>32</v>
      </c>
      <c r="DQG75" s="244" t="s">
        <v>32</v>
      </c>
      <c r="DQH75" s="244" t="s">
        <v>32</v>
      </c>
      <c r="DQI75" s="244" t="s">
        <v>32</v>
      </c>
      <c r="DQJ75" s="244" t="s">
        <v>32</v>
      </c>
      <c r="DQK75" s="244" t="s">
        <v>32</v>
      </c>
      <c r="DQL75" s="244" t="s">
        <v>32</v>
      </c>
      <c r="DQM75" s="244" t="s">
        <v>32</v>
      </c>
      <c r="DQN75" s="244" t="s">
        <v>32</v>
      </c>
      <c r="DQO75" s="244" t="s">
        <v>32</v>
      </c>
      <c r="DQP75" s="244" t="s">
        <v>32</v>
      </c>
      <c r="DQQ75" s="244" t="s">
        <v>32</v>
      </c>
      <c r="DQR75" s="244" t="s">
        <v>32</v>
      </c>
      <c r="DQS75" s="244" t="s">
        <v>32</v>
      </c>
      <c r="DQT75" s="244" t="s">
        <v>32</v>
      </c>
      <c r="DQU75" s="244" t="s">
        <v>32</v>
      </c>
      <c r="DQV75" s="244" t="s">
        <v>32</v>
      </c>
      <c r="DQW75" s="244" t="s">
        <v>32</v>
      </c>
      <c r="DQX75" s="244" t="s">
        <v>32</v>
      </c>
      <c r="DQY75" s="244" t="s">
        <v>32</v>
      </c>
      <c r="DQZ75" s="244" t="s">
        <v>32</v>
      </c>
      <c r="DRA75" s="244" t="s">
        <v>32</v>
      </c>
      <c r="DRB75" s="244" t="s">
        <v>32</v>
      </c>
      <c r="DRC75" s="244" t="s">
        <v>32</v>
      </c>
      <c r="DRD75" s="244" t="s">
        <v>32</v>
      </c>
      <c r="DRE75" s="244" t="s">
        <v>32</v>
      </c>
      <c r="DRF75" s="244" t="s">
        <v>32</v>
      </c>
      <c r="DRG75" s="244" t="s">
        <v>32</v>
      </c>
      <c r="DRH75" s="244" t="s">
        <v>32</v>
      </c>
      <c r="DRI75" s="244" t="s">
        <v>32</v>
      </c>
      <c r="DRJ75" s="244" t="s">
        <v>32</v>
      </c>
      <c r="DRK75" s="244" t="s">
        <v>32</v>
      </c>
      <c r="DRL75" s="244" t="s">
        <v>32</v>
      </c>
      <c r="DRM75" s="244" t="s">
        <v>32</v>
      </c>
      <c r="DRN75" s="244" t="s">
        <v>32</v>
      </c>
      <c r="DRO75" s="244" t="s">
        <v>32</v>
      </c>
      <c r="DRP75" s="244" t="s">
        <v>32</v>
      </c>
      <c r="DRQ75" s="244" t="s">
        <v>32</v>
      </c>
      <c r="DRR75" s="244" t="s">
        <v>32</v>
      </c>
      <c r="DRS75" s="244" t="s">
        <v>32</v>
      </c>
      <c r="DRT75" s="244" t="s">
        <v>32</v>
      </c>
      <c r="DRU75" s="244" t="s">
        <v>32</v>
      </c>
      <c r="DRV75" s="244" t="s">
        <v>32</v>
      </c>
      <c r="DRW75" s="244" t="s">
        <v>32</v>
      </c>
      <c r="DRX75" s="244" t="s">
        <v>32</v>
      </c>
      <c r="DRY75" s="244" t="s">
        <v>32</v>
      </c>
      <c r="DRZ75" s="244" t="s">
        <v>32</v>
      </c>
      <c r="DSA75" s="244" t="s">
        <v>32</v>
      </c>
      <c r="DSB75" s="244" t="s">
        <v>32</v>
      </c>
      <c r="DSC75" s="244" t="s">
        <v>32</v>
      </c>
      <c r="DSD75" s="244" t="s">
        <v>32</v>
      </c>
      <c r="DSE75" s="244" t="s">
        <v>32</v>
      </c>
      <c r="DSF75" s="244" t="s">
        <v>32</v>
      </c>
      <c r="DSG75" s="244" t="s">
        <v>32</v>
      </c>
      <c r="DSH75" s="244" t="s">
        <v>32</v>
      </c>
      <c r="DSI75" s="244" t="s">
        <v>32</v>
      </c>
      <c r="DSJ75" s="244" t="s">
        <v>32</v>
      </c>
      <c r="DSK75" s="244" t="s">
        <v>32</v>
      </c>
      <c r="DSL75" s="244" t="s">
        <v>32</v>
      </c>
      <c r="DSM75" s="244" t="s">
        <v>32</v>
      </c>
      <c r="DSN75" s="244" t="s">
        <v>32</v>
      </c>
      <c r="DSO75" s="244" t="s">
        <v>32</v>
      </c>
      <c r="DSP75" s="244" t="s">
        <v>32</v>
      </c>
      <c r="DSQ75" s="244" t="s">
        <v>32</v>
      </c>
      <c r="DSR75" s="244" t="s">
        <v>32</v>
      </c>
      <c r="DSS75" s="244" t="s">
        <v>32</v>
      </c>
      <c r="DST75" s="244" t="s">
        <v>32</v>
      </c>
      <c r="DSU75" s="244" t="s">
        <v>32</v>
      </c>
      <c r="DSV75" s="244" t="s">
        <v>32</v>
      </c>
      <c r="DSW75" s="244" t="s">
        <v>32</v>
      </c>
      <c r="DSX75" s="244" t="s">
        <v>32</v>
      </c>
      <c r="DSY75" s="244" t="s">
        <v>32</v>
      </c>
      <c r="DSZ75" s="244" t="s">
        <v>32</v>
      </c>
      <c r="DTA75" s="244" t="s">
        <v>32</v>
      </c>
      <c r="DTB75" s="244" t="s">
        <v>32</v>
      </c>
      <c r="DTC75" s="244" t="s">
        <v>32</v>
      </c>
      <c r="DTD75" s="244" t="s">
        <v>32</v>
      </c>
      <c r="DTE75" s="244" t="s">
        <v>32</v>
      </c>
      <c r="DTF75" s="244" t="s">
        <v>32</v>
      </c>
      <c r="DTG75" s="244" t="s">
        <v>32</v>
      </c>
      <c r="DTH75" s="244" t="s">
        <v>32</v>
      </c>
      <c r="DTI75" s="244" t="s">
        <v>32</v>
      </c>
      <c r="DTJ75" s="244" t="s">
        <v>32</v>
      </c>
      <c r="DTK75" s="244" t="s">
        <v>32</v>
      </c>
      <c r="DTL75" s="244" t="s">
        <v>32</v>
      </c>
      <c r="DTM75" s="244" t="s">
        <v>32</v>
      </c>
      <c r="DTN75" s="244" t="s">
        <v>32</v>
      </c>
      <c r="DTO75" s="244" t="s">
        <v>32</v>
      </c>
      <c r="DTP75" s="244" t="s">
        <v>32</v>
      </c>
      <c r="DTQ75" s="244" t="s">
        <v>32</v>
      </c>
      <c r="DTR75" s="244" t="s">
        <v>32</v>
      </c>
      <c r="DTS75" s="244" t="s">
        <v>32</v>
      </c>
      <c r="DTT75" s="244" t="s">
        <v>32</v>
      </c>
      <c r="DTU75" s="244" t="s">
        <v>32</v>
      </c>
      <c r="DTV75" s="244" t="s">
        <v>32</v>
      </c>
      <c r="DTW75" s="244" t="s">
        <v>32</v>
      </c>
      <c r="DTX75" s="244" t="s">
        <v>32</v>
      </c>
      <c r="DTY75" s="244" t="s">
        <v>32</v>
      </c>
      <c r="DTZ75" s="244" t="s">
        <v>32</v>
      </c>
      <c r="DUA75" s="244" t="s">
        <v>32</v>
      </c>
      <c r="DUB75" s="244" t="s">
        <v>32</v>
      </c>
      <c r="DUC75" s="244" t="s">
        <v>32</v>
      </c>
      <c r="DUD75" s="244" t="s">
        <v>32</v>
      </c>
      <c r="DUE75" s="244" t="s">
        <v>32</v>
      </c>
      <c r="DUF75" s="244" t="s">
        <v>32</v>
      </c>
      <c r="DUG75" s="244" t="s">
        <v>32</v>
      </c>
      <c r="DUH75" s="244" t="s">
        <v>32</v>
      </c>
      <c r="DUI75" s="244" t="s">
        <v>32</v>
      </c>
      <c r="DUJ75" s="244" t="s">
        <v>32</v>
      </c>
      <c r="DUK75" s="244" t="s">
        <v>32</v>
      </c>
      <c r="DUL75" s="244" t="s">
        <v>32</v>
      </c>
      <c r="DUM75" s="244" t="s">
        <v>32</v>
      </c>
      <c r="DUN75" s="244" t="s">
        <v>32</v>
      </c>
      <c r="DUO75" s="244" t="s">
        <v>32</v>
      </c>
      <c r="DUP75" s="244" t="s">
        <v>32</v>
      </c>
      <c r="DUQ75" s="244" t="s">
        <v>32</v>
      </c>
      <c r="DUR75" s="244" t="s">
        <v>32</v>
      </c>
      <c r="DUS75" s="244" t="s">
        <v>32</v>
      </c>
      <c r="DUT75" s="244" t="s">
        <v>32</v>
      </c>
      <c r="DUU75" s="244" t="s">
        <v>32</v>
      </c>
      <c r="DUV75" s="244" t="s">
        <v>32</v>
      </c>
      <c r="DUW75" s="244" t="s">
        <v>32</v>
      </c>
      <c r="DUX75" s="244" t="s">
        <v>32</v>
      </c>
      <c r="DUY75" s="244" t="s">
        <v>32</v>
      </c>
      <c r="DUZ75" s="244" t="s">
        <v>32</v>
      </c>
      <c r="DVA75" s="244" t="s">
        <v>32</v>
      </c>
      <c r="DVB75" s="244" t="s">
        <v>32</v>
      </c>
      <c r="DVC75" s="244" t="s">
        <v>32</v>
      </c>
      <c r="DVD75" s="244" t="s">
        <v>32</v>
      </c>
      <c r="DVE75" s="244" t="s">
        <v>32</v>
      </c>
      <c r="DVF75" s="244" t="s">
        <v>32</v>
      </c>
      <c r="DVG75" s="244" t="s">
        <v>32</v>
      </c>
      <c r="DVH75" s="244" t="s">
        <v>32</v>
      </c>
      <c r="DVI75" s="244" t="s">
        <v>32</v>
      </c>
      <c r="DVJ75" s="244" t="s">
        <v>32</v>
      </c>
      <c r="DVK75" s="244" t="s">
        <v>32</v>
      </c>
      <c r="DVL75" s="244" t="s">
        <v>32</v>
      </c>
      <c r="DVM75" s="244" t="s">
        <v>32</v>
      </c>
      <c r="DVN75" s="244" t="s">
        <v>32</v>
      </c>
      <c r="DVO75" s="244" t="s">
        <v>32</v>
      </c>
      <c r="DVP75" s="244" t="s">
        <v>32</v>
      </c>
      <c r="DVQ75" s="244" t="s">
        <v>32</v>
      </c>
      <c r="DVR75" s="244" t="s">
        <v>32</v>
      </c>
      <c r="DVS75" s="244" t="s">
        <v>32</v>
      </c>
      <c r="DVT75" s="244" t="s">
        <v>32</v>
      </c>
      <c r="DVU75" s="244" t="s">
        <v>32</v>
      </c>
      <c r="DVV75" s="244" t="s">
        <v>32</v>
      </c>
      <c r="DVW75" s="244" t="s">
        <v>32</v>
      </c>
      <c r="DVX75" s="244" t="s">
        <v>32</v>
      </c>
      <c r="DVY75" s="244" t="s">
        <v>32</v>
      </c>
      <c r="DVZ75" s="244" t="s">
        <v>32</v>
      </c>
      <c r="DWA75" s="244" t="s">
        <v>32</v>
      </c>
      <c r="DWB75" s="244" t="s">
        <v>32</v>
      </c>
      <c r="DWC75" s="244" t="s">
        <v>32</v>
      </c>
      <c r="DWD75" s="244" t="s">
        <v>32</v>
      </c>
      <c r="DWE75" s="244" t="s">
        <v>32</v>
      </c>
      <c r="DWF75" s="244" t="s">
        <v>32</v>
      </c>
      <c r="DWG75" s="244" t="s">
        <v>32</v>
      </c>
      <c r="DWH75" s="244" t="s">
        <v>32</v>
      </c>
      <c r="DWI75" s="244" t="s">
        <v>32</v>
      </c>
      <c r="DWJ75" s="244" t="s">
        <v>32</v>
      </c>
      <c r="DWK75" s="244" t="s">
        <v>32</v>
      </c>
      <c r="DWL75" s="244" t="s">
        <v>32</v>
      </c>
      <c r="DWM75" s="244" t="s">
        <v>32</v>
      </c>
      <c r="DWN75" s="244" t="s">
        <v>32</v>
      </c>
      <c r="DWO75" s="244" t="s">
        <v>32</v>
      </c>
      <c r="DWP75" s="244" t="s">
        <v>32</v>
      </c>
      <c r="DWQ75" s="244" t="s">
        <v>32</v>
      </c>
      <c r="DWR75" s="244" t="s">
        <v>32</v>
      </c>
      <c r="DWS75" s="244" t="s">
        <v>32</v>
      </c>
      <c r="DWT75" s="244" t="s">
        <v>32</v>
      </c>
      <c r="DWU75" s="244" t="s">
        <v>32</v>
      </c>
      <c r="DWV75" s="244" t="s">
        <v>32</v>
      </c>
      <c r="DWW75" s="244" t="s">
        <v>32</v>
      </c>
      <c r="DWX75" s="244" t="s">
        <v>32</v>
      </c>
      <c r="DWY75" s="244" t="s">
        <v>32</v>
      </c>
      <c r="DWZ75" s="244" t="s">
        <v>32</v>
      </c>
      <c r="DXA75" s="244" t="s">
        <v>32</v>
      </c>
      <c r="DXB75" s="244" t="s">
        <v>32</v>
      </c>
      <c r="DXC75" s="244" t="s">
        <v>32</v>
      </c>
      <c r="DXD75" s="244" t="s">
        <v>32</v>
      </c>
      <c r="DXE75" s="244" t="s">
        <v>32</v>
      </c>
      <c r="DXF75" s="244" t="s">
        <v>32</v>
      </c>
      <c r="DXG75" s="244" t="s">
        <v>32</v>
      </c>
      <c r="DXH75" s="244" t="s">
        <v>32</v>
      </c>
      <c r="DXI75" s="244" t="s">
        <v>32</v>
      </c>
      <c r="DXJ75" s="244" t="s">
        <v>32</v>
      </c>
      <c r="DXK75" s="244" t="s">
        <v>32</v>
      </c>
      <c r="DXL75" s="244" t="s">
        <v>32</v>
      </c>
      <c r="DXM75" s="244" t="s">
        <v>32</v>
      </c>
      <c r="DXN75" s="244" t="s">
        <v>32</v>
      </c>
      <c r="DXO75" s="244" t="s">
        <v>32</v>
      </c>
      <c r="DXP75" s="244" t="s">
        <v>32</v>
      </c>
      <c r="DXQ75" s="244" t="s">
        <v>32</v>
      </c>
      <c r="DXR75" s="244" t="s">
        <v>32</v>
      </c>
      <c r="DXS75" s="244" t="s">
        <v>32</v>
      </c>
      <c r="DXT75" s="244" t="s">
        <v>32</v>
      </c>
      <c r="DXU75" s="244" t="s">
        <v>32</v>
      </c>
      <c r="DXV75" s="244" t="s">
        <v>32</v>
      </c>
      <c r="DXW75" s="244" t="s">
        <v>32</v>
      </c>
      <c r="DXX75" s="244" t="s">
        <v>32</v>
      </c>
      <c r="DXY75" s="244" t="s">
        <v>32</v>
      </c>
      <c r="DXZ75" s="244" t="s">
        <v>32</v>
      </c>
      <c r="DYA75" s="244" t="s">
        <v>32</v>
      </c>
      <c r="DYB75" s="244" t="s">
        <v>32</v>
      </c>
      <c r="DYC75" s="244" t="s">
        <v>32</v>
      </c>
      <c r="DYD75" s="244" t="s">
        <v>32</v>
      </c>
      <c r="DYE75" s="244" t="s">
        <v>32</v>
      </c>
      <c r="DYF75" s="244" t="s">
        <v>32</v>
      </c>
      <c r="DYG75" s="244" t="s">
        <v>32</v>
      </c>
      <c r="DYH75" s="244" t="s">
        <v>32</v>
      </c>
      <c r="DYI75" s="244" t="s">
        <v>32</v>
      </c>
      <c r="DYJ75" s="244" t="s">
        <v>32</v>
      </c>
      <c r="DYK75" s="244" t="s">
        <v>32</v>
      </c>
      <c r="DYL75" s="244" t="s">
        <v>32</v>
      </c>
      <c r="DYM75" s="244" t="s">
        <v>32</v>
      </c>
      <c r="DYN75" s="244" t="s">
        <v>32</v>
      </c>
      <c r="DYO75" s="244" t="s">
        <v>32</v>
      </c>
      <c r="DYP75" s="244" t="s">
        <v>32</v>
      </c>
      <c r="DYQ75" s="244" t="s">
        <v>32</v>
      </c>
      <c r="DYR75" s="244" t="s">
        <v>32</v>
      </c>
      <c r="DYS75" s="244" t="s">
        <v>32</v>
      </c>
      <c r="DYT75" s="244" t="s">
        <v>32</v>
      </c>
      <c r="DYU75" s="244" t="s">
        <v>32</v>
      </c>
      <c r="DYV75" s="244" t="s">
        <v>32</v>
      </c>
      <c r="DYW75" s="244" t="s">
        <v>32</v>
      </c>
      <c r="DYX75" s="244" t="s">
        <v>32</v>
      </c>
      <c r="DYY75" s="244" t="s">
        <v>32</v>
      </c>
      <c r="DYZ75" s="244" t="s">
        <v>32</v>
      </c>
      <c r="DZA75" s="244" t="s">
        <v>32</v>
      </c>
      <c r="DZB75" s="244" t="s">
        <v>32</v>
      </c>
      <c r="DZC75" s="244" t="s">
        <v>32</v>
      </c>
      <c r="DZD75" s="244" t="s">
        <v>32</v>
      </c>
      <c r="DZE75" s="244" t="s">
        <v>32</v>
      </c>
      <c r="DZF75" s="244" t="s">
        <v>32</v>
      </c>
      <c r="DZG75" s="244" t="s">
        <v>32</v>
      </c>
      <c r="DZH75" s="244" t="s">
        <v>32</v>
      </c>
      <c r="DZI75" s="244" t="s">
        <v>32</v>
      </c>
      <c r="DZJ75" s="244" t="s">
        <v>32</v>
      </c>
      <c r="DZK75" s="244" t="s">
        <v>32</v>
      </c>
      <c r="DZL75" s="244" t="s">
        <v>32</v>
      </c>
      <c r="DZM75" s="244" t="s">
        <v>32</v>
      </c>
      <c r="DZN75" s="244" t="s">
        <v>32</v>
      </c>
      <c r="DZO75" s="244" t="s">
        <v>32</v>
      </c>
      <c r="DZP75" s="244" t="s">
        <v>32</v>
      </c>
      <c r="DZQ75" s="244" t="s">
        <v>32</v>
      </c>
      <c r="DZR75" s="244" t="s">
        <v>32</v>
      </c>
      <c r="DZS75" s="244" t="s">
        <v>32</v>
      </c>
      <c r="DZT75" s="244" t="s">
        <v>32</v>
      </c>
      <c r="DZU75" s="244" t="s">
        <v>32</v>
      </c>
      <c r="DZV75" s="244" t="s">
        <v>32</v>
      </c>
      <c r="DZW75" s="244" t="s">
        <v>32</v>
      </c>
      <c r="DZX75" s="244" t="s">
        <v>32</v>
      </c>
      <c r="DZY75" s="244" t="s">
        <v>32</v>
      </c>
      <c r="DZZ75" s="244" t="s">
        <v>32</v>
      </c>
      <c r="EAA75" s="244" t="s">
        <v>32</v>
      </c>
      <c r="EAB75" s="244" t="s">
        <v>32</v>
      </c>
      <c r="EAC75" s="244" t="s">
        <v>32</v>
      </c>
      <c r="EAD75" s="244" t="s">
        <v>32</v>
      </c>
      <c r="EAE75" s="244" t="s">
        <v>32</v>
      </c>
      <c r="EAF75" s="244" t="s">
        <v>32</v>
      </c>
      <c r="EAG75" s="244" t="s">
        <v>32</v>
      </c>
      <c r="EAH75" s="244" t="s">
        <v>32</v>
      </c>
      <c r="EAI75" s="244" t="s">
        <v>32</v>
      </c>
      <c r="EAJ75" s="244" t="s">
        <v>32</v>
      </c>
      <c r="EAK75" s="244" t="s">
        <v>32</v>
      </c>
      <c r="EAL75" s="244" t="s">
        <v>32</v>
      </c>
      <c r="EAM75" s="244" t="s">
        <v>32</v>
      </c>
      <c r="EAN75" s="244" t="s">
        <v>32</v>
      </c>
      <c r="EAO75" s="244" t="s">
        <v>32</v>
      </c>
      <c r="EAP75" s="244" t="s">
        <v>32</v>
      </c>
      <c r="EAQ75" s="244" t="s">
        <v>32</v>
      </c>
      <c r="EAR75" s="244" t="s">
        <v>32</v>
      </c>
      <c r="EAS75" s="244" t="s">
        <v>32</v>
      </c>
      <c r="EAT75" s="244" t="s">
        <v>32</v>
      </c>
      <c r="EAU75" s="244" t="s">
        <v>32</v>
      </c>
      <c r="EAV75" s="244" t="s">
        <v>32</v>
      </c>
      <c r="EAW75" s="244" t="s">
        <v>32</v>
      </c>
      <c r="EAX75" s="244" t="s">
        <v>32</v>
      </c>
      <c r="EAY75" s="244" t="s">
        <v>32</v>
      </c>
      <c r="EAZ75" s="244" t="s">
        <v>32</v>
      </c>
      <c r="EBA75" s="244" t="s">
        <v>32</v>
      </c>
      <c r="EBB75" s="244" t="s">
        <v>32</v>
      </c>
      <c r="EBC75" s="244" t="s">
        <v>32</v>
      </c>
      <c r="EBD75" s="244" t="s">
        <v>32</v>
      </c>
      <c r="EBE75" s="244" t="s">
        <v>32</v>
      </c>
      <c r="EBF75" s="244" t="s">
        <v>32</v>
      </c>
      <c r="EBG75" s="244" t="s">
        <v>32</v>
      </c>
      <c r="EBH75" s="244" t="s">
        <v>32</v>
      </c>
      <c r="EBI75" s="244" t="s">
        <v>32</v>
      </c>
      <c r="EBJ75" s="244" t="s">
        <v>32</v>
      </c>
      <c r="EBK75" s="244" t="s">
        <v>32</v>
      </c>
      <c r="EBL75" s="244" t="s">
        <v>32</v>
      </c>
      <c r="EBM75" s="244" t="s">
        <v>32</v>
      </c>
      <c r="EBN75" s="244" t="s">
        <v>32</v>
      </c>
      <c r="EBO75" s="244" t="s">
        <v>32</v>
      </c>
      <c r="EBP75" s="244" t="s">
        <v>32</v>
      </c>
      <c r="EBQ75" s="244" t="s">
        <v>32</v>
      </c>
      <c r="EBR75" s="244" t="s">
        <v>32</v>
      </c>
      <c r="EBS75" s="244" t="s">
        <v>32</v>
      </c>
      <c r="EBT75" s="244" t="s">
        <v>32</v>
      </c>
      <c r="EBU75" s="244" t="s">
        <v>32</v>
      </c>
      <c r="EBV75" s="244" t="s">
        <v>32</v>
      </c>
      <c r="EBW75" s="244" t="s">
        <v>32</v>
      </c>
      <c r="EBX75" s="244" t="s">
        <v>32</v>
      </c>
      <c r="EBY75" s="244" t="s">
        <v>32</v>
      </c>
      <c r="EBZ75" s="244" t="s">
        <v>32</v>
      </c>
      <c r="ECA75" s="244" t="s">
        <v>32</v>
      </c>
      <c r="ECB75" s="244" t="s">
        <v>32</v>
      </c>
      <c r="ECC75" s="244" t="s">
        <v>32</v>
      </c>
      <c r="ECD75" s="244" t="s">
        <v>32</v>
      </c>
      <c r="ECE75" s="244" t="s">
        <v>32</v>
      </c>
      <c r="ECF75" s="244" t="s">
        <v>32</v>
      </c>
      <c r="ECG75" s="244" t="s">
        <v>32</v>
      </c>
      <c r="ECH75" s="244" t="s">
        <v>32</v>
      </c>
      <c r="ECI75" s="244" t="s">
        <v>32</v>
      </c>
      <c r="ECJ75" s="244" t="s">
        <v>32</v>
      </c>
      <c r="ECK75" s="244" t="s">
        <v>32</v>
      </c>
      <c r="ECL75" s="244" t="s">
        <v>32</v>
      </c>
      <c r="ECM75" s="244" t="s">
        <v>32</v>
      </c>
      <c r="ECN75" s="244" t="s">
        <v>32</v>
      </c>
      <c r="ECO75" s="244" t="s">
        <v>32</v>
      </c>
      <c r="ECP75" s="244" t="s">
        <v>32</v>
      </c>
      <c r="ECQ75" s="244" t="s">
        <v>32</v>
      </c>
      <c r="ECR75" s="244" t="s">
        <v>32</v>
      </c>
      <c r="ECS75" s="244" t="s">
        <v>32</v>
      </c>
      <c r="ECT75" s="244" t="s">
        <v>32</v>
      </c>
      <c r="ECU75" s="244" t="s">
        <v>32</v>
      </c>
      <c r="ECV75" s="244" t="s">
        <v>32</v>
      </c>
      <c r="ECW75" s="244" t="s">
        <v>32</v>
      </c>
      <c r="ECX75" s="244" t="s">
        <v>32</v>
      </c>
      <c r="ECY75" s="244" t="s">
        <v>32</v>
      </c>
      <c r="ECZ75" s="244" t="s">
        <v>32</v>
      </c>
      <c r="EDA75" s="244" t="s">
        <v>32</v>
      </c>
      <c r="EDB75" s="244" t="s">
        <v>32</v>
      </c>
      <c r="EDC75" s="244" t="s">
        <v>32</v>
      </c>
      <c r="EDD75" s="244" t="s">
        <v>32</v>
      </c>
      <c r="EDE75" s="244" t="s">
        <v>32</v>
      </c>
      <c r="EDF75" s="244" t="s">
        <v>32</v>
      </c>
      <c r="EDG75" s="244" t="s">
        <v>32</v>
      </c>
      <c r="EDH75" s="244" t="s">
        <v>32</v>
      </c>
      <c r="EDI75" s="244" t="s">
        <v>32</v>
      </c>
      <c r="EDJ75" s="244" t="s">
        <v>32</v>
      </c>
      <c r="EDK75" s="244" t="s">
        <v>32</v>
      </c>
      <c r="EDL75" s="244" t="s">
        <v>32</v>
      </c>
      <c r="EDM75" s="244" t="s">
        <v>32</v>
      </c>
      <c r="EDN75" s="244" t="s">
        <v>32</v>
      </c>
      <c r="EDO75" s="244" t="s">
        <v>32</v>
      </c>
      <c r="EDP75" s="244" t="s">
        <v>32</v>
      </c>
      <c r="EDQ75" s="244" t="s">
        <v>32</v>
      </c>
      <c r="EDR75" s="244" t="s">
        <v>32</v>
      </c>
      <c r="EDS75" s="244" t="s">
        <v>32</v>
      </c>
      <c r="EDT75" s="244" t="s">
        <v>32</v>
      </c>
      <c r="EDU75" s="244" t="s">
        <v>32</v>
      </c>
      <c r="EDV75" s="244" t="s">
        <v>32</v>
      </c>
      <c r="EDW75" s="244" t="s">
        <v>32</v>
      </c>
      <c r="EDX75" s="244" t="s">
        <v>32</v>
      </c>
      <c r="EDY75" s="244" t="s">
        <v>32</v>
      </c>
      <c r="EDZ75" s="244" t="s">
        <v>32</v>
      </c>
      <c r="EEA75" s="244" t="s">
        <v>32</v>
      </c>
      <c r="EEB75" s="244" t="s">
        <v>32</v>
      </c>
      <c r="EEC75" s="244" t="s">
        <v>32</v>
      </c>
      <c r="EED75" s="244" t="s">
        <v>32</v>
      </c>
      <c r="EEE75" s="244" t="s">
        <v>32</v>
      </c>
      <c r="EEF75" s="244" t="s">
        <v>32</v>
      </c>
      <c r="EEG75" s="244" t="s">
        <v>32</v>
      </c>
      <c r="EEH75" s="244" t="s">
        <v>32</v>
      </c>
      <c r="EEI75" s="244" t="s">
        <v>32</v>
      </c>
      <c r="EEJ75" s="244" t="s">
        <v>32</v>
      </c>
      <c r="EEK75" s="244" t="s">
        <v>32</v>
      </c>
      <c r="EEL75" s="244" t="s">
        <v>32</v>
      </c>
      <c r="EEM75" s="244" t="s">
        <v>32</v>
      </c>
      <c r="EEN75" s="244" t="s">
        <v>32</v>
      </c>
      <c r="EEO75" s="244" t="s">
        <v>32</v>
      </c>
      <c r="EEP75" s="244" t="s">
        <v>32</v>
      </c>
      <c r="EEQ75" s="244" t="s">
        <v>32</v>
      </c>
      <c r="EER75" s="244" t="s">
        <v>32</v>
      </c>
      <c r="EES75" s="244" t="s">
        <v>32</v>
      </c>
      <c r="EET75" s="244" t="s">
        <v>32</v>
      </c>
      <c r="EEU75" s="244" t="s">
        <v>32</v>
      </c>
      <c r="EEV75" s="244" t="s">
        <v>32</v>
      </c>
      <c r="EEW75" s="244" t="s">
        <v>32</v>
      </c>
      <c r="EEX75" s="244" t="s">
        <v>32</v>
      </c>
      <c r="EEY75" s="244" t="s">
        <v>32</v>
      </c>
      <c r="EEZ75" s="244" t="s">
        <v>32</v>
      </c>
      <c r="EFA75" s="244" t="s">
        <v>32</v>
      </c>
      <c r="EFB75" s="244" t="s">
        <v>32</v>
      </c>
      <c r="EFC75" s="244" t="s">
        <v>32</v>
      </c>
      <c r="EFD75" s="244" t="s">
        <v>32</v>
      </c>
      <c r="EFE75" s="244" t="s">
        <v>32</v>
      </c>
      <c r="EFF75" s="244" t="s">
        <v>32</v>
      </c>
      <c r="EFG75" s="244" t="s">
        <v>32</v>
      </c>
      <c r="EFH75" s="244" t="s">
        <v>32</v>
      </c>
      <c r="EFI75" s="244" t="s">
        <v>32</v>
      </c>
      <c r="EFJ75" s="244" t="s">
        <v>32</v>
      </c>
      <c r="EFK75" s="244" t="s">
        <v>32</v>
      </c>
      <c r="EFL75" s="244" t="s">
        <v>32</v>
      </c>
      <c r="EFM75" s="244" t="s">
        <v>32</v>
      </c>
      <c r="EFN75" s="244" t="s">
        <v>32</v>
      </c>
      <c r="EFO75" s="244" t="s">
        <v>32</v>
      </c>
      <c r="EFP75" s="244" t="s">
        <v>32</v>
      </c>
      <c r="EFQ75" s="244" t="s">
        <v>32</v>
      </c>
      <c r="EFR75" s="244" t="s">
        <v>32</v>
      </c>
      <c r="EFS75" s="244" t="s">
        <v>32</v>
      </c>
      <c r="EFT75" s="244" t="s">
        <v>32</v>
      </c>
      <c r="EFU75" s="244" t="s">
        <v>32</v>
      </c>
      <c r="EFV75" s="244" t="s">
        <v>32</v>
      </c>
      <c r="EFW75" s="244" t="s">
        <v>32</v>
      </c>
      <c r="EFX75" s="244" t="s">
        <v>32</v>
      </c>
      <c r="EFY75" s="244" t="s">
        <v>32</v>
      </c>
      <c r="EFZ75" s="244" t="s">
        <v>32</v>
      </c>
      <c r="EGA75" s="244" t="s">
        <v>32</v>
      </c>
      <c r="EGB75" s="244" t="s">
        <v>32</v>
      </c>
      <c r="EGC75" s="244" t="s">
        <v>32</v>
      </c>
      <c r="EGD75" s="244" t="s">
        <v>32</v>
      </c>
      <c r="EGE75" s="244" t="s">
        <v>32</v>
      </c>
      <c r="EGF75" s="244" t="s">
        <v>32</v>
      </c>
      <c r="EGG75" s="244" t="s">
        <v>32</v>
      </c>
      <c r="EGH75" s="244" t="s">
        <v>32</v>
      </c>
      <c r="EGI75" s="244" t="s">
        <v>32</v>
      </c>
      <c r="EGJ75" s="244" t="s">
        <v>32</v>
      </c>
      <c r="EGK75" s="244" t="s">
        <v>32</v>
      </c>
      <c r="EGL75" s="244" t="s">
        <v>32</v>
      </c>
      <c r="EGM75" s="244" t="s">
        <v>32</v>
      </c>
      <c r="EGN75" s="244" t="s">
        <v>32</v>
      </c>
      <c r="EGO75" s="244" t="s">
        <v>32</v>
      </c>
      <c r="EGP75" s="244" t="s">
        <v>32</v>
      </c>
      <c r="EGQ75" s="244" t="s">
        <v>32</v>
      </c>
      <c r="EGR75" s="244" t="s">
        <v>32</v>
      </c>
      <c r="EGS75" s="244" t="s">
        <v>32</v>
      </c>
      <c r="EGT75" s="244" t="s">
        <v>32</v>
      </c>
      <c r="EGU75" s="244" t="s">
        <v>32</v>
      </c>
      <c r="EGV75" s="244" t="s">
        <v>32</v>
      </c>
      <c r="EGW75" s="244" t="s">
        <v>32</v>
      </c>
      <c r="EGX75" s="244" t="s">
        <v>32</v>
      </c>
      <c r="EGY75" s="244" t="s">
        <v>32</v>
      </c>
      <c r="EGZ75" s="244" t="s">
        <v>32</v>
      </c>
      <c r="EHA75" s="244" t="s">
        <v>32</v>
      </c>
      <c r="EHB75" s="244" t="s">
        <v>32</v>
      </c>
      <c r="EHC75" s="244" t="s">
        <v>32</v>
      </c>
      <c r="EHD75" s="244" t="s">
        <v>32</v>
      </c>
      <c r="EHE75" s="244" t="s">
        <v>32</v>
      </c>
      <c r="EHF75" s="244" t="s">
        <v>32</v>
      </c>
      <c r="EHG75" s="244" t="s">
        <v>32</v>
      </c>
      <c r="EHH75" s="244" t="s">
        <v>32</v>
      </c>
      <c r="EHI75" s="244" t="s">
        <v>32</v>
      </c>
      <c r="EHJ75" s="244" t="s">
        <v>32</v>
      </c>
      <c r="EHK75" s="244" t="s">
        <v>32</v>
      </c>
      <c r="EHL75" s="244" t="s">
        <v>32</v>
      </c>
      <c r="EHM75" s="244" t="s">
        <v>32</v>
      </c>
      <c r="EHN75" s="244" t="s">
        <v>32</v>
      </c>
      <c r="EHO75" s="244" t="s">
        <v>32</v>
      </c>
      <c r="EHP75" s="244" t="s">
        <v>32</v>
      </c>
      <c r="EHQ75" s="244" t="s">
        <v>32</v>
      </c>
      <c r="EHR75" s="244" t="s">
        <v>32</v>
      </c>
      <c r="EHS75" s="244" t="s">
        <v>32</v>
      </c>
      <c r="EHT75" s="244" t="s">
        <v>32</v>
      </c>
      <c r="EHU75" s="244" t="s">
        <v>32</v>
      </c>
      <c r="EHV75" s="244" t="s">
        <v>32</v>
      </c>
      <c r="EHW75" s="244" t="s">
        <v>32</v>
      </c>
      <c r="EHX75" s="244" t="s">
        <v>32</v>
      </c>
      <c r="EHY75" s="244" t="s">
        <v>32</v>
      </c>
      <c r="EHZ75" s="244" t="s">
        <v>32</v>
      </c>
      <c r="EIA75" s="244" t="s">
        <v>32</v>
      </c>
      <c r="EIB75" s="244" t="s">
        <v>32</v>
      </c>
      <c r="EIC75" s="244" t="s">
        <v>32</v>
      </c>
      <c r="EID75" s="244" t="s">
        <v>32</v>
      </c>
      <c r="EIE75" s="244" t="s">
        <v>32</v>
      </c>
      <c r="EIF75" s="244" t="s">
        <v>32</v>
      </c>
      <c r="EIG75" s="244" t="s">
        <v>32</v>
      </c>
      <c r="EIH75" s="244" t="s">
        <v>32</v>
      </c>
      <c r="EII75" s="244" t="s">
        <v>32</v>
      </c>
      <c r="EIJ75" s="244" t="s">
        <v>32</v>
      </c>
      <c r="EIK75" s="244" t="s">
        <v>32</v>
      </c>
      <c r="EIL75" s="244" t="s">
        <v>32</v>
      </c>
      <c r="EIM75" s="244" t="s">
        <v>32</v>
      </c>
      <c r="EIN75" s="244" t="s">
        <v>32</v>
      </c>
      <c r="EIO75" s="244" t="s">
        <v>32</v>
      </c>
      <c r="EIP75" s="244" t="s">
        <v>32</v>
      </c>
      <c r="EIQ75" s="244" t="s">
        <v>32</v>
      </c>
      <c r="EIR75" s="244" t="s">
        <v>32</v>
      </c>
      <c r="EIS75" s="244" t="s">
        <v>32</v>
      </c>
      <c r="EIT75" s="244" t="s">
        <v>32</v>
      </c>
      <c r="EIU75" s="244" t="s">
        <v>32</v>
      </c>
      <c r="EIV75" s="244" t="s">
        <v>32</v>
      </c>
      <c r="EIW75" s="244" t="s">
        <v>32</v>
      </c>
      <c r="EIX75" s="244" t="s">
        <v>32</v>
      </c>
      <c r="EIY75" s="244" t="s">
        <v>32</v>
      </c>
      <c r="EIZ75" s="244" t="s">
        <v>32</v>
      </c>
      <c r="EJA75" s="244" t="s">
        <v>32</v>
      </c>
      <c r="EJB75" s="244" t="s">
        <v>32</v>
      </c>
      <c r="EJC75" s="244" t="s">
        <v>32</v>
      </c>
      <c r="EJD75" s="244" t="s">
        <v>32</v>
      </c>
      <c r="EJE75" s="244" t="s">
        <v>32</v>
      </c>
      <c r="EJF75" s="244" t="s">
        <v>32</v>
      </c>
      <c r="EJG75" s="244" t="s">
        <v>32</v>
      </c>
      <c r="EJH75" s="244" t="s">
        <v>32</v>
      </c>
      <c r="EJI75" s="244" t="s">
        <v>32</v>
      </c>
      <c r="EJJ75" s="244" t="s">
        <v>32</v>
      </c>
      <c r="EJK75" s="244" t="s">
        <v>32</v>
      </c>
      <c r="EJL75" s="244" t="s">
        <v>32</v>
      </c>
      <c r="EJM75" s="244" t="s">
        <v>32</v>
      </c>
      <c r="EJN75" s="244" t="s">
        <v>32</v>
      </c>
      <c r="EJO75" s="244" t="s">
        <v>32</v>
      </c>
      <c r="EJP75" s="244" t="s">
        <v>32</v>
      </c>
      <c r="EJQ75" s="244" t="s">
        <v>32</v>
      </c>
      <c r="EJR75" s="244" t="s">
        <v>32</v>
      </c>
      <c r="EJS75" s="244" t="s">
        <v>32</v>
      </c>
      <c r="EJT75" s="244" t="s">
        <v>32</v>
      </c>
      <c r="EJU75" s="244" t="s">
        <v>32</v>
      </c>
      <c r="EJV75" s="244" t="s">
        <v>32</v>
      </c>
      <c r="EJW75" s="244" t="s">
        <v>32</v>
      </c>
      <c r="EJX75" s="244" t="s">
        <v>32</v>
      </c>
      <c r="EJY75" s="244" t="s">
        <v>32</v>
      </c>
      <c r="EJZ75" s="244" t="s">
        <v>32</v>
      </c>
      <c r="EKA75" s="244" t="s">
        <v>32</v>
      </c>
      <c r="EKB75" s="244" t="s">
        <v>32</v>
      </c>
      <c r="EKC75" s="244" t="s">
        <v>32</v>
      </c>
      <c r="EKD75" s="244" t="s">
        <v>32</v>
      </c>
      <c r="EKE75" s="244" t="s">
        <v>32</v>
      </c>
      <c r="EKF75" s="244" t="s">
        <v>32</v>
      </c>
      <c r="EKG75" s="244" t="s">
        <v>32</v>
      </c>
      <c r="EKH75" s="244" t="s">
        <v>32</v>
      </c>
      <c r="EKI75" s="244" t="s">
        <v>32</v>
      </c>
      <c r="EKJ75" s="244" t="s">
        <v>32</v>
      </c>
      <c r="EKK75" s="244" t="s">
        <v>32</v>
      </c>
      <c r="EKL75" s="244" t="s">
        <v>32</v>
      </c>
      <c r="EKM75" s="244" t="s">
        <v>32</v>
      </c>
      <c r="EKN75" s="244" t="s">
        <v>32</v>
      </c>
      <c r="EKO75" s="244" t="s">
        <v>32</v>
      </c>
      <c r="EKP75" s="244" t="s">
        <v>32</v>
      </c>
      <c r="EKQ75" s="244" t="s">
        <v>32</v>
      </c>
      <c r="EKR75" s="244" t="s">
        <v>32</v>
      </c>
      <c r="EKS75" s="244" t="s">
        <v>32</v>
      </c>
      <c r="EKT75" s="244" t="s">
        <v>32</v>
      </c>
      <c r="EKU75" s="244" t="s">
        <v>32</v>
      </c>
      <c r="EKV75" s="244" t="s">
        <v>32</v>
      </c>
      <c r="EKW75" s="244" t="s">
        <v>32</v>
      </c>
      <c r="EKX75" s="244" t="s">
        <v>32</v>
      </c>
      <c r="EKY75" s="244" t="s">
        <v>32</v>
      </c>
      <c r="EKZ75" s="244" t="s">
        <v>32</v>
      </c>
      <c r="ELA75" s="244" t="s">
        <v>32</v>
      </c>
      <c r="ELB75" s="244" t="s">
        <v>32</v>
      </c>
      <c r="ELC75" s="244" t="s">
        <v>32</v>
      </c>
      <c r="ELD75" s="244" t="s">
        <v>32</v>
      </c>
      <c r="ELE75" s="244" t="s">
        <v>32</v>
      </c>
      <c r="ELF75" s="244" t="s">
        <v>32</v>
      </c>
      <c r="ELG75" s="244" t="s">
        <v>32</v>
      </c>
      <c r="ELH75" s="244" t="s">
        <v>32</v>
      </c>
      <c r="ELI75" s="244" t="s">
        <v>32</v>
      </c>
      <c r="ELJ75" s="244" t="s">
        <v>32</v>
      </c>
      <c r="ELK75" s="244" t="s">
        <v>32</v>
      </c>
      <c r="ELL75" s="244" t="s">
        <v>32</v>
      </c>
      <c r="ELM75" s="244" t="s">
        <v>32</v>
      </c>
      <c r="ELN75" s="244" t="s">
        <v>32</v>
      </c>
      <c r="ELO75" s="244" t="s">
        <v>32</v>
      </c>
      <c r="ELP75" s="244" t="s">
        <v>32</v>
      </c>
      <c r="ELQ75" s="244" t="s">
        <v>32</v>
      </c>
      <c r="ELR75" s="244" t="s">
        <v>32</v>
      </c>
      <c r="ELS75" s="244" t="s">
        <v>32</v>
      </c>
      <c r="ELT75" s="244" t="s">
        <v>32</v>
      </c>
      <c r="ELU75" s="244" t="s">
        <v>32</v>
      </c>
      <c r="ELV75" s="244" t="s">
        <v>32</v>
      </c>
      <c r="ELW75" s="244" t="s">
        <v>32</v>
      </c>
      <c r="ELX75" s="244" t="s">
        <v>32</v>
      </c>
      <c r="ELY75" s="244" t="s">
        <v>32</v>
      </c>
      <c r="ELZ75" s="244" t="s">
        <v>32</v>
      </c>
      <c r="EMA75" s="244" t="s">
        <v>32</v>
      </c>
      <c r="EMB75" s="244" t="s">
        <v>32</v>
      </c>
      <c r="EMC75" s="244" t="s">
        <v>32</v>
      </c>
      <c r="EMD75" s="244" t="s">
        <v>32</v>
      </c>
      <c r="EME75" s="244" t="s">
        <v>32</v>
      </c>
      <c r="EMF75" s="244" t="s">
        <v>32</v>
      </c>
      <c r="EMG75" s="244" t="s">
        <v>32</v>
      </c>
      <c r="EMH75" s="244" t="s">
        <v>32</v>
      </c>
      <c r="EMI75" s="244" t="s">
        <v>32</v>
      </c>
      <c r="EMJ75" s="244" t="s">
        <v>32</v>
      </c>
      <c r="EMK75" s="244" t="s">
        <v>32</v>
      </c>
      <c r="EML75" s="244" t="s">
        <v>32</v>
      </c>
      <c r="EMM75" s="244" t="s">
        <v>32</v>
      </c>
      <c r="EMN75" s="244" t="s">
        <v>32</v>
      </c>
      <c r="EMO75" s="244" t="s">
        <v>32</v>
      </c>
      <c r="EMP75" s="244" t="s">
        <v>32</v>
      </c>
      <c r="EMQ75" s="244" t="s">
        <v>32</v>
      </c>
      <c r="EMR75" s="244" t="s">
        <v>32</v>
      </c>
      <c r="EMS75" s="244" t="s">
        <v>32</v>
      </c>
      <c r="EMT75" s="244" t="s">
        <v>32</v>
      </c>
      <c r="EMU75" s="244" t="s">
        <v>32</v>
      </c>
      <c r="EMV75" s="244" t="s">
        <v>32</v>
      </c>
      <c r="EMW75" s="244" t="s">
        <v>32</v>
      </c>
      <c r="EMX75" s="244" t="s">
        <v>32</v>
      </c>
      <c r="EMY75" s="244" t="s">
        <v>32</v>
      </c>
      <c r="EMZ75" s="244" t="s">
        <v>32</v>
      </c>
      <c r="ENA75" s="244" t="s">
        <v>32</v>
      </c>
      <c r="ENB75" s="244" t="s">
        <v>32</v>
      </c>
      <c r="ENC75" s="244" t="s">
        <v>32</v>
      </c>
      <c r="END75" s="244" t="s">
        <v>32</v>
      </c>
      <c r="ENE75" s="244" t="s">
        <v>32</v>
      </c>
      <c r="ENF75" s="244" t="s">
        <v>32</v>
      </c>
      <c r="ENG75" s="244" t="s">
        <v>32</v>
      </c>
      <c r="ENH75" s="244" t="s">
        <v>32</v>
      </c>
      <c r="ENI75" s="244" t="s">
        <v>32</v>
      </c>
      <c r="ENJ75" s="244" t="s">
        <v>32</v>
      </c>
      <c r="ENK75" s="244" t="s">
        <v>32</v>
      </c>
      <c r="ENL75" s="244" t="s">
        <v>32</v>
      </c>
      <c r="ENM75" s="244" t="s">
        <v>32</v>
      </c>
      <c r="ENN75" s="244" t="s">
        <v>32</v>
      </c>
      <c r="ENO75" s="244" t="s">
        <v>32</v>
      </c>
      <c r="ENP75" s="244" t="s">
        <v>32</v>
      </c>
      <c r="ENQ75" s="244" t="s">
        <v>32</v>
      </c>
      <c r="ENR75" s="244" t="s">
        <v>32</v>
      </c>
      <c r="ENS75" s="244" t="s">
        <v>32</v>
      </c>
      <c r="ENT75" s="244" t="s">
        <v>32</v>
      </c>
      <c r="ENU75" s="244" t="s">
        <v>32</v>
      </c>
      <c r="ENV75" s="244" t="s">
        <v>32</v>
      </c>
      <c r="ENW75" s="244" t="s">
        <v>32</v>
      </c>
      <c r="ENX75" s="244" t="s">
        <v>32</v>
      </c>
      <c r="ENY75" s="244" t="s">
        <v>32</v>
      </c>
      <c r="ENZ75" s="244" t="s">
        <v>32</v>
      </c>
      <c r="EOA75" s="244" t="s">
        <v>32</v>
      </c>
      <c r="EOB75" s="244" t="s">
        <v>32</v>
      </c>
      <c r="EOC75" s="244" t="s">
        <v>32</v>
      </c>
      <c r="EOD75" s="244" t="s">
        <v>32</v>
      </c>
      <c r="EOE75" s="244" t="s">
        <v>32</v>
      </c>
      <c r="EOF75" s="244" t="s">
        <v>32</v>
      </c>
      <c r="EOG75" s="244" t="s">
        <v>32</v>
      </c>
      <c r="EOH75" s="244" t="s">
        <v>32</v>
      </c>
      <c r="EOI75" s="244" t="s">
        <v>32</v>
      </c>
      <c r="EOJ75" s="244" t="s">
        <v>32</v>
      </c>
      <c r="EOK75" s="244" t="s">
        <v>32</v>
      </c>
      <c r="EOL75" s="244" t="s">
        <v>32</v>
      </c>
      <c r="EOM75" s="244" t="s">
        <v>32</v>
      </c>
      <c r="EON75" s="244" t="s">
        <v>32</v>
      </c>
      <c r="EOO75" s="244" t="s">
        <v>32</v>
      </c>
      <c r="EOP75" s="244" t="s">
        <v>32</v>
      </c>
      <c r="EOQ75" s="244" t="s">
        <v>32</v>
      </c>
      <c r="EOR75" s="244" t="s">
        <v>32</v>
      </c>
      <c r="EOS75" s="244" t="s">
        <v>32</v>
      </c>
      <c r="EOT75" s="244" t="s">
        <v>32</v>
      </c>
      <c r="EOU75" s="244" t="s">
        <v>32</v>
      </c>
      <c r="EOV75" s="244" t="s">
        <v>32</v>
      </c>
      <c r="EOW75" s="244" t="s">
        <v>32</v>
      </c>
      <c r="EOX75" s="244" t="s">
        <v>32</v>
      </c>
      <c r="EOY75" s="244" t="s">
        <v>32</v>
      </c>
      <c r="EOZ75" s="244" t="s">
        <v>32</v>
      </c>
      <c r="EPA75" s="244" t="s">
        <v>32</v>
      </c>
      <c r="EPB75" s="244" t="s">
        <v>32</v>
      </c>
      <c r="EPC75" s="244" t="s">
        <v>32</v>
      </c>
      <c r="EPD75" s="244" t="s">
        <v>32</v>
      </c>
      <c r="EPE75" s="244" t="s">
        <v>32</v>
      </c>
      <c r="EPF75" s="244" t="s">
        <v>32</v>
      </c>
      <c r="EPG75" s="244" t="s">
        <v>32</v>
      </c>
      <c r="EPH75" s="244" t="s">
        <v>32</v>
      </c>
      <c r="EPI75" s="244" t="s">
        <v>32</v>
      </c>
      <c r="EPJ75" s="244" t="s">
        <v>32</v>
      </c>
      <c r="EPK75" s="244" t="s">
        <v>32</v>
      </c>
      <c r="EPL75" s="244" t="s">
        <v>32</v>
      </c>
      <c r="EPM75" s="244" t="s">
        <v>32</v>
      </c>
      <c r="EPN75" s="244" t="s">
        <v>32</v>
      </c>
      <c r="EPO75" s="244" t="s">
        <v>32</v>
      </c>
      <c r="EPP75" s="244" t="s">
        <v>32</v>
      </c>
      <c r="EPQ75" s="244" t="s">
        <v>32</v>
      </c>
      <c r="EPR75" s="244" t="s">
        <v>32</v>
      </c>
      <c r="EPS75" s="244" t="s">
        <v>32</v>
      </c>
      <c r="EPT75" s="244" t="s">
        <v>32</v>
      </c>
      <c r="EPU75" s="244" t="s">
        <v>32</v>
      </c>
      <c r="EPV75" s="244" t="s">
        <v>32</v>
      </c>
      <c r="EPW75" s="244" t="s">
        <v>32</v>
      </c>
      <c r="EPX75" s="244" t="s">
        <v>32</v>
      </c>
      <c r="EPY75" s="244" t="s">
        <v>32</v>
      </c>
      <c r="EPZ75" s="244" t="s">
        <v>32</v>
      </c>
      <c r="EQA75" s="244" t="s">
        <v>32</v>
      </c>
      <c r="EQB75" s="244" t="s">
        <v>32</v>
      </c>
      <c r="EQC75" s="244" t="s">
        <v>32</v>
      </c>
      <c r="EQD75" s="244" t="s">
        <v>32</v>
      </c>
      <c r="EQE75" s="244" t="s">
        <v>32</v>
      </c>
      <c r="EQF75" s="244" t="s">
        <v>32</v>
      </c>
      <c r="EQG75" s="244" t="s">
        <v>32</v>
      </c>
      <c r="EQH75" s="244" t="s">
        <v>32</v>
      </c>
      <c r="EQI75" s="244" t="s">
        <v>32</v>
      </c>
      <c r="EQJ75" s="244" t="s">
        <v>32</v>
      </c>
      <c r="EQK75" s="244" t="s">
        <v>32</v>
      </c>
      <c r="EQL75" s="244" t="s">
        <v>32</v>
      </c>
      <c r="EQM75" s="244" t="s">
        <v>32</v>
      </c>
      <c r="EQN75" s="244" t="s">
        <v>32</v>
      </c>
      <c r="EQO75" s="244" t="s">
        <v>32</v>
      </c>
      <c r="EQP75" s="244" t="s">
        <v>32</v>
      </c>
      <c r="EQQ75" s="244" t="s">
        <v>32</v>
      </c>
      <c r="EQR75" s="244" t="s">
        <v>32</v>
      </c>
      <c r="EQS75" s="244" t="s">
        <v>32</v>
      </c>
      <c r="EQT75" s="244" t="s">
        <v>32</v>
      </c>
      <c r="EQU75" s="244" t="s">
        <v>32</v>
      </c>
      <c r="EQV75" s="244" t="s">
        <v>32</v>
      </c>
      <c r="EQW75" s="244" t="s">
        <v>32</v>
      </c>
      <c r="EQX75" s="244" t="s">
        <v>32</v>
      </c>
      <c r="EQY75" s="244" t="s">
        <v>32</v>
      </c>
      <c r="EQZ75" s="244" t="s">
        <v>32</v>
      </c>
      <c r="ERA75" s="244" t="s">
        <v>32</v>
      </c>
      <c r="ERB75" s="244" t="s">
        <v>32</v>
      </c>
      <c r="ERC75" s="244" t="s">
        <v>32</v>
      </c>
      <c r="ERD75" s="244" t="s">
        <v>32</v>
      </c>
      <c r="ERE75" s="244" t="s">
        <v>32</v>
      </c>
      <c r="ERF75" s="244" t="s">
        <v>32</v>
      </c>
      <c r="ERG75" s="244" t="s">
        <v>32</v>
      </c>
      <c r="ERH75" s="244" t="s">
        <v>32</v>
      </c>
      <c r="ERI75" s="244" t="s">
        <v>32</v>
      </c>
      <c r="ERJ75" s="244" t="s">
        <v>32</v>
      </c>
      <c r="ERK75" s="244" t="s">
        <v>32</v>
      </c>
      <c r="ERL75" s="244" t="s">
        <v>32</v>
      </c>
      <c r="ERM75" s="244" t="s">
        <v>32</v>
      </c>
      <c r="ERN75" s="244" t="s">
        <v>32</v>
      </c>
      <c r="ERO75" s="244" t="s">
        <v>32</v>
      </c>
      <c r="ERP75" s="244" t="s">
        <v>32</v>
      </c>
      <c r="ERQ75" s="244" t="s">
        <v>32</v>
      </c>
      <c r="ERR75" s="244" t="s">
        <v>32</v>
      </c>
      <c r="ERS75" s="244" t="s">
        <v>32</v>
      </c>
      <c r="ERT75" s="244" t="s">
        <v>32</v>
      </c>
      <c r="ERU75" s="244" t="s">
        <v>32</v>
      </c>
      <c r="ERV75" s="244" t="s">
        <v>32</v>
      </c>
      <c r="ERW75" s="244" t="s">
        <v>32</v>
      </c>
      <c r="ERX75" s="244" t="s">
        <v>32</v>
      </c>
      <c r="ERY75" s="244" t="s">
        <v>32</v>
      </c>
      <c r="ERZ75" s="244" t="s">
        <v>32</v>
      </c>
      <c r="ESA75" s="244" t="s">
        <v>32</v>
      </c>
      <c r="ESB75" s="244" t="s">
        <v>32</v>
      </c>
      <c r="ESC75" s="244" t="s">
        <v>32</v>
      </c>
      <c r="ESD75" s="244" t="s">
        <v>32</v>
      </c>
      <c r="ESE75" s="244" t="s">
        <v>32</v>
      </c>
      <c r="ESF75" s="244" t="s">
        <v>32</v>
      </c>
      <c r="ESG75" s="244" t="s">
        <v>32</v>
      </c>
      <c r="ESH75" s="244" t="s">
        <v>32</v>
      </c>
      <c r="ESI75" s="244" t="s">
        <v>32</v>
      </c>
      <c r="ESJ75" s="244" t="s">
        <v>32</v>
      </c>
      <c r="ESK75" s="244" t="s">
        <v>32</v>
      </c>
      <c r="ESL75" s="244" t="s">
        <v>32</v>
      </c>
      <c r="ESM75" s="244" t="s">
        <v>32</v>
      </c>
      <c r="ESN75" s="244" t="s">
        <v>32</v>
      </c>
      <c r="ESO75" s="244" t="s">
        <v>32</v>
      </c>
      <c r="ESP75" s="244" t="s">
        <v>32</v>
      </c>
      <c r="ESQ75" s="244" t="s">
        <v>32</v>
      </c>
      <c r="ESR75" s="244" t="s">
        <v>32</v>
      </c>
      <c r="ESS75" s="244" t="s">
        <v>32</v>
      </c>
      <c r="EST75" s="244" t="s">
        <v>32</v>
      </c>
      <c r="ESU75" s="244" t="s">
        <v>32</v>
      </c>
      <c r="ESV75" s="244" t="s">
        <v>32</v>
      </c>
      <c r="ESW75" s="244" t="s">
        <v>32</v>
      </c>
      <c r="ESX75" s="244" t="s">
        <v>32</v>
      </c>
      <c r="ESY75" s="244" t="s">
        <v>32</v>
      </c>
      <c r="ESZ75" s="244" t="s">
        <v>32</v>
      </c>
      <c r="ETA75" s="244" t="s">
        <v>32</v>
      </c>
      <c r="ETB75" s="244" t="s">
        <v>32</v>
      </c>
      <c r="ETC75" s="244" t="s">
        <v>32</v>
      </c>
      <c r="ETD75" s="244" t="s">
        <v>32</v>
      </c>
      <c r="ETE75" s="244" t="s">
        <v>32</v>
      </c>
      <c r="ETF75" s="244" t="s">
        <v>32</v>
      </c>
      <c r="ETG75" s="244" t="s">
        <v>32</v>
      </c>
      <c r="ETH75" s="244" t="s">
        <v>32</v>
      </c>
      <c r="ETI75" s="244" t="s">
        <v>32</v>
      </c>
      <c r="ETJ75" s="244" t="s">
        <v>32</v>
      </c>
      <c r="ETK75" s="244" t="s">
        <v>32</v>
      </c>
      <c r="ETL75" s="244" t="s">
        <v>32</v>
      </c>
      <c r="ETM75" s="244" t="s">
        <v>32</v>
      </c>
      <c r="ETN75" s="244" t="s">
        <v>32</v>
      </c>
      <c r="ETO75" s="244" t="s">
        <v>32</v>
      </c>
      <c r="ETP75" s="244" t="s">
        <v>32</v>
      </c>
      <c r="ETQ75" s="244" t="s">
        <v>32</v>
      </c>
      <c r="ETR75" s="244" t="s">
        <v>32</v>
      </c>
      <c r="ETS75" s="244" t="s">
        <v>32</v>
      </c>
      <c r="ETT75" s="244" t="s">
        <v>32</v>
      </c>
      <c r="ETU75" s="244" t="s">
        <v>32</v>
      </c>
      <c r="ETV75" s="244" t="s">
        <v>32</v>
      </c>
      <c r="ETW75" s="244" t="s">
        <v>32</v>
      </c>
      <c r="ETX75" s="244" t="s">
        <v>32</v>
      </c>
      <c r="ETY75" s="244" t="s">
        <v>32</v>
      </c>
      <c r="ETZ75" s="244" t="s">
        <v>32</v>
      </c>
      <c r="EUA75" s="244" t="s">
        <v>32</v>
      </c>
      <c r="EUB75" s="244" t="s">
        <v>32</v>
      </c>
      <c r="EUC75" s="244" t="s">
        <v>32</v>
      </c>
      <c r="EUD75" s="244" t="s">
        <v>32</v>
      </c>
      <c r="EUE75" s="244" t="s">
        <v>32</v>
      </c>
      <c r="EUF75" s="244" t="s">
        <v>32</v>
      </c>
      <c r="EUG75" s="244" t="s">
        <v>32</v>
      </c>
      <c r="EUH75" s="244" t="s">
        <v>32</v>
      </c>
      <c r="EUI75" s="244" t="s">
        <v>32</v>
      </c>
      <c r="EUJ75" s="244" t="s">
        <v>32</v>
      </c>
      <c r="EUK75" s="244" t="s">
        <v>32</v>
      </c>
      <c r="EUL75" s="244" t="s">
        <v>32</v>
      </c>
      <c r="EUM75" s="244" t="s">
        <v>32</v>
      </c>
      <c r="EUN75" s="244" t="s">
        <v>32</v>
      </c>
      <c r="EUO75" s="244" t="s">
        <v>32</v>
      </c>
      <c r="EUP75" s="244" t="s">
        <v>32</v>
      </c>
      <c r="EUQ75" s="244" t="s">
        <v>32</v>
      </c>
      <c r="EUR75" s="244" t="s">
        <v>32</v>
      </c>
      <c r="EUS75" s="244" t="s">
        <v>32</v>
      </c>
      <c r="EUT75" s="244" t="s">
        <v>32</v>
      </c>
      <c r="EUU75" s="244" t="s">
        <v>32</v>
      </c>
      <c r="EUV75" s="244" t="s">
        <v>32</v>
      </c>
      <c r="EUW75" s="244" t="s">
        <v>32</v>
      </c>
      <c r="EUX75" s="244" t="s">
        <v>32</v>
      </c>
      <c r="EUY75" s="244" t="s">
        <v>32</v>
      </c>
      <c r="EUZ75" s="244" t="s">
        <v>32</v>
      </c>
      <c r="EVA75" s="244" t="s">
        <v>32</v>
      </c>
      <c r="EVB75" s="244" t="s">
        <v>32</v>
      </c>
      <c r="EVC75" s="244" t="s">
        <v>32</v>
      </c>
      <c r="EVD75" s="244" t="s">
        <v>32</v>
      </c>
      <c r="EVE75" s="244" t="s">
        <v>32</v>
      </c>
      <c r="EVF75" s="244" t="s">
        <v>32</v>
      </c>
      <c r="EVG75" s="244" t="s">
        <v>32</v>
      </c>
      <c r="EVH75" s="244" t="s">
        <v>32</v>
      </c>
      <c r="EVI75" s="244" t="s">
        <v>32</v>
      </c>
      <c r="EVJ75" s="244" t="s">
        <v>32</v>
      </c>
      <c r="EVK75" s="244" t="s">
        <v>32</v>
      </c>
      <c r="EVL75" s="244" t="s">
        <v>32</v>
      </c>
      <c r="EVM75" s="244" t="s">
        <v>32</v>
      </c>
      <c r="EVN75" s="244" t="s">
        <v>32</v>
      </c>
      <c r="EVO75" s="244" t="s">
        <v>32</v>
      </c>
      <c r="EVP75" s="244" t="s">
        <v>32</v>
      </c>
      <c r="EVQ75" s="244" t="s">
        <v>32</v>
      </c>
      <c r="EVR75" s="244" t="s">
        <v>32</v>
      </c>
      <c r="EVS75" s="244" t="s">
        <v>32</v>
      </c>
      <c r="EVT75" s="244" t="s">
        <v>32</v>
      </c>
      <c r="EVU75" s="244" t="s">
        <v>32</v>
      </c>
      <c r="EVV75" s="244" t="s">
        <v>32</v>
      </c>
      <c r="EVW75" s="244" t="s">
        <v>32</v>
      </c>
      <c r="EVX75" s="244" t="s">
        <v>32</v>
      </c>
      <c r="EVY75" s="244" t="s">
        <v>32</v>
      </c>
      <c r="EVZ75" s="244" t="s">
        <v>32</v>
      </c>
      <c r="EWA75" s="244" t="s">
        <v>32</v>
      </c>
      <c r="EWB75" s="244" t="s">
        <v>32</v>
      </c>
      <c r="EWC75" s="244" t="s">
        <v>32</v>
      </c>
      <c r="EWD75" s="244" t="s">
        <v>32</v>
      </c>
      <c r="EWE75" s="244" t="s">
        <v>32</v>
      </c>
      <c r="EWF75" s="244" t="s">
        <v>32</v>
      </c>
      <c r="EWG75" s="244" t="s">
        <v>32</v>
      </c>
      <c r="EWH75" s="244" t="s">
        <v>32</v>
      </c>
      <c r="EWI75" s="244" t="s">
        <v>32</v>
      </c>
      <c r="EWJ75" s="244" t="s">
        <v>32</v>
      </c>
      <c r="EWK75" s="244" t="s">
        <v>32</v>
      </c>
      <c r="EWL75" s="244" t="s">
        <v>32</v>
      </c>
      <c r="EWM75" s="244" t="s">
        <v>32</v>
      </c>
      <c r="EWN75" s="244" t="s">
        <v>32</v>
      </c>
      <c r="EWO75" s="244" t="s">
        <v>32</v>
      </c>
      <c r="EWP75" s="244" t="s">
        <v>32</v>
      </c>
      <c r="EWQ75" s="244" t="s">
        <v>32</v>
      </c>
      <c r="EWR75" s="244" t="s">
        <v>32</v>
      </c>
      <c r="EWS75" s="244" t="s">
        <v>32</v>
      </c>
      <c r="EWT75" s="244" t="s">
        <v>32</v>
      </c>
      <c r="EWU75" s="244" t="s">
        <v>32</v>
      </c>
      <c r="EWV75" s="244" t="s">
        <v>32</v>
      </c>
      <c r="EWW75" s="244" t="s">
        <v>32</v>
      </c>
      <c r="EWX75" s="244" t="s">
        <v>32</v>
      </c>
      <c r="EWY75" s="244" t="s">
        <v>32</v>
      </c>
      <c r="EWZ75" s="244" t="s">
        <v>32</v>
      </c>
      <c r="EXA75" s="244" t="s">
        <v>32</v>
      </c>
      <c r="EXB75" s="244" t="s">
        <v>32</v>
      </c>
      <c r="EXC75" s="244" t="s">
        <v>32</v>
      </c>
      <c r="EXD75" s="244" t="s">
        <v>32</v>
      </c>
      <c r="EXE75" s="244" t="s">
        <v>32</v>
      </c>
      <c r="EXF75" s="244" t="s">
        <v>32</v>
      </c>
      <c r="EXG75" s="244" t="s">
        <v>32</v>
      </c>
      <c r="EXH75" s="244" t="s">
        <v>32</v>
      </c>
      <c r="EXI75" s="244" t="s">
        <v>32</v>
      </c>
      <c r="EXJ75" s="244" t="s">
        <v>32</v>
      </c>
      <c r="EXK75" s="244" t="s">
        <v>32</v>
      </c>
      <c r="EXL75" s="244" t="s">
        <v>32</v>
      </c>
      <c r="EXM75" s="244" t="s">
        <v>32</v>
      </c>
      <c r="EXN75" s="244" t="s">
        <v>32</v>
      </c>
      <c r="EXO75" s="244" t="s">
        <v>32</v>
      </c>
      <c r="EXP75" s="244" t="s">
        <v>32</v>
      </c>
      <c r="EXQ75" s="244" t="s">
        <v>32</v>
      </c>
      <c r="EXR75" s="244" t="s">
        <v>32</v>
      </c>
      <c r="EXS75" s="244" t="s">
        <v>32</v>
      </c>
      <c r="EXT75" s="244" t="s">
        <v>32</v>
      </c>
      <c r="EXU75" s="244" t="s">
        <v>32</v>
      </c>
      <c r="EXV75" s="244" t="s">
        <v>32</v>
      </c>
      <c r="EXW75" s="244" t="s">
        <v>32</v>
      </c>
      <c r="EXX75" s="244" t="s">
        <v>32</v>
      </c>
      <c r="EXY75" s="244" t="s">
        <v>32</v>
      </c>
      <c r="EXZ75" s="244" t="s">
        <v>32</v>
      </c>
      <c r="EYA75" s="244" t="s">
        <v>32</v>
      </c>
      <c r="EYB75" s="244" t="s">
        <v>32</v>
      </c>
      <c r="EYC75" s="244" t="s">
        <v>32</v>
      </c>
      <c r="EYD75" s="244" t="s">
        <v>32</v>
      </c>
      <c r="EYE75" s="244" t="s">
        <v>32</v>
      </c>
      <c r="EYF75" s="244" t="s">
        <v>32</v>
      </c>
      <c r="EYG75" s="244" t="s">
        <v>32</v>
      </c>
      <c r="EYH75" s="244" t="s">
        <v>32</v>
      </c>
      <c r="EYI75" s="244" t="s">
        <v>32</v>
      </c>
      <c r="EYJ75" s="244" t="s">
        <v>32</v>
      </c>
      <c r="EYK75" s="244" t="s">
        <v>32</v>
      </c>
      <c r="EYL75" s="244" t="s">
        <v>32</v>
      </c>
      <c r="EYM75" s="244" t="s">
        <v>32</v>
      </c>
      <c r="EYN75" s="244" t="s">
        <v>32</v>
      </c>
      <c r="EYO75" s="244" t="s">
        <v>32</v>
      </c>
      <c r="EYP75" s="244" t="s">
        <v>32</v>
      </c>
      <c r="EYQ75" s="244" t="s">
        <v>32</v>
      </c>
      <c r="EYR75" s="244" t="s">
        <v>32</v>
      </c>
      <c r="EYS75" s="244" t="s">
        <v>32</v>
      </c>
      <c r="EYT75" s="244" t="s">
        <v>32</v>
      </c>
      <c r="EYU75" s="244" t="s">
        <v>32</v>
      </c>
      <c r="EYV75" s="244" t="s">
        <v>32</v>
      </c>
      <c r="EYW75" s="244" t="s">
        <v>32</v>
      </c>
      <c r="EYX75" s="244" t="s">
        <v>32</v>
      </c>
      <c r="EYY75" s="244" t="s">
        <v>32</v>
      </c>
      <c r="EYZ75" s="244" t="s">
        <v>32</v>
      </c>
      <c r="EZA75" s="244" t="s">
        <v>32</v>
      </c>
      <c r="EZB75" s="244" t="s">
        <v>32</v>
      </c>
      <c r="EZC75" s="244" t="s">
        <v>32</v>
      </c>
      <c r="EZD75" s="244" t="s">
        <v>32</v>
      </c>
      <c r="EZE75" s="244" t="s">
        <v>32</v>
      </c>
      <c r="EZF75" s="244" t="s">
        <v>32</v>
      </c>
      <c r="EZG75" s="244" t="s">
        <v>32</v>
      </c>
      <c r="EZH75" s="244" t="s">
        <v>32</v>
      </c>
      <c r="EZI75" s="244" t="s">
        <v>32</v>
      </c>
      <c r="EZJ75" s="244" t="s">
        <v>32</v>
      </c>
      <c r="EZK75" s="244" t="s">
        <v>32</v>
      </c>
      <c r="EZL75" s="244" t="s">
        <v>32</v>
      </c>
      <c r="EZM75" s="244" t="s">
        <v>32</v>
      </c>
      <c r="EZN75" s="244" t="s">
        <v>32</v>
      </c>
      <c r="EZO75" s="244" t="s">
        <v>32</v>
      </c>
      <c r="EZP75" s="244" t="s">
        <v>32</v>
      </c>
      <c r="EZQ75" s="244" t="s">
        <v>32</v>
      </c>
      <c r="EZR75" s="244" t="s">
        <v>32</v>
      </c>
      <c r="EZS75" s="244" t="s">
        <v>32</v>
      </c>
      <c r="EZT75" s="244" t="s">
        <v>32</v>
      </c>
      <c r="EZU75" s="244" t="s">
        <v>32</v>
      </c>
      <c r="EZV75" s="244" t="s">
        <v>32</v>
      </c>
      <c r="EZW75" s="244" t="s">
        <v>32</v>
      </c>
      <c r="EZX75" s="244" t="s">
        <v>32</v>
      </c>
      <c r="EZY75" s="244" t="s">
        <v>32</v>
      </c>
      <c r="EZZ75" s="244" t="s">
        <v>32</v>
      </c>
      <c r="FAA75" s="244" t="s">
        <v>32</v>
      </c>
      <c r="FAB75" s="244" t="s">
        <v>32</v>
      </c>
      <c r="FAC75" s="244" t="s">
        <v>32</v>
      </c>
      <c r="FAD75" s="244" t="s">
        <v>32</v>
      </c>
      <c r="FAE75" s="244" t="s">
        <v>32</v>
      </c>
      <c r="FAF75" s="244" t="s">
        <v>32</v>
      </c>
      <c r="FAG75" s="244" t="s">
        <v>32</v>
      </c>
      <c r="FAH75" s="244" t="s">
        <v>32</v>
      </c>
      <c r="FAI75" s="244" t="s">
        <v>32</v>
      </c>
      <c r="FAJ75" s="244" t="s">
        <v>32</v>
      </c>
      <c r="FAK75" s="244" t="s">
        <v>32</v>
      </c>
      <c r="FAL75" s="244" t="s">
        <v>32</v>
      </c>
      <c r="FAM75" s="244" t="s">
        <v>32</v>
      </c>
      <c r="FAN75" s="244" t="s">
        <v>32</v>
      </c>
      <c r="FAO75" s="244" t="s">
        <v>32</v>
      </c>
      <c r="FAP75" s="244" t="s">
        <v>32</v>
      </c>
      <c r="FAQ75" s="244" t="s">
        <v>32</v>
      </c>
      <c r="FAR75" s="244" t="s">
        <v>32</v>
      </c>
      <c r="FAS75" s="244" t="s">
        <v>32</v>
      </c>
      <c r="FAT75" s="244" t="s">
        <v>32</v>
      </c>
      <c r="FAU75" s="244" t="s">
        <v>32</v>
      </c>
      <c r="FAV75" s="244" t="s">
        <v>32</v>
      </c>
      <c r="FAW75" s="244" t="s">
        <v>32</v>
      </c>
      <c r="FAX75" s="244" t="s">
        <v>32</v>
      </c>
      <c r="FAY75" s="244" t="s">
        <v>32</v>
      </c>
      <c r="FAZ75" s="244" t="s">
        <v>32</v>
      </c>
      <c r="FBA75" s="244" t="s">
        <v>32</v>
      </c>
      <c r="FBB75" s="244" t="s">
        <v>32</v>
      </c>
      <c r="FBC75" s="244" t="s">
        <v>32</v>
      </c>
      <c r="FBD75" s="244" t="s">
        <v>32</v>
      </c>
      <c r="FBE75" s="244" t="s">
        <v>32</v>
      </c>
      <c r="FBF75" s="244" t="s">
        <v>32</v>
      </c>
      <c r="FBG75" s="244" t="s">
        <v>32</v>
      </c>
      <c r="FBH75" s="244" t="s">
        <v>32</v>
      </c>
      <c r="FBI75" s="244" t="s">
        <v>32</v>
      </c>
      <c r="FBJ75" s="244" t="s">
        <v>32</v>
      </c>
      <c r="FBK75" s="244" t="s">
        <v>32</v>
      </c>
      <c r="FBL75" s="244" t="s">
        <v>32</v>
      </c>
      <c r="FBM75" s="244" t="s">
        <v>32</v>
      </c>
      <c r="FBN75" s="244" t="s">
        <v>32</v>
      </c>
      <c r="FBO75" s="244" t="s">
        <v>32</v>
      </c>
      <c r="FBP75" s="244" t="s">
        <v>32</v>
      </c>
      <c r="FBQ75" s="244" t="s">
        <v>32</v>
      </c>
      <c r="FBR75" s="244" t="s">
        <v>32</v>
      </c>
      <c r="FBS75" s="244" t="s">
        <v>32</v>
      </c>
      <c r="FBT75" s="244" t="s">
        <v>32</v>
      </c>
      <c r="FBU75" s="244" t="s">
        <v>32</v>
      </c>
      <c r="FBV75" s="244" t="s">
        <v>32</v>
      </c>
      <c r="FBW75" s="244" t="s">
        <v>32</v>
      </c>
      <c r="FBX75" s="244" t="s">
        <v>32</v>
      </c>
      <c r="FBY75" s="244" t="s">
        <v>32</v>
      </c>
      <c r="FBZ75" s="244" t="s">
        <v>32</v>
      </c>
      <c r="FCA75" s="244" t="s">
        <v>32</v>
      </c>
      <c r="FCB75" s="244" t="s">
        <v>32</v>
      </c>
      <c r="FCC75" s="244" t="s">
        <v>32</v>
      </c>
      <c r="FCD75" s="244" t="s">
        <v>32</v>
      </c>
      <c r="FCE75" s="244" t="s">
        <v>32</v>
      </c>
      <c r="FCF75" s="244" t="s">
        <v>32</v>
      </c>
      <c r="FCG75" s="244" t="s">
        <v>32</v>
      </c>
      <c r="FCH75" s="244" t="s">
        <v>32</v>
      </c>
      <c r="FCI75" s="244" t="s">
        <v>32</v>
      </c>
      <c r="FCJ75" s="244" t="s">
        <v>32</v>
      </c>
      <c r="FCK75" s="244" t="s">
        <v>32</v>
      </c>
      <c r="FCL75" s="244" t="s">
        <v>32</v>
      </c>
      <c r="FCM75" s="244" t="s">
        <v>32</v>
      </c>
      <c r="FCN75" s="244" t="s">
        <v>32</v>
      </c>
      <c r="FCO75" s="244" t="s">
        <v>32</v>
      </c>
      <c r="FCP75" s="244" t="s">
        <v>32</v>
      </c>
      <c r="FCQ75" s="244" t="s">
        <v>32</v>
      </c>
      <c r="FCR75" s="244" t="s">
        <v>32</v>
      </c>
      <c r="FCS75" s="244" t="s">
        <v>32</v>
      </c>
      <c r="FCT75" s="244" t="s">
        <v>32</v>
      </c>
      <c r="FCU75" s="244" t="s">
        <v>32</v>
      </c>
      <c r="FCV75" s="244" t="s">
        <v>32</v>
      </c>
      <c r="FCW75" s="244" t="s">
        <v>32</v>
      </c>
      <c r="FCX75" s="244" t="s">
        <v>32</v>
      </c>
      <c r="FCY75" s="244" t="s">
        <v>32</v>
      </c>
      <c r="FCZ75" s="244" t="s">
        <v>32</v>
      </c>
      <c r="FDA75" s="244" t="s">
        <v>32</v>
      </c>
      <c r="FDB75" s="244" t="s">
        <v>32</v>
      </c>
      <c r="FDC75" s="244" t="s">
        <v>32</v>
      </c>
      <c r="FDD75" s="244" t="s">
        <v>32</v>
      </c>
      <c r="FDE75" s="244" t="s">
        <v>32</v>
      </c>
      <c r="FDF75" s="244" t="s">
        <v>32</v>
      </c>
      <c r="FDG75" s="244" t="s">
        <v>32</v>
      </c>
      <c r="FDH75" s="244" t="s">
        <v>32</v>
      </c>
      <c r="FDI75" s="244" t="s">
        <v>32</v>
      </c>
      <c r="FDJ75" s="244" t="s">
        <v>32</v>
      </c>
      <c r="FDK75" s="244" t="s">
        <v>32</v>
      </c>
      <c r="FDL75" s="244" t="s">
        <v>32</v>
      </c>
      <c r="FDM75" s="244" t="s">
        <v>32</v>
      </c>
      <c r="FDN75" s="244" t="s">
        <v>32</v>
      </c>
      <c r="FDO75" s="244" t="s">
        <v>32</v>
      </c>
      <c r="FDP75" s="244" t="s">
        <v>32</v>
      </c>
      <c r="FDQ75" s="244" t="s">
        <v>32</v>
      </c>
      <c r="FDR75" s="244" t="s">
        <v>32</v>
      </c>
      <c r="FDS75" s="244" t="s">
        <v>32</v>
      </c>
      <c r="FDT75" s="244" t="s">
        <v>32</v>
      </c>
      <c r="FDU75" s="244" t="s">
        <v>32</v>
      </c>
      <c r="FDV75" s="244" t="s">
        <v>32</v>
      </c>
      <c r="FDW75" s="244" t="s">
        <v>32</v>
      </c>
      <c r="FDX75" s="244" t="s">
        <v>32</v>
      </c>
      <c r="FDY75" s="244" t="s">
        <v>32</v>
      </c>
      <c r="FDZ75" s="244" t="s">
        <v>32</v>
      </c>
      <c r="FEA75" s="244" t="s">
        <v>32</v>
      </c>
      <c r="FEB75" s="244" t="s">
        <v>32</v>
      </c>
      <c r="FEC75" s="244" t="s">
        <v>32</v>
      </c>
      <c r="FED75" s="244" t="s">
        <v>32</v>
      </c>
      <c r="FEE75" s="244" t="s">
        <v>32</v>
      </c>
      <c r="FEF75" s="244" t="s">
        <v>32</v>
      </c>
      <c r="FEG75" s="244" t="s">
        <v>32</v>
      </c>
      <c r="FEH75" s="244" t="s">
        <v>32</v>
      </c>
      <c r="FEI75" s="244" t="s">
        <v>32</v>
      </c>
      <c r="FEJ75" s="244" t="s">
        <v>32</v>
      </c>
      <c r="FEK75" s="244" t="s">
        <v>32</v>
      </c>
      <c r="FEL75" s="244" t="s">
        <v>32</v>
      </c>
      <c r="FEM75" s="244" t="s">
        <v>32</v>
      </c>
      <c r="FEN75" s="244" t="s">
        <v>32</v>
      </c>
      <c r="FEO75" s="244" t="s">
        <v>32</v>
      </c>
      <c r="FEP75" s="244" t="s">
        <v>32</v>
      </c>
      <c r="FEQ75" s="244" t="s">
        <v>32</v>
      </c>
      <c r="FER75" s="244" t="s">
        <v>32</v>
      </c>
      <c r="FES75" s="244" t="s">
        <v>32</v>
      </c>
      <c r="FET75" s="244" t="s">
        <v>32</v>
      </c>
      <c r="FEU75" s="244" t="s">
        <v>32</v>
      </c>
      <c r="FEV75" s="244" t="s">
        <v>32</v>
      </c>
      <c r="FEW75" s="244" t="s">
        <v>32</v>
      </c>
      <c r="FEX75" s="244" t="s">
        <v>32</v>
      </c>
      <c r="FEY75" s="244" t="s">
        <v>32</v>
      </c>
      <c r="FEZ75" s="244" t="s">
        <v>32</v>
      </c>
      <c r="FFA75" s="244" t="s">
        <v>32</v>
      </c>
      <c r="FFB75" s="244" t="s">
        <v>32</v>
      </c>
      <c r="FFC75" s="244" t="s">
        <v>32</v>
      </c>
      <c r="FFD75" s="244" t="s">
        <v>32</v>
      </c>
      <c r="FFE75" s="244" t="s">
        <v>32</v>
      </c>
      <c r="FFF75" s="244" t="s">
        <v>32</v>
      </c>
      <c r="FFG75" s="244" t="s">
        <v>32</v>
      </c>
      <c r="FFH75" s="244" t="s">
        <v>32</v>
      </c>
      <c r="FFI75" s="244" t="s">
        <v>32</v>
      </c>
      <c r="FFJ75" s="244" t="s">
        <v>32</v>
      </c>
      <c r="FFK75" s="244" t="s">
        <v>32</v>
      </c>
      <c r="FFL75" s="244" t="s">
        <v>32</v>
      </c>
      <c r="FFM75" s="244" t="s">
        <v>32</v>
      </c>
      <c r="FFN75" s="244" t="s">
        <v>32</v>
      </c>
      <c r="FFO75" s="244" t="s">
        <v>32</v>
      </c>
      <c r="FFP75" s="244" t="s">
        <v>32</v>
      </c>
      <c r="FFQ75" s="244" t="s">
        <v>32</v>
      </c>
      <c r="FFR75" s="244" t="s">
        <v>32</v>
      </c>
      <c r="FFS75" s="244" t="s">
        <v>32</v>
      </c>
      <c r="FFT75" s="244" t="s">
        <v>32</v>
      </c>
      <c r="FFU75" s="244" t="s">
        <v>32</v>
      </c>
      <c r="FFV75" s="244" t="s">
        <v>32</v>
      </c>
      <c r="FFW75" s="244" t="s">
        <v>32</v>
      </c>
      <c r="FFX75" s="244" t="s">
        <v>32</v>
      </c>
      <c r="FFY75" s="244" t="s">
        <v>32</v>
      </c>
      <c r="FFZ75" s="244" t="s">
        <v>32</v>
      </c>
      <c r="FGA75" s="244" t="s">
        <v>32</v>
      </c>
      <c r="FGB75" s="244" t="s">
        <v>32</v>
      </c>
      <c r="FGC75" s="244" t="s">
        <v>32</v>
      </c>
      <c r="FGD75" s="244" t="s">
        <v>32</v>
      </c>
      <c r="FGE75" s="244" t="s">
        <v>32</v>
      </c>
      <c r="FGF75" s="244" t="s">
        <v>32</v>
      </c>
      <c r="FGG75" s="244" t="s">
        <v>32</v>
      </c>
      <c r="FGH75" s="244" t="s">
        <v>32</v>
      </c>
      <c r="FGI75" s="244" t="s">
        <v>32</v>
      </c>
      <c r="FGJ75" s="244" t="s">
        <v>32</v>
      </c>
      <c r="FGK75" s="244" t="s">
        <v>32</v>
      </c>
      <c r="FGL75" s="244" t="s">
        <v>32</v>
      </c>
      <c r="FGM75" s="244" t="s">
        <v>32</v>
      </c>
      <c r="FGN75" s="244" t="s">
        <v>32</v>
      </c>
      <c r="FGO75" s="244" t="s">
        <v>32</v>
      </c>
      <c r="FGP75" s="244" t="s">
        <v>32</v>
      </c>
      <c r="FGQ75" s="244" t="s">
        <v>32</v>
      </c>
      <c r="FGR75" s="244" t="s">
        <v>32</v>
      </c>
      <c r="FGS75" s="244" t="s">
        <v>32</v>
      </c>
      <c r="FGT75" s="244" t="s">
        <v>32</v>
      </c>
      <c r="FGU75" s="244" t="s">
        <v>32</v>
      </c>
      <c r="FGV75" s="244" t="s">
        <v>32</v>
      </c>
      <c r="FGW75" s="244" t="s">
        <v>32</v>
      </c>
      <c r="FGX75" s="244" t="s">
        <v>32</v>
      </c>
      <c r="FGY75" s="244" t="s">
        <v>32</v>
      </c>
      <c r="FGZ75" s="244" t="s">
        <v>32</v>
      </c>
      <c r="FHA75" s="244" t="s">
        <v>32</v>
      </c>
      <c r="FHB75" s="244" t="s">
        <v>32</v>
      </c>
      <c r="FHC75" s="244" t="s">
        <v>32</v>
      </c>
      <c r="FHD75" s="244" t="s">
        <v>32</v>
      </c>
      <c r="FHE75" s="244" t="s">
        <v>32</v>
      </c>
      <c r="FHF75" s="244" t="s">
        <v>32</v>
      </c>
      <c r="FHG75" s="244" t="s">
        <v>32</v>
      </c>
      <c r="FHH75" s="244" t="s">
        <v>32</v>
      </c>
      <c r="FHI75" s="244" t="s">
        <v>32</v>
      </c>
      <c r="FHJ75" s="244" t="s">
        <v>32</v>
      </c>
      <c r="FHK75" s="244" t="s">
        <v>32</v>
      </c>
      <c r="FHL75" s="244" t="s">
        <v>32</v>
      </c>
      <c r="FHM75" s="244" t="s">
        <v>32</v>
      </c>
      <c r="FHN75" s="244" t="s">
        <v>32</v>
      </c>
      <c r="FHO75" s="244" t="s">
        <v>32</v>
      </c>
      <c r="FHP75" s="244" t="s">
        <v>32</v>
      </c>
      <c r="FHQ75" s="244" t="s">
        <v>32</v>
      </c>
      <c r="FHR75" s="244" t="s">
        <v>32</v>
      </c>
      <c r="FHS75" s="244" t="s">
        <v>32</v>
      </c>
      <c r="FHT75" s="244" t="s">
        <v>32</v>
      </c>
      <c r="FHU75" s="244" t="s">
        <v>32</v>
      </c>
      <c r="FHV75" s="244" t="s">
        <v>32</v>
      </c>
      <c r="FHW75" s="244" t="s">
        <v>32</v>
      </c>
      <c r="FHX75" s="244" t="s">
        <v>32</v>
      </c>
      <c r="FHY75" s="244" t="s">
        <v>32</v>
      </c>
      <c r="FHZ75" s="244" t="s">
        <v>32</v>
      </c>
      <c r="FIA75" s="244" t="s">
        <v>32</v>
      </c>
      <c r="FIB75" s="244" t="s">
        <v>32</v>
      </c>
      <c r="FIC75" s="244" t="s">
        <v>32</v>
      </c>
      <c r="FID75" s="244" t="s">
        <v>32</v>
      </c>
      <c r="FIE75" s="244" t="s">
        <v>32</v>
      </c>
      <c r="FIF75" s="244" t="s">
        <v>32</v>
      </c>
      <c r="FIG75" s="244" t="s">
        <v>32</v>
      </c>
      <c r="FIH75" s="244" t="s">
        <v>32</v>
      </c>
      <c r="FII75" s="244" t="s">
        <v>32</v>
      </c>
      <c r="FIJ75" s="244" t="s">
        <v>32</v>
      </c>
      <c r="FIK75" s="244" t="s">
        <v>32</v>
      </c>
      <c r="FIL75" s="244" t="s">
        <v>32</v>
      </c>
      <c r="FIM75" s="244" t="s">
        <v>32</v>
      </c>
      <c r="FIN75" s="244" t="s">
        <v>32</v>
      </c>
      <c r="FIO75" s="244" t="s">
        <v>32</v>
      </c>
      <c r="FIP75" s="244" t="s">
        <v>32</v>
      </c>
      <c r="FIQ75" s="244" t="s">
        <v>32</v>
      </c>
      <c r="FIR75" s="244" t="s">
        <v>32</v>
      </c>
      <c r="FIS75" s="244" t="s">
        <v>32</v>
      </c>
      <c r="FIT75" s="244" t="s">
        <v>32</v>
      </c>
      <c r="FIU75" s="244" t="s">
        <v>32</v>
      </c>
      <c r="FIV75" s="244" t="s">
        <v>32</v>
      </c>
      <c r="FIW75" s="244" t="s">
        <v>32</v>
      </c>
      <c r="FIX75" s="244" t="s">
        <v>32</v>
      </c>
      <c r="FIY75" s="244" t="s">
        <v>32</v>
      </c>
      <c r="FIZ75" s="244" t="s">
        <v>32</v>
      </c>
      <c r="FJA75" s="244" t="s">
        <v>32</v>
      </c>
      <c r="FJB75" s="244" t="s">
        <v>32</v>
      </c>
      <c r="FJC75" s="244" t="s">
        <v>32</v>
      </c>
      <c r="FJD75" s="244" t="s">
        <v>32</v>
      </c>
      <c r="FJE75" s="244" t="s">
        <v>32</v>
      </c>
      <c r="FJF75" s="244" t="s">
        <v>32</v>
      </c>
      <c r="FJG75" s="244" t="s">
        <v>32</v>
      </c>
      <c r="FJH75" s="244" t="s">
        <v>32</v>
      </c>
      <c r="FJI75" s="244" t="s">
        <v>32</v>
      </c>
      <c r="FJJ75" s="244" t="s">
        <v>32</v>
      </c>
      <c r="FJK75" s="244" t="s">
        <v>32</v>
      </c>
      <c r="FJL75" s="244" t="s">
        <v>32</v>
      </c>
      <c r="FJM75" s="244" t="s">
        <v>32</v>
      </c>
      <c r="FJN75" s="244" t="s">
        <v>32</v>
      </c>
      <c r="FJO75" s="244" t="s">
        <v>32</v>
      </c>
      <c r="FJP75" s="244" t="s">
        <v>32</v>
      </c>
      <c r="FJQ75" s="244" t="s">
        <v>32</v>
      </c>
      <c r="FJR75" s="244" t="s">
        <v>32</v>
      </c>
      <c r="FJS75" s="244" t="s">
        <v>32</v>
      </c>
      <c r="FJT75" s="244" t="s">
        <v>32</v>
      </c>
      <c r="FJU75" s="244" t="s">
        <v>32</v>
      </c>
      <c r="FJV75" s="244" t="s">
        <v>32</v>
      </c>
      <c r="FJW75" s="244" t="s">
        <v>32</v>
      </c>
      <c r="FJX75" s="244" t="s">
        <v>32</v>
      </c>
      <c r="FJY75" s="244" t="s">
        <v>32</v>
      </c>
      <c r="FJZ75" s="244" t="s">
        <v>32</v>
      </c>
      <c r="FKA75" s="244" t="s">
        <v>32</v>
      </c>
      <c r="FKB75" s="244" t="s">
        <v>32</v>
      </c>
      <c r="FKC75" s="244" t="s">
        <v>32</v>
      </c>
      <c r="FKD75" s="244" t="s">
        <v>32</v>
      </c>
      <c r="FKE75" s="244" t="s">
        <v>32</v>
      </c>
      <c r="FKF75" s="244" t="s">
        <v>32</v>
      </c>
      <c r="FKG75" s="244" t="s">
        <v>32</v>
      </c>
      <c r="FKH75" s="244" t="s">
        <v>32</v>
      </c>
      <c r="FKI75" s="244" t="s">
        <v>32</v>
      </c>
      <c r="FKJ75" s="244" t="s">
        <v>32</v>
      </c>
      <c r="FKK75" s="244" t="s">
        <v>32</v>
      </c>
      <c r="FKL75" s="244" t="s">
        <v>32</v>
      </c>
      <c r="FKM75" s="244" t="s">
        <v>32</v>
      </c>
      <c r="FKN75" s="244" t="s">
        <v>32</v>
      </c>
      <c r="FKO75" s="244" t="s">
        <v>32</v>
      </c>
      <c r="FKP75" s="244" t="s">
        <v>32</v>
      </c>
      <c r="FKQ75" s="244" t="s">
        <v>32</v>
      </c>
      <c r="FKR75" s="244" t="s">
        <v>32</v>
      </c>
      <c r="FKS75" s="244" t="s">
        <v>32</v>
      </c>
      <c r="FKT75" s="244" t="s">
        <v>32</v>
      </c>
      <c r="FKU75" s="244" t="s">
        <v>32</v>
      </c>
      <c r="FKV75" s="244" t="s">
        <v>32</v>
      </c>
      <c r="FKW75" s="244" t="s">
        <v>32</v>
      </c>
      <c r="FKX75" s="244" t="s">
        <v>32</v>
      </c>
      <c r="FKY75" s="244" t="s">
        <v>32</v>
      </c>
      <c r="FKZ75" s="244" t="s">
        <v>32</v>
      </c>
      <c r="FLA75" s="244" t="s">
        <v>32</v>
      </c>
      <c r="FLB75" s="244" t="s">
        <v>32</v>
      </c>
      <c r="FLC75" s="244" t="s">
        <v>32</v>
      </c>
      <c r="FLD75" s="244" t="s">
        <v>32</v>
      </c>
      <c r="FLE75" s="244" t="s">
        <v>32</v>
      </c>
      <c r="FLF75" s="244" t="s">
        <v>32</v>
      </c>
      <c r="FLG75" s="244" t="s">
        <v>32</v>
      </c>
      <c r="FLH75" s="244" t="s">
        <v>32</v>
      </c>
      <c r="FLI75" s="244" t="s">
        <v>32</v>
      </c>
      <c r="FLJ75" s="244" t="s">
        <v>32</v>
      </c>
      <c r="FLK75" s="244" t="s">
        <v>32</v>
      </c>
      <c r="FLL75" s="244" t="s">
        <v>32</v>
      </c>
      <c r="FLM75" s="244" t="s">
        <v>32</v>
      </c>
      <c r="FLN75" s="244" t="s">
        <v>32</v>
      </c>
      <c r="FLO75" s="244" t="s">
        <v>32</v>
      </c>
      <c r="FLP75" s="244" t="s">
        <v>32</v>
      </c>
      <c r="FLQ75" s="244" t="s">
        <v>32</v>
      </c>
      <c r="FLR75" s="244" t="s">
        <v>32</v>
      </c>
      <c r="FLS75" s="244" t="s">
        <v>32</v>
      </c>
      <c r="FLT75" s="244" t="s">
        <v>32</v>
      </c>
      <c r="FLU75" s="244" t="s">
        <v>32</v>
      </c>
      <c r="FLV75" s="244" t="s">
        <v>32</v>
      </c>
      <c r="FLW75" s="244" t="s">
        <v>32</v>
      </c>
      <c r="FLX75" s="244" t="s">
        <v>32</v>
      </c>
      <c r="FLY75" s="244" t="s">
        <v>32</v>
      </c>
      <c r="FLZ75" s="244" t="s">
        <v>32</v>
      </c>
      <c r="FMA75" s="244" t="s">
        <v>32</v>
      </c>
      <c r="FMB75" s="244" t="s">
        <v>32</v>
      </c>
      <c r="FMC75" s="244" t="s">
        <v>32</v>
      </c>
      <c r="FMD75" s="244" t="s">
        <v>32</v>
      </c>
      <c r="FME75" s="244" t="s">
        <v>32</v>
      </c>
      <c r="FMF75" s="244" t="s">
        <v>32</v>
      </c>
      <c r="FMG75" s="244" t="s">
        <v>32</v>
      </c>
      <c r="FMH75" s="244" t="s">
        <v>32</v>
      </c>
      <c r="FMI75" s="244" t="s">
        <v>32</v>
      </c>
      <c r="FMJ75" s="244" t="s">
        <v>32</v>
      </c>
      <c r="FMK75" s="244" t="s">
        <v>32</v>
      </c>
      <c r="FML75" s="244" t="s">
        <v>32</v>
      </c>
      <c r="FMM75" s="244" t="s">
        <v>32</v>
      </c>
      <c r="FMN75" s="244" t="s">
        <v>32</v>
      </c>
      <c r="FMO75" s="244" t="s">
        <v>32</v>
      </c>
      <c r="FMP75" s="244" t="s">
        <v>32</v>
      </c>
      <c r="FMQ75" s="244" t="s">
        <v>32</v>
      </c>
      <c r="FMR75" s="244" t="s">
        <v>32</v>
      </c>
      <c r="FMS75" s="244" t="s">
        <v>32</v>
      </c>
      <c r="FMT75" s="244" t="s">
        <v>32</v>
      </c>
      <c r="FMU75" s="244" t="s">
        <v>32</v>
      </c>
      <c r="FMV75" s="244" t="s">
        <v>32</v>
      </c>
      <c r="FMW75" s="244" t="s">
        <v>32</v>
      </c>
      <c r="FMX75" s="244" t="s">
        <v>32</v>
      </c>
      <c r="FMY75" s="244" t="s">
        <v>32</v>
      </c>
      <c r="FMZ75" s="244" t="s">
        <v>32</v>
      </c>
      <c r="FNA75" s="244" t="s">
        <v>32</v>
      </c>
      <c r="FNB75" s="244" t="s">
        <v>32</v>
      </c>
      <c r="FNC75" s="244" t="s">
        <v>32</v>
      </c>
      <c r="FND75" s="244" t="s">
        <v>32</v>
      </c>
      <c r="FNE75" s="244" t="s">
        <v>32</v>
      </c>
      <c r="FNF75" s="244" t="s">
        <v>32</v>
      </c>
      <c r="FNG75" s="244" t="s">
        <v>32</v>
      </c>
      <c r="FNH75" s="244" t="s">
        <v>32</v>
      </c>
      <c r="FNI75" s="244" t="s">
        <v>32</v>
      </c>
      <c r="FNJ75" s="244" t="s">
        <v>32</v>
      </c>
      <c r="FNK75" s="244" t="s">
        <v>32</v>
      </c>
      <c r="FNL75" s="244" t="s">
        <v>32</v>
      </c>
      <c r="FNM75" s="244" t="s">
        <v>32</v>
      </c>
      <c r="FNN75" s="244" t="s">
        <v>32</v>
      </c>
      <c r="FNO75" s="244" t="s">
        <v>32</v>
      </c>
      <c r="FNP75" s="244" t="s">
        <v>32</v>
      </c>
      <c r="FNQ75" s="244" t="s">
        <v>32</v>
      </c>
      <c r="FNR75" s="244" t="s">
        <v>32</v>
      </c>
      <c r="FNS75" s="244" t="s">
        <v>32</v>
      </c>
      <c r="FNT75" s="244" t="s">
        <v>32</v>
      </c>
      <c r="FNU75" s="244" t="s">
        <v>32</v>
      </c>
      <c r="FNV75" s="244" t="s">
        <v>32</v>
      </c>
      <c r="FNW75" s="244" t="s">
        <v>32</v>
      </c>
      <c r="FNX75" s="244" t="s">
        <v>32</v>
      </c>
      <c r="FNY75" s="244" t="s">
        <v>32</v>
      </c>
      <c r="FNZ75" s="244" t="s">
        <v>32</v>
      </c>
      <c r="FOA75" s="244" t="s">
        <v>32</v>
      </c>
      <c r="FOB75" s="244" t="s">
        <v>32</v>
      </c>
      <c r="FOC75" s="244" t="s">
        <v>32</v>
      </c>
      <c r="FOD75" s="244" t="s">
        <v>32</v>
      </c>
      <c r="FOE75" s="244" t="s">
        <v>32</v>
      </c>
      <c r="FOF75" s="244" t="s">
        <v>32</v>
      </c>
      <c r="FOG75" s="244" t="s">
        <v>32</v>
      </c>
      <c r="FOH75" s="244" t="s">
        <v>32</v>
      </c>
      <c r="FOI75" s="244" t="s">
        <v>32</v>
      </c>
      <c r="FOJ75" s="244" t="s">
        <v>32</v>
      </c>
      <c r="FOK75" s="244" t="s">
        <v>32</v>
      </c>
      <c r="FOL75" s="244" t="s">
        <v>32</v>
      </c>
      <c r="FOM75" s="244" t="s">
        <v>32</v>
      </c>
      <c r="FON75" s="244" t="s">
        <v>32</v>
      </c>
      <c r="FOO75" s="244" t="s">
        <v>32</v>
      </c>
      <c r="FOP75" s="244" t="s">
        <v>32</v>
      </c>
      <c r="FOQ75" s="244" t="s">
        <v>32</v>
      </c>
      <c r="FOR75" s="244" t="s">
        <v>32</v>
      </c>
      <c r="FOS75" s="244" t="s">
        <v>32</v>
      </c>
      <c r="FOT75" s="244" t="s">
        <v>32</v>
      </c>
      <c r="FOU75" s="244" t="s">
        <v>32</v>
      </c>
      <c r="FOV75" s="244" t="s">
        <v>32</v>
      </c>
      <c r="FOW75" s="244" t="s">
        <v>32</v>
      </c>
      <c r="FOX75" s="244" t="s">
        <v>32</v>
      </c>
      <c r="FOY75" s="244" t="s">
        <v>32</v>
      </c>
      <c r="FOZ75" s="244" t="s">
        <v>32</v>
      </c>
      <c r="FPA75" s="244" t="s">
        <v>32</v>
      </c>
      <c r="FPB75" s="244" t="s">
        <v>32</v>
      </c>
      <c r="FPC75" s="244" t="s">
        <v>32</v>
      </c>
      <c r="FPD75" s="244" t="s">
        <v>32</v>
      </c>
      <c r="FPE75" s="244" t="s">
        <v>32</v>
      </c>
      <c r="FPF75" s="244" t="s">
        <v>32</v>
      </c>
      <c r="FPG75" s="244" t="s">
        <v>32</v>
      </c>
      <c r="FPH75" s="244" t="s">
        <v>32</v>
      </c>
      <c r="FPI75" s="244" t="s">
        <v>32</v>
      </c>
      <c r="FPJ75" s="244" t="s">
        <v>32</v>
      </c>
      <c r="FPK75" s="244" t="s">
        <v>32</v>
      </c>
      <c r="FPL75" s="244" t="s">
        <v>32</v>
      </c>
      <c r="FPM75" s="244" t="s">
        <v>32</v>
      </c>
      <c r="FPN75" s="244" t="s">
        <v>32</v>
      </c>
      <c r="FPO75" s="244" t="s">
        <v>32</v>
      </c>
      <c r="FPP75" s="244" t="s">
        <v>32</v>
      </c>
      <c r="FPQ75" s="244" t="s">
        <v>32</v>
      </c>
      <c r="FPR75" s="244" t="s">
        <v>32</v>
      </c>
      <c r="FPS75" s="244" t="s">
        <v>32</v>
      </c>
      <c r="FPT75" s="244" t="s">
        <v>32</v>
      </c>
      <c r="FPU75" s="244" t="s">
        <v>32</v>
      </c>
      <c r="FPV75" s="244" t="s">
        <v>32</v>
      </c>
      <c r="FPW75" s="244" t="s">
        <v>32</v>
      </c>
      <c r="FPX75" s="244" t="s">
        <v>32</v>
      </c>
      <c r="FPY75" s="244" t="s">
        <v>32</v>
      </c>
      <c r="FPZ75" s="244" t="s">
        <v>32</v>
      </c>
      <c r="FQA75" s="244" t="s">
        <v>32</v>
      </c>
      <c r="FQB75" s="244" t="s">
        <v>32</v>
      </c>
      <c r="FQC75" s="244" t="s">
        <v>32</v>
      </c>
      <c r="FQD75" s="244" t="s">
        <v>32</v>
      </c>
      <c r="FQE75" s="244" t="s">
        <v>32</v>
      </c>
      <c r="FQF75" s="244" t="s">
        <v>32</v>
      </c>
      <c r="FQG75" s="244" t="s">
        <v>32</v>
      </c>
      <c r="FQH75" s="244" t="s">
        <v>32</v>
      </c>
      <c r="FQI75" s="244" t="s">
        <v>32</v>
      </c>
      <c r="FQJ75" s="244" t="s">
        <v>32</v>
      </c>
      <c r="FQK75" s="244" t="s">
        <v>32</v>
      </c>
      <c r="FQL75" s="244" t="s">
        <v>32</v>
      </c>
      <c r="FQM75" s="244" t="s">
        <v>32</v>
      </c>
      <c r="FQN75" s="244" t="s">
        <v>32</v>
      </c>
      <c r="FQO75" s="244" t="s">
        <v>32</v>
      </c>
      <c r="FQP75" s="244" t="s">
        <v>32</v>
      </c>
      <c r="FQQ75" s="244" t="s">
        <v>32</v>
      </c>
      <c r="FQR75" s="244" t="s">
        <v>32</v>
      </c>
      <c r="FQS75" s="244" t="s">
        <v>32</v>
      </c>
      <c r="FQT75" s="244" t="s">
        <v>32</v>
      </c>
      <c r="FQU75" s="244" t="s">
        <v>32</v>
      </c>
      <c r="FQV75" s="244" t="s">
        <v>32</v>
      </c>
      <c r="FQW75" s="244" t="s">
        <v>32</v>
      </c>
      <c r="FQX75" s="244" t="s">
        <v>32</v>
      </c>
      <c r="FQY75" s="244" t="s">
        <v>32</v>
      </c>
      <c r="FQZ75" s="244" t="s">
        <v>32</v>
      </c>
      <c r="FRA75" s="244" t="s">
        <v>32</v>
      </c>
      <c r="FRB75" s="244" t="s">
        <v>32</v>
      </c>
      <c r="FRC75" s="244" t="s">
        <v>32</v>
      </c>
      <c r="FRD75" s="244" t="s">
        <v>32</v>
      </c>
      <c r="FRE75" s="244" t="s">
        <v>32</v>
      </c>
      <c r="FRF75" s="244" t="s">
        <v>32</v>
      </c>
      <c r="FRG75" s="244" t="s">
        <v>32</v>
      </c>
      <c r="FRH75" s="244" t="s">
        <v>32</v>
      </c>
      <c r="FRI75" s="244" t="s">
        <v>32</v>
      </c>
      <c r="FRJ75" s="244" t="s">
        <v>32</v>
      </c>
      <c r="FRK75" s="244" t="s">
        <v>32</v>
      </c>
      <c r="FRL75" s="244" t="s">
        <v>32</v>
      </c>
      <c r="FRM75" s="244" t="s">
        <v>32</v>
      </c>
      <c r="FRN75" s="244" t="s">
        <v>32</v>
      </c>
      <c r="FRO75" s="244" t="s">
        <v>32</v>
      </c>
      <c r="FRP75" s="244" t="s">
        <v>32</v>
      </c>
      <c r="FRQ75" s="244" t="s">
        <v>32</v>
      </c>
      <c r="FRR75" s="244" t="s">
        <v>32</v>
      </c>
      <c r="FRS75" s="244" t="s">
        <v>32</v>
      </c>
      <c r="FRT75" s="244" t="s">
        <v>32</v>
      </c>
      <c r="FRU75" s="244" t="s">
        <v>32</v>
      </c>
      <c r="FRV75" s="244" t="s">
        <v>32</v>
      </c>
      <c r="FRW75" s="244" t="s">
        <v>32</v>
      </c>
      <c r="FRX75" s="244" t="s">
        <v>32</v>
      </c>
      <c r="FRY75" s="244" t="s">
        <v>32</v>
      </c>
      <c r="FRZ75" s="244" t="s">
        <v>32</v>
      </c>
      <c r="FSA75" s="244" t="s">
        <v>32</v>
      </c>
      <c r="FSB75" s="244" t="s">
        <v>32</v>
      </c>
      <c r="FSC75" s="244" t="s">
        <v>32</v>
      </c>
      <c r="FSD75" s="244" t="s">
        <v>32</v>
      </c>
      <c r="FSE75" s="244" t="s">
        <v>32</v>
      </c>
      <c r="FSF75" s="244" t="s">
        <v>32</v>
      </c>
      <c r="FSG75" s="244" t="s">
        <v>32</v>
      </c>
      <c r="FSH75" s="244" t="s">
        <v>32</v>
      </c>
      <c r="FSI75" s="244" t="s">
        <v>32</v>
      </c>
      <c r="FSJ75" s="244" t="s">
        <v>32</v>
      </c>
      <c r="FSK75" s="244" t="s">
        <v>32</v>
      </c>
      <c r="FSL75" s="244" t="s">
        <v>32</v>
      </c>
      <c r="FSM75" s="244" t="s">
        <v>32</v>
      </c>
      <c r="FSN75" s="244" t="s">
        <v>32</v>
      </c>
      <c r="FSO75" s="244" t="s">
        <v>32</v>
      </c>
      <c r="FSP75" s="244" t="s">
        <v>32</v>
      </c>
      <c r="FSQ75" s="244" t="s">
        <v>32</v>
      </c>
      <c r="FSR75" s="244" t="s">
        <v>32</v>
      </c>
      <c r="FSS75" s="244" t="s">
        <v>32</v>
      </c>
      <c r="FST75" s="244" t="s">
        <v>32</v>
      </c>
      <c r="FSU75" s="244" t="s">
        <v>32</v>
      </c>
      <c r="FSV75" s="244" t="s">
        <v>32</v>
      </c>
      <c r="FSW75" s="244" t="s">
        <v>32</v>
      </c>
      <c r="FSX75" s="244" t="s">
        <v>32</v>
      </c>
      <c r="FSY75" s="244" t="s">
        <v>32</v>
      </c>
      <c r="FSZ75" s="244" t="s">
        <v>32</v>
      </c>
      <c r="FTA75" s="244" t="s">
        <v>32</v>
      </c>
      <c r="FTB75" s="244" t="s">
        <v>32</v>
      </c>
      <c r="FTC75" s="244" t="s">
        <v>32</v>
      </c>
      <c r="FTD75" s="244" t="s">
        <v>32</v>
      </c>
      <c r="FTE75" s="244" t="s">
        <v>32</v>
      </c>
      <c r="FTF75" s="244" t="s">
        <v>32</v>
      </c>
      <c r="FTG75" s="244" t="s">
        <v>32</v>
      </c>
      <c r="FTH75" s="244" t="s">
        <v>32</v>
      </c>
      <c r="FTI75" s="244" t="s">
        <v>32</v>
      </c>
      <c r="FTJ75" s="244" t="s">
        <v>32</v>
      </c>
      <c r="FTK75" s="244" t="s">
        <v>32</v>
      </c>
      <c r="FTL75" s="244" t="s">
        <v>32</v>
      </c>
      <c r="FTM75" s="244" t="s">
        <v>32</v>
      </c>
      <c r="FTN75" s="244" t="s">
        <v>32</v>
      </c>
      <c r="FTO75" s="244" t="s">
        <v>32</v>
      </c>
      <c r="FTP75" s="244" t="s">
        <v>32</v>
      </c>
      <c r="FTQ75" s="244" t="s">
        <v>32</v>
      </c>
      <c r="FTR75" s="244" t="s">
        <v>32</v>
      </c>
      <c r="FTS75" s="244" t="s">
        <v>32</v>
      </c>
      <c r="FTT75" s="244" t="s">
        <v>32</v>
      </c>
      <c r="FTU75" s="244" t="s">
        <v>32</v>
      </c>
      <c r="FTV75" s="244" t="s">
        <v>32</v>
      </c>
      <c r="FTW75" s="244" t="s">
        <v>32</v>
      </c>
      <c r="FTX75" s="244" t="s">
        <v>32</v>
      </c>
      <c r="FTY75" s="244" t="s">
        <v>32</v>
      </c>
      <c r="FTZ75" s="244" t="s">
        <v>32</v>
      </c>
      <c r="FUA75" s="244" t="s">
        <v>32</v>
      </c>
      <c r="FUB75" s="244" t="s">
        <v>32</v>
      </c>
      <c r="FUC75" s="244" t="s">
        <v>32</v>
      </c>
      <c r="FUD75" s="244" t="s">
        <v>32</v>
      </c>
      <c r="FUE75" s="244" t="s">
        <v>32</v>
      </c>
      <c r="FUF75" s="244" t="s">
        <v>32</v>
      </c>
      <c r="FUG75" s="244" t="s">
        <v>32</v>
      </c>
      <c r="FUH75" s="244" t="s">
        <v>32</v>
      </c>
      <c r="FUI75" s="244" t="s">
        <v>32</v>
      </c>
      <c r="FUJ75" s="244" t="s">
        <v>32</v>
      </c>
      <c r="FUK75" s="244" t="s">
        <v>32</v>
      </c>
      <c r="FUL75" s="244" t="s">
        <v>32</v>
      </c>
      <c r="FUM75" s="244" t="s">
        <v>32</v>
      </c>
      <c r="FUN75" s="244" t="s">
        <v>32</v>
      </c>
      <c r="FUO75" s="244" t="s">
        <v>32</v>
      </c>
      <c r="FUP75" s="244" t="s">
        <v>32</v>
      </c>
      <c r="FUQ75" s="244" t="s">
        <v>32</v>
      </c>
      <c r="FUR75" s="244" t="s">
        <v>32</v>
      </c>
      <c r="FUS75" s="244" t="s">
        <v>32</v>
      </c>
      <c r="FUT75" s="244" t="s">
        <v>32</v>
      </c>
      <c r="FUU75" s="244" t="s">
        <v>32</v>
      </c>
      <c r="FUV75" s="244" t="s">
        <v>32</v>
      </c>
      <c r="FUW75" s="244" t="s">
        <v>32</v>
      </c>
      <c r="FUX75" s="244" t="s">
        <v>32</v>
      </c>
      <c r="FUY75" s="244" t="s">
        <v>32</v>
      </c>
      <c r="FUZ75" s="244" t="s">
        <v>32</v>
      </c>
      <c r="FVA75" s="244" t="s">
        <v>32</v>
      </c>
      <c r="FVB75" s="244" t="s">
        <v>32</v>
      </c>
      <c r="FVC75" s="244" t="s">
        <v>32</v>
      </c>
      <c r="FVD75" s="244" t="s">
        <v>32</v>
      </c>
      <c r="FVE75" s="244" t="s">
        <v>32</v>
      </c>
      <c r="FVF75" s="244" t="s">
        <v>32</v>
      </c>
      <c r="FVG75" s="244" t="s">
        <v>32</v>
      </c>
      <c r="FVH75" s="244" t="s">
        <v>32</v>
      </c>
      <c r="FVI75" s="244" t="s">
        <v>32</v>
      </c>
      <c r="FVJ75" s="244" t="s">
        <v>32</v>
      </c>
      <c r="FVK75" s="244" t="s">
        <v>32</v>
      </c>
      <c r="FVL75" s="244" t="s">
        <v>32</v>
      </c>
      <c r="FVM75" s="244" t="s">
        <v>32</v>
      </c>
      <c r="FVN75" s="244" t="s">
        <v>32</v>
      </c>
      <c r="FVO75" s="244" t="s">
        <v>32</v>
      </c>
      <c r="FVP75" s="244" t="s">
        <v>32</v>
      </c>
      <c r="FVQ75" s="244" t="s">
        <v>32</v>
      </c>
      <c r="FVR75" s="244" t="s">
        <v>32</v>
      </c>
      <c r="FVS75" s="244" t="s">
        <v>32</v>
      </c>
      <c r="FVT75" s="244" t="s">
        <v>32</v>
      </c>
      <c r="FVU75" s="244" t="s">
        <v>32</v>
      </c>
      <c r="FVV75" s="244" t="s">
        <v>32</v>
      </c>
      <c r="FVW75" s="244" t="s">
        <v>32</v>
      </c>
      <c r="FVX75" s="244" t="s">
        <v>32</v>
      </c>
      <c r="FVY75" s="244" t="s">
        <v>32</v>
      </c>
      <c r="FVZ75" s="244" t="s">
        <v>32</v>
      </c>
      <c r="FWA75" s="244" t="s">
        <v>32</v>
      </c>
      <c r="FWB75" s="244" t="s">
        <v>32</v>
      </c>
      <c r="FWC75" s="244" t="s">
        <v>32</v>
      </c>
      <c r="FWD75" s="244" t="s">
        <v>32</v>
      </c>
      <c r="FWE75" s="244" t="s">
        <v>32</v>
      </c>
      <c r="FWF75" s="244" t="s">
        <v>32</v>
      </c>
      <c r="FWG75" s="244" t="s">
        <v>32</v>
      </c>
      <c r="FWH75" s="244" t="s">
        <v>32</v>
      </c>
      <c r="FWI75" s="244" t="s">
        <v>32</v>
      </c>
      <c r="FWJ75" s="244" t="s">
        <v>32</v>
      </c>
      <c r="FWK75" s="244" t="s">
        <v>32</v>
      </c>
      <c r="FWL75" s="244" t="s">
        <v>32</v>
      </c>
      <c r="FWM75" s="244" t="s">
        <v>32</v>
      </c>
      <c r="FWN75" s="244" t="s">
        <v>32</v>
      </c>
      <c r="FWO75" s="244" t="s">
        <v>32</v>
      </c>
      <c r="FWP75" s="244" t="s">
        <v>32</v>
      </c>
      <c r="FWQ75" s="244" t="s">
        <v>32</v>
      </c>
      <c r="FWR75" s="244" t="s">
        <v>32</v>
      </c>
      <c r="FWS75" s="244" t="s">
        <v>32</v>
      </c>
      <c r="FWT75" s="244" t="s">
        <v>32</v>
      </c>
      <c r="FWU75" s="244" t="s">
        <v>32</v>
      </c>
      <c r="FWV75" s="244" t="s">
        <v>32</v>
      </c>
      <c r="FWW75" s="244" t="s">
        <v>32</v>
      </c>
      <c r="FWX75" s="244" t="s">
        <v>32</v>
      </c>
      <c r="FWY75" s="244" t="s">
        <v>32</v>
      </c>
      <c r="FWZ75" s="244" t="s">
        <v>32</v>
      </c>
      <c r="FXA75" s="244" t="s">
        <v>32</v>
      </c>
      <c r="FXB75" s="244" t="s">
        <v>32</v>
      </c>
      <c r="FXC75" s="244" t="s">
        <v>32</v>
      </c>
      <c r="FXD75" s="244" t="s">
        <v>32</v>
      </c>
      <c r="FXE75" s="244" t="s">
        <v>32</v>
      </c>
      <c r="FXF75" s="244" t="s">
        <v>32</v>
      </c>
      <c r="FXG75" s="244" t="s">
        <v>32</v>
      </c>
      <c r="FXH75" s="244" t="s">
        <v>32</v>
      </c>
      <c r="FXI75" s="244" t="s">
        <v>32</v>
      </c>
      <c r="FXJ75" s="244" t="s">
        <v>32</v>
      </c>
      <c r="FXK75" s="244" t="s">
        <v>32</v>
      </c>
      <c r="FXL75" s="244" t="s">
        <v>32</v>
      </c>
      <c r="FXM75" s="244" t="s">
        <v>32</v>
      </c>
      <c r="FXN75" s="244" t="s">
        <v>32</v>
      </c>
      <c r="FXO75" s="244" t="s">
        <v>32</v>
      </c>
      <c r="FXP75" s="244" t="s">
        <v>32</v>
      </c>
      <c r="FXQ75" s="244" t="s">
        <v>32</v>
      </c>
      <c r="FXR75" s="244" t="s">
        <v>32</v>
      </c>
      <c r="FXS75" s="244" t="s">
        <v>32</v>
      </c>
      <c r="FXT75" s="244" t="s">
        <v>32</v>
      </c>
      <c r="FXU75" s="244" t="s">
        <v>32</v>
      </c>
      <c r="FXV75" s="244" t="s">
        <v>32</v>
      </c>
      <c r="FXW75" s="244" t="s">
        <v>32</v>
      </c>
      <c r="FXX75" s="244" t="s">
        <v>32</v>
      </c>
      <c r="FXY75" s="244" t="s">
        <v>32</v>
      </c>
      <c r="FXZ75" s="244" t="s">
        <v>32</v>
      </c>
      <c r="FYA75" s="244" t="s">
        <v>32</v>
      </c>
      <c r="FYB75" s="244" t="s">
        <v>32</v>
      </c>
      <c r="FYC75" s="244" t="s">
        <v>32</v>
      </c>
      <c r="FYD75" s="244" t="s">
        <v>32</v>
      </c>
      <c r="FYE75" s="244" t="s">
        <v>32</v>
      </c>
      <c r="FYF75" s="244" t="s">
        <v>32</v>
      </c>
      <c r="FYG75" s="244" t="s">
        <v>32</v>
      </c>
      <c r="FYH75" s="244" t="s">
        <v>32</v>
      </c>
      <c r="FYI75" s="244" t="s">
        <v>32</v>
      </c>
      <c r="FYJ75" s="244" t="s">
        <v>32</v>
      </c>
      <c r="FYK75" s="244" t="s">
        <v>32</v>
      </c>
      <c r="FYL75" s="244" t="s">
        <v>32</v>
      </c>
      <c r="FYM75" s="244" t="s">
        <v>32</v>
      </c>
      <c r="FYN75" s="244" t="s">
        <v>32</v>
      </c>
      <c r="FYO75" s="244" t="s">
        <v>32</v>
      </c>
      <c r="FYP75" s="244" t="s">
        <v>32</v>
      </c>
      <c r="FYQ75" s="244" t="s">
        <v>32</v>
      </c>
      <c r="FYR75" s="244" t="s">
        <v>32</v>
      </c>
      <c r="FYS75" s="244" t="s">
        <v>32</v>
      </c>
      <c r="FYT75" s="244" t="s">
        <v>32</v>
      </c>
      <c r="FYU75" s="244" t="s">
        <v>32</v>
      </c>
      <c r="FYV75" s="244" t="s">
        <v>32</v>
      </c>
      <c r="FYW75" s="244" t="s">
        <v>32</v>
      </c>
      <c r="FYX75" s="244" t="s">
        <v>32</v>
      </c>
      <c r="FYY75" s="244" t="s">
        <v>32</v>
      </c>
      <c r="FYZ75" s="244" t="s">
        <v>32</v>
      </c>
      <c r="FZA75" s="244" t="s">
        <v>32</v>
      </c>
      <c r="FZB75" s="244" t="s">
        <v>32</v>
      </c>
      <c r="FZC75" s="244" t="s">
        <v>32</v>
      </c>
      <c r="FZD75" s="244" t="s">
        <v>32</v>
      </c>
      <c r="FZE75" s="244" t="s">
        <v>32</v>
      </c>
      <c r="FZF75" s="244" t="s">
        <v>32</v>
      </c>
      <c r="FZG75" s="244" t="s">
        <v>32</v>
      </c>
      <c r="FZH75" s="244" t="s">
        <v>32</v>
      </c>
      <c r="FZI75" s="244" t="s">
        <v>32</v>
      </c>
      <c r="FZJ75" s="244" t="s">
        <v>32</v>
      </c>
      <c r="FZK75" s="244" t="s">
        <v>32</v>
      </c>
      <c r="FZL75" s="244" t="s">
        <v>32</v>
      </c>
      <c r="FZM75" s="244" t="s">
        <v>32</v>
      </c>
      <c r="FZN75" s="244" t="s">
        <v>32</v>
      </c>
      <c r="FZO75" s="244" t="s">
        <v>32</v>
      </c>
      <c r="FZP75" s="244" t="s">
        <v>32</v>
      </c>
      <c r="FZQ75" s="244" t="s">
        <v>32</v>
      </c>
      <c r="FZR75" s="244" t="s">
        <v>32</v>
      </c>
      <c r="FZS75" s="244" t="s">
        <v>32</v>
      </c>
      <c r="FZT75" s="244" t="s">
        <v>32</v>
      </c>
      <c r="FZU75" s="244" t="s">
        <v>32</v>
      </c>
      <c r="FZV75" s="244" t="s">
        <v>32</v>
      </c>
      <c r="FZW75" s="244" t="s">
        <v>32</v>
      </c>
      <c r="FZX75" s="244" t="s">
        <v>32</v>
      </c>
      <c r="FZY75" s="244" t="s">
        <v>32</v>
      </c>
      <c r="FZZ75" s="244" t="s">
        <v>32</v>
      </c>
      <c r="GAA75" s="244" t="s">
        <v>32</v>
      </c>
      <c r="GAB75" s="244" t="s">
        <v>32</v>
      </c>
      <c r="GAC75" s="244" t="s">
        <v>32</v>
      </c>
      <c r="GAD75" s="244" t="s">
        <v>32</v>
      </c>
      <c r="GAE75" s="244" t="s">
        <v>32</v>
      </c>
      <c r="GAF75" s="244" t="s">
        <v>32</v>
      </c>
      <c r="GAG75" s="244" t="s">
        <v>32</v>
      </c>
      <c r="GAH75" s="244" t="s">
        <v>32</v>
      </c>
      <c r="GAI75" s="244" t="s">
        <v>32</v>
      </c>
      <c r="GAJ75" s="244" t="s">
        <v>32</v>
      </c>
      <c r="GAK75" s="244" t="s">
        <v>32</v>
      </c>
      <c r="GAL75" s="244" t="s">
        <v>32</v>
      </c>
      <c r="GAM75" s="244" t="s">
        <v>32</v>
      </c>
      <c r="GAN75" s="244" t="s">
        <v>32</v>
      </c>
      <c r="GAO75" s="244" t="s">
        <v>32</v>
      </c>
      <c r="GAP75" s="244" t="s">
        <v>32</v>
      </c>
      <c r="GAQ75" s="244" t="s">
        <v>32</v>
      </c>
      <c r="GAR75" s="244" t="s">
        <v>32</v>
      </c>
      <c r="GAS75" s="244" t="s">
        <v>32</v>
      </c>
      <c r="GAT75" s="244" t="s">
        <v>32</v>
      </c>
      <c r="GAU75" s="244" t="s">
        <v>32</v>
      </c>
      <c r="GAV75" s="244" t="s">
        <v>32</v>
      </c>
      <c r="GAW75" s="244" t="s">
        <v>32</v>
      </c>
      <c r="GAX75" s="244" t="s">
        <v>32</v>
      </c>
      <c r="GAY75" s="244" t="s">
        <v>32</v>
      </c>
      <c r="GAZ75" s="244" t="s">
        <v>32</v>
      </c>
      <c r="GBA75" s="244" t="s">
        <v>32</v>
      </c>
      <c r="GBB75" s="244" t="s">
        <v>32</v>
      </c>
      <c r="GBC75" s="244" t="s">
        <v>32</v>
      </c>
      <c r="GBD75" s="244" t="s">
        <v>32</v>
      </c>
      <c r="GBE75" s="244" t="s">
        <v>32</v>
      </c>
      <c r="GBF75" s="244" t="s">
        <v>32</v>
      </c>
      <c r="GBG75" s="244" t="s">
        <v>32</v>
      </c>
      <c r="GBH75" s="244" t="s">
        <v>32</v>
      </c>
      <c r="GBI75" s="244" t="s">
        <v>32</v>
      </c>
      <c r="GBJ75" s="244" t="s">
        <v>32</v>
      </c>
      <c r="GBK75" s="244" t="s">
        <v>32</v>
      </c>
      <c r="GBL75" s="244" t="s">
        <v>32</v>
      </c>
      <c r="GBM75" s="244" t="s">
        <v>32</v>
      </c>
      <c r="GBN75" s="244" t="s">
        <v>32</v>
      </c>
      <c r="GBO75" s="244" t="s">
        <v>32</v>
      </c>
      <c r="GBP75" s="244" t="s">
        <v>32</v>
      </c>
      <c r="GBQ75" s="244" t="s">
        <v>32</v>
      </c>
      <c r="GBR75" s="244" t="s">
        <v>32</v>
      </c>
      <c r="GBS75" s="244" t="s">
        <v>32</v>
      </c>
      <c r="GBT75" s="244" t="s">
        <v>32</v>
      </c>
      <c r="GBU75" s="244" t="s">
        <v>32</v>
      </c>
      <c r="GBV75" s="244" t="s">
        <v>32</v>
      </c>
      <c r="GBW75" s="244" t="s">
        <v>32</v>
      </c>
      <c r="GBX75" s="244" t="s">
        <v>32</v>
      </c>
      <c r="GBY75" s="244" t="s">
        <v>32</v>
      </c>
      <c r="GBZ75" s="244" t="s">
        <v>32</v>
      </c>
      <c r="GCA75" s="244" t="s">
        <v>32</v>
      </c>
      <c r="GCB75" s="244" t="s">
        <v>32</v>
      </c>
      <c r="GCC75" s="244" t="s">
        <v>32</v>
      </c>
      <c r="GCD75" s="244" t="s">
        <v>32</v>
      </c>
      <c r="GCE75" s="244" t="s">
        <v>32</v>
      </c>
      <c r="GCF75" s="244" t="s">
        <v>32</v>
      </c>
      <c r="GCG75" s="244" t="s">
        <v>32</v>
      </c>
      <c r="GCH75" s="244" t="s">
        <v>32</v>
      </c>
      <c r="GCI75" s="244" t="s">
        <v>32</v>
      </c>
      <c r="GCJ75" s="244" t="s">
        <v>32</v>
      </c>
      <c r="GCK75" s="244" t="s">
        <v>32</v>
      </c>
      <c r="GCL75" s="244" t="s">
        <v>32</v>
      </c>
      <c r="GCM75" s="244" t="s">
        <v>32</v>
      </c>
      <c r="GCN75" s="244" t="s">
        <v>32</v>
      </c>
      <c r="GCO75" s="244" t="s">
        <v>32</v>
      </c>
      <c r="GCP75" s="244" t="s">
        <v>32</v>
      </c>
      <c r="GCQ75" s="244" t="s">
        <v>32</v>
      </c>
      <c r="GCR75" s="244" t="s">
        <v>32</v>
      </c>
      <c r="GCS75" s="244" t="s">
        <v>32</v>
      </c>
      <c r="GCT75" s="244" t="s">
        <v>32</v>
      </c>
      <c r="GCU75" s="244" t="s">
        <v>32</v>
      </c>
      <c r="GCV75" s="244" t="s">
        <v>32</v>
      </c>
      <c r="GCW75" s="244" t="s">
        <v>32</v>
      </c>
      <c r="GCX75" s="244" t="s">
        <v>32</v>
      </c>
      <c r="GCY75" s="244" t="s">
        <v>32</v>
      </c>
      <c r="GCZ75" s="244" t="s">
        <v>32</v>
      </c>
      <c r="GDA75" s="244" t="s">
        <v>32</v>
      </c>
      <c r="GDB75" s="244" t="s">
        <v>32</v>
      </c>
      <c r="GDC75" s="244" t="s">
        <v>32</v>
      </c>
      <c r="GDD75" s="244" t="s">
        <v>32</v>
      </c>
      <c r="GDE75" s="244" t="s">
        <v>32</v>
      </c>
      <c r="GDF75" s="244" t="s">
        <v>32</v>
      </c>
      <c r="GDG75" s="244" t="s">
        <v>32</v>
      </c>
      <c r="GDH75" s="244" t="s">
        <v>32</v>
      </c>
      <c r="GDI75" s="244" t="s">
        <v>32</v>
      </c>
      <c r="GDJ75" s="244" t="s">
        <v>32</v>
      </c>
      <c r="GDK75" s="244" t="s">
        <v>32</v>
      </c>
      <c r="GDL75" s="244" t="s">
        <v>32</v>
      </c>
      <c r="GDM75" s="244" t="s">
        <v>32</v>
      </c>
      <c r="GDN75" s="244" t="s">
        <v>32</v>
      </c>
      <c r="GDO75" s="244" t="s">
        <v>32</v>
      </c>
      <c r="GDP75" s="244" t="s">
        <v>32</v>
      </c>
      <c r="GDQ75" s="244" t="s">
        <v>32</v>
      </c>
      <c r="GDR75" s="244" t="s">
        <v>32</v>
      </c>
      <c r="GDS75" s="244" t="s">
        <v>32</v>
      </c>
      <c r="GDT75" s="244" t="s">
        <v>32</v>
      </c>
      <c r="GDU75" s="244" t="s">
        <v>32</v>
      </c>
      <c r="GDV75" s="244" t="s">
        <v>32</v>
      </c>
      <c r="GDW75" s="244" t="s">
        <v>32</v>
      </c>
      <c r="GDX75" s="244" t="s">
        <v>32</v>
      </c>
      <c r="GDY75" s="244" t="s">
        <v>32</v>
      </c>
      <c r="GDZ75" s="244" t="s">
        <v>32</v>
      </c>
      <c r="GEA75" s="244" t="s">
        <v>32</v>
      </c>
      <c r="GEB75" s="244" t="s">
        <v>32</v>
      </c>
      <c r="GEC75" s="244" t="s">
        <v>32</v>
      </c>
      <c r="GED75" s="244" t="s">
        <v>32</v>
      </c>
      <c r="GEE75" s="244" t="s">
        <v>32</v>
      </c>
      <c r="GEF75" s="244" t="s">
        <v>32</v>
      </c>
      <c r="GEG75" s="244" t="s">
        <v>32</v>
      </c>
      <c r="GEH75" s="244" t="s">
        <v>32</v>
      </c>
      <c r="GEI75" s="244" t="s">
        <v>32</v>
      </c>
      <c r="GEJ75" s="244" t="s">
        <v>32</v>
      </c>
      <c r="GEK75" s="244" t="s">
        <v>32</v>
      </c>
      <c r="GEL75" s="244" t="s">
        <v>32</v>
      </c>
      <c r="GEM75" s="244" t="s">
        <v>32</v>
      </c>
      <c r="GEN75" s="244" t="s">
        <v>32</v>
      </c>
      <c r="GEO75" s="244" t="s">
        <v>32</v>
      </c>
      <c r="GEP75" s="244" t="s">
        <v>32</v>
      </c>
      <c r="GEQ75" s="244" t="s">
        <v>32</v>
      </c>
      <c r="GER75" s="244" t="s">
        <v>32</v>
      </c>
      <c r="GES75" s="244" t="s">
        <v>32</v>
      </c>
      <c r="GET75" s="244" t="s">
        <v>32</v>
      </c>
      <c r="GEU75" s="244" t="s">
        <v>32</v>
      </c>
      <c r="GEV75" s="244" t="s">
        <v>32</v>
      </c>
      <c r="GEW75" s="244" t="s">
        <v>32</v>
      </c>
      <c r="GEX75" s="244" t="s">
        <v>32</v>
      </c>
      <c r="GEY75" s="244" t="s">
        <v>32</v>
      </c>
      <c r="GEZ75" s="244" t="s">
        <v>32</v>
      </c>
      <c r="GFA75" s="244" t="s">
        <v>32</v>
      </c>
      <c r="GFB75" s="244" t="s">
        <v>32</v>
      </c>
      <c r="GFC75" s="244" t="s">
        <v>32</v>
      </c>
      <c r="GFD75" s="244" t="s">
        <v>32</v>
      </c>
      <c r="GFE75" s="244" t="s">
        <v>32</v>
      </c>
      <c r="GFF75" s="244" t="s">
        <v>32</v>
      </c>
      <c r="GFG75" s="244" t="s">
        <v>32</v>
      </c>
      <c r="GFH75" s="244" t="s">
        <v>32</v>
      </c>
      <c r="GFI75" s="244" t="s">
        <v>32</v>
      </c>
      <c r="GFJ75" s="244" t="s">
        <v>32</v>
      </c>
      <c r="GFK75" s="244" t="s">
        <v>32</v>
      </c>
      <c r="GFL75" s="244" t="s">
        <v>32</v>
      </c>
      <c r="GFM75" s="244" t="s">
        <v>32</v>
      </c>
      <c r="GFN75" s="244" t="s">
        <v>32</v>
      </c>
      <c r="GFO75" s="244" t="s">
        <v>32</v>
      </c>
      <c r="GFP75" s="244" t="s">
        <v>32</v>
      </c>
      <c r="GFQ75" s="244" t="s">
        <v>32</v>
      </c>
      <c r="GFR75" s="244" t="s">
        <v>32</v>
      </c>
      <c r="GFS75" s="244" t="s">
        <v>32</v>
      </c>
      <c r="GFT75" s="244" t="s">
        <v>32</v>
      </c>
      <c r="GFU75" s="244" t="s">
        <v>32</v>
      </c>
      <c r="GFV75" s="244" t="s">
        <v>32</v>
      </c>
      <c r="GFW75" s="244" t="s">
        <v>32</v>
      </c>
      <c r="GFX75" s="244" t="s">
        <v>32</v>
      </c>
      <c r="GFY75" s="244" t="s">
        <v>32</v>
      </c>
      <c r="GFZ75" s="244" t="s">
        <v>32</v>
      </c>
      <c r="GGA75" s="244" t="s">
        <v>32</v>
      </c>
      <c r="GGB75" s="244" t="s">
        <v>32</v>
      </c>
      <c r="GGC75" s="244" t="s">
        <v>32</v>
      </c>
      <c r="GGD75" s="244" t="s">
        <v>32</v>
      </c>
      <c r="GGE75" s="244" t="s">
        <v>32</v>
      </c>
      <c r="GGF75" s="244" t="s">
        <v>32</v>
      </c>
      <c r="GGG75" s="244" t="s">
        <v>32</v>
      </c>
      <c r="GGH75" s="244" t="s">
        <v>32</v>
      </c>
      <c r="GGI75" s="244" t="s">
        <v>32</v>
      </c>
      <c r="GGJ75" s="244" t="s">
        <v>32</v>
      </c>
      <c r="GGK75" s="244" t="s">
        <v>32</v>
      </c>
      <c r="GGL75" s="244" t="s">
        <v>32</v>
      </c>
      <c r="GGM75" s="244" t="s">
        <v>32</v>
      </c>
      <c r="GGN75" s="244" t="s">
        <v>32</v>
      </c>
      <c r="GGO75" s="244" t="s">
        <v>32</v>
      </c>
      <c r="GGP75" s="244" t="s">
        <v>32</v>
      </c>
      <c r="GGQ75" s="244" t="s">
        <v>32</v>
      </c>
      <c r="GGR75" s="244" t="s">
        <v>32</v>
      </c>
      <c r="GGS75" s="244" t="s">
        <v>32</v>
      </c>
      <c r="GGT75" s="244" t="s">
        <v>32</v>
      </c>
      <c r="GGU75" s="244" t="s">
        <v>32</v>
      </c>
      <c r="GGV75" s="244" t="s">
        <v>32</v>
      </c>
      <c r="GGW75" s="244" t="s">
        <v>32</v>
      </c>
      <c r="GGX75" s="244" t="s">
        <v>32</v>
      </c>
      <c r="GGY75" s="244" t="s">
        <v>32</v>
      </c>
      <c r="GGZ75" s="244" t="s">
        <v>32</v>
      </c>
      <c r="GHA75" s="244" t="s">
        <v>32</v>
      </c>
      <c r="GHB75" s="244" t="s">
        <v>32</v>
      </c>
      <c r="GHC75" s="244" t="s">
        <v>32</v>
      </c>
      <c r="GHD75" s="244" t="s">
        <v>32</v>
      </c>
      <c r="GHE75" s="244" t="s">
        <v>32</v>
      </c>
      <c r="GHF75" s="244" t="s">
        <v>32</v>
      </c>
      <c r="GHG75" s="244" t="s">
        <v>32</v>
      </c>
      <c r="GHH75" s="244" t="s">
        <v>32</v>
      </c>
      <c r="GHI75" s="244" t="s">
        <v>32</v>
      </c>
      <c r="GHJ75" s="244" t="s">
        <v>32</v>
      </c>
      <c r="GHK75" s="244" t="s">
        <v>32</v>
      </c>
      <c r="GHL75" s="244" t="s">
        <v>32</v>
      </c>
      <c r="GHM75" s="244" t="s">
        <v>32</v>
      </c>
      <c r="GHN75" s="244" t="s">
        <v>32</v>
      </c>
      <c r="GHO75" s="244" t="s">
        <v>32</v>
      </c>
      <c r="GHP75" s="244" t="s">
        <v>32</v>
      </c>
      <c r="GHQ75" s="244" t="s">
        <v>32</v>
      </c>
      <c r="GHR75" s="244" t="s">
        <v>32</v>
      </c>
      <c r="GHS75" s="244" t="s">
        <v>32</v>
      </c>
      <c r="GHT75" s="244" t="s">
        <v>32</v>
      </c>
      <c r="GHU75" s="244" t="s">
        <v>32</v>
      </c>
      <c r="GHV75" s="244" t="s">
        <v>32</v>
      </c>
      <c r="GHW75" s="244" t="s">
        <v>32</v>
      </c>
      <c r="GHX75" s="244" t="s">
        <v>32</v>
      </c>
      <c r="GHY75" s="244" t="s">
        <v>32</v>
      </c>
      <c r="GHZ75" s="244" t="s">
        <v>32</v>
      </c>
      <c r="GIA75" s="244" t="s">
        <v>32</v>
      </c>
      <c r="GIB75" s="244" t="s">
        <v>32</v>
      </c>
      <c r="GIC75" s="244" t="s">
        <v>32</v>
      </c>
      <c r="GID75" s="244" t="s">
        <v>32</v>
      </c>
      <c r="GIE75" s="244" t="s">
        <v>32</v>
      </c>
      <c r="GIF75" s="244" t="s">
        <v>32</v>
      </c>
      <c r="GIG75" s="244" t="s">
        <v>32</v>
      </c>
      <c r="GIH75" s="244" t="s">
        <v>32</v>
      </c>
      <c r="GII75" s="244" t="s">
        <v>32</v>
      </c>
      <c r="GIJ75" s="244" t="s">
        <v>32</v>
      </c>
      <c r="GIK75" s="244" t="s">
        <v>32</v>
      </c>
      <c r="GIL75" s="244" t="s">
        <v>32</v>
      </c>
      <c r="GIM75" s="244" t="s">
        <v>32</v>
      </c>
      <c r="GIN75" s="244" t="s">
        <v>32</v>
      </c>
      <c r="GIO75" s="244" t="s">
        <v>32</v>
      </c>
      <c r="GIP75" s="244" t="s">
        <v>32</v>
      </c>
      <c r="GIQ75" s="244" t="s">
        <v>32</v>
      </c>
      <c r="GIR75" s="244" t="s">
        <v>32</v>
      </c>
      <c r="GIS75" s="244" t="s">
        <v>32</v>
      </c>
      <c r="GIT75" s="244" t="s">
        <v>32</v>
      </c>
      <c r="GIU75" s="244" t="s">
        <v>32</v>
      </c>
      <c r="GIV75" s="244" t="s">
        <v>32</v>
      </c>
      <c r="GIW75" s="244" t="s">
        <v>32</v>
      </c>
      <c r="GIX75" s="244" t="s">
        <v>32</v>
      </c>
      <c r="GIY75" s="244" t="s">
        <v>32</v>
      </c>
      <c r="GIZ75" s="244" t="s">
        <v>32</v>
      </c>
      <c r="GJA75" s="244" t="s">
        <v>32</v>
      </c>
      <c r="GJB75" s="244" t="s">
        <v>32</v>
      </c>
      <c r="GJC75" s="244" t="s">
        <v>32</v>
      </c>
      <c r="GJD75" s="244" t="s">
        <v>32</v>
      </c>
      <c r="GJE75" s="244" t="s">
        <v>32</v>
      </c>
      <c r="GJF75" s="244" t="s">
        <v>32</v>
      </c>
      <c r="GJG75" s="244" t="s">
        <v>32</v>
      </c>
      <c r="GJH75" s="244" t="s">
        <v>32</v>
      </c>
      <c r="GJI75" s="244" t="s">
        <v>32</v>
      </c>
      <c r="GJJ75" s="244" t="s">
        <v>32</v>
      </c>
      <c r="GJK75" s="244" t="s">
        <v>32</v>
      </c>
      <c r="GJL75" s="244" t="s">
        <v>32</v>
      </c>
      <c r="GJM75" s="244" t="s">
        <v>32</v>
      </c>
      <c r="GJN75" s="244" t="s">
        <v>32</v>
      </c>
      <c r="GJO75" s="244" t="s">
        <v>32</v>
      </c>
      <c r="GJP75" s="244" t="s">
        <v>32</v>
      </c>
      <c r="GJQ75" s="244" t="s">
        <v>32</v>
      </c>
      <c r="GJR75" s="244" t="s">
        <v>32</v>
      </c>
      <c r="GJS75" s="244" t="s">
        <v>32</v>
      </c>
      <c r="GJT75" s="244" t="s">
        <v>32</v>
      </c>
      <c r="GJU75" s="244" t="s">
        <v>32</v>
      </c>
      <c r="GJV75" s="244" t="s">
        <v>32</v>
      </c>
      <c r="GJW75" s="244" t="s">
        <v>32</v>
      </c>
      <c r="GJX75" s="244" t="s">
        <v>32</v>
      </c>
      <c r="GJY75" s="244" t="s">
        <v>32</v>
      </c>
      <c r="GJZ75" s="244" t="s">
        <v>32</v>
      </c>
      <c r="GKA75" s="244" t="s">
        <v>32</v>
      </c>
      <c r="GKB75" s="244" t="s">
        <v>32</v>
      </c>
      <c r="GKC75" s="244" t="s">
        <v>32</v>
      </c>
      <c r="GKD75" s="244" t="s">
        <v>32</v>
      </c>
      <c r="GKE75" s="244" t="s">
        <v>32</v>
      </c>
      <c r="GKF75" s="244" t="s">
        <v>32</v>
      </c>
      <c r="GKG75" s="244" t="s">
        <v>32</v>
      </c>
      <c r="GKH75" s="244" t="s">
        <v>32</v>
      </c>
      <c r="GKI75" s="244" t="s">
        <v>32</v>
      </c>
      <c r="GKJ75" s="244" t="s">
        <v>32</v>
      </c>
      <c r="GKK75" s="244" t="s">
        <v>32</v>
      </c>
      <c r="GKL75" s="244" t="s">
        <v>32</v>
      </c>
      <c r="GKM75" s="244" t="s">
        <v>32</v>
      </c>
      <c r="GKN75" s="244" t="s">
        <v>32</v>
      </c>
      <c r="GKO75" s="244" t="s">
        <v>32</v>
      </c>
      <c r="GKP75" s="244" t="s">
        <v>32</v>
      </c>
      <c r="GKQ75" s="244" t="s">
        <v>32</v>
      </c>
      <c r="GKR75" s="244" t="s">
        <v>32</v>
      </c>
      <c r="GKS75" s="244" t="s">
        <v>32</v>
      </c>
      <c r="GKT75" s="244" t="s">
        <v>32</v>
      </c>
      <c r="GKU75" s="244" t="s">
        <v>32</v>
      </c>
      <c r="GKV75" s="244" t="s">
        <v>32</v>
      </c>
      <c r="GKW75" s="244" t="s">
        <v>32</v>
      </c>
      <c r="GKX75" s="244" t="s">
        <v>32</v>
      </c>
      <c r="GKY75" s="244" t="s">
        <v>32</v>
      </c>
      <c r="GKZ75" s="244" t="s">
        <v>32</v>
      </c>
      <c r="GLA75" s="244" t="s">
        <v>32</v>
      </c>
      <c r="GLB75" s="244" t="s">
        <v>32</v>
      </c>
      <c r="GLC75" s="244" t="s">
        <v>32</v>
      </c>
      <c r="GLD75" s="244" t="s">
        <v>32</v>
      </c>
      <c r="GLE75" s="244" t="s">
        <v>32</v>
      </c>
      <c r="GLF75" s="244" t="s">
        <v>32</v>
      </c>
      <c r="GLG75" s="244" t="s">
        <v>32</v>
      </c>
      <c r="GLH75" s="244" t="s">
        <v>32</v>
      </c>
      <c r="GLI75" s="244" t="s">
        <v>32</v>
      </c>
      <c r="GLJ75" s="244" t="s">
        <v>32</v>
      </c>
      <c r="GLK75" s="244" t="s">
        <v>32</v>
      </c>
      <c r="GLL75" s="244" t="s">
        <v>32</v>
      </c>
      <c r="GLM75" s="244" t="s">
        <v>32</v>
      </c>
      <c r="GLN75" s="244" t="s">
        <v>32</v>
      </c>
      <c r="GLO75" s="244" t="s">
        <v>32</v>
      </c>
      <c r="GLP75" s="244" t="s">
        <v>32</v>
      </c>
      <c r="GLQ75" s="244" t="s">
        <v>32</v>
      </c>
      <c r="GLR75" s="244" t="s">
        <v>32</v>
      </c>
      <c r="GLS75" s="244" t="s">
        <v>32</v>
      </c>
      <c r="GLT75" s="244" t="s">
        <v>32</v>
      </c>
      <c r="GLU75" s="244" t="s">
        <v>32</v>
      </c>
      <c r="GLV75" s="244" t="s">
        <v>32</v>
      </c>
      <c r="GLW75" s="244" t="s">
        <v>32</v>
      </c>
      <c r="GLX75" s="244" t="s">
        <v>32</v>
      </c>
      <c r="GLY75" s="244" t="s">
        <v>32</v>
      </c>
      <c r="GLZ75" s="244" t="s">
        <v>32</v>
      </c>
      <c r="GMA75" s="244" t="s">
        <v>32</v>
      </c>
      <c r="GMB75" s="244" t="s">
        <v>32</v>
      </c>
      <c r="GMC75" s="244" t="s">
        <v>32</v>
      </c>
      <c r="GMD75" s="244" t="s">
        <v>32</v>
      </c>
      <c r="GME75" s="244" t="s">
        <v>32</v>
      </c>
      <c r="GMF75" s="244" t="s">
        <v>32</v>
      </c>
      <c r="GMG75" s="244" t="s">
        <v>32</v>
      </c>
      <c r="GMH75" s="244" t="s">
        <v>32</v>
      </c>
      <c r="GMI75" s="244" t="s">
        <v>32</v>
      </c>
      <c r="GMJ75" s="244" t="s">
        <v>32</v>
      </c>
      <c r="GMK75" s="244" t="s">
        <v>32</v>
      </c>
      <c r="GML75" s="244" t="s">
        <v>32</v>
      </c>
      <c r="GMM75" s="244" t="s">
        <v>32</v>
      </c>
      <c r="GMN75" s="244" t="s">
        <v>32</v>
      </c>
      <c r="GMO75" s="244" t="s">
        <v>32</v>
      </c>
      <c r="GMP75" s="244" t="s">
        <v>32</v>
      </c>
      <c r="GMQ75" s="244" t="s">
        <v>32</v>
      </c>
      <c r="GMR75" s="244" t="s">
        <v>32</v>
      </c>
      <c r="GMS75" s="244" t="s">
        <v>32</v>
      </c>
      <c r="GMT75" s="244" t="s">
        <v>32</v>
      </c>
      <c r="GMU75" s="244" t="s">
        <v>32</v>
      </c>
      <c r="GMV75" s="244" t="s">
        <v>32</v>
      </c>
      <c r="GMW75" s="244" t="s">
        <v>32</v>
      </c>
      <c r="GMX75" s="244" t="s">
        <v>32</v>
      </c>
      <c r="GMY75" s="244" t="s">
        <v>32</v>
      </c>
      <c r="GMZ75" s="244" t="s">
        <v>32</v>
      </c>
      <c r="GNA75" s="244" t="s">
        <v>32</v>
      </c>
      <c r="GNB75" s="244" t="s">
        <v>32</v>
      </c>
      <c r="GNC75" s="244" t="s">
        <v>32</v>
      </c>
      <c r="GND75" s="244" t="s">
        <v>32</v>
      </c>
      <c r="GNE75" s="244" t="s">
        <v>32</v>
      </c>
      <c r="GNF75" s="244" t="s">
        <v>32</v>
      </c>
      <c r="GNG75" s="244" t="s">
        <v>32</v>
      </c>
      <c r="GNH75" s="244" t="s">
        <v>32</v>
      </c>
      <c r="GNI75" s="244" t="s">
        <v>32</v>
      </c>
      <c r="GNJ75" s="244" t="s">
        <v>32</v>
      </c>
      <c r="GNK75" s="244" t="s">
        <v>32</v>
      </c>
      <c r="GNL75" s="244" t="s">
        <v>32</v>
      </c>
      <c r="GNM75" s="244" t="s">
        <v>32</v>
      </c>
      <c r="GNN75" s="244" t="s">
        <v>32</v>
      </c>
      <c r="GNO75" s="244" t="s">
        <v>32</v>
      </c>
      <c r="GNP75" s="244" t="s">
        <v>32</v>
      </c>
      <c r="GNQ75" s="244" t="s">
        <v>32</v>
      </c>
      <c r="GNR75" s="244" t="s">
        <v>32</v>
      </c>
      <c r="GNS75" s="244" t="s">
        <v>32</v>
      </c>
      <c r="GNT75" s="244" t="s">
        <v>32</v>
      </c>
      <c r="GNU75" s="244" t="s">
        <v>32</v>
      </c>
      <c r="GNV75" s="244" t="s">
        <v>32</v>
      </c>
      <c r="GNW75" s="244" t="s">
        <v>32</v>
      </c>
      <c r="GNX75" s="244" t="s">
        <v>32</v>
      </c>
      <c r="GNY75" s="244" t="s">
        <v>32</v>
      </c>
      <c r="GNZ75" s="244" t="s">
        <v>32</v>
      </c>
      <c r="GOA75" s="244" t="s">
        <v>32</v>
      </c>
      <c r="GOB75" s="244" t="s">
        <v>32</v>
      </c>
      <c r="GOC75" s="244" t="s">
        <v>32</v>
      </c>
      <c r="GOD75" s="244" t="s">
        <v>32</v>
      </c>
      <c r="GOE75" s="244" t="s">
        <v>32</v>
      </c>
      <c r="GOF75" s="244" t="s">
        <v>32</v>
      </c>
      <c r="GOG75" s="244" t="s">
        <v>32</v>
      </c>
      <c r="GOH75" s="244" t="s">
        <v>32</v>
      </c>
      <c r="GOI75" s="244" t="s">
        <v>32</v>
      </c>
      <c r="GOJ75" s="244" t="s">
        <v>32</v>
      </c>
      <c r="GOK75" s="244" t="s">
        <v>32</v>
      </c>
      <c r="GOL75" s="244" t="s">
        <v>32</v>
      </c>
      <c r="GOM75" s="244" t="s">
        <v>32</v>
      </c>
      <c r="GON75" s="244" t="s">
        <v>32</v>
      </c>
      <c r="GOO75" s="244" t="s">
        <v>32</v>
      </c>
      <c r="GOP75" s="244" t="s">
        <v>32</v>
      </c>
      <c r="GOQ75" s="244" t="s">
        <v>32</v>
      </c>
      <c r="GOR75" s="244" t="s">
        <v>32</v>
      </c>
      <c r="GOS75" s="244" t="s">
        <v>32</v>
      </c>
      <c r="GOT75" s="244" t="s">
        <v>32</v>
      </c>
      <c r="GOU75" s="244" t="s">
        <v>32</v>
      </c>
      <c r="GOV75" s="244" t="s">
        <v>32</v>
      </c>
      <c r="GOW75" s="244" t="s">
        <v>32</v>
      </c>
      <c r="GOX75" s="244" t="s">
        <v>32</v>
      </c>
      <c r="GOY75" s="244" t="s">
        <v>32</v>
      </c>
      <c r="GOZ75" s="244" t="s">
        <v>32</v>
      </c>
      <c r="GPA75" s="244" t="s">
        <v>32</v>
      </c>
      <c r="GPB75" s="244" t="s">
        <v>32</v>
      </c>
      <c r="GPC75" s="244" t="s">
        <v>32</v>
      </c>
      <c r="GPD75" s="244" t="s">
        <v>32</v>
      </c>
      <c r="GPE75" s="244" t="s">
        <v>32</v>
      </c>
      <c r="GPF75" s="244" t="s">
        <v>32</v>
      </c>
      <c r="GPG75" s="244" t="s">
        <v>32</v>
      </c>
      <c r="GPH75" s="244" t="s">
        <v>32</v>
      </c>
      <c r="GPI75" s="244" t="s">
        <v>32</v>
      </c>
      <c r="GPJ75" s="244" t="s">
        <v>32</v>
      </c>
      <c r="GPK75" s="244" t="s">
        <v>32</v>
      </c>
      <c r="GPL75" s="244" t="s">
        <v>32</v>
      </c>
      <c r="GPM75" s="244" t="s">
        <v>32</v>
      </c>
      <c r="GPN75" s="244" t="s">
        <v>32</v>
      </c>
      <c r="GPO75" s="244" t="s">
        <v>32</v>
      </c>
      <c r="GPP75" s="244" t="s">
        <v>32</v>
      </c>
      <c r="GPQ75" s="244" t="s">
        <v>32</v>
      </c>
      <c r="GPR75" s="244" t="s">
        <v>32</v>
      </c>
      <c r="GPS75" s="244" t="s">
        <v>32</v>
      </c>
      <c r="GPT75" s="244" t="s">
        <v>32</v>
      </c>
      <c r="GPU75" s="244" t="s">
        <v>32</v>
      </c>
      <c r="GPV75" s="244" t="s">
        <v>32</v>
      </c>
      <c r="GPW75" s="244" t="s">
        <v>32</v>
      </c>
      <c r="GPX75" s="244" t="s">
        <v>32</v>
      </c>
      <c r="GPY75" s="244" t="s">
        <v>32</v>
      </c>
      <c r="GPZ75" s="244" t="s">
        <v>32</v>
      </c>
      <c r="GQA75" s="244" t="s">
        <v>32</v>
      </c>
      <c r="GQB75" s="244" t="s">
        <v>32</v>
      </c>
      <c r="GQC75" s="244" t="s">
        <v>32</v>
      </c>
      <c r="GQD75" s="244" t="s">
        <v>32</v>
      </c>
      <c r="GQE75" s="244" t="s">
        <v>32</v>
      </c>
      <c r="GQF75" s="244" t="s">
        <v>32</v>
      </c>
      <c r="GQG75" s="244" t="s">
        <v>32</v>
      </c>
      <c r="GQH75" s="244" t="s">
        <v>32</v>
      </c>
      <c r="GQI75" s="244" t="s">
        <v>32</v>
      </c>
      <c r="GQJ75" s="244" t="s">
        <v>32</v>
      </c>
      <c r="GQK75" s="244" t="s">
        <v>32</v>
      </c>
      <c r="GQL75" s="244" t="s">
        <v>32</v>
      </c>
      <c r="GQM75" s="244" t="s">
        <v>32</v>
      </c>
      <c r="GQN75" s="244" t="s">
        <v>32</v>
      </c>
      <c r="GQO75" s="244" t="s">
        <v>32</v>
      </c>
      <c r="GQP75" s="244" t="s">
        <v>32</v>
      </c>
      <c r="GQQ75" s="244" t="s">
        <v>32</v>
      </c>
      <c r="GQR75" s="244" t="s">
        <v>32</v>
      </c>
      <c r="GQS75" s="244" t="s">
        <v>32</v>
      </c>
      <c r="GQT75" s="244" t="s">
        <v>32</v>
      </c>
      <c r="GQU75" s="244" t="s">
        <v>32</v>
      </c>
      <c r="GQV75" s="244" t="s">
        <v>32</v>
      </c>
      <c r="GQW75" s="244" t="s">
        <v>32</v>
      </c>
      <c r="GQX75" s="244" t="s">
        <v>32</v>
      </c>
      <c r="GQY75" s="244" t="s">
        <v>32</v>
      </c>
      <c r="GQZ75" s="244" t="s">
        <v>32</v>
      </c>
      <c r="GRA75" s="244" t="s">
        <v>32</v>
      </c>
      <c r="GRB75" s="244" t="s">
        <v>32</v>
      </c>
      <c r="GRC75" s="244" t="s">
        <v>32</v>
      </c>
      <c r="GRD75" s="244" t="s">
        <v>32</v>
      </c>
      <c r="GRE75" s="244" t="s">
        <v>32</v>
      </c>
      <c r="GRF75" s="244" t="s">
        <v>32</v>
      </c>
      <c r="GRG75" s="244" t="s">
        <v>32</v>
      </c>
      <c r="GRH75" s="244" t="s">
        <v>32</v>
      </c>
      <c r="GRI75" s="244" t="s">
        <v>32</v>
      </c>
      <c r="GRJ75" s="244" t="s">
        <v>32</v>
      </c>
      <c r="GRK75" s="244" t="s">
        <v>32</v>
      </c>
      <c r="GRL75" s="244" t="s">
        <v>32</v>
      </c>
      <c r="GRM75" s="244" t="s">
        <v>32</v>
      </c>
      <c r="GRN75" s="244" t="s">
        <v>32</v>
      </c>
      <c r="GRO75" s="244" t="s">
        <v>32</v>
      </c>
      <c r="GRP75" s="244" t="s">
        <v>32</v>
      </c>
      <c r="GRQ75" s="244" t="s">
        <v>32</v>
      </c>
      <c r="GRR75" s="244" t="s">
        <v>32</v>
      </c>
      <c r="GRS75" s="244" t="s">
        <v>32</v>
      </c>
      <c r="GRT75" s="244" t="s">
        <v>32</v>
      </c>
      <c r="GRU75" s="244" t="s">
        <v>32</v>
      </c>
      <c r="GRV75" s="244" t="s">
        <v>32</v>
      </c>
      <c r="GRW75" s="244" t="s">
        <v>32</v>
      </c>
      <c r="GRX75" s="244" t="s">
        <v>32</v>
      </c>
      <c r="GRY75" s="244" t="s">
        <v>32</v>
      </c>
      <c r="GRZ75" s="244" t="s">
        <v>32</v>
      </c>
      <c r="GSA75" s="244" t="s">
        <v>32</v>
      </c>
      <c r="GSB75" s="244" t="s">
        <v>32</v>
      </c>
      <c r="GSC75" s="244" t="s">
        <v>32</v>
      </c>
      <c r="GSD75" s="244" t="s">
        <v>32</v>
      </c>
      <c r="GSE75" s="244" t="s">
        <v>32</v>
      </c>
      <c r="GSF75" s="244" t="s">
        <v>32</v>
      </c>
      <c r="GSG75" s="244" t="s">
        <v>32</v>
      </c>
      <c r="GSH75" s="244" t="s">
        <v>32</v>
      </c>
      <c r="GSI75" s="244" t="s">
        <v>32</v>
      </c>
      <c r="GSJ75" s="244" t="s">
        <v>32</v>
      </c>
      <c r="GSK75" s="244" t="s">
        <v>32</v>
      </c>
      <c r="GSL75" s="244" t="s">
        <v>32</v>
      </c>
      <c r="GSM75" s="244" t="s">
        <v>32</v>
      </c>
      <c r="GSN75" s="244" t="s">
        <v>32</v>
      </c>
      <c r="GSO75" s="244" t="s">
        <v>32</v>
      </c>
      <c r="GSP75" s="244" t="s">
        <v>32</v>
      </c>
      <c r="GSQ75" s="244" t="s">
        <v>32</v>
      </c>
      <c r="GSR75" s="244" t="s">
        <v>32</v>
      </c>
      <c r="GSS75" s="244" t="s">
        <v>32</v>
      </c>
      <c r="GST75" s="244" t="s">
        <v>32</v>
      </c>
      <c r="GSU75" s="244" t="s">
        <v>32</v>
      </c>
      <c r="GSV75" s="244" t="s">
        <v>32</v>
      </c>
      <c r="GSW75" s="244" t="s">
        <v>32</v>
      </c>
      <c r="GSX75" s="244" t="s">
        <v>32</v>
      </c>
      <c r="GSY75" s="244" t="s">
        <v>32</v>
      </c>
      <c r="GSZ75" s="244" t="s">
        <v>32</v>
      </c>
      <c r="GTA75" s="244" t="s">
        <v>32</v>
      </c>
      <c r="GTB75" s="244" t="s">
        <v>32</v>
      </c>
      <c r="GTC75" s="244" t="s">
        <v>32</v>
      </c>
      <c r="GTD75" s="244" t="s">
        <v>32</v>
      </c>
      <c r="GTE75" s="244" t="s">
        <v>32</v>
      </c>
      <c r="GTF75" s="244" t="s">
        <v>32</v>
      </c>
      <c r="GTG75" s="244" t="s">
        <v>32</v>
      </c>
      <c r="GTH75" s="244" t="s">
        <v>32</v>
      </c>
      <c r="GTI75" s="244" t="s">
        <v>32</v>
      </c>
      <c r="GTJ75" s="244" t="s">
        <v>32</v>
      </c>
      <c r="GTK75" s="244" t="s">
        <v>32</v>
      </c>
      <c r="GTL75" s="244" t="s">
        <v>32</v>
      </c>
      <c r="GTM75" s="244" t="s">
        <v>32</v>
      </c>
      <c r="GTN75" s="244" t="s">
        <v>32</v>
      </c>
      <c r="GTO75" s="244" t="s">
        <v>32</v>
      </c>
      <c r="GTP75" s="244" t="s">
        <v>32</v>
      </c>
      <c r="GTQ75" s="244" t="s">
        <v>32</v>
      </c>
      <c r="GTR75" s="244" t="s">
        <v>32</v>
      </c>
      <c r="GTS75" s="244" t="s">
        <v>32</v>
      </c>
      <c r="GTT75" s="244" t="s">
        <v>32</v>
      </c>
      <c r="GTU75" s="244" t="s">
        <v>32</v>
      </c>
      <c r="GTV75" s="244" t="s">
        <v>32</v>
      </c>
      <c r="GTW75" s="244" t="s">
        <v>32</v>
      </c>
      <c r="GTX75" s="244" t="s">
        <v>32</v>
      </c>
      <c r="GTY75" s="244" t="s">
        <v>32</v>
      </c>
      <c r="GTZ75" s="244" t="s">
        <v>32</v>
      </c>
      <c r="GUA75" s="244" t="s">
        <v>32</v>
      </c>
      <c r="GUB75" s="244" t="s">
        <v>32</v>
      </c>
      <c r="GUC75" s="244" t="s">
        <v>32</v>
      </c>
      <c r="GUD75" s="244" t="s">
        <v>32</v>
      </c>
      <c r="GUE75" s="244" t="s">
        <v>32</v>
      </c>
      <c r="GUF75" s="244" t="s">
        <v>32</v>
      </c>
      <c r="GUG75" s="244" t="s">
        <v>32</v>
      </c>
      <c r="GUH75" s="244" t="s">
        <v>32</v>
      </c>
      <c r="GUI75" s="244" t="s">
        <v>32</v>
      </c>
      <c r="GUJ75" s="244" t="s">
        <v>32</v>
      </c>
      <c r="GUK75" s="244" t="s">
        <v>32</v>
      </c>
      <c r="GUL75" s="244" t="s">
        <v>32</v>
      </c>
      <c r="GUM75" s="244" t="s">
        <v>32</v>
      </c>
      <c r="GUN75" s="244" t="s">
        <v>32</v>
      </c>
      <c r="GUO75" s="244" t="s">
        <v>32</v>
      </c>
      <c r="GUP75" s="244" t="s">
        <v>32</v>
      </c>
      <c r="GUQ75" s="244" t="s">
        <v>32</v>
      </c>
      <c r="GUR75" s="244" t="s">
        <v>32</v>
      </c>
      <c r="GUS75" s="244" t="s">
        <v>32</v>
      </c>
      <c r="GUT75" s="244" t="s">
        <v>32</v>
      </c>
      <c r="GUU75" s="244" t="s">
        <v>32</v>
      </c>
      <c r="GUV75" s="244" t="s">
        <v>32</v>
      </c>
      <c r="GUW75" s="244" t="s">
        <v>32</v>
      </c>
      <c r="GUX75" s="244" t="s">
        <v>32</v>
      </c>
      <c r="GUY75" s="244" t="s">
        <v>32</v>
      </c>
      <c r="GUZ75" s="244" t="s">
        <v>32</v>
      </c>
      <c r="GVA75" s="244" t="s">
        <v>32</v>
      </c>
      <c r="GVB75" s="244" t="s">
        <v>32</v>
      </c>
      <c r="GVC75" s="244" t="s">
        <v>32</v>
      </c>
      <c r="GVD75" s="244" t="s">
        <v>32</v>
      </c>
      <c r="GVE75" s="244" t="s">
        <v>32</v>
      </c>
      <c r="GVF75" s="244" t="s">
        <v>32</v>
      </c>
      <c r="GVG75" s="244" t="s">
        <v>32</v>
      </c>
      <c r="GVH75" s="244" t="s">
        <v>32</v>
      </c>
      <c r="GVI75" s="244" t="s">
        <v>32</v>
      </c>
      <c r="GVJ75" s="244" t="s">
        <v>32</v>
      </c>
      <c r="GVK75" s="244" t="s">
        <v>32</v>
      </c>
      <c r="GVL75" s="244" t="s">
        <v>32</v>
      </c>
      <c r="GVM75" s="244" t="s">
        <v>32</v>
      </c>
      <c r="GVN75" s="244" t="s">
        <v>32</v>
      </c>
      <c r="GVO75" s="244" t="s">
        <v>32</v>
      </c>
      <c r="GVP75" s="244" t="s">
        <v>32</v>
      </c>
      <c r="GVQ75" s="244" t="s">
        <v>32</v>
      </c>
      <c r="GVR75" s="244" t="s">
        <v>32</v>
      </c>
      <c r="GVS75" s="244" t="s">
        <v>32</v>
      </c>
      <c r="GVT75" s="244" t="s">
        <v>32</v>
      </c>
      <c r="GVU75" s="244" t="s">
        <v>32</v>
      </c>
      <c r="GVV75" s="244" t="s">
        <v>32</v>
      </c>
      <c r="GVW75" s="244" t="s">
        <v>32</v>
      </c>
      <c r="GVX75" s="244" t="s">
        <v>32</v>
      </c>
      <c r="GVY75" s="244" t="s">
        <v>32</v>
      </c>
      <c r="GVZ75" s="244" t="s">
        <v>32</v>
      </c>
      <c r="GWA75" s="244" t="s">
        <v>32</v>
      </c>
      <c r="GWB75" s="244" t="s">
        <v>32</v>
      </c>
      <c r="GWC75" s="244" t="s">
        <v>32</v>
      </c>
      <c r="GWD75" s="244" t="s">
        <v>32</v>
      </c>
      <c r="GWE75" s="244" t="s">
        <v>32</v>
      </c>
      <c r="GWF75" s="244" t="s">
        <v>32</v>
      </c>
      <c r="GWG75" s="244" t="s">
        <v>32</v>
      </c>
      <c r="GWH75" s="244" t="s">
        <v>32</v>
      </c>
      <c r="GWI75" s="244" t="s">
        <v>32</v>
      </c>
      <c r="GWJ75" s="244" t="s">
        <v>32</v>
      </c>
      <c r="GWK75" s="244" t="s">
        <v>32</v>
      </c>
      <c r="GWL75" s="244" t="s">
        <v>32</v>
      </c>
      <c r="GWM75" s="244" t="s">
        <v>32</v>
      </c>
      <c r="GWN75" s="244" t="s">
        <v>32</v>
      </c>
      <c r="GWO75" s="244" t="s">
        <v>32</v>
      </c>
      <c r="GWP75" s="244" t="s">
        <v>32</v>
      </c>
      <c r="GWQ75" s="244" t="s">
        <v>32</v>
      </c>
      <c r="GWR75" s="244" t="s">
        <v>32</v>
      </c>
      <c r="GWS75" s="244" t="s">
        <v>32</v>
      </c>
      <c r="GWT75" s="244" t="s">
        <v>32</v>
      </c>
      <c r="GWU75" s="244" t="s">
        <v>32</v>
      </c>
      <c r="GWV75" s="244" t="s">
        <v>32</v>
      </c>
      <c r="GWW75" s="244" t="s">
        <v>32</v>
      </c>
      <c r="GWX75" s="244" t="s">
        <v>32</v>
      </c>
      <c r="GWY75" s="244" t="s">
        <v>32</v>
      </c>
      <c r="GWZ75" s="244" t="s">
        <v>32</v>
      </c>
      <c r="GXA75" s="244" t="s">
        <v>32</v>
      </c>
      <c r="GXB75" s="244" t="s">
        <v>32</v>
      </c>
      <c r="GXC75" s="244" t="s">
        <v>32</v>
      </c>
      <c r="GXD75" s="244" t="s">
        <v>32</v>
      </c>
      <c r="GXE75" s="244" t="s">
        <v>32</v>
      </c>
      <c r="GXF75" s="244" t="s">
        <v>32</v>
      </c>
      <c r="GXG75" s="244" t="s">
        <v>32</v>
      </c>
      <c r="GXH75" s="244" t="s">
        <v>32</v>
      </c>
      <c r="GXI75" s="244" t="s">
        <v>32</v>
      </c>
      <c r="GXJ75" s="244" t="s">
        <v>32</v>
      </c>
      <c r="GXK75" s="244" t="s">
        <v>32</v>
      </c>
      <c r="GXL75" s="244" t="s">
        <v>32</v>
      </c>
      <c r="GXM75" s="244" t="s">
        <v>32</v>
      </c>
      <c r="GXN75" s="244" t="s">
        <v>32</v>
      </c>
      <c r="GXO75" s="244" t="s">
        <v>32</v>
      </c>
      <c r="GXP75" s="244" t="s">
        <v>32</v>
      </c>
      <c r="GXQ75" s="244" t="s">
        <v>32</v>
      </c>
      <c r="GXR75" s="244" t="s">
        <v>32</v>
      </c>
      <c r="GXS75" s="244" t="s">
        <v>32</v>
      </c>
      <c r="GXT75" s="244" t="s">
        <v>32</v>
      </c>
      <c r="GXU75" s="244" t="s">
        <v>32</v>
      </c>
      <c r="GXV75" s="244" t="s">
        <v>32</v>
      </c>
      <c r="GXW75" s="244" t="s">
        <v>32</v>
      </c>
      <c r="GXX75" s="244" t="s">
        <v>32</v>
      </c>
      <c r="GXY75" s="244" t="s">
        <v>32</v>
      </c>
      <c r="GXZ75" s="244" t="s">
        <v>32</v>
      </c>
      <c r="GYA75" s="244" t="s">
        <v>32</v>
      </c>
      <c r="GYB75" s="244" t="s">
        <v>32</v>
      </c>
      <c r="GYC75" s="244" t="s">
        <v>32</v>
      </c>
      <c r="GYD75" s="244" t="s">
        <v>32</v>
      </c>
      <c r="GYE75" s="244" t="s">
        <v>32</v>
      </c>
      <c r="GYF75" s="244" t="s">
        <v>32</v>
      </c>
      <c r="GYG75" s="244" t="s">
        <v>32</v>
      </c>
      <c r="GYH75" s="244" t="s">
        <v>32</v>
      </c>
      <c r="GYI75" s="244" t="s">
        <v>32</v>
      </c>
      <c r="GYJ75" s="244" t="s">
        <v>32</v>
      </c>
      <c r="GYK75" s="244" t="s">
        <v>32</v>
      </c>
      <c r="GYL75" s="244" t="s">
        <v>32</v>
      </c>
      <c r="GYM75" s="244" t="s">
        <v>32</v>
      </c>
      <c r="GYN75" s="244" t="s">
        <v>32</v>
      </c>
      <c r="GYO75" s="244" t="s">
        <v>32</v>
      </c>
      <c r="GYP75" s="244" t="s">
        <v>32</v>
      </c>
      <c r="GYQ75" s="244" t="s">
        <v>32</v>
      </c>
      <c r="GYR75" s="244" t="s">
        <v>32</v>
      </c>
      <c r="GYS75" s="244" t="s">
        <v>32</v>
      </c>
      <c r="GYT75" s="244" t="s">
        <v>32</v>
      </c>
      <c r="GYU75" s="244" t="s">
        <v>32</v>
      </c>
      <c r="GYV75" s="244" t="s">
        <v>32</v>
      </c>
      <c r="GYW75" s="244" t="s">
        <v>32</v>
      </c>
      <c r="GYX75" s="244" t="s">
        <v>32</v>
      </c>
      <c r="GYY75" s="244" t="s">
        <v>32</v>
      </c>
      <c r="GYZ75" s="244" t="s">
        <v>32</v>
      </c>
      <c r="GZA75" s="244" t="s">
        <v>32</v>
      </c>
      <c r="GZB75" s="244" t="s">
        <v>32</v>
      </c>
      <c r="GZC75" s="244" t="s">
        <v>32</v>
      </c>
      <c r="GZD75" s="244" t="s">
        <v>32</v>
      </c>
      <c r="GZE75" s="244" t="s">
        <v>32</v>
      </c>
      <c r="GZF75" s="244" t="s">
        <v>32</v>
      </c>
      <c r="GZG75" s="244" t="s">
        <v>32</v>
      </c>
      <c r="GZH75" s="244" t="s">
        <v>32</v>
      </c>
      <c r="GZI75" s="244" t="s">
        <v>32</v>
      </c>
      <c r="GZJ75" s="244" t="s">
        <v>32</v>
      </c>
      <c r="GZK75" s="244" t="s">
        <v>32</v>
      </c>
      <c r="GZL75" s="244" t="s">
        <v>32</v>
      </c>
      <c r="GZM75" s="244" t="s">
        <v>32</v>
      </c>
      <c r="GZN75" s="244" t="s">
        <v>32</v>
      </c>
      <c r="GZO75" s="244" t="s">
        <v>32</v>
      </c>
      <c r="GZP75" s="244" t="s">
        <v>32</v>
      </c>
      <c r="GZQ75" s="244" t="s">
        <v>32</v>
      </c>
      <c r="GZR75" s="244" t="s">
        <v>32</v>
      </c>
      <c r="GZS75" s="244" t="s">
        <v>32</v>
      </c>
      <c r="GZT75" s="244" t="s">
        <v>32</v>
      </c>
      <c r="GZU75" s="244" t="s">
        <v>32</v>
      </c>
      <c r="GZV75" s="244" t="s">
        <v>32</v>
      </c>
      <c r="GZW75" s="244" t="s">
        <v>32</v>
      </c>
      <c r="GZX75" s="244" t="s">
        <v>32</v>
      </c>
      <c r="GZY75" s="244" t="s">
        <v>32</v>
      </c>
      <c r="GZZ75" s="244" t="s">
        <v>32</v>
      </c>
      <c r="HAA75" s="244" t="s">
        <v>32</v>
      </c>
      <c r="HAB75" s="244" t="s">
        <v>32</v>
      </c>
      <c r="HAC75" s="244" t="s">
        <v>32</v>
      </c>
      <c r="HAD75" s="244" t="s">
        <v>32</v>
      </c>
      <c r="HAE75" s="244" t="s">
        <v>32</v>
      </c>
      <c r="HAF75" s="244" t="s">
        <v>32</v>
      </c>
      <c r="HAG75" s="244" t="s">
        <v>32</v>
      </c>
      <c r="HAH75" s="244" t="s">
        <v>32</v>
      </c>
      <c r="HAI75" s="244" t="s">
        <v>32</v>
      </c>
      <c r="HAJ75" s="244" t="s">
        <v>32</v>
      </c>
      <c r="HAK75" s="244" t="s">
        <v>32</v>
      </c>
      <c r="HAL75" s="244" t="s">
        <v>32</v>
      </c>
      <c r="HAM75" s="244" t="s">
        <v>32</v>
      </c>
      <c r="HAN75" s="244" t="s">
        <v>32</v>
      </c>
      <c r="HAO75" s="244" t="s">
        <v>32</v>
      </c>
      <c r="HAP75" s="244" t="s">
        <v>32</v>
      </c>
      <c r="HAQ75" s="244" t="s">
        <v>32</v>
      </c>
      <c r="HAR75" s="244" t="s">
        <v>32</v>
      </c>
      <c r="HAS75" s="244" t="s">
        <v>32</v>
      </c>
      <c r="HAT75" s="244" t="s">
        <v>32</v>
      </c>
      <c r="HAU75" s="244" t="s">
        <v>32</v>
      </c>
      <c r="HAV75" s="244" t="s">
        <v>32</v>
      </c>
      <c r="HAW75" s="244" t="s">
        <v>32</v>
      </c>
      <c r="HAX75" s="244" t="s">
        <v>32</v>
      </c>
      <c r="HAY75" s="244" t="s">
        <v>32</v>
      </c>
      <c r="HAZ75" s="244" t="s">
        <v>32</v>
      </c>
      <c r="HBA75" s="244" t="s">
        <v>32</v>
      </c>
      <c r="HBB75" s="244" t="s">
        <v>32</v>
      </c>
      <c r="HBC75" s="244" t="s">
        <v>32</v>
      </c>
      <c r="HBD75" s="244" t="s">
        <v>32</v>
      </c>
      <c r="HBE75" s="244" t="s">
        <v>32</v>
      </c>
      <c r="HBF75" s="244" t="s">
        <v>32</v>
      </c>
      <c r="HBG75" s="244" t="s">
        <v>32</v>
      </c>
      <c r="HBH75" s="244" t="s">
        <v>32</v>
      </c>
      <c r="HBI75" s="244" t="s">
        <v>32</v>
      </c>
      <c r="HBJ75" s="244" t="s">
        <v>32</v>
      </c>
      <c r="HBK75" s="244" t="s">
        <v>32</v>
      </c>
      <c r="HBL75" s="244" t="s">
        <v>32</v>
      </c>
      <c r="HBM75" s="244" t="s">
        <v>32</v>
      </c>
      <c r="HBN75" s="244" t="s">
        <v>32</v>
      </c>
      <c r="HBO75" s="244" t="s">
        <v>32</v>
      </c>
      <c r="HBP75" s="244" t="s">
        <v>32</v>
      </c>
      <c r="HBQ75" s="244" t="s">
        <v>32</v>
      </c>
      <c r="HBR75" s="244" t="s">
        <v>32</v>
      </c>
      <c r="HBS75" s="244" t="s">
        <v>32</v>
      </c>
      <c r="HBT75" s="244" t="s">
        <v>32</v>
      </c>
      <c r="HBU75" s="244" t="s">
        <v>32</v>
      </c>
      <c r="HBV75" s="244" t="s">
        <v>32</v>
      </c>
      <c r="HBW75" s="244" t="s">
        <v>32</v>
      </c>
      <c r="HBX75" s="244" t="s">
        <v>32</v>
      </c>
      <c r="HBY75" s="244" t="s">
        <v>32</v>
      </c>
      <c r="HBZ75" s="244" t="s">
        <v>32</v>
      </c>
      <c r="HCA75" s="244" t="s">
        <v>32</v>
      </c>
      <c r="HCB75" s="244" t="s">
        <v>32</v>
      </c>
      <c r="HCC75" s="244" t="s">
        <v>32</v>
      </c>
      <c r="HCD75" s="244" t="s">
        <v>32</v>
      </c>
      <c r="HCE75" s="244" t="s">
        <v>32</v>
      </c>
      <c r="HCF75" s="244" t="s">
        <v>32</v>
      </c>
      <c r="HCG75" s="244" t="s">
        <v>32</v>
      </c>
      <c r="HCH75" s="244" t="s">
        <v>32</v>
      </c>
      <c r="HCI75" s="244" t="s">
        <v>32</v>
      </c>
      <c r="HCJ75" s="244" t="s">
        <v>32</v>
      </c>
      <c r="HCK75" s="244" t="s">
        <v>32</v>
      </c>
      <c r="HCL75" s="244" t="s">
        <v>32</v>
      </c>
      <c r="HCM75" s="244" t="s">
        <v>32</v>
      </c>
      <c r="HCN75" s="244" t="s">
        <v>32</v>
      </c>
      <c r="HCO75" s="244" t="s">
        <v>32</v>
      </c>
      <c r="HCP75" s="244" t="s">
        <v>32</v>
      </c>
      <c r="HCQ75" s="244" t="s">
        <v>32</v>
      </c>
      <c r="HCR75" s="244" t="s">
        <v>32</v>
      </c>
      <c r="HCS75" s="244" t="s">
        <v>32</v>
      </c>
      <c r="HCT75" s="244" t="s">
        <v>32</v>
      </c>
      <c r="HCU75" s="244" t="s">
        <v>32</v>
      </c>
      <c r="HCV75" s="244" t="s">
        <v>32</v>
      </c>
      <c r="HCW75" s="244" t="s">
        <v>32</v>
      </c>
      <c r="HCX75" s="244" t="s">
        <v>32</v>
      </c>
      <c r="HCY75" s="244" t="s">
        <v>32</v>
      </c>
      <c r="HCZ75" s="244" t="s">
        <v>32</v>
      </c>
      <c r="HDA75" s="244" t="s">
        <v>32</v>
      </c>
      <c r="HDB75" s="244" t="s">
        <v>32</v>
      </c>
      <c r="HDC75" s="244" t="s">
        <v>32</v>
      </c>
      <c r="HDD75" s="244" t="s">
        <v>32</v>
      </c>
      <c r="HDE75" s="244" t="s">
        <v>32</v>
      </c>
      <c r="HDF75" s="244" t="s">
        <v>32</v>
      </c>
      <c r="HDG75" s="244" t="s">
        <v>32</v>
      </c>
      <c r="HDH75" s="244" t="s">
        <v>32</v>
      </c>
      <c r="HDI75" s="244" t="s">
        <v>32</v>
      </c>
      <c r="HDJ75" s="244" t="s">
        <v>32</v>
      </c>
      <c r="HDK75" s="244" t="s">
        <v>32</v>
      </c>
      <c r="HDL75" s="244" t="s">
        <v>32</v>
      </c>
      <c r="HDM75" s="244" t="s">
        <v>32</v>
      </c>
      <c r="HDN75" s="244" t="s">
        <v>32</v>
      </c>
      <c r="HDO75" s="244" t="s">
        <v>32</v>
      </c>
      <c r="HDP75" s="244" t="s">
        <v>32</v>
      </c>
      <c r="HDQ75" s="244" t="s">
        <v>32</v>
      </c>
      <c r="HDR75" s="244" t="s">
        <v>32</v>
      </c>
      <c r="HDS75" s="244" t="s">
        <v>32</v>
      </c>
      <c r="HDT75" s="244" t="s">
        <v>32</v>
      </c>
      <c r="HDU75" s="244" t="s">
        <v>32</v>
      </c>
      <c r="HDV75" s="244" t="s">
        <v>32</v>
      </c>
      <c r="HDW75" s="244" t="s">
        <v>32</v>
      </c>
      <c r="HDX75" s="244" t="s">
        <v>32</v>
      </c>
      <c r="HDY75" s="244" t="s">
        <v>32</v>
      </c>
      <c r="HDZ75" s="244" t="s">
        <v>32</v>
      </c>
      <c r="HEA75" s="244" t="s">
        <v>32</v>
      </c>
      <c r="HEB75" s="244" t="s">
        <v>32</v>
      </c>
      <c r="HEC75" s="244" t="s">
        <v>32</v>
      </c>
      <c r="HED75" s="244" t="s">
        <v>32</v>
      </c>
      <c r="HEE75" s="244" t="s">
        <v>32</v>
      </c>
      <c r="HEF75" s="244" t="s">
        <v>32</v>
      </c>
      <c r="HEG75" s="244" t="s">
        <v>32</v>
      </c>
      <c r="HEH75" s="244" t="s">
        <v>32</v>
      </c>
      <c r="HEI75" s="244" t="s">
        <v>32</v>
      </c>
      <c r="HEJ75" s="244" t="s">
        <v>32</v>
      </c>
      <c r="HEK75" s="244" t="s">
        <v>32</v>
      </c>
      <c r="HEL75" s="244" t="s">
        <v>32</v>
      </c>
      <c r="HEM75" s="244" t="s">
        <v>32</v>
      </c>
      <c r="HEN75" s="244" t="s">
        <v>32</v>
      </c>
      <c r="HEO75" s="244" t="s">
        <v>32</v>
      </c>
      <c r="HEP75" s="244" t="s">
        <v>32</v>
      </c>
      <c r="HEQ75" s="244" t="s">
        <v>32</v>
      </c>
      <c r="HER75" s="244" t="s">
        <v>32</v>
      </c>
      <c r="HES75" s="244" t="s">
        <v>32</v>
      </c>
      <c r="HET75" s="244" t="s">
        <v>32</v>
      </c>
      <c r="HEU75" s="244" t="s">
        <v>32</v>
      </c>
      <c r="HEV75" s="244" t="s">
        <v>32</v>
      </c>
      <c r="HEW75" s="244" t="s">
        <v>32</v>
      </c>
      <c r="HEX75" s="244" t="s">
        <v>32</v>
      </c>
      <c r="HEY75" s="244" t="s">
        <v>32</v>
      </c>
      <c r="HEZ75" s="244" t="s">
        <v>32</v>
      </c>
      <c r="HFA75" s="244" t="s">
        <v>32</v>
      </c>
      <c r="HFB75" s="244" t="s">
        <v>32</v>
      </c>
      <c r="HFC75" s="244" t="s">
        <v>32</v>
      </c>
      <c r="HFD75" s="244" t="s">
        <v>32</v>
      </c>
      <c r="HFE75" s="244" t="s">
        <v>32</v>
      </c>
      <c r="HFF75" s="244" t="s">
        <v>32</v>
      </c>
      <c r="HFG75" s="244" t="s">
        <v>32</v>
      </c>
      <c r="HFH75" s="244" t="s">
        <v>32</v>
      </c>
      <c r="HFI75" s="244" t="s">
        <v>32</v>
      </c>
      <c r="HFJ75" s="244" t="s">
        <v>32</v>
      </c>
      <c r="HFK75" s="244" t="s">
        <v>32</v>
      </c>
      <c r="HFL75" s="244" t="s">
        <v>32</v>
      </c>
      <c r="HFM75" s="244" t="s">
        <v>32</v>
      </c>
      <c r="HFN75" s="244" t="s">
        <v>32</v>
      </c>
      <c r="HFO75" s="244" t="s">
        <v>32</v>
      </c>
      <c r="HFP75" s="244" t="s">
        <v>32</v>
      </c>
      <c r="HFQ75" s="244" t="s">
        <v>32</v>
      </c>
      <c r="HFR75" s="244" t="s">
        <v>32</v>
      </c>
      <c r="HFS75" s="244" t="s">
        <v>32</v>
      </c>
      <c r="HFT75" s="244" t="s">
        <v>32</v>
      </c>
      <c r="HFU75" s="244" t="s">
        <v>32</v>
      </c>
      <c r="HFV75" s="244" t="s">
        <v>32</v>
      </c>
      <c r="HFW75" s="244" t="s">
        <v>32</v>
      </c>
      <c r="HFX75" s="244" t="s">
        <v>32</v>
      </c>
      <c r="HFY75" s="244" t="s">
        <v>32</v>
      </c>
      <c r="HFZ75" s="244" t="s">
        <v>32</v>
      </c>
      <c r="HGA75" s="244" t="s">
        <v>32</v>
      </c>
      <c r="HGB75" s="244" t="s">
        <v>32</v>
      </c>
      <c r="HGC75" s="244" t="s">
        <v>32</v>
      </c>
      <c r="HGD75" s="244" t="s">
        <v>32</v>
      </c>
      <c r="HGE75" s="244" t="s">
        <v>32</v>
      </c>
      <c r="HGF75" s="244" t="s">
        <v>32</v>
      </c>
      <c r="HGG75" s="244" t="s">
        <v>32</v>
      </c>
      <c r="HGH75" s="244" t="s">
        <v>32</v>
      </c>
      <c r="HGI75" s="244" t="s">
        <v>32</v>
      </c>
      <c r="HGJ75" s="244" t="s">
        <v>32</v>
      </c>
      <c r="HGK75" s="244" t="s">
        <v>32</v>
      </c>
      <c r="HGL75" s="244" t="s">
        <v>32</v>
      </c>
      <c r="HGM75" s="244" t="s">
        <v>32</v>
      </c>
      <c r="HGN75" s="244" t="s">
        <v>32</v>
      </c>
      <c r="HGO75" s="244" t="s">
        <v>32</v>
      </c>
      <c r="HGP75" s="244" t="s">
        <v>32</v>
      </c>
      <c r="HGQ75" s="244" t="s">
        <v>32</v>
      </c>
      <c r="HGR75" s="244" t="s">
        <v>32</v>
      </c>
      <c r="HGS75" s="244" t="s">
        <v>32</v>
      </c>
      <c r="HGT75" s="244" t="s">
        <v>32</v>
      </c>
      <c r="HGU75" s="244" t="s">
        <v>32</v>
      </c>
      <c r="HGV75" s="244" t="s">
        <v>32</v>
      </c>
      <c r="HGW75" s="244" t="s">
        <v>32</v>
      </c>
      <c r="HGX75" s="244" t="s">
        <v>32</v>
      </c>
      <c r="HGY75" s="244" t="s">
        <v>32</v>
      </c>
      <c r="HGZ75" s="244" t="s">
        <v>32</v>
      </c>
      <c r="HHA75" s="244" t="s">
        <v>32</v>
      </c>
      <c r="HHB75" s="244" t="s">
        <v>32</v>
      </c>
      <c r="HHC75" s="244" t="s">
        <v>32</v>
      </c>
      <c r="HHD75" s="244" t="s">
        <v>32</v>
      </c>
      <c r="HHE75" s="244" t="s">
        <v>32</v>
      </c>
      <c r="HHF75" s="244" t="s">
        <v>32</v>
      </c>
      <c r="HHG75" s="244" t="s">
        <v>32</v>
      </c>
      <c r="HHH75" s="244" t="s">
        <v>32</v>
      </c>
      <c r="HHI75" s="244" t="s">
        <v>32</v>
      </c>
      <c r="HHJ75" s="244" t="s">
        <v>32</v>
      </c>
      <c r="HHK75" s="244" t="s">
        <v>32</v>
      </c>
      <c r="HHL75" s="244" t="s">
        <v>32</v>
      </c>
      <c r="HHM75" s="244" t="s">
        <v>32</v>
      </c>
      <c r="HHN75" s="244" t="s">
        <v>32</v>
      </c>
      <c r="HHO75" s="244" t="s">
        <v>32</v>
      </c>
      <c r="HHP75" s="244" t="s">
        <v>32</v>
      </c>
      <c r="HHQ75" s="244" t="s">
        <v>32</v>
      </c>
      <c r="HHR75" s="244" t="s">
        <v>32</v>
      </c>
      <c r="HHS75" s="244" t="s">
        <v>32</v>
      </c>
      <c r="HHT75" s="244" t="s">
        <v>32</v>
      </c>
      <c r="HHU75" s="244" t="s">
        <v>32</v>
      </c>
      <c r="HHV75" s="244" t="s">
        <v>32</v>
      </c>
      <c r="HHW75" s="244" t="s">
        <v>32</v>
      </c>
      <c r="HHX75" s="244" t="s">
        <v>32</v>
      </c>
      <c r="HHY75" s="244" t="s">
        <v>32</v>
      </c>
      <c r="HHZ75" s="244" t="s">
        <v>32</v>
      </c>
      <c r="HIA75" s="244" t="s">
        <v>32</v>
      </c>
      <c r="HIB75" s="244" t="s">
        <v>32</v>
      </c>
      <c r="HIC75" s="244" t="s">
        <v>32</v>
      </c>
      <c r="HID75" s="244" t="s">
        <v>32</v>
      </c>
      <c r="HIE75" s="244" t="s">
        <v>32</v>
      </c>
      <c r="HIF75" s="244" t="s">
        <v>32</v>
      </c>
      <c r="HIG75" s="244" t="s">
        <v>32</v>
      </c>
      <c r="HIH75" s="244" t="s">
        <v>32</v>
      </c>
      <c r="HII75" s="244" t="s">
        <v>32</v>
      </c>
      <c r="HIJ75" s="244" t="s">
        <v>32</v>
      </c>
      <c r="HIK75" s="244" t="s">
        <v>32</v>
      </c>
      <c r="HIL75" s="244" t="s">
        <v>32</v>
      </c>
      <c r="HIM75" s="244" t="s">
        <v>32</v>
      </c>
      <c r="HIN75" s="244" t="s">
        <v>32</v>
      </c>
      <c r="HIO75" s="244" t="s">
        <v>32</v>
      </c>
      <c r="HIP75" s="244" t="s">
        <v>32</v>
      </c>
      <c r="HIQ75" s="244" t="s">
        <v>32</v>
      </c>
      <c r="HIR75" s="244" t="s">
        <v>32</v>
      </c>
      <c r="HIS75" s="244" t="s">
        <v>32</v>
      </c>
      <c r="HIT75" s="244" t="s">
        <v>32</v>
      </c>
      <c r="HIU75" s="244" t="s">
        <v>32</v>
      </c>
      <c r="HIV75" s="244" t="s">
        <v>32</v>
      </c>
      <c r="HIW75" s="244" t="s">
        <v>32</v>
      </c>
      <c r="HIX75" s="244" t="s">
        <v>32</v>
      </c>
      <c r="HIY75" s="244" t="s">
        <v>32</v>
      </c>
      <c r="HIZ75" s="244" t="s">
        <v>32</v>
      </c>
      <c r="HJA75" s="244" t="s">
        <v>32</v>
      </c>
      <c r="HJB75" s="244" t="s">
        <v>32</v>
      </c>
      <c r="HJC75" s="244" t="s">
        <v>32</v>
      </c>
      <c r="HJD75" s="244" t="s">
        <v>32</v>
      </c>
      <c r="HJE75" s="244" t="s">
        <v>32</v>
      </c>
      <c r="HJF75" s="244" t="s">
        <v>32</v>
      </c>
      <c r="HJG75" s="244" t="s">
        <v>32</v>
      </c>
      <c r="HJH75" s="244" t="s">
        <v>32</v>
      </c>
      <c r="HJI75" s="244" t="s">
        <v>32</v>
      </c>
      <c r="HJJ75" s="244" t="s">
        <v>32</v>
      </c>
      <c r="HJK75" s="244" t="s">
        <v>32</v>
      </c>
      <c r="HJL75" s="244" t="s">
        <v>32</v>
      </c>
      <c r="HJM75" s="244" t="s">
        <v>32</v>
      </c>
      <c r="HJN75" s="244" t="s">
        <v>32</v>
      </c>
      <c r="HJO75" s="244" t="s">
        <v>32</v>
      </c>
      <c r="HJP75" s="244" t="s">
        <v>32</v>
      </c>
      <c r="HJQ75" s="244" t="s">
        <v>32</v>
      </c>
      <c r="HJR75" s="244" t="s">
        <v>32</v>
      </c>
      <c r="HJS75" s="244" t="s">
        <v>32</v>
      </c>
      <c r="HJT75" s="244" t="s">
        <v>32</v>
      </c>
      <c r="HJU75" s="244" t="s">
        <v>32</v>
      </c>
      <c r="HJV75" s="244" t="s">
        <v>32</v>
      </c>
      <c r="HJW75" s="244" t="s">
        <v>32</v>
      </c>
      <c r="HJX75" s="244" t="s">
        <v>32</v>
      </c>
      <c r="HJY75" s="244" t="s">
        <v>32</v>
      </c>
      <c r="HJZ75" s="244" t="s">
        <v>32</v>
      </c>
      <c r="HKA75" s="244" t="s">
        <v>32</v>
      </c>
      <c r="HKB75" s="244" t="s">
        <v>32</v>
      </c>
      <c r="HKC75" s="244" t="s">
        <v>32</v>
      </c>
      <c r="HKD75" s="244" t="s">
        <v>32</v>
      </c>
      <c r="HKE75" s="244" t="s">
        <v>32</v>
      </c>
      <c r="HKF75" s="244" t="s">
        <v>32</v>
      </c>
      <c r="HKG75" s="244" t="s">
        <v>32</v>
      </c>
      <c r="HKH75" s="244" t="s">
        <v>32</v>
      </c>
      <c r="HKI75" s="244" t="s">
        <v>32</v>
      </c>
      <c r="HKJ75" s="244" t="s">
        <v>32</v>
      </c>
      <c r="HKK75" s="244" t="s">
        <v>32</v>
      </c>
      <c r="HKL75" s="244" t="s">
        <v>32</v>
      </c>
      <c r="HKM75" s="244" t="s">
        <v>32</v>
      </c>
      <c r="HKN75" s="244" t="s">
        <v>32</v>
      </c>
      <c r="HKO75" s="244" t="s">
        <v>32</v>
      </c>
      <c r="HKP75" s="244" t="s">
        <v>32</v>
      </c>
      <c r="HKQ75" s="244" t="s">
        <v>32</v>
      </c>
      <c r="HKR75" s="244" t="s">
        <v>32</v>
      </c>
      <c r="HKS75" s="244" t="s">
        <v>32</v>
      </c>
      <c r="HKT75" s="244" t="s">
        <v>32</v>
      </c>
      <c r="HKU75" s="244" t="s">
        <v>32</v>
      </c>
      <c r="HKV75" s="244" t="s">
        <v>32</v>
      </c>
      <c r="HKW75" s="244" t="s">
        <v>32</v>
      </c>
      <c r="HKX75" s="244" t="s">
        <v>32</v>
      </c>
      <c r="HKY75" s="244" t="s">
        <v>32</v>
      </c>
      <c r="HKZ75" s="244" t="s">
        <v>32</v>
      </c>
      <c r="HLA75" s="244" t="s">
        <v>32</v>
      </c>
      <c r="HLB75" s="244" t="s">
        <v>32</v>
      </c>
      <c r="HLC75" s="244" t="s">
        <v>32</v>
      </c>
      <c r="HLD75" s="244" t="s">
        <v>32</v>
      </c>
      <c r="HLE75" s="244" t="s">
        <v>32</v>
      </c>
      <c r="HLF75" s="244" t="s">
        <v>32</v>
      </c>
      <c r="HLG75" s="244" t="s">
        <v>32</v>
      </c>
      <c r="HLH75" s="244" t="s">
        <v>32</v>
      </c>
      <c r="HLI75" s="244" t="s">
        <v>32</v>
      </c>
      <c r="HLJ75" s="244" t="s">
        <v>32</v>
      </c>
      <c r="HLK75" s="244" t="s">
        <v>32</v>
      </c>
      <c r="HLL75" s="244" t="s">
        <v>32</v>
      </c>
      <c r="HLM75" s="244" t="s">
        <v>32</v>
      </c>
      <c r="HLN75" s="244" t="s">
        <v>32</v>
      </c>
      <c r="HLO75" s="244" t="s">
        <v>32</v>
      </c>
      <c r="HLP75" s="244" t="s">
        <v>32</v>
      </c>
      <c r="HLQ75" s="244" t="s">
        <v>32</v>
      </c>
      <c r="HLR75" s="244" t="s">
        <v>32</v>
      </c>
      <c r="HLS75" s="244" t="s">
        <v>32</v>
      </c>
      <c r="HLT75" s="244" t="s">
        <v>32</v>
      </c>
      <c r="HLU75" s="244" t="s">
        <v>32</v>
      </c>
      <c r="HLV75" s="244" t="s">
        <v>32</v>
      </c>
      <c r="HLW75" s="244" t="s">
        <v>32</v>
      </c>
      <c r="HLX75" s="244" t="s">
        <v>32</v>
      </c>
      <c r="HLY75" s="244" t="s">
        <v>32</v>
      </c>
      <c r="HLZ75" s="244" t="s">
        <v>32</v>
      </c>
      <c r="HMA75" s="244" t="s">
        <v>32</v>
      </c>
      <c r="HMB75" s="244" t="s">
        <v>32</v>
      </c>
      <c r="HMC75" s="244" t="s">
        <v>32</v>
      </c>
      <c r="HMD75" s="244" t="s">
        <v>32</v>
      </c>
      <c r="HME75" s="244" t="s">
        <v>32</v>
      </c>
      <c r="HMF75" s="244" t="s">
        <v>32</v>
      </c>
      <c r="HMG75" s="244" t="s">
        <v>32</v>
      </c>
      <c r="HMH75" s="244" t="s">
        <v>32</v>
      </c>
      <c r="HMI75" s="244" t="s">
        <v>32</v>
      </c>
      <c r="HMJ75" s="244" t="s">
        <v>32</v>
      </c>
      <c r="HMK75" s="244" t="s">
        <v>32</v>
      </c>
      <c r="HML75" s="244" t="s">
        <v>32</v>
      </c>
      <c r="HMM75" s="244" t="s">
        <v>32</v>
      </c>
      <c r="HMN75" s="244" t="s">
        <v>32</v>
      </c>
      <c r="HMO75" s="244" t="s">
        <v>32</v>
      </c>
      <c r="HMP75" s="244" t="s">
        <v>32</v>
      </c>
      <c r="HMQ75" s="244" t="s">
        <v>32</v>
      </c>
      <c r="HMR75" s="244" t="s">
        <v>32</v>
      </c>
      <c r="HMS75" s="244" t="s">
        <v>32</v>
      </c>
      <c r="HMT75" s="244" t="s">
        <v>32</v>
      </c>
      <c r="HMU75" s="244" t="s">
        <v>32</v>
      </c>
      <c r="HMV75" s="244" t="s">
        <v>32</v>
      </c>
      <c r="HMW75" s="244" t="s">
        <v>32</v>
      </c>
      <c r="HMX75" s="244" t="s">
        <v>32</v>
      </c>
      <c r="HMY75" s="244" t="s">
        <v>32</v>
      </c>
      <c r="HMZ75" s="244" t="s">
        <v>32</v>
      </c>
      <c r="HNA75" s="244" t="s">
        <v>32</v>
      </c>
      <c r="HNB75" s="244" t="s">
        <v>32</v>
      </c>
      <c r="HNC75" s="244" t="s">
        <v>32</v>
      </c>
      <c r="HND75" s="244" t="s">
        <v>32</v>
      </c>
      <c r="HNE75" s="244" t="s">
        <v>32</v>
      </c>
      <c r="HNF75" s="244" t="s">
        <v>32</v>
      </c>
      <c r="HNG75" s="244" t="s">
        <v>32</v>
      </c>
      <c r="HNH75" s="244" t="s">
        <v>32</v>
      </c>
      <c r="HNI75" s="244" t="s">
        <v>32</v>
      </c>
      <c r="HNJ75" s="244" t="s">
        <v>32</v>
      </c>
      <c r="HNK75" s="244" t="s">
        <v>32</v>
      </c>
      <c r="HNL75" s="244" t="s">
        <v>32</v>
      </c>
      <c r="HNM75" s="244" t="s">
        <v>32</v>
      </c>
      <c r="HNN75" s="244" t="s">
        <v>32</v>
      </c>
      <c r="HNO75" s="244" t="s">
        <v>32</v>
      </c>
      <c r="HNP75" s="244" t="s">
        <v>32</v>
      </c>
      <c r="HNQ75" s="244" t="s">
        <v>32</v>
      </c>
      <c r="HNR75" s="244" t="s">
        <v>32</v>
      </c>
      <c r="HNS75" s="244" t="s">
        <v>32</v>
      </c>
      <c r="HNT75" s="244" t="s">
        <v>32</v>
      </c>
      <c r="HNU75" s="244" t="s">
        <v>32</v>
      </c>
      <c r="HNV75" s="244" t="s">
        <v>32</v>
      </c>
      <c r="HNW75" s="244" t="s">
        <v>32</v>
      </c>
      <c r="HNX75" s="244" t="s">
        <v>32</v>
      </c>
      <c r="HNY75" s="244" t="s">
        <v>32</v>
      </c>
      <c r="HNZ75" s="244" t="s">
        <v>32</v>
      </c>
      <c r="HOA75" s="244" t="s">
        <v>32</v>
      </c>
      <c r="HOB75" s="244" t="s">
        <v>32</v>
      </c>
      <c r="HOC75" s="244" t="s">
        <v>32</v>
      </c>
      <c r="HOD75" s="244" t="s">
        <v>32</v>
      </c>
      <c r="HOE75" s="244" t="s">
        <v>32</v>
      </c>
      <c r="HOF75" s="244" t="s">
        <v>32</v>
      </c>
      <c r="HOG75" s="244" t="s">
        <v>32</v>
      </c>
      <c r="HOH75" s="244" t="s">
        <v>32</v>
      </c>
      <c r="HOI75" s="244" t="s">
        <v>32</v>
      </c>
      <c r="HOJ75" s="244" t="s">
        <v>32</v>
      </c>
      <c r="HOK75" s="244" t="s">
        <v>32</v>
      </c>
      <c r="HOL75" s="244" t="s">
        <v>32</v>
      </c>
      <c r="HOM75" s="244" t="s">
        <v>32</v>
      </c>
      <c r="HON75" s="244" t="s">
        <v>32</v>
      </c>
      <c r="HOO75" s="244" t="s">
        <v>32</v>
      </c>
      <c r="HOP75" s="244" t="s">
        <v>32</v>
      </c>
      <c r="HOQ75" s="244" t="s">
        <v>32</v>
      </c>
      <c r="HOR75" s="244" t="s">
        <v>32</v>
      </c>
      <c r="HOS75" s="244" t="s">
        <v>32</v>
      </c>
      <c r="HOT75" s="244" t="s">
        <v>32</v>
      </c>
      <c r="HOU75" s="244" t="s">
        <v>32</v>
      </c>
      <c r="HOV75" s="244" t="s">
        <v>32</v>
      </c>
      <c r="HOW75" s="244" t="s">
        <v>32</v>
      </c>
      <c r="HOX75" s="244" t="s">
        <v>32</v>
      </c>
      <c r="HOY75" s="244" t="s">
        <v>32</v>
      </c>
      <c r="HOZ75" s="244" t="s">
        <v>32</v>
      </c>
      <c r="HPA75" s="244" t="s">
        <v>32</v>
      </c>
      <c r="HPB75" s="244" t="s">
        <v>32</v>
      </c>
      <c r="HPC75" s="244" t="s">
        <v>32</v>
      </c>
      <c r="HPD75" s="244" t="s">
        <v>32</v>
      </c>
      <c r="HPE75" s="244" t="s">
        <v>32</v>
      </c>
      <c r="HPF75" s="244" t="s">
        <v>32</v>
      </c>
      <c r="HPG75" s="244" t="s">
        <v>32</v>
      </c>
      <c r="HPH75" s="244" t="s">
        <v>32</v>
      </c>
      <c r="HPI75" s="244" t="s">
        <v>32</v>
      </c>
      <c r="HPJ75" s="244" t="s">
        <v>32</v>
      </c>
      <c r="HPK75" s="244" t="s">
        <v>32</v>
      </c>
      <c r="HPL75" s="244" t="s">
        <v>32</v>
      </c>
      <c r="HPM75" s="244" t="s">
        <v>32</v>
      </c>
      <c r="HPN75" s="244" t="s">
        <v>32</v>
      </c>
      <c r="HPO75" s="244" t="s">
        <v>32</v>
      </c>
      <c r="HPP75" s="244" t="s">
        <v>32</v>
      </c>
      <c r="HPQ75" s="244" t="s">
        <v>32</v>
      </c>
      <c r="HPR75" s="244" t="s">
        <v>32</v>
      </c>
      <c r="HPS75" s="244" t="s">
        <v>32</v>
      </c>
      <c r="HPT75" s="244" t="s">
        <v>32</v>
      </c>
      <c r="HPU75" s="244" t="s">
        <v>32</v>
      </c>
      <c r="HPV75" s="244" t="s">
        <v>32</v>
      </c>
      <c r="HPW75" s="244" t="s">
        <v>32</v>
      </c>
      <c r="HPX75" s="244" t="s">
        <v>32</v>
      </c>
      <c r="HPY75" s="244" t="s">
        <v>32</v>
      </c>
      <c r="HPZ75" s="244" t="s">
        <v>32</v>
      </c>
      <c r="HQA75" s="244" t="s">
        <v>32</v>
      </c>
      <c r="HQB75" s="244" t="s">
        <v>32</v>
      </c>
      <c r="HQC75" s="244" t="s">
        <v>32</v>
      </c>
      <c r="HQD75" s="244" t="s">
        <v>32</v>
      </c>
      <c r="HQE75" s="244" t="s">
        <v>32</v>
      </c>
      <c r="HQF75" s="244" t="s">
        <v>32</v>
      </c>
      <c r="HQG75" s="244" t="s">
        <v>32</v>
      </c>
      <c r="HQH75" s="244" t="s">
        <v>32</v>
      </c>
      <c r="HQI75" s="244" t="s">
        <v>32</v>
      </c>
      <c r="HQJ75" s="244" t="s">
        <v>32</v>
      </c>
      <c r="HQK75" s="244" t="s">
        <v>32</v>
      </c>
      <c r="HQL75" s="244" t="s">
        <v>32</v>
      </c>
      <c r="HQM75" s="244" t="s">
        <v>32</v>
      </c>
      <c r="HQN75" s="244" t="s">
        <v>32</v>
      </c>
      <c r="HQO75" s="244" t="s">
        <v>32</v>
      </c>
      <c r="HQP75" s="244" t="s">
        <v>32</v>
      </c>
      <c r="HQQ75" s="244" t="s">
        <v>32</v>
      </c>
      <c r="HQR75" s="244" t="s">
        <v>32</v>
      </c>
      <c r="HQS75" s="244" t="s">
        <v>32</v>
      </c>
      <c r="HQT75" s="244" t="s">
        <v>32</v>
      </c>
      <c r="HQU75" s="244" t="s">
        <v>32</v>
      </c>
      <c r="HQV75" s="244" t="s">
        <v>32</v>
      </c>
      <c r="HQW75" s="244" t="s">
        <v>32</v>
      </c>
      <c r="HQX75" s="244" t="s">
        <v>32</v>
      </c>
      <c r="HQY75" s="244" t="s">
        <v>32</v>
      </c>
      <c r="HQZ75" s="244" t="s">
        <v>32</v>
      </c>
      <c r="HRA75" s="244" t="s">
        <v>32</v>
      </c>
      <c r="HRB75" s="244" t="s">
        <v>32</v>
      </c>
      <c r="HRC75" s="244" t="s">
        <v>32</v>
      </c>
      <c r="HRD75" s="244" t="s">
        <v>32</v>
      </c>
      <c r="HRE75" s="244" t="s">
        <v>32</v>
      </c>
      <c r="HRF75" s="244" t="s">
        <v>32</v>
      </c>
      <c r="HRG75" s="244" t="s">
        <v>32</v>
      </c>
      <c r="HRH75" s="244" t="s">
        <v>32</v>
      </c>
      <c r="HRI75" s="244" t="s">
        <v>32</v>
      </c>
      <c r="HRJ75" s="244" t="s">
        <v>32</v>
      </c>
      <c r="HRK75" s="244" t="s">
        <v>32</v>
      </c>
      <c r="HRL75" s="244" t="s">
        <v>32</v>
      </c>
      <c r="HRM75" s="244" t="s">
        <v>32</v>
      </c>
      <c r="HRN75" s="244" t="s">
        <v>32</v>
      </c>
      <c r="HRO75" s="244" t="s">
        <v>32</v>
      </c>
      <c r="HRP75" s="244" t="s">
        <v>32</v>
      </c>
      <c r="HRQ75" s="244" t="s">
        <v>32</v>
      </c>
      <c r="HRR75" s="244" t="s">
        <v>32</v>
      </c>
      <c r="HRS75" s="244" t="s">
        <v>32</v>
      </c>
      <c r="HRT75" s="244" t="s">
        <v>32</v>
      </c>
      <c r="HRU75" s="244" t="s">
        <v>32</v>
      </c>
      <c r="HRV75" s="244" t="s">
        <v>32</v>
      </c>
      <c r="HRW75" s="244" t="s">
        <v>32</v>
      </c>
      <c r="HRX75" s="244" t="s">
        <v>32</v>
      </c>
      <c r="HRY75" s="244" t="s">
        <v>32</v>
      </c>
      <c r="HRZ75" s="244" t="s">
        <v>32</v>
      </c>
      <c r="HSA75" s="244" t="s">
        <v>32</v>
      </c>
      <c r="HSB75" s="244" t="s">
        <v>32</v>
      </c>
      <c r="HSC75" s="244" t="s">
        <v>32</v>
      </c>
      <c r="HSD75" s="244" t="s">
        <v>32</v>
      </c>
      <c r="HSE75" s="244" t="s">
        <v>32</v>
      </c>
      <c r="HSF75" s="244" t="s">
        <v>32</v>
      </c>
      <c r="HSG75" s="244" t="s">
        <v>32</v>
      </c>
      <c r="HSH75" s="244" t="s">
        <v>32</v>
      </c>
      <c r="HSI75" s="244" t="s">
        <v>32</v>
      </c>
      <c r="HSJ75" s="244" t="s">
        <v>32</v>
      </c>
      <c r="HSK75" s="244" t="s">
        <v>32</v>
      </c>
      <c r="HSL75" s="244" t="s">
        <v>32</v>
      </c>
      <c r="HSM75" s="244" t="s">
        <v>32</v>
      </c>
      <c r="HSN75" s="244" t="s">
        <v>32</v>
      </c>
      <c r="HSO75" s="244" t="s">
        <v>32</v>
      </c>
      <c r="HSP75" s="244" t="s">
        <v>32</v>
      </c>
      <c r="HSQ75" s="244" t="s">
        <v>32</v>
      </c>
      <c r="HSR75" s="244" t="s">
        <v>32</v>
      </c>
      <c r="HSS75" s="244" t="s">
        <v>32</v>
      </c>
      <c r="HST75" s="244" t="s">
        <v>32</v>
      </c>
      <c r="HSU75" s="244" t="s">
        <v>32</v>
      </c>
      <c r="HSV75" s="244" t="s">
        <v>32</v>
      </c>
      <c r="HSW75" s="244" t="s">
        <v>32</v>
      </c>
      <c r="HSX75" s="244" t="s">
        <v>32</v>
      </c>
      <c r="HSY75" s="244" t="s">
        <v>32</v>
      </c>
      <c r="HSZ75" s="244" t="s">
        <v>32</v>
      </c>
      <c r="HTA75" s="244" t="s">
        <v>32</v>
      </c>
      <c r="HTB75" s="244" t="s">
        <v>32</v>
      </c>
      <c r="HTC75" s="244" t="s">
        <v>32</v>
      </c>
      <c r="HTD75" s="244" t="s">
        <v>32</v>
      </c>
      <c r="HTE75" s="244" t="s">
        <v>32</v>
      </c>
      <c r="HTF75" s="244" t="s">
        <v>32</v>
      </c>
      <c r="HTG75" s="244" t="s">
        <v>32</v>
      </c>
      <c r="HTH75" s="244" t="s">
        <v>32</v>
      </c>
      <c r="HTI75" s="244" t="s">
        <v>32</v>
      </c>
      <c r="HTJ75" s="244" t="s">
        <v>32</v>
      </c>
      <c r="HTK75" s="244" t="s">
        <v>32</v>
      </c>
      <c r="HTL75" s="244" t="s">
        <v>32</v>
      </c>
      <c r="HTM75" s="244" t="s">
        <v>32</v>
      </c>
      <c r="HTN75" s="244" t="s">
        <v>32</v>
      </c>
      <c r="HTO75" s="244" t="s">
        <v>32</v>
      </c>
      <c r="HTP75" s="244" t="s">
        <v>32</v>
      </c>
      <c r="HTQ75" s="244" t="s">
        <v>32</v>
      </c>
      <c r="HTR75" s="244" t="s">
        <v>32</v>
      </c>
      <c r="HTS75" s="244" t="s">
        <v>32</v>
      </c>
      <c r="HTT75" s="244" t="s">
        <v>32</v>
      </c>
      <c r="HTU75" s="244" t="s">
        <v>32</v>
      </c>
      <c r="HTV75" s="244" t="s">
        <v>32</v>
      </c>
      <c r="HTW75" s="244" t="s">
        <v>32</v>
      </c>
      <c r="HTX75" s="244" t="s">
        <v>32</v>
      </c>
      <c r="HTY75" s="244" t="s">
        <v>32</v>
      </c>
      <c r="HTZ75" s="244" t="s">
        <v>32</v>
      </c>
      <c r="HUA75" s="244" t="s">
        <v>32</v>
      </c>
      <c r="HUB75" s="244" t="s">
        <v>32</v>
      </c>
      <c r="HUC75" s="244" t="s">
        <v>32</v>
      </c>
      <c r="HUD75" s="244" t="s">
        <v>32</v>
      </c>
      <c r="HUE75" s="244" t="s">
        <v>32</v>
      </c>
      <c r="HUF75" s="244" t="s">
        <v>32</v>
      </c>
      <c r="HUG75" s="244" t="s">
        <v>32</v>
      </c>
      <c r="HUH75" s="244" t="s">
        <v>32</v>
      </c>
      <c r="HUI75" s="244" t="s">
        <v>32</v>
      </c>
      <c r="HUJ75" s="244" t="s">
        <v>32</v>
      </c>
      <c r="HUK75" s="244" t="s">
        <v>32</v>
      </c>
      <c r="HUL75" s="244" t="s">
        <v>32</v>
      </c>
      <c r="HUM75" s="244" t="s">
        <v>32</v>
      </c>
      <c r="HUN75" s="244" t="s">
        <v>32</v>
      </c>
      <c r="HUO75" s="244" t="s">
        <v>32</v>
      </c>
      <c r="HUP75" s="244" t="s">
        <v>32</v>
      </c>
      <c r="HUQ75" s="244" t="s">
        <v>32</v>
      </c>
      <c r="HUR75" s="244" t="s">
        <v>32</v>
      </c>
      <c r="HUS75" s="244" t="s">
        <v>32</v>
      </c>
      <c r="HUT75" s="244" t="s">
        <v>32</v>
      </c>
      <c r="HUU75" s="244" t="s">
        <v>32</v>
      </c>
      <c r="HUV75" s="244" t="s">
        <v>32</v>
      </c>
      <c r="HUW75" s="244" t="s">
        <v>32</v>
      </c>
      <c r="HUX75" s="244" t="s">
        <v>32</v>
      </c>
      <c r="HUY75" s="244" t="s">
        <v>32</v>
      </c>
      <c r="HUZ75" s="244" t="s">
        <v>32</v>
      </c>
      <c r="HVA75" s="244" t="s">
        <v>32</v>
      </c>
      <c r="HVB75" s="244" t="s">
        <v>32</v>
      </c>
      <c r="HVC75" s="244" t="s">
        <v>32</v>
      </c>
      <c r="HVD75" s="244" t="s">
        <v>32</v>
      </c>
      <c r="HVE75" s="244" t="s">
        <v>32</v>
      </c>
      <c r="HVF75" s="244" t="s">
        <v>32</v>
      </c>
      <c r="HVG75" s="244" t="s">
        <v>32</v>
      </c>
      <c r="HVH75" s="244" t="s">
        <v>32</v>
      </c>
      <c r="HVI75" s="244" t="s">
        <v>32</v>
      </c>
      <c r="HVJ75" s="244" t="s">
        <v>32</v>
      </c>
      <c r="HVK75" s="244" t="s">
        <v>32</v>
      </c>
      <c r="HVL75" s="244" t="s">
        <v>32</v>
      </c>
      <c r="HVM75" s="244" t="s">
        <v>32</v>
      </c>
      <c r="HVN75" s="244" t="s">
        <v>32</v>
      </c>
      <c r="HVO75" s="244" t="s">
        <v>32</v>
      </c>
      <c r="HVP75" s="244" t="s">
        <v>32</v>
      </c>
      <c r="HVQ75" s="244" t="s">
        <v>32</v>
      </c>
      <c r="HVR75" s="244" t="s">
        <v>32</v>
      </c>
      <c r="HVS75" s="244" t="s">
        <v>32</v>
      </c>
      <c r="HVT75" s="244" t="s">
        <v>32</v>
      </c>
      <c r="HVU75" s="244" t="s">
        <v>32</v>
      </c>
      <c r="HVV75" s="244" t="s">
        <v>32</v>
      </c>
      <c r="HVW75" s="244" t="s">
        <v>32</v>
      </c>
      <c r="HVX75" s="244" t="s">
        <v>32</v>
      </c>
      <c r="HVY75" s="244" t="s">
        <v>32</v>
      </c>
      <c r="HVZ75" s="244" t="s">
        <v>32</v>
      </c>
      <c r="HWA75" s="244" t="s">
        <v>32</v>
      </c>
      <c r="HWB75" s="244" t="s">
        <v>32</v>
      </c>
      <c r="HWC75" s="244" t="s">
        <v>32</v>
      </c>
      <c r="HWD75" s="244" t="s">
        <v>32</v>
      </c>
      <c r="HWE75" s="244" t="s">
        <v>32</v>
      </c>
      <c r="HWF75" s="244" t="s">
        <v>32</v>
      </c>
      <c r="HWG75" s="244" t="s">
        <v>32</v>
      </c>
      <c r="HWH75" s="244" t="s">
        <v>32</v>
      </c>
      <c r="HWI75" s="244" t="s">
        <v>32</v>
      </c>
      <c r="HWJ75" s="244" t="s">
        <v>32</v>
      </c>
      <c r="HWK75" s="244" t="s">
        <v>32</v>
      </c>
      <c r="HWL75" s="244" t="s">
        <v>32</v>
      </c>
      <c r="HWM75" s="244" t="s">
        <v>32</v>
      </c>
      <c r="HWN75" s="244" t="s">
        <v>32</v>
      </c>
      <c r="HWO75" s="244" t="s">
        <v>32</v>
      </c>
      <c r="HWP75" s="244" t="s">
        <v>32</v>
      </c>
      <c r="HWQ75" s="244" t="s">
        <v>32</v>
      </c>
      <c r="HWR75" s="244" t="s">
        <v>32</v>
      </c>
      <c r="HWS75" s="244" t="s">
        <v>32</v>
      </c>
      <c r="HWT75" s="244" t="s">
        <v>32</v>
      </c>
      <c r="HWU75" s="244" t="s">
        <v>32</v>
      </c>
      <c r="HWV75" s="244" t="s">
        <v>32</v>
      </c>
      <c r="HWW75" s="244" t="s">
        <v>32</v>
      </c>
      <c r="HWX75" s="244" t="s">
        <v>32</v>
      </c>
      <c r="HWY75" s="244" t="s">
        <v>32</v>
      </c>
      <c r="HWZ75" s="244" t="s">
        <v>32</v>
      </c>
      <c r="HXA75" s="244" t="s">
        <v>32</v>
      </c>
      <c r="HXB75" s="244" t="s">
        <v>32</v>
      </c>
      <c r="HXC75" s="244" t="s">
        <v>32</v>
      </c>
      <c r="HXD75" s="244" t="s">
        <v>32</v>
      </c>
      <c r="HXE75" s="244" t="s">
        <v>32</v>
      </c>
      <c r="HXF75" s="244" t="s">
        <v>32</v>
      </c>
      <c r="HXG75" s="244" t="s">
        <v>32</v>
      </c>
      <c r="HXH75" s="244" t="s">
        <v>32</v>
      </c>
      <c r="HXI75" s="244" t="s">
        <v>32</v>
      </c>
      <c r="HXJ75" s="244" t="s">
        <v>32</v>
      </c>
      <c r="HXK75" s="244" t="s">
        <v>32</v>
      </c>
      <c r="HXL75" s="244" t="s">
        <v>32</v>
      </c>
      <c r="HXM75" s="244" t="s">
        <v>32</v>
      </c>
      <c r="HXN75" s="244" t="s">
        <v>32</v>
      </c>
      <c r="HXO75" s="244" t="s">
        <v>32</v>
      </c>
      <c r="HXP75" s="244" t="s">
        <v>32</v>
      </c>
      <c r="HXQ75" s="244" t="s">
        <v>32</v>
      </c>
      <c r="HXR75" s="244" t="s">
        <v>32</v>
      </c>
      <c r="HXS75" s="244" t="s">
        <v>32</v>
      </c>
      <c r="HXT75" s="244" t="s">
        <v>32</v>
      </c>
      <c r="HXU75" s="244" t="s">
        <v>32</v>
      </c>
      <c r="HXV75" s="244" t="s">
        <v>32</v>
      </c>
      <c r="HXW75" s="244" t="s">
        <v>32</v>
      </c>
      <c r="HXX75" s="244" t="s">
        <v>32</v>
      </c>
      <c r="HXY75" s="244" t="s">
        <v>32</v>
      </c>
      <c r="HXZ75" s="244" t="s">
        <v>32</v>
      </c>
      <c r="HYA75" s="244" t="s">
        <v>32</v>
      </c>
      <c r="HYB75" s="244" t="s">
        <v>32</v>
      </c>
      <c r="HYC75" s="244" t="s">
        <v>32</v>
      </c>
      <c r="HYD75" s="244" t="s">
        <v>32</v>
      </c>
      <c r="HYE75" s="244" t="s">
        <v>32</v>
      </c>
      <c r="HYF75" s="244" t="s">
        <v>32</v>
      </c>
      <c r="HYG75" s="244" t="s">
        <v>32</v>
      </c>
      <c r="HYH75" s="244" t="s">
        <v>32</v>
      </c>
      <c r="HYI75" s="244" t="s">
        <v>32</v>
      </c>
      <c r="HYJ75" s="244" t="s">
        <v>32</v>
      </c>
      <c r="HYK75" s="244" t="s">
        <v>32</v>
      </c>
      <c r="HYL75" s="244" t="s">
        <v>32</v>
      </c>
      <c r="HYM75" s="244" t="s">
        <v>32</v>
      </c>
      <c r="HYN75" s="244" t="s">
        <v>32</v>
      </c>
      <c r="HYO75" s="244" t="s">
        <v>32</v>
      </c>
      <c r="HYP75" s="244" t="s">
        <v>32</v>
      </c>
      <c r="HYQ75" s="244" t="s">
        <v>32</v>
      </c>
      <c r="HYR75" s="244" t="s">
        <v>32</v>
      </c>
      <c r="HYS75" s="244" t="s">
        <v>32</v>
      </c>
      <c r="HYT75" s="244" t="s">
        <v>32</v>
      </c>
      <c r="HYU75" s="244" t="s">
        <v>32</v>
      </c>
      <c r="HYV75" s="244" t="s">
        <v>32</v>
      </c>
      <c r="HYW75" s="244" t="s">
        <v>32</v>
      </c>
      <c r="HYX75" s="244" t="s">
        <v>32</v>
      </c>
      <c r="HYY75" s="244" t="s">
        <v>32</v>
      </c>
      <c r="HYZ75" s="244" t="s">
        <v>32</v>
      </c>
      <c r="HZA75" s="244" t="s">
        <v>32</v>
      </c>
      <c r="HZB75" s="244" t="s">
        <v>32</v>
      </c>
      <c r="HZC75" s="244" t="s">
        <v>32</v>
      </c>
      <c r="HZD75" s="244" t="s">
        <v>32</v>
      </c>
      <c r="HZE75" s="244" t="s">
        <v>32</v>
      </c>
      <c r="HZF75" s="244" t="s">
        <v>32</v>
      </c>
      <c r="HZG75" s="244" t="s">
        <v>32</v>
      </c>
      <c r="HZH75" s="244" t="s">
        <v>32</v>
      </c>
      <c r="HZI75" s="244" t="s">
        <v>32</v>
      </c>
      <c r="HZJ75" s="244" t="s">
        <v>32</v>
      </c>
      <c r="HZK75" s="244" t="s">
        <v>32</v>
      </c>
      <c r="HZL75" s="244" t="s">
        <v>32</v>
      </c>
      <c r="HZM75" s="244" t="s">
        <v>32</v>
      </c>
      <c r="HZN75" s="244" t="s">
        <v>32</v>
      </c>
      <c r="HZO75" s="244" t="s">
        <v>32</v>
      </c>
      <c r="HZP75" s="244" t="s">
        <v>32</v>
      </c>
      <c r="HZQ75" s="244" t="s">
        <v>32</v>
      </c>
      <c r="HZR75" s="244" t="s">
        <v>32</v>
      </c>
      <c r="HZS75" s="244" t="s">
        <v>32</v>
      </c>
      <c r="HZT75" s="244" t="s">
        <v>32</v>
      </c>
      <c r="HZU75" s="244" t="s">
        <v>32</v>
      </c>
      <c r="HZV75" s="244" t="s">
        <v>32</v>
      </c>
      <c r="HZW75" s="244" t="s">
        <v>32</v>
      </c>
      <c r="HZX75" s="244" t="s">
        <v>32</v>
      </c>
      <c r="HZY75" s="244" t="s">
        <v>32</v>
      </c>
      <c r="HZZ75" s="244" t="s">
        <v>32</v>
      </c>
      <c r="IAA75" s="244" t="s">
        <v>32</v>
      </c>
      <c r="IAB75" s="244" t="s">
        <v>32</v>
      </c>
      <c r="IAC75" s="244" t="s">
        <v>32</v>
      </c>
      <c r="IAD75" s="244" t="s">
        <v>32</v>
      </c>
      <c r="IAE75" s="244" t="s">
        <v>32</v>
      </c>
      <c r="IAF75" s="244" t="s">
        <v>32</v>
      </c>
      <c r="IAG75" s="244" t="s">
        <v>32</v>
      </c>
      <c r="IAH75" s="244" t="s">
        <v>32</v>
      </c>
      <c r="IAI75" s="244" t="s">
        <v>32</v>
      </c>
      <c r="IAJ75" s="244" t="s">
        <v>32</v>
      </c>
      <c r="IAK75" s="244" t="s">
        <v>32</v>
      </c>
      <c r="IAL75" s="244" t="s">
        <v>32</v>
      </c>
      <c r="IAM75" s="244" t="s">
        <v>32</v>
      </c>
      <c r="IAN75" s="244" t="s">
        <v>32</v>
      </c>
      <c r="IAO75" s="244" t="s">
        <v>32</v>
      </c>
      <c r="IAP75" s="244" t="s">
        <v>32</v>
      </c>
      <c r="IAQ75" s="244" t="s">
        <v>32</v>
      </c>
      <c r="IAR75" s="244" t="s">
        <v>32</v>
      </c>
      <c r="IAS75" s="244" t="s">
        <v>32</v>
      </c>
      <c r="IAT75" s="244" t="s">
        <v>32</v>
      </c>
      <c r="IAU75" s="244" t="s">
        <v>32</v>
      </c>
      <c r="IAV75" s="244" t="s">
        <v>32</v>
      </c>
      <c r="IAW75" s="244" t="s">
        <v>32</v>
      </c>
      <c r="IAX75" s="244" t="s">
        <v>32</v>
      </c>
      <c r="IAY75" s="244" t="s">
        <v>32</v>
      </c>
      <c r="IAZ75" s="244" t="s">
        <v>32</v>
      </c>
      <c r="IBA75" s="244" t="s">
        <v>32</v>
      </c>
      <c r="IBB75" s="244" t="s">
        <v>32</v>
      </c>
      <c r="IBC75" s="244" t="s">
        <v>32</v>
      </c>
      <c r="IBD75" s="244" t="s">
        <v>32</v>
      </c>
      <c r="IBE75" s="244" t="s">
        <v>32</v>
      </c>
      <c r="IBF75" s="244" t="s">
        <v>32</v>
      </c>
      <c r="IBG75" s="244" t="s">
        <v>32</v>
      </c>
      <c r="IBH75" s="244" t="s">
        <v>32</v>
      </c>
      <c r="IBI75" s="244" t="s">
        <v>32</v>
      </c>
      <c r="IBJ75" s="244" t="s">
        <v>32</v>
      </c>
      <c r="IBK75" s="244" t="s">
        <v>32</v>
      </c>
      <c r="IBL75" s="244" t="s">
        <v>32</v>
      </c>
      <c r="IBM75" s="244" t="s">
        <v>32</v>
      </c>
      <c r="IBN75" s="244" t="s">
        <v>32</v>
      </c>
      <c r="IBO75" s="244" t="s">
        <v>32</v>
      </c>
      <c r="IBP75" s="244" t="s">
        <v>32</v>
      </c>
      <c r="IBQ75" s="244" t="s">
        <v>32</v>
      </c>
      <c r="IBR75" s="244" t="s">
        <v>32</v>
      </c>
      <c r="IBS75" s="244" t="s">
        <v>32</v>
      </c>
      <c r="IBT75" s="244" t="s">
        <v>32</v>
      </c>
      <c r="IBU75" s="244" t="s">
        <v>32</v>
      </c>
      <c r="IBV75" s="244" t="s">
        <v>32</v>
      </c>
      <c r="IBW75" s="244" t="s">
        <v>32</v>
      </c>
      <c r="IBX75" s="244" t="s">
        <v>32</v>
      </c>
      <c r="IBY75" s="244" t="s">
        <v>32</v>
      </c>
      <c r="IBZ75" s="244" t="s">
        <v>32</v>
      </c>
      <c r="ICA75" s="244" t="s">
        <v>32</v>
      </c>
      <c r="ICB75" s="244" t="s">
        <v>32</v>
      </c>
      <c r="ICC75" s="244" t="s">
        <v>32</v>
      </c>
      <c r="ICD75" s="244" t="s">
        <v>32</v>
      </c>
      <c r="ICE75" s="244" t="s">
        <v>32</v>
      </c>
      <c r="ICF75" s="244" t="s">
        <v>32</v>
      </c>
      <c r="ICG75" s="244" t="s">
        <v>32</v>
      </c>
      <c r="ICH75" s="244" t="s">
        <v>32</v>
      </c>
      <c r="ICI75" s="244" t="s">
        <v>32</v>
      </c>
      <c r="ICJ75" s="244" t="s">
        <v>32</v>
      </c>
      <c r="ICK75" s="244" t="s">
        <v>32</v>
      </c>
      <c r="ICL75" s="244" t="s">
        <v>32</v>
      </c>
      <c r="ICM75" s="244" t="s">
        <v>32</v>
      </c>
      <c r="ICN75" s="244" t="s">
        <v>32</v>
      </c>
      <c r="ICO75" s="244" t="s">
        <v>32</v>
      </c>
      <c r="ICP75" s="244" t="s">
        <v>32</v>
      </c>
      <c r="ICQ75" s="244" t="s">
        <v>32</v>
      </c>
      <c r="ICR75" s="244" t="s">
        <v>32</v>
      </c>
      <c r="ICS75" s="244" t="s">
        <v>32</v>
      </c>
      <c r="ICT75" s="244" t="s">
        <v>32</v>
      </c>
      <c r="ICU75" s="244" t="s">
        <v>32</v>
      </c>
      <c r="ICV75" s="244" t="s">
        <v>32</v>
      </c>
      <c r="ICW75" s="244" t="s">
        <v>32</v>
      </c>
      <c r="ICX75" s="244" t="s">
        <v>32</v>
      </c>
      <c r="ICY75" s="244" t="s">
        <v>32</v>
      </c>
      <c r="ICZ75" s="244" t="s">
        <v>32</v>
      </c>
      <c r="IDA75" s="244" t="s">
        <v>32</v>
      </c>
      <c r="IDB75" s="244" t="s">
        <v>32</v>
      </c>
      <c r="IDC75" s="244" t="s">
        <v>32</v>
      </c>
      <c r="IDD75" s="244" t="s">
        <v>32</v>
      </c>
      <c r="IDE75" s="244" t="s">
        <v>32</v>
      </c>
      <c r="IDF75" s="244" t="s">
        <v>32</v>
      </c>
      <c r="IDG75" s="244" t="s">
        <v>32</v>
      </c>
      <c r="IDH75" s="244" t="s">
        <v>32</v>
      </c>
      <c r="IDI75" s="244" t="s">
        <v>32</v>
      </c>
      <c r="IDJ75" s="244" t="s">
        <v>32</v>
      </c>
      <c r="IDK75" s="244" t="s">
        <v>32</v>
      </c>
      <c r="IDL75" s="244" t="s">
        <v>32</v>
      </c>
      <c r="IDM75" s="244" t="s">
        <v>32</v>
      </c>
      <c r="IDN75" s="244" t="s">
        <v>32</v>
      </c>
      <c r="IDO75" s="244" t="s">
        <v>32</v>
      </c>
      <c r="IDP75" s="244" t="s">
        <v>32</v>
      </c>
      <c r="IDQ75" s="244" t="s">
        <v>32</v>
      </c>
      <c r="IDR75" s="244" t="s">
        <v>32</v>
      </c>
      <c r="IDS75" s="244" t="s">
        <v>32</v>
      </c>
      <c r="IDT75" s="244" t="s">
        <v>32</v>
      </c>
      <c r="IDU75" s="244" t="s">
        <v>32</v>
      </c>
      <c r="IDV75" s="244" t="s">
        <v>32</v>
      </c>
      <c r="IDW75" s="244" t="s">
        <v>32</v>
      </c>
      <c r="IDX75" s="244" t="s">
        <v>32</v>
      </c>
      <c r="IDY75" s="244" t="s">
        <v>32</v>
      </c>
      <c r="IDZ75" s="244" t="s">
        <v>32</v>
      </c>
      <c r="IEA75" s="244" t="s">
        <v>32</v>
      </c>
      <c r="IEB75" s="244" t="s">
        <v>32</v>
      </c>
      <c r="IEC75" s="244" t="s">
        <v>32</v>
      </c>
      <c r="IED75" s="244" t="s">
        <v>32</v>
      </c>
      <c r="IEE75" s="244" t="s">
        <v>32</v>
      </c>
      <c r="IEF75" s="244" t="s">
        <v>32</v>
      </c>
      <c r="IEG75" s="244" t="s">
        <v>32</v>
      </c>
      <c r="IEH75" s="244" t="s">
        <v>32</v>
      </c>
      <c r="IEI75" s="244" t="s">
        <v>32</v>
      </c>
      <c r="IEJ75" s="244" t="s">
        <v>32</v>
      </c>
      <c r="IEK75" s="244" t="s">
        <v>32</v>
      </c>
      <c r="IEL75" s="244" t="s">
        <v>32</v>
      </c>
      <c r="IEM75" s="244" t="s">
        <v>32</v>
      </c>
      <c r="IEN75" s="244" t="s">
        <v>32</v>
      </c>
      <c r="IEO75" s="244" t="s">
        <v>32</v>
      </c>
      <c r="IEP75" s="244" t="s">
        <v>32</v>
      </c>
      <c r="IEQ75" s="244" t="s">
        <v>32</v>
      </c>
      <c r="IER75" s="244" t="s">
        <v>32</v>
      </c>
      <c r="IES75" s="244" t="s">
        <v>32</v>
      </c>
      <c r="IET75" s="244" t="s">
        <v>32</v>
      </c>
      <c r="IEU75" s="244" t="s">
        <v>32</v>
      </c>
      <c r="IEV75" s="244" t="s">
        <v>32</v>
      </c>
      <c r="IEW75" s="244" t="s">
        <v>32</v>
      </c>
      <c r="IEX75" s="244" t="s">
        <v>32</v>
      </c>
      <c r="IEY75" s="244" t="s">
        <v>32</v>
      </c>
      <c r="IEZ75" s="244" t="s">
        <v>32</v>
      </c>
      <c r="IFA75" s="244" t="s">
        <v>32</v>
      </c>
      <c r="IFB75" s="244" t="s">
        <v>32</v>
      </c>
      <c r="IFC75" s="244" t="s">
        <v>32</v>
      </c>
      <c r="IFD75" s="244" t="s">
        <v>32</v>
      </c>
      <c r="IFE75" s="244" t="s">
        <v>32</v>
      </c>
      <c r="IFF75" s="244" t="s">
        <v>32</v>
      </c>
      <c r="IFG75" s="244" t="s">
        <v>32</v>
      </c>
      <c r="IFH75" s="244" t="s">
        <v>32</v>
      </c>
      <c r="IFI75" s="244" t="s">
        <v>32</v>
      </c>
      <c r="IFJ75" s="244" t="s">
        <v>32</v>
      </c>
      <c r="IFK75" s="244" t="s">
        <v>32</v>
      </c>
      <c r="IFL75" s="244" t="s">
        <v>32</v>
      </c>
      <c r="IFM75" s="244" t="s">
        <v>32</v>
      </c>
      <c r="IFN75" s="244" t="s">
        <v>32</v>
      </c>
      <c r="IFO75" s="244" t="s">
        <v>32</v>
      </c>
      <c r="IFP75" s="244" t="s">
        <v>32</v>
      </c>
      <c r="IFQ75" s="244" t="s">
        <v>32</v>
      </c>
      <c r="IFR75" s="244" t="s">
        <v>32</v>
      </c>
      <c r="IFS75" s="244" t="s">
        <v>32</v>
      </c>
      <c r="IFT75" s="244" t="s">
        <v>32</v>
      </c>
      <c r="IFU75" s="244" t="s">
        <v>32</v>
      </c>
      <c r="IFV75" s="244" t="s">
        <v>32</v>
      </c>
      <c r="IFW75" s="244" t="s">
        <v>32</v>
      </c>
      <c r="IFX75" s="244" t="s">
        <v>32</v>
      </c>
      <c r="IFY75" s="244" t="s">
        <v>32</v>
      </c>
      <c r="IFZ75" s="244" t="s">
        <v>32</v>
      </c>
      <c r="IGA75" s="244" t="s">
        <v>32</v>
      </c>
      <c r="IGB75" s="244" t="s">
        <v>32</v>
      </c>
      <c r="IGC75" s="244" t="s">
        <v>32</v>
      </c>
      <c r="IGD75" s="244" t="s">
        <v>32</v>
      </c>
      <c r="IGE75" s="244" t="s">
        <v>32</v>
      </c>
      <c r="IGF75" s="244" t="s">
        <v>32</v>
      </c>
      <c r="IGG75" s="244" t="s">
        <v>32</v>
      </c>
      <c r="IGH75" s="244" t="s">
        <v>32</v>
      </c>
      <c r="IGI75" s="244" t="s">
        <v>32</v>
      </c>
      <c r="IGJ75" s="244" t="s">
        <v>32</v>
      </c>
      <c r="IGK75" s="244" t="s">
        <v>32</v>
      </c>
      <c r="IGL75" s="244" t="s">
        <v>32</v>
      </c>
      <c r="IGM75" s="244" t="s">
        <v>32</v>
      </c>
      <c r="IGN75" s="244" t="s">
        <v>32</v>
      </c>
      <c r="IGO75" s="244" t="s">
        <v>32</v>
      </c>
      <c r="IGP75" s="244" t="s">
        <v>32</v>
      </c>
      <c r="IGQ75" s="244" t="s">
        <v>32</v>
      </c>
      <c r="IGR75" s="244" t="s">
        <v>32</v>
      </c>
      <c r="IGS75" s="244" t="s">
        <v>32</v>
      </c>
      <c r="IGT75" s="244" t="s">
        <v>32</v>
      </c>
      <c r="IGU75" s="244" t="s">
        <v>32</v>
      </c>
      <c r="IGV75" s="244" t="s">
        <v>32</v>
      </c>
      <c r="IGW75" s="244" t="s">
        <v>32</v>
      </c>
      <c r="IGX75" s="244" t="s">
        <v>32</v>
      </c>
      <c r="IGY75" s="244" t="s">
        <v>32</v>
      </c>
      <c r="IGZ75" s="244" t="s">
        <v>32</v>
      </c>
      <c r="IHA75" s="244" t="s">
        <v>32</v>
      </c>
      <c r="IHB75" s="244" t="s">
        <v>32</v>
      </c>
      <c r="IHC75" s="244" t="s">
        <v>32</v>
      </c>
      <c r="IHD75" s="244" t="s">
        <v>32</v>
      </c>
      <c r="IHE75" s="244" t="s">
        <v>32</v>
      </c>
      <c r="IHF75" s="244" t="s">
        <v>32</v>
      </c>
      <c r="IHG75" s="244" t="s">
        <v>32</v>
      </c>
      <c r="IHH75" s="244" t="s">
        <v>32</v>
      </c>
      <c r="IHI75" s="244" t="s">
        <v>32</v>
      </c>
      <c r="IHJ75" s="244" t="s">
        <v>32</v>
      </c>
      <c r="IHK75" s="244" t="s">
        <v>32</v>
      </c>
      <c r="IHL75" s="244" t="s">
        <v>32</v>
      </c>
      <c r="IHM75" s="244" t="s">
        <v>32</v>
      </c>
      <c r="IHN75" s="244" t="s">
        <v>32</v>
      </c>
      <c r="IHO75" s="244" t="s">
        <v>32</v>
      </c>
      <c r="IHP75" s="244" t="s">
        <v>32</v>
      </c>
      <c r="IHQ75" s="244" t="s">
        <v>32</v>
      </c>
      <c r="IHR75" s="244" t="s">
        <v>32</v>
      </c>
      <c r="IHS75" s="244" t="s">
        <v>32</v>
      </c>
      <c r="IHT75" s="244" t="s">
        <v>32</v>
      </c>
      <c r="IHU75" s="244" t="s">
        <v>32</v>
      </c>
      <c r="IHV75" s="244" t="s">
        <v>32</v>
      </c>
      <c r="IHW75" s="244" t="s">
        <v>32</v>
      </c>
      <c r="IHX75" s="244" t="s">
        <v>32</v>
      </c>
      <c r="IHY75" s="244" t="s">
        <v>32</v>
      </c>
      <c r="IHZ75" s="244" t="s">
        <v>32</v>
      </c>
      <c r="IIA75" s="244" t="s">
        <v>32</v>
      </c>
      <c r="IIB75" s="244" t="s">
        <v>32</v>
      </c>
      <c r="IIC75" s="244" t="s">
        <v>32</v>
      </c>
      <c r="IID75" s="244" t="s">
        <v>32</v>
      </c>
      <c r="IIE75" s="244" t="s">
        <v>32</v>
      </c>
      <c r="IIF75" s="244" t="s">
        <v>32</v>
      </c>
      <c r="IIG75" s="244" t="s">
        <v>32</v>
      </c>
      <c r="IIH75" s="244" t="s">
        <v>32</v>
      </c>
      <c r="III75" s="244" t="s">
        <v>32</v>
      </c>
      <c r="IIJ75" s="244" t="s">
        <v>32</v>
      </c>
      <c r="IIK75" s="244" t="s">
        <v>32</v>
      </c>
      <c r="IIL75" s="244" t="s">
        <v>32</v>
      </c>
      <c r="IIM75" s="244" t="s">
        <v>32</v>
      </c>
      <c r="IIN75" s="244" t="s">
        <v>32</v>
      </c>
      <c r="IIO75" s="244" t="s">
        <v>32</v>
      </c>
      <c r="IIP75" s="244" t="s">
        <v>32</v>
      </c>
      <c r="IIQ75" s="244" t="s">
        <v>32</v>
      </c>
      <c r="IIR75" s="244" t="s">
        <v>32</v>
      </c>
      <c r="IIS75" s="244" t="s">
        <v>32</v>
      </c>
      <c r="IIT75" s="244" t="s">
        <v>32</v>
      </c>
      <c r="IIU75" s="244" t="s">
        <v>32</v>
      </c>
      <c r="IIV75" s="244" t="s">
        <v>32</v>
      </c>
      <c r="IIW75" s="244" t="s">
        <v>32</v>
      </c>
      <c r="IIX75" s="244" t="s">
        <v>32</v>
      </c>
      <c r="IIY75" s="244" t="s">
        <v>32</v>
      </c>
      <c r="IIZ75" s="244" t="s">
        <v>32</v>
      </c>
      <c r="IJA75" s="244" t="s">
        <v>32</v>
      </c>
      <c r="IJB75" s="244" t="s">
        <v>32</v>
      </c>
      <c r="IJC75" s="244" t="s">
        <v>32</v>
      </c>
      <c r="IJD75" s="244" t="s">
        <v>32</v>
      </c>
      <c r="IJE75" s="244" t="s">
        <v>32</v>
      </c>
      <c r="IJF75" s="244" t="s">
        <v>32</v>
      </c>
      <c r="IJG75" s="244" t="s">
        <v>32</v>
      </c>
      <c r="IJH75" s="244" t="s">
        <v>32</v>
      </c>
      <c r="IJI75" s="244" t="s">
        <v>32</v>
      </c>
      <c r="IJJ75" s="244" t="s">
        <v>32</v>
      </c>
      <c r="IJK75" s="244" t="s">
        <v>32</v>
      </c>
      <c r="IJL75" s="244" t="s">
        <v>32</v>
      </c>
      <c r="IJM75" s="244" t="s">
        <v>32</v>
      </c>
      <c r="IJN75" s="244" t="s">
        <v>32</v>
      </c>
      <c r="IJO75" s="244" t="s">
        <v>32</v>
      </c>
      <c r="IJP75" s="244" t="s">
        <v>32</v>
      </c>
      <c r="IJQ75" s="244" t="s">
        <v>32</v>
      </c>
      <c r="IJR75" s="244" t="s">
        <v>32</v>
      </c>
      <c r="IJS75" s="244" t="s">
        <v>32</v>
      </c>
      <c r="IJT75" s="244" t="s">
        <v>32</v>
      </c>
      <c r="IJU75" s="244" t="s">
        <v>32</v>
      </c>
      <c r="IJV75" s="244" t="s">
        <v>32</v>
      </c>
      <c r="IJW75" s="244" t="s">
        <v>32</v>
      </c>
      <c r="IJX75" s="244" t="s">
        <v>32</v>
      </c>
      <c r="IJY75" s="244" t="s">
        <v>32</v>
      </c>
      <c r="IJZ75" s="244" t="s">
        <v>32</v>
      </c>
      <c r="IKA75" s="244" t="s">
        <v>32</v>
      </c>
      <c r="IKB75" s="244" t="s">
        <v>32</v>
      </c>
      <c r="IKC75" s="244" t="s">
        <v>32</v>
      </c>
      <c r="IKD75" s="244" t="s">
        <v>32</v>
      </c>
      <c r="IKE75" s="244" t="s">
        <v>32</v>
      </c>
      <c r="IKF75" s="244" t="s">
        <v>32</v>
      </c>
      <c r="IKG75" s="244" t="s">
        <v>32</v>
      </c>
      <c r="IKH75" s="244" t="s">
        <v>32</v>
      </c>
      <c r="IKI75" s="244" t="s">
        <v>32</v>
      </c>
      <c r="IKJ75" s="244" t="s">
        <v>32</v>
      </c>
      <c r="IKK75" s="244" t="s">
        <v>32</v>
      </c>
      <c r="IKL75" s="244" t="s">
        <v>32</v>
      </c>
      <c r="IKM75" s="244" t="s">
        <v>32</v>
      </c>
      <c r="IKN75" s="244" t="s">
        <v>32</v>
      </c>
      <c r="IKO75" s="244" t="s">
        <v>32</v>
      </c>
      <c r="IKP75" s="244" t="s">
        <v>32</v>
      </c>
      <c r="IKQ75" s="244" t="s">
        <v>32</v>
      </c>
      <c r="IKR75" s="244" t="s">
        <v>32</v>
      </c>
      <c r="IKS75" s="244" t="s">
        <v>32</v>
      </c>
      <c r="IKT75" s="244" t="s">
        <v>32</v>
      </c>
      <c r="IKU75" s="244" t="s">
        <v>32</v>
      </c>
      <c r="IKV75" s="244" t="s">
        <v>32</v>
      </c>
      <c r="IKW75" s="244" t="s">
        <v>32</v>
      </c>
      <c r="IKX75" s="244" t="s">
        <v>32</v>
      </c>
      <c r="IKY75" s="244" t="s">
        <v>32</v>
      </c>
      <c r="IKZ75" s="244" t="s">
        <v>32</v>
      </c>
      <c r="ILA75" s="244" t="s">
        <v>32</v>
      </c>
      <c r="ILB75" s="244" t="s">
        <v>32</v>
      </c>
      <c r="ILC75" s="244" t="s">
        <v>32</v>
      </c>
      <c r="ILD75" s="244" t="s">
        <v>32</v>
      </c>
      <c r="ILE75" s="244" t="s">
        <v>32</v>
      </c>
      <c r="ILF75" s="244" t="s">
        <v>32</v>
      </c>
      <c r="ILG75" s="244" t="s">
        <v>32</v>
      </c>
      <c r="ILH75" s="244" t="s">
        <v>32</v>
      </c>
      <c r="ILI75" s="244" t="s">
        <v>32</v>
      </c>
      <c r="ILJ75" s="244" t="s">
        <v>32</v>
      </c>
      <c r="ILK75" s="244" t="s">
        <v>32</v>
      </c>
      <c r="ILL75" s="244" t="s">
        <v>32</v>
      </c>
      <c r="ILM75" s="244" t="s">
        <v>32</v>
      </c>
      <c r="ILN75" s="244" t="s">
        <v>32</v>
      </c>
      <c r="ILO75" s="244" t="s">
        <v>32</v>
      </c>
      <c r="ILP75" s="244" t="s">
        <v>32</v>
      </c>
      <c r="ILQ75" s="244" t="s">
        <v>32</v>
      </c>
      <c r="ILR75" s="244" t="s">
        <v>32</v>
      </c>
      <c r="ILS75" s="244" t="s">
        <v>32</v>
      </c>
      <c r="ILT75" s="244" t="s">
        <v>32</v>
      </c>
      <c r="ILU75" s="244" t="s">
        <v>32</v>
      </c>
      <c r="ILV75" s="244" t="s">
        <v>32</v>
      </c>
      <c r="ILW75" s="244" t="s">
        <v>32</v>
      </c>
      <c r="ILX75" s="244" t="s">
        <v>32</v>
      </c>
      <c r="ILY75" s="244" t="s">
        <v>32</v>
      </c>
      <c r="ILZ75" s="244" t="s">
        <v>32</v>
      </c>
      <c r="IMA75" s="244" t="s">
        <v>32</v>
      </c>
      <c r="IMB75" s="244" t="s">
        <v>32</v>
      </c>
      <c r="IMC75" s="244" t="s">
        <v>32</v>
      </c>
      <c r="IMD75" s="244" t="s">
        <v>32</v>
      </c>
      <c r="IME75" s="244" t="s">
        <v>32</v>
      </c>
      <c r="IMF75" s="244" t="s">
        <v>32</v>
      </c>
      <c r="IMG75" s="244" t="s">
        <v>32</v>
      </c>
      <c r="IMH75" s="244" t="s">
        <v>32</v>
      </c>
      <c r="IMI75" s="244" t="s">
        <v>32</v>
      </c>
      <c r="IMJ75" s="244" t="s">
        <v>32</v>
      </c>
      <c r="IMK75" s="244" t="s">
        <v>32</v>
      </c>
      <c r="IML75" s="244" t="s">
        <v>32</v>
      </c>
      <c r="IMM75" s="244" t="s">
        <v>32</v>
      </c>
      <c r="IMN75" s="244" t="s">
        <v>32</v>
      </c>
      <c r="IMO75" s="244" t="s">
        <v>32</v>
      </c>
      <c r="IMP75" s="244" t="s">
        <v>32</v>
      </c>
      <c r="IMQ75" s="244" t="s">
        <v>32</v>
      </c>
      <c r="IMR75" s="244" t="s">
        <v>32</v>
      </c>
      <c r="IMS75" s="244" t="s">
        <v>32</v>
      </c>
      <c r="IMT75" s="244" t="s">
        <v>32</v>
      </c>
      <c r="IMU75" s="244" t="s">
        <v>32</v>
      </c>
      <c r="IMV75" s="244" t="s">
        <v>32</v>
      </c>
      <c r="IMW75" s="244" t="s">
        <v>32</v>
      </c>
      <c r="IMX75" s="244" t="s">
        <v>32</v>
      </c>
      <c r="IMY75" s="244" t="s">
        <v>32</v>
      </c>
      <c r="IMZ75" s="244" t="s">
        <v>32</v>
      </c>
      <c r="INA75" s="244" t="s">
        <v>32</v>
      </c>
      <c r="INB75" s="244" t="s">
        <v>32</v>
      </c>
      <c r="INC75" s="244" t="s">
        <v>32</v>
      </c>
      <c r="IND75" s="244" t="s">
        <v>32</v>
      </c>
      <c r="INE75" s="244" t="s">
        <v>32</v>
      </c>
      <c r="INF75" s="244" t="s">
        <v>32</v>
      </c>
      <c r="ING75" s="244" t="s">
        <v>32</v>
      </c>
      <c r="INH75" s="244" t="s">
        <v>32</v>
      </c>
      <c r="INI75" s="244" t="s">
        <v>32</v>
      </c>
      <c r="INJ75" s="244" t="s">
        <v>32</v>
      </c>
      <c r="INK75" s="244" t="s">
        <v>32</v>
      </c>
      <c r="INL75" s="244" t="s">
        <v>32</v>
      </c>
      <c r="INM75" s="244" t="s">
        <v>32</v>
      </c>
      <c r="INN75" s="244" t="s">
        <v>32</v>
      </c>
      <c r="INO75" s="244" t="s">
        <v>32</v>
      </c>
      <c r="INP75" s="244" t="s">
        <v>32</v>
      </c>
      <c r="INQ75" s="244" t="s">
        <v>32</v>
      </c>
      <c r="INR75" s="244" t="s">
        <v>32</v>
      </c>
      <c r="INS75" s="244" t="s">
        <v>32</v>
      </c>
      <c r="INT75" s="244" t="s">
        <v>32</v>
      </c>
      <c r="INU75" s="244" t="s">
        <v>32</v>
      </c>
      <c r="INV75" s="244" t="s">
        <v>32</v>
      </c>
      <c r="INW75" s="244" t="s">
        <v>32</v>
      </c>
      <c r="INX75" s="244" t="s">
        <v>32</v>
      </c>
      <c r="INY75" s="244" t="s">
        <v>32</v>
      </c>
      <c r="INZ75" s="244" t="s">
        <v>32</v>
      </c>
      <c r="IOA75" s="244" t="s">
        <v>32</v>
      </c>
      <c r="IOB75" s="244" t="s">
        <v>32</v>
      </c>
      <c r="IOC75" s="244" t="s">
        <v>32</v>
      </c>
      <c r="IOD75" s="244" t="s">
        <v>32</v>
      </c>
      <c r="IOE75" s="244" t="s">
        <v>32</v>
      </c>
      <c r="IOF75" s="244" t="s">
        <v>32</v>
      </c>
      <c r="IOG75" s="244" t="s">
        <v>32</v>
      </c>
      <c r="IOH75" s="244" t="s">
        <v>32</v>
      </c>
      <c r="IOI75" s="244" t="s">
        <v>32</v>
      </c>
      <c r="IOJ75" s="244" t="s">
        <v>32</v>
      </c>
      <c r="IOK75" s="244" t="s">
        <v>32</v>
      </c>
      <c r="IOL75" s="244" t="s">
        <v>32</v>
      </c>
      <c r="IOM75" s="244" t="s">
        <v>32</v>
      </c>
      <c r="ION75" s="244" t="s">
        <v>32</v>
      </c>
      <c r="IOO75" s="244" t="s">
        <v>32</v>
      </c>
      <c r="IOP75" s="244" t="s">
        <v>32</v>
      </c>
      <c r="IOQ75" s="244" t="s">
        <v>32</v>
      </c>
      <c r="IOR75" s="244" t="s">
        <v>32</v>
      </c>
      <c r="IOS75" s="244" t="s">
        <v>32</v>
      </c>
      <c r="IOT75" s="244" t="s">
        <v>32</v>
      </c>
      <c r="IOU75" s="244" t="s">
        <v>32</v>
      </c>
      <c r="IOV75" s="244" t="s">
        <v>32</v>
      </c>
      <c r="IOW75" s="244" t="s">
        <v>32</v>
      </c>
      <c r="IOX75" s="244" t="s">
        <v>32</v>
      </c>
      <c r="IOY75" s="244" t="s">
        <v>32</v>
      </c>
      <c r="IOZ75" s="244" t="s">
        <v>32</v>
      </c>
      <c r="IPA75" s="244" t="s">
        <v>32</v>
      </c>
      <c r="IPB75" s="244" t="s">
        <v>32</v>
      </c>
      <c r="IPC75" s="244" t="s">
        <v>32</v>
      </c>
      <c r="IPD75" s="244" t="s">
        <v>32</v>
      </c>
      <c r="IPE75" s="244" t="s">
        <v>32</v>
      </c>
      <c r="IPF75" s="244" t="s">
        <v>32</v>
      </c>
      <c r="IPG75" s="244" t="s">
        <v>32</v>
      </c>
      <c r="IPH75" s="244" t="s">
        <v>32</v>
      </c>
      <c r="IPI75" s="244" t="s">
        <v>32</v>
      </c>
      <c r="IPJ75" s="244" t="s">
        <v>32</v>
      </c>
      <c r="IPK75" s="244" t="s">
        <v>32</v>
      </c>
      <c r="IPL75" s="244" t="s">
        <v>32</v>
      </c>
      <c r="IPM75" s="244" t="s">
        <v>32</v>
      </c>
      <c r="IPN75" s="244" t="s">
        <v>32</v>
      </c>
      <c r="IPO75" s="244" t="s">
        <v>32</v>
      </c>
      <c r="IPP75" s="244" t="s">
        <v>32</v>
      </c>
      <c r="IPQ75" s="244" t="s">
        <v>32</v>
      </c>
      <c r="IPR75" s="244" t="s">
        <v>32</v>
      </c>
      <c r="IPS75" s="244" t="s">
        <v>32</v>
      </c>
      <c r="IPT75" s="244" t="s">
        <v>32</v>
      </c>
      <c r="IPU75" s="244" t="s">
        <v>32</v>
      </c>
      <c r="IPV75" s="244" t="s">
        <v>32</v>
      </c>
      <c r="IPW75" s="244" t="s">
        <v>32</v>
      </c>
      <c r="IPX75" s="244" t="s">
        <v>32</v>
      </c>
      <c r="IPY75" s="244" t="s">
        <v>32</v>
      </c>
      <c r="IPZ75" s="244" t="s">
        <v>32</v>
      </c>
      <c r="IQA75" s="244" t="s">
        <v>32</v>
      </c>
      <c r="IQB75" s="244" t="s">
        <v>32</v>
      </c>
      <c r="IQC75" s="244" t="s">
        <v>32</v>
      </c>
      <c r="IQD75" s="244" t="s">
        <v>32</v>
      </c>
      <c r="IQE75" s="244" t="s">
        <v>32</v>
      </c>
      <c r="IQF75" s="244" t="s">
        <v>32</v>
      </c>
      <c r="IQG75" s="244" t="s">
        <v>32</v>
      </c>
      <c r="IQH75" s="244" t="s">
        <v>32</v>
      </c>
      <c r="IQI75" s="244" t="s">
        <v>32</v>
      </c>
      <c r="IQJ75" s="244" t="s">
        <v>32</v>
      </c>
      <c r="IQK75" s="244" t="s">
        <v>32</v>
      </c>
      <c r="IQL75" s="244" t="s">
        <v>32</v>
      </c>
      <c r="IQM75" s="244" t="s">
        <v>32</v>
      </c>
      <c r="IQN75" s="244" t="s">
        <v>32</v>
      </c>
      <c r="IQO75" s="244" t="s">
        <v>32</v>
      </c>
      <c r="IQP75" s="244" t="s">
        <v>32</v>
      </c>
      <c r="IQQ75" s="244" t="s">
        <v>32</v>
      </c>
      <c r="IQR75" s="244" t="s">
        <v>32</v>
      </c>
      <c r="IQS75" s="244" t="s">
        <v>32</v>
      </c>
      <c r="IQT75" s="244" t="s">
        <v>32</v>
      </c>
      <c r="IQU75" s="244" t="s">
        <v>32</v>
      </c>
      <c r="IQV75" s="244" t="s">
        <v>32</v>
      </c>
      <c r="IQW75" s="244" t="s">
        <v>32</v>
      </c>
      <c r="IQX75" s="244" t="s">
        <v>32</v>
      </c>
      <c r="IQY75" s="244" t="s">
        <v>32</v>
      </c>
      <c r="IQZ75" s="244" t="s">
        <v>32</v>
      </c>
      <c r="IRA75" s="244" t="s">
        <v>32</v>
      </c>
      <c r="IRB75" s="244" t="s">
        <v>32</v>
      </c>
      <c r="IRC75" s="244" t="s">
        <v>32</v>
      </c>
      <c r="IRD75" s="244" t="s">
        <v>32</v>
      </c>
      <c r="IRE75" s="244" t="s">
        <v>32</v>
      </c>
      <c r="IRF75" s="244" t="s">
        <v>32</v>
      </c>
      <c r="IRG75" s="244" t="s">
        <v>32</v>
      </c>
      <c r="IRH75" s="244" t="s">
        <v>32</v>
      </c>
      <c r="IRI75" s="244" t="s">
        <v>32</v>
      </c>
      <c r="IRJ75" s="244" t="s">
        <v>32</v>
      </c>
      <c r="IRK75" s="244" t="s">
        <v>32</v>
      </c>
      <c r="IRL75" s="244" t="s">
        <v>32</v>
      </c>
      <c r="IRM75" s="244" t="s">
        <v>32</v>
      </c>
      <c r="IRN75" s="244" t="s">
        <v>32</v>
      </c>
      <c r="IRO75" s="244" t="s">
        <v>32</v>
      </c>
      <c r="IRP75" s="244" t="s">
        <v>32</v>
      </c>
      <c r="IRQ75" s="244" t="s">
        <v>32</v>
      </c>
      <c r="IRR75" s="244" t="s">
        <v>32</v>
      </c>
      <c r="IRS75" s="244" t="s">
        <v>32</v>
      </c>
      <c r="IRT75" s="244" t="s">
        <v>32</v>
      </c>
      <c r="IRU75" s="244" t="s">
        <v>32</v>
      </c>
      <c r="IRV75" s="244" t="s">
        <v>32</v>
      </c>
      <c r="IRW75" s="244" t="s">
        <v>32</v>
      </c>
      <c r="IRX75" s="244" t="s">
        <v>32</v>
      </c>
      <c r="IRY75" s="244" t="s">
        <v>32</v>
      </c>
      <c r="IRZ75" s="244" t="s">
        <v>32</v>
      </c>
      <c r="ISA75" s="244" t="s">
        <v>32</v>
      </c>
      <c r="ISB75" s="244" t="s">
        <v>32</v>
      </c>
      <c r="ISC75" s="244" t="s">
        <v>32</v>
      </c>
      <c r="ISD75" s="244" t="s">
        <v>32</v>
      </c>
      <c r="ISE75" s="244" t="s">
        <v>32</v>
      </c>
      <c r="ISF75" s="244" t="s">
        <v>32</v>
      </c>
      <c r="ISG75" s="244" t="s">
        <v>32</v>
      </c>
      <c r="ISH75" s="244" t="s">
        <v>32</v>
      </c>
      <c r="ISI75" s="244" t="s">
        <v>32</v>
      </c>
      <c r="ISJ75" s="244" t="s">
        <v>32</v>
      </c>
      <c r="ISK75" s="244" t="s">
        <v>32</v>
      </c>
      <c r="ISL75" s="244" t="s">
        <v>32</v>
      </c>
      <c r="ISM75" s="244" t="s">
        <v>32</v>
      </c>
      <c r="ISN75" s="244" t="s">
        <v>32</v>
      </c>
      <c r="ISO75" s="244" t="s">
        <v>32</v>
      </c>
      <c r="ISP75" s="244" t="s">
        <v>32</v>
      </c>
      <c r="ISQ75" s="244" t="s">
        <v>32</v>
      </c>
      <c r="ISR75" s="244" t="s">
        <v>32</v>
      </c>
      <c r="ISS75" s="244" t="s">
        <v>32</v>
      </c>
      <c r="IST75" s="244" t="s">
        <v>32</v>
      </c>
      <c r="ISU75" s="244" t="s">
        <v>32</v>
      </c>
      <c r="ISV75" s="244" t="s">
        <v>32</v>
      </c>
      <c r="ISW75" s="244" t="s">
        <v>32</v>
      </c>
      <c r="ISX75" s="244" t="s">
        <v>32</v>
      </c>
      <c r="ISY75" s="244" t="s">
        <v>32</v>
      </c>
      <c r="ISZ75" s="244" t="s">
        <v>32</v>
      </c>
      <c r="ITA75" s="244" t="s">
        <v>32</v>
      </c>
      <c r="ITB75" s="244" t="s">
        <v>32</v>
      </c>
      <c r="ITC75" s="244" t="s">
        <v>32</v>
      </c>
      <c r="ITD75" s="244" t="s">
        <v>32</v>
      </c>
      <c r="ITE75" s="244" t="s">
        <v>32</v>
      </c>
      <c r="ITF75" s="244" t="s">
        <v>32</v>
      </c>
      <c r="ITG75" s="244" t="s">
        <v>32</v>
      </c>
      <c r="ITH75" s="244" t="s">
        <v>32</v>
      </c>
      <c r="ITI75" s="244" t="s">
        <v>32</v>
      </c>
      <c r="ITJ75" s="244" t="s">
        <v>32</v>
      </c>
      <c r="ITK75" s="244" t="s">
        <v>32</v>
      </c>
      <c r="ITL75" s="244" t="s">
        <v>32</v>
      </c>
      <c r="ITM75" s="244" t="s">
        <v>32</v>
      </c>
      <c r="ITN75" s="244" t="s">
        <v>32</v>
      </c>
      <c r="ITO75" s="244" t="s">
        <v>32</v>
      </c>
      <c r="ITP75" s="244" t="s">
        <v>32</v>
      </c>
      <c r="ITQ75" s="244" t="s">
        <v>32</v>
      </c>
      <c r="ITR75" s="244" t="s">
        <v>32</v>
      </c>
      <c r="ITS75" s="244" t="s">
        <v>32</v>
      </c>
      <c r="ITT75" s="244" t="s">
        <v>32</v>
      </c>
      <c r="ITU75" s="244" t="s">
        <v>32</v>
      </c>
      <c r="ITV75" s="244" t="s">
        <v>32</v>
      </c>
      <c r="ITW75" s="244" t="s">
        <v>32</v>
      </c>
      <c r="ITX75" s="244" t="s">
        <v>32</v>
      </c>
      <c r="ITY75" s="244" t="s">
        <v>32</v>
      </c>
      <c r="ITZ75" s="244" t="s">
        <v>32</v>
      </c>
      <c r="IUA75" s="244" t="s">
        <v>32</v>
      </c>
      <c r="IUB75" s="244" t="s">
        <v>32</v>
      </c>
      <c r="IUC75" s="244" t="s">
        <v>32</v>
      </c>
      <c r="IUD75" s="244" t="s">
        <v>32</v>
      </c>
      <c r="IUE75" s="244" t="s">
        <v>32</v>
      </c>
      <c r="IUF75" s="244" t="s">
        <v>32</v>
      </c>
      <c r="IUG75" s="244" t="s">
        <v>32</v>
      </c>
      <c r="IUH75" s="244" t="s">
        <v>32</v>
      </c>
      <c r="IUI75" s="244" t="s">
        <v>32</v>
      </c>
      <c r="IUJ75" s="244" t="s">
        <v>32</v>
      </c>
      <c r="IUK75" s="244" t="s">
        <v>32</v>
      </c>
      <c r="IUL75" s="244" t="s">
        <v>32</v>
      </c>
      <c r="IUM75" s="244" t="s">
        <v>32</v>
      </c>
      <c r="IUN75" s="244" t="s">
        <v>32</v>
      </c>
      <c r="IUO75" s="244" t="s">
        <v>32</v>
      </c>
      <c r="IUP75" s="244" t="s">
        <v>32</v>
      </c>
      <c r="IUQ75" s="244" t="s">
        <v>32</v>
      </c>
      <c r="IUR75" s="244" t="s">
        <v>32</v>
      </c>
      <c r="IUS75" s="244" t="s">
        <v>32</v>
      </c>
      <c r="IUT75" s="244" t="s">
        <v>32</v>
      </c>
      <c r="IUU75" s="244" t="s">
        <v>32</v>
      </c>
      <c r="IUV75" s="244" t="s">
        <v>32</v>
      </c>
      <c r="IUW75" s="244" t="s">
        <v>32</v>
      </c>
      <c r="IUX75" s="244" t="s">
        <v>32</v>
      </c>
      <c r="IUY75" s="244" t="s">
        <v>32</v>
      </c>
      <c r="IUZ75" s="244" t="s">
        <v>32</v>
      </c>
      <c r="IVA75" s="244" t="s">
        <v>32</v>
      </c>
      <c r="IVB75" s="244" t="s">
        <v>32</v>
      </c>
      <c r="IVC75" s="244" t="s">
        <v>32</v>
      </c>
      <c r="IVD75" s="244" t="s">
        <v>32</v>
      </c>
      <c r="IVE75" s="244" t="s">
        <v>32</v>
      </c>
      <c r="IVF75" s="244" t="s">
        <v>32</v>
      </c>
      <c r="IVG75" s="244" t="s">
        <v>32</v>
      </c>
      <c r="IVH75" s="244" t="s">
        <v>32</v>
      </c>
      <c r="IVI75" s="244" t="s">
        <v>32</v>
      </c>
      <c r="IVJ75" s="244" t="s">
        <v>32</v>
      </c>
      <c r="IVK75" s="244" t="s">
        <v>32</v>
      </c>
      <c r="IVL75" s="244" t="s">
        <v>32</v>
      </c>
      <c r="IVM75" s="244" t="s">
        <v>32</v>
      </c>
      <c r="IVN75" s="244" t="s">
        <v>32</v>
      </c>
      <c r="IVO75" s="244" t="s">
        <v>32</v>
      </c>
      <c r="IVP75" s="244" t="s">
        <v>32</v>
      </c>
      <c r="IVQ75" s="244" t="s">
        <v>32</v>
      </c>
      <c r="IVR75" s="244" t="s">
        <v>32</v>
      </c>
      <c r="IVS75" s="244" t="s">
        <v>32</v>
      </c>
      <c r="IVT75" s="244" t="s">
        <v>32</v>
      </c>
      <c r="IVU75" s="244" t="s">
        <v>32</v>
      </c>
      <c r="IVV75" s="244" t="s">
        <v>32</v>
      </c>
      <c r="IVW75" s="244" t="s">
        <v>32</v>
      </c>
      <c r="IVX75" s="244" t="s">
        <v>32</v>
      </c>
      <c r="IVY75" s="244" t="s">
        <v>32</v>
      </c>
      <c r="IVZ75" s="244" t="s">
        <v>32</v>
      </c>
      <c r="IWA75" s="244" t="s">
        <v>32</v>
      </c>
      <c r="IWB75" s="244" t="s">
        <v>32</v>
      </c>
      <c r="IWC75" s="244" t="s">
        <v>32</v>
      </c>
      <c r="IWD75" s="244" t="s">
        <v>32</v>
      </c>
      <c r="IWE75" s="244" t="s">
        <v>32</v>
      </c>
      <c r="IWF75" s="244" t="s">
        <v>32</v>
      </c>
      <c r="IWG75" s="244" t="s">
        <v>32</v>
      </c>
      <c r="IWH75" s="244" t="s">
        <v>32</v>
      </c>
      <c r="IWI75" s="244" t="s">
        <v>32</v>
      </c>
      <c r="IWJ75" s="244" t="s">
        <v>32</v>
      </c>
      <c r="IWK75" s="244" t="s">
        <v>32</v>
      </c>
      <c r="IWL75" s="244" t="s">
        <v>32</v>
      </c>
      <c r="IWM75" s="244" t="s">
        <v>32</v>
      </c>
      <c r="IWN75" s="244" t="s">
        <v>32</v>
      </c>
      <c r="IWO75" s="244" t="s">
        <v>32</v>
      </c>
      <c r="IWP75" s="244" t="s">
        <v>32</v>
      </c>
      <c r="IWQ75" s="244" t="s">
        <v>32</v>
      </c>
      <c r="IWR75" s="244" t="s">
        <v>32</v>
      </c>
      <c r="IWS75" s="244" t="s">
        <v>32</v>
      </c>
      <c r="IWT75" s="244" t="s">
        <v>32</v>
      </c>
      <c r="IWU75" s="244" t="s">
        <v>32</v>
      </c>
      <c r="IWV75" s="244" t="s">
        <v>32</v>
      </c>
      <c r="IWW75" s="244" t="s">
        <v>32</v>
      </c>
      <c r="IWX75" s="244" t="s">
        <v>32</v>
      </c>
      <c r="IWY75" s="244" t="s">
        <v>32</v>
      </c>
      <c r="IWZ75" s="244" t="s">
        <v>32</v>
      </c>
      <c r="IXA75" s="244" t="s">
        <v>32</v>
      </c>
      <c r="IXB75" s="244" t="s">
        <v>32</v>
      </c>
      <c r="IXC75" s="244" t="s">
        <v>32</v>
      </c>
      <c r="IXD75" s="244" t="s">
        <v>32</v>
      </c>
      <c r="IXE75" s="244" t="s">
        <v>32</v>
      </c>
      <c r="IXF75" s="244" t="s">
        <v>32</v>
      </c>
      <c r="IXG75" s="244" t="s">
        <v>32</v>
      </c>
      <c r="IXH75" s="244" t="s">
        <v>32</v>
      </c>
      <c r="IXI75" s="244" t="s">
        <v>32</v>
      </c>
      <c r="IXJ75" s="244" t="s">
        <v>32</v>
      </c>
      <c r="IXK75" s="244" t="s">
        <v>32</v>
      </c>
      <c r="IXL75" s="244" t="s">
        <v>32</v>
      </c>
      <c r="IXM75" s="244" t="s">
        <v>32</v>
      </c>
      <c r="IXN75" s="244" t="s">
        <v>32</v>
      </c>
      <c r="IXO75" s="244" t="s">
        <v>32</v>
      </c>
      <c r="IXP75" s="244" t="s">
        <v>32</v>
      </c>
      <c r="IXQ75" s="244" t="s">
        <v>32</v>
      </c>
      <c r="IXR75" s="244" t="s">
        <v>32</v>
      </c>
      <c r="IXS75" s="244" t="s">
        <v>32</v>
      </c>
      <c r="IXT75" s="244" t="s">
        <v>32</v>
      </c>
      <c r="IXU75" s="244" t="s">
        <v>32</v>
      </c>
      <c r="IXV75" s="244" t="s">
        <v>32</v>
      </c>
      <c r="IXW75" s="244" t="s">
        <v>32</v>
      </c>
      <c r="IXX75" s="244" t="s">
        <v>32</v>
      </c>
      <c r="IXY75" s="244" t="s">
        <v>32</v>
      </c>
      <c r="IXZ75" s="244" t="s">
        <v>32</v>
      </c>
      <c r="IYA75" s="244" t="s">
        <v>32</v>
      </c>
      <c r="IYB75" s="244" t="s">
        <v>32</v>
      </c>
      <c r="IYC75" s="244" t="s">
        <v>32</v>
      </c>
      <c r="IYD75" s="244" t="s">
        <v>32</v>
      </c>
      <c r="IYE75" s="244" t="s">
        <v>32</v>
      </c>
      <c r="IYF75" s="244" t="s">
        <v>32</v>
      </c>
      <c r="IYG75" s="244" t="s">
        <v>32</v>
      </c>
      <c r="IYH75" s="244" t="s">
        <v>32</v>
      </c>
      <c r="IYI75" s="244" t="s">
        <v>32</v>
      </c>
      <c r="IYJ75" s="244" t="s">
        <v>32</v>
      </c>
      <c r="IYK75" s="244" t="s">
        <v>32</v>
      </c>
      <c r="IYL75" s="244" t="s">
        <v>32</v>
      </c>
      <c r="IYM75" s="244" t="s">
        <v>32</v>
      </c>
      <c r="IYN75" s="244" t="s">
        <v>32</v>
      </c>
      <c r="IYO75" s="244" t="s">
        <v>32</v>
      </c>
      <c r="IYP75" s="244" t="s">
        <v>32</v>
      </c>
      <c r="IYQ75" s="244" t="s">
        <v>32</v>
      </c>
      <c r="IYR75" s="244" t="s">
        <v>32</v>
      </c>
      <c r="IYS75" s="244" t="s">
        <v>32</v>
      </c>
      <c r="IYT75" s="244" t="s">
        <v>32</v>
      </c>
      <c r="IYU75" s="244" t="s">
        <v>32</v>
      </c>
      <c r="IYV75" s="244" t="s">
        <v>32</v>
      </c>
      <c r="IYW75" s="244" t="s">
        <v>32</v>
      </c>
      <c r="IYX75" s="244" t="s">
        <v>32</v>
      </c>
      <c r="IYY75" s="244" t="s">
        <v>32</v>
      </c>
      <c r="IYZ75" s="244" t="s">
        <v>32</v>
      </c>
      <c r="IZA75" s="244" t="s">
        <v>32</v>
      </c>
      <c r="IZB75" s="244" t="s">
        <v>32</v>
      </c>
      <c r="IZC75" s="244" t="s">
        <v>32</v>
      </c>
      <c r="IZD75" s="244" t="s">
        <v>32</v>
      </c>
      <c r="IZE75" s="244" t="s">
        <v>32</v>
      </c>
      <c r="IZF75" s="244" t="s">
        <v>32</v>
      </c>
      <c r="IZG75" s="244" t="s">
        <v>32</v>
      </c>
      <c r="IZH75" s="244" t="s">
        <v>32</v>
      </c>
      <c r="IZI75" s="244" t="s">
        <v>32</v>
      </c>
      <c r="IZJ75" s="244" t="s">
        <v>32</v>
      </c>
      <c r="IZK75" s="244" t="s">
        <v>32</v>
      </c>
      <c r="IZL75" s="244" t="s">
        <v>32</v>
      </c>
      <c r="IZM75" s="244" t="s">
        <v>32</v>
      </c>
      <c r="IZN75" s="244" t="s">
        <v>32</v>
      </c>
      <c r="IZO75" s="244" t="s">
        <v>32</v>
      </c>
      <c r="IZP75" s="244" t="s">
        <v>32</v>
      </c>
      <c r="IZQ75" s="244" t="s">
        <v>32</v>
      </c>
      <c r="IZR75" s="244" t="s">
        <v>32</v>
      </c>
      <c r="IZS75" s="244" t="s">
        <v>32</v>
      </c>
      <c r="IZT75" s="244" t="s">
        <v>32</v>
      </c>
      <c r="IZU75" s="244" t="s">
        <v>32</v>
      </c>
      <c r="IZV75" s="244" t="s">
        <v>32</v>
      </c>
      <c r="IZW75" s="244" t="s">
        <v>32</v>
      </c>
      <c r="IZX75" s="244" t="s">
        <v>32</v>
      </c>
      <c r="IZY75" s="244" t="s">
        <v>32</v>
      </c>
      <c r="IZZ75" s="244" t="s">
        <v>32</v>
      </c>
      <c r="JAA75" s="244" t="s">
        <v>32</v>
      </c>
      <c r="JAB75" s="244" t="s">
        <v>32</v>
      </c>
      <c r="JAC75" s="244" t="s">
        <v>32</v>
      </c>
      <c r="JAD75" s="244" t="s">
        <v>32</v>
      </c>
      <c r="JAE75" s="244" t="s">
        <v>32</v>
      </c>
      <c r="JAF75" s="244" t="s">
        <v>32</v>
      </c>
      <c r="JAG75" s="244" t="s">
        <v>32</v>
      </c>
      <c r="JAH75" s="244" t="s">
        <v>32</v>
      </c>
      <c r="JAI75" s="244" t="s">
        <v>32</v>
      </c>
      <c r="JAJ75" s="244" t="s">
        <v>32</v>
      </c>
      <c r="JAK75" s="244" t="s">
        <v>32</v>
      </c>
      <c r="JAL75" s="244" t="s">
        <v>32</v>
      </c>
      <c r="JAM75" s="244" t="s">
        <v>32</v>
      </c>
      <c r="JAN75" s="244" t="s">
        <v>32</v>
      </c>
      <c r="JAO75" s="244" t="s">
        <v>32</v>
      </c>
      <c r="JAP75" s="244" t="s">
        <v>32</v>
      </c>
      <c r="JAQ75" s="244" t="s">
        <v>32</v>
      </c>
      <c r="JAR75" s="244" t="s">
        <v>32</v>
      </c>
      <c r="JAS75" s="244" t="s">
        <v>32</v>
      </c>
      <c r="JAT75" s="244" t="s">
        <v>32</v>
      </c>
      <c r="JAU75" s="244" t="s">
        <v>32</v>
      </c>
      <c r="JAV75" s="244" t="s">
        <v>32</v>
      </c>
      <c r="JAW75" s="244" t="s">
        <v>32</v>
      </c>
      <c r="JAX75" s="244" t="s">
        <v>32</v>
      </c>
      <c r="JAY75" s="244" t="s">
        <v>32</v>
      </c>
      <c r="JAZ75" s="244" t="s">
        <v>32</v>
      </c>
      <c r="JBA75" s="244" t="s">
        <v>32</v>
      </c>
      <c r="JBB75" s="244" t="s">
        <v>32</v>
      </c>
      <c r="JBC75" s="244" t="s">
        <v>32</v>
      </c>
      <c r="JBD75" s="244" t="s">
        <v>32</v>
      </c>
      <c r="JBE75" s="244" t="s">
        <v>32</v>
      </c>
      <c r="JBF75" s="244" t="s">
        <v>32</v>
      </c>
      <c r="JBG75" s="244" t="s">
        <v>32</v>
      </c>
      <c r="JBH75" s="244" t="s">
        <v>32</v>
      </c>
      <c r="JBI75" s="244" t="s">
        <v>32</v>
      </c>
      <c r="JBJ75" s="244" t="s">
        <v>32</v>
      </c>
      <c r="JBK75" s="244" t="s">
        <v>32</v>
      </c>
      <c r="JBL75" s="244" t="s">
        <v>32</v>
      </c>
      <c r="JBM75" s="244" t="s">
        <v>32</v>
      </c>
      <c r="JBN75" s="244" t="s">
        <v>32</v>
      </c>
      <c r="JBO75" s="244" t="s">
        <v>32</v>
      </c>
      <c r="JBP75" s="244" t="s">
        <v>32</v>
      </c>
      <c r="JBQ75" s="244" t="s">
        <v>32</v>
      </c>
      <c r="JBR75" s="244" t="s">
        <v>32</v>
      </c>
      <c r="JBS75" s="244" t="s">
        <v>32</v>
      </c>
      <c r="JBT75" s="244" t="s">
        <v>32</v>
      </c>
      <c r="JBU75" s="244" t="s">
        <v>32</v>
      </c>
      <c r="JBV75" s="244" t="s">
        <v>32</v>
      </c>
      <c r="JBW75" s="244" t="s">
        <v>32</v>
      </c>
      <c r="JBX75" s="244" t="s">
        <v>32</v>
      </c>
      <c r="JBY75" s="244" t="s">
        <v>32</v>
      </c>
      <c r="JBZ75" s="244" t="s">
        <v>32</v>
      </c>
      <c r="JCA75" s="244" t="s">
        <v>32</v>
      </c>
      <c r="JCB75" s="244" t="s">
        <v>32</v>
      </c>
      <c r="JCC75" s="244" t="s">
        <v>32</v>
      </c>
      <c r="JCD75" s="244" t="s">
        <v>32</v>
      </c>
      <c r="JCE75" s="244" t="s">
        <v>32</v>
      </c>
      <c r="JCF75" s="244" t="s">
        <v>32</v>
      </c>
      <c r="JCG75" s="244" t="s">
        <v>32</v>
      </c>
      <c r="JCH75" s="244" t="s">
        <v>32</v>
      </c>
      <c r="JCI75" s="244" t="s">
        <v>32</v>
      </c>
      <c r="JCJ75" s="244" t="s">
        <v>32</v>
      </c>
      <c r="JCK75" s="244" t="s">
        <v>32</v>
      </c>
      <c r="JCL75" s="244" t="s">
        <v>32</v>
      </c>
      <c r="JCM75" s="244" t="s">
        <v>32</v>
      </c>
      <c r="JCN75" s="244" t="s">
        <v>32</v>
      </c>
      <c r="JCO75" s="244" t="s">
        <v>32</v>
      </c>
      <c r="JCP75" s="244" t="s">
        <v>32</v>
      </c>
      <c r="JCQ75" s="244" t="s">
        <v>32</v>
      </c>
      <c r="JCR75" s="244" t="s">
        <v>32</v>
      </c>
      <c r="JCS75" s="244" t="s">
        <v>32</v>
      </c>
      <c r="JCT75" s="244" t="s">
        <v>32</v>
      </c>
      <c r="JCU75" s="244" t="s">
        <v>32</v>
      </c>
      <c r="JCV75" s="244" t="s">
        <v>32</v>
      </c>
      <c r="JCW75" s="244" t="s">
        <v>32</v>
      </c>
      <c r="JCX75" s="244" t="s">
        <v>32</v>
      </c>
      <c r="JCY75" s="244" t="s">
        <v>32</v>
      </c>
      <c r="JCZ75" s="244" t="s">
        <v>32</v>
      </c>
      <c r="JDA75" s="244" t="s">
        <v>32</v>
      </c>
      <c r="JDB75" s="244" t="s">
        <v>32</v>
      </c>
      <c r="JDC75" s="244" t="s">
        <v>32</v>
      </c>
      <c r="JDD75" s="244" t="s">
        <v>32</v>
      </c>
      <c r="JDE75" s="244" t="s">
        <v>32</v>
      </c>
      <c r="JDF75" s="244" t="s">
        <v>32</v>
      </c>
      <c r="JDG75" s="244" t="s">
        <v>32</v>
      </c>
      <c r="JDH75" s="244" t="s">
        <v>32</v>
      </c>
      <c r="JDI75" s="244" t="s">
        <v>32</v>
      </c>
      <c r="JDJ75" s="244" t="s">
        <v>32</v>
      </c>
      <c r="JDK75" s="244" t="s">
        <v>32</v>
      </c>
      <c r="JDL75" s="244" t="s">
        <v>32</v>
      </c>
      <c r="JDM75" s="244" t="s">
        <v>32</v>
      </c>
      <c r="JDN75" s="244" t="s">
        <v>32</v>
      </c>
      <c r="JDO75" s="244" t="s">
        <v>32</v>
      </c>
      <c r="JDP75" s="244" t="s">
        <v>32</v>
      </c>
      <c r="JDQ75" s="244" t="s">
        <v>32</v>
      </c>
      <c r="JDR75" s="244" t="s">
        <v>32</v>
      </c>
      <c r="JDS75" s="244" t="s">
        <v>32</v>
      </c>
      <c r="JDT75" s="244" t="s">
        <v>32</v>
      </c>
      <c r="JDU75" s="244" t="s">
        <v>32</v>
      </c>
      <c r="JDV75" s="244" t="s">
        <v>32</v>
      </c>
      <c r="JDW75" s="244" t="s">
        <v>32</v>
      </c>
      <c r="JDX75" s="244" t="s">
        <v>32</v>
      </c>
      <c r="JDY75" s="244" t="s">
        <v>32</v>
      </c>
      <c r="JDZ75" s="244" t="s">
        <v>32</v>
      </c>
      <c r="JEA75" s="244" t="s">
        <v>32</v>
      </c>
      <c r="JEB75" s="244" t="s">
        <v>32</v>
      </c>
      <c r="JEC75" s="244" t="s">
        <v>32</v>
      </c>
      <c r="JED75" s="244" t="s">
        <v>32</v>
      </c>
      <c r="JEE75" s="244" t="s">
        <v>32</v>
      </c>
      <c r="JEF75" s="244" t="s">
        <v>32</v>
      </c>
      <c r="JEG75" s="244" t="s">
        <v>32</v>
      </c>
      <c r="JEH75" s="244" t="s">
        <v>32</v>
      </c>
      <c r="JEI75" s="244" t="s">
        <v>32</v>
      </c>
      <c r="JEJ75" s="244" t="s">
        <v>32</v>
      </c>
      <c r="JEK75" s="244" t="s">
        <v>32</v>
      </c>
      <c r="JEL75" s="244" t="s">
        <v>32</v>
      </c>
      <c r="JEM75" s="244" t="s">
        <v>32</v>
      </c>
      <c r="JEN75" s="244" t="s">
        <v>32</v>
      </c>
      <c r="JEO75" s="244" t="s">
        <v>32</v>
      </c>
      <c r="JEP75" s="244" t="s">
        <v>32</v>
      </c>
      <c r="JEQ75" s="244" t="s">
        <v>32</v>
      </c>
      <c r="JER75" s="244" t="s">
        <v>32</v>
      </c>
      <c r="JES75" s="244" t="s">
        <v>32</v>
      </c>
      <c r="JET75" s="244" t="s">
        <v>32</v>
      </c>
      <c r="JEU75" s="244" t="s">
        <v>32</v>
      </c>
      <c r="JEV75" s="244" t="s">
        <v>32</v>
      </c>
      <c r="JEW75" s="244" t="s">
        <v>32</v>
      </c>
      <c r="JEX75" s="244" t="s">
        <v>32</v>
      </c>
      <c r="JEY75" s="244" t="s">
        <v>32</v>
      </c>
      <c r="JEZ75" s="244" t="s">
        <v>32</v>
      </c>
      <c r="JFA75" s="244" t="s">
        <v>32</v>
      </c>
      <c r="JFB75" s="244" t="s">
        <v>32</v>
      </c>
      <c r="JFC75" s="244" t="s">
        <v>32</v>
      </c>
      <c r="JFD75" s="244" t="s">
        <v>32</v>
      </c>
      <c r="JFE75" s="244" t="s">
        <v>32</v>
      </c>
      <c r="JFF75" s="244" t="s">
        <v>32</v>
      </c>
      <c r="JFG75" s="244" t="s">
        <v>32</v>
      </c>
      <c r="JFH75" s="244" t="s">
        <v>32</v>
      </c>
      <c r="JFI75" s="244" t="s">
        <v>32</v>
      </c>
      <c r="JFJ75" s="244" t="s">
        <v>32</v>
      </c>
      <c r="JFK75" s="244" t="s">
        <v>32</v>
      </c>
      <c r="JFL75" s="244" t="s">
        <v>32</v>
      </c>
      <c r="JFM75" s="244" t="s">
        <v>32</v>
      </c>
      <c r="JFN75" s="244" t="s">
        <v>32</v>
      </c>
      <c r="JFO75" s="244" t="s">
        <v>32</v>
      </c>
      <c r="JFP75" s="244" t="s">
        <v>32</v>
      </c>
      <c r="JFQ75" s="244" t="s">
        <v>32</v>
      </c>
      <c r="JFR75" s="244" t="s">
        <v>32</v>
      </c>
      <c r="JFS75" s="244" t="s">
        <v>32</v>
      </c>
      <c r="JFT75" s="244" t="s">
        <v>32</v>
      </c>
      <c r="JFU75" s="244" t="s">
        <v>32</v>
      </c>
      <c r="JFV75" s="244" t="s">
        <v>32</v>
      </c>
      <c r="JFW75" s="244" t="s">
        <v>32</v>
      </c>
      <c r="JFX75" s="244" t="s">
        <v>32</v>
      </c>
      <c r="JFY75" s="244" t="s">
        <v>32</v>
      </c>
      <c r="JFZ75" s="244" t="s">
        <v>32</v>
      </c>
      <c r="JGA75" s="244" t="s">
        <v>32</v>
      </c>
      <c r="JGB75" s="244" t="s">
        <v>32</v>
      </c>
      <c r="JGC75" s="244" t="s">
        <v>32</v>
      </c>
      <c r="JGD75" s="244" t="s">
        <v>32</v>
      </c>
      <c r="JGE75" s="244" t="s">
        <v>32</v>
      </c>
      <c r="JGF75" s="244" t="s">
        <v>32</v>
      </c>
      <c r="JGG75" s="244" t="s">
        <v>32</v>
      </c>
      <c r="JGH75" s="244" t="s">
        <v>32</v>
      </c>
      <c r="JGI75" s="244" t="s">
        <v>32</v>
      </c>
      <c r="JGJ75" s="244" t="s">
        <v>32</v>
      </c>
      <c r="JGK75" s="244" t="s">
        <v>32</v>
      </c>
      <c r="JGL75" s="244" t="s">
        <v>32</v>
      </c>
      <c r="JGM75" s="244" t="s">
        <v>32</v>
      </c>
      <c r="JGN75" s="244" t="s">
        <v>32</v>
      </c>
      <c r="JGO75" s="244" t="s">
        <v>32</v>
      </c>
      <c r="JGP75" s="244" t="s">
        <v>32</v>
      </c>
      <c r="JGQ75" s="244" t="s">
        <v>32</v>
      </c>
      <c r="JGR75" s="244" t="s">
        <v>32</v>
      </c>
      <c r="JGS75" s="244" t="s">
        <v>32</v>
      </c>
      <c r="JGT75" s="244" t="s">
        <v>32</v>
      </c>
      <c r="JGU75" s="244" t="s">
        <v>32</v>
      </c>
      <c r="JGV75" s="244" t="s">
        <v>32</v>
      </c>
      <c r="JGW75" s="244" t="s">
        <v>32</v>
      </c>
      <c r="JGX75" s="244" t="s">
        <v>32</v>
      </c>
      <c r="JGY75" s="244" t="s">
        <v>32</v>
      </c>
      <c r="JGZ75" s="244" t="s">
        <v>32</v>
      </c>
      <c r="JHA75" s="244" t="s">
        <v>32</v>
      </c>
      <c r="JHB75" s="244" t="s">
        <v>32</v>
      </c>
      <c r="JHC75" s="244" t="s">
        <v>32</v>
      </c>
      <c r="JHD75" s="244" t="s">
        <v>32</v>
      </c>
      <c r="JHE75" s="244" t="s">
        <v>32</v>
      </c>
      <c r="JHF75" s="244" t="s">
        <v>32</v>
      </c>
      <c r="JHG75" s="244" t="s">
        <v>32</v>
      </c>
      <c r="JHH75" s="244" t="s">
        <v>32</v>
      </c>
      <c r="JHI75" s="244" t="s">
        <v>32</v>
      </c>
      <c r="JHJ75" s="244" t="s">
        <v>32</v>
      </c>
      <c r="JHK75" s="244" t="s">
        <v>32</v>
      </c>
      <c r="JHL75" s="244" t="s">
        <v>32</v>
      </c>
      <c r="JHM75" s="244" t="s">
        <v>32</v>
      </c>
      <c r="JHN75" s="244" t="s">
        <v>32</v>
      </c>
      <c r="JHO75" s="244" t="s">
        <v>32</v>
      </c>
      <c r="JHP75" s="244" t="s">
        <v>32</v>
      </c>
      <c r="JHQ75" s="244" t="s">
        <v>32</v>
      </c>
      <c r="JHR75" s="244" t="s">
        <v>32</v>
      </c>
      <c r="JHS75" s="244" t="s">
        <v>32</v>
      </c>
      <c r="JHT75" s="244" t="s">
        <v>32</v>
      </c>
      <c r="JHU75" s="244" t="s">
        <v>32</v>
      </c>
      <c r="JHV75" s="244" t="s">
        <v>32</v>
      </c>
      <c r="JHW75" s="244" t="s">
        <v>32</v>
      </c>
      <c r="JHX75" s="244" t="s">
        <v>32</v>
      </c>
      <c r="JHY75" s="244" t="s">
        <v>32</v>
      </c>
      <c r="JHZ75" s="244" t="s">
        <v>32</v>
      </c>
      <c r="JIA75" s="244" t="s">
        <v>32</v>
      </c>
      <c r="JIB75" s="244" t="s">
        <v>32</v>
      </c>
      <c r="JIC75" s="244" t="s">
        <v>32</v>
      </c>
      <c r="JID75" s="244" t="s">
        <v>32</v>
      </c>
      <c r="JIE75" s="244" t="s">
        <v>32</v>
      </c>
      <c r="JIF75" s="244" t="s">
        <v>32</v>
      </c>
      <c r="JIG75" s="244" t="s">
        <v>32</v>
      </c>
      <c r="JIH75" s="244" t="s">
        <v>32</v>
      </c>
      <c r="JII75" s="244" t="s">
        <v>32</v>
      </c>
      <c r="JIJ75" s="244" t="s">
        <v>32</v>
      </c>
      <c r="JIK75" s="244" t="s">
        <v>32</v>
      </c>
      <c r="JIL75" s="244" t="s">
        <v>32</v>
      </c>
      <c r="JIM75" s="244" t="s">
        <v>32</v>
      </c>
      <c r="JIN75" s="244" t="s">
        <v>32</v>
      </c>
      <c r="JIO75" s="244" t="s">
        <v>32</v>
      </c>
      <c r="JIP75" s="244" t="s">
        <v>32</v>
      </c>
      <c r="JIQ75" s="244" t="s">
        <v>32</v>
      </c>
      <c r="JIR75" s="244" t="s">
        <v>32</v>
      </c>
      <c r="JIS75" s="244" t="s">
        <v>32</v>
      </c>
      <c r="JIT75" s="244" t="s">
        <v>32</v>
      </c>
      <c r="JIU75" s="244" t="s">
        <v>32</v>
      </c>
      <c r="JIV75" s="244" t="s">
        <v>32</v>
      </c>
      <c r="JIW75" s="244" t="s">
        <v>32</v>
      </c>
      <c r="JIX75" s="244" t="s">
        <v>32</v>
      </c>
      <c r="JIY75" s="244" t="s">
        <v>32</v>
      </c>
      <c r="JIZ75" s="244" t="s">
        <v>32</v>
      </c>
      <c r="JJA75" s="244" t="s">
        <v>32</v>
      </c>
      <c r="JJB75" s="244" t="s">
        <v>32</v>
      </c>
      <c r="JJC75" s="244" t="s">
        <v>32</v>
      </c>
      <c r="JJD75" s="244" t="s">
        <v>32</v>
      </c>
      <c r="JJE75" s="244" t="s">
        <v>32</v>
      </c>
      <c r="JJF75" s="244" t="s">
        <v>32</v>
      </c>
      <c r="JJG75" s="244" t="s">
        <v>32</v>
      </c>
      <c r="JJH75" s="244" t="s">
        <v>32</v>
      </c>
      <c r="JJI75" s="244" t="s">
        <v>32</v>
      </c>
      <c r="JJJ75" s="244" t="s">
        <v>32</v>
      </c>
      <c r="JJK75" s="244" t="s">
        <v>32</v>
      </c>
      <c r="JJL75" s="244" t="s">
        <v>32</v>
      </c>
      <c r="JJM75" s="244" t="s">
        <v>32</v>
      </c>
      <c r="JJN75" s="244" t="s">
        <v>32</v>
      </c>
      <c r="JJO75" s="244" t="s">
        <v>32</v>
      </c>
      <c r="JJP75" s="244" t="s">
        <v>32</v>
      </c>
      <c r="JJQ75" s="244" t="s">
        <v>32</v>
      </c>
      <c r="JJR75" s="244" t="s">
        <v>32</v>
      </c>
      <c r="JJS75" s="244" t="s">
        <v>32</v>
      </c>
      <c r="JJT75" s="244" t="s">
        <v>32</v>
      </c>
      <c r="JJU75" s="244" t="s">
        <v>32</v>
      </c>
      <c r="JJV75" s="244" t="s">
        <v>32</v>
      </c>
      <c r="JJW75" s="244" t="s">
        <v>32</v>
      </c>
      <c r="JJX75" s="244" t="s">
        <v>32</v>
      </c>
      <c r="JJY75" s="244" t="s">
        <v>32</v>
      </c>
      <c r="JJZ75" s="244" t="s">
        <v>32</v>
      </c>
      <c r="JKA75" s="244" t="s">
        <v>32</v>
      </c>
      <c r="JKB75" s="244" t="s">
        <v>32</v>
      </c>
      <c r="JKC75" s="244" t="s">
        <v>32</v>
      </c>
      <c r="JKD75" s="244" t="s">
        <v>32</v>
      </c>
      <c r="JKE75" s="244" t="s">
        <v>32</v>
      </c>
      <c r="JKF75" s="244" t="s">
        <v>32</v>
      </c>
      <c r="JKG75" s="244" t="s">
        <v>32</v>
      </c>
      <c r="JKH75" s="244" t="s">
        <v>32</v>
      </c>
      <c r="JKI75" s="244" t="s">
        <v>32</v>
      </c>
      <c r="JKJ75" s="244" t="s">
        <v>32</v>
      </c>
      <c r="JKK75" s="244" t="s">
        <v>32</v>
      </c>
      <c r="JKL75" s="244" t="s">
        <v>32</v>
      </c>
      <c r="JKM75" s="244" t="s">
        <v>32</v>
      </c>
      <c r="JKN75" s="244" t="s">
        <v>32</v>
      </c>
      <c r="JKO75" s="244" t="s">
        <v>32</v>
      </c>
      <c r="JKP75" s="244" t="s">
        <v>32</v>
      </c>
      <c r="JKQ75" s="244" t="s">
        <v>32</v>
      </c>
      <c r="JKR75" s="244" t="s">
        <v>32</v>
      </c>
      <c r="JKS75" s="244" t="s">
        <v>32</v>
      </c>
      <c r="JKT75" s="244" t="s">
        <v>32</v>
      </c>
      <c r="JKU75" s="244" t="s">
        <v>32</v>
      </c>
      <c r="JKV75" s="244" t="s">
        <v>32</v>
      </c>
      <c r="JKW75" s="244" t="s">
        <v>32</v>
      </c>
      <c r="JKX75" s="244" t="s">
        <v>32</v>
      </c>
      <c r="JKY75" s="244" t="s">
        <v>32</v>
      </c>
      <c r="JKZ75" s="244" t="s">
        <v>32</v>
      </c>
      <c r="JLA75" s="244" t="s">
        <v>32</v>
      </c>
      <c r="JLB75" s="244" t="s">
        <v>32</v>
      </c>
      <c r="JLC75" s="244" t="s">
        <v>32</v>
      </c>
      <c r="JLD75" s="244" t="s">
        <v>32</v>
      </c>
      <c r="JLE75" s="244" t="s">
        <v>32</v>
      </c>
      <c r="JLF75" s="244" t="s">
        <v>32</v>
      </c>
      <c r="JLG75" s="244" t="s">
        <v>32</v>
      </c>
      <c r="JLH75" s="244" t="s">
        <v>32</v>
      </c>
      <c r="JLI75" s="244" t="s">
        <v>32</v>
      </c>
      <c r="JLJ75" s="244" t="s">
        <v>32</v>
      </c>
      <c r="JLK75" s="244" t="s">
        <v>32</v>
      </c>
      <c r="JLL75" s="244" t="s">
        <v>32</v>
      </c>
      <c r="JLM75" s="244" t="s">
        <v>32</v>
      </c>
      <c r="JLN75" s="244" t="s">
        <v>32</v>
      </c>
      <c r="JLO75" s="244" t="s">
        <v>32</v>
      </c>
      <c r="JLP75" s="244" t="s">
        <v>32</v>
      </c>
      <c r="JLQ75" s="244" t="s">
        <v>32</v>
      </c>
      <c r="JLR75" s="244" t="s">
        <v>32</v>
      </c>
      <c r="JLS75" s="244" t="s">
        <v>32</v>
      </c>
      <c r="JLT75" s="244" t="s">
        <v>32</v>
      </c>
      <c r="JLU75" s="244" t="s">
        <v>32</v>
      </c>
      <c r="JLV75" s="244" t="s">
        <v>32</v>
      </c>
      <c r="JLW75" s="244" t="s">
        <v>32</v>
      </c>
      <c r="JLX75" s="244" t="s">
        <v>32</v>
      </c>
      <c r="JLY75" s="244" t="s">
        <v>32</v>
      </c>
      <c r="JLZ75" s="244" t="s">
        <v>32</v>
      </c>
      <c r="JMA75" s="244" t="s">
        <v>32</v>
      </c>
      <c r="JMB75" s="244" t="s">
        <v>32</v>
      </c>
      <c r="JMC75" s="244" t="s">
        <v>32</v>
      </c>
      <c r="JMD75" s="244" t="s">
        <v>32</v>
      </c>
      <c r="JME75" s="244" t="s">
        <v>32</v>
      </c>
      <c r="JMF75" s="244" t="s">
        <v>32</v>
      </c>
      <c r="JMG75" s="244" t="s">
        <v>32</v>
      </c>
      <c r="JMH75" s="244" t="s">
        <v>32</v>
      </c>
      <c r="JMI75" s="244" t="s">
        <v>32</v>
      </c>
      <c r="JMJ75" s="244" t="s">
        <v>32</v>
      </c>
      <c r="JMK75" s="244" t="s">
        <v>32</v>
      </c>
      <c r="JML75" s="244" t="s">
        <v>32</v>
      </c>
      <c r="JMM75" s="244" t="s">
        <v>32</v>
      </c>
      <c r="JMN75" s="244" t="s">
        <v>32</v>
      </c>
      <c r="JMO75" s="244" t="s">
        <v>32</v>
      </c>
      <c r="JMP75" s="244" t="s">
        <v>32</v>
      </c>
      <c r="JMQ75" s="244" t="s">
        <v>32</v>
      </c>
      <c r="JMR75" s="244" t="s">
        <v>32</v>
      </c>
      <c r="JMS75" s="244" t="s">
        <v>32</v>
      </c>
      <c r="JMT75" s="244" t="s">
        <v>32</v>
      </c>
      <c r="JMU75" s="244" t="s">
        <v>32</v>
      </c>
      <c r="JMV75" s="244" t="s">
        <v>32</v>
      </c>
      <c r="JMW75" s="244" t="s">
        <v>32</v>
      </c>
      <c r="JMX75" s="244" t="s">
        <v>32</v>
      </c>
      <c r="JMY75" s="244" t="s">
        <v>32</v>
      </c>
      <c r="JMZ75" s="244" t="s">
        <v>32</v>
      </c>
      <c r="JNA75" s="244" t="s">
        <v>32</v>
      </c>
      <c r="JNB75" s="244" t="s">
        <v>32</v>
      </c>
      <c r="JNC75" s="244" t="s">
        <v>32</v>
      </c>
      <c r="JND75" s="244" t="s">
        <v>32</v>
      </c>
      <c r="JNE75" s="244" t="s">
        <v>32</v>
      </c>
      <c r="JNF75" s="244" t="s">
        <v>32</v>
      </c>
      <c r="JNG75" s="244" t="s">
        <v>32</v>
      </c>
      <c r="JNH75" s="244" t="s">
        <v>32</v>
      </c>
      <c r="JNI75" s="244" t="s">
        <v>32</v>
      </c>
      <c r="JNJ75" s="244" t="s">
        <v>32</v>
      </c>
      <c r="JNK75" s="244" t="s">
        <v>32</v>
      </c>
      <c r="JNL75" s="244" t="s">
        <v>32</v>
      </c>
      <c r="JNM75" s="244" t="s">
        <v>32</v>
      </c>
      <c r="JNN75" s="244" t="s">
        <v>32</v>
      </c>
      <c r="JNO75" s="244" t="s">
        <v>32</v>
      </c>
      <c r="JNP75" s="244" t="s">
        <v>32</v>
      </c>
      <c r="JNQ75" s="244" t="s">
        <v>32</v>
      </c>
      <c r="JNR75" s="244" t="s">
        <v>32</v>
      </c>
      <c r="JNS75" s="244" t="s">
        <v>32</v>
      </c>
      <c r="JNT75" s="244" t="s">
        <v>32</v>
      </c>
      <c r="JNU75" s="244" t="s">
        <v>32</v>
      </c>
      <c r="JNV75" s="244" t="s">
        <v>32</v>
      </c>
      <c r="JNW75" s="244" t="s">
        <v>32</v>
      </c>
      <c r="JNX75" s="244" t="s">
        <v>32</v>
      </c>
      <c r="JNY75" s="244" t="s">
        <v>32</v>
      </c>
      <c r="JNZ75" s="244" t="s">
        <v>32</v>
      </c>
      <c r="JOA75" s="244" t="s">
        <v>32</v>
      </c>
      <c r="JOB75" s="244" t="s">
        <v>32</v>
      </c>
      <c r="JOC75" s="244" t="s">
        <v>32</v>
      </c>
      <c r="JOD75" s="244" t="s">
        <v>32</v>
      </c>
      <c r="JOE75" s="244" t="s">
        <v>32</v>
      </c>
      <c r="JOF75" s="244" t="s">
        <v>32</v>
      </c>
      <c r="JOG75" s="244" t="s">
        <v>32</v>
      </c>
      <c r="JOH75" s="244" t="s">
        <v>32</v>
      </c>
      <c r="JOI75" s="244" t="s">
        <v>32</v>
      </c>
      <c r="JOJ75" s="244" t="s">
        <v>32</v>
      </c>
      <c r="JOK75" s="244" t="s">
        <v>32</v>
      </c>
      <c r="JOL75" s="244" t="s">
        <v>32</v>
      </c>
      <c r="JOM75" s="244" t="s">
        <v>32</v>
      </c>
      <c r="JON75" s="244" t="s">
        <v>32</v>
      </c>
      <c r="JOO75" s="244" t="s">
        <v>32</v>
      </c>
      <c r="JOP75" s="244" t="s">
        <v>32</v>
      </c>
      <c r="JOQ75" s="244" t="s">
        <v>32</v>
      </c>
      <c r="JOR75" s="244" t="s">
        <v>32</v>
      </c>
      <c r="JOS75" s="244" t="s">
        <v>32</v>
      </c>
      <c r="JOT75" s="244" t="s">
        <v>32</v>
      </c>
      <c r="JOU75" s="244" t="s">
        <v>32</v>
      </c>
      <c r="JOV75" s="244" t="s">
        <v>32</v>
      </c>
      <c r="JOW75" s="244" t="s">
        <v>32</v>
      </c>
      <c r="JOX75" s="244" t="s">
        <v>32</v>
      </c>
      <c r="JOY75" s="244" t="s">
        <v>32</v>
      </c>
      <c r="JOZ75" s="244" t="s">
        <v>32</v>
      </c>
      <c r="JPA75" s="244" t="s">
        <v>32</v>
      </c>
      <c r="JPB75" s="244" t="s">
        <v>32</v>
      </c>
      <c r="JPC75" s="244" t="s">
        <v>32</v>
      </c>
      <c r="JPD75" s="244" t="s">
        <v>32</v>
      </c>
      <c r="JPE75" s="244" t="s">
        <v>32</v>
      </c>
      <c r="JPF75" s="244" t="s">
        <v>32</v>
      </c>
      <c r="JPG75" s="244" t="s">
        <v>32</v>
      </c>
      <c r="JPH75" s="244" t="s">
        <v>32</v>
      </c>
      <c r="JPI75" s="244" t="s">
        <v>32</v>
      </c>
      <c r="JPJ75" s="244" t="s">
        <v>32</v>
      </c>
      <c r="JPK75" s="244" t="s">
        <v>32</v>
      </c>
      <c r="JPL75" s="244" t="s">
        <v>32</v>
      </c>
      <c r="JPM75" s="244" t="s">
        <v>32</v>
      </c>
      <c r="JPN75" s="244" t="s">
        <v>32</v>
      </c>
      <c r="JPO75" s="244" t="s">
        <v>32</v>
      </c>
      <c r="JPP75" s="244" t="s">
        <v>32</v>
      </c>
      <c r="JPQ75" s="244" t="s">
        <v>32</v>
      </c>
      <c r="JPR75" s="244" t="s">
        <v>32</v>
      </c>
      <c r="JPS75" s="244" t="s">
        <v>32</v>
      </c>
      <c r="JPT75" s="244" t="s">
        <v>32</v>
      </c>
      <c r="JPU75" s="244" t="s">
        <v>32</v>
      </c>
      <c r="JPV75" s="244" t="s">
        <v>32</v>
      </c>
      <c r="JPW75" s="244" t="s">
        <v>32</v>
      </c>
      <c r="JPX75" s="244" t="s">
        <v>32</v>
      </c>
      <c r="JPY75" s="244" t="s">
        <v>32</v>
      </c>
      <c r="JPZ75" s="244" t="s">
        <v>32</v>
      </c>
      <c r="JQA75" s="244" t="s">
        <v>32</v>
      </c>
      <c r="JQB75" s="244" t="s">
        <v>32</v>
      </c>
      <c r="JQC75" s="244" t="s">
        <v>32</v>
      </c>
      <c r="JQD75" s="244" t="s">
        <v>32</v>
      </c>
      <c r="JQE75" s="244" t="s">
        <v>32</v>
      </c>
      <c r="JQF75" s="244" t="s">
        <v>32</v>
      </c>
      <c r="JQG75" s="244" t="s">
        <v>32</v>
      </c>
      <c r="JQH75" s="244" t="s">
        <v>32</v>
      </c>
      <c r="JQI75" s="244" t="s">
        <v>32</v>
      </c>
      <c r="JQJ75" s="244" t="s">
        <v>32</v>
      </c>
      <c r="JQK75" s="244" t="s">
        <v>32</v>
      </c>
      <c r="JQL75" s="244" t="s">
        <v>32</v>
      </c>
      <c r="JQM75" s="244" t="s">
        <v>32</v>
      </c>
      <c r="JQN75" s="244" t="s">
        <v>32</v>
      </c>
      <c r="JQO75" s="244" t="s">
        <v>32</v>
      </c>
      <c r="JQP75" s="244" t="s">
        <v>32</v>
      </c>
      <c r="JQQ75" s="244" t="s">
        <v>32</v>
      </c>
      <c r="JQR75" s="244" t="s">
        <v>32</v>
      </c>
      <c r="JQS75" s="244" t="s">
        <v>32</v>
      </c>
      <c r="JQT75" s="244" t="s">
        <v>32</v>
      </c>
      <c r="JQU75" s="244" t="s">
        <v>32</v>
      </c>
      <c r="JQV75" s="244" t="s">
        <v>32</v>
      </c>
      <c r="JQW75" s="244" t="s">
        <v>32</v>
      </c>
      <c r="JQX75" s="244" t="s">
        <v>32</v>
      </c>
      <c r="JQY75" s="244" t="s">
        <v>32</v>
      </c>
      <c r="JQZ75" s="244" t="s">
        <v>32</v>
      </c>
      <c r="JRA75" s="244" t="s">
        <v>32</v>
      </c>
      <c r="JRB75" s="244" t="s">
        <v>32</v>
      </c>
      <c r="JRC75" s="244" t="s">
        <v>32</v>
      </c>
      <c r="JRD75" s="244" t="s">
        <v>32</v>
      </c>
      <c r="JRE75" s="244" t="s">
        <v>32</v>
      </c>
      <c r="JRF75" s="244" t="s">
        <v>32</v>
      </c>
      <c r="JRG75" s="244" t="s">
        <v>32</v>
      </c>
      <c r="JRH75" s="244" t="s">
        <v>32</v>
      </c>
      <c r="JRI75" s="244" t="s">
        <v>32</v>
      </c>
      <c r="JRJ75" s="244" t="s">
        <v>32</v>
      </c>
      <c r="JRK75" s="244" t="s">
        <v>32</v>
      </c>
      <c r="JRL75" s="244" t="s">
        <v>32</v>
      </c>
      <c r="JRM75" s="244" t="s">
        <v>32</v>
      </c>
      <c r="JRN75" s="244" t="s">
        <v>32</v>
      </c>
      <c r="JRO75" s="244" t="s">
        <v>32</v>
      </c>
      <c r="JRP75" s="244" t="s">
        <v>32</v>
      </c>
      <c r="JRQ75" s="244" t="s">
        <v>32</v>
      </c>
      <c r="JRR75" s="244" t="s">
        <v>32</v>
      </c>
      <c r="JRS75" s="244" t="s">
        <v>32</v>
      </c>
      <c r="JRT75" s="244" t="s">
        <v>32</v>
      </c>
      <c r="JRU75" s="244" t="s">
        <v>32</v>
      </c>
      <c r="JRV75" s="244" t="s">
        <v>32</v>
      </c>
      <c r="JRW75" s="244" t="s">
        <v>32</v>
      </c>
      <c r="JRX75" s="244" t="s">
        <v>32</v>
      </c>
      <c r="JRY75" s="244" t="s">
        <v>32</v>
      </c>
      <c r="JRZ75" s="244" t="s">
        <v>32</v>
      </c>
      <c r="JSA75" s="244" t="s">
        <v>32</v>
      </c>
      <c r="JSB75" s="244" t="s">
        <v>32</v>
      </c>
      <c r="JSC75" s="244" t="s">
        <v>32</v>
      </c>
      <c r="JSD75" s="244" t="s">
        <v>32</v>
      </c>
      <c r="JSE75" s="244" t="s">
        <v>32</v>
      </c>
      <c r="JSF75" s="244" t="s">
        <v>32</v>
      </c>
      <c r="JSG75" s="244" t="s">
        <v>32</v>
      </c>
      <c r="JSH75" s="244" t="s">
        <v>32</v>
      </c>
      <c r="JSI75" s="244" t="s">
        <v>32</v>
      </c>
      <c r="JSJ75" s="244" t="s">
        <v>32</v>
      </c>
      <c r="JSK75" s="244" t="s">
        <v>32</v>
      </c>
      <c r="JSL75" s="244" t="s">
        <v>32</v>
      </c>
      <c r="JSM75" s="244" t="s">
        <v>32</v>
      </c>
      <c r="JSN75" s="244" t="s">
        <v>32</v>
      </c>
      <c r="JSO75" s="244" t="s">
        <v>32</v>
      </c>
      <c r="JSP75" s="244" t="s">
        <v>32</v>
      </c>
      <c r="JSQ75" s="244" t="s">
        <v>32</v>
      </c>
      <c r="JSR75" s="244" t="s">
        <v>32</v>
      </c>
      <c r="JSS75" s="244" t="s">
        <v>32</v>
      </c>
      <c r="JST75" s="244" t="s">
        <v>32</v>
      </c>
      <c r="JSU75" s="244" t="s">
        <v>32</v>
      </c>
      <c r="JSV75" s="244" t="s">
        <v>32</v>
      </c>
      <c r="JSW75" s="244" t="s">
        <v>32</v>
      </c>
      <c r="JSX75" s="244" t="s">
        <v>32</v>
      </c>
      <c r="JSY75" s="244" t="s">
        <v>32</v>
      </c>
      <c r="JSZ75" s="244" t="s">
        <v>32</v>
      </c>
      <c r="JTA75" s="244" t="s">
        <v>32</v>
      </c>
      <c r="JTB75" s="244" t="s">
        <v>32</v>
      </c>
      <c r="JTC75" s="244" t="s">
        <v>32</v>
      </c>
      <c r="JTD75" s="244" t="s">
        <v>32</v>
      </c>
      <c r="JTE75" s="244" t="s">
        <v>32</v>
      </c>
      <c r="JTF75" s="244" t="s">
        <v>32</v>
      </c>
      <c r="JTG75" s="244" t="s">
        <v>32</v>
      </c>
      <c r="JTH75" s="244" t="s">
        <v>32</v>
      </c>
      <c r="JTI75" s="244" t="s">
        <v>32</v>
      </c>
      <c r="JTJ75" s="244" t="s">
        <v>32</v>
      </c>
      <c r="JTK75" s="244" t="s">
        <v>32</v>
      </c>
      <c r="JTL75" s="244" t="s">
        <v>32</v>
      </c>
      <c r="JTM75" s="244" t="s">
        <v>32</v>
      </c>
      <c r="JTN75" s="244" t="s">
        <v>32</v>
      </c>
      <c r="JTO75" s="244" t="s">
        <v>32</v>
      </c>
      <c r="JTP75" s="244" t="s">
        <v>32</v>
      </c>
      <c r="JTQ75" s="244" t="s">
        <v>32</v>
      </c>
      <c r="JTR75" s="244" t="s">
        <v>32</v>
      </c>
      <c r="JTS75" s="244" t="s">
        <v>32</v>
      </c>
      <c r="JTT75" s="244" t="s">
        <v>32</v>
      </c>
      <c r="JTU75" s="244" t="s">
        <v>32</v>
      </c>
      <c r="JTV75" s="244" t="s">
        <v>32</v>
      </c>
      <c r="JTW75" s="244" t="s">
        <v>32</v>
      </c>
      <c r="JTX75" s="244" t="s">
        <v>32</v>
      </c>
      <c r="JTY75" s="244" t="s">
        <v>32</v>
      </c>
      <c r="JTZ75" s="244" t="s">
        <v>32</v>
      </c>
      <c r="JUA75" s="244" t="s">
        <v>32</v>
      </c>
      <c r="JUB75" s="244" t="s">
        <v>32</v>
      </c>
      <c r="JUC75" s="244" t="s">
        <v>32</v>
      </c>
      <c r="JUD75" s="244" t="s">
        <v>32</v>
      </c>
      <c r="JUE75" s="244" t="s">
        <v>32</v>
      </c>
      <c r="JUF75" s="244" t="s">
        <v>32</v>
      </c>
      <c r="JUG75" s="244" t="s">
        <v>32</v>
      </c>
      <c r="JUH75" s="244" t="s">
        <v>32</v>
      </c>
      <c r="JUI75" s="244" t="s">
        <v>32</v>
      </c>
      <c r="JUJ75" s="244" t="s">
        <v>32</v>
      </c>
      <c r="JUK75" s="244" t="s">
        <v>32</v>
      </c>
      <c r="JUL75" s="244" t="s">
        <v>32</v>
      </c>
      <c r="JUM75" s="244" t="s">
        <v>32</v>
      </c>
      <c r="JUN75" s="244" t="s">
        <v>32</v>
      </c>
      <c r="JUO75" s="244" t="s">
        <v>32</v>
      </c>
      <c r="JUP75" s="244" t="s">
        <v>32</v>
      </c>
      <c r="JUQ75" s="244" t="s">
        <v>32</v>
      </c>
      <c r="JUR75" s="244" t="s">
        <v>32</v>
      </c>
      <c r="JUS75" s="244" t="s">
        <v>32</v>
      </c>
      <c r="JUT75" s="244" t="s">
        <v>32</v>
      </c>
      <c r="JUU75" s="244" t="s">
        <v>32</v>
      </c>
      <c r="JUV75" s="244" t="s">
        <v>32</v>
      </c>
      <c r="JUW75" s="244" t="s">
        <v>32</v>
      </c>
      <c r="JUX75" s="244" t="s">
        <v>32</v>
      </c>
      <c r="JUY75" s="244" t="s">
        <v>32</v>
      </c>
      <c r="JUZ75" s="244" t="s">
        <v>32</v>
      </c>
      <c r="JVA75" s="244" t="s">
        <v>32</v>
      </c>
      <c r="JVB75" s="244" t="s">
        <v>32</v>
      </c>
      <c r="JVC75" s="244" t="s">
        <v>32</v>
      </c>
      <c r="JVD75" s="244" t="s">
        <v>32</v>
      </c>
      <c r="JVE75" s="244" t="s">
        <v>32</v>
      </c>
      <c r="JVF75" s="244" t="s">
        <v>32</v>
      </c>
      <c r="JVG75" s="244" t="s">
        <v>32</v>
      </c>
      <c r="JVH75" s="244" t="s">
        <v>32</v>
      </c>
      <c r="JVI75" s="244" t="s">
        <v>32</v>
      </c>
      <c r="JVJ75" s="244" t="s">
        <v>32</v>
      </c>
      <c r="JVK75" s="244" t="s">
        <v>32</v>
      </c>
      <c r="JVL75" s="244" t="s">
        <v>32</v>
      </c>
      <c r="JVM75" s="244" t="s">
        <v>32</v>
      </c>
      <c r="JVN75" s="244" t="s">
        <v>32</v>
      </c>
      <c r="JVO75" s="244" t="s">
        <v>32</v>
      </c>
      <c r="JVP75" s="244" t="s">
        <v>32</v>
      </c>
      <c r="JVQ75" s="244" t="s">
        <v>32</v>
      </c>
      <c r="JVR75" s="244" t="s">
        <v>32</v>
      </c>
      <c r="JVS75" s="244" t="s">
        <v>32</v>
      </c>
      <c r="JVT75" s="244" t="s">
        <v>32</v>
      </c>
      <c r="JVU75" s="244" t="s">
        <v>32</v>
      </c>
      <c r="JVV75" s="244" t="s">
        <v>32</v>
      </c>
      <c r="JVW75" s="244" t="s">
        <v>32</v>
      </c>
      <c r="JVX75" s="244" t="s">
        <v>32</v>
      </c>
      <c r="JVY75" s="244" t="s">
        <v>32</v>
      </c>
      <c r="JVZ75" s="244" t="s">
        <v>32</v>
      </c>
      <c r="JWA75" s="244" t="s">
        <v>32</v>
      </c>
      <c r="JWB75" s="244" t="s">
        <v>32</v>
      </c>
      <c r="JWC75" s="244" t="s">
        <v>32</v>
      </c>
      <c r="JWD75" s="244" t="s">
        <v>32</v>
      </c>
      <c r="JWE75" s="244" t="s">
        <v>32</v>
      </c>
      <c r="JWF75" s="244" t="s">
        <v>32</v>
      </c>
      <c r="JWG75" s="244" t="s">
        <v>32</v>
      </c>
      <c r="JWH75" s="244" t="s">
        <v>32</v>
      </c>
      <c r="JWI75" s="244" t="s">
        <v>32</v>
      </c>
      <c r="JWJ75" s="244" t="s">
        <v>32</v>
      </c>
      <c r="JWK75" s="244" t="s">
        <v>32</v>
      </c>
      <c r="JWL75" s="244" t="s">
        <v>32</v>
      </c>
      <c r="JWM75" s="244" t="s">
        <v>32</v>
      </c>
      <c r="JWN75" s="244" t="s">
        <v>32</v>
      </c>
      <c r="JWO75" s="244" t="s">
        <v>32</v>
      </c>
      <c r="JWP75" s="244" t="s">
        <v>32</v>
      </c>
      <c r="JWQ75" s="244" t="s">
        <v>32</v>
      </c>
      <c r="JWR75" s="244" t="s">
        <v>32</v>
      </c>
      <c r="JWS75" s="244" t="s">
        <v>32</v>
      </c>
      <c r="JWT75" s="244" t="s">
        <v>32</v>
      </c>
      <c r="JWU75" s="244" t="s">
        <v>32</v>
      </c>
      <c r="JWV75" s="244" t="s">
        <v>32</v>
      </c>
      <c r="JWW75" s="244" t="s">
        <v>32</v>
      </c>
      <c r="JWX75" s="244" t="s">
        <v>32</v>
      </c>
      <c r="JWY75" s="244" t="s">
        <v>32</v>
      </c>
      <c r="JWZ75" s="244" t="s">
        <v>32</v>
      </c>
      <c r="JXA75" s="244" t="s">
        <v>32</v>
      </c>
      <c r="JXB75" s="244" t="s">
        <v>32</v>
      </c>
      <c r="JXC75" s="244" t="s">
        <v>32</v>
      </c>
      <c r="JXD75" s="244" t="s">
        <v>32</v>
      </c>
      <c r="JXE75" s="244" t="s">
        <v>32</v>
      </c>
      <c r="JXF75" s="244" t="s">
        <v>32</v>
      </c>
      <c r="JXG75" s="244" t="s">
        <v>32</v>
      </c>
      <c r="JXH75" s="244" t="s">
        <v>32</v>
      </c>
      <c r="JXI75" s="244" t="s">
        <v>32</v>
      </c>
      <c r="JXJ75" s="244" t="s">
        <v>32</v>
      </c>
      <c r="JXK75" s="244" t="s">
        <v>32</v>
      </c>
      <c r="JXL75" s="244" t="s">
        <v>32</v>
      </c>
      <c r="JXM75" s="244" t="s">
        <v>32</v>
      </c>
      <c r="JXN75" s="244" t="s">
        <v>32</v>
      </c>
      <c r="JXO75" s="244" t="s">
        <v>32</v>
      </c>
      <c r="JXP75" s="244" t="s">
        <v>32</v>
      </c>
      <c r="JXQ75" s="244" t="s">
        <v>32</v>
      </c>
      <c r="JXR75" s="244" t="s">
        <v>32</v>
      </c>
      <c r="JXS75" s="244" t="s">
        <v>32</v>
      </c>
      <c r="JXT75" s="244" t="s">
        <v>32</v>
      </c>
      <c r="JXU75" s="244" t="s">
        <v>32</v>
      </c>
      <c r="JXV75" s="244" t="s">
        <v>32</v>
      </c>
      <c r="JXW75" s="244" t="s">
        <v>32</v>
      </c>
      <c r="JXX75" s="244" t="s">
        <v>32</v>
      </c>
      <c r="JXY75" s="244" t="s">
        <v>32</v>
      </c>
      <c r="JXZ75" s="244" t="s">
        <v>32</v>
      </c>
      <c r="JYA75" s="244" t="s">
        <v>32</v>
      </c>
      <c r="JYB75" s="244" t="s">
        <v>32</v>
      </c>
      <c r="JYC75" s="244" t="s">
        <v>32</v>
      </c>
      <c r="JYD75" s="244" t="s">
        <v>32</v>
      </c>
      <c r="JYE75" s="244" t="s">
        <v>32</v>
      </c>
      <c r="JYF75" s="244" t="s">
        <v>32</v>
      </c>
      <c r="JYG75" s="244" t="s">
        <v>32</v>
      </c>
      <c r="JYH75" s="244" t="s">
        <v>32</v>
      </c>
      <c r="JYI75" s="244" t="s">
        <v>32</v>
      </c>
      <c r="JYJ75" s="244" t="s">
        <v>32</v>
      </c>
      <c r="JYK75" s="244" t="s">
        <v>32</v>
      </c>
      <c r="JYL75" s="244" t="s">
        <v>32</v>
      </c>
      <c r="JYM75" s="244" t="s">
        <v>32</v>
      </c>
      <c r="JYN75" s="244" t="s">
        <v>32</v>
      </c>
      <c r="JYO75" s="244" t="s">
        <v>32</v>
      </c>
      <c r="JYP75" s="244" t="s">
        <v>32</v>
      </c>
      <c r="JYQ75" s="244" t="s">
        <v>32</v>
      </c>
      <c r="JYR75" s="244" t="s">
        <v>32</v>
      </c>
      <c r="JYS75" s="244" t="s">
        <v>32</v>
      </c>
      <c r="JYT75" s="244" t="s">
        <v>32</v>
      </c>
      <c r="JYU75" s="244" t="s">
        <v>32</v>
      </c>
      <c r="JYV75" s="244" t="s">
        <v>32</v>
      </c>
      <c r="JYW75" s="244" t="s">
        <v>32</v>
      </c>
      <c r="JYX75" s="244" t="s">
        <v>32</v>
      </c>
      <c r="JYY75" s="244" t="s">
        <v>32</v>
      </c>
      <c r="JYZ75" s="244" t="s">
        <v>32</v>
      </c>
      <c r="JZA75" s="244" t="s">
        <v>32</v>
      </c>
      <c r="JZB75" s="244" t="s">
        <v>32</v>
      </c>
      <c r="JZC75" s="244" t="s">
        <v>32</v>
      </c>
      <c r="JZD75" s="244" t="s">
        <v>32</v>
      </c>
      <c r="JZE75" s="244" t="s">
        <v>32</v>
      </c>
      <c r="JZF75" s="244" t="s">
        <v>32</v>
      </c>
      <c r="JZG75" s="244" t="s">
        <v>32</v>
      </c>
      <c r="JZH75" s="244" t="s">
        <v>32</v>
      </c>
      <c r="JZI75" s="244" t="s">
        <v>32</v>
      </c>
      <c r="JZJ75" s="244" t="s">
        <v>32</v>
      </c>
      <c r="JZK75" s="244" t="s">
        <v>32</v>
      </c>
      <c r="JZL75" s="244" t="s">
        <v>32</v>
      </c>
      <c r="JZM75" s="244" t="s">
        <v>32</v>
      </c>
      <c r="JZN75" s="244" t="s">
        <v>32</v>
      </c>
      <c r="JZO75" s="244" t="s">
        <v>32</v>
      </c>
      <c r="JZP75" s="244" t="s">
        <v>32</v>
      </c>
      <c r="JZQ75" s="244" t="s">
        <v>32</v>
      </c>
      <c r="JZR75" s="244" t="s">
        <v>32</v>
      </c>
      <c r="JZS75" s="244" t="s">
        <v>32</v>
      </c>
      <c r="JZT75" s="244" t="s">
        <v>32</v>
      </c>
      <c r="JZU75" s="244" t="s">
        <v>32</v>
      </c>
      <c r="JZV75" s="244" t="s">
        <v>32</v>
      </c>
      <c r="JZW75" s="244" t="s">
        <v>32</v>
      </c>
      <c r="JZX75" s="244" t="s">
        <v>32</v>
      </c>
      <c r="JZY75" s="244" t="s">
        <v>32</v>
      </c>
      <c r="JZZ75" s="244" t="s">
        <v>32</v>
      </c>
      <c r="KAA75" s="244" t="s">
        <v>32</v>
      </c>
      <c r="KAB75" s="244" t="s">
        <v>32</v>
      </c>
      <c r="KAC75" s="244" t="s">
        <v>32</v>
      </c>
      <c r="KAD75" s="244" t="s">
        <v>32</v>
      </c>
      <c r="KAE75" s="244" t="s">
        <v>32</v>
      </c>
      <c r="KAF75" s="244" t="s">
        <v>32</v>
      </c>
      <c r="KAG75" s="244" t="s">
        <v>32</v>
      </c>
      <c r="KAH75" s="244" t="s">
        <v>32</v>
      </c>
      <c r="KAI75" s="244" t="s">
        <v>32</v>
      </c>
      <c r="KAJ75" s="244" t="s">
        <v>32</v>
      </c>
      <c r="KAK75" s="244" t="s">
        <v>32</v>
      </c>
      <c r="KAL75" s="244" t="s">
        <v>32</v>
      </c>
      <c r="KAM75" s="244" t="s">
        <v>32</v>
      </c>
      <c r="KAN75" s="244" t="s">
        <v>32</v>
      </c>
      <c r="KAO75" s="244" t="s">
        <v>32</v>
      </c>
      <c r="KAP75" s="244" t="s">
        <v>32</v>
      </c>
      <c r="KAQ75" s="244" t="s">
        <v>32</v>
      </c>
      <c r="KAR75" s="244" t="s">
        <v>32</v>
      </c>
      <c r="KAS75" s="244" t="s">
        <v>32</v>
      </c>
      <c r="KAT75" s="244" t="s">
        <v>32</v>
      </c>
      <c r="KAU75" s="244" t="s">
        <v>32</v>
      </c>
      <c r="KAV75" s="244" t="s">
        <v>32</v>
      </c>
      <c r="KAW75" s="244" t="s">
        <v>32</v>
      </c>
      <c r="KAX75" s="244" t="s">
        <v>32</v>
      </c>
      <c r="KAY75" s="244" t="s">
        <v>32</v>
      </c>
      <c r="KAZ75" s="244" t="s">
        <v>32</v>
      </c>
      <c r="KBA75" s="244" t="s">
        <v>32</v>
      </c>
      <c r="KBB75" s="244" t="s">
        <v>32</v>
      </c>
      <c r="KBC75" s="244" t="s">
        <v>32</v>
      </c>
      <c r="KBD75" s="244" t="s">
        <v>32</v>
      </c>
      <c r="KBE75" s="244" t="s">
        <v>32</v>
      </c>
      <c r="KBF75" s="244" t="s">
        <v>32</v>
      </c>
      <c r="KBG75" s="244" t="s">
        <v>32</v>
      </c>
      <c r="KBH75" s="244" t="s">
        <v>32</v>
      </c>
      <c r="KBI75" s="244" t="s">
        <v>32</v>
      </c>
      <c r="KBJ75" s="244" t="s">
        <v>32</v>
      </c>
      <c r="KBK75" s="244" t="s">
        <v>32</v>
      </c>
      <c r="KBL75" s="244" t="s">
        <v>32</v>
      </c>
      <c r="KBM75" s="244" t="s">
        <v>32</v>
      </c>
      <c r="KBN75" s="244" t="s">
        <v>32</v>
      </c>
      <c r="KBO75" s="244" t="s">
        <v>32</v>
      </c>
      <c r="KBP75" s="244" t="s">
        <v>32</v>
      </c>
      <c r="KBQ75" s="244" t="s">
        <v>32</v>
      </c>
      <c r="KBR75" s="244" t="s">
        <v>32</v>
      </c>
      <c r="KBS75" s="244" t="s">
        <v>32</v>
      </c>
      <c r="KBT75" s="244" t="s">
        <v>32</v>
      </c>
      <c r="KBU75" s="244" t="s">
        <v>32</v>
      </c>
      <c r="KBV75" s="244" t="s">
        <v>32</v>
      </c>
      <c r="KBW75" s="244" t="s">
        <v>32</v>
      </c>
      <c r="KBX75" s="244" t="s">
        <v>32</v>
      </c>
      <c r="KBY75" s="244" t="s">
        <v>32</v>
      </c>
      <c r="KBZ75" s="244" t="s">
        <v>32</v>
      </c>
      <c r="KCA75" s="244" t="s">
        <v>32</v>
      </c>
      <c r="KCB75" s="244" t="s">
        <v>32</v>
      </c>
      <c r="KCC75" s="244" t="s">
        <v>32</v>
      </c>
      <c r="KCD75" s="244" t="s">
        <v>32</v>
      </c>
      <c r="KCE75" s="244" t="s">
        <v>32</v>
      </c>
      <c r="KCF75" s="244" t="s">
        <v>32</v>
      </c>
      <c r="KCG75" s="244" t="s">
        <v>32</v>
      </c>
      <c r="KCH75" s="244" t="s">
        <v>32</v>
      </c>
      <c r="KCI75" s="244" t="s">
        <v>32</v>
      </c>
      <c r="KCJ75" s="244" t="s">
        <v>32</v>
      </c>
      <c r="KCK75" s="244" t="s">
        <v>32</v>
      </c>
      <c r="KCL75" s="244" t="s">
        <v>32</v>
      </c>
      <c r="KCM75" s="244" t="s">
        <v>32</v>
      </c>
      <c r="KCN75" s="244" t="s">
        <v>32</v>
      </c>
      <c r="KCO75" s="244" t="s">
        <v>32</v>
      </c>
      <c r="KCP75" s="244" t="s">
        <v>32</v>
      </c>
      <c r="KCQ75" s="244" t="s">
        <v>32</v>
      </c>
      <c r="KCR75" s="244" t="s">
        <v>32</v>
      </c>
      <c r="KCS75" s="244" t="s">
        <v>32</v>
      </c>
      <c r="KCT75" s="244" t="s">
        <v>32</v>
      </c>
      <c r="KCU75" s="244" t="s">
        <v>32</v>
      </c>
      <c r="KCV75" s="244" t="s">
        <v>32</v>
      </c>
      <c r="KCW75" s="244" t="s">
        <v>32</v>
      </c>
      <c r="KCX75" s="244" t="s">
        <v>32</v>
      </c>
      <c r="KCY75" s="244" t="s">
        <v>32</v>
      </c>
      <c r="KCZ75" s="244" t="s">
        <v>32</v>
      </c>
      <c r="KDA75" s="244" t="s">
        <v>32</v>
      </c>
      <c r="KDB75" s="244" t="s">
        <v>32</v>
      </c>
      <c r="KDC75" s="244" t="s">
        <v>32</v>
      </c>
      <c r="KDD75" s="244" t="s">
        <v>32</v>
      </c>
      <c r="KDE75" s="244" t="s">
        <v>32</v>
      </c>
      <c r="KDF75" s="244" t="s">
        <v>32</v>
      </c>
      <c r="KDG75" s="244" t="s">
        <v>32</v>
      </c>
      <c r="KDH75" s="244" t="s">
        <v>32</v>
      </c>
      <c r="KDI75" s="244" t="s">
        <v>32</v>
      </c>
      <c r="KDJ75" s="244" t="s">
        <v>32</v>
      </c>
      <c r="KDK75" s="244" t="s">
        <v>32</v>
      </c>
      <c r="KDL75" s="244" t="s">
        <v>32</v>
      </c>
      <c r="KDM75" s="244" t="s">
        <v>32</v>
      </c>
      <c r="KDN75" s="244" t="s">
        <v>32</v>
      </c>
      <c r="KDO75" s="244" t="s">
        <v>32</v>
      </c>
      <c r="KDP75" s="244" t="s">
        <v>32</v>
      </c>
      <c r="KDQ75" s="244" t="s">
        <v>32</v>
      </c>
      <c r="KDR75" s="244" t="s">
        <v>32</v>
      </c>
      <c r="KDS75" s="244" t="s">
        <v>32</v>
      </c>
      <c r="KDT75" s="244" t="s">
        <v>32</v>
      </c>
      <c r="KDU75" s="244" t="s">
        <v>32</v>
      </c>
      <c r="KDV75" s="244" t="s">
        <v>32</v>
      </c>
      <c r="KDW75" s="244" t="s">
        <v>32</v>
      </c>
      <c r="KDX75" s="244" t="s">
        <v>32</v>
      </c>
      <c r="KDY75" s="244" t="s">
        <v>32</v>
      </c>
      <c r="KDZ75" s="244" t="s">
        <v>32</v>
      </c>
      <c r="KEA75" s="244" t="s">
        <v>32</v>
      </c>
      <c r="KEB75" s="244" t="s">
        <v>32</v>
      </c>
      <c r="KEC75" s="244" t="s">
        <v>32</v>
      </c>
      <c r="KED75" s="244" t="s">
        <v>32</v>
      </c>
      <c r="KEE75" s="244" t="s">
        <v>32</v>
      </c>
      <c r="KEF75" s="244" t="s">
        <v>32</v>
      </c>
      <c r="KEG75" s="244" t="s">
        <v>32</v>
      </c>
      <c r="KEH75" s="244" t="s">
        <v>32</v>
      </c>
      <c r="KEI75" s="244" t="s">
        <v>32</v>
      </c>
      <c r="KEJ75" s="244" t="s">
        <v>32</v>
      </c>
      <c r="KEK75" s="244" t="s">
        <v>32</v>
      </c>
      <c r="KEL75" s="244" t="s">
        <v>32</v>
      </c>
      <c r="KEM75" s="244" t="s">
        <v>32</v>
      </c>
      <c r="KEN75" s="244" t="s">
        <v>32</v>
      </c>
      <c r="KEO75" s="244" t="s">
        <v>32</v>
      </c>
      <c r="KEP75" s="244" t="s">
        <v>32</v>
      </c>
      <c r="KEQ75" s="244" t="s">
        <v>32</v>
      </c>
      <c r="KER75" s="244" t="s">
        <v>32</v>
      </c>
      <c r="KES75" s="244" t="s">
        <v>32</v>
      </c>
      <c r="KET75" s="244" t="s">
        <v>32</v>
      </c>
      <c r="KEU75" s="244" t="s">
        <v>32</v>
      </c>
      <c r="KEV75" s="244" t="s">
        <v>32</v>
      </c>
      <c r="KEW75" s="244" t="s">
        <v>32</v>
      </c>
      <c r="KEX75" s="244" t="s">
        <v>32</v>
      </c>
      <c r="KEY75" s="244" t="s">
        <v>32</v>
      </c>
      <c r="KEZ75" s="244" t="s">
        <v>32</v>
      </c>
      <c r="KFA75" s="244" t="s">
        <v>32</v>
      </c>
      <c r="KFB75" s="244" t="s">
        <v>32</v>
      </c>
      <c r="KFC75" s="244" t="s">
        <v>32</v>
      </c>
      <c r="KFD75" s="244" t="s">
        <v>32</v>
      </c>
      <c r="KFE75" s="244" t="s">
        <v>32</v>
      </c>
      <c r="KFF75" s="244" t="s">
        <v>32</v>
      </c>
      <c r="KFG75" s="244" t="s">
        <v>32</v>
      </c>
      <c r="KFH75" s="244" t="s">
        <v>32</v>
      </c>
      <c r="KFI75" s="244" t="s">
        <v>32</v>
      </c>
      <c r="KFJ75" s="244" t="s">
        <v>32</v>
      </c>
      <c r="KFK75" s="244" t="s">
        <v>32</v>
      </c>
      <c r="KFL75" s="244" t="s">
        <v>32</v>
      </c>
      <c r="KFM75" s="244" t="s">
        <v>32</v>
      </c>
      <c r="KFN75" s="244" t="s">
        <v>32</v>
      </c>
      <c r="KFO75" s="244" t="s">
        <v>32</v>
      </c>
      <c r="KFP75" s="244" t="s">
        <v>32</v>
      </c>
      <c r="KFQ75" s="244" t="s">
        <v>32</v>
      </c>
      <c r="KFR75" s="244" t="s">
        <v>32</v>
      </c>
      <c r="KFS75" s="244" t="s">
        <v>32</v>
      </c>
      <c r="KFT75" s="244" t="s">
        <v>32</v>
      </c>
      <c r="KFU75" s="244" t="s">
        <v>32</v>
      </c>
      <c r="KFV75" s="244" t="s">
        <v>32</v>
      </c>
      <c r="KFW75" s="244" t="s">
        <v>32</v>
      </c>
      <c r="KFX75" s="244" t="s">
        <v>32</v>
      </c>
      <c r="KFY75" s="244" t="s">
        <v>32</v>
      </c>
      <c r="KFZ75" s="244" t="s">
        <v>32</v>
      </c>
      <c r="KGA75" s="244" t="s">
        <v>32</v>
      </c>
      <c r="KGB75" s="244" t="s">
        <v>32</v>
      </c>
      <c r="KGC75" s="244" t="s">
        <v>32</v>
      </c>
      <c r="KGD75" s="244" t="s">
        <v>32</v>
      </c>
      <c r="KGE75" s="244" t="s">
        <v>32</v>
      </c>
      <c r="KGF75" s="244" t="s">
        <v>32</v>
      </c>
      <c r="KGG75" s="244" t="s">
        <v>32</v>
      </c>
      <c r="KGH75" s="244" t="s">
        <v>32</v>
      </c>
      <c r="KGI75" s="244" t="s">
        <v>32</v>
      </c>
      <c r="KGJ75" s="244" t="s">
        <v>32</v>
      </c>
      <c r="KGK75" s="244" t="s">
        <v>32</v>
      </c>
      <c r="KGL75" s="244" t="s">
        <v>32</v>
      </c>
      <c r="KGM75" s="244" t="s">
        <v>32</v>
      </c>
      <c r="KGN75" s="244" t="s">
        <v>32</v>
      </c>
      <c r="KGO75" s="244" t="s">
        <v>32</v>
      </c>
      <c r="KGP75" s="244" t="s">
        <v>32</v>
      </c>
      <c r="KGQ75" s="244" t="s">
        <v>32</v>
      </c>
      <c r="KGR75" s="244" t="s">
        <v>32</v>
      </c>
      <c r="KGS75" s="244" t="s">
        <v>32</v>
      </c>
      <c r="KGT75" s="244" t="s">
        <v>32</v>
      </c>
      <c r="KGU75" s="244" t="s">
        <v>32</v>
      </c>
      <c r="KGV75" s="244" t="s">
        <v>32</v>
      </c>
      <c r="KGW75" s="244" t="s">
        <v>32</v>
      </c>
      <c r="KGX75" s="244" t="s">
        <v>32</v>
      </c>
      <c r="KGY75" s="244" t="s">
        <v>32</v>
      </c>
      <c r="KGZ75" s="244" t="s">
        <v>32</v>
      </c>
      <c r="KHA75" s="244" t="s">
        <v>32</v>
      </c>
      <c r="KHB75" s="244" t="s">
        <v>32</v>
      </c>
      <c r="KHC75" s="244" t="s">
        <v>32</v>
      </c>
      <c r="KHD75" s="244" t="s">
        <v>32</v>
      </c>
      <c r="KHE75" s="244" t="s">
        <v>32</v>
      </c>
      <c r="KHF75" s="244" t="s">
        <v>32</v>
      </c>
      <c r="KHG75" s="244" t="s">
        <v>32</v>
      </c>
      <c r="KHH75" s="244" t="s">
        <v>32</v>
      </c>
      <c r="KHI75" s="244" t="s">
        <v>32</v>
      </c>
      <c r="KHJ75" s="244" t="s">
        <v>32</v>
      </c>
      <c r="KHK75" s="244" t="s">
        <v>32</v>
      </c>
      <c r="KHL75" s="244" t="s">
        <v>32</v>
      </c>
      <c r="KHM75" s="244" t="s">
        <v>32</v>
      </c>
      <c r="KHN75" s="244" t="s">
        <v>32</v>
      </c>
      <c r="KHO75" s="244" t="s">
        <v>32</v>
      </c>
      <c r="KHP75" s="244" t="s">
        <v>32</v>
      </c>
      <c r="KHQ75" s="244" t="s">
        <v>32</v>
      </c>
      <c r="KHR75" s="244" t="s">
        <v>32</v>
      </c>
      <c r="KHS75" s="244" t="s">
        <v>32</v>
      </c>
      <c r="KHT75" s="244" t="s">
        <v>32</v>
      </c>
      <c r="KHU75" s="244" t="s">
        <v>32</v>
      </c>
      <c r="KHV75" s="244" t="s">
        <v>32</v>
      </c>
      <c r="KHW75" s="244" t="s">
        <v>32</v>
      </c>
      <c r="KHX75" s="244" t="s">
        <v>32</v>
      </c>
      <c r="KHY75" s="244" t="s">
        <v>32</v>
      </c>
      <c r="KHZ75" s="244" t="s">
        <v>32</v>
      </c>
      <c r="KIA75" s="244" t="s">
        <v>32</v>
      </c>
      <c r="KIB75" s="244" t="s">
        <v>32</v>
      </c>
      <c r="KIC75" s="244" t="s">
        <v>32</v>
      </c>
      <c r="KID75" s="244" t="s">
        <v>32</v>
      </c>
      <c r="KIE75" s="244" t="s">
        <v>32</v>
      </c>
      <c r="KIF75" s="244" t="s">
        <v>32</v>
      </c>
      <c r="KIG75" s="244" t="s">
        <v>32</v>
      </c>
      <c r="KIH75" s="244" t="s">
        <v>32</v>
      </c>
      <c r="KII75" s="244" t="s">
        <v>32</v>
      </c>
      <c r="KIJ75" s="244" t="s">
        <v>32</v>
      </c>
      <c r="KIK75" s="244" t="s">
        <v>32</v>
      </c>
      <c r="KIL75" s="244" t="s">
        <v>32</v>
      </c>
      <c r="KIM75" s="244" t="s">
        <v>32</v>
      </c>
      <c r="KIN75" s="244" t="s">
        <v>32</v>
      </c>
      <c r="KIO75" s="244" t="s">
        <v>32</v>
      </c>
      <c r="KIP75" s="244" t="s">
        <v>32</v>
      </c>
      <c r="KIQ75" s="244" t="s">
        <v>32</v>
      </c>
      <c r="KIR75" s="244" t="s">
        <v>32</v>
      </c>
      <c r="KIS75" s="244" t="s">
        <v>32</v>
      </c>
      <c r="KIT75" s="244" t="s">
        <v>32</v>
      </c>
      <c r="KIU75" s="244" t="s">
        <v>32</v>
      </c>
      <c r="KIV75" s="244" t="s">
        <v>32</v>
      </c>
      <c r="KIW75" s="244" t="s">
        <v>32</v>
      </c>
      <c r="KIX75" s="244" t="s">
        <v>32</v>
      </c>
      <c r="KIY75" s="244" t="s">
        <v>32</v>
      </c>
      <c r="KIZ75" s="244" t="s">
        <v>32</v>
      </c>
      <c r="KJA75" s="244" t="s">
        <v>32</v>
      </c>
      <c r="KJB75" s="244" t="s">
        <v>32</v>
      </c>
      <c r="KJC75" s="244" t="s">
        <v>32</v>
      </c>
      <c r="KJD75" s="244" t="s">
        <v>32</v>
      </c>
      <c r="KJE75" s="244" t="s">
        <v>32</v>
      </c>
      <c r="KJF75" s="244" t="s">
        <v>32</v>
      </c>
      <c r="KJG75" s="244" t="s">
        <v>32</v>
      </c>
      <c r="KJH75" s="244" t="s">
        <v>32</v>
      </c>
      <c r="KJI75" s="244" t="s">
        <v>32</v>
      </c>
      <c r="KJJ75" s="244" t="s">
        <v>32</v>
      </c>
      <c r="KJK75" s="244" t="s">
        <v>32</v>
      </c>
      <c r="KJL75" s="244" t="s">
        <v>32</v>
      </c>
      <c r="KJM75" s="244" t="s">
        <v>32</v>
      </c>
      <c r="KJN75" s="244" t="s">
        <v>32</v>
      </c>
      <c r="KJO75" s="244" t="s">
        <v>32</v>
      </c>
      <c r="KJP75" s="244" t="s">
        <v>32</v>
      </c>
      <c r="KJQ75" s="244" t="s">
        <v>32</v>
      </c>
      <c r="KJR75" s="244" t="s">
        <v>32</v>
      </c>
      <c r="KJS75" s="244" t="s">
        <v>32</v>
      </c>
      <c r="KJT75" s="244" t="s">
        <v>32</v>
      </c>
      <c r="KJU75" s="244" t="s">
        <v>32</v>
      </c>
      <c r="KJV75" s="244" t="s">
        <v>32</v>
      </c>
      <c r="KJW75" s="244" t="s">
        <v>32</v>
      </c>
      <c r="KJX75" s="244" t="s">
        <v>32</v>
      </c>
      <c r="KJY75" s="244" t="s">
        <v>32</v>
      </c>
      <c r="KJZ75" s="244" t="s">
        <v>32</v>
      </c>
      <c r="KKA75" s="244" t="s">
        <v>32</v>
      </c>
      <c r="KKB75" s="244" t="s">
        <v>32</v>
      </c>
      <c r="KKC75" s="244" t="s">
        <v>32</v>
      </c>
      <c r="KKD75" s="244" t="s">
        <v>32</v>
      </c>
      <c r="KKE75" s="244" t="s">
        <v>32</v>
      </c>
      <c r="KKF75" s="244" t="s">
        <v>32</v>
      </c>
      <c r="KKG75" s="244" t="s">
        <v>32</v>
      </c>
      <c r="KKH75" s="244" t="s">
        <v>32</v>
      </c>
      <c r="KKI75" s="244" t="s">
        <v>32</v>
      </c>
      <c r="KKJ75" s="244" t="s">
        <v>32</v>
      </c>
      <c r="KKK75" s="244" t="s">
        <v>32</v>
      </c>
      <c r="KKL75" s="244" t="s">
        <v>32</v>
      </c>
      <c r="KKM75" s="244" t="s">
        <v>32</v>
      </c>
      <c r="KKN75" s="244" t="s">
        <v>32</v>
      </c>
      <c r="KKO75" s="244" t="s">
        <v>32</v>
      </c>
      <c r="KKP75" s="244" t="s">
        <v>32</v>
      </c>
      <c r="KKQ75" s="244" t="s">
        <v>32</v>
      </c>
      <c r="KKR75" s="244" t="s">
        <v>32</v>
      </c>
      <c r="KKS75" s="244" t="s">
        <v>32</v>
      </c>
      <c r="KKT75" s="244" t="s">
        <v>32</v>
      </c>
      <c r="KKU75" s="244" t="s">
        <v>32</v>
      </c>
      <c r="KKV75" s="244" t="s">
        <v>32</v>
      </c>
      <c r="KKW75" s="244" t="s">
        <v>32</v>
      </c>
      <c r="KKX75" s="244" t="s">
        <v>32</v>
      </c>
      <c r="KKY75" s="244" t="s">
        <v>32</v>
      </c>
      <c r="KKZ75" s="244" t="s">
        <v>32</v>
      </c>
      <c r="KLA75" s="244" t="s">
        <v>32</v>
      </c>
      <c r="KLB75" s="244" t="s">
        <v>32</v>
      </c>
      <c r="KLC75" s="244" t="s">
        <v>32</v>
      </c>
      <c r="KLD75" s="244" t="s">
        <v>32</v>
      </c>
      <c r="KLE75" s="244" t="s">
        <v>32</v>
      </c>
      <c r="KLF75" s="244" t="s">
        <v>32</v>
      </c>
      <c r="KLG75" s="244" t="s">
        <v>32</v>
      </c>
      <c r="KLH75" s="244" t="s">
        <v>32</v>
      </c>
      <c r="KLI75" s="244" t="s">
        <v>32</v>
      </c>
      <c r="KLJ75" s="244" t="s">
        <v>32</v>
      </c>
      <c r="KLK75" s="244" t="s">
        <v>32</v>
      </c>
      <c r="KLL75" s="244" t="s">
        <v>32</v>
      </c>
      <c r="KLM75" s="244" t="s">
        <v>32</v>
      </c>
      <c r="KLN75" s="244" t="s">
        <v>32</v>
      </c>
      <c r="KLO75" s="244" t="s">
        <v>32</v>
      </c>
      <c r="KLP75" s="244" t="s">
        <v>32</v>
      </c>
      <c r="KLQ75" s="244" t="s">
        <v>32</v>
      </c>
      <c r="KLR75" s="244" t="s">
        <v>32</v>
      </c>
      <c r="KLS75" s="244" t="s">
        <v>32</v>
      </c>
      <c r="KLT75" s="244" t="s">
        <v>32</v>
      </c>
      <c r="KLU75" s="244" t="s">
        <v>32</v>
      </c>
      <c r="KLV75" s="244" t="s">
        <v>32</v>
      </c>
      <c r="KLW75" s="244" t="s">
        <v>32</v>
      </c>
      <c r="KLX75" s="244" t="s">
        <v>32</v>
      </c>
      <c r="KLY75" s="244" t="s">
        <v>32</v>
      </c>
      <c r="KLZ75" s="244" t="s">
        <v>32</v>
      </c>
      <c r="KMA75" s="244" t="s">
        <v>32</v>
      </c>
      <c r="KMB75" s="244" t="s">
        <v>32</v>
      </c>
      <c r="KMC75" s="244" t="s">
        <v>32</v>
      </c>
      <c r="KMD75" s="244" t="s">
        <v>32</v>
      </c>
      <c r="KME75" s="244" t="s">
        <v>32</v>
      </c>
      <c r="KMF75" s="244" t="s">
        <v>32</v>
      </c>
      <c r="KMG75" s="244" t="s">
        <v>32</v>
      </c>
      <c r="KMH75" s="244" t="s">
        <v>32</v>
      </c>
      <c r="KMI75" s="244" t="s">
        <v>32</v>
      </c>
      <c r="KMJ75" s="244" t="s">
        <v>32</v>
      </c>
      <c r="KMK75" s="244" t="s">
        <v>32</v>
      </c>
      <c r="KML75" s="244" t="s">
        <v>32</v>
      </c>
      <c r="KMM75" s="244" t="s">
        <v>32</v>
      </c>
      <c r="KMN75" s="244" t="s">
        <v>32</v>
      </c>
      <c r="KMO75" s="244" t="s">
        <v>32</v>
      </c>
      <c r="KMP75" s="244" t="s">
        <v>32</v>
      </c>
      <c r="KMQ75" s="244" t="s">
        <v>32</v>
      </c>
      <c r="KMR75" s="244" t="s">
        <v>32</v>
      </c>
      <c r="KMS75" s="244" t="s">
        <v>32</v>
      </c>
      <c r="KMT75" s="244" t="s">
        <v>32</v>
      </c>
      <c r="KMU75" s="244" t="s">
        <v>32</v>
      </c>
      <c r="KMV75" s="244" t="s">
        <v>32</v>
      </c>
      <c r="KMW75" s="244" t="s">
        <v>32</v>
      </c>
      <c r="KMX75" s="244" t="s">
        <v>32</v>
      </c>
      <c r="KMY75" s="244" t="s">
        <v>32</v>
      </c>
      <c r="KMZ75" s="244" t="s">
        <v>32</v>
      </c>
      <c r="KNA75" s="244" t="s">
        <v>32</v>
      </c>
      <c r="KNB75" s="244" t="s">
        <v>32</v>
      </c>
      <c r="KNC75" s="244" t="s">
        <v>32</v>
      </c>
      <c r="KND75" s="244" t="s">
        <v>32</v>
      </c>
      <c r="KNE75" s="244" t="s">
        <v>32</v>
      </c>
      <c r="KNF75" s="244" t="s">
        <v>32</v>
      </c>
      <c r="KNG75" s="244" t="s">
        <v>32</v>
      </c>
      <c r="KNH75" s="244" t="s">
        <v>32</v>
      </c>
      <c r="KNI75" s="244" t="s">
        <v>32</v>
      </c>
      <c r="KNJ75" s="244" t="s">
        <v>32</v>
      </c>
      <c r="KNK75" s="244" t="s">
        <v>32</v>
      </c>
      <c r="KNL75" s="244" t="s">
        <v>32</v>
      </c>
      <c r="KNM75" s="244" t="s">
        <v>32</v>
      </c>
      <c r="KNN75" s="244" t="s">
        <v>32</v>
      </c>
      <c r="KNO75" s="244" t="s">
        <v>32</v>
      </c>
      <c r="KNP75" s="244" t="s">
        <v>32</v>
      </c>
      <c r="KNQ75" s="244" t="s">
        <v>32</v>
      </c>
      <c r="KNR75" s="244" t="s">
        <v>32</v>
      </c>
      <c r="KNS75" s="244" t="s">
        <v>32</v>
      </c>
      <c r="KNT75" s="244" t="s">
        <v>32</v>
      </c>
      <c r="KNU75" s="244" t="s">
        <v>32</v>
      </c>
      <c r="KNV75" s="244" t="s">
        <v>32</v>
      </c>
      <c r="KNW75" s="244" t="s">
        <v>32</v>
      </c>
      <c r="KNX75" s="244" t="s">
        <v>32</v>
      </c>
      <c r="KNY75" s="244" t="s">
        <v>32</v>
      </c>
      <c r="KNZ75" s="244" t="s">
        <v>32</v>
      </c>
      <c r="KOA75" s="244" t="s">
        <v>32</v>
      </c>
      <c r="KOB75" s="244" t="s">
        <v>32</v>
      </c>
      <c r="KOC75" s="244" t="s">
        <v>32</v>
      </c>
      <c r="KOD75" s="244" t="s">
        <v>32</v>
      </c>
      <c r="KOE75" s="244" t="s">
        <v>32</v>
      </c>
      <c r="KOF75" s="244" t="s">
        <v>32</v>
      </c>
      <c r="KOG75" s="244" t="s">
        <v>32</v>
      </c>
      <c r="KOH75" s="244" t="s">
        <v>32</v>
      </c>
      <c r="KOI75" s="244" t="s">
        <v>32</v>
      </c>
      <c r="KOJ75" s="244" t="s">
        <v>32</v>
      </c>
      <c r="KOK75" s="244" t="s">
        <v>32</v>
      </c>
      <c r="KOL75" s="244" t="s">
        <v>32</v>
      </c>
      <c r="KOM75" s="244" t="s">
        <v>32</v>
      </c>
      <c r="KON75" s="244" t="s">
        <v>32</v>
      </c>
      <c r="KOO75" s="244" t="s">
        <v>32</v>
      </c>
      <c r="KOP75" s="244" t="s">
        <v>32</v>
      </c>
      <c r="KOQ75" s="244" t="s">
        <v>32</v>
      </c>
      <c r="KOR75" s="244" t="s">
        <v>32</v>
      </c>
      <c r="KOS75" s="244" t="s">
        <v>32</v>
      </c>
      <c r="KOT75" s="244" t="s">
        <v>32</v>
      </c>
      <c r="KOU75" s="244" t="s">
        <v>32</v>
      </c>
      <c r="KOV75" s="244" t="s">
        <v>32</v>
      </c>
      <c r="KOW75" s="244" t="s">
        <v>32</v>
      </c>
      <c r="KOX75" s="244" t="s">
        <v>32</v>
      </c>
      <c r="KOY75" s="244" t="s">
        <v>32</v>
      </c>
      <c r="KOZ75" s="244" t="s">
        <v>32</v>
      </c>
      <c r="KPA75" s="244" t="s">
        <v>32</v>
      </c>
      <c r="KPB75" s="244" t="s">
        <v>32</v>
      </c>
      <c r="KPC75" s="244" t="s">
        <v>32</v>
      </c>
      <c r="KPD75" s="244" t="s">
        <v>32</v>
      </c>
      <c r="KPE75" s="244" t="s">
        <v>32</v>
      </c>
      <c r="KPF75" s="244" t="s">
        <v>32</v>
      </c>
      <c r="KPG75" s="244" t="s">
        <v>32</v>
      </c>
      <c r="KPH75" s="244" t="s">
        <v>32</v>
      </c>
      <c r="KPI75" s="244" t="s">
        <v>32</v>
      </c>
      <c r="KPJ75" s="244" t="s">
        <v>32</v>
      </c>
      <c r="KPK75" s="244" t="s">
        <v>32</v>
      </c>
      <c r="KPL75" s="244" t="s">
        <v>32</v>
      </c>
      <c r="KPM75" s="244" t="s">
        <v>32</v>
      </c>
      <c r="KPN75" s="244" t="s">
        <v>32</v>
      </c>
      <c r="KPO75" s="244" t="s">
        <v>32</v>
      </c>
      <c r="KPP75" s="244" t="s">
        <v>32</v>
      </c>
      <c r="KPQ75" s="244" t="s">
        <v>32</v>
      </c>
      <c r="KPR75" s="244" t="s">
        <v>32</v>
      </c>
      <c r="KPS75" s="244" t="s">
        <v>32</v>
      </c>
      <c r="KPT75" s="244" t="s">
        <v>32</v>
      </c>
      <c r="KPU75" s="244" t="s">
        <v>32</v>
      </c>
      <c r="KPV75" s="244" t="s">
        <v>32</v>
      </c>
      <c r="KPW75" s="244" t="s">
        <v>32</v>
      </c>
      <c r="KPX75" s="244" t="s">
        <v>32</v>
      </c>
      <c r="KPY75" s="244" t="s">
        <v>32</v>
      </c>
      <c r="KPZ75" s="244" t="s">
        <v>32</v>
      </c>
      <c r="KQA75" s="244" t="s">
        <v>32</v>
      </c>
      <c r="KQB75" s="244" t="s">
        <v>32</v>
      </c>
      <c r="KQC75" s="244" t="s">
        <v>32</v>
      </c>
      <c r="KQD75" s="244" t="s">
        <v>32</v>
      </c>
      <c r="KQE75" s="244" t="s">
        <v>32</v>
      </c>
      <c r="KQF75" s="244" t="s">
        <v>32</v>
      </c>
      <c r="KQG75" s="244" t="s">
        <v>32</v>
      </c>
      <c r="KQH75" s="244" t="s">
        <v>32</v>
      </c>
      <c r="KQI75" s="244" t="s">
        <v>32</v>
      </c>
      <c r="KQJ75" s="244" t="s">
        <v>32</v>
      </c>
      <c r="KQK75" s="244" t="s">
        <v>32</v>
      </c>
      <c r="KQL75" s="244" t="s">
        <v>32</v>
      </c>
      <c r="KQM75" s="244" t="s">
        <v>32</v>
      </c>
      <c r="KQN75" s="244" t="s">
        <v>32</v>
      </c>
      <c r="KQO75" s="244" t="s">
        <v>32</v>
      </c>
      <c r="KQP75" s="244" t="s">
        <v>32</v>
      </c>
      <c r="KQQ75" s="244" t="s">
        <v>32</v>
      </c>
      <c r="KQR75" s="244" t="s">
        <v>32</v>
      </c>
      <c r="KQS75" s="244" t="s">
        <v>32</v>
      </c>
      <c r="KQT75" s="244" t="s">
        <v>32</v>
      </c>
      <c r="KQU75" s="244" t="s">
        <v>32</v>
      </c>
      <c r="KQV75" s="244" t="s">
        <v>32</v>
      </c>
      <c r="KQW75" s="244" t="s">
        <v>32</v>
      </c>
      <c r="KQX75" s="244" t="s">
        <v>32</v>
      </c>
      <c r="KQY75" s="244" t="s">
        <v>32</v>
      </c>
      <c r="KQZ75" s="244" t="s">
        <v>32</v>
      </c>
      <c r="KRA75" s="244" t="s">
        <v>32</v>
      </c>
      <c r="KRB75" s="244" t="s">
        <v>32</v>
      </c>
      <c r="KRC75" s="244" t="s">
        <v>32</v>
      </c>
      <c r="KRD75" s="244" t="s">
        <v>32</v>
      </c>
      <c r="KRE75" s="244" t="s">
        <v>32</v>
      </c>
      <c r="KRF75" s="244" t="s">
        <v>32</v>
      </c>
      <c r="KRG75" s="244" t="s">
        <v>32</v>
      </c>
      <c r="KRH75" s="244" t="s">
        <v>32</v>
      </c>
      <c r="KRI75" s="244" t="s">
        <v>32</v>
      </c>
      <c r="KRJ75" s="244" t="s">
        <v>32</v>
      </c>
      <c r="KRK75" s="244" t="s">
        <v>32</v>
      </c>
      <c r="KRL75" s="244" t="s">
        <v>32</v>
      </c>
      <c r="KRM75" s="244" t="s">
        <v>32</v>
      </c>
      <c r="KRN75" s="244" t="s">
        <v>32</v>
      </c>
      <c r="KRO75" s="244" t="s">
        <v>32</v>
      </c>
      <c r="KRP75" s="244" t="s">
        <v>32</v>
      </c>
      <c r="KRQ75" s="244" t="s">
        <v>32</v>
      </c>
      <c r="KRR75" s="244" t="s">
        <v>32</v>
      </c>
      <c r="KRS75" s="244" t="s">
        <v>32</v>
      </c>
      <c r="KRT75" s="244" t="s">
        <v>32</v>
      </c>
      <c r="KRU75" s="244" t="s">
        <v>32</v>
      </c>
      <c r="KRV75" s="244" t="s">
        <v>32</v>
      </c>
      <c r="KRW75" s="244" t="s">
        <v>32</v>
      </c>
      <c r="KRX75" s="244" t="s">
        <v>32</v>
      </c>
      <c r="KRY75" s="244" t="s">
        <v>32</v>
      </c>
      <c r="KRZ75" s="244" t="s">
        <v>32</v>
      </c>
      <c r="KSA75" s="244" t="s">
        <v>32</v>
      </c>
      <c r="KSB75" s="244" t="s">
        <v>32</v>
      </c>
      <c r="KSC75" s="244" t="s">
        <v>32</v>
      </c>
      <c r="KSD75" s="244" t="s">
        <v>32</v>
      </c>
      <c r="KSE75" s="244" t="s">
        <v>32</v>
      </c>
      <c r="KSF75" s="244" t="s">
        <v>32</v>
      </c>
      <c r="KSG75" s="244" t="s">
        <v>32</v>
      </c>
      <c r="KSH75" s="244" t="s">
        <v>32</v>
      </c>
      <c r="KSI75" s="244" t="s">
        <v>32</v>
      </c>
      <c r="KSJ75" s="244" t="s">
        <v>32</v>
      </c>
      <c r="KSK75" s="244" t="s">
        <v>32</v>
      </c>
      <c r="KSL75" s="244" t="s">
        <v>32</v>
      </c>
      <c r="KSM75" s="244" t="s">
        <v>32</v>
      </c>
      <c r="KSN75" s="244" t="s">
        <v>32</v>
      </c>
      <c r="KSO75" s="244" t="s">
        <v>32</v>
      </c>
      <c r="KSP75" s="244" t="s">
        <v>32</v>
      </c>
      <c r="KSQ75" s="244" t="s">
        <v>32</v>
      </c>
      <c r="KSR75" s="244" t="s">
        <v>32</v>
      </c>
      <c r="KSS75" s="244" t="s">
        <v>32</v>
      </c>
      <c r="KST75" s="244" t="s">
        <v>32</v>
      </c>
      <c r="KSU75" s="244" t="s">
        <v>32</v>
      </c>
      <c r="KSV75" s="244" t="s">
        <v>32</v>
      </c>
      <c r="KSW75" s="244" t="s">
        <v>32</v>
      </c>
      <c r="KSX75" s="244" t="s">
        <v>32</v>
      </c>
      <c r="KSY75" s="244" t="s">
        <v>32</v>
      </c>
      <c r="KSZ75" s="244" t="s">
        <v>32</v>
      </c>
      <c r="KTA75" s="244" t="s">
        <v>32</v>
      </c>
      <c r="KTB75" s="244" t="s">
        <v>32</v>
      </c>
      <c r="KTC75" s="244" t="s">
        <v>32</v>
      </c>
      <c r="KTD75" s="244" t="s">
        <v>32</v>
      </c>
      <c r="KTE75" s="244" t="s">
        <v>32</v>
      </c>
      <c r="KTF75" s="244" t="s">
        <v>32</v>
      </c>
      <c r="KTG75" s="244" t="s">
        <v>32</v>
      </c>
      <c r="KTH75" s="244" t="s">
        <v>32</v>
      </c>
      <c r="KTI75" s="244" t="s">
        <v>32</v>
      </c>
      <c r="KTJ75" s="244" t="s">
        <v>32</v>
      </c>
      <c r="KTK75" s="244" t="s">
        <v>32</v>
      </c>
      <c r="KTL75" s="244" t="s">
        <v>32</v>
      </c>
      <c r="KTM75" s="244" t="s">
        <v>32</v>
      </c>
      <c r="KTN75" s="244" t="s">
        <v>32</v>
      </c>
      <c r="KTO75" s="244" t="s">
        <v>32</v>
      </c>
      <c r="KTP75" s="244" t="s">
        <v>32</v>
      </c>
      <c r="KTQ75" s="244" t="s">
        <v>32</v>
      </c>
      <c r="KTR75" s="244" t="s">
        <v>32</v>
      </c>
      <c r="KTS75" s="244" t="s">
        <v>32</v>
      </c>
      <c r="KTT75" s="244" t="s">
        <v>32</v>
      </c>
      <c r="KTU75" s="244" t="s">
        <v>32</v>
      </c>
      <c r="KTV75" s="244" t="s">
        <v>32</v>
      </c>
      <c r="KTW75" s="244" t="s">
        <v>32</v>
      </c>
      <c r="KTX75" s="244" t="s">
        <v>32</v>
      </c>
      <c r="KTY75" s="244" t="s">
        <v>32</v>
      </c>
      <c r="KTZ75" s="244" t="s">
        <v>32</v>
      </c>
      <c r="KUA75" s="244" t="s">
        <v>32</v>
      </c>
      <c r="KUB75" s="244" t="s">
        <v>32</v>
      </c>
      <c r="KUC75" s="244" t="s">
        <v>32</v>
      </c>
      <c r="KUD75" s="244" t="s">
        <v>32</v>
      </c>
      <c r="KUE75" s="244" t="s">
        <v>32</v>
      </c>
      <c r="KUF75" s="244" t="s">
        <v>32</v>
      </c>
      <c r="KUG75" s="244" t="s">
        <v>32</v>
      </c>
      <c r="KUH75" s="244" t="s">
        <v>32</v>
      </c>
      <c r="KUI75" s="244" t="s">
        <v>32</v>
      </c>
      <c r="KUJ75" s="244" t="s">
        <v>32</v>
      </c>
      <c r="KUK75" s="244" t="s">
        <v>32</v>
      </c>
      <c r="KUL75" s="244" t="s">
        <v>32</v>
      </c>
      <c r="KUM75" s="244" t="s">
        <v>32</v>
      </c>
      <c r="KUN75" s="244" t="s">
        <v>32</v>
      </c>
      <c r="KUO75" s="244" t="s">
        <v>32</v>
      </c>
      <c r="KUP75" s="244" t="s">
        <v>32</v>
      </c>
      <c r="KUQ75" s="244" t="s">
        <v>32</v>
      </c>
      <c r="KUR75" s="244" t="s">
        <v>32</v>
      </c>
      <c r="KUS75" s="244" t="s">
        <v>32</v>
      </c>
      <c r="KUT75" s="244" t="s">
        <v>32</v>
      </c>
      <c r="KUU75" s="244" t="s">
        <v>32</v>
      </c>
      <c r="KUV75" s="244" t="s">
        <v>32</v>
      </c>
      <c r="KUW75" s="244" t="s">
        <v>32</v>
      </c>
      <c r="KUX75" s="244" t="s">
        <v>32</v>
      </c>
      <c r="KUY75" s="244" t="s">
        <v>32</v>
      </c>
      <c r="KUZ75" s="244" t="s">
        <v>32</v>
      </c>
      <c r="KVA75" s="244" t="s">
        <v>32</v>
      </c>
      <c r="KVB75" s="244" t="s">
        <v>32</v>
      </c>
      <c r="KVC75" s="244" t="s">
        <v>32</v>
      </c>
      <c r="KVD75" s="244" t="s">
        <v>32</v>
      </c>
      <c r="KVE75" s="244" t="s">
        <v>32</v>
      </c>
      <c r="KVF75" s="244" t="s">
        <v>32</v>
      </c>
      <c r="KVG75" s="244" t="s">
        <v>32</v>
      </c>
      <c r="KVH75" s="244" t="s">
        <v>32</v>
      </c>
      <c r="KVI75" s="244" t="s">
        <v>32</v>
      </c>
      <c r="KVJ75" s="244" t="s">
        <v>32</v>
      </c>
      <c r="KVK75" s="244" t="s">
        <v>32</v>
      </c>
      <c r="KVL75" s="244" t="s">
        <v>32</v>
      </c>
      <c r="KVM75" s="244" t="s">
        <v>32</v>
      </c>
      <c r="KVN75" s="244" t="s">
        <v>32</v>
      </c>
      <c r="KVO75" s="244" t="s">
        <v>32</v>
      </c>
      <c r="KVP75" s="244" t="s">
        <v>32</v>
      </c>
      <c r="KVQ75" s="244" t="s">
        <v>32</v>
      </c>
      <c r="KVR75" s="244" t="s">
        <v>32</v>
      </c>
      <c r="KVS75" s="244" t="s">
        <v>32</v>
      </c>
      <c r="KVT75" s="244" t="s">
        <v>32</v>
      </c>
      <c r="KVU75" s="244" t="s">
        <v>32</v>
      </c>
      <c r="KVV75" s="244" t="s">
        <v>32</v>
      </c>
      <c r="KVW75" s="244" t="s">
        <v>32</v>
      </c>
      <c r="KVX75" s="244" t="s">
        <v>32</v>
      </c>
      <c r="KVY75" s="244" t="s">
        <v>32</v>
      </c>
      <c r="KVZ75" s="244" t="s">
        <v>32</v>
      </c>
      <c r="KWA75" s="244" t="s">
        <v>32</v>
      </c>
      <c r="KWB75" s="244" t="s">
        <v>32</v>
      </c>
      <c r="KWC75" s="244" t="s">
        <v>32</v>
      </c>
      <c r="KWD75" s="244" t="s">
        <v>32</v>
      </c>
      <c r="KWE75" s="244" t="s">
        <v>32</v>
      </c>
      <c r="KWF75" s="244" t="s">
        <v>32</v>
      </c>
      <c r="KWG75" s="244" t="s">
        <v>32</v>
      </c>
      <c r="KWH75" s="244" t="s">
        <v>32</v>
      </c>
      <c r="KWI75" s="244" t="s">
        <v>32</v>
      </c>
      <c r="KWJ75" s="244" t="s">
        <v>32</v>
      </c>
      <c r="KWK75" s="244" t="s">
        <v>32</v>
      </c>
      <c r="KWL75" s="244" t="s">
        <v>32</v>
      </c>
      <c r="KWM75" s="244" t="s">
        <v>32</v>
      </c>
      <c r="KWN75" s="244" t="s">
        <v>32</v>
      </c>
      <c r="KWO75" s="244" t="s">
        <v>32</v>
      </c>
      <c r="KWP75" s="244" t="s">
        <v>32</v>
      </c>
      <c r="KWQ75" s="244" t="s">
        <v>32</v>
      </c>
      <c r="KWR75" s="244" t="s">
        <v>32</v>
      </c>
      <c r="KWS75" s="244" t="s">
        <v>32</v>
      </c>
      <c r="KWT75" s="244" t="s">
        <v>32</v>
      </c>
      <c r="KWU75" s="244" t="s">
        <v>32</v>
      </c>
      <c r="KWV75" s="244" t="s">
        <v>32</v>
      </c>
      <c r="KWW75" s="244" t="s">
        <v>32</v>
      </c>
      <c r="KWX75" s="244" t="s">
        <v>32</v>
      </c>
      <c r="KWY75" s="244" t="s">
        <v>32</v>
      </c>
      <c r="KWZ75" s="244" t="s">
        <v>32</v>
      </c>
      <c r="KXA75" s="244" t="s">
        <v>32</v>
      </c>
      <c r="KXB75" s="244" t="s">
        <v>32</v>
      </c>
      <c r="KXC75" s="244" t="s">
        <v>32</v>
      </c>
      <c r="KXD75" s="244" t="s">
        <v>32</v>
      </c>
      <c r="KXE75" s="244" t="s">
        <v>32</v>
      </c>
      <c r="KXF75" s="244" t="s">
        <v>32</v>
      </c>
      <c r="KXG75" s="244" t="s">
        <v>32</v>
      </c>
      <c r="KXH75" s="244" t="s">
        <v>32</v>
      </c>
      <c r="KXI75" s="244" t="s">
        <v>32</v>
      </c>
      <c r="KXJ75" s="244" t="s">
        <v>32</v>
      </c>
      <c r="KXK75" s="244" t="s">
        <v>32</v>
      </c>
      <c r="KXL75" s="244" t="s">
        <v>32</v>
      </c>
      <c r="KXM75" s="244" t="s">
        <v>32</v>
      </c>
      <c r="KXN75" s="244" t="s">
        <v>32</v>
      </c>
      <c r="KXO75" s="244" t="s">
        <v>32</v>
      </c>
      <c r="KXP75" s="244" t="s">
        <v>32</v>
      </c>
      <c r="KXQ75" s="244" t="s">
        <v>32</v>
      </c>
      <c r="KXR75" s="244" t="s">
        <v>32</v>
      </c>
      <c r="KXS75" s="244" t="s">
        <v>32</v>
      </c>
      <c r="KXT75" s="244" t="s">
        <v>32</v>
      </c>
      <c r="KXU75" s="244" t="s">
        <v>32</v>
      </c>
      <c r="KXV75" s="244" t="s">
        <v>32</v>
      </c>
      <c r="KXW75" s="244" t="s">
        <v>32</v>
      </c>
      <c r="KXX75" s="244" t="s">
        <v>32</v>
      </c>
      <c r="KXY75" s="244" t="s">
        <v>32</v>
      </c>
      <c r="KXZ75" s="244" t="s">
        <v>32</v>
      </c>
      <c r="KYA75" s="244" t="s">
        <v>32</v>
      </c>
      <c r="KYB75" s="244" t="s">
        <v>32</v>
      </c>
      <c r="KYC75" s="244" t="s">
        <v>32</v>
      </c>
      <c r="KYD75" s="244" t="s">
        <v>32</v>
      </c>
      <c r="KYE75" s="244" t="s">
        <v>32</v>
      </c>
      <c r="KYF75" s="244" t="s">
        <v>32</v>
      </c>
      <c r="KYG75" s="244" t="s">
        <v>32</v>
      </c>
      <c r="KYH75" s="244" t="s">
        <v>32</v>
      </c>
      <c r="KYI75" s="244" t="s">
        <v>32</v>
      </c>
      <c r="KYJ75" s="244" t="s">
        <v>32</v>
      </c>
      <c r="KYK75" s="244" t="s">
        <v>32</v>
      </c>
      <c r="KYL75" s="244" t="s">
        <v>32</v>
      </c>
      <c r="KYM75" s="244" t="s">
        <v>32</v>
      </c>
      <c r="KYN75" s="244" t="s">
        <v>32</v>
      </c>
      <c r="KYO75" s="244" t="s">
        <v>32</v>
      </c>
      <c r="KYP75" s="244" t="s">
        <v>32</v>
      </c>
      <c r="KYQ75" s="244" t="s">
        <v>32</v>
      </c>
      <c r="KYR75" s="244" t="s">
        <v>32</v>
      </c>
      <c r="KYS75" s="244" t="s">
        <v>32</v>
      </c>
      <c r="KYT75" s="244" t="s">
        <v>32</v>
      </c>
      <c r="KYU75" s="244" t="s">
        <v>32</v>
      </c>
      <c r="KYV75" s="244" t="s">
        <v>32</v>
      </c>
      <c r="KYW75" s="244" t="s">
        <v>32</v>
      </c>
      <c r="KYX75" s="244" t="s">
        <v>32</v>
      </c>
      <c r="KYY75" s="244" t="s">
        <v>32</v>
      </c>
      <c r="KYZ75" s="244" t="s">
        <v>32</v>
      </c>
      <c r="KZA75" s="244" t="s">
        <v>32</v>
      </c>
      <c r="KZB75" s="244" t="s">
        <v>32</v>
      </c>
      <c r="KZC75" s="244" t="s">
        <v>32</v>
      </c>
      <c r="KZD75" s="244" t="s">
        <v>32</v>
      </c>
      <c r="KZE75" s="244" t="s">
        <v>32</v>
      </c>
      <c r="KZF75" s="244" t="s">
        <v>32</v>
      </c>
      <c r="KZG75" s="244" t="s">
        <v>32</v>
      </c>
      <c r="KZH75" s="244" t="s">
        <v>32</v>
      </c>
      <c r="KZI75" s="244" t="s">
        <v>32</v>
      </c>
      <c r="KZJ75" s="244" t="s">
        <v>32</v>
      </c>
      <c r="KZK75" s="244" t="s">
        <v>32</v>
      </c>
      <c r="KZL75" s="244" t="s">
        <v>32</v>
      </c>
      <c r="KZM75" s="244" t="s">
        <v>32</v>
      </c>
      <c r="KZN75" s="244" t="s">
        <v>32</v>
      </c>
      <c r="KZO75" s="244" t="s">
        <v>32</v>
      </c>
      <c r="KZP75" s="244" t="s">
        <v>32</v>
      </c>
      <c r="KZQ75" s="244" t="s">
        <v>32</v>
      </c>
      <c r="KZR75" s="244" t="s">
        <v>32</v>
      </c>
      <c r="KZS75" s="244" t="s">
        <v>32</v>
      </c>
      <c r="KZT75" s="244" t="s">
        <v>32</v>
      </c>
      <c r="KZU75" s="244" t="s">
        <v>32</v>
      </c>
      <c r="KZV75" s="244" t="s">
        <v>32</v>
      </c>
      <c r="KZW75" s="244" t="s">
        <v>32</v>
      </c>
      <c r="KZX75" s="244" t="s">
        <v>32</v>
      </c>
      <c r="KZY75" s="244" t="s">
        <v>32</v>
      </c>
      <c r="KZZ75" s="244" t="s">
        <v>32</v>
      </c>
      <c r="LAA75" s="244" t="s">
        <v>32</v>
      </c>
      <c r="LAB75" s="244" t="s">
        <v>32</v>
      </c>
      <c r="LAC75" s="244" t="s">
        <v>32</v>
      </c>
      <c r="LAD75" s="244" t="s">
        <v>32</v>
      </c>
      <c r="LAE75" s="244" t="s">
        <v>32</v>
      </c>
      <c r="LAF75" s="244" t="s">
        <v>32</v>
      </c>
      <c r="LAG75" s="244" t="s">
        <v>32</v>
      </c>
      <c r="LAH75" s="244" t="s">
        <v>32</v>
      </c>
      <c r="LAI75" s="244" t="s">
        <v>32</v>
      </c>
      <c r="LAJ75" s="244" t="s">
        <v>32</v>
      </c>
      <c r="LAK75" s="244" t="s">
        <v>32</v>
      </c>
      <c r="LAL75" s="244" t="s">
        <v>32</v>
      </c>
      <c r="LAM75" s="244" t="s">
        <v>32</v>
      </c>
      <c r="LAN75" s="244" t="s">
        <v>32</v>
      </c>
      <c r="LAO75" s="244" t="s">
        <v>32</v>
      </c>
      <c r="LAP75" s="244" t="s">
        <v>32</v>
      </c>
      <c r="LAQ75" s="244" t="s">
        <v>32</v>
      </c>
      <c r="LAR75" s="244" t="s">
        <v>32</v>
      </c>
      <c r="LAS75" s="244" t="s">
        <v>32</v>
      </c>
      <c r="LAT75" s="244" t="s">
        <v>32</v>
      </c>
      <c r="LAU75" s="244" t="s">
        <v>32</v>
      </c>
      <c r="LAV75" s="244" t="s">
        <v>32</v>
      </c>
      <c r="LAW75" s="244" t="s">
        <v>32</v>
      </c>
      <c r="LAX75" s="244" t="s">
        <v>32</v>
      </c>
      <c r="LAY75" s="244" t="s">
        <v>32</v>
      </c>
      <c r="LAZ75" s="244" t="s">
        <v>32</v>
      </c>
      <c r="LBA75" s="244" t="s">
        <v>32</v>
      </c>
      <c r="LBB75" s="244" t="s">
        <v>32</v>
      </c>
      <c r="LBC75" s="244" t="s">
        <v>32</v>
      </c>
      <c r="LBD75" s="244" t="s">
        <v>32</v>
      </c>
      <c r="LBE75" s="244" t="s">
        <v>32</v>
      </c>
      <c r="LBF75" s="244" t="s">
        <v>32</v>
      </c>
      <c r="LBG75" s="244" t="s">
        <v>32</v>
      </c>
      <c r="LBH75" s="244" t="s">
        <v>32</v>
      </c>
      <c r="LBI75" s="244" t="s">
        <v>32</v>
      </c>
      <c r="LBJ75" s="244" t="s">
        <v>32</v>
      </c>
      <c r="LBK75" s="244" t="s">
        <v>32</v>
      </c>
      <c r="LBL75" s="244" t="s">
        <v>32</v>
      </c>
      <c r="LBM75" s="244" t="s">
        <v>32</v>
      </c>
      <c r="LBN75" s="244" t="s">
        <v>32</v>
      </c>
      <c r="LBO75" s="244" t="s">
        <v>32</v>
      </c>
      <c r="LBP75" s="244" t="s">
        <v>32</v>
      </c>
      <c r="LBQ75" s="244" t="s">
        <v>32</v>
      </c>
      <c r="LBR75" s="244" t="s">
        <v>32</v>
      </c>
      <c r="LBS75" s="244" t="s">
        <v>32</v>
      </c>
      <c r="LBT75" s="244" t="s">
        <v>32</v>
      </c>
      <c r="LBU75" s="244" t="s">
        <v>32</v>
      </c>
      <c r="LBV75" s="244" t="s">
        <v>32</v>
      </c>
      <c r="LBW75" s="244" t="s">
        <v>32</v>
      </c>
      <c r="LBX75" s="244" t="s">
        <v>32</v>
      </c>
      <c r="LBY75" s="244" t="s">
        <v>32</v>
      </c>
      <c r="LBZ75" s="244" t="s">
        <v>32</v>
      </c>
      <c r="LCA75" s="244" t="s">
        <v>32</v>
      </c>
      <c r="LCB75" s="244" t="s">
        <v>32</v>
      </c>
      <c r="LCC75" s="244" t="s">
        <v>32</v>
      </c>
      <c r="LCD75" s="244" t="s">
        <v>32</v>
      </c>
      <c r="LCE75" s="244" t="s">
        <v>32</v>
      </c>
      <c r="LCF75" s="244" t="s">
        <v>32</v>
      </c>
      <c r="LCG75" s="244" t="s">
        <v>32</v>
      </c>
      <c r="LCH75" s="244" t="s">
        <v>32</v>
      </c>
      <c r="LCI75" s="244" t="s">
        <v>32</v>
      </c>
      <c r="LCJ75" s="244" t="s">
        <v>32</v>
      </c>
      <c r="LCK75" s="244" t="s">
        <v>32</v>
      </c>
      <c r="LCL75" s="244" t="s">
        <v>32</v>
      </c>
      <c r="LCM75" s="244" t="s">
        <v>32</v>
      </c>
      <c r="LCN75" s="244" t="s">
        <v>32</v>
      </c>
      <c r="LCO75" s="244" t="s">
        <v>32</v>
      </c>
      <c r="LCP75" s="244" t="s">
        <v>32</v>
      </c>
      <c r="LCQ75" s="244" t="s">
        <v>32</v>
      </c>
      <c r="LCR75" s="244" t="s">
        <v>32</v>
      </c>
      <c r="LCS75" s="244" t="s">
        <v>32</v>
      </c>
      <c r="LCT75" s="244" t="s">
        <v>32</v>
      </c>
      <c r="LCU75" s="244" t="s">
        <v>32</v>
      </c>
      <c r="LCV75" s="244" t="s">
        <v>32</v>
      </c>
      <c r="LCW75" s="244" t="s">
        <v>32</v>
      </c>
      <c r="LCX75" s="244" t="s">
        <v>32</v>
      </c>
      <c r="LCY75" s="244" t="s">
        <v>32</v>
      </c>
      <c r="LCZ75" s="244" t="s">
        <v>32</v>
      </c>
      <c r="LDA75" s="244" t="s">
        <v>32</v>
      </c>
      <c r="LDB75" s="244" t="s">
        <v>32</v>
      </c>
      <c r="LDC75" s="244" t="s">
        <v>32</v>
      </c>
      <c r="LDD75" s="244" t="s">
        <v>32</v>
      </c>
      <c r="LDE75" s="244" t="s">
        <v>32</v>
      </c>
      <c r="LDF75" s="244" t="s">
        <v>32</v>
      </c>
      <c r="LDG75" s="244" t="s">
        <v>32</v>
      </c>
      <c r="LDH75" s="244" t="s">
        <v>32</v>
      </c>
      <c r="LDI75" s="244" t="s">
        <v>32</v>
      </c>
      <c r="LDJ75" s="244" t="s">
        <v>32</v>
      </c>
      <c r="LDK75" s="244" t="s">
        <v>32</v>
      </c>
      <c r="LDL75" s="244" t="s">
        <v>32</v>
      </c>
      <c r="LDM75" s="244" t="s">
        <v>32</v>
      </c>
      <c r="LDN75" s="244" t="s">
        <v>32</v>
      </c>
      <c r="LDO75" s="244" t="s">
        <v>32</v>
      </c>
      <c r="LDP75" s="244" t="s">
        <v>32</v>
      </c>
      <c r="LDQ75" s="244" t="s">
        <v>32</v>
      </c>
      <c r="LDR75" s="244" t="s">
        <v>32</v>
      </c>
      <c r="LDS75" s="244" t="s">
        <v>32</v>
      </c>
      <c r="LDT75" s="244" t="s">
        <v>32</v>
      </c>
      <c r="LDU75" s="244" t="s">
        <v>32</v>
      </c>
      <c r="LDV75" s="244" t="s">
        <v>32</v>
      </c>
      <c r="LDW75" s="244" t="s">
        <v>32</v>
      </c>
      <c r="LDX75" s="244" t="s">
        <v>32</v>
      </c>
      <c r="LDY75" s="244" t="s">
        <v>32</v>
      </c>
      <c r="LDZ75" s="244" t="s">
        <v>32</v>
      </c>
      <c r="LEA75" s="244" t="s">
        <v>32</v>
      </c>
      <c r="LEB75" s="244" t="s">
        <v>32</v>
      </c>
      <c r="LEC75" s="244" t="s">
        <v>32</v>
      </c>
      <c r="LED75" s="244" t="s">
        <v>32</v>
      </c>
      <c r="LEE75" s="244" t="s">
        <v>32</v>
      </c>
      <c r="LEF75" s="244" t="s">
        <v>32</v>
      </c>
      <c r="LEG75" s="244" t="s">
        <v>32</v>
      </c>
      <c r="LEH75" s="244" t="s">
        <v>32</v>
      </c>
      <c r="LEI75" s="244" t="s">
        <v>32</v>
      </c>
      <c r="LEJ75" s="244" t="s">
        <v>32</v>
      </c>
      <c r="LEK75" s="244" t="s">
        <v>32</v>
      </c>
      <c r="LEL75" s="244" t="s">
        <v>32</v>
      </c>
      <c r="LEM75" s="244" t="s">
        <v>32</v>
      </c>
      <c r="LEN75" s="244" t="s">
        <v>32</v>
      </c>
      <c r="LEO75" s="244" t="s">
        <v>32</v>
      </c>
      <c r="LEP75" s="244" t="s">
        <v>32</v>
      </c>
      <c r="LEQ75" s="244" t="s">
        <v>32</v>
      </c>
      <c r="LER75" s="244" t="s">
        <v>32</v>
      </c>
      <c r="LES75" s="244" t="s">
        <v>32</v>
      </c>
      <c r="LET75" s="244" t="s">
        <v>32</v>
      </c>
      <c r="LEU75" s="244" t="s">
        <v>32</v>
      </c>
      <c r="LEV75" s="244" t="s">
        <v>32</v>
      </c>
      <c r="LEW75" s="244" t="s">
        <v>32</v>
      </c>
      <c r="LEX75" s="244" t="s">
        <v>32</v>
      </c>
      <c r="LEY75" s="244" t="s">
        <v>32</v>
      </c>
      <c r="LEZ75" s="244" t="s">
        <v>32</v>
      </c>
      <c r="LFA75" s="244" t="s">
        <v>32</v>
      </c>
      <c r="LFB75" s="244" t="s">
        <v>32</v>
      </c>
      <c r="LFC75" s="244" t="s">
        <v>32</v>
      </c>
      <c r="LFD75" s="244" t="s">
        <v>32</v>
      </c>
      <c r="LFE75" s="244" t="s">
        <v>32</v>
      </c>
      <c r="LFF75" s="244" t="s">
        <v>32</v>
      </c>
      <c r="LFG75" s="244" t="s">
        <v>32</v>
      </c>
      <c r="LFH75" s="244" t="s">
        <v>32</v>
      </c>
      <c r="LFI75" s="244" t="s">
        <v>32</v>
      </c>
      <c r="LFJ75" s="244" t="s">
        <v>32</v>
      </c>
      <c r="LFK75" s="244" t="s">
        <v>32</v>
      </c>
      <c r="LFL75" s="244" t="s">
        <v>32</v>
      </c>
      <c r="LFM75" s="244" t="s">
        <v>32</v>
      </c>
      <c r="LFN75" s="244" t="s">
        <v>32</v>
      </c>
      <c r="LFO75" s="244" t="s">
        <v>32</v>
      </c>
      <c r="LFP75" s="244" t="s">
        <v>32</v>
      </c>
      <c r="LFQ75" s="244" t="s">
        <v>32</v>
      </c>
      <c r="LFR75" s="244" t="s">
        <v>32</v>
      </c>
      <c r="LFS75" s="244" t="s">
        <v>32</v>
      </c>
      <c r="LFT75" s="244" t="s">
        <v>32</v>
      </c>
      <c r="LFU75" s="244" t="s">
        <v>32</v>
      </c>
      <c r="LFV75" s="244" t="s">
        <v>32</v>
      </c>
      <c r="LFW75" s="244" t="s">
        <v>32</v>
      </c>
      <c r="LFX75" s="244" t="s">
        <v>32</v>
      </c>
      <c r="LFY75" s="244" t="s">
        <v>32</v>
      </c>
      <c r="LFZ75" s="244" t="s">
        <v>32</v>
      </c>
      <c r="LGA75" s="244" t="s">
        <v>32</v>
      </c>
      <c r="LGB75" s="244" t="s">
        <v>32</v>
      </c>
      <c r="LGC75" s="244" t="s">
        <v>32</v>
      </c>
      <c r="LGD75" s="244" t="s">
        <v>32</v>
      </c>
      <c r="LGE75" s="244" t="s">
        <v>32</v>
      </c>
      <c r="LGF75" s="244" t="s">
        <v>32</v>
      </c>
      <c r="LGG75" s="244" t="s">
        <v>32</v>
      </c>
      <c r="LGH75" s="244" t="s">
        <v>32</v>
      </c>
      <c r="LGI75" s="244" t="s">
        <v>32</v>
      </c>
      <c r="LGJ75" s="244" t="s">
        <v>32</v>
      </c>
      <c r="LGK75" s="244" t="s">
        <v>32</v>
      </c>
      <c r="LGL75" s="244" t="s">
        <v>32</v>
      </c>
      <c r="LGM75" s="244" t="s">
        <v>32</v>
      </c>
      <c r="LGN75" s="244" t="s">
        <v>32</v>
      </c>
      <c r="LGO75" s="244" t="s">
        <v>32</v>
      </c>
      <c r="LGP75" s="244" t="s">
        <v>32</v>
      </c>
      <c r="LGQ75" s="244" t="s">
        <v>32</v>
      </c>
      <c r="LGR75" s="244" t="s">
        <v>32</v>
      </c>
      <c r="LGS75" s="244" t="s">
        <v>32</v>
      </c>
      <c r="LGT75" s="244" t="s">
        <v>32</v>
      </c>
      <c r="LGU75" s="244" t="s">
        <v>32</v>
      </c>
      <c r="LGV75" s="244" t="s">
        <v>32</v>
      </c>
      <c r="LGW75" s="244" t="s">
        <v>32</v>
      </c>
      <c r="LGX75" s="244" t="s">
        <v>32</v>
      </c>
      <c r="LGY75" s="244" t="s">
        <v>32</v>
      </c>
      <c r="LGZ75" s="244" t="s">
        <v>32</v>
      </c>
      <c r="LHA75" s="244" t="s">
        <v>32</v>
      </c>
      <c r="LHB75" s="244" t="s">
        <v>32</v>
      </c>
      <c r="LHC75" s="244" t="s">
        <v>32</v>
      </c>
      <c r="LHD75" s="244" t="s">
        <v>32</v>
      </c>
      <c r="LHE75" s="244" t="s">
        <v>32</v>
      </c>
      <c r="LHF75" s="244" t="s">
        <v>32</v>
      </c>
      <c r="LHG75" s="244" t="s">
        <v>32</v>
      </c>
      <c r="LHH75" s="244" t="s">
        <v>32</v>
      </c>
      <c r="LHI75" s="244" t="s">
        <v>32</v>
      </c>
      <c r="LHJ75" s="244" t="s">
        <v>32</v>
      </c>
      <c r="LHK75" s="244" t="s">
        <v>32</v>
      </c>
      <c r="LHL75" s="244" t="s">
        <v>32</v>
      </c>
      <c r="LHM75" s="244" t="s">
        <v>32</v>
      </c>
      <c r="LHN75" s="244" t="s">
        <v>32</v>
      </c>
      <c r="LHO75" s="244" t="s">
        <v>32</v>
      </c>
      <c r="LHP75" s="244" t="s">
        <v>32</v>
      </c>
      <c r="LHQ75" s="244" t="s">
        <v>32</v>
      </c>
      <c r="LHR75" s="244" t="s">
        <v>32</v>
      </c>
      <c r="LHS75" s="244" t="s">
        <v>32</v>
      </c>
      <c r="LHT75" s="244" t="s">
        <v>32</v>
      </c>
      <c r="LHU75" s="244" t="s">
        <v>32</v>
      </c>
      <c r="LHV75" s="244" t="s">
        <v>32</v>
      </c>
      <c r="LHW75" s="244" t="s">
        <v>32</v>
      </c>
      <c r="LHX75" s="244" t="s">
        <v>32</v>
      </c>
      <c r="LHY75" s="244" t="s">
        <v>32</v>
      </c>
      <c r="LHZ75" s="244" t="s">
        <v>32</v>
      </c>
      <c r="LIA75" s="244" t="s">
        <v>32</v>
      </c>
      <c r="LIB75" s="244" t="s">
        <v>32</v>
      </c>
      <c r="LIC75" s="244" t="s">
        <v>32</v>
      </c>
      <c r="LID75" s="244" t="s">
        <v>32</v>
      </c>
      <c r="LIE75" s="244" t="s">
        <v>32</v>
      </c>
      <c r="LIF75" s="244" t="s">
        <v>32</v>
      </c>
      <c r="LIG75" s="244" t="s">
        <v>32</v>
      </c>
      <c r="LIH75" s="244" t="s">
        <v>32</v>
      </c>
      <c r="LII75" s="244" t="s">
        <v>32</v>
      </c>
      <c r="LIJ75" s="244" t="s">
        <v>32</v>
      </c>
      <c r="LIK75" s="244" t="s">
        <v>32</v>
      </c>
      <c r="LIL75" s="244" t="s">
        <v>32</v>
      </c>
      <c r="LIM75" s="244" t="s">
        <v>32</v>
      </c>
      <c r="LIN75" s="244" t="s">
        <v>32</v>
      </c>
      <c r="LIO75" s="244" t="s">
        <v>32</v>
      </c>
      <c r="LIP75" s="244" t="s">
        <v>32</v>
      </c>
      <c r="LIQ75" s="244" t="s">
        <v>32</v>
      </c>
      <c r="LIR75" s="244" t="s">
        <v>32</v>
      </c>
      <c r="LIS75" s="244" t="s">
        <v>32</v>
      </c>
      <c r="LIT75" s="244" t="s">
        <v>32</v>
      </c>
      <c r="LIU75" s="244" t="s">
        <v>32</v>
      </c>
      <c r="LIV75" s="244" t="s">
        <v>32</v>
      </c>
      <c r="LIW75" s="244" t="s">
        <v>32</v>
      </c>
      <c r="LIX75" s="244" t="s">
        <v>32</v>
      </c>
      <c r="LIY75" s="244" t="s">
        <v>32</v>
      </c>
      <c r="LIZ75" s="244" t="s">
        <v>32</v>
      </c>
      <c r="LJA75" s="244" t="s">
        <v>32</v>
      </c>
      <c r="LJB75" s="244" t="s">
        <v>32</v>
      </c>
      <c r="LJC75" s="244" t="s">
        <v>32</v>
      </c>
      <c r="LJD75" s="244" t="s">
        <v>32</v>
      </c>
      <c r="LJE75" s="244" t="s">
        <v>32</v>
      </c>
      <c r="LJF75" s="244" t="s">
        <v>32</v>
      </c>
      <c r="LJG75" s="244" t="s">
        <v>32</v>
      </c>
      <c r="LJH75" s="244" t="s">
        <v>32</v>
      </c>
      <c r="LJI75" s="244" t="s">
        <v>32</v>
      </c>
      <c r="LJJ75" s="244" t="s">
        <v>32</v>
      </c>
      <c r="LJK75" s="244" t="s">
        <v>32</v>
      </c>
      <c r="LJL75" s="244" t="s">
        <v>32</v>
      </c>
      <c r="LJM75" s="244" t="s">
        <v>32</v>
      </c>
      <c r="LJN75" s="244" t="s">
        <v>32</v>
      </c>
      <c r="LJO75" s="244" t="s">
        <v>32</v>
      </c>
      <c r="LJP75" s="244" t="s">
        <v>32</v>
      </c>
      <c r="LJQ75" s="244" t="s">
        <v>32</v>
      </c>
      <c r="LJR75" s="244" t="s">
        <v>32</v>
      </c>
      <c r="LJS75" s="244" t="s">
        <v>32</v>
      </c>
      <c r="LJT75" s="244" t="s">
        <v>32</v>
      </c>
      <c r="LJU75" s="244" t="s">
        <v>32</v>
      </c>
      <c r="LJV75" s="244" t="s">
        <v>32</v>
      </c>
      <c r="LJW75" s="244" t="s">
        <v>32</v>
      </c>
      <c r="LJX75" s="244" t="s">
        <v>32</v>
      </c>
      <c r="LJY75" s="244" t="s">
        <v>32</v>
      </c>
      <c r="LJZ75" s="244" t="s">
        <v>32</v>
      </c>
      <c r="LKA75" s="244" t="s">
        <v>32</v>
      </c>
      <c r="LKB75" s="244" t="s">
        <v>32</v>
      </c>
      <c r="LKC75" s="244" t="s">
        <v>32</v>
      </c>
      <c r="LKD75" s="244" t="s">
        <v>32</v>
      </c>
      <c r="LKE75" s="244" t="s">
        <v>32</v>
      </c>
      <c r="LKF75" s="244" t="s">
        <v>32</v>
      </c>
      <c r="LKG75" s="244" t="s">
        <v>32</v>
      </c>
      <c r="LKH75" s="244" t="s">
        <v>32</v>
      </c>
      <c r="LKI75" s="244" t="s">
        <v>32</v>
      </c>
      <c r="LKJ75" s="244" t="s">
        <v>32</v>
      </c>
      <c r="LKK75" s="244" t="s">
        <v>32</v>
      </c>
      <c r="LKL75" s="244" t="s">
        <v>32</v>
      </c>
      <c r="LKM75" s="244" t="s">
        <v>32</v>
      </c>
      <c r="LKN75" s="244" t="s">
        <v>32</v>
      </c>
      <c r="LKO75" s="244" t="s">
        <v>32</v>
      </c>
      <c r="LKP75" s="244" t="s">
        <v>32</v>
      </c>
      <c r="LKQ75" s="244" t="s">
        <v>32</v>
      </c>
      <c r="LKR75" s="244" t="s">
        <v>32</v>
      </c>
      <c r="LKS75" s="244" t="s">
        <v>32</v>
      </c>
      <c r="LKT75" s="244" t="s">
        <v>32</v>
      </c>
      <c r="LKU75" s="244" t="s">
        <v>32</v>
      </c>
      <c r="LKV75" s="244" t="s">
        <v>32</v>
      </c>
      <c r="LKW75" s="244" t="s">
        <v>32</v>
      </c>
      <c r="LKX75" s="244" t="s">
        <v>32</v>
      </c>
      <c r="LKY75" s="244" t="s">
        <v>32</v>
      </c>
      <c r="LKZ75" s="244" t="s">
        <v>32</v>
      </c>
      <c r="LLA75" s="244" t="s">
        <v>32</v>
      </c>
      <c r="LLB75" s="244" t="s">
        <v>32</v>
      </c>
      <c r="LLC75" s="244" t="s">
        <v>32</v>
      </c>
      <c r="LLD75" s="244" t="s">
        <v>32</v>
      </c>
      <c r="LLE75" s="244" t="s">
        <v>32</v>
      </c>
      <c r="LLF75" s="244" t="s">
        <v>32</v>
      </c>
      <c r="LLG75" s="244" t="s">
        <v>32</v>
      </c>
      <c r="LLH75" s="244" t="s">
        <v>32</v>
      </c>
      <c r="LLI75" s="244" t="s">
        <v>32</v>
      </c>
      <c r="LLJ75" s="244" t="s">
        <v>32</v>
      </c>
      <c r="LLK75" s="244" t="s">
        <v>32</v>
      </c>
      <c r="LLL75" s="244" t="s">
        <v>32</v>
      </c>
      <c r="LLM75" s="244" t="s">
        <v>32</v>
      </c>
      <c r="LLN75" s="244" t="s">
        <v>32</v>
      </c>
      <c r="LLO75" s="244" t="s">
        <v>32</v>
      </c>
      <c r="LLP75" s="244" t="s">
        <v>32</v>
      </c>
      <c r="LLQ75" s="244" t="s">
        <v>32</v>
      </c>
      <c r="LLR75" s="244" t="s">
        <v>32</v>
      </c>
      <c r="LLS75" s="244" t="s">
        <v>32</v>
      </c>
      <c r="LLT75" s="244" t="s">
        <v>32</v>
      </c>
      <c r="LLU75" s="244" t="s">
        <v>32</v>
      </c>
      <c r="LLV75" s="244" t="s">
        <v>32</v>
      </c>
      <c r="LLW75" s="244" t="s">
        <v>32</v>
      </c>
      <c r="LLX75" s="244" t="s">
        <v>32</v>
      </c>
      <c r="LLY75" s="244" t="s">
        <v>32</v>
      </c>
      <c r="LLZ75" s="244" t="s">
        <v>32</v>
      </c>
      <c r="LMA75" s="244" t="s">
        <v>32</v>
      </c>
      <c r="LMB75" s="244" t="s">
        <v>32</v>
      </c>
      <c r="LMC75" s="244" t="s">
        <v>32</v>
      </c>
      <c r="LMD75" s="244" t="s">
        <v>32</v>
      </c>
      <c r="LME75" s="244" t="s">
        <v>32</v>
      </c>
      <c r="LMF75" s="244" t="s">
        <v>32</v>
      </c>
      <c r="LMG75" s="244" t="s">
        <v>32</v>
      </c>
      <c r="LMH75" s="244" t="s">
        <v>32</v>
      </c>
      <c r="LMI75" s="244" t="s">
        <v>32</v>
      </c>
      <c r="LMJ75" s="244" t="s">
        <v>32</v>
      </c>
      <c r="LMK75" s="244" t="s">
        <v>32</v>
      </c>
      <c r="LML75" s="244" t="s">
        <v>32</v>
      </c>
      <c r="LMM75" s="244" t="s">
        <v>32</v>
      </c>
      <c r="LMN75" s="244" t="s">
        <v>32</v>
      </c>
      <c r="LMO75" s="244" t="s">
        <v>32</v>
      </c>
      <c r="LMP75" s="244" t="s">
        <v>32</v>
      </c>
      <c r="LMQ75" s="244" t="s">
        <v>32</v>
      </c>
      <c r="LMR75" s="244" t="s">
        <v>32</v>
      </c>
      <c r="LMS75" s="244" t="s">
        <v>32</v>
      </c>
      <c r="LMT75" s="244" t="s">
        <v>32</v>
      </c>
      <c r="LMU75" s="244" t="s">
        <v>32</v>
      </c>
      <c r="LMV75" s="244" t="s">
        <v>32</v>
      </c>
      <c r="LMW75" s="244" t="s">
        <v>32</v>
      </c>
      <c r="LMX75" s="244" t="s">
        <v>32</v>
      </c>
      <c r="LMY75" s="244" t="s">
        <v>32</v>
      </c>
      <c r="LMZ75" s="244" t="s">
        <v>32</v>
      </c>
      <c r="LNA75" s="244" t="s">
        <v>32</v>
      </c>
      <c r="LNB75" s="244" t="s">
        <v>32</v>
      </c>
      <c r="LNC75" s="244" t="s">
        <v>32</v>
      </c>
      <c r="LND75" s="244" t="s">
        <v>32</v>
      </c>
      <c r="LNE75" s="244" t="s">
        <v>32</v>
      </c>
      <c r="LNF75" s="244" t="s">
        <v>32</v>
      </c>
      <c r="LNG75" s="244" t="s">
        <v>32</v>
      </c>
      <c r="LNH75" s="244" t="s">
        <v>32</v>
      </c>
      <c r="LNI75" s="244" t="s">
        <v>32</v>
      </c>
      <c r="LNJ75" s="244" t="s">
        <v>32</v>
      </c>
      <c r="LNK75" s="244" t="s">
        <v>32</v>
      </c>
      <c r="LNL75" s="244" t="s">
        <v>32</v>
      </c>
      <c r="LNM75" s="244" t="s">
        <v>32</v>
      </c>
      <c r="LNN75" s="244" t="s">
        <v>32</v>
      </c>
      <c r="LNO75" s="244" t="s">
        <v>32</v>
      </c>
      <c r="LNP75" s="244" t="s">
        <v>32</v>
      </c>
      <c r="LNQ75" s="244" t="s">
        <v>32</v>
      </c>
      <c r="LNR75" s="244" t="s">
        <v>32</v>
      </c>
      <c r="LNS75" s="244" t="s">
        <v>32</v>
      </c>
      <c r="LNT75" s="244" t="s">
        <v>32</v>
      </c>
      <c r="LNU75" s="244" t="s">
        <v>32</v>
      </c>
      <c r="LNV75" s="244" t="s">
        <v>32</v>
      </c>
      <c r="LNW75" s="244" t="s">
        <v>32</v>
      </c>
      <c r="LNX75" s="244" t="s">
        <v>32</v>
      </c>
      <c r="LNY75" s="244" t="s">
        <v>32</v>
      </c>
      <c r="LNZ75" s="244" t="s">
        <v>32</v>
      </c>
      <c r="LOA75" s="244" t="s">
        <v>32</v>
      </c>
      <c r="LOB75" s="244" t="s">
        <v>32</v>
      </c>
      <c r="LOC75" s="244" t="s">
        <v>32</v>
      </c>
      <c r="LOD75" s="244" t="s">
        <v>32</v>
      </c>
      <c r="LOE75" s="244" t="s">
        <v>32</v>
      </c>
      <c r="LOF75" s="244" t="s">
        <v>32</v>
      </c>
      <c r="LOG75" s="244" t="s">
        <v>32</v>
      </c>
      <c r="LOH75" s="244" t="s">
        <v>32</v>
      </c>
      <c r="LOI75" s="244" t="s">
        <v>32</v>
      </c>
      <c r="LOJ75" s="244" t="s">
        <v>32</v>
      </c>
      <c r="LOK75" s="244" t="s">
        <v>32</v>
      </c>
      <c r="LOL75" s="244" t="s">
        <v>32</v>
      </c>
      <c r="LOM75" s="244" t="s">
        <v>32</v>
      </c>
      <c r="LON75" s="244" t="s">
        <v>32</v>
      </c>
      <c r="LOO75" s="244" t="s">
        <v>32</v>
      </c>
      <c r="LOP75" s="244" t="s">
        <v>32</v>
      </c>
      <c r="LOQ75" s="244" t="s">
        <v>32</v>
      </c>
      <c r="LOR75" s="244" t="s">
        <v>32</v>
      </c>
      <c r="LOS75" s="244" t="s">
        <v>32</v>
      </c>
      <c r="LOT75" s="244" t="s">
        <v>32</v>
      </c>
      <c r="LOU75" s="244" t="s">
        <v>32</v>
      </c>
      <c r="LOV75" s="244" t="s">
        <v>32</v>
      </c>
      <c r="LOW75" s="244" t="s">
        <v>32</v>
      </c>
      <c r="LOX75" s="244" t="s">
        <v>32</v>
      </c>
      <c r="LOY75" s="244" t="s">
        <v>32</v>
      </c>
      <c r="LOZ75" s="244" t="s">
        <v>32</v>
      </c>
      <c r="LPA75" s="244" t="s">
        <v>32</v>
      </c>
      <c r="LPB75" s="244" t="s">
        <v>32</v>
      </c>
      <c r="LPC75" s="244" t="s">
        <v>32</v>
      </c>
      <c r="LPD75" s="244" t="s">
        <v>32</v>
      </c>
      <c r="LPE75" s="244" t="s">
        <v>32</v>
      </c>
      <c r="LPF75" s="244" t="s">
        <v>32</v>
      </c>
      <c r="LPG75" s="244" t="s">
        <v>32</v>
      </c>
      <c r="LPH75" s="244" t="s">
        <v>32</v>
      </c>
      <c r="LPI75" s="244" t="s">
        <v>32</v>
      </c>
      <c r="LPJ75" s="244" t="s">
        <v>32</v>
      </c>
      <c r="LPK75" s="244" t="s">
        <v>32</v>
      </c>
      <c r="LPL75" s="244" t="s">
        <v>32</v>
      </c>
      <c r="LPM75" s="244" t="s">
        <v>32</v>
      </c>
      <c r="LPN75" s="244" t="s">
        <v>32</v>
      </c>
      <c r="LPO75" s="244" t="s">
        <v>32</v>
      </c>
      <c r="LPP75" s="244" t="s">
        <v>32</v>
      </c>
      <c r="LPQ75" s="244" t="s">
        <v>32</v>
      </c>
      <c r="LPR75" s="244" t="s">
        <v>32</v>
      </c>
      <c r="LPS75" s="244" t="s">
        <v>32</v>
      </c>
      <c r="LPT75" s="244" t="s">
        <v>32</v>
      </c>
      <c r="LPU75" s="244" t="s">
        <v>32</v>
      </c>
      <c r="LPV75" s="244" t="s">
        <v>32</v>
      </c>
      <c r="LPW75" s="244" t="s">
        <v>32</v>
      </c>
      <c r="LPX75" s="244" t="s">
        <v>32</v>
      </c>
      <c r="LPY75" s="244" t="s">
        <v>32</v>
      </c>
      <c r="LPZ75" s="244" t="s">
        <v>32</v>
      </c>
      <c r="LQA75" s="244" t="s">
        <v>32</v>
      </c>
      <c r="LQB75" s="244" t="s">
        <v>32</v>
      </c>
      <c r="LQC75" s="244" t="s">
        <v>32</v>
      </c>
      <c r="LQD75" s="244" t="s">
        <v>32</v>
      </c>
      <c r="LQE75" s="244" t="s">
        <v>32</v>
      </c>
      <c r="LQF75" s="244" t="s">
        <v>32</v>
      </c>
      <c r="LQG75" s="244" t="s">
        <v>32</v>
      </c>
      <c r="LQH75" s="244" t="s">
        <v>32</v>
      </c>
      <c r="LQI75" s="244" t="s">
        <v>32</v>
      </c>
      <c r="LQJ75" s="244" t="s">
        <v>32</v>
      </c>
      <c r="LQK75" s="244" t="s">
        <v>32</v>
      </c>
      <c r="LQL75" s="244" t="s">
        <v>32</v>
      </c>
      <c r="LQM75" s="244" t="s">
        <v>32</v>
      </c>
      <c r="LQN75" s="244" t="s">
        <v>32</v>
      </c>
      <c r="LQO75" s="244" t="s">
        <v>32</v>
      </c>
      <c r="LQP75" s="244" t="s">
        <v>32</v>
      </c>
      <c r="LQQ75" s="244" t="s">
        <v>32</v>
      </c>
      <c r="LQR75" s="244" t="s">
        <v>32</v>
      </c>
      <c r="LQS75" s="244" t="s">
        <v>32</v>
      </c>
      <c r="LQT75" s="244" t="s">
        <v>32</v>
      </c>
      <c r="LQU75" s="244" t="s">
        <v>32</v>
      </c>
      <c r="LQV75" s="244" t="s">
        <v>32</v>
      </c>
      <c r="LQW75" s="244" t="s">
        <v>32</v>
      </c>
      <c r="LQX75" s="244" t="s">
        <v>32</v>
      </c>
      <c r="LQY75" s="244" t="s">
        <v>32</v>
      </c>
      <c r="LQZ75" s="244" t="s">
        <v>32</v>
      </c>
      <c r="LRA75" s="244" t="s">
        <v>32</v>
      </c>
      <c r="LRB75" s="244" t="s">
        <v>32</v>
      </c>
      <c r="LRC75" s="244" t="s">
        <v>32</v>
      </c>
      <c r="LRD75" s="244" t="s">
        <v>32</v>
      </c>
      <c r="LRE75" s="244" t="s">
        <v>32</v>
      </c>
      <c r="LRF75" s="244" t="s">
        <v>32</v>
      </c>
      <c r="LRG75" s="244" t="s">
        <v>32</v>
      </c>
      <c r="LRH75" s="244" t="s">
        <v>32</v>
      </c>
      <c r="LRI75" s="244" t="s">
        <v>32</v>
      </c>
      <c r="LRJ75" s="244" t="s">
        <v>32</v>
      </c>
      <c r="LRK75" s="244" t="s">
        <v>32</v>
      </c>
      <c r="LRL75" s="244" t="s">
        <v>32</v>
      </c>
      <c r="LRM75" s="244" t="s">
        <v>32</v>
      </c>
      <c r="LRN75" s="244" t="s">
        <v>32</v>
      </c>
      <c r="LRO75" s="244" t="s">
        <v>32</v>
      </c>
      <c r="LRP75" s="244" t="s">
        <v>32</v>
      </c>
      <c r="LRQ75" s="244" t="s">
        <v>32</v>
      </c>
      <c r="LRR75" s="244" t="s">
        <v>32</v>
      </c>
      <c r="LRS75" s="244" t="s">
        <v>32</v>
      </c>
      <c r="LRT75" s="244" t="s">
        <v>32</v>
      </c>
      <c r="LRU75" s="244" t="s">
        <v>32</v>
      </c>
      <c r="LRV75" s="244" t="s">
        <v>32</v>
      </c>
      <c r="LRW75" s="244" t="s">
        <v>32</v>
      </c>
      <c r="LRX75" s="244" t="s">
        <v>32</v>
      </c>
      <c r="LRY75" s="244" t="s">
        <v>32</v>
      </c>
      <c r="LRZ75" s="244" t="s">
        <v>32</v>
      </c>
      <c r="LSA75" s="244" t="s">
        <v>32</v>
      </c>
      <c r="LSB75" s="244" t="s">
        <v>32</v>
      </c>
      <c r="LSC75" s="244" t="s">
        <v>32</v>
      </c>
      <c r="LSD75" s="244" t="s">
        <v>32</v>
      </c>
      <c r="LSE75" s="244" t="s">
        <v>32</v>
      </c>
      <c r="LSF75" s="244" t="s">
        <v>32</v>
      </c>
      <c r="LSG75" s="244" t="s">
        <v>32</v>
      </c>
      <c r="LSH75" s="244" t="s">
        <v>32</v>
      </c>
      <c r="LSI75" s="244" t="s">
        <v>32</v>
      </c>
      <c r="LSJ75" s="244" t="s">
        <v>32</v>
      </c>
      <c r="LSK75" s="244" t="s">
        <v>32</v>
      </c>
      <c r="LSL75" s="244" t="s">
        <v>32</v>
      </c>
      <c r="LSM75" s="244" t="s">
        <v>32</v>
      </c>
      <c r="LSN75" s="244" t="s">
        <v>32</v>
      </c>
      <c r="LSO75" s="244" t="s">
        <v>32</v>
      </c>
      <c r="LSP75" s="244" t="s">
        <v>32</v>
      </c>
      <c r="LSQ75" s="244" t="s">
        <v>32</v>
      </c>
      <c r="LSR75" s="244" t="s">
        <v>32</v>
      </c>
      <c r="LSS75" s="244" t="s">
        <v>32</v>
      </c>
      <c r="LST75" s="244" t="s">
        <v>32</v>
      </c>
      <c r="LSU75" s="244" t="s">
        <v>32</v>
      </c>
      <c r="LSV75" s="244" t="s">
        <v>32</v>
      </c>
      <c r="LSW75" s="244" t="s">
        <v>32</v>
      </c>
      <c r="LSX75" s="244" t="s">
        <v>32</v>
      </c>
      <c r="LSY75" s="244" t="s">
        <v>32</v>
      </c>
      <c r="LSZ75" s="244" t="s">
        <v>32</v>
      </c>
      <c r="LTA75" s="244" t="s">
        <v>32</v>
      </c>
      <c r="LTB75" s="244" t="s">
        <v>32</v>
      </c>
      <c r="LTC75" s="244" t="s">
        <v>32</v>
      </c>
      <c r="LTD75" s="244" t="s">
        <v>32</v>
      </c>
      <c r="LTE75" s="244" t="s">
        <v>32</v>
      </c>
      <c r="LTF75" s="244" t="s">
        <v>32</v>
      </c>
      <c r="LTG75" s="244" t="s">
        <v>32</v>
      </c>
      <c r="LTH75" s="244" t="s">
        <v>32</v>
      </c>
      <c r="LTI75" s="244" t="s">
        <v>32</v>
      </c>
      <c r="LTJ75" s="244" t="s">
        <v>32</v>
      </c>
      <c r="LTK75" s="244" t="s">
        <v>32</v>
      </c>
      <c r="LTL75" s="244" t="s">
        <v>32</v>
      </c>
      <c r="LTM75" s="244" t="s">
        <v>32</v>
      </c>
      <c r="LTN75" s="244" t="s">
        <v>32</v>
      </c>
      <c r="LTO75" s="244" t="s">
        <v>32</v>
      </c>
      <c r="LTP75" s="244" t="s">
        <v>32</v>
      </c>
      <c r="LTQ75" s="244" t="s">
        <v>32</v>
      </c>
      <c r="LTR75" s="244" t="s">
        <v>32</v>
      </c>
      <c r="LTS75" s="244" t="s">
        <v>32</v>
      </c>
      <c r="LTT75" s="244" t="s">
        <v>32</v>
      </c>
      <c r="LTU75" s="244" t="s">
        <v>32</v>
      </c>
      <c r="LTV75" s="244" t="s">
        <v>32</v>
      </c>
      <c r="LTW75" s="244" t="s">
        <v>32</v>
      </c>
      <c r="LTX75" s="244" t="s">
        <v>32</v>
      </c>
      <c r="LTY75" s="244" t="s">
        <v>32</v>
      </c>
      <c r="LTZ75" s="244" t="s">
        <v>32</v>
      </c>
      <c r="LUA75" s="244" t="s">
        <v>32</v>
      </c>
      <c r="LUB75" s="244" t="s">
        <v>32</v>
      </c>
      <c r="LUC75" s="244" t="s">
        <v>32</v>
      </c>
      <c r="LUD75" s="244" t="s">
        <v>32</v>
      </c>
      <c r="LUE75" s="244" t="s">
        <v>32</v>
      </c>
      <c r="LUF75" s="244" t="s">
        <v>32</v>
      </c>
      <c r="LUG75" s="244" t="s">
        <v>32</v>
      </c>
      <c r="LUH75" s="244" t="s">
        <v>32</v>
      </c>
      <c r="LUI75" s="244" t="s">
        <v>32</v>
      </c>
      <c r="LUJ75" s="244" t="s">
        <v>32</v>
      </c>
      <c r="LUK75" s="244" t="s">
        <v>32</v>
      </c>
      <c r="LUL75" s="244" t="s">
        <v>32</v>
      </c>
      <c r="LUM75" s="244" t="s">
        <v>32</v>
      </c>
      <c r="LUN75" s="244" t="s">
        <v>32</v>
      </c>
      <c r="LUO75" s="244" t="s">
        <v>32</v>
      </c>
      <c r="LUP75" s="244" t="s">
        <v>32</v>
      </c>
      <c r="LUQ75" s="244" t="s">
        <v>32</v>
      </c>
      <c r="LUR75" s="244" t="s">
        <v>32</v>
      </c>
      <c r="LUS75" s="244" t="s">
        <v>32</v>
      </c>
      <c r="LUT75" s="244" t="s">
        <v>32</v>
      </c>
      <c r="LUU75" s="244" t="s">
        <v>32</v>
      </c>
      <c r="LUV75" s="244" t="s">
        <v>32</v>
      </c>
      <c r="LUW75" s="244" t="s">
        <v>32</v>
      </c>
      <c r="LUX75" s="244" t="s">
        <v>32</v>
      </c>
      <c r="LUY75" s="244" t="s">
        <v>32</v>
      </c>
      <c r="LUZ75" s="244" t="s">
        <v>32</v>
      </c>
      <c r="LVA75" s="244" t="s">
        <v>32</v>
      </c>
      <c r="LVB75" s="244" t="s">
        <v>32</v>
      </c>
      <c r="LVC75" s="244" t="s">
        <v>32</v>
      </c>
      <c r="LVD75" s="244" t="s">
        <v>32</v>
      </c>
      <c r="LVE75" s="244" t="s">
        <v>32</v>
      </c>
      <c r="LVF75" s="244" t="s">
        <v>32</v>
      </c>
      <c r="LVG75" s="244" t="s">
        <v>32</v>
      </c>
      <c r="LVH75" s="244" t="s">
        <v>32</v>
      </c>
      <c r="LVI75" s="244" t="s">
        <v>32</v>
      </c>
      <c r="LVJ75" s="244" t="s">
        <v>32</v>
      </c>
      <c r="LVK75" s="244" t="s">
        <v>32</v>
      </c>
      <c r="LVL75" s="244" t="s">
        <v>32</v>
      </c>
      <c r="LVM75" s="244" t="s">
        <v>32</v>
      </c>
      <c r="LVN75" s="244" t="s">
        <v>32</v>
      </c>
      <c r="LVO75" s="244" t="s">
        <v>32</v>
      </c>
      <c r="LVP75" s="244" t="s">
        <v>32</v>
      </c>
      <c r="LVQ75" s="244" t="s">
        <v>32</v>
      </c>
      <c r="LVR75" s="244" t="s">
        <v>32</v>
      </c>
      <c r="LVS75" s="244" t="s">
        <v>32</v>
      </c>
      <c r="LVT75" s="244" t="s">
        <v>32</v>
      </c>
      <c r="LVU75" s="244" t="s">
        <v>32</v>
      </c>
      <c r="LVV75" s="244" t="s">
        <v>32</v>
      </c>
      <c r="LVW75" s="244" t="s">
        <v>32</v>
      </c>
      <c r="LVX75" s="244" t="s">
        <v>32</v>
      </c>
      <c r="LVY75" s="244" t="s">
        <v>32</v>
      </c>
      <c r="LVZ75" s="244" t="s">
        <v>32</v>
      </c>
      <c r="LWA75" s="244" t="s">
        <v>32</v>
      </c>
      <c r="LWB75" s="244" t="s">
        <v>32</v>
      </c>
      <c r="LWC75" s="244" t="s">
        <v>32</v>
      </c>
      <c r="LWD75" s="244" t="s">
        <v>32</v>
      </c>
      <c r="LWE75" s="244" t="s">
        <v>32</v>
      </c>
      <c r="LWF75" s="244" t="s">
        <v>32</v>
      </c>
      <c r="LWG75" s="244" t="s">
        <v>32</v>
      </c>
      <c r="LWH75" s="244" t="s">
        <v>32</v>
      </c>
      <c r="LWI75" s="244" t="s">
        <v>32</v>
      </c>
      <c r="LWJ75" s="244" t="s">
        <v>32</v>
      </c>
      <c r="LWK75" s="244" t="s">
        <v>32</v>
      </c>
      <c r="LWL75" s="244" t="s">
        <v>32</v>
      </c>
      <c r="LWM75" s="244" t="s">
        <v>32</v>
      </c>
      <c r="LWN75" s="244" t="s">
        <v>32</v>
      </c>
      <c r="LWO75" s="244" t="s">
        <v>32</v>
      </c>
      <c r="LWP75" s="244" t="s">
        <v>32</v>
      </c>
      <c r="LWQ75" s="244" t="s">
        <v>32</v>
      </c>
      <c r="LWR75" s="244" t="s">
        <v>32</v>
      </c>
      <c r="LWS75" s="244" t="s">
        <v>32</v>
      </c>
      <c r="LWT75" s="244" t="s">
        <v>32</v>
      </c>
      <c r="LWU75" s="244" t="s">
        <v>32</v>
      </c>
      <c r="LWV75" s="244" t="s">
        <v>32</v>
      </c>
      <c r="LWW75" s="244" t="s">
        <v>32</v>
      </c>
      <c r="LWX75" s="244" t="s">
        <v>32</v>
      </c>
      <c r="LWY75" s="244" t="s">
        <v>32</v>
      </c>
      <c r="LWZ75" s="244" t="s">
        <v>32</v>
      </c>
      <c r="LXA75" s="244" t="s">
        <v>32</v>
      </c>
      <c r="LXB75" s="244" t="s">
        <v>32</v>
      </c>
      <c r="LXC75" s="244" t="s">
        <v>32</v>
      </c>
      <c r="LXD75" s="244" t="s">
        <v>32</v>
      </c>
      <c r="LXE75" s="244" t="s">
        <v>32</v>
      </c>
      <c r="LXF75" s="244" t="s">
        <v>32</v>
      </c>
      <c r="LXG75" s="244" t="s">
        <v>32</v>
      </c>
      <c r="LXH75" s="244" t="s">
        <v>32</v>
      </c>
      <c r="LXI75" s="244" t="s">
        <v>32</v>
      </c>
      <c r="LXJ75" s="244" t="s">
        <v>32</v>
      </c>
      <c r="LXK75" s="244" t="s">
        <v>32</v>
      </c>
      <c r="LXL75" s="244" t="s">
        <v>32</v>
      </c>
      <c r="LXM75" s="244" t="s">
        <v>32</v>
      </c>
      <c r="LXN75" s="244" t="s">
        <v>32</v>
      </c>
      <c r="LXO75" s="244" t="s">
        <v>32</v>
      </c>
      <c r="LXP75" s="244" t="s">
        <v>32</v>
      </c>
      <c r="LXQ75" s="244" t="s">
        <v>32</v>
      </c>
      <c r="LXR75" s="244" t="s">
        <v>32</v>
      </c>
      <c r="LXS75" s="244" t="s">
        <v>32</v>
      </c>
      <c r="LXT75" s="244" t="s">
        <v>32</v>
      </c>
      <c r="LXU75" s="244" t="s">
        <v>32</v>
      </c>
      <c r="LXV75" s="244" t="s">
        <v>32</v>
      </c>
      <c r="LXW75" s="244" t="s">
        <v>32</v>
      </c>
      <c r="LXX75" s="244" t="s">
        <v>32</v>
      </c>
      <c r="LXY75" s="244" t="s">
        <v>32</v>
      </c>
      <c r="LXZ75" s="244" t="s">
        <v>32</v>
      </c>
      <c r="LYA75" s="244" t="s">
        <v>32</v>
      </c>
      <c r="LYB75" s="244" t="s">
        <v>32</v>
      </c>
      <c r="LYC75" s="244" t="s">
        <v>32</v>
      </c>
      <c r="LYD75" s="244" t="s">
        <v>32</v>
      </c>
      <c r="LYE75" s="244" t="s">
        <v>32</v>
      </c>
      <c r="LYF75" s="244" t="s">
        <v>32</v>
      </c>
      <c r="LYG75" s="244" t="s">
        <v>32</v>
      </c>
      <c r="LYH75" s="244" t="s">
        <v>32</v>
      </c>
      <c r="LYI75" s="244" t="s">
        <v>32</v>
      </c>
      <c r="LYJ75" s="244" t="s">
        <v>32</v>
      </c>
      <c r="LYK75" s="244" t="s">
        <v>32</v>
      </c>
      <c r="LYL75" s="244" t="s">
        <v>32</v>
      </c>
      <c r="LYM75" s="244" t="s">
        <v>32</v>
      </c>
      <c r="LYN75" s="244" t="s">
        <v>32</v>
      </c>
      <c r="LYO75" s="244" t="s">
        <v>32</v>
      </c>
      <c r="LYP75" s="244" t="s">
        <v>32</v>
      </c>
      <c r="LYQ75" s="244" t="s">
        <v>32</v>
      </c>
      <c r="LYR75" s="244" t="s">
        <v>32</v>
      </c>
      <c r="LYS75" s="244" t="s">
        <v>32</v>
      </c>
      <c r="LYT75" s="244" t="s">
        <v>32</v>
      </c>
      <c r="LYU75" s="244" t="s">
        <v>32</v>
      </c>
      <c r="LYV75" s="244" t="s">
        <v>32</v>
      </c>
      <c r="LYW75" s="244" t="s">
        <v>32</v>
      </c>
      <c r="LYX75" s="244" t="s">
        <v>32</v>
      </c>
      <c r="LYY75" s="244" t="s">
        <v>32</v>
      </c>
      <c r="LYZ75" s="244" t="s">
        <v>32</v>
      </c>
      <c r="LZA75" s="244" t="s">
        <v>32</v>
      </c>
      <c r="LZB75" s="244" t="s">
        <v>32</v>
      </c>
      <c r="LZC75" s="244" t="s">
        <v>32</v>
      </c>
      <c r="LZD75" s="244" t="s">
        <v>32</v>
      </c>
      <c r="LZE75" s="244" t="s">
        <v>32</v>
      </c>
      <c r="LZF75" s="244" t="s">
        <v>32</v>
      </c>
      <c r="LZG75" s="244" t="s">
        <v>32</v>
      </c>
      <c r="LZH75" s="244" t="s">
        <v>32</v>
      </c>
      <c r="LZI75" s="244" t="s">
        <v>32</v>
      </c>
      <c r="LZJ75" s="244" t="s">
        <v>32</v>
      </c>
      <c r="LZK75" s="244" t="s">
        <v>32</v>
      </c>
      <c r="LZL75" s="244" t="s">
        <v>32</v>
      </c>
      <c r="LZM75" s="244" t="s">
        <v>32</v>
      </c>
      <c r="LZN75" s="244" t="s">
        <v>32</v>
      </c>
      <c r="LZO75" s="244" t="s">
        <v>32</v>
      </c>
      <c r="LZP75" s="244" t="s">
        <v>32</v>
      </c>
      <c r="LZQ75" s="244" t="s">
        <v>32</v>
      </c>
      <c r="LZR75" s="244" t="s">
        <v>32</v>
      </c>
      <c r="LZS75" s="244" t="s">
        <v>32</v>
      </c>
      <c r="LZT75" s="244" t="s">
        <v>32</v>
      </c>
      <c r="LZU75" s="244" t="s">
        <v>32</v>
      </c>
      <c r="LZV75" s="244" t="s">
        <v>32</v>
      </c>
      <c r="LZW75" s="244" t="s">
        <v>32</v>
      </c>
      <c r="LZX75" s="244" t="s">
        <v>32</v>
      </c>
      <c r="LZY75" s="244" t="s">
        <v>32</v>
      </c>
      <c r="LZZ75" s="244" t="s">
        <v>32</v>
      </c>
      <c r="MAA75" s="244" t="s">
        <v>32</v>
      </c>
      <c r="MAB75" s="244" t="s">
        <v>32</v>
      </c>
      <c r="MAC75" s="244" t="s">
        <v>32</v>
      </c>
      <c r="MAD75" s="244" t="s">
        <v>32</v>
      </c>
      <c r="MAE75" s="244" t="s">
        <v>32</v>
      </c>
      <c r="MAF75" s="244" t="s">
        <v>32</v>
      </c>
      <c r="MAG75" s="244" t="s">
        <v>32</v>
      </c>
      <c r="MAH75" s="244" t="s">
        <v>32</v>
      </c>
      <c r="MAI75" s="244" t="s">
        <v>32</v>
      </c>
      <c r="MAJ75" s="244" t="s">
        <v>32</v>
      </c>
      <c r="MAK75" s="244" t="s">
        <v>32</v>
      </c>
      <c r="MAL75" s="244" t="s">
        <v>32</v>
      </c>
      <c r="MAM75" s="244" t="s">
        <v>32</v>
      </c>
      <c r="MAN75" s="244" t="s">
        <v>32</v>
      </c>
      <c r="MAO75" s="244" t="s">
        <v>32</v>
      </c>
      <c r="MAP75" s="244" t="s">
        <v>32</v>
      </c>
      <c r="MAQ75" s="244" t="s">
        <v>32</v>
      </c>
      <c r="MAR75" s="244" t="s">
        <v>32</v>
      </c>
      <c r="MAS75" s="244" t="s">
        <v>32</v>
      </c>
      <c r="MAT75" s="244" t="s">
        <v>32</v>
      </c>
      <c r="MAU75" s="244" t="s">
        <v>32</v>
      </c>
      <c r="MAV75" s="244" t="s">
        <v>32</v>
      </c>
      <c r="MAW75" s="244" t="s">
        <v>32</v>
      </c>
      <c r="MAX75" s="244" t="s">
        <v>32</v>
      </c>
      <c r="MAY75" s="244" t="s">
        <v>32</v>
      </c>
      <c r="MAZ75" s="244" t="s">
        <v>32</v>
      </c>
      <c r="MBA75" s="244" t="s">
        <v>32</v>
      </c>
      <c r="MBB75" s="244" t="s">
        <v>32</v>
      </c>
      <c r="MBC75" s="244" t="s">
        <v>32</v>
      </c>
      <c r="MBD75" s="244" t="s">
        <v>32</v>
      </c>
      <c r="MBE75" s="244" t="s">
        <v>32</v>
      </c>
      <c r="MBF75" s="244" t="s">
        <v>32</v>
      </c>
      <c r="MBG75" s="244" t="s">
        <v>32</v>
      </c>
      <c r="MBH75" s="244" t="s">
        <v>32</v>
      </c>
      <c r="MBI75" s="244" t="s">
        <v>32</v>
      </c>
      <c r="MBJ75" s="244" t="s">
        <v>32</v>
      </c>
      <c r="MBK75" s="244" t="s">
        <v>32</v>
      </c>
      <c r="MBL75" s="244" t="s">
        <v>32</v>
      </c>
      <c r="MBM75" s="244" t="s">
        <v>32</v>
      </c>
      <c r="MBN75" s="244" t="s">
        <v>32</v>
      </c>
      <c r="MBO75" s="244" t="s">
        <v>32</v>
      </c>
      <c r="MBP75" s="244" t="s">
        <v>32</v>
      </c>
      <c r="MBQ75" s="244" t="s">
        <v>32</v>
      </c>
      <c r="MBR75" s="244" t="s">
        <v>32</v>
      </c>
      <c r="MBS75" s="244" t="s">
        <v>32</v>
      </c>
      <c r="MBT75" s="244" t="s">
        <v>32</v>
      </c>
      <c r="MBU75" s="244" t="s">
        <v>32</v>
      </c>
      <c r="MBV75" s="244" t="s">
        <v>32</v>
      </c>
      <c r="MBW75" s="244" t="s">
        <v>32</v>
      </c>
      <c r="MBX75" s="244" t="s">
        <v>32</v>
      </c>
      <c r="MBY75" s="244" t="s">
        <v>32</v>
      </c>
      <c r="MBZ75" s="244" t="s">
        <v>32</v>
      </c>
      <c r="MCA75" s="244" t="s">
        <v>32</v>
      </c>
      <c r="MCB75" s="244" t="s">
        <v>32</v>
      </c>
      <c r="MCC75" s="244" t="s">
        <v>32</v>
      </c>
      <c r="MCD75" s="244" t="s">
        <v>32</v>
      </c>
      <c r="MCE75" s="244" t="s">
        <v>32</v>
      </c>
      <c r="MCF75" s="244" t="s">
        <v>32</v>
      </c>
      <c r="MCG75" s="244" t="s">
        <v>32</v>
      </c>
      <c r="MCH75" s="244" t="s">
        <v>32</v>
      </c>
      <c r="MCI75" s="244" t="s">
        <v>32</v>
      </c>
      <c r="MCJ75" s="244" t="s">
        <v>32</v>
      </c>
      <c r="MCK75" s="244" t="s">
        <v>32</v>
      </c>
      <c r="MCL75" s="244" t="s">
        <v>32</v>
      </c>
      <c r="MCM75" s="244" t="s">
        <v>32</v>
      </c>
      <c r="MCN75" s="244" t="s">
        <v>32</v>
      </c>
      <c r="MCO75" s="244" t="s">
        <v>32</v>
      </c>
      <c r="MCP75" s="244" t="s">
        <v>32</v>
      </c>
      <c r="MCQ75" s="244" t="s">
        <v>32</v>
      </c>
      <c r="MCR75" s="244" t="s">
        <v>32</v>
      </c>
      <c r="MCS75" s="244" t="s">
        <v>32</v>
      </c>
      <c r="MCT75" s="244" t="s">
        <v>32</v>
      </c>
      <c r="MCU75" s="244" t="s">
        <v>32</v>
      </c>
      <c r="MCV75" s="244" t="s">
        <v>32</v>
      </c>
      <c r="MCW75" s="244" t="s">
        <v>32</v>
      </c>
      <c r="MCX75" s="244" t="s">
        <v>32</v>
      </c>
      <c r="MCY75" s="244" t="s">
        <v>32</v>
      </c>
      <c r="MCZ75" s="244" t="s">
        <v>32</v>
      </c>
      <c r="MDA75" s="244" t="s">
        <v>32</v>
      </c>
      <c r="MDB75" s="244" t="s">
        <v>32</v>
      </c>
      <c r="MDC75" s="244" t="s">
        <v>32</v>
      </c>
      <c r="MDD75" s="244" t="s">
        <v>32</v>
      </c>
      <c r="MDE75" s="244" t="s">
        <v>32</v>
      </c>
      <c r="MDF75" s="244" t="s">
        <v>32</v>
      </c>
      <c r="MDG75" s="244" t="s">
        <v>32</v>
      </c>
      <c r="MDH75" s="244" t="s">
        <v>32</v>
      </c>
      <c r="MDI75" s="244" t="s">
        <v>32</v>
      </c>
      <c r="MDJ75" s="244" t="s">
        <v>32</v>
      </c>
      <c r="MDK75" s="244" t="s">
        <v>32</v>
      </c>
      <c r="MDL75" s="244" t="s">
        <v>32</v>
      </c>
      <c r="MDM75" s="244" t="s">
        <v>32</v>
      </c>
      <c r="MDN75" s="244" t="s">
        <v>32</v>
      </c>
      <c r="MDO75" s="244" t="s">
        <v>32</v>
      </c>
      <c r="MDP75" s="244" t="s">
        <v>32</v>
      </c>
      <c r="MDQ75" s="244" t="s">
        <v>32</v>
      </c>
      <c r="MDR75" s="244" t="s">
        <v>32</v>
      </c>
      <c r="MDS75" s="244" t="s">
        <v>32</v>
      </c>
      <c r="MDT75" s="244" t="s">
        <v>32</v>
      </c>
      <c r="MDU75" s="244" t="s">
        <v>32</v>
      </c>
      <c r="MDV75" s="244" t="s">
        <v>32</v>
      </c>
      <c r="MDW75" s="244" t="s">
        <v>32</v>
      </c>
      <c r="MDX75" s="244" t="s">
        <v>32</v>
      </c>
      <c r="MDY75" s="244" t="s">
        <v>32</v>
      </c>
      <c r="MDZ75" s="244" t="s">
        <v>32</v>
      </c>
      <c r="MEA75" s="244" t="s">
        <v>32</v>
      </c>
      <c r="MEB75" s="244" t="s">
        <v>32</v>
      </c>
      <c r="MEC75" s="244" t="s">
        <v>32</v>
      </c>
      <c r="MED75" s="244" t="s">
        <v>32</v>
      </c>
      <c r="MEE75" s="244" t="s">
        <v>32</v>
      </c>
      <c r="MEF75" s="244" t="s">
        <v>32</v>
      </c>
      <c r="MEG75" s="244" t="s">
        <v>32</v>
      </c>
      <c r="MEH75" s="244" t="s">
        <v>32</v>
      </c>
      <c r="MEI75" s="244" t="s">
        <v>32</v>
      </c>
      <c r="MEJ75" s="244" t="s">
        <v>32</v>
      </c>
      <c r="MEK75" s="244" t="s">
        <v>32</v>
      </c>
      <c r="MEL75" s="244" t="s">
        <v>32</v>
      </c>
      <c r="MEM75" s="244" t="s">
        <v>32</v>
      </c>
      <c r="MEN75" s="244" t="s">
        <v>32</v>
      </c>
      <c r="MEO75" s="244" t="s">
        <v>32</v>
      </c>
      <c r="MEP75" s="244" t="s">
        <v>32</v>
      </c>
      <c r="MEQ75" s="244" t="s">
        <v>32</v>
      </c>
      <c r="MER75" s="244" t="s">
        <v>32</v>
      </c>
      <c r="MES75" s="244" t="s">
        <v>32</v>
      </c>
      <c r="MET75" s="244" t="s">
        <v>32</v>
      </c>
      <c r="MEU75" s="244" t="s">
        <v>32</v>
      </c>
      <c r="MEV75" s="244" t="s">
        <v>32</v>
      </c>
      <c r="MEW75" s="244" t="s">
        <v>32</v>
      </c>
      <c r="MEX75" s="244" t="s">
        <v>32</v>
      </c>
      <c r="MEY75" s="244" t="s">
        <v>32</v>
      </c>
      <c r="MEZ75" s="244" t="s">
        <v>32</v>
      </c>
      <c r="MFA75" s="244" t="s">
        <v>32</v>
      </c>
      <c r="MFB75" s="244" t="s">
        <v>32</v>
      </c>
      <c r="MFC75" s="244" t="s">
        <v>32</v>
      </c>
      <c r="MFD75" s="244" t="s">
        <v>32</v>
      </c>
      <c r="MFE75" s="244" t="s">
        <v>32</v>
      </c>
      <c r="MFF75" s="244" t="s">
        <v>32</v>
      </c>
      <c r="MFG75" s="244" t="s">
        <v>32</v>
      </c>
      <c r="MFH75" s="244" t="s">
        <v>32</v>
      </c>
      <c r="MFI75" s="244" t="s">
        <v>32</v>
      </c>
      <c r="MFJ75" s="244" t="s">
        <v>32</v>
      </c>
      <c r="MFK75" s="244" t="s">
        <v>32</v>
      </c>
      <c r="MFL75" s="244" t="s">
        <v>32</v>
      </c>
      <c r="MFM75" s="244" t="s">
        <v>32</v>
      </c>
      <c r="MFN75" s="244" t="s">
        <v>32</v>
      </c>
      <c r="MFO75" s="244" t="s">
        <v>32</v>
      </c>
      <c r="MFP75" s="244" t="s">
        <v>32</v>
      </c>
      <c r="MFQ75" s="244" t="s">
        <v>32</v>
      </c>
      <c r="MFR75" s="244" t="s">
        <v>32</v>
      </c>
      <c r="MFS75" s="244" t="s">
        <v>32</v>
      </c>
      <c r="MFT75" s="244" t="s">
        <v>32</v>
      </c>
      <c r="MFU75" s="244" t="s">
        <v>32</v>
      </c>
      <c r="MFV75" s="244" t="s">
        <v>32</v>
      </c>
      <c r="MFW75" s="244" t="s">
        <v>32</v>
      </c>
      <c r="MFX75" s="244" t="s">
        <v>32</v>
      </c>
      <c r="MFY75" s="244" t="s">
        <v>32</v>
      </c>
      <c r="MFZ75" s="244" t="s">
        <v>32</v>
      </c>
      <c r="MGA75" s="244" t="s">
        <v>32</v>
      </c>
      <c r="MGB75" s="244" t="s">
        <v>32</v>
      </c>
      <c r="MGC75" s="244" t="s">
        <v>32</v>
      </c>
      <c r="MGD75" s="244" t="s">
        <v>32</v>
      </c>
      <c r="MGE75" s="244" t="s">
        <v>32</v>
      </c>
      <c r="MGF75" s="244" t="s">
        <v>32</v>
      </c>
      <c r="MGG75" s="244" t="s">
        <v>32</v>
      </c>
      <c r="MGH75" s="244" t="s">
        <v>32</v>
      </c>
      <c r="MGI75" s="244" t="s">
        <v>32</v>
      </c>
      <c r="MGJ75" s="244" t="s">
        <v>32</v>
      </c>
      <c r="MGK75" s="244" t="s">
        <v>32</v>
      </c>
      <c r="MGL75" s="244" t="s">
        <v>32</v>
      </c>
      <c r="MGM75" s="244" t="s">
        <v>32</v>
      </c>
      <c r="MGN75" s="244" t="s">
        <v>32</v>
      </c>
      <c r="MGO75" s="244" t="s">
        <v>32</v>
      </c>
      <c r="MGP75" s="244" t="s">
        <v>32</v>
      </c>
      <c r="MGQ75" s="244" t="s">
        <v>32</v>
      </c>
      <c r="MGR75" s="244" t="s">
        <v>32</v>
      </c>
      <c r="MGS75" s="244" t="s">
        <v>32</v>
      </c>
      <c r="MGT75" s="244" t="s">
        <v>32</v>
      </c>
      <c r="MGU75" s="244" t="s">
        <v>32</v>
      </c>
      <c r="MGV75" s="244" t="s">
        <v>32</v>
      </c>
      <c r="MGW75" s="244" t="s">
        <v>32</v>
      </c>
      <c r="MGX75" s="244" t="s">
        <v>32</v>
      </c>
      <c r="MGY75" s="244" t="s">
        <v>32</v>
      </c>
      <c r="MGZ75" s="244" t="s">
        <v>32</v>
      </c>
      <c r="MHA75" s="244" t="s">
        <v>32</v>
      </c>
      <c r="MHB75" s="244" t="s">
        <v>32</v>
      </c>
      <c r="MHC75" s="244" t="s">
        <v>32</v>
      </c>
      <c r="MHD75" s="244" t="s">
        <v>32</v>
      </c>
      <c r="MHE75" s="244" t="s">
        <v>32</v>
      </c>
      <c r="MHF75" s="244" t="s">
        <v>32</v>
      </c>
      <c r="MHG75" s="244" t="s">
        <v>32</v>
      </c>
      <c r="MHH75" s="244" t="s">
        <v>32</v>
      </c>
      <c r="MHI75" s="244" t="s">
        <v>32</v>
      </c>
      <c r="MHJ75" s="244" t="s">
        <v>32</v>
      </c>
      <c r="MHK75" s="244" t="s">
        <v>32</v>
      </c>
      <c r="MHL75" s="244" t="s">
        <v>32</v>
      </c>
      <c r="MHM75" s="244" t="s">
        <v>32</v>
      </c>
      <c r="MHN75" s="244" t="s">
        <v>32</v>
      </c>
      <c r="MHO75" s="244" t="s">
        <v>32</v>
      </c>
      <c r="MHP75" s="244" t="s">
        <v>32</v>
      </c>
      <c r="MHQ75" s="244" t="s">
        <v>32</v>
      </c>
      <c r="MHR75" s="244" t="s">
        <v>32</v>
      </c>
      <c r="MHS75" s="244" t="s">
        <v>32</v>
      </c>
      <c r="MHT75" s="244" t="s">
        <v>32</v>
      </c>
      <c r="MHU75" s="244" t="s">
        <v>32</v>
      </c>
      <c r="MHV75" s="244" t="s">
        <v>32</v>
      </c>
      <c r="MHW75" s="244" t="s">
        <v>32</v>
      </c>
      <c r="MHX75" s="244" t="s">
        <v>32</v>
      </c>
      <c r="MHY75" s="244" t="s">
        <v>32</v>
      </c>
      <c r="MHZ75" s="244" t="s">
        <v>32</v>
      </c>
      <c r="MIA75" s="244" t="s">
        <v>32</v>
      </c>
      <c r="MIB75" s="244" t="s">
        <v>32</v>
      </c>
      <c r="MIC75" s="244" t="s">
        <v>32</v>
      </c>
      <c r="MID75" s="244" t="s">
        <v>32</v>
      </c>
      <c r="MIE75" s="244" t="s">
        <v>32</v>
      </c>
      <c r="MIF75" s="244" t="s">
        <v>32</v>
      </c>
      <c r="MIG75" s="244" t="s">
        <v>32</v>
      </c>
      <c r="MIH75" s="244" t="s">
        <v>32</v>
      </c>
      <c r="MII75" s="244" t="s">
        <v>32</v>
      </c>
      <c r="MIJ75" s="244" t="s">
        <v>32</v>
      </c>
      <c r="MIK75" s="244" t="s">
        <v>32</v>
      </c>
      <c r="MIL75" s="244" t="s">
        <v>32</v>
      </c>
      <c r="MIM75" s="244" t="s">
        <v>32</v>
      </c>
      <c r="MIN75" s="244" t="s">
        <v>32</v>
      </c>
      <c r="MIO75" s="244" t="s">
        <v>32</v>
      </c>
      <c r="MIP75" s="244" t="s">
        <v>32</v>
      </c>
      <c r="MIQ75" s="244" t="s">
        <v>32</v>
      </c>
      <c r="MIR75" s="244" t="s">
        <v>32</v>
      </c>
      <c r="MIS75" s="244" t="s">
        <v>32</v>
      </c>
      <c r="MIT75" s="244" t="s">
        <v>32</v>
      </c>
      <c r="MIU75" s="244" t="s">
        <v>32</v>
      </c>
      <c r="MIV75" s="244" t="s">
        <v>32</v>
      </c>
      <c r="MIW75" s="244" t="s">
        <v>32</v>
      </c>
      <c r="MIX75" s="244" t="s">
        <v>32</v>
      </c>
      <c r="MIY75" s="244" t="s">
        <v>32</v>
      </c>
      <c r="MIZ75" s="244" t="s">
        <v>32</v>
      </c>
      <c r="MJA75" s="244" t="s">
        <v>32</v>
      </c>
      <c r="MJB75" s="244" t="s">
        <v>32</v>
      </c>
      <c r="MJC75" s="244" t="s">
        <v>32</v>
      </c>
      <c r="MJD75" s="244" t="s">
        <v>32</v>
      </c>
      <c r="MJE75" s="244" t="s">
        <v>32</v>
      </c>
      <c r="MJF75" s="244" t="s">
        <v>32</v>
      </c>
      <c r="MJG75" s="244" t="s">
        <v>32</v>
      </c>
      <c r="MJH75" s="244" t="s">
        <v>32</v>
      </c>
      <c r="MJI75" s="244" t="s">
        <v>32</v>
      </c>
      <c r="MJJ75" s="244" t="s">
        <v>32</v>
      </c>
      <c r="MJK75" s="244" t="s">
        <v>32</v>
      </c>
      <c r="MJL75" s="244" t="s">
        <v>32</v>
      </c>
      <c r="MJM75" s="244" t="s">
        <v>32</v>
      </c>
      <c r="MJN75" s="244" t="s">
        <v>32</v>
      </c>
      <c r="MJO75" s="244" t="s">
        <v>32</v>
      </c>
      <c r="MJP75" s="244" t="s">
        <v>32</v>
      </c>
      <c r="MJQ75" s="244" t="s">
        <v>32</v>
      </c>
      <c r="MJR75" s="244" t="s">
        <v>32</v>
      </c>
      <c r="MJS75" s="244" t="s">
        <v>32</v>
      </c>
      <c r="MJT75" s="244" t="s">
        <v>32</v>
      </c>
      <c r="MJU75" s="244" t="s">
        <v>32</v>
      </c>
      <c r="MJV75" s="244" t="s">
        <v>32</v>
      </c>
      <c r="MJW75" s="244" t="s">
        <v>32</v>
      </c>
      <c r="MJX75" s="244" t="s">
        <v>32</v>
      </c>
      <c r="MJY75" s="244" t="s">
        <v>32</v>
      </c>
      <c r="MJZ75" s="244" t="s">
        <v>32</v>
      </c>
      <c r="MKA75" s="244" t="s">
        <v>32</v>
      </c>
      <c r="MKB75" s="244" t="s">
        <v>32</v>
      </c>
      <c r="MKC75" s="244" t="s">
        <v>32</v>
      </c>
      <c r="MKD75" s="244" t="s">
        <v>32</v>
      </c>
      <c r="MKE75" s="244" t="s">
        <v>32</v>
      </c>
      <c r="MKF75" s="244" t="s">
        <v>32</v>
      </c>
      <c r="MKG75" s="244" t="s">
        <v>32</v>
      </c>
      <c r="MKH75" s="244" t="s">
        <v>32</v>
      </c>
      <c r="MKI75" s="244" t="s">
        <v>32</v>
      </c>
      <c r="MKJ75" s="244" t="s">
        <v>32</v>
      </c>
      <c r="MKK75" s="244" t="s">
        <v>32</v>
      </c>
      <c r="MKL75" s="244" t="s">
        <v>32</v>
      </c>
      <c r="MKM75" s="244" t="s">
        <v>32</v>
      </c>
      <c r="MKN75" s="244" t="s">
        <v>32</v>
      </c>
      <c r="MKO75" s="244" t="s">
        <v>32</v>
      </c>
      <c r="MKP75" s="244" t="s">
        <v>32</v>
      </c>
      <c r="MKQ75" s="244" t="s">
        <v>32</v>
      </c>
      <c r="MKR75" s="244" t="s">
        <v>32</v>
      </c>
      <c r="MKS75" s="244" t="s">
        <v>32</v>
      </c>
      <c r="MKT75" s="244" t="s">
        <v>32</v>
      </c>
      <c r="MKU75" s="244" t="s">
        <v>32</v>
      </c>
      <c r="MKV75" s="244" t="s">
        <v>32</v>
      </c>
      <c r="MKW75" s="244" t="s">
        <v>32</v>
      </c>
      <c r="MKX75" s="244" t="s">
        <v>32</v>
      </c>
      <c r="MKY75" s="244" t="s">
        <v>32</v>
      </c>
      <c r="MKZ75" s="244" t="s">
        <v>32</v>
      </c>
      <c r="MLA75" s="244" t="s">
        <v>32</v>
      </c>
      <c r="MLB75" s="244" t="s">
        <v>32</v>
      </c>
      <c r="MLC75" s="244" t="s">
        <v>32</v>
      </c>
      <c r="MLD75" s="244" t="s">
        <v>32</v>
      </c>
      <c r="MLE75" s="244" t="s">
        <v>32</v>
      </c>
      <c r="MLF75" s="244" t="s">
        <v>32</v>
      </c>
      <c r="MLG75" s="244" t="s">
        <v>32</v>
      </c>
      <c r="MLH75" s="244" t="s">
        <v>32</v>
      </c>
      <c r="MLI75" s="244" t="s">
        <v>32</v>
      </c>
      <c r="MLJ75" s="244" t="s">
        <v>32</v>
      </c>
      <c r="MLK75" s="244" t="s">
        <v>32</v>
      </c>
      <c r="MLL75" s="244" t="s">
        <v>32</v>
      </c>
      <c r="MLM75" s="244" t="s">
        <v>32</v>
      </c>
      <c r="MLN75" s="244" t="s">
        <v>32</v>
      </c>
      <c r="MLO75" s="244" t="s">
        <v>32</v>
      </c>
      <c r="MLP75" s="244" t="s">
        <v>32</v>
      </c>
      <c r="MLQ75" s="244" t="s">
        <v>32</v>
      </c>
      <c r="MLR75" s="244" t="s">
        <v>32</v>
      </c>
      <c r="MLS75" s="244" t="s">
        <v>32</v>
      </c>
      <c r="MLT75" s="244" t="s">
        <v>32</v>
      </c>
      <c r="MLU75" s="244" t="s">
        <v>32</v>
      </c>
      <c r="MLV75" s="244" t="s">
        <v>32</v>
      </c>
      <c r="MLW75" s="244" t="s">
        <v>32</v>
      </c>
      <c r="MLX75" s="244" t="s">
        <v>32</v>
      </c>
      <c r="MLY75" s="244" t="s">
        <v>32</v>
      </c>
      <c r="MLZ75" s="244" t="s">
        <v>32</v>
      </c>
      <c r="MMA75" s="244" t="s">
        <v>32</v>
      </c>
      <c r="MMB75" s="244" t="s">
        <v>32</v>
      </c>
      <c r="MMC75" s="244" t="s">
        <v>32</v>
      </c>
      <c r="MMD75" s="244" t="s">
        <v>32</v>
      </c>
      <c r="MME75" s="244" t="s">
        <v>32</v>
      </c>
      <c r="MMF75" s="244" t="s">
        <v>32</v>
      </c>
      <c r="MMG75" s="244" t="s">
        <v>32</v>
      </c>
      <c r="MMH75" s="244" t="s">
        <v>32</v>
      </c>
      <c r="MMI75" s="244" t="s">
        <v>32</v>
      </c>
      <c r="MMJ75" s="244" t="s">
        <v>32</v>
      </c>
      <c r="MMK75" s="244" t="s">
        <v>32</v>
      </c>
      <c r="MML75" s="244" t="s">
        <v>32</v>
      </c>
      <c r="MMM75" s="244" t="s">
        <v>32</v>
      </c>
      <c r="MMN75" s="244" t="s">
        <v>32</v>
      </c>
      <c r="MMO75" s="244" t="s">
        <v>32</v>
      </c>
      <c r="MMP75" s="244" t="s">
        <v>32</v>
      </c>
      <c r="MMQ75" s="244" t="s">
        <v>32</v>
      </c>
      <c r="MMR75" s="244" t="s">
        <v>32</v>
      </c>
      <c r="MMS75" s="244" t="s">
        <v>32</v>
      </c>
      <c r="MMT75" s="244" t="s">
        <v>32</v>
      </c>
      <c r="MMU75" s="244" t="s">
        <v>32</v>
      </c>
      <c r="MMV75" s="244" t="s">
        <v>32</v>
      </c>
      <c r="MMW75" s="244" t="s">
        <v>32</v>
      </c>
      <c r="MMX75" s="244" t="s">
        <v>32</v>
      </c>
      <c r="MMY75" s="244" t="s">
        <v>32</v>
      </c>
      <c r="MMZ75" s="244" t="s">
        <v>32</v>
      </c>
      <c r="MNA75" s="244" t="s">
        <v>32</v>
      </c>
      <c r="MNB75" s="244" t="s">
        <v>32</v>
      </c>
      <c r="MNC75" s="244" t="s">
        <v>32</v>
      </c>
      <c r="MND75" s="244" t="s">
        <v>32</v>
      </c>
      <c r="MNE75" s="244" t="s">
        <v>32</v>
      </c>
      <c r="MNF75" s="244" t="s">
        <v>32</v>
      </c>
      <c r="MNG75" s="244" t="s">
        <v>32</v>
      </c>
      <c r="MNH75" s="244" t="s">
        <v>32</v>
      </c>
      <c r="MNI75" s="244" t="s">
        <v>32</v>
      </c>
      <c r="MNJ75" s="244" t="s">
        <v>32</v>
      </c>
      <c r="MNK75" s="244" t="s">
        <v>32</v>
      </c>
      <c r="MNL75" s="244" t="s">
        <v>32</v>
      </c>
      <c r="MNM75" s="244" t="s">
        <v>32</v>
      </c>
      <c r="MNN75" s="244" t="s">
        <v>32</v>
      </c>
      <c r="MNO75" s="244" t="s">
        <v>32</v>
      </c>
      <c r="MNP75" s="244" t="s">
        <v>32</v>
      </c>
      <c r="MNQ75" s="244" t="s">
        <v>32</v>
      </c>
      <c r="MNR75" s="244" t="s">
        <v>32</v>
      </c>
      <c r="MNS75" s="244" t="s">
        <v>32</v>
      </c>
      <c r="MNT75" s="244" t="s">
        <v>32</v>
      </c>
      <c r="MNU75" s="244" t="s">
        <v>32</v>
      </c>
      <c r="MNV75" s="244" t="s">
        <v>32</v>
      </c>
      <c r="MNW75" s="244" t="s">
        <v>32</v>
      </c>
      <c r="MNX75" s="244" t="s">
        <v>32</v>
      </c>
      <c r="MNY75" s="244" t="s">
        <v>32</v>
      </c>
      <c r="MNZ75" s="244" t="s">
        <v>32</v>
      </c>
      <c r="MOA75" s="244" t="s">
        <v>32</v>
      </c>
      <c r="MOB75" s="244" t="s">
        <v>32</v>
      </c>
      <c r="MOC75" s="244" t="s">
        <v>32</v>
      </c>
      <c r="MOD75" s="244" t="s">
        <v>32</v>
      </c>
      <c r="MOE75" s="244" t="s">
        <v>32</v>
      </c>
      <c r="MOF75" s="244" t="s">
        <v>32</v>
      </c>
      <c r="MOG75" s="244" t="s">
        <v>32</v>
      </c>
      <c r="MOH75" s="244" t="s">
        <v>32</v>
      </c>
      <c r="MOI75" s="244" t="s">
        <v>32</v>
      </c>
      <c r="MOJ75" s="244" t="s">
        <v>32</v>
      </c>
      <c r="MOK75" s="244" t="s">
        <v>32</v>
      </c>
      <c r="MOL75" s="244" t="s">
        <v>32</v>
      </c>
      <c r="MOM75" s="244" t="s">
        <v>32</v>
      </c>
      <c r="MON75" s="244" t="s">
        <v>32</v>
      </c>
      <c r="MOO75" s="244" t="s">
        <v>32</v>
      </c>
      <c r="MOP75" s="244" t="s">
        <v>32</v>
      </c>
      <c r="MOQ75" s="244" t="s">
        <v>32</v>
      </c>
      <c r="MOR75" s="244" t="s">
        <v>32</v>
      </c>
      <c r="MOS75" s="244" t="s">
        <v>32</v>
      </c>
      <c r="MOT75" s="244" t="s">
        <v>32</v>
      </c>
      <c r="MOU75" s="244" t="s">
        <v>32</v>
      </c>
      <c r="MOV75" s="244" t="s">
        <v>32</v>
      </c>
      <c r="MOW75" s="244" t="s">
        <v>32</v>
      </c>
      <c r="MOX75" s="244" t="s">
        <v>32</v>
      </c>
      <c r="MOY75" s="244" t="s">
        <v>32</v>
      </c>
      <c r="MOZ75" s="244" t="s">
        <v>32</v>
      </c>
      <c r="MPA75" s="244" t="s">
        <v>32</v>
      </c>
      <c r="MPB75" s="244" t="s">
        <v>32</v>
      </c>
      <c r="MPC75" s="244" t="s">
        <v>32</v>
      </c>
      <c r="MPD75" s="244" t="s">
        <v>32</v>
      </c>
      <c r="MPE75" s="244" t="s">
        <v>32</v>
      </c>
      <c r="MPF75" s="244" t="s">
        <v>32</v>
      </c>
      <c r="MPG75" s="244" t="s">
        <v>32</v>
      </c>
      <c r="MPH75" s="244" t="s">
        <v>32</v>
      </c>
      <c r="MPI75" s="244" t="s">
        <v>32</v>
      </c>
      <c r="MPJ75" s="244" t="s">
        <v>32</v>
      </c>
      <c r="MPK75" s="244" t="s">
        <v>32</v>
      </c>
      <c r="MPL75" s="244" t="s">
        <v>32</v>
      </c>
      <c r="MPM75" s="244" t="s">
        <v>32</v>
      </c>
      <c r="MPN75" s="244" t="s">
        <v>32</v>
      </c>
      <c r="MPO75" s="244" t="s">
        <v>32</v>
      </c>
      <c r="MPP75" s="244" t="s">
        <v>32</v>
      </c>
      <c r="MPQ75" s="244" t="s">
        <v>32</v>
      </c>
      <c r="MPR75" s="244" t="s">
        <v>32</v>
      </c>
      <c r="MPS75" s="244" t="s">
        <v>32</v>
      </c>
      <c r="MPT75" s="244" t="s">
        <v>32</v>
      </c>
      <c r="MPU75" s="244" t="s">
        <v>32</v>
      </c>
      <c r="MPV75" s="244" t="s">
        <v>32</v>
      </c>
      <c r="MPW75" s="244" t="s">
        <v>32</v>
      </c>
      <c r="MPX75" s="244" t="s">
        <v>32</v>
      </c>
      <c r="MPY75" s="244" t="s">
        <v>32</v>
      </c>
      <c r="MPZ75" s="244" t="s">
        <v>32</v>
      </c>
      <c r="MQA75" s="244" t="s">
        <v>32</v>
      </c>
      <c r="MQB75" s="244" t="s">
        <v>32</v>
      </c>
      <c r="MQC75" s="244" t="s">
        <v>32</v>
      </c>
      <c r="MQD75" s="244" t="s">
        <v>32</v>
      </c>
      <c r="MQE75" s="244" t="s">
        <v>32</v>
      </c>
      <c r="MQF75" s="244" t="s">
        <v>32</v>
      </c>
      <c r="MQG75" s="244" t="s">
        <v>32</v>
      </c>
      <c r="MQH75" s="244" t="s">
        <v>32</v>
      </c>
      <c r="MQI75" s="244" t="s">
        <v>32</v>
      </c>
      <c r="MQJ75" s="244" t="s">
        <v>32</v>
      </c>
      <c r="MQK75" s="244" t="s">
        <v>32</v>
      </c>
      <c r="MQL75" s="244" t="s">
        <v>32</v>
      </c>
      <c r="MQM75" s="244" t="s">
        <v>32</v>
      </c>
      <c r="MQN75" s="244" t="s">
        <v>32</v>
      </c>
      <c r="MQO75" s="244" t="s">
        <v>32</v>
      </c>
      <c r="MQP75" s="244" t="s">
        <v>32</v>
      </c>
      <c r="MQQ75" s="244" t="s">
        <v>32</v>
      </c>
      <c r="MQR75" s="244" t="s">
        <v>32</v>
      </c>
      <c r="MQS75" s="244" t="s">
        <v>32</v>
      </c>
      <c r="MQT75" s="244" t="s">
        <v>32</v>
      </c>
      <c r="MQU75" s="244" t="s">
        <v>32</v>
      </c>
      <c r="MQV75" s="244" t="s">
        <v>32</v>
      </c>
      <c r="MQW75" s="244" t="s">
        <v>32</v>
      </c>
      <c r="MQX75" s="244" t="s">
        <v>32</v>
      </c>
      <c r="MQY75" s="244" t="s">
        <v>32</v>
      </c>
      <c r="MQZ75" s="244" t="s">
        <v>32</v>
      </c>
      <c r="MRA75" s="244" t="s">
        <v>32</v>
      </c>
      <c r="MRB75" s="244" t="s">
        <v>32</v>
      </c>
      <c r="MRC75" s="244" t="s">
        <v>32</v>
      </c>
      <c r="MRD75" s="244" t="s">
        <v>32</v>
      </c>
      <c r="MRE75" s="244" t="s">
        <v>32</v>
      </c>
      <c r="MRF75" s="244" t="s">
        <v>32</v>
      </c>
      <c r="MRG75" s="244" t="s">
        <v>32</v>
      </c>
      <c r="MRH75" s="244" t="s">
        <v>32</v>
      </c>
      <c r="MRI75" s="244" t="s">
        <v>32</v>
      </c>
      <c r="MRJ75" s="244" t="s">
        <v>32</v>
      </c>
      <c r="MRK75" s="244" t="s">
        <v>32</v>
      </c>
      <c r="MRL75" s="244" t="s">
        <v>32</v>
      </c>
      <c r="MRM75" s="244" t="s">
        <v>32</v>
      </c>
      <c r="MRN75" s="244" t="s">
        <v>32</v>
      </c>
      <c r="MRO75" s="244" t="s">
        <v>32</v>
      </c>
      <c r="MRP75" s="244" t="s">
        <v>32</v>
      </c>
      <c r="MRQ75" s="244" t="s">
        <v>32</v>
      </c>
      <c r="MRR75" s="244" t="s">
        <v>32</v>
      </c>
      <c r="MRS75" s="244" t="s">
        <v>32</v>
      </c>
      <c r="MRT75" s="244" t="s">
        <v>32</v>
      </c>
      <c r="MRU75" s="244" t="s">
        <v>32</v>
      </c>
      <c r="MRV75" s="244" t="s">
        <v>32</v>
      </c>
      <c r="MRW75" s="244" t="s">
        <v>32</v>
      </c>
      <c r="MRX75" s="244" t="s">
        <v>32</v>
      </c>
      <c r="MRY75" s="244" t="s">
        <v>32</v>
      </c>
      <c r="MRZ75" s="244" t="s">
        <v>32</v>
      </c>
      <c r="MSA75" s="244" t="s">
        <v>32</v>
      </c>
      <c r="MSB75" s="244" t="s">
        <v>32</v>
      </c>
      <c r="MSC75" s="244" t="s">
        <v>32</v>
      </c>
      <c r="MSD75" s="244" t="s">
        <v>32</v>
      </c>
      <c r="MSE75" s="244" t="s">
        <v>32</v>
      </c>
      <c r="MSF75" s="244" t="s">
        <v>32</v>
      </c>
      <c r="MSG75" s="244" t="s">
        <v>32</v>
      </c>
      <c r="MSH75" s="244" t="s">
        <v>32</v>
      </c>
      <c r="MSI75" s="244" t="s">
        <v>32</v>
      </c>
      <c r="MSJ75" s="244" t="s">
        <v>32</v>
      </c>
      <c r="MSK75" s="244" t="s">
        <v>32</v>
      </c>
      <c r="MSL75" s="244" t="s">
        <v>32</v>
      </c>
      <c r="MSM75" s="244" t="s">
        <v>32</v>
      </c>
      <c r="MSN75" s="244" t="s">
        <v>32</v>
      </c>
      <c r="MSO75" s="244" t="s">
        <v>32</v>
      </c>
      <c r="MSP75" s="244" t="s">
        <v>32</v>
      </c>
      <c r="MSQ75" s="244" t="s">
        <v>32</v>
      </c>
      <c r="MSR75" s="244" t="s">
        <v>32</v>
      </c>
      <c r="MSS75" s="244" t="s">
        <v>32</v>
      </c>
      <c r="MST75" s="244" t="s">
        <v>32</v>
      </c>
      <c r="MSU75" s="244" t="s">
        <v>32</v>
      </c>
      <c r="MSV75" s="244" t="s">
        <v>32</v>
      </c>
      <c r="MSW75" s="244" t="s">
        <v>32</v>
      </c>
      <c r="MSX75" s="244" t="s">
        <v>32</v>
      </c>
      <c r="MSY75" s="244" t="s">
        <v>32</v>
      </c>
      <c r="MSZ75" s="244" t="s">
        <v>32</v>
      </c>
      <c r="MTA75" s="244" t="s">
        <v>32</v>
      </c>
      <c r="MTB75" s="244" t="s">
        <v>32</v>
      </c>
      <c r="MTC75" s="244" t="s">
        <v>32</v>
      </c>
      <c r="MTD75" s="244" t="s">
        <v>32</v>
      </c>
      <c r="MTE75" s="244" t="s">
        <v>32</v>
      </c>
      <c r="MTF75" s="244" t="s">
        <v>32</v>
      </c>
      <c r="MTG75" s="244" t="s">
        <v>32</v>
      </c>
      <c r="MTH75" s="244" t="s">
        <v>32</v>
      </c>
      <c r="MTI75" s="244" t="s">
        <v>32</v>
      </c>
      <c r="MTJ75" s="244" t="s">
        <v>32</v>
      </c>
      <c r="MTK75" s="244" t="s">
        <v>32</v>
      </c>
      <c r="MTL75" s="244" t="s">
        <v>32</v>
      </c>
      <c r="MTM75" s="244" t="s">
        <v>32</v>
      </c>
      <c r="MTN75" s="244" t="s">
        <v>32</v>
      </c>
      <c r="MTO75" s="244" t="s">
        <v>32</v>
      </c>
      <c r="MTP75" s="244" t="s">
        <v>32</v>
      </c>
      <c r="MTQ75" s="244" t="s">
        <v>32</v>
      </c>
      <c r="MTR75" s="244" t="s">
        <v>32</v>
      </c>
      <c r="MTS75" s="244" t="s">
        <v>32</v>
      </c>
      <c r="MTT75" s="244" t="s">
        <v>32</v>
      </c>
      <c r="MTU75" s="244" t="s">
        <v>32</v>
      </c>
      <c r="MTV75" s="244" t="s">
        <v>32</v>
      </c>
      <c r="MTW75" s="244" t="s">
        <v>32</v>
      </c>
      <c r="MTX75" s="244" t="s">
        <v>32</v>
      </c>
      <c r="MTY75" s="244" t="s">
        <v>32</v>
      </c>
      <c r="MTZ75" s="244" t="s">
        <v>32</v>
      </c>
      <c r="MUA75" s="244" t="s">
        <v>32</v>
      </c>
      <c r="MUB75" s="244" t="s">
        <v>32</v>
      </c>
      <c r="MUC75" s="244" t="s">
        <v>32</v>
      </c>
      <c r="MUD75" s="244" t="s">
        <v>32</v>
      </c>
      <c r="MUE75" s="244" t="s">
        <v>32</v>
      </c>
      <c r="MUF75" s="244" t="s">
        <v>32</v>
      </c>
      <c r="MUG75" s="244" t="s">
        <v>32</v>
      </c>
      <c r="MUH75" s="244" t="s">
        <v>32</v>
      </c>
      <c r="MUI75" s="244" t="s">
        <v>32</v>
      </c>
      <c r="MUJ75" s="244" t="s">
        <v>32</v>
      </c>
      <c r="MUK75" s="244" t="s">
        <v>32</v>
      </c>
      <c r="MUL75" s="244" t="s">
        <v>32</v>
      </c>
      <c r="MUM75" s="244" t="s">
        <v>32</v>
      </c>
      <c r="MUN75" s="244" t="s">
        <v>32</v>
      </c>
      <c r="MUO75" s="244" t="s">
        <v>32</v>
      </c>
      <c r="MUP75" s="244" t="s">
        <v>32</v>
      </c>
      <c r="MUQ75" s="244" t="s">
        <v>32</v>
      </c>
      <c r="MUR75" s="244" t="s">
        <v>32</v>
      </c>
      <c r="MUS75" s="244" t="s">
        <v>32</v>
      </c>
      <c r="MUT75" s="244" t="s">
        <v>32</v>
      </c>
      <c r="MUU75" s="244" t="s">
        <v>32</v>
      </c>
      <c r="MUV75" s="244" t="s">
        <v>32</v>
      </c>
      <c r="MUW75" s="244" t="s">
        <v>32</v>
      </c>
      <c r="MUX75" s="244" t="s">
        <v>32</v>
      </c>
      <c r="MUY75" s="244" t="s">
        <v>32</v>
      </c>
      <c r="MUZ75" s="244" t="s">
        <v>32</v>
      </c>
      <c r="MVA75" s="244" t="s">
        <v>32</v>
      </c>
      <c r="MVB75" s="244" t="s">
        <v>32</v>
      </c>
      <c r="MVC75" s="244" t="s">
        <v>32</v>
      </c>
      <c r="MVD75" s="244" t="s">
        <v>32</v>
      </c>
      <c r="MVE75" s="244" t="s">
        <v>32</v>
      </c>
      <c r="MVF75" s="244" t="s">
        <v>32</v>
      </c>
      <c r="MVG75" s="244" t="s">
        <v>32</v>
      </c>
      <c r="MVH75" s="244" t="s">
        <v>32</v>
      </c>
      <c r="MVI75" s="244" t="s">
        <v>32</v>
      </c>
      <c r="MVJ75" s="244" t="s">
        <v>32</v>
      </c>
      <c r="MVK75" s="244" t="s">
        <v>32</v>
      </c>
      <c r="MVL75" s="244" t="s">
        <v>32</v>
      </c>
      <c r="MVM75" s="244" t="s">
        <v>32</v>
      </c>
      <c r="MVN75" s="244" t="s">
        <v>32</v>
      </c>
      <c r="MVO75" s="244" t="s">
        <v>32</v>
      </c>
      <c r="MVP75" s="244" t="s">
        <v>32</v>
      </c>
      <c r="MVQ75" s="244" t="s">
        <v>32</v>
      </c>
      <c r="MVR75" s="244" t="s">
        <v>32</v>
      </c>
      <c r="MVS75" s="244" t="s">
        <v>32</v>
      </c>
      <c r="MVT75" s="244" t="s">
        <v>32</v>
      </c>
      <c r="MVU75" s="244" t="s">
        <v>32</v>
      </c>
      <c r="MVV75" s="244" t="s">
        <v>32</v>
      </c>
      <c r="MVW75" s="244" t="s">
        <v>32</v>
      </c>
      <c r="MVX75" s="244" t="s">
        <v>32</v>
      </c>
      <c r="MVY75" s="244" t="s">
        <v>32</v>
      </c>
      <c r="MVZ75" s="244" t="s">
        <v>32</v>
      </c>
      <c r="MWA75" s="244" t="s">
        <v>32</v>
      </c>
      <c r="MWB75" s="244" t="s">
        <v>32</v>
      </c>
      <c r="MWC75" s="244" t="s">
        <v>32</v>
      </c>
      <c r="MWD75" s="244" t="s">
        <v>32</v>
      </c>
      <c r="MWE75" s="244" t="s">
        <v>32</v>
      </c>
      <c r="MWF75" s="244" t="s">
        <v>32</v>
      </c>
      <c r="MWG75" s="244" t="s">
        <v>32</v>
      </c>
      <c r="MWH75" s="244" t="s">
        <v>32</v>
      </c>
      <c r="MWI75" s="244" t="s">
        <v>32</v>
      </c>
      <c r="MWJ75" s="244" t="s">
        <v>32</v>
      </c>
      <c r="MWK75" s="244" t="s">
        <v>32</v>
      </c>
      <c r="MWL75" s="244" t="s">
        <v>32</v>
      </c>
      <c r="MWM75" s="244" t="s">
        <v>32</v>
      </c>
      <c r="MWN75" s="244" t="s">
        <v>32</v>
      </c>
      <c r="MWO75" s="244" t="s">
        <v>32</v>
      </c>
      <c r="MWP75" s="244" t="s">
        <v>32</v>
      </c>
      <c r="MWQ75" s="244" t="s">
        <v>32</v>
      </c>
      <c r="MWR75" s="244" t="s">
        <v>32</v>
      </c>
      <c r="MWS75" s="244" t="s">
        <v>32</v>
      </c>
      <c r="MWT75" s="244" t="s">
        <v>32</v>
      </c>
      <c r="MWU75" s="244" t="s">
        <v>32</v>
      </c>
      <c r="MWV75" s="244" t="s">
        <v>32</v>
      </c>
      <c r="MWW75" s="244" t="s">
        <v>32</v>
      </c>
      <c r="MWX75" s="244" t="s">
        <v>32</v>
      </c>
      <c r="MWY75" s="244" t="s">
        <v>32</v>
      </c>
      <c r="MWZ75" s="244" t="s">
        <v>32</v>
      </c>
      <c r="MXA75" s="244" t="s">
        <v>32</v>
      </c>
      <c r="MXB75" s="244" t="s">
        <v>32</v>
      </c>
      <c r="MXC75" s="244" t="s">
        <v>32</v>
      </c>
      <c r="MXD75" s="244" t="s">
        <v>32</v>
      </c>
      <c r="MXE75" s="244" t="s">
        <v>32</v>
      </c>
      <c r="MXF75" s="244" t="s">
        <v>32</v>
      </c>
      <c r="MXG75" s="244" t="s">
        <v>32</v>
      </c>
      <c r="MXH75" s="244" t="s">
        <v>32</v>
      </c>
      <c r="MXI75" s="244" t="s">
        <v>32</v>
      </c>
      <c r="MXJ75" s="244" t="s">
        <v>32</v>
      </c>
      <c r="MXK75" s="244" t="s">
        <v>32</v>
      </c>
      <c r="MXL75" s="244" t="s">
        <v>32</v>
      </c>
      <c r="MXM75" s="244" t="s">
        <v>32</v>
      </c>
      <c r="MXN75" s="244" t="s">
        <v>32</v>
      </c>
      <c r="MXO75" s="244" t="s">
        <v>32</v>
      </c>
      <c r="MXP75" s="244" t="s">
        <v>32</v>
      </c>
      <c r="MXQ75" s="244" t="s">
        <v>32</v>
      </c>
      <c r="MXR75" s="244" t="s">
        <v>32</v>
      </c>
      <c r="MXS75" s="244" t="s">
        <v>32</v>
      </c>
      <c r="MXT75" s="244" t="s">
        <v>32</v>
      </c>
      <c r="MXU75" s="244" t="s">
        <v>32</v>
      </c>
      <c r="MXV75" s="244" t="s">
        <v>32</v>
      </c>
      <c r="MXW75" s="244" t="s">
        <v>32</v>
      </c>
      <c r="MXX75" s="244" t="s">
        <v>32</v>
      </c>
      <c r="MXY75" s="244" t="s">
        <v>32</v>
      </c>
      <c r="MXZ75" s="244" t="s">
        <v>32</v>
      </c>
      <c r="MYA75" s="244" t="s">
        <v>32</v>
      </c>
      <c r="MYB75" s="244" t="s">
        <v>32</v>
      </c>
      <c r="MYC75" s="244" t="s">
        <v>32</v>
      </c>
      <c r="MYD75" s="244" t="s">
        <v>32</v>
      </c>
      <c r="MYE75" s="244" t="s">
        <v>32</v>
      </c>
      <c r="MYF75" s="244" t="s">
        <v>32</v>
      </c>
      <c r="MYG75" s="244" t="s">
        <v>32</v>
      </c>
      <c r="MYH75" s="244" t="s">
        <v>32</v>
      </c>
      <c r="MYI75" s="244" t="s">
        <v>32</v>
      </c>
      <c r="MYJ75" s="244" t="s">
        <v>32</v>
      </c>
      <c r="MYK75" s="244" t="s">
        <v>32</v>
      </c>
      <c r="MYL75" s="244" t="s">
        <v>32</v>
      </c>
      <c r="MYM75" s="244" t="s">
        <v>32</v>
      </c>
      <c r="MYN75" s="244" t="s">
        <v>32</v>
      </c>
      <c r="MYO75" s="244" t="s">
        <v>32</v>
      </c>
      <c r="MYP75" s="244" t="s">
        <v>32</v>
      </c>
      <c r="MYQ75" s="244" t="s">
        <v>32</v>
      </c>
      <c r="MYR75" s="244" t="s">
        <v>32</v>
      </c>
      <c r="MYS75" s="244" t="s">
        <v>32</v>
      </c>
      <c r="MYT75" s="244" t="s">
        <v>32</v>
      </c>
      <c r="MYU75" s="244" t="s">
        <v>32</v>
      </c>
      <c r="MYV75" s="244" t="s">
        <v>32</v>
      </c>
      <c r="MYW75" s="244" t="s">
        <v>32</v>
      </c>
      <c r="MYX75" s="244" t="s">
        <v>32</v>
      </c>
      <c r="MYY75" s="244" t="s">
        <v>32</v>
      </c>
      <c r="MYZ75" s="244" t="s">
        <v>32</v>
      </c>
      <c r="MZA75" s="244" t="s">
        <v>32</v>
      </c>
      <c r="MZB75" s="244" t="s">
        <v>32</v>
      </c>
      <c r="MZC75" s="244" t="s">
        <v>32</v>
      </c>
      <c r="MZD75" s="244" t="s">
        <v>32</v>
      </c>
      <c r="MZE75" s="244" t="s">
        <v>32</v>
      </c>
      <c r="MZF75" s="244" t="s">
        <v>32</v>
      </c>
      <c r="MZG75" s="244" t="s">
        <v>32</v>
      </c>
      <c r="MZH75" s="244" t="s">
        <v>32</v>
      </c>
      <c r="MZI75" s="244" t="s">
        <v>32</v>
      </c>
      <c r="MZJ75" s="244" t="s">
        <v>32</v>
      </c>
      <c r="MZK75" s="244" t="s">
        <v>32</v>
      </c>
      <c r="MZL75" s="244" t="s">
        <v>32</v>
      </c>
      <c r="MZM75" s="244" t="s">
        <v>32</v>
      </c>
      <c r="MZN75" s="244" t="s">
        <v>32</v>
      </c>
      <c r="MZO75" s="244" t="s">
        <v>32</v>
      </c>
      <c r="MZP75" s="244" t="s">
        <v>32</v>
      </c>
      <c r="MZQ75" s="244" t="s">
        <v>32</v>
      </c>
      <c r="MZR75" s="244" t="s">
        <v>32</v>
      </c>
      <c r="MZS75" s="244" t="s">
        <v>32</v>
      </c>
      <c r="MZT75" s="244" t="s">
        <v>32</v>
      </c>
      <c r="MZU75" s="244" t="s">
        <v>32</v>
      </c>
      <c r="MZV75" s="244" t="s">
        <v>32</v>
      </c>
      <c r="MZW75" s="244" t="s">
        <v>32</v>
      </c>
      <c r="MZX75" s="244" t="s">
        <v>32</v>
      </c>
      <c r="MZY75" s="244" t="s">
        <v>32</v>
      </c>
      <c r="MZZ75" s="244" t="s">
        <v>32</v>
      </c>
      <c r="NAA75" s="244" t="s">
        <v>32</v>
      </c>
      <c r="NAB75" s="244" t="s">
        <v>32</v>
      </c>
      <c r="NAC75" s="244" t="s">
        <v>32</v>
      </c>
      <c r="NAD75" s="244" t="s">
        <v>32</v>
      </c>
      <c r="NAE75" s="244" t="s">
        <v>32</v>
      </c>
      <c r="NAF75" s="244" t="s">
        <v>32</v>
      </c>
      <c r="NAG75" s="244" t="s">
        <v>32</v>
      </c>
      <c r="NAH75" s="244" t="s">
        <v>32</v>
      </c>
      <c r="NAI75" s="244" t="s">
        <v>32</v>
      </c>
      <c r="NAJ75" s="244" t="s">
        <v>32</v>
      </c>
      <c r="NAK75" s="244" t="s">
        <v>32</v>
      </c>
      <c r="NAL75" s="244" t="s">
        <v>32</v>
      </c>
      <c r="NAM75" s="244" t="s">
        <v>32</v>
      </c>
      <c r="NAN75" s="244" t="s">
        <v>32</v>
      </c>
      <c r="NAO75" s="244" t="s">
        <v>32</v>
      </c>
      <c r="NAP75" s="244" t="s">
        <v>32</v>
      </c>
      <c r="NAQ75" s="244" t="s">
        <v>32</v>
      </c>
      <c r="NAR75" s="244" t="s">
        <v>32</v>
      </c>
      <c r="NAS75" s="244" t="s">
        <v>32</v>
      </c>
      <c r="NAT75" s="244" t="s">
        <v>32</v>
      </c>
      <c r="NAU75" s="244" t="s">
        <v>32</v>
      </c>
      <c r="NAV75" s="244" t="s">
        <v>32</v>
      </c>
      <c r="NAW75" s="244" t="s">
        <v>32</v>
      </c>
      <c r="NAX75" s="244" t="s">
        <v>32</v>
      </c>
      <c r="NAY75" s="244" t="s">
        <v>32</v>
      </c>
      <c r="NAZ75" s="244" t="s">
        <v>32</v>
      </c>
      <c r="NBA75" s="244" t="s">
        <v>32</v>
      </c>
      <c r="NBB75" s="244" t="s">
        <v>32</v>
      </c>
      <c r="NBC75" s="244" t="s">
        <v>32</v>
      </c>
      <c r="NBD75" s="244" t="s">
        <v>32</v>
      </c>
      <c r="NBE75" s="244" t="s">
        <v>32</v>
      </c>
      <c r="NBF75" s="244" t="s">
        <v>32</v>
      </c>
      <c r="NBG75" s="244" t="s">
        <v>32</v>
      </c>
      <c r="NBH75" s="244" t="s">
        <v>32</v>
      </c>
      <c r="NBI75" s="244" t="s">
        <v>32</v>
      </c>
      <c r="NBJ75" s="244" t="s">
        <v>32</v>
      </c>
      <c r="NBK75" s="244" t="s">
        <v>32</v>
      </c>
      <c r="NBL75" s="244" t="s">
        <v>32</v>
      </c>
      <c r="NBM75" s="244" t="s">
        <v>32</v>
      </c>
      <c r="NBN75" s="244" t="s">
        <v>32</v>
      </c>
      <c r="NBO75" s="244" t="s">
        <v>32</v>
      </c>
      <c r="NBP75" s="244" t="s">
        <v>32</v>
      </c>
      <c r="NBQ75" s="244" t="s">
        <v>32</v>
      </c>
      <c r="NBR75" s="244" t="s">
        <v>32</v>
      </c>
      <c r="NBS75" s="244" t="s">
        <v>32</v>
      </c>
      <c r="NBT75" s="244" t="s">
        <v>32</v>
      </c>
      <c r="NBU75" s="244" t="s">
        <v>32</v>
      </c>
      <c r="NBV75" s="244" t="s">
        <v>32</v>
      </c>
      <c r="NBW75" s="244" t="s">
        <v>32</v>
      </c>
      <c r="NBX75" s="244" t="s">
        <v>32</v>
      </c>
      <c r="NBY75" s="244" t="s">
        <v>32</v>
      </c>
      <c r="NBZ75" s="244" t="s">
        <v>32</v>
      </c>
      <c r="NCA75" s="244" t="s">
        <v>32</v>
      </c>
      <c r="NCB75" s="244" t="s">
        <v>32</v>
      </c>
      <c r="NCC75" s="244" t="s">
        <v>32</v>
      </c>
      <c r="NCD75" s="244" t="s">
        <v>32</v>
      </c>
      <c r="NCE75" s="244" t="s">
        <v>32</v>
      </c>
      <c r="NCF75" s="244" t="s">
        <v>32</v>
      </c>
      <c r="NCG75" s="244" t="s">
        <v>32</v>
      </c>
      <c r="NCH75" s="244" t="s">
        <v>32</v>
      </c>
      <c r="NCI75" s="244" t="s">
        <v>32</v>
      </c>
      <c r="NCJ75" s="244" t="s">
        <v>32</v>
      </c>
      <c r="NCK75" s="244" t="s">
        <v>32</v>
      </c>
      <c r="NCL75" s="244" t="s">
        <v>32</v>
      </c>
      <c r="NCM75" s="244" t="s">
        <v>32</v>
      </c>
      <c r="NCN75" s="244" t="s">
        <v>32</v>
      </c>
      <c r="NCO75" s="244" t="s">
        <v>32</v>
      </c>
      <c r="NCP75" s="244" t="s">
        <v>32</v>
      </c>
      <c r="NCQ75" s="244" t="s">
        <v>32</v>
      </c>
      <c r="NCR75" s="244" t="s">
        <v>32</v>
      </c>
      <c r="NCS75" s="244" t="s">
        <v>32</v>
      </c>
      <c r="NCT75" s="244" t="s">
        <v>32</v>
      </c>
      <c r="NCU75" s="244" t="s">
        <v>32</v>
      </c>
      <c r="NCV75" s="244" t="s">
        <v>32</v>
      </c>
      <c r="NCW75" s="244" t="s">
        <v>32</v>
      </c>
      <c r="NCX75" s="244" t="s">
        <v>32</v>
      </c>
      <c r="NCY75" s="244" t="s">
        <v>32</v>
      </c>
      <c r="NCZ75" s="244" t="s">
        <v>32</v>
      </c>
      <c r="NDA75" s="244" t="s">
        <v>32</v>
      </c>
      <c r="NDB75" s="244" t="s">
        <v>32</v>
      </c>
      <c r="NDC75" s="244" t="s">
        <v>32</v>
      </c>
      <c r="NDD75" s="244" t="s">
        <v>32</v>
      </c>
      <c r="NDE75" s="244" t="s">
        <v>32</v>
      </c>
      <c r="NDF75" s="244" t="s">
        <v>32</v>
      </c>
      <c r="NDG75" s="244" t="s">
        <v>32</v>
      </c>
      <c r="NDH75" s="244" t="s">
        <v>32</v>
      </c>
      <c r="NDI75" s="244" t="s">
        <v>32</v>
      </c>
      <c r="NDJ75" s="244" t="s">
        <v>32</v>
      </c>
      <c r="NDK75" s="244" t="s">
        <v>32</v>
      </c>
      <c r="NDL75" s="244" t="s">
        <v>32</v>
      </c>
      <c r="NDM75" s="244" t="s">
        <v>32</v>
      </c>
      <c r="NDN75" s="244" t="s">
        <v>32</v>
      </c>
      <c r="NDO75" s="244" t="s">
        <v>32</v>
      </c>
      <c r="NDP75" s="244" t="s">
        <v>32</v>
      </c>
      <c r="NDQ75" s="244" t="s">
        <v>32</v>
      </c>
      <c r="NDR75" s="244" t="s">
        <v>32</v>
      </c>
      <c r="NDS75" s="244" t="s">
        <v>32</v>
      </c>
      <c r="NDT75" s="244" t="s">
        <v>32</v>
      </c>
      <c r="NDU75" s="244" t="s">
        <v>32</v>
      </c>
      <c r="NDV75" s="244" t="s">
        <v>32</v>
      </c>
      <c r="NDW75" s="244" t="s">
        <v>32</v>
      </c>
      <c r="NDX75" s="244" t="s">
        <v>32</v>
      </c>
      <c r="NDY75" s="244" t="s">
        <v>32</v>
      </c>
      <c r="NDZ75" s="244" t="s">
        <v>32</v>
      </c>
      <c r="NEA75" s="244" t="s">
        <v>32</v>
      </c>
      <c r="NEB75" s="244" t="s">
        <v>32</v>
      </c>
      <c r="NEC75" s="244" t="s">
        <v>32</v>
      </c>
      <c r="NED75" s="244" t="s">
        <v>32</v>
      </c>
      <c r="NEE75" s="244" t="s">
        <v>32</v>
      </c>
      <c r="NEF75" s="244" t="s">
        <v>32</v>
      </c>
      <c r="NEG75" s="244" t="s">
        <v>32</v>
      </c>
      <c r="NEH75" s="244" t="s">
        <v>32</v>
      </c>
      <c r="NEI75" s="244" t="s">
        <v>32</v>
      </c>
      <c r="NEJ75" s="244" t="s">
        <v>32</v>
      </c>
      <c r="NEK75" s="244" t="s">
        <v>32</v>
      </c>
      <c r="NEL75" s="244" t="s">
        <v>32</v>
      </c>
      <c r="NEM75" s="244" t="s">
        <v>32</v>
      </c>
      <c r="NEN75" s="244" t="s">
        <v>32</v>
      </c>
      <c r="NEO75" s="244" t="s">
        <v>32</v>
      </c>
      <c r="NEP75" s="244" t="s">
        <v>32</v>
      </c>
      <c r="NEQ75" s="244" t="s">
        <v>32</v>
      </c>
      <c r="NER75" s="244" t="s">
        <v>32</v>
      </c>
      <c r="NES75" s="244" t="s">
        <v>32</v>
      </c>
      <c r="NET75" s="244" t="s">
        <v>32</v>
      </c>
      <c r="NEU75" s="244" t="s">
        <v>32</v>
      </c>
      <c r="NEV75" s="244" t="s">
        <v>32</v>
      </c>
      <c r="NEW75" s="244" t="s">
        <v>32</v>
      </c>
      <c r="NEX75" s="244" t="s">
        <v>32</v>
      </c>
      <c r="NEY75" s="244" t="s">
        <v>32</v>
      </c>
      <c r="NEZ75" s="244" t="s">
        <v>32</v>
      </c>
      <c r="NFA75" s="244" t="s">
        <v>32</v>
      </c>
      <c r="NFB75" s="244" t="s">
        <v>32</v>
      </c>
      <c r="NFC75" s="244" t="s">
        <v>32</v>
      </c>
      <c r="NFD75" s="244" t="s">
        <v>32</v>
      </c>
      <c r="NFE75" s="244" t="s">
        <v>32</v>
      </c>
      <c r="NFF75" s="244" t="s">
        <v>32</v>
      </c>
      <c r="NFG75" s="244" t="s">
        <v>32</v>
      </c>
      <c r="NFH75" s="244" t="s">
        <v>32</v>
      </c>
      <c r="NFI75" s="244" t="s">
        <v>32</v>
      </c>
      <c r="NFJ75" s="244" t="s">
        <v>32</v>
      </c>
      <c r="NFK75" s="244" t="s">
        <v>32</v>
      </c>
      <c r="NFL75" s="244" t="s">
        <v>32</v>
      </c>
      <c r="NFM75" s="244" t="s">
        <v>32</v>
      </c>
      <c r="NFN75" s="244" t="s">
        <v>32</v>
      </c>
      <c r="NFO75" s="244" t="s">
        <v>32</v>
      </c>
      <c r="NFP75" s="244" t="s">
        <v>32</v>
      </c>
      <c r="NFQ75" s="244" t="s">
        <v>32</v>
      </c>
      <c r="NFR75" s="244" t="s">
        <v>32</v>
      </c>
      <c r="NFS75" s="244" t="s">
        <v>32</v>
      </c>
      <c r="NFT75" s="244" t="s">
        <v>32</v>
      </c>
      <c r="NFU75" s="244" t="s">
        <v>32</v>
      </c>
      <c r="NFV75" s="244" t="s">
        <v>32</v>
      </c>
      <c r="NFW75" s="244" t="s">
        <v>32</v>
      </c>
      <c r="NFX75" s="244" t="s">
        <v>32</v>
      </c>
      <c r="NFY75" s="244" t="s">
        <v>32</v>
      </c>
      <c r="NFZ75" s="244" t="s">
        <v>32</v>
      </c>
      <c r="NGA75" s="244" t="s">
        <v>32</v>
      </c>
      <c r="NGB75" s="244" t="s">
        <v>32</v>
      </c>
      <c r="NGC75" s="244" t="s">
        <v>32</v>
      </c>
      <c r="NGD75" s="244" t="s">
        <v>32</v>
      </c>
      <c r="NGE75" s="244" t="s">
        <v>32</v>
      </c>
      <c r="NGF75" s="244" t="s">
        <v>32</v>
      </c>
      <c r="NGG75" s="244" t="s">
        <v>32</v>
      </c>
      <c r="NGH75" s="244" t="s">
        <v>32</v>
      </c>
      <c r="NGI75" s="244" t="s">
        <v>32</v>
      </c>
      <c r="NGJ75" s="244" t="s">
        <v>32</v>
      </c>
      <c r="NGK75" s="244" t="s">
        <v>32</v>
      </c>
      <c r="NGL75" s="244" t="s">
        <v>32</v>
      </c>
      <c r="NGM75" s="244" t="s">
        <v>32</v>
      </c>
      <c r="NGN75" s="244" t="s">
        <v>32</v>
      </c>
      <c r="NGO75" s="244" t="s">
        <v>32</v>
      </c>
      <c r="NGP75" s="244" t="s">
        <v>32</v>
      </c>
      <c r="NGQ75" s="244" t="s">
        <v>32</v>
      </c>
      <c r="NGR75" s="244" t="s">
        <v>32</v>
      </c>
      <c r="NGS75" s="244" t="s">
        <v>32</v>
      </c>
      <c r="NGT75" s="244" t="s">
        <v>32</v>
      </c>
      <c r="NGU75" s="244" t="s">
        <v>32</v>
      </c>
      <c r="NGV75" s="244" t="s">
        <v>32</v>
      </c>
      <c r="NGW75" s="244" t="s">
        <v>32</v>
      </c>
      <c r="NGX75" s="244" t="s">
        <v>32</v>
      </c>
      <c r="NGY75" s="244" t="s">
        <v>32</v>
      </c>
      <c r="NGZ75" s="244" t="s">
        <v>32</v>
      </c>
      <c r="NHA75" s="244" t="s">
        <v>32</v>
      </c>
      <c r="NHB75" s="244" t="s">
        <v>32</v>
      </c>
      <c r="NHC75" s="244" t="s">
        <v>32</v>
      </c>
      <c r="NHD75" s="244" t="s">
        <v>32</v>
      </c>
      <c r="NHE75" s="244" t="s">
        <v>32</v>
      </c>
      <c r="NHF75" s="244" t="s">
        <v>32</v>
      </c>
      <c r="NHG75" s="244" t="s">
        <v>32</v>
      </c>
      <c r="NHH75" s="244" t="s">
        <v>32</v>
      </c>
      <c r="NHI75" s="244" t="s">
        <v>32</v>
      </c>
      <c r="NHJ75" s="244" t="s">
        <v>32</v>
      </c>
      <c r="NHK75" s="244" t="s">
        <v>32</v>
      </c>
      <c r="NHL75" s="244" t="s">
        <v>32</v>
      </c>
      <c r="NHM75" s="244" t="s">
        <v>32</v>
      </c>
      <c r="NHN75" s="244" t="s">
        <v>32</v>
      </c>
      <c r="NHO75" s="244" t="s">
        <v>32</v>
      </c>
      <c r="NHP75" s="244" t="s">
        <v>32</v>
      </c>
      <c r="NHQ75" s="244" t="s">
        <v>32</v>
      </c>
      <c r="NHR75" s="244" t="s">
        <v>32</v>
      </c>
      <c r="NHS75" s="244" t="s">
        <v>32</v>
      </c>
      <c r="NHT75" s="244" t="s">
        <v>32</v>
      </c>
      <c r="NHU75" s="244" t="s">
        <v>32</v>
      </c>
      <c r="NHV75" s="244" t="s">
        <v>32</v>
      </c>
      <c r="NHW75" s="244" t="s">
        <v>32</v>
      </c>
      <c r="NHX75" s="244" t="s">
        <v>32</v>
      </c>
      <c r="NHY75" s="244" t="s">
        <v>32</v>
      </c>
      <c r="NHZ75" s="244" t="s">
        <v>32</v>
      </c>
      <c r="NIA75" s="244" t="s">
        <v>32</v>
      </c>
      <c r="NIB75" s="244" t="s">
        <v>32</v>
      </c>
      <c r="NIC75" s="244" t="s">
        <v>32</v>
      </c>
      <c r="NID75" s="244" t="s">
        <v>32</v>
      </c>
      <c r="NIE75" s="244" t="s">
        <v>32</v>
      </c>
      <c r="NIF75" s="244" t="s">
        <v>32</v>
      </c>
      <c r="NIG75" s="244" t="s">
        <v>32</v>
      </c>
      <c r="NIH75" s="244" t="s">
        <v>32</v>
      </c>
      <c r="NII75" s="244" t="s">
        <v>32</v>
      </c>
      <c r="NIJ75" s="244" t="s">
        <v>32</v>
      </c>
      <c r="NIK75" s="244" t="s">
        <v>32</v>
      </c>
      <c r="NIL75" s="244" t="s">
        <v>32</v>
      </c>
      <c r="NIM75" s="244" t="s">
        <v>32</v>
      </c>
      <c r="NIN75" s="244" t="s">
        <v>32</v>
      </c>
      <c r="NIO75" s="244" t="s">
        <v>32</v>
      </c>
      <c r="NIP75" s="244" t="s">
        <v>32</v>
      </c>
      <c r="NIQ75" s="244" t="s">
        <v>32</v>
      </c>
      <c r="NIR75" s="244" t="s">
        <v>32</v>
      </c>
      <c r="NIS75" s="244" t="s">
        <v>32</v>
      </c>
      <c r="NIT75" s="244" t="s">
        <v>32</v>
      </c>
      <c r="NIU75" s="244" t="s">
        <v>32</v>
      </c>
      <c r="NIV75" s="244" t="s">
        <v>32</v>
      </c>
      <c r="NIW75" s="244" t="s">
        <v>32</v>
      </c>
      <c r="NIX75" s="244" t="s">
        <v>32</v>
      </c>
      <c r="NIY75" s="244" t="s">
        <v>32</v>
      </c>
      <c r="NIZ75" s="244" t="s">
        <v>32</v>
      </c>
      <c r="NJA75" s="244" t="s">
        <v>32</v>
      </c>
      <c r="NJB75" s="244" t="s">
        <v>32</v>
      </c>
      <c r="NJC75" s="244" t="s">
        <v>32</v>
      </c>
      <c r="NJD75" s="244" t="s">
        <v>32</v>
      </c>
      <c r="NJE75" s="244" t="s">
        <v>32</v>
      </c>
      <c r="NJF75" s="244" t="s">
        <v>32</v>
      </c>
      <c r="NJG75" s="244" t="s">
        <v>32</v>
      </c>
      <c r="NJH75" s="244" t="s">
        <v>32</v>
      </c>
      <c r="NJI75" s="244" t="s">
        <v>32</v>
      </c>
      <c r="NJJ75" s="244" t="s">
        <v>32</v>
      </c>
      <c r="NJK75" s="244" t="s">
        <v>32</v>
      </c>
      <c r="NJL75" s="244" t="s">
        <v>32</v>
      </c>
      <c r="NJM75" s="244" t="s">
        <v>32</v>
      </c>
      <c r="NJN75" s="244" t="s">
        <v>32</v>
      </c>
      <c r="NJO75" s="244" t="s">
        <v>32</v>
      </c>
      <c r="NJP75" s="244" t="s">
        <v>32</v>
      </c>
      <c r="NJQ75" s="244" t="s">
        <v>32</v>
      </c>
      <c r="NJR75" s="244" t="s">
        <v>32</v>
      </c>
      <c r="NJS75" s="244" t="s">
        <v>32</v>
      </c>
      <c r="NJT75" s="244" t="s">
        <v>32</v>
      </c>
      <c r="NJU75" s="244" t="s">
        <v>32</v>
      </c>
      <c r="NJV75" s="244" t="s">
        <v>32</v>
      </c>
      <c r="NJW75" s="244" t="s">
        <v>32</v>
      </c>
      <c r="NJX75" s="244" t="s">
        <v>32</v>
      </c>
      <c r="NJY75" s="244" t="s">
        <v>32</v>
      </c>
      <c r="NJZ75" s="244" t="s">
        <v>32</v>
      </c>
      <c r="NKA75" s="244" t="s">
        <v>32</v>
      </c>
      <c r="NKB75" s="244" t="s">
        <v>32</v>
      </c>
      <c r="NKC75" s="244" t="s">
        <v>32</v>
      </c>
      <c r="NKD75" s="244" t="s">
        <v>32</v>
      </c>
      <c r="NKE75" s="244" t="s">
        <v>32</v>
      </c>
      <c r="NKF75" s="244" t="s">
        <v>32</v>
      </c>
      <c r="NKG75" s="244" t="s">
        <v>32</v>
      </c>
      <c r="NKH75" s="244" t="s">
        <v>32</v>
      </c>
      <c r="NKI75" s="244" t="s">
        <v>32</v>
      </c>
      <c r="NKJ75" s="244" t="s">
        <v>32</v>
      </c>
      <c r="NKK75" s="244" t="s">
        <v>32</v>
      </c>
      <c r="NKL75" s="244" t="s">
        <v>32</v>
      </c>
      <c r="NKM75" s="244" t="s">
        <v>32</v>
      </c>
      <c r="NKN75" s="244" t="s">
        <v>32</v>
      </c>
      <c r="NKO75" s="244" t="s">
        <v>32</v>
      </c>
      <c r="NKP75" s="244" t="s">
        <v>32</v>
      </c>
      <c r="NKQ75" s="244" t="s">
        <v>32</v>
      </c>
      <c r="NKR75" s="244" t="s">
        <v>32</v>
      </c>
      <c r="NKS75" s="244" t="s">
        <v>32</v>
      </c>
      <c r="NKT75" s="244" t="s">
        <v>32</v>
      </c>
      <c r="NKU75" s="244" t="s">
        <v>32</v>
      </c>
      <c r="NKV75" s="244" t="s">
        <v>32</v>
      </c>
      <c r="NKW75" s="244" t="s">
        <v>32</v>
      </c>
      <c r="NKX75" s="244" t="s">
        <v>32</v>
      </c>
      <c r="NKY75" s="244" t="s">
        <v>32</v>
      </c>
      <c r="NKZ75" s="244" t="s">
        <v>32</v>
      </c>
      <c r="NLA75" s="244" t="s">
        <v>32</v>
      </c>
      <c r="NLB75" s="244" t="s">
        <v>32</v>
      </c>
      <c r="NLC75" s="244" t="s">
        <v>32</v>
      </c>
      <c r="NLD75" s="244" t="s">
        <v>32</v>
      </c>
      <c r="NLE75" s="244" t="s">
        <v>32</v>
      </c>
      <c r="NLF75" s="244" t="s">
        <v>32</v>
      </c>
      <c r="NLG75" s="244" t="s">
        <v>32</v>
      </c>
      <c r="NLH75" s="244" t="s">
        <v>32</v>
      </c>
      <c r="NLI75" s="244" t="s">
        <v>32</v>
      </c>
      <c r="NLJ75" s="244" t="s">
        <v>32</v>
      </c>
      <c r="NLK75" s="244" t="s">
        <v>32</v>
      </c>
      <c r="NLL75" s="244" t="s">
        <v>32</v>
      </c>
      <c r="NLM75" s="244" t="s">
        <v>32</v>
      </c>
      <c r="NLN75" s="244" t="s">
        <v>32</v>
      </c>
      <c r="NLO75" s="244" t="s">
        <v>32</v>
      </c>
      <c r="NLP75" s="244" t="s">
        <v>32</v>
      </c>
      <c r="NLQ75" s="244" t="s">
        <v>32</v>
      </c>
      <c r="NLR75" s="244" t="s">
        <v>32</v>
      </c>
      <c r="NLS75" s="244" t="s">
        <v>32</v>
      </c>
      <c r="NLT75" s="244" t="s">
        <v>32</v>
      </c>
      <c r="NLU75" s="244" t="s">
        <v>32</v>
      </c>
      <c r="NLV75" s="244" t="s">
        <v>32</v>
      </c>
      <c r="NLW75" s="244" t="s">
        <v>32</v>
      </c>
      <c r="NLX75" s="244" t="s">
        <v>32</v>
      </c>
      <c r="NLY75" s="244" t="s">
        <v>32</v>
      </c>
      <c r="NLZ75" s="244" t="s">
        <v>32</v>
      </c>
      <c r="NMA75" s="244" t="s">
        <v>32</v>
      </c>
      <c r="NMB75" s="244" t="s">
        <v>32</v>
      </c>
      <c r="NMC75" s="244" t="s">
        <v>32</v>
      </c>
      <c r="NMD75" s="244" t="s">
        <v>32</v>
      </c>
      <c r="NME75" s="244" t="s">
        <v>32</v>
      </c>
      <c r="NMF75" s="244" t="s">
        <v>32</v>
      </c>
      <c r="NMG75" s="244" t="s">
        <v>32</v>
      </c>
      <c r="NMH75" s="244" t="s">
        <v>32</v>
      </c>
      <c r="NMI75" s="244" t="s">
        <v>32</v>
      </c>
      <c r="NMJ75" s="244" t="s">
        <v>32</v>
      </c>
      <c r="NMK75" s="244" t="s">
        <v>32</v>
      </c>
      <c r="NML75" s="244" t="s">
        <v>32</v>
      </c>
      <c r="NMM75" s="244" t="s">
        <v>32</v>
      </c>
      <c r="NMN75" s="244" t="s">
        <v>32</v>
      </c>
      <c r="NMO75" s="244" t="s">
        <v>32</v>
      </c>
      <c r="NMP75" s="244" t="s">
        <v>32</v>
      </c>
      <c r="NMQ75" s="244" t="s">
        <v>32</v>
      </c>
      <c r="NMR75" s="244" t="s">
        <v>32</v>
      </c>
      <c r="NMS75" s="244" t="s">
        <v>32</v>
      </c>
      <c r="NMT75" s="244" t="s">
        <v>32</v>
      </c>
      <c r="NMU75" s="244" t="s">
        <v>32</v>
      </c>
      <c r="NMV75" s="244" t="s">
        <v>32</v>
      </c>
      <c r="NMW75" s="244" t="s">
        <v>32</v>
      </c>
      <c r="NMX75" s="244" t="s">
        <v>32</v>
      </c>
      <c r="NMY75" s="244" t="s">
        <v>32</v>
      </c>
      <c r="NMZ75" s="244" t="s">
        <v>32</v>
      </c>
      <c r="NNA75" s="244" t="s">
        <v>32</v>
      </c>
      <c r="NNB75" s="244" t="s">
        <v>32</v>
      </c>
      <c r="NNC75" s="244" t="s">
        <v>32</v>
      </c>
      <c r="NND75" s="244" t="s">
        <v>32</v>
      </c>
      <c r="NNE75" s="244" t="s">
        <v>32</v>
      </c>
      <c r="NNF75" s="244" t="s">
        <v>32</v>
      </c>
      <c r="NNG75" s="244" t="s">
        <v>32</v>
      </c>
      <c r="NNH75" s="244" t="s">
        <v>32</v>
      </c>
      <c r="NNI75" s="244" t="s">
        <v>32</v>
      </c>
      <c r="NNJ75" s="244" t="s">
        <v>32</v>
      </c>
      <c r="NNK75" s="244" t="s">
        <v>32</v>
      </c>
      <c r="NNL75" s="244" t="s">
        <v>32</v>
      </c>
      <c r="NNM75" s="244" t="s">
        <v>32</v>
      </c>
      <c r="NNN75" s="244" t="s">
        <v>32</v>
      </c>
      <c r="NNO75" s="244" t="s">
        <v>32</v>
      </c>
      <c r="NNP75" s="244" t="s">
        <v>32</v>
      </c>
      <c r="NNQ75" s="244" t="s">
        <v>32</v>
      </c>
      <c r="NNR75" s="244" t="s">
        <v>32</v>
      </c>
      <c r="NNS75" s="244" t="s">
        <v>32</v>
      </c>
      <c r="NNT75" s="244" t="s">
        <v>32</v>
      </c>
      <c r="NNU75" s="244" t="s">
        <v>32</v>
      </c>
      <c r="NNV75" s="244" t="s">
        <v>32</v>
      </c>
      <c r="NNW75" s="244" t="s">
        <v>32</v>
      </c>
      <c r="NNX75" s="244" t="s">
        <v>32</v>
      </c>
      <c r="NNY75" s="244" t="s">
        <v>32</v>
      </c>
      <c r="NNZ75" s="244" t="s">
        <v>32</v>
      </c>
      <c r="NOA75" s="244" t="s">
        <v>32</v>
      </c>
      <c r="NOB75" s="244" t="s">
        <v>32</v>
      </c>
      <c r="NOC75" s="244" t="s">
        <v>32</v>
      </c>
      <c r="NOD75" s="244" t="s">
        <v>32</v>
      </c>
      <c r="NOE75" s="244" t="s">
        <v>32</v>
      </c>
      <c r="NOF75" s="244" t="s">
        <v>32</v>
      </c>
      <c r="NOG75" s="244" t="s">
        <v>32</v>
      </c>
      <c r="NOH75" s="244" t="s">
        <v>32</v>
      </c>
      <c r="NOI75" s="244" t="s">
        <v>32</v>
      </c>
      <c r="NOJ75" s="244" t="s">
        <v>32</v>
      </c>
      <c r="NOK75" s="244" t="s">
        <v>32</v>
      </c>
      <c r="NOL75" s="244" t="s">
        <v>32</v>
      </c>
      <c r="NOM75" s="244" t="s">
        <v>32</v>
      </c>
      <c r="NON75" s="244" t="s">
        <v>32</v>
      </c>
      <c r="NOO75" s="244" t="s">
        <v>32</v>
      </c>
      <c r="NOP75" s="244" t="s">
        <v>32</v>
      </c>
      <c r="NOQ75" s="244" t="s">
        <v>32</v>
      </c>
      <c r="NOR75" s="244" t="s">
        <v>32</v>
      </c>
      <c r="NOS75" s="244" t="s">
        <v>32</v>
      </c>
      <c r="NOT75" s="244" t="s">
        <v>32</v>
      </c>
      <c r="NOU75" s="244" t="s">
        <v>32</v>
      </c>
      <c r="NOV75" s="244" t="s">
        <v>32</v>
      </c>
      <c r="NOW75" s="244" t="s">
        <v>32</v>
      </c>
      <c r="NOX75" s="244" t="s">
        <v>32</v>
      </c>
      <c r="NOY75" s="244" t="s">
        <v>32</v>
      </c>
      <c r="NOZ75" s="244" t="s">
        <v>32</v>
      </c>
      <c r="NPA75" s="244" t="s">
        <v>32</v>
      </c>
      <c r="NPB75" s="244" t="s">
        <v>32</v>
      </c>
      <c r="NPC75" s="244" t="s">
        <v>32</v>
      </c>
      <c r="NPD75" s="244" t="s">
        <v>32</v>
      </c>
      <c r="NPE75" s="244" t="s">
        <v>32</v>
      </c>
      <c r="NPF75" s="244" t="s">
        <v>32</v>
      </c>
      <c r="NPG75" s="244" t="s">
        <v>32</v>
      </c>
      <c r="NPH75" s="244" t="s">
        <v>32</v>
      </c>
      <c r="NPI75" s="244" t="s">
        <v>32</v>
      </c>
      <c r="NPJ75" s="244" t="s">
        <v>32</v>
      </c>
      <c r="NPK75" s="244" t="s">
        <v>32</v>
      </c>
      <c r="NPL75" s="244" t="s">
        <v>32</v>
      </c>
      <c r="NPM75" s="244" t="s">
        <v>32</v>
      </c>
      <c r="NPN75" s="244" t="s">
        <v>32</v>
      </c>
      <c r="NPO75" s="244" t="s">
        <v>32</v>
      </c>
      <c r="NPP75" s="244" t="s">
        <v>32</v>
      </c>
      <c r="NPQ75" s="244" t="s">
        <v>32</v>
      </c>
      <c r="NPR75" s="244" t="s">
        <v>32</v>
      </c>
      <c r="NPS75" s="244" t="s">
        <v>32</v>
      </c>
      <c r="NPT75" s="244" t="s">
        <v>32</v>
      </c>
      <c r="NPU75" s="244" t="s">
        <v>32</v>
      </c>
      <c r="NPV75" s="244" t="s">
        <v>32</v>
      </c>
      <c r="NPW75" s="244" t="s">
        <v>32</v>
      </c>
      <c r="NPX75" s="244" t="s">
        <v>32</v>
      </c>
      <c r="NPY75" s="244" t="s">
        <v>32</v>
      </c>
      <c r="NPZ75" s="244" t="s">
        <v>32</v>
      </c>
      <c r="NQA75" s="244" t="s">
        <v>32</v>
      </c>
      <c r="NQB75" s="244" t="s">
        <v>32</v>
      </c>
      <c r="NQC75" s="244" t="s">
        <v>32</v>
      </c>
      <c r="NQD75" s="244" t="s">
        <v>32</v>
      </c>
      <c r="NQE75" s="244" t="s">
        <v>32</v>
      </c>
      <c r="NQF75" s="244" t="s">
        <v>32</v>
      </c>
      <c r="NQG75" s="244" t="s">
        <v>32</v>
      </c>
      <c r="NQH75" s="244" t="s">
        <v>32</v>
      </c>
      <c r="NQI75" s="244" t="s">
        <v>32</v>
      </c>
      <c r="NQJ75" s="244" t="s">
        <v>32</v>
      </c>
      <c r="NQK75" s="244" t="s">
        <v>32</v>
      </c>
      <c r="NQL75" s="244" t="s">
        <v>32</v>
      </c>
      <c r="NQM75" s="244" t="s">
        <v>32</v>
      </c>
      <c r="NQN75" s="244" t="s">
        <v>32</v>
      </c>
      <c r="NQO75" s="244" t="s">
        <v>32</v>
      </c>
      <c r="NQP75" s="244" t="s">
        <v>32</v>
      </c>
      <c r="NQQ75" s="244" t="s">
        <v>32</v>
      </c>
      <c r="NQR75" s="244" t="s">
        <v>32</v>
      </c>
      <c r="NQS75" s="244" t="s">
        <v>32</v>
      </c>
      <c r="NQT75" s="244" t="s">
        <v>32</v>
      </c>
      <c r="NQU75" s="244" t="s">
        <v>32</v>
      </c>
      <c r="NQV75" s="244" t="s">
        <v>32</v>
      </c>
      <c r="NQW75" s="244" t="s">
        <v>32</v>
      </c>
      <c r="NQX75" s="244" t="s">
        <v>32</v>
      </c>
      <c r="NQY75" s="244" t="s">
        <v>32</v>
      </c>
      <c r="NQZ75" s="244" t="s">
        <v>32</v>
      </c>
      <c r="NRA75" s="244" t="s">
        <v>32</v>
      </c>
      <c r="NRB75" s="244" t="s">
        <v>32</v>
      </c>
      <c r="NRC75" s="244" t="s">
        <v>32</v>
      </c>
      <c r="NRD75" s="244" t="s">
        <v>32</v>
      </c>
      <c r="NRE75" s="244" t="s">
        <v>32</v>
      </c>
      <c r="NRF75" s="244" t="s">
        <v>32</v>
      </c>
      <c r="NRG75" s="244" t="s">
        <v>32</v>
      </c>
      <c r="NRH75" s="244" t="s">
        <v>32</v>
      </c>
      <c r="NRI75" s="244" t="s">
        <v>32</v>
      </c>
      <c r="NRJ75" s="244" t="s">
        <v>32</v>
      </c>
      <c r="NRK75" s="244" t="s">
        <v>32</v>
      </c>
      <c r="NRL75" s="244" t="s">
        <v>32</v>
      </c>
      <c r="NRM75" s="244" t="s">
        <v>32</v>
      </c>
      <c r="NRN75" s="244" t="s">
        <v>32</v>
      </c>
      <c r="NRO75" s="244" t="s">
        <v>32</v>
      </c>
      <c r="NRP75" s="244" t="s">
        <v>32</v>
      </c>
      <c r="NRQ75" s="244" t="s">
        <v>32</v>
      </c>
      <c r="NRR75" s="244" t="s">
        <v>32</v>
      </c>
      <c r="NRS75" s="244" t="s">
        <v>32</v>
      </c>
      <c r="NRT75" s="244" t="s">
        <v>32</v>
      </c>
      <c r="NRU75" s="244" t="s">
        <v>32</v>
      </c>
      <c r="NRV75" s="244" t="s">
        <v>32</v>
      </c>
      <c r="NRW75" s="244" t="s">
        <v>32</v>
      </c>
      <c r="NRX75" s="244" t="s">
        <v>32</v>
      </c>
      <c r="NRY75" s="244" t="s">
        <v>32</v>
      </c>
      <c r="NRZ75" s="244" t="s">
        <v>32</v>
      </c>
      <c r="NSA75" s="244" t="s">
        <v>32</v>
      </c>
      <c r="NSB75" s="244" t="s">
        <v>32</v>
      </c>
      <c r="NSC75" s="244" t="s">
        <v>32</v>
      </c>
      <c r="NSD75" s="244" t="s">
        <v>32</v>
      </c>
      <c r="NSE75" s="244" t="s">
        <v>32</v>
      </c>
      <c r="NSF75" s="244" t="s">
        <v>32</v>
      </c>
      <c r="NSG75" s="244" t="s">
        <v>32</v>
      </c>
      <c r="NSH75" s="244" t="s">
        <v>32</v>
      </c>
      <c r="NSI75" s="244" t="s">
        <v>32</v>
      </c>
      <c r="NSJ75" s="244" t="s">
        <v>32</v>
      </c>
      <c r="NSK75" s="244" t="s">
        <v>32</v>
      </c>
      <c r="NSL75" s="244" t="s">
        <v>32</v>
      </c>
      <c r="NSM75" s="244" t="s">
        <v>32</v>
      </c>
      <c r="NSN75" s="244" t="s">
        <v>32</v>
      </c>
      <c r="NSO75" s="244" t="s">
        <v>32</v>
      </c>
      <c r="NSP75" s="244" t="s">
        <v>32</v>
      </c>
      <c r="NSQ75" s="244" t="s">
        <v>32</v>
      </c>
      <c r="NSR75" s="244" t="s">
        <v>32</v>
      </c>
      <c r="NSS75" s="244" t="s">
        <v>32</v>
      </c>
      <c r="NST75" s="244" t="s">
        <v>32</v>
      </c>
      <c r="NSU75" s="244" t="s">
        <v>32</v>
      </c>
      <c r="NSV75" s="244" t="s">
        <v>32</v>
      </c>
      <c r="NSW75" s="244" t="s">
        <v>32</v>
      </c>
      <c r="NSX75" s="244" t="s">
        <v>32</v>
      </c>
      <c r="NSY75" s="244" t="s">
        <v>32</v>
      </c>
      <c r="NSZ75" s="244" t="s">
        <v>32</v>
      </c>
      <c r="NTA75" s="244" t="s">
        <v>32</v>
      </c>
      <c r="NTB75" s="244" t="s">
        <v>32</v>
      </c>
      <c r="NTC75" s="244" t="s">
        <v>32</v>
      </c>
      <c r="NTD75" s="244" t="s">
        <v>32</v>
      </c>
      <c r="NTE75" s="244" t="s">
        <v>32</v>
      </c>
      <c r="NTF75" s="244" t="s">
        <v>32</v>
      </c>
      <c r="NTG75" s="244" t="s">
        <v>32</v>
      </c>
      <c r="NTH75" s="244" t="s">
        <v>32</v>
      </c>
      <c r="NTI75" s="244" t="s">
        <v>32</v>
      </c>
      <c r="NTJ75" s="244" t="s">
        <v>32</v>
      </c>
      <c r="NTK75" s="244" t="s">
        <v>32</v>
      </c>
      <c r="NTL75" s="244" t="s">
        <v>32</v>
      </c>
      <c r="NTM75" s="244" t="s">
        <v>32</v>
      </c>
      <c r="NTN75" s="244" t="s">
        <v>32</v>
      </c>
      <c r="NTO75" s="244" t="s">
        <v>32</v>
      </c>
      <c r="NTP75" s="244" t="s">
        <v>32</v>
      </c>
      <c r="NTQ75" s="244" t="s">
        <v>32</v>
      </c>
      <c r="NTR75" s="244" t="s">
        <v>32</v>
      </c>
      <c r="NTS75" s="244" t="s">
        <v>32</v>
      </c>
      <c r="NTT75" s="244" t="s">
        <v>32</v>
      </c>
      <c r="NTU75" s="244" t="s">
        <v>32</v>
      </c>
      <c r="NTV75" s="244" t="s">
        <v>32</v>
      </c>
      <c r="NTW75" s="244" t="s">
        <v>32</v>
      </c>
      <c r="NTX75" s="244" t="s">
        <v>32</v>
      </c>
      <c r="NTY75" s="244" t="s">
        <v>32</v>
      </c>
      <c r="NTZ75" s="244" t="s">
        <v>32</v>
      </c>
      <c r="NUA75" s="244" t="s">
        <v>32</v>
      </c>
      <c r="NUB75" s="244" t="s">
        <v>32</v>
      </c>
      <c r="NUC75" s="244" t="s">
        <v>32</v>
      </c>
      <c r="NUD75" s="244" t="s">
        <v>32</v>
      </c>
      <c r="NUE75" s="244" t="s">
        <v>32</v>
      </c>
      <c r="NUF75" s="244" t="s">
        <v>32</v>
      </c>
      <c r="NUG75" s="244" t="s">
        <v>32</v>
      </c>
      <c r="NUH75" s="244" t="s">
        <v>32</v>
      </c>
      <c r="NUI75" s="244" t="s">
        <v>32</v>
      </c>
      <c r="NUJ75" s="244" t="s">
        <v>32</v>
      </c>
      <c r="NUK75" s="244" t="s">
        <v>32</v>
      </c>
      <c r="NUL75" s="244" t="s">
        <v>32</v>
      </c>
      <c r="NUM75" s="244" t="s">
        <v>32</v>
      </c>
      <c r="NUN75" s="244" t="s">
        <v>32</v>
      </c>
      <c r="NUO75" s="244" t="s">
        <v>32</v>
      </c>
      <c r="NUP75" s="244" t="s">
        <v>32</v>
      </c>
      <c r="NUQ75" s="244" t="s">
        <v>32</v>
      </c>
      <c r="NUR75" s="244" t="s">
        <v>32</v>
      </c>
      <c r="NUS75" s="244" t="s">
        <v>32</v>
      </c>
      <c r="NUT75" s="244" t="s">
        <v>32</v>
      </c>
      <c r="NUU75" s="244" t="s">
        <v>32</v>
      </c>
      <c r="NUV75" s="244" t="s">
        <v>32</v>
      </c>
      <c r="NUW75" s="244" t="s">
        <v>32</v>
      </c>
      <c r="NUX75" s="244" t="s">
        <v>32</v>
      </c>
      <c r="NUY75" s="244" t="s">
        <v>32</v>
      </c>
      <c r="NUZ75" s="244" t="s">
        <v>32</v>
      </c>
      <c r="NVA75" s="244" t="s">
        <v>32</v>
      </c>
      <c r="NVB75" s="244" t="s">
        <v>32</v>
      </c>
      <c r="NVC75" s="244" t="s">
        <v>32</v>
      </c>
      <c r="NVD75" s="244" t="s">
        <v>32</v>
      </c>
      <c r="NVE75" s="244" t="s">
        <v>32</v>
      </c>
      <c r="NVF75" s="244" t="s">
        <v>32</v>
      </c>
      <c r="NVG75" s="244" t="s">
        <v>32</v>
      </c>
      <c r="NVH75" s="244" t="s">
        <v>32</v>
      </c>
      <c r="NVI75" s="244" t="s">
        <v>32</v>
      </c>
      <c r="NVJ75" s="244" t="s">
        <v>32</v>
      </c>
      <c r="NVK75" s="244" t="s">
        <v>32</v>
      </c>
      <c r="NVL75" s="244" t="s">
        <v>32</v>
      </c>
      <c r="NVM75" s="244" t="s">
        <v>32</v>
      </c>
      <c r="NVN75" s="244" t="s">
        <v>32</v>
      </c>
      <c r="NVO75" s="244" t="s">
        <v>32</v>
      </c>
      <c r="NVP75" s="244" t="s">
        <v>32</v>
      </c>
      <c r="NVQ75" s="244" t="s">
        <v>32</v>
      </c>
      <c r="NVR75" s="244" t="s">
        <v>32</v>
      </c>
      <c r="NVS75" s="244" t="s">
        <v>32</v>
      </c>
      <c r="NVT75" s="244" t="s">
        <v>32</v>
      </c>
      <c r="NVU75" s="244" t="s">
        <v>32</v>
      </c>
      <c r="NVV75" s="244" t="s">
        <v>32</v>
      </c>
      <c r="NVW75" s="244" t="s">
        <v>32</v>
      </c>
      <c r="NVX75" s="244" t="s">
        <v>32</v>
      </c>
      <c r="NVY75" s="244" t="s">
        <v>32</v>
      </c>
      <c r="NVZ75" s="244" t="s">
        <v>32</v>
      </c>
      <c r="NWA75" s="244" t="s">
        <v>32</v>
      </c>
      <c r="NWB75" s="244" t="s">
        <v>32</v>
      </c>
      <c r="NWC75" s="244" t="s">
        <v>32</v>
      </c>
      <c r="NWD75" s="244" t="s">
        <v>32</v>
      </c>
      <c r="NWE75" s="244" t="s">
        <v>32</v>
      </c>
      <c r="NWF75" s="244" t="s">
        <v>32</v>
      </c>
      <c r="NWG75" s="244" t="s">
        <v>32</v>
      </c>
      <c r="NWH75" s="244" t="s">
        <v>32</v>
      </c>
      <c r="NWI75" s="244" t="s">
        <v>32</v>
      </c>
      <c r="NWJ75" s="244" t="s">
        <v>32</v>
      </c>
      <c r="NWK75" s="244" t="s">
        <v>32</v>
      </c>
      <c r="NWL75" s="244" t="s">
        <v>32</v>
      </c>
      <c r="NWM75" s="244" t="s">
        <v>32</v>
      </c>
      <c r="NWN75" s="244" t="s">
        <v>32</v>
      </c>
      <c r="NWO75" s="244" t="s">
        <v>32</v>
      </c>
      <c r="NWP75" s="244" t="s">
        <v>32</v>
      </c>
      <c r="NWQ75" s="244" t="s">
        <v>32</v>
      </c>
      <c r="NWR75" s="244" t="s">
        <v>32</v>
      </c>
      <c r="NWS75" s="244" t="s">
        <v>32</v>
      </c>
      <c r="NWT75" s="244" t="s">
        <v>32</v>
      </c>
      <c r="NWU75" s="244" t="s">
        <v>32</v>
      </c>
      <c r="NWV75" s="244" t="s">
        <v>32</v>
      </c>
      <c r="NWW75" s="244" t="s">
        <v>32</v>
      </c>
      <c r="NWX75" s="244" t="s">
        <v>32</v>
      </c>
      <c r="NWY75" s="244" t="s">
        <v>32</v>
      </c>
      <c r="NWZ75" s="244" t="s">
        <v>32</v>
      </c>
      <c r="NXA75" s="244" t="s">
        <v>32</v>
      </c>
      <c r="NXB75" s="244" t="s">
        <v>32</v>
      </c>
      <c r="NXC75" s="244" t="s">
        <v>32</v>
      </c>
      <c r="NXD75" s="244" t="s">
        <v>32</v>
      </c>
      <c r="NXE75" s="244" t="s">
        <v>32</v>
      </c>
      <c r="NXF75" s="244" t="s">
        <v>32</v>
      </c>
      <c r="NXG75" s="244" t="s">
        <v>32</v>
      </c>
      <c r="NXH75" s="244" t="s">
        <v>32</v>
      </c>
      <c r="NXI75" s="244" t="s">
        <v>32</v>
      </c>
      <c r="NXJ75" s="244" t="s">
        <v>32</v>
      </c>
      <c r="NXK75" s="244" t="s">
        <v>32</v>
      </c>
      <c r="NXL75" s="244" t="s">
        <v>32</v>
      </c>
      <c r="NXM75" s="244" t="s">
        <v>32</v>
      </c>
      <c r="NXN75" s="244" t="s">
        <v>32</v>
      </c>
      <c r="NXO75" s="244" t="s">
        <v>32</v>
      </c>
      <c r="NXP75" s="244" t="s">
        <v>32</v>
      </c>
      <c r="NXQ75" s="244" t="s">
        <v>32</v>
      </c>
      <c r="NXR75" s="244" t="s">
        <v>32</v>
      </c>
      <c r="NXS75" s="244" t="s">
        <v>32</v>
      </c>
      <c r="NXT75" s="244" t="s">
        <v>32</v>
      </c>
      <c r="NXU75" s="244" t="s">
        <v>32</v>
      </c>
      <c r="NXV75" s="244" t="s">
        <v>32</v>
      </c>
      <c r="NXW75" s="244" t="s">
        <v>32</v>
      </c>
      <c r="NXX75" s="244" t="s">
        <v>32</v>
      </c>
      <c r="NXY75" s="244" t="s">
        <v>32</v>
      </c>
      <c r="NXZ75" s="244" t="s">
        <v>32</v>
      </c>
      <c r="NYA75" s="244" t="s">
        <v>32</v>
      </c>
      <c r="NYB75" s="244" t="s">
        <v>32</v>
      </c>
      <c r="NYC75" s="244" t="s">
        <v>32</v>
      </c>
      <c r="NYD75" s="244" t="s">
        <v>32</v>
      </c>
      <c r="NYE75" s="244" t="s">
        <v>32</v>
      </c>
      <c r="NYF75" s="244" t="s">
        <v>32</v>
      </c>
      <c r="NYG75" s="244" t="s">
        <v>32</v>
      </c>
      <c r="NYH75" s="244" t="s">
        <v>32</v>
      </c>
      <c r="NYI75" s="244" t="s">
        <v>32</v>
      </c>
      <c r="NYJ75" s="244" t="s">
        <v>32</v>
      </c>
      <c r="NYK75" s="244" t="s">
        <v>32</v>
      </c>
      <c r="NYL75" s="244" t="s">
        <v>32</v>
      </c>
      <c r="NYM75" s="244" t="s">
        <v>32</v>
      </c>
      <c r="NYN75" s="244" t="s">
        <v>32</v>
      </c>
      <c r="NYO75" s="244" t="s">
        <v>32</v>
      </c>
      <c r="NYP75" s="244" t="s">
        <v>32</v>
      </c>
      <c r="NYQ75" s="244" t="s">
        <v>32</v>
      </c>
      <c r="NYR75" s="244" t="s">
        <v>32</v>
      </c>
      <c r="NYS75" s="244" t="s">
        <v>32</v>
      </c>
      <c r="NYT75" s="244" t="s">
        <v>32</v>
      </c>
      <c r="NYU75" s="244" t="s">
        <v>32</v>
      </c>
      <c r="NYV75" s="244" t="s">
        <v>32</v>
      </c>
      <c r="NYW75" s="244" t="s">
        <v>32</v>
      </c>
      <c r="NYX75" s="244" t="s">
        <v>32</v>
      </c>
      <c r="NYY75" s="244" t="s">
        <v>32</v>
      </c>
      <c r="NYZ75" s="244" t="s">
        <v>32</v>
      </c>
      <c r="NZA75" s="244" t="s">
        <v>32</v>
      </c>
      <c r="NZB75" s="244" t="s">
        <v>32</v>
      </c>
      <c r="NZC75" s="244" t="s">
        <v>32</v>
      </c>
      <c r="NZD75" s="244" t="s">
        <v>32</v>
      </c>
      <c r="NZE75" s="244" t="s">
        <v>32</v>
      </c>
      <c r="NZF75" s="244" t="s">
        <v>32</v>
      </c>
      <c r="NZG75" s="244" t="s">
        <v>32</v>
      </c>
      <c r="NZH75" s="244" t="s">
        <v>32</v>
      </c>
      <c r="NZI75" s="244" t="s">
        <v>32</v>
      </c>
      <c r="NZJ75" s="244" t="s">
        <v>32</v>
      </c>
      <c r="NZK75" s="244" t="s">
        <v>32</v>
      </c>
      <c r="NZL75" s="244" t="s">
        <v>32</v>
      </c>
      <c r="NZM75" s="244" t="s">
        <v>32</v>
      </c>
      <c r="NZN75" s="244" t="s">
        <v>32</v>
      </c>
      <c r="NZO75" s="244" t="s">
        <v>32</v>
      </c>
      <c r="NZP75" s="244" t="s">
        <v>32</v>
      </c>
      <c r="NZQ75" s="244" t="s">
        <v>32</v>
      </c>
      <c r="NZR75" s="244" t="s">
        <v>32</v>
      </c>
      <c r="NZS75" s="244" t="s">
        <v>32</v>
      </c>
      <c r="NZT75" s="244" t="s">
        <v>32</v>
      </c>
      <c r="NZU75" s="244" t="s">
        <v>32</v>
      </c>
      <c r="NZV75" s="244" t="s">
        <v>32</v>
      </c>
      <c r="NZW75" s="244" t="s">
        <v>32</v>
      </c>
      <c r="NZX75" s="244" t="s">
        <v>32</v>
      </c>
      <c r="NZY75" s="244" t="s">
        <v>32</v>
      </c>
      <c r="NZZ75" s="244" t="s">
        <v>32</v>
      </c>
      <c r="OAA75" s="244" t="s">
        <v>32</v>
      </c>
      <c r="OAB75" s="244" t="s">
        <v>32</v>
      </c>
      <c r="OAC75" s="244" t="s">
        <v>32</v>
      </c>
      <c r="OAD75" s="244" t="s">
        <v>32</v>
      </c>
      <c r="OAE75" s="244" t="s">
        <v>32</v>
      </c>
      <c r="OAF75" s="244" t="s">
        <v>32</v>
      </c>
      <c r="OAG75" s="244" t="s">
        <v>32</v>
      </c>
      <c r="OAH75" s="244" t="s">
        <v>32</v>
      </c>
      <c r="OAI75" s="244" t="s">
        <v>32</v>
      </c>
      <c r="OAJ75" s="244" t="s">
        <v>32</v>
      </c>
      <c r="OAK75" s="244" t="s">
        <v>32</v>
      </c>
      <c r="OAL75" s="244" t="s">
        <v>32</v>
      </c>
      <c r="OAM75" s="244" t="s">
        <v>32</v>
      </c>
      <c r="OAN75" s="244" t="s">
        <v>32</v>
      </c>
      <c r="OAO75" s="244" t="s">
        <v>32</v>
      </c>
      <c r="OAP75" s="244" t="s">
        <v>32</v>
      </c>
      <c r="OAQ75" s="244" t="s">
        <v>32</v>
      </c>
      <c r="OAR75" s="244" t="s">
        <v>32</v>
      </c>
      <c r="OAS75" s="244" t="s">
        <v>32</v>
      </c>
      <c r="OAT75" s="244" t="s">
        <v>32</v>
      </c>
      <c r="OAU75" s="244" t="s">
        <v>32</v>
      </c>
      <c r="OAV75" s="244" t="s">
        <v>32</v>
      </c>
      <c r="OAW75" s="244" t="s">
        <v>32</v>
      </c>
      <c r="OAX75" s="244" t="s">
        <v>32</v>
      </c>
      <c r="OAY75" s="244" t="s">
        <v>32</v>
      </c>
      <c r="OAZ75" s="244" t="s">
        <v>32</v>
      </c>
      <c r="OBA75" s="244" t="s">
        <v>32</v>
      </c>
      <c r="OBB75" s="244" t="s">
        <v>32</v>
      </c>
      <c r="OBC75" s="244" t="s">
        <v>32</v>
      </c>
      <c r="OBD75" s="244" t="s">
        <v>32</v>
      </c>
      <c r="OBE75" s="244" t="s">
        <v>32</v>
      </c>
      <c r="OBF75" s="244" t="s">
        <v>32</v>
      </c>
      <c r="OBG75" s="244" t="s">
        <v>32</v>
      </c>
      <c r="OBH75" s="244" t="s">
        <v>32</v>
      </c>
      <c r="OBI75" s="244" t="s">
        <v>32</v>
      </c>
      <c r="OBJ75" s="244" t="s">
        <v>32</v>
      </c>
      <c r="OBK75" s="244" t="s">
        <v>32</v>
      </c>
      <c r="OBL75" s="244" t="s">
        <v>32</v>
      </c>
      <c r="OBM75" s="244" t="s">
        <v>32</v>
      </c>
      <c r="OBN75" s="244" t="s">
        <v>32</v>
      </c>
      <c r="OBO75" s="244" t="s">
        <v>32</v>
      </c>
      <c r="OBP75" s="244" t="s">
        <v>32</v>
      </c>
      <c r="OBQ75" s="244" t="s">
        <v>32</v>
      </c>
      <c r="OBR75" s="244" t="s">
        <v>32</v>
      </c>
      <c r="OBS75" s="244" t="s">
        <v>32</v>
      </c>
      <c r="OBT75" s="244" t="s">
        <v>32</v>
      </c>
      <c r="OBU75" s="244" t="s">
        <v>32</v>
      </c>
      <c r="OBV75" s="244" t="s">
        <v>32</v>
      </c>
      <c r="OBW75" s="244" t="s">
        <v>32</v>
      </c>
      <c r="OBX75" s="244" t="s">
        <v>32</v>
      </c>
      <c r="OBY75" s="244" t="s">
        <v>32</v>
      </c>
      <c r="OBZ75" s="244" t="s">
        <v>32</v>
      </c>
      <c r="OCA75" s="244" t="s">
        <v>32</v>
      </c>
      <c r="OCB75" s="244" t="s">
        <v>32</v>
      </c>
      <c r="OCC75" s="244" t="s">
        <v>32</v>
      </c>
      <c r="OCD75" s="244" t="s">
        <v>32</v>
      </c>
      <c r="OCE75" s="244" t="s">
        <v>32</v>
      </c>
      <c r="OCF75" s="244" t="s">
        <v>32</v>
      </c>
      <c r="OCG75" s="244" t="s">
        <v>32</v>
      </c>
      <c r="OCH75" s="244" t="s">
        <v>32</v>
      </c>
      <c r="OCI75" s="244" t="s">
        <v>32</v>
      </c>
      <c r="OCJ75" s="244" t="s">
        <v>32</v>
      </c>
      <c r="OCK75" s="244" t="s">
        <v>32</v>
      </c>
      <c r="OCL75" s="244" t="s">
        <v>32</v>
      </c>
      <c r="OCM75" s="244" t="s">
        <v>32</v>
      </c>
      <c r="OCN75" s="244" t="s">
        <v>32</v>
      </c>
      <c r="OCO75" s="244" t="s">
        <v>32</v>
      </c>
      <c r="OCP75" s="244" t="s">
        <v>32</v>
      </c>
      <c r="OCQ75" s="244" t="s">
        <v>32</v>
      </c>
      <c r="OCR75" s="244" t="s">
        <v>32</v>
      </c>
      <c r="OCS75" s="244" t="s">
        <v>32</v>
      </c>
      <c r="OCT75" s="244" t="s">
        <v>32</v>
      </c>
      <c r="OCU75" s="244" t="s">
        <v>32</v>
      </c>
      <c r="OCV75" s="244" t="s">
        <v>32</v>
      </c>
      <c r="OCW75" s="244" t="s">
        <v>32</v>
      </c>
      <c r="OCX75" s="244" t="s">
        <v>32</v>
      </c>
      <c r="OCY75" s="244" t="s">
        <v>32</v>
      </c>
      <c r="OCZ75" s="244" t="s">
        <v>32</v>
      </c>
      <c r="ODA75" s="244" t="s">
        <v>32</v>
      </c>
      <c r="ODB75" s="244" t="s">
        <v>32</v>
      </c>
      <c r="ODC75" s="244" t="s">
        <v>32</v>
      </c>
      <c r="ODD75" s="244" t="s">
        <v>32</v>
      </c>
      <c r="ODE75" s="244" t="s">
        <v>32</v>
      </c>
      <c r="ODF75" s="244" t="s">
        <v>32</v>
      </c>
      <c r="ODG75" s="244" t="s">
        <v>32</v>
      </c>
      <c r="ODH75" s="244" t="s">
        <v>32</v>
      </c>
      <c r="ODI75" s="244" t="s">
        <v>32</v>
      </c>
      <c r="ODJ75" s="244" t="s">
        <v>32</v>
      </c>
      <c r="ODK75" s="244" t="s">
        <v>32</v>
      </c>
      <c r="ODL75" s="244" t="s">
        <v>32</v>
      </c>
      <c r="ODM75" s="244" t="s">
        <v>32</v>
      </c>
      <c r="ODN75" s="244" t="s">
        <v>32</v>
      </c>
      <c r="ODO75" s="244" t="s">
        <v>32</v>
      </c>
      <c r="ODP75" s="244" t="s">
        <v>32</v>
      </c>
      <c r="ODQ75" s="244" t="s">
        <v>32</v>
      </c>
      <c r="ODR75" s="244" t="s">
        <v>32</v>
      </c>
      <c r="ODS75" s="244" t="s">
        <v>32</v>
      </c>
      <c r="ODT75" s="244" t="s">
        <v>32</v>
      </c>
      <c r="ODU75" s="244" t="s">
        <v>32</v>
      </c>
      <c r="ODV75" s="244" t="s">
        <v>32</v>
      </c>
      <c r="ODW75" s="244" t="s">
        <v>32</v>
      </c>
      <c r="ODX75" s="244" t="s">
        <v>32</v>
      </c>
      <c r="ODY75" s="244" t="s">
        <v>32</v>
      </c>
      <c r="ODZ75" s="244" t="s">
        <v>32</v>
      </c>
      <c r="OEA75" s="244" t="s">
        <v>32</v>
      </c>
      <c r="OEB75" s="244" t="s">
        <v>32</v>
      </c>
      <c r="OEC75" s="244" t="s">
        <v>32</v>
      </c>
      <c r="OED75" s="244" t="s">
        <v>32</v>
      </c>
      <c r="OEE75" s="244" t="s">
        <v>32</v>
      </c>
      <c r="OEF75" s="244" t="s">
        <v>32</v>
      </c>
      <c r="OEG75" s="244" t="s">
        <v>32</v>
      </c>
      <c r="OEH75" s="244" t="s">
        <v>32</v>
      </c>
      <c r="OEI75" s="244" t="s">
        <v>32</v>
      </c>
      <c r="OEJ75" s="244" t="s">
        <v>32</v>
      </c>
      <c r="OEK75" s="244" t="s">
        <v>32</v>
      </c>
      <c r="OEL75" s="244" t="s">
        <v>32</v>
      </c>
      <c r="OEM75" s="244" t="s">
        <v>32</v>
      </c>
      <c r="OEN75" s="244" t="s">
        <v>32</v>
      </c>
      <c r="OEO75" s="244" t="s">
        <v>32</v>
      </c>
      <c r="OEP75" s="244" t="s">
        <v>32</v>
      </c>
      <c r="OEQ75" s="244" t="s">
        <v>32</v>
      </c>
      <c r="OER75" s="244" t="s">
        <v>32</v>
      </c>
      <c r="OES75" s="244" t="s">
        <v>32</v>
      </c>
      <c r="OET75" s="244" t="s">
        <v>32</v>
      </c>
      <c r="OEU75" s="244" t="s">
        <v>32</v>
      </c>
      <c r="OEV75" s="244" t="s">
        <v>32</v>
      </c>
      <c r="OEW75" s="244" t="s">
        <v>32</v>
      </c>
      <c r="OEX75" s="244" t="s">
        <v>32</v>
      </c>
      <c r="OEY75" s="244" t="s">
        <v>32</v>
      </c>
      <c r="OEZ75" s="244" t="s">
        <v>32</v>
      </c>
      <c r="OFA75" s="244" t="s">
        <v>32</v>
      </c>
      <c r="OFB75" s="244" t="s">
        <v>32</v>
      </c>
      <c r="OFC75" s="244" t="s">
        <v>32</v>
      </c>
      <c r="OFD75" s="244" t="s">
        <v>32</v>
      </c>
      <c r="OFE75" s="244" t="s">
        <v>32</v>
      </c>
      <c r="OFF75" s="244" t="s">
        <v>32</v>
      </c>
      <c r="OFG75" s="244" t="s">
        <v>32</v>
      </c>
      <c r="OFH75" s="244" t="s">
        <v>32</v>
      </c>
      <c r="OFI75" s="244" t="s">
        <v>32</v>
      </c>
      <c r="OFJ75" s="244" t="s">
        <v>32</v>
      </c>
      <c r="OFK75" s="244" t="s">
        <v>32</v>
      </c>
      <c r="OFL75" s="244" t="s">
        <v>32</v>
      </c>
      <c r="OFM75" s="244" t="s">
        <v>32</v>
      </c>
      <c r="OFN75" s="244" t="s">
        <v>32</v>
      </c>
      <c r="OFO75" s="244" t="s">
        <v>32</v>
      </c>
      <c r="OFP75" s="244" t="s">
        <v>32</v>
      </c>
      <c r="OFQ75" s="244" t="s">
        <v>32</v>
      </c>
      <c r="OFR75" s="244" t="s">
        <v>32</v>
      </c>
      <c r="OFS75" s="244" t="s">
        <v>32</v>
      </c>
      <c r="OFT75" s="244" t="s">
        <v>32</v>
      </c>
      <c r="OFU75" s="244" t="s">
        <v>32</v>
      </c>
      <c r="OFV75" s="244" t="s">
        <v>32</v>
      </c>
      <c r="OFW75" s="244" t="s">
        <v>32</v>
      </c>
      <c r="OFX75" s="244" t="s">
        <v>32</v>
      </c>
      <c r="OFY75" s="244" t="s">
        <v>32</v>
      </c>
      <c r="OFZ75" s="244" t="s">
        <v>32</v>
      </c>
      <c r="OGA75" s="244" t="s">
        <v>32</v>
      </c>
      <c r="OGB75" s="244" t="s">
        <v>32</v>
      </c>
      <c r="OGC75" s="244" t="s">
        <v>32</v>
      </c>
      <c r="OGD75" s="244" t="s">
        <v>32</v>
      </c>
      <c r="OGE75" s="244" t="s">
        <v>32</v>
      </c>
      <c r="OGF75" s="244" t="s">
        <v>32</v>
      </c>
      <c r="OGG75" s="244" t="s">
        <v>32</v>
      </c>
      <c r="OGH75" s="244" t="s">
        <v>32</v>
      </c>
      <c r="OGI75" s="244" t="s">
        <v>32</v>
      </c>
      <c r="OGJ75" s="244" t="s">
        <v>32</v>
      </c>
      <c r="OGK75" s="244" t="s">
        <v>32</v>
      </c>
      <c r="OGL75" s="244" t="s">
        <v>32</v>
      </c>
      <c r="OGM75" s="244" t="s">
        <v>32</v>
      </c>
      <c r="OGN75" s="244" t="s">
        <v>32</v>
      </c>
      <c r="OGO75" s="244" t="s">
        <v>32</v>
      </c>
      <c r="OGP75" s="244" t="s">
        <v>32</v>
      </c>
      <c r="OGQ75" s="244" t="s">
        <v>32</v>
      </c>
      <c r="OGR75" s="244" t="s">
        <v>32</v>
      </c>
      <c r="OGS75" s="244" t="s">
        <v>32</v>
      </c>
      <c r="OGT75" s="244" t="s">
        <v>32</v>
      </c>
      <c r="OGU75" s="244" t="s">
        <v>32</v>
      </c>
      <c r="OGV75" s="244" t="s">
        <v>32</v>
      </c>
      <c r="OGW75" s="244" t="s">
        <v>32</v>
      </c>
      <c r="OGX75" s="244" t="s">
        <v>32</v>
      </c>
      <c r="OGY75" s="244" t="s">
        <v>32</v>
      </c>
      <c r="OGZ75" s="244" t="s">
        <v>32</v>
      </c>
      <c r="OHA75" s="244" t="s">
        <v>32</v>
      </c>
      <c r="OHB75" s="244" t="s">
        <v>32</v>
      </c>
      <c r="OHC75" s="244" t="s">
        <v>32</v>
      </c>
      <c r="OHD75" s="244" t="s">
        <v>32</v>
      </c>
      <c r="OHE75" s="244" t="s">
        <v>32</v>
      </c>
      <c r="OHF75" s="244" t="s">
        <v>32</v>
      </c>
      <c r="OHG75" s="244" t="s">
        <v>32</v>
      </c>
      <c r="OHH75" s="244" t="s">
        <v>32</v>
      </c>
      <c r="OHI75" s="244" t="s">
        <v>32</v>
      </c>
      <c r="OHJ75" s="244" t="s">
        <v>32</v>
      </c>
      <c r="OHK75" s="244" t="s">
        <v>32</v>
      </c>
      <c r="OHL75" s="244" t="s">
        <v>32</v>
      </c>
      <c r="OHM75" s="244" t="s">
        <v>32</v>
      </c>
      <c r="OHN75" s="244" t="s">
        <v>32</v>
      </c>
      <c r="OHO75" s="244" t="s">
        <v>32</v>
      </c>
      <c r="OHP75" s="244" t="s">
        <v>32</v>
      </c>
      <c r="OHQ75" s="244" t="s">
        <v>32</v>
      </c>
      <c r="OHR75" s="244" t="s">
        <v>32</v>
      </c>
      <c r="OHS75" s="244" t="s">
        <v>32</v>
      </c>
      <c r="OHT75" s="244" t="s">
        <v>32</v>
      </c>
      <c r="OHU75" s="244" t="s">
        <v>32</v>
      </c>
      <c r="OHV75" s="244" t="s">
        <v>32</v>
      </c>
      <c r="OHW75" s="244" t="s">
        <v>32</v>
      </c>
      <c r="OHX75" s="244" t="s">
        <v>32</v>
      </c>
      <c r="OHY75" s="244" t="s">
        <v>32</v>
      </c>
      <c r="OHZ75" s="244" t="s">
        <v>32</v>
      </c>
      <c r="OIA75" s="244" t="s">
        <v>32</v>
      </c>
      <c r="OIB75" s="244" t="s">
        <v>32</v>
      </c>
      <c r="OIC75" s="244" t="s">
        <v>32</v>
      </c>
      <c r="OID75" s="244" t="s">
        <v>32</v>
      </c>
      <c r="OIE75" s="244" t="s">
        <v>32</v>
      </c>
      <c r="OIF75" s="244" t="s">
        <v>32</v>
      </c>
      <c r="OIG75" s="244" t="s">
        <v>32</v>
      </c>
      <c r="OIH75" s="244" t="s">
        <v>32</v>
      </c>
      <c r="OII75" s="244" t="s">
        <v>32</v>
      </c>
      <c r="OIJ75" s="244" t="s">
        <v>32</v>
      </c>
      <c r="OIK75" s="244" t="s">
        <v>32</v>
      </c>
      <c r="OIL75" s="244" t="s">
        <v>32</v>
      </c>
      <c r="OIM75" s="244" t="s">
        <v>32</v>
      </c>
      <c r="OIN75" s="244" t="s">
        <v>32</v>
      </c>
      <c r="OIO75" s="244" t="s">
        <v>32</v>
      </c>
      <c r="OIP75" s="244" t="s">
        <v>32</v>
      </c>
      <c r="OIQ75" s="244" t="s">
        <v>32</v>
      </c>
      <c r="OIR75" s="244" t="s">
        <v>32</v>
      </c>
      <c r="OIS75" s="244" t="s">
        <v>32</v>
      </c>
      <c r="OIT75" s="244" t="s">
        <v>32</v>
      </c>
      <c r="OIU75" s="244" t="s">
        <v>32</v>
      </c>
      <c r="OIV75" s="244" t="s">
        <v>32</v>
      </c>
      <c r="OIW75" s="244" t="s">
        <v>32</v>
      </c>
      <c r="OIX75" s="244" t="s">
        <v>32</v>
      </c>
      <c r="OIY75" s="244" t="s">
        <v>32</v>
      </c>
      <c r="OIZ75" s="244" t="s">
        <v>32</v>
      </c>
      <c r="OJA75" s="244" t="s">
        <v>32</v>
      </c>
      <c r="OJB75" s="244" t="s">
        <v>32</v>
      </c>
      <c r="OJC75" s="244" t="s">
        <v>32</v>
      </c>
      <c r="OJD75" s="244" t="s">
        <v>32</v>
      </c>
      <c r="OJE75" s="244" t="s">
        <v>32</v>
      </c>
      <c r="OJF75" s="244" t="s">
        <v>32</v>
      </c>
      <c r="OJG75" s="244" t="s">
        <v>32</v>
      </c>
      <c r="OJH75" s="244" t="s">
        <v>32</v>
      </c>
      <c r="OJI75" s="244" t="s">
        <v>32</v>
      </c>
      <c r="OJJ75" s="244" t="s">
        <v>32</v>
      </c>
      <c r="OJK75" s="244" t="s">
        <v>32</v>
      </c>
      <c r="OJL75" s="244" t="s">
        <v>32</v>
      </c>
      <c r="OJM75" s="244" t="s">
        <v>32</v>
      </c>
      <c r="OJN75" s="244" t="s">
        <v>32</v>
      </c>
      <c r="OJO75" s="244" t="s">
        <v>32</v>
      </c>
      <c r="OJP75" s="244" t="s">
        <v>32</v>
      </c>
      <c r="OJQ75" s="244" t="s">
        <v>32</v>
      </c>
      <c r="OJR75" s="244" t="s">
        <v>32</v>
      </c>
      <c r="OJS75" s="244" t="s">
        <v>32</v>
      </c>
      <c r="OJT75" s="244" t="s">
        <v>32</v>
      </c>
      <c r="OJU75" s="244" t="s">
        <v>32</v>
      </c>
      <c r="OJV75" s="244" t="s">
        <v>32</v>
      </c>
      <c r="OJW75" s="244" t="s">
        <v>32</v>
      </c>
      <c r="OJX75" s="244" t="s">
        <v>32</v>
      </c>
      <c r="OJY75" s="244" t="s">
        <v>32</v>
      </c>
      <c r="OJZ75" s="244" t="s">
        <v>32</v>
      </c>
      <c r="OKA75" s="244" t="s">
        <v>32</v>
      </c>
      <c r="OKB75" s="244" t="s">
        <v>32</v>
      </c>
      <c r="OKC75" s="244" t="s">
        <v>32</v>
      </c>
      <c r="OKD75" s="244" t="s">
        <v>32</v>
      </c>
      <c r="OKE75" s="244" t="s">
        <v>32</v>
      </c>
      <c r="OKF75" s="244" t="s">
        <v>32</v>
      </c>
      <c r="OKG75" s="244" t="s">
        <v>32</v>
      </c>
      <c r="OKH75" s="244" t="s">
        <v>32</v>
      </c>
      <c r="OKI75" s="244" t="s">
        <v>32</v>
      </c>
      <c r="OKJ75" s="244" t="s">
        <v>32</v>
      </c>
      <c r="OKK75" s="244" t="s">
        <v>32</v>
      </c>
      <c r="OKL75" s="244" t="s">
        <v>32</v>
      </c>
      <c r="OKM75" s="244" t="s">
        <v>32</v>
      </c>
      <c r="OKN75" s="244" t="s">
        <v>32</v>
      </c>
      <c r="OKO75" s="244" t="s">
        <v>32</v>
      </c>
      <c r="OKP75" s="244" t="s">
        <v>32</v>
      </c>
      <c r="OKQ75" s="244" t="s">
        <v>32</v>
      </c>
      <c r="OKR75" s="244" t="s">
        <v>32</v>
      </c>
      <c r="OKS75" s="244" t="s">
        <v>32</v>
      </c>
      <c r="OKT75" s="244" t="s">
        <v>32</v>
      </c>
      <c r="OKU75" s="244" t="s">
        <v>32</v>
      </c>
      <c r="OKV75" s="244" t="s">
        <v>32</v>
      </c>
      <c r="OKW75" s="244" t="s">
        <v>32</v>
      </c>
      <c r="OKX75" s="244" t="s">
        <v>32</v>
      </c>
      <c r="OKY75" s="244" t="s">
        <v>32</v>
      </c>
      <c r="OKZ75" s="244" t="s">
        <v>32</v>
      </c>
      <c r="OLA75" s="244" t="s">
        <v>32</v>
      </c>
      <c r="OLB75" s="244" t="s">
        <v>32</v>
      </c>
      <c r="OLC75" s="244" t="s">
        <v>32</v>
      </c>
      <c r="OLD75" s="244" t="s">
        <v>32</v>
      </c>
      <c r="OLE75" s="244" t="s">
        <v>32</v>
      </c>
      <c r="OLF75" s="244" t="s">
        <v>32</v>
      </c>
      <c r="OLG75" s="244" t="s">
        <v>32</v>
      </c>
      <c r="OLH75" s="244" t="s">
        <v>32</v>
      </c>
      <c r="OLI75" s="244" t="s">
        <v>32</v>
      </c>
      <c r="OLJ75" s="244" t="s">
        <v>32</v>
      </c>
      <c r="OLK75" s="244" t="s">
        <v>32</v>
      </c>
      <c r="OLL75" s="244" t="s">
        <v>32</v>
      </c>
      <c r="OLM75" s="244" t="s">
        <v>32</v>
      </c>
      <c r="OLN75" s="244" t="s">
        <v>32</v>
      </c>
      <c r="OLO75" s="244" t="s">
        <v>32</v>
      </c>
      <c r="OLP75" s="244" t="s">
        <v>32</v>
      </c>
      <c r="OLQ75" s="244" t="s">
        <v>32</v>
      </c>
      <c r="OLR75" s="244" t="s">
        <v>32</v>
      </c>
      <c r="OLS75" s="244" t="s">
        <v>32</v>
      </c>
      <c r="OLT75" s="244" t="s">
        <v>32</v>
      </c>
      <c r="OLU75" s="244" t="s">
        <v>32</v>
      </c>
      <c r="OLV75" s="244" t="s">
        <v>32</v>
      </c>
      <c r="OLW75" s="244" t="s">
        <v>32</v>
      </c>
      <c r="OLX75" s="244" t="s">
        <v>32</v>
      </c>
      <c r="OLY75" s="244" t="s">
        <v>32</v>
      </c>
      <c r="OLZ75" s="244" t="s">
        <v>32</v>
      </c>
      <c r="OMA75" s="244" t="s">
        <v>32</v>
      </c>
      <c r="OMB75" s="244" t="s">
        <v>32</v>
      </c>
      <c r="OMC75" s="244" t="s">
        <v>32</v>
      </c>
      <c r="OMD75" s="244" t="s">
        <v>32</v>
      </c>
      <c r="OME75" s="244" t="s">
        <v>32</v>
      </c>
      <c r="OMF75" s="244" t="s">
        <v>32</v>
      </c>
      <c r="OMG75" s="244" t="s">
        <v>32</v>
      </c>
      <c r="OMH75" s="244" t="s">
        <v>32</v>
      </c>
      <c r="OMI75" s="244" t="s">
        <v>32</v>
      </c>
      <c r="OMJ75" s="244" t="s">
        <v>32</v>
      </c>
      <c r="OMK75" s="244" t="s">
        <v>32</v>
      </c>
      <c r="OML75" s="244" t="s">
        <v>32</v>
      </c>
      <c r="OMM75" s="244" t="s">
        <v>32</v>
      </c>
      <c r="OMN75" s="244" t="s">
        <v>32</v>
      </c>
      <c r="OMO75" s="244" t="s">
        <v>32</v>
      </c>
      <c r="OMP75" s="244" t="s">
        <v>32</v>
      </c>
      <c r="OMQ75" s="244" t="s">
        <v>32</v>
      </c>
      <c r="OMR75" s="244" t="s">
        <v>32</v>
      </c>
      <c r="OMS75" s="244" t="s">
        <v>32</v>
      </c>
      <c r="OMT75" s="244" t="s">
        <v>32</v>
      </c>
      <c r="OMU75" s="244" t="s">
        <v>32</v>
      </c>
      <c r="OMV75" s="244" t="s">
        <v>32</v>
      </c>
      <c r="OMW75" s="244" t="s">
        <v>32</v>
      </c>
      <c r="OMX75" s="244" t="s">
        <v>32</v>
      </c>
      <c r="OMY75" s="244" t="s">
        <v>32</v>
      </c>
      <c r="OMZ75" s="244" t="s">
        <v>32</v>
      </c>
      <c r="ONA75" s="244" t="s">
        <v>32</v>
      </c>
      <c r="ONB75" s="244" t="s">
        <v>32</v>
      </c>
      <c r="ONC75" s="244" t="s">
        <v>32</v>
      </c>
      <c r="OND75" s="244" t="s">
        <v>32</v>
      </c>
      <c r="ONE75" s="244" t="s">
        <v>32</v>
      </c>
      <c r="ONF75" s="244" t="s">
        <v>32</v>
      </c>
      <c r="ONG75" s="244" t="s">
        <v>32</v>
      </c>
      <c r="ONH75" s="244" t="s">
        <v>32</v>
      </c>
      <c r="ONI75" s="244" t="s">
        <v>32</v>
      </c>
      <c r="ONJ75" s="244" t="s">
        <v>32</v>
      </c>
      <c r="ONK75" s="244" t="s">
        <v>32</v>
      </c>
      <c r="ONL75" s="244" t="s">
        <v>32</v>
      </c>
      <c r="ONM75" s="244" t="s">
        <v>32</v>
      </c>
      <c r="ONN75" s="244" t="s">
        <v>32</v>
      </c>
      <c r="ONO75" s="244" t="s">
        <v>32</v>
      </c>
      <c r="ONP75" s="244" t="s">
        <v>32</v>
      </c>
      <c r="ONQ75" s="244" t="s">
        <v>32</v>
      </c>
      <c r="ONR75" s="244" t="s">
        <v>32</v>
      </c>
      <c r="ONS75" s="244" t="s">
        <v>32</v>
      </c>
      <c r="ONT75" s="244" t="s">
        <v>32</v>
      </c>
      <c r="ONU75" s="244" t="s">
        <v>32</v>
      </c>
      <c r="ONV75" s="244" t="s">
        <v>32</v>
      </c>
      <c r="ONW75" s="244" t="s">
        <v>32</v>
      </c>
      <c r="ONX75" s="244" t="s">
        <v>32</v>
      </c>
      <c r="ONY75" s="244" t="s">
        <v>32</v>
      </c>
      <c r="ONZ75" s="244" t="s">
        <v>32</v>
      </c>
      <c r="OOA75" s="244" t="s">
        <v>32</v>
      </c>
      <c r="OOB75" s="244" t="s">
        <v>32</v>
      </c>
      <c r="OOC75" s="244" t="s">
        <v>32</v>
      </c>
      <c r="OOD75" s="244" t="s">
        <v>32</v>
      </c>
      <c r="OOE75" s="244" t="s">
        <v>32</v>
      </c>
      <c r="OOF75" s="244" t="s">
        <v>32</v>
      </c>
      <c r="OOG75" s="244" t="s">
        <v>32</v>
      </c>
      <c r="OOH75" s="244" t="s">
        <v>32</v>
      </c>
      <c r="OOI75" s="244" t="s">
        <v>32</v>
      </c>
      <c r="OOJ75" s="244" t="s">
        <v>32</v>
      </c>
      <c r="OOK75" s="244" t="s">
        <v>32</v>
      </c>
      <c r="OOL75" s="244" t="s">
        <v>32</v>
      </c>
      <c r="OOM75" s="244" t="s">
        <v>32</v>
      </c>
      <c r="OON75" s="244" t="s">
        <v>32</v>
      </c>
      <c r="OOO75" s="244" t="s">
        <v>32</v>
      </c>
      <c r="OOP75" s="244" t="s">
        <v>32</v>
      </c>
      <c r="OOQ75" s="244" t="s">
        <v>32</v>
      </c>
      <c r="OOR75" s="244" t="s">
        <v>32</v>
      </c>
      <c r="OOS75" s="244" t="s">
        <v>32</v>
      </c>
      <c r="OOT75" s="244" t="s">
        <v>32</v>
      </c>
      <c r="OOU75" s="244" t="s">
        <v>32</v>
      </c>
      <c r="OOV75" s="244" t="s">
        <v>32</v>
      </c>
      <c r="OOW75" s="244" t="s">
        <v>32</v>
      </c>
      <c r="OOX75" s="244" t="s">
        <v>32</v>
      </c>
      <c r="OOY75" s="244" t="s">
        <v>32</v>
      </c>
      <c r="OOZ75" s="244" t="s">
        <v>32</v>
      </c>
      <c r="OPA75" s="244" t="s">
        <v>32</v>
      </c>
      <c r="OPB75" s="244" t="s">
        <v>32</v>
      </c>
      <c r="OPC75" s="244" t="s">
        <v>32</v>
      </c>
      <c r="OPD75" s="244" t="s">
        <v>32</v>
      </c>
      <c r="OPE75" s="244" t="s">
        <v>32</v>
      </c>
      <c r="OPF75" s="244" t="s">
        <v>32</v>
      </c>
      <c r="OPG75" s="244" t="s">
        <v>32</v>
      </c>
      <c r="OPH75" s="244" t="s">
        <v>32</v>
      </c>
      <c r="OPI75" s="244" t="s">
        <v>32</v>
      </c>
      <c r="OPJ75" s="244" t="s">
        <v>32</v>
      </c>
      <c r="OPK75" s="244" t="s">
        <v>32</v>
      </c>
      <c r="OPL75" s="244" t="s">
        <v>32</v>
      </c>
      <c r="OPM75" s="244" t="s">
        <v>32</v>
      </c>
      <c r="OPN75" s="244" t="s">
        <v>32</v>
      </c>
      <c r="OPO75" s="244" t="s">
        <v>32</v>
      </c>
      <c r="OPP75" s="244" t="s">
        <v>32</v>
      </c>
      <c r="OPQ75" s="244" t="s">
        <v>32</v>
      </c>
      <c r="OPR75" s="244" t="s">
        <v>32</v>
      </c>
      <c r="OPS75" s="244" t="s">
        <v>32</v>
      </c>
      <c r="OPT75" s="244" t="s">
        <v>32</v>
      </c>
      <c r="OPU75" s="244" t="s">
        <v>32</v>
      </c>
      <c r="OPV75" s="244" t="s">
        <v>32</v>
      </c>
      <c r="OPW75" s="244" t="s">
        <v>32</v>
      </c>
      <c r="OPX75" s="244" t="s">
        <v>32</v>
      </c>
      <c r="OPY75" s="244" t="s">
        <v>32</v>
      </c>
      <c r="OPZ75" s="244" t="s">
        <v>32</v>
      </c>
      <c r="OQA75" s="244" t="s">
        <v>32</v>
      </c>
      <c r="OQB75" s="244" t="s">
        <v>32</v>
      </c>
      <c r="OQC75" s="244" t="s">
        <v>32</v>
      </c>
      <c r="OQD75" s="244" t="s">
        <v>32</v>
      </c>
      <c r="OQE75" s="244" t="s">
        <v>32</v>
      </c>
      <c r="OQF75" s="244" t="s">
        <v>32</v>
      </c>
      <c r="OQG75" s="244" t="s">
        <v>32</v>
      </c>
      <c r="OQH75" s="244" t="s">
        <v>32</v>
      </c>
      <c r="OQI75" s="244" t="s">
        <v>32</v>
      </c>
      <c r="OQJ75" s="244" t="s">
        <v>32</v>
      </c>
      <c r="OQK75" s="244" t="s">
        <v>32</v>
      </c>
      <c r="OQL75" s="244" t="s">
        <v>32</v>
      </c>
      <c r="OQM75" s="244" t="s">
        <v>32</v>
      </c>
      <c r="OQN75" s="244" t="s">
        <v>32</v>
      </c>
      <c r="OQO75" s="244" t="s">
        <v>32</v>
      </c>
      <c r="OQP75" s="244" t="s">
        <v>32</v>
      </c>
      <c r="OQQ75" s="244" t="s">
        <v>32</v>
      </c>
      <c r="OQR75" s="244" t="s">
        <v>32</v>
      </c>
      <c r="OQS75" s="244" t="s">
        <v>32</v>
      </c>
      <c r="OQT75" s="244" t="s">
        <v>32</v>
      </c>
      <c r="OQU75" s="244" t="s">
        <v>32</v>
      </c>
      <c r="OQV75" s="244" t="s">
        <v>32</v>
      </c>
      <c r="OQW75" s="244" t="s">
        <v>32</v>
      </c>
      <c r="OQX75" s="244" t="s">
        <v>32</v>
      </c>
      <c r="OQY75" s="244" t="s">
        <v>32</v>
      </c>
      <c r="OQZ75" s="244" t="s">
        <v>32</v>
      </c>
      <c r="ORA75" s="244" t="s">
        <v>32</v>
      </c>
      <c r="ORB75" s="244" t="s">
        <v>32</v>
      </c>
      <c r="ORC75" s="244" t="s">
        <v>32</v>
      </c>
      <c r="ORD75" s="244" t="s">
        <v>32</v>
      </c>
      <c r="ORE75" s="244" t="s">
        <v>32</v>
      </c>
      <c r="ORF75" s="244" t="s">
        <v>32</v>
      </c>
      <c r="ORG75" s="244" t="s">
        <v>32</v>
      </c>
      <c r="ORH75" s="244" t="s">
        <v>32</v>
      </c>
      <c r="ORI75" s="244" t="s">
        <v>32</v>
      </c>
      <c r="ORJ75" s="244" t="s">
        <v>32</v>
      </c>
      <c r="ORK75" s="244" t="s">
        <v>32</v>
      </c>
      <c r="ORL75" s="244" t="s">
        <v>32</v>
      </c>
      <c r="ORM75" s="244" t="s">
        <v>32</v>
      </c>
      <c r="ORN75" s="244" t="s">
        <v>32</v>
      </c>
      <c r="ORO75" s="244" t="s">
        <v>32</v>
      </c>
      <c r="ORP75" s="244" t="s">
        <v>32</v>
      </c>
      <c r="ORQ75" s="244" t="s">
        <v>32</v>
      </c>
      <c r="ORR75" s="244" t="s">
        <v>32</v>
      </c>
      <c r="ORS75" s="244" t="s">
        <v>32</v>
      </c>
      <c r="ORT75" s="244" t="s">
        <v>32</v>
      </c>
      <c r="ORU75" s="244" t="s">
        <v>32</v>
      </c>
      <c r="ORV75" s="244" t="s">
        <v>32</v>
      </c>
      <c r="ORW75" s="244" t="s">
        <v>32</v>
      </c>
      <c r="ORX75" s="244" t="s">
        <v>32</v>
      </c>
      <c r="ORY75" s="244" t="s">
        <v>32</v>
      </c>
      <c r="ORZ75" s="244" t="s">
        <v>32</v>
      </c>
      <c r="OSA75" s="244" t="s">
        <v>32</v>
      </c>
      <c r="OSB75" s="244" t="s">
        <v>32</v>
      </c>
      <c r="OSC75" s="244" t="s">
        <v>32</v>
      </c>
      <c r="OSD75" s="244" t="s">
        <v>32</v>
      </c>
      <c r="OSE75" s="244" t="s">
        <v>32</v>
      </c>
      <c r="OSF75" s="244" t="s">
        <v>32</v>
      </c>
      <c r="OSG75" s="244" t="s">
        <v>32</v>
      </c>
      <c r="OSH75" s="244" t="s">
        <v>32</v>
      </c>
      <c r="OSI75" s="244" t="s">
        <v>32</v>
      </c>
      <c r="OSJ75" s="244" t="s">
        <v>32</v>
      </c>
      <c r="OSK75" s="244" t="s">
        <v>32</v>
      </c>
      <c r="OSL75" s="244" t="s">
        <v>32</v>
      </c>
      <c r="OSM75" s="244" t="s">
        <v>32</v>
      </c>
      <c r="OSN75" s="244" t="s">
        <v>32</v>
      </c>
      <c r="OSO75" s="244" t="s">
        <v>32</v>
      </c>
      <c r="OSP75" s="244" t="s">
        <v>32</v>
      </c>
      <c r="OSQ75" s="244" t="s">
        <v>32</v>
      </c>
      <c r="OSR75" s="244" t="s">
        <v>32</v>
      </c>
      <c r="OSS75" s="244" t="s">
        <v>32</v>
      </c>
      <c r="OST75" s="244" t="s">
        <v>32</v>
      </c>
      <c r="OSU75" s="244" t="s">
        <v>32</v>
      </c>
      <c r="OSV75" s="244" t="s">
        <v>32</v>
      </c>
      <c r="OSW75" s="244" t="s">
        <v>32</v>
      </c>
      <c r="OSX75" s="244" t="s">
        <v>32</v>
      </c>
      <c r="OSY75" s="244" t="s">
        <v>32</v>
      </c>
      <c r="OSZ75" s="244" t="s">
        <v>32</v>
      </c>
      <c r="OTA75" s="244" t="s">
        <v>32</v>
      </c>
      <c r="OTB75" s="244" t="s">
        <v>32</v>
      </c>
      <c r="OTC75" s="244" t="s">
        <v>32</v>
      </c>
      <c r="OTD75" s="244" t="s">
        <v>32</v>
      </c>
      <c r="OTE75" s="244" t="s">
        <v>32</v>
      </c>
      <c r="OTF75" s="244" t="s">
        <v>32</v>
      </c>
      <c r="OTG75" s="244" t="s">
        <v>32</v>
      </c>
      <c r="OTH75" s="244" t="s">
        <v>32</v>
      </c>
      <c r="OTI75" s="244" t="s">
        <v>32</v>
      </c>
      <c r="OTJ75" s="244" t="s">
        <v>32</v>
      </c>
      <c r="OTK75" s="244" t="s">
        <v>32</v>
      </c>
      <c r="OTL75" s="244" t="s">
        <v>32</v>
      </c>
      <c r="OTM75" s="244" t="s">
        <v>32</v>
      </c>
      <c r="OTN75" s="244" t="s">
        <v>32</v>
      </c>
      <c r="OTO75" s="244" t="s">
        <v>32</v>
      </c>
      <c r="OTP75" s="244" t="s">
        <v>32</v>
      </c>
      <c r="OTQ75" s="244" t="s">
        <v>32</v>
      </c>
      <c r="OTR75" s="244" t="s">
        <v>32</v>
      </c>
      <c r="OTS75" s="244" t="s">
        <v>32</v>
      </c>
      <c r="OTT75" s="244" t="s">
        <v>32</v>
      </c>
      <c r="OTU75" s="244" t="s">
        <v>32</v>
      </c>
      <c r="OTV75" s="244" t="s">
        <v>32</v>
      </c>
      <c r="OTW75" s="244" t="s">
        <v>32</v>
      </c>
      <c r="OTX75" s="244" t="s">
        <v>32</v>
      </c>
      <c r="OTY75" s="244" t="s">
        <v>32</v>
      </c>
      <c r="OTZ75" s="244" t="s">
        <v>32</v>
      </c>
      <c r="OUA75" s="244" t="s">
        <v>32</v>
      </c>
      <c r="OUB75" s="244" t="s">
        <v>32</v>
      </c>
      <c r="OUC75" s="244" t="s">
        <v>32</v>
      </c>
      <c r="OUD75" s="244" t="s">
        <v>32</v>
      </c>
      <c r="OUE75" s="244" t="s">
        <v>32</v>
      </c>
      <c r="OUF75" s="244" t="s">
        <v>32</v>
      </c>
      <c r="OUG75" s="244" t="s">
        <v>32</v>
      </c>
      <c r="OUH75" s="244" t="s">
        <v>32</v>
      </c>
      <c r="OUI75" s="244" t="s">
        <v>32</v>
      </c>
      <c r="OUJ75" s="244" t="s">
        <v>32</v>
      </c>
      <c r="OUK75" s="244" t="s">
        <v>32</v>
      </c>
      <c r="OUL75" s="244" t="s">
        <v>32</v>
      </c>
      <c r="OUM75" s="244" t="s">
        <v>32</v>
      </c>
      <c r="OUN75" s="244" t="s">
        <v>32</v>
      </c>
      <c r="OUO75" s="244" t="s">
        <v>32</v>
      </c>
      <c r="OUP75" s="244" t="s">
        <v>32</v>
      </c>
      <c r="OUQ75" s="244" t="s">
        <v>32</v>
      </c>
      <c r="OUR75" s="244" t="s">
        <v>32</v>
      </c>
      <c r="OUS75" s="244" t="s">
        <v>32</v>
      </c>
      <c r="OUT75" s="244" t="s">
        <v>32</v>
      </c>
      <c r="OUU75" s="244" t="s">
        <v>32</v>
      </c>
      <c r="OUV75" s="244" t="s">
        <v>32</v>
      </c>
      <c r="OUW75" s="244" t="s">
        <v>32</v>
      </c>
      <c r="OUX75" s="244" t="s">
        <v>32</v>
      </c>
      <c r="OUY75" s="244" t="s">
        <v>32</v>
      </c>
      <c r="OUZ75" s="244" t="s">
        <v>32</v>
      </c>
      <c r="OVA75" s="244" t="s">
        <v>32</v>
      </c>
      <c r="OVB75" s="244" t="s">
        <v>32</v>
      </c>
      <c r="OVC75" s="244" t="s">
        <v>32</v>
      </c>
      <c r="OVD75" s="244" t="s">
        <v>32</v>
      </c>
      <c r="OVE75" s="244" t="s">
        <v>32</v>
      </c>
      <c r="OVF75" s="244" t="s">
        <v>32</v>
      </c>
      <c r="OVG75" s="244" t="s">
        <v>32</v>
      </c>
      <c r="OVH75" s="244" t="s">
        <v>32</v>
      </c>
      <c r="OVI75" s="244" t="s">
        <v>32</v>
      </c>
      <c r="OVJ75" s="244" t="s">
        <v>32</v>
      </c>
      <c r="OVK75" s="244" t="s">
        <v>32</v>
      </c>
      <c r="OVL75" s="244" t="s">
        <v>32</v>
      </c>
      <c r="OVM75" s="244" t="s">
        <v>32</v>
      </c>
      <c r="OVN75" s="244" t="s">
        <v>32</v>
      </c>
      <c r="OVO75" s="244" t="s">
        <v>32</v>
      </c>
      <c r="OVP75" s="244" t="s">
        <v>32</v>
      </c>
      <c r="OVQ75" s="244" t="s">
        <v>32</v>
      </c>
      <c r="OVR75" s="244" t="s">
        <v>32</v>
      </c>
      <c r="OVS75" s="244" t="s">
        <v>32</v>
      </c>
      <c r="OVT75" s="244" t="s">
        <v>32</v>
      </c>
      <c r="OVU75" s="244" t="s">
        <v>32</v>
      </c>
      <c r="OVV75" s="244" t="s">
        <v>32</v>
      </c>
      <c r="OVW75" s="244" t="s">
        <v>32</v>
      </c>
      <c r="OVX75" s="244" t="s">
        <v>32</v>
      </c>
      <c r="OVY75" s="244" t="s">
        <v>32</v>
      </c>
      <c r="OVZ75" s="244" t="s">
        <v>32</v>
      </c>
      <c r="OWA75" s="244" t="s">
        <v>32</v>
      </c>
      <c r="OWB75" s="244" t="s">
        <v>32</v>
      </c>
      <c r="OWC75" s="244" t="s">
        <v>32</v>
      </c>
      <c r="OWD75" s="244" t="s">
        <v>32</v>
      </c>
      <c r="OWE75" s="244" t="s">
        <v>32</v>
      </c>
      <c r="OWF75" s="244" t="s">
        <v>32</v>
      </c>
      <c r="OWG75" s="244" t="s">
        <v>32</v>
      </c>
      <c r="OWH75" s="244" t="s">
        <v>32</v>
      </c>
      <c r="OWI75" s="244" t="s">
        <v>32</v>
      </c>
      <c r="OWJ75" s="244" t="s">
        <v>32</v>
      </c>
      <c r="OWK75" s="244" t="s">
        <v>32</v>
      </c>
      <c r="OWL75" s="244" t="s">
        <v>32</v>
      </c>
      <c r="OWM75" s="244" t="s">
        <v>32</v>
      </c>
      <c r="OWN75" s="244" t="s">
        <v>32</v>
      </c>
      <c r="OWO75" s="244" t="s">
        <v>32</v>
      </c>
      <c r="OWP75" s="244" t="s">
        <v>32</v>
      </c>
      <c r="OWQ75" s="244" t="s">
        <v>32</v>
      </c>
      <c r="OWR75" s="244" t="s">
        <v>32</v>
      </c>
      <c r="OWS75" s="244" t="s">
        <v>32</v>
      </c>
      <c r="OWT75" s="244" t="s">
        <v>32</v>
      </c>
      <c r="OWU75" s="244" t="s">
        <v>32</v>
      </c>
      <c r="OWV75" s="244" t="s">
        <v>32</v>
      </c>
      <c r="OWW75" s="244" t="s">
        <v>32</v>
      </c>
      <c r="OWX75" s="244" t="s">
        <v>32</v>
      </c>
      <c r="OWY75" s="244" t="s">
        <v>32</v>
      </c>
      <c r="OWZ75" s="244" t="s">
        <v>32</v>
      </c>
      <c r="OXA75" s="244" t="s">
        <v>32</v>
      </c>
      <c r="OXB75" s="244" t="s">
        <v>32</v>
      </c>
      <c r="OXC75" s="244" t="s">
        <v>32</v>
      </c>
      <c r="OXD75" s="244" t="s">
        <v>32</v>
      </c>
      <c r="OXE75" s="244" t="s">
        <v>32</v>
      </c>
      <c r="OXF75" s="244" t="s">
        <v>32</v>
      </c>
      <c r="OXG75" s="244" t="s">
        <v>32</v>
      </c>
      <c r="OXH75" s="244" t="s">
        <v>32</v>
      </c>
      <c r="OXI75" s="244" t="s">
        <v>32</v>
      </c>
      <c r="OXJ75" s="244" t="s">
        <v>32</v>
      </c>
      <c r="OXK75" s="244" t="s">
        <v>32</v>
      </c>
      <c r="OXL75" s="244" t="s">
        <v>32</v>
      </c>
      <c r="OXM75" s="244" t="s">
        <v>32</v>
      </c>
      <c r="OXN75" s="244" t="s">
        <v>32</v>
      </c>
      <c r="OXO75" s="244" t="s">
        <v>32</v>
      </c>
      <c r="OXP75" s="244" t="s">
        <v>32</v>
      </c>
      <c r="OXQ75" s="244" t="s">
        <v>32</v>
      </c>
      <c r="OXR75" s="244" t="s">
        <v>32</v>
      </c>
      <c r="OXS75" s="244" t="s">
        <v>32</v>
      </c>
      <c r="OXT75" s="244" t="s">
        <v>32</v>
      </c>
      <c r="OXU75" s="244" t="s">
        <v>32</v>
      </c>
      <c r="OXV75" s="244" t="s">
        <v>32</v>
      </c>
      <c r="OXW75" s="244" t="s">
        <v>32</v>
      </c>
      <c r="OXX75" s="244" t="s">
        <v>32</v>
      </c>
      <c r="OXY75" s="244" t="s">
        <v>32</v>
      </c>
      <c r="OXZ75" s="244" t="s">
        <v>32</v>
      </c>
      <c r="OYA75" s="244" t="s">
        <v>32</v>
      </c>
      <c r="OYB75" s="244" t="s">
        <v>32</v>
      </c>
      <c r="OYC75" s="244" t="s">
        <v>32</v>
      </c>
      <c r="OYD75" s="244" t="s">
        <v>32</v>
      </c>
      <c r="OYE75" s="244" t="s">
        <v>32</v>
      </c>
      <c r="OYF75" s="244" t="s">
        <v>32</v>
      </c>
      <c r="OYG75" s="244" t="s">
        <v>32</v>
      </c>
      <c r="OYH75" s="244" t="s">
        <v>32</v>
      </c>
      <c r="OYI75" s="244" t="s">
        <v>32</v>
      </c>
      <c r="OYJ75" s="244" t="s">
        <v>32</v>
      </c>
      <c r="OYK75" s="244" t="s">
        <v>32</v>
      </c>
      <c r="OYL75" s="244" t="s">
        <v>32</v>
      </c>
      <c r="OYM75" s="244" t="s">
        <v>32</v>
      </c>
      <c r="OYN75" s="244" t="s">
        <v>32</v>
      </c>
      <c r="OYO75" s="244" t="s">
        <v>32</v>
      </c>
      <c r="OYP75" s="244" t="s">
        <v>32</v>
      </c>
      <c r="OYQ75" s="244" t="s">
        <v>32</v>
      </c>
      <c r="OYR75" s="244" t="s">
        <v>32</v>
      </c>
      <c r="OYS75" s="244" t="s">
        <v>32</v>
      </c>
      <c r="OYT75" s="244" t="s">
        <v>32</v>
      </c>
      <c r="OYU75" s="244" t="s">
        <v>32</v>
      </c>
      <c r="OYV75" s="244" t="s">
        <v>32</v>
      </c>
      <c r="OYW75" s="244" t="s">
        <v>32</v>
      </c>
      <c r="OYX75" s="244" t="s">
        <v>32</v>
      </c>
      <c r="OYY75" s="244" t="s">
        <v>32</v>
      </c>
      <c r="OYZ75" s="244" t="s">
        <v>32</v>
      </c>
      <c r="OZA75" s="244" t="s">
        <v>32</v>
      </c>
      <c r="OZB75" s="244" t="s">
        <v>32</v>
      </c>
      <c r="OZC75" s="244" t="s">
        <v>32</v>
      </c>
      <c r="OZD75" s="244" t="s">
        <v>32</v>
      </c>
      <c r="OZE75" s="244" t="s">
        <v>32</v>
      </c>
      <c r="OZF75" s="244" t="s">
        <v>32</v>
      </c>
      <c r="OZG75" s="244" t="s">
        <v>32</v>
      </c>
      <c r="OZH75" s="244" t="s">
        <v>32</v>
      </c>
      <c r="OZI75" s="244" t="s">
        <v>32</v>
      </c>
      <c r="OZJ75" s="244" t="s">
        <v>32</v>
      </c>
      <c r="OZK75" s="244" t="s">
        <v>32</v>
      </c>
      <c r="OZL75" s="244" t="s">
        <v>32</v>
      </c>
      <c r="OZM75" s="244" t="s">
        <v>32</v>
      </c>
      <c r="OZN75" s="244" t="s">
        <v>32</v>
      </c>
      <c r="OZO75" s="244" t="s">
        <v>32</v>
      </c>
      <c r="OZP75" s="244" t="s">
        <v>32</v>
      </c>
      <c r="OZQ75" s="244" t="s">
        <v>32</v>
      </c>
      <c r="OZR75" s="244" t="s">
        <v>32</v>
      </c>
      <c r="OZS75" s="244" t="s">
        <v>32</v>
      </c>
      <c r="OZT75" s="244" t="s">
        <v>32</v>
      </c>
      <c r="OZU75" s="244" t="s">
        <v>32</v>
      </c>
      <c r="OZV75" s="244" t="s">
        <v>32</v>
      </c>
      <c r="OZW75" s="244" t="s">
        <v>32</v>
      </c>
      <c r="OZX75" s="244" t="s">
        <v>32</v>
      </c>
      <c r="OZY75" s="244" t="s">
        <v>32</v>
      </c>
      <c r="OZZ75" s="244" t="s">
        <v>32</v>
      </c>
      <c r="PAA75" s="244" t="s">
        <v>32</v>
      </c>
      <c r="PAB75" s="244" t="s">
        <v>32</v>
      </c>
      <c r="PAC75" s="244" t="s">
        <v>32</v>
      </c>
      <c r="PAD75" s="244" t="s">
        <v>32</v>
      </c>
      <c r="PAE75" s="244" t="s">
        <v>32</v>
      </c>
      <c r="PAF75" s="244" t="s">
        <v>32</v>
      </c>
      <c r="PAG75" s="244" t="s">
        <v>32</v>
      </c>
      <c r="PAH75" s="244" t="s">
        <v>32</v>
      </c>
      <c r="PAI75" s="244" t="s">
        <v>32</v>
      </c>
      <c r="PAJ75" s="244" t="s">
        <v>32</v>
      </c>
      <c r="PAK75" s="244" t="s">
        <v>32</v>
      </c>
      <c r="PAL75" s="244" t="s">
        <v>32</v>
      </c>
      <c r="PAM75" s="244" t="s">
        <v>32</v>
      </c>
      <c r="PAN75" s="244" t="s">
        <v>32</v>
      </c>
      <c r="PAO75" s="244" t="s">
        <v>32</v>
      </c>
      <c r="PAP75" s="244" t="s">
        <v>32</v>
      </c>
      <c r="PAQ75" s="244" t="s">
        <v>32</v>
      </c>
      <c r="PAR75" s="244" t="s">
        <v>32</v>
      </c>
      <c r="PAS75" s="244" t="s">
        <v>32</v>
      </c>
      <c r="PAT75" s="244" t="s">
        <v>32</v>
      </c>
      <c r="PAU75" s="244" t="s">
        <v>32</v>
      </c>
      <c r="PAV75" s="244" t="s">
        <v>32</v>
      </c>
      <c r="PAW75" s="244" t="s">
        <v>32</v>
      </c>
      <c r="PAX75" s="244" t="s">
        <v>32</v>
      </c>
      <c r="PAY75" s="244" t="s">
        <v>32</v>
      </c>
      <c r="PAZ75" s="244" t="s">
        <v>32</v>
      </c>
      <c r="PBA75" s="244" t="s">
        <v>32</v>
      </c>
      <c r="PBB75" s="244" t="s">
        <v>32</v>
      </c>
      <c r="PBC75" s="244" t="s">
        <v>32</v>
      </c>
      <c r="PBD75" s="244" t="s">
        <v>32</v>
      </c>
      <c r="PBE75" s="244" t="s">
        <v>32</v>
      </c>
      <c r="PBF75" s="244" t="s">
        <v>32</v>
      </c>
      <c r="PBG75" s="244" t="s">
        <v>32</v>
      </c>
      <c r="PBH75" s="244" t="s">
        <v>32</v>
      </c>
      <c r="PBI75" s="244" t="s">
        <v>32</v>
      </c>
      <c r="PBJ75" s="244" t="s">
        <v>32</v>
      </c>
      <c r="PBK75" s="244" t="s">
        <v>32</v>
      </c>
      <c r="PBL75" s="244" t="s">
        <v>32</v>
      </c>
      <c r="PBM75" s="244" t="s">
        <v>32</v>
      </c>
      <c r="PBN75" s="244" t="s">
        <v>32</v>
      </c>
      <c r="PBO75" s="244" t="s">
        <v>32</v>
      </c>
      <c r="PBP75" s="244" t="s">
        <v>32</v>
      </c>
      <c r="PBQ75" s="244" t="s">
        <v>32</v>
      </c>
      <c r="PBR75" s="244" t="s">
        <v>32</v>
      </c>
      <c r="PBS75" s="244" t="s">
        <v>32</v>
      </c>
      <c r="PBT75" s="244" t="s">
        <v>32</v>
      </c>
      <c r="PBU75" s="244" t="s">
        <v>32</v>
      </c>
      <c r="PBV75" s="244" t="s">
        <v>32</v>
      </c>
      <c r="PBW75" s="244" t="s">
        <v>32</v>
      </c>
      <c r="PBX75" s="244" t="s">
        <v>32</v>
      </c>
      <c r="PBY75" s="244" t="s">
        <v>32</v>
      </c>
      <c r="PBZ75" s="244" t="s">
        <v>32</v>
      </c>
      <c r="PCA75" s="244" t="s">
        <v>32</v>
      </c>
      <c r="PCB75" s="244" t="s">
        <v>32</v>
      </c>
      <c r="PCC75" s="244" t="s">
        <v>32</v>
      </c>
      <c r="PCD75" s="244" t="s">
        <v>32</v>
      </c>
      <c r="PCE75" s="244" t="s">
        <v>32</v>
      </c>
      <c r="PCF75" s="244" t="s">
        <v>32</v>
      </c>
      <c r="PCG75" s="244" t="s">
        <v>32</v>
      </c>
      <c r="PCH75" s="244" t="s">
        <v>32</v>
      </c>
      <c r="PCI75" s="244" t="s">
        <v>32</v>
      </c>
      <c r="PCJ75" s="244" t="s">
        <v>32</v>
      </c>
      <c r="PCK75" s="244" t="s">
        <v>32</v>
      </c>
      <c r="PCL75" s="244" t="s">
        <v>32</v>
      </c>
      <c r="PCM75" s="244" t="s">
        <v>32</v>
      </c>
      <c r="PCN75" s="244" t="s">
        <v>32</v>
      </c>
      <c r="PCO75" s="244" t="s">
        <v>32</v>
      </c>
      <c r="PCP75" s="244" t="s">
        <v>32</v>
      </c>
      <c r="PCQ75" s="244" t="s">
        <v>32</v>
      </c>
      <c r="PCR75" s="244" t="s">
        <v>32</v>
      </c>
      <c r="PCS75" s="244" t="s">
        <v>32</v>
      </c>
      <c r="PCT75" s="244" t="s">
        <v>32</v>
      </c>
      <c r="PCU75" s="244" t="s">
        <v>32</v>
      </c>
      <c r="PCV75" s="244" t="s">
        <v>32</v>
      </c>
      <c r="PCW75" s="244" t="s">
        <v>32</v>
      </c>
      <c r="PCX75" s="244" t="s">
        <v>32</v>
      </c>
      <c r="PCY75" s="244" t="s">
        <v>32</v>
      </c>
      <c r="PCZ75" s="244" t="s">
        <v>32</v>
      </c>
      <c r="PDA75" s="244" t="s">
        <v>32</v>
      </c>
      <c r="PDB75" s="244" t="s">
        <v>32</v>
      </c>
      <c r="PDC75" s="244" t="s">
        <v>32</v>
      </c>
      <c r="PDD75" s="244" t="s">
        <v>32</v>
      </c>
      <c r="PDE75" s="244" t="s">
        <v>32</v>
      </c>
      <c r="PDF75" s="244" t="s">
        <v>32</v>
      </c>
      <c r="PDG75" s="244" t="s">
        <v>32</v>
      </c>
      <c r="PDH75" s="244" t="s">
        <v>32</v>
      </c>
      <c r="PDI75" s="244" t="s">
        <v>32</v>
      </c>
      <c r="PDJ75" s="244" t="s">
        <v>32</v>
      </c>
      <c r="PDK75" s="244" t="s">
        <v>32</v>
      </c>
      <c r="PDL75" s="244" t="s">
        <v>32</v>
      </c>
      <c r="PDM75" s="244" t="s">
        <v>32</v>
      </c>
      <c r="PDN75" s="244" t="s">
        <v>32</v>
      </c>
      <c r="PDO75" s="244" t="s">
        <v>32</v>
      </c>
      <c r="PDP75" s="244" t="s">
        <v>32</v>
      </c>
      <c r="PDQ75" s="244" t="s">
        <v>32</v>
      </c>
      <c r="PDR75" s="244" t="s">
        <v>32</v>
      </c>
      <c r="PDS75" s="244" t="s">
        <v>32</v>
      </c>
      <c r="PDT75" s="244" t="s">
        <v>32</v>
      </c>
      <c r="PDU75" s="244" t="s">
        <v>32</v>
      </c>
      <c r="PDV75" s="244" t="s">
        <v>32</v>
      </c>
      <c r="PDW75" s="244" t="s">
        <v>32</v>
      </c>
      <c r="PDX75" s="244" t="s">
        <v>32</v>
      </c>
      <c r="PDY75" s="244" t="s">
        <v>32</v>
      </c>
      <c r="PDZ75" s="244" t="s">
        <v>32</v>
      </c>
      <c r="PEA75" s="244" t="s">
        <v>32</v>
      </c>
      <c r="PEB75" s="244" t="s">
        <v>32</v>
      </c>
      <c r="PEC75" s="244" t="s">
        <v>32</v>
      </c>
      <c r="PED75" s="244" t="s">
        <v>32</v>
      </c>
      <c r="PEE75" s="244" t="s">
        <v>32</v>
      </c>
      <c r="PEF75" s="244" t="s">
        <v>32</v>
      </c>
      <c r="PEG75" s="244" t="s">
        <v>32</v>
      </c>
      <c r="PEH75" s="244" t="s">
        <v>32</v>
      </c>
      <c r="PEI75" s="244" t="s">
        <v>32</v>
      </c>
      <c r="PEJ75" s="244" t="s">
        <v>32</v>
      </c>
      <c r="PEK75" s="244" t="s">
        <v>32</v>
      </c>
      <c r="PEL75" s="244" t="s">
        <v>32</v>
      </c>
      <c r="PEM75" s="244" t="s">
        <v>32</v>
      </c>
      <c r="PEN75" s="244" t="s">
        <v>32</v>
      </c>
      <c r="PEO75" s="244" t="s">
        <v>32</v>
      </c>
      <c r="PEP75" s="244" t="s">
        <v>32</v>
      </c>
      <c r="PEQ75" s="244" t="s">
        <v>32</v>
      </c>
      <c r="PER75" s="244" t="s">
        <v>32</v>
      </c>
      <c r="PES75" s="244" t="s">
        <v>32</v>
      </c>
      <c r="PET75" s="244" t="s">
        <v>32</v>
      </c>
      <c r="PEU75" s="244" t="s">
        <v>32</v>
      </c>
      <c r="PEV75" s="244" t="s">
        <v>32</v>
      </c>
      <c r="PEW75" s="244" t="s">
        <v>32</v>
      </c>
      <c r="PEX75" s="244" t="s">
        <v>32</v>
      </c>
      <c r="PEY75" s="244" t="s">
        <v>32</v>
      </c>
      <c r="PEZ75" s="244" t="s">
        <v>32</v>
      </c>
      <c r="PFA75" s="244" t="s">
        <v>32</v>
      </c>
      <c r="PFB75" s="244" t="s">
        <v>32</v>
      </c>
      <c r="PFC75" s="244" t="s">
        <v>32</v>
      </c>
      <c r="PFD75" s="244" t="s">
        <v>32</v>
      </c>
      <c r="PFE75" s="244" t="s">
        <v>32</v>
      </c>
      <c r="PFF75" s="244" t="s">
        <v>32</v>
      </c>
      <c r="PFG75" s="244" t="s">
        <v>32</v>
      </c>
      <c r="PFH75" s="244" t="s">
        <v>32</v>
      </c>
      <c r="PFI75" s="244" t="s">
        <v>32</v>
      </c>
      <c r="PFJ75" s="244" t="s">
        <v>32</v>
      </c>
      <c r="PFK75" s="244" t="s">
        <v>32</v>
      </c>
      <c r="PFL75" s="244" t="s">
        <v>32</v>
      </c>
      <c r="PFM75" s="244" t="s">
        <v>32</v>
      </c>
      <c r="PFN75" s="244" t="s">
        <v>32</v>
      </c>
      <c r="PFO75" s="244" t="s">
        <v>32</v>
      </c>
      <c r="PFP75" s="244" t="s">
        <v>32</v>
      </c>
      <c r="PFQ75" s="244" t="s">
        <v>32</v>
      </c>
      <c r="PFR75" s="244" t="s">
        <v>32</v>
      </c>
      <c r="PFS75" s="244" t="s">
        <v>32</v>
      </c>
      <c r="PFT75" s="244" t="s">
        <v>32</v>
      </c>
      <c r="PFU75" s="244" t="s">
        <v>32</v>
      </c>
      <c r="PFV75" s="244" t="s">
        <v>32</v>
      </c>
      <c r="PFW75" s="244" t="s">
        <v>32</v>
      </c>
      <c r="PFX75" s="244" t="s">
        <v>32</v>
      </c>
      <c r="PFY75" s="244" t="s">
        <v>32</v>
      </c>
      <c r="PFZ75" s="244" t="s">
        <v>32</v>
      </c>
      <c r="PGA75" s="244" t="s">
        <v>32</v>
      </c>
      <c r="PGB75" s="244" t="s">
        <v>32</v>
      </c>
      <c r="PGC75" s="244" t="s">
        <v>32</v>
      </c>
      <c r="PGD75" s="244" t="s">
        <v>32</v>
      </c>
      <c r="PGE75" s="244" t="s">
        <v>32</v>
      </c>
      <c r="PGF75" s="244" t="s">
        <v>32</v>
      </c>
      <c r="PGG75" s="244" t="s">
        <v>32</v>
      </c>
      <c r="PGH75" s="244" t="s">
        <v>32</v>
      </c>
      <c r="PGI75" s="244" t="s">
        <v>32</v>
      </c>
      <c r="PGJ75" s="244" t="s">
        <v>32</v>
      </c>
      <c r="PGK75" s="244" t="s">
        <v>32</v>
      </c>
      <c r="PGL75" s="244" t="s">
        <v>32</v>
      </c>
      <c r="PGM75" s="244" t="s">
        <v>32</v>
      </c>
      <c r="PGN75" s="244" t="s">
        <v>32</v>
      </c>
      <c r="PGO75" s="244" t="s">
        <v>32</v>
      </c>
      <c r="PGP75" s="244" t="s">
        <v>32</v>
      </c>
      <c r="PGQ75" s="244" t="s">
        <v>32</v>
      </c>
      <c r="PGR75" s="244" t="s">
        <v>32</v>
      </c>
      <c r="PGS75" s="244" t="s">
        <v>32</v>
      </c>
      <c r="PGT75" s="244" t="s">
        <v>32</v>
      </c>
      <c r="PGU75" s="244" t="s">
        <v>32</v>
      </c>
      <c r="PGV75" s="244" t="s">
        <v>32</v>
      </c>
      <c r="PGW75" s="244" t="s">
        <v>32</v>
      </c>
      <c r="PGX75" s="244" t="s">
        <v>32</v>
      </c>
      <c r="PGY75" s="244" t="s">
        <v>32</v>
      </c>
      <c r="PGZ75" s="244" t="s">
        <v>32</v>
      </c>
      <c r="PHA75" s="244" t="s">
        <v>32</v>
      </c>
      <c r="PHB75" s="244" t="s">
        <v>32</v>
      </c>
      <c r="PHC75" s="244" t="s">
        <v>32</v>
      </c>
      <c r="PHD75" s="244" t="s">
        <v>32</v>
      </c>
      <c r="PHE75" s="244" t="s">
        <v>32</v>
      </c>
      <c r="PHF75" s="244" t="s">
        <v>32</v>
      </c>
      <c r="PHG75" s="244" t="s">
        <v>32</v>
      </c>
      <c r="PHH75" s="244" t="s">
        <v>32</v>
      </c>
      <c r="PHI75" s="244" t="s">
        <v>32</v>
      </c>
      <c r="PHJ75" s="244" t="s">
        <v>32</v>
      </c>
      <c r="PHK75" s="244" t="s">
        <v>32</v>
      </c>
      <c r="PHL75" s="244" t="s">
        <v>32</v>
      </c>
      <c r="PHM75" s="244" t="s">
        <v>32</v>
      </c>
      <c r="PHN75" s="244" t="s">
        <v>32</v>
      </c>
      <c r="PHO75" s="244" t="s">
        <v>32</v>
      </c>
      <c r="PHP75" s="244" t="s">
        <v>32</v>
      </c>
      <c r="PHQ75" s="244" t="s">
        <v>32</v>
      </c>
      <c r="PHR75" s="244" t="s">
        <v>32</v>
      </c>
      <c r="PHS75" s="244" t="s">
        <v>32</v>
      </c>
      <c r="PHT75" s="244" t="s">
        <v>32</v>
      </c>
      <c r="PHU75" s="244" t="s">
        <v>32</v>
      </c>
      <c r="PHV75" s="244" t="s">
        <v>32</v>
      </c>
      <c r="PHW75" s="244" t="s">
        <v>32</v>
      </c>
      <c r="PHX75" s="244" t="s">
        <v>32</v>
      </c>
      <c r="PHY75" s="244" t="s">
        <v>32</v>
      </c>
      <c r="PHZ75" s="244" t="s">
        <v>32</v>
      </c>
      <c r="PIA75" s="244" t="s">
        <v>32</v>
      </c>
      <c r="PIB75" s="244" t="s">
        <v>32</v>
      </c>
      <c r="PIC75" s="244" t="s">
        <v>32</v>
      </c>
      <c r="PID75" s="244" t="s">
        <v>32</v>
      </c>
      <c r="PIE75" s="244" t="s">
        <v>32</v>
      </c>
      <c r="PIF75" s="244" t="s">
        <v>32</v>
      </c>
      <c r="PIG75" s="244" t="s">
        <v>32</v>
      </c>
      <c r="PIH75" s="244" t="s">
        <v>32</v>
      </c>
      <c r="PII75" s="244" t="s">
        <v>32</v>
      </c>
      <c r="PIJ75" s="244" t="s">
        <v>32</v>
      </c>
      <c r="PIK75" s="244" t="s">
        <v>32</v>
      </c>
      <c r="PIL75" s="244" t="s">
        <v>32</v>
      </c>
      <c r="PIM75" s="244" t="s">
        <v>32</v>
      </c>
      <c r="PIN75" s="244" t="s">
        <v>32</v>
      </c>
      <c r="PIO75" s="244" t="s">
        <v>32</v>
      </c>
      <c r="PIP75" s="244" t="s">
        <v>32</v>
      </c>
      <c r="PIQ75" s="244" t="s">
        <v>32</v>
      </c>
      <c r="PIR75" s="244" t="s">
        <v>32</v>
      </c>
      <c r="PIS75" s="244" t="s">
        <v>32</v>
      </c>
      <c r="PIT75" s="244" t="s">
        <v>32</v>
      </c>
      <c r="PIU75" s="244" t="s">
        <v>32</v>
      </c>
      <c r="PIV75" s="244" t="s">
        <v>32</v>
      </c>
      <c r="PIW75" s="244" t="s">
        <v>32</v>
      </c>
      <c r="PIX75" s="244" t="s">
        <v>32</v>
      </c>
      <c r="PIY75" s="244" t="s">
        <v>32</v>
      </c>
      <c r="PIZ75" s="244" t="s">
        <v>32</v>
      </c>
      <c r="PJA75" s="244" t="s">
        <v>32</v>
      </c>
      <c r="PJB75" s="244" t="s">
        <v>32</v>
      </c>
      <c r="PJC75" s="244" t="s">
        <v>32</v>
      </c>
      <c r="PJD75" s="244" t="s">
        <v>32</v>
      </c>
      <c r="PJE75" s="244" t="s">
        <v>32</v>
      </c>
      <c r="PJF75" s="244" t="s">
        <v>32</v>
      </c>
      <c r="PJG75" s="244" t="s">
        <v>32</v>
      </c>
      <c r="PJH75" s="244" t="s">
        <v>32</v>
      </c>
      <c r="PJI75" s="244" t="s">
        <v>32</v>
      </c>
      <c r="PJJ75" s="244" t="s">
        <v>32</v>
      </c>
      <c r="PJK75" s="244" t="s">
        <v>32</v>
      </c>
      <c r="PJL75" s="244" t="s">
        <v>32</v>
      </c>
      <c r="PJM75" s="244" t="s">
        <v>32</v>
      </c>
      <c r="PJN75" s="244" t="s">
        <v>32</v>
      </c>
      <c r="PJO75" s="244" t="s">
        <v>32</v>
      </c>
      <c r="PJP75" s="244" t="s">
        <v>32</v>
      </c>
      <c r="PJQ75" s="244" t="s">
        <v>32</v>
      </c>
      <c r="PJR75" s="244" t="s">
        <v>32</v>
      </c>
      <c r="PJS75" s="244" t="s">
        <v>32</v>
      </c>
      <c r="PJT75" s="244" t="s">
        <v>32</v>
      </c>
      <c r="PJU75" s="244" t="s">
        <v>32</v>
      </c>
      <c r="PJV75" s="244" t="s">
        <v>32</v>
      </c>
      <c r="PJW75" s="244" t="s">
        <v>32</v>
      </c>
      <c r="PJX75" s="244" t="s">
        <v>32</v>
      </c>
      <c r="PJY75" s="244" t="s">
        <v>32</v>
      </c>
      <c r="PJZ75" s="244" t="s">
        <v>32</v>
      </c>
      <c r="PKA75" s="244" t="s">
        <v>32</v>
      </c>
      <c r="PKB75" s="244" t="s">
        <v>32</v>
      </c>
      <c r="PKC75" s="244" t="s">
        <v>32</v>
      </c>
      <c r="PKD75" s="244" t="s">
        <v>32</v>
      </c>
      <c r="PKE75" s="244" t="s">
        <v>32</v>
      </c>
      <c r="PKF75" s="244" t="s">
        <v>32</v>
      </c>
      <c r="PKG75" s="244" t="s">
        <v>32</v>
      </c>
      <c r="PKH75" s="244" t="s">
        <v>32</v>
      </c>
      <c r="PKI75" s="244" t="s">
        <v>32</v>
      </c>
      <c r="PKJ75" s="244" t="s">
        <v>32</v>
      </c>
      <c r="PKK75" s="244" t="s">
        <v>32</v>
      </c>
      <c r="PKL75" s="244" t="s">
        <v>32</v>
      </c>
      <c r="PKM75" s="244" t="s">
        <v>32</v>
      </c>
      <c r="PKN75" s="244" t="s">
        <v>32</v>
      </c>
      <c r="PKO75" s="244" t="s">
        <v>32</v>
      </c>
      <c r="PKP75" s="244" t="s">
        <v>32</v>
      </c>
      <c r="PKQ75" s="244" t="s">
        <v>32</v>
      </c>
      <c r="PKR75" s="244" t="s">
        <v>32</v>
      </c>
      <c r="PKS75" s="244" t="s">
        <v>32</v>
      </c>
      <c r="PKT75" s="244" t="s">
        <v>32</v>
      </c>
      <c r="PKU75" s="244" t="s">
        <v>32</v>
      </c>
      <c r="PKV75" s="244" t="s">
        <v>32</v>
      </c>
      <c r="PKW75" s="244" t="s">
        <v>32</v>
      </c>
      <c r="PKX75" s="244" t="s">
        <v>32</v>
      </c>
      <c r="PKY75" s="244" t="s">
        <v>32</v>
      </c>
      <c r="PKZ75" s="244" t="s">
        <v>32</v>
      </c>
      <c r="PLA75" s="244" t="s">
        <v>32</v>
      </c>
      <c r="PLB75" s="244" t="s">
        <v>32</v>
      </c>
      <c r="PLC75" s="244" t="s">
        <v>32</v>
      </c>
      <c r="PLD75" s="244" t="s">
        <v>32</v>
      </c>
      <c r="PLE75" s="244" t="s">
        <v>32</v>
      </c>
      <c r="PLF75" s="244" t="s">
        <v>32</v>
      </c>
      <c r="PLG75" s="244" t="s">
        <v>32</v>
      </c>
      <c r="PLH75" s="244" t="s">
        <v>32</v>
      </c>
      <c r="PLI75" s="244" t="s">
        <v>32</v>
      </c>
      <c r="PLJ75" s="244" t="s">
        <v>32</v>
      </c>
      <c r="PLK75" s="244" t="s">
        <v>32</v>
      </c>
      <c r="PLL75" s="244" t="s">
        <v>32</v>
      </c>
      <c r="PLM75" s="244" t="s">
        <v>32</v>
      </c>
      <c r="PLN75" s="244" t="s">
        <v>32</v>
      </c>
      <c r="PLO75" s="244" t="s">
        <v>32</v>
      </c>
      <c r="PLP75" s="244" t="s">
        <v>32</v>
      </c>
      <c r="PLQ75" s="244" t="s">
        <v>32</v>
      </c>
      <c r="PLR75" s="244" t="s">
        <v>32</v>
      </c>
      <c r="PLS75" s="244" t="s">
        <v>32</v>
      </c>
      <c r="PLT75" s="244" t="s">
        <v>32</v>
      </c>
      <c r="PLU75" s="244" t="s">
        <v>32</v>
      </c>
      <c r="PLV75" s="244" t="s">
        <v>32</v>
      </c>
      <c r="PLW75" s="244" t="s">
        <v>32</v>
      </c>
      <c r="PLX75" s="244" t="s">
        <v>32</v>
      </c>
      <c r="PLY75" s="244" t="s">
        <v>32</v>
      </c>
      <c r="PLZ75" s="244" t="s">
        <v>32</v>
      </c>
      <c r="PMA75" s="244" t="s">
        <v>32</v>
      </c>
      <c r="PMB75" s="244" t="s">
        <v>32</v>
      </c>
      <c r="PMC75" s="244" t="s">
        <v>32</v>
      </c>
      <c r="PMD75" s="244" t="s">
        <v>32</v>
      </c>
      <c r="PME75" s="244" t="s">
        <v>32</v>
      </c>
      <c r="PMF75" s="244" t="s">
        <v>32</v>
      </c>
      <c r="PMG75" s="244" t="s">
        <v>32</v>
      </c>
      <c r="PMH75" s="244" t="s">
        <v>32</v>
      </c>
      <c r="PMI75" s="244" t="s">
        <v>32</v>
      </c>
      <c r="PMJ75" s="244" t="s">
        <v>32</v>
      </c>
      <c r="PMK75" s="244" t="s">
        <v>32</v>
      </c>
      <c r="PML75" s="244" t="s">
        <v>32</v>
      </c>
      <c r="PMM75" s="244" t="s">
        <v>32</v>
      </c>
      <c r="PMN75" s="244" t="s">
        <v>32</v>
      </c>
      <c r="PMO75" s="244" t="s">
        <v>32</v>
      </c>
      <c r="PMP75" s="244" t="s">
        <v>32</v>
      </c>
      <c r="PMQ75" s="244" t="s">
        <v>32</v>
      </c>
      <c r="PMR75" s="244" t="s">
        <v>32</v>
      </c>
      <c r="PMS75" s="244" t="s">
        <v>32</v>
      </c>
      <c r="PMT75" s="244" t="s">
        <v>32</v>
      </c>
      <c r="PMU75" s="244" t="s">
        <v>32</v>
      </c>
      <c r="PMV75" s="244" t="s">
        <v>32</v>
      </c>
      <c r="PMW75" s="244" t="s">
        <v>32</v>
      </c>
      <c r="PMX75" s="244" t="s">
        <v>32</v>
      </c>
      <c r="PMY75" s="244" t="s">
        <v>32</v>
      </c>
      <c r="PMZ75" s="244" t="s">
        <v>32</v>
      </c>
      <c r="PNA75" s="244" t="s">
        <v>32</v>
      </c>
      <c r="PNB75" s="244" t="s">
        <v>32</v>
      </c>
      <c r="PNC75" s="244" t="s">
        <v>32</v>
      </c>
      <c r="PND75" s="244" t="s">
        <v>32</v>
      </c>
      <c r="PNE75" s="244" t="s">
        <v>32</v>
      </c>
      <c r="PNF75" s="244" t="s">
        <v>32</v>
      </c>
      <c r="PNG75" s="244" t="s">
        <v>32</v>
      </c>
      <c r="PNH75" s="244" t="s">
        <v>32</v>
      </c>
      <c r="PNI75" s="244" t="s">
        <v>32</v>
      </c>
      <c r="PNJ75" s="244" t="s">
        <v>32</v>
      </c>
      <c r="PNK75" s="244" t="s">
        <v>32</v>
      </c>
      <c r="PNL75" s="244" t="s">
        <v>32</v>
      </c>
      <c r="PNM75" s="244" t="s">
        <v>32</v>
      </c>
      <c r="PNN75" s="244" t="s">
        <v>32</v>
      </c>
      <c r="PNO75" s="244" t="s">
        <v>32</v>
      </c>
      <c r="PNP75" s="244" t="s">
        <v>32</v>
      </c>
      <c r="PNQ75" s="244" t="s">
        <v>32</v>
      </c>
      <c r="PNR75" s="244" t="s">
        <v>32</v>
      </c>
      <c r="PNS75" s="244" t="s">
        <v>32</v>
      </c>
      <c r="PNT75" s="244" t="s">
        <v>32</v>
      </c>
      <c r="PNU75" s="244" t="s">
        <v>32</v>
      </c>
      <c r="PNV75" s="244" t="s">
        <v>32</v>
      </c>
      <c r="PNW75" s="244" t="s">
        <v>32</v>
      </c>
      <c r="PNX75" s="244" t="s">
        <v>32</v>
      </c>
      <c r="PNY75" s="244" t="s">
        <v>32</v>
      </c>
      <c r="PNZ75" s="244" t="s">
        <v>32</v>
      </c>
      <c r="POA75" s="244" t="s">
        <v>32</v>
      </c>
      <c r="POB75" s="244" t="s">
        <v>32</v>
      </c>
      <c r="POC75" s="244" t="s">
        <v>32</v>
      </c>
      <c r="POD75" s="244" t="s">
        <v>32</v>
      </c>
      <c r="POE75" s="244" t="s">
        <v>32</v>
      </c>
      <c r="POF75" s="244" t="s">
        <v>32</v>
      </c>
      <c r="POG75" s="244" t="s">
        <v>32</v>
      </c>
      <c r="POH75" s="244" t="s">
        <v>32</v>
      </c>
      <c r="POI75" s="244" t="s">
        <v>32</v>
      </c>
      <c r="POJ75" s="244" t="s">
        <v>32</v>
      </c>
      <c r="POK75" s="244" t="s">
        <v>32</v>
      </c>
      <c r="POL75" s="244" t="s">
        <v>32</v>
      </c>
      <c r="POM75" s="244" t="s">
        <v>32</v>
      </c>
      <c r="PON75" s="244" t="s">
        <v>32</v>
      </c>
      <c r="POO75" s="244" t="s">
        <v>32</v>
      </c>
      <c r="POP75" s="244" t="s">
        <v>32</v>
      </c>
      <c r="POQ75" s="244" t="s">
        <v>32</v>
      </c>
      <c r="POR75" s="244" t="s">
        <v>32</v>
      </c>
      <c r="POS75" s="244" t="s">
        <v>32</v>
      </c>
      <c r="POT75" s="244" t="s">
        <v>32</v>
      </c>
      <c r="POU75" s="244" t="s">
        <v>32</v>
      </c>
      <c r="POV75" s="244" t="s">
        <v>32</v>
      </c>
      <c r="POW75" s="244" t="s">
        <v>32</v>
      </c>
      <c r="POX75" s="244" t="s">
        <v>32</v>
      </c>
      <c r="POY75" s="244" t="s">
        <v>32</v>
      </c>
      <c r="POZ75" s="244" t="s">
        <v>32</v>
      </c>
      <c r="PPA75" s="244" t="s">
        <v>32</v>
      </c>
      <c r="PPB75" s="244" t="s">
        <v>32</v>
      </c>
      <c r="PPC75" s="244" t="s">
        <v>32</v>
      </c>
      <c r="PPD75" s="244" t="s">
        <v>32</v>
      </c>
      <c r="PPE75" s="244" t="s">
        <v>32</v>
      </c>
      <c r="PPF75" s="244" t="s">
        <v>32</v>
      </c>
      <c r="PPG75" s="244" t="s">
        <v>32</v>
      </c>
      <c r="PPH75" s="244" t="s">
        <v>32</v>
      </c>
      <c r="PPI75" s="244" t="s">
        <v>32</v>
      </c>
      <c r="PPJ75" s="244" t="s">
        <v>32</v>
      </c>
      <c r="PPK75" s="244" t="s">
        <v>32</v>
      </c>
      <c r="PPL75" s="244" t="s">
        <v>32</v>
      </c>
      <c r="PPM75" s="244" t="s">
        <v>32</v>
      </c>
      <c r="PPN75" s="244" t="s">
        <v>32</v>
      </c>
      <c r="PPO75" s="244" t="s">
        <v>32</v>
      </c>
      <c r="PPP75" s="244" t="s">
        <v>32</v>
      </c>
      <c r="PPQ75" s="244" t="s">
        <v>32</v>
      </c>
      <c r="PPR75" s="244" t="s">
        <v>32</v>
      </c>
      <c r="PPS75" s="244" t="s">
        <v>32</v>
      </c>
      <c r="PPT75" s="244" t="s">
        <v>32</v>
      </c>
      <c r="PPU75" s="244" t="s">
        <v>32</v>
      </c>
      <c r="PPV75" s="244" t="s">
        <v>32</v>
      </c>
      <c r="PPW75" s="244" t="s">
        <v>32</v>
      </c>
      <c r="PPX75" s="244" t="s">
        <v>32</v>
      </c>
      <c r="PPY75" s="244" t="s">
        <v>32</v>
      </c>
      <c r="PPZ75" s="244" t="s">
        <v>32</v>
      </c>
      <c r="PQA75" s="244" t="s">
        <v>32</v>
      </c>
      <c r="PQB75" s="244" t="s">
        <v>32</v>
      </c>
      <c r="PQC75" s="244" t="s">
        <v>32</v>
      </c>
      <c r="PQD75" s="244" t="s">
        <v>32</v>
      </c>
      <c r="PQE75" s="244" t="s">
        <v>32</v>
      </c>
      <c r="PQF75" s="244" t="s">
        <v>32</v>
      </c>
      <c r="PQG75" s="244" t="s">
        <v>32</v>
      </c>
      <c r="PQH75" s="244" t="s">
        <v>32</v>
      </c>
      <c r="PQI75" s="244" t="s">
        <v>32</v>
      </c>
      <c r="PQJ75" s="244" t="s">
        <v>32</v>
      </c>
      <c r="PQK75" s="244" t="s">
        <v>32</v>
      </c>
      <c r="PQL75" s="244" t="s">
        <v>32</v>
      </c>
      <c r="PQM75" s="244" t="s">
        <v>32</v>
      </c>
      <c r="PQN75" s="244" t="s">
        <v>32</v>
      </c>
      <c r="PQO75" s="244" t="s">
        <v>32</v>
      </c>
      <c r="PQP75" s="244" t="s">
        <v>32</v>
      </c>
      <c r="PQQ75" s="244" t="s">
        <v>32</v>
      </c>
      <c r="PQR75" s="244" t="s">
        <v>32</v>
      </c>
      <c r="PQS75" s="244" t="s">
        <v>32</v>
      </c>
      <c r="PQT75" s="244" t="s">
        <v>32</v>
      </c>
      <c r="PQU75" s="244" t="s">
        <v>32</v>
      </c>
      <c r="PQV75" s="244" t="s">
        <v>32</v>
      </c>
      <c r="PQW75" s="244" t="s">
        <v>32</v>
      </c>
      <c r="PQX75" s="244" t="s">
        <v>32</v>
      </c>
      <c r="PQY75" s="244" t="s">
        <v>32</v>
      </c>
      <c r="PQZ75" s="244" t="s">
        <v>32</v>
      </c>
      <c r="PRA75" s="244" t="s">
        <v>32</v>
      </c>
      <c r="PRB75" s="244" t="s">
        <v>32</v>
      </c>
      <c r="PRC75" s="244" t="s">
        <v>32</v>
      </c>
      <c r="PRD75" s="244" t="s">
        <v>32</v>
      </c>
      <c r="PRE75" s="244" t="s">
        <v>32</v>
      </c>
      <c r="PRF75" s="244" t="s">
        <v>32</v>
      </c>
      <c r="PRG75" s="244" t="s">
        <v>32</v>
      </c>
      <c r="PRH75" s="244" t="s">
        <v>32</v>
      </c>
      <c r="PRI75" s="244" t="s">
        <v>32</v>
      </c>
      <c r="PRJ75" s="244" t="s">
        <v>32</v>
      </c>
      <c r="PRK75" s="244" t="s">
        <v>32</v>
      </c>
      <c r="PRL75" s="244" t="s">
        <v>32</v>
      </c>
      <c r="PRM75" s="244" t="s">
        <v>32</v>
      </c>
      <c r="PRN75" s="244" t="s">
        <v>32</v>
      </c>
      <c r="PRO75" s="244" t="s">
        <v>32</v>
      </c>
      <c r="PRP75" s="244" t="s">
        <v>32</v>
      </c>
      <c r="PRQ75" s="244" t="s">
        <v>32</v>
      </c>
      <c r="PRR75" s="244" t="s">
        <v>32</v>
      </c>
      <c r="PRS75" s="244" t="s">
        <v>32</v>
      </c>
      <c r="PRT75" s="244" t="s">
        <v>32</v>
      </c>
      <c r="PRU75" s="244" t="s">
        <v>32</v>
      </c>
      <c r="PRV75" s="244" t="s">
        <v>32</v>
      </c>
      <c r="PRW75" s="244" t="s">
        <v>32</v>
      </c>
      <c r="PRX75" s="244" t="s">
        <v>32</v>
      </c>
      <c r="PRY75" s="244" t="s">
        <v>32</v>
      </c>
      <c r="PRZ75" s="244" t="s">
        <v>32</v>
      </c>
      <c r="PSA75" s="244" t="s">
        <v>32</v>
      </c>
      <c r="PSB75" s="244" t="s">
        <v>32</v>
      </c>
      <c r="PSC75" s="244" t="s">
        <v>32</v>
      </c>
      <c r="PSD75" s="244" t="s">
        <v>32</v>
      </c>
      <c r="PSE75" s="244" t="s">
        <v>32</v>
      </c>
      <c r="PSF75" s="244" t="s">
        <v>32</v>
      </c>
      <c r="PSG75" s="244" t="s">
        <v>32</v>
      </c>
      <c r="PSH75" s="244" t="s">
        <v>32</v>
      </c>
      <c r="PSI75" s="244" t="s">
        <v>32</v>
      </c>
      <c r="PSJ75" s="244" t="s">
        <v>32</v>
      </c>
      <c r="PSK75" s="244" t="s">
        <v>32</v>
      </c>
      <c r="PSL75" s="244" t="s">
        <v>32</v>
      </c>
      <c r="PSM75" s="244" t="s">
        <v>32</v>
      </c>
      <c r="PSN75" s="244" t="s">
        <v>32</v>
      </c>
      <c r="PSO75" s="244" t="s">
        <v>32</v>
      </c>
      <c r="PSP75" s="244" t="s">
        <v>32</v>
      </c>
      <c r="PSQ75" s="244" t="s">
        <v>32</v>
      </c>
      <c r="PSR75" s="244" t="s">
        <v>32</v>
      </c>
      <c r="PSS75" s="244" t="s">
        <v>32</v>
      </c>
      <c r="PST75" s="244" t="s">
        <v>32</v>
      </c>
      <c r="PSU75" s="244" t="s">
        <v>32</v>
      </c>
      <c r="PSV75" s="244" t="s">
        <v>32</v>
      </c>
      <c r="PSW75" s="244" t="s">
        <v>32</v>
      </c>
      <c r="PSX75" s="244" t="s">
        <v>32</v>
      </c>
      <c r="PSY75" s="244" t="s">
        <v>32</v>
      </c>
      <c r="PSZ75" s="244" t="s">
        <v>32</v>
      </c>
      <c r="PTA75" s="244" t="s">
        <v>32</v>
      </c>
      <c r="PTB75" s="244" t="s">
        <v>32</v>
      </c>
      <c r="PTC75" s="244" t="s">
        <v>32</v>
      </c>
      <c r="PTD75" s="244" t="s">
        <v>32</v>
      </c>
      <c r="PTE75" s="244" t="s">
        <v>32</v>
      </c>
      <c r="PTF75" s="244" t="s">
        <v>32</v>
      </c>
      <c r="PTG75" s="244" t="s">
        <v>32</v>
      </c>
      <c r="PTH75" s="244" t="s">
        <v>32</v>
      </c>
      <c r="PTI75" s="244" t="s">
        <v>32</v>
      </c>
      <c r="PTJ75" s="244" t="s">
        <v>32</v>
      </c>
      <c r="PTK75" s="244" t="s">
        <v>32</v>
      </c>
      <c r="PTL75" s="244" t="s">
        <v>32</v>
      </c>
      <c r="PTM75" s="244" t="s">
        <v>32</v>
      </c>
      <c r="PTN75" s="244" t="s">
        <v>32</v>
      </c>
      <c r="PTO75" s="244" t="s">
        <v>32</v>
      </c>
      <c r="PTP75" s="244" t="s">
        <v>32</v>
      </c>
      <c r="PTQ75" s="244" t="s">
        <v>32</v>
      </c>
      <c r="PTR75" s="244" t="s">
        <v>32</v>
      </c>
      <c r="PTS75" s="244" t="s">
        <v>32</v>
      </c>
      <c r="PTT75" s="244" t="s">
        <v>32</v>
      </c>
      <c r="PTU75" s="244" t="s">
        <v>32</v>
      </c>
      <c r="PTV75" s="244" t="s">
        <v>32</v>
      </c>
      <c r="PTW75" s="244" t="s">
        <v>32</v>
      </c>
      <c r="PTX75" s="244" t="s">
        <v>32</v>
      </c>
      <c r="PTY75" s="244" t="s">
        <v>32</v>
      </c>
      <c r="PTZ75" s="244" t="s">
        <v>32</v>
      </c>
      <c r="PUA75" s="244" t="s">
        <v>32</v>
      </c>
      <c r="PUB75" s="244" t="s">
        <v>32</v>
      </c>
      <c r="PUC75" s="244" t="s">
        <v>32</v>
      </c>
      <c r="PUD75" s="244" t="s">
        <v>32</v>
      </c>
      <c r="PUE75" s="244" t="s">
        <v>32</v>
      </c>
      <c r="PUF75" s="244" t="s">
        <v>32</v>
      </c>
      <c r="PUG75" s="244" t="s">
        <v>32</v>
      </c>
      <c r="PUH75" s="244" t="s">
        <v>32</v>
      </c>
      <c r="PUI75" s="244" t="s">
        <v>32</v>
      </c>
      <c r="PUJ75" s="244" t="s">
        <v>32</v>
      </c>
      <c r="PUK75" s="244" t="s">
        <v>32</v>
      </c>
      <c r="PUL75" s="244" t="s">
        <v>32</v>
      </c>
      <c r="PUM75" s="244" t="s">
        <v>32</v>
      </c>
      <c r="PUN75" s="244" t="s">
        <v>32</v>
      </c>
      <c r="PUO75" s="244" t="s">
        <v>32</v>
      </c>
      <c r="PUP75" s="244" t="s">
        <v>32</v>
      </c>
      <c r="PUQ75" s="244" t="s">
        <v>32</v>
      </c>
      <c r="PUR75" s="244" t="s">
        <v>32</v>
      </c>
      <c r="PUS75" s="244" t="s">
        <v>32</v>
      </c>
      <c r="PUT75" s="244" t="s">
        <v>32</v>
      </c>
      <c r="PUU75" s="244" t="s">
        <v>32</v>
      </c>
      <c r="PUV75" s="244" t="s">
        <v>32</v>
      </c>
      <c r="PUW75" s="244" t="s">
        <v>32</v>
      </c>
      <c r="PUX75" s="244" t="s">
        <v>32</v>
      </c>
      <c r="PUY75" s="244" t="s">
        <v>32</v>
      </c>
      <c r="PUZ75" s="244" t="s">
        <v>32</v>
      </c>
      <c r="PVA75" s="244" t="s">
        <v>32</v>
      </c>
      <c r="PVB75" s="244" t="s">
        <v>32</v>
      </c>
      <c r="PVC75" s="244" t="s">
        <v>32</v>
      </c>
      <c r="PVD75" s="244" t="s">
        <v>32</v>
      </c>
      <c r="PVE75" s="244" t="s">
        <v>32</v>
      </c>
      <c r="PVF75" s="244" t="s">
        <v>32</v>
      </c>
      <c r="PVG75" s="244" t="s">
        <v>32</v>
      </c>
      <c r="PVH75" s="244" t="s">
        <v>32</v>
      </c>
      <c r="PVI75" s="244" t="s">
        <v>32</v>
      </c>
      <c r="PVJ75" s="244" t="s">
        <v>32</v>
      </c>
      <c r="PVK75" s="244" t="s">
        <v>32</v>
      </c>
      <c r="PVL75" s="244" t="s">
        <v>32</v>
      </c>
      <c r="PVM75" s="244" t="s">
        <v>32</v>
      </c>
      <c r="PVN75" s="244" t="s">
        <v>32</v>
      </c>
      <c r="PVO75" s="244" t="s">
        <v>32</v>
      </c>
      <c r="PVP75" s="244" t="s">
        <v>32</v>
      </c>
      <c r="PVQ75" s="244" t="s">
        <v>32</v>
      </c>
      <c r="PVR75" s="244" t="s">
        <v>32</v>
      </c>
      <c r="PVS75" s="244" t="s">
        <v>32</v>
      </c>
      <c r="PVT75" s="244" t="s">
        <v>32</v>
      </c>
      <c r="PVU75" s="244" t="s">
        <v>32</v>
      </c>
      <c r="PVV75" s="244" t="s">
        <v>32</v>
      </c>
      <c r="PVW75" s="244" t="s">
        <v>32</v>
      </c>
      <c r="PVX75" s="244" t="s">
        <v>32</v>
      </c>
      <c r="PVY75" s="244" t="s">
        <v>32</v>
      </c>
      <c r="PVZ75" s="244" t="s">
        <v>32</v>
      </c>
      <c r="PWA75" s="244" t="s">
        <v>32</v>
      </c>
      <c r="PWB75" s="244" t="s">
        <v>32</v>
      </c>
      <c r="PWC75" s="244" t="s">
        <v>32</v>
      </c>
      <c r="PWD75" s="244" t="s">
        <v>32</v>
      </c>
      <c r="PWE75" s="244" t="s">
        <v>32</v>
      </c>
      <c r="PWF75" s="244" t="s">
        <v>32</v>
      </c>
      <c r="PWG75" s="244" t="s">
        <v>32</v>
      </c>
      <c r="PWH75" s="244" t="s">
        <v>32</v>
      </c>
      <c r="PWI75" s="244" t="s">
        <v>32</v>
      </c>
      <c r="PWJ75" s="244" t="s">
        <v>32</v>
      </c>
      <c r="PWK75" s="244" t="s">
        <v>32</v>
      </c>
      <c r="PWL75" s="244" t="s">
        <v>32</v>
      </c>
      <c r="PWM75" s="244" t="s">
        <v>32</v>
      </c>
      <c r="PWN75" s="244" t="s">
        <v>32</v>
      </c>
      <c r="PWO75" s="244" t="s">
        <v>32</v>
      </c>
      <c r="PWP75" s="244" t="s">
        <v>32</v>
      </c>
      <c r="PWQ75" s="244" t="s">
        <v>32</v>
      </c>
      <c r="PWR75" s="244" t="s">
        <v>32</v>
      </c>
      <c r="PWS75" s="244" t="s">
        <v>32</v>
      </c>
      <c r="PWT75" s="244" t="s">
        <v>32</v>
      </c>
      <c r="PWU75" s="244" t="s">
        <v>32</v>
      </c>
      <c r="PWV75" s="244" t="s">
        <v>32</v>
      </c>
      <c r="PWW75" s="244" t="s">
        <v>32</v>
      </c>
      <c r="PWX75" s="244" t="s">
        <v>32</v>
      </c>
      <c r="PWY75" s="244" t="s">
        <v>32</v>
      </c>
      <c r="PWZ75" s="244" t="s">
        <v>32</v>
      </c>
      <c r="PXA75" s="244" t="s">
        <v>32</v>
      </c>
      <c r="PXB75" s="244" t="s">
        <v>32</v>
      </c>
      <c r="PXC75" s="244" t="s">
        <v>32</v>
      </c>
      <c r="PXD75" s="244" t="s">
        <v>32</v>
      </c>
      <c r="PXE75" s="244" t="s">
        <v>32</v>
      </c>
      <c r="PXF75" s="244" t="s">
        <v>32</v>
      </c>
      <c r="PXG75" s="244" t="s">
        <v>32</v>
      </c>
      <c r="PXH75" s="244" t="s">
        <v>32</v>
      </c>
      <c r="PXI75" s="244" t="s">
        <v>32</v>
      </c>
      <c r="PXJ75" s="244" t="s">
        <v>32</v>
      </c>
      <c r="PXK75" s="244" t="s">
        <v>32</v>
      </c>
      <c r="PXL75" s="244" t="s">
        <v>32</v>
      </c>
      <c r="PXM75" s="244" t="s">
        <v>32</v>
      </c>
      <c r="PXN75" s="244" t="s">
        <v>32</v>
      </c>
      <c r="PXO75" s="244" t="s">
        <v>32</v>
      </c>
      <c r="PXP75" s="244" t="s">
        <v>32</v>
      </c>
      <c r="PXQ75" s="244" t="s">
        <v>32</v>
      </c>
      <c r="PXR75" s="244" t="s">
        <v>32</v>
      </c>
      <c r="PXS75" s="244" t="s">
        <v>32</v>
      </c>
      <c r="PXT75" s="244" t="s">
        <v>32</v>
      </c>
      <c r="PXU75" s="244" t="s">
        <v>32</v>
      </c>
      <c r="PXV75" s="244" t="s">
        <v>32</v>
      </c>
      <c r="PXW75" s="244" t="s">
        <v>32</v>
      </c>
      <c r="PXX75" s="244" t="s">
        <v>32</v>
      </c>
      <c r="PXY75" s="244" t="s">
        <v>32</v>
      </c>
      <c r="PXZ75" s="244" t="s">
        <v>32</v>
      </c>
      <c r="PYA75" s="244" t="s">
        <v>32</v>
      </c>
      <c r="PYB75" s="244" t="s">
        <v>32</v>
      </c>
      <c r="PYC75" s="244" t="s">
        <v>32</v>
      </c>
      <c r="PYD75" s="244" t="s">
        <v>32</v>
      </c>
      <c r="PYE75" s="244" t="s">
        <v>32</v>
      </c>
      <c r="PYF75" s="244" t="s">
        <v>32</v>
      </c>
      <c r="PYG75" s="244" t="s">
        <v>32</v>
      </c>
      <c r="PYH75" s="244" t="s">
        <v>32</v>
      </c>
      <c r="PYI75" s="244" t="s">
        <v>32</v>
      </c>
      <c r="PYJ75" s="244" t="s">
        <v>32</v>
      </c>
      <c r="PYK75" s="244" t="s">
        <v>32</v>
      </c>
      <c r="PYL75" s="244" t="s">
        <v>32</v>
      </c>
      <c r="PYM75" s="244" t="s">
        <v>32</v>
      </c>
      <c r="PYN75" s="244" t="s">
        <v>32</v>
      </c>
      <c r="PYO75" s="244" t="s">
        <v>32</v>
      </c>
      <c r="PYP75" s="244" t="s">
        <v>32</v>
      </c>
      <c r="PYQ75" s="244" t="s">
        <v>32</v>
      </c>
      <c r="PYR75" s="244" t="s">
        <v>32</v>
      </c>
      <c r="PYS75" s="244" t="s">
        <v>32</v>
      </c>
      <c r="PYT75" s="244" t="s">
        <v>32</v>
      </c>
      <c r="PYU75" s="244" t="s">
        <v>32</v>
      </c>
      <c r="PYV75" s="244" t="s">
        <v>32</v>
      </c>
      <c r="PYW75" s="244" t="s">
        <v>32</v>
      </c>
      <c r="PYX75" s="244" t="s">
        <v>32</v>
      </c>
      <c r="PYY75" s="244" t="s">
        <v>32</v>
      </c>
      <c r="PYZ75" s="244" t="s">
        <v>32</v>
      </c>
      <c r="PZA75" s="244" t="s">
        <v>32</v>
      </c>
      <c r="PZB75" s="244" t="s">
        <v>32</v>
      </c>
      <c r="PZC75" s="244" t="s">
        <v>32</v>
      </c>
      <c r="PZD75" s="244" t="s">
        <v>32</v>
      </c>
      <c r="PZE75" s="244" t="s">
        <v>32</v>
      </c>
      <c r="PZF75" s="244" t="s">
        <v>32</v>
      </c>
      <c r="PZG75" s="244" t="s">
        <v>32</v>
      </c>
      <c r="PZH75" s="244" t="s">
        <v>32</v>
      </c>
      <c r="PZI75" s="244" t="s">
        <v>32</v>
      </c>
      <c r="PZJ75" s="244" t="s">
        <v>32</v>
      </c>
      <c r="PZK75" s="244" t="s">
        <v>32</v>
      </c>
      <c r="PZL75" s="244" t="s">
        <v>32</v>
      </c>
      <c r="PZM75" s="244" t="s">
        <v>32</v>
      </c>
      <c r="PZN75" s="244" t="s">
        <v>32</v>
      </c>
      <c r="PZO75" s="244" t="s">
        <v>32</v>
      </c>
      <c r="PZP75" s="244" t="s">
        <v>32</v>
      </c>
      <c r="PZQ75" s="244" t="s">
        <v>32</v>
      </c>
      <c r="PZR75" s="244" t="s">
        <v>32</v>
      </c>
      <c r="PZS75" s="244" t="s">
        <v>32</v>
      </c>
      <c r="PZT75" s="244" t="s">
        <v>32</v>
      </c>
      <c r="PZU75" s="244" t="s">
        <v>32</v>
      </c>
      <c r="PZV75" s="244" t="s">
        <v>32</v>
      </c>
      <c r="PZW75" s="244" t="s">
        <v>32</v>
      </c>
      <c r="PZX75" s="244" t="s">
        <v>32</v>
      </c>
      <c r="PZY75" s="244" t="s">
        <v>32</v>
      </c>
      <c r="PZZ75" s="244" t="s">
        <v>32</v>
      </c>
      <c r="QAA75" s="244" t="s">
        <v>32</v>
      </c>
      <c r="QAB75" s="244" t="s">
        <v>32</v>
      </c>
      <c r="QAC75" s="244" t="s">
        <v>32</v>
      </c>
      <c r="QAD75" s="244" t="s">
        <v>32</v>
      </c>
      <c r="QAE75" s="244" t="s">
        <v>32</v>
      </c>
      <c r="QAF75" s="244" t="s">
        <v>32</v>
      </c>
      <c r="QAG75" s="244" t="s">
        <v>32</v>
      </c>
      <c r="QAH75" s="244" t="s">
        <v>32</v>
      </c>
      <c r="QAI75" s="244" t="s">
        <v>32</v>
      </c>
      <c r="QAJ75" s="244" t="s">
        <v>32</v>
      </c>
      <c r="QAK75" s="244" t="s">
        <v>32</v>
      </c>
      <c r="QAL75" s="244" t="s">
        <v>32</v>
      </c>
      <c r="QAM75" s="244" t="s">
        <v>32</v>
      </c>
      <c r="QAN75" s="244" t="s">
        <v>32</v>
      </c>
      <c r="QAO75" s="244" t="s">
        <v>32</v>
      </c>
      <c r="QAP75" s="244" t="s">
        <v>32</v>
      </c>
      <c r="QAQ75" s="244" t="s">
        <v>32</v>
      </c>
      <c r="QAR75" s="244" t="s">
        <v>32</v>
      </c>
      <c r="QAS75" s="244" t="s">
        <v>32</v>
      </c>
      <c r="QAT75" s="244" t="s">
        <v>32</v>
      </c>
      <c r="QAU75" s="244" t="s">
        <v>32</v>
      </c>
      <c r="QAV75" s="244" t="s">
        <v>32</v>
      </c>
      <c r="QAW75" s="244" t="s">
        <v>32</v>
      </c>
      <c r="QAX75" s="244" t="s">
        <v>32</v>
      </c>
      <c r="QAY75" s="244" t="s">
        <v>32</v>
      </c>
      <c r="QAZ75" s="244" t="s">
        <v>32</v>
      </c>
      <c r="QBA75" s="244" t="s">
        <v>32</v>
      </c>
      <c r="QBB75" s="244" t="s">
        <v>32</v>
      </c>
      <c r="QBC75" s="244" t="s">
        <v>32</v>
      </c>
      <c r="QBD75" s="244" t="s">
        <v>32</v>
      </c>
      <c r="QBE75" s="244" t="s">
        <v>32</v>
      </c>
      <c r="QBF75" s="244" t="s">
        <v>32</v>
      </c>
      <c r="QBG75" s="244" t="s">
        <v>32</v>
      </c>
      <c r="QBH75" s="244" t="s">
        <v>32</v>
      </c>
      <c r="QBI75" s="244" t="s">
        <v>32</v>
      </c>
      <c r="QBJ75" s="244" t="s">
        <v>32</v>
      </c>
      <c r="QBK75" s="244" t="s">
        <v>32</v>
      </c>
      <c r="QBL75" s="244" t="s">
        <v>32</v>
      </c>
      <c r="QBM75" s="244" t="s">
        <v>32</v>
      </c>
      <c r="QBN75" s="244" t="s">
        <v>32</v>
      </c>
      <c r="QBO75" s="244" t="s">
        <v>32</v>
      </c>
      <c r="QBP75" s="244" t="s">
        <v>32</v>
      </c>
      <c r="QBQ75" s="244" t="s">
        <v>32</v>
      </c>
      <c r="QBR75" s="244" t="s">
        <v>32</v>
      </c>
      <c r="QBS75" s="244" t="s">
        <v>32</v>
      </c>
      <c r="QBT75" s="244" t="s">
        <v>32</v>
      </c>
      <c r="QBU75" s="244" t="s">
        <v>32</v>
      </c>
      <c r="QBV75" s="244" t="s">
        <v>32</v>
      </c>
      <c r="QBW75" s="244" t="s">
        <v>32</v>
      </c>
      <c r="QBX75" s="244" t="s">
        <v>32</v>
      </c>
      <c r="QBY75" s="244" t="s">
        <v>32</v>
      </c>
      <c r="QBZ75" s="244" t="s">
        <v>32</v>
      </c>
      <c r="QCA75" s="244" t="s">
        <v>32</v>
      </c>
      <c r="QCB75" s="244" t="s">
        <v>32</v>
      </c>
      <c r="QCC75" s="244" t="s">
        <v>32</v>
      </c>
      <c r="QCD75" s="244" t="s">
        <v>32</v>
      </c>
      <c r="QCE75" s="244" t="s">
        <v>32</v>
      </c>
      <c r="QCF75" s="244" t="s">
        <v>32</v>
      </c>
      <c r="QCG75" s="244" t="s">
        <v>32</v>
      </c>
      <c r="QCH75" s="244" t="s">
        <v>32</v>
      </c>
      <c r="QCI75" s="244" t="s">
        <v>32</v>
      </c>
      <c r="QCJ75" s="244" t="s">
        <v>32</v>
      </c>
      <c r="QCK75" s="244" t="s">
        <v>32</v>
      </c>
      <c r="QCL75" s="244" t="s">
        <v>32</v>
      </c>
      <c r="QCM75" s="244" t="s">
        <v>32</v>
      </c>
      <c r="QCN75" s="244" t="s">
        <v>32</v>
      </c>
      <c r="QCO75" s="244" t="s">
        <v>32</v>
      </c>
      <c r="QCP75" s="244" t="s">
        <v>32</v>
      </c>
      <c r="QCQ75" s="244" t="s">
        <v>32</v>
      </c>
      <c r="QCR75" s="244" t="s">
        <v>32</v>
      </c>
      <c r="QCS75" s="244" t="s">
        <v>32</v>
      </c>
      <c r="QCT75" s="244" t="s">
        <v>32</v>
      </c>
      <c r="QCU75" s="244" t="s">
        <v>32</v>
      </c>
      <c r="QCV75" s="244" t="s">
        <v>32</v>
      </c>
      <c r="QCW75" s="244" t="s">
        <v>32</v>
      </c>
      <c r="QCX75" s="244" t="s">
        <v>32</v>
      </c>
      <c r="QCY75" s="244" t="s">
        <v>32</v>
      </c>
      <c r="QCZ75" s="244" t="s">
        <v>32</v>
      </c>
      <c r="QDA75" s="244" t="s">
        <v>32</v>
      </c>
      <c r="QDB75" s="244" t="s">
        <v>32</v>
      </c>
      <c r="QDC75" s="244" t="s">
        <v>32</v>
      </c>
      <c r="QDD75" s="244" t="s">
        <v>32</v>
      </c>
      <c r="QDE75" s="244" t="s">
        <v>32</v>
      </c>
      <c r="QDF75" s="244" t="s">
        <v>32</v>
      </c>
      <c r="QDG75" s="244" t="s">
        <v>32</v>
      </c>
      <c r="QDH75" s="244" t="s">
        <v>32</v>
      </c>
      <c r="QDI75" s="244" t="s">
        <v>32</v>
      </c>
      <c r="QDJ75" s="244" t="s">
        <v>32</v>
      </c>
      <c r="QDK75" s="244" t="s">
        <v>32</v>
      </c>
      <c r="QDL75" s="244" t="s">
        <v>32</v>
      </c>
      <c r="QDM75" s="244" t="s">
        <v>32</v>
      </c>
      <c r="QDN75" s="244" t="s">
        <v>32</v>
      </c>
      <c r="QDO75" s="244" t="s">
        <v>32</v>
      </c>
      <c r="QDP75" s="244" t="s">
        <v>32</v>
      </c>
      <c r="QDQ75" s="244" t="s">
        <v>32</v>
      </c>
      <c r="QDR75" s="244" t="s">
        <v>32</v>
      </c>
      <c r="QDS75" s="244" t="s">
        <v>32</v>
      </c>
      <c r="QDT75" s="244" t="s">
        <v>32</v>
      </c>
      <c r="QDU75" s="244" t="s">
        <v>32</v>
      </c>
      <c r="QDV75" s="244" t="s">
        <v>32</v>
      </c>
      <c r="QDW75" s="244" t="s">
        <v>32</v>
      </c>
      <c r="QDX75" s="244" t="s">
        <v>32</v>
      </c>
      <c r="QDY75" s="244" t="s">
        <v>32</v>
      </c>
      <c r="QDZ75" s="244" t="s">
        <v>32</v>
      </c>
      <c r="QEA75" s="244" t="s">
        <v>32</v>
      </c>
      <c r="QEB75" s="244" t="s">
        <v>32</v>
      </c>
      <c r="QEC75" s="244" t="s">
        <v>32</v>
      </c>
      <c r="QED75" s="244" t="s">
        <v>32</v>
      </c>
      <c r="QEE75" s="244" t="s">
        <v>32</v>
      </c>
      <c r="QEF75" s="244" t="s">
        <v>32</v>
      </c>
      <c r="QEG75" s="244" t="s">
        <v>32</v>
      </c>
      <c r="QEH75" s="244" t="s">
        <v>32</v>
      </c>
      <c r="QEI75" s="244" t="s">
        <v>32</v>
      </c>
      <c r="QEJ75" s="244" t="s">
        <v>32</v>
      </c>
      <c r="QEK75" s="244" t="s">
        <v>32</v>
      </c>
      <c r="QEL75" s="244" t="s">
        <v>32</v>
      </c>
      <c r="QEM75" s="244" t="s">
        <v>32</v>
      </c>
      <c r="QEN75" s="244" t="s">
        <v>32</v>
      </c>
      <c r="QEO75" s="244" t="s">
        <v>32</v>
      </c>
      <c r="QEP75" s="244" t="s">
        <v>32</v>
      </c>
      <c r="QEQ75" s="244" t="s">
        <v>32</v>
      </c>
      <c r="QER75" s="244" t="s">
        <v>32</v>
      </c>
      <c r="QES75" s="244" t="s">
        <v>32</v>
      </c>
      <c r="QET75" s="244" t="s">
        <v>32</v>
      </c>
      <c r="QEU75" s="244" t="s">
        <v>32</v>
      </c>
      <c r="QEV75" s="244" t="s">
        <v>32</v>
      </c>
      <c r="QEW75" s="244" t="s">
        <v>32</v>
      </c>
      <c r="QEX75" s="244" t="s">
        <v>32</v>
      </c>
      <c r="QEY75" s="244" t="s">
        <v>32</v>
      </c>
      <c r="QEZ75" s="244" t="s">
        <v>32</v>
      </c>
      <c r="QFA75" s="244" t="s">
        <v>32</v>
      </c>
      <c r="QFB75" s="244" t="s">
        <v>32</v>
      </c>
      <c r="QFC75" s="244" t="s">
        <v>32</v>
      </c>
      <c r="QFD75" s="244" t="s">
        <v>32</v>
      </c>
      <c r="QFE75" s="244" t="s">
        <v>32</v>
      </c>
      <c r="QFF75" s="244" t="s">
        <v>32</v>
      </c>
      <c r="QFG75" s="244" t="s">
        <v>32</v>
      </c>
      <c r="QFH75" s="244" t="s">
        <v>32</v>
      </c>
      <c r="QFI75" s="244" t="s">
        <v>32</v>
      </c>
      <c r="QFJ75" s="244" t="s">
        <v>32</v>
      </c>
      <c r="QFK75" s="244" t="s">
        <v>32</v>
      </c>
      <c r="QFL75" s="244" t="s">
        <v>32</v>
      </c>
      <c r="QFM75" s="244" t="s">
        <v>32</v>
      </c>
      <c r="QFN75" s="244" t="s">
        <v>32</v>
      </c>
      <c r="QFO75" s="244" t="s">
        <v>32</v>
      </c>
      <c r="QFP75" s="244" t="s">
        <v>32</v>
      </c>
      <c r="QFQ75" s="244" t="s">
        <v>32</v>
      </c>
      <c r="QFR75" s="244" t="s">
        <v>32</v>
      </c>
      <c r="QFS75" s="244" t="s">
        <v>32</v>
      </c>
      <c r="QFT75" s="244" t="s">
        <v>32</v>
      </c>
      <c r="QFU75" s="244" t="s">
        <v>32</v>
      </c>
      <c r="QFV75" s="244" t="s">
        <v>32</v>
      </c>
      <c r="QFW75" s="244" t="s">
        <v>32</v>
      </c>
      <c r="QFX75" s="244" t="s">
        <v>32</v>
      </c>
      <c r="QFY75" s="244" t="s">
        <v>32</v>
      </c>
      <c r="QFZ75" s="244" t="s">
        <v>32</v>
      </c>
      <c r="QGA75" s="244" t="s">
        <v>32</v>
      </c>
      <c r="QGB75" s="244" t="s">
        <v>32</v>
      </c>
      <c r="QGC75" s="244" t="s">
        <v>32</v>
      </c>
      <c r="QGD75" s="244" t="s">
        <v>32</v>
      </c>
      <c r="QGE75" s="244" t="s">
        <v>32</v>
      </c>
      <c r="QGF75" s="244" t="s">
        <v>32</v>
      </c>
      <c r="QGG75" s="244" t="s">
        <v>32</v>
      </c>
      <c r="QGH75" s="244" t="s">
        <v>32</v>
      </c>
      <c r="QGI75" s="244" t="s">
        <v>32</v>
      </c>
      <c r="QGJ75" s="244" t="s">
        <v>32</v>
      </c>
      <c r="QGK75" s="244" t="s">
        <v>32</v>
      </c>
      <c r="QGL75" s="244" t="s">
        <v>32</v>
      </c>
      <c r="QGM75" s="244" t="s">
        <v>32</v>
      </c>
      <c r="QGN75" s="244" t="s">
        <v>32</v>
      </c>
      <c r="QGO75" s="244" t="s">
        <v>32</v>
      </c>
      <c r="QGP75" s="244" t="s">
        <v>32</v>
      </c>
      <c r="QGQ75" s="244" t="s">
        <v>32</v>
      </c>
      <c r="QGR75" s="244" t="s">
        <v>32</v>
      </c>
      <c r="QGS75" s="244" t="s">
        <v>32</v>
      </c>
      <c r="QGT75" s="244" t="s">
        <v>32</v>
      </c>
      <c r="QGU75" s="244" t="s">
        <v>32</v>
      </c>
      <c r="QGV75" s="244" t="s">
        <v>32</v>
      </c>
      <c r="QGW75" s="244" t="s">
        <v>32</v>
      </c>
      <c r="QGX75" s="244" t="s">
        <v>32</v>
      </c>
      <c r="QGY75" s="244" t="s">
        <v>32</v>
      </c>
      <c r="QGZ75" s="244" t="s">
        <v>32</v>
      </c>
      <c r="QHA75" s="244" t="s">
        <v>32</v>
      </c>
      <c r="QHB75" s="244" t="s">
        <v>32</v>
      </c>
      <c r="QHC75" s="244" t="s">
        <v>32</v>
      </c>
      <c r="QHD75" s="244" t="s">
        <v>32</v>
      </c>
      <c r="QHE75" s="244" t="s">
        <v>32</v>
      </c>
      <c r="QHF75" s="244" t="s">
        <v>32</v>
      </c>
      <c r="QHG75" s="244" t="s">
        <v>32</v>
      </c>
      <c r="QHH75" s="244" t="s">
        <v>32</v>
      </c>
      <c r="QHI75" s="244" t="s">
        <v>32</v>
      </c>
      <c r="QHJ75" s="244" t="s">
        <v>32</v>
      </c>
      <c r="QHK75" s="244" t="s">
        <v>32</v>
      </c>
      <c r="QHL75" s="244" t="s">
        <v>32</v>
      </c>
      <c r="QHM75" s="244" t="s">
        <v>32</v>
      </c>
      <c r="QHN75" s="244" t="s">
        <v>32</v>
      </c>
      <c r="QHO75" s="244" t="s">
        <v>32</v>
      </c>
      <c r="QHP75" s="244" t="s">
        <v>32</v>
      </c>
      <c r="QHQ75" s="244" t="s">
        <v>32</v>
      </c>
      <c r="QHR75" s="244" t="s">
        <v>32</v>
      </c>
      <c r="QHS75" s="244" t="s">
        <v>32</v>
      </c>
      <c r="QHT75" s="244" t="s">
        <v>32</v>
      </c>
      <c r="QHU75" s="244" t="s">
        <v>32</v>
      </c>
      <c r="QHV75" s="244" t="s">
        <v>32</v>
      </c>
      <c r="QHW75" s="244" t="s">
        <v>32</v>
      </c>
      <c r="QHX75" s="244" t="s">
        <v>32</v>
      </c>
      <c r="QHY75" s="244" t="s">
        <v>32</v>
      </c>
      <c r="QHZ75" s="244" t="s">
        <v>32</v>
      </c>
      <c r="QIA75" s="244" t="s">
        <v>32</v>
      </c>
      <c r="QIB75" s="244" t="s">
        <v>32</v>
      </c>
      <c r="QIC75" s="244" t="s">
        <v>32</v>
      </c>
      <c r="QID75" s="244" t="s">
        <v>32</v>
      </c>
      <c r="QIE75" s="244" t="s">
        <v>32</v>
      </c>
      <c r="QIF75" s="244" t="s">
        <v>32</v>
      </c>
      <c r="QIG75" s="244" t="s">
        <v>32</v>
      </c>
      <c r="QIH75" s="244" t="s">
        <v>32</v>
      </c>
      <c r="QII75" s="244" t="s">
        <v>32</v>
      </c>
      <c r="QIJ75" s="244" t="s">
        <v>32</v>
      </c>
      <c r="QIK75" s="244" t="s">
        <v>32</v>
      </c>
      <c r="QIL75" s="244" t="s">
        <v>32</v>
      </c>
      <c r="QIM75" s="244" t="s">
        <v>32</v>
      </c>
      <c r="QIN75" s="244" t="s">
        <v>32</v>
      </c>
      <c r="QIO75" s="244" t="s">
        <v>32</v>
      </c>
      <c r="QIP75" s="244" t="s">
        <v>32</v>
      </c>
      <c r="QIQ75" s="244" t="s">
        <v>32</v>
      </c>
      <c r="QIR75" s="244" t="s">
        <v>32</v>
      </c>
      <c r="QIS75" s="244" t="s">
        <v>32</v>
      </c>
      <c r="QIT75" s="244" t="s">
        <v>32</v>
      </c>
      <c r="QIU75" s="244" t="s">
        <v>32</v>
      </c>
      <c r="QIV75" s="244" t="s">
        <v>32</v>
      </c>
      <c r="QIW75" s="244" t="s">
        <v>32</v>
      </c>
      <c r="QIX75" s="244" t="s">
        <v>32</v>
      </c>
      <c r="QIY75" s="244" t="s">
        <v>32</v>
      </c>
      <c r="QIZ75" s="244" t="s">
        <v>32</v>
      </c>
      <c r="QJA75" s="244" t="s">
        <v>32</v>
      </c>
      <c r="QJB75" s="244" t="s">
        <v>32</v>
      </c>
      <c r="QJC75" s="244" t="s">
        <v>32</v>
      </c>
      <c r="QJD75" s="244" t="s">
        <v>32</v>
      </c>
      <c r="QJE75" s="244" t="s">
        <v>32</v>
      </c>
      <c r="QJF75" s="244" t="s">
        <v>32</v>
      </c>
      <c r="QJG75" s="244" t="s">
        <v>32</v>
      </c>
      <c r="QJH75" s="244" t="s">
        <v>32</v>
      </c>
      <c r="QJI75" s="244" t="s">
        <v>32</v>
      </c>
      <c r="QJJ75" s="244" t="s">
        <v>32</v>
      </c>
      <c r="QJK75" s="244" t="s">
        <v>32</v>
      </c>
      <c r="QJL75" s="244" t="s">
        <v>32</v>
      </c>
      <c r="QJM75" s="244" t="s">
        <v>32</v>
      </c>
      <c r="QJN75" s="244" t="s">
        <v>32</v>
      </c>
      <c r="QJO75" s="244" t="s">
        <v>32</v>
      </c>
      <c r="QJP75" s="244" t="s">
        <v>32</v>
      </c>
      <c r="QJQ75" s="244" t="s">
        <v>32</v>
      </c>
      <c r="QJR75" s="244" t="s">
        <v>32</v>
      </c>
      <c r="QJS75" s="244" t="s">
        <v>32</v>
      </c>
      <c r="QJT75" s="244" t="s">
        <v>32</v>
      </c>
      <c r="QJU75" s="244" t="s">
        <v>32</v>
      </c>
      <c r="QJV75" s="244" t="s">
        <v>32</v>
      </c>
      <c r="QJW75" s="244" t="s">
        <v>32</v>
      </c>
      <c r="QJX75" s="244" t="s">
        <v>32</v>
      </c>
      <c r="QJY75" s="244" t="s">
        <v>32</v>
      </c>
      <c r="QJZ75" s="244" t="s">
        <v>32</v>
      </c>
      <c r="QKA75" s="244" t="s">
        <v>32</v>
      </c>
      <c r="QKB75" s="244" t="s">
        <v>32</v>
      </c>
      <c r="QKC75" s="244" t="s">
        <v>32</v>
      </c>
      <c r="QKD75" s="244" t="s">
        <v>32</v>
      </c>
      <c r="QKE75" s="244" t="s">
        <v>32</v>
      </c>
      <c r="QKF75" s="244" t="s">
        <v>32</v>
      </c>
      <c r="QKG75" s="244" t="s">
        <v>32</v>
      </c>
      <c r="QKH75" s="244" t="s">
        <v>32</v>
      </c>
      <c r="QKI75" s="244" t="s">
        <v>32</v>
      </c>
      <c r="QKJ75" s="244" t="s">
        <v>32</v>
      </c>
      <c r="QKK75" s="244" t="s">
        <v>32</v>
      </c>
      <c r="QKL75" s="244" t="s">
        <v>32</v>
      </c>
      <c r="QKM75" s="244" t="s">
        <v>32</v>
      </c>
      <c r="QKN75" s="244" t="s">
        <v>32</v>
      </c>
      <c r="QKO75" s="244" t="s">
        <v>32</v>
      </c>
      <c r="QKP75" s="244" t="s">
        <v>32</v>
      </c>
      <c r="QKQ75" s="244" t="s">
        <v>32</v>
      </c>
      <c r="QKR75" s="244" t="s">
        <v>32</v>
      </c>
      <c r="QKS75" s="244" t="s">
        <v>32</v>
      </c>
      <c r="QKT75" s="244" t="s">
        <v>32</v>
      </c>
      <c r="QKU75" s="244" t="s">
        <v>32</v>
      </c>
      <c r="QKV75" s="244" t="s">
        <v>32</v>
      </c>
      <c r="QKW75" s="244" t="s">
        <v>32</v>
      </c>
      <c r="QKX75" s="244" t="s">
        <v>32</v>
      </c>
      <c r="QKY75" s="244" t="s">
        <v>32</v>
      </c>
      <c r="QKZ75" s="244" t="s">
        <v>32</v>
      </c>
      <c r="QLA75" s="244" t="s">
        <v>32</v>
      </c>
      <c r="QLB75" s="244" t="s">
        <v>32</v>
      </c>
      <c r="QLC75" s="244" t="s">
        <v>32</v>
      </c>
      <c r="QLD75" s="244" t="s">
        <v>32</v>
      </c>
      <c r="QLE75" s="244" t="s">
        <v>32</v>
      </c>
      <c r="QLF75" s="244" t="s">
        <v>32</v>
      </c>
      <c r="QLG75" s="244" t="s">
        <v>32</v>
      </c>
      <c r="QLH75" s="244" t="s">
        <v>32</v>
      </c>
      <c r="QLI75" s="244" t="s">
        <v>32</v>
      </c>
      <c r="QLJ75" s="244" t="s">
        <v>32</v>
      </c>
      <c r="QLK75" s="244" t="s">
        <v>32</v>
      </c>
      <c r="QLL75" s="244" t="s">
        <v>32</v>
      </c>
      <c r="QLM75" s="244" t="s">
        <v>32</v>
      </c>
      <c r="QLN75" s="244" t="s">
        <v>32</v>
      </c>
      <c r="QLO75" s="244" t="s">
        <v>32</v>
      </c>
      <c r="QLP75" s="244" t="s">
        <v>32</v>
      </c>
      <c r="QLQ75" s="244" t="s">
        <v>32</v>
      </c>
      <c r="QLR75" s="244" t="s">
        <v>32</v>
      </c>
      <c r="QLS75" s="244" t="s">
        <v>32</v>
      </c>
      <c r="QLT75" s="244" t="s">
        <v>32</v>
      </c>
      <c r="QLU75" s="244" t="s">
        <v>32</v>
      </c>
      <c r="QLV75" s="244" t="s">
        <v>32</v>
      </c>
      <c r="QLW75" s="244" t="s">
        <v>32</v>
      </c>
      <c r="QLX75" s="244" t="s">
        <v>32</v>
      </c>
      <c r="QLY75" s="244" t="s">
        <v>32</v>
      </c>
      <c r="QLZ75" s="244" t="s">
        <v>32</v>
      </c>
      <c r="QMA75" s="244" t="s">
        <v>32</v>
      </c>
      <c r="QMB75" s="244" t="s">
        <v>32</v>
      </c>
      <c r="QMC75" s="244" t="s">
        <v>32</v>
      </c>
      <c r="QMD75" s="244" t="s">
        <v>32</v>
      </c>
      <c r="QME75" s="244" t="s">
        <v>32</v>
      </c>
      <c r="QMF75" s="244" t="s">
        <v>32</v>
      </c>
      <c r="QMG75" s="244" t="s">
        <v>32</v>
      </c>
      <c r="QMH75" s="244" t="s">
        <v>32</v>
      </c>
      <c r="QMI75" s="244" t="s">
        <v>32</v>
      </c>
      <c r="QMJ75" s="244" t="s">
        <v>32</v>
      </c>
      <c r="QMK75" s="244" t="s">
        <v>32</v>
      </c>
      <c r="QML75" s="244" t="s">
        <v>32</v>
      </c>
      <c r="QMM75" s="244" t="s">
        <v>32</v>
      </c>
      <c r="QMN75" s="244" t="s">
        <v>32</v>
      </c>
      <c r="QMO75" s="244" t="s">
        <v>32</v>
      </c>
      <c r="QMP75" s="244" t="s">
        <v>32</v>
      </c>
      <c r="QMQ75" s="244" t="s">
        <v>32</v>
      </c>
      <c r="QMR75" s="244" t="s">
        <v>32</v>
      </c>
      <c r="QMS75" s="244" t="s">
        <v>32</v>
      </c>
      <c r="QMT75" s="244" t="s">
        <v>32</v>
      </c>
      <c r="QMU75" s="244" t="s">
        <v>32</v>
      </c>
      <c r="QMV75" s="244" t="s">
        <v>32</v>
      </c>
      <c r="QMW75" s="244" t="s">
        <v>32</v>
      </c>
      <c r="QMX75" s="244" t="s">
        <v>32</v>
      </c>
      <c r="QMY75" s="244" t="s">
        <v>32</v>
      </c>
      <c r="QMZ75" s="244" t="s">
        <v>32</v>
      </c>
      <c r="QNA75" s="244" t="s">
        <v>32</v>
      </c>
      <c r="QNB75" s="244" t="s">
        <v>32</v>
      </c>
      <c r="QNC75" s="244" t="s">
        <v>32</v>
      </c>
      <c r="QND75" s="244" t="s">
        <v>32</v>
      </c>
      <c r="QNE75" s="244" t="s">
        <v>32</v>
      </c>
      <c r="QNF75" s="244" t="s">
        <v>32</v>
      </c>
      <c r="QNG75" s="244" t="s">
        <v>32</v>
      </c>
      <c r="QNH75" s="244" t="s">
        <v>32</v>
      </c>
      <c r="QNI75" s="244" t="s">
        <v>32</v>
      </c>
      <c r="QNJ75" s="244" t="s">
        <v>32</v>
      </c>
      <c r="QNK75" s="244" t="s">
        <v>32</v>
      </c>
      <c r="QNL75" s="244" t="s">
        <v>32</v>
      </c>
      <c r="QNM75" s="244" t="s">
        <v>32</v>
      </c>
      <c r="QNN75" s="244" t="s">
        <v>32</v>
      </c>
      <c r="QNO75" s="244" t="s">
        <v>32</v>
      </c>
      <c r="QNP75" s="244" t="s">
        <v>32</v>
      </c>
      <c r="QNQ75" s="244" t="s">
        <v>32</v>
      </c>
      <c r="QNR75" s="244" t="s">
        <v>32</v>
      </c>
      <c r="QNS75" s="244" t="s">
        <v>32</v>
      </c>
      <c r="QNT75" s="244" t="s">
        <v>32</v>
      </c>
      <c r="QNU75" s="244" t="s">
        <v>32</v>
      </c>
      <c r="QNV75" s="244" t="s">
        <v>32</v>
      </c>
      <c r="QNW75" s="244" t="s">
        <v>32</v>
      </c>
      <c r="QNX75" s="244" t="s">
        <v>32</v>
      </c>
      <c r="QNY75" s="244" t="s">
        <v>32</v>
      </c>
      <c r="QNZ75" s="244" t="s">
        <v>32</v>
      </c>
      <c r="QOA75" s="244" t="s">
        <v>32</v>
      </c>
      <c r="QOB75" s="244" t="s">
        <v>32</v>
      </c>
      <c r="QOC75" s="244" t="s">
        <v>32</v>
      </c>
      <c r="QOD75" s="244" t="s">
        <v>32</v>
      </c>
      <c r="QOE75" s="244" t="s">
        <v>32</v>
      </c>
      <c r="QOF75" s="244" t="s">
        <v>32</v>
      </c>
      <c r="QOG75" s="244" t="s">
        <v>32</v>
      </c>
      <c r="QOH75" s="244" t="s">
        <v>32</v>
      </c>
      <c r="QOI75" s="244" t="s">
        <v>32</v>
      </c>
      <c r="QOJ75" s="244" t="s">
        <v>32</v>
      </c>
      <c r="QOK75" s="244" t="s">
        <v>32</v>
      </c>
      <c r="QOL75" s="244" t="s">
        <v>32</v>
      </c>
      <c r="QOM75" s="244" t="s">
        <v>32</v>
      </c>
      <c r="QON75" s="244" t="s">
        <v>32</v>
      </c>
      <c r="QOO75" s="244" t="s">
        <v>32</v>
      </c>
      <c r="QOP75" s="244" t="s">
        <v>32</v>
      </c>
      <c r="QOQ75" s="244" t="s">
        <v>32</v>
      </c>
      <c r="QOR75" s="244" t="s">
        <v>32</v>
      </c>
      <c r="QOS75" s="244" t="s">
        <v>32</v>
      </c>
      <c r="QOT75" s="244" t="s">
        <v>32</v>
      </c>
      <c r="QOU75" s="244" t="s">
        <v>32</v>
      </c>
      <c r="QOV75" s="244" t="s">
        <v>32</v>
      </c>
      <c r="QOW75" s="244" t="s">
        <v>32</v>
      </c>
      <c r="QOX75" s="244" t="s">
        <v>32</v>
      </c>
      <c r="QOY75" s="244" t="s">
        <v>32</v>
      </c>
      <c r="QOZ75" s="244" t="s">
        <v>32</v>
      </c>
      <c r="QPA75" s="244" t="s">
        <v>32</v>
      </c>
      <c r="QPB75" s="244" t="s">
        <v>32</v>
      </c>
      <c r="QPC75" s="244" t="s">
        <v>32</v>
      </c>
      <c r="QPD75" s="244" t="s">
        <v>32</v>
      </c>
      <c r="QPE75" s="244" t="s">
        <v>32</v>
      </c>
      <c r="QPF75" s="244" t="s">
        <v>32</v>
      </c>
      <c r="QPG75" s="244" t="s">
        <v>32</v>
      </c>
      <c r="QPH75" s="244" t="s">
        <v>32</v>
      </c>
      <c r="QPI75" s="244" t="s">
        <v>32</v>
      </c>
      <c r="QPJ75" s="244" t="s">
        <v>32</v>
      </c>
      <c r="QPK75" s="244" t="s">
        <v>32</v>
      </c>
      <c r="QPL75" s="244" t="s">
        <v>32</v>
      </c>
      <c r="QPM75" s="244" t="s">
        <v>32</v>
      </c>
      <c r="QPN75" s="244" t="s">
        <v>32</v>
      </c>
      <c r="QPO75" s="244" t="s">
        <v>32</v>
      </c>
      <c r="QPP75" s="244" t="s">
        <v>32</v>
      </c>
      <c r="QPQ75" s="244" t="s">
        <v>32</v>
      </c>
      <c r="QPR75" s="244" t="s">
        <v>32</v>
      </c>
      <c r="QPS75" s="244" t="s">
        <v>32</v>
      </c>
      <c r="QPT75" s="244" t="s">
        <v>32</v>
      </c>
      <c r="QPU75" s="244" t="s">
        <v>32</v>
      </c>
      <c r="QPV75" s="244" t="s">
        <v>32</v>
      </c>
      <c r="QPW75" s="244" t="s">
        <v>32</v>
      </c>
      <c r="QPX75" s="244" t="s">
        <v>32</v>
      </c>
      <c r="QPY75" s="244" t="s">
        <v>32</v>
      </c>
      <c r="QPZ75" s="244" t="s">
        <v>32</v>
      </c>
      <c r="QQA75" s="244" t="s">
        <v>32</v>
      </c>
      <c r="QQB75" s="244" t="s">
        <v>32</v>
      </c>
      <c r="QQC75" s="244" t="s">
        <v>32</v>
      </c>
      <c r="QQD75" s="244" t="s">
        <v>32</v>
      </c>
      <c r="QQE75" s="244" t="s">
        <v>32</v>
      </c>
      <c r="QQF75" s="244" t="s">
        <v>32</v>
      </c>
      <c r="QQG75" s="244" t="s">
        <v>32</v>
      </c>
      <c r="QQH75" s="244" t="s">
        <v>32</v>
      </c>
      <c r="QQI75" s="244" t="s">
        <v>32</v>
      </c>
      <c r="QQJ75" s="244" t="s">
        <v>32</v>
      </c>
      <c r="QQK75" s="244" t="s">
        <v>32</v>
      </c>
      <c r="QQL75" s="244" t="s">
        <v>32</v>
      </c>
      <c r="QQM75" s="244" t="s">
        <v>32</v>
      </c>
      <c r="QQN75" s="244" t="s">
        <v>32</v>
      </c>
      <c r="QQO75" s="244" t="s">
        <v>32</v>
      </c>
      <c r="QQP75" s="244" t="s">
        <v>32</v>
      </c>
      <c r="QQQ75" s="244" t="s">
        <v>32</v>
      </c>
      <c r="QQR75" s="244" t="s">
        <v>32</v>
      </c>
      <c r="QQS75" s="244" t="s">
        <v>32</v>
      </c>
      <c r="QQT75" s="244" t="s">
        <v>32</v>
      </c>
      <c r="QQU75" s="244" t="s">
        <v>32</v>
      </c>
      <c r="QQV75" s="244" t="s">
        <v>32</v>
      </c>
      <c r="QQW75" s="244" t="s">
        <v>32</v>
      </c>
      <c r="QQX75" s="244" t="s">
        <v>32</v>
      </c>
      <c r="QQY75" s="244" t="s">
        <v>32</v>
      </c>
      <c r="QQZ75" s="244" t="s">
        <v>32</v>
      </c>
      <c r="QRA75" s="244" t="s">
        <v>32</v>
      </c>
      <c r="QRB75" s="244" t="s">
        <v>32</v>
      </c>
      <c r="QRC75" s="244" t="s">
        <v>32</v>
      </c>
      <c r="QRD75" s="244" t="s">
        <v>32</v>
      </c>
      <c r="QRE75" s="244" t="s">
        <v>32</v>
      </c>
      <c r="QRF75" s="244" t="s">
        <v>32</v>
      </c>
      <c r="QRG75" s="244" t="s">
        <v>32</v>
      </c>
      <c r="QRH75" s="244" t="s">
        <v>32</v>
      </c>
      <c r="QRI75" s="244" t="s">
        <v>32</v>
      </c>
      <c r="QRJ75" s="244" t="s">
        <v>32</v>
      </c>
      <c r="QRK75" s="244" t="s">
        <v>32</v>
      </c>
      <c r="QRL75" s="244" t="s">
        <v>32</v>
      </c>
      <c r="QRM75" s="244" t="s">
        <v>32</v>
      </c>
      <c r="QRN75" s="244" t="s">
        <v>32</v>
      </c>
      <c r="QRO75" s="244" t="s">
        <v>32</v>
      </c>
      <c r="QRP75" s="244" t="s">
        <v>32</v>
      </c>
      <c r="QRQ75" s="244" t="s">
        <v>32</v>
      </c>
      <c r="QRR75" s="244" t="s">
        <v>32</v>
      </c>
      <c r="QRS75" s="244" t="s">
        <v>32</v>
      </c>
      <c r="QRT75" s="244" t="s">
        <v>32</v>
      </c>
      <c r="QRU75" s="244" t="s">
        <v>32</v>
      </c>
      <c r="QRV75" s="244" t="s">
        <v>32</v>
      </c>
      <c r="QRW75" s="244" t="s">
        <v>32</v>
      </c>
      <c r="QRX75" s="244" t="s">
        <v>32</v>
      </c>
      <c r="QRY75" s="244" t="s">
        <v>32</v>
      </c>
      <c r="QRZ75" s="244" t="s">
        <v>32</v>
      </c>
      <c r="QSA75" s="244" t="s">
        <v>32</v>
      </c>
      <c r="QSB75" s="244" t="s">
        <v>32</v>
      </c>
      <c r="QSC75" s="244" t="s">
        <v>32</v>
      </c>
      <c r="QSD75" s="244" t="s">
        <v>32</v>
      </c>
      <c r="QSE75" s="244" t="s">
        <v>32</v>
      </c>
      <c r="QSF75" s="244" t="s">
        <v>32</v>
      </c>
      <c r="QSG75" s="244" t="s">
        <v>32</v>
      </c>
      <c r="QSH75" s="244" t="s">
        <v>32</v>
      </c>
      <c r="QSI75" s="244" t="s">
        <v>32</v>
      </c>
      <c r="QSJ75" s="244" t="s">
        <v>32</v>
      </c>
      <c r="QSK75" s="244" t="s">
        <v>32</v>
      </c>
      <c r="QSL75" s="244" t="s">
        <v>32</v>
      </c>
      <c r="QSM75" s="244" t="s">
        <v>32</v>
      </c>
      <c r="QSN75" s="244" t="s">
        <v>32</v>
      </c>
      <c r="QSO75" s="244" t="s">
        <v>32</v>
      </c>
      <c r="QSP75" s="244" t="s">
        <v>32</v>
      </c>
      <c r="QSQ75" s="244" t="s">
        <v>32</v>
      </c>
      <c r="QSR75" s="244" t="s">
        <v>32</v>
      </c>
      <c r="QSS75" s="244" t="s">
        <v>32</v>
      </c>
      <c r="QST75" s="244" t="s">
        <v>32</v>
      </c>
      <c r="QSU75" s="244" t="s">
        <v>32</v>
      </c>
      <c r="QSV75" s="244" t="s">
        <v>32</v>
      </c>
      <c r="QSW75" s="244" t="s">
        <v>32</v>
      </c>
      <c r="QSX75" s="244" t="s">
        <v>32</v>
      </c>
      <c r="QSY75" s="244" t="s">
        <v>32</v>
      </c>
      <c r="QSZ75" s="244" t="s">
        <v>32</v>
      </c>
      <c r="QTA75" s="244" t="s">
        <v>32</v>
      </c>
      <c r="QTB75" s="244" t="s">
        <v>32</v>
      </c>
      <c r="QTC75" s="244" t="s">
        <v>32</v>
      </c>
      <c r="QTD75" s="244" t="s">
        <v>32</v>
      </c>
      <c r="QTE75" s="244" t="s">
        <v>32</v>
      </c>
      <c r="QTF75" s="244" t="s">
        <v>32</v>
      </c>
      <c r="QTG75" s="244" t="s">
        <v>32</v>
      </c>
      <c r="QTH75" s="244" t="s">
        <v>32</v>
      </c>
      <c r="QTI75" s="244" t="s">
        <v>32</v>
      </c>
      <c r="QTJ75" s="244" t="s">
        <v>32</v>
      </c>
      <c r="QTK75" s="244" t="s">
        <v>32</v>
      </c>
      <c r="QTL75" s="244" t="s">
        <v>32</v>
      </c>
      <c r="QTM75" s="244" t="s">
        <v>32</v>
      </c>
      <c r="QTN75" s="244" t="s">
        <v>32</v>
      </c>
      <c r="QTO75" s="244" t="s">
        <v>32</v>
      </c>
      <c r="QTP75" s="244" t="s">
        <v>32</v>
      </c>
      <c r="QTQ75" s="244" t="s">
        <v>32</v>
      </c>
      <c r="QTR75" s="244" t="s">
        <v>32</v>
      </c>
      <c r="QTS75" s="244" t="s">
        <v>32</v>
      </c>
      <c r="QTT75" s="244" t="s">
        <v>32</v>
      </c>
      <c r="QTU75" s="244" t="s">
        <v>32</v>
      </c>
      <c r="QTV75" s="244" t="s">
        <v>32</v>
      </c>
      <c r="QTW75" s="244" t="s">
        <v>32</v>
      </c>
      <c r="QTX75" s="244" t="s">
        <v>32</v>
      </c>
      <c r="QTY75" s="244" t="s">
        <v>32</v>
      </c>
      <c r="QTZ75" s="244" t="s">
        <v>32</v>
      </c>
      <c r="QUA75" s="244" t="s">
        <v>32</v>
      </c>
      <c r="QUB75" s="244" t="s">
        <v>32</v>
      </c>
      <c r="QUC75" s="244" t="s">
        <v>32</v>
      </c>
      <c r="QUD75" s="244" t="s">
        <v>32</v>
      </c>
      <c r="QUE75" s="244" t="s">
        <v>32</v>
      </c>
      <c r="QUF75" s="244" t="s">
        <v>32</v>
      </c>
      <c r="QUG75" s="244" t="s">
        <v>32</v>
      </c>
      <c r="QUH75" s="244" t="s">
        <v>32</v>
      </c>
      <c r="QUI75" s="244" t="s">
        <v>32</v>
      </c>
      <c r="QUJ75" s="244" t="s">
        <v>32</v>
      </c>
      <c r="QUK75" s="244" t="s">
        <v>32</v>
      </c>
      <c r="QUL75" s="244" t="s">
        <v>32</v>
      </c>
      <c r="QUM75" s="244" t="s">
        <v>32</v>
      </c>
      <c r="QUN75" s="244" t="s">
        <v>32</v>
      </c>
      <c r="QUO75" s="244" t="s">
        <v>32</v>
      </c>
      <c r="QUP75" s="244" t="s">
        <v>32</v>
      </c>
      <c r="QUQ75" s="244" t="s">
        <v>32</v>
      </c>
      <c r="QUR75" s="244" t="s">
        <v>32</v>
      </c>
      <c r="QUS75" s="244" t="s">
        <v>32</v>
      </c>
      <c r="QUT75" s="244" t="s">
        <v>32</v>
      </c>
      <c r="QUU75" s="244" t="s">
        <v>32</v>
      </c>
      <c r="QUV75" s="244" t="s">
        <v>32</v>
      </c>
      <c r="QUW75" s="244" t="s">
        <v>32</v>
      </c>
      <c r="QUX75" s="244" t="s">
        <v>32</v>
      </c>
      <c r="QUY75" s="244" t="s">
        <v>32</v>
      </c>
      <c r="QUZ75" s="244" t="s">
        <v>32</v>
      </c>
      <c r="QVA75" s="244" t="s">
        <v>32</v>
      </c>
      <c r="QVB75" s="244" t="s">
        <v>32</v>
      </c>
      <c r="QVC75" s="244" t="s">
        <v>32</v>
      </c>
      <c r="QVD75" s="244" t="s">
        <v>32</v>
      </c>
      <c r="QVE75" s="244" t="s">
        <v>32</v>
      </c>
      <c r="QVF75" s="244" t="s">
        <v>32</v>
      </c>
      <c r="QVG75" s="244" t="s">
        <v>32</v>
      </c>
      <c r="QVH75" s="244" t="s">
        <v>32</v>
      </c>
      <c r="QVI75" s="244" t="s">
        <v>32</v>
      </c>
      <c r="QVJ75" s="244" t="s">
        <v>32</v>
      </c>
      <c r="QVK75" s="244" t="s">
        <v>32</v>
      </c>
      <c r="QVL75" s="244" t="s">
        <v>32</v>
      </c>
      <c r="QVM75" s="244" t="s">
        <v>32</v>
      </c>
      <c r="QVN75" s="244" t="s">
        <v>32</v>
      </c>
      <c r="QVO75" s="244" t="s">
        <v>32</v>
      </c>
      <c r="QVP75" s="244" t="s">
        <v>32</v>
      </c>
      <c r="QVQ75" s="244" t="s">
        <v>32</v>
      </c>
      <c r="QVR75" s="244" t="s">
        <v>32</v>
      </c>
      <c r="QVS75" s="244" t="s">
        <v>32</v>
      </c>
      <c r="QVT75" s="244" t="s">
        <v>32</v>
      </c>
      <c r="QVU75" s="244" t="s">
        <v>32</v>
      </c>
      <c r="QVV75" s="244" t="s">
        <v>32</v>
      </c>
      <c r="QVW75" s="244" t="s">
        <v>32</v>
      </c>
      <c r="QVX75" s="244" t="s">
        <v>32</v>
      </c>
      <c r="QVY75" s="244" t="s">
        <v>32</v>
      </c>
      <c r="QVZ75" s="244" t="s">
        <v>32</v>
      </c>
      <c r="QWA75" s="244" t="s">
        <v>32</v>
      </c>
      <c r="QWB75" s="244" t="s">
        <v>32</v>
      </c>
      <c r="QWC75" s="244" t="s">
        <v>32</v>
      </c>
      <c r="QWD75" s="244" t="s">
        <v>32</v>
      </c>
      <c r="QWE75" s="244" t="s">
        <v>32</v>
      </c>
      <c r="QWF75" s="244" t="s">
        <v>32</v>
      </c>
      <c r="QWG75" s="244" t="s">
        <v>32</v>
      </c>
      <c r="QWH75" s="244" t="s">
        <v>32</v>
      </c>
      <c r="QWI75" s="244" t="s">
        <v>32</v>
      </c>
      <c r="QWJ75" s="244" t="s">
        <v>32</v>
      </c>
      <c r="QWK75" s="244" t="s">
        <v>32</v>
      </c>
      <c r="QWL75" s="244" t="s">
        <v>32</v>
      </c>
      <c r="QWM75" s="244" t="s">
        <v>32</v>
      </c>
      <c r="QWN75" s="244" t="s">
        <v>32</v>
      </c>
      <c r="QWO75" s="244" t="s">
        <v>32</v>
      </c>
      <c r="QWP75" s="244" t="s">
        <v>32</v>
      </c>
      <c r="QWQ75" s="244" t="s">
        <v>32</v>
      </c>
      <c r="QWR75" s="244" t="s">
        <v>32</v>
      </c>
      <c r="QWS75" s="244" t="s">
        <v>32</v>
      </c>
      <c r="QWT75" s="244" t="s">
        <v>32</v>
      </c>
      <c r="QWU75" s="244" t="s">
        <v>32</v>
      </c>
      <c r="QWV75" s="244" t="s">
        <v>32</v>
      </c>
      <c r="QWW75" s="244" t="s">
        <v>32</v>
      </c>
      <c r="QWX75" s="244" t="s">
        <v>32</v>
      </c>
      <c r="QWY75" s="244" t="s">
        <v>32</v>
      </c>
      <c r="QWZ75" s="244" t="s">
        <v>32</v>
      </c>
      <c r="QXA75" s="244" t="s">
        <v>32</v>
      </c>
      <c r="QXB75" s="244" t="s">
        <v>32</v>
      </c>
      <c r="QXC75" s="244" t="s">
        <v>32</v>
      </c>
      <c r="QXD75" s="244" t="s">
        <v>32</v>
      </c>
      <c r="QXE75" s="244" t="s">
        <v>32</v>
      </c>
      <c r="QXF75" s="244" t="s">
        <v>32</v>
      </c>
      <c r="QXG75" s="244" t="s">
        <v>32</v>
      </c>
      <c r="QXH75" s="244" t="s">
        <v>32</v>
      </c>
      <c r="QXI75" s="244" t="s">
        <v>32</v>
      </c>
      <c r="QXJ75" s="244" t="s">
        <v>32</v>
      </c>
      <c r="QXK75" s="244" t="s">
        <v>32</v>
      </c>
      <c r="QXL75" s="244" t="s">
        <v>32</v>
      </c>
      <c r="QXM75" s="244" t="s">
        <v>32</v>
      </c>
      <c r="QXN75" s="244" t="s">
        <v>32</v>
      </c>
      <c r="QXO75" s="244" t="s">
        <v>32</v>
      </c>
      <c r="QXP75" s="244" t="s">
        <v>32</v>
      </c>
      <c r="QXQ75" s="244" t="s">
        <v>32</v>
      </c>
      <c r="QXR75" s="244" t="s">
        <v>32</v>
      </c>
      <c r="QXS75" s="244" t="s">
        <v>32</v>
      </c>
      <c r="QXT75" s="244" t="s">
        <v>32</v>
      </c>
      <c r="QXU75" s="244" t="s">
        <v>32</v>
      </c>
      <c r="QXV75" s="244" t="s">
        <v>32</v>
      </c>
      <c r="QXW75" s="244" t="s">
        <v>32</v>
      </c>
      <c r="QXX75" s="244" t="s">
        <v>32</v>
      </c>
      <c r="QXY75" s="244" t="s">
        <v>32</v>
      </c>
      <c r="QXZ75" s="244" t="s">
        <v>32</v>
      </c>
      <c r="QYA75" s="244" t="s">
        <v>32</v>
      </c>
      <c r="QYB75" s="244" t="s">
        <v>32</v>
      </c>
      <c r="QYC75" s="244" t="s">
        <v>32</v>
      </c>
      <c r="QYD75" s="244" t="s">
        <v>32</v>
      </c>
      <c r="QYE75" s="244" t="s">
        <v>32</v>
      </c>
      <c r="QYF75" s="244" t="s">
        <v>32</v>
      </c>
      <c r="QYG75" s="244" t="s">
        <v>32</v>
      </c>
      <c r="QYH75" s="244" t="s">
        <v>32</v>
      </c>
      <c r="QYI75" s="244" t="s">
        <v>32</v>
      </c>
      <c r="QYJ75" s="244" t="s">
        <v>32</v>
      </c>
      <c r="QYK75" s="244" t="s">
        <v>32</v>
      </c>
      <c r="QYL75" s="244" t="s">
        <v>32</v>
      </c>
      <c r="QYM75" s="244" t="s">
        <v>32</v>
      </c>
      <c r="QYN75" s="244" t="s">
        <v>32</v>
      </c>
      <c r="QYO75" s="244" t="s">
        <v>32</v>
      </c>
      <c r="QYP75" s="244" t="s">
        <v>32</v>
      </c>
      <c r="QYQ75" s="244" t="s">
        <v>32</v>
      </c>
      <c r="QYR75" s="244" t="s">
        <v>32</v>
      </c>
      <c r="QYS75" s="244" t="s">
        <v>32</v>
      </c>
      <c r="QYT75" s="244" t="s">
        <v>32</v>
      </c>
      <c r="QYU75" s="244" t="s">
        <v>32</v>
      </c>
      <c r="QYV75" s="244" t="s">
        <v>32</v>
      </c>
      <c r="QYW75" s="244" t="s">
        <v>32</v>
      </c>
      <c r="QYX75" s="244" t="s">
        <v>32</v>
      </c>
      <c r="QYY75" s="244" t="s">
        <v>32</v>
      </c>
      <c r="QYZ75" s="244" t="s">
        <v>32</v>
      </c>
      <c r="QZA75" s="244" t="s">
        <v>32</v>
      </c>
      <c r="QZB75" s="244" t="s">
        <v>32</v>
      </c>
      <c r="QZC75" s="244" t="s">
        <v>32</v>
      </c>
      <c r="QZD75" s="244" t="s">
        <v>32</v>
      </c>
      <c r="QZE75" s="244" t="s">
        <v>32</v>
      </c>
      <c r="QZF75" s="244" t="s">
        <v>32</v>
      </c>
      <c r="QZG75" s="244" t="s">
        <v>32</v>
      </c>
      <c r="QZH75" s="244" t="s">
        <v>32</v>
      </c>
      <c r="QZI75" s="244" t="s">
        <v>32</v>
      </c>
      <c r="QZJ75" s="244" t="s">
        <v>32</v>
      </c>
      <c r="QZK75" s="244" t="s">
        <v>32</v>
      </c>
      <c r="QZL75" s="244" t="s">
        <v>32</v>
      </c>
      <c r="QZM75" s="244" t="s">
        <v>32</v>
      </c>
      <c r="QZN75" s="244" t="s">
        <v>32</v>
      </c>
      <c r="QZO75" s="244" t="s">
        <v>32</v>
      </c>
      <c r="QZP75" s="244" t="s">
        <v>32</v>
      </c>
      <c r="QZQ75" s="244" t="s">
        <v>32</v>
      </c>
      <c r="QZR75" s="244" t="s">
        <v>32</v>
      </c>
      <c r="QZS75" s="244" t="s">
        <v>32</v>
      </c>
      <c r="QZT75" s="244" t="s">
        <v>32</v>
      </c>
      <c r="QZU75" s="244" t="s">
        <v>32</v>
      </c>
      <c r="QZV75" s="244" t="s">
        <v>32</v>
      </c>
      <c r="QZW75" s="244" t="s">
        <v>32</v>
      </c>
      <c r="QZX75" s="244" t="s">
        <v>32</v>
      </c>
      <c r="QZY75" s="244" t="s">
        <v>32</v>
      </c>
      <c r="QZZ75" s="244" t="s">
        <v>32</v>
      </c>
      <c r="RAA75" s="244" t="s">
        <v>32</v>
      </c>
      <c r="RAB75" s="244" t="s">
        <v>32</v>
      </c>
      <c r="RAC75" s="244" t="s">
        <v>32</v>
      </c>
      <c r="RAD75" s="244" t="s">
        <v>32</v>
      </c>
      <c r="RAE75" s="244" t="s">
        <v>32</v>
      </c>
      <c r="RAF75" s="244" t="s">
        <v>32</v>
      </c>
      <c r="RAG75" s="244" t="s">
        <v>32</v>
      </c>
      <c r="RAH75" s="244" t="s">
        <v>32</v>
      </c>
      <c r="RAI75" s="244" t="s">
        <v>32</v>
      </c>
      <c r="RAJ75" s="244" t="s">
        <v>32</v>
      </c>
      <c r="RAK75" s="244" t="s">
        <v>32</v>
      </c>
      <c r="RAL75" s="244" t="s">
        <v>32</v>
      </c>
      <c r="RAM75" s="244" t="s">
        <v>32</v>
      </c>
      <c r="RAN75" s="244" t="s">
        <v>32</v>
      </c>
      <c r="RAO75" s="244" t="s">
        <v>32</v>
      </c>
      <c r="RAP75" s="244" t="s">
        <v>32</v>
      </c>
      <c r="RAQ75" s="244" t="s">
        <v>32</v>
      </c>
      <c r="RAR75" s="244" t="s">
        <v>32</v>
      </c>
      <c r="RAS75" s="244" t="s">
        <v>32</v>
      </c>
      <c r="RAT75" s="244" t="s">
        <v>32</v>
      </c>
      <c r="RAU75" s="244" t="s">
        <v>32</v>
      </c>
      <c r="RAV75" s="244" t="s">
        <v>32</v>
      </c>
      <c r="RAW75" s="244" t="s">
        <v>32</v>
      </c>
      <c r="RAX75" s="244" t="s">
        <v>32</v>
      </c>
      <c r="RAY75" s="244" t="s">
        <v>32</v>
      </c>
      <c r="RAZ75" s="244" t="s">
        <v>32</v>
      </c>
      <c r="RBA75" s="244" t="s">
        <v>32</v>
      </c>
      <c r="RBB75" s="244" t="s">
        <v>32</v>
      </c>
      <c r="RBC75" s="244" t="s">
        <v>32</v>
      </c>
      <c r="RBD75" s="244" t="s">
        <v>32</v>
      </c>
      <c r="RBE75" s="244" t="s">
        <v>32</v>
      </c>
      <c r="RBF75" s="244" t="s">
        <v>32</v>
      </c>
      <c r="RBG75" s="244" t="s">
        <v>32</v>
      </c>
      <c r="RBH75" s="244" t="s">
        <v>32</v>
      </c>
      <c r="RBI75" s="244" t="s">
        <v>32</v>
      </c>
      <c r="RBJ75" s="244" t="s">
        <v>32</v>
      </c>
      <c r="RBK75" s="244" t="s">
        <v>32</v>
      </c>
      <c r="RBL75" s="244" t="s">
        <v>32</v>
      </c>
      <c r="RBM75" s="244" t="s">
        <v>32</v>
      </c>
      <c r="RBN75" s="244" t="s">
        <v>32</v>
      </c>
      <c r="RBO75" s="244" t="s">
        <v>32</v>
      </c>
      <c r="RBP75" s="244" t="s">
        <v>32</v>
      </c>
      <c r="RBQ75" s="244" t="s">
        <v>32</v>
      </c>
      <c r="RBR75" s="244" t="s">
        <v>32</v>
      </c>
      <c r="RBS75" s="244" t="s">
        <v>32</v>
      </c>
      <c r="RBT75" s="244" t="s">
        <v>32</v>
      </c>
      <c r="RBU75" s="244" t="s">
        <v>32</v>
      </c>
      <c r="RBV75" s="244" t="s">
        <v>32</v>
      </c>
      <c r="RBW75" s="244" t="s">
        <v>32</v>
      </c>
      <c r="RBX75" s="244" t="s">
        <v>32</v>
      </c>
      <c r="RBY75" s="244" t="s">
        <v>32</v>
      </c>
      <c r="RBZ75" s="244" t="s">
        <v>32</v>
      </c>
      <c r="RCA75" s="244" t="s">
        <v>32</v>
      </c>
      <c r="RCB75" s="244" t="s">
        <v>32</v>
      </c>
      <c r="RCC75" s="244" t="s">
        <v>32</v>
      </c>
      <c r="RCD75" s="244" t="s">
        <v>32</v>
      </c>
      <c r="RCE75" s="244" t="s">
        <v>32</v>
      </c>
      <c r="RCF75" s="244" t="s">
        <v>32</v>
      </c>
      <c r="RCG75" s="244" t="s">
        <v>32</v>
      </c>
      <c r="RCH75" s="244" t="s">
        <v>32</v>
      </c>
      <c r="RCI75" s="244" t="s">
        <v>32</v>
      </c>
      <c r="RCJ75" s="244" t="s">
        <v>32</v>
      </c>
      <c r="RCK75" s="244" t="s">
        <v>32</v>
      </c>
      <c r="RCL75" s="244" t="s">
        <v>32</v>
      </c>
      <c r="RCM75" s="244" t="s">
        <v>32</v>
      </c>
      <c r="RCN75" s="244" t="s">
        <v>32</v>
      </c>
      <c r="RCO75" s="244" t="s">
        <v>32</v>
      </c>
      <c r="RCP75" s="244" t="s">
        <v>32</v>
      </c>
      <c r="RCQ75" s="244" t="s">
        <v>32</v>
      </c>
      <c r="RCR75" s="244" t="s">
        <v>32</v>
      </c>
      <c r="RCS75" s="244" t="s">
        <v>32</v>
      </c>
      <c r="RCT75" s="244" t="s">
        <v>32</v>
      </c>
      <c r="RCU75" s="244" t="s">
        <v>32</v>
      </c>
      <c r="RCV75" s="244" t="s">
        <v>32</v>
      </c>
      <c r="RCW75" s="244" t="s">
        <v>32</v>
      </c>
      <c r="RCX75" s="244" t="s">
        <v>32</v>
      </c>
      <c r="RCY75" s="244" t="s">
        <v>32</v>
      </c>
      <c r="RCZ75" s="244" t="s">
        <v>32</v>
      </c>
      <c r="RDA75" s="244" t="s">
        <v>32</v>
      </c>
      <c r="RDB75" s="244" t="s">
        <v>32</v>
      </c>
      <c r="RDC75" s="244" t="s">
        <v>32</v>
      </c>
      <c r="RDD75" s="244" t="s">
        <v>32</v>
      </c>
      <c r="RDE75" s="244" t="s">
        <v>32</v>
      </c>
      <c r="RDF75" s="244" t="s">
        <v>32</v>
      </c>
      <c r="RDG75" s="244" t="s">
        <v>32</v>
      </c>
      <c r="RDH75" s="244" t="s">
        <v>32</v>
      </c>
      <c r="RDI75" s="244" t="s">
        <v>32</v>
      </c>
      <c r="RDJ75" s="244" t="s">
        <v>32</v>
      </c>
      <c r="RDK75" s="244" t="s">
        <v>32</v>
      </c>
      <c r="RDL75" s="244" t="s">
        <v>32</v>
      </c>
      <c r="RDM75" s="244" t="s">
        <v>32</v>
      </c>
      <c r="RDN75" s="244" t="s">
        <v>32</v>
      </c>
      <c r="RDO75" s="244" t="s">
        <v>32</v>
      </c>
      <c r="RDP75" s="244" t="s">
        <v>32</v>
      </c>
      <c r="RDQ75" s="244" t="s">
        <v>32</v>
      </c>
      <c r="RDR75" s="244" t="s">
        <v>32</v>
      </c>
      <c r="RDS75" s="244" t="s">
        <v>32</v>
      </c>
      <c r="RDT75" s="244" t="s">
        <v>32</v>
      </c>
      <c r="RDU75" s="244" t="s">
        <v>32</v>
      </c>
      <c r="RDV75" s="244" t="s">
        <v>32</v>
      </c>
      <c r="RDW75" s="244" t="s">
        <v>32</v>
      </c>
      <c r="RDX75" s="244" t="s">
        <v>32</v>
      </c>
      <c r="RDY75" s="244" t="s">
        <v>32</v>
      </c>
      <c r="RDZ75" s="244" t="s">
        <v>32</v>
      </c>
      <c r="REA75" s="244" t="s">
        <v>32</v>
      </c>
      <c r="REB75" s="244" t="s">
        <v>32</v>
      </c>
      <c r="REC75" s="244" t="s">
        <v>32</v>
      </c>
      <c r="RED75" s="244" t="s">
        <v>32</v>
      </c>
      <c r="REE75" s="244" t="s">
        <v>32</v>
      </c>
      <c r="REF75" s="244" t="s">
        <v>32</v>
      </c>
      <c r="REG75" s="244" t="s">
        <v>32</v>
      </c>
      <c r="REH75" s="244" t="s">
        <v>32</v>
      </c>
      <c r="REI75" s="244" t="s">
        <v>32</v>
      </c>
      <c r="REJ75" s="244" t="s">
        <v>32</v>
      </c>
      <c r="REK75" s="244" t="s">
        <v>32</v>
      </c>
      <c r="REL75" s="244" t="s">
        <v>32</v>
      </c>
      <c r="REM75" s="244" t="s">
        <v>32</v>
      </c>
      <c r="REN75" s="244" t="s">
        <v>32</v>
      </c>
      <c r="REO75" s="244" t="s">
        <v>32</v>
      </c>
      <c r="REP75" s="244" t="s">
        <v>32</v>
      </c>
      <c r="REQ75" s="244" t="s">
        <v>32</v>
      </c>
      <c r="RER75" s="244" t="s">
        <v>32</v>
      </c>
      <c r="RES75" s="244" t="s">
        <v>32</v>
      </c>
      <c r="RET75" s="244" t="s">
        <v>32</v>
      </c>
      <c r="REU75" s="244" t="s">
        <v>32</v>
      </c>
      <c r="REV75" s="244" t="s">
        <v>32</v>
      </c>
      <c r="REW75" s="244" t="s">
        <v>32</v>
      </c>
      <c r="REX75" s="244" t="s">
        <v>32</v>
      </c>
      <c r="REY75" s="244" t="s">
        <v>32</v>
      </c>
      <c r="REZ75" s="244" t="s">
        <v>32</v>
      </c>
      <c r="RFA75" s="244" t="s">
        <v>32</v>
      </c>
      <c r="RFB75" s="244" t="s">
        <v>32</v>
      </c>
      <c r="RFC75" s="244" t="s">
        <v>32</v>
      </c>
      <c r="RFD75" s="244" t="s">
        <v>32</v>
      </c>
      <c r="RFE75" s="244" t="s">
        <v>32</v>
      </c>
      <c r="RFF75" s="244" t="s">
        <v>32</v>
      </c>
      <c r="RFG75" s="244" t="s">
        <v>32</v>
      </c>
      <c r="RFH75" s="244" t="s">
        <v>32</v>
      </c>
      <c r="RFI75" s="244" t="s">
        <v>32</v>
      </c>
      <c r="RFJ75" s="244" t="s">
        <v>32</v>
      </c>
      <c r="RFK75" s="244" t="s">
        <v>32</v>
      </c>
      <c r="RFL75" s="244" t="s">
        <v>32</v>
      </c>
      <c r="RFM75" s="244" t="s">
        <v>32</v>
      </c>
      <c r="RFN75" s="244" t="s">
        <v>32</v>
      </c>
      <c r="RFO75" s="244" t="s">
        <v>32</v>
      </c>
      <c r="RFP75" s="244" t="s">
        <v>32</v>
      </c>
      <c r="RFQ75" s="244" t="s">
        <v>32</v>
      </c>
      <c r="RFR75" s="244" t="s">
        <v>32</v>
      </c>
      <c r="RFS75" s="244" t="s">
        <v>32</v>
      </c>
      <c r="RFT75" s="244" t="s">
        <v>32</v>
      </c>
      <c r="RFU75" s="244" t="s">
        <v>32</v>
      </c>
      <c r="RFV75" s="244" t="s">
        <v>32</v>
      </c>
      <c r="RFW75" s="244" t="s">
        <v>32</v>
      </c>
      <c r="RFX75" s="244" t="s">
        <v>32</v>
      </c>
      <c r="RFY75" s="244" t="s">
        <v>32</v>
      </c>
      <c r="RFZ75" s="244" t="s">
        <v>32</v>
      </c>
      <c r="RGA75" s="244" t="s">
        <v>32</v>
      </c>
      <c r="RGB75" s="244" t="s">
        <v>32</v>
      </c>
      <c r="RGC75" s="244" t="s">
        <v>32</v>
      </c>
      <c r="RGD75" s="244" t="s">
        <v>32</v>
      </c>
      <c r="RGE75" s="244" t="s">
        <v>32</v>
      </c>
      <c r="RGF75" s="244" t="s">
        <v>32</v>
      </c>
      <c r="RGG75" s="244" t="s">
        <v>32</v>
      </c>
      <c r="RGH75" s="244" t="s">
        <v>32</v>
      </c>
      <c r="RGI75" s="244" t="s">
        <v>32</v>
      </c>
      <c r="RGJ75" s="244" t="s">
        <v>32</v>
      </c>
      <c r="RGK75" s="244" t="s">
        <v>32</v>
      </c>
      <c r="RGL75" s="244" t="s">
        <v>32</v>
      </c>
      <c r="RGM75" s="244" t="s">
        <v>32</v>
      </c>
      <c r="RGN75" s="244" t="s">
        <v>32</v>
      </c>
      <c r="RGO75" s="244" t="s">
        <v>32</v>
      </c>
      <c r="RGP75" s="244" t="s">
        <v>32</v>
      </c>
      <c r="RGQ75" s="244" t="s">
        <v>32</v>
      </c>
      <c r="RGR75" s="244" t="s">
        <v>32</v>
      </c>
      <c r="RGS75" s="244" t="s">
        <v>32</v>
      </c>
      <c r="RGT75" s="244" t="s">
        <v>32</v>
      </c>
      <c r="RGU75" s="244" t="s">
        <v>32</v>
      </c>
      <c r="RGV75" s="244" t="s">
        <v>32</v>
      </c>
      <c r="RGW75" s="244" t="s">
        <v>32</v>
      </c>
      <c r="RGX75" s="244" t="s">
        <v>32</v>
      </c>
      <c r="RGY75" s="244" t="s">
        <v>32</v>
      </c>
      <c r="RGZ75" s="244" t="s">
        <v>32</v>
      </c>
      <c r="RHA75" s="244" t="s">
        <v>32</v>
      </c>
      <c r="RHB75" s="244" t="s">
        <v>32</v>
      </c>
      <c r="RHC75" s="244" t="s">
        <v>32</v>
      </c>
      <c r="RHD75" s="244" t="s">
        <v>32</v>
      </c>
      <c r="RHE75" s="244" t="s">
        <v>32</v>
      </c>
      <c r="RHF75" s="244" t="s">
        <v>32</v>
      </c>
      <c r="RHG75" s="244" t="s">
        <v>32</v>
      </c>
      <c r="RHH75" s="244" t="s">
        <v>32</v>
      </c>
      <c r="RHI75" s="244" t="s">
        <v>32</v>
      </c>
      <c r="RHJ75" s="244" t="s">
        <v>32</v>
      </c>
      <c r="RHK75" s="244" t="s">
        <v>32</v>
      </c>
      <c r="RHL75" s="244" t="s">
        <v>32</v>
      </c>
      <c r="RHM75" s="244" t="s">
        <v>32</v>
      </c>
      <c r="RHN75" s="244" t="s">
        <v>32</v>
      </c>
      <c r="RHO75" s="244" t="s">
        <v>32</v>
      </c>
      <c r="RHP75" s="244" t="s">
        <v>32</v>
      </c>
      <c r="RHQ75" s="244" t="s">
        <v>32</v>
      </c>
      <c r="RHR75" s="244" t="s">
        <v>32</v>
      </c>
      <c r="RHS75" s="244" t="s">
        <v>32</v>
      </c>
      <c r="RHT75" s="244" t="s">
        <v>32</v>
      </c>
      <c r="RHU75" s="244" t="s">
        <v>32</v>
      </c>
      <c r="RHV75" s="244" t="s">
        <v>32</v>
      </c>
      <c r="RHW75" s="244" t="s">
        <v>32</v>
      </c>
      <c r="RHX75" s="244" t="s">
        <v>32</v>
      </c>
      <c r="RHY75" s="244" t="s">
        <v>32</v>
      </c>
      <c r="RHZ75" s="244" t="s">
        <v>32</v>
      </c>
      <c r="RIA75" s="244" t="s">
        <v>32</v>
      </c>
      <c r="RIB75" s="244" t="s">
        <v>32</v>
      </c>
      <c r="RIC75" s="244" t="s">
        <v>32</v>
      </c>
      <c r="RID75" s="244" t="s">
        <v>32</v>
      </c>
      <c r="RIE75" s="244" t="s">
        <v>32</v>
      </c>
      <c r="RIF75" s="244" t="s">
        <v>32</v>
      </c>
      <c r="RIG75" s="244" t="s">
        <v>32</v>
      </c>
      <c r="RIH75" s="244" t="s">
        <v>32</v>
      </c>
      <c r="RII75" s="244" t="s">
        <v>32</v>
      </c>
      <c r="RIJ75" s="244" t="s">
        <v>32</v>
      </c>
      <c r="RIK75" s="244" t="s">
        <v>32</v>
      </c>
      <c r="RIL75" s="244" t="s">
        <v>32</v>
      </c>
      <c r="RIM75" s="244" t="s">
        <v>32</v>
      </c>
      <c r="RIN75" s="244" t="s">
        <v>32</v>
      </c>
      <c r="RIO75" s="244" t="s">
        <v>32</v>
      </c>
      <c r="RIP75" s="244" t="s">
        <v>32</v>
      </c>
      <c r="RIQ75" s="244" t="s">
        <v>32</v>
      </c>
      <c r="RIR75" s="244" t="s">
        <v>32</v>
      </c>
      <c r="RIS75" s="244" t="s">
        <v>32</v>
      </c>
      <c r="RIT75" s="244" t="s">
        <v>32</v>
      </c>
      <c r="RIU75" s="244" t="s">
        <v>32</v>
      </c>
      <c r="RIV75" s="244" t="s">
        <v>32</v>
      </c>
      <c r="RIW75" s="244" t="s">
        <v>32</v>
      </c>
      <c r="RIX75" s="244" t="s">
        <v>32</v>
      </c>
      <c r="RIY75" s="244" t="s">
        <v>32</v>
      </c>
      <c r="RIZ75" s="244" t="s">
        <v>32</v>
      </c>
      <c r="RJA75" s="244" t="s">
        <v>32</v>
      </c>
      <c r="RJB75" s="244" t="s">
        <v>32</v>
      </c>
      <c r="RJC75" s="244" t="s">
        <v>32</v>
      </c>
      <c r="RJD75" s="244" t="s">
        <v>32</v>
      </c>
      <c r="RJE75" s="244" t="s">
        <v>32</v>
      </c>
      <c r="RJF75" s="244" t="s">
        <v>32</v>
      </c>
      <c r="RJG75" s="244" t="s">
        <v>32</v>
      </c>
      <c r="RJH75" s="244" t="s">
        <v>32</v>
      </c>
      <c r="RJI75" s="244" t="s">
        <v>32</v>
      </c>
      <c r="RJJ75" s="244" t="s">
        <v>32</v>
      </c>
      <c r="RJK75" s="244" t="s">
        <v>32</v>
      </c>
      <c r="RJL75" s="244" t="s">
        <v>32</v>
      </c>
      <c r="RJM75" s="244" t="s">
        <v>32</v>
      </c>
      <c r="RJN75" s="244" t="s">
        <v>32</v>
      </c>
      <c r="RJO75" s="244" t="s">
        <v>32</v>
      </c>
      <c r="RJP75" s="244" t="s">
        <v>32</v>
      </c>
      <c r="RJQ75" s="244" t="s">
        <v>32</v>
      </c>
      <c r="RJR75" s="244" t="s">
        <v>32</v>
      </c>
      <c r="RJS75" s="244" t="s">
        <v>32</v>
      </c>
      <c r="RJT75" s="244" t="s">
        <v>32</v>
      </c>
      <c r="RJU75" s="244" t="s">
        <v>32</v>
      </c>
      <c r="RJV75" s="244" t="s">
        <v>32</v>
      </c>
      <c r="RJW75" s="244" t="s">
        <v>32</v>
      </c>
      <c r="RJX75" s="244" t="s">
        <v>32</v>
      </c>
      <c r="RJY75" s="244" t="s">
        <v>32</v>
      </c>
      <c r="RJZ75" s="244" t="s">
        <v>32</v>
      </c>
      <c r="RKA75" s="244" t="s">
        <v>32</v>
      </c>
      <c r="RKB75" s="244" t="s">
        <v>32</v>
      </c>
      <c r="RKC75" s="244" t="s">
        <v>32</v>
      </c>
      <c r="RKD75" s="244" t="s">
        <v>32</v>
      </c>
      <c r="RKE75" s="244" t="s">
        <v>32</v>
      </c>
      <c r="RKF75" s="244" t="s">
        <v>32</v>
      </c>
      <c r="RKG75" s="244" t="s">
        <v>32</v>
      </c>
      <c r="RKH75" s="244" t="s">
        <v>32</v>
      </c>
      <c r="RKI75" s="244" t="s">
        <v>32</v>
      </c>
      <c r="RKJ75" s="244" t="s">
        <v>32</v>
      </c>
      <c r="RKK75" s="244" t="s">
        <v>32</v>
      </c>
      <c r="RKL75" s="244" t="s">
        <v>32</v>
      </c>
      <c r="RKM75" s="244" t="s">
        <v>32</v>
      </c>
      <c r="RKN75" s="244" t="s">
        <v>32</v>
      </c>
      <c r="RKO75" s="244" t="s">
        <v>32</v>
      </c>
      <c r="RKP75" s="244" t="s">
        <v>32</v>
      </c>
      <c r="RKQ75" s="244" t="s">
        <v>32</v>
      </c>
      <c r="RKR75" s="244" t="s">
        <v>32</v>
      </c>
      <c r="RKS75" s="244" t="s">
        <v>32</v>
      </c>
      <c r="RKT75" s="244" t="s">
        <v>32</v>
      </c>
      <c r="RKU75" s="244" t="s">
        <v>32</v>
      </c>
      <c r="RKV75" s="244" t="s">
        <v>32</v>
      </c>
      <c r="RKW75" s="244" t="s">
        <v>32</v>
      </c>
      <c r="RKX75" s="244" t="s">
        <v>32</v>
      </c>
      <c r="RKY75" s="244" t="s">
        <v>32</v>
      </c>
      <c r="RKZ75" s="244" t="s">
        <v>32</v>
      </c>
      <c r="RLA75" s="244" t="s">
        <v>32</v>
      </c>
      <c r="RLB75" s="244" t="s">
        <v>32</v>
      </c>
      <c r="RLC75" s="244" t="s">
        <v>32</v>
      </c>
      <c r="RLD75" s="244" t="s">
        <v>32</v>
      </c>
      <c r="RLE75" s="244" t="s">
        <v>32</v>
      </c>
      <c r="RLF75" s="244" t="s">
        <v>32</v>
      </c>
      <c r="RLG75" s="244" t="s">
        <v>32</v>
      </c>
      <c r="RLH75" s="244" t="s">
        <v>32</v>
      </c>
      <c r="RLI75" s="244" t="s">
        <v>32</v>
      </c>
      <c r="RLJ75" s="244" t="s">
        <v>32</v>
      </c>
      <c r="RLK75" s="244" t="s">
        <v>32</v>
      </c>
      <c r="RLL75" s="244" t="s">
        <v>32</v>
      </c>
      <c r="RLM75" s="244" t="s">
        <v>32</v>
      </c>
      <c r="RLN75" s="244" t="s">
        <v>32</v>
      </c>
      <c r="RLO75" s="244" t="s">
        <v>32</v>
      </c>
      <c r="RLP75" s="244" t="s">
        <v>32</v>
      </c>
      <c r="RLQ75" s="244" t="s">
        <v>32</v>
      </c>
      <c r="RLR75" s="244" t="s">
        <v>32</v>
      </c>
      <c r="RLS75" s="244" t="s">
        <v>32</v>
      </c>
      <c r="RLT75" s="244" t="s">
        <v>32</v>
      </c>
      <c r="RLU75" s="244" t="s">
        <v>32</v>
      </c>
      <c r="RLV75" s="244" t="s">
        <v>32</v>
      </c>
      <c r="RLW75" s="244" t="s">
        <v>32</v>
      </c>
      <c r="RLX75" s="244" t="s">
        <v>32</v>
      </c>
      <c r="RLY75" s="244" t="s">
        <v>32</v>
      </c>
      <c r="RLZ75" s="244" t="s">
        <v>32</v>
      </c>
      <c r="RMA75" s="244" t="s">
        <v>32</v>
      </c>
      <c r="RMB75" s="244" t="s">
        <v>32</v>
      </c>
      <c r="RMC75" s="244" t="s">
        <v>32</v>
      </c>
      <c r="RMD75" s="244" t="s">
        <v>32</v>
      </c>
      <c r="RME75" s="244" t="s">
        <v>32</v>
      </c>
      <c r="RMF75" s="244" t="s">
        <v>32</v>
      </c>
      <c r="RMG75" s="244" t="s">
        <v>32</v>
      </c>
      <c r="RMH75" s="244" t="s">
        <v>32</v>
      </c>
      <c r="RMI75" s="244" t="s">
        <v>32</v>
      </c>
      <c r="RMJ75" s="244" t="s">
        <v>32</v>
      </c>
      <c r="RMK75" s="244" t="s">
        <v>32</v>
      </c>
      <c r="RML75" s="244" t="s">
        <v>32</v>
      </c>
      <c r="RMM75" s="244" t="s">
        <v>32</v>
      </c>
      <c r="RMN75" s="244" t="s">
        <v>32</v>
      </c>
      <c r="RMO75" s="244" t="s">
        <v>32</v>
      </c>
      <c r="RMP75" s="244" t="s">
        <v>32</v>
      </c>
      <c r="RMQ75" s="244" t="s">
        <v>32</v>
      </c>
      <c r="RMR75" s="244" t="s">
        <v>32</v>
      </c>
      <c r="RMS75" s="244" t="s">
        <v>32</v>
      </c>
      <c r="RMT75" s="244" t="s">
        <v>32</v>
      </c>
      <c r="RMU75" s="244" t="s">
        <v>32</v>
      </c>
      <c r="RMV75" s="244" t="s">
        <v>32</v>
      </c>
      <c r="RMW75" s="244" t="s">
        <v>32</v>
      </c>
      <c r="RMX75" s="244" t="s">
        <v>32</v>
      </c>
      <c r="RMY75" s="244" t="s">
        <v>32</v>
      </c>
      <c r="RMZ75" s="244" t="s">
        <v>32</v>
      </c>
      <c r="RNA75" s="244" t="s">
        <v>32</v>
      </c>
      <c r="RNB75" s="244" t="s">
        <v>32</v>
      </c>
      <c r="RNC75" s="244" t="s">
        <v>32</v>
      </c>
      <c r="RND75" s="244" t="s">
        <v>32</v>
      </c>
      <c r="RNE75" s="244" t="s">
        <v>32</v>
      </c>
      <c r="RNF75" s="244" t="s">
        <v>32</v>
      </c>
      <c r="RNG75" s="244" t="s">
        <v>32</v>
      </c>
      <c r="RNH75" s="244" t="s">
        <v>32</v>
      </c>
      <c r="RNI75" s="244" t="s">
        <v>32</v>
      </c>
      <c r="RNJ75" s="244" t="s">
        <v>32</v>
      </c>
      <c r="RNK75" s="244" t="s">
        <v>32</v>
      </c>
      <c r="RNL75" s="244" t="s">
        <v>32</v>
      </c>
      <c r="RNM75" s="244" t="s">
        <v>32</v>
      </c>
      <c r="RNN75" s="244" t="s">
        <v>32</v>
      </c>
      <c r="RNO75" s="244" t="s">
        <v>32</v>
      </c>
      <c r="RNP75" s="244" t="s">
        <v>32</v>
      </c>
      <c r="RNQ75" s="244" t="s">
        <v>32</v>
      </c>
      <c r="RNR75" s="244" t="s">
        <v>32</v>
      </c>
      <c r="RNS75" s="244" t="s">
        <v>32</v>
      </c>
      <c r="RNT75" s="244" t="s">
        <v>32</v>
      </c>
      <c r="RNU75" s="244" t="s">
        <v>32</v>
      </c>
      <c r="RNV75" s="244" t="s">
        <v>32</v>
      </c>
      <c r="RNW75" s="244" t="s">
        <v>32</v>
      </c>
      <c r="RNX75" s="244" t="s">
        <v>32</v>
      </c>
      <c r="RNY75" s="244" t="s">
        <v>32</v>
      </c>
      <c r="RNZ75" s="244" t="s">
        <v>32</v>
      </c>
      <c r="ROA75" s="244" t="s">
        <v>32</v>
      </c>
      <c r="ROB75" s="244" t="s">
        <v>32</v>
      </c>
      <c r="ROC75" s="244" t="s">
        <v>32</v>
      </c>
      <c r="ROD75" s="244" t="s">
        <v>32</v>
      </c>
      <c r="ROE75" s="244" t="s">
        <v>32</v>
      </c>
      <c r="ROF75" s="244" t="s">
        <v>32</v>
      </c>
      <c r="ROG75" s="244" t="s">
        <v>32</v>
      </c>
      <c r="ROH75" s="244" t="s">
        <v>32</v>
      </c>
      <c r="ROI75" s="244" t="s">
        <v>32</v>
      </c>
      <c r="ROJ75" s="244" t="s">
        <v>32</v>
      </c>
      <c r="ROK75" s="244" t="s">
        <v>32</v>
      </c>
      <c r="ROL75" s="244" t="s">
        <v>32</v>
      </c>
      <c r="ROM75" s="244" t="s">
        <v>32</v>
      </c>
      <c r="RON75" s="244" t="s">
        <v>32</v>
      </c>
      <c r="ROO75" s="244" t="s">
        <v>32</v>
      </c>
      <c r="ROP75" s="244" t="s">
        <v>32</v>
      </c>
      <c r="ROQ75" s="244" t="s">
        <v>32</v>
      </c>
      <c r="ROR75" s="244" t="s">
        <v>32</v>
      </c>
      <c r="ROS75" s="244" t="s">
        <v>32</v>
      </c>
      <c r="ROT75" s="244" t="s">
        <v>32</v>
      </c>
      <c r="ROU75" s="244" t="s">
        <v>32</v>
      </c>
      <c r="ROV75" s="244" t="s">
        <v>32</v>
      </c>
      <c r="ROW75" s="244" t="s">
        <v>32</v>
      </c>
      <c r="ROX75" s="244" t="s">
        <v>32</v>
      </c>
      <c r="ROY75" s="244" t="s">
        <v>32</v>
      </c>
      <c r="ROZ75" s="244" t="s">
        <v>32</v>
      </c>
      <c r="RPA75" s="244" t="s">
        <v>32</v>
      </c>
      <c r="RPB75" s="244" t="s">
        <v>32</v>
      </c>
      <c r="RPC75" s="244" t="s">
        <v>32</v>
      </c>
      <c r="RPD75" s="244" t="s">
        <v>32</v>
      </c>
      <c r="RPE75" s="244" t="s">
        <v>32</v>
      </c>
      <c r="RPF75" s="244" t="s">
        <v>32</v>
      </c>
      <c r="RPG75" s="244" t="s">
        <v>32</v>
      </c>
      <c r="RPH75" s="244" t="s">
        <v>32</v>
      </c>
      <c r="RPI75" s="244" t="s">
        <v>32</v>
      </c>
      <c r="RPJ75" s="244" t="s">
        <v>32</v>
      </c>
      <c r="RPK75" s="244" t="s">
        <v>32</v>
      </c>
      <c r="RPL75" s="244" t="s">
        <v>32</v>
      </c>
      <c r="RPM75" s="244" t="s">
        <v>32</v>
      </c>
      <c r="RPN75" s="244" t="s">
        <v>32</v>
      </c>
      <c r="RPO75" s="244" t="s">
        <v>32</v>
      </c>
      <c r="RPP75" s="244" t="s">
        <v>32</v>
      </c>
      <c r="RPQ75" s="244" t="s">
        <v>32</v>
      </c>
      <c r="RPR75" s="244" t="s">
        <v>32</v>
      </c>
      <c r="RPS75" s="244" t="s">
        <v>32</v>
      </c>
      <c r="RPT75" s="244" t="s">
        <v>32</v>
      </c>
      <c r="RPU75" s="244" t="s">
        <v>32</v>
      </c>
      <c r="RPV75" s="244" t="s">
        <v>32</v>
      </c>
      <c r="RPW75" s="244" t="s">
        <v>32</v>
      </c>
      <c r="RPX75" s="244" t="s">
        <v>32</v>
      </c>
      <c r="RPY75" s="244" t="s">
        <v>32</v>
      </c>
      <c r="RPZ75" s="244" t="s">
        <v>32</v>
      </c>
      <c r="RQA75" s="244" t="s">
        <v>32</v>
      </c>
      <c r="RQB75" s="244" t="s">
        <v>32</v>
      </c>
      <c r="RQC75" s="244" t="s">
        <v>32</v>
      </c>
      <c r="RQD75" s="244" t="s">
        <v>32</v>
      </c>
      <c r="RQE75" s="244" t="s">
        <v>32</v>
      </c>
      <c r="RQF75" s="244" t="s">
        <v>32</v>
      </c>
      <c r="RQG75" s="244" t="s">
        <v>32</v>
      </c>
      <c r="RQH75" s="244" t="s">
        <v>32</v>
      </c>
      <c r="RQI75" s="244" t="s">
        <v>32</v>
      </c>
      <c r="RQJ75" s="244" t="s">
        <v>32</v>
      </c>
      <c r="RQK75" s="244" t="s">
        <v>32</v>
      </c>
      <c r="RQL75" s="244" t="s">
        <v>32</v>
      </c>
      <c r="RQM75" s="244" t="s">
        <v>32</v>
      </c>
      <c r="RQN75" s="244" t="s">
        <v>32</v>
      </c>
      <c r="RQO75" s="244" t="s">
        <v>32</v>
      </c>
      <c r="RQP75" s="244" t="s">
        <v>32</v>
      </c>
      <c r="RQQ75" s="244" t="s">
        <v>32</v>
      </c>
      <c r="RQR75" s="244" t="s">
        <v>32</v>
      </c>
      <c r="RQS75" s="244" t="s">
        <v>32</v>
      </c>
      <c r="RQT75" s="244" t="s">
        <v>32</v>
      </c>
      <c r="RQU75" s="244" t="s">
        <v>32</v>
      </c>
      <c r="RQV75" s="244" t="s">
        <v>32</v>
      </c>
      <c r="RQW75" s="244" t="s">
        <v>32</v>
      </c>
      <c r="RQX75" s="244" t="s">
        <v>32</v>
      </c>
      <c r="RQY75" s="244" t="s">
        <v>32</v>
      </c>
      <c r="RQZ75" s="244" t="s">
        <v>32</v>
      </c>
      <c r="RRA75" s="244" t="s">
        <v>32</v>
      </c>
      <c r="RRB75" s="244" t="s">
        <v>32</v>
      </c>
      <c r="RRC75" s="244" t="s">
        <v>32</v>
      </c>
      <c r="RRD75" s="244" t="s">
        <v>32</v>
      </c>
      <c r="RRE75" s="244" t="s">
        <v>32</v>
      </c>
      <c r="RRF75" s="244" t="s">
        <v>32</v>
      </c>
      <c r="RRG75" s="244" t="s">
        <v>32</v>
      </c>
      <c r="RRH75" s="244" t="s">
        <v>32</v>
      </c>
      <c r="RRI75" s="244" t="s">
        <v>32</v>
      </c>
      <c r="RRJ75" s="244" t="s">
        <v>32</v>
      </c>
      <c r="RRK75" s="244" t="s">
        <v>32</v>
      </c>
      <c r="RRL75" s="244" t="s">
        <v>32</v>
      </c>
      <c r="RRM75" s="244" t="s">
        <v>32</v>
      </c>
      <c r="RRN75" s="244" t="s">
        <v>32</v>
      </c>
      <c r="RRO75" s="244" t="s">
        <v>32</v>
      </c>
      <c r="RRP75" s="244" t="s">
        <v>32</v>
      </c>
      <c r="RRQ75" s="244" t="s">
        <v>32</v>
      </c>
      <c r="RRR75" s="244" t="s">
        <v>32</v>
      </c>
      <c r="RRS75" s="244" t="s">
        <v>32</v>
      </c>
      <c r="RRT75" s="244" t="s">
        <v>32</v>
      </c>
      <c r="RRU75" s="244" t="s">
        <v>32</v>
      </c>
      <c r="RRV75" s="244" t="s">
        <v>32</v>
      </c>
      <c r="RRW75" s="244" t="s">
        <v>32</v>
      </c>
      <c r="RRX75" s="244" t="s">
        <v>32</v>
      </c>
      <c r="RRY75" s="244" t="s">
        <v>32</v>
      </c>
      <c r="RRZ75" s="244" t="s">
        <v>32</v>
      </c>
      <c r="RSA75" s="244" t="s">
        <v>32</v>
      </c>
      <c r="RSB75" s="244" t="s">
        <v>32</v>
      </c>
      <c r="RSC75" s="244" t="s">
        <v>32</v>
      </c>
      <c r="RSD75" s="244" t="s">
        <v>32</v>
      </c>
      <c r="RSE75" s="244" t="s">
        <v>32</v>
      </c>
      <c r="RSF75" s="244" t="s">
        <v>32</v>
      </c>
      <c r="RSG75" s="244" t="s">
        <v>32</v>
      </c>
      <c r="RSH75" s="244" t="s">
        <v>32</v>
      </c>
      <c r="RSI75" s="244" t="s">
        <v>32</v>
      </c>
      <c r="RSJ75" s="244" t="s">
        <v>32</v>
      </c>
      <c r="RSK75" s="244" t="s">
        <v>32</v>
      </c>
      <c r="RSL75" s="244" t="s">
        <v>32</v>
      </c>
      <c r="RSM75" s="244" t="s">
        <v>32</v>
      </c>
      <c r="RSN75" s="244" t="s">
        <v>32</v>
      </c>
      <c r="RSO75" s="244" t="s">
        <v>32</v>
      </c>
      <c r="RSP75" s="244" t="s">
        <v>32</v>
      </c>
      <c r="RSQ75" s="244" t="s">
        <v>32</v>
      </c>
      <c r="RSR75" s="244" t="s">
        <v>32</v>
      </c>
      <c r="RSS75" s="244" t="s">
        <v>32</v>
      </c>
      <c r="RST75" s="244" t="s">
        <v>32</v>
      </c>
      <c r="RSU75" s="244" t="s">
        <v>32</v>
      </c>
      <c r="RSV75" s="244" t="s">
        <v>32</v>
      </c>
      <c r="RSW75" s="244" t="s">
        <v>32</v>
      </c>
      <c r="RSX75" s="244" t="s">
        <v>32</v>
      </c>
      <c r="RSY75" s="244" t="s">
        <v>32</v>
      </c>
      <c r="RSZ75" s="244" t="s">
        <v>32</v>
      </c>
      <c r="RTA75" s="244" t="s">
        <v>32</v>
      </c>
      <c r="RTB75" s="244" t="s">
        <v>32</v>
      </c>
      <c r="RTC75" s="244" t="s">
        <v>32</v>
      </c>
      <c r="RTD75" s="244" t="s">
        <v>32</v>
      </c>
      <c r="RTE75" s="244" t="s">
        <v>32</v>
      </c>
      <c r="RTF75" s="244" t="s">
        <v>32</v>
      </c>
      <c r="RTG75" s="244" t="s">
        <v>32</v>
      </c>
      <c r="RTH75" s="244" t="s">
        <v>32</v>
      </c>
      <c r="RTI75" s="244" t="s">
        <v>32</v>
      </c>
      <c r="RTJ75" s="244" t="s">
        <v>32</v>
      </c>
      <c r="RTK75" s="244" t="s">
        <v>32</v>
      </c>
      <c r="RTL75" s="244" t="s">
        <v>32</v>
      </c>
      <c r="RTM75" s="244" t="s">
        <v>32</v>
      </c>
      <c r="RTN75" s="244" t="s">
        <v>32</v>
      </c>
      <c r="RTO75" s="244" t="s">
        <v>32</v>
      </c>
      <c r="RTP75" s="244" t="s">
        <v>32</v>
      </c>
      <c r="RTQ75" s="244" t="s">
        <v>32</v>
      </c>
      <c r="RTR75" s="244" t="s">
        <v>32</v>
      </c>
      <c r="RTS75" s="244" t="s">
        <v>32</v>
      </c>
      <c r="RTT75" s="244" t="s">
        <v>32</v>
      </c>
      <c r="RTU75" s="244" t="s">
        <v>32</v>
      </c>
      <c r="RTV75" s="244" t="s">
        <v>32</v>
      </c>
      <c r="RTW75" s="244" t="s">
        <v>32</v>
      </c>
      <c r="RTX75" s="244" t="s">
        <v>32</v>
      </c>
      <c r="RTY75" s="244" t="s">
        <v>32</v>
      </c>
      <c r="RTZ75" s="244" t="s">
        <v>32</v>
      </c>
      <c r="RUA75" s="244" t="s">
        <v>32</v>
      </c>
      <c r="RUB75" s="244" t="s">
        <v>32</v>
      </c>
      <c r="RUC75" s="244" t="s">
        <v>32</v>
      </c>
      <c r="RUD75" s="244" t="s">
        <v>32</v>
      </c>
      <c r="RUE75" s="244" t="s">
        <v>32</v>
      </c>
      <c r="RUF75" s="244" t="s">
        <v>32</v>
      </c>
      <c r="RUG75" s="244" t="s">
        <v>32</v>
      </c>
      <c r="RUH75" s="244" t="s">
        <v>32</v>
      </c>
      <c r="RUI75" s="244" t="s">
        <v>32</v>
      </c>
      <c r="RUJ75" s="244" t="s">
        <v>32</v>
      </c>
      <c r="RUK75" s="244" t="s">
        <v>32</v>
      </c>
      <c r="RUL75" s="244" t="s">
        <v>32</v>
      </c>
      <c r="RUM75" s="244" t="s">
        <v>32</v>
      </c>
      <c r="RUN75" s="244" t="s">
        <v>32</v>
      </c>
      <c r="RUO75" s="244" t="s">
        <v>32</v>
      </c>
      <c r="RUP75" s="244" t="s">
        <v>32</v>
      </c>
      <c r="RUQ75" s="244" t="s">
        <v>32</v>
      </c>
      <c r="RUR75" s="244" t="s">
        <v>32</v>
      </c>
      <c r="RUS75" s="244" t="s">
        <v>32</v>
      </c>
      <c r="RUT75" s="244" t="s">
        <v>32</v>
      </c>
      <c r="RUU75" s="244" t="s">
        <v>32</v>
      </c>
      <c r="RUV75" s="244" t="s">
        <v>32</v>
      </c>
      <c r="RUW75" s="244" t="s">
        <v>32</v>
      </c>
      <c r="RUX75" s="244" t="s">
        <v>32</v>
      </c>
      <c r="RUY75" s="244" t="s">
        <v>32</v>
      </c>
      <c r="RUZ75" s="244" t="s">
        <v>32</v>
      </c>
      <c r="RVA75" s="244" t="s">
        <v>32</v>
      </c>
      <c r="RVB75" s="244" t="s">
        <v>32</v>
      </c>
      <c r="RVC75" s="244" t="s">
        <v>32</v>
      </c>
      <c r="RVD75" s="244" t="s">
        <v>32</v>
      </c>
      <c r="RVE75" s="244" t="s">
        <v>32</v>
      </c>
      <c r="RVF75" s="244" t="s">
        <v>32</v>
      </c>
      <c r="RVG75" s="244" t="s">
        <v>32</v>
      </c>
      <c r="RVH75" s="244" t="s">
        <v>32</v>
      </c>
      <c r="RVI75" s="244" t="s">
        <v>32</v>
      </c>
      <c r="RVJ75" s="244" t="s">
        <v>32</v>
      </c>
      <c r="RVK75" s="244" t="s">
        <v>32</v>
      </c>
      <c r="RVL75" s="244" t="s">
        <v>32</v>
      </c>
      <c r="RVM75" s="244" t="s">
        <v>32</v>
      </c>
      <c r="RVN75" s="244" t="s">
        <v>32</v>
      </c>
      <c r="RVO75" s="244" t="s">
        <v>32</v>
      </c>
      <c r="RVP75" s="244" t="s">
        <v>32</v>
      </c>
      <c r="RVQ75" s="244" t="s">
        <v>32</v>
      </c>
      <c r="RVR75" s="244" t="s">
        <v>32</v>
      </c>
      <c r="RVS75" s="244" t="s">
        <v>32</v>
      </c>
      <c r="RVT75" s="244" t="s">
        <v>32</v>
      </c>
      <c r="RVU75" s="244" t="s">
        <v>32</v>
      </c>
      <c r="RVV75" s="244" t="s">
        <v>32</v>
      </c>
      <c r="RVW75" s="244" t="s">
        <v>32</v>
      </c>
      <c r="RVX75" s="244" t="s">
        <v>32</v>
      </c>
      <c r="RVY75" s="244" t="s">
        <v>32</v>
      </c>
      <c r="RVZ75" s="244" t="s">
        <v>32</v>
      </c>
      <c r="RWA75" s="244" t="s">
        <v>32</v>
      </c>
      <c r="RWB75" s="244" t="s">
        <v>32</v>
      </c>
      <c r="RWC75" s="244" t="s">
        <v>32</v>
      </c>
      <c r="RWD75" s="244" t="s">
        <v>32</v>
      </c>
      <c r="RWE75" s="244" t="s">
        <v>32</v>
      </c>
      <c r="RWF75" s="244" t="s">
        <v>32</v>
      </c>
      <c r="RWG75" s="244" t="s">
        <v>32</v>
      </c>
      <c r="RWH75" s="244" t="s">
        <v>32</v>
      </c>
      <c r="RWI75" s="244" t="s">
        <v>32</v>
      </c>
      <c r="RWJ75" s="244" t="s">
        <v>32</v>
      </c>
      <c r="RWK75" s="244" t="s">
        <v>32</v>
      </c>
      <c r="RWL75" s="244" t="s">
        <v>32</v>
      </c>
      <c r="RWM75" s="244" t="s">
        <v>32</v>
      </c>
      <c r="RWN75" s="244" t="s">
        <v>32</v>
      </c>
      <c r="RWO75" s="244" t="s">
        <v>32</v>
      </c>
      <c r="RWP75" s="244" t="s">
        <v>32</v>
      </c>
      <c r="RWQ75" s="244" t="s">
        <v>32</v>
      </c>
      <c r="RWR75" s="244" t="s">
        <v>32</v>
      </c>
      <c r="RWS75" s="244" t="s">
        <v>32</v>
      </c>
      <c r="RWT75" s="244" t="s">
        <v>32</v>
      </c>
      <c r="RWU75" s="244" t="s">
        <v>32</v>
      </c>
      <c r="RWV75" s="244" t="s">
        <v>32</v>
      </c>
      <c r="RWW75" s="244" t="s">
        <v>32</v>
      </c>
      <c r="RWX75" s="244" t="s">
        <v>32</v>
      </c>
      <c r="RWY75" s="244" t="s">
        <v>32</v>
      </c>
      <c r="RWZ75" s="244" t="s">
        <v>32</v>
      </c>
      <c r="RXA75" s="244" t="s">
        <v>32</v>
      </c>
      <c r="RXB75" s="244" t="s">
        <v>32</v>
      </c>
      <c r="RXC75" s="244" t="s">
        <v>32</v>
      </c>
      <c r="RXD75" s="244" t="s">
        <v>32</v>
      </c>
      <c r="RXE75" s="244" t="s">
        <v>32</v>
      </c>
      <c r="RXF75" s="244" t="s">
        <v>32</v>
      </c>
      <c r="RXG75" s="244" t="s">
        <v>32</v>
      </c>
      <c r="RXH75" s="244" t="s">
        <v>32</v>
      </c>
      <c r="RXI75" s="244" t="s">
        <v>32</v>
      </c>
      <c r="RXJ75" s="244" t="s">
        <v>32</v>
      </c>
      <c r="RXK75" s="244" t="s">
        <v>32</v>
      </c>
      <c r="RXL75" s="244" t="s">
        <v>32</v>
      </c>
      <c r="RXM75" s="244" t="s">
        <v>32</v>
      </c>
      <c r="RXN75" s="244" t="s">
        <v>32</v>
      </c>
      <c r="RXO75" s="244" t="s">
        <v>32</v>
      </c>
      <c r="RXP75" s="244" t="s">
        <v>32</v>
      </c>
      <c r="RXQ75" s="244" t="s">
        <v>32</v>
      </c>
      <c r="RXR75" s="244" t="s">
        <v>32</v>
      </c>
      <c r="RXS75" s="244" t="s">
        <v>32</v>
      </c>
      <c r="RXT75" s="244" t="s">
        <v>32</v>
      </c>
      <c r="RXU75" s="244" t="s">
        <v>32</v>
      </c>
      <c r="RXV75" s="244" t="s">
        <v>32</v>
      </c>
      <c r="RXW75" s="244" t="s">
        <v>32</v>
      </c>
      <c r="RXX75" s="244" t="s">
        <v>32</v>
      </c>
      <c r="RXY75" s="244" t="s">
        <v>32</v>
      </c>
      <c r="RXZ75" s="244" t="s">
        <v>32</v>
      </c>
      <c r="RYA75" s="244" t="s">
        <v>32</v>
      </c>
      <c r="RYB75" s="244" t="s">
        <v>32</v>
      </c>
      <c r="RYC75" s="244" t="s">
        <v>32</v>
      </c>
      <c r="RYD75" s="244" t="s">
        <v>32</v>
      </c>
      <c r="RYE75" s="244" t="s">
        <v>32</v>
      </c>
      <c r="RYF75" s="244" t="s">
        <v>32</v>
      </c>
      <c r="RYG75" s="244" t="s">
        <v>32</v>
      </c>
      <c r="RYH75" s="244" t="s">
        <v>32</v>
      </c>
      <c r="RYI75" s="244" t="s">
        <v>32</v>
      </c>
      <c r="RYJ75" s="244" t="s">
        <v>32</v>
      </c>
      <c r="RYK75" s="244" t="s">
        <v>32</v>
      </c>
      <c r="RYL75" s="244" t="s">
        <v>32</v>
      </c>
      <c r="RYM75" s="244" t="s">
        <v>32</v>
      </c>
      <c r="RYN75" s="244" t="s">
        <v>32</v>
      </c>
      <c r="RYO75" s="244" t="s">
        <v>32</v>
      </c>
      <c r="RYP75" s="244" t="s">
        <v>32</v>
      </c>
      <c r="RYQ75" s="244" t="s">
        <v>32</v>
      </c>
      <c r="RYR75" s="244" t="s">
        <v>32</v>
      </c>
      <c r="RYS75" s="244" t="s">
        <v>32</v>
      </c>
      <c r="RYT75" s="244" t="s">
        <v>32</v>
      </c>
      <c r="RYU75" s="244" t="s">
        <v>32</v>
      </c>
      <c r="RYV75" s="244" t="s">
        <v>32</v>
      </c>
      <c r="RYW75" s="244" t="s">
        <v>32</v>
      </c>
      <c r="RYX75" s="244" t="s">
        <v>32</v>
      </c>
      <c r="RYY75" s="244" t="s">
        <v>32</v>
      </c>
      <c r="RYZ75" s="244" t="s">
        <v>32</v>
      </c>
      <c r="RZA75" s="244" t="s">
        <v>32</v>
      </c>
      <c r="RZB75" s="244" t="s">
        <v>32</v>
      </c>
      <c r="RZC75" s="244" t="s">
        <v>32</v>
      </c>
      <c r="RZD75" s="244" t="s">
        <v>32</v>
      </c>
      <c r="RZE75" s="244" t="s">
        <v>32</v>
      </c>
      <c r="RZF75" s="244" t="s">
        <v>32</v>
      </c>
      <c r="RZG75" s="244" t="s">
        <v>32</v>
      </c>
      <c r="RZH75" s="244" t="s">
        <v>32</v>
      </c>
      <c r="RZI75" s="244" t="s">
        <v>32</v>
      </c>
      <c r="RZJ75" s="244" t="s">
        <v>32</v>
      </c>
      <c r="RZK75" s="244" t="s">
        <v>32</v>
      </c>
      <c r="RZL75" s="244" t="s">
        <v>32</v>
      </c>
      <c r="RZM75" s="244" t="s">
        <v>32</v>
      </c>
      <c r="RZN75" s="244" t="s">
        <v>32</v>
      </c>
      <c r="RZO75" s="244" t="s">
        <v>32</v>
      </c>
      <c r="RZP75" s="244" t="s">
        <v>32</v>
      </c>
      <c r="RZQ75" s="244" t="s">
        <v>32</v>
      </c>
      <c r="RZR75" s="244" t="s">
        <v>32</v>
      </c>
      <c r="RZS75" s="244" t="s">
        <v>32</v>
      </c>
      <c r="RZT75" s="244" t="s">
        <v>32</v>
      </c>
      <c r="RZU75" s="244" t="s">
        <v>32</v>
      </c>
      <c r="RZV75" s="244" t="s">
        <v>32</v>
      </c>
      <c r="RZW75" s="244" t="s">
        <v>32</v>
      </c>
      <c r="RZX75" s="244" t="s">
        <v>32</v>
      </c>
      <c r="RZY75" s="244" t="s">
        <v>32</v>
      </c>
      <c r="RZZ75" s="244" t="s">
        <v>32</v>
      </c>
      <c r="SAA75" s="244" t="s">
        <v>32</v>
      </c>
      <c r="SAB75" s="244" t="s">
        <v>32</v>
      </c>
      <c r="SAC75" s="244" t="s">
        <v>32</v>
      </c>
      <c r="SAD75" s="244" t="s">
        <v>32</v>
      </c>
      <c r="SAE75" s="244" t="s">
        <v>32</v>
      </c>
      <c r="SAF75" s="244" t="s">
        <v>32</v>
      </c>
      <c r="SAG75" s="244" t="s">
        <v>32</v>
      </c>
      <c r="SAH75" s="244" t="s">
        <v>32</v>
      </c>
      <c r="SAI75" s="244" t="s">
        <v>32</v>
      </c>
      <c r="SAJ75" s="244" t="s">
        <v>32</v>
      </c>
      <c r="SAK75" s="244" t="s">
        <v>32</v>
      </c>
      <c r="SAL75" s="244" t="s">
        <v>32</v>
      </c>
      <c r="SAM75" s="244" t="s">
        <v>32</v>
      </c>
      <c r="SAN75" s="244" t="s">
        <v>32</v>
      </c>
      <c r="SAO75" s="244" t="s">
        <v>32</v>
      </c>
      <c r="SAP75" s="244" t="s">
        <v>32</v>
      </c>
      <c r="SAQ75" s="244" t="s">
        <v>32</v>
      </c>
      <c r="SAR75" s="244" t="s">
        <v>32</v>
      </c>
      <c r="SAS75" s="244" t="s">
        <v>32</v>
      </c>
      <c r="SAT75" s="244" t="s">
        <v>32</v>
      </c>
      <c r="SAU75" s="244" t="s">
        <v>32</v>
      </c>
      <c r="SAV75" s="244" t="s">
        <v>32</v>
      </c>
      <c r="SAW75" s="244" t="s">
        <v>32</v>
      </c>
      <c r="SAX75" s="244" t="s">
        <v>32</v>
      </c>
      <c r="SAY75" s="244" t="s">
        <v>32</v>
      </c>
      <c r="SAZ75" s="244" t="s">
        <v>32</v>
      </c>
      <c r="SBA75" s="244" t="s">
        <v>32</v>
      </c>
      <c r="SBB75" s="244" t="s">
        <v>32</v>
      </c>
      <c r="SBC75" s="244" t="s">
        <v>32</v>
      </c>
      <c r="SBD75" s="244" t="s">
        <v>32</v>
      </c>
      <c r="SBE75" s="244" t="s">
        <v>32</v>
      </c>
      <c r="SBF75" s="244" t="s">
        <v>32</v>
      </c>
      <c r="SBG75" s="244" t="s">
        <v>32</v>
      </c>
      <c r="SBH75" s="244" t="s">
        <v>32</v>
      </c>
      <c r="SBI75" s="244" t="s">
        <v>32</v>
      </c>
      <c r="SBJ75" s="244" t="s">
        <v>32</v>
      </c>
      <c r="SBK75" s="244" t="s">
        <v>32</v>
      </c>
      <c r="SBL75" s="244" t="s">
        <v>32</v>
      </c>
      <c r="SBM75" s="244" t="s">
        <v>32</v>
      </c>
      <c r="SBN75" s="244" t="s">
        <v>32</v>
      </c>
      <c r="SBO75" s="244" t="s">
        <v>32</v>
      </c>
      <c r="SBP75" s="244" t="s">
        <v>32</v>
      </c>
      <c r="SBQ75" s="244" t="s">
        <v>32</v>
      </c>
      <c r="SBR75" s="244" t="s">
        <v>32</v>
      </c>
      <c r="SBS75" s="244" t="s">
        <v>32</v>
      </c>
      <c r="SBT75" s="244" t="s">
        <v>32</v>
      </c>
      <c r="SBU75" s="244" t="s">
        <v>32</v>
      </c>
      <c r="SBV75" s="244" t="s">
        <v>32</v>
      </c>
      <c r="SBW75" s="244" t="s">
        <v>32</v>
      </c>
      <c r="SBX75" s="244" t="s">
        <v>32</v>
      </c>
      <c r="SBY75" s="244" t="s">
        <v>32</v>
      </c>
      <c r="SBZ75" s="244" t="s">
        <v>32</v>
      </c>
      <c r="SCA75" s="244" t="s">
        <v>32</v>
      </c>
      <c r="SCB75" s="244" t="s">
        <v>32</v>
      </c>
      <c r="SCC75" s="244" t="s">
        <v>32</v>
      </c>
      <c r="SCD75" s="244" t="s">
        <v>32</v>
      </c>
      <c r="SCE75" s="244" t="s">
        <v>32</v>
      </c>
      <c r="SCF75" s="244" t="s">
        <v>32</v>
      </c>
      <c r="SCG75" s="244" t="s">
        <v>32</v>
      </c>
      <c r="SCH75" s="244" t="s">
        <v>32</v>
      </c>
      <c r="SCI75" s="244" t="s">
        <v>32</v>
      </c>
      <c r="SCJ75" s="244" t="s">
        <v>32</v>
      </c>
      <c r="SCK75" s="244" t="s">
        <v>32</v>
      </c>
      <c r="SCL75" s="244" t="s">
        <v>32</v>
      </c>
      <c r="SCM75" s="244" t="s">
        <v>32</v>
      </c>
      <c r="SCN75" s="244" t="s">
        <v>32</v>
      </c>
      <c r="SCO75" s="244" t="s">
        <v>32</v>
      </c>
      <c r="SCP75" s="244" t="s">
        <v>32</v>
      </c>
      <c r="SCQ75" s="244" t="s">
        <v>32</v>
      </c>
      <c r="SCR75" s="244" t="s">
        <v>32</v>
      </c>
      <c r="SCS75" s="244" t="s">
        <v>32</v>
      </c>
      <c r="SCT75" s="244" t="s">
        <v>32</v>
      </c>
      <c r="SCU75" s="244" t="s">
        <v>32</v>
      </c>
      <c r="SCV75" s="244" t="s">
        <v>32</v>
      </c>
      <c r="SCW75" s="244" t="s">
        <v>32</v>
      </c>
      <c r="SCX75" s="244" t="s">
        <v>32</v>
      </c>
      <c r="SCY75" s="244" t="s">
        <v>32</v>
      </c>
      <c r="SCZ75" s="244" t="s">
        <v>32</v>
      </c>
      <c r="SDA75" s="244" t="s">
        <v>32</v>
      </c>
      <c r="SDB75" s="244" t="s">
        <v>32</v>
      </c>
      <c r="SDC75" s="244" t="s">
        <v>32</v>
      </c>
      <c r="SDD75" s="244" t="s">
        <v>32</v>
      </c>
      <c r="SDE75" s="244" t="s">
        <v>32</v>
      </c>
      <c r="SDF75" s="244" t="s">
        <v>32</v>
      </c>
      <c r="SDG75" s="244" t="s">
        <v>32</v>
      </c>
      <c r="SDH75" s="244" t="s">
        <v>32</v>
      </c>
      <c r="SDI75" s="244" t="s">
        <v>32</v>
      </c>
      <c r="SDJ75" s="244" t="s">
        <v>32</v>
      </c>
      <c r="SDK75" s="244" t="s">
        <v>32</v>
      </c>
      <c r="SDL75" s="244" t="s">
        <v>32</v>
      </c>
      <c r="SDM75" s="244" t="s">
        <v>32</v>
      </c>
      <c r="SDN75" s="244" t="s">
        <v>32</v>
      </c>
      <c r="SDO75" s="244" t="s">
        <v>32</v>
      </c>
      <c r="SDP75" s="244" t="s">
        <v>32</v>
      </c>
      <c r="SDQ75" s="244" t="s">
        <v>32</v>
      </c>
      <c r="SDR75" s="244" t="s">
        <v>32</v>
      </c>
      <c r="SDS75" s="244" t="s">
        <v>32</v>
      </c>
      <c r="SDT75" s="244" t="s">
        <v>32</v>
      </c>
      <c r="SDU75" s="244" t="s">
        <v>32</v>
      </c>
      <c r="SDV75" s="244" t="s">
        <v>32</v>
      </c>
      <c r="SDW75" s="244" t="s">
        <v>32</v>
      </c>
      <c r="SDX75" s="244" t="s">
        <v>32</v>
      </c>
      <c r="SDY75" s="244" t="s">
        <v>32</v>
      </c>
      <c r="SDZ75" s="244" t="s">
        <v>32</v>
      </c>
      <c r="SEA75" s="244" t="s">
        <v>32</v>
      </c>
      <c r="SEB75" s="244" t="s">
        <v>32</v>
      </c>
      <c r="SEC75" s="244" t="s">
        <v>32</v>
      </c>
      <c r="SED75" s="244" t="s">
        <v>32</v>
      </c>
      <c r="SEE75" s="244" t="s">
        <v>32</v>
      </c>
      <c r="SEF75" s="244" t="s">
        <v>32</v>
      </c>
      <c r="SEG75" s="244" t="s">
        <v>32</v>
      </c>
      <c r="SEH75" s="244" t="s">
        <v>32</v>
      </c>
      <c r="SEI75" s="244" t="s">
        <v>32</v>
      </c>
      <c r="SEJ75" s="244" t="s">
        <v>32</v>
      </c>
      <c r="SEK75" s="244" t="s">
        <v>32</v>
      </c>
      <c r="SEL75" s="244" t="s">
        <v>32</v>
      </c>
      <c r="SEM75" s="244" t="s">
        <v>32</v>
      </c>
      <c r="SEN75" s="244" t="s">
        <v>32</v>
      </c>
      <c r="SEO75" s="244" t="s">
        <v>32</v>
      </c>
      <c r="SEP75" s="244" t="s">
        <v>32</v>
      </c>
      <c r="SEQ75" s="244" t="s">
        <v>32</v>
      </c>
      <c r="SER75" s="244" t="s">
        <v>32</v>
      </c>
      <c r="SES75" s="244" t="s">
        <v>32</v>
      </c>
      <c r="SET75" s="244" t="s">
        <v>32</v>
      </c>
      <c r="SEU75" s="244" t="s">
        <v>32</v>
      </c>
      <c r="SEV75" s="244" t="s">
        <v>32</v>
      </c>
      <c r="SEW75" s="244" t="s">
        <v>32</v>
      </c>
      <c r="SEX75" s="244" t="s">
        <v>32</v>
      </c>
      <c r="SEY75" s="244" t="s">
        <v>32</v>
      </c>
      <c r="SEZ75" s="244" t="s">
        <v>32</v>
      </c>
      <c r="SFA75" s="244" t="s">
        <v>32</v>
      </c>
      <c r="SFB75" s="244" t="s">
        <v>32</v>
      </c>
      <c r="SFC75" s="244" t="s">
        <v>32</v>
      </c>
      <c r="SFD75" s="244" t="s">
        <v>32</v>
      </c>
      <c r="SFE75" s="244" t="s">
        <v>32</v>
      </c>
      <c r="SFF75" s="244" t="s">
        <v>32</v>
      </c>
      <c r="SFG75" s="244" t="s">
        <v>32</v>
      </c>
      <c r="SFH75" s="244" t="s">
        <v>32</v>
      </c>
      <c r="SFI75" s="244" t="s">
        <v>32</v>
      </c>
      <c r="SFJ75" s="244" t="s">
        <v>32</v>
      </c>
      <c r="SFK75" s="244" t="s">
        <v>32</v>
      </c>
      <c r="SFL75" s="244" t="s">
        <v>32</v>
      </c>
      <c r="SFM75" s="244" t="s">
        <v>32</v>
      </c>
      <c r="SFN75" s="244" t="s">
        <v>32</v>
      </c>
      <c r="SFO75" s="244" t="s">
        <v>32</v>
      </c>
      <c r="SFP75" s="244" t="s">
        <v>32</v>
      </c>
      <c r="SFQ75" s="244" t="s">
        <v>32</v>
      </c>
      <c r="SFR75" s="244" t="s">
        <v>32</v>
      </c>
      <c r="SFS75" s="244" t="s">
        <v>32</v>
      </c>
      <c r="SFT75" s="244" t="s">
        <v>32</v>
      </c>
      <c r="SFU75" s="244" t="s">
        <v>32</v>
      </c>
      <c r="SFV75" s="244" t="s">
        <v>32</v>
      </c>
      <c r="SFW75" s="244" t="s">
        <v>32</v>
      </c>
      <c r="SFX75" s="244" t="s">
        <v>32</v>
      </c>
      <c r="SFY75" s="244" t="s">
        <v>32</v>
      </c>
      <c r="SFZ75" s="244" t="s">
        <v>32</v>
      </c>
      <c r="SGA75" s="244" t="s">
        <v>32</v>
      </c>
      <c r="SGB75" s="244" t="s">
        <v>32</v>
      </c>
      <c r="SGC75" s="244" t="s">
        <v>32</v>
      </c>
      <c r="SGD75" s="244" t="s">
        <v>32</v>
      </c>
      <c r="SGE75" s="244" t="s">
        <v>32</v>
      </c>
      <c r="SGF75" s="244" t="s">
        <v>32</v>
      </c>
      <c r="SGG75" s="244" t="s">
        <v>32</v>
      </c>
      <c r="SGH75" s="244" t="s">
        <v>32</v>
      </c>
      <c r="SGI75" s="244" t="s">
        <v>32</v>
      </c>
      <c r="SGJ75" s="244" t="s">
        <v>32</v>
      </c>
      <c r="SGK75" s="244" t="s">
        <v>32</v>
      </c>
      <c r="SGL75" s="244" t="s">
        <v>32</v>
      </c>
      <c r="SGM75" s="244" t="s">
        <v>32</v>
      </c>
      <c r="SGN75" s="244" t="s">
        <v>32</v>
      </c>
      <c r="SGO75" s="244" t="s">
        <v>32</v>
      </c>
      <c r="SGP75" s="244" t="s">
        <v>32</v>
      </c>
      <c r="SGQ75" s="244" t="s">
        <v>32</v>
      </c>
      <c r="SGR75" s="244" t="s">
        <v>32</v>
      </c>
      <c r="SGS75" s="244" t="s">
        <v>32</v>
      </c>
      <c r="SGT75" s="244" t="s">
        <v>32</v>
      </c>
      <c r="SGU75" s="244" t="s">
        <v>32</v>
      </c>
      <c r="SGV75" s="244" t="s">
        <v>32</v>
      </c>
      <c r="SGW75" s="244" t="s">
        <v>32</v>
      </c>
      <c r="SGX75" s="244" t="s">
        <v>32</v>
      </c>
      <c r="SGY75" s="244" t="s">
        <v>32</v>
      </c>
      <c r="SGZ75" s="244" t="s">
        <v>32</v>
      </c>
      <c r="SHA75" s="244" t="s">
        <v>32</v>
      </c>
      <c r="SHB75" s="244" t="s">
        <v>32</v>
      </c>
      <c r="SHC75" s="244" t="s">
        <v>32</v>
      </c>
      <c r="SHD75" s="244" t="s">
        <v>32</v>
      </c>
      <c r="SHE75" s="244" t="s">
        <v>32</v>
      </c>
      <c r="SHF75" s="244" t="s">
        <v>32</v>
      </c>
      <c r="SHG75" s="244" t="s">
        <v>32</v>
      </c>
      <c r="SHH75" s="244" t="s">
        <v>32</v>
      </c>
      <c r="SHI75" s="244" t="s">
        <v>32</v>
      </c>
      <c r="SHJ75" s="244" t="s">
        <v>32</v>
      </c>
      <c r="SHK75" s="244" t="s">
        <v>32</v>
      </c>
      <c r="SHL75" s="244" t="s">
        <v>32</v>
      </c>
      <c r="SHM75" s="244" t="s">
        <v>32</v>
      </c>
      <c r="SHN75" s="244" t="s">
        <v>32</v>
      </c>
      <c r="SHO75" s="244" t="s">
        <v>32</v>
      </c>
      <c r="SHP75" s="244" t="s">
        <v>32</v>
      </c>
      <c r="SHQ75" s="244" t="s">
        <v>32</v>
      </c>
      <c r="SHR75" s="244" t="s">
        <v>32</v>
      </c>
      <c r="SHS75" s="244" t="s">
        <v>32</v>
      </c>
      <c r="SHT75" s="244" t="s">
        <v>32</v>
      </c>
      <c r="SHU75" s="244" t="s">
        <v>32</v>
      </c>
      <c r="SHV75" s="244" t="s">
        <v>32</v>
      </c>
      <c r="SHW75" s="244" t="s">
        <v>32</v>
      </c>
      <c r="SHX75" s="244" t="s">
        <v>32</v>
      </c>
      <c r="SHY75" s="244" t="s">
        <v>32</v>
      </c>
      <c r="SHZ75" s="244" t="s">
        <v>32</v>
      </c>
      <c r="SIA75" s="244" t="s">
        <v>32</v>
      </c>
      <c r="SIB75" s="244" t="s">
        <v>32</v>
      </c>
      <c r="SIC75" s="244" t="s">
        <v>32</v>
      </c>
      <c r="SID75" s="244" t="s">
        <v>32</v>
      </c>
      <c r="SIE75" s="244" t="s">
        <v>32</v>
      </c>
      <c r="SIF75" s="244" t="s">
        <v>32</v>
      </c>
      <c r="SIG75" s="244" t="s">
        <v>32</v>
      </c>
      <c r="SIH75" s="244" t="s">
        <v>32</v>
      </c>
      <c r="SII75" s="244" t="s">
        <v>32</v>
      </c>
      <c r="SIJ75" s="244" t="s">
        <v>32</v>
      </c>
      <c r="SIK75" s="244" t="s">
        <v>32</v>
      </c>
      <c r="SIL75" s="244" t="s">
        <v>32</v>
      </c>
      <c r="SIM75" s="244" t="s">
        <v>32</v>
      </c>
      <c r="SIN75" s="244" t="s">
        <v>32</v>
      </c>
      <c r="SIO75" s="244" t="s">
        <v>32</v>
      </c>
      <c r="SIP75" s="244" t="s">
        <v>32</v>
      </c>
      <c r="SIQ75" s="244" t="s">
        <v>32</v>
      </c>
      <c r="SIR75" s="244" t="s">
        <v>32</v>
      </c>
      <c r="SIS75" s="244" t="s">
        <v>32</v>
      </c>
      <c r="SIT75" s="244" t="s">
        <v>32</v>
      </c>
      <c r="SIU75" s="244" t="s">
        <v>32</v>
      </c>
      <c r="SIV75" s="244" t="s">
        <v>32</v>
      </c>
      <c r="SIW75" s="244" t="s">
        <v>32</v>
      </c>
      <c r="SIX75" s="244" t="s">
        <v>32</v>
      </c>
      <c r="SIY75" s="244" t="s">
        <v>32</v>
      </c>
      <c r="SIZ75" s="244" t="s">
        <v>32</v>
      </c>
      <c r="SJA75" s="244" t="s">
        <v>32</v>
      </c>
      <c r="SJB75" s="244" t="s">
        <v>32</v>
      </c>
      <c r="SJC75" s="244" t="s">
        <v>32</v>
      </c>
      <c r="SJD75" s="244" t="s">
        <v>32</v>
      </c>
      <c r="SJE75" s="244" t="s">
        <v>32</v>
      </c>
      <c r="SJF75" s="244" t="s">
        <v>32</v>
      </c>
      <c r="SJG75" s="244" t="s">
        <v>32</v>
      </c>
      <c r="SJH75" s="244" t="s">
        <v>32</v>
      </c>
      <c r="SJI75" s="244" t="s">
        <v>32</v>
      </c>
      <c r="SJJ75" s="244" t="s">
        <v>32</v>
      </c>
      <c r="SJK75" s="244" t="s">
        <v>32</v>
      </c>
      <c r="SJL75" s="244" t="s">
        <v>32</v>
      </c>
      <c r="SJM75" s="244" t="s">
        <v>32</v>
      </c>
      <c r="SJN75" s="244" t="s">
        <v>32</v>
      </c>
      <c r="SJO75" s="244" t="s">
        <v>32</v>
      </c>
      <c r="SJP75" s="244" t="s">
        <v>32</v>
      </c>
      <c r="SJQ75" s="244" t="s">
        <v>32</v>
      </c>
      <c r="SJR75" s="244" t="s">
        <v>32</v>
      </c>
      <c r="SJS75" s="244" t="s">
        <v>32</v>
      </c>
      <c r="SJT75" s="244" t="s">
        <v>32</v>
      </c>
      <c r="SJU75" s="244" t="s">
        <v>32</v>
      </c>
      <c r="SJV75" s="244" t="s">
        <v>32</v>
      </c>
      <c r="SJW75" s="244" t="s">
        <v>32</v>
      </c>
      <c r="SJX75" s="244" t="s">
        <v>32</v>
      </c>
      <c r="SJY75" s="244" t="s">
        <v>32</v>
      </c>
      <c r="SJZ75" s="244" t="s">
        <v>32</v>
      </c>
      <c r="SKA75" s="244" t="s">
        <v>32</v>
      </c>
      <c r="SKB75" s="244" t="s">
        <v>32</v>
      </c>
      <c r="SKC75" s="244" t="s">
        <v>32</v>
      </c>
      <c r="SKD75" s="244" t="s">
        <v>32</v>
      </c>
      <c r="SKE75" s="244" t="s">
        <v>32</v>
      </c>
      <c r="SKF75" s="244" t="s">
        <v>32</v>
      </c>
      <c r="SKG75" s="244" t="s">
        <v>32</v>
      </c>
      <c r="SKH75" s="244" t="s">
        <v>32</v>
      </c>
      <c r="SKI75" s="244" t="s">
        <v>32</v>
      </c>
      <c r="SKJ75" s="244" t="s">
        <v>32</v>
      </c>
      <c r="SKK75" s="244" t="s">
        <v>32</v>
      </c>
      <c r="SKL75" s="244" t="s">
        <v>32</v>
      </c>
      <c r="SKM75" s="244" t="s">
        <v>32</v>
      </c>
      <c r="SKN75" s="244" t="s">
        <v>32</v>
      </c>
      <c r="SKO75" s="244" t="s">
        <v>32</v>
      </c>
      <c r="SKP75" s="244" t="s">
        <v>32</v>
      </c>
      <c r="SKQ75" s="244" t="s">
        <v>32</v>
      </c>
      <c r="SKR75" s="244" t="s">
        <v>32</v>
      </c>
      <c r="SKS75" s="244" t="s">
        <v>32</v>
      </c>
      <c r="SKT75" s="244" t="s">
        <v>32</v>
      </c>
      <c r="SKU75" s="244" t="s">
        <v>32</v>
      </c>
      <c r="SKV75" s="244" t="s">
        <v>32</v>
      </c>
      <c r="SKW75" s="244" t="s">
        <v>32</v>
      </c>
      <c r="SKX75" s="244" t="s">
        <v>32</v>
      </c>
      <c r="SKY75" s="244" t="s">
        <v>32</v>
      </c>
      <c r="SKZ75" s="244" t="s">
        <v>32</v>
      </c>
      <c r="SLA75" s="244" t="s">
        <v>32</v>
      </c>
      <c r="SLB75" s="244" t="s">
        <v>32</v>
      </c>
      <c r="SLC75" s="244" t="s">
        <v>32</v>
      </c>
      <c r="SLD75" s="244" t="s">
        <v>32</v>
      </c>
      <c r="SLE75" s="244" t="s">
        <v>32</v>
      </c>
      <c r="SLF75" s="244" t="s">
        <v>32</v>
      </c>
      <c r="SLG75" s="244" t="s">
        <v>32</v>
      </c>
      <c r="SLH75" s="244" t="s">
        <v>32</v>
      </c>
      <c r="SLI75" s="244" t="s">
        <v>32</v>
      </c>
      <c r="SLJ75" s="244" t="s">
        <v>32</v>
      </c>
      <c r="SLK75" s="244" t="s">
        <v>32</v>
      </c>
      <c r="SLL75" s="244" t="s">
        <v>32</v>
      </c>
      <c r="SLM75" s="244" t="s">
        <v>32</v>
      </c>
      <c r="SLN75" s="244" t="s">
        <v>32</v>
      </c>
      <c r="SLO75" s="244" t="s">
        <v>32</v>
      </c>
      <c r="SLP75" s="244" t="s">
        <v>32</v>
      </c>
      <c r="SLQ75" s="244" t="s">
        <v>32</v>
      </c>
      <c r="SLR75" s="244" t="s">
        <v>32</v>
      </c>
      <c r="SLS75" s="244" t="s">
        <v>32</v>
      </c>
      <c r="SLT75" s="244" t="s">
        <v>32</v>
      </c>
      <c r="SLU75" s="244" t="s">
        <v>32</v>
      </c>
      <c r="SLV75" s="244" t="s">
        <v>32</v>
      </c>
      <c r="SLW75" s="244" t="s">
        <v>32</v>
      </c>
      <c r="SLX75" s="244" t="s">
        <v>32</v>
      </c>
      <c r="SLY75" s="244" t="s">
        <v>32</v>
      </c>
      <c r="SLZ75" s="244" t="s">
        <v>32</v>
      </c>
      <c r="SMA75" s="244" t="s">
        <v>32</v>
      </c>
      <c r="SMB75" s="244" t="s">
        <v>32</v>
      </c>
      <c r="SMC75" s="244" t="s">
        <v>32</v>
      </c>
      <c r="SMD75" s="244" t="s">
        <v>32</v>
      </c>
      <c r="SME75" s="244" t="s">
        <v>32</v>
      </c>
      <c r="SMF75" s="244" t="s">
        <v>32</v>
      </c>
      <c r="SMG75" s="244" t="s">
        <v>32</v>
      </c>
      <c r="SMH75" s="244" t="s">
        <v>32</v>
      </c>
      <c r="SMI75" s="244" t="s">
        <v>32</v>
      </c>
      <c r="SMJ75" s="244" t="s">
        <v>32</v>
      </c>
      <c r="SMK75" s="244" t="s">
        <v>32</v>
      </c>
      <c r="SML75" s="244" t="s">
        <v>32</v>
      </c>
      <c r="SMM75" s="244" t="s">
        <v>32</v>
      </c>
      <c r="SMN75" s="244" t="s">
        <v>32</v>
      </c>
      <c r="SMO75" s="244" t="s">
        <v>32</v>
      </c>
      <c r="SMP75" s="244" t="s">
        <v>32</v>
      </c>
      <c r="SMQ75" s="244" t="s">
        <v>32</v>
      </c>
      <c r="SMR75" s="244" t="s">
        <v>32</v>
      </c>
      <c r="SMS75" s="244" t="s">
        <v>32</v>
      </c>
      <c r="SMT75" s="244" t="s">
        <v>32</v>
      </c>
      <c r="SMU75" s="244" t="s">
        <v>32</v>
      </c>
      <c r="SMV75" s="244" t="s">
        <v>32</v>
      </c>
      <c r="SMW75" s="244" t="s">
        <v>32</v>
      </c>
      <c r="SMX75" s="244" t="s">
        <v>32</v>
      </c>
      <c r="SMY75" s="244" t="s">
        <v>32</v>
      </c>
      <c r="SMZ75" s="244" t="s">
        <v>32</v>
      </c>
      <c r="SNA75" s="244" t="s">
        <v>32</v>
      </c>
      <c r="SNB75" s="244" t="s">
        <v>32</v>
      </c>
      <c r="SNC75" s="244" t="s">
        <v>32</v>
      </c>
      <c r="SND75" s="244" t="s">
        <v>32</v>
      </c>
      <c r="SNE75" s="244" t="s">
        <v>32</v>
      </c>
      <c r="SNF75" s="244" t="s">
        <v>32</v>
      </c>
      <c r="SNG75" s="244" t="s">
        <v>32</v>
      </c>
      <c r="SNH75" s="244" t="s">
        <v>32</v>
      </c>
      <c r="SNI75" s="244" t="s">
        <v>32</v>
      </c>
      <c r="SNJ75" s="244" t="s">
        <v>32</v>
      </c>
      <c r="SNK75" s="244" t="s">
        <v>32</v>
      </c>
      <c r="SNL75" s="244" t="s">
        <v>32</v>
      </c>
      <c r="SNM75" s="244" t="s">
        <v>32</v>
      </c>
      <c r="SNN75" s="244" t="s">
        <v>32</v>
      </c>
      <c r="SNO75" s="244" t="s">
        <v>32</v>
      </c>
      <c r="SNP75" s="244" t="s">
        <v>32</v>
      </c>
      <c r="SNQ75" s="244" t="s">
        <v>32</v>
      </c>
      <c r="SNR75" s="244" t="s">
        <v>32</v>
      </c>
      <c r="SNS75" s="244" t="s">
        <v>32</v>
      </c>
      <c r="SNT75" s="244" t="s">
        <v>32</v>
      </c>
      <c r="SNU75" s="244" t="s">
        <v>32</v>
      </c>
      <c r="SNV75" s="244" t="s">
        <v>32</v>
      </c>
      <c r="SNW75" s="244" t="s">
        <v>32</v>
      </c>
      <c r="SNX75" s="244" t="s">
        <v>32</v>
      </c>
      <c r="SNY75" s="244" t="s">
        <v>32</v>
      </c>
      <c r="SNZ75" s="244" t="s">
        <v>32</v>
      </c>
      <c r="SOA75" s="244" t="s">
        <v>32</v>
      </c>
      <c r="SOB75" s="244" t="s">
        <v>32</v>
      </c>
      <c r="SOC75" s="244" t="s">
        <v>32</v>
      </c>
      <c r="SOD75" s="244" t="s">
        <v>32</v>
      </c>
      <c r="SOE75" s="244" t="s">
        <v>32</v>
      </c>
      <c r="SOF75" s="244" t="s">
        <v>32</v>
      </c>
      <c r="SOG75" s="244" t="s">
        <v>32</v>
      </c>
      <c r="SOH75" s="244" t="s">
        <v>32</v>
      </c>
      <c r="SOI75" s="244" t="s">
        <v>32</v>
      </c>
      <c r="SOJ75" s="244" t="s">
        <v>32</v>
      </c>
      <c r="SOK75" s="244" t="s">
        <v>32</v>
      </c>
      <c r="SOL75" s="244" t="s">
        <v>32</v>
      </c>
      <c r="SOM75" s="244" t="s">
        <v>32</v>
      </c>
      <c r="SON75" s="244" t="s">
        <v>32</v>
      </c>
      <c r="SOO75" s="244" t="s">
        <v>32</v>
      </c>
      <c r="SOP75" s="244" t="s">
        <v>32</v>
      </c>
      <c r="SOQ75" s="244" t="s">
        <v>32</v>
      </c>
      <c r="SOR75" s="244" t="s">
        <v>32</v>
      </c>
      <c r="SOS75" s="244" t="s">
        <v>32</v>
      </c>
      <c r="SOT75" s="244" t="s">
        <v>32</v>
      </c>
      <c r="SOU75" s="244" t="s">
        <v>32</v>
      </c>
      <c r="SOV75" s="244" t="s">
        <v>32</v>
      </c>
      <c r="SOW75" s="244" t="s">
        <v>32</v>
      </c>
      <c r="SOX75" s="244" t="s">
        <v>32</v>
      </c>
      <c r="SOY75" s="244" t="s">
        <v>32</v>
      </c>
      <c r="SOZ75" s="244" t="s">
        <v>32</v>
      </c>
      <c r="SPA75" s="244" t="s">
        <v>32</v>
      </c>
      <c r="SPB75" s="244" t="s">
        <v>32</v>
      </c>
      <c r="SPC75" s="244" t="s">
        <v>32</v>
      </c>
      <c r="SPD75" s="244" t="s">
        <v>32</v>
      </c>
      <c r="SPE75" s="244" t="s">
        <v>32</v>
      </c>
      <c r="SPF75" s="244" t="s">
        <v>32</v>
      </c>
      <c r="SPG75" s="244" t="s">
        <v>32</v>
      </c>
      <c r="SPH75" s="244" t="s">
        <v>32</v>
      </c>
      <c r="SPI75" s="244" t="s">
        <v>32</v>
      </c>
      <c r="SPJ75" s="244" t="s">
        <v>32</v>
      </c>
      <c r="SPK75" s="244" t="s">
        <v>32</v>
      </c>
      <c r="SPL75" s="244" t="s">
        <v>32</v>
      </c>
      <c r="SPM75" s="244" t="s">
        <v>32</v>
      </c>
      <c r="SPN75" s="244" t="s">
        <v>32</v>
      </c>
      <c r="SPO75" s="244" t="s">
        <v>32</v>
      </c>
      <c r="SPP75" s="244" t="s">
        <v>32</v>
      </c>
      <c r="SPQ75" s="244" t="s">
        <v>32</v>
      </c>
      <c r="SPR75" s="244" t="s">
        <v>32</v>
      </c>
      <c r="SPS75" s="244" t="s">
        <v>32</v>
      </c>
      <c r="SPT75" s="244" t="s">
        <v>32</v>
      </c>
      <c r="SPU75" s="244" t="s">
        <v>32</v>
      </c>
      <c r="SPV75" s="244" t="s">
        <v>32</v>
      </c>
      <c r="SPW75" s="244" t="s">
        <v>32</v>
      </c>
      <c r="SPX75" s="244" t="s">
        <v>32</v>
      </c>
      <c r="SPY75" s="244" t="s">
        <v>32</v>
      </c>
      <c r="SPZ75" s="244" t="s">
        <v>32</v>
      </c>
      <c r="SQA75" s="244" t="s">
        <v>32</v>
      </c>
      <c r="SQB75" s="244" t="s">
        <v>32</v>
      </c>
      <c r="SQC75" s="244" t="s">
        <v>32</v>
      </c>
      <c r="SQD75" s="244" t="s">
        <v>32</v>
      </c>
      <c r="SQE75" s="244" t="s">
        <v>32</v>
      </c>
      <c r="SQF75" s="244" t="s">
        <v>32</v>
      </c>
      <c r="SQG75" s="244" t="s">
        <v>32</v>
      </c>
      <c r="SQH75" s="244" t="s">
        <v>32</v>
      </c>
      <c r="SQI75" s="244" t="s">
        <v>32</v>
      </c>
      <c r="SQJ75" s="244" t="s">
        <v>32</v>
      </c>
      <c r="SQK75" s="244" t="s">
        <v>32</v>
      </c>
      <c r="SQL75" s="244" t="s">
        <v>32</v>
      </c>
      <c r="SQM75" s="244" t="s">
        <v>32</v>
      </c>
      <c r="SQN75" s="244" t="s">
        <v>32</v>
      </c>
      <c r="SQO75" s="244" t="s">
        <v>32</v>
      </c>
      <c r="SQP75" s="244" t="s">
        <v>32</v>
      </c>
      <c r="SQQ75" s="244" t="s">
        <v>32</v>
      </c>
      <c r="SQR75" s="244" t="s">
        <v>32</v>
      </c>
      <c r="SQS75" s="244" t="s">
        <v>32</v>
      </c>
      <c r="SQT75" s="244" t="s">
        <v>32</v>
      </c>
      <c r="SQU75" s="244" t="s">
        <v>32</v>
      </c>
      <c r="SQV75" s="244" t="s">
        <v>32</v>
      </c>
      <c r="SQW75" s="244" t="s">
        <v>32</v>
      </c>
      <c r="SQX75" s="244" t="s">
        <v>32</v>
      </c>
      <c r="SQY75" s="244" t="s">
        <v>32</v>
      </c>
      <c r="SQZ75" s="244" t="s">
        <v>32</v>
      </c>
      <c r="SRA75" s="244" t="s">
        <v>32</v>
      </c>
      <c r="SRB75" s="244" t="s">
        <v>32</v>
      </c>
      <c r="SRC75" s="244" t="s">
        <v>32</v>
      </c>
      <c r="SRD75" s="244" t="s">
        <v>32</v>
      </c>
      <c r="SRE75" s="244" t="s">
        <v>32</v>
      </c>
      <c r="SRF75" s="244" t="s">
        <v>32</v>
      </c>
      <c r="SRG75" s="244" t="s">
        <v>32</v>
      </c>
      <c r="SRH75" s="244" t="s">
        <v>32</v>
      </c>
      <c r="SRI75" s="244" t="s">
        <v>32</v>
      </c>
      <c r="SRJ75" s="244" t="s">
        <v>32</v>
      </c>
      <c r="SRK75" s="244" t="s">
        <v>32</v>
      </c>
      <c r="SRL75" s="244" t="s">
        <v>32</v>
      </c>
      <c r="SRM75" s="244" t="s">
        <v>32</v>
      </c>
      <c r="SRN75" s="244" t="s">
        <v>32</v>
      </c>
      <c r="SRO75" s="244" t="s">
        <v>32</v>
      </c>
      <c r="SRP75" s="244" t="s">
        <v>32</v>
      </c>
      <c r="SRQ75" s="244" t="s">
        <v>32</v>
      </c>
      <c r="SRR75" s="244" t="s">
        <v>32</v>
      </c>
      <c r="SRS75" s="244" t="s">
        <v>32</v>
      </c>
      <c r="SRT75" s="244" t="s">
        <v>32</v>
      </c>
      <c r="SRU75" s="244" t="s">
        <v>32</v>
      </c>
      <c r="SRV75" s="244" t="s">
        <v>32</v>
      </c>
      <c r="SRW75" s="244" t="s">
        <v>32</v>
      </c>
      <c r="SRX75" s="244" t="s">
        <v>32</v>
      </c>
      <c r="SRY75" s="244" t="s">
        <v>32</v>
      </c>
      <c r="SRZ75" s="244" t="s">
        <v>32</v>
      </c>
      <c r="SSA75" s="244" t="s">
        <v>32</v>
      </c>
      <c r="SSB75" s="244" t="s">
        <v>32</v>
      </c>
      <c r="SSC75" s="244" t="s">
        <v>32</v>
      </c>
      <c r="SSD75" s="244" t="s">
        <v>32</v>
      </c>
      <c r="SSE75" s="244" t="s">
        <v>32</v>
      </c>
      <c r="SSF75" s="244" t="s">
        <v>32</v>
      </c>
      <c r="SSG75" s="244" t="s">
        <v>32</v>
      </c>
      <c r="SSH75" s="244" t="s">
        <v>32</v>
      </c>
      <c r="SSI75" s="244" t="s">
        <v>32</v>
      </c>
      <c r="SSJ75" s="244" t="s">
        <v>32</v>
      </c>
      <c r="SSK75" s="244" t="s">
        <v>32</v>
      </c>
      <c r="SSL75" s="244" t="s">
        <v>32</v>
      </c>
      <c r="SSM75" s="244" t="s">
        <v>32</v>
      </c>
      <c r="SSN75" s="244" t="s">
        <v>32</v>
      </c>
      <c r="SSO75" s="244" t="s">
        <v>32</v>
      </c>
      <c r="SSP75" s="244" t="s">
        <v>32</v>
      </c>
      <c r="SSQ75" s="244" t="s">
        <v>32</v>
      </c>
      <c r="SSR75" s="244" t="s">
        <v>32</v>
      </c>
      <c r="SSS75" s="244" t="s">
        <v>32</v>
      </c>
      <c r="SST75" s="244" t="s">
        <v>32</v>
      </c>
      <c r="SSU75" s="244" t="s">
        <v>32</v>
      </c>
      <c r="SSV75" s="244" t="s">
        <v>32</v>
      </c>
      <c r="SSW75" s="244" t="s">
        <v>32</v>
      </c>
      <c r="SSX75" s="244" t="s">
        <v>32</v>
      </c>
      <c r="SSY75" s="244" t="s">
        <v>32</v>
      </c>
      <c r="SSZ75" s="244" t="s">
        <v>32</v>
      </c>
      <c r="STA75" s="244" t="s">
        <v>32</v>
      </c>
      <c r="STB75" s="244" t="s">
        <v>32</v>
      </c>
      <c r="STC75" s="244" t="s">
        <v>32</v>
      </c>
      <c r="STD75" s="244" t="s">
        <v>32</v>
      </c>
      <c r="STE75" s="244" t="s">
        <v>32</v>
      </c>
      <c r="STF75" s="244" t="s">
        <v>32</v>
      </c>
      <c r="STG75" s="244" t="s">
        <v>32</v>
      </c>
      <c r="STH75" s="244" t="s">
        <v>32</v>
      </c>
      <c r="STI75" s="244" t="s">
        <v>32</v>
      </c>
      <c r="STJ75" s="244" t="s">
        <v>32</v>
      </c>
      <c r="STK75" s="244" t="s">
        <v>32</v>
      </c>
      <c r="STL75" s="244" t="s">
        <v>32</v>
      </c>
      <c r="STM75" s="244" t="s">
        <v>32</v>
      </c>
      <c r="STN75" s="244" t="s">
        <v>32</v>
      </c>
      <c r="STO75" s="244" t="s">
        <v>32</v>
      </c>
      <c r="STP75" s="244" t="s">
        <v>32</v>
      </c>
      <c r="STQ75" s="244" t="s">
        <v>32</v>
      </c>
      <c r="STR75" s="244" t="s">
        <v>32</v>
      </c>
      <c r="STS75" s="244" t="s">
        <v>32</v>
      </c>
      <c r="STT75" s="244" t="s">
        <v>32</v>
      </c>
      <c r="STU75" s="244" t="s">
        <v>32</v>
      </c>
      <c r="STV75" s="244" t="s">
        <v>32</v>
      </c>
      <c r="STW75" s="244" t="s">
        <v>32</v>
      </c>
      <c r="STX75" s="244" t="s">
        <v>32</v>
      </c>
      <c r="STY75" s="244" t="s">
        <v>32</v>
      </c>
      <c r="STZ75" s="244" t="s">
        <v>32</v>
      </c>
      <c r="SUA75" s="244" t="s">
        <v>32</v>
      </c>
      <c r="SUB75" s="244" t="s">
        <v>32</v>
      </c>
      <c r="SUC75" s="244" t="s">
        <v>32</v>
      </c>
      <c r="SUD75" s="244" t="s">
        <v>32</v>
      </c>
      <c r="SUE75" s="244" t="s">
        <v>32</v>
      </c>
      <c r="SUF75" s="244" t="s">
        <v>32</v>
      </c>
      <c r="SUG75" s="244" t="s">
        <v>32</v>
      </c>
      <c r="SUH75" s="244" t="s">
        <v>32</v>
      </c>
      <c r="SUI75" s="244" t="s">
        <v>32</v>
      </c>
      <c r="SUJ75" s="244" t="s">
        <v>32</v>
      </c>
      <c r="SUK75" s="244" t="s">
        <v>32</v>
      </c>
      <c r="SUL75" s="244" t="s">
        <v>32</v>
      </c>
      <c r="SUM75" s="244" t="s">
        <v>32</v>
      </c>
      <c r="SUN75" s="244" t="s">
        <v>32</v>
      </c>
      <c r="SUO75" s="244" t="s">
        <v>32</v>
      </c>
      <c r="SUP75" s="244" t="s">
        <v>32</v>
      </c>
      <c r="SUQ75" s="244" t="s">
        <v>32</v>
      </c>
      <c r="SUR75" s="244" t="s">
        <v>32</v>
      </c>
      <c r="SUS75" s="244" t="s">
        <v>32</v>
      </c>
      <c r="SUT75" s="244" t="s">
        <v>32</v>
      </c>
      <c r="SUU75" s="244" t="s">
        <v>32</v>
      </c>
      <c r="SUV75" s="244" t="s">
        <v>32</v>
      </c>
      <c r="SUW75" s="244" t="s">
        <v>32</v>
      </c>
      <c r="SUX75" s="244" t="s">
        <v>32</v>
      </c>
      <c r="SUY75" s="244" t="s">
        <v>32</v>
      </c>
      <c r="SUZ75" s="244" t="s">
        <v>32</v>
      </c>
      <c r="SVA75" s="244" t="s">
        <v>32</v>
      </c>
      <c r="SVB75" s="244" t="s">
        <v>32</v>
      </c>
      <c r="SVC75" s="244" t="s">
        <v>32</v>
      </c>
      <c r="SVD75" s="244" t="s">
        <v>32</v>
      </c>
      <c r="SVE75" s="244" t="s">
        <v>32</v>
      </c>
      <c r="SVF75" s="244" t="s">
        <v>32</v>
      </c>
      <c r="SVG75" s="244" t="s">
        <v>32</v>
      </c>
      <c r="SVH75" s="244" t="s">
        <v>32</v>
      </c>
      <c r="SVI75" s="244" t="s">
        <v>32</v>
      </c>
      <c r="SVJ75" s="244" t="s">
        <v>32</v>
      </c>
      <c r="SVK75" s="244" t="s">
        <v>32</v>
      </c>
      <c r="SVL75" s="244" t="s">
        <v>32</v>
      </c>
      <c r="SVM75" s="244" t="s">
        <v>32</v>
      </c>
      <c r="SVN75" s="244" t="s">
        <v>32</v>
      </c>
      <c r="SVO75" s="244" t="s">
        <v>32</v>
      </c>
      <c r="SVP75" s="244" t="s">
        <v>32</v>
      </c>
      <c r="SVQ75" s="244" t="s">
        <v>32</v>
      </c>
      <c r="SVR75" s="244" t="s">
        <v>32</v>
      </c>
      <c r="SVS75" s="244" t="s">
        <v>32</v>
      </c>
      <c r="SVT75" s="244" t="s">
        <v>32</v>
      </c>
      <c r="SVU75" s="244" t="s">
        <v>32</v>
      </c>
      <c r="SVV75" s="244" t="s">
        <v>32</v>
      </c>
      <c r="SVW75" s="244" t="s">
        <v>32</v>
      </c>
      <c r="SVX75" s="244" t="s">
        <v>32</v>
      </c>
      <c r="SVY75" s="244" t="s">
        <v>32</v>
      </c>
      <c r="SVZ75" s="244" t="s">
        <v>32</v>
      </c>
      <c r="SWA75" s="244" t="s">
        <v>32</v>
      </c>
      <c r="SWB75" s="244" t="s">
        <v>32</v>
      </c>
      <c r="SWC75" s="244" t="s">
        <v>32</v>
      </c>
      <c r="SWD75" s="244" t="s">
        <v>32</v>
      </c>
      <c r="SWE75" s="244" t="s">
        <v>32</v>
      </c>
      <c r="SWF75" s="244" t="s">
        <v>32</v>
      </c>
      <c r="SWG75" s="244" t="s">
        <v>32</v>
      </c>
      <c r="SWH75" s="244" t="s">
        <v>32</v>
      </c>
      <c r="SWI75" s="244" t="s">
        <v>32</v>
      </c>
      <c r="SWJ75" s="244" t="s">
        <v>32</v>
      </c>
      <c r="SWK75" s="244" t="s">
        <v>32</v>
      </c>
      <c r="SWL75" s="244" t="s">
        <v>32</v>
      </c>
      <c r="SWM75" s="244" t="s">
        <v>32</v>
      </c>
      <c r="SWN75" s="244" t="s">
        <v>32</v>
      </c>
      <c r="SWO75" s="244" t="s">
        <v>32</v>
      </c>
      <c r="SWP75" s="244" t="s">
        <v>32</v>
      </c>
      <c r="SWQ75" s="244" t="s">
        <v>32</v>
      </c>
      <c r="SWR75" s="244" t="s">
        <v>32</v>
      </c>
      <c r="SWS75" s="244" t="s">
        <v>32</v>
      </c>
      <c r="SWT75" s="244" t="s">
        <v>32</v>
      </c>
      <c r="SWU75" s="244" t="s">
        <v>32</v>
      </c>
      <c r="SWV75" s="244" t="s">
        <v>32</v>
      </c>
      <c r="SWW75" s="244" t="s">
        <v>32</v>
      </c>
      <c r="SWX75" s="244" t="s">
        <v>32</v>
      </c>
      <c r="SWY75" s="244" t="s">
        <v>32</v>
      </c>
      <c r="SWZ75" s="244" t="s">
        <v>32</v>
      </c>
      <c r="SXA75" s="244" t="s">
        <v>32</v>
      </c>
      <c r="SXB75" s="244" t="s">
        <v>32</v>
      </c>
      <c r="SXC75" s="244" t="s">
        <v>32</v>
      </c>
      <c r="SXD75" s="244" t="s">
        <v>32</v>
      </c>
      <c r="SXE75" s="244" t="s">
        <v>32</v>
      </c>
      <c r="SXF75" s="244" t="s">
        <v>32</v>
      </c>
      <c r="SXG75" s="244" t="s">
        <v>32</v>
      </c>
      <c r="SXH75" s="244" t="s">
        <v>32</v>
      </c>
      <c r="SXI75" s="244" t="s">
        <v>32</v>
      </c>
      <c r="SXJ75" s="244" t="s">
        <v>32</v>
      </c>
      <c r="SXK75" s="244" t="s">
        <v>32</v>
      </c>
      <c r="SXL75" s="244" t="s">
        <v>32</v>
      </c>
      <c r="SXM75" s="244" t="s">
        <v>32</v>
      </c>
      <c r="SXN75" s="244" t="s">
        <v>32</v>
      </c>
      <c r="SXO75" s="244" t="s">
        <v>32</v>
      </c>
      <c r="SXP75" s="244" t="s">
        <v>32</v>
      </c>
      <c r="SXQ75" s="244" t="s">
        <v>32</v>
      </c>
      <c r="SXR75" s="244" t="s">
        <v>32</v>
      </c>
      <c r="SXS75" s="244" t="s">
        <v>32</v>
      </c>
      <c r="SXT75" s="244" t="s">
        <v>32</v>
      </c>
      <c r="SXU75" s="244" t="s">
        <v>32</v>
      </c>
      <c r="SXV75" s="244" t="s">
        <v>32</v>
      </c>
      <c r="SXW75" s="244" t="s">
        <v>32</v>
      </c>
      <c r="SXX75" s="244" t="s">
        <v>32</v>
      </c>
      <c r="SXY75" s="244" t="s">
        <v>32</v>
      </c>
      <c r="SXZ75" s="244" t="s">
        <v>32</v>
      </c>
      <c r="SYA75" s="244" t="s">
        <v>32</v>
      </c>
      <c r="SYB75" s="244" t="s">
        <v>32</v>
      </c>
      <c r="SYC75" s="244" t="s">
        <v>32</v>
      </c>
      <c r="SYD75" s="244" t="s">
        <v>32</v>
      </c>
      <c r="SYE75" s="244" t="s">
        <v>32</v>
      </c>
      <c r="SYF75" s="244" t="s">
        <v>32</v>
      </c>
      <c r="SYG75" s="244" t="s">
        <v>32</v>
      </c>
      <c r="SYH75" s="244" t="s">
        <v>32</v>
      </c>
      <c r="SYI75" s="244" t="s">
        <v>32</v>
      </c>
      <c r="SYJ75" s="244" t="s">
        <v>32</v>
      </c>
      <c r="SYK75" s="244" t="s">
        <v>32</v>
      </c>
      <c r="SYL75" s="244" t="s">
        <v>32</v>
      </c>
      <c r="SYM75" s="244" t="s">
        <v>32</v>
      </c>
      <c r="SYN75" s="244" t="s">
        <v>32</v>
      </c>
      <c r="SYO75" s="244" t="s">
        <v>32</v>
      </c>
      <c r="SYP75" s="244" t="s">
        <v>32</v>
      </c>
      <c r="SYQ75" s="244" t="s">
        <v>32</v>
      </c>
      <c r="SYR75" s="244" t="s">
        <v>32</v>
      </c>
      <c r="SYS75" s="244" t="s">
        <v>32</v>
      </c>
      <c r="SYT75" s="244" t="s">
        <v>32</v>
      </c>
      <c r="SYU75" s="244" t="s">
        <v>32</v>
      </c>
      <c r="SYV75" s="244" t="s">
        <v>32</v>
      </c>
      <c r="SYW75" s="244" t="s">
        <v>32</v>
      </c>
      <c r="SYX75" s="244" t="s">
        <v>32</v>
      </c>
      <c r="SYY75" s="244" t="s">
        <v>32</v>
      </c>
      <c r="SYZ75" s="244" t="s">
        <v>32</v>
      </c>
      <c r="SZA75" s="244" t="s">
        <v>32</v>
      </c>
      <c r="SZB75" s="244" t="s">
        <v>32</v>
      </c>
      <c r="SZC75" s="244" t="s">
        <v>32</v>
      </c>
      <c r="SZD75" s="244" t="s">
        <v>32</v>
      </c>
      <c r="SZE75" s="244" t="s">
        <v>32</v>
      </c>
      <c r="SZF75" s="244" t="s">
        <v>32</v>
      </c>
      <c r="SZG75" s="244" t="s">
        <v>32</v>
      </c>
      <c r="SZH75" s="244" t="s">
        <v>32</v>
      </c>
      <c r="SZI75" s="244" t="s">
        <v>32</v>
      </c>
      <c r="SZJ75" s="244" t="s">
        <v>32</v>
      </c>
      <c r="SZK75" s="244" t="s">
        <v>32</v>
      </c>
      <c r="SZL75" s="244" t="s">
        <v>32</v>
      </c>
      <c r="SZM75" s="244" t="s">
        <v>32</v>
      </c>
      <c r="SZN75" s="244" t="s">
        <v>32</v>
      </c>
      <c r="SZO75" s="244" t="s">
        <v>32</v>
      </c>
      <c r="SZP75" s="244" t="s">
        <v>32</v>
      </c>
      <c r="SZQ75" s="244" t="s">
        <v>32</v>
      </c>
      <c r="SZR75" s="244" t="s">
        <v>32</v>
      </c>
      <c r="SZS75" s="244" t="s">
        <v>32</v>
      </c>
      <c r="SZT75" s="244" t="s">
        <v>32</v>
      </c>
      <c r="SZU75" s="244" t="s">
        <v>32</v>
      </c>
      <c r="SZV75" s="244" t="s">
        <v>32</v>
      </c>
      <c r="SZW75" s="244" t="s">
        <v>32</v>
      </c>
      <c r="SZX75" s="244" t="s">
        <v>32</v>
      </c>
      <c r="SZY75" s="244" t="s">
        <v>32</v>
      </c>
      <c r="SZZ75" s="244" t="s">
        <v>32</v>
      </c>
      <c r="TAA75" s="244" t="s">
        <v>32</v>
      </c>
      <c r="TAB75" s="244" t="s">
        <v>32</v>
      </c>
      <c r="TAC75" s="244" t="s">
        <v>32</v>
      </c>
      <c r="TAD75" s="244" t="s">
        <v>32</v>
      </c>
      <c r="TAE75" s="244" t="s">
        <v>32</v>
      </c>
      <c r="TAF75" s="244" t="s">
        <v>32</v>
      </c>
      <c r="TAG75" s="244" t="s">
        <v>32</v>
      </c>
      <c r="TAH75" s="244" t="s">
        <v>32</v>
      </c>
      <c r="TAI75" s="244" t="s">
        <v>32</v>
      </c>
      <c r="TAJ75" s="244" t="s">
        <v>32</v>
      </c>
      <c r="TAK75" s="244" t="s">
        <v>32</v>
      </c>
      <c r="TAL75" s="244" t="s">
        <v>32</v>
      </c>
      <c r="TAM75" s="244" t="s">
        <v>32</v>
      </c>
      <c r="TAN75" s="244" t="s">
        <v>32</v>
      </c>
      <c r="TAO75" s="244" t="s">
        <v>32</v>
      </c>
      <c r="TAP75" s="244" t="s">
        <v>32</v>
      </c>
      <c r="TAQ75" s="244" t="s">
        <v>32</v>
      </c>
      <c r="TAR75" s="244" t="s">
        <v>32</v>
      </c>
      <c r="TAS75" s="244" t="s">
        <v>32</v>
      </c>
      <c r="TAT75" s="244" t="s">
        <v>32</v>
      </c>
      <c r="TAU75" s="244" t="s">
        <v>32</v>
      </c>
      <c r="TAV75" s="244" t="s">
        <v>32</v>
      </c>
      <c r="TAW75" s="244" t="s">
        <v>32</v>
      </c>
      <c r="TAX75" s="244" t="s">
        <v>32</v>
      </c>
      <c r="TAY75" s="244" t="s">
        <v>32</v>
      </c>
      <c r="TAZ75" s="244" t="s">
        <v>32</v>
      </c>
      <c r="TBA75" s="244" t="s">
        <v>32</v>
      </c>
      <c r="TBB75" s="244" t="s">
        <v>32</v>
      </c>
      <c r="TBC75" s="244" t="s">
        <v>32</v>
      </c>
      <c r="TBD75" s="244" t="s">
        <v>32</v>
      </c>
      <c r="TBE75" s="244" t="s">
        <v>32</v>
      </c>
      <c r="TBF75" s="244" t="s">
        <v>32</v>
      </c>
      <c r="TBG75" s="244" t="s">
        <v>32</v>
      </c>
      <c r="TBH75" s="244" t="s">
        <v>32</v>
      </c>
      <c r="TBI75" s="244" t="s">
        <v>32</v>
      </c>
      <c r="TBJ75" s="244" t="s">
        <v>32</v>
      </c>
      <c r="TBK75" s="244" t="s">
        <v>32</v>
      </c>
      <c r="TBL75" s="244" t="s">
        <v>32</v>
      </c>
      <c r="TBM75" s="244" t="s">
        <v>32</v>
      </c>
      <c r="TBN75" s="244" t="s">
        <v>32</v>
      </c>
      <c r="TBO75" s="244" t="s">
        <v>32</v>
      </c>
      <c r="TBP75" s="244" t="s">
        <v>32</v>
      </c>
      <c r="TBQ75" s="244" t="s">
        <v>32</v>
      </c>
      <c r="TBR75" s="244" t="s">
        <v>32</v>
      </c>
      <c r="TBS75" s="244" t="s">
        <v>32</v>
      </c>
      <c r="TBT75" s="244" t="s">
        <v>32</v>
      </c>
      <c r="TBU75" s="244" t="s">
        <v>32</v>
      </c>
      <c r="TBV75" s="244" t="s">
        <v>32</v>
      </c>
      <c r="TBW75" s="244" t="s">
        <v>32</v>
      </c>
      <c r="TBX75" s="244" t="s">
        <v>32</v>
      </c>
      <c r="TBY75" s="244" t="s">
        <v>32</v>
      </c>
      <c r="TBZ75" s="244" t="s">
        <v>32</v>
      </c>
      <c r="TCA75" s="244" t="s">
        <v>32</v>
      </c>
      <c r="TCB75" s="244" t="s">
        <v>32</v>
      </c>
      <c r="TCC75" s="244" t="s">
        <v>32</v>
      </c>
      <c r="TCD75" s="244" t="s">
        <v>32</v>
      </c>
      <c r="TCE75" s="244" t="s">
        <v>32</v>
      </c>
      <c r="TCF75" s="244" t="s">
        <v>32</v>
      </c>
      <c r="TCG75" s="244" t="s">
        <v>32</v>
      </c>
      <c r="TCH75" s="244" t="s">
        <v>32</v>
      </c>
      <c r="TCI75" s="244" t="s">
        <v>32</v>
      </c>
      <c r="TCJ75" s="244" t="s">
        <v>32</v>
      </c>
      <c r="TCK75" s="244" t="s">
        <v>32</v>
      </c>
      <c r="TCL75" s="244" t="s">
        <v>32</v>
      </c>
      <c r="TCM75" s="244" t="s">
        <v>32</v>
      </c>
      <c r="TCN75" s="244" t="s">
        <v>32</v>
      </c>
      <c r="TCO75" s="244" t="s">
        <v>32</v>
      </c>
      <c r="TCP75" s="244" t="s">
        <v>32</v>
      </c>
      <c r="TCQ75" s="244" t="s">
        <v>32</v>
      </c>
      <c r="TCR75" s="244" t="s">
        <v>32</v>
      </c>
      <c r="TCS75" s="244" t="s">
        <v>32</v>
      </c>
      <c r="TCT75" s="244" t="s">
        <v>32</v>
      </c>
      <c r="TCU75" s="244" t="s">
        <v>32</v>
      </c>
      <c r="TCV75" s="244" t="s">
        <v>32</v>
      </c>
      <c r="TCW75" s="244" t="s">
        <v>32</v>
      </c>
      <c r="TCX75" s="244" t="s">
        <v>32</v>
      </c>
      <c r="TCY75" s="244" t="s">
        <v>32</v>
      </c>
      <c r="TCZ75" s="244" t="s">
        <v>32</v>
      </c>
      <c r="TDA75" s="244" t="s">
        <v>32</v>
      </c>
      <c r="TDB75" s="244" t="s">
        <v>32</v>
      </c>
      <c r="TDC75" s="244" t="s">
        <v>32</v>
      </c>
      <c r="TDD75" s="244" t="s">
        <v>32</v>
      </c>
      <c r="TDE75" s="244" t="s">
        <v>32</v>
      </c>
      <c r="TDF75" s="244" t="s">
        <v>32</v>
      </c>
      <c r="TDG75" s="244" t="s">
        <v>32</v>
      </c>
      <c r="TDH75" s="244" t="s">
        <v>32</v>
      </c>
      <c r="TDI75" s="244" t="s">
        <v>32</v>
      </c>
      <c r="TDJ75" s="244" t="s">
        <v>32</v>
      </c>
      <c r="TDK75" s="244" t="s">
        <v>32</v>
      </c>
      <c r="TDL75" s="244" t="s">
        <v>32</v>
      </c>
      <c r="TDM75" s="244" t="s">
        <v>32</v>
      </c>
      <c r="TDN75" s="244" t="s">
        <v>32</v>
      </c>
      <c r="TDO75" s="244" t="s">
        <v>32</v>
      </c>
      <c r="TDP75" s="244" t="s">
        <v>32</v>
      </c>
      <c r="TDQ75" s="244" t="s">
        <v>32</v>
      </c>
      <c r="TDR75" s="244" t="s">
        <v>32</v>
      </c>
      <c r="TDS75" s="244" t="s">
        <v>32</v>
      </c>
      <c r="TDT75" s="244" t="s">
        <v>32</v>
      </c>
      <c r="TDU75" s="244" t="s">
        <v>32</v>
      </c>
      <c r="TDV75" s="244" t="s">
        <v>32</v>
      </c>
      <c r="TDW75" s="244" t="s">
        <v>32</v>
      </c>
      <c r="TDX75" s="244" t="s">
        <v>32</v>
      </c>
      <c r="TDY75" s="244" t="s">
        <v>32</v>
      </c>
      <c r="TDZ75" s="244" t="s">
        <v>32</v>
      </c>
      <c r="TEA75" s="244" t="s">
        <v>32</v>
      </c>
      <c r="TEB75" s="244" t="s">
        <v>32</v>
      </c>
      <c r="TEC75" s="244" t="s">
        <v>32</v>
      </c>
      <c r="TED75" s="244" t="s">
        <v>32</v>
      </c>
      <c r="TEE75" s="244" t="s">
        <v>32</v>
      </c>
      <c r="TEF75" s="244" t="s">
        <v>32</v>
      </c>
      <c r="TEG75" s="244" t="s">
        <v>32</v>
      </c>
      <c r="TEH75" s="244" t="s">
        <v>32</v>
      </c>
      <c r="TEI75" s="244" t="s">
        <v>32</v>
      </c>
      <c r="TEJ75" s="244" t="s">
        <v>32</v>
      </c>
      <c r="TEK75" s="244" t="s">
        <v>32</v>
      </c>
      <c r="TEL75" s="244" t="s">
        <v>32</v>
      </c>
      <c r="TEM75" s="244" t="s">
        <v>32</v>
      </c>
      <c r="TEN75" s="244" t="s">
        <v>32</v>
      </c>
      <c r="TEO75" s="244" t="s">
        <v>32</v>
      </c>
      <c r="TEP75" s="244" t="s">
        <v>32</v>
      </c>
      <c r="TEQ75" s="244" t="s">
        <v>32</v>
      </c>
      <c r="TER75" s="244" t="s">
        <v>32</v>
      </c>
      <c r="TES75" s="244" t="s">
        <v>32</v>
      </c>
      <c r="TET75" s="244" t="s">
        <v>32</v>
      </c>
      <c r="TEU75" s="244" t="s">
        <v>32</v>
      </c>
      <c r="TEV75" s="244" t="s">
        <v>32</v>
      </c>
      <c r="TEW75" s="244" t="s">
        <v>32</v>
      </c>
      <c r="TEX75" s="244" t="s">
        <v>32</v>
      </c>
      <c r="TEY75" s="244" t="s">
        <v>32</v>
      </c>
      <c r="TEZ75" s="244" t="s">
        <v>32</v>
      </c>
      <c r="TFA75" s="244" t="s">
        <v>32</v>
      </c>
      <c r="TFB75" s="244" t="s">
        <v>32</v>
      </c>
      <c r="TFC75" s="244" t="s">
        <v>32</v>
      </c>
      <c r="TFD75" s="244" t="s">
        <v>32</v>
      </c>
      <c r="TFE75" s="244" t="s">
        <v>32</v>
      </c>
      <c r="TFF75" s="244" t="s">
        <v>32</v>
      </c>
      <c r="TFG75" s="244" t="s">
        <v>32</v>
      </c>
      <c r="TFH75" s="244" t="s">
        <v>32</v>
      </c>
      <c r="TFI75" s="244" t="s">
        <v>32</v>
      </c>
      <c r="TFJ75" s="244" t="s">
        <v>32</v>
      </c>
      <c r="TFK75" s="244" t="s">
        <v>32</v>
      </c>
      <c r="TFL75" s="244" t="s">
        <v>32</v>
      </c>
      <c r="TFM75" s="244" t="s">
        <v>32</v>
      </c>
      <c r="TFN75" s="244" t="s">
        <v>32</v>
      </c>
      <c r="TFO75" s="244" t="s">
        <v>32</v>
      </c>
      <c r="TFP75" s="244" t="s">
        <v>32</v>
      </c>
      <c r="TFQ75" s="244" t="s">
        <v>32</v>
      </c>
      <c r="TFR75" s="244" t="s">
        <v>32</v>
      </c>
      <c r="TFS75" s="244" t="s">
        <v>32</v>
      </c>
      <c r="TFT75" s="244" t="s">
        <v>32</v>
      </c>
      <c r="TFU75" s="244" t="s">
        <v>32</v>
      </c>
      <c r="TFV75" s="244" t="s">
        <v>32</v>
      </c>
      <c r="TFW75" s="244" t="s">
        <v>32</v>
      </c>
      <c r="TFX75" s="244" t="s">
        <v>32</v>
      </c>
      <c r="TFY75" s="244" t="s">
        <v>32</v>
      </c>
      <c r="TFZ75" s="244" t="s">
        <v>32</v>
      </c>
      <c r="TGA75" s="244" t="s">
        <v>32</v>
      </c>
      <c r="TGB75" s="244" t="s">
        <v>32</v>
      </c>
      <c r="TGC75" s="244" t="s">
        <v>32</v>
      </c>
      <c r="TGD75" s="244" t="s">
        <v>32</v>
      </c>
      <c r="TGE75" s="244" t="s">
        <v>32</v>
      </c>
      <c r="TGF75" s="244" t="s">
        <v>32</v>
      </c>
      <c r="TGG75" s="244" t="s">
        <v>32</v>
      </c>
      <c r="TGH75" s="244" t="s">
        <v>32</v>
      </c>
      <c r="TGI75" s="244" t="s">
        <v>32</v>
      </c>
      <c r="TGJ75" s="244" t="s">
        <v>32</v>
      </c>
      <c r="TGK75" s="244" t="s">
        <v>32</v>
      </c>
      <c r="TGL75" s="244" t="s">
        <v>32</v>
      </c>
      <c r="TGM75" s="244" t="s">
        <v>32</v>
      </c>
      <c r="TGN75" s="244" t="s">
        <v>32</v>
      </c>
      <c r="TGO75" s="244" t="s">
        <v>32</v>
      </c>
      <c r="TGP75" s="244" t="s">
        <v>32</v>
      </c>
      <c r="TGQ75" s="244" t="s">
        <v>32</v>
      </c>
      <c r="TGR75" s="244" t="s">
        <v>32</v>
      </c>
      <c r="TGS75" s="244" t="s">
        <v>32</v>
      </c>
      <c r="TGT75" s="244" t="s">
        <v>32</v>
      </c>
      <c r="TGU75" s="244" t="s">
        <v>32</v>
      </c>
      <c r="TGV75" s="244" t="s">
        <v>32</v>
      </c>
      <c r="TGW75" s="244" t="s">
        <v>32</v>
      </c>
      <c r="TGX75" s="244" t="s">
        <v>32</v>
      </c>
      <c r="TGY75" s="244" t="s">
        <v>32</v>
      </c>
      <c r="TGZ75" s="244" t="s">
        <v>32</v>
      </c>
      <c r="THA75" s="244" t="s">
        <v>32</v>
      </c>
      <c r="THB75" s="244" t="s">
        <v>32</v>
      </c>
      <c r="THC75" s="244" t="s">
        <v>32</v>
      </c>
      <c r="THD75" s="244" t="s">
        <v>32</v>
      </c>
      <c r="THE75" s="244" t="s">
        <v>32</v>
      </c>
      <c r="THF75" s="244" t="s">
        <v>32</v>
      </c>
      <c r="THG75" s="244" t="s">
        <v>32</v>
      </c>
      <c r="THH75" s="244" t="s">
        <v>32</v>
      </c>
      <c r="THI75" s="244" t="s">
        <v>32</v>
      </c>
      <c r="THJ75" s="244" t="s">
        <v>32</v>
      </c>
      <c r="THK75" s="244" t="s">
        <v>32</v>
      </c>
      <c r="THL75" s="244" t="s">
        <v>32</v>
      </c>
      <c r="THM75" s="244" t="s">
        <v>32</v>
      </c>
      <c r="THN75" s="244" t="s">
        <v>32</v>
      </c>
      <c r="THO75" s="244" t="s">
        <v>32</v>
      </c>
      <c r="THP75" s="244" t="s">
        <v>32</v>
      </c>
      <c r="THQ75" s="244" t="s">
        <v>32</v>
      </c>
      <c r="THR75" s="244" t="s">
        <v>32</v>
      </c>
      <c r="THS75" s="244" t="s">
        <v>32</v>
      </c>
      <c r="THT75" s="244" t="s">
        <v>32</v>
      </c>
      <c r="THU75" s="244" t="s">
        <v>32</v>
      </c>
      <c r="THV75" s="244" t="s">
        <v>32</v>
      </c>
      <c r="THW75" s="244" t="s">
        <v>32</v>
      </c>
      <c r="THX75" s="244" t="s">
        <v>32</v>
      </c>
      <c r="THY75" s="244" t="s">
        <v>32</v>
      </c>
      <c r="THZ75" s="244" t="s">
        <v>32</v>
      </c>
      <c r="TIA75" s="244" t="s">
        <v>32</v>
      </c>
      <c r="TIB75" s="244" t="s">
        <v>32</v>
      </c>
      <c r="TIC75" s="244" t="s">
        <v>32</v>
      </c>
      <c r="TID75" s="244" t="s">
        <v>32</v>
      </c>
      <c r="TIE75" s="244" t="s">
        <v>32</v>
      </c>
      <c r="TIF75" s="244" t="s">
        <v>32</v>
      </c>
      <c r="TIG75" s="244" t="s">
        <v>32</v>
      </c>
      <c r="TIH75" s="244" t="s">
        <v>32</v>
      </c>
      <c r="TII75" s="244" t="s">
        <v>32</v>
      </c>
      <c r="TIJ75" s="244" t="s">
        <v>32</v>
      </c>
      <c r="TIK75" s="244" t="s">
        <v>32</v>
      </c>
      <c r="TIL75" s="244" t="s">
        <v>32</v>
      </c>
      <c r="TIM75" s="244" t="s">
        <v>32</v>
      </c>
      <c r="TIN75" s="244" t="s">
        <v>32</v>
      </c>
      <c r="TIO75" s="244" t="s">
        <v>32</v>
      </c>
      <c r="TIP75" s="244" t="s">
        <v>32</v>
      </c>
      <c r="TIQ75" s="244" t="s">
        <v>32</v>
      </c>
      <c r="TIR75" s="244" t="s">
        <v>32</v>
      </c>
      <c r="TIS75" s="244" t="s">
        <v>32</v>
      </c>
      <c r="TIT75" s="244" t="s">
        <v>32</v>
      </c>
      <c r="TIU75" s="244" t="s">
        <v>32</v>
      </c>
      <c r="TIV75" s="244" t="s">
        <v>32</v>
      </c>
      <c r="TIW75" s="244" t="s">
        <v>32</v>
      </c>
      <c r="TIX75" s="244" t="s">
        <v>32</v>
      </c>
      <c r="TIY75" s="244" t="s">
        <v>32</v>
      </c>
      <c r="TIZ75" s="244" t="s">
        <v>32</v>
      </c>
      <c r="TJA75" s="244" t="s">
        <v>32</v>
      </c>
      <c r="TJB75" s="244" t="s">
        <v>32</v>
      </c>
      <c r="TJC75" s="244" t="s">
        <v>32</v>
      </c>
      <c r="TJD75" s="244" t="s">
        <v>32</v>
      </c>
      <c r="TJE75" s="244" t="s">
        <v>32</v>
      </c>
      <c r="TJF75" s="244" t="s">
        <v>32</v>
      </c>
      <c r="TJG75" s="244" t="s">
        <v>32</v>
      </c>
      <c r="TJH75" s="244" t="s">
        <v>32</v>
      </c>
      <c r="TJI75" s="244" t="s">
        <v>32</v>
      </c>
      <c r="TJJ75" s="244" t="s">
        <v>32</v>
      </c>
      <c r="TJK75" s="244" t="s">
        <v>32</v>
      </c>
      <c r="TJL75" s="244" t="s">
        <v>32</v>
      </c>
      <c r="TJM75" s="244" t="s">
        <v>32</v>
      </c>
      <c r="TJN75" s="244" t="s">
        <v>32</v>
      </c>
      <c r="TJO75" s="244" t="s">
        <v>32</v>
      </c>
      <c r="TJP75" s="244" t="s">
        <v>32</v>
      </c>
      <c r="TJQ75" s="244" t="s">
        <v>32</v>
      </c>
      <c r="TJR75" s="244" t="s">
        <v>32</v>
      </c>
      <c r="TJS75" s="244" t="s">
        <v>32</v>
      </c>
      <c r="TJT75" s="244" t="s">
        <v>32</v>
      </c>
      <c r="TJU75" s="244" t="s">
        <v>32</v>
      </c>
      <c r="TJV75" s="244" t="s">
        <v>32</v>
      </c>
      <c r="TJW75" s="244" t="s">
        <v>32</v>
      </c>
      <c r="TJX75" s="244" t="s">
        <v>32</v>
      </c>
      <c r="TJY75" s="244" t="s">
        <v>32</v>
      </c>
      <c r="TJZ75" s="244" t="s">
        <v>32</v>
      </c>
      <c r="TKA75" s="244" t="s">
        <v>32</v>
      </c>
      <c r="TKB75" s="244" t="s">
        <v>32</v>
      </c>
      <c r="TKC75" s="244" t="s">
        <v>32</v>
      </c>
      <c r="TKD75" s="244" t="s">
        <v>32</v>
      </c>
      <c r="TKE75" s="244" t="s">
        <v>32</v>
      </c>
      <c r="TKF75" s="244" t="s">
        <v>32</v>
      </c>
      <c r="TKG75" s="244" t="s">
        <v>32</v>
      </c>
      <c r="TKH75" s="244" t="s">
        <v>32</v>
      </c>
      <c r="TKI75" s="244" t="s">
        <v>32</v>
      </c>
      <c r="TKJ75" s="244" t="s">
        <v>32</v>
      </c>
      <c r="TKK75" s="244" t="s">
        <v>32</v>
      </c>
      <c r="TKL75" s="244" t="s">
        <v>32</v>
      </c>
      <c r="TKM75" s="244" t="s">
        <v>32</v>
      </c>
      <c r="TKN75" s="244" t="s">
        <v>32</v>
      </c>
      <c r="TKO75" s="244" t="s">
        <v>32</v>
      </c>
      <c r="TKP75" s="244" t="s">
        <v>32</v>
      </c>
      <c r="TKQ75" s="244" t="s">
        <v>32</v>
      </c>
      <c r="TKR75" s="244" t="s">
        <v>32</v>
      </c>
      <c r="TKS75" s="244" t="s">
        <v>32</v>
      </c>
      <c r="TKT75" s="244" t="s">
        <v>32</v>
      </c>
      <c r="TKU75" s="244" t="s">
        <v>32</v>
      </c>
      <c r="TKV75" s="244" t="s">
        <v>32</v>
      </c>
      <c r="TKW75" s="244" t="s">
        <v>32</v>
      </c>
      <c r="TKX75" s="244" t="s">
        <v>32</v>
      </c>
      <c r="TKY75" s="244" t="s">
        <v>32</v>
      </c>
      <c r="TKZ75" s="244" t="s">
        <v>32</v>
      </c>
      <c r="TLA75" s="244" t="s">
        <v>32</v>
      </c>
      <c r="TLB75" s="244" t="s">
        <v>32</v>
      </c>
      <c r="TLC75" s="244" t="s">
        <v>32</v>
      </c>
      <c r="TLD75" s="244" t="s">
        <v>32</v>
      </c>
      <c r="TLE75" s="244" t="s">
        <v>32</v>
      </c>
      <c r="TLF75" s="244" t="s">
        <v>32</v>
      </c>
      <c r="TLG75" s="244" t="s">
        <v>32</v>
      </c>
      <c r="TLH75" s="244" t="s">
        <v>32</v>
      </c>
      <c r="TLI75" s="244" t="s">
        <v>32</v>
      </c>
      <c r="TLJ75" s="244" t="s">
        <v>32</v>
      </c>
      <c r="TLK75" s="244" t="s">
        <v>32</v>
      </c>
      <c r="TLL75" s="244" t="s">
        <v>32</v>
      </c>
      <c r="TLM75" s="244" t="s">
        <v>32</v>
      </c>
      <c r="TLN75" s="244" t="s">
        <v>32</v>
      </c>
      <c r="TLO75" s="244" t="s">
        <v>32</v>
      </c>
      <c r="TLP75" s="244" t="s">
        <v>32</v>
      </c>
      <c r="TLQ75" s="244" t="s">
        <v>32</v>
      </c>
      <c r="TLR75" s="244" t="s">
        <v>32</v>
      </c>
      <c r="TLS75" s="244" t="s">
        <v>32</v>
      </c>
      <c r="TLT75" s="244" t="s">
        <v>32</v>
      </c>
      <c r="TLU75" s="244" t="s">
        <v>32</v>
      </c>
      <c r="TLV75" s="244" t="s">
        <v>32</v>
      </c>
      <c r="TLW75" s="244" t="s">
        <v>32</v>
      </c>
      <c r="TLX75" s="244" t="s">
        <v>32</v>
      </c>
      <c r="TLY75" s="244" t="s">
        <v>32</v>
      </c>
      <c r="TLZ75" s="244" t="s">
        <v>32</v>
      </c>
      <c r="TMA75" s="244" t="s">
        <v>32</v>
      </c>
      <c r="TMB75" s="244" t="s">
        <v>32</v>
      </c>
      <c r="TMC75" s="244" t="s">
        <v>32</v>
      </c>
      <c r="TMD75" s="244" t="s">
        <v>32</v>
      </c>
      <c r="TME75" s="244" t="s">
        <v>32</v>
      </c>
      <c r="TMF75" s="244" t="s">
        <v>32</v>
      </c>
      <c r="TMG75" s="244" t="s">
        <v>32</v>
      </c>
      <c r="TMH75" s="244" t="s">
        <v>32</v>
      </c>
      <c r="TMI75" s="244" t="s">
        <v>32</v>
      </c>
      <c r="TMJ75" s="244" t="s">
        <v>32</v>
      </c>
      <c r="TMK75" s="244" t="s">
        <v>32</v>
      </c>
      <c r="TML75" s="244" t="s">
        <v>32</v>
      </c>
      <c r="TMM75" s="244" t="s">
        <v>32</v>
      </c>
      <c r="TMN75" s="244" t="s">
        <v>32</v>
      </c>
      <c r="TMO75" s="244" t="s">
        <v>32</v>
      </c>
      <c r="TMP75" s="244" t="s">
        <v>32</v>
      </c>
      <c r="TMQ75" s="244" t="s">
        <v>32</v>
      </c>
      <c r="TMR75" s="244" t="s">
        <v>32</v>
      </c>
      <c r="TMS75" s="244" t="s">
        <v>32</v>
      </c>
      <c r="TMT75" s="244" t="s">
        <v>32</v>
      </c>
      <c r="TMU75" s="244" t="s">
        <v>32</v>
      </c>
      <c r="TMV75" s="244" t="s">
        <v>32</v>
      </c>
      <c r="TMW75" s="244" t="s">
        <v>32</v>
      </c>
      <c r="TMX75" s="244" t="s">
        <v>32</v>
      </c>
      <c r="TMY75" s="244" t="s">
        <v>32</v>
      </c>
      <c r="TMZ75" s="244" t="s">
        <v>32</v>
      </c>
      <c r="TNA75" s="244" t="s">
        <v>32</v>
      </c>
      <c r="TNB75" s="244" t="s">
        <v>32</v>
      </c>
      <c r="TNC75" s="244" t="s">
        <v>32</v>
      </c>
      <c r="TND75" s="244" t="s">
        <v>32</v>
      </c>
      <c r="TNE75" s="244" t="s">
        <v>32</v>
      </c>
      <c r="TNF75" s="244" t="s">
        <v>32</v>
      </c>
      <c r="TNG75" s="244" t="s">
        <v>32</v>
      </c>
      <c r="TNH75" s="244" t="s">
        <v>32</v>
      </c>
      <c r="TNI75" s="244" t="s">
        <v>32</v>
      </c>
      <c r="TNJ75" s="244" t="s">
        <v>32</v>
      </c>
      <c r="TNK75" s="244" t="s">
        <v>32</v>
      </c>
      <c r="TNL75" s="244" t="s">
        <v>32</v>
      </c>
      <c r="TNM75" s="244" t="s">
        <v>32</v>
      </c>
      <c r="TNN75" s="244" t="s">
        <v>32</v>
      </c>
      <c r="TNO75" s="244" t="s">
        <v>32</v>
      </c>
      <c r="TNP75" s="244" t="s">
        <v>32</v>
      </c>
      <c r="TNQ75" s="244" t="s">
        <v>32</v>
      </c>
      <c r="TNR75" s="244" t="s">
        <v>32</v>
      </c>
      <c r="TNS75" s="244" t="s">
        <v>32</v>
      </c>
      <c r="TNT75" s="244" t="s">
        <v>32</v>
      </c>
      <c r="TNU75" s="244" t="s">
        <v>32</v>
      </c>
      <c r="TNV75" s="244" t="s">
        <v>32</v>
      </c>
      <c r="TNW75" s="244" t="s">
        <v>32</v>
      </c>
      <c r="TNX75" s="244" t="s">
        <v>32</v>
      </c>
      <c r="TNY75" s="244" t="s">
        <v>32</v>
      </c>
      <c r="TNZ75" s="244" t="s">
        <v>32</v>
      </c>
      <c r="TOA75" s="244" t="s">
        <v>32</v>
      </c>
      <c r="TOB75" s="244" t="s">
        <v>32</v>
      </c>
      <c r="TOC75" s="244" t="s">
        <v>32</v>
      </c>
      <c r="TOD75" s="244" t="s">
        <v>32</v>
      </c>
      <c r="TOE75" s="244" t="s">
        <v>32</v>
      </c>
      <c r="TOF75" s="244" t="s">
        <v>32</v>
      </c>
      <c r="TOG75" s="244" t="s">
        <v>32</v>
      </c>
      <c r="TOH75" s="244" t="s">
        <v>32</v>
      </c>
      <c r="TOI75" s="244" t="s">
        <v>32</v>
      </c>
      <c r="TOJ75" s="244" t="s">
        <v>32</v>
      </c>
      <c r="TOK75" s="244" t="s">
        <v>32</v>
      </c>
      <c r="TOL75" s="244" t="s">
        <v>32</v>
      </c>
      <c r="TOM75" s="244" t="s">
        <v>32</v>
      </c>
      <c r="TON75" s="244" t="s">
        <v>32</v>
      </c>
      <c r="TOO75" s="244" t="s">
        <v>32</v>
      </c>
      <c r="TOP75" s="244" t="s">
        <v>32</v>
      </c>
      <c r="TOQ75" s="244" t="s">
        <v>32</v>
      </c>
      <c r="TOR75" s="244" t="s">
        <v>32</v>
      </c>
      <c r="TOS75" s="244" t="s">
        <v>32</v>
      </c>
      <c r="TOT75" s="244" t="s">
        <v>32</v>
      </c>
      <c r="TOU75" s="244" t="s">
        <v>32</v>
      </c>
      <c r="TOV75" s="244" t="s">
        <v>32</v>
      </c>
      <c r="TOW75" s="244" t="s">
        <v>32</v>
      </c>
      <c r="TOX75" s="244" t="s">
        <v>32</v>
      </c>
      <c r="TOY75" s="244" t="s">
        <v>32</v>
      </c>
      <c r="TOZ75" s="244" t="s">
        <v>32</v>
      </c>
      <c r="TPA75" s="244" t="s">
        <v>32</v>
      </c>
      <c r="TPB75" s="244" t="s">
        <v>32</v>
      </c>
      <c r="TPC75" s="244" t="s">
        <v>32</v>
      </c>
      <c r="TPD75" s="244" t="s">
        <v>32</v>
      </c>
      <c r="TPE75" s="244" t="s">
        <v>32</v>
      </c>
      <c r="TPF75" s="244" t="s">
        <v>32</v>
      </c>
      <c r="TPG75" s="244" t="s">
        <v>32</v>
      </c>
      <c r="TPH75" s="244" t="s">
        <v>32</v>
      </c>
      <c r="TPI75" s="244" t="s">
        <v>32</v>
      </c>
      <c r="TPJ75" s="244" t="s">
        <v>32</v>
      </c>
      <c r="TPK75" s="244" t="s">
        <v>32</v>
      </c>
      <c r="TPL75" s="244" t="s">
        <v>32</v>
      </c>
      <c r="TPM75" s="244" t="s">
        <v>32</v>
      </c>
      <c r="TPN75" s="244" t="s">
        <v>32</v>
      </c>
      <c r="TPO75" s="244" t="s">
        <v>32</v>
      </c>
      <c r="TPP75" s="244" t="s">
        <v>32</v>
      </c>
      <c r="TPQ75" s="244" t="s">
        <v>32</v>
      </c>
      <c r="TPR75" s="244" t="s">
        <v>32</v>
      </c>
      <c r="TPS75" s="244" t="s">
        <v>32</v>
      </c>
      <c r="TPT75" s="244" t="s">
        <v>32</v>
      </c>
      <c r="TPU75" s="244" t="s">
        <v>32</v>
      </c>
      <c r="TPV75" s="244" t="s">
        <v>32</v>
      </c>
      <c r="TPW75" s="244" t="s">
        <v>32</v>
      </c>
      <c r="TPX75" s="244" t="s">
        <v>32</v>
      </c>
      <c r="TPY75" s="244" t="s">
        <v>32</v>
      </c>
      <c r="TPZ75" s="244" t="s">
        <v>32</v>
      </c>
      <c r="TQA75" s="244" t="s">
        <v>32</v>
      </c>
      <c r="TQB75" s="244" t="s">
        <v>32</v>
      </c>
      <c r="TQC75" s="244" t="s">
        <v>32</v>
      </c>
      <c r="TQD75" s="244" t="s">
        <v>32</v>
      </c>
      <c r="TQE75" s="244" t="s">
        <v>32</v>
      </c>
      <c r="TQF75" s="244" t="s">
        <v>32</v>
      </c>
      <c r="TQG75" s="244" t="s">
        <v>32</v>
      </c>
      <c r="TQH75" s="244" t="s">
        <v>32</v>
      </c>
      <c r="TQI75" s="244" t="s">
        <v>32</v>
      </c>
      <c r="TQJ75" s="244" t="s">
        <v>32</v>
      </c>
      <c r="TQK75" s="244" t="s">
        <v>32</v>
      </c>
      <c r="TQL75" s="244" t="s">
        <v>32</v>
      </c>
      <c r="TQM75" s="244" t="s">
        <v>32</v>
      </c>
      <c r="TQN75" s="244" t="s">
        <v>32</v>
      </c>
      <c r="TQO75" s="244" t="s">
        <v>32</v>
      </c>
      <c r="TQP75" s="244" t="s">
        <v>32</v>
      </c>
      <c r="TQQ75" s="244" t="s">
        <v>32</v>
      </c>
      <c r="TQR75" s="244" t="s">
        <v>32</v>
      </c>
      <c r="TQS75" s="244" t="s">
        <v>32</v>
      </c>
      <c r="TQT75" s="244" t="s">
        <v>32</v>
      </c>
      <c r="TQU75" s="244" t="s">
        <v>32</v>
      </c>
      <c r="TQV75" s="244" t="s">
        <v>32</v>
      </c>
      <c r="TQW75" s="244" t="s">
        <v>32</v>
      </c>
      <c r="TQX75" s="244" t="s">
        <v>32</v>
      </c>
      <c r="TQY75" s="244" t="s">
        <v>32</v>
      </c>
      <c r="TQZ75" s="244" t="s">
        <v>32</v>
      </c>
      <c r="TRA75" s="244" t="s">
        <v>32</v>
      </c>
      <c r="TRB75" s="244" t="s">
        <v>32</v>
      </c>
      <c r="TRC75" s="244" t="s">
        <v>32</v>
      </c>
      <c r="TRD75" s="244" t="s">
        <v>32</v>
      </c>
      <c r="TRE75" s="244" t="s">
        <v>32</v>
      </c>
      <c r="TRF75" s="244" t="s">
        <v>32</v>
      </c>
      <c r="TRG75" s="244" t="s">
        <v>32</v>
      </c>
      <c r="TRH75" s="244" t="s">
        <v>32</v>
      </c>
      <c r="TRI75" s="244" t="s">
        <v>32</v>
      </c>
      <c r="TRJ75" s="244" t="s">
        <v>32</v>
      </c>
      <c r="TRK75" s="244" t="s">
        <v>32</v>
      </c>
      <c r="TRL75" s="244" t="s">
        <v>32</v>
      </c>
      <c r="TRM75" s="244" t="s">
        <v>32</v>
      </c>
      <c r="TRN75" s="244" t="s">
        <v>32</v>
      </c>
      <c r="TRO75" s="244" t="s">
        <v>32</v>
      </c>
      <c r="TRP75" s="244" t="s">
        <v>32</v>
      </c>
      <c r="TRQ75" s="244" t="s">
        <v>32</v>
      </c>
      <c r="TRR75" s="244" t="s">
        <v>32</v>
      </c>
      <c r="TRS75" s="244" t="s">
        <v>32</v>
      </c>
      <c r="TRT75" s="244" t="s">
        <v>32</v>
      </c>
      <c r="TRU75" s="244" t="s">
        <v>32</v>
      </c>
      <c r="TRV75" s="244" t="s">
        <v>32</v>
      </c>
      <c r="TRW75" s="244" t="s">
        <v>32</v>
      </c>
      <c r="TRX75" s="244" t="s">
        <v>32</v>
      </c>
      <c r="TRY75" s="244" t="s">
        <v>32</v>
      </c>
      <c r="TRZ75" s="244" t="s">
        <v>32</v>
      </c>
      <c r="TSA75" s="244" t="s">
        <v>32</v>
      </c>
      <c r="TSB75" s="244" t="s">
        <v>32</v>
      </c>
      <c r="TSC75" s="244" t="s">
        <v>32</v>
      </c>
      <c r="TSD75" s="244" t="s">
        <v>32</v>
      </c>
      <c r="TSE75" s="244" t="s">
        <v>32</v>
      </c>
      <c r="TSF75" s="244" t="s">
        <v>32</v>
      </c>
      <c r="TSG75" s="244" t="s">
        <v>32</v>
      </c>
      <c r="TSH75" s="244" t="s">
        <v>32</v>
      </c>
      <c r="TSI75" s="244" t="s">
        <v>32</v>
      </c>
      <c r="TSJ75" s="244" t="s">
        <v>32</v>
      </c>
      <c r="TSK75" s="244" t="s">
        <v>32</v>
      </c>
      <c r="TSL75" s="244" t="s">
        <v>32</v>
      </c>
      <c r="TSM75" s="244" t="s">
        <v>32</v>
      </c>
      <c r="TSN75" s="244" t="s">
        <v>32</v>
      </c>
      <c r="TSO75" s="244" t="s">
        <v>32</v>
      </c>
      <c r="TSP75" s="244" t="s">
        <v>32</v>
      </c>
      <c r="TSQ75" s="244" t="s">
        <v>32</v>
      </c>
      <c r="TSR75" s="244" t="s">
        <v>32</v>
      </c>
      <c r="TSS75" s="244" t="s">
        <v>32</v>
      </c>
      <c r="TST75" s="244" t="s">
        <v>32</v>
      </c>
      <c r="TSU75" s="244" t="s">
        <v>32</v>
      </c>
      <c r="TSV75" s="244" t="s">
        <v>32</v>
      </c>
      <c r="TSW75" s="244" t="s">
        <v>32</v>
      </c>
      <c r="TSX75" s="244" t="s">
        <v>32</v>
      </c>
      <c r="TSY75" s="244" t="s">
        <v>32</v>
      </c>
      <c r="TSZ75" s="244" t="s">
        <v>32</v>
      </c>
      <c r="TTA75" s="244" t="s">
        <v>32</v>
      </c>
      <c r="TTB75" s="244" t="s">
        <v>32</v>
      </c>
      <c r="TTC75" s="244" t="s">
        <v>32</v>
      </c>
      <c r="TTD75" s="244" t="s">
        <v>32</v>
      </c>
      <c r="TTE75" s="244" t="s">
        <v>32</v>
      </c>
      <c r="TTF75" s="244" t="s">
        <v>32</v>
      </c>
      <c r="TTG75" s="244" t="s">
        <v>32</v>
      </c>
      <c r="TTH75" s="244" t="s">
        <v>32</v>
      </c>
      <c r="TTI75" s="244" t="s">
        <v>32</v>
      </c>
      <c r="TTJ75" s="244" t="s">
        <v>32</v>
      </c>
      <c r="TTK75" s="244" t="s">
        <v>32</v>
      </c>
      <c r="TTL75" s="244" t="s">
        <v>32</v>
      </c>
      <c r="TTM75" s="244" t="s">
        <v>32</v>
      </c>
      <c r="TTN75" s="244" t="s">
        <v>32</v>
      </c>
      <c r="TTO75" s="244" t="s">
        <v>32</v>
      </c>
      <c r="TTP75" s="244" t="s">
        <v>32</v>
      </c>
      <c r="TTQ75" s="244" t="s">
        <v>32</v>
      </c>
      <c r="TTR75" s="244" t="s">
        <v>32</v>
      </c>
      <c r="TTS75" s="244" t="s">
        <v>32</v>
      </c>
      <c r="TTT75" s="244" t="s">
        <v>32</v>
      </c>
      <c r="TTU75" s="244" t="s">
        <v>32</v>
      </c>
      <c r="TTV75" s="244" t="s">
        <v>32</v>
      </c>
      <c r="TTW75" s="244" t="s">
        <v>32</v>
      </c>
      <c r="TTX75" s="244" t="s">
        <v>32</v>
      </c>
      <c r="TTY75" s="244" t="s">
        <v>32</v>
      </c>
      <c r="TTZ75" s="244" t="s">
        <v>32</v>
      </c>
      <c r="TUA75" s="244" t="s">
        <v>32</v>
      </c>
      <c r="TUB75" s="244" t="s">
        <v>32</v>
      </c>
      <c r="TUC75" s="244" t="s">
        <v>32</v>
      </c>
      <c r="TUD75" s="244" t="s">
        <v>32</v>
      </c>
      <c r="TUE75" s="244" t="s">
        <v>32</v>
      </c>
      <c r="TUF75" s="244" t="s">
        <v>32</v>
      </c>
      <c r="TUG75" s="244" t="s">
        <v>32</v>
      </c>
      <c r="TUH75" s="244" t="s">
        <v>32</v>
      </c>
      <c r="TUI75" s="244" t="s">
        <v>32</v>
      </c>
      <c r="TUJ75" s="244" t="s">
        <v>32</v>
      </c>
      <c r="TUK75" s="244" t="s">
        <v>32</v>
      </c>
      <c r="TUL75" s="244" t="s">
        <v>32</v>
      </c>
      <c r="TUM75" s="244" t="s">
        <v>32</v>
      </c>
      <c r="TUN75" s="244" t="s">
        <v>32</v>
      </c>
      <c r="TUO75" s="244" t="s">
        <v>32</v>
      </c>
      <c r="TUP75" s="244" t="s">
        <v>32</v>
      </c>
      <c r="TUQ75" s="244" t="s">
        <v>32</v>
      </c>
      <c r="TUR75" s="244" t="s">
        <v>32</v>
      </c>
      <c r="TUS75" s="244" t="s">
        <v>32</v>
      </c>
      <c r="TUT75" s="244" t="s">
        <v>32</v>
      </c>
      <c r="TUU75" s="244" t="s">
        <v>32</v>
      </c>
      <c r="TUV75" s="244" t="s">
        <v>32</v>
      </c>
      <c r="TUW75" s="244" t="s">
        <v>32</v>
      </c>
      <c r="TUX75" s="244" t="s">
        <v>32</v>
      </c>
      <c r="TUY75" s="244" t="s">
        <v>32</v>
      </c>
      <c r="TUZ75" s="244" t="s">
        <v>32</v>
      </c>
      <c r="TVA75" s="244" t="s">
        <v>32</v>
      </c>
      <c r="TVB75" s="244" t="s">
        <v>32</v>
      </c>
      <c r="TVC75" s="244" t="s">
        <v>32</v>
      </c>
      <c r="TVD75" s="244" t="s">
        <v>32</v>
      </c>
      <c r="TVE75" s="244" t="s">
        <v>32</v>
      </c>
      <c r="TVF75" s="244" t="s">
        <v>32</v>
      </c>
      <c r="TVG75" s="244" t="s">
        <v>32</v>
      </c>
      <c r="TVH75" s="244" t="s">
        <v>32</v>
      </c>
      <c r="TVI75" s="244" t="s">
        <v>32</v>
      </c>
      <c r="TVJ75" s="244" t="s">
        <v>32</v>
      </c>
      <c r="TVK75" s="244" t="s">
        <v>32</v>
      </c>
      <c r="TVL75" s="244" t="s">
        <v>32</v>
      </c>
      <c r="TVM75" s="244" t="s">
        <v>32</v>
      </c>
      <c r="TVN75" s="244" t="s">
        <v>32</v>
      </c>
      <c r="TVO75" s="244" t="s">
        <v>32</v>
      </c>
      <c r="TVP75" s="244" t="s">
        <v>32</v>
      </c>
      <c r="TVQ75" s="244" t="s">
        <v>32</v>
      </c>
      <c r="TVR75" s="244" t="s">
        <v>32</v>
      </c>
      <c r="TVS75" s="244" t="s">
        <v>32</v>
      </c>
      <c r="TVT75" s="244" t="s">
        <v>32</v>
      </c>
      <c r="TVU75" s="244" t="s">
        <v>32</v>
      </c>
      <c r="TVV75" s="244" t="s">
        <v>32</v>
      </c>
      <c r="TVW75" s="244" t="s">
        <v>32</v>
      </c>
      <c r="TVX75" s="244" t="s">
        <v>32</v>
      </c>
      <c r="TVY75" s="244" t="s">
        <v>32</v>
      </c>
      <c r="TVZ75" s="244" t="s">
        <v>32</v>
      </c>
      <c r="TWA75" s="244" t="s">
        <v>32</v>
      </c>
      <c r="TWB75" s="244" t="s">
        <v>32</v>
      </c>
      <c r="TWC75" s="244" t="s">
        <v>32</v>
      </c>
      <c r="TWD75" s="244" t="s">
        <v>32</v>
      </c>
      <c r="TWE75" s="244" t="s">
        <v>32</v>
      </c>
      <c r="TWF75" s="244" t="s">
        <v>32</v>
      </c>
      <c r="TWG75" s="244" t="s">
        <v>32</v>
      </c>
      <c r="TWH75" s="244" t="s">
        <v>32</v>
      </c>
      <c r="TWI75" s="244" t="s">
        <v>32</v>
      </c>
      <c r="TWJ75" s="244" t="s">
        <v>32</v>
      </c>
      <c r="TWK75" s="244" t="s">
        <v>32</v>
      </c>
      <c r="TWL75" s="244" t="s">
        <v>32</v>
      </c>
      <c r="TWM75" s="244" t="s">
        <v>32</v>
      </c>
      <c r="TWN75" s="244" t="s">
        <v>32</v>
      </c>
      <c r="TWO75" s="244" t="s">
        <v>32</v>
      </c>
      <c r="TWP75" s="244" t="s">
        <v>32</v>
      </c>
      <c r="TWQ75" s="244" t="s">
        <v>32</v>
      </c>
      <c r="TWR75" s="244" t="s">
        <v>32</v>
      </c>
      <c r="TWS75" s="244" t="s">
        <v>32</v>
      </c>
      <c r="TWT75" s="244" t="s">
        <v>32</v>
      </c>
      <c r="TWU75" s="244" t="s">
        <v>32</v>
      </c>
      <c r="TWV75" s="244" t="s">
        <v>32</v>
      </c>
      <c r="TWW75" s="244" t="s">
        <v>32</v>
      </c>
      <c r="TWX75" s="244" t="s">
        <v>32</v>
      </c>
      <c r="TWY75" s="244" t="s">
        <v>32</v>
      </c>
      <c r="TWZ75" s="244" t="s">
        <v>32</v>
      </c>
      <c r="TXA75" s="244" t="s">
        <v>32</v>
      </c>
      <c r="TXB75" s="244" t="s">
        <v>32</v>
      </c>
      <c r="TXC75" s="244" t="s">
        <v>32</v>
      </c>
      <c r="TXD75" s="244" t="s">
        <v>32</v>
      </c>
      <c r="TXE75" s="244" t="s">
        <v>32</v>
      </c>
      <c r="TXF75" s="244" t="s">
        <v>32</v>
      </c>
      <c r="TXG75" s="244" t="s">
        <v>32</v>
      </c>
      <c r="TXH75" s="244" t="s">
        <v>32</v>
      </c>
      <c r="TXI75" s="244" t="s">
        <v>32</v>
      </c>
      <c r="TXJ75" s="244" t="s">
        <v>32</v>
      </c>
      <c r="TXK75" s="244" t="s">
        <v>32</v>
      </c>
      <c r="TXL75" s="244" t="s">
        <v>32</v>
      </c>
      <c r="TXM75" s="244" t="s">
        <v>32</v>
      </c>
      <c r="TXN75" s="244" t="s">
        <v>32</v>
      </c>
      <c r="TXO75" s="244" t="s">
        <v>32</v>
      </c>
      <c r="TXP75" s="244" t="s">
        <v>32</v>
      </c>
      <c r="TXQ75" s="244" t="s">
        <v>32</v>
      </c>
      <c r="TXR75" s="244" t="s">
        <v>32</v>
      </c>
      <c r="TXS75" s="244" t="s">
        <v>32</v>
      </c>
      <c r="TXT75" s="244" t="s">
        <v>32</v>
      </c>
      <c r="TXU75" s="244" t="s">
        <v>32</v>
      </c>
      <c r="TXV75" s="244" t="s">
        <v>32</v>
      </c>
      <c r="TXW75" s="244" t="s">
        <v>32</v>
      </c>
      <c r="TXX75" s="244" t="s">
        <v>32</v>
      </c>
      <c r="TXY75" s="244" t="s">
        <v>32</v>
      </c>
      <c r="TXZ75" s="244" t="s">
        <v>32</v>
      </c>
      <c r="TYA75" s="244" t="s">
        <v>32</v>
      </c>
      <c r="TYB75" s="244" t="s">
        <v>32</v>
      </c>
      <c r="TYC75" s="244" t="s">
        <v>32</v>
      </c>
      <c r="TYD75" s="244" t="s">
        <v>32</v>
      </c>
      <c r="TYE75" s="244" t="s">
        <v>32</v>
      </c>
      <c r="TYF75" s="244" t="s">
        <v>32</v>
      </c>
      <c r="TYG75" s="244" t="s">
        <v>32</v>
      </c>
      <c r="TYH75" s="244" t="s">
        <v>32</v>
      </c>
      <c r="TYI75" s="244" t="s">
        <v>32</v>
      </c>
      <c r="TYJ75" s="244" t="s">
        <v>32</v>
      </c>
      <c r="TYK75" s="244" t="s">
        <v>32</v>
      </c>
      <c r="TYL75" s="244" t="s">
        <v>32</v>
      </c>
      <c r="TYM75" s="244" t="s">
        <v>32</v>
      </c>
      <c r="TYN75" s="244" t="s">
        <v>32</v>
      </c>
      <c r="TYO75" s="244" t="s">
        <v>32</v>
      </c>
      <c r="TYP75" s="244" t="s">
        <v>32</v>
      </c>
      <c r="TYQ75" s="244" t="s">
        <v>32</v>
      </c>
      <c r="TYR75" s="244" t="s">
        <v>32</v>
      </c>
      <c r="TYS75" s="244" t="s">
        <v>32</v>
      </c>
      <c r="TYT75" s="244" t="s">
        <v>32</v>
      </c>
      <c r="TYU75" s="244" t="s">
        <v>32</v>
      </c>
      <c r="TYV75" s="244" t="s">
        <v>32</v>
      </c>
      <c r="TYW75" s="244" t="s">
        <v>32</v>
      </c>
      <c r="TYX75" s="244" t="s">
        <v>32</v>
      </c>
      <c r="TYY75" s="244" t="s">
        <v>32</v>
      </c>
      <c r="TYZ75" s="244" t="s">
        <v>32</v>
      </c>
      <c r="TZA75" s="244" t="s">
        <v>32</v>
      </c>
      <c r="TZB75" s="244" t="s">
        <v>32</v>
      </c>
      <c r="TZC75" s="244" t="s">
        <v>32</v>
      </c>
      <c r="TZD75" s="244" t="s">
        <v>32</v>
      </c>
      <c r="TZE75" s="244" t="s">
        <v>32</v>
      </c>
      <c r="TZF75" s="244" t="s">
        <v>32</v>
      </c>
      <c r="TZG75" s="244" t="s">
        <v>32</v>
      </c>
      <c r="TZH75" s="244" t="s">
        <v>32</v>
      </c>
      <c r="TZI75" s="244" t="s">
        <v>32</v>
      </c>
      <c r="TZJ75" s="244" t="s">
        <v>32</v>
      </c>
      <c r="TZK75" s="244" t="s">
        <v>32</v>
      </c>
      <c r="TZL75" s="244" t="s">
        <v>32</v>
      </c>
      <c r="TZM75" s="244" t="s">
        <v>32</v>
      </c>
      <c r="TZN75" s="244" t="s">
        <v>32</v>
      </c>
      <c r="TZO75" s="244" t="s">
        <v>32</v>
      </c>
      <c r="TZP75" s="244" t="s">
        <v>32</v>
      </c>
      <c r="TZQ75" s="244" t="s">
        <v>32</v>
      </c>
      <c r="TZR75" s="244" t="s">
        <v>32</v>
      </c>
      <c r="TZS75" s="244" t="s">
        <v>32</v>
      </c>
      <c r="TZT75" s="244" t="s">
        <v>32</v>
      </c>
      <c r="TZU75" s="244" t="s">
        <v>32</v>
      </c>
      <c r="TZV75" s="244" t="s">
        <v>32</v>
      </c>
      <c r="TZW75" s="244" t="s">
        <v>32</v>
      </c>
      <c r="TZX75" s="244" t="s">
        <v>32</v>
      </c>
      <c r="TZY75" s="244" t="s">
        <v>32</v>
      </c>
      <c r="TZZ75" s="244" t="s">
        <v>32</v>
      </c>
      <c r="UAA75" s="244" t="s">
        <v>32</v>
      </c>
      <c r="UAB75" s="244" t="s">
        <v>32</v>
      </c>
      <c r="UAC75" s="244" t="s">
        <v>32</v>
      </c>
      <c r="UAD75" s="244" t="s">
        <v>32</v>
      </c>
      <c r="UAE75" s="244" t="s">
        <v>32</v>
      </c>
      <c r="UAF75" s="244" t="s">
        <v>32</v>
      </c>
      <c r="UAG75" s="244" t="s">
        <v>32</v>
      </c>
      <c r="UAH75" s="244" t="s">
        <v>32</v>
      </c>
      <c r="UAI75" s="244" t="s">
        <v>32</v>
      </c>
      <c r="UAJ75" s="244" t="s">
        <v>32</v>
      </c>
      <c r="UAK75" s="244" t="s">
        <v>32</v>
      </c>
      <c r="UAL75" s="244" t="s">
        <v>32</v>
      </c>
      <c r="UAM75" s="244" t="s">
        <v>32</v>
      </c>
      <c r="UAN75" s="244" t="s">
        <v>32</v>
      </c>
      <c r="UAO75" s="244" t="s">
        <v>32</v>
      </c>
      <c r="UAP75" s="244" t="s">
        <v>32</v>
      </c>
      <c r="UAQ75" s="244" t="s">
        <v>32</v>
      </c>
      <c r="UAR75" s="244" t="s">
        <v>32</v>
      </c>
      <c r="UAS75" s="244" t="s">
        <v>32</v>
      </c>
      <c r="UAT75" s="244" t="s">
        <v>32</v>
      </c>
      <c r="UAU75" s="244" t="s">
        <v>32</v>
      </c>
      <c r="UAV75" s="244" t="s">
        <v>32</v>
      </c>
      <c r="UAW75" s="244" t="s">
        <v>32</v>
      </c>
      <c r="UAX75" s="244" t="s">
        <v>32</v>
      </c>
      <c r="UAY75" s="244" t="s">
        <v>32</v>
      </c>
      <c r="UAZ75" s="244" t="s">
        <v>32</v>
      </c>
      <c r="UBA75" s="244" t="s">
        <v>32</v>
      </c>
      <c r="UBB75" s="244" t="s">
        <v>32</v>
      </c>
      <c r="UBC75" s="244" t="s">
        <v>32</v>
      </c>
      <c r="UBD75" s="244" t="s">
        <v>32</v>
      </c>
      <c r="UBE75" s="244" t="s">
        <v>32</v>
      </c>
      <c r="UBF75" s="244" t="s">
        <v>32</v>
      </c>
      <c r="UBG75" s="244" t="s">
        <v>32</v>
      </c>
      <c r="UBH75" s="244" t="s">
        <v>32</v>
      </c>
      <c r="UBI75" s="244" t="s">
        <v>32</v>
      </c>
      <c r="UBJ75" s="244" t="s">
        <v>32</v>
      </c>
      <c r="UBK75" s="244" t="s">
        <v>32</v>
      </c>
      <c r="UBL75" s="244" t="s">
        <v>32</v>
      </c>
      <c r="UBM75" s="244" t="s">
        <v>32</v>
      </c>
      <c r="UBN75" s="244" t="s">
        <v>32</v>
      </c>
      <c r="UBO75" s="244" t="s">
        <v>32</v>
      </c>
      <c r="UBP75" s="244" t="s">
        <v>32</v>
      </c>
      <c r="UBQ75" s="244" t="s">
        <v>32</v>
      </c>
      <c r="UBR75" s="244" t="s">
        <v>32</v>
      </c>
      <c r="UBS75" s="244" t="s">
        <v>32</v>
      </c>
      <c r="UBT75" s="244" t="s">
        <v>32</v>
      </c>
      <c r="UBU75" s="244" t="s">
        <v>32</v>
      </c>
      <c r="UBV75" s="244" t="s">
        <v>32</v>
      </c>
      <c r="UBW75" s="244" t="s">
        <v>32</v>
      </c>
      <c r="UBX75" s="244" t="s">
        <v>32</v>
      </c>
      <c r="UBY75" s="244" t="s">
        <v>32</v>
      </c>
      <c r="UBZ75" s="244" t="s">
        <v>32</v>
      </c>
      <c r="UCA75" s="244" t="s">
        <v>32</v>
      </c>
      <c r="UCB75" s="244" t="s">
        <v>32</v>
      </c>
      <c r="UCC75" s="244" t="s">
        <v>32</v>
      </c>
      <c r="UCD75" s="244" t="s">
        <v>32</v>
      </c>
      <c r="UCE75" s="244" t="s">
        <v>32</v>
      </c>
      <c r="UCF75" s="244" t="s">
        <v>32</v>
      </c>
      <c r="UCG75" s="244" t="s">
        <v>32</v>
      </c>
      <c r="UCH75" s="244" t="s">
        <v>32</v>
      </c>
      <c r="UCI75" s="244" t="s">
        <v>32</v>
      </c>
      <c r="UCJ75" s="244" t="s">
        <v>32</v>
      </c>
      <c r="UCK75" s="244" t="s">
        <v>32</v>
      </c>
      <c r="UCL75" s="244" t="s">
        <v>32</v>
      </c>
      <c r="UCM75" s="244" t="s">
        <v>32</v>
      </c>
      <c r="UCN75" s="244" t="s">
        <v>32</v>
      </c>
      <c r="UCO75" s="244" t="s">
        <v>32</v>
      </c>
      <c r="UCP75" s="244" t="s">
        <v>32</v>
      </c>
      <c r="UCQ75" s="244" t="s">
        <v>32</v>
      </c>
      <c r="UCR75" s="244" t="s">
        <v>32</v>
      </c>
      <c r="UCS75" s="244" t="s">
        <v>32</v>
      </c>
      <c r="UCT75" s="244" t="s">
        <v>32</v>
      </c>
      <c r="UCU75" s="244" t="s">
        <v>32</v>
      </c>
      <c r="UCV75" s="244" t="s">
        <v>32</v>
      </c>
      <c r="UCW75" s="244" t="s">
        <v>32</v>
      </c>
      <c r="UCX75" s="244" t="s">
        <v>32</v>
      </c>
      <c r="UCY75" s="244" t="s">
        <v>32</v>
      </c>
      <c r="UCZ75" s="244" t="s">
        <v>32</v>
      </c>
      <c r="UDA75" s="244" t="s">
        <v>32</v>
      </c>
      <c r="UDB75" s="244" t="s">
        <v>32</v>
      </c>
      <c r="UDC75" s="244" t="s">
        <v>32</v>
      </c>
      <c r="UDD75" s="244" t="s">
        <v>32</v>
      </c>
      <c r="UDE75" s="244" t="s">
        <v>32</v>
      </c>
      <c r="UDF75" s="244" t="s">
        <v>32</v>
      </c>
      <c r="UDG75" s="244" t="s">
        <v>32</v>
      </c>
      <c r="UDH75" s="244" t="s">
        <v>32</v>
      </c>
      <c r="UDI75" s="244" t="s">
        <v>32</v>
      </c>
      <c r="UDJ75" s="244" t="s">
        <v>32</v>
      </c>
      <c r="UDK75" s="244" t="s">
        <v>32</v>
      </c>
      <c r="UDL75" s="244" t="s">
        <v>32</v>
      </c>
      <c r="UDM75" s="244" t="s">
        <v>32</v>
      </c>
      <c r="UDN75" s="244" t="s">
        <v>32</v>
      </c>
      <c r="UDO75" s="244" t="s">
        <v>32</v>
      </c>
      <c r="UDP75" s="244" t="s">
        <v>32</v>
      </c>
      <c r="UDQ75" s="244" t="s">
        <v>32</v>
      </c>
      <c r="UDR75" s="244" t="s">
        <v>32</v>
      </c>
      <c r="UDS75" s="244" t="s">
        <v>32</v>
      </c>
      <c r="UDT75" s="244" t="s">
        <v>32</v>
      </c>
      <c r="UDU75" s="244" t="s">
        <v>32</v>
      </c>
      <c r="UDV75" s="244" t="s">
        <v>32</v>
      </c>
      <c r="UDW75" s="244" t="s">
        <v>32</v>
      </c>
      <c r="UDX75" s="244" t="s">
        <v>32</v>
      </c>
      <c r="UDY75" s="244" t="s">
        <v>32</v>
      </c>
      <c r="UDZ75" s="244" t="s">
        <v>32</v>
      </c>
      <c r="UEA75" s="244" t="s">
        <v>32</v>
      </c>
      <c r="UEB75" s="244" t="s">
        <v>32</v>
      </c>
      <c r="UEC75" s="244" t="s">
        <v>32</v>
      </c>
      <c r="UED75" s="244" t="s">
        <v>32</v>
      </c>
      <c r="UEE75" s="244" t="s">
        <v>32</v>
      </c>
      <c r="UEF75" s="244" t="s">
        <v>32</v>
      </c>
      <c r="UEG75" s="244" t="s">
        <v>32</v>
      </c>
      <c r="UEH75" s="244" t="s">
        <v>32</v>
      </c>
      <c r="UEI75" s="244" t="s">
        <v>32</v>
      </c>
      <c r="UEJ75" s="244" t="s">
        <v>32</v>
      </c>
      <c r="UEK75" s="244" t="s">
        <v>32</v>
      </c>
      <c r="UEL75" s="244" t="s">
        <v>32</v>
      </c>
      <c r="UEM75" s="244" t="s">
        <v>32</v>
      </c>
      <c r="UEN75" s="244" t="s">
        <v>32</v>
      </c>
      <c r="UEO75" s="244" t="s">
        <v>32</v>
      </c>
      <c r="UEP75" s="244" t="s">
        <v>32</v>
      </c>
      <c r="UEQ75" s="244" t="s">
        <v>32</v>
      </c>
      <c r="UER75" s="244" t="s">
        <v>32</v>
      </c>
      <c r="UES75" s="244" t="s">
        <v>32</v>
      </c>
      <c r="UET75" s="244" t="s">
        <v>32</v>
      </c>
      <c r="UEU75" s="244" t="s">
        <v>32</v>
      </c>
      <c r="UEV75" s="244" t="s">
        <v>32</v>
      </c>
      <c r="UEW75" s="244" t="s">
        <v>32</v>
      </c>
      <c r="UEX75" s="244" t="s">
        <v>32</v>
      </c>
      <c r="UEY75" s="244" t="s">
        <v>32</v>
      </c>
      <c r="UEZ75" s="244" t="s">
        <v>32</v>
      </c>
      <c r="UFA75" s="244" t="s">
        <v>32</v>
      </c>
      <c r="UFB75" s="244" t="s">
        <v>32</v>
      </c>
      <c r="UFC75" s="244" t="s">
        <v>32</v>
      </c>
      <c r="UFD75" s="244" t="s">
        <v>32</v>
      </c>
      <c r="UFE75" s="244" t="s">
        <v>32</v>
      </c>
      <c r="UFF75" s="244" t="s">
        <v>32</v>
      </c>
      <c r="UFG75" s="244" t="s">
        <v>32</v>
      </c>
      <c r="UFH75" s="244" t="s">
        <v>32</v>
      </c>
      <c r="UFI75" s="244" t="s">
        <v>32</v>
      </c>
      <c r="UFJ75" s="244" t="s">
        <v>32</v>
      </c>
      <c r="UFK75" s="244" t="s">
        <v>32</v>
      </c>
      <c r="UFL75" s="244" t="s">
        <v>32</v>
      </c>
      <c r="UFM75" s="244" t="s">
        <v>32</v>
      </c>
      <c r="UFN75" s="244" t="s">
        <v>32</v>
      </c>
      <c r="UFO75" s="244" t="s">
        <v>32</v>
      </c>
      <c r="UFP75" s="244" t="s">
        <v>32</v>
      </c>
      <c r="UFQ75" s="244" t="s">
        <v>32</v>
      </c>
      <c r="UFR75" s="244" t="s">
        <v>32</v>
      </c>
      <c r="UFS75" s="244" t="s">
        <v>32</v>
      </c>
      <c r="UFT75" s="244" t="s">
        <v>32</v>
      </c>
      <c r="UFU75" s="244" t="s">
        <v>32</v>
      </c>
      <c r="UFV75" s="244" t="s">
        <v>32</v>
      </c>
      <c r="UFW75" s="244" t="s">
        <v>32</v>
      </c>
      <c r="UFX75" s="244" t="s">
        <v>32</v>
      </c>
      <c r="UFY75" s="244" t="s">
        <v>32</v>
      </c>
      <c r="UFZ75" s="244" t="s">
        <v>32</v>
      </c>
      <c r="UGA75" s="244" t="s">
        <v>32</v>
      </c>
      <c r="UGB75" s="244" t="s">
        <v>32</v>
      </c>
      <c r="UGC75" s="244" t="s">
        <v>32</v>
      </c>
      <c r="UGD75" s="244" t="s">
        <v>32</v>
      </c>
      <c r="UGE75" s="244" t="s">
        <v>32</v>
      </c>
      <c r="UGF75" s="244" t="s">
        <v>32</v>
      </c>
      <c r="UGG75" s="244" t="s">
        <v>32</v>
      </c>
      <c r="UGH75" s="244" t="s">
        <v>32</v>
      </c>
      <c r="UGI75" s="244" t="s">
        <v>32</v>
      </c>
      <c r="UGJ75" s="244" t="s">
        <v>32</v>
      </c>
      <c r="UGK75" s="244" t="s">
        <v>32</v>
      </c>
      <c r="UGL75" s="244" t="s">
        <v>32</v>
      </c>
      <c r="UGM75" s="244" t="s">
        <v>32</v>
      </c>
      <c r="UGN75" s="244" t="s">
        <v>32</v>
      </c>
      <c r="UGO75" s="244" t="s">
        <v>32</v>
      </c>
      <c r="UGP75" s="244" t="s">
        <v>32</v>
      </c>
      <c r="UGQ75" s="244" t="s">
        <v>32</v>
      </c>
      <c r="UGR75" s="244" t="s">
        <v>32</v>
      </c>
      <c r="UGS75" s="244" t="s">
        <v>32</v>
      </c>
      <c r="UGT75" s="244" t="s">
        <v>32</v>
      </c>
      <c r="UGU75" s="244" t="s">
        <v>32</v>
      </c>
      <c r="UGV75" s="244" t="s">
        <v>32</v>
      </c>
      <c r="UGW75" s="244" t="s">
        <v>32</v>
      </c>
      <c r="UGX75" s="244" t="s">
        <v>32</v>
      </c>
      <c r="UGY75" s="244" t="s">
        <v>32</v>
      </c>
      <c r="UGZ75" s="244" t="s">
        <v>32</v>
      </c>
      <c r="UHA75" s="244" t="s">
        <v>32</v>
      </c>
      <c r="UHB75" s="244" t="s">
        <v>32</v>
      </c>
      <c r="UHC75" s="244" t="s">
        <v>32</v>
      </c>
      <c r="UHD75" s="244" t="s">
        <v>32</v>
      </c>
      <c r="UHE75" s="244" t="s">
        <v>32</v>
      </c>
      <c r="UHF75" s="244" t="s">
        <v>32</v>
      </c>
      <c r="UHG75" s="244" t="s">
        <v>32</v>
      </c>
      <c r="UHH75" s="244" t="s">
        <v>32</v>
      </c>
      <c r="UHI75" s="244" t="s">
        <v>32</v>
      </c>
      <c r="UHJ75" s="244" t="s">
        <v>32</v>
      </c>
      <c r="UHK75" s="244" t="s">
        <v>32</v>
      </c>
      <c r="UHL75" s="244" t="s">
        <v>32</v>
      </c>
      <c r="UHM75" s="244" t="s">
        <v>32</v>
      </c>
      <c r="UHN75" s="244" t="s">
        <v>32</v>
      </c>
      <c r="UHO75" s="244" t="s">
        <v>32</v>
      </c>
      <c r="UHP75" s="244" t="s">
        <v>32</v>
      </c>
      <c r="UHQ75" s="244" t="s">
        <v>32</v>
      </c>
      <c r="UHR75" s="244" t="s">
        <v>32</v>
      </c>
      <c r="UHS75" s="244" t="s">
        <v>32</v>
      </c>
      <c r="UHT75" s="244" t="s">
        <v>32</v>
      </c>
      <c r="UHU75" s="244" t="s">
        <v>32</v>
      </c>
      <c r="UHV75" s="244" t="s">
        <v>32</v>
      </c>
      <c r="UHW75" s="244" t="s">
        <v>32</v>
      </c>
      <c r="UHX75" s="244" t="s">
        <v>32</v>
      </c>
      <c r="UHY75" s="244" t="s">
        <v>32</v>
      </c>
      <c r="UHZ75" s="244" t="s">
        <v>32</v>
      </c>
      <c r="UIA75" s="244" t="s">
        <v>32</v>
      </c>
      <c r="UIB75" s="244" t="s">
        <v>32</v>
      </c>
      <c r="UIC75" s="244" t="s">
        <v>32</v>
      </c>
      <c r="UID75" s="244" t="s">
        <v>32</v>
      </c>
      <c r="UIE75" s="244" t="s">
        <v>32</v>
      </c>
      <c r="UIF75" s="244" t="s">
        <v>32</v>
      </c>
      <c r="UIG75" s="244" t="s">
        <v>32</v>
      </c>
      <c r="UIH75" s="244" t="s">
        <v>32</v>
      </c>
      <c r="UII75" s="244" t="s">
        <v>32</v>
      </c>
      <c r="UIJ75" s="244" t="s">
        <v>32</v>
      </c>
      <c r="UIK75" s="244" t="s">
        <v>32</v>
      </c>
      <c r="UIL75" s="244" t="s">
        <v>32</v>
      </c>
      <c r="UIM75" s="244" t="s">
        <v>32</v>
      </c>
      <c r="UIN75" s="244" t="s">
        <v>32</v>
      </c>
      <c r="UIO75" s="244" t="s">
        <v>32</v>
      </c>
      <c r="UIP75" s="244" t="s">
        <v>32</v>
      </c>
      <c r="UIQ75" s="244" t="s">
        <v>32</v>
      </c>
      <c r="UIR75" s="244" t="s">
        <v>32</v>
      </c>
      <c r="UIS75" s="244" t="s">
        <v>32</v>
      </c>
      <c r="UIT75" s="244" t="s">
        <v>32</v>
      </c>
      <c r="UIU75" s="244" t="s">
        <v>32</v>
      </c>
      <c r="UIV75" s="244" t="s">
        <v>32</v>
      </c>
      <c r="UIW75" s="244" t="s">
        <v>32</v>
      </c>
      <c r="UIX75" s="244" t="s">
        <v>32</v>
      </c>
      <c r="UIY75" s="244" t="s">
        <v>32</v>
      </c>
      <c r="UIZ75" s="244" t="s">
        <v>32</v>
      </c>
      <c r="UJA75" s="244" t="s">
        <v>32</v>
      </c>
      <c r="UJB75" s="244" t="s">
        <v>32</v>
      </c>
      <c r="UJC75" s="244" t="s">
        <v>32</v>
      </c>
      <c r="UJD75" s="244" t="s">
        <v>32</v>
      </c>
      <c r="UJE75" s="244" t="s">
        <v>32</v>
      </c>
      <c r="UJF75" s="244" t="s">
        <v>32</v>
      </c>
      <c r="UJG75" s="244" t="s">
        <v>32</v>
      </c>
      <c r="UJH75" s="244" t="s">
        <v>32</v>
      </c>
      <c r="UJI75" s="244" t="s">
        <v>32</v>
      </c>
      <c r="UJJ75" s="244" t="s">
        <v>32</v>
      </c>
      <c r="UJK75" s="244" t="s">
        <v>32</v>
      </c>
      <c r="UJL75" s="244" t="s">
        <v>32</v>
      </c>
      <c r="UJM75" s="244" t="s">
        <v>32</v>
      </c>
      <c r="UJN75" s="244" t="s">
        <v>32</v>
      </c>
      <c r="UJO75" s="244" t="s">
        <v>32</v>
      </c>
      <c r="UJP75" s="244" t="s">
        <v>32</v>
      </c>
      <c r="UJQ75" s="244" t="s">
        <v>32</v>
      </c>
      <c r="UJR75" s="244" t="s">
        <v>32</v>
      </c>
      <c r="UJS75" s="244" t="s">
        <v>32</v>
      </c>
      <c r="UJT75" s="244" t="s">
        <v>32</v>
      </c>
      <c r="UJU75" s="244" t="s">
        <v>32</v>
      </c>
      <c r="UJV75" s="244" t="s">
        <v>32</v>
      </c>
      <c r="UJW75" s="244" t="s">
        <v>32</v>
      </c>
      <c r="UJX75" s="244" t="s">
        <v>32</v>
      </c>
      <c r="UJY75" s="244" t="s">
        <v>32</v>
      </c>
      <c r="UJZ75" s="244" t="s">
        <v>32</v>
      </c>
      <c r="UKA75" s="244" t="s">
        <v>32</v>
      </c>
      <c r="UKB75" s="244" t="s">
        <v>32</v>
      </c>
      <c r="UKC75" s="244" t="s">
        <v>32</v>
      </c>
      <c r="UKD75" s="244" t="s">
        <v>32</v>
      </c>
      <c r="UKE75" s="244" t="s">
        <v>32</v>
      </c>
      <c r="UKF75" s="244" t="s">
        <v>32</v>
      </c>
      <c r="UKG75" s="244" t="s">
        <v>32</v>
      </c>
      <c r="UKH75" s="244" t="s">
        <v>32</v>
      </c>
      <c r="UKI75" s="244" t="s">
        <v>32</v>
      </c>
      <c r="UKJ75" s="244" t="s">
        <v>32</v>
      </c>
      <c r="UKK75" s="244" t="s">
        <v>32</v>
      </c>
      <c r="UKL75" s="244" t="s">
        <v>32</v>
      </c>
      <c r="UKM75" s="244" t="s">
        <v>32</v>
      </c>
      <c r="UKN75" s="244" t="s">
        <v>32</v>
      </c>
      <c r="UKO75" s="244" t="s">
        <v>32</v>
      </c>
      <c r="UKP75" s="244" t="s">
        <v>32</v>
      </c>
      <c r="UKQ75" s="244" t="s">
        <v>32</v>
      </c>
      <c r="UKR75" s="244" t="s">
        <v>32</v>
      </c>
      <c r="UKS75" s="244" t="s">
        <v>32</v>
      </c>
      <c r="UKT75" s="244" t="s">
        <v>32</v>
      </c>
      <c r="UKU75" s="244" t="s">
        <v>32</v>
      </c>
      <c r="UKV75" s="244" t="s">
        <v>32</v>
      </c>
      <c r="UKW75" s="244" t="s">
        <v>32</v>
      </c>
      <c r="UKX75" s="244" t="s">
        <v>32</v>
      </c>
      <c r="UKY75" s="244" t="s">
        <v>32</v>
      </c>
      <c r="UKZ75" s="244" t="s">
        <v>32</v>
      </c>
      <c r="ULA75" s="244" t="s">
        <v>32</v>
      </c>
      <c r="ULB75" s="244" t="s">
        <v>32</v>
      </c>
      <c r="ULC75" s="244" t="s">
        <v>32</v>
      </c>
      <c r="ULD75" s="244" t="s">
        <v>32</v>
      </c>
      <c r="ULE75" s="244" t="s">
        <v>32</v>
      </c>
      <c r="ULF75" s="244" t="s">
        <v>32</v>
      </c>
      <c r="ULG75" s="244" t="s">
        <v>32</v>
      </c>
      <c r="ULH75" s="244" t="s">
        <v>32</v>
      </c>
      <c r="ULI75" s="244" t="s">
        <v>32</v>
      </c>
      <c r="ULJ75" s="244" t="s">
        <v>32</v>
      </c>
      <c r="ULK75" s="244" t="s">
        <v>32</v>
      </c>
      <c r="ULL75" s="244" t="s">
        <v>32</v>
      </c>
      <c r="ULM75" s="244" t="s">
        <v>32</v>
      </c>
      <c r="ULN75" s="244" t="s">
        <v>32</v>
      </c>
      <c r="ULO75" s="244" t="s">
        <v>32</v>
      </c>
      <c r="ULP75" s="244" t="s">
        <v>32</v>
      </c>
      <c r="ULQ75" s="244" t="s">
        <v>32</v>
      </c>
      <c r="ULR75" s="244" t="s">
        <v>32</v>
      </c>
      <c r="ULS75" s="244" t="s">
        <v>32</v>
      </c>
      <c r="ULT75" s="244" t="s">
        <v>32</v>
      </c>
      <c r="ULU75" s="244" t="s">
        <v>32</v>
      </c>
      <c r="ULV75" s="244" t="s">
        <v>32</v>
      </c>
      <c r="ULW75" s="244" t="s">
        <v>32</v>
      </c>
      <c r="ULX75" s="244" t="s">
        <v>32</v>
      </c>
      <c r="ULY75" s="244" t="s">
        <v>32</v>
      </c>
      <c r="ULZ75" s="244" t="s">
        <v>32</v>
      </c>
      <c r="UMA75" s="244" t="s">
        <v>32</v>
      </c>
      <c r="UMB75" s="244" t="s">
        <v>32</v>
      </c>
      <c r="UMC75" s="244" t="s">
        <v>32</v>
      </c>
      <c r="UMD75" s="244" t="s">
        <v>32</v>
      </c>
      <c r="UME75" s="244" t="s">
        <v>32</v>
      </c>
      <c r="UMF75" s="244" t="s">
        <v>32</v>
      </c>
      <c r="UMG75" s="244" t="s">
        <v>32</v>
      </c>
      <c r="UMH75" s="244" t="s">
        <v>32</v>
      </c>
      <c r="UMI75" s="244" t="s">
        <v>32</v>
      </c>
      <c r="UMJ75" s="244" t="s">
        <v>32</v>
      </c>
      <c r="UMK75" s="244" t="s">
        <v>32</v>
      </c>
      <c r="UML75" s="244" t="s">
        <v>32</v>
      </c>
      <c r="UMM75" s="244" t="s">
        <v>32</v>
      </c>
      <c r="UMN75" s="244" t="s">
        <v>32</v>
      </c>
      <c r="UMO75" s="244" t="s">
        <v>32</v>
      </c>
      <c r="UMP75" s="244" t="s">
        <v>32</v>
      </c>
      <c r="UMQ75" s="244" t="s">
        <v>32</v>
      </c>
      <c r="UMR75" s="244" t="s">
        <v>32</v>
      </c>
      <c r="UMS75" s="244" t="s">
        <v>32</v>
      </c>
      <c r="UMT75" s="244" t="s">
        <v>32</v>
      </c>
      <c r="UMU75" s="244" t="s">
        <v>32</v>
      </c>
      <c r="UMV75" s="244" t="s">
        <v>32</v>
      </c>
      <c r="UMW75" s="244" t="s">
        <v>32</v>
      </c>
      <c r="UMX75" s="244" t="s">
        <v>32</v>
      </c>
      <c r="UMY75" s="244" t="s">
        <v>32</v>
      </c>
      <c r="UMZ75" s="244" t="s">
        <v>32</v>
      </c>
      <c r="UNA75" s="244" t="s">
        <v>32</v>
      </c>
      <c r="UNB75" s="244" t="s">
        <v>32</v>
      </c>
      <c r="UNC75" s="244" t="s">
        <v>32</v>
      </c>
      <c r="UND75" s="244" t="s">
        <v>32</v>
      </c>
      <c r="UNE75" s="244" t="s">
        <v>32</v>
      </c>
      <c r="UNF75" s="244" t="s">
        <v>32</v>
      </c>
      <c r="UNG75" s="244" t="s">
        <v>32</v>
      </c>
      <c r="UNH75" s="244" t="s">
        <v>32</v>
      </c>
      <c r="UNI75" s="244" t="s">
        <v>32</v>
      </c>
      <c r="UNJ75" s="244" t="s">
        <v>32</v>
      </c>
      <c r="UNK75" s="244" t="s">
        <v>32</v>
      </c>
      <c r="UNL75" s="244" t="s">
        <v>32</v>
      </c>
      <c r="UNM75" s="244" t="s">
        <v>32</v>
      </c>
      <c r="UNN75" s="244" t="s">
        <v>32</v>
      </c>
      <c r="UNO75" s="244" t="s">
        <v>32</v>
      </c>
      <c r="UNP75" s="244" t="s">
        <v>32</v>
      </c>
      <c r="UNQ75" s="244" t="s">
        <v>32</v>
      </c>
      <c r="UNR75" s="244" t="s">
        <v>32</v>
      </c>
      <c r="UNS75" s="244" t="s">
        <v>32</v>
      </c>
      <c r="UNT75" s="244" t="s">
        <v>32</v>
      </c>
      <c r="UNU75" s="244" t="s">
        <v>32</v>
      </c>
      <c r="UNV75" s="244" t="s">
        <v>32</v>
      </c>
      <c r="UNW75" s="244" t="s">
        <v>32</v>
      </c>
      <c r="UNX75" s="244" t="s">
        <v>32</v>
      </c>
      <c r="UNY75" s="244" t="s">
        <v>32</v>
      </c>
      <c r="UNZ75" s="244" t="s">
        <v>32</v>
      </c>
      <c r="UOA75" s="244" t="s">
        <v>32</v>
      </c>
      <c r="UOB75" s="244" t="s">
        <v>32</v>
      </c>
      <c r="UOC75" s="244" t="s">
        <v>32</v>
      </c>
      <c r="UOD75" s="244" t="s">
        <v>32</v>
      </c>
      <c r="UOE75" s="244" t="s">
        <v>32</v>
      </c>
      <c r="UOF75" s="244" t="s">
        <v>32</v>
      </c>
      <c r="UOG75" s="244" t="s">
        <v>32</v>
      </c>
      <c r="UOH75" s="244" t="s">
        <v>32</v>
      </c>
      <c r="UOI75" s="244" t="s">
        <v>32</v>
      </c>
      <c r="UOJ75" s="244" t="s">
        <v>32</v>
      </c>
      <c r="UOK75" s="244" t="s">
        <v>32</v>
      </c>
      <c r="UOL75" s="244" t="s">
        <v>32</v>
      </c>
      <c r="UOM75" s="244" t="s">
        <v>32</v>
      </c>
      <c r="UON75" s="244" t="s">
        <v>32</v>
      </c>
      <c r="UOO75" s="244" t="s">
        <v>32</v>
      </c>
      <c r="UOP75" s="244" t="s">
        <v>32</v>
      </c>
      <c r="UOQ75" s="244" t="s">
        <v>32</v>
      </c>
      <c r="UOR75" s="244" t="s">
        <v>32</v>
      </c>
      <c r="UOS75" s="244" t="s">
        <v>32</v>
      </c>
      <c r="UOT75" s="244" t="s">
        <v>32</v>
      </c>
      <c r="UOU75" s="244" t="s">
        <v>32</v>
      </c>
      <c r="UOV75" s="244" t="s">
        <v>32</v>
      </c>
      <c r="UOW75" s="244" t="s">
        <v>32</v>
      </c>
      <c r="UOX75" s="244" t="s">
        <v>32</v>
      </c>
      <c r="UOY75" s="244" t="s">
        <v>32</v>
      </c>
      <c r="UOZ75" s="244" t="s">
        <v>32</v>
      </c>
      <c r="UPA75" s="244" t="s">
        <v>32</v>
      </c>
      <c r="UPB75" s="244" t="s">
        <v>32</v>
      </c>
      <c r="UPC75" s="244" t="s">
        <v>32</v>
      </c>
      <c r="UPD75" s="244" t="s">
        <v>32</v>
      </c>
      <c r="UPE75" s="244" t="s">
        <v>32</v>
      </c>
      <c r="UPF75" s="244" t="s">
        <v>32</v>
      </c>
      <c r="UPG75" s="244" t="s">
        <v>32</v>
      </c>
      <c r="UPH75" s="244" t="s">
        <v>32</v>
      </c>
      <c r="UPI75" s="244" t="s">
        <v>32</v>
      </c>
      <c r="UPJ75" s="244" t="s">
        <v>32</v>
      </c>
      <c r="UPK75" s="244" t="s">
        <v>32</v>
      </c>
      <c r="UPL75" s="244" t="s">
        <v>32</v>
      </c>
      <c r="UPM75" s="244" t="s">
        <v>32</v>
      </c>
      <c r="UPN75" s="244" t="s">
        <v>32</v>
      </c>
      <c r="UPO75" s="244" t="s">
        <v>32</v>
      </c>
      <c r="UPP75" s="244" t="s">
        <v>32</v>
      </c>
      <c r="UPQ75" s="244" t="s">
        <v>32</v>
      </c>
      <c r="UPR75" s="244" t="s">
        <v>32</v>
      </c>
      <c r="UPS75" s="244" t="s">
        <v>32</v>
      </c>
      <c r="UPT75" s="244" t="s">
        <v>32</v>
      </c>
      <c r="UPU75" s="244" t="s">
        <v>32</v>
      </c>
      <c r="UPV75" s="244" t="s">
        <v>32</v>
      </c>
      <c r="UPW75" s="244" t="s">
        <v>32</v>
      </c>
      <c r="UPX75" s="244" t="s">
        <v>32</v>
      </c>
      <c r="UPY75" s="244" t="s">
        <v>32</v>
      </c>
      <c r="UPZ75" s="244" t="s">
        <v>32</v>
      </c>
      <c r="UQA75" s="244" t="s">
        <v>32</v>
      </c>
      <c r="UQB75" s="244" t="s">
        <v>32</v>
      </c>
      <c r="UQC75" s="244" t="s">
        <v>32</v>
      </c>
      <c r="UQD75" s="244" t="s">
        <v>32</v>
      </c>
      <c r="UQE75" s="244" t="s">
        <v>32</v>
      </c>
      <c r="UQF75" s="244" t="s">
        <v>32</v>
      </c>
      <c r="UQG75" s="244" t="s">
        <v>32</v>
      </c>
      <c r="UQH75" s="244" t="s">
        <v>32</v>
      </c>
      <c r="UQI75" s="244" t="s">
        <v>32</v>
      </c>
      <c r="UQJ75" s="244" t="s">
        <v>32</v>
      </c>
      <c r="UQK75" s="244" t="s">
        <v>32</v>
      </c>
      <c r="UQL75" s="244" t="s">
        <v>32</v>
      </c>
      <c r="UQM75" s="244" t="s">
        <v>32</v>
      </c>
      <c r="UQN75" s="244" t="s">
        <v>32</v>
      </c>
      <c r="UQO75" s="244" t="s">
        <v>32</v>
      </c>
      <c r="UQP75" s="244" t="s">
        <v>32</v>
      </c>
      <c r="UQQ75" s="244" t="s">
        <v>32</v>
      </c>
      <c r="UQR75" s="244" t="s">
        <v>32</v>
      </c>
      <c r="UQS75" s="244" t="s">
        <v>32</v>
      </c>
      <c r="UQT75" s="244" t="s">
        <v>32</v>
      </c>
      <c r="UQU75" s="244" t="s">
        <v>32</v>
      </c>
      <c r="UQV75" s="244" t="s">
        <v>32</v>
      </c>
      <c r="UQW75" s="244" t="s">
        <v>32</v>
      </c>
      <c r="UQX75" s="244" t="s">
        <v>32</v>
      </c>
      <c r="UQY75" s="244" t="s">
        <v>32</v>
      </c>
      <c r="UQZ75" s="244" t="s">
        <v>32</v>
      </c>
      <c r="URA75" s="244" t="s">
        <v>32</v>
      </c>
      <c r="URB75" s="244" t="s">
        <v>32</v>
      </c>
      <c r="URC75" s="244" t="s">
        <v>32</v>
      </c>
      <c r="URD75" s="244" t="s">
        <v>32</v>
      </c>
      <c r="URE75" s="244" t="s">
        <v>32</v>
      </c>
      <c r="URF75" s="244" t="s">
        <v>32</v>
      </c>
      <c r="URG75" s="244" t="s">
        <v>32</v>
      </c>
      <c r="URH75" s="244" t="s">
        <v>32</v>
      </c>
      <c r="URI75" s="244" t="s">
        <v>32</v>
      </c>
      <c r="URJ75" s="244" t="s">
        <v>32</v>
      </c>
      <c r="URK75" s="244" t="s">
        <v>32</v>
      </c>
      <c r="URL75" s="244" t="s">
        <v>32</v>
      </c>
      <c r="URM75" s="244" t="s">
        <v>32</v>
      </c>
      <c r="URN75" s="244" t="s">
        <v>32</v>
      </c>
      <c r="URO75" s="244" t="s">
        <v>32</v>
      </c>
      <c r="URP75" s="244" t="s">
        <v>32</v>
      </c>
      <c r="URQ75" s="244" t="s">
        <v>32</v>
      </c>
      <c r="URR75" s="244" t="s">
        <v>32</v>
      </c>
      <c r="URS75" s="244" t="s">
        <v>32</v>
      </c>
      <c r="URT75" s="244" t="s">
        <v>32</v>
      </c>
      <c r="URU75" s="244" t="s">
        <v>32</v>
      </c>
      <c r="URV75" s="244" t="s">
        <v>32</v>
      </c>
      <c r="URW75" s="244" t="s">
        <v>32</v>
      </c>
      <c r="URX75" s="244" t="s">
        <v>32</v>
      </c>
      <c r="URY75" s="244" t="s">
        <v>32</v>
      </c>
      <c r="URZ75" s="244" t="s">
        <v>32</v>
      </c>
      <c r="USA75" s="244" t="s">
        <v>32</v>
      </c>
      <c r="USB75" s="244" t="s">
        <v>32</v>
      </c>
      <c r="USC75" s="244" t="s">
        <v>32</v>
      </c>
      <c r="USD75" s="244" t="s">
        <v>32</v>
      </c>
      <c r="USE75" s="244" t="s">
        <v>32</v>
      </c>
      <c r="USF75" s="244" t="s">
        <v>32</v>
      </c>
      <c r="USG75" s="244" t="s">
        <v>32</v>
      </c>
      <c r="USH75" s="244" t="s">
        <v>32</v>
      </c>
      <c r="USI75" s="244" t="s">
        <v>32</v>
      </c>
      <c r="USJ75" s="244" t="s">
        <v>32</v>
      </c>
      <c r="USK75" s="244" t="s">
        <v>32</v>
      </c>
      <c r="USL75" s="244" t="s">
        <v>32</v>
      </c>
      <c r="USM75" s="244" t="s">
        <v>32</v>
      </c>
      <c r="USN75" s="244" t="s">
        <v>32</v>
      </c>
      <c r="USO75" s="244" t="s">
        <v>32</v>
      </c>
      <c r="USP75" s="244" t="s">
        <v>32</v>
      </c>
      <c r="USQ75" s="244" t="s">
        <v>32</v>
      </c>
      <c r="USR75" s="244" t="s">
        <v>32</v>
      </c>
      <c r="USS75" s="244" t="s">
        <v>32</v>
      </c>
      <c r="UST75" s="244" t="s">
        <v>32</v>
      </c>
      <c r="USU75" s="244" t="s">
        <v>32</v>
      </c>
      <c r="USV75" s="244" t="s">
        <v>32</v>
      </c>
      <c r="USW75" s="244" t="s">
        <v>32</v>
      </c>
      <c r="USX75" s="244" t="s">
        <v>32</v>
      </c>
      <c r="USY75" s="244" t="s">
        <v>32</v>
      </c>
      <c r="USZ75" s="244" t="s">
        <v>32</v>
      </c>
      <c r="UTA75" s="244" t="s">
        <v>32</v>
      </c>
      <c r="UTB75" s="244" t="s">
        <v>32</v>
      </c>
      <c r="UTC75" s="244" t="s">
        <v>32</v>
      </c>
      <c r="UTD75" s="244" t="s">
        <v>32</v>
      </c>
      <c r="UTE75" s="244" t="s">
        <v>32</v>
      </c>
      <c r="UTF75" s="244" t="s">
        <v>32</v>
      </c>
      <c r="UTG75" s="244" t="s">
        <v>32</v>
      </c>
      <c r="UTH75" s="244" t="s">
        <v>32</v>
      </c>
      <c r="UTI75" s="244" t="s">
        <v>32</v>
      </c>
      <c r="UTJ75" s="244" t="s">
        <v>32</v>
      </c>
      <c r="UTK75" s="244" t="s">
        <v>32</v>
      </c>
      <c r="UTL75" s="244" t="s">
        <v>32</v>
      </c>
      <c r="UTM75" s="244" t="s">
        <v>32</v>
      </c>
      <c r="UTN75" s="244" t="s">
        <v>32</v>
      </c>
      <c r="UTO75" s="244" t="s">
        <v>32</v>
      </c>
      <c r="UTP75" s="244" t="s">
        <v>32</v>
      </c>
      <c r="UTQ75" s="244" t="s">
        <v>32</v>
      </c>
      <c r="UTR75" s="244" t="s">
        <v>32</v>
      </c>
      <c r="UTS75" s="244" t="s">
        <v>32</v>
      </c>
      <c r="UTT75" s="244" t="s">
        <v>32</v>
      </c>
      <c r="UTU75" s="244" t="s">
        <v>32</v>
      </c>
      <c r="UTV75" s="244" t="s">
        <v>32</v>
      </c>
      <c r="UTW75" s="244" t="s">
        <v>32</v>
      </c>
      <c r="UTX75" s="244" t="s">
        <v>32</v>
      </c>
      <c r="UTY75" s="244" t="s">
        <v>32</v>
      </c>
      <c r="UTZ75" s="244" t="s">
        <v>32</v>
      </c>
      <c r="UUA75" s="244" t="s">
        <v>32</v>
      </c>
      <c r="UUB75" s="244" t="s">
        <v>32</v>
      </c>
      <c r="UUC75" s="244" t="s">
        <v>32</v>
      </c>
      <c r="UUD75" s="244" t="s">
        <v>32</v>
      </c>
      <c r="UUE75" s="244" t="s">
        <v>32</v>
      </c>
      <c r="UUF75" s="244" t="s">
        <v>32</v>
      </c>
      <c r="UUG75" s="244" t="s">
        <v>32</v>
      </c>
      <c r="UUH75" s="244" t="s">
        <v>32</v>
      </c>
      <c r="UUI75" s="244" t="s">
        <v>32</v>
      </c>
      <c r="UUJ75" s="244" t="s">
        <v>32</v>
      </c>
      <c r="UUK75" s="244" t="s">
        <v>32</v>
      </c>
      <c r="UUL75" s="244" t="s">
        <v>32</v>
      </c>
      <c r="UUM75" s="244" t="s">
        <v>32</v>
      </c>
      <c r="UUN75" s="244" t="s">
        <v>32</v>
      </c>
      <c r="UUO75" s="244" t="s">
        <v>32</v>
      </c>
      <c r="UUP75" s="244" t="s">
        <v>32</v>
      </c>
      <c r="UUQ75" s="244" t="s">
        <v>32</v>
      </c>
      <c r="UUR75" s="244" t="s">
        <v>32</v>
      </c>
      <c r="UUS75" s="244" t="s">
        <v>32</v>
      </c>
      <c r="UUT75" s="244" t="s">
        <v>32</v>
      </c>
      <c r="UUU75" s="244" t="s">
        <v>32</v>
      </c>
      <c r="UUV75" s="244" t="s">
        <v>32</v>
      </c>
      <c r="UUW75" s="244" t="s">
        <v>32</v>
      </c>
      <c r="UUX75" s="244" t="s">
        <v>32</v>
      </c>
      <c r="UUY75" s="244" t="s">
        <v>32</v>
      </c>
      <c r="UUZ75" s="244" t="s">
        <v>32</v>
      </c>
      <c r="UVA75" s="244" t="s">
        <v>32</v>
      </c>
      <c r="UVB75" s="244" t="s">
        <v>32</v>
      </c>
      <c r="UVC75" s="244" t="s">
        <v>32</v>
      </c>
      <c r="UVD75" s="244" t="s">
        <v>32</v>
      </c>
      <c r="UVE75" s="244" t="s">
        <v>32</v>
      </c>
      <c r="UVF75" s="244" t="s">
        <v>32</v>
      </c>
      <c r="UVG75" s="244" t="s">
        <v>32</v>
      </c>
      <c r="UVH75" s="244" t="s">
        <v>32</v>
      </c>
      <c r="UVI75" s="244" t="s">
        <v>32</v>
      </c>
      <c r="UVJ75" s="244" t="s">
        <v>32</v>
      </c>
      <c r="UVK75" s="244" t="s">
        <v>32</v>
      </c>
      <c r="UVL75" s="244" t="s">
        <v>32</v>
      </c>
      <c r="UVM75" s="244" t="s">
        <v>32</v>
      </c>
      <c r="UVN75" s="244" t="s">
        <v>32</v>
      </c>
      <c r="UVO75" s="244" t="s">
        <v>32</v>
      </c>
      <c r="UVP75" s="244" t="s">
        <v>32</v>
      </c>
      <c r="UVQ75" s="244" t="s">
        <v>32</v>
      </c>
      <c r="UVR75" s="244" t="s">
        <v>32</v>
      </c>
      <c r="UVS75" s="244" t="s">
        <v>32</v>
      </c>
      <c r="UVT75" s="244" t="s">
        <v>32</v>
      </c>
      <c r="UVU75" s="244" t="s">
        <v>32</v>
      </c>
      <c r="UVV75" s="244" t="s">
        <v>32</v>
      </c>
      <c r="UVW75" s="244" t="s">
        <v>32</v>
      </c>
      <c r="UVX75" s="244" t="s">
        <v>32</v>
      </c>
      <c r="UVY75" s="244" t="s">
        <v>32</v>
      </c>
      <c r="UVZ75" s="244" t="s">
        <v>32</v>
      </c>
      <c r="UWA75" s="244" t="s">
        <v>32</v>
      </c>
      <c r="UWB75" s="244" t="s">
        <v>32</v>
      </c>
      <c r="UWC75" s="244" t="s">
        <v>32</v>
      </c>
      <c r="UWD75" s="244" t="s">
        <v>32</v>
      </c>
      <c r="UWE75" s="244" t="s">
        <v>32</v>
      </c>
      <c r="UWF75" s="244" t="s">
        <v>32</v>
      </c>
      <c r="UWG75" s="244" t="s">
        <v>32</v>
      </c>
      <c r="UWH75" s="244" t="s">
        <v>32</v>
      </c>
      <c r="UWI75" s="244" t="s">
        <v>32</v>
      </c>
      <c r="UWJ75" s="244" t="s">
        <v>32</v>
      </c>
      <c r="UWK75" s="244" t="s">
        <v>32</v>
      </c>
      <c r="UWL75" s="244" t="s">
        <v>32</v>
      </c>
      <c r="UWM75" s="244" t="s">
        <v>32</v>
      </c>
      <c r="UWN75" s="244" t="s">
        <v>32</v>
      </c>
      <c r="UWO75" s="244" t="s">
        <v>32</v>
      </c>
      <c r="UWP75" s="244" t="s">
        <v>32</v>
      </c>
      <c r="UWQ75" s="244" t="s">
        <v>32</v>
      </c>
      <c r="UWR75" s="244" t="s">
        <v>32</v>
      </c>
      <c r="UWS75" s="244" t="s">
        <v>32</v>
      </c>
      <c r="UWT75" s="244" t="s">
        <v>32</v>
      </c>
      <c r="UWU75" s="244" t="s">
        <v>32</v>
      </c>
      <c r="UWV75" s="244" t="s">
        <v>32</v>
      </c>
      <c r="UWW75" s="244" t="s">
        <v>32</v>
      </c>
      <c r="UWX75" s="244" t="s">
        <v>32</v>
      </c>
      <c r="UWY75" s="244" t="s">
        <v>32</v>
      </c>
      <c r="UWZ75" s="244" t="s">
        <v>32</v>
      </c>
      <c r="UXA75" s="244" t="s">
        <v>32</v>
      </c>
      <c r="UXB75" s="244" t="s">
        <v>32</v>
      </c>
      <c r="UXC75" s="244" t="s">
        <v>32</v>
      </c>
      <c r="UXD75" s="244" t="s">
        <v>32</v>
      </c>
      <c r="UXE75" s="244" t="s">
        <v>32</v>
      </c>
      <c r="UXF75" s="244" t="s">
        <v>32</v>
      </c>
      <c r="UXG75" s="244" t="s">
        <v>32</v>
      </c>
      <c r="UXH75" s="244" t="s">
        <v>32</v>
      </c>
      <c r="UXI75" s="244" t="s">
        <v>32</v>
      </c>
      <c r="UXJ75" s="244" t="s">
        <v>32</v>
      </c>
      <c r="UXK75" s="244" t="s">
        <v>32</v>
      </c>
      <c r="UXL75" s="244" t="s">
        <v>32</v>
      </c>
      <c r="UXM75" s="244" t="s">
        <v>32</v>
      </c>
      <c r="UXN75" s="244" t="s">
        <v>32</v>
      </c>
      <c r="UXO75" s="244" t="s">
        <v>32</v>
      </c>
      <c r="UXP75" s="244" t="s">
        <v>32</v>
      </c>
      <c r="UXQ75" s="244" t="s">
        <v>32</v>
      </c>
      <c r="UXR75" s="244" t="s">
        <v>32</v>
      </c>
      <c r="UXS75" s="244" t="s">
        <v>32</v>
      </c>
      <c r="UXT75" s="244" t="s">
        <v>32</v>
      </c>
      <c r="UXU75" s="244" t="s">
        <v>32</v>
      </c>
      <c r="UXV75" s="244" t="s">
        <v>32</v>
      </c>
      <c r="UXW75" s="244" t="s">
        <v>32</v>
      </c>
      <c r="UXX75" s="244" t="s">
        <v>32</v>
      </c>
      <c r="UXY75" s="244" t="s">
        <v>32</v>
      </c>
      <c r="UXZ75" s="244" t="s">
        <v>32</v>
      </c>
      <c r="UYA75" s="244" t="s">
        <v>32</v>
      </c>
      <c r="UYB75" s="244" t="s">
        <v>32</v>
      </c>
      <c r="UYC75" s="244" t="s">
        <v>32</v>
      </c>
      <c r="UYD75" s="244" t="s">
        <v>32</v>
      </c>
      <c r="UYE75" s="244" t="s">
        <v>32</v>
      </c>
      <c r="UYF75" s="244" t="s">
        <v>32</v>
      </c>
      <c r="UYG75" s="244" t="s">
        <v>32</v>
      </c>
      <c r="UYH75" s="244" t="s">
        <v>32</v>
      </c>
      <c r="UYI75" s="244" t="s">
        <v>32</v>
      </c>
      <c r="UYJ75" s="244" t="s">
        <v>32</v>
      </c>
      <c r="UYK75" s="244" t="s">
        <v>32</v>
      </c>
      <c r="UYL75" s="244" t="s">
        <v>32</v>
      </c>
      <c r="UYM75" s="244" t="s">
        <v>32</v>
      </c>
      <c r="UYN75" s="244" t="s">
        <v>32</v>
      </c>
      <c r="UYO75" s="244" t="s">
        <v>32</v>
      </c>
      <c r="UYP75" s="244" t="s">
        <v>32</v>
      </c>
      <c r="UYQ75" s="244" t="s">
        <v>32</v>
      </c>
      <c r="UYR75" s="244" t="s">
        <v>32</v>
      </c>
      <c r="UYS75" s="244" t="s">
        <v>32</v>
      </c>
      <c r="UYT75" s="244" t="s">
        <v>32</v>
      </c>
      <c r="UYU75" s="244" t="s">
        <v>32</v>
      </c>
      <c r="UYV75" s="244" t="s">
        <v>32</v>
      </c>
      <c r="UYW75" s="244" t="s">
        <v>32</v>
      </c>
      <c r="UYX75" s="244" t="s">
        <v>32</v>
      </c>
      <c r="UYY75" s="244" t="s">
        <v>32</v>
      </c>
      <c r="UYZ75" s="244" t="s">
        <v>32</v>
      </c>
      <c r="UZA75" s="244" t="s">
        <v>32</v>
      </c>
      <c r="UZB75" s="244" t="s">
        <v>32</v>
      </c>
      <c r="UZC75" s="244" t="s">
        <v>32</v>
      </c>
      <c r="UZD75" s="244" t="s">
        <v>32</v>
      </c>
      <c r="UZE75" s="244" t="s">
        <v>32</v>
      </c>
      <c r="UZF75" s="244" t="s">
        <v>32</v>
      </c>
      <c r="UZG75" s="244" t="s">
        <v>32</v>
      </c>
      <c r="UZH75" s="244" t="s">
        <v>32</v>
      </c>
      <c r="UZI75" s="244" t="s">
        <v>32</v>
      </c>
      <c r="UZJ75" s="244" t="s">
        <v>32</v>
      </c>
      <c r="UZK75" s="244" t="s">
        <v>32</v>
      </c>
      <c r="UZL75" s="244" t="s">
        <v>32</v>
      </c>
      <c r="UZM75" s="244" t="s">
        <v>32</v>
      </c>
      <c r="UZN75" s="244" t="s">
        <v>32</v>
      </c>
      <c r="UZO75" s="244" t="s">
        <v>32</v>
      </c>
      <c r="UZP75" s="244" t="s">
        <v>32</v>
      </c>
      <c r="UZQ75" s="244" t="s">
        <v>32</v>
      </c>
      <c r="UZR75" s="244" t="s">
        <v>32</v>
      </c>
      <c r="UZS75" s="244" t="s">
        <v>32</v>
      </c>
      <c r="UZT75" s="244" t="s">
        <v>32</v>
      </c>
      <c r="UZU75" s="244" t="s">
        <v>32</v>
      </c>
      <c r="UZV75" s="244" t="s">
        <v>32</v>
      </c>
      <c r="UZW75" s="244" t="s">
        <v>32</v>
      </c>
      <c r="UZX75" s="244" t="s">
        <v>32</v>
      </c>
      <c r="UZY75" s="244" t="s">
        <v>32</v>
      </c>
      <c r="UZZ75" s="244" t="s">
        <v>32</v>
      </c>
      <c r="VAA75" s="244" t="s">
        <v>32</v>
      </c>
      <c r="VAB75" s="244" t="s">
        <v>32</v>
      </c>
      <c r="VAC75" s="244" t="s">
        <v>32</v>
      </c>
      <c r="VAD75" s="244" t="s">
        <v>32</v>
      </c>
      <c r="VAE75" s="244" t="s">
        <v>32</v>
      </c>
      <c r="VAF75" s="244" t="s">
        <v>32</v>
      </c>
      <c r="VAG75" s="244" t="s">
        <v>32</v>
      </c>
      <c r="VAH75" s="244" t="s">
        <v>32</v>
      </c>
      <c r="VAI75" s="244" t="s">
        <v>32</v>
      </c>
      <c r="VAJ75" s="244" t="s">
        <v>32</v>
      </c>
      <c r="VAK75" s="244" t="s">
        <v>32</v>
      </c>
      <c r="VAL75" s="244" t="s">
        <v>32</v>
      </c>
      <c r="VAM75" s="244" t="s">
        <v>32</v>
      </c>
      <c r="VAN75" s="244" t="s">
        <v>32</v>
      </c>
      <c r="VAO75" s="244" t="s">
        <v>32</v>
      </c>
      <c r="VAP75" s="244" t="s">
        <v>32</v>
      </c>
      <c r="VAQ75" s="244" t="s">
        <v>32</v>
      </c>
      <c r="VAR75" s="244" t="s">
        <v>32</v>
      </c>
      <c r="VAS75" s="244" t="s">
        <v>32</v>
      </c>
      <c r="VAT75" s="244" t="s">
        <v>32</v>
      </c>
      <c r="VAU75" s="244" t="s">
        <v>32</v>
      </c>
      <c r="VAV75" s="244" t="s">
        <v>32</v>
      </c>
      <c r="VAW75" s="244" t="s">
        <v>32</v>
      </c>
      <c r="VAX75" s="244" t="s">
        <v>32</v>
      </c>
      <c r="VAY75" s="244" t="s">
        <v>32</v>
      </c>
      <c r="VAZ75" s="244" t="s">
        <v>32</v>
      </c>
      <c r="VBA75" s="244" t="s">
        <v>32</v>
      </c>
      <c r="VBB75" s="244" t="s">
        <v>32</v>
      </c>
      <c r="VBC75" s="244" t="s">
        <v>32</v>
      </c>
      <c r="VBD75" s="244" t="s">
        <v>32</v>
      </c>
      <c r="VBE75" s="244" t="s">
        <v>32</v>
      </c>
      <c r="VBF75" s="244" t="s">
        <v>32</v>
      </c>
      <c r="VBG75" s="244" t="s">
        <v>32</v>
      </c>
      <c r="VBH75" s="244" t="s">
        <v>32</v>
      </c>
      <c r="VBI75" s="244" t="s">
        <v>32</v>
      </c>
      <c r="VBJ75" s="244" t="s">
        <v>32</v>
      </c>
      <c r="VBK75" s="244" t="s">
        <v>32</v>
      </c>
      <c r="VBL75" s="244" t="s">
        <v>32</v>
      </c>
      <c r="VBM75" s="244" t="s">
        <v>32</v>
      </c>
      <c r="VBN75" s="244" t="s">
        <v>32</v>
      </c>
      <c r="VBO75" s="244" t="s">
        <v>32</v>
      </c>
      <c r="VBP75" s="244" t="s">
        <v>32</v>
      </c>
      <c r="VBQ75" s="244" t="s">
        <v>32</v>
      </c>
      <c r="VBR75" s="244" t="s">
        <v>32</v>
      </c>
      <c r="VBS75" s="244" t="s">
        <v>32</v>
      </c>
      <c r="VBT75" s="244" t="s">
        <v>32</v>
      </c>
      <c r="VBU75" s="244" t="s">
        <v>32</v>
      </c>
      <c r="VBV75" s="244" t="s">
        <v>32</v>
      </c>
      <c r="VBW75" s="244" t="s">
        <v>32</v>
      </c>
      <c r="VBX75" s="244" t="s">
        <v>32</v>
      </c>
      <c r="VBY75" s="244" t="s">
        <v>32</v>
      </c>
      <c r="VBZ75" s="244" t="s">
        <v>32</v>
      </c>
      <c r="VCA75" s="244" t="s">
        <v>32</v>
      </c>
      <c r="VCB75" s="244" t="s">
        <v>32</v>
      </c>
      <c r="VCC75" s="244" t="s">
        <v>32</v>
      </c>
      <c r="VCD75" s="244" t="s">
        <v>32</v>
      </c>
      <c r="VCE75" s="244" t="s">
        <v>32</v>
      </c>
      <c r="VCF75" s="244" t="s">
        <v>32</v>
      </c>
      <c r="VCG75" s="244" t="s">
        <v>32</v>
      </c>
      <c r="VCH75" s="244" t="s">
        <v>32</v>
      </c>
      <c r="VCI75" s="244" t="s">
        <v>32</v>
      </c>
      <c r="VCJ75" s="244" t="s">
        <v>32</v>
      </c>
      <c r="VCK75" s="244" t="s">
        <v>32</v>
      </c>
      <c r="VCL75" s="244" t="s">
        <v>32</v>
      </c>
      <c r="VCM75" s="244" t="s">
        <v>32</v>
      </c>
      <c r="VCN75" s="244" t="s">
        <v>32</v>
      </c>
      <c r="VCO75" s="244" t="s">
        <v>32</v>
      </c>
      <c r="VCP75" s="244" t="s">
        <v>32</v>
      </c>
      <c r="VCQ75" s="244" t="s">
        <v>32</v>
      </c>
      <c r="VCR75" s="244" t="s">
        <v>32</v>
      </c>
      <c r="VCS75" s="244" t="s">
        <v>32</v>
      </c>
      <c r="VCT75" s="244" t="s">
        <v>32</v>
      </c>
      <c r="VCU75" s="244" t="s">
        <v>32</v>
      </c>
      <c r="VCV75" s="244" t="s">
        <v>32</v>
      </c>
      <c r="VCW75" s="244" t="s">
        <v>32</v>
      </c>
      <c r="VCX75" s="244" t="s">
        <v>32</v>
      </c>
      <c r="VCY75" s="244" t="s">
        <v>32</v>
      </c>
      <c r="VCZ75" s="244" t="s">
        <v>32</v>
      </c>
      <c r="VDA75" s="244" t="s">
        <v>32</v>
      </c>
      <c r="VDB75" s="244" t="s">
        <v>32</v>
      </c>
      <c r="VDC75" s="244" t="s">
        <v>32</v>
      </c>
      <c r="VDD75" s="244" t="s">
        <v>32</v>
      </c>
      <c r="VDE75" s="244" t="s">
        <v>32</v>
      </c>
      <c r="VDF75" s="244" t="s">
        <v>32</v>
      </c>
      <c r="VDG75" s="244" t="s">
        <v>32</v>
      </c>
      <c r="VDH75" s="244" t="s">
        <v>32</v>
      </c>
      <c r="VDI75" s="244" t="s">
        <v>32</v>
      </c>
      <c r="VDJ75" s="244" t="s">
        <v>32</v>
      </c>
      <c r="VDK75" s="244" t="s">
        <v>32</v>
      </c>
      <c r="VDL75" s="244" t="s">
        <v>32</v>
      </c>
      <c r="VDM75" s="244" t="s">
        <v>32</v>
      </c>
      <c r="VDN75" s="244" t="s">
        <v>32</v>
      </c>
      <c r="VDO75" s="244" t="s">
        <v>32</v>
      </c>
      <c r="VDP75" s="244" t="s">
        <v>32</v>
      </c>
      <c r="VDQ75" s="244" t="s">
        <v>32</v>
      </c>
      <c r="VDR75" s="244" t="s">
        <v>32</v>
      </c>
      <c r="VDS75" s="244" t="s">
        <v>32</v>
      </c>
      <c r="VDT75" s="244" t="s">
        <v>32</v>
      </c>
      <c r="VDU75" s="244" t="s">
        <v>32</v>
      </c>
      <c r="VDV75" s="244" t="s">
        <v>32</v>
      </c>
      <c r="VDW75" s="244" t="s">
        <v>32</v>
      </c>
      <c r="VDX75" s="244" t="s">
        <v>32</v>
      </c>
      <c r="VDY75" s="244" t="s">
        <v>32</v>
      </c>
      <c r="VDZ75" s="244" t="s">
        <v>32</v>
      </c>
      <c r="VEA75" s="244" t="s">
        <v>32</v>
      </c>
      <c r="VEB75" s="244" t="s">
        <v>32</v>
      </c>
      <c r="VEC75" s="244" t="s">
        <v>32</v>
      </c>
      <c r="VED75" s="244" t="s">
        <v>32</v>
      </c>
      <c r="VEE75" s="244" t="s">
        <v>32</v>
      </c>
      <c r="VEF75" s="244" t="s">
        <v>32</v>
      </c>
      <c r="VEG75" s="244" t="s">
        <v>32</v>
      </c>
      <c r="VEH75" s="244" t="s">
        <v>32</v>
      </c>
      <c r="VEI75" s="244" t="s">
        <v>32</v>
      </c>
      <c r="VEJ75" s="244" t="s">
        <v>32</v>
      </c>
      <c r="VEK75" s="244" t="s">
        <v>32</v>
      </c>
      <c r="VEL75" s="244" t="s">
        <v>32</v>
      </c>
      <c r="VEM75" s="244" t="s">
        <v>32</v>
      </c>
      <c r="VEN75" s="244" t="s">
        <v>32</v>
      </c>
      <c r="VEO75" s="244" t="s">
        <v>32</v>
      </c>
      <c r="VEP75" s="244" t="s">
        <v>32</v>
      </c>
      <c r="VEQ75" s="244" t="s">
        <v>32</v>
      </c>
      <c r="VER75" s="244" t="s">
        <v>32</v>
      </c>
      <c r="VES75" s="244" t="s">
        <v>32</v>
      </c>
      <c r="VET75" s="244" t="s">
        <v>32</v>
      </c>
      <c r="VEU75" s="244" t="s">
        <v>32</v>
      </c>
      <c r="VEV75" s="244" t="s">
        <v>32</v>
      </c>
      <c r="VEW75" s="244" t="s">
        <v>32</v>
      </c>
      <c r="VEX75" s="244" t="s">
        <v>32</v>
      </c>
      <c r="VEY75" s="244" t="s">
        <v>32</v>
      </c>
      <c r="VEZ75" s="244" t="s">
        <v>32</v>
      </c>
      <c r="VFA75" s="244" t="s">
        <v>32</v>
      </c>
      <c r="VFB75" s="244" t="s">
        <v>32</v>
      </c>
      <c r="VFC75" s="244" t="s">
        <v>32</v>
      </c>
      <c r="VFD75" s="244" t="s">
        <v>32</v>
      </c>
      <c r="VFE75" s="244" t="s">
        <v>32</v>
      </c>
      <c r="VFF75" s="244" t="s">
        <v>32</v>
      </c>
      <c r="VFG75" s="244" t="s">
        <v>32</v>
      </c>
      <c r="VFH75" s="244" t="s">
        <v>32</v>
      </c>
      <c r="VFI75" s="244" t="s">
        <v>32</v>
      </c>
      <c r="VFJ75" s="244" t="s">
        <v>32</v>
      </c>
      <c r="VFK75" s="244" t="s">
        <v>32</v>
      </c>
      <c r="VFL75" s="244" t="s">
        <v>32</v>
      </c>
      <c r="VFM75" s="244" t="s">
        <v>32</v>
      </c>
      <c r="VFN75" s="244" t="s">
        <v>32</v>
      </c>
      <c r="VFO75" s="244" t="s">
        <v>32</v>
      </c>
      <c r="VFP75" s="244" t="s">
        <v>32</v>
      </c>
      <c r="VFQ75" s="244" t="s">
        <v>32</v>
      </c>
      <c r="VFR75" s="244" t="s">
        <v>32</v>
      </c>
      <c r="VFS75" s="244" t="s">
        <v>32</v>
      </c>
      <c r="VFT75" s="244" t="s">
        <v>32</v>
      </c>
      <c r="VFU75" s="244" t="s">
        <v>32</v>
      </c>
      <c r="VFV75" s="244" t="s">
        <v>32</v>
      </c>
      <c r="VFW75" s="244" t="s">
        <v>32</v>
      </c>
      <c r="VFX75" s="244" t="s">
        <v>32</v>
      </c>
      <c r="VFY75" s="244" t="s">
        <v>32</v>
      </c>
      <c r="VFZ75" s="244" t="s">
        <v>32</v>
      </c>
      <c r="VGA75" s="244" t="s">
        <v>32</v>
      </c>
      <c r="VGB75" s="244" t="s">
        <v>32</v>
      </c>
      <c r="VGC75" s="244" t="s">
        <v>32</v>
      </c>
      <c r="VGD75" s="244" t="s">
        <v>32</v>
      </c>
      <c r="VGE75" s="244" t="s">
        <v>32</v>
      </c>
      <c r="VGF75" s="244" t="s">
        <v>32</v>
      </c>
      <c r="VGG75" s="244" t="s">
        <v>32</v>
      </c>
      <c r="VGH75" s="244" t="s">
        <v>32</v>
      </c>
      <c r="VGI75" s="244" t="s">
        <v>32</v>
      </c>
      <c r="VGJ75" s="244" t="s">
        <v>32</v>
      </c>
      <c r="VGK75" s="244" t="s">
        <v>32</v>
      </c>
      <c r="VGL75" s="244" t="s">
        <v>32</v>
      </c>
      <c r="VGM75" s="244" t="s">
        <v>32</v>
      </c>
      <c r="VGN75" s="244" t="s">
        <v>32</v>
      </c>
      <c r="VGO75" s="244" t="s">
        <v>32</v>
      </c>
      <c r="VGP75" s="244" t="s">
        <v>32</v>
      </c>
      <c r="VGQ75" s="244" t="s">
        <v>32</v>
      </c>
      <c r="VGR75" s="244" t="s">
        <v>32</v>
      </c>
      <c r="VGS75" s="244" t="s">
        <v>32</v>
      </c>
      <c r="VGT75" s="244" t="s">
        <v>32</v>
      </c>
      <c r="VGU75" s="244" t="s">
        <v>32</v>
      </c>
      <c r="VGV75" s="244" t="s">
        <v>32</v>
      </c>
      <c r="VGW75" s="244" t="s">
        <v>32</v>
      </c>
      <c r="VGX75" s="244" t="s">
        <v>32</v>
      </c>
      <c r="VGY75" s="244" t="s">
        <v>32</v>
      </c>
      <c r="VGZ75" s="244" t="s">
        <v>32</v>
      </c>
      <c r="VHA75" s="244" t="s">
        <v>32</v>
      </c>
      <c r="VHB75" s="244" t="s">
        <v>32</v>
      </c>
      <c r="VHC75" s="244" t="s">
        <v>32</v>
      </c>
      <c r="VHD75" s="244" t="s">
        <v>32</v>
      </c>
      <c r="VHE75" s="244" t="s">
        <v>32</v>
      </c>
      <c r="VHF75" s="244" t="s">
        <v>32</v>
      </c>
      <c r="VHG75" s="244" t="s">
        <v>32</v>
      </c>
      <c r="VHH75" s="244" t="s">
        <v>32</v>
      </c>
      <c r="VHI75" s="244" t="s">
        <v>32</v>
      </c>
      <c r="VHJ75" s="244" t="s">
        <v>32</v>
      </c>
      <c r="VHK75" s="244" t="s">
        <v>32</v>
      </c>
      <c r="VHL75" s="244" t="s">
        <v>32</v>
      </c>
      <c r="VHM75" s="244" t="s">
        <v>32</v>
      </c>
      <c r="VHN75" s="244" t="s">
        <v>32</v>
      </c>
      <c r="VHO75" s="244" t="s">
        <v>32</v>
      </c>
      <c r="VHP75" s="244" t="s">
        <v>32</v>
      </c>
      <c r="VHQ75" s="244" t="s">
        <v>32</v>
      </c>
      <c r="VHR75" s="244" t="s">
        <v>32</v>
      </c>
      <c r="VHS75" s="244" t="s">
        <v>32</v>
      </c>
      <c r="VHT75" s="244" t="s">
        <v>32</v>
      </c>
      <c r="VHU75" s="244" t="s">
        <v>32</v>
      </c>
      <c r="VHV75" s="244" t="s">
        <v>32</v>
      </c>
      <c r="VHW75" s="244" t="s">
        <v>32</v>
      </c>
      <c r="VHX75" s="244" t="s">
        <v>32</v>
      </c>
      <c r="VHY75" s="244" t="s">
        <v>32</v>
      </c>
      <c r="VHZ75" s="244" t="s">
        <v>32</v>
      </c>
      <c r="VIA75" s="244" t="s">
        <v>32</v>
      </c>
      <c r="VIB75" s="244" t="s">
        <v>32</v>
      </c>
      <c r="VIC75" s="244" t="s">
        <v>32</v>
      </c>
      <c r="VID75" s="244" t="s">
        <v>32</v>
      </c>
      <c r="VIE75" s="244" t="s">
        <v>32</v>
      </c>
      <c r="VIF75" s="244" t="s">
        <v>32</v>
      </c>
      <c r="VIG75" s="244" t="s">
        <v>32</v>
      </c>
      <c r="VIH75" s="244" t="s">
        <v>32</v>
      </c>
      <c r="VII75" s="244" t="s">
        <v>32</v>
      </c>
      <c r="VIJ75" s="244" t="s">
        <v>32</v>
      </c>
      <c r="VIK75" s="244" t="s">
        <v>32</v>
      </c>
      <c r="VIL75" s="244" t="s">
        <v>32</v>
      </c>
      <c r="VIM75" s="244" t="s">
        <v>32</v>
      </c>
      <c r="VIN75" s="244" t="s">
        <v>32</v>
      </c>
      <c r="VIO75" s="244" t="s">
        <v>32</v>
      </c>
      <c r="VIP75" s="244" t="s">
        <v>32</v>
      </c>
      <c r="VIQ75" s="244" t="s">
        <v>32</v>
      </c>
      <c r="VIR75" s="244" t="s">
        <v>32</v>
      </c>
      <c r="VIS75" s="244" t="s">
        <v>32</v>
      </c>
      <c r="VIT75" s="244" t="s">
        <v>32</v>
      </c>
      <c r="VIU75" s="244" t="s">
        <v>32</v>
      </c>
      <c r="VIV75" s="244" t="s">
        <v>32</v>
      </c>
      <c r="VIW75" s="244" t="s">
        <v>32</v>
      </c>
      <c r="VIX75" s="244" t="s">
        <v>32</v>
      </c>
      <c r="VIY75" s="244" t="s">
        <v>32</v>
      </c>
      <c r="VIZ75" s="244" t="s">
        <v>32</v>
      </c>
      <c r="VJA75" s="244" t="s">
        <v>32</v>
      </c>
      <c r="VJB75" s="244" t="s">
        <v>32</v>
      </c>
      <c r="VJC75" s="244" t="s">
        <v>32</v>
      </c>
      <c r="VJD75" s="244" t="s">
        <v>32</v>
      </c>
      <c r="VJE75" s="244" t="s">
        <v>32</v>
      </c>
      <c r="VJF75" s="244" t="s">
        <v>32</v>
      </c>
      <c r="VJG75" s="244" t="s">
        <v>32</v>
      </c>
      <c r="VJH75" s="244" t="s">
        <v>32</v>
      </c>
      <c r="VJI75" s="244" t="s">
        <v>32</v>
      </c>
      <c r="VJJ75" s="244" t="s">
        <v>32</v>
      </c>
      <c r="VJK75" s="244" t="s">
        <v>32</v>
      </c>
      <c r="VJL75" s="244" t="s">
        <v>32</v>
      </c>
      <c r="VJM75" s="244" t="s">
        <v>32</v>
      </c>
      <c r="VJN75" s="244" t="s">
        <v>32</v>
      </c>
      <c r="VJO75" s="244" t="s">
        <v>32</v>
      </c>
      <c r="VJP75" s="244" t="s">
        <v>32</v>
      </c>
      <c r="VJQ75" s="244" t="s">
        <v>32</v>
      </c>
      <c r="VJR75" s="244" t="s">
        <v>32</v>
      </c>
      <c r="VJS75" s="244" t="s">
        <v>32</v>
      </c>
      <c r="VJT75" s="244" t="s">
        <v>32</v>
      </c>
      <c r="VJU75" s="244" t="s">
        <v>32</v>
      </c>
      <c r="VJV75" s="244" t="s">
        <v>32</v>
      </c>
      <c r="VJW75" s="244" t="s">
        <v>32</v>
      </c>
      <c r="VJX75" s="244" t="s">
        <v>32</v>
      </c>
      <c r="VJY75" s="244" t="s">
        <v>32</v>
      </c>
      <c r="VJZ75" s="244" t="s">
        <v>32</v>
      </c>
      <c r="VKA75" s="244" t="s">
        <v>32</v>
      </c>
      <c r="VKB75" s="244" t="s">
        <v>32</v>
      </c>
      <c r="VKC75" s="244" t="s">
        <v>32</v>
      </c>
      <c r="VKD75" s="244" t="s">
        <v>32</v>
      </c>
      <c r="VKE75" s="244" t="s">
        <v>32</v>
      </c>
      <c r="VKF75" s="244" t="s">
        <v>32</v>
      </c>
      <c r="VKG75" s="244" t="s">
        <v>32</v>
      </c>
      <c r="VKH75" s="244" t="s">
        <v>32</v>
      </c>
      <c r="VKI75" s="244" t="s">
        <v>32</v>
      </c>
      <c r="VKJ75" s="244" t="s">
        <v>32</v>
      </c>
      <c r="VKK75" s="244" t="s">
        <v>32</v>
      </c>
      <c r="VKL75" s="244" t="s">
        <v>32</v>
      </c>
      <c r="VKM75" s="244" t="s">
        <v>32</v>
      </c>
      <c r="VKN75" s="244" t="s">
        <v>32</v>
      </c>
      <c r="VKO75" s="244" t="s">
        <v>32</v>
      </c>
      <c r="VKP75" s="244" t="s">
        <v>32</v>
      </c>
      <c r="VKQ75" s="244" t="s">
        <v>32</v>
      </c>
      <c r="VKR75" s="244" t="s">
        <v>32</v>
      </c>
      <c r="VKS75" s="244" t="s">
        <v>32</v>
      </c>
      <c r="VKT75" s="244" t="s">
        <v>32</v>
      </c>
      <c r="VKU75" s="244" t="s">
        <v>32</v>
      </c>
      <c r="VKV75" s="244" t="s">
        <v>32</v>
      </c>
      <c r="VKW75" s="244" t="s">
        <v>32</v>
      </c>
      <c r="VKX75" s="244" t="s">
        <v>32</v>
      </c>
      <c r="VKY75" s="244" t="s">
        <v>32</v>
      </c>
      <c r="VKZ75" s="244" t="s">
        <v>32</v>
      </c>
      <c r="VLA75" s="244" t="s">
        <v>32</v>
      </c>
      <c r="VLB75" s="244" t="s">
        <v>32</v>
      </c>
      <c r="VLC75" s="244" t="s">
        <v>32</v>
      </c>
      <c r="VLD75" s="244" t="s">
        <v>32</v>
      </c>
      <c r="VLE75" s="244" t="s">
        <v>32</v>
      </c>
      <c r="VLF75" s="244" t="s">
        <v>32</v>
      </c>
      <c r="VLG75" s="244" t="s">
        <v>32</v>
      </c>
      <c r="VLH75" s="244" t="s">
        <v>32</v>
      </c>
      <c r="VLI75" s="244" t="s">
        <v>32</v>
      </c>
      <c r="VLJ75" s="244" t="s">
        <v>32</v>
      </c>
      <c r="VLK75" s="244" t="s">
        <v>32</v>
      </c>
      <c r="VLL75" s="244" t="s">
        <v>32</v>
      </c>
      <c r="VLM75" s="244" t="s">
        <v>32</v>
      </c>
      <c r="VLN75" s="244" t="s">
        <v>32</v>
      </c>
      <c r="VLO75" s="244" t="s">
        <v>32</v>
      </c>
      <c r="VLP75" s="244" t="s">
        <v>32</v>
      </c>
      <c r="VLQ75" s="244" t="s">
        <v>32</v>
      </c>
      <c r="VLR75" s="244" t="s">
        <v>32</v>
      </c>
      <c r="VLS75" s="244" t="s">
        <v>32</v>
      </c>
      <c r="VLT75" s="244" t="s">
        <v>32</v>
      </c>
      <c r="VLU75" s="244" t="s">
        <v>32</v>
      </c>
      <c r="VLV75" s="244" t="s">
        <v>32</v>
      </c>
      <c r="VLW75" s="244" t="s">
        <v>32</v>
      </c>
      <c r="VLX75" s="244" t="s">
        <v>32</v>
      </c>
      <c r="VLY75" s="244" t="s">
        <v>32</v>
      </c>
      <c r="VLZ75" s="244" t="s">
        <v>32</v>
      </c>
      <c r="VMA75" s="244" t="s">
        <v>32</v>
      </c>
      <c r="VMB75" s="244" t="s">
        <v>32</v>
      </c>
      <c r="VMC75" s="244" t="s">
        <v>32</v>
      </c>
      <c r="VMD75" s="244" t="s">
        <v>32</v>
      </c>
      <c r="VME75" s="244" t="s">
        <v>32</v>
      </c>
      <c r="VMF75" s="244" t="s">
        <v>32</v>
      </c>
      <c r="VMG75" s="244" t="s">
        <v>32</v>
      </c>
      <c r="VMH75" s="244" t="s">
        <v>32</v>
      </c>
      <c r="VMI75" s="244" t="s">
        <v>32</v>
      </c>
      <c r="VMJ75" s="244" t="s">
        <v>32</v>
      </c>
      <c r="VMK75" s="244" t="s">
        <v>32</v>
      </c>
      <c r="VML75" s="244" t="s">
        <v>32</v>
      </c>
      <c r="VMM75" s="244" t="s">
        <v>32</v>
      </c>
      <c r="VMN75" s="244" t="s">
        <v>32</v>
      </c>
      <c r="VMO75" s="244" t="s">
        <v>32</v>
      </c>
      <c r="VMP75" s="244" t="s">
        <v>32</v>
      </c>
      <c r="VMQ75" s="244" t="s">
        <v>32</v>
      </c>
      <c r="VMR75" s="244" t="s">
        <v>32</v>
      </c>
      <c r="VMS75" s="244" t="s">
        <v>32</v>
      </c>
      <c r="VMT75" s="244" t="s">
        <v>32</v>
      </c>
      <c r="VMU75" s="244" t="s">
        <v>32</v>
      </c>
      <c r="VMV75" s="244" t="s">
        <v>32</v>
      </c>
      <c r="VMW75" s="244" t="s">
        <v>32</v>
      </c>
      <c r="VMX75" s="244" t="s">
        <v>32</v>
      </c>
      <c r="VMY75" s="244" t="s">
        <v>32</v>
      </c>
      <c r="VMZ75" s="244" t="s">
        <v>32</v>
      </c>
      <c r="VNA75" s="244" t="s">
        <v>32</v>
      </c>
      <c r="VNB75" s="244" t="s">
        <v>32</v>
      </c>
      <c r="VNC75" s="244" t="s">
        <v>32</v>
      </c>
      <c r="VND75" s="244" t="s">
        <v>32</v>
      </c>
      <c r="VNE75" s="244" t="s">
        <v>32</v>
      </c>
      <c r="VNF75" s="244" t="s">
        <v>32</v>
      </c>
      <c r="VNG75" s="244" t="s">
        <v>32</v>
      </c>
      <c r="VNH75" s="244" t="s">
        <v>32</v>
      </c>
      <c r="VNI75" s="244" t="s">
        <v>32</v>
      </c>
      <c r="VNJ75" s="244" t="s">
        <v>32</v>
      </c>
      <c r="VNK75" s="244" t="s">
        <v>32</v>
      </c>
      <c r="VNL75" s="244" t="s">
        <v>32</v>
      </c>
      <c r="VNM75" s="244" t="s">
        <v>32</v>
      </c>
      <c r="VNN75" s="244" t="s">
        <v>32</v>
      </c>
      <c r="VNO75" s="244" t="s">
        <v>32</v>
      </c>
      <c r="VNP75" s="244" t="s">
        <v>32</v>
      </c>
      <c r="VNQ75" s="244" t="s">
        <v>32</v>
      </c>
      <c r="VNR75" s="244" t="s">
        <v>32</v>
      </c>
      <c r="VNS75" s="244" t="s">
        <v>32</v>
      </c>
      <c r="VNT75" s="244" t="s">
        <v>32</v>
      </c>
      <c r="VNU75" s="244" t="s">
        <v>32</v>
      </c>
      <c r="VNV75" s="244" t="s">
        <v>32</v>
      </c>
      <c r="VNW75" s="244" t="s">
        <v>32</v>
      </c>
      <c r="VNX75" s="244" t="s">
        <v>32</v>
      </c>
      <c r="VNY75" s="244" t="s">
        <v>32</v>
      </c>
      <c r="VNZ75" s="244" t="s">
        <v>32</v>
      </c>
      <c r="VOA75" s="244" t="s">
        <v>32</v>
      </c>
      <c r="VOB75" s="244" t="s">
        <v>32</v>
      </c>
      <c r="VOC75" s="244" t="s">
        <v>32</v>
      </c>
      <c r="VOD75" s="244" t="s">
        <v>32</v>
      </c>
      <c r="VOE75" s="244" t="s">
        <v>32</v>
      </c>
      <c r="VOF75" s="244" t="s">
        <v>32</v>
      </c>
      <c r="VOG75" s="244" t="s">
        <v>32</v>
      </c>
      <c r="VOH75" s="244" t="s">
        <v>32</v>
      </c>
      <c r="VOI75" s="244" t="s">
        <v>32</v>
      </c>
      <c r="VOJ75" s="244" t="s">
        <v>32</v>
      </c>
      <c r="VOK75" s="244" t="s">
        <v>32</v>
      </c>
      <c r="VOL75" s="244" t="s">
        <v>32</v>
      </c>
      <c r="VOM75" s="244" t="s">
        <v>32</v>
      </c>
      <c r="VON75" s="244" t="s">
        <v>32</v>
      </c>
      <c r="VOO75" s="244" t="s">
        <v>32</v>
      </c>
      <c r="VOP75" s="244" t="s">
        <v>32</v>
      </c>
      <c r="VOQ75" s="244" t="s">
        <v>32</v>
      </c>
      <c r="VOR75" s="244" t="s">
        <v>32</v>
      </c>
      <c r="VOS75" s="244" t="s">
        <v>32</v>
      </c>
      <c r="VOT75" s="244" t="s">
        <v>32</v>
      </c>
      <c r="VOU75" s="244" t="s">
        <v>32</v>
      </c>
      <c r="VOV75" s="244" t="s">
        <v>32</v>
      </c>
      <c r="VOW75" s="244" t="s">
        <v>32</v>
      </c>
      <c r="VOX75" s="244" t="s">
        <v>32</v>
      </c>
      <c r="VOY75" s="244" t="s">
        <v>32</v>
      </c>
      <c r="VOZ75" s="244" t="s">
        <v>32</v>
      </c>
      <c r="VPA75" s="244" t="s">
        <v>32</v>
      </c>
      <c r="VPB75" s="244" t="s">
        <v>32</v>
      </c>
      <c r="VPC75" s="244" t="s">
        <v>32</v>
      </c>
      <c r="VPD75" s="244" t="s">
        <v>32</v>
      </c>
      <c r="VPE75" s="244" t="s">
        <v>32</v>
      </c>
      <c r="VPF75" s="244" t="s">
        <v>32</v>
      </c>
      <c r="VPG75" s="244" t="s">
        <v>32</v>
      </c>
      <c r="VPH75" s="244" t="s">
        <v>32</v>
      </c>
      <c r="VPI75" s="244" t="s">
        <v>32</v>
      </c>
      <c r="VPJ75" s="244" t="s">
        <v>32</v>
      </c>
      <c r="VPK75" s="244" t="s">
        <v>32</v>
      </c>
      <c r="VPL75" s="244" t="s">
        <v>32</v>
      </c>
      <c r="VPM75" s="244" t="s">
        <v>32</v>
      </c>
      <c r="VPN75" s="244" t="s">
        <v>32</v>
      </c>
      <c r="VPO75" s="244" t="s">
        <v>32</v>
      </c>
      <c r="VPP75" s="244" t="s">
        <v>32</v>
      </c>
      <c r="VPQ75" s="244" t="s">
        <v>32</v>
      </c>
      <c r="VPR75" s="244" t="s">
        <v>32</v>
      </c>
      <c r="VPS75" s="244" t="s">
        <v>32</v>
      </c>
      <c r="VPT75" s="244" t="s">
        <v>32</v>
      </c>
      <c r="VPU75" s="244" t="s">
        <v>32</v>
      </c>
      <c r="VPV75" s="244" t="s">
        <v>32</v>
      </c>
      <c r="VPW75" s="244" t="s">
        <v>32</v>
      </c>
      <c r="VPX75" s="244" t="s">
        <v>32</v>
      </c>
      <c r="VPY75" s="244" t="s">
        <v>32</v>
      </c>
      <c r="VPZ75" s="244" t="s">
        <v>32</v>
      </c>
      <c r="VQA75" s="244" t="s">
        <v>32</v>
      </c>
      <c r="VQB75" s="244" t="s">
        <v>32</v>
      </c>
      <c r="VQC75" s="244" t="s">
        <v>32</v>
      </c>
      <c r="VQD75" s="244" t="s">
        <v>32</v>
      </c>
      <c r="VQE75" s="244" t="s">
        <v>32</v>
      </c>
      <c r="VQF75" s="244" t="s">
        <v>32</v>
      </c>
      <c r="VQG75" s="244" t="s">
        <v>32</v>
      </c>
      <c r="VQH75" s="244" t="s">
        <v>32</v>
      </c>
      <c r="VQI75" s="244" t="s">
        <v>32</v>
      </c>
      <c r="VQJ75" s="244" t="s">
        <v>32</v>
      </c>
      <c r="VQK75" s="244" t="s">
        <v>32</v>
      </c>
      <c r="VQL75" s="244" t="s">
        <v>32</v>
      </c>
      <c r="VQM75" s="244" t="s">
        <v>32</v>
      </c>
      <c r="VQN75" s="244" t="s">
        <v>32</v>
      </c>
      <c r="VQO75" s="244" t="s">
        <v>32</v>
      </c>
      <c r="VQP75" s="244" t="s">
        <v>32</v>
      </c>
      <c r="VQQ75" s="244" t="s">
        <v>32</v>
      </c>
      <c r="VQR75" s="244" t="s">
        <v>32</v>
      </c>
      <c r="VQS75" s="244" t="s">
        <v>32</v>
      </c>
      <c r="VQT75" s="244" t="s">
        <v>32</v>
      </c>
      <c r="VQU75" s="244" t="s">
        <v>32</v>
      </c>
      <c r="VQV75" s="244" t="s">
        <v>32</v>
      </c>
      <c r="VQW75" s="244" t="s">
        <v>32</v>
      </c>
      <c r="VQX75" s="244" t="s">
        <v>32</v>
      </c>
      <c r="VQY75" s="244" t="s">
        <v>32</v>
      </c>
      <c r="VQZ75" s="244" t="s">
        <v>32</v>
      </c>
      <c r="VRA75" s="244" t="s">
        <v>32</v>
      </c>
      <c r="VRB75" s="244" t="s">
        <v>32</v>
      </c>
      <c r="VRC75" s="244" t="s">
        <v>32</v>
      </c>
      <c r="VRD75" s="244" t="s">
        <v>32</v>
      </c>
      <c r="VRE75" s="244" t="s">
        <v>32</v>
      </c>
      <c r="VRF75" s="244" t="s">
        <v>32</v>
      </c>
      <c r="VRG75" s="244" t="s">
        <v>32</v>
      </c>
      <c r="VRH75" s="244" t="s">
        <v>32</v>
      </c>
      <c r="VRI75" s="244" t="s">
        <v>32</v>
      </c>
      <c r="VRJ75" s="244" t="s">
        <v>32</v>
      </c>
      <c r="VRK75" s="244" t="s">
        <v>32</v>
      </c>
      <c r="VRL75" s="244" t="s">
        <v>32</v>
      </c>
      <c r="VRM75" s="244" t="s">
        <v>32</v>
      </c>
      <c r="VRN75" s="244" t="s">
        <v>32</v>
      </c>
      <c r="VRO75" s="244" t="s">
        <v>32</v>
      </c>
      <c r="VRP75" s="244" t="s">
        <v>32</v>
      </c>
      <c r="VRQ75" s="244" t="s">
        <v>32</v>
      </c>
      <c r="VRR75" s="244" t="s">
        <v>32</v>
      </c>
      <c r="VRS75" s="244" t="s">
        <v>32</v>
      </c>
      <c r="VRT75" s="244" t="s">
        <v>32</v>
      </c>
      <c r="VRU75" s="244" t="s">
        <v>32</v>
      </c>
      <c r="VRV75" s="244" t="s">
        <v>32</v>
      </c>
      <c r="VRW75" s="244" t="s">
        <v>32</v>
      </c>
      <c r="VRX75" s="244" t="s">
        <v>32</v>
      </c>
      <c r="VRY75" s="244" t="s">
        <v>32</v>
      </c>
      <c r="VRZ75" s="244" t="s">
        <v>32</v>
      </c>
      <c r="VSA75" s="244" t="s">
        <v>32</v>
      </c>
      <c r="VSB75" s="244" t="s">
        <v>32</v>
      </c>
      <c r="VSC75" s="244" t="s">
        <v>32</v>
      </c>
      <c r="VSD75" s="244" t="s">
        <v>32</v>
      </c>
      <c r="VSE75" s="244" t="s">
        <v>32</v>
      </c>
      <c r="VSF75" s="244" t="s">
        <v>32</v>
      </c>
      <c r="VSG75" s="244" t="s">
        <v>32</v>
      </c>
      <c r="VSH75" s="244" t="s">
        <v>32</v>
      </c>
      <c r="VSI75" s="244" t="s">
        <v>32</v>
      </c>
      <c r="VSJ75" s="244" t="s">
        <v>32</v>
      </c>
      <c r="VSK75" s="244" t="s">
        <v>32</v>
      </c>
      <c r="VSL75" s="244" t="s">
        <v>32</v>
      </c>
      <c r="VSM75" s="244" t="s">
        <v>32</v>
      </c>
      <c r="VSN75" s="244" t="s">
        <v>32</v>
      </c>
      <c r="VSO75" s="244" t="s">
        <v>32</v>
      </c>
      <c r="VSP75" s="244" t="s">
        <v>32</v>
      </c>
      <c r="VSQ75" s="244" t="s">
        <v>32</v>
      </c>
      <c r="VSR75" s="244" t="s">
        <v>32</v>
      </c>
      <c r="VSS75" s="244" t="s">
        <v>32</v>
      </c>
      <c r="VST75" s="244" t="s">
        <v>32</v>
      </c>
      <c r="VSU75" s="244" t="s">
        <v>32</v>
      </c>
      <c r="VSV75" s="244" t="s">
        <v>32</v>
      </c>
      <c r="VSW75" s="244" t="s">
        <v>32</v>
      </c>
      <c r="VSX75" s="244" t="s">
        <v>32</v>
      </c>
      <c r="VSY75" s="244" t="s">
        <v>32</v>
      </c>
      <c r="VSZ75" s="244" t="s">
        <v>32</v>
      </c>
      <c r="VTA75" s="244" t="s">
        <v>32</v>
      </c>
      <c r="VTB75" s="244" t="s">
        <v>32</v>
      </c>
      <c r="VTC75" s="244" t="s">
        <v>32</v>
      </c>
      <c r="VTD75" s="244" t="s">
        <v>32</v>
      </c>
      <c r="VTE75" s="244" t="s">
        <v>32</v>
      </c>
      <c r="VTF75" s="244" t="s">
        <v>32</v>
      </c>
      <c r="VTG75" s="244" t="s">
        <v>32</v>
      </c>
      <c r="VTH75" s="244" t="s">
        <v>32</v>
      </c>
      <c r="VTI75" s="244" t="s">
        <v>32</v>
      </c>
      <c r="VTJ75" s="244" t="s">
        <v>32</v>
      </c>
      <c r="VTK75" s="244" t="s">
        <v>32</v>
      </c>
      <c r="VTL75" s="244" t="s">
        <v>32</v>
      </c>
      <c r="VTM75" s="244" t="s">
        <v>32</v>
      </c>
      <c r="VTN75" s="244" t="s">
        <v>32</v>
      </c>
      <c r="VTO75" s="244" t="s">
        <v>32</v>
      </c>
      <c r="VTP75" s="244" t="s">
        <v>32</v>
      </c>
      <c r="VTQ75" s="244" t="s">
        <v>32</v>
      </c>
      <c r="VTR75" s="244" t="s">
        <v>32</v>
      </c>
      <c r="VTS75" s="244" t="s">
        <v>32</v>
      </c>
      <c r="VTT75" s="244" t="s">
        <v>32</v>
      </c>
      <c r="VTU75" s="244" t="s">
        <v>32</v>
      </c>
      <c r="VTV75" s="244" t="s">
        <v>32</v>
      </c>
      <c r="VTW75" s="244" t="s">
        <v>32</v>
      </c>
      <c r="VTX75" s="244" t="s">
        <v>32</v>
      </c>
      <c r="VTY75" s="244" t="s">
        <v>32</v>
      </c>
      <c r="VTZ75" s="244" t="s">
        <v>32</v>
      </c>
      <c r="VUA75" s="244" t="s">
        <v>32</v>
      </c>
      <c r="VUB75" s="244" t="s">
        <v>32</v>
      </c>
      <c r="VUC75" s="244" t="s">
        <v>32</v>
      </c>
      <c r="VUD75" s="244" t="s">
        <v>32</v>
      </c>
      <c r="VUE75" s="244" t="s">
        <v>32</v>
      </c>
      <c r="VUF75" s="244" t="s">
        <v>32</v>
      </c>
      <c r="VUG75" s="244" t="s">
        <v>32</v>
      </c>
      <c r="VUH75" s="244" t="s">
        <v>32</v>
      </c>
      <c r="VUI75" s="244" t="s">
        <v>32</v>
      </c>
      <c r="VUJ75" s="244" t="s">
        <v>32</v>
      </c>
      <c r="VUK75" s="244" t="s">
        <v>32</v>
      </c>
      <c r="VUL75" s="244" t="s">
        <v>32</v>
      </c>
      <c r="VUM75" s="244" t="s">
        <v>32</v>
      </c>
      <c r="VUN75" s="244" t="s">
        <v>32</v>
      </c>
      <c r="VUO75" s="244" t="s">
        <v>32</v>
      </c>
      <c r="VUP75" s="244" t="s">
        <v>32</v>
      </c>
      <c r="VUQ75" s="244" t="s">
        <v>32</v>
      </c>
      <c r="VUR75" s="244" t="s">
        <v>32</v>
      </c>
      <c r="VUS75" s="244" t="s">
        <v>32</v>
      </c>
      <c r="VUT75" s="244" t="s">
        <v>32</v>
      </c>
      <c r="VUU75" s="244" t="s">
        <v>32</v>
      </c>
      <c r="VUV75" s="244" t="s">
        <v>32</v>
      </c>
      <c r="VUW75" s="244" t="s">
        <v>32</v>
      </c>
      <c r="VUX75" s="244" t="s">
        <v>32</v>
      </c>
      <c r="VUY75" s="244" t="s">
        <v>32</v>
      </c>
      <c r="VUZ75" s="244" t="s">
        <v>32</v>
      </c>
      <c r="VVA75" s="244" t="s">
        <v>32</v>
      </c>
      <c r="VVB75" s="244" t="s">
        <v>32</v>
      </c>
      <c r="VVC75" s="244" t="s">
        <v>32</v>
      </c>
      <c r="VVD75" s="244" t="s">
        <v>32</v>
      </c>
      <c r="VVE75" s="244" t="s">
        <v>32</v>
      </c>
      <c r="VVF75" s="244" t="s">
        <v>32</v>
      </c>
      <c r="VVG75" s="244" t="s">
        <v>32</v>
      </c>
      <c r="VVH75" s="244" t="s">
        <v>32</v>
      </c>
      <c r="VVI75" s="244" t="s">
        <v>32</v>
      </c>
      <c r="VVJ75" s="244" t="s">
        <v>32</v>
      </c>
      <c r="VVK75" s="244" t="s">
        <v>32</v>
      </c>
      <c r="VVL75" s="244" t="s">
        <v>32</v>
      </c>
      <c r="VVM75" s="244" t="s">
        <v>32</v>
      </c>
      <c r="VVN75" s="244" t="s">
        <v>32</v>
      </c>
      <c r="VVO75" s="244" t="s">
        <v>32</v>
      </c>
      <c r="VVP75" s="244" t="s">
        <v>32</v>
      </c>
      <c r="VVQ75" s="244" t="s">
        <v>32</v>
      </c>
      <c r="VVR75" s="244" t="s">
        <v>32</v>
      </c>
      <c r="VVS75" s="244" t="s">
        <v>32</v>
      </c>
      <c r="VVT75" s="244" t="s">
        <v>32</v>
      </c>
      <c r="VVU75" s="244" t="s">
        <v>32</v>
      </c>
      <c r="VVV75" s="244" t="s">
        <v>32</v>
      </c>
      <c r="VVW75" s="244" t="s">
        <v>32</v>
      </c>
      <c r="VVX75" s="244" t="s">
        <v>32</v>
      </c>
      <c r="VVY75" s="244" t="s">
        <v>32</v>
      </c>
      <c r="VVZ75" s="244" t="s">
        <v>32</v>
      </c>
      <c r="VWA75" s="244" t="s">
        <v>32</v>
      </c>
      <c r="VWB75" s="244" t="s">
        <v>32</v>
      </c>
      <c r="VWC75" s="244" t="s">
        <v>32</v>
      </c>
      <c r="VWD75" s="244" t="s">
        <v>32</v>
      </c>
      <c r="VWE75" s="244" t="s">
        <v>32</v>
      </c>
      <c r="VWF75" s="244" t="s">
        <v>32</v>
      </c>
      <c r="VWG75" s="244" t="s">
        <v>32</v>
      </c>
      <c r="VWH75" s="244" t="s">
        <v>32</v>
      </c>
      <c r="VWI75" s="244" t="s">
        <v>32</v>
      </c>
      <c r="VWJ75" s="244" t="s">
        <v>32</v>
      </c>
      <c r="VWK75" s="244" t="s">
        <v>32</v>
      </c>
      <c r="VWL75" s="244" t="s">
        <v>32</v>
      </c>
      <c r="VWM75" s="244" t="s">
        <v>32</v>
      </c>
      <c r="VWN75" s="244" t="s">
        <v>32</v>
      </c>
      <c r="VWO75" s="244" t="s">
        <v>32</v>
      </c>
      <c r="VWP75" s="244" t="s">
        <v>32</v>
      </c>
      <c r="VWQ75" s="244" t="s">
        <v>32</v>
      </c>
      <c r="VWR75" s="244" t="s">
        <v>32</v>
      </c>
      <c r="VWS75" s="244" t="s">
        <v>32</v>
      </c>
      <c r="VWT75" s="244" t="s">
        <v>32</v>
      </c>
      <c r="VWU75" s="244" t="s">
        <v>32</v>
      </c>
      <c r="VWV75" s="244" t="s">
        <v>32</v>
      </c>
      <c r="VWW75" s="244" t="s">
        <v>32</v>
      </c>
      <c r="VWX75" s="244" t="s">
        <v>32</v>
      </c>
      <c r="VWY75" s="244" t="s">
        <v>32</v>
      </c>
      <c r="VWZ75" s="244" t="s">
        <v>32</v>
      </c>
      <c r="VXA75" s="244" t="s">
        <v>32</v>
      </c>
      <c r="VXB75" s="244" t="s">
        <v>32</v>
      </c>
      <c r="VXC75" s="244" t="s">
        <v>32</v>
      </c>
      <c r="VXD75" s="244" t="s">
        <v>32</v>
      </c>
      <c r="VXE75" s="244" t="s">
        <v>32</v>
      </c>
      <c r="VXF75" s="244" t="s">
        <v>32</v>
      </c>
      <c r="VXG75" s="244" t="s">
        <v>32</v>
      </c>
      <c r="VXH75" s="244" t="s">
        <v>32</v>
      </c>
      <c r="VXI75" s="244" t="s">
        <v>32</v>
      </c>
      <c r="VXJ75" s="244" t="s">
        <v>32</v>
      </c>
      <c r="VXK75" s="244" t="s">
        <v>32</v>
      </c>
      <c r="VXL75" s="244" t="s">
        <v>32</v>
      </c>
      <c r="VXM75" s="244" t="s">
        <v>32</v>
      </c>
      <c r="VXN75" s="244" t="s">
        <v>32</v>
      </c>
      <c r="VXO75" s="244" t="s">
        <v>32</v>
      </c>
      <c r="VXP75" s="244" t="s">
        <v>32</v>
      </c>
      <c r="VXQ75" s="244" t="s">
        <v>32</v>
      </c>
      <c r="VXR75" s="244" t="s">
        <v>32</v>
      </c>
      <c r="VXS75" s="244" t="s">
        <v>32</v>
      </c>
      <c r="VXT75" s="244" t="s">
        <v>32</v>
      </c>
      <c r="VXU75" s="244" t="s">
        <v>32</v>
      </c>
      <c r="VXV75" s="244" t="s">
        <v>32</v>
      </c>
      <c r="VXW75" s="244" t="s">
        <v>32</v>
      </c>
      <c r="VXX75" s="244" t="s">
        <v>32</v>
      </c>
      <c r="VXY75" s="244" t="s">
        <v>32</v>
      </c>
      <c r="VXZ75" s="244" t="s">
        <v>32</v>
      </c>
      <c r="VYA75" s="244" t="s">
        <v>32</v>
      </c>
      <c r="VYB75" s="244" t="s">
        <v>32</v>
      </c>
      <c r="VYC75" s="244" t="s">
        <v>32</v>
      </c>
      <c r="VYD75" s="244" t="s">
        <v>32</v>
      </c>
      <c r="VYE75" s="244" t="s">
        <v>32</v>
      </c>
      <c r="VYF75" s="244" t="s">
        <v>32</v>
      </c>
      <c r="VYG75" s="244" t="s">
        <v>32</v>
      </c>
      <c r="VYH75" s="244" t="s">
        <v>32</v>
      </c>
      <c r="VYI75" s="244" t="s">
        <v>32</v>
      </c>
      <c r="VYJ75" s="244" t="s">
        <v>32</v>
      </c>
      <c r="VYK75" s="244" t="s">
        <v>32</v>
      </c>
      <c r="VYL75" s="244" t="s">
        <v>32</v>
      </c>
      <c r="VYM75" s="244" t="s">
        <v>32</v>
      </c>
      <c r="VYN75" s="244" t="s">
        <v>32</v>
      </c>
      <c r="VYO75" s="244" t="s">
        <v>32</v>
      </c>
      <c r="VYP75" s="244" t="s">
        <v>32</v>
      </c>
      <c r="VYQ75" s="244" t="s">
        <v>32</v>
      </c>
      <c r="VYR75" s="244" t="s">
        <v>32</v>
      </c>
      <c r="VYS75" s="244" t="s">
        <v>32</v>
      </c>
      <c r="VYT75" s="244" t="s">
        <v>32</v>
      </c>
      <c r="VYU75" s="244" t="s">
        <v>32</v>
      </c>
      <c r="VYV75" s="244" t="s">
        <v>32</v>
      </c>
      <c r="VYW75" s="244" t="s">
        <v>32</v>
      </c>
      <c r="VYX75" s="244" t="s">
        <v>32</v>
      </c>
      <c r="VYY75" s="244" t="s">
        <v>32</v>
      </c>
      <c r="VYZ75" s="244" t="s">
        <v>32</v>
      </c>
      <c r="VZA75" s="244" t="s">
        <v>32</v>
      </c>
      <c r="VZB75" s="244" t="s">
        <v>32</v>
      </c>
      <c r="VZC75" s="244" t="s">
        <v>32</v>
      </c>
      <c r="VZD75" s="244" t="s">
        <v>32</v>
      </c>
      <c r="VZE75" s="244" t="s">
        <v>32</v>
      </c>
      <c r="VZF75" s="244" t="s">
        <v>32</v>
      </c>
      <c r="VZG75" s="244" t="s">
        <v>32</v>
      </c>
      <c r="VZH75" s="244" t="s">
        <v>32</v>
      </c>
      <c r="VZI75" s="244" t="s">
        <v>32</v>
      </c>
      <c r="VZJ75" s="244" t="s">
        <v>32</v>
      </c>
      <c r="VZK75" s="244" t="s">
        <v>32</v>
      </c>
      <c r="VZL75" s="244" t="s">
        <v>32</v>
      </c>
      <c r="VZM75" s="244" t="s">
        <v>32</v>
      </c>
      <c r="VZN75" s="244" t="s">
        <v>32</v>
      </c>
      <c r="VZO75" s="244" t="s">
        <v>32</v>
      </c>
      <c r="VZP75" s="244" t="s">
        <v>32</v>
      </c>
      <c r="VZQ75" s="244" t="s">
        <v>32</v>
      </c>
      <c r="VZR75" s="244" t="s">
        <v>32</v>
      </c>
      <c r="VZS75" s="244" t="s">
        <v>32</v>
      </c>
      <c r="VZT75" s="244" t="s">
        <v>32</v>
      </c>
      <c r="VZU75" s="244" t="s">
        <v>32</v>
      </c>
      <c r="VZV75" s="244" t="s">
        <v>32</v>
      </c>
      <c r="VZW75" s="244" t="s">
        <v>32</v>
      </c>
      <c r="VZX75" s="244" t="s">
        <v>32</v>
      </c>
      <c r="VZY75" s="244" t="s">
        <v>32</v>
      </c>
      <c r="VZZ75" s="244" t="s">
        <v>32</v>
      </c>
      <c r="WAA75" s="244" t="s">
        <v>32</v>
      </c>
      <c r="WAB75" s="244" t="s">
        <v>32</v>
      </c>
      <c r="WAC75" s="244" t="s">
        <v>32</v>
      </c>
      <c r="WAD75" s="244" t="s">
        <v>32</v>
      </c>
      <c r="WAE75" s="244" t="s">
        <v>32</v>
      </c>
      <c r="WAF75" s="244" t="s">
        <v>32</v>
      </c>
      <c r="WAG75" s="244" t="s">
        <v>32</v>
      </c>
      <c r="WAH75" s="244" t="s">
        <v>32</v>
      </c>
      <c r="WAI75" s="244" t="s">
        <v>32</v>
      </c>
      <c r="WAJ75" s="244" t="s">
        <v>32</v>
      </c>
      <c r="WAK75" s="244" t="s">
        <v>32</v>
      </c>
      <c r="WAL75" s="244" t="s">
        <v>32</v>
      </c>
      <c r="WAM75" s="244" t="s">
        <v>32</v>
      </c>
      <c r="WAN75" s="244" t="s">
        <v>32</v>
      </c>
      <c r="WAO75" s="244" t="s">
        <v>32</v>
      </c>
      <c r="WAP75" s="244" t="s">
        <v>32</v>
      </c>
      <c r="WAQ75" s="244" t="s">
        <v>32</v>
      </c>
      <c r="WAR75" s="244" t="s">
        <v>32</v>
      </c>
      <c r="WAS75" s="244" t="s">
        <v>32</v>
      </c>
      <c r="WAT75" s="244" t="s">
        <v>32</v>
      </c>
      <c r="WAU75" s="244" t="s">
        <v>32</v>
      </c>
      <c r="WAV75" s="244" t="s">
        <v>32</v>
      </c>
      <c r="WAW75" s="244" t="s">
        <v>32</v>
      </c>
      <c r="WAX75" s="244" t="s">
        <v>32</v>
      </c>
      <c r="WAY75" s="244" t="s">
        <v>32</v>
      </c>
      <c r="WAZ75" s="244" t="s">
        <v>32</v>
      </c>
      <c r="WBA75" s="244" t="s">
        <v>32</v>
      </c>
      <c r="WBB75" s="244" t="s">
        <v>32</v>
      </c>
      <c r="WBC75" s="244" t="s">
        <v>32</v>
      </c>
      <c r="WBD75" s="244" t="s">
        <v>32</v>
      </c>
      <c r="WBE75" s="244" t="s">
        <v>32</v>
      </c>
      <c r="WBF75" s="244" t="s">
        <v>32</v>
      </c>
      <c r="WBG75" s="244" t="s">
        <v>32</v>
      </c>
      <c r="WBH75" s="244" t="s">
        <v>32</v>
      </c>
      <c r="WBI75" s="244" t="s">
        <v>32</v>
      </c>
      <c r="WBJ75" s="244" t="s">
        <v>32</v>
      </c>
      <c r="WBK75" s="244" t="s">
        <v>32</v>
      </c>
      <c r="WBL75" s="244" t="s">
        <v>32</v>
      </c>
      <c r="WBM75" s="244" t="s">
        <v>32</v>
      </c>
      <c r="WBN75" s="244" t="s">
        <v>32</v>
      </c>
      <c r="WBO75" s="244" t="s">
        <v>32</v>
      </c>
      <c r="WBP75" s="244" t="s">
        <v>32</v>
      </c>
      <c r="WBQ75" s="244" t="s">
        <v>32</v>
      </c>
      <c r="WBR75" s="244" t="s">
        <v>32</v>
      </c>
      <c r="WBS75" s="244" t="s">
        <v>32</v>
      </c>
      <c r="WBT75" s="244" t="s">
        <v>32</v>
      </c>
      <c r="WBU75" s="244" t="s">
        <v>32</v>
      </c>
      <c r="WBV75" s="244" t="s">
        <v>32</v>
      </c>
      <c r="WBW75" s="244" t="s">
        <v>32</v>
      </c>
      <c r="WBX75" s="244" t="s">
        <v>32</v>
      </c>
      <c r="WBY75" s="244" t="s">
        <v>32</v>
      </c>
      <c r="WBZ75" s="244" t="s">
        <v>32</v>
      </c>
      <c r="WCA75" s="244" t="s">
        <v>32</v>
      </c>
      <c r="WCB75" s="244" t="s">
        <v>32</v>
      </c>
      <c r="WCC75" s="244" t="s">
        <v>32</v>
      </c>
      <c r="WCD75" s="244" t="s">
        <v>32</v>
      </c>
      <c r="WCE75" s="244" t="s">
        <v>32</v>
      </c>
      <c r="WCF75" s="244" t="s">
        <v>32</v>
      </c>
      <c r="WCG75" s="244" t="s">
        <v>32</v>
      </c>
      <c r="WCH75" s="244" t="s">
        <v>32</v>
      </c>
      <c r="WCI75" s="244" t="s">
        <v>32</v>
      </c>
      <c r="WCJ75" s="244" t="s">
        <v>32</v>
      </c>
      <c r="WCK75" s="244" t="s">
        <v>32</v>
      </c>
      <c r="WCL75" s="244" t="s">
        <v>32</v>
      </c>
      <c r="WCM75" s="244" t="s">
        <v>32</v>
      </c>
      <c r="WCN75" s="244" t="s">
        <v>32</v>
      </c>
      <c r="WCO75" s="244" t="s">
        <v>32</v>
      </c>
      <c r="WCP75" s="244" t="s">
        <v>32</v>
      </c>
      <c r="WCQ75" s="244" t="s">
        <v>32</v>
      </c>
      <c r="WCR75" s="244" t="s">
        <v>32</v>
      </c>
      <c r="WCS75" s="244" t="s">
        <v>32</v>
      </c>
      <c r="WCT75" s="244" t="s">
        <v>32</v>
      </c>
      <c r="WCU75" s="244" t="s">
        <v>32</v>
      </c>
      <c r="WCV75" s="244" t="s">
        <v>32</v>
      </c>
      <c r="WCW75" s="244" t="s">
        <v>32</v>
      </c>
      <c r="WCX75" s="244" t="s">
        <v>32</v>
      </c>
      <c r="WCY75" s="244" t="s">
        <v>32</v>
      </c>
      <c r="WCZ75" s="244" t="s">
        <v>32</v>
      </c>
      <c r="WDA75" s="244" t="s">
        <v>32</v>
      </c>
      <c r="WDB75" s="244" t="s">
        <v>32</v>
      </c>
      <c r="WDC75" s="244" t="s">
        <v>32</v>
      </c>
      <c r="WDD75" s="244" t="s">
        <v>32</v>
      </c>
      <c r="WDE75" s="244" t="s">
        <v>32</v>
      </c>
      <c r="WDF75" s="244" t="s">
        <v>32</v>
      </c>
      <c r="WDG75" s="244" t="s">
        <v>32</v>
      </c>
      <c r="WDH75" s="244" t="s">
        <v>32</v>
      </c>
      <c r="WDI75" s="244" t="s">
        <v>32</v>
      </c>
      <c r="WDJ75" s="244" t="s">
        <v>32</v>
      </c>
      <c r="WDK75" s="244" t="s">
        <v>32</v>
      </c>
      <c r="WDL75" s="244" t="s">
        <v>32</v>
      </c>
      <c r="WDM75" s="244" t="s">
        <v>32</v>
      </c>
      <c r="WDN75" s="244" t="s">
        <v>32</v>
      </c>
      <c r="WDO75" s="244" t="s">
        <v>32</v>
      </c>
      <c r="WDP75" s="244" t="s">
        <v>32</v>
      </c>
      <c r="WDQ75" s="244" t="s">
        <v>32</v>
      </c>
      <c r="WDR75" s="244" t="s">
        <v>32</v>
      </c>
      <c r="WDS75" s="244" t="s">
        <v>32</v>
      </c>
      <c r="WDT75" s="244" t="s">
        <v>32</v>
      </c>
      <c r="WDU75" s="244" t="s">
        <v>32</v>
      </c>
      <c r="WDV75" s="244" t="s">
        <v>32</v>
      </c>
      <c r="WDW75" s="244" t="s">
        <v>32</v>
      </c>
      <c r="WDX75" s="244" t="s">
        <v>32</v>
      </c>
      <c r="WDY75" s="244" t="s">
        <v>32</v>
      </c>
      <c r="WDZ75" s="244" t="s">
        <v>32</v>
      </c>
      <c r="WEA75" s="244" t="s">
        <v>32</v>
      </c>
      <c r="WEB75" s="244" t="s">
        <v>32</v>
      </c>
      <c r="WEC75" s="244" t="s">
        <v>32</v>
      </c>
      <c r="WED75" s="244" t="s">
        <v>32</v>
      </c>
      <c r="WEE75" s="244" t="s">
        <v>32</v>
      </c>
      <c r="WEF75" s="244" t="s">
        <v>32</v>
      </c>
      <c r="WEG75" s="244" t="s">
        <v>32</v>
      </c>
      <c r="WEH75" s="244" t="s">
        <v>32</v>
      </c>
      <c r="WEI75" s="244" t="s">
        <v>32</v>
      </c>
      <c r="WEJ75" s="244" t="s">
        <v>32</v>
      </c>
      <c r="WEK75" s="244" t="s">
        <v>32</v>
      </c>
      <c r="WEL75" s="244" t="s">
        <v>32</v>
      </c>
      <c r="WEM75" s="244" t="s">
        <v>32</v>
      </c>
      <c r="WEN75" s="244" t="s">
        <v>32</v>
      </c>
      <c r="WEO75" s="244" t="s">
        <v>32</v>
      </c>
      <c r="WEP75" s="244" t="s">
        <v>32</v>
      </c>
      <c r="WEQ75" s="244" t="s">
        <v>32</v>
      </c>
      <c r="WER75" s="244" t="s">
        <v>32</v>
      </c>
      <c r="WES75" s="244" t="s">
        <v>32</v>
      </c>
      <c r="WET75" s="244" t="s">
        <v>32</v>
      </c>
      <c r="WEU75" s="244" t="s">
        <v>32</v>
      </c>
      <c r="WEV75" s="244" t="s">
        <v>32</v>
      </c>
      <c r="WEW75" s="244" t="s">
        <v>32</v>
      </c>
      <c r="WEX75" s="244" t="s">
        <v>32</v>
      </c>
      <c r="WEY75" s="244" t="s">
        <v>32</v>
      </c>
      <c r="WEZ75" s="244" t="s">
        <v>32</v>
      </c>
      <c r="WFA75" s="244" t="s">
        <v>32</v>
      </c>
      <c r="WFB75" s="244" t="s">
        <v>32</v>
      </c>
      <c r="WFC75" s="244" t="s">
        <v>32</v>
      </c>
      <c r="WFD75" s="244" t="s">
        <v>32</v>
      </c>
      <c r="WFE75" s="244" t="s">
        <v>32</v>
      </c>
      <c r="WFF75" s="244" t="s">
        <v>32</v>
      </c>
      <c r="WFG75" s="244" t="s">
        <v>32</v>
      </c>
      <c r="WFH75" s="244" t="s">
        <v>32</v>
      </c>
      <c r="WFI75" s="244" t="s">
        <v>32</v>
      </c>
      <c r="WFJ75" s="244" t="s">
        <v>32</v>
      </c>
      <c r="WFK75" s="244" t="s">
        <v>32</v>
      </c>
      <c r="WFL75" s="244" t="s">
        <v>32</v>
      </c>
      <c r="WFM75" s="244" t="s">
        <v>32</v>
      </c>
      <c r="WFN75" s="244" t="s">
        <v>32</v>
      </c>
      <c r="WFO75" s="244" t="s">
        <v>32</v>
      </c>
      <c r="WFP75" s="244" t="s">
        <v>32</v>
      </c>
      <c r="WFQ75" s="244" t="s">
        <v>32</v>
      </c>
      <c r="WFR75" s="244" t="s">
        <v>32</v>
      </c>
      <c r="WFS75" s="244" t="s">
        <v>32</v>
      </c>
      <c r="WFT75" s="244" t="s">
        <v>32</v>
      </c>
      <c r="WFU75" s="244" t="s">
        <v>32</v>
      </c>
      <c r="WFV75" s="244" t="s">
        <v>32</v>
      </c>
      <c r="WFW75" s="244" t="s">
        <v>32</v>
      </c>
      <c r="WFX75" s="244" t="s">
        <v>32</v>
      </c>
      <c r="WFY75" s="244" t="s">
        <v>32</v>
      </c>
      <c r="WFZ75" s="244" t="s">
        <v>32</v>
      </c>
      <c r="WGA75" s="244" t="s">
        <v>32</v>
      </c>
      <c r="WGB75" s="244" t="s">
        <v>32</v>
      </c>
      <c r="WGC75" s="244" t="s">
        <v>32</v>
      </c>
      <c r="WGD75" s="244" t="s">
        <v>32</v>
      </c>
      <c r="WGE75" s="244" t="s">
        <v>32</v>
      </c>
      <c r="WGF75" s="244" t="s">
        <v>32</v>
      </c>
      <c r="WGG75" s="244" t="s">
        <v>32</v>
      </c>
      <c r="WGH75" s="244" t="s">
        <v>32</v>
      </c>
      <c r="WGI75" s="244" t="s">
        <v>32</v>
      </c>
      <c r="WGJ75" s="244" t="s">
        <v>32</v>
      </c>
      <c r="WGK75" s="244" t="s">
        <v>32</v>
      </c>
      <c r="WGL75" s="244" t="s">
        <v>32</v>
      </c>
      <c r="WGM75" s="244" t="s">
        <v>32</v>
      </c>
      <c r="WGN75" s="244" t="s">
        <v>32</v>
      </c>
      <c r="WGO75" s="244" t="s">
        <v>32</v>
      </c>
      <c r="WGP75" s="244" t="s">
        <v>32</v>
      </c>
      <c r="WGQ75" s="244" t="s">
        <v>32</v>
      </c>
      <c r="WGR75" s="244" t="s">
        <v>32</v>
      </c>
      <c r="WGS75" s="244" t="s">
        <v>32</v>
      </c>
      <c r="WGT75" s="244" t="s">
        <v>32</v>
      </c>
      <c r="WGU75" s="244" t="s">
        <v>32</v>
      </c>
      <c r="WGV75" s="244" t="s">
        <v>32</v>
      </c>
      <c r="WGW75" s="244" t="s">
        <v>32</v>
      </c>
      <c r="WGX75" s="244" t="s">
        <v>32</v>
      </c>
      <c r="WGY75" s="244" t="s">
        <v>32</v>
      </c>
      <c r="WGZ75" s="244" t="s">
        <v>32</v>
      </c>
      <c r="WHA75" s="244" t="s">
        <v>32</v>
      </c>
      <c r="WHB75" s="244" t="s">
        <v>32</v>
      </c>
      <c r="WHC75" s="244" t="s">
        <v>32</v>
      </c>
      <c r="WHD75" s="244" t="s">
        <v>32</v>
      </c>
      <c r="WHE75" s="244" t="s">
        <v>32</v>
      </c>
      <c r="WHF75" s="244" t="s">
        <v>32</v>
      </c>
      <c r="WHG75" s="244" t="s">
        <v>32</v>
      </c>
      <c r="WHH75" s="244" t="s">
        <v>32</v>
      </c>
      <c r="WHI75" s="244" t="s">
        <v>32</v>
      </c>
      <c r="WHJ75" s="244" t="s">
        <v>32</v>
      </c>
      <c r="WHK75" s="244" t="s">
        <v>32</v>
      </c>
      <c r="WHL75" s="244" t="s">
        <v>32</v>
      </c>
      <c r="WHM75" s="244" t="s">
        <v>32</v>
      </c>
      <c r="WHN75" s="244" t="s">
        <v>32</v>
      </c>
      <c r="WHO75" s="244" t="s">
        <v>32</v>
      </c>
      <c r="WHP75" s="244" t="s">
        <v>32</v>
      </c>
      <c r="WHQ75" s="244" t="s">
        <v>32</v>
      </c>
      <c r="WHR75" s="244" t="s">
        <v>32</v>
      </c>
      <c r="WHS75" s="244" t="s">
        <v>32</v>
      </c>
      <c r="WHT75" s="244" t="s">
        <v>32</v>
      </c>
      <c r="WHU75" s="244" t="s">
        <v>32</v>
      </c>
      <c r="WHV75" s="244" t="s">
        <v>32</v>
      </c>
      <c r="WHW75" s="244" t="s">
        <v>32</v>
      </c>
      <c r="WHX75" s="244" t="s">
        <v>32</v>
      </c>
      <c r="WHY75" s="244" t="s">
        <v>32</v>
      </c>
      <c r="WHZ75" s="244" t="s">
        <v>32</v>
      </c>
      <c r="WIA75" s="244" t="s">
        <v>32</v>
      </c>
      <c r="WIB75" s="244" t="s">
        <v>32</v>
      </c>
      <c r="WIC75" s="244" t="s">
        <v>32</v>
      </c>
      <c r="WID75" s="244" t="s">
        <v>32</v>
      </c>
      <c r="WIE75" s="244" t="s">
        <v>32</v>
      </c>
      <c r="WIF75" s="244" t="s">
        <v>32</v>
      </c>
      <c r="WIG75" s="244" t="s">
        <v>32</v>
      </c>
      <c r="WIH75" s="244" t="s">
        <v>32</v>
      </c>
      <c r="WII75" s="244" t="s">
        <v>32</v>
      </c>
      <c r="WIJ75" s="244" t="s">
        <v>32</v>
      </c>
      <c r="WIK75" s="244" t="s">
        <v>32</v>
      </c>
      <c r="WIL75" s="244" t="s">
        <v>32</v>
      </c>
      <c r="WIM75" s="244" t="s">
        <v>32</v>
      </c>
      <c r="WIN75" s="244" t="s">
        <v>32</v>
      </c>
      <c r="WIO75" s="244" t="s">
        <v>32</v>
      </c>
      <c r="WIP75" s="244" t="s">
        <v>32</v>
      </c>
      <c r="WIQ75" s="244" t="s">
        <v>32</v>
      </c>
      <c r="WIR75" s="244" t="s">
        <v>32</v>
      </c>
      <c r="WIS75" s="244" t="s">
        <v>32</v>
      </c>
      <c r="WIT75" s="244" t="s">
        <v>32</v>
      </c>
      <c r="WIU75" s="244" t="s">
        <v>32</v>
      </c>
      <c r="WIV75" s="244" t="s">
        <v>32</v>
      </c>
      <c r="WIW75" s="244" t="s">
        <v>32</v>
      </c>
      <c r="WIX75" s="244" t="s">
        <v>32</v>
      </c>
      <c r="WIY75" s="244" t="s">
        <v>32</v>
      </c>
      <c r="WIZ75" s="244" t="s">
        <v>32</v>
      </c>
      <c r="WJA75" s="244" t="s">
        <v>32</v>
      </c>
      <c r="WJB75" s="244" t="s">
        <v>32</v>
      </c>
      <c r="WJC75" s="244" t="s">
        <v>32</v>
      </c>
      <c r="WJD75" s="244" t="s">
        <v>32</v>
      </c>
      <c r="WJE75" s="244" t="s">
        <v>32</v>
      </c>
      <c r="WJF75" s="244" t="s">
        <v>32</v>
      </c>
      <c r="WJG75" s="244" t="s">
        <v>32</v>
      </c>
      <c r="WJH75" s="244" t="s">
        <v>32</v>
      </c>
      <c r="WJI75" s="244" t="s">
        <v>32</v>
      </c>
      <c r="WJJ75" s="244" t="s">
        <v>32</v>
      </c>
      <c r="WJK75" s="244" t="s">
        <v>32</v>
      </c>
      <c r="WJL75" s="244" t="s">
        <v>32</v>
      </c>
      <c r="WJM75" s="244" t="s">
        <v>32</v>
      </c>
      <c r="WJN75" s="244" t="s">
        <v>32</v>
      </c>
      <c r="WJO75" s="244" t="s">
        <v>32</v>
      </c>
      <c r="WJP75" s="244" t="s">
        <v>32</v>
      </c>
      <c r="WJQ75" s="244" t="s">
        <v>32</v>
      </c>
      <c r="WJR75" s="244" t="s">
        <v>32</v>
      </c>
      <c r="WJS75" s="244" t="s">
        <v>32</v>
      </c>
      <c r="WJT75" s="244" t="s">
        <v>32</v>
      </c>
      <c r="WJU75" s="244" t="s">
        <v>32</v>
      </c>
      <c r="WJV75" s="244" t="s">
        <v>32</v>
      </c>
      <c r="WJW75" s="244" t="s">
        <v>32</v>
      </c>
      <c r="WJX75" s="244" t="s">
        <v>32</v>
      </c>
      <c r="WJY75" s="244" t="s">
        <v>32</v>
      </c>
      <c r="WJZ75" s="244" t="s">
        <v>32</v>
      </c>
      <c r="WKA75" s="244" t="s">
        <v>32</v>
      </c>
      <c r="WKB75" s="244" t="s">
        <v>32</v>
      </c>
      <c r="WKC75" s="244" t="s">
        <v>32</v>
      </c>
      <c r="WKD75" s="244" t="s">
        <v>32</v>
      </c>
      <c r="WKE75" s="244" t="s">
        <v>32</v>
      </c>
      <c r="WKF75" s="244" t="s">
        <v>32</v>
      </c>
      <c r="WKG75" s="244" t="s">
        <v>32</v>
      </c>
      <c r="WKH75" s="244" t="s">
        <v>32</v>
      </c>
      <c r="WKI75" s="244" t="s">
        <v>32</v>
      </c>
      <c r="WKJ75" s="244" t="s">
        <v>32</v>
      </c>
      <c r="WKK75" s="244" t="s">
        <v>32</v>
      </c>
      <c r="WKL75" s="244" t="s">
        <v>32</v>
      </c>
      <c r="WKM75" s="244" t="s">
        <v>32</v>
      </c>
      <c r="WKN75" s="244" t="s">
        <v>32</v>
      </c>
      <c r="WKO75" s="244" t="s">
        <v>32</v>
      </c>
      <c r="WKP75" s="244" t="s">
        <v>32</v>
      </c>
      <c r="WKQ75" s="244" t="s">
        <v>32</v>
      </c>
      <c r="WKR75" s="244" t="s">
        <v>32</v>
      </c>
      <c r="WKS75" s="244" t="s">
        <v>32</v>
      </c>
      <c r="WKT75" s="244" t="s">
        <v>32</v>
      </c>
      <c r="WKU75" s="244" t="s">
        <v>32</v>
      </c>
      <c r="WKV75" s="244" t="s">
        <v>32</v>
      </c>
      <c r="WKW75" s="244" t="s">
        <v>32</v>
      </c>
      <c r="WKX75" s="244" t="s">
        <v>32</v>
      </c>
      <c r="WKY75" s="244" t="s">
        <v>32</v>
      </c>
      <c r="WKZ75" s="244" t="s">
        <v>32</v>
      </c>
      <c r="WLA75" s="244" t="s">
        <v>32</v>
      </c>
      <c r="WLB75" s="244" t="s">
        <v>32</v>
      </c>
      <c r="WLC75" s="244" t="s">
        <v>32</v>
      </c>
      <c r="WLD75" s="244" t="s">
        <v>32</v>
      </c>
      <c r="WLE75" s="244" t="s">
        <v>32</v>
      </c>
      <c r="WLF75" s="244" t="s">
        <v>32</v>
      </c>
      <c r="WLG75" s="244" t="s">
        <v>32</v>
      </c>
      <c r="WLH75" s="244" t="s">
        <v>32</v>
      </c>
      <c r="WLI75" s="244" t="s">
        <v>32</v>
      </c>
      <c r="WLJ75" s="244" t="s">
        <v>32</v>
      </c>
      <c r="WLK75" s="244" t="s">
        <v>32</v>
      </c>
      <c r="WLL75" s="244" t="s">
        <v>32</v>
      </c>
      <c r="WLM75" s="244" t="s">
        <v>32</v>
      </c>
      <c r="WLN75" s="244" t="s">
        <v>32</v>
      </c>
      <c r="WLO75" s="244" t="s">
        <v>32</v>
      </c>
      <c r="WLP75" s="244" t="s">
        <v>32</v>
      </c>
      <c r="WLQ75" s="244" t="s">
        <v>32</v>
      </c>
      <c r="WLR75" s="244" t="s">
        <v>32</v>
      </c>
      <c r="WLS75" s="244" t="s">
        <v>32</v>
      </c>
      <c r="WLT75" s="244" t="s">
        <v>32</v>
      </c>
      <c r="WLU75" s="244" t="s">
        <v>32</v>
      </c>
      <c r="WLV75" s="244" t="s">
        <v>32</v>
      </c>
      <c r="WLW75" s="244" t="s">
        <v>32</v>
      </c>
      <c r="WLX75" s="244" t="s">
        <v>32</v>
      </c>
      <c r="WLY75" s="244" t="s">
        <v>32</v>
      </c>
      <c r="WLZ75" s="244" t="s">
        <v>32</v>
      </c>
      <c r="WMA75" s="244" t="s">
        <v>32</v>
      </c>
      <c r="WMB75" s="244" t="s">
        <v>32</v>
      </c>
      <c r="WMC75" s="244" t="s">
        <v>32</v>
      </c>
      <c r="WMD75" s="244" t="s">
        <v>32</v>
      </c>
      <c r="WME75" s="244" t="s">
        <v>32</v>
      </c>
      <c r="WMF75" s="244" t="s">
        <v>32</v>
      </c>
      <c r="WMG75" s="244" t="s">
        <v>32</v>
      </c>
      <c r="WMH75" s="244" t="s">
        <v>32</v>
      </c>
      <c r="WMI75" s="244" t="s">
        <v>32</v>
      </c>
      <c r="WMJ75" s="244" t="s">
        <v>32</v>
      </c>
      <c r="WMK75" s="244" t="s">
        <v>32</v>
      </c>
      <c r="WML75" s="244" t="s">
        <v>32</v>
      </c>
      <c r="WMM75" s="244" t="s">
        <v>32</v>
      </c>
      <c r="WMN75" s="244" t="s">
        <v>32</v>
      </c>
      <c r="WMO75" s="244" t="s">
        <v>32</v>
      </c>
      <c r="WMP75" s="244" t="s">
        <v>32</v>
      </c>
      <c r="WMQ75" s="244" t="s">
        <v>32</v>
      </c>
      <c r="WMR75" s="244" t="s">
        <v>32</v>
      </c>
      <c r="WMS75" s="244" t="s">
        <v>32</v>
      </c>
      <c r="WMT75" s="244" t="s">
        <v>32</v>
      </c>
      <c r="WMU75" s="244" t="s">
        <v>32</v>
      </c>
      <c r="WMV75" s="244" t="s">
        <v>32</v>
      </c>
      <c r="WMW75" s="244" t="s">
        <v>32</v>
      </c>
      <c r="WMX75" s="244" t="s">
        <v>32</v>
      </c>
      <c r="WMY75" s="244" t="s">
        <v>32</v>
      </c>
      <c r="WMZ75" s="244" t="s">
        <v>32</v>
      </c>
      <c r="WNA75" s="244" t="s">
        <v>32</v>
      </c>
      <c r="WNB75" s="244" t="s">
        <v>32</v>
      </c>
      <c r="WNC75" s="244" t="s">
        <v>32</v>
      </c>
      <c r="WND75" s="244" t="s">
        <v>32</v>
      </c>
      <c r="WNE75" s="244" t="s">
        <v>32</v>
      </c>
      <c r="WNF75" s="244" t="s">
        <v>32</v>
      </c>
      <c r="WNG75" s="244" t="s">
        <v>32</v>
      </c>
      <c r="WNH75" s="244" t="s">
        <v>32</v>
      </c>
      <c r="WNI75" s="244" t="s">
        <v>32</v>
      </c>
      <c r="WNJ75" s="244" t="s">
        <v>32</v>
      </c>
      <c r="WNK75" s="244" t="s">
        <v>32</v>
      </c>
      <c r="WNL75" s="244" t="s">
        <v>32</v>
      </c>
      <c r="WNM75" s="244" t="s">
        <v>32</v>
      </c>
      <c r="WNN75" s="244" t="s">
        <v>32</v>
      </c>
      <c r="WNO75" s="244" t="s">
        <v>32</v>
      </c>
      <c r="WNP75" s="244" t="s">
        <v>32</v>
      </c>
      <c r="WNQ75" s="244" t="s">
        <v>32</v>
      </c>
      <c r="WNR75" s="244" t="s">
        <v>32</v>
      </c>
      <c r="WNS75" s="244" t="s">
        <v>32</v>
      </c>
      <c r="WNT75" s="244" t="s">
        <v>32</v>
      </c>
      <c r="WNU75" s="244" t="s">
        <v>32</v>
      </c>
      <c r="WNV75" s="244" t="s">
        <v>32</v>
      </c>
      <c r="WNW75" s="244" t="s">
        <v>32</v>
      </c>
      <c r="WNX75" s="244" t="s">
        <v>32</v>
      </c>
      <c r="WNY75" s="244" t="s">
        <v>32</v>
      </c>
      <c r="WNZ75" s="244" t="s">
        <v>32</v>
      </c>
      <c r="WOA75" s="244" t="s">
        <v>32</v>
      </c>
      <c r="WOB75" s="244" t="s">
        <v>32</v>
      </c>
      <c r="WOC75" s="244" t="s">
        <v>32</v>
      </c>
      <c r="WOD75" s="244" t="s">
        <v>32</v>
      </c>
      <c r="WOE75" s="244" t="s">
        <v>32</v>
      </c>
      <c r="WOF75" s="244" t="s">
        <v>32</v>
      </c>
      <c r="WOG75" s="244" t="s">
        <v>32</v>
      </c>
      <c r="WOH75" s="244" t="s">
        <v>32</v>
      </c>
      <c r="WOI75" s="244" t="s">
        <v>32</v>
      </c>
      <c r="WOJ75" s="244" t="s">
        <v>32</v>
      </c>
      <c r="WOK75" s="244" t="s">
        <v>32</v>
      </c>
      <c r="WOL75" s="244" t="s">
        <v>32</v>
      </c>
      <c r="WOM75" s="244" t="s">
        <v>32</v>
      </c>
      <c r="WON75" s="244" t="s">
        <v>32</v>
      </c>
      <c r="WOO75" s="244" t="s">
        <v>32</v>
      </c>
      <c r="WOP75" s="244" t="s">
        <v>32</v>
      </c>
      <c r="WOQ75" s="244" t="s">
        <v>32</v>
      </c>
      <c r="WOR75" s="244" t="s">
        <v>32</v>
      </c>
      <c r="WOS75" s="244" t="s">
        <v>32</v>
      </c>
      <c r="WOT75" s="244" t="s">
        <v>32</v>
      </c>
      <c r="WOU75" s="244" t="s">
        <v>32</v>
      </c>
      <c r="WOV75" s="244" t="s">
        <v>32</v>
      </c>
      <c r="WOW75" s="244" t="s">
        <v>32</v>
      </c>
      <c r="WOX75" s="244" t="s">
        <v>32</v>
      </c>
      <c r="WOY75" s="244" t="s">
        <v>32</v>
      </c>
      <c r="WOZ75" s="244" t="s">
        <v>32</v>
      </c>
      <c r="WPA75" s="244" t="s">
        <v>32</v>
      </c>
      <c r="WPB75" s="244" t="s">
        <v>32</v>
      </c>
      <c r="WPC75" s="244" t="s">
        <v>32</v>
      </c>
      <c r="WPD75" s="244" t="s">
        <v>32</v>
      </c>
      <c r="WPE75" s="244" t="s">
        <v>32</v>
      </c>
      <c r="WPF75" s="244" t="s">
        <v>32</v>
      </c>
      <c r="WPG75" s="244" t="s">
        <v>32</v>
      </c>
      <c r="WPH75" s="244" t="s">
        <v>32</v>
      </c>
      <c r="WPI75" s="244" t="s">
        <v>32</v>
      </c>
      <c r="WPJ75" s="244" t="s">
        <v>32</v>
      </c>
      <c r="WPK75" s="244" t="s">
        <v>32</v>
      </c>
      <c r="WPL75" s="244" t="s">
        <v>32</v>
      </c>
      <c r="WPM75" s="244" t="s">
        <v>32</v>
      </c>
      <c r="WPN75" s="244" t="s">
        <v>32</v>
      </c>
      <c r="WPO75" s="244" t="s">
        <v>32</v>
      </c>
      <c r="WPP75" s="244" t="s">
        <v>32</v>
      </c>
      <c r="WPQ75" s="244" t="s">
        <v>32</v>
      </c>
      <c r="WPR75" s="244" t="s">
        <v>32</v>
      </c>
      <c r="WPS75" s="244" t="s">
        <v>32</v>
      </c>
      <c r="WPT75" s="244" t="s">
        <v>32</v>
      </c>
      <c r="WPU75" s="244" t="s">
        <v>32</v>
      </c>
      <c r="WPV75" s="244" t="s">
        <v>32</v>
      </c>
      <c r="WPW75" s="244" t="s">
        <v>32</v>
      </c>
      <c r="WPX75" s="244" t="s">
        <v>32</v>
      </c>
      <c r="WPY75" s="244" t="s">
        <v>32</v>
      </c>
      <c r="WPZ75" s="244" t="s">
        <v>32</v>
      </c>
      <c r="WQA75" s="244" t="s">
        <v>32</v>
      </c>
      <c r="WQB75" s="244" t="s">
        <v>32</v>
      </c>
      <c r="WQC75" s="244" t="s">
        <v>32</v>
      </c>
      <c r="WQD75" s="244" t="s">
        <v>32</v>
      </c>
      <c r="WQE75" s="244" t="s">
        <v>32</v>
      </c>
      <c r="WQF75" s="244" t="s">
        <v>32</v>
      </c>
      <c r="WQG75" s="244" t="s">
        <v>32</v>
      </c>
      <c r="WQH75" s="244" t="s">
        <v>32</v>
      </c>
      <c r="WQI75" s="244" t="s">
        <v>32</v>
      </c>
      <c r="WQJ75" s="244" t="s">
        <v>32</v>
      </c>
      <c r="WQK75" s="244" t="s">
        <v>32</v>
      </c>
      <c r="WQL75" s="244" t="s">
        <v>32</v>
      </c>
      <c r="WQM75" s="244" t="s">
        <v>32</v>
      </c>
      <c r="WQN75" s="244" t="s">
        <v>32</v>
      </c>
      <c r="WQO75" s="244" t="s">
        <v>32</v>
      </c>
      <c r="WQP75" s="244" t="s">
        <v>32</v>
      </c>
      <c r="WQQ75" s="244" t="s">
        <v>32</v>
      </c>
      <c r="WQR75" s="244" t="s">
        <v>32</v>
      </c>
      <c r="WQS75" s="244" t="s">
        <v>32</v>
      </c>
      <c r="WQT75" s="244" t="s">
        <v>32</v>
      </c>
      <c r="WQU75" s="244" t="s">
        <v>32</v>
      </c>
      <c r="WQV75" s="244" t="s">
        <v>32</v>
      </c>
      <c r="WQW75" s="244" t="s">
        <v>32</v>
      </c>
      <c r="WQX75" s="244" t="s">
        <v>32</v>
      </c>
      <c r="WQY75" s="244" t="s">
        <v>32</v>
      </c>
      <c r="WQZ75" s="244" t="s">
        <v>32</v>
      </c>
      <c r="WRA75" s="244" t="s">
        <v>32</v>
      </c>
      <c r="WRB75" s="244" t="s">
        <v>32</v>
      </c>
      <c r="WRC75" s="244" t="s">
        <v>32</v>
      </c>
      <c r="WRD75" s="244" t="s">
        <v>32</v>
      </c>
      <c r="WRE75" s="244" t="s">
        <v>32</v>
      </c>
      <c r="WRF75" s="244" t="s">
        <v>32</v>
      </c>
      <c r="WRG75" s="244" t="s">
        <v>32</v>
      </c>
      <c r="WRH75" s="244" t="s">
        <v>32</v>
      </c>
      <c r="WRI75" s="244" t="s">
        <v>32</v>
      </c>
      <c r="WRJ75" s="244" t="s">
        <v>32</v>
      </c>
      <c r="WRK75" s="244" t="s">
        <v>32</v>
      </c>
      <c r="WRL75" s="244" t="s">
        <v>32</v>
      </c>
      <c r="WRM75" s="244" t="s">
        <v>32</v>
      </c>
      <c r="WRN75" s="244" t="s">
        <v>32</v>
      </c>
      <c r="WRO75" s="244" t="s">
        <v>32</v>
      </c>
      <c r="WRP75" s="244" t="s">
        <v>32</v>
      </c>
      <c r="WRQ75" s="244" t="s">
        <v>32</v>
      </c>
      <c r="WRR75" s="244" t="s">
        <v>32</v>
      </c>
      <c r="WRS75" s="244" t="s">
        <v>32</v>
      </c>
      <c r="WRT75" s="244" t="s">
        <v>32</v>
      </c>
      <c r="WRU75" s="244" t="s">
        <v>32</v>
      </c>
      <c r="WRV75" s="244" t="s">
        <v>32</v>
      </c>
      <c r="WRW75" s="244" t="s">
        <v>32</v>
      </c>
      <c r="WRX75" s="244" t="s">
        <v>32</v>
      </c>
      <c r="WRY75" s="244" t="s">
        <v>32</v>
      </c>
      <c r="WRZ75" s="244" t="s">
        <v>32</v>
      </c>
      <c r="WSA75" s="244" t="s">
        <v>32</v>
      </c>
      <c r="WSB75" s="244" t="s">
        <v>32</v>
      </c>
      <c r="WSC75" s="244" t="s">
        <v>32</v>
      </c>
      <c r="WSD75" s="244" t="s">
        <v>32</v>
      </c>
      <c r="WSE75" s="244" t="s">
        <v>32</v>
      </c>
      <c r="WSF75" s="244" t="s">
        <v>32</v>
      </c>
      <c r="WSG75" s="244" t="s">
        <v>32</v>
      </c>
      <c r="WSH75" s="244" t="s">
        <v>32</v>
      </c>
      <c r="WSI75" s="244" t="s">
        <v>32</v>
      </c>
      <c r="WSJ75" s="244" t="s">
        <v>32</v>
      </c>
      <c r="WSK75" s="244" t="s">
        <v>32</v>
      </c>
      <c r="WSL75" s="244" t="s">
        <v>32</v>
      </c>
      <c r="WSM75" s="244" t="s">
        <v>32</v>
      </c>
      <c r="WSN75" s="244" t="s">
        <v>32</v>
      </c>
      <c r="WSO75" s="244" t="s">
        <v>32</v>
      </c>
      <c r="WSP75" s="244" t="s">
        <v>32</v>
      </c>
      <c r="WSQ75" s="244" t="s">
        <v>32</v>
      </c>
      <c r="WSR75" s="244" t="s">
        <v>32</v>
      </c>
      <c r="WSS75" s="244" t="s">
        <v>32</v>
      </c>
      <c r="WST75" s="244" t="s">
        <v>32</v>
      </c>
      <c r="WSU75" s="244" t="s">
        <v>32</v>
      </c>
      <c r="WSV75" s="244" t="s">
        <v>32</v>
      </c>
      <c r="WSW75" s="244" t="s">
        <v>32</v>
      </c>
      <c r="WSX75" s="244" t="s">
        <v>32</v>
      </c>
      <c r="WSY75" s="244" t="s">
        <v>32</v>
      </c>
      <c r="WSZ75" s="244" t="s">
        <v>32</v>
      </c>
      <c r="WTA75" s="244" t="s">
        <v>32</v>
      </c>
      <c r="WTB75" s="244" t="s">
        <v>32</v>
      </c>
      <c r="WTC75" s="244" t="s">
        <v>32</v>
      </c>
      <c r="WTD75" s="244" t="s">
        <v>32</v>
      </c>
      <c r="WTE75" s="244" t="s">
        <v>32</v>
      </c>
      <c r="WTF75" s="244" t="s">
        <v>32</v>
      </c>
      <c r="WTG75" s="244" t="s">
        <v>32</v>
      </c>
      <c r="WTH75" s="244" t="s">
        <v>32</v>
      </c>
      <c r="WTI75" s="244" t="s">
        <v>32</v>
      </c>
      <c r="WTJ75" s="244" t="s">
        <v>32</v>
      </c>
      <c r="WTK75" s="244" t="s">
        <v>32</v>
      </c>
      <c r="WTL75" s="244" t="s">
        <v>32</v>
      </c>
      <c r="WTM75" s="244" t="s">
        <v>32</v>
      </c>
      <c r="WTN75" s="244" t="s">
        <v>32</v>
      </c>
      <c r="WTO75" s="244" t="s">
        <v>32</v>
      </c>
      <c r="WTP75" s="244" t="s">
        <v>32</v>
      </c>
      <c r="WTQ75" s="244" t="s">
        <v>32</v>
      </c>
      <c r="WTR75" s="244" t="s">
        <v>32</v>
      </c>
      <c r="WTS75" s="244" t="s">
        <v>32</v>
      </c>
      <c r="WTT75" s="244" t="s">
        <v>32</v>
      </c>
      <c r="WTU75" s="244" t="s">
        <v>32</v>
      </c>
      <c r="WTV75" s="244" t="s">
        <v>32</v>
      </c>
      <c r="WTW75" s="244" t="s">
        <v>32</v>
      </c>
      <c r="WTX75" s="244" t="s">
        <v>32</v>
      </c>
      <c r="WTY75" s="244" t="s">
        <v>32</v>
      </c>
      <c r="WTZ75" s="244" t="s">
        <v>32</v>
      </c>
      <c r="WUA75" s="244" t="s">
        <v>32</v>
      </c>
      <c r="WUB75" s="244" t="s">
        <v>32</v>
      </c>
      <c r="WUC75" s="244" t="s">
        <v>32</v>
      </c>
      <c r="WUD75" s="244" t="s">
        <v>32</v>
      </c>
      <c r="WUE75" s="244" t="s">
        <v>32</v>
      </c>
      <c r="WUF75" s="244" t="s">
        <v>32</v>
      </c>
      <c r="WUG75" s="244" t="s">
        <v>32</v>
      </c>
      <c r="WUH75" s="244" t="s">
        <v>32</v>
      </c>
      <c r="WUI75" s="244" t="s">
        <v>32</v>
      </c>
      <c r="WUJ75" s="244" t="s">
        <v>32</v>
      </c>
      <c r="WUK75" s="244" t="s">
        <v>32</v>
      </c>
      <c r="WUL75" s="244" t="s">
        <v>32</v>
      </c>
      <c r="WUM75" s="244" t="s">
        <v>32</v>
      </c>
      <c r="WUN75" s="244" t="s">
        <v>32</v>
      </c>
      <c r="WUO75" s="244" t="s">
        <v>32</v>
      </c>
      <c r="WUP75" s="244" t="s">
        <v>32</v>
      </c>
      <c r="WUQ75" s="244" t="s">
        <v>32</v>
      </c>
      <c r="WUR75" s="244" t="s">
        <v>32</v>
      </c>
      <c r="WUS75" s="244" t="s">
        <v>32</v>
      </c>
      <c r="WUT75" s="244" t="s">
        <v>32</v>
      </c>
      <c r="WUU75" s="244" t="s">
        <v>32</v>
      </c>
      <c r="WUV75" s="244" t="s">
        <v>32</v>
      </c>
      <c r="WUW75" s="244" t="s">
        <v>32</v>
      </c>
      <c r="WUX75" s="244" t="s">
        <v>32</v>
      </c>
      <c r="WUY75" s="244" t="s">
        <v>32</v>
      </c>
      <c r="WUZ75" s="244" t="s">
        <v>32</v>
      </c>
      <c r="WVA75" s="244" t="s">
        <v>32</v>
      </c>
      <c r="WVB75" s="244" t="s">
        <v>32</v>
      </c>
      <c r="WVC75" s="244" t="s">
        <v>32</v>
      </c>
      <c r="WVD75" s="244" t="s">
        <v>32</v>
      </c>
      <c r="WVE75" s="244" t="s">
        <v>32</v>
      </c>
      <c r="WVF75" s="244" t="s">
        <v>32</v>
      </c>
      <c r="WVG75" s="244" t="s">
        <v>32</v>
      </c>
      <c r="WVH75" s="244" t="s">
        <v>32</v>
      </c>
      <c r="WVI75" s="244" t="s">
        <v>32</v>
      </c>
      <c r="WVJ75" s="244" t="s">
        <v>32</v>
      </c>
      <c r="WVK75" s="244" t="s">
        <v>32</v>
      </c>
      <c r="WVL75" s="244" t="s">
        <v>32</v>
      </c>
      <c r="WVM75" s="244" t="s">
        <v>32</v>
      </c>
      <c r="WVN75" s="244" t="s">
        <v>32</v>
      </c>
      <c r="WVO75" s="244" t="s">
        <v>32</v>
      </c>
      <c r="WVP75" s="244" t="s">
        <v>32</v>
      </c>
      <c r="WVQ75" s="244" t="s">
        <v>32</v>
      </c>
      <c r="WVR75" s="244" t="s">
        <v>32</v>
      </c>
      <c r="WVS75" s="244" t="s">
        <v>32</v>
      </c>
      <c r="WVT75" s="244" t="s">
        <v>32</v>
      </c>
      <c r="WVU75" s="244" t="s">
        <v>32</v>
      </c>
      <c r="WVV75" s="244" t="s">
        <v>32</v>
      </c>
      <c r="WVW75" s="244" t="s">
        <v>32</v>
      </c>
      <c r="WVX75" s="244" t="s">
        <v>32</v>
      </c>
      <c r="WVY75" s="244" t="s">
        <v>32</v>
      </c>
      <c r="WVZ75" s="244" t="s">
        <v>32</v>
      </c>
      <c r="WWA75" s="244" t="s">
        <v>32</v>
      </c>
      <c r="WWB75" s="244" t="s">
        <v>32</v>
      </c>
      <c r="WWC75" s="244" t="s">
        <v>32</v>
      </c>
      <c r="WWD75" s="244" t="s">
        <v>32</v>
      </c>
      <c r="WWE75" s="244" t="s">
        <v>32</v>
      </c>
      <c r="WWF75" s="244" t="s">
        <v>32</v>
      </c>
      <c r="WWG75" s="244" t="s">
        <v>32</v>
      </c>
      <c r="WWH75" s="244" t="s">
        <v>32</v>
      </c>
      <c r="WWI75" s="244" t="s">
        <v>32</v>
      </c>
      <c r="WWJ75" s="244" t="s">
        <v>32</v>
      </c>
      <c r="WWK75" s="244" t="s">
        <v>32</v>
      </c>
      <c r="WWL75" s="244" t="s">
        <v>32</v>
      </c>
      <c r="WWM75" s="244" t="s">
        <v>32</v>
      </c>
      <c r="WWN75" s="244" t="s">
        <v>32</v>
      </c>
      <c r="WWO75" s="244" t="s">
        <v>32</v>
      </c>
      <c r="WWP75" s="244" t="s">
        <v>32</v>
      </c>
      <c r="WWQ75" s="244" t="s">
        <v>32</v>
      </c>
      <c r="WWR75" s="244" t="s">
        <v>32</v>
      </c>
      <c r="WWS75" s="244" t="s">
        <v>32</v>
      </c>
      <c r="WWT75" s="244" t="s">
        <v>32</v>
      </c>
      <c r="WWU75" s="244" t="s">
        <v>32</v>
      </c>
      <c r="WWV75" s="244" t="s">
        <v>32</v>
      </c>
      <c r="WWW75" s="244" t="s">
        <v>32</v>
      </c>
      <c r="WWX75" s="244" t="s">
        <v>32</v>
      </c>
      <c r="WWY75" s="244" t="s">
        <v>32</v>
      </c>
      <c r="WWZ75" s="244" t="s">
        <v>32</v>
      </c>
      <c r="WXA75" s="244" t="s">
        <v>32</v>
      </c>
      <c r="WXB75" s="244" t="s">
        <v>32</v>
      </c>
      <c r="WXC75" s="244" t="s">
        <v>32</v>
      </c>
      <c r="WXD75" s="244" t="s">
        <v>32</v>
      </c>
      <c r="WXE75" s="244" t="s">
        <v>32</v>
      </c>
      <c r="WXF75" s="244" t="s">
        <v>32</v>
      </c>
      <c r="WXG75" s="244" t="s">
        <v>32</v>
      </c>
      <c r="WXH75" s="244" t="s">
        <v>32</v>
      </c>
      <c r="WXI75" s="244" t="s">
        <v>32</v>
      </c>
      <c r="WXJ75" s="244" t="s">
        <v>32</v>
      </c>
      <c r="WXK75" s="244" t="s">
        <v>32</v>
      </c>
      <c r="WXL75" s="244" t="s">
        <v>32</v>
      </c>
      <c r="WXM75" s="244" t="s">
        <v>32</v>
      </c>
      <c r="WXN75" s="244" t="s">
        <v>32</v>
      </c>
      <c r="WXO75" s="244" t="s">
        <v>32</v>
      </c>
      <c r="WXP75" s="244" t="s">
        <v>32</v>
      </c>
      <c r="WXQ75" s="244" t="s">
        <v>32</v>
      </c>
      <c r="WXR75" s="244" t="s">
        <v>32</v>
      </c>
      <c r="WXS75" s="244" t="s">
        <v>32</v>
      </c>
      <c r="WXT75" s="244" t="s">
        <v>32</v>
      </c>
      <c r="WXU75" s="244" t="s">
        <v>32</v>
      </c>
      <c r="WXV75" s="244" t="s">
        <v>32</v>
      </c>
      <c r="WXW75" s="244" t="s">
        <v>32</v>
      </c>
      <c r="WXX75" s="244" t="s">
        <v>32</v>
      </c>
      <c r="WXY75" s="244" t="s">
        <v>32</v>
      </c>
      <c r="WXZ75" s="244" t="s">
        <v>32</v>
      </c>
      <c r="WYA75" s="244" t="s">
        <v>32</v>
      </c>
      <c r="WYB75" s="244" t="s">
        <v>32</v>
      </c>
      <c r="WYC75" s="244" t="s">
        <v>32</v>
      </c>
      <c r="WYD75" s="244" t="s">
        <v>32</v>
      </c>
      <c r="WYE75" s="244" t="s">
        <v>32</v>
      </c>
      <c r="WYF75" s="244" t="s">
        <v>32</v>
      </c>
      <c r="WYG75" s="244" t="s">
        <v>32</v>
      </c>
      <c r="WYH75" s="244" t="s">
        <v>32</v>
      </c>
      <c r="WYI75" s="244" t="s">
        <v>32</v>
      </c>
      <c r="WYJ75" s="244" t="s">
        <v>32</v>
      </c>
      <c r="WYK75" s="244" t="s">
        <v>32</v>
      </c>
      <c r="WYL75" s="244" t="s">
        <v>32</v>
      </c>
      <c r="WYM75" s="244" t="s">
        <v>32</v>
      </c>
      <c r="WYN75" s="244" t="s">
        <v>32</v>
      </c>
      <c r="WYO75" s="244" t="s">
        <v>32</v>
      </c>
      <c r="WYP75" s="244" t="s">
        <v>32</v>
      </c>
      <c r="WYQ75" s="244" t="s">
        <v>32</v>
      </c>
      <c r="WYR75" s="244" t="s">
        <v>32</v>
      </c>
      <c r="WYS75" s="244" t="s">
        <v>32</v>
      </c>
      <c r="WYT75" s="244" t="s">
        <v>32</v>
      </c>
      <c r="WYU75" s="244" t="s">
        <v>32</v>
      </c>
      <c r="WYV75" s="244" t="s">
        <v>32</v>
      </c>
      <c r="WYW75" s="244" t="s">
        <v>32</v>
      </c>
      <c r="WYX75" s="244" t="s">
        <v>32</v>
      </c>
      <c r="WYY75" s="244" t="s">
        <v>32</v>
      </c>
      <c r="WYZ75" s="244" t="s">
        <v>32</v>
      </c>
      <c r="WZA75" s="244" t="s">
        <v>32</v>
      </c>
      <c r="WZB75" s="244" t="s">
        <v>32</v>
      </c>
      <c r="WZC75" s="244" t="s">
        <v>32</v>
      </c>
      <c r="WZD75" s="244" t="s">
        <v>32</v>
      </c>
      <c r="WZE75" s="244" t="s">
        <v>32</v>
      </c>
      <c r="WZF75" s="244" t="s">
        <v>32</v>
      </c>
      <c r="WZG75" s="244" t="s">
        <v>32</v>
      </c>
      <c r="WZH75" s="244" t="s">
        <v>32</v>
      </c>
      <c r="WZI75" s="244" t="s">
        <v>32</v>
      </c>
      <c r="WZJ75" s="244" t="s">
        <v>32</v>
      </c>
      <c r="WZK75" s="244" t="s">
        <v>32</v>
      </c>
      <c r="WZL75" s="244" t="s">
        <v>32</v>
      </c>
      <c r="WZM75" s="244" t="s">
        <v>32</v>
      </c>
      <c r="WZN75" s="244" t="s">
        <v>32</v>
      </c>
      <c r="WZO75" s="244" t="s">
        <v>32</v>
      </c>
      <c r="WZP75" s="244" t="s">
        <v>32</v>
      </c>
      <c r="WZQ75" s="244" t="s">
        <v>32</v>
      </c>
      <c r="WZR75" s="244" t="s">
        <v>32</v>
      </c>
      <c r="WZS75" s="244" t="s">
        <v>32</v>
      </c>
      <c r="WZT75" s="244" t="s">
        <v>32</v>
      </c>
      <c r="WZU75" s="244" t="s">
        <v>32</v>
      </c>
      <c r="WZV75" s="244" t="s">
        <v>32</v>
      </c>
      <c r="WZW75" s="244" t="s">
        <v>32</v>
      </c>
      <c r="WZX75" s="244" t="s">
        <v>32</v>
      </c>
      <c r="WZY75" s="244" t="s">
        <v>32</v>
      </c>
      <c r="WZZ75" s="244" t="s">
        <v>32</v>
      </c>
      <c r="XAA75" s="244" t="s">
        <v>32</v>
      </c>
      <c r="XAB75" s="244" t="s">
        <v>32</v>
      </c>
      <c r="XAC75" s="244" t="s">
        <v>32</v>
      </c>
      <c r="XAD75" s="244" t="s">
        <v>32</v>
      </c>
      <c r="XAE75" s="244" t="s">
        <v>32</v>
      </c>
      <c r="XAF75" s="244" t="s">
        <v>32</v>
      </c>
      <c r="XAG75" s="244" t="s">
        <v>32</v>
      </c>
      <c r="XAH75" s="244" t="s">
        <v>32</v>
      </c>
      <c r="XAI75" s="244" t="s">
        <v>32</v>
      </c>
      <c r="XAJ75" s="244" t="s">
        <v>32</v>
      </c>
      <c r="XAK75" s="244" t="s">
        <v>32</v>
      </c>
      <c r="XAL75" s="244" t="s">
        <v>32</v>
      </c>
      <c r="XAM75" s="244" t="s">
        <v>32</v>
      </c>
      <c r="XAN75" s="244" t="s">
        <v>32</v>
      </c>
      <c r="XAO75" s="244" t="s">
        <v>32</v>
      </c>
      <c r="XAP75" s="244" t="s">
        <v>32</v>
      </c>
      <c r="XAQ75" s="244" t="s">
        <v>32</v>
      </c>
      <c r="XAR75" s="244" t="s">
        <v>32</v>
      </c>
      <c r="XAS75" s="244" t="s">
        <v>32</v>
      </c>
      <c r="XAT75" s="244" t="s">
        <v>32</v>
      </c>
      <c r="XAU75" s="244" t="s">
        <v>32</v>
      </c>
      <c r="XAV75" s="244" t="s">
        <v>32</v>
      </c>
      <c r="XAW75" s="244" t="s">
        <v>32</v>
      </c>
      <c r="XAX75" s="244" t="s">
        <v>32</v>
      </c>
      <c r="XAY75" s="244" t="s">
        <v>32</v>
      </c>
      <c r="XAZ75" s="244" t="s">
        <v>32</v>
      </c>
      <c r="XBA75" s="244" t="s">
        <v>32</v>
      </c>
      <c r="XBB75" s="244" t="s">
        <v>32</v>
      </c>
      <c r="XBC75" s="244" t="s">
        <v>32</v>
      </c>
      <c r="XBD75" s="244" t="s">
        <v>32</v>
      </c>
      <c r="XBE75" s="244" t="s">
        <v>32</v>
      </c>
      <c r="XBF75" s="244" t="s">
        <v>32</v>
      </c>
      <c r="XBG75" s="244" t="s">
        <v>32</v>
      </c>
      <c r="XBH75" s="244" t="s">
        <v>32</v>
      </c>
      <c r="XBI75" s="244" t="s">
        <v>32</v>
      </c>
      <c r="XBJ75" s="244" t="s">
        <v>32</v>
      </c>
      <c r="XBK75" s="244" t="s">
        <v>32</v>
      </c>
      <c r="XBL75" s="244" t="s">
        <v>32</v>
      </c>
      <c r="XBM75" s="244" t="s">
        <v>32</v>
      </c>
      <c r="XBN75" s="244" t="s">
        <v>32</v>
      </c>
      <c r="XBO75" s="244" t="s">
        <v>32</v>
      </c>
      <c r="XBP75" s="244" t="s">
        <v>32</v>
      </c>
      <c r="XBQ75" s="244" t="s">
        <v>32</v>
      </c>
      <c r="XBR75" s="244" t="s">
        <v>32</v>
      </c>
      <c r="XBS75" s="244" t="s">
        <v>32</v>
      </c>
      <c r="XBT75" s="244" t="s">
        <v>32</v>
      </c>
      <c r="XBU75" s="244" t="s">
        <v>32</v>
      </c>
      <c r="XBV75" s="244" t="s">
        <v>32</v>
      </c>
      <c r="XBW75" s="244" t="s">
        <v>32</v>
      </c>
      <c r="XBX75" s="244" t="s">
        <v>32</v>
      </c>
      <c r="XBY75" s="244" t="s">
        <v>32</v>
      </c>
      <c r="XBZ75" s="244" t="s">
        <v>32</v>
      </c>
      <c r="XCA75" s="244" t="s">
        <v>32</v>
      </c>
      <c r="XCB75" s="244" t="s">
        <v>32</v>
      </c>
      <c r="XCC75" s="244" t="s">
        <v>32</v>
      </c>
      <c r="XCD75" s="244" t="s">
        <v>32</v>
      </c>
      <c r="XCE75" s="244" t="s">
        <v>32</v>
      </c>
      <c r="XCF75" s="244" t="s">
        <v>32</v>
      </c>
      <c r="XCG75" s="244" t="s">
        <v>32</v>
      </c>
      <c r="XCH75" s="244" t="s">
        <v>32</v>
      </c>
      <c r="XCI75" s="244" t="s">
        <v>32</v>
      </c>
      <c r="XCJ75" s="244" t="s">
        <v>32</v>
      </c>
      <c r="XCK75" s="244" t="s">
        <v>32</v>
      </c>
      <c r="XCL75" s="244" t="s">
        <v>32</v>
      </c>
      <c r="XCM75" s="244" t="s">
        <v>32</v>
      </c>
      <c r="XCN75" s="244" t="s">
        <v>32</v>
      </c>
      <c r="XCO75" s="244" t="s">
        <v>32</v>
      </c>
      <c r="XCP75" s="244" t="s">
        <v>32</v>
      </c>
      <c r="XCQ75" s="244" t="s">
        <v>32</v>
      </c>
      <c r="XCR75" s="244" t="s">
        <v>32</v>
      </c>
      <c r="XCS75" s="244" t="s">
        <v>32</v>
      </c>
      <c r="XCT75" s="244" t="s">
        <v>32</v>
      </c>
      <c r="XCU75" s="244" t="s">
        <v>32</v>
      </c>
      <c r="XCV75" s="244" t="s">
        <v>32</v>
      </c>
      <c r="XCW75" s="244" t="s">
        <v>32</v>
      </c>
      <c r="XCX75" s="244" t="s">
        <v>32</v>
      </c>
      <c r="XCY75" s="244" t="s">
        <v>32</v>
      </c>
      <c r="XCZ75" s="244" t="s">
        <v>32</v>
      </c>
      <c r="XDA75" s="244" t="s">
        <v>32</v>
      </c>
      <c r="XDB75" s="244" t="s">
        <v>32</v>
      </c>
      <c r="XDC75" s="244" t="s">
        <v>32</v>
      </c>
      <c r="XDD75" s="244" t="s">
        <v>32</v>
      </c>
      <c r="XDE75" s="244" t="s">
        <v>32</v>
      </c>
      <c r="XDF75" s="244" t="s">
        <v>32</v>
      </c>
      <c r="XDG75" s="244" t="s">
        <v>32</v>
      </c>
      <c r="XDH75" s="244" t="s">
        <v>32</v>
      </c>
      <c r="XDI75" s="244" t="s">
        <v>32</v>
      </c>
      <c r="XDJ75" s="244" t="s">
        <v>32</v>
      </c>
      <c r="XDK75" s="244" t="s">
        <v>32</v>
      </c>
      <c r="XDL75" s="244" t="s">
        <v>32</v>
      </c>
      <c r="XDM75" s="244" t="s">
        <v>32</v>
      </c>
      <c r="XDN75" s="244" t="s">
        <v>32</v>
      </c>
      <c r="XDO75" s="244" t="s">
        <v>32</v>
      </c>
      <c r="XDP75" s="244" t="s">
        <v>32</v>
      </c>
      <c r="XDQ75" s="244" t="s">
        <v>32</v>
      </c>
      <c r="XDR75" s="244" t="s">
        <v>32</v>
      </c>
      <c r="XDS75" s="244" t="s">
        <v>32</v>
      </c>
      <c r="XDT75" s="244" t="s">
        <v>32</v>
      </c>
      <c r="XDU75" s="244" t="s">
        <v>32</v>
      </c>
      <c r="XDV75" s="244" t="s">
        <v>32</v>
      </c>
      <c r="XDW75" s="244" t="s">
        <v>32</v>
      </c>
      <c r="XDX75" s="244" t="s">
        <v>32</v>
      </c>
      <c r="XDY75" s="244" t="s">
        <v>32</v>
      </c>
      <c r="XDZ75" s="244" t="s">
        <v>32</v>
      </c>
      <c r="XEA75" s="244" t="s">
        <v>32</v>
      </c>
      <c r="XEB75" s="244" t="s">
        <v>32</v>
      </c>
      <c r="XEC75" s="244" t="s">
        <v>32</v>
      </c>
      <c r="XED75" s="244" t="s">
        <v>32</v>
      </c>
      <c r="XEE75" s="244" t="s">
        <v>32</v>
      </c>
      <c r="XEF75" s="244" t="s">
        <v>32</v>
      </c>
      <c r="XEG75" s="244" t="s">
        <v>32</v>
      </c>
      <c r="XEH75" s="244" t="s">
        <v>32</v>
      </c>
      <c r="XEI75" s="244" t="s">
        <v>32</v>
      </c>
      <c r="XEJ75" s="244" t="s">
        <v>32</v>
      </c>
      <c r="XEK75" s="244" t="s">
        <v>32</v>
      </c>
      <c r="XEL75" s="244" t="s">
        <v>32</v>
      </c>
      <c r="XEM75" s="244" t="s">
        <v>32</v>
      </c>
      <c r="XEN75" s="244" t="s">
        <v>32</v>
      </c>
    </row>
    <row r="76" spans="1:16368" s="543" customFormat="1" ht="14.25" hidden="1" customHeight="1" thickTop="1" x14ac:dyDescent="0.25">
      <c r="A76" s="1587"/>
      <c r="B76" s="1587"/>
      <c r="C76" s="1606"/>
      <c r="D76" s="1606"/>
      <c r="E76" s="1606"/>
      <c r="F76" s="1606"/>
      <c r="G76" s="1606"/>
      <c r="H76" s="1606"/>
      <c r="I76" s="1606"/>
      <c r="J76" s="1606"/>
      <c r="K76" s="1606"/>
      <c r="L76" s="1606"/>
      <c r="M76" s="1606"/>
      <c r="N76" s="1606"/>
      <c r="O76" s="1606"/>
      <c r="P76" s="1606"/>
      <c r="Q76" s="1606"/>
      <c r="R76" s="1606"/>
      <c r="S76" s="1606"/>
      <c r="T76" s="1606"/>
      <c r="U76" s="1606"/>
      <c r="V76" s="1606"/>
      <c r="W76" s="1606"/>
      <c r="X76" s="1606"/>
      <c r="Y76" s="1606"/>
      <c r="Z76" s="1606"/>
      <c r="AA76" s="1606"/>
      <c r="AB76" s="1606"/>
      <c r="AC76" s="1606"/>
      <c r="AD76" s="1606"/>
      <c r="AE76" s="1606"/>
      <c r="AF76" s="1606"/>
      <c r="AG76" s="1606"/>
      <c r="AH76" s="1606"/>
      <c r="AI76" s="1606"/>
      <c r="AJ76" s="1606"/>
      <c r="AK76" s="1606"/>
      <c r="AL76" s="1606"/>
      <c r="AM76" s="1606"/>
      <c r="AN76" s="1606"/>
      <c r="AO76" s="1606"/>
      <c r="AP76" s="1606"/>
      <c r="AQ76" s="1606"/>
      <c r="AR76" s="1606"/>
      <c r="AS76" s="1606"/>
      <c r="AT76" s="1606"/>
      <c r="AU76" s="1606"/>
      <c r="AV76" s="1862"/>
      <c r="AW76" s="1606"/>
      <c r="AX76" s="1606"/>
      <c r="AY76" s="1606"/>
      <c r="AZ76" s="1606"/>
      <c r="BA76" s="1606"/>
      <c r="BB76" s="1606"/>
      <c r="BC76" s="1606"/>
      <c r="BD76" s="1606"/>
      <c r="BE76" s="1606"/>
      <c r="BF76" s="1606"/>
      <c r="BG76" s="1607"/>
      <c r="BH76" s="1607"/>
      <c r="BI76" s="1607"/>
      <c r="BJ76" s="1607"/>
      <c r="BK76" s="1607"/>
      <c r="BL76" s="1607"/>
      <c r="BM76" s="1607"/>
      <c r="BN76" s="1607"/>
      <c r="BO76" s="1607"/>
      <c r="BP76" s="1607"/>
      <c r="BQ76" s="1607"/>
      <c r="BR76" s="1607"/>
      <c r="BS76" s="1607"/>
      <c r="BT76" s="1607"/>
      <c r="BU76" s="1607"/>
      <c r="BV76" s="1607"/>
      <c r="BW76" s="1607"/>
      <c r="BX76" s="1607"/>
      <c r="BY76" s="1607"/>
      <c r="BZ76" s="1607"/>
      <c r="CA76" s="1607"/>
      <c r="CB76" s="1607"/>
      <c r="CC76" s="1607"/>
      <c r="CD76" s="1607"/>
      <c r="CE76" s="1607"/>
      <c r="CF76" s="1607"/>
      <c r="CG76" s="1607"/>
      <c r="CH76" s="1607"/>
      <c r="CI76" s="1607"/>
      <c r="CJ76" s="1607"/>
      <c r="CK76" s="1607"/>
      <c r="CL76" s="1607"/>
      <c r="CM76" s="1607"/>
      <c r="CN76" s="1607"/>
      <c r="CO76" s="1607"/>
      <c r="CP76" s="1607"/>
      <c r="CQ76" s="1607"/>
      <c r="CR76" s="1607"/>
      <c r="CS76" s="1607"/>
      <c r="CT76" s="1607"/>
      <c r="CU76" s="1607"/>
      <c r="CV76" s="1607"/>
      <c r="CW76" s="1607"/>
      <c r="CX76" s="1607"/>
      <c r="CY76" s="1607"/>
      <c r="CZ76" s="1607"/>
      <c r="DA76" s="1607"/>
      <c r="DB76" s="1607"/>
      <c r="DC76" s="1607"/>
      <c r="DD76" s="1607"/>
      <c r="DE76" s="1607"/>
      <c r="DF76" s="1607"/>
      <c r="DG76" s="1607"/>
      <c r="DH76" s="1607"/>
      <c r="DI76" s="1607"/>
      <c r="DJ76" s="1607"/>
      <c r="DK76" s="1607"/>
      <c r="DL76" s="1607"/>
      <c r="DM76" s="1607"/>
      <c r="DN76" s="1607"/>
      <c r="DO76" s="1607"/>
      <c r="DP76" s="1607"/>
      <c r="DQ76" s="1607"/>
      <c r="DR76" s="1607"/>
      <c r="DS76" s="1607"/>
      <c r="DT76" s="1607"/>
      <c r="DU76" s="1607"/>
      <c r="DV76" s="1607"/>
      <c r="DW76" s="1607"/>
      <c r="DX76" s="1607"/>
      <c r="DY76" s="1607"/>
      <c r="DZ76" s="1607"/>
      <c r="EA76" s="1607"/>
      <c r="EB76" s="1607"/>
      <c r="EC76" s="1607"/>
      <c r="ED76" s="1607"/>
      <c r="EE76" s="1607"/>
      <c r="EF76" s="1607"/>
      <c r="EG76" s="1607"/>
      <c r="EH76" s="1607"/>
      <c r="EI76" s="1607"/>
      <c r="EJ76" s="1607"/>
      <c r="EK76" s="1607"/>
      <c r="EL76" s="1607"/>
      <c r="EM76" s="1607"/>
      <c r="EN76" s="1607"/>
      <c r="EO76" s="1607"/>
      <c r="EP76" s="1607"/>
      <c r="EQ76" s="1607"/>
      <c r="ER76" s="1607"/>
      <c r="ES76" s="1607"/>
      <c r="ET76" s="1607"/>
      <c r="EU76" s="1607"/>
      <c r="EV76" s="1607"/>
      <c r="EW76" s="1607"/>
      <c r="EX76" s="1607"/>
      <c r="EY76" s="1607"/>
      <c r="EZ76" s="1607"/>
      <c r="FA76" s="1607"/>
      <c r="FB76" s="1607"/>
      <c r="FC76" s="1607"/>
      <c r="FD76" s="1607"/>
      <c r="FE76" s="1607"/>
      <c r="FF76" s="1607"/>
      <c r="FG76" s="1607"/>
      <c r="FH76" s="1607"/>
      <c r="FI76" s="1607"/>
      <c r="FJ76" s="1607"/>
      <c r="FK76" s="1607"/>
      <c r="FL76" s="1607"/>
      <c r="FM76" s="1607"/>
      <c r="FN76" s="1607"/>
      <c r="FO76" s="1607"/>
      <c r="FP76" s="1607"/>
      <c r="FQ76" s="1607"/>
      <c r="FR76" s="1607"/>
      <c r="FS76" s="1607"/>
      <c r="FT76" s="1607"/>
      <c r="FU76" s="1607"/>
      <c r="FV76" s="1607"/>
      <c r="FW76" s="1607"/>
      <c r="FX76" s="1607"/>
      <c r="FY76" s="1607"/>
      <c r="FZ76" s="1607"/>
      <c r="GA76" s="1607"/>
      <c r="GB76" s="1607"/>
      <c r="GC76" s="1607"/>
      <c r="GD76" s="1607"/>
      <c r="GE76" s="1607"/>
      <c r="GF76" s="1607"/>
      <c r="GG76" s="1607"/>
      <c r="GH76" s="1607"/>
      <c r="GI76" s="1607"/>
      <c r="GJ76" s="1607"/>
      <c r="GK76" s="1607"/>
      <c r="GL76" s="1607"/>
      <c r="GM76" s="1607"/>
      <c r="GN76" s="1607"/>
      <c r="GO76" s="1607"/>
      <c r="GP76" s="1607"/>
      <c r="GQ76" s="1607"/>
      <c r="GR76" s="1607"/>
      <c r="GS76" s="1607"/>
      <c r="GT76" s="1607"/>
      <c r="GU76" s="1607"/>
      <c r="GV76" s="1607"/>
      <c r="GW76" s="1607"/>
      <c r="GX76" s="1607"/>
      <c r="GY76" s="1607"/>
      <c r="GZ76" s="1607"/>
      <c r="HA76" s="1607"/>
      <c r="HB76" s="1607"/>
      <c r="HC76" s="1607"/>
      <c r="HD76" s="1607"/>
      <c r="HE76" s="1607"/>
      <c r="HF76" s="1607"/>
      <c r="HG76" s="1607"/>
      <c r="HH76" s="1607"/>
      <c r="HI76" s="1607"/>
      <c r="HJ76" s="1607"/>
      <c r="HK76" s="1607"/>
      <c r="HL76" s="1607"/>
      <c r="HM76" s="1607"/>
      <c r="HN76" s="1607"/>
      <c r="HO76" s="1607"/>
      <c r="HP76" s="1607"/>
      <c r="HQ76" s="1607"/>
      <c r="HR76" s="1607"/>
      <c r="HS76" s="1607"/>
      <c r="HT76" s="1607"/>
      <c r="HU76" s="1607"/>
      <c r="HV76" s="1607"/>
      <c r="HW76" s="1607"/>
      <c r="HX76" s="1607"/>
      <c r="HY76" s="1607"/>
      <c r="HZ76" s="1607"/>
      <c r="IA76" s="1607"/>
      <c r="IB76" s="1607"/>
      <c r="IC76" s="1607"/>
      <c r="ID76" s="1607"/>
      <c r="IE76" s="1607"/>
      <c r="IF76" s="1607"/>
      <c r="IG76" s="1607"/>
      <c r="IH76" s="1607"/>
      <c r="II76" s="1607"/>
      <c r="IJ76" s="1607"/>
      <c r="IK76" s="1607"/>
      <c r="IL76" s="1607"/>
      <c r="IM76" s="1607"/>
      <c r="IN76" s="1607"/>
      <c r="IO76" s="1607"/>
      <c r="IP76" s="1607"/>
      <c r="IQ76" s="1607"/>
      <c r="IR76" s="1607"/>
      <c r="IS76" s="1607"/>
      <c r="IT76" s="1607"/>
      <c r="IU76" s="1607"/>
      <c r="IV76" s="1607"/>
      <c r="IW76" s="1607"/>
      <c r="IX76" s="1607"/>
      <c r="IY76" s="1607"/>
      <c r="IZ76" s="1607"/>
      <c r="JA76" s="1607"/>
      <c r="JB76" s="1607"/>
      <c r="JC76" s="1607"/>
      <c r="JD76" s="1607"/>
      <c r="JE76" s="1607"/>
      <c r="JF76" s="1607"/>
      <c r="JG76" s="1607"/>
      <c r="JH76" s="1607"/>
      <c r="JI76" s="1607"/>
      <c r="JJ76" s="1607"/>
      <c r="JK76" s="1607"/>
      <c r="JL76" s="1607"/>
      <c r="JM76" s="1607"/>
      <c r="JN76" s="1607"/>
      <c r="JO76" s="1607"/>
      <c r="JP76" s="1607"/>
      <c r="JQ76" s="1607"/>
      <c r="JR76" s="1607"/>
      <c r="JS76" s="1607"/>
      <c r="JT76" s="1607"/>
      <c r="JU76" s="1607"/>
      <c r="JV76" s="1607"/>
      <c r="JW76" s="1607"/>
      <c r="JX76" s="1607"/>
      <c r="JY76" s="1607"/>
      <c r="JZ76" s="1607"/>
      <c r="KA76" s="1607"/>
      <c r="KB76" s="1607"/>
      <c r="KC76" s="1607"/>
      <c r="KD76" s="1607"/>
      <c r="KE76" s="1607"/>
      <c r="KF76" s="1607"/>
      <c r="KG76" s="1607"/>
      <c r="KH76" s="1607"/>
      <c r="KI76" s="1607"/>
      <c r="KJ76" s="1607"/>
      <c r="KK76" s="1607"/>
      <c r="KL76" s="1607"/>
      <c r="KM76" s="1607"/>
      <c r="KN76" s="1607"/>
      <c r="KO76" s="1607"/>
      <c r="KP76" s="1607"/>
      <c r="KQ76" s="1607"/>
      <c r="KR76" s="1607"/>
      <c r="KS76" s="1607"/>
      <c r="KT76" s="1607"/>
      <c r="KU76" s="1607"/>
      <c r="KV76" s="1607"/>
      <c r="KW76" s="1607"/>
      <c r="KX76" s="1607"/>
      <c r="KY76" s="1607"/>
      <c r="KZ76" s="1607"/>
      <c r="LA76" s="1607"/>
      <c r="LB76" s="1607"/>
      <c r="LC76" s="1607"/>
      <c r="LD76" s="1607"/>
      <c r="LE76" s="1607"/>
      <c r="LF76" s="1607"/>
      <c r="LG76" s="1607"/>
      <c r="LH76" s="1607"/>
      <c r="LI76" s="1607"/>
      <c r="LJ76" s="1607"/>
      <c r="LK76" s="1607"/>
      <c r="LL76" s="1607"/>
      <c r="LM76" s="1607"/>
      <c r="LN76" s="1607"/>
      <c r="LO76" s="1607"/>
      <c r="LP76" s="1607"/>
      <c r="LQ76" s="1607"/>
      <c r="LR76" s="1607"/>
      <c r="LS76" s="1607"/>
      <c r="LT76" s="1607"/>
      <c r="LU76" s="1607"/>
      <c r="LV76" s="1607"/>
      <c r="LW76" s="1607"/>
      <c r="LX76" s="1607"/>
      <c r="LY76" s="1607"/>
      <c r="LZ76" s="1607"/>
      <c r="MA76" s="1607"/>
      <c r="MB76" s="1607"/>
      <c r="MC76" s="1607"/>
      <c r="MD76" s="1607"/>
      <c r="ME76" s="1607"/>
      <c r="MF76" s="1607"/>
      <c r="MG76" s="1607"/>
      <c r="MH76" s="1607"/>
      <c r="MI76" s="1607"/>
      <c r="MJ76" s="1607"/>
      <c r="MK76" s="1607"/>
      <c r="ML76" s="1607"/>
      <c r="MM76" s="1607"/>
      <c r="MN76" s="1607"/>
      <c r="MO76" s="1607"/>
      <c r="MP76" s="1607"/>
      <c r="MQ76" s="1607"/>
      <c r="MR76" s="1607"/>
      <c r="MS76" s="1607"/>
      <c r="MT76" s="1607"/>
      <c r="MU76" s="1607"/>
      <c r="MV76" s="1607"/>
      <c r="MW76" s="1607"/>
      <c r="MX76" s="1607"/>
      <c r="MY76" s="1607"/>
      <c r="MZ76" s="1607"/>
      <c r="NA76" s="1607"/>
      <c r="NB76" s="1607"/>
      <c r="NC76" s="1607"/>
      <c r="ND76" s="1607"/>
      <c r="NE76" s="1607"/>
      <c r="NF76" s="1607"/>
      <c r="NG76" s="1607"/>
      <c r="NH76" s="1607"/>
      <c r="NI76" s="1607"/>
      <c r="NJ76" s="1607"/>
      <c r="NK76" s="1607"/>
      <c r="NL76" s="1607"/>
      <c r="NM76" s="1607"/>
      <c r="NN76" s="1607"/>
      <c r="NO76" s="1607"/>
      <c r="NP76" s="1607"/>
      <c r="NQ76" s="1607"/>
      <c r="NR76" s="1607"/>
      <c r="NS76" s="1607"/>
      <c r="NT76" s="1607"/>
      <c r="NU76" s="1607"/>
      <c r="NV76" s="1607"/>
      <c r="NW76" s="1607"/>
      <c r="NX76" s="1607"/>
      <c r="NY76" s="1607"/>
      <c r="NZ76" s="1607"/>
      <c r="OA76" s="1607"/>
      <c r="OB76" s="1607"/>
      <c r="OC76" s="1607"/>
      <c r="OD76" s="1607"/>
      <c r="OE76" s="1607"/>
      <c r="OF76" s="1607"/>
      <c r="OG76" s="1607"/>
      <c r="OH76" s="1607"/>
      <c r="OI76" s="1607"/>
      <c r="OJ76" s="1607"/>
      <c r="OK76" s="1607"/>
      <c r="OL76" s="1607"/>
      <c r="OM76" s="1607"/>
      <c r="ON76" s="1607"/>
      <c r="OO76" s="1607"/>
      <c r="OP76" s="1607"/>
      <c r="OQ76" s="1607"/>
      <c r="OR76" s="1607"/>
      <c r="OS76" s="1607"/>
      <c r="OT76" s="1607"/>
      <c r="OU76" s="1607"/>
      <c r="OV76" s="1607"/>
      <c r="OW76" s="1607"/>
      <c r="OX76" s="1607"/>
      <c r="OY76" s="1607"/>
      <c r="OZ76" s="1607"/>
      <c r="PA76" s="1607"/>
      <c r="PB76" s="1607"/>
      <c r="PC76" s="1607"/>
      <c r="PD76" s="1607"/>
      <c r="PE76" s="1607"/>
      <c r="PF76" s="1607"/>
      <c r="PG76" s="1607"/>
      <c r="PH76" s="1607"/>
      <c r="PI76" s="1607"/>
      <c r="PJ76" s="1607"/>
      <c r="PK76" s="1607"/>
      <c r="PL76" s="1607"/>
      <c r="PM76" s="1607"/>
      <c r="PN76" s="1607"/>
      <c r="PO76" s="1607"/>
      <c r="PP76" s="1607"/>
      <c r="PQ76" s="1607"/>
      <c r="PR76" s="1607"/>
      <c r="PS76" s="1607"/>
      <c r="PT76" s="1607"/>
      <c r="PU76" s="1607"/>
      <c r="PV76" s="1607"/>
      <c r="PW76" s="1607"/>
      <c r="PX76" s="1607"/>
      <c r="PY76" s="1607"/>
      <c r="PZ76" s="1607"/>
      <c r="QA76" s="1607"/>
      <c r="QB76" s="1607"/>
      <c r="QC76" s="1607"/>
      <c r="QD76" s="1607"/>
      <c r="QE76" s="1607"/>
      <c r="QF76" s="1607"/>
      <c r="QG76" s="1607"/>
      <c r="QH76" s="1607"/>
      <c r="QI76" s="1607"/>
      <c r="QJ76" s="1607"/>
      <c r="QK76" s="1607"/>
      <c r="QL76" s="1607"/>
      <c r="QM76" s="1607"/>
      <c r="QN76" s="1607"/>
      <c r="QO76" s="1607"/>
      <c r="QP76" s="1607"/>
      <c r="QQ76" s="1607"/>
      <c r="QR76" s="1607"/>
      <c r="QS76" s="1607"/>
      <c r="QT76" s="1607"/>
      <c r="QU76" s="1607"/>
      <c r="QV76" s="1607"/>
      <c r="QW76" s="1607"/>
      <c r="QX76" s="1607"/>
      <c r="QY76" s="1607"/>
      <c r="QZ76" s="1607"/>
      <c r="RA76" s="1607"/>
      <c r="RB76" s="1607"/>
      <c r="RC76" s="1607"/>
      <c r="RD76" s="1607"/>
      <c r="RE76" s="1607"/>
      <c r="RF76" s="1607"/>
      <c r="RG76" s="1607"/>
      <c r="RH76" s="1607"/>
      <c r="RI76" s="1607"/>
      <c r="RJ76" s="1607"/>
      <c r="RK76" s="1607"/>
      <c r="RL76" s="1607"/>
      <c r="RM76" s="1607"/>
      <c r="RN76" s="1607"/>
      <c r="RO76" s="1607"/>
      <c r="RP76" s="1607"/>
      <c r="RQ76" s="1607"/>
      <c r="RR76" s="1607"/>
      <c r="RS76" s="1607"/>
      <c r="RT76" s="1607"/>
      <c r="RU76" s="1607"/>
      <c r="RV76" s="1607"/>
      <c r="RW76" s="1607"/>
      <c r="RX76" s="1607"/>
      <c r="RY76" s="1607"/>
      <c r="RZ76" s="1607"/>
      <c r="SA76" s="1607"/>
      <c r="SB76" s="1607"/>
      <c r="SC76" s="1607"/>
      <c r="SD76" s="1607"/>
      <c r="SE76" s="1607"/>
      <c r="SF76" s="1607"/>
      <c r="SG76" s="1607"/>
      <c r="SH76" s="1607"/>
      <c r="SI76" s="1607"/>
      <c r="SJ76" s="1607"/>
      <c r="SK76" s="1607"/>
      <c r="SL76" s="1607"/>
      <c r="SM76" s="1607"/>
      <c r="SN76" s="1607"/>
      <c r="SO76" s="1607"/>
      <c r="SP76" s="1607"/>
      <c r="SQ76" s="1607"/>
      <c r="SR76" s="1607"/>
      <c r="SS76" s="1607"/>
      <c r="ST76" s="1607"/>
      <c r="SU76" s="1607"/>
      <c r="SV76" s="1607"/>
      <c r="SW76" s="1607"/>
      <c r="SX76" s="1607"/>
      <c r="SY76" s="1607"/>
      <c r="SZ76" s="1607"/>
      <c r="TA76" s="1607"/>
      <c r="TB76" s="1607"/>
      <c r="TC76" s="1607"/>
      <c r="TD76" s="1607"/>
      <c r="TE76" s="1607"/>
      <c r="TF76" s="1607"/>
      <c r="TG76" s="1607"/>
      <c r="TH76" s="1607"/>
      <c r="TI76" s="1607"/>
      <c r="TJ76" s="1607"/>
      <c r="TK76" s="1607"/>
      <c r="TL76" s="1607"/>
      <c r="TM76" s="1607"/>
      <c r="TN76" s="1607"/>
      <c r="TO76" s="1607"/>
      <c r="TP76" s="1607"/>
      <c r="TQ76" s="1607"/>
      <c r="TR76" s="1607"/>
      <c r="TS76" s="1607"/>
      <c r="TT76" s="1607"/>
      <c r="TU76" s="1607"/>
      <c r="TV76" s="1607"/>
      <c r="TW76" s="1607"/>
      <c r="TX76" s="1607"/>
      <c r="TY76" s="1607"/>
      <c r="TZ76" s="1607"/>
      <c r="UA76" s="1607"/>
      <c r="UB76" s="1607"/>
      <c r="UC76" s="1607"/>
      <c r="UD76" s="1607"/>
      <c r="UE76" s="1607"/>
      <c r="UF76" s="1607"/>
      <c r="UG76" s="1607"/>
      <c r="UH76" s="1607"/>
      <c r="UI76" s="1607"/>
      <c r="UJ76" s="1607"/>
      <c r="UK76" s="1607"/>
      <c r="UL76" s="1607"/>
      <c r="UM76" s="1607"/>
      <c r="UN76" s="1607"/>
      <c r="UO76" s="1607"/>
      <c r="UP76" s="1607"/>
      <c r="UQ76" s="1607"/>
      <c r="UR76" s="1607"/>
      <c r="US76" s="1607"/>
      <c r="UT76" s="1607"/>
      <c r="UU76" s="1607"/>
      <c r="UV76" s="1607"/>
      <c r="UW76" s="1607"/>
      <c r="UX76" s="1607"/>
      <c r="UY76" s="1607"/>
      <c r="UZ76" s="1607"/>
      <c r="VA76" s="1607"/>
      <c r="VB76" s="1607"/>
      <c r="VC76" s="1607"/>
      <c r="VD76" s="1607"/>
      <c r="VE76" s="1607"/>
      <c r="VF76" s="1607"/>
      <c r="VG76" s="1607"/>
      <c r="VH76" s="1607"/>
      <c r="VI76" s="1607"/>
      <c r="VJ76" s="1607"/>
      <c r="VK76" s="1607"/>
      <c r="VL76" s="1607"/>
      <c r="VM76" s="1607"/>
      <c r="VN76" s="1607"/>
      <c r="VO76" s="1607"/>
      <c r="VP76" s="1607"/>
      <c r="VQ76" s="1607"/>
      <c r="VR76" s="1607"/>
      <c r="VS76" s="1607"/>
      <c r="VT76" s="1607"/>
      <c r="VU76" s="1607"/>
      <c r="VV76" s="1607"/>
      <c r="VW76" s="1607"/>
      <c r="VX76" s="1607"/>
      <c r="VY76" s="1607"/>
      <c r="VZ76" s="1607"/>
      <c r="WA76" s="1607"/>
      <c r="WB76" s="1607"/>
      <c r="WC76" s="1607"/>
      <c r="WD76" s="1607"/>
      <c r="WE76" s="1607"/>
      <c r="WF76" s="1607"/>
      <c r="WG76" s="1607"/>
      <c r="WH76" s="1607"/>
      <c r="WI76" s="1607"/>
      <c r="WJ76" s="1607"/>
      <c r="WK76" s="1607"/>
      <c r="WL76" s="1607"/>
      <c r="WM76" s="1607"/>
      <c r="WN76" s="1607"/>
      <c r="WO76" s="1607"/>
      <c r="WP76" s="1607"/>
      <c r="WQ76" s="1607"/>
      <c r="WR76" s="1607"/>
      <c r="WS76" s="1607"/>
      <c r="WT76" s="1607"/>
      <c r="WU76" s="1607"/>
      <c r="WV76" s="1607"/>
      <c r="WW76" s="1607"/>
      <c r="WX76" s="1607"/>
      <c r="WY76" s="1607"/>
      <c r="WZ76" s="1607"/>
      <c r="XA76" s="1607"/>
      <c r="XB76" s="1607"/>
      <c r="XC76" s="1607"/>
      <c r="XD76" s="1607"/>
      <c r="XE76" s="1607"/>
      <c r="XF76" s="1607"/>
      <c r="XG76" s="1607"/>
      <c r="XH76" s="1607"/>
      <c r="XI76" s="1607"/>
      <c r="XJ76" s="1607"/>
      <c r="XK76" s="1607"/>
      <c r="XL76" s="1607"/>
      <c r="XM76" s="1607"/>
      <c r="XN76" s="1607"/>
      <c r="XO76" s="1607"/>
      <c r="XP76" s="1607"/>
      <c r="XQ76" s="1607"/>
      <c r="XR76" s="1607"/>
      <c r="XS76" s="1607"/>
      <c r="XT76" s="1607"/>
      <c r="XU76" s="1607"/>
      <c r="XV76" s="1607"/>
      <c r="XW76" s="1607"/>
      <c r="XX76" s="1607"/>
      <c r="XY76" s="1607"/>
      <c r="XZ76" s="1607"/>
      <c r="YA76" s="1607"/>
      <c r="YB76" s="1607"/>
      <c r="YC76" s="1607"/>
      <c r="YD76" s="1607"/>
      <c r="YE76" s="1607"/>
      <c r="YF76" s="1607"/>
      <c r="YG76" s="1607"/>
      <c r="YH76" s="1607"/>
      <c r="YI76" s="1607"/>
      <c r="YJ76" s="1607"/>
      <c r="YK76" s="1607"/>
      <c r="YL76" s="1607"/>
      <c r="YM76" s="1607"/>
      <c r="YN76" s="1607"/>
      <c r="YO76" s="1607"/>
      <c r="YP76" s="1607"/>
      <c r="YQ76" s="1607"/>
      <c r="YR76" s="1607"/>
      <c r="YS76" s="1607"/>
      <c r="YT76" s="1607"/>
      <c r="YU76" s="1607"/>
      <c r="YV76" s="1607"/>
      <c r="YW76" s="1607"/>
      <c r="YX76" s="1607"/>
      <c r="YY76" s="1607"/>
      <c r="YZ76" s="1607"/>
      <c r="ZA76" s="1607"/>
      <c r="ZB76" s="1607"/>
      <c r="ZC76" s="1607"/>
      <c r="ZD76" s="1607"/>
      <c r="ZE76" s="1607"/>
      <c r="ZF76" s="1607"/>
      <c r="ZG76" s="1607"/>
      <c r="ZH76" s="1607"/>
      <c r="ZI76" s="1607"/>
      <c r="ZJ76" s="1607"/>
      <c r="ZK76" s="1607"/>
      <c r="ZL76" s="1607"/>
      <c r="ZM76" s="1607"/>
      <c r="ZN76" s="1607"/>
      <c r="ZO76" s="1607"/>
      <c r="ZP76" s="1607"/>
      <c r="ZQ76" s="1607"/>
      <c r="ZR76" s="1607"/>
      <c r="ZS76" s="1607"/>
      <c r="ZT76" s="1607"/>
      <c r="ZU76" s="1607"/>
      <c r="ZV76" s="1607"/>
      <c r="ZW76" s="1607"/>
      <c r="ZX76" s="1607"/>
      <c r="ZY76" s="1607"/>
      <c r="ZZ76" s="1607"/>
      <c r="AAA76" s="1607"/>
      <c r="AAB76" s="1607"/>
      <c r="AAC76" s="1607"/>
      <c r="AAD76" s="1607"/>
      <c r="AAE76" s="1607"/>
      <c r="AAF76" s="1607"/>
      <c r="AAG76" s="1607"/>
      <c r="AAH76" s="1607"/>
      <c r="AAI76" s="1607"/>
      <c r="AAJ76" s="1607"/>
      <c r="AAK76" s="1607"/>
      <c r="AAL76" s="1607"/>
      <c r="AAM76" s="1607"/>
      <c r="AAN76" s="1607"/>
      <c r="AAO76" s="1607"/>
      <c r="AAP76" s="1607"/>
      <c r="AAQ76" s="1607"/>
      <c r="AAR76" s="1607"/>
      <c r="AAS76" s="1607"/>
      <c r="AAT76" s="1607"/>
      <c r="AAU76" s="1607"/>
      <c r="AAV76" s="1607"/>
      <c r="AAW76" s="1607"/>
      <c r="AAX76" s="1607"/>
      <c r="AAY76" s="1607"/>
      <c r="AAZ76" s="1607"/>
      <c r="ABA76" s="1607"/>
      <c r="ABB76" s="1607"/>
      <c r="ABC76" s="1607"/>
      <c r="ABD76" s="1607"/>
      <c r="ABE76" s="1607"/>
      <c r="ABF76" s="1607"/>
      <c r="ABG76" s="1607"/>
      <c r="ABH76" s="1607"/>
      <c r="ABI76" s="1607"/>
      <c r="ABJ76" s="1607"/>
      <c r="ABK76" s="1607"/>
      <c r="ABL76" s="1607"/>
      <c r="ABM76" s="1607"/>
      <c r="ABN76" s="1607"/>
      <c r="ABO76" s="1607"/>
      <c r="ABP76" s="1607"/>
      <c r="ABQ76" s="1607"/>
      <c r="ABR76" s="1607"/>
      <c r="ABS76" s="1607"/>
      <c r="ABT76" s="1607"/>
      <c r="ABU76" s="1607"/>
      <c r="ABV76" s="1607"/>
      <c r="ABW76" s="1607"/>
      <c r="ABX76" s="1607"/>
      <c r="ABY76" s="1607"/>
      <c r="ABZ76" s="1607"/>
      <c r="ACA76" s="1607"/>
      <c r="ACB76" s="1607"/>
      <c r="ACC76" s="1607"/>
      <c r="ACD76" s="1607"/>
      <c r="ACE76" s="1607"/>
      <c r="ACF76" s="1607"/>
      <c r="ACG76" s="1607"/>
      <c r="ACH76" s="1607"/>
      <c r="ACI76" s="1607"/>
      <c r="ACJ76" s="1607"/>
      <c r="ACK76" s="1607"/>
      <c r="ACL76" s="1607"/>
      <c r="ACM76" s="1607"/>
      <c r="ACN76" s="1607"/>
      <c r="ACO76" s="1607"/>
      <c r="ACP76" s="1607"/>
      <c r="ACQ76" s="1607"/>
      <c r="ACR76" s="1607"/>
      <c r="ACS76" s="1607"/>
      <c r="ACT76" s="1607"/>
      <c r="ACU76" s="1607"/>
      <c r="ACV76" s="1607"/>
      <c r="ACW76" s="1607"/>
      <c r="ACX76" s="1607"/>
      <c r="ACY76" s="1607"/>
      <c r="ACZ76" s="1607"/>
      <c r="ADA76" s="1607"/>
      <c r="ADB76" s="1607"/>
      <c r="ADC76" s="1607"/>
      <c r="ADD76" s="1607"/>
      <c r="ADE76" s="1607"/>
      <c r="ADF76" s="1607"/>
      <c r="ADG76" s="1607"/>
      <c r="ADH76" s="1607"/>
      <c r="ADI76" s="1607"/>
      <c r="ADJ76" s="1607"/>
      <c r="ADK76" s="1607"/>
      <c r="ADL76" s="1607"/>
      <c r="ADM76" s="1607"/>
      <c r="ADN76" s="1607"/>
      <c r="ADO76" s="1607"/>
      <c r="ADP76" s="1607"/>
      <c r="ADQ76" s="1607"/>
      <c r="ADR76" s="1607"/>
      <c r="ADS76" s="1607"/>
      <c r="ADT76" s="1607"/>
      <c r="ADU76" s="1607"/>
      <c r="ADV76" s="1607"/>
      <c r="ADW76" s="1607"/>
      <c r="ADX76" s="1607"/>
      <c r="ADY76" s="1607"/>
      <c r="ADZ76" s="1607"/>
      <c r="AEA76" s="1607"/>
      <c r="AEB76" s="1607"/>
      <c r="AEC76" s="1607"/>
      <c r="AED76" s="1607"/>
      <c r="AEE76" s="1607"/>
      <c r="AEF76" s="1607"/>
      <c r="AEG76" s="1607"/>
      <c r="AEH76" s="1607"/>
      <c r="AEI76" s="1607"/>
      <c r="AEJ76" s="1607"/>
      <c r="AEK76" s="1607"/>
      <c r="AEL76" s="1607"/>
      <c r="AEM76" s="1607"/>
      <c r="AEN76" s="1607"/>
      <c r="AEO76" s="1607"/>
      <c r="AEP76" s="1607"/>
      <c r="AEQ76" s="1607"/>
      <c r="AER76" s="1607"/>
      <c r="AES76" s="1607"/>
      <c r="AET76" s="1607"/>
      <c r="AEU76" s="1607"/>
      <c r="AEV76" s="1607"/>
      <c r="AEW76" s="1607"/>
      <c r="AEX76" s="1607"/>
      <c r="AEY76" s="1607"/>
      <c r="AEZ76" s="1607"/>
      <c r="AFA76" s="1607"/>
      <c r="AFB76" s="1607"/>
      <c r="AFC76" s="1607"/>
      <c r="AFD76" s="1607"/>
      <c r="AFE76" s="1607"/>
      <c r="AFF76" s="1607"/>
      <c r="AFG76" s="1607"/>
      <c r="AFH76" s="1607"/>
      <c r="AFI76" s="1607"/>
      <c r="AFJ76" s="1607"/>
      <c r="AFK76" s="1607"/>
      <c r="AFL76" s="1607"/>
      <c r="AFM76" s="1607"/>
      <c r="AFN76" s="1607"/>
      <c r="AFO76" s="1607"/>
      <c r="AFP76" s="1607"/>
      <c r="AFQ76" s="1607"/>
      <c r="AFR76" s="1607"/>
      <c r="AFS76" s="1607"/>
      <c r="AFT76" s="1607"/>
      <c r="AFU76" s="1607"/>
      <c r="AFV76" s="1607"/>
      <c r="AFW76" s="1607"/>
      <c r="AFX76" s="1607"/>
      <c r="AFY76" s="1607"/>
      <c r="AFZ76" s="1607"/>
      <c r="AGA76" s="1607"/>
      <c r="AGB76" s="1607"/>
      <c r="AGC76" s="1607"/>
      <c r="AGD76" s="1607"/>
      <c r="AGE76" s="1607"/>
      <c r="AGF76" s="1607"/>
      <c r="AGG76" s="1607"/>
      <c r="AGH76" s="1607"/>
      <c r="AGI76" s="1607"/>
      <c r="AGJ76" s="1607"/>
      <c r="AGK76" s="1607"/>
      <c r="AGL76" s="1607"/>
      <c r="AGM76" s="1607"/>
      <c r="AGN76" s="1607"/>
      <c r="AGO76" s="1607"/>
      <c r="AGP76" s="1607"/>
      <c r="AGQ76" s="1607"/>
      <c r="AGR76" s="1607"/>
      <c r="AGS76" s="1607"/>
      <c r="AGT76" s="1607"/>
      <c r="AGU76" s="1607"/>
      <c r="AGV76" s="1607"/>
      <c r="AGW76" s="1607"/>
      <c r="AGX76" s="1607"/>
      <c r="AGY76" s="1607"/>
      <c r="AGZ76" s="1607"/>
      <c r="AHA76" s="1607"/>
      <c r="AHB76" s="1607"/>
      <c r="AHC76" s="1607"/>
      <c r="AHD76" s="1607"/>
      <c r="AHE76" s="1607"/>
      <c r="AHF76" s="1607"/>
      <c r="AHG76" s="1607"/>
      <c r="AHH76" s="1607"/>
      <c r="AHI76" s="1607"/>
      <c r="AHJ76" s="1607"/>
      <c r="AHK76" s="1607"/>
      <c r="AHL76" s="1607"/>
      <c r="AHM76" s="1607"/>
      <c r="AHN76" s="1607"/>
      <c r="AHO76" s="1607"/>
      <c r="AHP76" s="1607"/>
      <c r="AHQ76" s="1607"/>
      <c r="AHR76" s="1607"/>
      <c r="AHS76" s="1607"/>
      <c r="AHT76" s="1607"/>
      <c r="AHU76" s="1607"/>
      <c r="AHV76" s="1607"/>
      <c r="AHW76" s="1607"/>
      <c r="AHX76" s="1607"/>
      <c r="AHY76" s="1607"/>
      <c r="AHZ76" s="1607"/>
      <c r="AIA76" s="1607"/>
      <c r="AIB76" s="1607"/>
      <c r="AIC76" s="1607"/>
      <c r="AID76" s="1607"/>
      <c r="AIE76" s="1607"/>
      <c r="AIF76" s="1607"/>
      <c r="AIG76" s="1607"/>
      <c r="AIH76" s="1607"/>
      <c r="AII76" s="1607"/>
      <c r="AIJ76" s="1607"/>
      <c r="AIK76" s="1607"/>
      <c r="AIL76" s="1607"/>
      <c r="AIM76" s="1607"/>
      <c r="AIN76" s="1607"/>
      <c r="AIO76" s="1607"/>
      <c r="AIP76" s="1607"/>
      <c r="AIQ76" s="1607"/>
      <c r="AIR76" s="1607"/>
      <c r="AIS76" s="1607"/>
      <c r="AIT76" s="1607"/>
      <c r="AIU76" s="1607"/>
      <c r="AIV76" s="1607"/>
      <c r="AIW76" s="1607"/>
      <c r="AIX76" s="1607"/>
      <c r="AIY76" s="1607"/>
      <c r="AIZ76" s="1607"/>
      <c r="AJA76" s="1607"/>
      <c r="AJB76" s="1607"/>
      <c r="AJC76" s="1607"/>
      <c r="AJD76" s="1607"/>
      <c r="AJE76" s="1607"/>
      <c r="AJF76" s="1607"/>
      <c r="AJG76" s="1607"/>
      <c r="AJH76" s="1607"/>
      <c r="AJI76" s="1607"/>
      <c r="AJJ76" s="1607"/>
      <c r="AJK76" s="1607"/>
      <c r="AJL76" s="1607"/>
      <c r="AJM76" s="1607"/>
      <c r="AJN76" s="1607"/>
      <c r="AJO76" s="1607"/>
      <c r="AJP76" s="1607"/>
      <c r="AJQ76" s="1607"/>
      <c r="AJR76" s="1607"/>
      <c r="AJS76" s="1607"/>
      <c r="AJT76" s="1607"/>
      <c r="AJU76" s="1607"/>
      <c r="AJV76" s="1607"/>
      <c r="AJW76" s="1607"/>
      <c r="AJX76" s="1607"/>
      <c r="AJY76" s="1607"/>
      <c r="AJZ76" s="1607"/>
      <c r="AKA76" s="1607"/>
      <c r="AKB76" s="1607"/>
      <c r="AKC76" s="1607"/>
      <c r="AKD76" s="1607"/>
      <c r="AKE76" s="1607"/>
      <c r="AKF76" s="1607"/>
      <c r="AKG76" s="1607"/>
      <c r="AKH76" s="1607"/>
      <c r="AKI76" s="1607"/>
      <c r="AKJ76" s="1607"/>
      <c r="AKK76" s="1607"/>
      <c r="AKL76" s="1607"/>
      <c r="AKM76" s="1607"/>
      <c r="AKN76" s="1607"/>
      <c r="AKO76" s="1607"/>
      <c r="AKP76" s="1607"/>
      <c r="AKQ76" s="1607"/>
      <c r="AKR76" s="1607"/>
      <c r="AKS76" s="1607"/>
      <c r="AKT76" s="1607"/>
      <c r="AKU76" s="1607"/>
      <c r="AKV76" s="1607"/>
      <c r="AKW76" s="1607"/>
      <c r="AKX76" s="1607"/>
      <c r="AKY76" s="1607"/>
      <c r="AKZ76" s="1607"/>
      <c r="ALA76" s="1607"/>
      <c r="ALB76" s="1607"/>
      <c r="ALC76" s="1607"/>
      <c r="ALD76" s="1607"/>
      <c r="ALE76" s="1607"/>
      <c r="ALF76" s="1607"/>
      <c r="ALG76" s="1607"/>
      <c r="ALH76" s="1607"/>
      <c r="ALI76" s="1607"/>
      <c r="ALJ76" s="1607"/>
      <c r="ALK76" s="1607"/>
      <c r="ALL76" s="1607"/>
      <c r="ALM76" s="1607"/>
      <c r="ALN76" s="1607"/>
      <c r="ALO76" s="1607"/>
      <c r="ALP76" s="1607"/>
      <c r="ALQ76" s="1607"/>
      <c r="ALR76" s="1607"/>
      <c r="ALS76" s="1607"/>
      <c r="ALT76" s="1607"/>
      <c r="ALU76" s="1607"/>
      <c r="ALV76" s="1607"/>
      <c r="ALW76" s="1607"/>
      <c r="ALX76" s="1607"/>
      <c r="ALY76" s="1607"/>
      <c r="ALZ76" s="1607"/>
      <c r="AMA76" s="1607"/>
      <c r="AMB76" s="1607"/>
      <c r="AMC76" s="1607"/>
      <c r="AMD76" s="1607"/>
      <c r="AME76" s="1607"/>
      <c r="AMF76" s="1607"/>
      <c r="AMG76" s="1607"/>
      <c r="AMH76" s="1607"/>
      <c r="AMI76" s="1607"/>
      <c r="AMJ76" s="1607"/>
      <c r="AMK76" s="1607"/>
      <c r="AML76" s="1607"/>
      <c r="AMM76" s="1607"/>
      <c r="AMN76" s="1607"/>
      <c r="AMO76" s="1607"/>
      <c r="AMP76" s="1607"/>
      <c r="AMQ76" s="1607"/>
      <c r="AMR76" s="1607"/>
      <c r="AMS76" s="1607"/>
      <c r="AMT76" s="1607"/>
      <c r="AMU76" s="1607"/>
      <c r="AMV76" s="1607"/>
      <c r="AMW76" s="1607"/>
      <c r="AMX76" s="1607"/>
      <c r="AMY76" s="1607"/>
      <c r="AMZ76" s="1607"/>
      <c r="ANA76" s="1607"/>
      <c r="ANB76" s="1607"/>
      <c r="ANC76" s="1607"/>
      <c r="AND76" s="1607"/>
      <c r="ANE76" s="1607"/>
      <c r="ANF76" s="1607"/>
      <c r="ANG76" s="1607"/>
      <c r="ANH76" s="1607"/>
      <c r="ANI76" s="1607"/>
      <c r="ANJ76" s="1607"/>
      <c r="ANK76" s="1607"/>
      <c r="ANL76" s="1607"/>
      <c r="ANM76" s="1607"/>
      <c r="ANN76" s="1607"/>
      <c r="ANO76" s="1607"/>
      <c r="ANP76" s="1607"/>
      <c r="ANQ76" s="1607"/>
      <c r="ANR76" s="1607"/>
      <c r="ANS76" s="1607"/>
      <c r="ANT76" s="1607"/>
      <c r="ANU76" s="1607"/>
      <c r="ANV76" s="1607"/>
      <c r="ANW76" s="1607"/>
      <c r="ANX76" s="1607"/>
      <c r="ANY76" s="1607"/>
      <c r="ANZ76" s="1607"/>
      <c r="AOA76" s="1607"/>
      <c r="AOB76" s="1607"/>
      <c r="AOC76" s="1607"/>
      <c r="AOD76" s="1607"/>
      <c r="AOE76" s="1607"/>
      <c r="AOF76" s="1607"/>
      <c r="AOG76" s="1607"/>
      <c r="AOH76" s="1607"/>
      <c r="AOI76" s="1607"/>
      <c r="AOJ76" s="1607"/>
      <c r="AOK76" s="1607"/>
      <c r="AOL76" s="1607"/>
      <c r="AOM76" s="1607"/>
      <c r="AON76" s="1607"/>
      <c r="AOO76" s="1607"/>
      <c r="AOP76" s="1607"/>
      <c r="AOQ76" s="1607"/>
      <c r="AOR76" s="1607"/>
      <c r="AOS76" s="1607"/>
      <c r="AOT76" s="1607"/>
      <c r="AOU76" s="1607"/>
      <c r="AOV76" s="1607"/>
      <c r="AOW76" s="1607"/>
      <c r="AOX76" s="1607"/>
      <c r="AOY76" s="1607"/>
      <c r="AOZ76" s="1607"/>
      <c r="APA76" s="1607"/>
      <c r="APB76" s="1607"/>
      <c r="APC76" s="1607"/>
      <c r="APD76" s="1607"/>
      <c r="APE76" s="1607"/>
      <c r="APF76" s="1607"/>
      <c r="APG76" s="1607"/>
      <c r="APH76" s="1607"/>
      <c r="API76" s="1607"/>
      <c r="APJ76" s="1607"/>
      <c r="APK76" s="1607"/>
      <c r="APL76" s="1607"/>
      <c r="APM76" s="1607"/>
      <c r="APN76" s="1607"/>
      <c r="APO76" s="1607"/>
      <c r="APP76" s="1607"/>
      <c r="APQ76" s="1607"/>
      <c r="APR76" s="1607"/>
      <c r="APS76" s="1607"/>
      <c r="APT76" s="1607"/>
      <c r="APU76" s="1607"/>
      <c r="APV76" s="1607"/>
      <c r="APW76" s="1607"/>
      <c r="APX76" s="1607"/>
      <c r="APY76" s="1607"/>
      <c r="APZ76" s="1607"/>
      <c r="AQA76" s="1607"/>
      <c r="AQB76" s="1607"/>
      <c r="AQC76" s="1607"/>
      <c r="AQD76" s="1607"/>
      <c r="AQE76" s="1607"/>
      <c r="AQF76" s="1607"/>
      <c r="AQG76" s="1607"/>
      <c r="AQH76" s="1607"/>
      <c r="AQI76" s="1607"/>
      <c r="AQJ76" s="1607"/>
      <c r="AQK76" s="1607"/>
      <c r="AQL76" s="1607"/>
      <c r="AQM76" s="1607"/>
      <c r="AQN76" s="1607"/>
      <c r="AQO76" s="1607"/>
      <c r="AQP76" s="1607"/>
      <c r="AQQ76" s="1607"/>
      <c r="AQR76" s="1607"/>
      <c r="AQS76" s="1607"/>
      <c r="AQT76" s="1607"/>
      <c r="AQU76" s="1607"/>
      <c r="AQV76" s="1607"/>
      <c r="AQW76" s="1607"/>
      <c r="AQX76" s="1607"/>
      <c r="AQY76" s="1607"/>
      <c r="AQZ76" s="1607"/>
      <c r="ARA76" s="1607"/>
      <c r="ARB76" s="1607"/>
      <c r="ARC76" s="1607"/>
      <c r="ARD76" s="1607"/>
      <c r="ARE76" s="1607"/>
      <c r="ARF76" s="1607"/>
      <c r="ARG76" s="1607"/>
      <c r="ARH76" s="1607"/>
      <c r="ARI76" s="1607"/>
      <c r="ARJ76" s="1607"/>
      <c r="ARK76" s="1607"/>
      <c r="ARL76" s="1607"/>
      <c r="ARM76" s="1607"/>
      <c r="ARN76" s="1607"/>
      <c r="ARO76" s="1607"/>
      <c r="ARP76" s="1607"/>
      <c r="ARQ76" s="1607"/>
      <c r="ARR76" s="1607"/>
      <c r="ARS76" s="1607"/>
      <c r="ART76" s="1607"/>
      <c r="ARU76" s="1607"/>
      <c r="ARV76" s="1607"/>
      <c r="ARW76" s="1607"/>
      <c r="ARX76" s="1607"/>
      <c r="ARY76" s="1607"/>
      <c r="ARZ76" s="1607"/>
      <c r="ASA76" s="1607"/>
      <c r="ASB76" s="1607"/>
      <c r="ASC76" s="1607"/>
      <c r="ASD76" s="1607"/>
      <c r="ASE76" s="1607"/>
      <c r="ASF76" s="1607"/>
      <c r="ASG76" s="1607"/>
      <c r="ASH76" s="1607"/>
      <c r="ASI76" s="1607"/>
      <c r="ASJ76" s="1607"/>
      <c r="ASK76" s="1607"/>
      <c r="ASL76" s="1607"/>
      <c r="ASM76" s="1607"/>
      <c r="ASN76" s="1607"/>
      <c r="ASO76" s="1607"/>
      <c r="ASP76" s="1607"/>
      <c r="ASQ76" s="1607"/>
      <c r="ASR76" s="1607"/>
      <c r="ASS76" s="1607"/>
      <c r="AST76" s="1607"/>
      <c r="ASU76" s="1607"/>
      <c r="ASV76" s="1607"/>
      <c r="ASW76" s="1607"/>
      <c r="ASX76" s="1607"/>
      <c r="ASY76" s="1607"/>
      <c r="ASZ76" s="1607"/>
      <c r="ATA76" s="1607"/>
      <c r="ATB76" s="1607"/>
      <c r="ATC76" s="1607"/>
      <c r="ATD76" s="1607"/>
      <c r="ATE76" s="1607"/>
      <c r="ATF76" s="1607"/>
      <c r="ATG76" s="1607"/>
      <c r="ATH76" s="1607"/>
      <c r="ATI76" s="1607"/>
      <c r="ATJ76" s="1607"/>
      <c r="ATK76" s="1607"/>
      <c r="ATL76" s="1607"/>
      <c r="ATM76" s="1607"/>
      <c r="ATN76" s="1607"/>
      <c r="ATO76" s="1607"/>
      <c r="ATP76" s="1607"/>
      <c r="ATQ76" s="1607"/>
      <c r="ATR76" s="1607"/>
      <c r="ATS76" s="1607"/>
      <c r="ATT76" s="1607"/>
      <c r="ATU76" s="1607"/>
      <c r="ATV76" s="1607"/>
      <c r="ATW76" s="1607"/>
      <c r="ATX76" s="1607"/>
      <c r="ATY76" s="1607"/>
      <c r="ATZ76" s="1607"/>
      <c r="AUA76" s="1607"/>
      <c r="AUB76" s="1607"/>
      <c r="AUC76" s="1607"/>
      <c r="AUD76" s="1607"/>
      <c r="AUE76" s="1607"/>
      <c r="AUF76" s="1607"/>
      <c r="AUG76" s="1607"/>
      <c r="AUH76" s="1607"/>
      <c r="AUI76" s="1607"/>
      <c r="AUJ76" s="1607"/>
      <c r="AUK76" s="1607"/>
      <c r="AUL76" s="1607"/>
      <c r="AUM76" s="1607"/>
      <c r="AUN76" s="1607"/>
      <c r="AUO76" s="1607"/>
      <c r="AUP76" s="1607"/>
      <c r="AUQ76" s="1607"/>
      <c r="AUR76" s="1607"/>
      <c r="AUS76" s="1607"/>
      <c r="AUT76" s="1607"/>
      <c r="AUU76" s="1607"/>
      <c r="AUV76" s="1607"/>
      <c r="AUW76" s="1607"/>
      <c r="AUX76" s="1607"/>
      <c r="AUY76" s="1607"/>
      <c r="AUZ76" s="1607"/>
      <c r="AVA76" s="1607"/>
      <c r="AVB76" s="1607"/>
      <c r="AVC76" s="1607"/>
      <c r="AVD76" s="1607"/>
      <c r="AVE76" s="1607"/>
      <c r="AVF76" s="1607"/>
      <c r="AVG76" s="1607"/>
      <c r="AVH76" s="1607"/>
      <c r="AVI76" s="1607"/>
      <c r="AVJ76" s="1607"/>
      <c r="AVK76" s="1607"/>
      <c r="AVL76" s="1607"/>
      <c r="AVM76" s="1607"/>
      <c r="AVN76" s="1607"/>
      <c r="AVO76" s="1607"/>
      <c r="AVP76" s="1607"/>
      <c r="AVQ76" s="1607"/>
      <c r="AVR76" s="1607"/>
      <c r="AVS76" s="1607"/>
      <c r="AVT76" s="1607"/>
      <c r="AVU76" s="1607"/>
      <c r="AVV76" s="1607"/>
      <c r="AVW76" s="1607"/>
      <c r="AVX76" s="1607"/>
      <c r="AVY76" s="1607"/>
      <c r="AVZ76" s="1607"/>
      <c r="AWA76" s="1607"/>
      <c r="AWB76" s="1607"/>
      <c r="AWC76" s="1607"/>
      <c r="AWD76" s="1607"/>
      <c r="AWE76" s="1607"/>
      <c r="AWF76" s="1607"/>
      <c r="AWG76" s="1607"/>
      <c r="AWH76" s="1607"/>
      <c r="AWI76" s="1607"/>
      <c r="AWJ76" s="1607"/>
      <c r="AWK76" s="1607"/>
      <c r="AWL76" s="1607"/>
      <c r="AWM76" s="1607"/>
      <c r="AWN76" s="1607"/>
      <c r="AWO76" s="1607"/>
      <c r="AWP76" s="1607"/>
      <c r="AWQ76" s="1607"/>
      <c r="AWR76" s="1607"/>
      <c r="AWS76" s="1607"/>
      <c r="AWT76" s="1607"/>
      <c r="AWU76" s="1607"/>
      <c r="AWV76" s="1607"/>
      <c r="AWW76" s="1607"/>
      <c r="AWX76" s="1607"/>
      <c r="AWY76" s="1607"/>
      <c r="AWZ76" s="1607"/>
      <c r="AXA76" s="1607"/>
      <c r="AXB76" s="1607"/>
      <c r="AXC76" s="1607"/>
      <c r="AXD76" s="1607"/>
      <c r="AXE76" s="1607"/>
      <c r="AXF76" s="1607"/>
      <c r="AXG76" s="1607"/>
      <c r="AXH76" s="1607"/>
      <c r="AXI76" s="1607"/>
      <c r="AXJ76" s="1607"/>
      <c r="AXK76" s="1607"/>
      <c r="AXL76" s="1607"/>
      <c r="AXM76" s="1607"/>
      <c r="AXN76" s="1607"/>
      <c r="AXO76" s="1607"/>
      <c r="AXP76" s="1607"/>
      <c r="AXQ76" s="1607"/>
      <c r="AXR76" s="1607"/>
      <c r="AXS76" s="1607"/>
      <c r="AXT76" s="1607"/>
      <c r="AXU76" s="1607"/>
      <c r="AXV76" s="1607"/>
      <c r="AXW76" s="1607"/>
      <c r="AXX76" s="1607"/>
      <c r="AXY76" s="1607"/>
      <c r="AXZ76" s="1607"/>
      <c r="AYA76" s="1607"/>
      <c r="AYB76" s="1607"/>
      <c r="AYC76" s="1607"/>
      <c r="AYD76" s="1607"/>
      <c r="AYE76" s="1607"/>
      <c r="AYF76" s="1607"/>
      <c r="AYG76" s="1607"/>
      <c r="AYH76" s="1607"/>
      <c r="AYI76" s="1607"/>
      <c r="AYJ76" s="1607"/>
      <c r="AYK76" s="1607"/>
      <c r="AYL76" s="1607"/>
      <c r="AYM76" s="1607"/>
      <c r="AYN76" s="1607"/>
      <c r="AYO76" s="1607"/>
      <c r="AYP76" s="1607"/>
      <c r="AYQ76" s="1607"/>
      <c r="AYR76" s="1607"/>
      <c r="AYS76" s="1607"/>
      <c r="AYT76" s="1607"/>
      <c r="AYU76" s="1607"/>
      <c r="AYV76" s="1607"/>
      <c r="AYW76" s="1607"/>
      <c r="AYX76" s="1607"/>
      <c r="AYY76" s="1607"/>
      <c r="AYZ76" s="1607"/>
      <c r="AZA76" s="1607"/>
      <c r="AZB76" s="1607"/>
      <c r="AZC76" s="1607"/>
      <c r="AZD76" s="1607"/>
      <c r="AZE76" s="1607"/>
      <c r="AZF76" s="1607"/>
      <c r="AZG76" s="1607"/>
      <c r="AZH76" s="1607"/>
      <c r="AZI76" s="1607"/>
      <c r="AZJ76" s="1607"/>
      <c r="AZK76" s="1607"/>
      <c r="AZL76" s="1607"/>
      <c r="AZM76" s="1607"/>
      <c r="AZN76" s="1607"/>
      <c r="AZO76" s="1607"/>
      <c r="AZP76" s="1607"/>
      <c r="AZQ76" s="1607"/>
      <c r="AZR76" s="1607"/>
      <c r="AZS76" s="1607"/>
      <c r="AZT76" s="1607"/>
      <c r="AZU76" s="1607"/>
      <c r="AZV76" s="1607"/>
      <c r="AZW76" s="1607"/>
      <c r="AZX76" s="1607"/>
      <c r="AZY76" s="1607"/>
      <c r="AZZ76" s="1607"/>
      <c r="BAA76" s="1607"/>
      <c r="BAB76" s="1607"/>
      <c r="BAC76" s="1607"/>
      <c r="BAD76" s="1607"/>
      <c r="BAE76" s="1607"/>
      <c r="BAF76" s="1607"/>
      <c r="BAG76" s="1607"/>
      <c r="BAH76" s="1607"/>
      <c r="BAI76" s="1607"/>
      <c r="BAJ76" s="1607"/>
      <c r="BAK76" s="1607"/>
      <c r="BAL76" s="1607"/>
      <c r="BAM76" s="1607"/>
      <c r="BAN76" s="1607"/>
      <c r="BAO76" s="1607"/>
      <c r="BAP76" s="1607"/>
      <c r="BAQ76" s="1607"/>
      <c r="BAR76" s="1607"/>
      <c r="BAS76" s="1607"/>
      <c r="BAT76" s="1607"/>
      <c r="BAU76" s="1607"/>
      <c r="BAV76" s="1607"/>
      <c r="BAW76" s="1607"/>
      <c r="BAX76" s="1607"/>
      <c r="BAY76" s="1607"/>
      <c r="BAZ76" s="1607"/>
      <c r="BBA76" s="1607"/>
      <c r="BBB76" s="1607"/>
      <c r="BBC76" s="1607"/>
      <c r="BBD76" s="1607"/>
      <c r="BBE76" s="1607"/>
      <c r="BBF76" s="1607"/>
      <c r="BBG76" s="1607"/>
      <c r="BBH76" s="1607"/>
      <c r="BBI76" s="1607"/>
      <c r="BBJ76" s="1607"/>
      <c r="BBK76" s="1607"/>
      <c r="BBL76" s="1607"/>
      <c r="BBM76" s="1607"/>
      <c r="BBN76" s="1607"/>
      <c r="BBO76" s="1607"/>
      <c r="BBP76" s="1607"/>
      <c r="BBQ76" s="1607"/>
      <c r="BBR76" s="1607"/>
      <c r="BBS76" s="1607"/>
      <c r="BBT76" s="1607"/>
      <c r="BBU76" s="1607"/>
      <c r="BBV76" s="1607"/>
      <c r="BBW76" s="1607"/>
      <c r="BBX76" s="1607"/>
      <c r="BBY76" s="1607"/>
      <c r="BBZ76" s="1607"/>
      <c r="BCA76" s="1607"/>
      <c r="BCB76" s="1607"/>
      <c r="BCC76" s="1607"/>
      <c r="BCD76" s="1607"/>
      <c r="BCE76" s="1607"/>
      <c r="BCF76" s="1607"/>
      <c r="BCG76" s="1607"/>
      <c r="BCH76" s="1607"/>
      <c r="BCI76" s="1607"/>
      <c r="BCJ76" s="1607"/>
      <c r="BCK76" s="1607"/>
      <c r="BCL76" s="1607"/>
      <c r="BCM76" s="1607"/>
      <c r="BCN76" s="1607"/>
      <c r="BCO76" s="1607"/>
      <c r="BCP76" s="1607"/>
      <c r="BCQ76" s="1607"/>
      <c r="BCR76" s="1607"/>
      <c r="BCS76" s="1607"/>
      <c r="BCT76" s="1607"/>
      <c r="BCU76" s="1607"/>
      <c r="BCV76" s="1607"/>
      <c r="BCW76" s="1607"/>
      <c r="BCX76" s="1607"/>
      <c r="BCY76" s="1607"/>
      <c r="BCZ76" s="1607"/>
      <c r="BDA76" s="1607"/>
      <c r="BDB76" s="1607"/>
      <c r="BDC76" s="1607"/>
      <c r="BDD76" s="1607"/>
      <c r="BDE76" s="1607"/>
      <c r="BDF76" s="1607"/>
      <c r="BDG76" s="1607"/>
      <c r="BDH76" s="1607"/>
      <c r="BDI76" s="1607"/>
      <c r="BDJ76" s="1607"/>
      <c r="BDK76" s="1607"/>
      <c r="BDL76" s="1607"/>
      <c r="BDM76" s="1607"/>
      <c r="BDN76" s="1607"/>
      <c r="BDO76" s="1607"/>
      <c r="BDP76" s="1607"/>
      <c r="BDQ76" s="1607"/>
      <c r="BDR76" s="1607"/>
      <c r="BDS76" s="1607"/>
      <c r="BDT76" s="1607"/>
      <c r="BDU76" s="1607"/>
      <c r="BDV76" s="1607"/>
      <c r="BDW76" s="1607"/>
      <c r="BDX76" s="1607"/>
      <c r="BDY76" s="1607"/>
      <c r="BDZ76" s="1607"/>
      <c r="BEA76" s="1607"/>
      <c r="BEB76" s="1607"/>
      <c r="BEC76" s="1607"/>
      <c r="BED76" s="1607"/>
      <c r="BEE76" s="1607"/>
      <c r="BEF76" s="1607"/>
      <c r="BEG76" s="1607"/>
      <c r="BEH76" s="1607"/>
      <c r="BEI76" s="1607"/>
      <c r="BEJ76" s="1607"/>
      <c r="BEK76" s="1607"/>
      <c r="BEL76" s="1607"/>
      <c r="BEM76" s="1607"/>
      <c r="BEN76" s="1607"/>
      <c r="BEO76" s="1607"/>
      <c r="BEP76" s="1607"/>
      <c r="BEQ76" s="1607"/>
      <c r="BER76" s="1607"/>
      <c r="BES76" s="1607"/>
      <c r="BET76" s="1607"/>
      <c r="BEU76" s="1607"/>
      <c r="BEV76" s="1607"/>
      <c r="BEW76" s="1607"/>
      <c r="BEX76" s="1607"/>
      <c r="BEY76" s="1607"/>
      <c r="BEZ76" s="1607"/>
      <c r="BFA76" s="1607"/>
      <c r="BFB76" s="1607"/>
      <c r="BFC76" s="1607"/>
      <c r="BFD76" s="1607"/>
      <c r="BFE76" s="1607"/>
      <c r="BFF76" s="1607"/>
      <c r="BFG76" s="1607"/>
      <c r="BFH76" s="1607"/>
      <c r="BFI76" s="1607"/>
      <c r="BFJ76" s="1607"/>
      <c r="BFK76" s="1607"/>
      <c r="BFL76" s="1607"/>
      <c r="BFM76" s="1607"/>
      <c r="BFN76" s="1607"/>
      <c r="BFO76" s="1607"/>
      <c r="BFP76" s="1607"/>
      <c r="BFQ76" s="1607"/>
      <c r="BFR76" s="1607"/>
      <c r="BFS76" s="1607"/>
      <c r="BFT76" s="1607"/>
      <c r="BFU76" s="1607"/>
      <c r="BFV76" s="1607"/>
      <c r="BFW76" s="1607"/>
      <c r="BFX76" s="1607"/>
      <c r="BFY76" s="1607"/>
      <c r="BFZ76" s="1607"/>
      <c r="BGA76" s="1607"/>
      <c r="BGB76" s="1607"/>
      <c r="BGC76" s="1607"/>
      <c r="BGD76" s="1607"/>
      <c r="BGE76" s="1607"/>
      <c r="BGF76" s="1607"/>
      <c r="BGG76" s="1607"/>
      <c r="BGH76" s="1607"/>
      <c r="BGI76" s="1607"/>
      <c r="BGJ76" s="1607"/>
      <c r="BGK76" s="1607"/>
      <c r="BGL76" s="1607"/>
      <c r="BGM76" s="1607"/>
      <c r="BGN76" s="1607"/>
      <c r="BGO76" s="1607"/>
      <c r="BGP76" s="1607"/>
      <c r="BGQ76" s="1607"/>
      <c r="BGR76" s="1607"/>
      <c r="BGS76" s="1607"/>
      <c r="BGT76" s="1607"/>
      <c r="BGU76" s="1607"/>
      <c r="BGV76" s="1607"/>
      <c r="BGW76" s="1607"/>
      <c r="BGX76" s="1607"/>
      <c r="BGY76" s="1607"/>
      <c r="BGZ76" s="1607"/>
      <c r="BHA76" s="1607"/>
      <c r="BHB76" s="1607"/>
      <c r="BHC76" s="1607"/>
      <c r="BHD76" s="1607"/>
      <c r="BHE76" s="1607"/>
      <c r="BHF76" s="1607"/>
      <c r="BHG76" s="1607"/>
      <c r="BHH76" s="1607"/>
      <c r="BHI76" s="1607"/>
      <c r="BHJ76" s="1607"/>
      <c r="BHK76" s="1607"/>
      <c r="BHL76" s="1607"/>
      <c r="BHM76" s="1607"/>
      <c r="BHN76" s="1607"/>
      <c r="BHO76" s="1607"/>
      <c r="BHP76" s="1607"/>
      <c r="BHQ76" s="1607"/>
      <c r="BHR76" s="1607"/>
      <c r="BHS76" s="1607"/>
      <c r="BHT76" s="1607"/>
      <c r="BHU76" s="1607"/>
      <c r="BHV76" s="1607"/>
      <c r="BHW76" s="1607"/>
      <c r="BHX76" s="1607"/>
      <c r="BHY76" s="1607"/>
      <c r="BHZ76" s="1607"/>
      <c r="BIA76" s="1607"/>
      <c r="BIB76" s="1607"/>
      <c r="BIC76" s="1607"/>
      <c r="BID76" s="1607"/>
      <c r="BIE76" s="1607"/>
      <c r="BIF76" s="1607"/>
      <c r="BIG76" s="1607"/>
      <c r="BIH76" s="1607"/>
      <c r="BII76" s="1607"/>
      <c r="BIJ76" s="1607"/>
      <c r="BIK76" s="1607"/>
      <c r="BIL76" s="1607"/>
      <c r="BIM76" s="1607"/>
      <c r="BIN76" s="1607"/>
      <c r="BIO76" s="1607"/>
      <c r="BIP76" s="1607"/>
      <c r="BIQ76" s="1607"/>
      <c r="BIR76" s="1607"/>
      <c r="BIS76" s="1607"/>
      <c r="BIT76" s="1607"/>
      <c r="BIU76" s="1607"/>
      <c r="BIV76" s="1607"/>
      <c r="BIW76" s="1607"/>
      <c r="BIX76" s="1607"/>
      <c r="BIY76" s="1607"/>
      <c r="BIZ76" s="1607"/>
      <c r="BJA76" s="1607"/>
      <c r="BJB76" s="1607"/>
      <c r="BJC76" s="1607"/>
      <c r="BJD76" s="1607"/>
      <c r="BJE76" s="1607"/>
      <c r="BJF76" s="1607"/>
      <c r="BJG76" s="1607"/>
      <c r="BJH76" s="1607"/>
      <c r="BJI76" s="1607"/>
      <c r="BJJ76" s="1607"/>
      <c r="BJK76" s="1607"/>
      <c r="BJL76" s="1607"/>
      <c r="BJM76" s="1607"/>
      <c r="BJN76" s="1607"/>
      <c r="BJO76" s="1607"/>
      <c r="BJP76" s="1607"/>
      <c r="BJQ76" s="1607"/>
      <c r="BJR76" s="1607"/>
      <c r="BJS76" s="1607"/>
      <c r="BJT76" s="1607"/>
      <c r="BJU76" s="1607"/>
      <c r="BJV76" s="1607"/>
      <c r="BJW76" s="1607"/>
      <c r="BJX76" s="1607"/>
      <c r="BJY76" s="1607"/>
      <c r="BJZ76" s="1607"/>
      <c r="BKA76" s="1607"/>
      <c r="BKB76" s="1607"/>
      <c r="BKC76" s="1607"/>
      <c r="BKD76" s="1607"/>
      <c r="BKE76" s="1607"/>
      <c r="BKF76" s="1607"/>
      <c r="BKG76" s="1607"/>
      <c r="BKH76" s="1607"/>
      <c r="BKI76" s="1607"/>
      <c r="BKJ76" s="1607"/>
      <c r="BKK76" s="1607"/>
      <c r="BKL76" s="1607"/>
      <c r="BKM76" s="1607"/>
      <c r="BKN76" s="1607"/>
      <c r="BKO76" s="1607"/>
      <c r="BKP76" s="1607"/>
      <c r="BKQ76" s="1607"/>
      <c r="BKR76" s="1607"/>
      <c r="BKS76" s="1607"/>
      <c r="BKT76" s="1607"/>
      <c r="BKU76" s="1607"/>
      <c r="BKV76" s="1607"/>
      <c r="BKW76" s="1607"/>
      <c r="BKX76" s="1607"/>
      <c r="BKY76" s="1607"/>
      <c r="BKZ76" s="1607"/>
      <c r="BLA76" s="1607"/>
      <c r="BLB76" s="1607"/>
      <c r="BLC76" s="1607"/>
      <c r="BLD76" s="1607"/>
      <c r="BLE76" s="1607"/>
      <c r="BLF76" s="1607"/>
      <c r="BLG76" s="1607"/>
      <c r="BLH76" s="1607"/>
      <c r="BLI76" s="1607"/>
      <c r="BLJ76" s="1607"/>
      <c r="BLK76" s="1607"/>
      <c r="BLL76" s="1607"/>
      <c r="BLM76" s="1607"/>
      <c r="BLN76" s="1607"/>
      <c r="BLO76" s="1607"/>
      <c r="BLP76" s="1607"/>
      <c r="BLQ76" s="1607"/>
      <c r="BLR76" s="1607"/>
      <c r="BLS76" s="1607"/>
      <c r="BLT76" s="1607"/>
      <c r="BLU76" s="1607"/>
      <c r="BLV76" s="1607"/>
      <c r="BLW76" s="1607"/>
      <c r="BLX76" s="1607"/>
      <c r="BLY76" s="1607"/>
      <c r="BLZ76" s="1607"/>
      <c r="BMA76" s="1607"/>
      <c r="BMB76" s="1607"/>
      <c r="BMC76" s="1607"/>
      <c r="BMD76" s="1607"/>
      <c r="BME76" s="1607"/>
      <c r="BMF76" s="1607"/>
      <c r="BMG76" s="1607"/>
      <c r="BMH76" s="1607"/>
      <c r="BMI76" s="1607"/>
      <c r="BMJ76" s="1607"/>
      <c r="BMK76" s="1607"/>
      <c r="BML76" s="1607"/>
      <c r="BMM76" s="1607"/>
      <c r="BMN76" s="1607"/>
      <c r="BMO76" s="1607"/>
      <c r="BMP76" s="1607"/>
      <c r="BMQ76" s="1607"/>
      <c r="BMR76" s="1607"/>
      <c r="BMS76" s="1607"/>
      <c r="BMT76" s="1607"/>
      <c r="BMU76" s="1607"/>
      <c r="BMV76" s="1607"/>
      <c r="BMW76" s="1607"/>
      <c r="BMX76" s="1607"/>
      <c r="BMY76" s="1607"/>
      <c r="BMZ76" s="1607"/>
      <c r="BNA76" s="1607"/>
      <c r="BNB76" s="1607"/>
      <c r="BNC76" s="1607"/>
      <c r="BND76" s="1607"/>
      <c r="BNE76" s="1607"/>
      <c r="BNF76" s="1607"/>
      <c r="BNG76" s="1607"/>
      <c r="BNH76" s="1607"/>
      <c r="BNI76" s="1607"/>
      <c r="BNJ76" s="1607"/>
      <c r="BNK76" s="1607"/>
      <c r="BNL76" s="1607"/>
      <c r="BNM76" s="1607"/>
      <c r="BNN76" s="1607"/>
      <c r="BNO76" s="1607"/>
      <c r="BNP76" s="1607"/>
      <c r="BNQ76" s="1607"/>
      <c r="BNR76" s="1607"/>
      <c r="BNS76" s="1607"/>
      <c r="BNT76" s="1607"/>
      <c r="BNU76" s="1607"/>
      <c r="BNV76" s="1607"/>
      <c r="BNW76" s="1607"/>
      <c r="BNX76" s="1607"/>
      <c r="BNY76" s="1607"/>
      <c r="BNZ76" s="1607"/>
      <c r="BOA76" s="1607"/>
      <c r="BOB76" s="1607"/>
      <c r="BOC76" s="1607"/>
      <c r="BOD76" s="1607"/>
      <c r="BOE76" s="1607"/>
      <c r="BOF76" s="1607"/>
      <c r="BOG76" s="1607"/>
      <c r="BOH76" s="1607"/>
      <c r="BOI76" s="1607"/>
      <c r="BOJ76" s="1607"/>
      <c r="BOK76" s="1607"/>
      <c r="BOL76" s="1607"/>
      <c r="BOM76" s="1607"/>
      <c r="BON76" s="1607"/>
      <c r="BOO76" s="1607"/>
      <c r="BOP76" s="1607"/>
      <c r="BOQ76" s="1607"/>
      <c r="BOR76" s="1607"/>
      <c r="BOS76" s="1607"/>
      <c r="BOT76" s="1607"/>
      <c r="BOU76" s="1607"/>
      <c r="BOV76" s="1607"/>
      <c r="BOW76" s="1607"/>
      <c r="BOX76" s="1607"/>
      <c r="BOY76" s="1607"/>
      <c r="BOZ76" s="1607"/>
      <c r="BPA76" s="1607"/>
      <c r="BPB76" s="1607"/>
      <c r="BPC76" s="1607"/>
      <c r="BPD76" s="1607"/>
      <c r="BPE76" s="1607"/>
      <c r="BPF76" s="1607"/>
      <c r="BPG76" s="1607"/>
      <c r="BPH76" s="1607"/>
      <c r="BPI76" s="1607"/>
      <c r="BPJ76" s="1607"/>
      <c r="BPK76" s="1607"/>
      <c r="BPL76" s="1607"/>
      <c r="BPM76" s="1607"/>
      <c r="BPN76" s="1607"/>
      <c r="BPO76" s="1607"/>
      <c r="BPP76" s="1607"/>
      <c r="BPQ76" s="1607"/>
      <c r="BPR76" s="1607"/>
      <c r="BPS76" s="1607"/>
      <c r="BPT76" s="1607"/>
      <c r="BPU76" s="1607"/>
      <c r="BPV76" s="1607"/>
      <c r="BPW76" s="1607"/>
      <c r="BPX76" s="1607"/>
      <c r="BPY76" s="1607"/>
      <c r="BPZ76" s="1607"/>
      <c r="BQA76" s="1607"/>
      <c r="BQB76" s="1607"/>
      <c r="BQC76" s="1607"/>
      <c r="BQD76" s="1607"/>
      <c r="BQE76" s="1607"/>
      <c r="BQF76" s="1607"/>
      <c r="BQG76" s="1607"/>
      <c r="BQH76" s="1607"/>
      <c r="BQI76" s="1607"/>
      <c r="BQJ76" s="1607"/>
      <c r="BQK76" s="1607"/>
      <c r="BQL76" s="1607"/>
      <c r="BQM76" s="1607"/>
      <c r="BQN76" s="1607"/>
      <c r="BQO76" s="1607"/>
      <c r="BQP76" s="1607"/>
      <c r="BQQ76" s="1607"/>
      <c r="BQR76" s="1607"/>
      <c r="BQS76" s="1607"/>
      <c r="BQT76" s="1607"/>
      <c r="BQU76" s="1607"/>
      <c r="BQV76" s="1607"/>
      <c r="BQW76" s="1607"/>
      <c r="BQX76" s="1607"/>
      <c r="BQY76" s="1607"/>
      <c r="BQZ76" s="1607"/>
      <c r="BRA76" s="1607"/>
      <c r="BRB76" s="1607"/>
      <c r="BRC76" s="1607"/>
      <c r="BRD76" s="1607"/>
      <c r="BRE76" s="1607"/>
      <c r="BRF76" s="1607"/>
      <c r="BRG76" s="1607"/>
      <c r="BRH76" s="1607"/>
      <c r="BRI76" s="1607"/>
      <c r="BRJ76" s="1607"/>
      <c r="BRK76" s="1607"/>
      <c r="BRL76" s="1607"/>
      <c r="BRM76" s="1607"/>
      <c r="BRN76" s="1607"/>
      <c r="BRO76" s="1607"/>
      <c r="BRP76" s="1607"/>
      <c r="BRQ76" s="1607"/>
      <c r="BRR76" s="1607"/>
      <c r="BRS76" s="1607"/>
      <c r="BRT76" s="1607"/>
      <c r="BRU76" s="1607"/>
      <c r="BRV76" s="1607"/>
      <c r="BRW76" s="1607"/>
      <c r="BRX76" s="1607"/>
      <c r="BRY76" s="1607"/>
      <c r="BRZ76" s="1607"/>
      <c r="BSA76" s="1607"/>
      <c r="BSB76" s="1607"/>
      <c r="BSC76" s="1607"/>
      <c r="BSD76" s="1607"/>
      <c r="BSE76" s="1607"/>
      <c r="BSF76" s="1607"/>
      <c r="BSG76" s="1607"/>
      <c r="BSH76" s="1607"/>
      <c r="BSI76" s="1607"/>
      <c r="BSJ76" s="1607"/>
      <c r="BSK76" s="1607"/>
      <c r="BSL76" s="1607"/>
      <c r="BSM76" s="1607"/>
      <c r="BSN76" s="1607"/>
      <c r="BSO76" s="1607"/>
      <c r="BSP76" s="1607"/>
      <c r="BSQ76" s="1607"/>
      <c r="BSR76" s="1607"/>
      <c r="BSS76" s="1607"/>
      <c r="BST76" s="1607"/>
      <c r="BSU76" s="1607"/>
      <c r="BSV76" s="1607"/>
      <c r="BSW76" s="1607"/>
      <c r="BSX76" s="1607"/>
      <c r="BSY76" s="1607"/>
      <c r="BSZ76" s="1607"/>
      <c r="BTA76" s="1607"/>
      <c r="BTB76" s="1607"/>
      <c r="BTC76" s="1607"/>
      <c r="BTD76" s="1607"/>
      <c r="BTE76" s="1607"/>
      <c r="BTF76" s="1607"/>
      <c r="BTG76" s="1607"/>
      <c r="BTH76" s="1607"/>
      <c r="BTI76" s="1607"/>
      <c r="BTJ76" s="1607"/>
      <c r="BTK76" s="1607"/>
      <c r="BTL76" s="1607"/>
      <c r="BTM76" s="1607"/>
      <c r="BTN76" s="1607"/>
      <c r="BTO76" s="1607"/>
      <c r="BTP76" s="1607"/>
      <c r="BTQ76" s="1607"/>
      <c r="BTR76" s="1607"/>
      <c r="BTS76" s="1607"/>
      <c r="BTT76" s="1607"/>
      <c r="BTU76" s="1607"/>
      <c r="BTV76" s="1607"/>
      <c r="BTW76" s="1607"/>
      <c r="BTX76" s="1607"/>
      <c r="BTY76" s="1607"/>
      <c r="BTZ76" s="1607"/>
      <c r="BUA76" s="1607"/>
      <c r="BUB76" s="1607"/>
      <c r="BUC76" s="1607"/>
      <c r="BUD76" s="1607"/>
      <c r="BUE76" s="1607"/>
      <c r="BUF76" s="1607"/>
      <c r="BUG76" s="1607"/>
      <c r="BUH76" s="1607"/>
      <c r="BUI76" s="1607"/>
      <c r="BUJ76" s="1607"/>
      <c r="BUK76" s="1607"/>
      <c r="BUL76" s="1607"/>
      <c r="BUM76" s="1607"/>
      <c r="BUN76" s="1607"/>
      <c r="BUO76" s="1607"/>
      <c r="BUP76" s="1607"/>
      <c r="BUQ76" s="1607"/>
      <c r="BUR76" s="1607"/>
      <c r="BUS76" s="1607"/>
      <c r="BUT76" s="1607"/>
      <c r="BUU76" s="1607"/>
      <c r="BUV76" s="1607"/>
      <c r="BUW76" s="1607"/>
      <c r="BUX76" s="1607"/>
      <c r="BUY76" s="1607"/>
      <c r="BUZ76" s="1607"/>
      <c r="BVA76" s="1607"/>
      <c r="BVB76" s="1607"/>
      <c r="BVC76" s="1607"/>
      <c r="BVD76" s="1607"/>
      <c r="BVE76" s="1607"/>
      <c r="BVF76" s="1607"/>
      <c r="BVG76" s="1607"/>
      <c r="BVH76" s="1607"/>
      <c r="BVI76" s="1607"/>
      <c r="BVJ76" s="1607"/>
      <c r="BVK76" s="1607"/>
      <c r="BVL76" s="1607"/>
      <c r="BVM76" s="1607"/>
      <c r="BVN76" s="1607"/>
      <c r="BVO76" s="1607"/>
      <c r="BVP76" s="1607"/>
      <c r="BVQ76" s="1607"/>
      <c r="BVR76" s="1607"/>
      <c r="BVS76" s="1607"/>
      <c r="BVT76" s="1607"/>
      <c r="BVU76" s="1607"/>
      <c r="BVV76" s="1607"/>
      <c r="BVW76" s="1607"/>
      <c r="BVX76" s="1607"/>
      <c r="BVY76" s="1607"/>
      <c r="BVZ76" s="1607"/>
      <c r="BWA76" s="1607"/>
      <c r="BWB76" s="1607"/>
      <c r="BWC76" s="1607"/>
      <c r="BWD76" s="1607"/>
      <c r="BWE76" s="1607"/>
      <c r="BWF76" s="1607"/>
      <c r="BWG76" s="1607"/>
      <c r="BWH76" s="1607"/>
      <c r="BWI76" s="1607"/>
      <c r="BWJ76" s="1607"/>
      <c r="BWK76" s="1607"/>
      <c r="BWL76" s="1607"/>
      <c r="BWM76" s="1607"/>
      <c r="BWN76" s="1607"/>
      <c r="BWO76" s="1607"/>
      <c r="BWP76" s="1607"/>
      <c r="BWQ76" s="1607"/>
      <c r="BWR76" s="1607"/>
      <c r="BWS76" s="1607"/>
      <c r="BWT76" s="1607"/>
      <c r="BWU76" s="1607"/>
      <c r="BWV76" s="1607"/>
      <c r="BWW76" s="1607"/>
      <c r="BWX76" s="1607"/>
      <c r="BWY76" s="1607"/>
      <c r="BWZ76" s="1607"/>
      <c r="BXA76" s="1607"/>
      <c r="BXB76" s="1607"/>
      <c r="BXC76" s="1607"/>
      <c r="BXD76" s="1607"/>
      <c r="BXE76" s="1607"/>
      <c r="BXF76" s="1607"/>
      <c r="BXG76" s="1607"/>
      <c r="BXH76" s="1607"/>
      <c r="BXI76" s="1607"/>
      <c r="BXJ76" s="1607"/>
      <c r="BXK76" s="1607"/>
      <c r="BXL76" s="1607"/>
      <c r="BXM76" s="1607"/>
      <c r="BXN76" s="1607"/>
      <c r="BXO76" s="1607"/>
      <c r="BXP76" s="1607"/>
      <c r="BXQ76" s="1607"/>
      <c r="BXR76" s="1607"/>
      <c r="BXS76" s="1607"/>
      <c r="BXT76" s="1607"/>
      <c r="BXU76" s="1607"/>
      <c r="BXV76" s="1607"/>
      <c r="BXW76" s="1607"/>
      <c r="BXX76" s="1607"/>
      <c r="BXY76" s="1607"/>
      <c r="BXZ76" s="1607"/>
      <c r="BYA76" s="1607"/>
      <c r="BYB76" s="1607"/>
      <c r="BYC76" s="1607"/>
      <c r="BYD76" s="1607"/>
      <c r="BYE76" s="1607"/>
      <c r="BYF76" s="1607"/>
      <c r="BYG76" s="1607"/>
      <c r="BYH76" s="1607"/>
      <c r="BYI76" s="1607"/>
      <c r="BYJ76" s="1607"/>
      <c r="BYK76" s="1607"/>
      <c r="BYL76" s="1607"/>
      <c r="BYM76" s="1607"/>
      <c r="BYN76" s="1607"/>
      <c r="BYO76" s="1607"/>
      <c r="BYP76" s="1607"/>
      <c r="BYQ76" s="1607"/>
      <c r="BYR76" s="1607"/>
      <c r="BYS76" s="1607"/>
      <c r="BYT76" s="1607"/>
      <c r="BYU76" s="1607"/>
      <c r="BYV76" s="1607"/>
      <c r="BYW76" s="1607"/>
      <c r="BYX76" s="1607"/>
      <c r="BYY76" s="1607"/>
      <c r="BYZ76" s="1607"/>
      <c r="BZA76" s="1607"/>
      <c r="BZB76" s="1607"/>
      <c r="BZC76" s="1607"/>
      <c r="BZD76" s="1607"/>
      <c r="BZE76" s="1607"/>
      <c r="BZF76" s="1607"/>
      <c r="BZG76" s="1607"/>
      <c r="BZH76" s="1607"/>
      <c r="BZI76" s="1607"/>
      <c r="BZJ76" s="1607"/>
      <c r="BZK76" s="1607"/>
      <c r="BZL76" s="1607"/>
      <c r="BZM76" s="1607"/>
      <c r="BZN76" s="1607"/>
      <c r="BZO76" s="1607"/>
      <c r="BZP76" s="1607"/>
      <c r="BZQ76" s="1607"/>
      <c r="BZR76" s="1607"/>
      <c r="BZS76" s="1607"/>
      <c r="BZT76" s="1607"/>
      <c r="BZU76" s="1607"/>
      <c r="BZV76" s="1607"/>
      <c r="BZW76" s="1607"/>
      <c r="BZX76" s="1607"/>
      <c r="BZY76" s="1607"/>
      <c r="BZZ76" s="1607"/>
      <c r="CAA76" s="1607"/>
      <c r="CAB76" s="1607"/>
      <c r="CAC76" s="1607"/>
      <c r="CAD76" s="1607"/>
      <c r="CAE76" s="1607"/>
      <c r="CAF76" s="1607"/>
      <c r="CAG76" s="1607"/>
      <c r="CAH76" s="1607"/>
      <c r="CAI76" s="1607"/>
      <c r="CAJ76" s="1607"/>
      <c r="CAK76" s="1607"/>
      <c r="CAL76" s="1607"/>
      <c r="CAM76" s="1607"/>
      <c r="CAN76" s="1607"/>
      <c r="CAO76" s="1607"/>
      <c r="CAP76" s="1607"/>
      <c r="CAQ76" s="1607"/>
      <c r="CAR76" s="1607"/>
      <c r="CAS76" s="1607"/>
      <c r="CAT76" s="1607"/>
      <c r="CAU76" s="1607"/>
      <c r="CAV76" s="1607"/>
      <c r="CAW76" s="1607"/>
      <c r="CAX76" s="1607"/>
      <c r="CAY76" s="1607"/>
      <c r="CAZ76" s="1607"/>
      <c r="CBA76" s="1607"/>
      <c r="CBB76" s="1607"/>
      <c r="CBC76" s="1607"/>
      <c r="CBD76" s="1607"/>
      <c r="CBE76" s="1607"/>
      <c r="CBF76" s="1607"/>
      <c r="CBG76" s="1607"/>
      <c r="CBH76" s="1607"/>
      <c r="CBI76" s="1607"/>
      <c r="CBJ76" s="1607"/>
      <c r="CBK76" s="1607"/>
      <c r="CBL76" s="1607"/>
      <c r="CBM76" s="1607"/>
      <c r="CBN76" s="1607"/>
      <c r="CBO76" s="1607"/>
      <c r="CBP76" s="1607"/>
      <c r="CBQ76" s="1607"/>
      <c r="CBR76" s="1607"/>
      <c r="CBS76" s="1607"/>
      <c r="CBT76" s="1607"/>
      <c r="CBU76" s="1607"/>
      <c r="CBV76" s="1607"/>
      <c r="CBW76" s="1607"/>
      <c r="CBX76" s="1607"/>
      <c r="CBY76" s="1607"/>
      <c r="CBZ76" s="1607"/>
      <c r="CCA76" s="1607"/>
      <c r="CCB76" s="1607"/>
      <c r="CCC76" s="1607"/>
      <c r="CCD76" s="1607"/>
      <c r="CCE76" s="1607"/>
      <c r="CCF76" s="1607"/>
      <c r="CCG76" s="1607"/>
      <c r="CCH76" s="1607"/>
      <c r="CCI76" s="1607"/>
      <c r="CCJ76" s="1607"/>
      <c r="CCK76" s="1607"/>
      <c r="CCL76" s="1607"/>
      <c r="CCM76" s="1607"/>
      <c r="CCN76" s="1607"/>
      <c r="CCO76" s="1607"/>
      <c r="CCP76" s="1607"/>
      <c r="CCQ76" s="1607"/>
      <c r="CCR76" s="1607"/>
      <c r="CCS76" s="1607"/>
      <c r="CCT76" s="1607"/>
      <c r="CCU76" s="1607"/>
      <c r="CCV76" s="1607"/>
      <c r="CCW76" s="1607"/>
      <c r="CCX76" s="1607"/>
      <c r="CCY76" s="1607"/>
      <c r="CCZ76" s="1607"/>
      <c r="CDA76" s="1607"/>
      <c r="CDB76" s="1607"/>
      <c r="CDC76" s="1607"/>
      <c r="CDD76" s="1607"/>
      <c r="CDE76" s="1607"/>
      <c r="CDF76" s="1607"/>
      <c r="CDG76" s="1607"/>
      <c r="CDH76" s="1607"/>
      <c r="CDI76" s="1607"/>
      <c r="CDJ76" s="1607"/>
      <c r="CDK76" s="1607"/>
      <c r="CDL76" s="1607"/>
      <c r="CDM76" s="1607"/>
      <c r="CDN76" s="1607"/>
      <c r="CDO76" s="1607"/>
      <c r="CDP76" s="1607"/>
      <c r="CDQ76" s="1607"/>
      <c r="CDR76" s="1607"/>
      <c r="CDS76" s="1607"/>
      <c r="CDT76" s="1607"/>
      <c r="CDU76" s="1607"/>
      <c r="CDV76" s="1607"/>
      <c r="CDW76" s="1607"/>
      <c r="CDX76" s="1607"/>
      <c r="CDY76" s="1607"/>
      <c r="CDZ76" s="1607"/>
      <c r="CEA76" s="1607"/>
      <c r="CEB76" s="1607"/>
      <c r="CEC76" s="1607"/>
      <c r="CED76" s="1607"/>
      <c r="CEE76" s="1607"/>
      <c r="CEF76" s="1607"/>
      <c r="CEG76" s="1607"/>
      <c r="CEH76" s="1607"/>
      <c r="CEI76" s="1607"/>
      <c r="CEJ76" s="1607"/>
      <c r="CEK76" s="1607"/>
      <c r="CEL76" s="1607"/>
      <c r="CEM76" s="1607"/>
      <c r="CEN76" s="1607"/>
      <c r="CEO76" s="1607"/>
      <c r="CEP76" s="1607"/>
      <c r="CEQ76" s="1607"/>
      <c r="CER76" s="1607"/>
      <c r="CES76" s="1607"/>
      <c r="CET76" s="1607"/>
      <c r="CEU76" s="1607"/>
      <c r="CEV76" s="1607"/>
      <c r="CEW76" s="1607"/>
      <c r="CEX76" s="1607"/>
      <c r="CEY76" s="1607"/>
      <c r="CEZ76" s="1607"/>
      <c r="CFA76" s="1607"/>
      <c r="CFB76" s="1607"/>
      <c r="CFC76" s="1607"/>
      <c r="CFD76" s="1607"/>
      <c r="CFE76" s="1607"/>
      <c r="CFF76" s="1607"/>
      <c r="CFG76" s="1607"/>
      <c r="CFH76" s="1607"/>
      <c r="CFI76" s="1607"/>
      <c r="CFJ76" s="1607"/>
      <c r="CFK76" s="1607"/>
      <c r="CFL76" s="1607"/>
      <c r="CFM76" s="1607"/>
      <c r="CFN76" s="1607"/>
      <c r="CFO76" s="1607"/>
      <c r="CFP76" s="1607"/>
      <c r="CFQ76" s="1607"/>
      <c r="CFR76" s="1607"/>
      <c r="CFS76" s="1607"/>
      <c r="CFT76" s="1607"/>
      <c r="CFU76" s="1607"/>
      <c r="CFV76" s="1607"/>
      <c r="CFW76" s="1607"/>
      <c r="CFX76" s="1607"/>
      <c r="CFY76" s="1607"/>
      <c r="CFZ76" s="1607"/>
      <c r="CGA76" s="1607"/>
      <c r="CGB76" s="1607"/>
      <c r="CGC76" s="1607"/>
      <c r="CGD76" s="1607"/>
      <c r="CGE76" s="1607"/>
      <c r="CGF76" s="1607"/>
      <c r="CGG76" s="1607"/>
      <c r="CGH76" s="1607"/>
      <c r="CGI76" s="1607"/>
      <c r="CGJ76" s="1607"/>
      <c r="CGK76" s="1607"/>
      <c r="CGL76" s="1607"/>
      <c r="CGM76" s="1607"/>
      <c r="CGN76" s="1607"/>
      <c r="CGO76" s="1607"/>
      <c r="CGP76" s="1607"/>
      <c r="CGQ76" s="1607"/>
      <c r="CGR76" s="1607"/>
      <c r="CGS76" s="1607"/>
      <c r="CGT76" s="1607"/>
      <c r="CGU76" s="1607"/>
      <c r="CGV76" s="1607"/>
      <c r="CGW76" s="1607"/>
      <c r="CGX76" s="1607"/>
      <c r="CGY76" s="1607"/>
      <c r="CGZ76" s="1607"/>
      <c r="CHA76" s="1607"/>
      <c r="CHB76" s="1607"/>
      <c r="CHC76" s="1607"/>
      <c r="CHD76" s="1607"/>
      <c r="CHE76" s="1607"/>
      <c r="CHF76" s="1607"/>
      <c r="CHG76" s="1607"/>
      <c r="CHH76" s="1607"/>
      <c r="CHI76" s="1607"/>
      <c r="CHJ76" s="1607"/>
      <c r="CHK76" s="1607"/>
      <c r="CHL76" s="1607"/>
      <c r="CHM76" s="1607"/>
      <c r="CHN76" s="1607"/>
      <c r="CHO76" s="1607"/>
      <c r="CHP76" s="1607"/>
      <c r="CHQ76" s="1607"/>
      <c r="CHR76" s="1607"/>
      <c r="CHS76" s="1607"/>
      <c r="CHT76" s="1607"/>
      <c r="CHU76" s="1607"/>
      <c r="CHV76" s="1607"/>
      <c r="CHW76" s="1607"/>
      <c r="CHX76" s="1607"/>
      <c r="CHY76" s="1607"/>
      <c r="CHZ76" s="1607"/>
      <c r="CIA76" s="1607"/>
      <c r="CIB76" s="1607"/>
      <c r="CIC76" s="1607"/>
      <c r="CID76" s="1607"/>
      <c r="CIE76" s="1607"/>
      <c r="CIF76" s="1607"/>
      <c r="CIG76" s="1607"/>
      <c r="CIH76" s="1607"/>
      <c r="CII76" s="1607"/>
      <c r="CIJ76" s="1607"/>
      <c r="CIK76" s="1607"/>
      <c r="CIL76" s="1607"/>
      <c r="CIM76" s="1607"/>
      <c r="CIN76" s="1607"/>
      <c r="CIO76" s="1607"/>
      <c r="CIP76" s="1607"/>
      <c r="CIQ76" s="1607"/>
      <c r="CIR76" s="1607"/>
      <c r="CIS76" s="1607"/>
      <c r="CIT76" s="1607"/>
      <c r="CIU76" s="1607"/>
      <c r="CIV76" s="1607"/>
      <c r="CIW76" s="1607"/>
      <c r="CIX76" s="1607"/>
      <c r="CIY76" s="1607"/>
      <c r="CIZ76" s="1607"/>
      <c r="CJA76" s="1607"/>
      <c r="CJB76" s="1607"/>
      <c r="CJC76" s="1607"/>
      <c r="CJD76" s="1607"/>
      <c r="CJE76" s="1607"/>
      <c r="CJF76" s="1607"/>
      <c r="CJG76" s="1607"/>
      <c r="CJH76" s="1607"/>
      <c r="CJI76" s="1607"/>
      <c r="CJJ76" s="1607"/>
      <c r="CJK76" s="1607"/>
      <c r="CJL76" s="1607"/>
      <c r="CJM76" s="1607"/>
      <c r="CJN76" s="1607"/>
      <c r="CJO76" s="1607"/>
      <c r="CJP76" s="1607"/>
      <c r="CJQ76" s="1607"/>
      <c r="CJR76" s="1607"/>
      <c r="CJS76" s="1607"/>
      <c r="CJT76" s="1607"/>
      <c r="CJU76" s="1607"/>
      <c r="CJV76" s="1607"/>
      <c r="CJW76" s="1607"/>
      <c r="CJX76" s="1607"/>
      <c r="CJY76" s="1607"/>
      <c r="CJZ76" s="1607"/>
      <c r="CKA76" s="1607"/>
      <c r="CKB76" s="1607"/>
      <c r="CKC76" s="1607"/>
      <c r="CKD76" s="1607"/>
      <c r="CKE76" s="1607"/>
      <c r="CKF76" s="1607"/>
      <c r="CKG76" s="1607"/>
      <c r="CKH76" s="1607"/>
      <c r="CKI76" s="1607"/>
      <c r="CKJ76" s="1607"/>
      <c r="CKK76" s="1607"/>
      <c r="CKL76" s="1607"/>
      <c r="CKM76" s="1607"/>
      <c r="CKN76" s="1607"/>
      <c r="CKO76" s="1607"/>
      <c r="CKP76" s="1607"/>
      <c r="CKQ76" s="1607"/>
      <c r="CKR76" s="1607"/>
      <c r="CKS76" s="1607"/>
      <c r="CKT76" s="1607"/>
      <c r="CKU76" s="1607"/>
      <c r="CKV76" s="1607"/>
      <c r="CKW76" s="1607"/>
      <c r="CKX76" s="1607"/>
      <c r="CKY76" s="1607"/>
      <c r="CKZ76" s="1607"/>
      <c r="CLA76" s="1607"/>
      <c r="CLB76" s="1607"/>
      <c r="CLC76" s="1607"/>
      <c r="CLD76" s="1607"/>
      <c r="CLE76" s="1607"/>
      <c r="CLF76" s="1607"/>
      <c r="CLG76" s="1607"/>
      <c r="CLH76" s="1607"/>
      <c r="CLI76" s="1607"/>
      <c r="CLJ76" s="1607"/>
      <c r="CLK76" s="1607"/>
      <c r="CLL76" s="1607"/>
      <c r="CLM76" s="1607"/>
      <c r="CLN76" s="1607"/>
      <c r="CLO76" s="1607"/>
      <c r="CLP76" s="1607"/>
      <c r="CLQ76" s="1607"/>
      <c r="CLR76" s="1607"/>
      <c r="CLS76" s="1607"/>
      <c r="CLT76" s="1607"/>
      <c r="CLU76" s="1607"/>
      <c r="CLV76" s="1607"/>
      <c r="CLW76" s="1607"/>
      <c r="CLX76" s="1607"/>
      <c r="CLY76" s="1607"/>
      <c r="CLZ76" s="1607"/>
      <c r="CMA76" s="1607"/>
      <c r="CMB76" s="1607"/>
      <c r="CMC76" s="1607"/>
      <c r="CMD76" s="1607"/>
      <c r="CME76" s="1607"/>
      <c r="CMF76" s="1607"/>
      <c r="CMG76" s="1607"/>
      <c r="CMH76" s="1607"/>
      <c r="CMI76" s="1607"/>
      <c r="CMJ76" s="1607"/>
      <c r="CMK76" s="1607"/>
      <c r="CML76" s="1607"/>
      <c r="CMM76" s="1607"/>
      <c r="CMN76" s="1607"/>
      <c r="CMO76" s="1607"/>
      <c r="CMP76" s="1607"/>
      <c r="CMQ76" s="1607"/>
      <c r="CMR76" s="1607"/>
      <c r="CMS76" s="1607"/>
      <c r="CMT76" s="1607"/>
      <c r="CMU76" s="1607"/>
      <c r="CMV76" s="1607"/>
      <c r="CMW76" s="1607"/>
      <c r="CMX76" s="1607"/>
      <c r="CMY76" s="1607"/>
      <c r="CMZ76" s="1607"/>
      <c r="CNA76" s="1607"/>
      <c r="CNB76" s="1607"/>
      <c r="CNC76" s="1607"/>
      <c r="CND76" s="1607"/>
      <c r="CNE76" s="1607"/>
      <c r="CNF76" s="1607"/>
      <c r="CNG76" s="1607"/>
      <c r="CNH76" s="1607"/>
      <c r="CNI76" s="1607"/>
      <c r="CNJ76" s="1607"/>
      <c r="CNK76" s="1607"/>
      <c r="CNL76" s="1607"/>
      <c r="CNM76" s="1607"/>
      <c r="CNN76" s="1607"/>
      <c r="CNO76" s="1607"/>
      <c r="CNP76" s="1607"/>
      <c r="CNQ76" s="1607"/>
      <c r="CNR76" s="1607"/>
      <c r="CNS76" s="1607"/>
      <c r="CNT76" s="1607"/>
      <c r="CNU76" s="1607"/>
      <c r="CNV76" s="1607"/>
      <c r="CNW76" s="1607"/>
      <c r="CNX76" s="1607"/>
      <c r="CNY76" s="1607"/>
      <c r="CNZ76" s="1607"/>
      <c r="COA76" s="1607"/>
      <c r="COB76" s="1607"/>
      <c r="COC76" s="1607"/>
      <c r="COD76" s="1607"/>
      <c r="COE76" s="1607"/>
      <c r="COF76" s="1607"/>
      <c r="COG76" s="1607"/>
      <c r="COH76" s="1607"/>
      <c r="COI76" s="1607"/>
      <c r="COJ76" s="1607"/>
      <c r="COK76" s="1607"/>
      <c r="COL76" s="1607"/>
      <c r="COM76" s="1607"/>
      <c r="CON76" s="1607"/>
      <c r="COO76" s="1607"/>
      <c r="COP76" s="1607"/>
      <c r="COQ76" s="1607"/>
      <c r="COR76" s="1607"/>
      <c r="COS76" s="1607"/>
      <c r="COT76" s="1607"/>
      <c r="COU76" s="1607"/>
      <c r="COV76" s="1607"/>
      <c r="COW76" s="1607"/>
      <c r="COX76" s="1607"/>
      <c r="COY76" s="1607"/>
      <c r="COZ76" s="1607"/>
      <c r="CPA76" s="1607"/>
      <c r="CPB76" s="1607"/>
      <c r="CPC76" s="1607"/>
      <c r="CPD76" s="1607"/>
      <c r="CPE76" s="1607"/>
      <c r="CPF76" s="1607"/>
      <c r="CPG76" s="1607"/>
      <c r="CPH76" s="1607"/>
      <c r="CPI76" s="1607"/>
      <c r="CPJ76" s="1607"/>
      <c r="CPK76" s="1607"/>
      <c r="CPL76" s="1607"/>
      <c r="CPM76" s="1607"/>
      <c r="CPN76" s="1607"/>
      <c r="CPO76" s="1607"/>
      <c r="CPP76" s="1607"/>
      <c r="CPQ76" s="1607"/>
      <c r="CPR76" s="1607"/>
      <c r="CPS76" s="1607"/>
      <c r="CPT76" s="1607"/>
      <c r="CPU76" s="1607"/>
      <c r="CPV76" s="1607"/>
      <c r="CPW76" s="1607"/>
      <c r="CPX76" s="1607"/>
      <c r="CPY76" s="1607"/>
      <c r="CPZ76" s="1607"/>
      <c r="CQA76" s="1607"/>
      <c r="CQB76" s="1607"/>
      <c r="CQC76" s="1607"/>
      <c r="CQD76" s="1607"/>
      <c r="CQE76" s="1607"/>
      <c r="CQF76" s="1607"/>
      <c r="CQG76" s="1607"/>
      <c r="CQH76" s="1607"/>
      <c r="CQI76" s="1607"/>
      <c r="CQJ76" s="1607"/>
      <c r="CQK76" s="1607"/>
      <c r="CQL76" s="1607"/>
      <c r="CQM76" s="1607"/>
      <c r="CQN76" s="1607"/>
      <c r="CQO76" s="1607"/>
      <c r="CQP76" s="1607"/>
      <c r="CQQ76" s="1607"/>
      <c r="CQR76" s="1607"/>
      <c r="CQS76" s="1607"/>
      <c r="CQT76" s="1607"/>
      <c r="CQU76" s="1607"/>
      <c r="CQV76" s="1607"/>
      <c r="CQW76" s="1607"/>
      <c r="CQX76" s="1607"/>
      <c r="CQY76" s="1607"/>
      <c r="CQZ76" s="1607"/>
      <c r="CRA76" s="1607"/>
      <c r="CRB76" s="1607"/>
      <c r="CRC76" s="1607"/>
      <c r="CRD76" s="1607"/>
      <c r="CRE76" s="1607"/>
      <c r="CRF76" s="1607"/>
      <c r="CRG76" s="1607"/>
      <c r="CRH76" s="1607"/>
      <c r="CRI76" s="1607"/>
      <c r="CRJ76" s="1607"/>
      <c r="CRK76" s="1607"/>
      <c r="CRL76" s="1607"/>
      <c r="CRM76" s="1607"/>
      <c r="CRN76" s="1607"/>
      <c r="CRO76" s="1607"/>
      <c r="CRP76" s="1607"/>
      <c r="CRQ76" s="1607"/>
      <c r="CRR76" s="1607"/>
      <c r="CRS76" s="1607"/>
      <c r="CRT76" s="1607"/>
      <c r="CRU76" s="1607"/>
      <c r="CRV76" s="1607"/>
      <c r="CRW76" s="1607"/>
      <c r="CRX76" s="1607"/>
      <c r="CRY76" s="1607"/>
      <c r="CRZ76" s="1607"/>
      <c r="CSA76" s="1607"/>
      <c r="CSB76" s="1607"/>
      <c r="CSC76" s="1607"/>
      <c r="CSD76" s="1607"/>
      <c r="CSE76" s="1607"/>
      <c r="CSF76" s="1607"/>
      <c r="CSG76" s="1607"/>
      <c r="CSH76" s="1607"/>
      <c r="CSI76" s="1607"/>
      <c r="CSJ76" s="1607"/>
      <c r="CSK76" s="1607"/>
      <c r="CSL76" s="1607"/>
      <c r="CSM76" s="1607"/>
      <c r="CSN76" s="1607"/>
      <c r="CSO76" s="1607"/>
      <c r="CSP76" s="1607"/>
      <c r="CSQ76" s="1607"/>
      <c r="CSR76" s="1607"/>
      <c r="CSS76" s="1607"/>
      <c r="CST76" s="1607"/>
      <c r="CSU76" s="1607"/>
      <c r="CSV76" s="1607"/>
      <c r="CSW76" s="1607"/>
      <c r="CSX76" s="1607"/>
      <c r="CSY76" s="1607"/>
      <c r="CSZ76" s="1607"/>
      <c r="CTA76" s="1607"/>
      <c r="CTB76" s="1607"/>
      <c r="CTC76" s="1607"/>
      <c r="CTD76" s="1607"/>
      <c r="CTE76" s="1607"/>
      <c r="CTF76" s="1607"/>
      <c r="CTG76" s="1607"/>
      <c r="CTH76" s="1607"/>
      <c r="CTI76" s="1607"/>
      <c r="CTJ76" s="1607"/>
      <c r="CTK76" s="1607"/>
      <c r="CTL76" s="1607"/>
      <c r="CTM76" s="1607"/>
      <c r="CTN76" s="1607"/>
      <c r="CTO76" s="1607"/>
      <c r="CTP76" s="1607"/>
      <c r="CTQ76" s="1607"/>
      <c r="CTR76" s="1607"/>
      <c r="CTS76" s="1607"/>
      <c r="CTT76" s="1607"/>
      <c r="CTU76" s="1607"/>
      <c r="CTV76" s="1607"/>
      <c r="CTW76" s="1607"/>
      <c r="CTX76" s="1607"/>
      <c r="CTY76" s="1607"/>
      <c r="CTZ76" s="1607"/>
      <c r="CUA76" s="1607"/>
      <c r="CUB76" s="1607"/>
      <c r="CUC76" s="1607"/>
      <c r="CUD76" s="1607"/>
      <c r="CUE76" s="1607"/>
      <c r="CUF76" s="1607"/>
      <c r="CUG76" s="1607"/>
      <c r="CUH76" s="1607"/>
      <c r="CUI76" s="1607"/>
      <c r="CUJ76" s="1607"/>
      <c r="CUK76" s="1607"/>
      <c r="CUL76" s="1607"/>
      <c r="CUM76" s="1607"/>
      <c r="CUN76" s="1607"/>
      <c r="CUO76" s="1607"/>
      <c r="CUP76" s="1607"/>
      <c r="CUQ76" s="1607"/>
      <c r="CUR76" s="1607"/>
      <c r="CUS76" s="1607"/>
      <c r="CUT76" s="1607"/>
      <c r="CUU76" s="1607"/>
      <c r="CUV76" s="1607"/>
      <c r="CUW76" s="1607"/>
      <c r="CUX76" s="1607"/>
      <c r="CUY76" s="1607"/>
      <c r="CUZ76" s="1607"/>
      <c r="CVA76" s="1607"/>
      <c r="CVB76" s="1607"/>
      <c r="CVC76" s="1607"/>
      <c r="CVD76" s="1607"/>
      <c r="CVE76" s="1607"/>
      <c r="CVF76" s="1607"/>
      <c r="CVG76" s="1607"/>
      <c r="CVH76" s="1607"/>
      <c r="CVI76" s="1607"/>
      <c r="CVJ76" s="1607"/>
      <c r="CVK76" s="1607"/>
      <c r="CVL76" s="1607"/>
      <c r="CVM76" s="1607"/>
      <c r="CVN76" s="1607"/>
      <c r="CVO76" s="1607"/>
      <c r="CVP76" s="1607"/>
      <c r="CVQ76" s="1607"/>
      <c r="CVR76" s="1607"/>
      <c r="CVS76" s="1607"/>
      <c r="CVT76" s="1607"/>
      <c r="CVU76" s="1607"/>
      <c r="CVV76" s="1607"/>
      <c r="CVW76" s="1607"/>
      <c r="CVX76" s="1607"/>
      <c r="CVY76" s="1607"/>
      <c r="CVZ76" s="1607"/>
      <c r="CWA76" s="1607"/>
      <c r="CWB76" s="1607"/>
      <c r="CWC76" s="1607"/>
      <c r="CWD76" s="1607"/>
      <c r="CWE76" s="1607"/>
      <c r="CWF76" s="1607"/>
      <c r="CWG76" s="1607"/>
      <c r="CWH76" s="1607"/>
      <c r="CWI76" s="1607"/>
      <c r="CWJ76" s="1607"/>
      <c r="CWK76" s="1607"/>
      <c r="CWL76" s="1607"/>
      <c r="CWM76" s="1607"/>
      <c r="CWN76" s="1607"/>
      <c r="CWO76" s="1607"/>
      <c r="CWP76" s="1607"/>
      <c r="CWQ76" s="1607"/>
      <c r="CWR76" s="1607"/>
      <c r="CWS76" s="1607"/>
      <c r="CWT76" s="1607"/>
      <c r="CWU76" s="1607"/>
      <c r="CWV76" s="1607"/>
      <c r="CWW76" s="1607"/>
      <c r="CWX76" s="1607"/>
      <c r="CWY76" s="1607"/>
      <c r="CWZ76" s="1607"/>
      <c r="CXA76" s="1607"/>
      <c r="CXB76" s="1607"/>
      <c r="CXC76" s="1607"/>
      <c r="CXD76" s="1607"/>
      <c r="CXE76" s="1607"/>
      <c r="CXF76" s="1607"/>
      <c r="CXG76" s="1607"/>
      <c r="CXH76" s="1607"/>
      <c r="CXI76" s="1607"/>
      <c r="CXJ76" s="1607"/>
      <c r="CXK76" s="1607"/>
      <c r="CXL76" s="1607"/>
      <c r="CXM76" s="1607"/>
      <c r="CXN76" s="1607"/>
      <c r="CXO76" s="1607"/>
      <c r="CXP76" s="1607"/>
      <c r="CXQ76" s="1607"/>
      <c r="CXR76" s="1607"/>
      <c r="CXS76" s="1607"/>
      <c r="CXT76" s="1607"/>
      <c r="CXU76" s="1607"/>
      <c r="CXV76" s="1607"/>
      <c r="CXW76" s="1607"/>
      <c r="CXX76" s="1607"/>
      <c r="CXY76" s="1607"/>
      <c r="CXZ76" s="1607"/>
      <c r="CYA76" s="1607"/>
      <c r="CYB76" s="1607"/>
      <c r="CYC76" s="1607"/>
      <c r="CYD76" s="1607"/>
      <c r="CYE76" s="1607"/>
      <c r="CYF76" s="1607"/>
      <c r="CYG76" s="1607"/>
      <c r="CYH76" s="1607"/>
      <c r="CYI76" s="1607"/>
      <c r="CYJ76" s="1607"/>
      <c r="CYK76" s="1607"/>
      <c r="CYL76" s="1607"/>
      <c r="CYM76" s="1607"/>
      <c r="CYN76" s="1607"/>
      <c r="CYO76" s="1607"/>
      <c r="CYP76" s="1607"/>
      <c r="CYQ76" s="1607"/>
      <c r="CYR76" s="1607"/>
      <c r="CYS76" s="1607"/>
      <c r="CYT76" s="1607"/>
      <c r="CYU76" s="1607"/>
      <c r="CYV76" s="1607"/>
      <c r="CYW76" s="1607"/>
      <c r="CYX76" s="1607"/>
      <c r="CYY76" s="1607"/>
      <c r="CYZ76" s="1607"/>
      <c r="CZA76" s="1607"/>
      <c r="CZB76" s="1607"/>
      <c r="CZC76" s="1607"/>
      <c r="CZD76" s="1607"/>
      <c r="CZE76" s="1607"/>
      <c r="CZF76" s="1607"/>
      <c r="CZG76" s="1607"/>
      <c r="CZH76" s="1607"/>
      <c r="CZI76" s="1607"/>
      <c r="CZJ76" s="1607"/>
      <c r="CZK76" s="1607"/>
      <c r="CZL76" s="1607"/>
      <c r="CZM76" s="1607"/>
      <c r="CZN76" s="1607"/>
      <c r="CZO76" s="1607"/>
      <c r="CZP76" s="1607"/>
      <c r="CZQ76" s="1607"/>
      <c r="CZR76" s="1607"/>
      <c r="CZS76" s="1607"/>
      <c r="CZT76" s="1607"/>
      <c r="CZU76" s="1607"/>
      <c r="CZV76" s="1607"/>
      <c r="CZW76" s="1607"/>
      <c r="CZX76" s="1607"/>
      <c r="CZY76" s="1607"/>
      <c r="CZZ76" s="1607"/>
      <c r="DAA76" s="1607"/>
      <c r="DAB76" s="1607"/>
      <c r="DAC76" s="1607"/>
      <c r="DAD76" s="1607"/>
      <c r="DAE76" s="1607"/>
      <c r="DAF76" s="1607"/>
      <c r="DAG76" s="1607"/>
      <c r="DAH76" s="1607"/>
      <c r="DAI76" s="1607"/>
      <c r="DAJ76" s="1607"/>
      <c r="DAK76" s="1607"/>
      <c r="DAL76" s="1607"/>
      <c r="DAM76" s="1607"/>
      <c r="DAN76" s="1607"/>
      <c r="DAO76" s="1607"/>
      <c r="DAP76" s="1607"/>
      <c r="DAQ76" s="1607"/>
      <c r="DAR76" s="1607"/>
      <c r="DAS76" s="1607"/>
      <c r="DAT76" s="1607"/>
      <c r="DAU76" s="1607"/>
      <c r="DAV76" s="1607"/>
      <c r="DAW76" s="1607"/>
      <c r="DAX76" s="1607"/>
      <c r="DAY76" s="1607"/>
      <c r="DAZ76" s="1607"/>
      <c r="DBA76" s="1607"/>
      <c r="DBB76" s="1607"/>
      <c r="DBC76" s="1607"/>
      <c r="DBD76" s="1607"/>
      <c r="DBE76" s="1607"/>
      <c r="DBF76" s="1607"/>
      <c r="DBG76" s="1607"/>
      <c r="DBH76" s="1607"/>
      <c r="DBI76" s="1607"/>
      <c r="DBJ76" s="1607"/>
      <c r="DBK76" s="1607"/>
      <c r="DBL76" s="1607"/>
      <c r="DBM76" s="1607"/>
      <c r="DBN76" s="1607"/>
      <c r="DBO76" s="1607"/>
      <c r="DBP76" s="1607"/>
      <c r="DBQ76" s="1607"/>
      <c r="DBR76" s="1607"/>
      <c r="DBS76" s="1607"/>
      <c r="DBT76" s="1607"/>
      <c r="DBU76" s="1607"/>
      <c r="DBV76" s="1607"/>
      <c r="DBW76" s="1607"/>
      <c r="DBX76" s="1607"/>
      <c r="DBY76" s="1607"/>
      <c r="DBZ76" s="1607"/>
      <c r="DCA76" s="1607"/>
      <c r="DCB76" s="1607"/>
      <c r="DCC76" s="1607"/>
      <c r="DCD76" s="1607"/>
      <c r="DCE76" s="1607"/>
      <c r="DCF76" s="1607"/>
      <c r="DCG76" s="1607"/>
      <c r="DCH76" s="1607"/>
      <c r="DCI76" s="1607"/>
      <c r="DCJ76" s="1607"/>
      <c r="DCK76" s="1607"/>
      <c r="DCL76" s="1607"/>
      <c r="DCM76" s="1607"/>
      <c r="DCN76" s="1607"/>
      <c r="DCO76" s="1607"/>
      <c r="DCP76" s="1607"/>
      <c r="DCQ76" s="1607"/>
      <c r="DCR76" s="1607"/>
      <c r="DCS76" s="1607"/>
      <c r="DCT76" s="1607"/>
      <c r="DCU76" s="1607"/>
      <c r="DCV76" s="1607"/>
      <c r="DCW76" s="1607"/>
      <c r="DCX76" s="1607"/>
      <c r="DCY76" s="1607"/>
      <c r="DCZ76" s="1607"/>
      <c r="DDA76" s="1607"/>
      <c r="DDB76" s="1607"/>
      <c r="DDC76" s="1607"/>
      <c r="DDD76" s="1607"/>
      <c r="DDE76" s="1607"/>
      <c r="DDF76" s="1607"/>
      <c r="DDG76" s="1607"/>
      <c r="DDH76" s="1607"/>
      <c r="DDI76" s="1607"/>
      <c r="DDJ76" s="1607"/>
      <c r="DDK76" s="1607"/>
      <c r="DDL76" s="1607"/>
      <c r="DDM76" s="1607"/>
      <c r="DDN76" s="1607"/>
      <c r="DDO76" s="1607"/>
      <c r="DDP76" s="1607"/>
      <c r="DDQ76" s="1607"/>
      <c r="DDR76" s="1607"/>
      <c r="DDS76" s="1607"/>
      <c r="DDT76" s="1607"/>
      <c r="DDU76" s="1607"/>
      <c r="DDV76" s="1607"/>
      <c r="DDW76" s="1607"/>
      <c r="DDX76" s="1607"/>
      <c r="DDY76" s="1607"/>
      <c r="DDZ76" s="1607"/>
      <c r="DEA76" s="1607"/>
      <c r="DEB76" s="1607"/>
      <c r="DEC76" s="1607"/>
      <c r="DED76" s="1607"/>
      <c r="DEE76" s="1607"/>
      <c r="DEF76" s="1607"/>
      <c r="DEG76" s="1607"/>
      <c r="DEH76" s="1607"/>
      <c r="DEI76" s="1607"/>
      <c r="DEJ76" s="1607"/>
      <c r="DEK76" s="1607"/>
      <c r="DEL76" s="1607"/>
      <c r="DEM76" s="1607"/>
      <c r="DEN76" s="1607"/>
      <c r="DEO76" s="1607"/>
      <c r="DEP76" s="1607"/>
      <c r="DEQ76" s="1607"/>
      <c r="DER76" s="1607"/>
      <c r="DES76" s="1607"/>
      <c r="DET76" s="1607"/>
      <c r="DEU76" s="1607"/>
      <c r="DEV76" s="1607"/>
      <c r="DEW76" s="1607"/>
      <c r="DEX76" s="1607"/>
      <c r="DEY76" s="1607"/>
      <c r="DEZ76" s="1607"/>
      <c r="DFA76" s="1607"/>
      <c r="DFB76" s="1607"/>
      <c r="DFC76" s="1607"/>
      <c r="DFD76" s="1607"/>
      <c r="DFE76" s="1607"/>
      <c r="DFF76" s="1607"/>
      <c r="DFG76" s="1607"/>
      <c r="DFH76" s="1607"/>
      <c r="DFI76" s="1607"/>
      <c r="DFJ76" s="1607"/>
      <c r="DFK76" s="1607"/>
      <c r="DFL76" s="1607"/>
      <c r="DFM76" s="1607"/>
      <c r="DFN76" s="1607"/>
      <c r="DFO76" s="1607"/>
      <c r="DFP76" s="1607"/>
      <c r="DFQ76" s="1607"/>
      <c r="DFR76" s="1607"/>
      <c r="DFS76" s="1607"/>
      <c r="DFT76" s="1607"/>
      <c r="DFU76" s="1607"/>
      <c r="DFV76" s="1607"/>
      <c r="DFW76" s="1607"/>
      <c r="DFX76" s="1607"/>
      <c r="DFY76" s="1607"/>
      <c r="DFZ76" s="1607"/>
      <c r="DGA76" s="1607"/>
      <c r="DGB76" s="1607"/>
      <c r="DGC76" s="1607"/>
      <c r="DGD76" s="1607"/>
      <c r="DGE76" s="1607"/>
      <c r="DGF76" s="1607"/>
      <c r="DGG76" s="1607"/>
      <c r="DGH76" s="1607"/>
      <c r="DGI76" s="1607"/>
      <c r="DGJ76" s="1607"/>
      <c r="DGK76" s="1607"/>
      <c r="DGL76" s="1607"/>
      <c r="DGM76" s="1607"/>
      <c r="DGN76" s="1607"/>
      <c r="DGO76" s="1607"/>
      <c r="DGP76" s="1607"/>
      <c r="DGQ76" s="1607"/>
      <c r="DGR76" s="1607"/>
      <c r="DGS76" s="1607"/>
      <c r="DGT76" s="1607"/>
      <c r="DGU76" s="1607"/>
      <c r="DGV76" s="1607"/>
      <c r="DGW76" s="1607"/>
      <c r="DGX76" s="1607"/>
      <c r="DGY76" s="1607"/>
      <c r="DGZ76" s="1607"/>
      <c r="DHA76" s="1607"/>
      <c r="DHB76" s="1607"/>
      <c r="DHC76" s="1607"/>
      <c r="DHD76" s="1607"/>
      <c r="DHE76" s="1607"/>
      <c r="DHF76" s="1607"/>
      <c r="DHG76" s="1607"/>
      <c r="DHH76" s="1607"/>
      <c r="DHI76" s="1607"/>
      <c r="DHJ76" s="1607"/>
      <c r="DHK76" s="1607"/>
      <c r="DHL76" s="1607"/>
      <c r="DHM76" s="1607"/>
      <c r="DHN76" s="1607"/>
      <c r="DHO76" s="1607"/>
      <c r="DHP76" s="1607"/>
      <c r="DHQ76" s="1607"/>
      <c r="DHR76" s="1607"/>
      <c r="DHS76" s="1607"/>
      <c r="DHT76" s="1607"/>
      <c r="DHU76" s="1607"/>
      <c r="DHV76" s="1607"/>
      <c r="DHW76" s="1607"/>
      <c r="DHX76" s="1607"/>
      <c r="DHY76" s="1607"/>
      <c r="DHZ76" s="1607"/>
      <c r="DIA76" s="1607"/>
      <c r="DIB76" s="1607"/>
      <c r="DIC76" s="1607"/>
      <c r="DID76" s="1607"/>
      <c r="DIE76" s="1607"/>
      <c r="DIF76" s="1607"/>
      <c r="DIG76" s="1607"/>
      <c r="DIH76" s="1607"/>
      <c r="DII76" s="1607"/>
      <c r="DIJ76" s="1607"/>
      <c r="DIK76" s="1607"/>
      <c r="DIL76" s="1607"/>
      <c r="DIM76" s="1607"/>
      <c r="DIN76" s="1607"/>
      <c r="DIO76" s="1607"/>
      <c r="DIP76" s="1607"/>
      <c r="DIQ76" s="1607"/>
      <c r="DIR76" s="1607"/>
      <c r="DIS76" s="1607"/>
      <c r="DIT76" s="1607"/>
      <c r="DIU76" s="1607"/>
      <c r="DIV76" s="1607"/>
      <c r="DIW76" s="1607"/>
      <c r="DIX76" s="1607"/>
      <c r="DIY76" s="1607"/>
      <c r="DIZ76" s="1607"/>
      <c r="DJA76" s="1607"/>
      <c r="DJB76" s="1607"/>
      <c r="DJC76" s="1607"/>
      <c r="DJD76" s="1607"/>
      <c r="DJE76" s="1607"/>
      <c r="DJF76" s="1607"/>
      <c r="DJG76" s="1607"/>
      <c r="DJH76" s="1607"/>
      <c r="DJI76" s="1607"/>
      <c r="DJJ76" s="1607"/>
      <c r="DJK76" s="1607"/>
      <c r="DJL76" s="1607"/>
      <c r="DJM76" s="1607"/>
      <c r="DJN76" s="1607"/>
      <c r="DJO76" s="1607"/>
      <c r="DJP76" s="1607"/>
      <c r="DJQ76" s="1607"/>
      <c r="DJR76" s="1607"/>
      <c r="DJS76" s="1607"/>
      <c r="DJT76" s="1607"/>
      <c r="DJU76" s="1607"/>
      <c r="DJV76" s="1607"/>
      <c r="DJW76" s="1607"/>
      <c r="DJX76" s="1607"/>
      <c r="DJY76" s="1607"/>
      <c r="DJZ76" s="1607"/>
      <c r="DKA76" s="1607"/>
      <c r="DKB76" s="1607"/>
      <c r="DKC76" s="1607"/>
      <c r="DKD76" s="1607"/>
      <c r="DKE76" s="1607"/>
      <c r="DKF76" s="1607"/>
      <c r="DKG76" s="1607"/>
      <c r="DKH76" s="1607"/>
      <c r="DKI76" s="1607"/>
      <c r="DKJ76" s="1607"/>
      <c r="DKK76" s="1607"/>
      <c r="DKL76" s="1607"/>
      <c r="DKM76" s="1607"/>
      <c r="DKN76" s="1607"/>
      <c r="DKO76" s="1607"/>
      <c r="DKP76" s="1607"/>
      <c r="DKQ76" s="1607"/>
      <c r="DKR76" s="1607"/>
      <c r="DKS76" s="1607"/>
      <c r="DKT76" s="1607"/>
      <c r="DKU76" s="1607"/>
      <c r="DKV76" s="1607"/>
      <c r="DKW76" s="1607"/>
      <c r="DKX76" s="1607"/>
      <c r="DKY76" s="1607"/>
      <c r="DKZ76" s="1607"/>
      <c r="DLA76" s="1607"/>
      <c r="DLB76" s="1607"/>
      <c r="DLC76" s="1607"/>
      <c r="DLD76" s="1607"/>
      <c r="DLE76" s="1607"/>
      <c r="DLF76" s="1607"/>
      <c r="DLG76" s="1607"/>
      <c r="DLH76" s="1607"/>
      <c r="DLI76" s="1607"/>
      <c r="DLJ76" s="1607"/>
      <c r="DLK76" s="1607"/>
      <c r="DLL76" s="1607"/>
      <c r="DLM76" s="1607"/>
      <c r="DLN76" s="1607"/>
      <c r="DLO76" s="1607"/>
      <c r="DLP76" s="1607"/>
      <c r="DLQ76" s="1607"/>
      <c r="DLR76" s="1607"/>
      <c r="DLS76" s="1607"/>
      <c r="DLT76" s="1607"/>
      <c r="DLU76" s="1607"/>
      <c r="DLV76" s="1607"/>
      <c r="DLW76" s="1607"/>
      <c r="DLX76" s="1607"/>
      <c r="DLY76" s="1607"/>
      <c r="DLZ76" s="1607"/>
      <c r="DMA76" s="1607"/>
      <c r="DMB76" s="1607"/>
      <c r="DMC76" s="1607"/>
      <c r="DMD76" s="1607"/>
      <c r="DME76" s="1607"/>
      <c r="DMF76" s="1607"/>
      <c r="DMG76" s="1607"/>
      <c r="DMH76" s="1607"/>
      <c r="DMI76" s="1607"/>
      <c r="DMJ76" s="1607"/>
      <c r="DMK76" s="1607"/>
      <c r="DML76" s="1607"/>
      <c r="DMM76" s="1607"/>
      <c r="DMN76" s="1607"/>
      <c r="DMO76" s="1607"/>
      <c r="DMP76" s="1607"/>
      <c r="DMQ76" s="1607"/>
      <c r="DMR76" s="1607"/>
      <c r="DMS76" s="1607"/>
      <c r="DMT76" s="1607"/>
      <c r="DMU76" s="1607"/>
      <c r="DMV76" s="1607"/>
      <c r="DMW76" s="1607"/>
      <c r="DMX76" s="1607"/>
      <c r="DMY76" s="1607"/>
      <c r="DMZ76" s="1607"/>
      <c r="DNA76" s="1607"/>
      <c r="DNB76" s="1607"/>
      <c r="DNC76" s="1607"/>
      <c r="DND76" s="1607"/>
      <c r="DNE76" s="1607"/>
      <c r="DNF76" s="1607"/>
      <c r="DNG76" s="1607"/>
      <c r="DNH76" s="1607"/>
      <c r="DNI76" s="1607"/>
      <c r="DNJ76" s="1607"/>
      <c r="DNK76" s="1607"/>
      <c r="DNL76" s="1607"/>
      <c r="DNM76" s="1607"/>
      <c r="DNN76" s="1607"/>
      <c r="DNO76" s="1607"/>
      <c r="DNP76" s="1607"/>
      <c r="DNQ76" s="1607"/>
      <c r="DNR76" s="1607"/>
      <c r="DNS76" s="1607"/>
      <c r="DNT76" s="1607"/>
      <c r="DNU76" s="1607"/>
      <c r="DNV76" s="1607"/>
      <c r="DNW76" s="1607"/>
      <c r="DNX76" s="1607"/>
      <c r="DNY76" s="1607"/>
      <c r="DNZ76" s="1607"/>
      <c r="DOA76" s="1607"/>
      <c r="DOB76" s="1607"/>
      <c r="DOC76" s="1607"/>
      <c r="DOD76" s="1607"/>
      <c r="DOE76" s="1607"/>
      <c r="DOF76" s="1607"/>
      <c r="DOG76" s="1607"/>
      <c r="DOH76" s="1607"/>
      <c r="DOI76" s="1607"/>
      <c r="DOJ76" s="1607"/>
      <c r="DOK76" s="1607"/>
      <c r="DOL76" s="1607"/>
      <c r="DOM76" s="1607"/>
      <c r="DON76" s="1607"/>
      <c r="DOO76" s="1607"/>
      <c r="DOP76" s="1607"/>
      <c r="DOQ76" s="1607"/>
      <c r="DOR76" s="1607"/>
      <c r="DOS76" s="1607"/>
      <c r="DOT76" s="1607"/>
      <c r="DOU76" s="1607"/>
      <c r="DOV76" s="1607"/>
      <c r="DOW76" s="1607"/>
      <c r="DOX76" s="1607"/>
      <c r="DOY76" s="1607"/>
      <c r="DOZ76" s="1607"/>
      <c r="DPA76" s="1607"/>
      <c r="DPB76" s="1607"/>
      <c r="DPC76" s="1607"/>
      <c r="DPD76" s="1607"/>
      <c r="DPE76" s="1607"/>
      <c r="DPF76" s="1607"/>
      <c r="DPG76" s="1607"/>
      <c r="DPH76" s="1607"/>
      <c r="DPI76" s="1607"/>
      <c r="DPJ76" s="1607"/>
      <c r="DPK76" s="1607"/>
      <c r="DPL76" s="1607"/>
      <c r="DPM76" s="1607"/>
      <c r="DPN76" s="1607"/>
      <c r="DPO76" s="1607"/>
      <c r="DPP76" s="1607"/>
      <c r="DPQ76" s="1607"/>
      <c r="DPR76" s="1607"/>
      <c r="DPS76" s="1607"/>
      <c r="DPT76" s="1607"/>
      <c r="DPU76" s="1607"/>
      <c r="DPV76" s="1607"/>
      <c r="DPW76" s="1607"/>
      <c r="DPX76" s="1607"/>
      <c r="DPY76" s="1607"/>
      <c r="DPZ76" s="1607"/>
      <c r="DQA76" s="1607"/>
      <c r="DQB76" s="1607"/>
      <c r="DQC76" s="1607"/>
      <c r="DQD76" s="1607"/>
      <c r="DQE76" s="1607"/>
      <c r="DQF76" s="1607"/>
      <c r="DQG76" s="1607"/>
      <c r="DQH76" s="1607"/>
      <c r="DQI76" s="1607"/>
      <c r="DQJ76" s="1607"/>
      <c r="DQK76" s="1607"/>
      <c r="DQL76" s="1607"/>
      <c r="DQM76" s="1607"/>
      <c r="DQN76" s="1607"/>
      <c r="DQO76" s="1607"/>
      <c r="DQP76" s="1607"/>
      <c r="DQQ76" s="1607"/>
      <c r="DQR76" s="1607"/>
      <c r="DQS76" s="1607"/>
      <c r="DQT76" s="1607"/>
      <c r="DQU76" s="1607"/>
      <c r="DQV76" s="1607"/>
      <c r="DQW76" s="1607"/>
      <c r="DQX76" s="1607"/>
      <c r="DQY76" s="1607"/>
      <c r="DQZ76" s="1607"/>
      <c r="DRA76" s="1607"/>
      <c r="DRB76" s="1607"/>
      <c r="DRC76" s="1607"/>
      <c r="DRD76" s="1607"/>
      <c r="DRE76" s="1607"/>
      <c r="DRF76" s="1607"/>
      <c r="DRG76" s="1607"/>
      <c r="DRH76" s="1607"/>
      <c r="DRI76" s="1607"/>
      <c r="DRJ76" s="1607"/>
      <c r="DRK76" s="1607"/>
      <c r="DRL76" s="1607"/>
      <c r="DRM76" s="1607"/>
      <c r="DRN76" s="1607"/>
      <c r="DRO76" s="1607"/>
      <c r="DRP76" s="1607"/>
      <c r="DRQ76" s="1607"/>
      <c r="DRR76" s="1607"/>
      <c r="DRS76" s="1607"/>
      <c r="DRT76" s="1607"/>
      <c r="DRU76" s="1607"/>
      <c r="DRV76" s="1607"/>
      <c r="DRW76" s="1607"/>
      <c r="DRX76" s="1607"/>
      <c r="DRY76" s="1607"/>
      <c r="DRZ76" s="1607"/>
      <c r="DSA76" s="1607"/>
      <c r="DSB76" s="1607"/>
      <c r="DSC76" s="1607"/>
      <c r="DSD76" s="1607"/>
      <c r="DSE76" s="1607"/>
      <c r="DSF76" s="1607"/>
      <c r="DSG76" s="1607"/>
      <c r="DSH76" s="1607"/>
      <c r="DSI76" s="1607"/>
      <c r="DSJ76" s="1607"/>
      <c r="DSK76" s="1607"/>
      <c r="DSL76" s="1607"/>
      <c r="DSM76" s="1607"/>
      <c r="DSN76" s="1607"/>
      <c r="DSO76" s="1607"/>
      <c r="DSP76" s="1607"/>
      <c r="DSQ76" s="1607"/>
      <c r="DSR76" s="1607"/>
      <c r="DSS76" s="1607"/>
      <c r="DST76" s="1607"/>
      <c r="DSU76" s="1607"/>
      <c r="DSV76" s="1607"/>
      <c r="DSW76" s="1607"/>
      <c r="DSX76" s="1607"/>
      <c r="DSY76" s="1607"/>
      <c r="DSZ76" s="1607"/>
      <c r="DTA76" s="1607"/>
      <c r="DTB76" s="1607"/>
      <c r="DTC76" s="1607"/>
      <c r="DTD76" s="1607"/>
      <c r="DTE76" s="1607"/>
      <c r="DTF76" s="1607"/>
      <c r="DTG76" s="1607"/>
      <c r="DTH76" s="1607"/>
      <c r="DTI76" s="1607"/>
      <c r="DTJ76" s="1607"/>
      <c r="DTK76" s="1607"/>
      <c r="DTL76" s="1607"/>
      <c r="DTM76" s="1607"/>
      <c r="DTN76" s="1607"/>
      <c r="DTO76" s="1607"/>
      <c r="DTP76" s="1607"/>
      <c r="DTQ76" s="1607"/>
      <c r="DTR76" s="1607"/>
      <c r="DTS76" s="1607"/>
      <c r="DTT76" s="1607"/>
      <c r="DTU76" s="1607"/>
      <c r="DTV76" s="1607"/>
      <c r="DTW76" s="1607"/>
      <c r="DTX76" s="1607"/>
      <c r="DTY76" s="1607"/>
      <c r="DTZ76" s="1607"/>
      <c r="DUA76" s="1607"/>
      <c r="DUB76" s="1607"/>
      <c r="DUC76" s="1607"/>
      <c r="DUD76" s="1607"/>
      <c r="DUE76" s="1607"/>
      <c r="DUF76" s="1607"/>
      <c r="DUG76" s="1607"/>
      <c r="DUH76" s="1607"/>
      <c r="DUI76" s="1607"/>
      <c r="DUJ76" s="1607"/>
      <c r="DUK76" s="1607"/>
      <c r="DUL76" s="1607"/>
      <c r="DUM76" s="1607"/>
      <c r="DUN76" s="1607"/>
      <c r="DUO76" s="1607"/>
      <c r="DUP76" s="1607"/>
      <c r="DUQ76" s="1607"/>
      <c r="DUR76" s="1607"/>
      <c r="DUS76" s="1607"/>
      <c r="DUT76" s="1607"/>
      <c r="DUU76" s="1607"/>
      <c r="DUV76" s="1607"/>
      <c r="DUW76" s="1607"/>
      <c r="DUX76" s="1607"/>
      <c r="DUY76" s="1607"/>
      <c r="DUZ76" s="1607"/>
      <c r="DVA76" s="1607"/>
      <c r="DVB76" s="1607"/>
      <c r="DVC76" s="1607"/>
      <c r="DVD76" s="1607"/>
      <c r="DVE76" s="1607"/>
      <c r="DVF76" s="1607"/>
      <c r="DVG76" s="1607"/>
      <c r="DVH76" s="1607"/>
      <c r="DVI76" s="1607"/>
      <c r="DVJ76" s="1607"/>
      <c r="DVK76" s="1607"/>
      <c r="DVL76" s="1607"/>
      <c r="DVM76" s="1607"/>
      <c r="DVN76" s="1607"/>
      <c r="DVO76" s="1607"/>
      <c r="DVP76" s="1607"/>
      <c r="DVQ76" s="1607"/>
      <c r="DVR76" s="1607"/>
      <c r="DVS76" s="1607"/>
      <c r="DVT76" s="1607"/>
      <c r="DVU76" s="1607"/>
      <c r="DVV76" s="1607"/>
      <c r="DVW76" s="1607"/>
      <c r="DVX76" s="1607"/>
      <c r="DVY76" s="1607"/>
      <c r="DVZ76" s="1607"/>
      <c r="DWA76" s="1607"/>
      <c r="DWB76" s="1607"/>
      <c r="DWC76" s="1607"/>
      <c r="DWD76" s="1607"/>
      <c r="DWE76" s="1607"/>
      <c r="DWF76" s="1607"/>
      <c r="DWG76" s="1607"/>
      <c r="DWH76" s="1607"/>
      <c r="DWI76" s="1607"/>
      <c r="DWJ76" s="1607"/>
      <c r="DWK76" s="1607"/>
      <c r="DWL76" s="1607"/>
      <c r="DWM76" s="1607"/>
      <c r="DWN76" s="1607"/>
      <c r="DWO76" s="1607"/>
      <c r="DWP76" s="1607"/>
      <c r="DWQ76" s="1607"/>
      <c r="DWR76" s="1607"/>
      <c r="DWS76" s="1607"/>
      <c r="DWT76" s="1607"/>
      <c r="DWU76" s="1607"/>
      <c r="DWV76" s="1607"/>
      <c r="DWW76" s="1607"/>
      <c r="DWX76" s="1607"/>
      <c r="DWY76" s="1607"/>
      <c r="DWZ76" s="1607"/>
      <c r="DXA76" s="1607"/>
      <c r="DXB76" s="1607"/>
      <c r="DXC76" s="1607"/>
      <c r="DXD76" s="1607"/>
      <c r="DXE76" s="1607"/>
      <c r="DXF76" s="1607"/>
      <c r="DXG76" s="1607"/>
      <c r="DXH76" s="1607"/>
      <c r="DXI76" s="1607"/>
      <c r="DXJ76" s="1607"/>
      <c r="DXK76" s="1607"/>
      <c r="DXL76" s="1607"/>
      <c r="DXM76" s="1607"/>
      <c r="DXN76" s="1607"/>
      <c r="DXO76" s="1607"/>
      <c r="DXP76" s="1607"/>
      <c r="DXQ76" s="1607"/>
      <c r="DXR76" s="1607"/>
      <c r="DXS76" s="1607"/>
      <c r="DXT76" s="1607"/>
      <c r="DXU76" s="1607"/>
      <c r="DXV76" s="1607"/>
      <c r="DXW76" s="1607"/>
      <c r="DXX76" s="1607"/>
      <c r="DXY76" s="1607"/>
      <c r="DXZ76" s="1607"/>
      <c r="DYA76" s="1607"/>
      <c r="DYB76" s="1607"/>
      <c r="DYC76" s="1607"/>
      <c r="DYD76" s="1607"/>
      <c r="DYE76" s="1607"/>
      <c r="DYF76" s="1607"/>
      <c r="DYG76" s="1607"/>
      <c r="DYH76" s="1607"/>
      <c r="DYI76" s="1607"/>
      <c r="DYJ76" s="1607"/>
      <c r="DYK76" s="1607"/>
      <c r="DYL76" s="1607"/>
      <c r="DYM76" s="1607"/>
      <c r="DYN76" s="1607"/>
      <c r="DYO76" s="1607"/>
      <c r="DYP76" s="1607"/>
      <c r="DYQ76" s="1607"/>
      <c r="DYR76" s="1607"/>
      <c r="DYS76" s="1607"/>
      <c r="DYT76" s="1607"/>
      <c r="DYU76" s="1607"/>
      <c r="DYV76" s="1607"/>
      <c r="DYW76" s="1607"/>
      <c r="DYX76" s="1607"/>
      <c r="DYY76" s="1607"/>
      <c r="DYZ76" s="1607"/>
      <c r="DZA76" s="1607"/>
      <c r="DZB76" s="1607"/>
      <c r="DZC76" s="1607"/>
      <c r="DZD76" s="1607"/>
      <c r="DZE76" s="1607"/>
      <c r="DZF76" s="1607"/>
      <c r="DZG76" s="1607"/>
      <c r="DZH76" s="1607"/>
      <c r="DZI76" s="1607"/>
      <c r="DZJ76" s="1607"/>
      <c r="DZK76" s="1607"/>
      <c r="DZL76" s="1607"/>
      <c r="DZM76" s="1607"/>
      <c r="DZN76" s="1607"/>
      <c r="DZO76" s="1607"/>
      <c r="DZP76" s="1607"/>
      <c r="DZQ76" s="1607"/>
      <c r="DZR76" s="1607"/>
      <c r="DZS76" s="1607"/>
      <c r="DZT76" s="1607"/>
      <c r="DZU76" s="1607"/>
      <c r="DZV76" s="1607"/>
      <c r="DZW76" s="1607"/>
      <c r="DZX76" s="1607"/>
      <c r="DZY76" s="1607"/>
      <c r="DZZ76" s="1607"/>
      <c r="EAA76" s="1607"/>
      <c r="EAB76" s="1607"/>
      <c r="EAC76" s="1607"/>
      <c r="EAD76" s="1607"/>
      <c r="EAE76" s="1607"/>
      <c r="EAF76" s="1607"/>
      <c r="EAG76" s="1607"/>
      <c r="EAH76" s="1607"/>
      <c r="EAI76" s="1607"/>
      <c r="EAJ76" s="1607"/>
      <c r="EAK76" s="1607"/>
      <c r="EAL76" s="1607"/>
      <c r="EAM76" s="1607"/>
      <c r="EAN76" s="1607"/>
      <c r="EAO76" s="1607"/>
      <c r="EAP76" s="1607"/>
      <c r="EAQ76" s="1607"/>
      <c r="EAR76" s="1607"/>
      <c r="EAS76" s="1607"/>
      <c r="EAT76" s="1607"/>
      <c r="EAU76" s="1607"/>
      <c r="EAV76" s="1607"/>
      <c r="EAW76" s="1607"/>
      <c r="EAX76" s="1607"/>
      <c r="EAY76" s="1607"/>
      <c r="EAZ76" s="1607"/>
      <c r="EBA76" s="1607"/>
      <c r="EBB76" s="1607"/>
      <c r="EBC76" s="1607"/>
      <c r="EBD76" s="1607"/>
      <c r="EBE76" s="1607"/>
      <c r="EBF76" s="1607"/>
      <c r="EBG76" s="1607"/>
      <c r="EBH76" s="1607"/>
      <c r="EBI76" s="1607"/>
      <c r="EBJ76" s="1607"/>
      <c r="EBK76" s="1607"/>
      <c r="EBL76" s="1607"/>
      <c r="EBM76" s="1607"/>
      <c r="EBN76" s="1607"/>
      <c r="EBO76" s="1607"/>
      <c r="EBP76" s="1607"/>
      <c r="EBQ76" s="1607"/>
      <c r="EBR76" s="1607"/>
      <c r="EBS76" s="1607"/>
      <c r="EBT76" s="1607"/>
      <c r="EBU76" s="1607"/>
      <c r="EBV76" s="1607"/>
      <c r="EBW76" s="1607"/>
      <c r="EBX76" s="1607"/>
      <c r="EBY76" s="1607"/>
      <c r="EBZ76" s="1607"/>
      <c r="ECA76" s="1607"/>
      <c r="ECB76" s="1607"/>
      <c r="ECC76" s="1607"/>
      <c r="ECD76" s="1607"/>
      <c r="ECE76" s="1607"/>
      <c r="ECF76" s="1607"/>
      <c r="ECG76" s="1607"/>
      <c r="ECH76" s="1607"/>
      <c r="ECI76" s="1607"/>
      <c r="ECJ76" s="1607"/>
      <c r="ECK76" s="1607"/>
      <c r="ECL76" s="1607"/>
      <c r="ECM76" s="1607"/>
      <c r="ECN76" s="1607"/>
      <c r="ECO76" s="1607"/>
      <c r="ECP76" s="1607"/>
      <c r="ECQ76" s="1607"/>
      <c r="ECR76" s="1607"/>
      <c r="ECS76" s="1607"/>
      <c r="ECT76" s="1607"/>
      <c r="ECU76" s="1607"/>
      <c r="ECV76" s="1607"/>
      <c r="ECW76" s="1607"/>
      <c r="ECX76" s="1607"/>
      <c r="ECY76" s="1607"/>
      <c r="ECZ76" s="1607"/>
      <c r="EDA76" s="1607"/>
      <c r="EDB76" s="1607"/>
      <c r="EDC76" s="1607"/>
      <c r="EDD76" s="1607"/>
      <c r="EDE76" s="1607"/>
      <c r="EDF76" s="1607"/>
      <c r="EDG76" s="1607"/>
      <c r="EDH76" s="1607"/>
      <c r="EDI76" s="1607"/>
      <c r="EDJ76" s="1607"/>
      <c r="EDK76" s="1607"/>
      <c r="EDL76" s="1607"/>
      <c r="EDM76" s="1607"/>
      <c r="EDN76" s="1607"/>
      <c r="EDO76" s="1607"/>
      <c r="EDP76" s="1607"/>
      <c r="EDQ76" s="1607"/>
      <c r="EDR76" s="1607"/>
      <c r="EDS76" s="1607"/>
      <c r="EDT76" s="1607"/>
      <c r="EDU76" s="1607"/>
      <c r="EDV76" s="1607"/>
      <c r="EDW76" s="1607"/>
      <c r="EDX76" s="1607"/>
      <c r="EDY76" s="1607"/>
      <c r="EDZ76" s="1607"/>
      <c r="EEA76" s="1607"/>
      <c r="EEB76" s="1607"/>
      <c r="EEC76" s="1607"/>
      <c r="EED76" s="1607"/>
      <c r="EEE76" s="1607"/>
      <c r="EEF76" s="1607"/>
      <c r="EEG76" s="1607"/>
      <c r="EEH76" s="1607"/>
      <c r="EEI76" s="1607"/>
      <c r="EEJ76" s="1607"/>
      <c r="EEK76" s="1607"/>
      <c r="EEL76" s="1607"/>
      <c r="EEM76" s="1607"/>
      <c r="EEN76" s="1607"/>
      <c r="EEO76" s="1607"/>
      <c r="EEP76" s="1607"/>
      <c r="EEQ76" s="1607"/>
      <c r="EER76" s="1607"/>
      <c r="EES76" s="1607"/>
      <c r="EET76" s="1607"/>
      <c r="EEU76" s="1607"/>
      <c r="EEV76" s="1607"/>
      <c r="EEW76" s="1607"/>
      <c r="EEX76" s="1607"/>
      <c r="EEY76" s="1607"/>
      <c r="EEZ76" s="1607"/>
      <c r="EFA76" s="1607"/>
      <c r="EFB76" s="1607"/>
      <c r="EFC76" s="1607"/>
      <c r="EFD76" s="1607"/>
      <c r="EFE76" s="1607"/>
      <c r="EFF76" s="1607"/>
      <c r="EFG76" s="1607"/>
      <c r="EFH76" s="1607"/>
      <c r="EFI76" s="1607"/>
      <c r="EFJ76" s="1607"/>
      <c r="EFK76" s="1607"/>
      <c r="EFL76" s="1607"/>
      <c r="EFM76" s="1607"/>
      <c r="EFN76" s="1607"/>
      <c r="EFO76" s="1607"/>
      <c r="EFP76" s="1607"/>
      <c r="EFQ76" s="1607"/>
      <c r="EFR76" s="1607"/>
      <c r="EFS76" s="1607"/>
      <c r="EFT76" s="1607"/>
      <c r="EFU76" s="1607"/>
      <c r="EFV76" s="1607"/>
      <c r="EFW76" s="1607"/>
      <c r="EFX76" s="1607"/>
      <c r="EFY76" s="1607"/>
      <c r="EFZ76" s="1607"/>
      <c r="EGA76" s="1607"/>
      <c r="EGB76" s="1607"/>
      <c r="EGC76" s="1607"/>
      <c r="EGD76" s="1607"/>
      <c r="EGE76" s="1607"/>
      <c r="EGF76" s="1607"/>
      <c r="EGG76" s="1607"/>
      <c r="EGH76" s="1607"/>
      <c r="EGI76" s="1607"/>
      <c r="EGJ76" s="1607"/>
      <c r="EGK76" s="1607"/>
      <c r="EGL76" s="1607"/>
      <c r="EGM76" s="1607"/>
      <c r="EGN76" s="1607"/>
      <c r="EGO76" s="1607"/>
      <c r="EGP76" s="1607"/>
      <c r="EGQ76" s="1607"/>
      <c r="EGR76" s="1607"/>
      <c r="EGS76" s="1607"/>
      <c r="EGT76" s="1607"/>
      <c r="EGU76" s="1607"/>
      <c r="EGV76" s="1607"/>
      <c r="EGW76" s="1607"/>
      <c r="EGX76" s="1607"/>
      <c r="EGY76" s="1607"/>
      <c r="EGZ76" s="1607"/>
      <c r="EHA76" s="1607"/>
      <c r="EHB76" s="1607"/>
      <c r="EHC76" s="1607"/>
      <c r="EHD76" s="1607"/>
      <c r="EHE76" s="1607"/>
      <c r="EHF76" s="1607"/>
      <c r="EHG76" s="1607"/>
      <c r="EHH76" s="1607"/>
      <c r="EHI76" s="1607"/>
      <c r="EHJ76" s="1607"/>
      <c r="EHK76" s="1607"/>
      <c r="EHL76" s="1607"/>
      <c r="EHM76" s="1607"/>
      <c r="EHN76" s="1607"/>
      <c r="EHO76" s="1607"/>
      <c r="EHP76" s="1607"/>
      <c r="EHQ76" s="1607"/>
      <c r="EHR76" s="1607"/>
      <c r="EHS76" s="1607"/>
      <c r="EHT76" s="1607"/>
      <c r="EHU76" s="1607"/>
      <c r="EHV76" s="1607"/>
      <c r="EHW76" s="1607"/>
      <c r="EHX76" s="1607"/>
      <c r="EHY76" s="1607"/>
      <c r="EHZ76" s="1607"/>
      <c r="EIA76" s="1607"/>
      <c r="EIB76" s="1607"/>
      <c r="EIC76" s="1607"/>
      <c r="EID76" s="1607"/>
      <c r="EIE76" s="1607"/>
      <c r="EIF76" s="1607"/>
      <c r="EIG76" s="1607"/>
      <c r="EIH76" s="1607"/>
      <c r="EII76" s="1607"/>
      <c r="EIJ76" s="1607"/>
      <c r="EIK76" s="1607"/>
      <c r="EIL76" s="1607"/>
      <c r="EIM76" s="1607"/>
      <c r="EIN76" s="1607"/>
      <c r="EIO76" s="1607"/>
      <c r="EIP76" s="1607"/>
      <c r="EIQ76" s="1607"/>
      <c r="EIR76" s="1607"/>
      <c r="EIS76" s="1607"/>
      <c r="EIT76" s="1607"/>
      <c r="EIU76" s="1607"/>
      <c r="EIV76" s="1607"/>
      <c r="EIW76" s="1607"/>
      <c r="EIX76" s="1607"/>
      <c r="EIY76" s="1607"/>
      <c r="EIZ76" s="1607"/>
      <c r="EJA76" s="1607"/>
      <c r="EJB76" s="1607"/>
      <c r="EJC76" s="1607"/>
      <c r="EJD76" s="1607"/>
      <c r="EJE76" s="1607"/>
      <c r="EJF76" s="1607"/>
      <c r="EJG76" s="1607"/>
      <c r="EJH76" s="1607"/>
      <c r="EJI76" s="1607"/>
      <c r="EJJ76" s="1607"/>
      <c r="EJK76" s="1607"/>
      <c r="EJL76" s="1607"/>
      <c r="EJM76" s="1607"/>
      <c r="EJN76" s="1607"/>
      <c r="EJO76" s="1607"/>
      <c r="EJP76" s="1607"/>
      <c r="EJQ76" s="1607"/>
      <c r="EJR76" s="1607"/>
      <c r="EJS76" s="1607"/>
      <c r="EJT76" s="1607"/>
      <c r="EJU76" s="1607"/>
      <c r="EJV76" s="1607"/>
      <c r="EJW76" s="1607"/>
      <c r="EJX76" s="1607"/>
      <c r="EJY76" s="1607"/>
      <c r="EJZ76" s="1607"/>
      <c r="EKA76" s="1607"/>
      <c r="EKB76" s="1607"/>
      <c r="EKC76" s="1607"/>
      <c r="EKD76" s="1607"/>
      <c r="EKE76" s="1607"/>
      <c r="EKF76" s="1607"/>
      <c r="EKG76" s="1607"/>
      <c r="EKH76" s="1607"/>
      <c r="EKI76" s="1607"/>
      <c r="EKJ76" s="1607"/>
      <c r="EKK76" s="1607"/>
      <c r="EKL76" s="1607"/>
      <c r="EKM76" s="1607"/>
      <c r="EKN76" s="1607"/>
      <c r="EKO76" s="1607"/>
      <c r="EKP76" s="1607"/>
      <c r="EKQ76" s="1607"/>
      <c r="EKR76" s="1607"/>
      <c r="EKS76" s="1607"/>
      <c r="EKT76" s="1607"/>
      <c r="EKU76" s="1607"/>
      <c r="EKV76" s="1607"/>
      <c r="EKW76" s="1607"/>
      <c r="EKX76" s="1607"/>
      <c r="EKY76" s="1607"/>
      <c r="EKZ76" s="1607"/>
      <c r="ELA76" s="1607"/>
      <c r="ELB76" s="1607"/>
      <c r="ELC76" s="1607"/>
      <c r="ELD76" s="1607"/>
      <c r="ELE76" s="1607"/>
      <c r="ELF76" s="1607"/>
      <c r="ELG76" s="1607"/>
      <c r="ELH76" s="1607"/>
      <c r="ELI76" s="1607"/>
      <c r="ELJ76" s="1607"/>
      <c r="ELK76" s="1607"/>
      <c r="ELL76" s="1607"/>
      <c r="ELM76" s="1607"/>
      <c r="ELN76" s="1607"/>
      <c r="ELO76" s="1607"/>
      <c r="ELP76" s="1607"/>
      <c r="ELQ76" s="1607"/>
      <c r="ELR76" s="1607"/>
      <c r="ELS76" s="1607"/>
      <c r="ELT76" s="1607"/>
      <c r="ELU76" s="1607"/>
      <c r="ELV76" s="1607"/>
      <c r="ELW76" s="1607"/>
      <c r="ELX76" s="1607"/>
      <c r="ELY76" s="1607"/>
      <c r="ELZ76" s="1607"/>
      <c r="EMA76" s="1607"/>
      <c r="EMB76" s="1607"/>
      <c r="EMC76" s="1607"/>
      <c r="EMD76" s="1607"/>
      <c r="EME76" s="1607"/>
      <c r="EMF76" s="1607"/>
      <c r="EMG76" s="1607"/>
      <c r="EMH76" s="1607"/>
      <c r="EMI76" s="1607"/>
      <c r="EMJ76" s="1607"/>
      <c r="EMK76" s="1607"/>
      <c r="EML76" s="1607"/>
      <c r="EMM76" s="1607"/>
      <c r="EMN76" s="1607"/>
      <c r="EMO76" s="1607"/>
      <c r="EMP76" s="1607"/>
      <c r="EMQ76" s="1607"/>
      <c r="EMR76" s="1607"/>
      <c r="EMS76" s="1607"/>
      <c r="EMT76" s="1607"/>
      <c r="EMU76" s="1607"/>
      <c r="EMV76" s="1607"/>
      <c r="EMW76" s="1607"/>
      <c r="EMX76" s="1607"/>
      <c r="EMY76" s="1607"/>
      <c r="EMZ76" s="1607"/>
      <c r="ENA76" s="1607"/>
      <c r="ENB76" s="1607"/>
      <c r="ENC76" s="1607"/>
      <c r="END76" s="1607"/>
      <c r="ENE76" s="1607"/>
      <c r="ENF76" s="1607"/>
      <c r="ENG76" s="1607"/>
      <c r="ENH76" s="1607"/>
      <c r="ENI76" s="1607"/>
      <c r="ENJ76" s="1607"/>
      <c r="ENK76" s="1607"/>
      <c r="ENL76" s="1607"/>
      <c r="ENM76" s="1607"/>
      <c r="ENN76" s="1607"/>
      <c r="ENO76" s="1607"/>
      <c r="ENP76" s="1607"/>
      <c r="ENQ76" s="1607"/>
      <c r="ENR76" s="1607"/>
      <c r="ENS76" s="1607"/>
      <c r="ENT76" s="1607"/>
      <c r="ENU76" s="1607"/>
      <c r="ENV76" s="1607"/>
      <c r="ENW76" s="1607"/>
      <c r="ENX76" s="1607"/>
      <c r="ENY76" s="1607"/>
      <c r="ENZ76" s="1607"/>
      <c r="EOA76" s="1607"/>
      <c r="EOB76" s="1607"/>
      <c r="EOC76" s="1607"/>
      <c r="EOD76" s="1607"/>
      <c r="EOE76" s="1607"/>
      <c r="EOF76" s="1607"/>
      <c r="EOG76" s="1607"/>
      <c r="EOH76" s="1607"/>
      <c r="EOI76" s="1607"/>
      <c r="EOJ76" s="1607"/>
      <c r="EOK76" s="1607"/>
      <c r="EOL76" s="1607"/>
      <c r="EOM76" s="1607"/>
      <c r="EON76" s="1607"/>
      <c r="EOO76" s="1607"/>
      <c r="EOP76" s="1607"/>
      <c r="EOQ76" s="1607"/>
      <c r="EOR76" s="1607"/>
      <c r="EOS76" s="1607"/>
      <c r="EOT76" s="1607"/>
      <c r="EOU76" s="1607"/>
      <c r="EOV76" s="1607"/>
      <c r="EOW76" s="1607"/>
      <c r="EOX76" s="1607"/>
      <c r="EOY76" s="1607"/>
      <c r="EOZ76" s="1607"/>
      <c r="EPA76" s="1607"/>
      <c r="EPB76" s="1607"/>
      <c r="EPC76" s="1607"/>
      <c r="EPD76" s="1607"/>
      <c r="EPE76" s="1607"/>
      <c r="EPF76" s="1607"/>
      <c r="EPG76" s="1607"/>
      <c r="EPH76" s="1607"/>
      <c r="EPI76" s="1607"/>
      <c r="EPJ76" s="1607"/>
      <c r="EPK76" s="1607"/>
      <c r="EPL76" s="1607"/>
      <c r="EPM76" s="1607"/>
      <c r="EPN76" s="1607"/>
      <c r="EPO76" s="1607"/>
      <c r="EPP76" s="1607"/>
      <c r="EPQ76" s="1607"/>
      <c r="EPR76" s="1607"/>
      <c r="EPS76" s="1607"/>
      <c r="EPT76" s="1607"/>
      <c r="EPU76" s="1607"/>
      <c r="EPV76" s="1607"/>
      <c r="EPW76" s="1607"/>
      <c r="EPX76" s="1607"/>
      <c r="EPY76" s="1607"/>
      <c r="EPZ76" s="1607"/>
      <c r="EQA76" s="1607"/>
      <c r="EQB76" s="1607"/>
      <c r="EQC76" s="1607"/>
      <c r="EQD76" s="1607"/>
      <c r="EQE76" s="1607"/>
      <c r="EQF76" s="1607"/>
      <c r="EQG76" s="1607"/>
      <c r="EQH76" s="1607"/>
      <c r="EQI76" s="1607"/>
      <c r="EQJ76" s="1607"/>
      <c r="EQK76" s="1607"/>
      <c r="EQL76" s="1607"/>
      <c r="EQM76" s="1607"/>
      <c r="EQN76" s="1607"/>
      <c r="EQO76" s="1607"/>
      <c r="EQP76" s="1607"/>
      <c r="EQQ76" s="1607"/>
      <c r="EQR76" s="1607"/>
      <c r="EQS76" s="1607"/>
      <c r="EQT76" s="1607"/>
      <c r="EQU76" s="1607"/>
      <c r="EQV76" s="1607"/>
      <c r="EQW76" s="1607"/>
      <c r="EQX76" s="1607"/>
      <c r="EQY76" s="1607"/>
      <c r="EQZ76" s="1607"/>
      <c r="ERA76" s="1607"/>
      <c r="ERB76" s="1607"/>
      <c r="ERC76" s="1607"/>
      <c r="ERD76" s="1607"/>
      <c r="ERE76" s="1607"/>
      <c r="ERF76" s="1607"/>
      <c r="ERG76" s="1607"/>
      <c r="ERH76" s="1607"/>
      <c r="ERI76" s="1607"/>
      <c r="ERJ76" s="1607"/>
      <c r="ERK76" s="1607"/>
      <c r="ERL76" s="1607"/>
      <c r="ERM76" s="1607"/>
      <c r="ERN76" s="1607"/>
      <c r="ERO76" s="1607"/>
      <c r="ERP76" s="1607"/>
      <c r="ERQ76" s="1607"/>
      <c r="ERR76" s="1607"/>
      <c r="ERS76" s="1607"/>
      <c r="ERT76" s="1607"/>
      <c r="ERU76" s="1607"/>
      <c r="ERV76" s="1607"/>
      <c r="ERW76" s="1607"/>
      <c r="ERX76" s="1607"/>
      <c r="ERY76" s="1607"/>
      <c r="ERZ76" s="1607"/>
      <c r="ESA76" s="1607"/>
      <c r="ESB76" s="1607"/>
      <c r="ESC76" s="1607"/>
      <c r="ESD76" s="1607"/>
      <c r="ESE76" s="1607"/>
      <c r="ESF76" s="1607"/>
      <c r="ESG76" s="1607"/>
      <c r="ESH76" s="1607"/>
      <c r="ESI76" s="1607"/>
      <c r="ESJ76" s="1607"/>
      <c r="ESK76" s="1607"/>
      <c r="ESL76" s="1607"/>
      <c r="ESM76" s="1607"/>
      <c r="ESN76" s="1607"/>
      <c r="ESO76" s="1607"/>
      <c r="ESP76" s="1607"/>
      <c r="ESQ76" s="1607"/>
      <c r="ESR76" s="1607"/>
      <c r="ESS76" s="1607"/>
      <c r="EST76" s="1607"/>
      <c r="ESU76" s="1607"/>
      <c r="ESV76" s="1607"/>
      <c r="ESW76" s="1607"/>
      <c r="ESX76" s="1607"/>
      <c r="ESY76" s="1607"/>
      <c r="ESZ76" s="1607"/>
      <c r="ETA76" s="1607"/>
      <c r="ETB76" s="1607"/>
      <c r="ETC76" s="1607"/>
      <c r="ETD76" s="1607"/>
      <c r="ETE76" s="1607"/>
      <c r="ETF76" s="1607"/>
      <c r="ETG76" s="1607"/>
      <c r="ETH76" s="1607"/>
      <c r="ETI76" s="1607"/>
      <c r="ETJ76" s="1607"/>
      <c r="ETK76" s="1607"/>
      <c r="ETL76" s="1607"/>
      <c r="ETM76" s="1607"/>
      <c r="ETN76" s="1607"/>
      <c r="ETO76" s="1607"/>
      <c r="ETP76" s="1607"/>
      <c r="ETQ76" s="1607"/>
      <c r="ETR76" s="1607"/>
      <c r="ETS76" s="1607"/>
      <c r="ETT76" s="1607"/>
      <c r="ETU76" s="1607"/>
      <c r="ETV76" s="1607"/>
      <c r="ETW76" s="1607"/>
      <c r="ETX76" s="1607"/>
      <c r="ETY76" s="1607"/>
      <c r="ETZ76" s="1607"/>
      <c r="EUA76" s="1607"/>
      <c r="EUB76" s="1607"/>
      <c r="EUC76" s="1607"/>
      <c r="EUD76" s="1607"/>
      <c r="EUE76" s="1607"/>
      <c r="EUF76" s="1607"/>
      <c r="EUG76" s="1607"/>
      <c r="EUH76" s="1607"/>
      <c r="EUI76" s="1607"/>
      <c r="EUJ76" s="1607"/>
      <c r="EUK76" s="1607"/>
      <c r="EUL76" s="1607"/>
      <c r="EUM76" s="1607"/>
      <c r="EUN76" s="1607"/>
      <c r="EUO76" s="1607"/>
      <c r="EUP76" s="1607"/>
      <c r="EUQ76" s="1607"/>
      <c r="EUR76" s="1607"/>
      <c r="EUS76" s="1607"/>
      <c r="EUT76" s="1607"/>
      <c r="EUU76" s="1607"/>
      <c r="EUV76" s="1607"/>
      <c r="EUW76" s="1607"/>
      <c r="EUX76" s="1607"/>
      <c r="EUY76" s="1607"/>
      <c r="EUZ76" s="1607"/>
      <c r="EVA76" s="1607"/>
      <c r="EVB76" s="1607"/>
      <c r="EVC76" s="1607"/>
      <c r="EVD76" s="1607"/>
      <c r="EVE76" s="1607"/>
      <c r="EVF76" s="1607"/>
      <c r="EVG76" s="1607"/>
      <c r="EVH76" s="1607"/>
      <c r="EVI76" s="1607"/>
      <c r="EVJ76" s="1607"/>
      <c r="EVK76" s="1607"/>
      <c r="EVL76" s="1607"/>
      <c r="EVM76" s="1607"/>
      <c r="EVN76" s="1607"/>
      <c r="EVO76" s="1607"/>
      <c r="EVP76" s="1607"/>
      <c r="EVQ76" s="1607"/>
      <c r="EVR76" s="1607"/>
      <c r="EVS76" s="1607"/>
      <c r="EVT76" s="1607"/>
      <c r="EVU76" s="1607"/>
      <c r="EVV76" s="1607"/>
      <c r="EVW76" s="1607"/>
      <c r="EVX76" s="1607"/>
      <c r="EVY76" s="1607"/>
      <c r="EVZ76" s="1607"/>
      <c r="EWA76" s="1607"/>
      <c r="EWB76" s="1607"/>
      <c r="EWC76" s="1607"/>
      <c r="EWD76" s="1607"/>
      <c r="EWE76" s="1607"/>
      <c r="EWF76" s="1607"/>
      <c r="EWG76" s="1607"/>
      <c r="EWH76" s="1607"/>
      <c r="EWI76" s="1607"/>
      <c r="EWJ76" s="1607"/>
      <c r="EWK76" s="1607"/>
      <c r="EWL76" s="1607"/>
      <c r="EWM76" s="1607"/>
      <c r="EWN76" s="1607"/>
      <c r="EWO76" s="1607"/>
      <c r="EWP76" s="1607"/>
      <c r="EWQ76" s="1607"/>
      <c r="EWR76" s="1607"/>
      <c r="EWS76" s="1607"/>
      <c r="EWT76" s="1607"/>
      <c r="EWU76" s="1607"/>
      <c r="EWV76" s="1607"/>
      <c r="EWW76" s="1607"/>
      <c r="EWX76" s="1607"/>
      <c r="EWY76" s="1607"/>
      <c r="EWZ76" s="1607"/>
      <c r="EXA76" s="1607"/>
      <c r="EXB76" s="1607"/>
      <c r="EXC76" s="1607"/>
      <c r="EXD76" s="1607"/>
      <c r="EXE76" s="1607"/>
      <c r="EXF76" s="1607"/>
      <c r="EXG76" s="1607"/>
      <c r="EXH76" s="1607"/>
      <c r="EXI76" s="1607"/>
      <c r="EXJ76" s="1607"/>
      <c r="EXK76" s="1607"/>
      <c r="EXL76" s="1607"/>
      <c r="EXM76" s="1607"/>
      <c r="EXN76" s="1607"/>
      <c r="EXO76" s="1607"/>
      <c r="EXP76" s="1607"/>
      <c r="EXQ76" s="1607"/>
      <c r="EXR76" s="1607"/>
      <c r="EXS76" s="1607"/>
      <c r="EXT76" s="1607"/>
      <c r="EXU76" s="1607"/>
      <c r="EXV76" s="1607"/>
      <c r="EXW76" s="1607"/>
      <c r="EXX76" s="1607"/>
      <c r="EXY76" s="1607"/>
      <c r="EXZ76" s="1607"/>
      <c r="EYA76" s="1607"/>
      <c r="EYB76" s="1607"/>
      <c r="EYC76" s="1607"/>
      <c r="EYD76" s="1607"/>
      <c r="EYE76" s="1607"/>
      <c r="EYF76" s="1607"/>
      <c r="EYG76" s="1607"/>
      <c r="EYH76" s="1607"/>
      <c r="EYI76" s="1607"/>
      <c r="EYJ76" s="1607"/>
      <c r="EYK76" s="1607"/>
      <c r="EYL76" s="1607"/>
      <c r="EYM76" s="1607"/>
      <c r="EYN76" s="1607"/>
      <c r="EYO76" s="1607"/>
      <c r="EYP76" s="1607"/>
      <c r="EYQ76" s="1607"/>
      <c r="EYR76" s="1607"/>
      <c r="EYS76" s="1607"/>
      <c r="EYT76" s="1607"/>
      <c r="EYU76" s="1607"/>
      <c r="EYV76" s="1607"/>
      <c r="EYW76" s="1607"/>
      <c r="EYX76" s="1607"/>
      <c r="EYY76" s="1607"/>
      <c r="EYZ76" s="1607"/>
      <c r="EZA76" s="1607"/>
      <c r="EZB76" s="1607"/>
      <c r="EZC76" s="1607"/>
      <c r="EZD76" s="1607"/>
      <c r="EZE76" s="1607"/>
      <c r="EZF76" s="1607"/>
      <c r="EZG76" s="1607"/>
      <c r="EZH76" s="1607"/>
      <c r="EZI76" s="1607"/>
      <c r="EZJ76" s="1607"/>
      <c r="EZK76" s="1607"/>
      <c r="EZL76" s="1607"/>
      <c r="EZM76" s="1607"/>
      <c r="EZN76" s="1607"/>
      <c r="EZO76" s="1607"/>
      <c r="EZP76" s="1607"/>
      <c r="EZQ76" s="1607"/>
      <c r="EZR76" s="1607"/>
      <c r="EZS76" s="1607"/>
      <c r="EZT76" s="1607"/>
      <c r="EZU76" s="1607"/>
      <c r="EZV76" s="1607"/>
      <c r="EZW76" s="1607"/>
      <c r="EZX76" s="1607"/>
      <c r="EZY76" s="1607"/>
      <c r="EZZ76" s="1607"/>
      <c r="FAA76" s="1607"/>
      <c r="FAB76" s="1607"/>
      <c r="FAC76" s="1607"/>
      <c r="FAD76" s="1607"/>
      <c r="FAE76" s="1607"/>
      <c r="FAF76" s="1607"/>
      <c r="FAG76" s="1607"/>
      <c r="FAH76" s="1607"/>
      <c r="FAI76" s="1607"/>
      <c r="FAJ76" s="1607"/>
      <c r="FAK76" s="1607"/>
      <c r="FAL76" s="1607"/>
      <c r="FAM76" s="1607"/>
      <c r="FAN76" s="1607"/>
      <c r="FAO76" s="1607"/>
      <c r="FAP76" s="1607"/>
      <c r="FAQ76" s="1607"/>
      <c r="FAR76" s="1607"/>
      <c r="FAS76" s="1607"/>
      <c r="FAT76" s="1607"/>
      <c r="FAU76" s="1607"/>
      <c r="FAV76" s="1607"/>
      <c r="FAW76" s="1607"/>
      <c r="FAX76" s="1607"/>
      <c r="FAY76" s="1607"/>
      <c r="FAZ76" s="1607"/>
      <c r="FBA76" s="1607"/>
      <c r="FBB76" s="1607"/>
      <c r="FBC76" s="1607"/>
      <c r="FBD76" s="1607"/>
      <c r="FBE76" s="1607"/>
      <c r="FBF76" s="1607"/>
      <c r="FBG76" s="1607"/>
      <c r="FBH76" s="1607"/>
      <c r="FBI76" s="1607"/>
      <c r="FBJ76" s="1607"/>
      <c r="FBK76" s="1607"/>
      <c r="FBL76" s="1607"/>
      <c r="FBM76" s="1607"/>
      <c r="FBN76" s="1607"/>
      <c r="FBO76" s="1607"/>
      <c r="FBP76" s="1607"/>
      <c r="FBQ76" s="1607"/>
      <c r="FBR76" s="1607"/>
      <c r="FBS76" s="1607"/>
      <c r="FBT76" s="1607"/>
      <c r="FBU76" s="1607"/>
      <c r="FBV76" s="1607"/>
      <c r="FBW76" s="1607"/>
      <c r="FBX76" s="1607"/>
      <c r="FBY76" s="1607"/>
      <c r="FBZ76" s="1607"/>
      <c r="FCA76" s="1607"/>
      <c r="FCB76" s="1607"/>
      <c r="FCC76" s="1607"/>
      <c r="FCD76" s="1607"/>
      <c r="FCE76" s="1607"/>
      <c r="FCF76" s="1607"/>
      <c r="FCG76" s="1607"/>
      <c r="FCH76" s="1607"/>
      <c r="FCI76" s="1607"/>
      <c r="FCJ76" s="1607"/>
      <c r="FCK76" s="1607"/>
      <c r="FCL76" s="1607"/>
      <c r="FCM76" s="1607"/>
      <c r="FCN76" s="1607"/>
      <c r="FCO76" s="1607"/>
      <c r="FCP76" s="1607"/>
      <c r="FCQ76" s="1607"/>
      <c r="FCR76" s="1607"/>
      <c r="FCS76" s="1607"/>
      <c r="FCT76" s="1607"/>
      <c r="FCU76" s="1607"/>
      <c r="FCV76" s="1607"/>
      <c r="FCW76" s="1607"/>
      <c r="FCX76" s="1607"/>
      <c r="FCY76" s="1607"/>
      <c r="FCZ76" s="1607"/>
      <c r="FDA76" s="1607"/>
      <c r="FDB76" s="1607"/>
      <c r="FDC76" s="1607"/>
      <c r="FDD76" s="1607"/>
      <c r="FDE76" s="1607"/>
      <c r="FDF76" s="1607"/>
      <c r="FDG76" s="1607"/>
      <c r="FDH76" s="1607"/>
      <c r="FDI76" s="1607"/>
      <c r="FDJ76" s="1607"/>
      <c r="FDK76" s="1607"/>
      <c r="FDL76" s="1607"/>
      <c r="FDM76" s="1607"/>
      <c r="FDN76" s="1607"/>
      <c r="FDO76" s="1607"/>
      <c r="FDP76" s="1607"/>
      <c r="FDQ76" s="1607"/>
      <c r="FDR76" s="1607"/>
      <c r="FDS76" s="1607"/>
      <c r="FDT76" s="1607"/>
      <c r="FDU76" s="1607"/>
      <c r="FDV76" s="1607"/>
      <c r="FDW76" s="1607"/>
      <c r="FDX76" s="1607"/>
      <c r="FDY76" s="1607"/>
      <c r="FDZ76" s="1607"/>
      <c r="FEA76" s="1607"/>
      <c r="FEB76" s="1607"/>
      <c r="FEC76" s="1607"/>
      <c r="FED76" s="1607"/>
      <c r="FEE76" s="1607"/>
      <c r="FEF76" s="1607"/>
      <c r="FEG76" s="1607"/>
      <c r="FEH76" s="1607"/>
      <c r="FEI76" s="1607"/>
      <c r="FEJ76" s="1607"/>
      <c r="FEK76" s="1607"/>
      <c r="FEL76" s="1607"/>
      <c r="FEM76" s="1607"/>
      <c r="FEN76" s="1607"/>
      <c r="FEO76" s="1607"/>
      <c r="FEP76" s="1607"/>
      <c r="FEQ76" s="1607"/>
      <c r="FER76" s="1607"/>
      <c r="FES76" s="1607"/>
      <c r="FET76" s="1607"/>
      <c r="FEU76" s="1607"/>
      <c r="FEV76" s="1607"/>
      <c r="FEW76" s="1607"/>
      <c r="FEX76" s="1607"/>
      <c r="FEY76" s="1607"/>
      <c r="FEZ76" s="1607"/>
      <c r="FFA76" s="1607"/>
      <c r="FFB76" s="1607"/>
      <c r="FFC76" s="1607"/>
      <c r="FFD76" s="1607"/>
      <c r="FFE76" s="1607"/>
      <c r="FFF76" s="1607"/>
      <c r="FFG76" s="1607"/>
      <c r="FFH76" s="1607"/>
      <c r="FFI76" s="1607"/>
      <c r="FFJ76" s="1607"/>
      <c r="FFK76" s="1607"/>
      <c r="FFL76" s="1607"/>
      <c r="FFM76" s="1607"/>
      <c r="FFN76" s="1607"/>
      <c r="FFO76" s="1607"/>
      <c r="FFP76" s="1607"/>
      <c r="FFQ76" s="1607"/>
      <c r="FFR76" s="1607"/>
      <c r="FFS76" s="1607"/>
      <c r="FFT76" s="1607"/>
      <c r="FFU76" s="1607"/>
      <c r="FFV76" s="1607"/>
      <c r="FFW76" s="1607"/>
      <c r="FFX76" s="1607"/>
      <c r="FFY76" s="1607"/>
      <c r="FFZ76" s="1607"/>
      <c r="FGA76" s="1607"/>
      <c r="FGB76" s="1607"/>
      <c r="FGC76" s="1607"/>
      <c r="FGD76" s="1607"/>
      <c r="FGE76" s="1607"/>
      <c r="FGF76" s="1607"/>
      <c r="FGG76" s="1607"/>
      <c r="FGH76" s="1607"/>
      <c r="FGI76" s="1607"/>
      <c r="FGJ76" s="1607"/>
      <c r="FGK76" s="1607"/>
      <c r="FGL76" s="1607"/>
      <c r="FGM76" s="1607"/>
      <c r="FGN76" s="1607"/>
      <c r="FGO76" s="1607"/>
      <c r="FGP76" s="1607"/>
      <c r="FGQ76" s="1607"/>
      <c r="FGR76" s="1607"/>
      <c r="FGS76" s="1607"/>
      <c r="FGT76" s="1607"/>
      <c r="FGU76" s="1607"/>
      <c r="FGV76" s="1607"/>
      <c r="FGW76" s="1607"/>
      <c r="FGX76" s="1607"/>
      <c r="FGY76" s="1607"/>
      <c r="FGZ76" s="1607"/>
      <c r="FHA76" s="1607"/>
      <c r="FHB76" s="1607"/>
      <c r="FHC76" s="1607"/>
      <c r="FHD76" s="1607"/>
      <c r="FHE76" s="1607"/>
      <c r="FHF76" s="1607"/>
      <c r="FHG76" s="1607"/>
      <c r="FHH76" s="1607"/>
      <c r="FHI76" s="1607"/>
      <c r="FHJ76" s="1607"/>
      <c r="FHK76" s="1607"/>
      <c r="FHL76" s="1607"/>
      <c r="FHM76" s="1607"/>
      <c r="FHN76" s="1607"/>
      <c r="FHO76" s="1607"/>
      <c r="FHP76" s="1607"/>
      <c r="FHQ76" s="1607"/>
      <c r="FHR76" s="1607"/>
      <c r="FHS76" s="1607"/>
      <c r="FHT76" s="1607"/>
      <c r="FHU76" s="1607"/>
      <c r="FHV76" s="1607"/>
      <c r="FHW76" s="1607"/>
      <c r="FHX76" s="1607"/>
      <c r="FHY76" s="1607"/>
      <c r="FHZ76" s="1607"/>
      <c r="FIA76" s="1607"/>
      <c r="FIB76" s="1607"/>
      <c r="FIC76" s="1607"/>
      <c r="FID76" s="1607"/>
      <c r="FIE76" s="1607"/>
      <c r="FIF76" s="1607"/>
      <c r="FIG76" s="1607"/>
      <c r="FIH76" s="1607"/>
      <c r="FII76" s="1607"/>
      <c r="FIJ76" s="1607"/>
      <c r="FIK76" s="1607"/>
      <c r="FIL76" s="1607"/>
      <c r="FIM76" s="1607"/>
      <c r="FIN76" s="1607"/>
      <c r="FIO76" s="1607"/>
      <c r="FIP76" s="1607"/>
      <c r="FIQ76" s="1607"/>
      <c r="FIR76" s="1607"/>
      <c r="FIS76" s="1607"/>
      <c r="FIT76" s="1607"/>
      <c r="FIU76" s="1607"/>
      <c r="FIV76" s="1607"/>
      <c r="FIW76" s="1607"/>
      <c r="FIX76" s="1607"/>
      <c r="FIY76" s="1607"/>
      <c r="FIZ76" s="1607"/>
      <c r="FJA76" s="1607"/>
      <c r="FJB76" s="1607"/>
      <c r="FJC76" s="1607"/>
      <c r="FJD76" s="1607"/>
      <c r="FJE76" s="1607"/>
      <c r="FJF76" s="1607"/>
      <c r="FJG76" s="1607"/>
      <c r="FJH76" s="1607"/>
      <c r="FJI76" s="1607"/>
      <c r="FJJ76" s="1607"/>
      <c r="FJK76" s="1607"/>
      <c r="FJL76" s="1607"/>
      <c r="FJM76" s="1607"/>
      <c r="FJN76" s="1607"/>
      <c r="FJO76" s="1607"/>
      <c r="FJP76" s="1607"/>
      <c r="FJQ76" s="1607"/>
      <c r="FJR76" s="1607"/>
      <c r="FJS76" s="1607"/>
      <c r="FJT76" s="1607"/>
      <c r="FJU76" s="1607"/>
      <c r="FJV76" s="1607"/>
      <c r="FJW76" s="1607"/>
      <c r="FJX76" s="1607"/>
      <c r="FJY76" s="1607"/>
      <c r="FJZ76" s="1607"/>
      <c r="FKA76" s="1607"/>
      <c r="FKB76" s="1607"/>
      <c r="FKC76" s="1607"/>
      <c r="FKD76" s="1607"/>
      <c r="FKE76" s="1607"/>
      <c r="FKF76" s="1607"/>
      <c r="FKG76" s="1607"/>
      <c r="FKH76" s="1607"/>
      <c r="FKI76" s="1607"/>
      <c r="FKJ76" s="1607"/>
      <c r="FKK76" s="1607"/>
      <c r="FKL76" s="1607"/>
      <c r="FKM76" s="1607"/>
      <c r="FKN76" s="1607"/>
      <c r="FKO76" s="1607"/>
      <c r="FKP76" s="1607"/>
      <c r="FKQ76" s="1607"/>
      <c r="FKR76" s="1607"/>
      <c r="FKS76" s="1607"/>
      <c r="FKT76" s="1607"/>
      <c r="FKU76" s="1607"/>
      <c r="FKV76" s="1607"/>
      <c r="FKW76" s="1607"/>
      <c r="FKX76" s="1607"/>
      <c r="FKY76" s="1607"/>
      <c r="FKZ76" s="1607"/>
      <c r="FLA76" s="1607"/>
      <c r="FLB76" s="1607"/>
      <c r="FLC76" s="1607"/>
      <c r="FLD76" s="1607"/>
      <c r="FLE76" s="1607"/>
      <c r="FLF76" s="1607"/>
      <c r="FLG76" s="1607"/>
      <c r="FLH76" s="1607"/>
      <c r="FLI76" s="1607"/>
      <c r="FLJ76" s="1607"/>
      <c r="FLK76" s="1607"/>
      <c r="FLL76" s="1607"/>
      <c r="FLM76" s="1607"/>
      <c r="FLN76" s="1607"/>
      <c r="FLO76" s="1607"/>
      <c r="FLP76" s="1607"/>
      <c r="FLQ76" s="1607"/>
      <c r="FLR76" s="1607"/>
      <c r="FLS76" s="1607"/>
      <c r="FLT76" s="1607"/>
      <c r="FLU76" s="1607"/>
      <c r="FLV76" s="1607"/>
      <c r="FLW76" s="1607"/>
      <c r="FLX76" s="1607"/>
      <c r="FLY76" s="1607"/>
      <c r="FLZ76" s="1607"/>
      <c r="FMA76" s="1607"/>
      <c r="FMB76" s="1607"/>
      <c r="FMC76" s="1607"/>
      <c r="FMD76" s="1607"/>
      <c r="FME76" s="1607"/>
      <c r="FMF76" s="1607"/>
      <c r="FMG76" s="1607"/>
      <c r="FMH76" s="1607"/>
      <c r="FMI76" s="1607"/>
      <c r="FMJ76" s="1607"/>
      <c r="FMK76" s="1607"/>
      <c r="FML76" s="1607"/>
      <c r="FMM76" s="1607"/>
      <c r="FMN76" s="1607"/>
      <c r="FMO76" s="1607"/>
      <c r="FMP76" s="1607"/>
      <c r="FMQ76" s="1607"/>
      <c r="FMR76" s="1607"/>
      <c r="FMS76" s="1607"/>
      <c r="FMT76" s="1607"/>
      <c r="FMU76" s="1607"/>
      <c r="FMV76" s="1607"/>
      <c r="FMW76" s="1607"/>
      <c r="FMX76" s="1607"/>
      <c r="FMY76" s="1607"/>
      <c r="FMZ76" s="1607"/>
      <c r="FNA76" s="1607"/>
      <c r="FNB76" s="1607"/>
      <c r="FNC76" s="1607"/>
      <c r="FND76" s="1607"/>
      <c r="FNE76" s="1607"/>
      <c r="FNF76" s="1607"/>
      <c r="FNG76" s="1607"/>
      <c r="FNH76" s="1607"/>
      <c r="FNI76" s="1607"/>
      <c r="FNJ76" s="1607"/>
      <c r="FNK76" s="1607"/>
      <c r="FNL76" s="1607"/>
      <c r="FNM76" s="1607"/>
      <c r="FNN76" s="1607"/>
      <c r="FNO76" s="1607"/>
      <c r="FNP76" s="1607"/>
      <c r="FNQ76" s="1607"/>
      <c r="FNR76" s="1607"/>
      <c r="FNS76" s="1607"/>
      <c r="FNT76" s="1607"/>
      <c r="FNU76" s="1607"/>
      <c r="FNV76" s="1607"/>
      <c r="FNW76" s="1607"/>
      <c r="FNX76" s="1607"/>
      <c r="FNY76" s="1607"/>
      <c r="FNZ76" s="1607"/>
      <c r="FOA76" s="1607"/>
      <c r="FOB76" s="1607"/>
      <c r="FOC76" s="1607"/>
      <c r="FOD76" s="1607"/>
      <c r="FOE76" s="1607"/>
      <c r="FOF76" s="1607"/>
      <c r="FOG76" s="1607"/>
      <c r="FOH76" s="1607"/>
      <c r="FOI76" s="1607"/>
      <c r="FOJ76" s="1607"/>
      <c r="FOK76" s="1607"/>
      <c r="FOL76" s="1607"/>
      <c r="FOM76" s="1607"/>
      <c r="FON76" s="1607"/>
      <c r="FOO76" s="1607"/>
      <c r="FOP76" s="1607"/>
      <c r="FOQ76" s="1607"/>
      <c r="FOR76" s="1607"/>
      <c r="FOS76" s="1607"/>
      <c r="FOT76" s="1607"/>
      <c r="FOU76" s="1607"/>
      <c r="FOV76" s="1607"/>
      <c r="FOW76" s="1607"/>
      <c r="FOX76" s="1607"/>
      <c r="FOY76" s="1607"/>
      <c r="FOZ76" s="1607"/>
      <c r="FPA76" s="1607"/>
      <c r="FPB76" s="1607"/>
      <c r="FPC76" s="1607"/>
      <c r="FPD76" s="1607"/>
      <c r="FPE76" s="1607"/>
      <c r="FPF76" s="1607"/>
      <c r="FPG76" s="1607"/>
      <c r="FPH76" s="1607"/>
      <c r="FPI76" s="1607"/>
      <c r="FPJ76" s="1607"/>
      <c r="FPK76" s="1607"/>
      <c r="FPL76" s="1607"/>
      <c r="FPM76" s="1607"/>
      <c r="FPN76" s="1607"/>
      <c r="FPO76" s="1607"/>
      <c r="FPP76" s="1607"/>
      <c r="FPQ76" s="1607"/>
      <c r="FPR76" s="1607"/>
      <c r="FPS76" s="1607"/>
      <c r="FPT76" s="1607"/>
      <c r="FPU76" s="1607"/>
      <c r="FPV76" s="1607"/>
      <c r="FPW76" s="1607"/>
      <c r="FPX76" s="1607"/>
      <c r="FPY76" s="1607"/>
      <c r="FPZ76" s="1607"/>
      <c r="FQA76" s="1607"/>
      <c r="FQB76" s="1607"/>
      <c r="FQC76" s="1607"/>
      <c r="FQD76" s="1607"/>
      <c r="FQE76" s="1607"/>
      <c r="FQF76" s="1607"/>
      <c r="FQG76" s="1607"/>
      <c r="FQH76" s="1607"/>
      <c r="FQI76" s="1607"/>
      <c r="FQJ76" s="1607"/>
      <c r="FQK76" s="1607"/>
      <c r="FQL76" s="1607"/>
      <c r="FQM76" s="1607"/>
      <c r="FQN76" s="1607"/>
      <c r="FQO76" s="1607"/>
      <c r="FQP76" s="1607"/>
      <c r="FQQ76" s="1607"/>
      <c r="FQR76" s="1607"/>
      <c r="FQS76" s="1607"/>
      <c r="FQT76" s="1607"/>
      <c r="FQU76" s="1607"/>
      <c r="FQV76" s="1607"/>
      <c r="FQW76" s="1607"/>
      <c r="FQX76" s="1607"/>
      <c r="FQY76" s="1607"/>
      <c r="FQZ76" s="1607"/>
      <c r="FRA76" s="1607"/>
      <c r="FRB76" s="1607"/>
      <c r="FRC76" s="1607"/>
      <c r="FRD76" s="1607"/>
      <c r="FRE76" s="1607"/>
      <c r="FRF76" s="1607"/>
      <c r="FRG76" s="1607"/>
      <c r="FRH76" s="1607"/>
      <c r="FRI76" s="1607"/>
      <c r="FRJ76" s="1607"/>
      <c r="FRK76" s="1607"/>
      <c r="FRL76" s="1607"/>
      <c r="FRM76" s="1607"/>
      <c r="FRN76" s="1607"/>
      <c r="FRO76" s="1607"/>
      <c r="FRP76" s="1607"/>
      <c r="FRQ76" s="1607"/>
      <c r="FRR76" s="1607"/>
      <c r="FRS76" s="1607"/>
      <c r="FRT76" s="1607"/>
      <c r="FRU76" s="1607"/>
      <c r="FRV76" s="1607"/>
      <c r="FRW76" s="1607"/>
      <c r="FRX76" s="1607"/>
      <c r="FRY76" s="1607"/>
      <c r="FRZ76" s="1607"/>
      <c r="FSA76" s="1607"/>
      <c r="FSB76" s="1607"/>
      <c r="FSC76" s="1607"/>
      <c r="FSD76" s="1607"/>
      <c r="FSE76" s="1607"/>
      <c r="FSF76" s="1607"/>
      <c r="FSG76" s="1607"/>
      <c r="FSH76" s="1607"/>
      <c r="FSI76" s="1607"/>
      <c r="FSJ76" s="1607"/>
      <c r="FSK76" s="1607"/>
      <c r="FSL76" s="1607"/>
      <c r="FSM76" s="1607"/>
      <c r="FSN76" s="1607"/>
      <c r="FSO76" s="1607"/>
      <c r="FSP76" s="1607"/>
      <c r="FSQ76" s="1607"/>
      <c r="FSR76" s="1607"/>
      <c r="FSS76" s="1607"/>
      <c r="FST76" s="1607"/>
      <c r="FSU76" s="1607"/>
      <c r="FSV76" s="1607"/>
      <c r="FSW76" s="1607"/>
      <c r="FSX76" s="1607"/>
      <c r="FSY76" s="1607"/>
      <c r="FSZ76" s="1607"/>
      <c r="FTA76" s="1607"/>
      <c r="FTB76" s="1607"/>
      <c r="FTC76" s="1607"/>
      <c r="FTD76" s="1607"/>
      <c r="FTE76" s="1607"/>
      <c r="FTF76" s="1607"/>
      <c r="FTG76" s="1607"/>
      <c r="FTH76" s="1607"/>
      <c r="FTI76" s="1607"/>
      <c r="FTJ76" s="1607"/>
      <c r="FTK76" s="1607"/>
      <c r="FTL76" s="1607"/>
      <c r="FTM76" s="1607"/>
      <c r="FTN76" s="1607"/>
      <c r="FTO76" s="1607"/>
      <c r="FTP76" s="1607"/>
      <c r="FTQ76" s="1607"/>
      <c r="FTR76" s="1607"/>
      <c r="FTS76" s="1607"/>
      <c r="FTT76" s="1607"/>
      <c r="FTU76" s="1607"/>
      <c r="FTV76" s="1607"/>
      <c r="FTW76" s="1607"/>
      <c r="FTX76" s="1607"/>
      <c r="FTY76" s="1607"/>
      <c r="FTZ76" s="1607"/>
      <c r="FUA76" s="1607"/>
      <c r="FUB76" s="1607"/>
      <c r="FUC76" s="1607"/>
      <c r="FUD76" s="1607"/>
      <c r="FUE76" s="1607"/>
      <c r="FUF76" s="1607"/>
      <c r="FUG76" s="1607"/>
      <c r="FUH76" s="1607"/>
      <c r="FUI76" s="1607"/>
      <c r="FUJ76" s="1607"/>
      <c r="FUK76" s="1607"/>
      <c r="FUL76" s="1607"/>
      <c r="FUM76" s="1607"/>
      <c r="FUN76" s="1607"/>
      <c r="FUO76" s="1607"/>
      <c r="FUP76" s="1607"/>
      <c r="FUQ76" s="1607"/>
      <c r="FUR76" s="1607"/>
      <c r="FUS76" s="1607"/>
      <c r="FUT76" s="1607"/>
      <c r="FUU76" s="1607"/>
      <c r="FUV76" s="1607"/>
      <c r="FUW76" s="1607"/>
      <c r="FUX76" s="1607"/>
      <c r="FUY76" s="1607"/>
      <c r="FUZ76" s="1607"/>
      <c r="FVA76" s="1607"/>
      <c r="FVB76" s="1607"/>
      <c r="FVC76" s="1607"/>
      <c r="FVD76" s="1607"/>
      <c r="FVE76" s="1607"/>
      <c r="FVF76" s="1607"/>
      <c r="FVG76" s="1607"/>
      <c r="FVH76" s="1607"/>
      <c r="FVI76" s="1607"/>
      <c r="FVJ76" s="1607"/>
      <c r="FVK76" s="1607"/>
      <c r="FVL76" s="1607"/>
      <c r="FVM76" s="1607"/>
      <c r="FVN76" s="1607"/>
      <c r="FVO76" s="1607"/>
      <c r="FVP76" s="1607"/>
      <c r="FVQ76" s="1607"/>
      <c r="FVR76" s="1607"/>
      <c r="FVS76" s="1607"/>
      <c r="FVT76" s="1607"/>
      <c r="FVU76" s="1607"/>
      <c r="FVV76" s="1607"/>
      <c r="FVW76" s="1607"/>
      <c r="FVX76" s="1607"/>
      <c r="FVY76" s="1607"/>
      <c r="FVZ76" s="1607"/>
      <c r="FWA76" s="1607"/>
      <c r="FWB76" s="1607"/>
      <c r="FWC76" s="1607"/>
      <c r="FWD76" s="1607"/>
      <c r="FWE76" s="1607"/>
      <c r="FWF76" s="1607"/>
      <c r="FWG76" s="1607"/>
      <c r="FWH76" s="1607"/>
      <c r="FWI76" s="1607"/>
      <c r="FWJ76" s="1607"/>
      <c r="FWK76" s="1607"/>
      <c r="FWL76" s="1607"/>
      <c r="FWM76" s="1607"/>
      <c r="FWN76" s="1607"/>
      <c r="FWO76" s="1607"/>
      <c r="FWP76" s="1607"/>
      <c r="FWQ76" s="1607"/>
      <c r="FWR76" s="1607"/>
      <c r="FWS76" s="1607"/>
      <c r="FWT76" s="1607"/>
      <c r="FWU76" s="1607"/>
      <c r="FWV76" s="1607"/>
      <c r="FWW76" s="1607"/>
      <c r="FWX76" s="1607"/>
      <c r="FWY76" s="1607"/>
      <c r="FWZ76" s="1607"/>
      <c r="FXA76" s="1607"/>
      <c r="FXB76" s="1607"/>
      <c r="FXC76" s="1607"/>
      <c r="FXD76" s="1607"/>
      <c r="FXE76" s="1607"/>
      <c r="FXF76" s="1607"/>
      <c r="FXG76" s="1607"/>
      <c r="FXH76" s="1607"/>
      <c r="FXI76" s="1607"/>
      <c r="FXJ76" s="1607"/>
      <c r="FXK76" s="1607"/>
      <c r="FXL76" s="1607"/>
      <c r="FXM76" s="1607"/>
      <c r="FXN76" s="1607"/>
      <c r="FXO76" s="1607"/>
      <c r="FXP76" s="1607"/>
      <c r="FXQ76" s="1607"/>
      <c r="FXR76" s="1607"/>
      <c r="FXS76" s="1607"/>
      <c r="FXT76" s="1607"/>
      <c r="FXU76" s="1607"/>
      <c r="FXV76" s="1607"/>
      <c r="FXW76" s="1607"/>
      <c r="FXX76" s="1607"/>
      <c r="FXY76" s="1607"/>
      <c r="FXZ76" s="1607"/>
      <c r="FYA76" s="1607"/>
      <c r="FYB76" s="1607"/>
      <c r="FYC76" s="1607"/>
      <c r="FYD76" s="1607"/>
      <c r="FYE76" s="1607"/>
      <c r="FYF76" s="1607"/>
      <c r="FYG76" s="1607"/>
      <c r="FYH76" s="1607"/>
      <c r="FYI76" s="1607"/>
      <c r="FYJ76" s="1607"/>
      <c r="FYK76" s="1607"/>
      <c r="FYL76" s="1607"/>
      <c r="FYM76" s="1607"/>
      <c r="FYN76" s="1607"/>
      <c r="FYO76" s="1607"/>
      <c r="FYP76" s="1607"/>
      <c r="FYQ76" s="1607"/>
      <c r="FYR76" s="1607"/>
      <c r="FYS76" s="1607"/>
      <c r="FYT76" s="1607"/>
      <c r="FYU76" s="1607"/>
      <c r="FYV76" s="1607"/>
      <c r="FYW76" s="1607"/>
      <c r="FYX76" s="1607"/>
      <c r="FYY76" s="1607"/>
      <c r="FYZ76" s="1607"/>
      <c r="FZA76" s="1607"/>
      <c r="FZB76" s="1607"/>
      <c r="FZC76" s="1607"/>
      <c r="FZD76" s="1607"/>
      <c r="FZE76" s="1607"/>
      <c r="FZF76" s="1607"/>
      <c r="FZG76" s="1607"/>
      <c r="FZH76" s="1607"/>
      <c r="FZI76" s="1607"/>
      <c r="FZJ76" s="1607"/>
      <c r="FZK76" s="1607"/>
      <c r="FZL76" s="1607"/>
      <c r="FZM76" s="1607"/>
      <c r="FZN76" s="1607"/>
      <c r="FZO76" s="1607"/>
      <c r="FZP76" s="1607"/>
      <c r="FZQ76" s="1607"/>
      <c r="FZR76" s="1607"/>
      <c r="FZS76" s="1607"/>
      <c r="FZT76" s="1607"/>
      <c r="FZU76" s="1607"/>
      <c r="FZV76" s="1607"/>
      <c r="FZW76" s="1607"/>
      <c r="FZX76" s="1607"/>
      <c r="FZY76" s="1607"/>
      <c r="FZZ76" s="1607"/>
      <c r="GAA76" s="1607"/>
      <c r="GAB76" s="1607"/>
      <c r="GAC76" s="1607"/>
      <c r="GAD76" s="1607"/>
      <c r="GAE76" s="1607"/>
      <c r="GAF76" s="1607"/>
      <c r="GAG76" s="1607"/>
      <c r="GAH76" s="1607"/>
      <c r="GAI76" s="1607"/>
      <c r="GAJ76" s="1607"/>
      <c r="GAK76" s="1607"/>
      <c r="GAL76" s="1607"/>
      <c r="GAM76" s="1607"/>
      <c r="GAN76" s="1607"/>
      <c r="GAO76" s="1607"/>
      <c r="GAP76" s="1607"/>
      <c r="GAQ76" s="1607"/>
      <c r="GAR76" s="1607"/>
      <c r="GAS76" s="1607"/>
      <c r="GAT76" s="1607"/>
      <c r="GAU76" s="1607"/>
      <c r="GAV76" s="1607"/>
      <c r="GAW76" s="1607"/>
      <c r="GAX76" s="1607"/>
      <c r="GAY76" s="1607"/>
      <c r="GAZ76" s="1607"/>
      <c r="GBA76" s="1607"/>
      <c r="GBB76" s="1607"/>
      <c r="GBC76" s="1607"/>
      <c r="GBD76" s="1607"/>
      <c r="GBE76" s="1607"/>
      <c r="GBF76" s="1607"/>
      <c r="GBG76" s="1607"/>
      <c r="GBH76" s="1607"/>
      <c r="GBI76" s="1607"/>
      <c r="GBJ76" s="1607"/>
      <c r="GBK76" s="1607"/>
      <c r="GBL76" s="1607"/>
      <c r="GBM76" s="1607"/>
      <c r="GBN76" s="1607"/>
      <c r="GBO76" s="1607"/>
      <c r="GBP76" s="1607"/>
      <c r="GBQ76" s="1607"/>
      <c r="GBR76" s="1607"/>
      <c r="GBS76" s="1607"/>
      <c r="GBT76" s="1607"/>
      <c r="GBU76" s="1607"/>
      <c r="GBV76" s="1607"/>
      <c r="GBW76" s="1607"/>
      <c r="GBX76" s="1607"/>
      <c r="GBY76" s="1607"/>
      <c r="GBZ76" s="1607"/>
      <c r="GCA76" s="1607"/>
      <c r="GCB76" s="1607"/>
      <c r="GCC76" s="1607"/>
      <c r="GCD76" s="1607"/>
      <c r="GCE76" s="1607"/>
      <c r="GCF76" s="1607"/>
      <c r="GCG76" s="1607"/>
      <c r="GCH76" s="1607"/>
      <c r="GCI76" s="1607"/>
      <c r="GCJ76" s="1607"/>
      <c r="GCK76" s="1607"/>
      <c r="GCL76" s="1607"/>
      <c r="GCM76" s="1607"/>
      <c r="GCN76" s="1607"/>
      <c r="GCO76" s="1607"/>
      <c r="GCP76" s="1607"/>
      <c r="GCQ76" s="1607"/>
      <c r="GCR76" s="1607"/>
      <c r="GCS76" s="1607"/>
      <c r="GCT76" s="1607"/>
      <c r="GCU76" s="1607"/>
      <c r="GCV76" s="1607"/>
      <c r="GCW76" s="1607"/>
      <c r="GCX76" s="1607"/>
      <c r="GCY76" s="1607"/>
      <c r="GCZ76" s="1607"/>
      <c r="GDA76" s="1607"/>
      <c r="GDB76" s="1607"/>
      <c r="GDC76" s="1607"/>
      <c r="GDD76" s="1607"/>
      <c r="GDE76" s="1607"/>
      <c r="GDF76" s="1607"/>
      <c r="GDG76" s="1607"/>
      <c r="GDH76" s="1607"/>
      <c r="GDI76" s="1607"/>
      <c r="GDJ76" s="1607"/>
      <c r="GDK76" s="1607"/>
      <c r="GDL76" s="1607"/>
      <c r="GDM76" s="1607"/>
      <c r="GDN76" s="1607"/>
      <c r="GDO76" s="1607"/>
      <c r="GDP76" s="1607"/>
      <c r="GDQ76" s="1607"/>
      <c r="GDR76" s="1607"/>
      <c r="GDS76" s="1607"/>
      <c r="GDT76" s="1607"/>
      <c r="GDU76" s="1607"/>
      <c r="GDV76" s="1607"/>
      <c r="GDW76" s="1607"/>
      <c r="GDX76" s="1607"/>
      <c r="GDY76" s="1607"/>
      <c r="GDZ76" s="1607"/>
      <c r="GEA76" s="1607"/>
      <c r="GEB76" s="1607"/>
      <c r="GEC76" s="1607"/>
      <c r="GED76" s="1607"/>
      <c r="GEE76" s="1607"/>
      <c r="GEF76" s="1607"/>
      <c r="GEG76" s="1607"/>
      <c r="GEH76" s="1607"/>
      <c r="GEI76" s="1607"/>
      <c r="GEJ76" s="1607"/>
      <c r="GEK76" s="1607"/>
      <c r="GEL76" s="1607"/>
      <c r="GEM76" s="1607"/>
      <c r="GEN76" s="1607"/>
      <c r="GEO76" s="1607"/>
      <c r="GEP76" s="1607"/>
      <c r="GEQ76" s="1607"/>
      <c r="GER76" s="1607"/>
      <c r="GES76" s="1607"/>
      <c r="GET76" s="1607"/>
      <c r="GEU76" s="1607"/>
      <c r="GEV76" s="1607"/>
      <c r="GEW76" s="1607"/>
      <c r="GEX76" s="1607"/>
      <c r="GEY76" s="1607"/>
      <c r="GEZ76" s="1607"/>
      <c r="GFA76" s="1607"/>
      <c r="GFB76" s="1607"/>
      <c r="GFC76" s="1607"/>
      <c r="GFD76" s="1607"/>
      <c r="GFE76" s="1607"/>
      <c r="GFF76" s="1607"/>
      <c r="GFG76" s="1607"/>
      <c r="GFH76" s="1607"/>
      <c r="GFI76" s="1607"/>
      <c r="GFJ76" s="1607"/>
      <c r="GFK76" s="1607"/>
      <c r="GFL76" s="1607"/>
      <c r="GFM76" s="1607"/>
      <c r="GFN76" s="1607"/>
      <c r="GFO76" s="1607"/>
      <c r="GFP76" s="1607"/>
      <c r="GFQ76" s="1607"/>
      <c r="GFR76" s="1607"/>
      <c r="GFS76" s="1607"/>
      <c r="GFT76" s="1607"/>
      <c r="GFU76" s="1607"/>
      <c r="GFV76" s="1607"/>
      <c r="GFW76" s="1607"/>
      <c r="GFX76" s="1607"/>
      <c r="GFY76" s="1607"/>
      <c r="GFZ76" s="1607"/>
      <c r="GGA76" s="1607"/>
      <c r="GGB76" s="1607"/>
      <c r="GGC76" s="1607"/>
      <c r="GGD76" s="1607"/>
      <c r="GGE76" s="1607"/>
      <c r="GGF76" s="1607"/>
      <c r="GGG76" s="1607"/>
      <c r="GGH76" s="1607"/>
      <c r="GGI76" s="1607"/>
      <c r="GGJ76" s="1607"/>
      <c r="GGK76" s="1607"/>
      <c r="GGL76" s="1607"/>
      <c r="GGM76" s="1607"/>
      <c r="GGN76" s="1607"/>
      <c r="GGO76" s="1607"/>
      <c r="GGP76" s="1607"/>
      <c r="GGQ76" s="1607"/>
      <c r="GGR76" s="1607"/>
      <c r="GGS76" s="1607"/>
      <c r="GGT76" s="1607"/>
      <c r="GGU76" s="1607"/>
      <c r="GGV76" s="1607"/>
      <c r="GGW76" s="1607"/>
      <c r="GGX76" s="1607"/>
      <c r="GGY76" s="1607"/>
      <c r="GGZ76" s="1607"/>
      <c r="GHA76" s="1607"/>
      <c r="GHB76" s="1607"/>
      <c r="GHC76" s="1607"/>
      <c r="GHD76" s="1607"/>
      <c r="GHE76" s="1607"/>
      <c r="GHF76" s="1607"/>
      <c r="GHG76" s="1607"/>
      <c r="GHH76" s="1607"/>
      <c r="GHI76" s="1607"/>
      <c r="GHJ76" s="1607"/>
      <c r="GHK76" s="1607"/>
      <c r="GHL76" s="1607"/>
      <c r="GHM76" s="1607"/>
      <c r="GHN76" s="1607"/>
      <c r="GHO76" s="1607"/>
      <c r="GHP76" s="1607"/>
      <c r="GHQ76" s="1607"/>
      <c r="GHR76" s="1607"/>
      <c r="GHS76" s="1607"/>
      <c r="GHT76" s="1607"/>
      <c r="GHU76" s="1607"/>
      <c r="GHV76" s="1607"/>
      <c r="GHW76" s="1607"/>
      <c r="GHX76" s="1607"/>
      <c r="GHY76" s="1607"/>
      <c r="GHZ76" s="1607"/>
      <c r="GIA76" s="1607"/>
      <c r="GIB76" s="1607"/>
      <c r="GIC76" s="1607"/>
      <c r="GID76" s="1607"/>
      <c r="GIE76" s="1607"/>
      <c r="GIF76" s="1607"/>
      <c r="GIG76" s="1607"/>
      <c r="GIH76" s="1607"/>
      <c r="GII76" s="1607"/>
      <c r="GIJ76" s="1607"/>
      <c r="GIK76" s="1607"/>
      <c r="GIL76" s="1607"/>
      <c r="GIM76" s="1607"/>
      <c r="GIN76" s="1607"/>
      <c r="GIO76" s="1607"/>
      <c r="GIP76" s="1607"/>
      <c r="GIQ76" s="1607"/>
      <c r="GIR76" s="1607"/>
      <c r="GIS76" s="1607"/>
      <c r="GIT76" s="1607"/>
      <c r="GIU76" s="1607"/>
      <c r="GIV76" s="1607"/>
      <c r="GIW76" s="1607"/>
      <c r="GIX76" s="1607"/>
      <c r="GIY76" s="1607"/>
      <c r="GIZ76" s="1607"/>
      <c r="GJA76" s="1607"/>
      <c r="GJB76" s="1607"/>
      <c r="GJC76" s="1607"/>
      <c r="GJD76" s="1607"/>
      <c r="GJE76" s="1607"/>
      <c r="GJF76" s="1607"/>
      <c r="GJG76" s="1607"/>
      <c r="GJH76" s="1607"/>
      <c r="GJI76" s="1607"/>
      <c r="GJJ76" s="1607"/>
      <c r="GJK76" s="1607"/>
      <c r="GJL76" s="1607"/>
      <c r="GJM76" s="1607"/>
      <c r="GJN76" s="1607"/>
      <c r="GJO76" s="1607"/>
      <c r="GJP76" s="1607"/>
      <c r="GJQ76" s="1607"/>
      <c r="GJR76" s="1607"/>
      <c r="GJS76" s="1607"/>
      <c r="GJT76" s="1607"/>
      <c r="GJU76" s="1607"/>
      <c r="GJV76" s="1607"/>
      <c r="GJW76" s="1607"/>
      <c r="GJX76" s="1607"/>
      <c r="GJY76" s="1607"/>
      <c r="GJZ76" s="1607"/>
      <c r="GKA76" s="1607"/>
      <c r="GKB76" s="1607"/>
      <c r="GKC76" s="1607"/>
      <c r="GKD76" s="1607"/>
      <c r="GKE76" s="1607"/>
      <c r="GKF76" s="1607"/>
      <c r="GKG76" s="1607"/>
      <c r="GKH76" s="1607"/>
      <c r="GKI76" s="1607"/>
      <c r="GKJ76" s="1607"/>
      <c r="GKK76" s="1607"/>
      <c r="GKL76" s="1607"/>
      <c r="GKM76" s="1607"/>
      <c r="GKN76" s="1607"/>
      <c r="GKO76" s="1607"/>
      <c r="GKP76" s="1607"/>
      <c r="GKQ76" s="1607"/>
      <c r="GKR76" s="1607"/>
      <c r="GKS76" s="1607"/>
      <c r="GKT76" s="1607"/>
      <c r="GKU76" s="1607"/>
      <c r="GKV76" s="1607"/>
      <c r="GKW76" s="1607"/>
      <c r="GKX76" s="1607"/>
      <c r="GKY76" s="1607"/>
      <c r="GKZ76" s="1607"/>
      <c r="GLA76" s="1607"/>
      <c r="GLB76" s="1607"/>
      <c r="GLC76" s="1607"/>
      <c r="GLD76" s="1607"/>
      <c r="GLE76" s="1607"/>
      <c r="GLF76" s="1607"/>
      <c r="GLG76" s="1607"/>
      <c r="GLH76" s="1607"/>
      <c r="GLI76" s="1607"/>
      <c r="GLJ76" s="1607"/>
      <c r="GLK76" s="1607"/>
      <c r="GLL76" s="1607"/>
      <c r="GLM76" s="1607"/>
      <c r="GLN76" s="1607"/>
      <c r="GLO76" s="1607"/>
      <c r="GLP76" s="1607"/>
      <c r="GLQ76" s="1607"/>
      <c r="GLR76" s="1607"/>
      <c r="GLS76" s="1607"/>
      <c r="GLT76" s="1607"/>
      <c r="GLU76" s="1607"/>
      <c r="GLV76" s="1607"/>
      <c r="GLW76" s="1607"/>
      <c r="GLX76" s="1607"/>
      <c r="GLY76" s="1607"/>
      <c r="GLZ76" s="1607"/>
      <c r="GMA76" s="1607"/>
      <c r="GMB76" s="1607"/>
      <c r="GMC76" s="1607"/>
      <c r="GMD76" s="1607"/>
      <c r="GME76" s="1607"/>
      <c r="GMF76" s="1607"/>
      <c r="GMG76" s="1607"/>
      <c r="GMH76" s="1607"/>
      <c r="GMI76" s="1607"/>
      <c r="GMJ76" s="1607"/>
      <c r="GMK76" s="1607"/>
      <c r="GML76" s="1607"/>
      <c r="GMM76" s="1607"/>
      <c r="GMN76" s="1607"/>
      <c r="GMO76" s="1607"/>
      <c r="GMP76" s="1607"/>
      <c r="GMQ76" s="1607"/>
      <c r="GMR76" s="1607"/>
      <c r="GMS76" s="1607"/>
      <c r="GMT76" s="1607"/>
      <c r="GMU76" s="1607"/>
      <c r="GMV76" s="1607"/>
      <c r="GMW76" s="1607"/>
      <c r="GMX76" s="1607"/>
      <c r="GMY76" s="1607"/>
      <c r="GMZ76" s="1607"/>
      <c r="GNA76" s="1607"/>
      <c r="GNB76" s="1607"/>
      <c r="GNC76" s="1607"/>
      <c r="GND76" s="1607"/>
      <c r="GNE76" s="1607"/>
      <c r="GNF76" s="1607"/>
      <c r="GNG76" s="1607"/>
      <c r="GNH76" s="1607"/>
      <c r="GNI76" s="1607"/>
      <c r="GNJ76" s="1607"/>
      <c r="GNK76" s="1607"/>
      <c r="GNL76" s="1607"/>
      <c r="GNM76" s="1607"/>
      <c r="GNN76" s="1607"/>
      <c r="GNO76" s="1607"/>
      <c r="GNP76" s="1607"/>
      <c r="GNQ76" s="1607"/>
      <c r="GNR76" s="1607"/>
      <c r="GNS76" s="1607"/>
      <c r="GNT76" s="1607"/>
      <c r="GNU76" s="1607"/>
      <c r="GNV76" s="1607"/>
      <c r="GNW76" s="1607"/>
      <c r="GNX76" s="1607"/>
      <c r="GNY76" s="1607"/>
      <c r="GNZ76" s="1607"/>
      <c r="GOA76" s="1607"/>
      <c r="GOB76" s="1607"/>
      <c r="GOC76" s="1607"/>
      <c r="GOD76" s="1607"/>
      <c r="GOE76" s="1607"/>
      <c r="GOF76" s="1607"/>
      <c r="GOG76" s="1607"/>
      <c r="GOH76" s="1607"/>
      <c r="GOI76" s="1607"/>
      <c r="GOJ76" s="1607"/>
      <c r="GOK76" s="1607"/>
      <c r="GOL76" s="1607"/>
      <c r="GOM76" s="1607"/>
      <c r="GON76" s="1607"/>
      <c r="GOO76" s="1607"/>
      <c r="GOP76" s="1607"/>
      <c r="GOQ76" s="1607"/>
      <c r="GOR76" s="1607"/>
      <c r="GOS76" s="1607"/>
      <c r="GOT76" s="1607"/>
      <c r="GOU76" s="1607"/>
      <c r="GOV76" s="1607"/>
      <c r="GOW76" s="1607"/>
      <c r="GOX76" s="1607"/>
      <c r="GOY76" s="1607"/>
      <c r="GOZ76" s="1607"/>
      <c r="GPA76" s="1607"/>
      <c r="GPB76" s="1607"/>
      <c r="GPC76" s="1607"/>
      <c r="GPD76" s="1607"/>
      <c r="GPE76" s="1607"/>
      <c r="GPF76" s="1607"/>
      <c r="GPG76" s="1607"/>
      <c r="GPH76" s="1607"/>
      <c r="GPI76" s="1607"/>
      <c r="GPJ76" s="1607"/>
      <c r="GPK76" s="1607"/>
      <c r="GPL76" s="1607"/>
      <c r="GPM76" s="1607"/>
      <c r="GPN76" s="1607"/>
      <c r="GPO76" s="1607"/>
      <c r="GPP76" s="1607"/>
      <c r="GPQ76" s="1607"/>
      <c r="GPR76" s="1607"/>
      <c r="GPS76" s="1607"/>
      <c r="GPT76" s="1607"/>
      <c r="GPU76" s="1607"/>
      <c r="GPV76" s="1607"/>
      <c r="GPW76" s="1607"/>
      <c r="GPX76" s="1607"/>
      <c r="GPY76" s="1607"/>
      <c r="GPZ76" s="1607"/>
      <c r="GQA76" s="1607"/>
      <c r="GQB76" s="1607"/>
      <c r="GQC76" s="1607"/>
      <c r="GQD76" s="1607"/>
      <c r="GQE76" s="1607"/>
      <c r="GQF76" s="1607"/>
      <c r="GQG76" s="1607"/>
      <c r="GQH76" s="1607"/>
      <c r="GQI76" s="1607"/>
      <c r="GQJ76" s="1607"/>
      <c r="GQK76" s="1607"/>
      <c r="GQL76" s="1607"/>
      <c r="GQM76" s="1607"/>
      <c r="GQN76" s="1607"/>
      <c r="GQO76" s="1607"/>
      <c r="GQP76" s="1607"/>
      <c r="GQQ76" s="1607"/>
      <c r="GQR76" s="1607"/>
      <c r="GQS76" s="1607"/>
      <c r="GQT76" s="1607"/>
      <c r="GQU76" s="1607"/>
      <c r="GQV76" s="1607"/>
      <c r="GQW76" s="1607"/>
      <c r="GQX76" s="1607"/>
      <c r="GQY76" s="1607"/>
      <c r="GQZ76" s="1607"/>
      <c r="GRA76" s="1607"/>
      <c r="GRB76" s="1607"/>
      <c r="GRC76" s="1607"/>
      <c r="GRD76" s="1607"/>
      <c r="GRE76" s="1607"/>
      <c r="GRF76" s="1607"/>
      <c r="GRG76" s="1607"/>
      <c r="GRH76" s="1607"/>
      <c r="GRI76" s="1607"/>
      <c r="GRJ76" s="1607"/>
      <c r="GRK76" s="1607"/>
      <c r="GRL76" s="1607"/>
      <c r="GRM76" s="1607"/>
      <c r="GRN76" s="1607"/>
      <c r="GRO76" s="1607"/>
      <c r="GRP76" s="1607"/>
      <c r="GRQ76" s="1607"/>
      <c r="GRR76" s="1607"/>
      <c r="GRS76" s="1607"/>
      <c r="GRT76" s="1607"/>
      <c r="GRU76" s="1607"/>
      <c r="GRV76" s="1607"/>
      <c r="GRW76" s="1607"/>
      <c r="GRX76" s="1607"/>
      <c r="GRY76" s="1607"/>
      <c r="GRZ76" s="1607"/>
      <c r="GSA76" s="1607"/>
      <c r="GSB76" s="1607"/>
      <c r="GSC76" s="1607"/>
      <c r="GSD76" s="1607"/>
      <c r="GSE76" s="1607"/>
      <c r="GSF76" s="1607"/>
      <c r="GSG76" s="1607"/>
      <c r="GSH76" s="1607"/>
      <c r="GSI76" s="1607"/>
      <c r="GSJ76" s="1607"/>
      <c r="GSK76" s="1607"/>
      <c r="GSL76" s="1607"/>
      <c r="GSM76" s="1607"/>
      <c r="GSN76" s="1607"/>
      <c r="GSO76" s="1607"/>
      <c r="GSP76" s="1607"/>
      <c r="GSQ76" s="1607"/>
      <c r="GSR76" s="1607"/>
      <c r="GSS76" s="1607"/>
      <c r="GST76" s="1607"/>
      <c r="GSU76" s="1607"/>
      <c r="GSV76" s="1607"/>
      <c r="GSW76" s="1607"/>
      <c r="GSX76" s="1607"/>
      <c r="GSY76" s="1607"/>
      <c r="GSZ76" s="1607"/>
      <c r="GTA76" s="1607"/>
      <c r="GTB76" s="1607"/>
      <c r="GTC76" s="1607"/>
      <c r="GTD76" s="1607"/>
      <c r="GTE76" s="1607"/>
      <c r="GTF76" s="1607"/>
      <c r="GTG76" s="1607"/>
      <c r="GTH76" s="1607"/>
      <c r="GTI76" s="1607"/>
      <c r="GTJ76" s="1607"/>
      <c r="GTK76" s="1607"/>
      <c r="GTL76" s="1607"/>
      <c r="GTM76" s="1607"/>
      <c r="GTN76" s="1607"/>
      <c r="GTO76" s="1607"/>
      <c r="GTP76" s="1607"/>
      <c r="GTQ76" s="1607"/>
      <c r="GTR76" s="1607"/>
      <c r="GTS76" s="1607"/>
      <c r="GTT76" s="1607"/>
      <c r="GTU76" s="1607"/>
      <c r="GTV76" s="1607"/>
      <c r="GTW76" s="1607"/>
      <c r="GTX76" s="1607"/>
      <c r="GTY76" s="1607"/>
      <c r="GTZ76" s="1607"/>
      <c r="GUA76" s="1607"/>
      <c r="GUB76" s="1607"/>
      <c r="GUC76" s="1607"/>
      <c r="GUD76" s="1607"/>
      <c r="GUE76" s="1607"/>
      <c r="GUF76" s="1607"/>
      <c r="GUG76" s="1607"/>
      <c r="GUH76" s="1607"/>
      <c r="GUI76" s="1607"/>
      <c r="GUJ76" s="1607"/>
      <c r="GUK76" s="1607"/>
      <c r="GUL76" s="1607"/>
      <c r="GUM76" s="1607"/>
      <c r="GUN76" s="1607"/>
      <c r="GUO76" s="1607"/>
      <c r="GUP76" s="1607"/>
      <c r="GUQ76" s="1607"/>
      <c r="GUR76" s="1607"/>
      <c r="GUS76" s="1607"/>
      <c r="GUT76" s="1607"/>
      <c r="GUU76" s="1607"/>
      <c r="GUV76" s="1607"/>
      <c r="GUW76" s="1607"/>
      <c r="GUX76" s="1607"/>
      <c r="GUY76" s="1607"/>
      <c r="GUZ76" s="1607"/>
      <c r="GVA76" s="1607"/>
      <c r="GVB76" s="1607"/>
      <c r="GVC76" s="1607"/>
      <c r="GVD76" s="1607"/>
      <c r="GVE76" s="1607"/>
      <c r="GVF76" s="1607"/>
      <c r="GVG76" s="1607"/>
      <c r="GVH76" s="1607"/>
      <c r="GVI76" s="1607"/>
      <c r="GVJ76" s="1607"/>
      <c r="GVK76" s="1607"/>
      <c r="GVL76" s="1607"/>
      <c r="GVM76" s="1607"/>
      <c r="GVN76" s="1607"/>
      <c r="GVO76" s="1607"/>
      <c r="GVP76" s="1607"/>
      <c r="GVQ76" s="1607"/>
      <c r="GVR76" s="1607"/>
      <c r="GVS76" s="1607"/>
      <c r="GVT76" s="1607"/>
      <c r="GVU76" s="1607"/>
      <c r="GVV76" s="1607"/>
      <c r="GVW76" s="1607"/>
      <c r="GVX76" s="1607"/>
      <c r="GVY76" s="1607"/>
      <c r="GVZ76" s="1607"/>
      <c r="GWA76" s="1607"/>
      <c r="GWB76" s="1607"/>
      <c r="GWC76" s="1607"/>
      <c r="GWD76" s="1607"/>
      <c r="GWE76" s="1607"/>
      <c r="GWF76" s="1607"/>
      <c r="GWG76" s="1607"/>
      <c r="GWH76" s="1607"/>
      <c r="GWI76" s="1607"/>
      <c r="GWJ76" s="1607"/>
      <c r="GWK76" s="1607"/>
      <c r="GWL76" s="1607"/>
      <c r="GWM76" s="1607"/>
      <c r="GWN76" s="1607"/>
      <c r="GWO76" s="1607"/>
      <c r="GWP76" s="1607"/>
      <c r="GWQ76" s="1607"/>
      <c r="GWR76" s="1607"/>
      <c r="GWS76" s="1607"/>
      <c r="GWT76" s="1607"/>
      <c r="GWU76" s="1607"/>
      <c r="GWV76" s="1607"/>
      <c r="GWW76" s="1607"/>
      <c r="GWX76" s="1607"/>
      <c r="GWY76" s="1607"/>
      <c r="GWZ76" s="1607"/>
      <c r="GXA76" s="1607"/>
      <c r="GXB76" s="1607"/>
      <c r="GXC76" s="1607"/>
      <c r="GXD76" s="1607"/>
      <c r="GXE76" s="1607"/>
      <c r="GXF76" s="1607"/>
      <c r="GXG76" s="1607"/>
      <c r="GXH76" s="1607"/>
      <c r="GXI76" s="1607"/>
      <c r="GXJ76" s="1607"/>
      <c r="GXK76" s="1607"/>
      <c r="GXL76" s="1607"/>
      <c r="GXM76" s="1607"/>
      <c r="GXN76" s="1607"/>
      <c r="GXO76" s="1607"/>
      <c r="GXP76" s="1607"/>
      <c r="GXQ76" s="1607"/>
      <c r="GXR76" s="1607"/>
      <c r="GXS76" s="1607"/>
      <c r="GXT76" s="1607"/>
      <c r="GXU76" s="1607"/>
      <c r="GXV76" s="1607"/>
      <c r="GXW76" s="1607"/>
      <c r="GXX76" s="1607"/>
      <c r="GXY76" s="1607"/>
      <c r="GXZ76" s="1607"/>
      <c r="GYA76" s="1607"/>
      <c r="GYB76" s="1607"/>
      <c r="GYC76" s="1607"/>
      <c r="GYD76" s="1607"/>
      <c r="GYE76" s="1607"/>
      <c r="GYF76" s="1607"/>
      <c r="GYG76" s="1607"/>
      <c r="GYH76" s="1607"/>
      <c r="GYI76" s="1607"/>
      <c r="GYJ76" s="1607"/>
      <c r="GYK76" s="1607"/>
      <c r="GYL76" s="1607"/>
      <c r="GYM76" s="1607"/>
      <c r="GYN76" s="1607"/>
      <c r="GYO76" s="1607"/>
      <c r="GYP76" s="1607"/>
      <c r="GYQ76" s="1607"/>
      <c r="GYR76" s="1607"/>
      <c r="GYS76" s="1607"/>
      <c r="GYT76" s="1607"/>
      <c r="GYU76" s="1607"/>
      <c r="GYV76" s="1607"/>
      <c r="GYW76" s="1607"/>
      <c r="GYX76" s="1607"/>
      <c r="GYY76" s="1607"/>
      <c r="GYZ76" s="1607"/>
      <c r="GZA76" s="1607"/>
      <c r="GZB76" s="1607"/>
      <c r="GZC76" s="1607"/>
      <c r="GZD76" s="1607"/>
      <c r="GZE76" s="1607"/>
      <c r="GZF76" s="1607"/>
      <c r="GZG76" s="1607"/>
      <c r="GZH76" s="1607"/>
      <c r="GZI76" s="1607"/>
      <c r="GZJ76" s="1607"/>
      <c r="GZK76" s="1607"/>
      <c r="GZL76" s="1607"/>
      <c r="GZM76" s="1607"/>
      <c r="GZN76" s="1607"/>
      <c r="GZO76" s="1607"/>
      <c r="GZP76" s="1607"/>
      <c r="GZQ76" s="1607"/>
      <c r="GZR76" s="1607"/>
      <c r="GZS76" s="1607"/>
      <c r="GZT76" s="1607"/>
      <c r="GZU76" s="1607"/>
      <c r="GZV76" s="1607"/>
      <c r="GZW76" s="1607"/>
      <c r="GZX76" s="1607"/>
      <c r="GZY76" s="1607"/>
      <c r="GZZ76" s="1607"/>
      <c r="HAA76" s="1607"/>
      <c r="HAB76" s="1607"/>
      <c r="HAC76" s="1607"/>
      <c r="HAD76" s="1607"/>
      <c r="HAE76" s="1607"/>
      <c r="HAF76" s="1607"/>
      <c r="HAG76" s="1607"/>
      <c r="HAH76" s="1607"/>
      <c r="HAI76" s="1607"/>
      <c r="HAJ76" s="1607"/>
      <c r="HAK76" s="1607"/>
      <c r="HAL76" s="1607"/>
      <c r="HAM76" s="1607"/>
      <c r="HAN76" s="1607"/>
      <c r="HAO76" s="1607"/>
      <c r="HAP76" s="1607"/>
      <c r="HAQ76" s="1607"/>
      <c r="HAR76" s="1607"/>
      <c r="HAS76" s="1607"/>
      <c r="HAT76" s="1607"/>
      <c r="HAU76" s="1607"/>
      <c r="HAV76" s="1607"/>
      <c r="HAW76" s="1607"/>
      <c r="HAX76" s="1607"/>
      <c r="HAY76" s="1607"/>
      <c r="HAZ76" s="1607"/>
      <c r="HBA76" s="1607"/>
      <c r="HBB76" s="1607"/>
      <c r="HBC76" s="1607"/>
      <c r="HBD76" s="1607"/>
      <c r="HBE76" s="1607"/>
      <c r="HBF76" s="1607"/>
      <c r="HBG76" s="1607"/>
      <c r="HBH76" s="1607"/>
      <c r="HBI76" s="1607"/>
      <c r="HBJ76" s="1607"/>
      <c r="HBK76" s="1607"/>
      <c r="HBL76" s="1607"/>
      <c r="HBM76" s="1607"/>
      <c r="HBN76" s="1607"/>
      <c r="HBO76" s="1607"/>
      <c r="HBP76" s="1607"/>
      <c r="HBQ76" s="1607"/>
      <c r="HBR76" s="1607"/>
      <c r="HBS76" s="1607"/>
      <c r="HBT76" s="1607"/>
      <c r="HBU76" s="1607"/>
      <c r="HBV76" s="1607"/>
      <c r="HBW76" s="1607"/>
      <c r="HBX76" s="1607"/>
      <c r="HBY76" s="1607"/>
      <c r="HBZ76" s="1607"/>
      <c r="HCA76" s="1607"/>
      <c r="HCB76" s="1607"/>
      <c r="HCC76" s="1607"/>
      <c r="HCD76" s="1607"/>
      <c r="HCE76" s="1607"/>
      <c r="HCF76" s="1607"/>
      <c r="HCG76" s="1607"/>
      <c r="HCH76" s="1607"/>
      <c r="HCI76" s="1607"/>
      <c r="HCJ76" s="1607"/>
      <c r="HCK76" s="1607"/>
      <c r="HCL76" s="1607"/>
      <c r="HCM76" s="1607"/>
      <c r="HCN76" s="1607"/>
      <c r="HCO76" s="1607"/>
      <c r="HCP76" s="1607"/>
      <c r="HCQ76" s="1607"/>
      <c r="HCR76" s="1607"/>
      <c r="HCS76" s="1607"/>
      <c r="HCT76" s="1607"/>
      <c r="HCU76" s="1607"/>
      <c r="HCV76" s="1607"/>
      <c r="HCW76" s="1607"/>
      <c r="HCX76" s="1607"/>
      <c r="HCY76" s="1607"/>
      <c r="HCZ76" s="1607"/>
      <c r="HDA76" s="1607"/>
      <c r="HDB76" s="1607"/>
      <c r="HDC76" s="1607"/>
      <c r="HDD76" s="1607"/>
      <c r="HDE76" s="1607"/>
      <c r="HDF76" s="1607"/>
      <c r="HDG76" s="1607"/>
      <c r="HDH76" s="1607"/>
      <c r="HDI76" s="1607"/>
      <c r="HDJ76" s="1607"/>
      <c r="HDK76" s="1607"/>
      <c r="HDL76" s="1607"/>
      <c r="HDM76" s="1607"/>
      <c r="HDN76" s="1607"/>
      <c r="HDO76" s="1607"/>
      <c r="HDP76" s="1607"/>
      <c r="HDQ76" s="1607"/>
      <c r="HDR76" s="1607"/>
      <c r="HDS76" s="1607"/>
      <c r="HDT76" s="1607"/>
      <c r="HDU76" s="1607"/>
      <c r="HDV76" s="1607"/>
      <c r="HDW76" s="1607"/>
      <c r="HDX76" s="1607"/>
      <c r="HDY76" s="1607"/>
      <c r="HDZ76" s="1607"/>
      <c r="HEA76" s="1607"/>
      <c r="HEB76" s="1607"/>
      <c r="HEC76" s="1607"/>
      <c r="HED76" s="1607"/>
      <c r="HEE76" s="1607"/>
      <c r="HEF76" s="1607"/>
      <c r="HEG76" s="1607"/>
      <c r="HEH76" s="1607"/>
      <c r="HEI76" s="1607"/>
      <c r="HEJ76" s="1607"/>
      <c r="HEK76" s="1607"/>
      <c r="HEL76" s="1607"/>
      <c r="HEM76" s="1607"/>
      <c r="HEN76" s="1607"/>
      <c r="HEO76" s="1607"/>
      <c r="HEP76" s="1607"/>
      <c r="HEQ76" s="1607"/>
      <c r="HER76" s="1607"/>
      <c r="HES76" s="1607"/>
      <c r="HET76" s="1607"/>
      <c r="HEU76" s="1607"/>
      <c r="HEV76" s="1607"/>
      <c r="HEW76" s="1607"/>
      <c r="HEX76" s="1607"/>
      <c r="HEY76" s="1607"/>
      <c r="HEZ76" s="1607"/>
      <c r="HFA76" s="1607"/>
      <c r="HFB76" s="1607"/>
      <c r="HFC76" s="1607"/>
      <c r="HFD76" s="1607"/>
      <c r="HFE76" s="1607"/>
      <c r="HFF76" s="1607"/>
      <c r="HFG76" s="1607"/>
      <c r="HFH76" s="1607"/>
      <c r="HFI76" s="1607"/>
      <c r="HFJ76" s="1607"/>
      <c r="HFK76" s="1607"/>
      <c r="HFL76" s="1607"/>
      <c r="HFM76" s="1607"/>
      <c r="HFN76" s="1607"/>
      <c r="HFO76" s="1607"/>
      <c r="HFP76" s="1607"/>
      <c r="HFQ76" s="1607"/>
      <c r="HFR76" s="1607"/>
      <c r="HFS76" s="1607"/>
      <c r="HFT76" s="1607"/>
      <c r="HFU76" s="1607"/>
      <c r="HFV76" s="1607"/>
      <c r="HFW76" s="1607"/>
      <c r="HFX76" s="1607"/>
      <c r="HFY76" s="1607"/>
      <c r="HFZ76" s="1607"/>
      <c r="HGA76" s="1607"/>
      <c r="HGB76" s="1607"/>
      <c r="HGC76" s="1607"/>
      <c r="HGD76" s="1607"/>
      <c r="HGE76" s="1607"/>
      <c r="HGF76" s="1607"/>
      <c r="HGG76" s="1607"/>
      <c r="HGH76" s="1607"/>
      <c r="HGI76" s="1607"/>
      <c r="HGJ76" s="1607"/>
      <c r="HGK76" s="1607"/>
      <c r="HGL76" s="1607"/>
      <c r="HGM76" s="1607"/>
      <c r="HGN76" s="1607"/>
      <c r="HGO76" s="1607"/>
      <c r="HGP76" s="1607"/>
      <c r="HGQ76" s="1607"/>
      <c r="HGR76" s="1607"/>
      <c r="HGS76" s="1607"/>
      <c r="HGT76" s="1607"/>
      <c r="HGU76" s="1607"/>
      <c r="HGV76" s="1607"/>
      <c r="HGW76" s="1607"/>
      <c r="HGX76" s="1607"/>
      <c r="HGY76" s="1607"/>
      <c r="HGZ76" s="1607"/>
      <c r="HHA76" s="1607"/>
      <c r="HHB76" s="1607"/>
      <c r="HHC76" s="1607"/>
      <c r="HHD76" s="1607"/>
      <c r="HHE76" s="1607"/>
      <c r="HHF76" s="1607"/>
      <c r="HHG76" s="1607"/>
      <c r="HHH76" s="1607"/>
      <c r="HHI76" s="1607"/>
      <c r="HHJ76" s="1607"/>
      <c r="HHK76" s="1607"/>
      <c r="HHL76" s="1607"/>
      <c r="HHM76" s="1607"/>
      <c r="HHN76" s="1607"/>
      <c r="HHO76" s="1607"/>
      <c r="HHP76" s="1607"/>
      <c r="HHQ76" s="1607"/>
      <c r="HHR76" s="1607"/>
      <c r="HHS76" s="1607"/>
      <c r="HHT76" s="1607"/>
      <c r="HHU76" s="1607"/>
      <c r="HHV76" s="1607"/>
      <c r="HHW76" s="1607"/>
      <c r="HHX76" s="1607"/>
      <c r="HHY76" s="1607"/>
      <c r="HHZ76" s="1607"/>
      <c r="HIA76" s="1607"/>
      <c r="HIB76" s="1607"/>
      <c r="HIC76" s="1607"/>
      <c r="HID76" s="1607"/>
      <c r="HIE76" s="1607"/>
      <c r="HIF76" s="1607"/>
      <c r="HIG76" s="1607"/>
      <c r="HIH76" s="1607"/>
      <c r="HII76" s="1607"/>
      <c r="HIJ76" s="1607"/>
      <c r="HIK76" s="1607"/>
      <c r="HIL76" s="1607"/>
      <c r="HIM76" s="1607"/>
      <c r="HIN76" s="1607"/>
      <c r="HIO76" s="1607"/>
      <c r="HIP76" s="1607"/>
      <c r="HIQ76" s="1607"/>
      <c r="HIR76" s="1607"/>
      <c r="HIS76" s="1607"/>
      <c r="HIT76" s="1607"/>
      <c r="HIU76" s="1607"/>
      <c r="HIV76" s="1607"/>
      <c r="HIW76" s="1607"/>
      <c r="HIX76" s="1607"/>
      <c r="HIY76" s="1607"/>
      <c r="HIZ76" s="1607"/>
      <c r="HJA76" s="1607"/>
      <c r="HJB76" s="1607"/>
      <c r="HJC76" s="1607"/>
      <c r="HJD76" s="1607"/>
      <c r="HJE76" s="1607"/>
      <c r="HJF76" s="1607"/>
      <c r="HJG76" s="1607"/>
      <c r="HJH76" s="1607"/>
      <c r="HJI76" s="1607"/>
      <c r="HJJ76" s="1607"/>
      <c r="HJK76" s="1607"/>
      <c r="HJL76" s="1607"/>
      <c r="HJM76" s="1607"/>
      <c r="HJN76" s="1607"/>
      <c r="HJO76" s="1607"/>
      <c r="HJP76" s="1607"/>
      <c r="HJQ76" s="1607"/>
      <c r="HJR76" s="1607"/>
      <c r="HJS76" s="1607"/>
      <c r="HJT76" s="1607"/>
      <c r="HJU76" s="1607"/>
      <c r="HJV76" s="1607"/>
      <c r="HJW76" s="1607"/>
      <c r="HJX76" s="1607"/>
      <c r="HJY76" s="1607"/>
      <c r="HJZ76" s="1607"/>
      <c r="HKA76" s="1607"/>
      <c r="HKB76" s="1607"/>
      <c r="HKC76" s="1607"/>
      <c r="HKD76" s="1607"/>
      <c r="HKE76" s="1607"/>
      <c r="HKF76" s="1607"/>
      <c r="HKG76" s="1607"/>
      <c r="HKH76" s="1607"/>
      <c r="HKI76" s="1607"/>
      <c r="HKJ76" s="1607"/>
      <c r="HKK76" s="1607"/>
      <c r="HKL76" s="1607"/>
      <c r="HKM76" s="1607"/>
      <c r="HKN76" s="1607"/>
      <c r="HKO76" s="1607"/>
      <c r="HKP76" s="1607"/>
      <c r="HKQ76" s="1607"/>
      <c r="HKR76" s="1607"/>
      <c r="HKS76" s="1607"/>
      <c r="HKT76" s="1607"/>
      <c r="HKU76" s="1607"/>
      <c r="HKV76" s="1607"/>
      <c r="HKW76" s="1607"/>
      <c r="HKX76" s="1607"/>
      <c r="HKY76" s="1607"/>
      <c r="HKZ76" s="1607"/>
      <c r="HLA76" s="1607"/>
      <c r="HLB76" s="1607"/>
      <c r="HLC76" s="1607"/>
      <c r="HLD76" s="1607"/>
      <c r="HLE76" s="1607"/>
      <c r="HLF76" s="1607"/>
      <c r="HLG76" s="1607"/>
      <c r="HLH76" s="1607"/>
      <c r="HLI76" s="1607"/>
      <c r="HLJ76" s="1607"/>
      <c r="HLK76" s="1607"/>
      <c r="HLL76" s="1607"/>
      <c r="HLM76" s="1607"/>
      <c r="HLN76" s="1607"/>
      <c r="HLO76" s="1607"/>
      <c r="HLP76" s="1607"/>
      <c r="HLQ76" s="1607"/>
      <c r="HLR76" s="1607"/>
      <c r="HLS76" s="1607"/>
      <c r="HLT76" s="1607"/>
      <c r="HLU76" s="1607"/>
      <c r="HLV76" s="1607"/>
      <c r="HLW76" s="1607"/>
      <c r="HLX76" s="1607"/>
      <c r="HLY76" s="1607"/>
      <c r="HLZ76" s="1607"/>
      <c r="HMA76" s="1607"/>
      <c r="HMB76" s="1607"/>
      <c r="HMC76" s="1607"/>
      <c r="HMD76" s="1607"/>
      <c r="HME76" s="1607"/>
      <c r="HMF76" s="1607"/>
      <c r="HMG76" s="1607"/>
      <c r="HMH76" s="1607"/>
      <c r="HMI76" s="1607"/>
      <c r="HMJ76" s="1607"/>
      <c r="HMK76" s="1607"/>
      <c r="HML76" s="1607"/>
      <c r="HMM76" s="1607"/>
      <c r="HMN76" s="1607"/>
      <c r="HMO76" s="1607"/>
      <c r="HMP76" s="1607"/>
      <c r="HMQ76" s="1607"/>
      <c r="HMR76" s="1607"/>
      <c r="HMS76" s="1607"/>
      <c r="HMT76" s="1607"/>
      <c r="HMU76" s="1607"/>
      <c r="HMV76" s="1607"/>
      <c r="HMW76" s="1607"/>
      <c r="HMX76" s="1607"/>
      <c r="HMY76" s="1607"/>
      <c r="HMZ76" s="1607"/>
      <c r="HNA76" s="1607"/>
      <c r="HNB76" s="1607"/>
      <c r="HNC76" s="1607"/>
      <c r="HND76" s="1607"/>
      <c r="HNE76" s="1607"/>
      <c r="HNF76" s="1607"/>
      <c r="HNG76" s="1607"/>
      <c r="HNH76" s="1607"/>
      <c r="HNI76" s="1607"/>
      <c r="HNJ76" s="1607"/>
      <c r="HNK76" s="1607"/>
      <c r="HNL76" s="1607"/>
      <c r="HNM76" s="1607"/>
      <c r="HNN76" s="1607"/>
      <c r="HNO76" s="1607"/>
      <c r="HNP76" s="1607"/>
      <c r="HNQ76" s="1607"/>
      <c r="HNR76" s="1607"/>
      <c r="HNS76" s="1607"/>
      <c r="HNT76" s="1607"/>
      <c r="HNU76" s="1607"/>
      <c r="HNV76" s="1607"/>
      <c r="HNW76" s="1607"/>
      <c r="HNX76" s="1607"/>
      <c r="HNY76" s="1607"/>
      <c r="HNZ76" s="1607"/>
      <c r="HOA76" s="1607"/>
      <c r="HOB76" s="1607"/>
      <c r="HOC76" s="1607"/>
      <c r="HOD76" s="1607"/>
      <c r="HOE76" s="1607"/>
      <c r="HOF76" s="1607"/>
      <c r="HOG76" s="1607"/>
      <c r="HOH76" s="1607"/>
      <c r="HOI76" s="1607"/>
      <c r="HOJ76" s="1607"/>
      <c r="HOK76" s="1607"/>
      <c r="HOL76" s="1607"/>
      <c r="HOM76" s="1607"/>
      <c r="HON76" s="1607"/>
      <c r="HOO76" s="1607"/>
      <c r="HOP76" s="1607"/>
      <c r="HOQ76" s="1607"/>
      <c r="HOR76" s="1607"/>
      <c r="HOS76" s="1607"/>
      <c r="HOT76" s="1607"/>
      <c r="HOU76" s="1607"/>
      <c r="HOV76" s="1607"/>
      <c r="HOW76" s="1607"/>
      <c r="HOX76" s="1607"/>
      <c r="HOY76" s="1607"/>
      <c r="HOZ76" s="1607"/>
      <c r="HPA76" s="1607"/>
      <c r="HPB76" s="1607"/>
      <c r="HPC76" s="1607"/>
      <c r="HPD76" s="1607"/>
      <c r="HPE76" s="1607"/>
      <c r="HPF76" s="1607"/>
      <c r="HPG76" s="1607"/>
      <c r="HPH76" s="1607"/>
      <c r="HPI76" s="1607"/>
      <c r="HPJ76" s="1607"/>
      <c r="HPK76" s="1607"/>
      <c r="HPL76" s="1607"/>
      <c r="HPM76" s="1607"/>
      <c r="HPN76" s="1607"/>
      <c r="HPO76" s="1607"/>
      <c r="HPP76" s="1607"/>
      <c r="HPQ76" s="1607"/>
      <c r="HPR76" s="1607"/>
      <c r="HPS76" s="1607"/>
      <c r="HPT76" s="1607"/>
      <c r="HPU76" s="1607"/>
      <c r="HPV76" s="1607"/>
      <c r="HPW76" s="1607"/>
      <c r="HPX76" s="1607"/>
      <c r="HPY76" s="1607"/>
      <c r="HPZ76" s="1607"/>
      <c r="HQA76" s="1607"/>
      <c r="HQB76" s="1607"/>
      <c r="HQC76" s="1607"/>
      <c r="HQD76" s="1607"/>
      <c r="HQE76" s="1607"/>
      <c r="HQF76" s="1607"/>
      <c r="HQG76" s="1607"/>
      <c r="HQH76" s="1607"/>
      <c r="HQI76" s="1607"/>
      <c r="HQJ76" s="1607"/>
      <c r="HQK76" s="1607"/>
      <c r="HQL76" s="1607"/>
      <c r="HQM76" s="1607"/>
      <c r="HQN76" s="1607"/>
      <c r="HQO76" s="1607"/>
      <c r="HQP76" s="1607"/>
      <c r="HQQ76" s="1607"/>
      <c r="HQR76" s="1607"/>
      <c r="HQS76" s="1607"/>
      <c r="HQT76" s="1607"/>
      <c r="HQU76" s="1607"/>
      <c r="HQV76" s="1607"/>
      <c r="HQW76" s="1607"/>
      <c r="HQX76" s="1607"/>
      <c r="HQY76" s="1607"/>
      <c r="HQZ76" s="1607"/>
      <c r="HRA76" s="1607"/>
      <c r="HRB76" s="1607"/>
      <c r="HRC76" s="1607"/>
      <c r="HRD76" s="1607"/>
      <c r="HRE76" s="1607"/>
      <c r="HRF76" s="1607"/>
      <c r="HRG76" s="1607"/>
      <c r="HRH76" s="1607"/>
      <c r="HRI76" s="1607"/>
      <c r="HRJ76" s="1607"/>
      <c r="HRK76" s="1607"/>
      <c r="HRL76" s="1607"/>
      <c r="HRM76" s="1607"/>
      <c r="HRN76" s="1607"/>
      <c r="HRO76" s="1607"/>
      <c r="HRP76" s="1607"/>
      <c r="HRQ76" s="1607"/>
      <c r="HRR76" s="1607"/>
      <c r="HRS76" s="1607"/>
      <c r="HRT76" s="1607"/>
      <c r="HRU76" s="1607"/>
      <c r="HRV76" s="1607"/>
      <c r="HRW76" s="1607"/>
      <c r="HRX76" s="1607"/>
      <c r="HRY76" s="1607"/>
      <c r="HRZ76" s="1607"/>
      <c r="HSA76" s="1607"/>
      <c r="HSB76" s="1607"/>
      <c r="HSC76" s="1607"/>
      <c r="HSD76" s="1607"/>
      <c r="HSE76" s="1607"/>
      <c r="HSF76" s="1607"/>
      <c r="HSG76" s="1607"/>
      <c r="HSH76" s="1607"/>
      <c r="HSI76" s="1607"/>
      <c r="HSJ76" s="1607"/>
      <c r="HSK76" s="1607"/>
      <c r="HSL76" s="1607"/>
      <c r="HSM76" s="1607"/>
      <c r="HSN76" s="1607"/>
      <c r="HSO76" s="1607"/>
      <c r="HSP76" s="1607"/>
      <c r="HSQ76" s="1607"/>
      <c r="HSR76" s="1607"/>
      <c r="HSS76" s="1607"/>
      <c r="HST76" s="1607"/>
      <c r="HSU76" s="1607"/>
      <c r="HSV76" s="1607"/>
      <c r="HSW76" s="1607"/>
      <c r="HSX76" s="1607"/>
      <c r="HSY76" s="1607"/>
      <c r="HSZ76" s="1607"/>
      <c r="HTA76" s="1607"/>
      <c r="HTB76" s="1607"/>
      <c r="HTC76" s="1607"/>
      <c r="HTD76" s="1607"/>
      <c r="HTE76" s="1607"/>
      <c r="HTF76" s="1607"/>
      <c r="HTG76" s="1607"/>
      <c r="HTH76" s="1607"/>
      <c r="HTI76" s="1607"/>
      <c r="HTJ76" s="1607"/>
      <c r="HTK76" s="1607"/>
      <c r="HTL76" s="1607"/>
      <c r="HTM76" s="1607"/>
      <c r="HTN76" s="1607"/>
      <c r="HTO76" s="1607"/>
      <c r="HTP76" s="1607"/>
      <c r="HTQ76" s="1607"/>
      <c r="HTR76" s="1607"/>
      <c r="HTS76" s="1607"/>
      <c r="HTT76" s="1607"/>
      <c r="HTU76" s="1607"/>
      <c r="HTV76" s="1607"/>
      <c r="HTW76" s="1607"/>
      <c r="HTX76" s="1607"/>
      <c r="HTY76" s="1607"/>
      <c r="HTZ76" s="1607"/>
      <c r="HUA76" s="1607"/>
      <c r="HUB76" s="1607"/>
      <c r="HUC76" s="1607"/>
      <c r="HUD76" s="1607"/>
      <c r="HUE76" s="1607"/>
      <c r="HUF76" s="1607"/>
      <c r="HUG76" s="1607"/>
      <c r="HUH76" s="1607"/>
      <c r="HUI76" s="1607"/>
      <c r="HUJ76" s="1607"/>
      <c r="HUK76" s="1607"/>
      <c r="HUL76" s="1607"/>
      <c r="HUM76" s="1607"/>
      <c r="HUN76" s="1607"/>
      <c r="HUO76" s="1607"/>
      <c r="HUP76" s="1607"/>
      <c r="HUQ76" s="1607"/>
      <c r="HUR76" s="1607"/>
      <c r="HUS76" s="1607"/>
      <c r="HUT76" s="1607"/>
      <c r="HUU76" s="1607"/>
      <c r="HUV76" s="1607"/>
      <c r="HUW76" s="1607"/>
      <c r="HUX76" s="1607"/>
      <c r="HUY76" s="1607"/>
      <c r="HUZ76" s="1607"/>
      <c r="HVA76" s="1607"/>
      <c r="HVB76" s="1607"/>
      <c r="HVC76" s="1607"/>
      <c r="HVD76" s="1607"/>
      <c r="HVE76" s="1607"/>
      <c r="HVF76" s="1607"/>
      <c r="HVG76" s="1607"/>
      <c r="HVH76" s="1607"/>
      <c r="HVI76" s="1607"/>
      <c r="HVJ76" s="1607"/>
      <c r="HVK76" s="1607"/>
      <c r="HVL76" s="1607"/>
      <c r="HVM76" s="1607"/>
      <c r="HVN76" s="1607"/>
      <c r="HVO76" s="1607"/>
      <c r="HVP76" s="1607"/>
      <c r="HVQ76" s="1607"/>
      <c r="HVR76" s="1607"/>
      <c r="HVS76" s="1607"/>
      <c r="HVT76" s="1607"/>
      <c r="HVU76" s="1607"/>
      <c r="HVV76" s="1607"/>
      <c r="HVW76" s="1607"/>
      <c r="HVX76" s="1607"/>
      <c r="HVY76" s="1607"/>
      <c r="HVZ76" s="1607"/>
      <c r="HWA76" s="1607"/>
      <c r="HWB76" s="1607"/>
      <c r="HWC76" s="1607"/>
      <c r="HWD76" s="1607"/>
      <c r="HWE76" s="1607"/>
      <c r="HWF76" s="1607"/>
      <c r="HWG76" s="1607"/>
      <c r="HWH76" s="1607"/>
      <c r="HWI76" s="1607"/>
      <c r="HWJ76" s="1607"/>
      <c r="HWK76" s="1607"/>
      <c r="HWL76" s="1607"/>
      <c r="HWM76" s="1607"/>
      <c r="HWN76" s="1607"/>
      <c r="HWO76" s="1607"/>
      <c r="HWP76" s="1607"/>
      <c r="HWQ76" s="1607"/>
      <c r="HWR76" s="1607"/>
      <c r="HWS76" s="1607"/>
      <c r="HWT76" s="1607"/>
      <c r="HWU76" s="1607"/>
      <c r="HWV76" s="1607"/>
      <c r="HWW76" s="1607"/>
      <c r="HWX76" s="1607"/>
      <c r="HWY76" s="1607"/>
      <c r="HWZ76" s="1607"/>
      <c r="HXA76" s="1607"/>
      <c r="HXB76" s="1607"/>
      <c r="HXC76" s="1607"/>
      <c r="HXD76" s="1607"/>
      <c r="HXE76" s="1607"/>
      <c r="HXF76" s="1607"/>
      <c r="HXG76" s="1607"/>
      <c r="HXH76" s="1607"/>
      <c r="HXI76" s="1607"/>
      <c r="HXJ76" s="1607"/>
      <c r="HXK76" s="1607"/>
      <c r="HXL76" s="1607"/>
      <c r="HXM76" s="1607"/>
      <c r="HXN76" s="1607"/>
      <c r="HXO76" s="1607"/>
      <c r="HXP76" s="1607"/>
      <c r="HXQ76" s="1607"/>
      <c r="HXR76" s="1607"/>
      <c r="HXS76" s="1607"/>
      <c r="HXT76" s="1607"/>
      <c r="HXU76" s="1607"/>
      <c r="HXV76" s="1607"/>
      <c r="HXW76" s="1607"/>
      <c r="HXX76" s="1607"/>
      <c r="HXY76" s="1607"/>
      <c r="HXZ76" s="1607"/>
      <c r="HYA76" s="1607"/>
      <c r="HYB76" s="1607"/>
      <c r="HYC76" s="1607"/>
      <c r="HYD76" s="1607"/>
      <c r="HYE76" s="1607"/>
      <c r="HYF76" s="1607"/>
      <c r="HYG76" s="1607"/>
      <c r="HYH76" s="1607"/>
      <c r="HYI76" s="1607"/>
      <c r="HYJ76" s="1607"/>
      <c r="HYK76" s="1607"/>
      <c r="HYL76" s="1607"/>
      <c r="HYM76" s="1607"/>
      <c r="HYN76" s="1607"/>
      <c r="HYO76" s="1607"/>
      <c r="HYP76" s="1607"/>
      <c r="HYQ76" s="1607"/>
      <c r="HYR76" s="1607"/>
      <c r="HYS76" s="1607"/>
      <c r="HYT76" s="1607"/>
      <c r="HYU76" s="1607"/>
      <c r="HYV76" s="1607"/>
      <c r="HYW76" s="1607"/>
      <c r="HYX76" s="1607"/>
      <c r="HYY76" s="1607"/>
      <c r="HYZ76" s="1607"/>
      <c r="HZA76" s="1607"/>
      <c r="HZB76" s="1607"/>
      <c r="HZC76" s="1607"/>
      <c r="HZD76" s="1607"/>
      <c r="HZE76" s="1607"/>
      <c r="HZF76" s="1607"/>
      <c r="HZG76" s="1607"/>
      <c r="HZH76" s="1607"/>
      <c r="HZI76" s="1607"/>
      <c r="HZJ76" s="1607"/>
      <c r="HZK76" s="1607"/>
      <c r="HZL76" s="1607"/>
      <c r="HZM76" s="1607"/>
      <c r="HZN76" s="1607"/>
      <c r="HZO76" s="1607"/>
      <c r="HZP76" s="1607"/>
      <c r="HZQ76" s="1607"/>
      <c r="HZR76" s="1607"/>
      <c r="HZS76" s="1607"/>
      <c r="HZT76" s="1607"/>
      <c r="HZU76" s="1607"/>
      <c r="HZV76" s="1607"/>
      <c r="HZW76" s="1607"/>
      <c r="HZX76" s="1607"/>
      <c r="HZY76" s="1607"/>
      <c r="HZZ76" s="1607"/>
      <c r="IAA76" s="1607"/>
      <c r="IAB76" s="1607"/>
      <c r="IAC76" s="1607"/>
      <c r="IAD76" s="1607"/>
      <c r="IAE76" s="1607"/>
      <c r="IAF76" s="1607"/>
      <c r="IAG76" s="1607"/>
      <c r="IAH76" s="1607"/>
      <c r="IAI76" s="1607"/>
      <c r="IAJ76" s="1607"/>
      <c r="IAK76" s="1607"/>
      <c r="IAL76" s="1607"/>
      <c r="IAM76" s="1607"/>
      <c r="IAN76" s="1607"/>
      <c r="IAO76" s="1607"/>
      <c r="IAP76" s="1607"/>
      <c r="IAQ76" s="1607"/>
      <c r="IAR76" s="1607"/>
      <c r="IAS76" s="1607"/>
      <c r="IAT76" s="1607"/>
      <c r="IAU76" s="1607"/>
      <c r="IAV76" s="1607"/>
      <c r="IAW76" s="1607"/>
      <c r="IAX76" s="1607"/>
      <c r="IAY76" s="1607"/>
      <c r="IAZ76" s="1607"/>
      <c r="IBA76" s="1607"/>
      <c r="IBB76" s="1607"/>
      <c r="IBC76" s="1607"/>
      <c r="IBD76" s="1607"/>
      <c r="IBE76" s="1607"/>
      <c r="IBF76" s="1607"/>
      <c r="IBG76" s="1607"/>
      <c r="IBH76" s="1607"/>
      <c r="IBI76" s="1607"/>
      <c r="IBJ76" s="1607"/>
      <c r="IBK76" s="1607"/>
      <c r="IBL76" s="1607"/>
      <c r="IBM76" s="1607"/>
      <c r="IBN76" s="1607"/>
      <c r="IBO76" s="1607"/>
      <c r="IBP76" s="1607"/>
      <c r="IBQ76" s="1607"/>
      <c r="IBR76" s="1607"/>
      <c r="IBS76" s="1607"/>
      <c r="IBT76" s="1607"/>
      <c r="IBU76" s="1607"/>
      <c r="IBV76" s="1607"/>
      <c r="IBW76" s="1607"/>
      <c r="IBX76" s="1607"/>
      <c r="IBY76" s="1607"/>
      <c r="IBZ76" s="1607"/>
      <c r="ICA76" s="1607"/>
      <c r="ICB76" s="1607"/>
      <c r="ICC76" s="1607"/>
      <c r="ICD76" s="1607"/>
      <c r="ICE76" s="1607"/>
      <c r="ICF76" s="1607"/>
      <c r="ICG76" s="1607"/>
      <c r="ICH76" s="1607"/>
      <c r="ICI76" s="1607"/>
      <c r="ICJ76" s="1607"/>
      <c r="ICK76" s="1607"/>
      <c r="ICL76" s="1607"/>
      <c r="ICM76" s="1607"/>
      <c r="ICN76" s="1607"/>
      <c r="ICO76" s="1607"/>
      <c r="ICP76" s="1607"/>
      <c r="ICQ76" s="1607"/>
      <c r="ICR76" s="1607"/>
      <c r="ICS76" s="1607"/>
      <c r="ICT76" s="1607"/>
      <c r="ICU76" s="1607"/>
      <c r="ICV76" s="1607"/>
      <c r="ICW76" s="1607"/>
      <c r="ICX76" s="1607"/>
      <c r="ICY76" s="1607"/>
      <c r="ICZ76" s="1607"/>
      <c r="IDA76" s="1607"/>
      <c r="IDB76" s="1607"/>
      <c r="IDC76" s="1607"/>
      <c r="IDD76" s="1607"/>
      <c r="IDE76" s="1607"/>
      <c r="IDF76" s="1607"/>
      <c r="IDG76" s="1607"/>
      <c r="IDH76" s="1607"/>
      <c r="IDI76" s="1607"/>
      <c r="IDJ76" s="1607"/>
      <c r="IDK76" s="1607"/>
      <c r="IDL76" s="1607"/>
      <c r="IDM76" s="1607"/>
      <c r="IDN76" s="1607"/>
      <c r="IDO76" s="1607"/>
      <c r="IDP76" s="1607"/>
      <c r="IDQ76" s="1607"/>
      <c r="IDR76" s="1607"/>
      <c r="IDS76" s="1607"/>
      <c r="IDT76" s="1607"/>
      <c r="IDU76" s="1607"/>
      <c r="IDV76" s="1607"/>
      <c r="IDW76" s="1607"/>
      <c r="IDX76" s="1607"/>
      <c r="IDY76" s="1607"/>
      <c r="IDZ76" s="1607"/>
      <c r="IEA76" s="1607"/>
      <c r="IEB76" s="1607"/>
      <c r="IEC76" s="1607"/>
      <c r="IED76" s="1607"/>
      <c r="IEE76" s="1607"/>
      <c r="IEF76" s="1607"/>
      <c r="IEG76" s="1607"/>
      <c r="IEH76" s="1607"/>
      <c r="IEI76" s="1607"/>
      <c r="IEJ76" s="1607"/>
      <c r="IEK76" s="1607"/>
      <c r="IEL76" s="1607"/>
      <c r="IEM76" s="1607"/>
      <c r="IEN76" s="1607"/>
      <c r="IEO76" s="1607"/>
      <c r="IEP76" s="1607"/>
      <c r="IEQ76" s="1607"/>
      <c r="IER76" s="1607"/>
      <c r="IES76" s="1607"/>
      <c r="IET76" s="1607"/>
      <c r="IEU76" s="1607"/>
      <c r="IEV76" s="1607"/>
      <c r="IEW76" s="1607"/>
      <c r="IEX76" s="1607"/>
      <c r="IEY76" s="1607"/>
      <c r="IEZ76" s="1607"/>
      <c r="IFA76" s="1607"/>
      <c r="IFB76" s="1607"/>
      <c r="IFC76" s="1607"/>
      <c r="IFD76" s="1607"/>
      <c r="IFE76" s="1607"/>
      <c r="IFF76" s="1607"/>
      <c r="IFG76" s="1607"/>
      <c r="IFH76" s="1607"/>
      <c r="IFI76" s="1607"/>
      <c r="IFJ76" s="1607"/>
      <c r="IFK76" s="1607"/>
      <c r="IFL76" s="1607"/>
      <c r="IFM76" s="1607"/>
      <c r="IFN76" s="1607"/>
      <c r="IFO76" s="1607"/>
      <c r="IFP76" s="1607"/>
      <c r="IFQ76" s="1607"/>
      <c r="IFR76" s="1607"/>
      <c r="IFS76" s="1607"/>
      <c r="IFT76" s="1607"/>
      <c r="IFU76" s="1607"/>
      <c r="IFV76" s="1607"/>
      <c r="IFW76" s="1607"/>
      <c r="IFX76" s="1607"/>
      <c r="IFY76" s="1607"/>
      <c r="IFZ76" s="1607"/>
      <c r="IGA76" s="1607"/>
      <c r="IGB76" s="1607"/>
      <c r="IGC76" s="1607"/>
      <c r="IGD76" s="1607"/>
      <c r="IGE76" s="1607"/>
      <c r="IGF76" s="1607"/>
      <c r="IGG76" s="1607"/>
      <c r="IGH76" s="1607"/>
      <c r="IGI76" s="1607"/>
      <c r="IGJ76" s="1607"/>
      <c r="IGK76" s="1607"/>
      <c r="IGL76" s="1607"/>
      <c r="IGM76" s="1607"/>
      <c r="IGN76" s="1607"/>
      <c r="IGO76" s="1607"/>
      <c r="IGP76" s="1607"/>
      <c r="IGQ76" s="1607"/>
      <c r="IGR76" s="1607"/>
      <c r="IGS76" s="1607"/>
      <c r="IGT76" s="1607"/>
      <c r="IGU76" s="1607"/>
      <c r="IGV76" s="1607"/>
      <c r="IGW76" s="1607"/>
      <c r="IGX76" s="1607"/>
      <c r="IGY76" s="1607"/>
      <c r="IGZ76" s="1607"/>
      <c r="IHA76" s="1607"/>
      <c r="IHB76" s="1607"/>
      <c r="IHC76" s="1607"/>
      <c r="IHD76" s="1607"/>
      <c r="IHE76" s="1607"/>
      <c r="IHF76" s="1607"/>
      <c r="IHG76" s="1607"/>
      <c r="IHH76" s="1607"/>
      <c r="IHI76" s="1607"/>
      <c r="IHJ76" s="1607"/>
      <c r="IHK76" s="1607"/>
      <c r="IHL76" s="1607"/>
      <c r="IHM76" s="1607"/>
      <c r="IHN76" s="1607"/>
      <c r="IHO76" s="1607"/>
      <c r="IHP76" s="1607"/>
      <c r="IHQ76" s="1607"/>
      <c r="IHR76" s="1607"/>
      <c r="IHS76" s="1607"/>
      <c r="IHT76" s="1607"/>
      <c r="IHU76" s="1607"/>
      <c r="IHV76" s="1607"/>
      <c r="IHW76" s="1607"/>
      <c r="IHX76" s="1607"/>
      <c r="IHY76" s="1607"/>
      <c r="IHZ76" s="1607"/>
      <c r="IIA76" s="1607"/>
      <c r="IIB76" s="1607"/>
      <c r="IIC76" s="1607"/>
      <c r="IID76" s="1607"/>
      <c r="IIE76" s="1607"/>
      <c r="IIF76" s="1607"/>
      <c r="IIG76" s="1607"/>
      <c r="IIH76" s="1607"/>
      <c r="III76" s="1607"/>
      <c r="IIJ76" s="1607"/>
      <c r="IIK76" s="1607"/>
      <c r="IIL76" s="1607"/>
      <c r="IIM76" s="1607"/>
      <c r="IIN76" s="1607"/>
      <c r="IIO76" s="1607"/>
      <c r="IIP76" s="1607"/>
      <c r="IIQ76" s="1607"/>
      <c r="IIR76" s="1607"/>
      <c r="IIS76" s="1607"/>
      <c r="IIT76" s="1607"/>
      <c r="IIU76" s="1607"/>
      <c r="IIV76" s="1607"/>
      <c r="IIW76" s="1607"/>
      <c r="IIX76" s="1607"/>
      <c r="IIY76" s="1607"/>
      <c r="IIZ76" s="1607"/>
      <c r="IJA76" s="1607"/>
      <c r="IJB76" s="1607"/>
      <c r="IJC76" s="1607"/>
      <c r="IJD76" s="1607"/>
      <c r="IJE76" s="1607"/>
      <c r="IJF76" s="1607"/>
      <c r="IJG76" s="1607"/>
      <c r="IJH76" s="1607"/>
      <c r="IJI76" s="1607"/>
      <c r="IJJ76" s="1607"/>
      <c r="IJK76" s="1607"/>
      <c r="IJL76" s="1607"/>
      <c r="IJM76" s="1607"/>
      <c r="IJN76" s="1607"/>
      <c r="IJO76" s="1607"/>
      <c r="IJP76" s="1607"/>
      <c r="IJQ76" s="1607"/>
      <c r="IJR76" s="1607"/>
      <c r="IJS76" s="1607"/>
      <c r="IJT76" s="1607"/>
      <c r="IJU76" s="1607"/>
      <c r="IJV76" s="1607"/>
      <c r="IJW76" s="1607"/>
      <c r="IJX76" s="1607"/>
      <c r="IJY76" s="1607"/>
      <c r="IJZ76" s="1607"/>
      <c r="IKA76" s="1607"/>
      <c r="IKB76" s="1607"/>
      <c r="IKC76" s="1607"/>
      <c r="IKD76" s="1607"/>
      <c r="IKE76" s="1607"/>
      <c r="IKF76" s="1607"/>
      <c r="IKG76" s="1607"/>
      <c r="IKH76" s="1607"/>
      <c r="IKI76" s="1607"/>
      <c r="IKJ76" s="1607"/>
      <c r="IKK76" s="1607"/>
      <c r="IKL76" s="1607"/>
      <c r="IKM76" s="1607"/>
      <c r="IKN76" s="1607"/>
      <c r="IKO76" s="1607"/>
      <c r="IKP76" s="1607"/>
      <c r="IKQ76" s="1607"/>
      <c r="IKR76" s="1607"/>
      <c r="IKS76" s="1607"/>
      <c r="IKT76" s="1607"/>
      <c r="IKU76" s="1607"/>
      <c r="IKV76" s="1607"/>
      <c r="IKW76" s="1607"/>
      <c r="IKX76" s="1607"/>
      <c r="IKY76" s="1607"/>
      <c r="IKZ76" s="1607"/>
      <c r="ILA76" s="1607"/>
      <c r="ILB76" s="1607"/>
      <c r="ILC76" s="1607"/>
      <c r="ILD76" s="1607"/>
      <c r="ILE76" s="1607"/>
      <c r="ILF76" s="1607"/>
      <c r="ILG76" s="1607"/>
      <c r="ILH76" s="1607"/>
      <c r="ILI76" s="1607"/>
      <c r="ILJ76" s="1607"/>
      <c r="ILK76" s="1607"/>
      <c r="ILL76" s="1607"/>
      <c r="ILM76" s="1607"/>
      <c r="ILN76" s="1607"/>
      <c r="ILO76" s="1607"/>
      <c r="ILP76" s="1607"/>
      <c r="ILQ76" s="1607"/>
      <c r="ILR76" s="1607"/>
      <c r="ILS76" s="1607"/>
      <c r="ILT76" s="1607"/>
      <c r="ILU76" s="1607"/>
      <c r="ILV76" s="1607"/>
      <c r="ILW76" s="1607"/>
      <c r="ILX76" s="1607"/>
      <c r="ILY76" s="1607"/>
      <c r="ILZ76" s="1607"/>
      <c r="IMA76" s="1607"/>
      <c r="IMB76" s="1607"/>
      <c r="IMC76" s="1607"/>
      <c r="IMD76" s="1607"/>
      <c r="IME76" s="1607"/>
      <c r="IMF76" s="1607"/>
      <c r="IMG76" s="1607"/>
      <c r="IMH76" s="1607"/>
      <c r="IMI76" s="1607"/>
      <c r="IMJ76" s="1607"/>
      <c r="IMK76" s="1607"/>
      <c r="IML76" s="1607"/>
      <c r="IMM76" s="1607"/>
      <c r="IMN76" s="1607"/>
      <c r="IMO76" s="1607"/>
      <c r="IMP76" s="1607"/>
      <c r="IMQ76" s="1607"/>
      <c r="IMR76" s="1607"/>
      <c r="IMS76" s="1607"/>
      <c r="IMT76" s="1607"/>
      <c r="IMU76" s="1607"/>
      <c r="IMV76" s="1607"/>
      <c r="IMW76" s="1607"/>
      <c r="IMX76" s="1607"/>
      <c r="IMY76" s="1607"/>
      <c r="IMZ76" s="1607"/>
      <c r="INA76" s="1607"/>
      <c r="INB76" s="1607"/>
      <c r="INC76" s="1607"/>
      <c r="IND76" s="1607"/>
      <c r="INE76" s="1607"/>
      <c r="INF76" s="1607"/>
      <c r="ING76" s="1607"/>
      <c r="INH76" s="1607"/>
      <c r="INI76" s="1607"/>
      <c r="INJ76" s="1607"/>
      <c r="INK76" s="1607"/>
      <c r="INL76" s="1607"/>
      <c r="INM76" s="1607"/>
      <c r="INN76" s="1607"/>
      <c r="INO76" s="1607"/>
      <c r="INP76" s="1607"/>
      <c r="INQ76" s="1607"/>
      <c r="INR76" s="1607"/>
      <c r="INS76" s="1607"/>
      <c r="INT76" s="1607"/>
      <c r="INU76" s="1607"/>
      <c r="INV76" s="1607"/>
      <c r="INW76" s="1607"/>
      <c r="INX76" s="1607"/>
      <c r="INY76" s="1607"/>
      <c r="INZ76" s="1607"/>
      <c r="IOA76" s="1607"/>
      <c r="IOB76" s="1607"/>
      <c r="IOC76" s="1607"/>
      <c r="IOD76" s="1607"/>
      <c r="IOE76" s="1607"/>
      <c r="IOF76" s="1607"/>
      <c r="IOG76" s="1607"/>
      <c r="IOH76" s="1607"/>
      <c r="IOI76" s="1607"/>
      <c r="IOJ76" s="1607"/>
      <c r="IOK76" s="1607"/>
      <c r="IOL76" s="1607"/>
      <c r="IOM76" s="1607"/>
      <c r="ION76" s="1607"/>
      <c r="IOO76" s="1607"/>
      <c r="IOP76" s="1607"/>
      <c r="IOQ76" s="1607"/>
      <c r="IOR76" s="1607"/>
      <c r="IOS76" s="1607"/>
      <c r="IOT76" s="1607"/>
      <c r="IOU76" s="1607"/>
      <c r="IOV76" s="1607"/>
      <c r="IOW76" s="1607"/>
      <c r="IOX76" s="1607"/>
      <c r="IOY76" s="1607"/>
      <c r="IOZ76" s="1607"/>
      <c r="IPA76" s="1607"/>
      <c r="IPB76" s="1607"/>
      <c r="IPC76" s="1607"/>
      <c r="IPD76" s="1607"/>
      <c r="IPE76" s="1607"/>
      <c r="IPF76" s="1607"/>
      <c r="IPG76" s="1607"/>
      <c r="IPH76" s="1607"/>
      <c r="IPI76" s="1607"/>
      <c r="IPJ76" s="1607"/>
      <c r="IPK76" s="1607"/>
      <c r="IPL76" s="1607"/>
      <c r="IPM76" s="1607"/>
      <c r="IPN76" s="1607"/>
      <c r="IPO76" s="1607"/>
      <c r="IPP76" s="1607"/>
      <c r="IPQ76" s="1607"/>
      <c r="IPR76" s="1607"/>
      <c r="IPS76" s="1607"/>
      <c r="IPT76" s="1607"/>
      <c r="IPU76" s="1607"/>
      <c r="IPV76" s="1607"/>
      <c r="IPW76" s="1607"/>
      <c r="IPX76" s="1607"/>
      <c r="IPY76" s="1607"/>
      <c r="IPZ76" s="1607"/>
      <c r="IQA76" s="1607"/>
      <c r="IQB76" s="1607"/>
      <c r="IQC76" s="1607"/>
      <c r="IQD76" s="1607"/>
      <c r="IQE76" s="1607"/>
      <c r="IQF76" s="1607"/>
      <c r="IQG76" s="1607"/>
      <c r="IQH76" s="1607"/>
      <c r="IQI76" s="1607"/>
      <c r="IQJ76" s="1607"/>
      <c r="IQK76" s="1607"/>
      <c r="IQL76" s="1607"/>
      <c r="IQM76" s="1607"/>
      <c r="IQN76" s="1607"/>
      <c r="IQO76" s="1607"/>
      <c r="IQP76" s="1607"/>
      <c r="IQQ76" s="1607"/>
      <c r="IQR76" s="1607"/>
      <c r="IQS76" s="1607"/>
      <c r="IQT76" s="1607"/>
      <c r="IQU76" s="1607"/>
      <c r="IQV76" s="1607"/>
      <c r="IQW76" s="1607"/>
      <c r="IQX76" s="1607"/>
      <c r="IQY76" s="1607"/>
      <c r="IQZ76" s="1607"/>
      <c r="IRA76" s="1607"/>
      <c r="IRB76" s="1607"/>
      <c r="IRC76" s="1607"/>
      <c r="IRD76" s="1607"/>
      <c r="IRE76" s="1607"/>
      <c r="IRF76" s="1607"/>
      <c r="IRG76" s="1607"/>
      <c r="IRH76" s="1607"/>
      <c r="IRI76" s="1607"/>
      <c r="IRJ76" s="1607"/>
      <c r="IRK76" s="1607"/>
      <c r="IRL76" s="1607"/>
      <c r="IRM76" s="1607"/>
      <c r="IRN76" s="1607"/>
      <c r="IRO76" s="1607"/>
      <c r="IRP76" s="1607"/>
      <c r="IRQ76" s="1607"/>
      <c r="IRR76" s="1607"/>
      <c r="IRS76" s="1607"/>
      <c r="IRT76" s="1607"/>
      <c r="IRU76" s="1607"/>
      <c r="IRV76" s="1607"/>
      <c r="IRW76" s="1607"/>
      <c r="IRX76" s="1607"/>
      <c r="IRY76" s="1607"/>
      <c r="IRZ76" s="1607"/>
      <c r="ISA76" s="1607"/>
      <c r="ISB76" s="1607"/>
      <c r="ISC76" s="1607"/>
      <c r="ISD76" s="1607"/>
      <c r="ISE76" s="1607"/>
      <c r="ISF76" s="1607"/>
      <c r="ISG76" s="1607"/>
      <c r="ISH76" s="1607"/>
      <c r="ISI76" s="1607"/>
      <c r="ISJ76" s="1607"/>
      <c r="ISK76" s="1607"/>
      <c r="ISL76" s="1607"/>
      <c r="ISM76" s="1607"/>
      <c r="ISN76" s="1607"/>
      <c r="ISO76" s="1607"/>
      <c r="ISP76" s="1607"/>
      <c r="ISQ76" s="1607"/>
      <c r="ISR76" s="1607"/>
      <c r="ISS76" s="1607"/>
      <c r="IST76" s="1607"/>
      <c r="ISU76" s="1607"/>
      <c r="ISV76" s="1607"/>
      <c r="ISW76" s="1607"/>
      <c r="ISX76" s="1607"/>
      <c r="ISY76" s="1607"/>
      <c r="ISZ76" s="1607"/>
      <c r="ITA76" s="1607"/>
      <c r="ITB76" s="1607"/>
      <c r="ITC76" s="1607"/>
      <c r="ITD76" s="1607"/>
      <c r="ITE76" s="1607"/>
      <c r="ITF76" s="1607"/>
      <c r="ITG76" s="1607"/>
      <c r="ITH76" s="1607"/>
      <c r="ITI76" s="1607"/>
      <c r="ITJ76" s="1607"/>
      <c r="ITK76" s="1607"/>
      <c r="ITL76" s="1607"/>
      <c r="ITM76" s="1607"/>
      <c r="ITN76" s="1607"/>
      <c r="ITO76" s="1607"/>
      <c r="ITP76" s="1607"/>
      <c r="ITQ76" s="1607"/>
      <c r="ITR76" s="1607"/>
      <c r="ITS76" s="1607"/>
      <c r="ITT76" s="1607"/>
      <c r="ITU76" s="1607"/>
      <c r="ITV76" s="1607"/>
      <c r="ITW76" s="1607"/>
      <c r="ITX76" s="1607"/>
      <c r="ITY76" s="1607"/>
      <c r="ITZ76" s="1607"/>
      <c r="IUA76" s="1607"/>
      <c r="IUB76" s="1607"/>
      <c r="IUC76" s="1607"/>
      <c r="IUD76" s="1607"/>
      <c r="IUE76" s="1607"/>
      <c r="IUF76" s="1607"/>
      <c r="IUG76" s="1607"/>
      <c r="IUH76" s="1607"/>
      <c r="IUI76" s="1607"/>
      <c r="IUJ76" s="1607"/>
      <c r="IUK76" s="1607"/>
      <c r="IUL76" s="1607"/>
      <c r="IUM76" s="1607"/>
      <c r="IUN76" s="1607"/>
      <c r="IUO76" s="1607"/>
      <c r="IUP76" s="1607"/>
      <c r="IUQ76" s="1607"/>
      <c r="IUR76" s="1607"/>
      <c r="IUS76" s="1607"/>
      <c r="IUT76" s="1607"/>
      <c r="IUU76" s="1607"/>
      <c r="IUV76" s="1607"/>
      <c r="IUW76" s="1607"/>
      <c r="IUX76" s="1607"/>
      <c r="IUY76" s="1607"/>
      <c r="IUZ76" s="1607"/>
      <c r="IVA76" s="1607"/>
      <c r="IVB76" s="1607"/>
      <c r="IVC76" s="1607"/>
      <c r="IVD76" s="1607"/>
      <c r="IVE76" s="1607"/>
      <c r="IVF76" s="1607"/>
      <c r="IVG76" s="1607"/>
      <c r="IVH76" s="1607"/>
      <c r="IVI76" s="1607"/>
      <c r="IVJ76" s="1607"/>
      <c r="IVK76" s="1607"/>
      <c r="IVL76" s="1607"/>
      <c r="IVM76" s="1607"/>
      <c r="IVN76" s="1607"/>
      <c r="IVO76" s="1607"/>
      <c r="IVP76" s="1607"/>
      <c r="IVQ76" s="1607"/>
      <c r="IVR76" s="1607"/>
      <c r="IVS76" s="1607"/>
      <c r="IVT76" s="1607"/>
      <c r="IVU76" s="1607"/>
      <c r="IVV76" s="1607"/>
      <c r="IVW76" s="1607"/>
      <c r="IVX76" s="1607"/>
      <c r="IVY76" s="1607"/>
      <c r="IVZ76" s="1607"/>
      <c r="IWA76" s="1607"/>
      <c r="IWB76" s="1607"/>
      <c r="IWC76" s="1607"/>
      <c r="IWD76" s="1607"/>
      <c r="IWE76" s="1607"/>
      <c r="IWF76" s="1607"/>
      <c r="IWG76" s="1607"/>
      <c r="IWH76" s="1607"/>
      <c r="IWI76" s="1607"/>
      <c r="IWJ76" s="1607"/>
      <c r="IWK76" s="1607"/>
      <c r="IWL76" s="1607"/>
      <c r="IWM76" s="1607"/>
      <c r="IWN76" s="1607"/>
      <c r="IWO76" s="1607"/>
      <c r="IWP76" s="1607"/>
      <c r="IWQ76" s="1607"/>
      <c r="IWR76" s="1607"/>
      <c r="IWS76" s="1607"/>
      <c r="IWT76" s="1607"/>
      <c r="IWU76" s="1607"/>
      <c r="IWV76" s="1607"/>
      <c r="IWW76" s="1607"/>
      <c r="IWX76" s="1607"/>
      <c r="IWY76" s="1607"/>
      <c r="IWZ76" s="1607"/>
      <c r="IXA76" s="1607"/>
      <c r="IXB76" s="1607"/>
      <c r="IXC76" s="1607"/>
      <c r="IXD76" s="1607"/>
      <c r="IXE76" s="1607"/>
      <c r="IXF76" s="1607"/>
      <c r="IXG76" s="1607"/>
      <c r="IXH76" s="1607"/>
      <c r="IXI76" s="1607"/>
      <c r="IXJ76" s="1607"/>
      <c r="IXK76" s="1607"/>
      <c r="IXL76" s="1607"/>
      <c r="IXM76" s="1607"/>
      <c r="IXN76" s="1607"/>
      <c r="IXO76" s="1607"/>
      <c r="IXP76" s="1607"/>
      <c r="IXQ76" s="1607"/>
      <c r="IXR76" s="1607"/>
      <c r="IXS76" s="1607"/>
      <c r="IXT76" s="1607"/>
      <c r="IXU76" s="1607"/>
      <c r="IXV76" s="1607"/>
      <c r="IXW76" s="1607"/>
      <c r="IXX76" s="1607"/>
      <c r="IXY76" s="1607"/>
      <c r="IXZ76" s="1607"/>
      <c r="IYA76" s="1607"/>
      <c r="IYB76" s="1607"/>
      <c r="IYC76" s="1607"/>
      <c r="IYD76" s="1607"/>
      <c r="IYE76" s="1607"/>
      <c r="IYF76" s="1607"/>
      <c r="IYG76" s="1607"/>
      <c r="IYH76" s="1607"/>
      <c r="IYI76" s="1607"/>
      <c r="IYJ76" s="1607"/>
      <c r="IYK76" s="1607"/>
      <c r="IYL76" s="1607"/>
      <c r="IYM76" s="1607"/>
      <c r="IYN76" s="1607"/>
      <c r="IYO76" s="1607"/>
      <c r="IYP76" s="1607"/>
      <c r="IYQ76" s="1607"/>
      <c r="IYR76" s="1607"/>
      <c r="IYS76" s="1607"/>
      <c r="IYT76" s="1607"/>
      <c r="IYU76" s="1607"/>
      <c r="IYV76" s="1607"/>
      <c r="IYW76" s="1607"/>
      <c r="IYX76" s="1607"/>
      <c r="IYY76" s="1607"/>
      <c r="IYZ76" s="1607"/>
      <c r="IZA76" s="1607"/>
      <c r="IZB76" s="1607"/>
      <c r="IZC76" s="1607"/>
      <c r="IZD76" s="1607"/>
      <c r="IZE76" s="1607"/>
      <c r="IZF76" s="1607"/>
      <c r="IZG76" s="1607"/>
      <c r="IZH76" s="1607"/>
      <c r="IZI76" s="1607"/>
      <c r="IZJ76" s="1607"/>
      <c r="IZK76" s="1607"/>
      <c r="IZL76" s="1607"/>
      <c r="IZM76" s="1607"/>
      <c r="IZN76" s="1607"/>
      <c r="IZO76" s="1607"/>
      <c r="IZP76" s="1607"/>
      <c r="IZQ76" s="1607"/>
      <c r="IZR76" s="1607"/>
      <c r="IZS76" s="1607"/>
      <c r="IZT76" s="1607"/>
      <c r="IZU76" s="1607"/>
      <c r="IZV76" s="1607"/>
      <c r="IZW76" s="1607"/>
      <c r="IZX76" s="1607"/>
      <c r="IZY76" s="1607"/>
      <c r="IZZ76" s="1607"/>
      <c r="JAA76" s="1607"/>
      <c r="JAB76" s="1607"/>
      <c r="JAC76" s="1607"/>
      <c r="JAD76" s="1607"/>
      <c r="JAE76" s="1607"/>
      <c r="JAF76" s="1607"/>
      <c r="JAG76" s="1607"/>
      <c r="JAH76" s="1607"/>
      <c r="JAI76" s="1607"/>
      <c r="JAJ76" s="1607"/>
      <c r="JAK76" s="1607"/>
      <c r="JAL76" s="1607"/>
      <c r="JAM76" s="1607"/>
      <c r="JAN76" s="1607"/>
      <c r="JAO76" s="1607"/>
      <c r="JAP76" s="1607"/>
      <c r="JAQ76" s="1607"/>
      <c r="JAR76" s="1607"/>
      <c r="JAS76" s="1607"/>
      <c r="JAT76" s="1607"/>
      <c r="JAU76" s="1607"/>
      <c r="JAV76" s="1607"/>
      <c r="JAW76" s="1607"/>
      <c r="JAX76" s="1607"/>
      <c r="JAY76" s="1607"/>
      <c r="JAZ76" s="1607"/>
      <c r="JBA76" s="1607"/>
      <c r="JBB76" s="1607"/>
      <c r="JBC76" s="1607"/>
      <c r="JBD76" s="1607"/>
      <c r="JBE76" s="1607"/>
      <c r="JBF76" s="1607"/>
      <c r="JBG76" s="1607"/>
      <c r="JBH76" s="1607"/>
      <c r="JBI76" s="1607"/>
      <c r="JBJ76" s="1607"/>
      <c r="JBK76" s="1607"/>
      <c r="JBL76" s="1607"/>
      <c r="JBM76" s="1607"/>
      <c r="JBN76" s="1607"/>
      <c r="JBO76" s="1607"/>
      <c r="JBP76" s="1607"/>
      <c r="JBQ76" s="1607"/>
      <c r="JBR76" s="1607"/>
      <c r="JBS76" s="1607"/>
      <c r="JBT76" s="1607"/>
      <c r="JBU76" s="1607"/>
      <c r="JBV76" s="1607"/>
      <c r="JBW76" s="1607"/>
      <c r="JBX76" s="1607"/>
      <c r="JBY76" s="1607"/>
      <c r="JBZ76" s="1607"/>
      <c r="JCA76" s="1607"/>
      <c r="JCB76" s="1607"/>
      <c r="JCC76" s="1607"/>
      <c r="JCD76" s="1607"/>
      <c r="JCE76" s="1607"/>
      <c r="JCF76" s="1607"/>
      <c r="JCG76" s="1607"/>
      <c r="JCH76" s="1607"/>
      <c r="JCI76" s="1607"/>
      <c r="JCJ76" s="1607"/>
      <c r="JCK76" s="1607"/>
      <c r="JCL76" s="1607"/>
      <c r="JCM76" s="1607"/>
      <c r="JCN76" s="1607"/>
      <c r="JCO76" s="1607"/>
      <c r="JCP76" s="1607"/>
      <c r="JCQ76" s="1607"/>
      <c r="JCR76" s="1607"/>
      <c r="JCS76" s="1607"/>
      <c r="JCT76" s="1607"/>
      <c r="JCU76" s="1607"/>
      <c r="JCV76" s="1607"/>
      <c r="JCW76" s="1607"/>
      <c r="JCX76" s="1607"/>
      <c r="JCY76" s="1607"/>
      <c r="JCZ76" s="1607"/>
      <c r="JDA76" s="1607"/>
      <c r="JDB76" s="1607"/>
      <c r="JDC76" s="1607"/>
      <c r="JDD76" s="1607"/>
      <c r="JDE76" s="1607"/>
      <c r="JDF76" s="1607"/>
      <c r="JDG76" s="1607"/>
      <c r="JDH76" s="1607"/>
      <c r="JDI76" s="1607"/>
      <c r="JDJ76" s="1607"/>
      <c r="JDK76" s="1607"/>
      <c r="JDL76" s="1607"/>
      <c r="JDM76" s="1607"/>
      <c r="JDN76" s="1607"/>
      <c r="JDO76" s="1607"/>
      <c r="JDP76" s="1607"/>
      <c r="JDQ76" s="1607"/>
      <c r="JDR76" s="1607"/>
      <c r="JDS76" s="1607"/>
      <c r="JDT76" s="1607"/>
      <c r="JDU76" s="1607"/>
      <c r="JDV76" s="1607"/>
      <c r="JDW76" s="1607"/>
      <c r="JDX76" s="1607"/>
      <c r="JDY76" s="1607"/>
      <c r="JDZ76" s="1607"/>
      <c r="JEA76" s="1607"/>
      <c r="JEB76" s="1607"/>
      <c r="JEC76" s="1607"/>
      <c r="JED76" s="1607"/>
      <c r="JEE76" s="1607"/>
      <c r="JEF76" s="1607"/>
      <c r="JEG76" s="1607"/>
      <c r="JEH76" s="1607"/>
      <c r="JEI76" s="1607"/>
      <c r="JEJ76" s="1607"/>
      <c r="JEK76" s="1607"/>
      <c r="JEL76" s="1607"/>
      <c r="JEM76" s="1607"/>
      <c r="JEN76" s="1607"/>
      <c r="JEO76" s="1607"/>
      <c r="JEP76" s="1607"/>
      <c r="JEQ76" s="1607"/>
      <c r="JER76" s="1607"/>
      <c r="JES76" s="1607"/>
      <c r="JET76" s="1607"/>
      <c r="JEU76" s="1607"/>
      <c r="JEV76" s="1607"/>
      <c r="JEW76" s="1607"/>
      <c r="JEX76" s="1607"/>
      <c r="JEY76" s="1607"/>
      <c r="JEZ76" s="1607"/>
      <c r="JFA76" s="1607"/>
      <c r="JFB76" s="1607"/>
      <c r="JFC76" s="1607"/>
      <c r="JFD76" s="1607"/>
      <c r="JFE76" s="1607"/>
      <c r="JFF76" s="1607"/>
      <c r="JFG76" s="1607"/>
      <c r="JFH76" s="1607"/>
      <c r="JFI76" s="1607"/>
      <c r="JFJ76" s="1607"/>
      <c r="JFK76" s="1607"/>
      <c r="JFL76" s="1607"/>
      <c r="JFM76" s="1607"/>
      <c r="JFN76" s="1607"/>
      <c r="JFO76" s="1607"/>
      <c r="JFP76" s="1607"/>
      <c r="JFQ76" s="1607"/>
      <c r="JFR76" s="1607"/>
      <c r="JFS76" s="1607"/>
      <c r="JFT76" s="1607"/>
      <c r="JFU76" s="1607"/>
      <c r="JFV76" s="1607"/>
      <c r="JFW76" s="1607"/>
      <c r="JFX76" s="1607"/>
      <c r="JFY76" s="1607"/>
      <c r="JFZ76" s="1607"/>
      <c r="JGA76" s="1607"/>
      <c r="JGB76" s="1607"/>
      <c r="JGC76" s="1607"/>
      <c r="JGD76" s="1607"/>
      <c r="JGE76" s="1607"/>
      <c r="JGF76" s="1607"/>
      <c r="JGG76" s="1607"/>
      <c r="JGH76" s="1607"/>
      <c r="JGI76" s="1607"/>
      <c r="JGJ76" s="1607"/>
      <c r="JGK76" s="1607"/>
      <c r="JGL76" s="1607"/>
      <c r="JGM76" s="1607"/>
      <c r="JGN76" s="1607"/>
      <c r="JGO76" s="1607"/>
      <c r="JGP76" s="1607"/>
      <c r="JGQ76" s="1607"/>
      <c r="JGR76" s="1607"/>
      <c r="JGS76" s="1607"/>
      <c r="JGT76" s="1607"/>
      <c r="JGU76" s="1607"/>
      <c r="JGV76" s="1607"/>
      <c r="JGW76" s="1607"/>
      <c r="JGX76" s="1607"/>
      <c r="JGY76" s="1607"/>
      <c r="JGZ76" s="1607"/>
      <c r="JHA76" s="1607"/>
      <c r="JHB76" s="1607"/>
      <c r="JHC76" s="1607"/>
      <c r="JHD76" s="1607"/>
      <c r="JHE76" s="1607"/>
      <c r="JHF76" s="1607"/>
      <c r="JHG76" s="1607"/>
      <c r="JHH76" s="1607"/>
      <c r="JHI76" s="1607"/>
      <c r="JHJ76" s="1607"/>
      <c r="JHK76" s="1607"/>
      <c r="JHL76" s="1607"/>
      <c r="JHM76" s="1607"/>
      <c r="JHN76" s="1607"/>
      <c r="JHO76" s="1607"/>
      <c r="JHP76" s="1607"/>
      <c r="JHQ76" s="1607"/>
      <c r="JHR76" s="1607"/>
      <c r="JHS76" s="1607"/>
      <c r="JHT76" s="1607"/>
      <c r="JHU76" s="1607"/>
      <c r="JHV76" s="1607"/>
      <c r="JHW76" s="1607"/>
      <c r="JHX76" s="1607"/>
      <c r="JHY76" s="1607"/>
      <c r="JHZ76" s="1607"/>
      <c r="JIA76" s="1607"/>
      <c r="JIB76" s="1607"/>
      <c r="JIC76" s="1607"/>
      <c r="JID76" s="1607"/>
      <c r="JIE76" s="1607"/>
      <c r="JIF76" s="1607"/>
      <c r="JIG76" s="1607"/>
      <c r="JIH76" s="1607"/>
      <c r="JII76" s="1607"/>
      <c r="JIJ76" s="1607"/>
      <c r="JIK76" s="1607"/>
      <c r="JIL76" s="1607"/>
      <c r="JIM76" s="1607"/>
      <c r="JIN76" s="1607"/>
      <c r="JIO76" s="1607"/>
      <c r="JIP76" s="1607"/>
      <c r="JIQ76" s="1607"/>
      <c r="JIR76" s="1607"/>
      <c r="JIS76" s="1607"/>
      <c r="JIT76" s="1607"/>
      <c r="JIU76" s="1607"/>
      <c r="JIV76" s="1607"/>
      <c r="JIW76" s="1607"/>
      <c r="JIX76" s="1607"/>
      <c r="JIY76" s="1607"/>
      <c r="JIZ76" s="1607"/>
      <c r="JJA76" s="1607"/>
      <c r="JJB76" s="1607"/>
      <c r="JJC76" s="1607"/>
      <c r="JJD76" s="1607"/>
      <c r="JJE76" s="1607"/>
      <c r="JJF76" s="1607"/>
      <c r="JJG76" s="1607"/>
      <c r="JJH76" s="1607"/>
      <c r="JJI76" s="1607"/>
      <c r="JJJ76" s="1607"/>
      <c r="JJK76" s="1607"/>
      <c r="JJL76" s="1607"/>
      <c r="JJM76" s="1607"/>
      <c r="JJN76" s="1607"/>
      <c r="JJO76" s="1607"/>
      <c r="JJP76" s="1607"/>
      <c r="JJQ76" s="1607"/>
      <c r="JJR76" s="1607"/>
      <c r="JJS76" s="1607"/>
      <c r="JJT76" s="1607"/>
      <c r="JJU76" s="1607"/>
      <c r="JJV76" s="1607"/>
      <c r="JJW76" s="1607"/>
      <c r="JJX76" s="1607"/>
      <c r="JJY76" s="1607"/>
      <c r="JJZ76" s="1607"/>
      <c r="JKA76" s="1607"/>
      <c r="JKB76" s="1607"/>
      <c r="JKC76" s="1607"/>
      <c r="JKD76" s="1607"/>
      <c r="JKE76" s="1607"/>
      <c r="JKF76" s="1607"/>
      <c r="JKG76" s="1607"/>
      <c r="JKH76" s="1607"/>
      <c r="JKI76" s="1607"/>
      <c r="JKJ76" s="1607"/>
      <c r="JKK76" s="1607"/>
      <c r="JKL76" s="1607"/>
      <c r="JKM76" s="1607"/>
      <c r="JKN76" s="1607"/>
      <c r="JKO76" s="1607"/>
      <c r="JKP76" s="1607"/>
      <c r="JKQ76" s="1607"/>
      <c r="JKR76" s="1607"/>
      <c r="JKS76" s="1607"/>
      <c r="JKT76" s="1607"/>
      <c r="JKU76" s="1607"/>
      <c r="JKV76" s="1607"/>
      <c r="JKW76" s="1607"/>
      <c r="JKX76" s="1607"/>
      <c r="JKY76" s="1607"/>
      <c r="JKZ76" s="1607"/>
      <c r="JLA76" s="1607"/>
      <c r="JLB76" s="1607"/>
      <c r="JLC76" s="1607"/>
      <c r="JLD76" s="1607"/>
      <c r="JLE76" s="1607"/>
      <c r="JLF76" s="1607"/>
      <c r="JLG76" s="1607"/>
      <c r="JLH76" s="1607"/>
      <c r="JLI76" s="1607"/>
      <c r="JLJ76" s="1607"/>
      <c r="JLK76" s="1607"/>
      <c r="JLL76" s="1607"/>
      <c r="JLM76" s="1607"/>
      <c r="JLN76" s="1607"/>
      <c r="JLO76" s="1607"/>
      <c r="JLP76" s="1607"/>
      <c r="JLQ76" s="1607"/>
      <c r="JLR76" s="1607"/>
      <c r="JLS76" s="1607"/>
      <c r="JLT76" s="1607"/>
      <c r="JLU76" s="1607"/>
      <c r="JLV76" s="1607"/>
      <c r="JLW76" s="1607"/>
      <c r="JLX76" s="1607"/>
      <c r="JLY76" s="1607"/>
      <c r="JLZ76" s="1607"/>
      <c r="JMA76" s="1607"/>
      <c r="JMB76" s="1607"/>
      <c r="JMC76" s="1607"/>
      <c r="JMD76" s="1607"/>
      <c r="JME76" s="1607"/>
      <c r="JMF76" s="1607"/>
      <c r="JMG76" s="1607"/>
      <c r="JMH76" s="1607"/>
      <c r="JMI76" s="1607"/>
      <c r="JMJ76" s="1607"/>
      <c r="JMK76" s="1607"/>
      <c r="JML76" s="1607"/>
      <c r="JMM76" s="1607"/>
      <c r="JMN76" s="1607"/>
      <c r="JMO76" s="1607"/>
      <c r="JMP76" s="1607"/>
      <c r="JMQ76" s="1607"/>
      <c r="JMR76" s="1607"/>
      <c r="JMS76" s="1607"/>
      <c r="JMT76" s="1607"/>
      <c r="JMU76" s="1607"/>
      <c r="JMV76" s="1607"/>
      <c r="JMW76" s="1607"/>
      <c r="JMX76" s="1607"/>
      <c r="JMY76" s="1607"/>
      <c r="JMZ76" s="1607"/>
      <c r="JNA76" s="1607"/>
      <c r="JNB76" s="1607"/>
      <c r="JNC76" s="1607"/>
      <c r="JND76" s="1607"/>
      <c r="JNE76" s="1607"/>
      <c r="JNF76" s="1607"/>
      <c r="JNG76" s="1607"/>
      <c r="JNH76" s="1607"/>
      <c r="JNI76" s="1607"/>
      <c r="JNJ76" s="1607"/>
      <c r="JNK76" s="1607"/>
      <c r="JNL76" s="1607"/>
      <c r="JNM76" s="1607"/>
      <c r="JNN76" s="1607"/>
      <c r="JNO76" s="1607"/>
      <c r="JNP76" s="1607"/>
      <c r="JNQ76" s="1607"/>
      <c r="JNR76" s="1607"/>
      <c r="JNS76" s="1607"/>
      <c r="JNT76" s="1607"/>
      <c r="JNU76" s="1607"/>
      <c r="JNV76" s="1607"/>
      <c r="JNW76" s="1607"/>
      <c r="JNX76" s="1607"/>
      <c r="JNY76" s="1607"/>
      <c r="JNZ76" s="1607"/>
      <c r="JOA76" s="1607"/>
      <c r="JOB76" s="1607"/>
      <c r="JOC76" s="1607"/>
      <c r="JOD76" s="1607"/>
      <c r="JOE76" s="1607"/>
      <c r="JOF76" s="1607"/>
      <c r="JOG76" s="1607"/>
      <c r="JOH76" s="1607"/>
      <c r="JOI76" s="1607"/>
      <c r="JOJ76" s="1607"/>
      <c r="JOK76" s="1607"/>
      <c r="JOL76" s="1607"/>
      <c r="JOM76" s="1607"/>
      <c r="JON76" s="1607"/>
      <c r="JOO76" s="1607"/>
      <c r="JOP76" s="1607"/>
      <c r="JOQ76" s="1607"/>
      <c r="JOR76" s="1607"/>
      <c r="JOS76" s="1607"/>
      <c r="JOT76" s="1607"/>
      <c r="JOU76" s="1607"/>
      <c r="JOV76" s="1607"/>
      <c r="JOW76" s="1607"/>
      <c r="JOX76" s="1607"/>
      <c r="JOY76" s="1607"/>
      <c r="JOZ76" s="1607"/>
      <c r="JPA76" s="1607"/>
      <c r="JPB76" s="1607"/>
      <c r="JPC76" s="1607"/>
      <c r="JPD76" s="1607"/>
      <c r="JPE76" s="1607"/>
      <c r="JPF76" s="1607"/>
      <c r="JPG76" s="1607"/>
      <c r="JPH76" s="1607"/>
      <c r="JPI76" s="1607"/>
      <c r="JPJ76" s="1607"/>
      <c r="JPK76" s="1607"/>
      <c r="JPL76" s="1607"/>
      <c r="JPM76" s="1607"/>
      <c r="JPN76" s="1607"/>
      <c r="JPO76" s="1607"/>
      <c r="JPP76" s="1607"/>
      <c r="JPQ76" s="1607"/>
      <c r="JPR76" s="1607"/>
      <c r="JPS76" s="1607"/>
      <c r="JPT76" s="1607"/>
      <c r="JPU76" s="1607"/>
      <c r="JPV76" s="1607"/>
      <c r="JPW76" s="1607"/>
      <c r="JPX76" s="1607"/>
      <c r="JPY76" s="1607"/>
      <c r="JPZ76" s="1607"/>
      <c r="JQA76" s="1607"/>
      <c r="JQB76" s="1607"/>
      <c r="JQC76" s="1607"/>
      <c r="JQD76" s="1607"/>
      <c r="JQE76" s="1607"/>
      <c r="JQF76" s="1607"/>
      <c r="JQG76" s="1607"/>
      <c r="JQH76" s="1607"/>
      <c r="JQI76" s="1607"/>
      <c r="JQJ76" s="1607"/>
      <c r="JQK76" s="1607"/>
      <c r="JQL76" s="1607"/>
      <c r="JQM76" s="1607"/>
      <c r="JQN76" s="1607"/>
      <c r="JQO76" s="1607"/>
      <c r="JQP76" s="1607"/>
      <c r="JQQ76" s="1607"/>
      <c r="JQR76" s="1607"/>
      <c r="JQS76" s="1607"/>
      <c r="JQT76" s="1607"/>
      <c r="JQU76" s="1607"/>
      <c r="JQV76" s="1607"/>
      <c r="JQW76" s="1607"/>
      <c r="JQX76" s="1607"/>
      <c r="JQY76" s="1607"/>
      <c r="JQZ76" s="1607"/>
      <c r="JRA76" s="1607"/>
      <c r="JRB76" s="1607"/>
      <c r="JRC76" s="1607"/>
      <c r="JRD76" s="1607"/>
      <c r="JRE76" s="1607"/>
      <c r="JRF76" s="1607"/>
      <c r="JRG76" s="1607"/>
      <c r="JRH76" s="1607"/>
      <c r="JRI76" s="1607"/>
      <c r="JRJ76" s="1607"/>
      <c r="JRK76" s="1607"/>
      <c r="JRL76" s="1607"/>
      <c r="JRM76" s="1607"/>
      <c r="JRN76" s="1607"/>
      <c r="JRO76" s="1607"/>
      <c r="JRP76" s="1607"/>
      <c r="JRQ76" s="1607"/>
      <c r="JRR76" s="1607"/>
      <c r="JRS76" s="1607"/>
      <c r="JRT76" s="1607"/>
      <c r="JRU76" s="1607"/>
      <c r="JRV76" s="1607"/>
      <c r="JRW76" s="1607"/>
      <c r="JRX76" s="1607"/>
      <c r="JRY76" s="1607"/>
      <c r="JRZ76" s="1607"/>
      <c r="JSA76" s="1607"/>
      <c r="JSB76" s="1607"/>
      <c r="JSC76" s="1607"/>
      <c r="JSD76" s="1607"/>
      <c r="JSE76" s="1607"/>
      <c r="JSF76" s="1607"/>
      <c r="JSG76" s="1607"/>
      <c r="JSH76" s="1607"/>
      <c r="JSI76" s="1607"/>
      <c r="JSJ76" s="1607"/>
      <c r="JSK76" s="1607"/>
      <c r="JSL76" s="1607"/>
      <c r="JSM76" s="1607"/>
      <c r="JSN76" s="1607"/>
      <c r="JSO76" s="1607"/>
      <c r="JSP76" s="1607"/>
      <c r="JSQ76" s="1607"/>
      <c r="JSR76" s="1607"/>
      <c r="JSS76" s="1607"/>
      <c r="JST76" s="1607"/>
      <c r="JSU76" s="1607"/>
      <c r="JSV76" s="1607"/>
      <c r="JSW76" s="1607"/>
      <c r="JSX76" s="1607"/>
      <c r="JSY76" s="1607"/>
      <c r="JSZ76" s="1607"/>
      <c r="JTA76" s="1607"/>
      <c r="JTB76" s="1607"/>
      <c r="JTC76" s="1607"/>
      <c r="JTD76" s="1607"/>
      <c r="JTE76" s="1607"/>
      <c r="JTF76" s="1607"/>
      <c r="JTG76" s="1607"/>
      <c r="JTH76" s="1607"/>
      <c r="JTI76" s="1607"/>
      <c r="JTJ76" s="1607"/>
      <c r="JTK76" s="1607"/>
      <c r="JTL76" s="1607"/>
      <c r="JTM76" s="1607"/>
      <c r="JTN76" s="1607"/>
      <c r="JTO76" s="1607"/>
      <c r="JTP76" s="1607"/>
      <c r="JTQ76" s="1607"/>
      <c r="JTR76" s="1607"/>
      <c r="JTS76" s="1607"/>
      <c r="JTT76" s="1607"/>
      <c r="JTU76" s="1607"/>
      <c r="JTV76" s="1607"/>
      <c r="JTW76" s="1607"/>
      <c r="JTX76" s="1607"/>
      <c r="JTY76" s="1607"/>
      <c r="JTZ76" s="1607"/>
      <c r="JUA76" s="1607"/>
      <c r="JUB76" s="1607"/>
      <c r="JUC76" s="1607"/>
      <c r="JUD76" s="1607"/>
      <c r="JUE76" s="1607"/>
      <c r="JUF76" s="1607"/>
      <c r="JUG76" s="1607"/>
      <c r="JUH76" s="1607"/>
      <c r="JUI76" s="1607"/>
      <c r="JUJ76" s="1607"/>
      <c r="JUK76" s="1607"/>
      <c r="JUL76" s="1607"/>
      <c r="JUM76" s="1607"/>
      <c r="JUN76" s="1607"/>
      <c r="JUO76" s="1607"/>
      <c r="JUP76" s="1607"/>
      <c r="JUQ76" s="1607"/>
      <c r="JUR76" s="1607"/>
      <c r="JUS76" s="1607"/>
      <c r="JUT76" s="1607"/>
      <c r="JUU76" s="1607"/>
      <c r="JUV76" s="1607"/>
      <c r="JUW76" s="1607"/>
      <c r="JUX76" s="1607"/>
      <c r="JUY76" s="1607"/>
      <c r="JUZ76" s="1607"/>
      <c r="JVA76" s="1607"/>
      <c r="JVB76" s="1607"/>
      <c r="JVC76" s="1607"/>
      <c r="JVD76" s="1607"/>
      <c r="JVE76" s="1607"/>
      <c r="JVF76" s="1607"/>
      <c r="JVG76" s="1607"/>
      <c r="JVH76" s="1607"/>
      <c r="JVI76" s="1607"/>
      <c r="JVJ76" s="1607"/>
      <c r="JVK76" s="1607"/>
      <c r="JVL76" s="1607"/>
      <c r="JVM76" s="1607"/>
      <c r="JVN76" s="1607"/>
      <c r="JVO76" s="1607"/>
      <c r="JVP76" s="1607"/>
      <c r="JVQ76" s="1607"/>
      <c r="JVR76" s="1607"/>
      <c r="JVS76" s="1607"/>
      <c r="JVT76" s="1607"/>
      <c r="JVU76" s="1607"/>
      <c r="JVV76" s="1607"/>
      <c r="JVW76" s="1607"/>
      <c r="JVX76" s="1607"/>
      <c r="JVY76" s="1607"/>
      <c r="JVZ76" s="1607"/>
      <c r="JWA76" s="1607"/>
      <c r="JWB76" s="1607"/>
      <c r="JWC76" s="1607"/>
      <c r="JWD76" s="1607"/>
      <c r="JWE76" s="1607"/>
      <c r="JWF76" s="1607"/>
      <c r="JWG76" s="1607"/>
      <c r="JWH76" s="1607"/>
      <c r="JWI76" s="1607"/>
      <c r="JWJ76" s="1607"/>
      <c r="JWK76" s="1607"/>
      <c r="JWL76" s="1607"/>
      <c r="JWM76" s="1607"/>
      <c r="JWN76" s="1607"/>
      <c r="JWO76" s="1607"/>
      <c r="JWP76" s="1607"/>
      <c r="JWQ76" s="1607"/>
      <c r="JWR76" s="1607"/>
      <c r="JWS76" s="1607"/>
      <c r="JWT76" s="1607"/>
      <c r="JWU76" s="1607"/>
      <c r="JWV76" s="1607"/>
      <c r="JWW76" s="1607"/>
      <c r="JWX76" s="1607"/>
      <c r="JWY76" s="1607"/>
      <c r="JWZ76" s="1607"/>
      <c r="JXA76" s="1607"/>
      <c r="JXB76" s="1607"/>
      <c r="JXC76" s="1607"/>
      <c r="JXD76" s="1607"/>
      <c r="JXE76" s="1607"/>
      <c r="JXF76" s="1607"/>
      <c r="JXG76" s="1607"/>
      <c r="JXH76" s="1607"/>
      <c r="JXI76" s="1607"/>
      <c r="JXJ76" s="1607"/>
      <c r="JXK76" s="1607"/>
      <c r="JXL76" s="1607"/>
      <c r="JXM76" s="1607"/>
      <c r="JXN76" s="1607"/>
      <c r="JXO76" s="1607"/>
      <c r="JXP76" s="1607"/>
      <c r="JXQ76" s="1607"/>
      <c r="JXR76" s="1607"/>
      <c r="JXS76" s="1607"/>
      <c r="JXT76" s="1607"/>
      <c r="JXU76" s="1607"/>
      <c r="JXV76" s="1607"/>
      <c r="JXW76" s="1607"/>
      <c r="JXX76" s="1607"/>
      <c r="JXY76" s="1607"/>
      <c r="JXZ76" s="1607"/>
      <c r="JYA76" s="1607"/>
      <c r="JYB76" s="1607"/>
      <c r="JYC76" s="1607"/>
      <c r="JYD76" s="1607"/>
      <c r="JYE76" s="1607"/>
      <c r="JYF76" s="1607"/>
      <c r="JYG76" s="1607"/>
      <c r="JYH76" s="1607"/>
      <c r="JYI76" s="1607"/>
      <c r="JYJ76" s="1607"/>
      <c r="JYK76" s="1607"/>
      <c r="JYL76" s="1607"/>
      <c r="JYM76" s="1607"/>
      <c r="JYN76" s="1607"/>
      <c r="JYO76" s="1607"/>
      <c r="JYP76" s="1607"/>
      <c r="JYQ76" s="1607"/>
      <c r="JYR76" s="1607"/>
      <c r="JYS76" s="1607"/>
      <c r="JYT76" s="1607"/>
      <c r="JYU76" s="1607"/>
      <c r="JYV76" s="1607"/>
      <c r="JYW76" s="1607"/>
      <c r="JYX76" s="1607"/>
      <c r="JYY76" s="1607"/>
      <c r="JYZ76" s="1607"/>
      <c r="JZA76" s="1607"/>
      <c r="JZB76" s="1607"/>
      <c r="JZC76" s="1607"/>
      <c r="JZD76" s="1607"/>
      <c r="JZE76" s="1607"/>
      <c r="JZF76" s="1607"/>
      <c r="JZG76" s="1607"/>
      <c r="JZH76" s="1607"/>
      <c r="JZI76" s="1607"/>
      <c r="JZJ76" s="1607"/>
      <c r="JZK76" s="1607"/>
      <c r="JZL76" s="1607"/>
      <c r="JZM76" s="1607"/>
      <c r="JZN76" s="1607"/>
      <c r="JZO76" s="1607"/>
      <c r="JZP76" s="1607"/>
      <c r="JZQ76" s="1607"/>
      <c r="JZR76" s="1607"/>
      <c r="JZS76" s="1607"/>
      <c r="JZT76" s="1607"/>
      <c r="JZU76" s="1607"/>
      <c r="JZV76" s="1607"/>
      <c r="JZW76" s="1607"/>
      <c r="JZX76" s="1607"/>
      <c r="JZY76" s="1607"/>
      <c r="JZZ76" s="1607"/>
      <c r="KAA76" s="1607"/>
      <c r="KAB76" s="1607"/>
      <c r="KAC76" s="1607"/>
      <c r="KAD76" s="1607"/>
      <c r="KAE76" s="1607"/>
      <c r="KAF76" s="1607"/>
      <c r="KAG76" s="1607"/>
      <c r="KAH76" s="1607"/>
      <c r="KAI76" s="1607"/>
      <c r="KAJ76" s="1607"/>
      <c r="KAK76" s="1607"/>
      <c r="KAL76" s="1607"/>
      <c r="KAM76" s="1607"/>
      <c r="KAN76" s="1607"/>
      <c r="KAO76" s="1607"/>
      <c r="KAP76" s="1607"/>
      <c r="KAQ76" s="1607"/>
      <c r="KAR76" s="1607"/>
      <c r="KAS76" s="1607"/>
      <c r="KAT76" s="1607"/>
      <c r="KAU76" s="1607"/>
      <c r="KAV76" s="1607"/>
      <c r="KAW76" s="1607"/>
      <c r="KAX76" s="1607"/>
      <c r="KAY76" s="1607"/>
      <c r="KAZ76" s="1607"/>
      <c r="KBA76" s="1607"/>
      <c r="KBB76" s="1607"/>
      <c r="KBC76" s="1607"/>
      <c r="KBD76" s="1607"/>
      <c r="KBE76" s="1607"/>
      <c r="KBF76" s="1607"/>
      <c r="KBG76" s="1607"/>
      <c r="KBH76" s="1607"/>
      <c r="KBI76" s="1607"/>
      <c r="KBJ76" s="1607"/>
      <c r="KBK76" s="1607"/>
      <c r="KBL76" s="1607"/>
      <c r="KBM76" s="1607"/>
      <c r="KBN76" s="1607"/>
      <c r="KBO76" s="1607"/>
      <c r="KBP76" s="1607"/>
      <c r="KBQ76" s="1607"/>
      <c r="KBR76" s="1607"/>
      <c r="KBS76" s="1607"/>
      <c r="KBT76" s="1607"/>
      <c r="KBU76" s="1607"/>
      <c r="KBV76" s="1607"/>
      <c r="KBW76" s="1607"/>
      <c r="KBX76" s="1607"/>
      <c r="KBY76" s="1607"/>
      <c r="KBZ76" s="1607"/>
      <c r="KCA76" s="1607"/>
      <c r="KCB76" s="1607"/>
      <c r="KCC76" s="1607"/>
      <c r="KCD76" s="1607"/>
      <c r="KCE76" s="1607"/>
      <c r="KCF76" s="1607"/>
      <c r="KCG76" s="1607"/>
      <c r="KCH76" s="1607"/>
      <c r="KCI76" s="1607"/>
      <c r="KCJ76" s="1607"/>
      <c r="KCK76" s="1607"/>
      <c r="KCL76" s="1607"/>
      <c r="KCM76" s="1607"/>
      <c r="KCN76" s="1607"/>
      <c r="KCO76" s="1607"/>
      <c r="KCP76" s="1607"/>
      <c r="KCQ76" s="1607"/>
      <c r="KCR76" s="1607"/>
      <c r="KCS76" s="1607"/>
      <c r="KCT76" s="1607"/>
      <c r="KCU76" s="1607"/>
      <c r="KCV76" s="1607"/>
      <c r="KCW76" s="1607"/>
      <c r="KCX76" s="1607"/>
      <c r="KCY76" s="1607"/>
      <c r="KCZ76" s="1607"/>
      <c r="KDA76" s="1607"/>
      <c r="KDB76" s="1607"/>
      <c r="KDC76" s="1607"/>
      <c r="KDD76" s="1607"/>
      <c r="KDE76" s="1607"/>
      <c r="KDF76" s="1607"/>
      <c r="KDG76" s="1607"/>
      <c r="KDH76" s="1607"/>
      <c r="KDI76" s="1607"/>
      <c r="KDJ76" s="1607"/>
      <c r="KDK76" s="1607"/>
      <c r="KDL76" s="1607"/>
      <c r="KDM76" s="1607"/>
      <c r="KDN76" s="1607"/>
      <c r="KDO76" s="1607"/>
      <c r="KDP76" s="1607"/>
      <c r="KDQ76" s="1607"/>
      <c r="KDR76" s="1607"/>
      <c r="KDS76" s="1607"/>
      <c r="KDT76" s="1607"/>
      <c r="KDU76" s="1607"/>
      <c r="KDV76" s="1607"/>
      <c r="KDW76" s="1607"/>
      <c r="KDX76" s="1607"/>
      <c r="KDY76" s="1607"/>
      <c r="KDZ76" s="1607"/>
      <c r="KEA76" s="1607"/>
      <c r="KEB76" s="1607"/>
      <c r="KEC76" s="1607"/>
      <c r="KED76" s="1607"/>
      <c r="KEE76" s="1607"/>
      <c r="KEF76" s="1607"/>
      <c r="KEG76" s="1607"/>
      <c r="KEH76" s="1607"/>
      <c r="KEI76" s="1607"/>
      <c r="KEJ76" s="1607"/>
      <c r="KEK76" s="1607"/>
      <c r="KEL76" s="1607"/>
      <c r="KEM76" s="1607"/>
      <c r="KEN76" s="1607"/>
      <c r="KEO76" s="1607"/>
      <c r="KEP76" s="1607"/>
      <c r="KEQ76" s="1607"/>
      <c r="KER76" s="1607"/>
      <c r="KES76" s="1607"/>
      <c r="KET76" s="1607"/>
      <c r="KEU76" s="1607"/>
      <c r="KEV76" s="1607"/>
      <c r="KEW76" s="1607"/>
      <c r="KEX76" s="1607"/>
      <c r="KEY76" s="1607"/>
      <c r="KEZ76" s="1607"/>
      <c r="KFA76" s="1607"/>
      <c r="KFB76" s="1607"/>
      <c r="KFC76" s="1607"/>
      <c r="KFD76" s="1607"/>
      <c r="KFE76" s="1607"/>
      <c r="KFF76" s="1607"/>
      <c r="KFG76" s="1607"/>
      <c r="KFH76" s="1607"/>
      <c r="KFI76" s="1607"/>
      <c r="KFJ76" s="1607"/>
      <c r="KFK76" s="1607"/>
      <c r="KFL76" s="1607"/>
      <c r="KFM76" s="1607"/>
      <c r="KFN76" s="1607"/>
      <c r="KFO76" s="1607"/>
      <c r="KFP76" s="1607"/>
      <c r="KFQ76" s="1607"/>
      <c r="KFR76" s="1607"/>
      <c r="KFS76" s="1607"/>
      <c r="KFT76" s="1607"/>
      <c r="KFU76" s="1607"/>
      <c r="KFV76" s="1607"/>
      <c r="KFW76" s="1607"/>
      <c r="KFX76" s="1607"/>
      <c r="KFY76" s="1607"/>
      <c r="KFZ76" s="1607"/>
      <c r="KGA76" s="1607"/>
      <c r="KGB76" s="1607"/>
      <c r="KGC76" s="1607"/>
      <c r="KGD76" s="1607"/>
      <c r="KGE76" s="1607"/>
      <c r="KGF76" s="1607"/>
      <c r="KGG76" s="1607"/>
      <c r="KGH76" s="1607"/>
      <c r="KGI76" s="1607"/>
      <c r="KGJ76" s="1607"/>
      <c r="KGK76" s="1607"/>
      <c r="KGL76" s="1607"/>
      <c r="KGM76" s="1607"/>
      <c r="KGN76" s="1607"/>
      <c r="KGO76" s="1607"/>
      <c r="KGP76" s="1607"/>
      <c r="KGQ76" s="1607"/>
      <c r="KGR76" s="1607"/>
      <c r="KGS76" s="1607"/>
      <c r="KGT76" s="1607"/>
      <c r="KGU76" s="1607"/>
      <c r="KGV76" s="1607"/>
      <c r="KGW76" s="1607"/>
      <c r="KGX76" s="1607"/>
      <c r="KGY76" s="1607"/>
      <c r="KGZ76" s="1607"/>
      <c r="KHA76" s="1607"/>
      <c r="KHB76" s="1607"/>
      <c r="KHC76" s="1607"/>
      <c r="KHD76" s="1607"/>
      <c r="KHE76" s="1607"/>
      <c r="KHF76" s="1607"/>
      <c r="KHG76" s="1607"/>
      <c r="KHH76" s="1607"/>
      <c r="KHI76" s="1607"/>
      <c r="KHJ76" s="1607"/>
      <c r="KHK76" s="1607"/>
      <c r="KHL76" s="1607"/>
      <c r="KHM76" s="1607"/>
      <c r="KHN76" s="1607"/>
      <c r="KHO76" s="1607"/>
      <c r="KHP76" s="1607"/>
      <c r="KHQ76" s="1607"/>
      <c r="KHR76" s="1607"/>
      <c r="KHS76" s="1607"/>
      <c r="KHT76" s="1607"/>
      <c r="KHU76" s="1607"/>
      <c r="KHV76" s="1607"/>
      <c r="KHW76" s="1607"/>
      <c r="KHX76" s="1607"/>
      <c r="KHY76" s="1607"/>
      <c r="KHZ76" s="1607"/>
      <c r="KIA76" s="1607"/>
      <c r="KIB76" s="1607"/>
      <c r="KIC76" s="1607"/>
      <c r="KID76" s="1607"/>
      <c r="KIE76" s="1607"/>
      <c r="KIF76" s="1607"/>
      <c r="KIG76" s="1607"/>
      <c r="KIH76" s="1607"/>
      <c r="KII76" s="1607"/>
      <c r="KIJ76" s="1607"/>
      <c r="KIK76" s="1607"/>
      <c r="KIL76" s="1607"/>
      <c r="KIM76" s="1607"/>
      <c r="KIN76" s="1607"/>
      <c r="KIO76" s="1607"/>
      <c r="KIP76" s="1607"/>
      <c r="KIQ76" s="1607"/>
      <c r="KIR76" s="1607"/>
      <c r="KIS76" s="1607"/>
      <c r="KIT76" s="1607"/>
      <c r="KIU76" s="1607"/>
      <c r="KIV76" s="1607"/>
      <c r="KIW76" s="1607"/>
      <c r="KIX76" s="1607"/>
      <c r="KIY76" s="1607"/>
      <c r="KIZ76" s="1607"/>
      <c r="KJA76" s="1607"/>
      <c r="KJB76" s="1607"/>
      <c r="KJC76" s="1607"/>
      <c r="KJD76" s="1607"/>
      <c r="KJE76" s="1607"/>
      <c r="KJF76" s="1607"/>
      <c r="KJG76" s="1607"/>
      <c r="KJH76" s="1607"/>
      <c r="KJI76" s="1607"/>
      <c r="KJJ76" s="1607"/>
      <c r="KJK76" s="1607"/>
      <c r="KJL76" s="1607"/>
      <c r="KJM76" s="1607"/>
      <c r="KJN76" s="1607"/>
      <c r="KJO76" s="1607"/>
      <c r="KJP76" s="1607"/>
      <c r="KJQ76" s="1607"/>
      <c r="KJR76" s="1607"/>
      <c r="KJS76" s="1607"/>
      <c r="KJT76" s="1607"/>
      <c r="KJU76" s="1607"/>
      <c r="KJV76" s="1607"/>
      <c r="KJW76" s="1607"/>
      <c r="KJX76" s="1607"/>
      <c r="KJY76" s="1607"/>
      <c r="KJZ76" s="1607"/>
      <c r="KKA76" s="1607"/>
      <c r="KKB76" s="1607"/>
      <c r="KKC76" s="1607"/>
      <c r="KKD76" s="1607"/>
      <c r="KKE76" s="1607"/>
      <c r="KKF76" s="1607"/>
      <c r="KKG76" s="1607"/>
      <c r="KKH76" s="1607"/>
      <c r="KKI76" s="1607"/>
      <c r="KKJ76" s="1607"/>
      <c r="KKK76" s="1607"/>
      <c r="KKL76" s="1607"/>
      <c r="KKM76" s="1607"/>
      <c r="KKN76" s="1607"/>
      <c r="KKO76" s="1607"/>
      <c r="KKP76" s="1607"/>
      <c r="KKQ76" s="1607"/>
      <c r="KKR76" s="1607"/>
      <c r="KKS76" s="1607"/>
      <c r="KKT76" s="1607"/>
      <c r="KKU76" s="1607"/>
      <c r="KKV76" s="1607"/>
      <c r="KKW76" s="1607"/>
      <c r="KKX76" s="1607"/>
      <c r="KKY76" s="1607"/>
      <c r="KKZ76" s="1607"/>
      <c r="KLA76" s="1607"/>
      <c r="KLB76" s="1607"/>
      <c r="KLC76" s="1607"/>
      <c r="KLD76" s="1607"/>
      <c r="KLE76" s="1607"/>
      <c r="KLF76" s="1607"/>
      <c r="KLG76" s="1607"/>
      <c r="KLH76" s="1607"/>
      <c r="KLI76" s="1607"/>
      <c r="KLJ76" s="1607"/>
      <c r="KLK76" s="1607"/>
      <c r="KLL76" s="1607"/>
      <c r="KLM76" s="1607"/>
      <c r="KLN76" s="1607"/>
      <c r="KLO76" s="1607"/>
      <c r="KLP76" s="1607"/>
      <c r="KLQ76" s="1607"/>
      <c r="KLR76" s="1607"/>
      <c r="KLS76" s="1607"/>
      <c r="KLT76" s="1607"/>
      <c r="KLU76" s="1607"/>
      <c r="KLV76" s="1607"/>
      <c r="KLW76" s="1607"/>
      <c r="KLX76" s="1607"/>
      <c r="KLY76" s="1607"/>
      <c r="KLZ76" s="1607"/>
      <c r="KMA76" s="1607"/>
      <c r="KMB76" s="1607"/>
      <c r="KMC76" s="1607"/>
      <c r="KMD76" s="1607"/>
      <c r="KME76" s="1607"/>
      <c r="KMF76" s="1607"/>
      <c r="KMG76" s="1607"/>
      <c r="KMH76" s="1607"/>
      <c r="KMI76" s="1607"/>
      <c r="KMJ76" s="1607"/>
      <c r="KMK76" s="1607"/>
      <c r="KML76" s="1607"/>
      <c r="KMM76" s="1607"/>
      <c r="KMN76" s="1607"/>
      <c r="KMO76" s="1607"/>
      <c r="KMP76" s="1607"/>
      <c r="KMQ76" s="1607"/>
      <c r="KMR76" s="1607"/>
      <c r="KMS76" s="1607"/>
      <c r="KMT76" s="1607"/>
      <c r="KMU76" s="1607"/>
      <c r="KMV76" s="1607"/>
      <c r="KMW76" s="1607"/>
      <c r="KMX76" s="1607"/>
      <c r="KMY76" s="1607"/>
      <c r="KMZ76" s="1607"/>
      <c r="KNA76" s="1607"/>
      <c r="KNB76" s="1607"/>
      <c r="KNC76" s="1607"/>
      <c r="KND76" s="1607"/>
      <c r="KNE76" s="1607"/>
      <c r="KNF76" s="1607"/>
      <c r="KNG76" s="1607"/>
      <c r="KNH76" s="1607"/>
      <c r="KNI76" s="1607"/>
      <c r="KNJ76" s="1607"/>
      <c r="KNK76" s="1607"/>
      <c r="KNL76" s="1607"/>
      <c r="KNM76" s="1607"/>
      <c r="KNN76" s="1607"/>
      <c r="KNO76" s="1607"/>
      <c r="KNP76" s="1607"/>
      <c r="KNQ76" s="1607"/>
      <c r="KNR76" s="1607"/>
      <c r="KNS76" s="1607"/>
      <c r="KNT76" s="1607"/>
      <c r="KNU76" s="1607"/>
      <c r="KNV76" s="1607"/>
      <c r="KNW76" s="1607"/>
      <c r="KNX76" s="1607"/>
      <c r="KNY76" s="1607"/>
      <c r="KNZ76" s="1607"/>
      <c r="KOA76" s="1607"/>
      <c r="KOB76" s="1607"/>
      <c r="KOC76" s="1607"/>
      <c r="KOD76" s="1607"/>
      <c r="KOE76" s="1607"/>
      <c r="KOF76" s="1607"/>
      <c r="KOG76" s="1607"/>
      <c r="KOH76" s="1607"/>
      <c r="KOI76" s="1607"/>
      <c r="KOJ76" s="1607"/>
      <c r="KOK76" s="1607"/>
      <c r="KOL76" s="1607"/>
      <c r="KOM76" s="1607"/>
      <c r="KON76" s="1607"/>
      <c r="KOO76" s="1607"/>
      <c r="KOP76" s="1607"/>
      <c r="KOQ76" s="1607"/>
      <c r="KOR76" s="1607"/>
      <c r="KOS76" s="1607"/>
      <c r="KOT76" s="1607"/>
      <c r="KOU76" s="1607"/>
      <c r="KOV76" s="1607"/>
      <c r="KOW76" s="1607"/>
      <c r="KOX76" s="1607"/>
      <c r="KOY76" s="1607"/>
      <c r="KOZ76" s="1607"/>
      <c r="KPA76" s="1607"/>
      <c r="KPB76" s="1607"/>
      <c r="KPC76" s="1607"/>
      <c r="KPD76" s="1607"/>
      <c r="KPE76" s="1607"/>
      <c r="KPF76" s="1607"/>
      <c r="KPG76" s="1607"/>
      <c r="KPH76" s="1607"/>
      <c r="KPI76" s="1607"/>
      <c r="KPJ76" s="1607"/>
      <c r="KPK76" s="1607"/>
      <c r="KPL76" s="1607"/>
      <c r="KPM76" s="1607"/>
      <c r="KPN76" s="1607"/>
      <c r="KPO76" s="1607"/>
      <c r="KPP76" s="1607"/>
      <c r="KPQ76" s="1607"/>
      <c r="KPR76" s="1607"/>
      <c r="KPS76" s="1607"/>
      <c r="KPT76" s="1607"/>
      <c r="KPU76" s="1607"/>
      <c r="KPV76" s="1607"/>
      <c r="KPW76" s="1607"/>
      <c r="KPX76" s="1607"/>
      <c r="KPY76" s="1607"/>
      <c r="KPZ76" s="1607"/>
      <c r="KQA76" s="1607"/>
      <c r="KQB76" s="1607"/>
      <c r="KQC76" s="1607"/>
      <c r="KQD76" s="1607"/>
      <c r="KQE76" s="1607"/>
      <c r="KQF76" s="1607"/>
      <c r="KQG76" s="1607"/>
      <c r="KQH76" s="1607"/>
      <c r="KQI76" s="1607"/>
      <c r="KQJ76" s="1607"/>
      <c r="KQK76" s="1607"/>
      <c r="KQL76" s="1607"/>
      <c r="KQM76" s="1607"/>
      <c r="KQN76" s="1607"/>
      <c r="KQO76" s="1607"/>
      <c r="KQP76" s="1607"/>
      <c r="KQQ76" s="1607"/>
      <c r="KQR76" s="1607"/>
      <c r="KQS76" s="1607"/>
      <c r="KQT76" s="1607"/>
      <c r="KQU76" s="1607"/>
      <c r="KQV76" s="1607"/>
      <c r="KQW76" s="1607"/>
      <c r="KQX76" s="1607"/>
      <c r="KQY76" s="1607"/>
      <c r="KQZ76" s="1607"/>
      <c r="KRA76" s="1607"/>
      <c r="KRB76" s="1607"/>
      <c r="KRC76" s="1607"/>
      <c r="KRD76" s="1607"/>
      <c r="KRE76" s="1607"/>
      <c r="KRF76" s="1607"/>
      <c r="KRG76" s="1607"/>
      <c r="KRH76" s="1607"/>
      <c r="KRI76" s="1607"/>
      <c r="KRJ76" s="1607"/>
      <c r="KRK76" s="1607"/>
      <c r="KRL76" s="1607"/>
      <c r="KRM76" s="1607"/>
      <c r="KRN76" s="1607"/>
      <c r="KRO76" s="1607"/>
      <c r="KRP76" s="1607"/>
      <c r="KRQ76" s="1607"/>
      <c r="KRR76" s="1607"/>
      <c r="KRS76" s="1607"/>
      <c r="KRT76" s="1607"/>
      <c r="KRU76" s="1607"/>
      <c r="KRV76" s="1607"/>
      <c r="KRW76" s="1607"/>
      <c r="KRX76" s="1607"/>
      <c r="KRY76" s="1607"/>
      <c r="KRZ76" s="1607"/>
      <c r="KSA76" s="1607"/>
      <c r="KSB76" s="1607"/>
      <c r="KSC76" s="1607"/>
      <c r="KSD76" s="1607"/>
      <c r="KSE76" s="1607"/>
      <c r="KSF76" s="1607"/>
      <c r="KSG76" s="1607"/>
      <c r="KSH76" s="1607"/>
      <c r="KSI76" s="1607"/>
      <c r="KSJ76" s="1607"/>
      <c r="KSK76" s="1607"/>
      <c r="KSL76" s="1607"/>
      <c r="KSM76" s="1607"/>
      <c r="KSN76" s="1607"/>
      <c r="KSO76" s="1607"/>
      <c r="KSP76" s="1607"/>
      <c r="KSQ76" s="1607"/>
      <c r="KSR76" s="1607"/>
      <c r="KSS76" s="1607"/>
      <c r="KST76" s="1607"/>
      <c r="KSU76" s="1607"/>
      <c r="KSV76" s="1607"/>
      <c r="KSW76" s="1607"/>
      <c r="KSX76" s="1607"/>
      <c r="KSY76" s="1607"/>
      <c r="KSZ76" s="1607"/>
      <c r="KTA76" s="1607"/>
      <c r="KTB76" s="1607"/>
      <c r="KTC76" s="1607"/>
      <c r="KTD76" s="1607"/>
      <c r="KTE76" s="1607"/>
      <c r="KTF76" s="1607"/>
      <c r="KTG76" s="1607"/>
      <c r="KTH76" s="1607"/>
      <c r="KTI76" s="1607"/>
      <c r="KTJ76" s="1607"/>
      <c r="KTK76" s="1607"/>
      <c r="KTL76" s="1607"/>
      <c r="KTM76" s="1607"/>
      <c r="KTN76" s="1607"/>
      <c r="KTO76" s="1607"/>
      <c r="KTP76" s="1607"/>
      <c r="KTQ76" s="1607"/>
      <c r="KTR76" s="1607"/>
      <c r="KTS76" s="1607"/>
      <c r="KTT76" s="1607"/>
      <c r="KTU76" s="1607"/>
      <c r="KTV76" s="1607"/>
      <c r="KTW76" s="1607"/>
      <c r="KTX76" s="1607"/>
      <c r="KTY76" s="1607"/>
      <c r="KTZ76" s="1607"/>
      <c r="KUA76" s="1607"/>
      <c r="KUB76" s="1607"/>
      <c r="KUC76" s="1607"/>
      <c r="KUD76" s="1607"/>
      <c r="KUE76" s="1607"/>
      <c r="KUF76" s="1607"/>
      <c r="KUG76" s="1607"/>
      <c r="KUH76" s="1607"/>
      <c r="KUI76" s="1607"/>
      <c r="KUJ76" s="1607"/>
      <c r="KUK76" s="1607"/>
      <c r="KUL76" s="1607"/>
      <c r="KUM76" s="1607"/>
      <c r="KUN76" s="1607"/>
      <c r="KUO76" s="1607"/>
      <c r="KUP76" s="1607"/>
      <c r="KUQ76" s="1607"/>
      <c r="KUR76" s="1607"/>
      <c r="KUS76" s="1607"/>
      <c r="KUT76" s="1607"/>
      <c r="KUU76" s="1607"/>
      <c r="KUV76" s="1607"/>
      <c r="KUW76" s="1607"/>
      <c r="KUX76" s="1607"/>
      <c r="KUY76" s="1607"/>
      <c r="KUZ76" s="1607"/>
      <c r="KVA76" s="1607"/>
      <c r="KVB76" s="1607"/>
      <c r="KVC76" s="1607"/>
      <c r="KVD76" s="1607"/>
      <c r="KVE76" s="1607"/>
      <c r="KVF76" s="1607"/>
      <c r="KVG76" s="1607"/>
      <c r="KVH76" s="1607"/>
      <c r="KVI76" s="1607"/>
      <c r="KVJ76" s="1607"/>
      <c r="KVK76" s="1607"/>
      <c r="KVL76" s="1607"/>
      <c r="KVM76" s="1607"/>
      <c r="KVN76" s="1607"/>
      <c r="KVO76" s="1607"/>
      <c r="KVP76" s="1607"/>
      <c r="KVQ76" s="1607"/>
      <c r="KVR76" s="1607"/>
      <c r="KVS76" s="1607"/>
      <c r="KVT76" s="1607"/>
      <c r="KVU76" s="1607"/>
      <c r="KVV76" s="1607"/>
      <c r="KVW76" s="1607"/>
      <c r="KVX76" s="1607"/>
      <c r="KVY76" s="1607"/>
      <c r="KVZ76" s="1607"/>
      <c r="KWA76" s="1607"/>
      <c r="KWB76" s="1607"/>
      <c r="KWC76" s="1607"/>
      <c r="KWD76" s="1607"/>
      <c r="KWE76" s="1607"/>
      <c r="KWF76" s="1607"/>
      <c r="KWG76" s="1607"/>
      <c r="KWH76" s="1607"/>
      <c r="KWI76" s="1607"/>
      <c r="KWJ76" s="1607"/>
      <c r="KWK76" s="1607"/>
      <c r="KWL76" s="1607"/>
      <c r="KWM76" s="1607"/>
      <c r="KWN76" s="1607"/>
      <c r="KWO76" s="1607"/>
      <c r="KWP76" s="1607"/>
      <c r="KWQ76" s="1607"/>
      <c r="KWR76" s="1607"/>
      <c r="KWS76" s="1607"/>
      <c r="KWT76" s="1607"/>
      <c r="KWU76" s="1607"/>
      <c r="KWV76" s="1607"/>
      <c r="KWW76" s="1607"/>
      <c r="KWX76" s="1607"/>
      <c r="KWY76" s="1607"/>
      <c r="KWZ76" s="1607"/>
      <c r="KXA76" s="1607"/>
      <c r="KXB76" s="1607"/>
      <c r="KXC76" s="1607"/>
      <c r="KXD76" s="1607"/>
      <c r="KXE76" s="1607"/>
      <c r="KXF76" s="1607"/>
      <c r="KXG76" s="1607"/>
      <c r="KXH76" s="1607"/>
      <c r="KXI76" s="1607"/>
      <c r="KXJ76" s="1607"/>
      <c r="KXK76" s="1607"/>
      <c r="KXL76" s="1607"/>
      <c r="KXM76" s="1607"/>
      <c r="KXN76" s="1607"/>
      <c r="KXO76" s="1607"/>
      <c r="KXP76" s="1607"/>
      <c r="KXQ76" s="1607"/>
      <c r="KXR76" s="1607"/>
      <c r="KXS76" s="1607"/>
      <c r="KXT76" s="1607"/>
      <c r="KXU76" s="1607"/>
      <c r="KXV76" s="1607"/>
      <c r="KXW76" s="1607"/>
      <c r="KXX76" s="1607"/>
      <c r="KXY76" s="1607"/>
      <c r="KXZ76" s="1607"/>
      <c r="KYA76" s="1607"/>
      <c r="KYB76" s="1607"/>
      <c r="KYC76" s="1607"/>
      <c r="KYD76" s="1607"/>
      <c r="KYE76" s="1607"/>
      <c r="KYF76" s="1607"/>
      <c r="KYG76" s="1607"/>
      <c r="KYH76" s="1607"/>
      <c r="KYI76" s="1607"/>
      <c r="KYJ76" s="1607"/>
      <c r="KYK76" s="1607"/>
      <c r="KYL76" s="1607"/>
      <c r="KYM76" s="1607"/>
      <c r="KYN76" s="1607"/>
      <c r="KYO76" s="1607"/>
      <c r="KYP76" s="1607"/>
      <c r="KYQ76" s="1607"/>
      <c r="KYR76" s="1607"/>
      <c r="KYS76" s="1607"/>
      <c r="KYT76" s="1607"/>
      <c r="KYU76" s="1607"/>
      <c r="KYV76" s="1607"/>
      <c r="KYW76" s="1607"/>
      <c r="KYX76" s="1607"/>
      <c r="KYY76" s="1607"/>
      <c r="KYZ76" s="1607"/>
      <c r="KZA76" s="1607"/>
      <c r="KZB76" s="1607"/>
      <c r="KZC76" s="1607"/>
      <c r="KZD76" s="1607"/>
      <c r="KZE76" s="1607"/>
      <c r="KZF76" s="1607"/>
      <c r="KZG76" s="1607"/>
      <c r="KZH76" s="1607"/>
      <c r="KZI76" s="1607"/>
      <c r="KZJ76" s="1607"/>
      <c r="KZK76" s="1607"/>
      <c r="KZL76" s="1607"/>
      <c r="KZM76" s="1607"/>
      <c r="KZN76" s="1607"/>
      <c r="KZO76" s="1607"/>
      <c r="KZP76" s="1607"/>
      <c r="KZQ76" s="1607"/>
      <c r="KZR76" s="1607"/>
      <c r="KZS76" s="1607"/>
      <c r="KZT76" s="1607"/>
      <c r="KZU76" s="1607"/>
      <c r="KZV76" s="1607"/>
      <c r="KZW76" s="1607"/>
      <c r="KZX76" s="1607"/>
      <c r="KZY76" s="1607"/>
      <c r="KZZ76" s="1607"/>
      <c r="LAA76" s="1607"/>
      <c r="LAB76" s="1607"/>
      <c r="LAC76" s="1607"/>
      <c r="LAD76" s="1607"/>
      <c r="LAE76" s="1607"/>
      <c r="LAF76" s="1607"/>
      <c r="LAG76" s="1607"/>
      <c r="LAH76" s="1607"/>
      <c r="LAI76" s="1607"/>
      <c r="LAJ76" s="1607"/>
      <c r="LAK76" s="1607"/>
      <c r="LAL76" s="1607"/>
      <c r="LAM76" s="1607"/>
      <c r="LAN76" s="1607"/>
      <c r="LAO76" s="1607"/>
      <c r="LAP76" s="1607"/>
      <c r="LAQ76" s="1607"/>
      <c r="LAR76" s="1607"/>
      <c r="LAS76" s="1607"/>
      <c r="LAT76" s="1607"/>
      <c r="LAU76" s="1607"/>
      <c r="LAV76" s="1607"/>
      <c r="LAW76" s="1607"/>
      <c r="LAX76" s="1607"/>
      <c r="LAY76" s="1607"/>
      <c r="LAZ76" s="1607"/>
      <c r="LBA76" s="1607"/>
      <c r="LBB76" s="1607"/>
      <c r="LBC76" s="1607"/>
      <c r="LBD76" s="1607"/>
      <c r="LBE76" s="1607"/>
      <c r="LBF76" s="1607"/>
      <c r="LBG76" s="1607"/>
      <c r="LBH76" s="1607"/>
      <c r="LBI76" s="1607"/>
      <c r="LBJ76" s="1607"/>
      <c r="LBK76" s="1607"/>
      <c r="LBL76" s="1607"/>
      <c r="LBM76" s="1607"/>
      <c r="LBN76" s="1607"/>
      <c r="LBO76" s="1607"/>
      <c r="LBP76" s="1607"/>
      <c r="LBQ76" s="1607"/>
      <c r="LBR76" s="1607"/>
      <c r="LBS76" s="1607"/>
      <c r="LBT76" s="1607"/>
      <c r="LBU76" s="1607"/>
      <c r="LBV76" s="1607"/>
      <c r="LBW76" s="1607"/>
      <c r="LBX76" s="1607"/>
      <c r="LBY76" s="1607"/>
      <c r="LBZ76" s="1607"/>
      <c r="LCA76" s="1607"/>
      <c r="LCB76" s="1607"/>
      <c r="LCC76" s="1607"/>
      <c r="LCD76" s="1607"/>
      <c r="LCE76" s="1607"/>
      <c r="LCF76" s="1607"/>
      <c r="LCG76" s="1607"/>
      <c r="LCH76" s="1607"/>
      <c r="LCI76" s="1607"/>
      <c r="LCJ76" s="1607"/>
      <c r="LCK76" s="1607"/>
      <c r="LCL76" s="1607"/>
      <c r="LCM76" s="1607"/>
      <c r="LCN76" s="1607"/>
      <c r="LCO76" s="1607"/>
      <c r="LCP76" s="1607"/>
      <c r="LCQ76" s="1607"/>
      <c r="LCR76" s="1607"/>
      <c r="LCS76" s="1607"/>
      <c r="LCT76" s="1607"/>
      <c r="LCU76" s="1607"/>
      <c r="LCV76" s="1607"/>
      <c r="LCW76" s="1607"/>
      <c r="LCX76" s="1607"/>
      <c r="LCY76" s="1607"/>
      <c r="LCZ76" s="1607"/>
      <c r="LDA76" s="1607"/>
      <c r="LDB76" s="1607"/>
      <c r="LDC76" s="1607"/>
      <c r="LDD76" s="1607"/>
      <c r="LDE76" s="1607"/>
      <c r="LDF76" s="1607"/>
      <c r="LDG76" s="1607"/>
      <c r="LDH76" s="1607"/>
      <c r="LDI76" s="1607"/>
      <c r="LDJ76" s="1607"/>
      <c r="LDK76" s="1607"/>
      <c r="LDL76" s="1607"/>
      <c r="LDM76" s="1607"/>
      <c r="LDN76" s="1607"/>
      <c r="LDO76" s="1607"/>
      <c r="LDP76" s="1607"/>
      <c r="LDQ76" s="1607"/>
      <c r="LDR76" s="1607"/>
      <c r="LDS76" s="1607"/>
      <c r="LDT76" s="1607"/>
      <c r="LDU76" s="1607"/>
      <c r="LDV76" s="1607"/>
      <c r="LDW76" s="1607"/>
      <c r="LDX76" s="1607"/>
      <c r="LDY76" s="1607"/>
      <c r="LDZ76" s="1607"/>
      <c r="LEA76" s="1607"/>
      <c r="LEB76" s="1607"/>
      <c r="LEC76" s="1607"/>
      <c r="LED76" s="1607"/>
      <c r="LEE76" s="1607"/>
      <c r="LEF76" s="1607"/>
      <c r="LEG76" s="1607"/>
      <c r="LEH76" s="1607"/>
      <c r="LEI76" s="1607"/>
      <c r="LEJ76" s="1607"/>
      <c r="LEK76" s="1607"/>
      <c r="LEL76" s="1607"/>
      <c r="LEM76" s="1607"/>
      <c r="LEN76" s="1607"/>
      <c r="LEO76" s="1607"/>
      <c r="LEP76" s="1607"/>
      <c r="LEQ76" s="1607"/>
      <c r="LER76" s="1607"/>
      <c r="LES76" s="1607"/>
      <c r="LET76" s="1607"/>
      <c r="LEU76" s="1607"/>
      <c r="LEV76" s="1607"/>
      <c r="LEW76" s="1607"/>
      <c r="LEX76" s="1607"/>
      <c r="LEY76" s="1607"/>
      <c r="LEZ76" s="1607"/>
      <c r="LFA76" s="1607"/>
      <c r="LFB76" s="1607"/>
      <c r="LFC76" s="1607"/>
      <c r="LFD76" s="1607"/>
      <c r="LFE76" s="1607"/>
      <c r="LFF76" s="1607"/>
      <c r="LFG76" s="1607"/>
      <c r="LFH76" s="1607"/>
      <c r="LFI76" s="1607"/>
      <c r="LFJ76" s="1607"/>
      <c r="LFK76" s="1607"/>
      <c r="LFL76" s="1607"/>
      <c r="LFM76" s="1607"/>
      <c r="LFN76" s="1607"/>
      <c r="LFO76" s="1607"/>
      <c r="LFP76" s="1607"/>
      <c r="LFQ76" s="1607"/>
      <c r="LFR76" s="1607"/>
      <c r="LFS76" s="1607"/>
      <c r="LFT76" s="1607"/>
      <c r="LFU76" s="1607"/>
      <c r="LFV76" s="1607"/>
      <c r="LFW76" s="1607"/>
      <c r="LFX76" s="1607"/>
      <c r="LFY76" s="1607"/>
      <c r="LFZ76" s="1607"/>
      <c r="LGA76" s="1607"/>
      <c r="LGB76" s="1607"/>
      <c r="LGC76" s="1607"/>
      <c r="LGD76" s="1607"/>
      <c r="LGE76" s="1607"/>
      <c r="LGF76" s="1607"/>
      <c r="LGG76" s="1607"/>
      <c r="LGH76" s="1607"/>
      <c r="LGI76" s="1607"/>
      <c r="LGJ76" s="1607"/>
      <c r="LGK76" s="1607"/>
      <c r="LGL76" s="1607"/>
      <c r="LGM76" s="1607"/>
      <c r="LGN76" s="1607"/>
      <c r="LGO76" s="1607"/>
      <c r="LGP76" s="1607"/>
      <c r="LGQ76" s="1607"/>
      <c r="LGR76" s="1607"/>
      <c r="LGS76" s="1607"/>
      <c r="LGT76" s="1607"/>
      <c r="LGU76" s="1607"/>
      <c r="LGV76" s="1607"/>
      <c r="LGW76" s="1607"/>
      <c r="LGX76" s="1607"/>
      <c r="LGY76" s="1607"/>
      <c r="LGZ76" s="1607"/>
      <c r="LHA76" s="1607"/>
      <c r="LHB76" s="1607"/>
      <c r="LHC76" s="1607"/>
      <c r="LHD76" s="1607"/>
      <c r="LHE76" s="1607"/>
      <c r="LHF76" s="1607"/>
      <c r="LHG76" s="1607"/>
      <c r="LHH76" s="1607"/>
      <c r="LHI76" s="1607"/>
      <c r="LHJ76" s="1607"/>
      <c r="LHK76" s="1607"/>
      <c r="LHL76" s="1607"/>
      <c r="LHM76" s="1607"/>
      <c r="LHN76" s="1607"/>
      <c r="LHO76" s="1607"/>
      <c r="LHP76" s="1607"/>
      <c r="LHQ76" s="1607"/>
      <c r="LHR76" s="1607"/>
      <c r="LHS76" s="1607"/>
      <c r="LHT76" s="1607"/>
      <c r="LHU76" s="1607"/>
      <c r="LHV76" s="1607"/>
      <c r="LHW76" s="1607"/>
      <c r="LHX76" s="1607"/>
      <c r="LHY76" s="1607"/>
      <c r="LHZ76" s="1607"/>
      <c r="LIA76" s="1607"/>
      <c r="LIB76" s="1607"/>
      <c r="LIC76" s="1607"/>
      <c r="LID76" s="1607"/>
      <c r="LIE76" s="1607"/>
      <c r="LIF76" s="1607"/>
      <c r="LIG76" s="1607"/>
      <c r="LIH76" s="1607"/>
      <c r="LII76" s="1607"/>
      <c r="LIJ76" s="1607"/>
      <c r="LIK76" s="1607"/>
      <c r="LIL76" s="1607"/>
      <c r="LIM76" s="1607"/>
      <c r="LIN76" s="1607"/>
      <c r="LIO76" s="1607"/>
      <c r="LIP76" s="1607"/>
      <c r="LIQ76" s="1607"/>
      <c r="LIR76" s="1607"/>
      <c r="LIS76" s="1607"/>
      <c r="LIT76" s="1607"/>
      <c r="LIU76" s="1607"/>
      <c r="LIV76" s="1607"/>
      <c r="LIW76" s="1607"/>
      <c r="LIX76" s="1607"/>
      <c r="LIY76" s="1607"/>
      <c r="LIZ76" s="1607"/>
      <c r="LJA76" s="1607"/>
      <c r="LJB76" s="1607"/>
      <c r="LJC76" s="1607"/>
      <c r="LJD76" s="1607"/>
      <c r="LJE76" s="1607"/>
      <c r="LJF76" s="1607"/>
      <c r="LJG76" s="1607"/>
      <c r="LJH76" s="1607"/>
      <c r="LJI76" s="1607"/>
      <c r="LJJ76" s="1607"/>
      <c r="LJK76" s="1607"/>
      <c r="LJL76" s="1607"/>
      <c r="LJM76" s="1607"/>
      <c r="LJN76" s="1607"/>
      <c r="LJO76" s="1607"/>
      <c r="LJP76" s="1607"/>
      <c r="LJQ76" s="1607"/>
      <c r="LJR76" s="1607"/>
      <c r="LJS76" s="1607"/>
      <c r="LJT76" s="1607"/>
      <c r="LJU76" s="1607"/>
      <c r="LJV76" s="1607"/>
      <c r="LJW76" s="1607"/>
      <c r="LJX76" s="1607"/>
      <c r="LJY76" s="1607"/>
      <c r="LJZ76" s="1607"/>
      <c r="LKA76" s="1607"/>
      <c r="LKB76" s="1607"/>
      <c r="LKC76" s="1607"/>
      <c r="LKD76" s="1607"/>
      <c r="LKE76" s="1607"/>
      <c r="LKF76" s="1607"/>
      <c r="LKG76" s="1607"/>
      <c r="LKH76" s="1607"/>
      <c r="LKI76" s="1607"/>
      <c r="LKJ76" s="1607"/>
      <c r="LKK76" s="1607"/>
      <c r="LKL76" s="1607"/>
      <c r="LKM76" s="1607"/>
      <c r="LKN76" s="1607"/>
      <c r="LKO76" s="1607"/>
      <c r="LKP76" s="1607"/>
      <c r="LKQ76" s="1607"/>
      <c r="LKR76" s="1607"/>
      <c r="LKS76" s="1607"/>
      <c r="LKT76" s="1607"/>
      <c r="LKU76" s="1607"/>
      <c r="LKV76" s="1607"/>
      <c r="LKW76" s="1607"/>
      <c r="LKX76" s="1607"/>
      <c r="LKY76" s="1607"/>
      <c r="LKZ76" s="1607"/>
      <c r="LLA76" s="1607"/>
      <c r="LLB76" s="1607"/>
      <c r="LLC76" s="1607"/>
      <c r="LLD76" s="1607"/>
      <c r="LLE76" s="1607"/>
      <c r="LLF76" s="1607"/>
      <c r="LLG76" s="1607"/>
      <c r="LLH76" s="1607"/>
      <c r="LLI76" s="1607"/>
      <c r="LLJ76" s="1607"/>
      <c r="LLK76" s="1607"/>
      <c r="LLL76" s="1607"/>
      <c r="LLM76" s="1607"/>
      <c r="LLN76" s="1607"/>
      <c r="LLO76" s="1607"/>
      <c r="LLP76" s="1607"/>
      <c r="LLQ76" s="1607"/>
      <c r="LLR76" s="1607"/>
      <c r="LLS76" s="1607"/>
      <c r="LLT76" s="1607"/>
      <c r="LLU76" s="1607"/>
      <c r="LLV76" s="1607"/>
      <c r="LLW76" s="1607"/>
      <c r="LLX76" s="1607"/>
      <c r="LLY76" s="1607"/>
      <c r="LLZ76" s="1607"/>
      <c r="LMA76" s="1607"/>
      <c r="LMB76" s="1607"/>
      <c r="LMC76" s="1607"/>
      <c r="LMD76" s="1607"/>
      <c r="LME76" s="1607"/>
      <c r="LMF76" s="1607"/>
      <c r="LMG76" s="1607"/>
      <c r="LMH76" s="1607"/>
      <c r="LMI76" s="1607"/>
      <c r="LMJ76" s="1607"/>
      <c r="LMK76" s="1607"/>
      <c r="LML76" s="1607"/>
      <c r="LMM76" s="1607"/>
      <c r="LMN76" s="1607"/>
      <c r="LMO76" s="1607"/>
      <c r="LMP76" s="1607"/>
      <c r="LMQ76" s="1607"/>
      <c r="LMR76" s="1607"/>
      <c r="LMS76" s="1607"/>
      <c r="LMT76" s="1607"/>
      <c r="LMU76" s="1607"/>
      <c r="LMV76" s="1607"/>
      <c r="LMW76" s="1607"/>
      <c r="LMX76" s="1607"/>
      <c r="LMY76" s="1607"/>
      <c r="LMZ76" s="1607"/>
      <c r="LNA76" s="1607"/>
      <c r="LNB76" s="1607"/>
      <c r="LNC76" s="1607"/>
      <c r="LND76" s="1607"/>
      <c r="LNE76" s="1607"/>
      <c r="LNF76" s="1607"/>
      <c r="LNG76" s="1607"/>
      <c r="LNH76" s="1607"/>
      <c r="LNI76" s="1607"/>
      <c r="LNJ76" s="1607"/>
      <c r="LNK76" s="1607"/>
      <c r="LNL76" s="1607"/>
      <c r="LNM76" s="1607"/>
      <c r="LNN76" s="1607"/>
      <c r="LNO76" s="1607"/>
      <c r="LNP76" s="1607"/>
      <c r="LNQ76" s="1607"/>
      <c r="LNR76" s="1607"/>
      <c r="LNS76" s="1607"/>
      <c r="LNT76" s="1607"/>
      <c r="LNU76" s="1607"/>
      <c r="LNV76" s="1607"/>
      <c r="LNW76" s="1607"/>
      <c r="LNX76" s="1607"/>
      <c r="LNY76" s="1607"/>
      <c r="LNZ76" s="1607"/>
      <c r="LOA76" s="1607"/>
      <c r="LOB76" s="1607"/>
      <c r="LOC76" s="1607"/>
      <c r="LOD76" s="1607"/>
      <c r="LOE76" s="1607"/>
      <c r="LOF76" s="1607"/>
      <c r="LOG76" s="1607"/>
      <c r="LOH76" s="1607"/>
      <c r="LOI76" s="1607"/>
      <c r="LOJ76" s="1607"/>
      <c r="LOK76" s="1607"/>
      <c r="LOL76" s="1607"/>
      <c r="LOM76" s="1607"/>
      <c r="LON76" s="1607"/>
      <c r="LOO76" s="1607"/>
      <c r="LOP76" s="1607"/>
      <c r="LOQ76" s="1607"/>
      <c r="LOR76" s="1607"/>
      <c r="LOS76" s="1607"/>
      <c r="LOT76" s="1607"/>
      <c r="LOU76" s="1607"/>
      <c r="LOV76" s="1607"/>
      <c r="LOW76" s="1607"/>
      <c r="LOX76" s="1607"/>
      <c r="LOY76" s="1607"/>
      <c r="LOZ76" s="1607"/>
      <c r="LPA76" s="1607"/>
      <c r="LPB76" s="1607"/>
      <c r="LPC76" s="1607"/>
      <c r="LPD76" s="1607"/>
      <c r="LPE76" s="1607"/>
      <c r="LPF76" s="1607"/>
      <c r="LPG76" s="1607"/>
      <c r="LPH76" s="1607"/>
      <c r="LPI76" s="1607"/>
      <c r="LPJ76" s="1607"/>
      <c r="LPK76" s="1607"/>
      <c r="LPL76" s="1607"/>
      <c r="LPM76" s="1607"/>
      <c r="LPN76" s="1607"/>
      <c r="LPO76" s="1607"/>
      <c r="LPP76" s="1607"/>
      <c r="LPQ76" s="1607"/>
      <c r="LPR76" s="1607"/>
      <c r="LPS76" s="1607"/>
      <c r="LPT76" s="1607"/>
      <c r="LPU76" s="1607"/>
      <c r="LPV76" s="1607"/>
      <c r="LPW76" s="1607"/>
      <c r="LPX76" s="1607"/>
      <c r="LPY76" s="1607"/>
      <c r="LPZ76" s="1607"/>
      <c r="LQA76" s="1607"/>
      <c r="LQB76" s="1607"/>
      <c r="LQC76" s="1607"/>
      <c r="LQD76" s="1607"/>
      <c r="LQE76" s="1607"/>
      <c r="LQF76" s="1607"/>
      <c r="LQG76" s="1607"/>
      <c r="LQH76" s="1607"/>
      <c r="LQI76" s="1607"/>
      <c r="LQJ76" s="1607"/>
      <c r="LQK76" s="1607"/>
      <c r="LQL76" s="1607"/>
      <c r="LQM76" s="1607"/>
      <c r="LQN76" s="1607"/>
      <c r="LQO76" s="1607"/>
      <c r="LQP76" s="1607"/>
      <c r="LQQ76" s="1607"/>
      <c r="LQR76" s="1607"/>
      <c r="LQS76" s="1607"/>
      <c r="LQT76" s="1607"/>
      <c r="LQU76" s="1607"/>
      <c r="LQV76" s="1607"/>
      <c r="LQW76" s="1607"/>
      <c r="LQX76" s="1607"/>
      <c r="LQY76" s="1607"/>
      <c r="LQZ76" s="1607"/>
      <c r="LRA76" s="1607"/>
      <c r="LRB76" s="1607"/>
      <c r="LRC76" s="1607"/>
      <c r="LRD76" s="1607"/>
      <c r="LRE76" s="1607"/>
      <c r="LRF76" s="1607"/>
      <c r="LRG76" s="1607"/>
      <c r="LRH76" s="1607"/>
      <c r="LRI76" s="1607"/>
      <c r="LRJ76" s="1607"/>
      <c r="LRK76" s="1607"/>
      <c r="LRL76" s="1607"/>
      <c r="LRM76" s="1607"/>
      <c r="LRN76" s="1607"/>
      <c r="LRO76" s="1607"/>
      <c r="LRP76" s="1607"/>
      <c r="LRQ76" s="1607"/>
      <c r="LRR76" s="1607"/>
      <c r="LRS76" s="1607"/>
      <c r="LRT76" s="1607"/>
      <c r="LRU76" s="1607"/>
      <c r="LRV76" s="1607"/>
      <c r="LRW76" s="1607"/>
      <c r="LRX76" s="1607"/>
      <c r="LRY76" s="1607"/>
      <c r="LRZ76" s="1607"/>
      <c r="LSA76" s="1607"/>
      <c r="LSB76" s="1607"/>
      <c r="LSC76" s="1607"/>
      <c r="LSD76" s="1607"/>
      <c r="LSE76" s="1607"/>
      <c r="LSF76" s="1607"/>
      <c r="LSG76" s="1607"/>
      <c r="LSH76" s="1607"/>
      <c r="LSI76" s="1607"/>
      <c r="LSJ76" s="1607"/>
      <c r="LSK76" s="1607"/>
      <c r="LSL76" s="1607"/>
      <c r="LSM76" s="1607"/>
      <c r="LSN76" s="1607"/>
      <c r="LSO76" s="1607"/>
      <c r="LSP76" s="1607"/>
      <c r="LSQ76" s="1607"/>
      <c r="LSR76" s="1607"/>
      <c r="LSS76" s="1607"/>
      <c r="LST76" s="1607"/>
      <c r="LSU76" s="1607"/>
      <c r="LSV76" s="1607"/>
      <c r="LSW76" s="1607"/>
      <c r="LSX76" s="1607"/>
      <c r="LSY76" s="1607"/>
      <c r="LSZ76" s="1607"/>
      <c r="LTA76" s="1607"/>
      <c r="LTB76" s="1607"/>
      <c r="LTC76" s="1607"/>
      <c r="LTD76" s="1607"/>
      <c r="LTE76" s="1607"/>
      <c r="LTF76" s="1607"/>
      <c r="LTG76" s="1607"/>
      <c r="LTH76" s="1607"/>
      <c r="LTI76" s="1607"/>
      <c r="LTJ76" s="1607"/>
      <c r="LTK76" s="1607"/>
      <c r="LTL76" s="1607"/>
      <c r="LTM76" s="1607"/>
      <c r="LTN76" s="1607"/>
      <c r="LTO76" s="1607"/>
      <c r="LTP76" s="1607"/>
      <c r="LTQ76" s="1607"/>
      <c r="LTR76" s="1607"/>
      <c r="LTS76" s="1607"/>
      <c r="LTT76" s="1607"/>
      <c r="LTU76" s="1607"/>
      <c r="LTV76" s="1607"/>
      <c r="LTW76" s="1607"/>
      <c r="LTX76" s="1607"/>
      <c r="LTY76" s="1607"/>
      <c r="LTZ76" s="1607"/>
      <c r="LUA76" s="1607"/>
      <c r="LUB76" s="1607"/>
      <c r="LUC76" s="1607"/>
      <c r="LUD76" s="1607"/>
      <c r="LUE76" s="1607"/>
      <c r="LUF76" s="1607"/>
      <c r="LUG76" s="1607"/>
      <c r="LUH76" s="1607"/>
      <c r="LUI76" s="1607"/>
      <c r="LUJ76" s="1607"/>
      <c r="LUK76" s="1607"/>
      <c r="LUL76" s="1607"/>
      <c r="LUM76" s="1607"/>
      <c r="LUN76" s="1607"/>
      <c r="LUO76" s="1607"/>
      <c r="LUP76" s="1607"/>
      <c r="LUQ76" s="1607"/>
      <c r="LUR76" s="1607"/>
      <c r="LUS76" s="1607"/>
      <c r="LUT76" s="1607"/>
      <c r="LUU76" s="1607"/>
      <c r="LUV76" s="1607"/>
      <c r="LUW76" s="1607"/>
      <c r="LUX76" s="1607"/>
      <c r="LUY76" s="1607"/>
      <c r="LUZ76" s="1607"/>
      <c r="LVA76" s="1607"/>
      <c r="LVB76" s="1607"/>
      <c r="LVC76" s="1607"/>
      <c r="LVD76" s="1607"/>
      <c r="LVE76" s="1607"/>
      <c r="LVF76" s="1607"/>
      <c r="LVG76" s="1607"/>
      <c r="LVH76" s="1607"/>
      <c r="LVI76" s="1607"/>
      <c r="LVJ76" s="1607"/>
      <c r="LVK76" s="1607"/>
      <c r="LVL76" s="1607"/>
      <c r="LVM76" s="1607"/>
      <c r="LVN76" s="1607"/>
      <c r="LVO76" s="1607"/>
      <c r="LVP76" s="1607"/>
      <c r="LVQ76" s="1607"/>
      <c r="LVR76" s="1607"/>
      <c r="LVS76" s="1607"/>
      <c r="LVT76" s="1607"/>
      <c r="LVU76" s="1607"/>
      <c r="LVV76" s="1607"/>
      <c r="LVW76" s="1607"/>
      <c r="LVX76" s="1607"/>
      <c r="LVY76" s="1607"/>
      <c r="LVZ76" s="1607"/>
      <c r="LWA76" s="1607"/>
      <c r="LWB76" s="1607"/>
      <c r="LWC76" s="1607"/>
      <c r="LWD76" s="1607"/>
      <c r="LWE76" s="1607"/>
      <c r="LWF76" s="1607"/>
      <c r="LWG76" s="1607"/>
      <c r="LWH76" s="1607"/>
      <c r="LWI76" s="1607"/>
      <c r="LWJ76" s="1607"/>
      <c r="LWK76" s="1607"/>
      <c r="LWL76" s="1607"/>
      <c r="LWM76" s="1607"/>
      <c r="LWN76" s="1607"/>
      <c r="LWO76" s="1607"/>
      <c r="LWP76" s="1607"/>
      <c r="LWQ76" s="1607"/>
      <c r="LWR76" s="1607"/>
      <c r="LWS76" s="1607"/>
      <c r="LWT76" s="1607"/>
      <c r="LWU76" s="1607"/>
      <c r="LWV76" s="1607"/>
      <c r="LWW76" s="1607"/>
      <c r="LWX76" s="1607"/>
      <c r="LWY76" s="1607"/>
      <c r="LWZ76" s="1607"/>
      <c r="LXA76" s="1607"/>
      <c r="LXB76" s="1607"/>
      <c r="LXC76" s="1607"/>
      <c r="LXD76" s="1607"/>
      <c r="LXE76" s="1607"/>
      <c r="LXF76" s="1607"/>
      <c r="LXG76" s="1607"/>
      <c r="LXH76" s="1607"/>
      <c r="LXI76" s="1607"/>
      <c r="LXJ76" s="1607"/>
      <c r="LXK76" s="1607"/>
      <c r="LXL76" s="1607"/>
      <c r="LXM76" s="1607"/>
      <c r="LXN76" s="1607"/>
      <c r="LXO76" s="1607"/>
      <c r="LXP76" s="1607"/>
      <c r="LXQ76" s="1607"/>
      <c r="LXR76" s="1607"/>
      <c r="LXS76" s="1607"/>
      <c r="LXT76" s="1607"/>
      <c r="LXU76" s="1607"/>
      <c r="LXV76" s="1607"/>
      <c r="LXW76" s="1607"/>
      <c r="LXX76" s="1607"/>
      <c r="LXY76" s="1607"/>
      <c r="LXZ76" s="1607"/>
      <c r="LYA76" s="1607"/>
      <c r="LYB76" s="1607"/>
      <c r="LYC76" s="1607"/>
      <c r="LYD76" s="1607"/>
      <c r="LYE76" s="1607"/>
      <c r="LYF76" s="1607"/>
      <c r="LYG76" s="1607"/>
      <c r="LYH76" s="1607"/>
      <c r="LYI76" s="1607"/>
      <c r="LYJ76" s="1607"/>
      <c r="LYK76" s="1607"/>
      <c r="LYL76" s="1607"/>
      <c r="LYM76" s="1607"/>
      <c r="LYN76" s="1607"/>
      <c r="LYO76" s="1607"/>
      <c r="LYP76" s="1607"/>
      <c r="LYQ76" s="1607"/>
      <c r="LYR76" s="1607"/>
      <c r="LYS76" s="1607"/>
      <c r="LYT76" s="1607"/>
      <c r="LYU76" s="1607"/>
      <c r="LYV76" s="1607"/>
      <c r="LYW76" s="1607"/>
      <c r="LYX76" s="1607"/>
      <c r="LYY76" s="1607"/>
      <c r="LYZ76" s="1607"/>
      <c r="LZA76" s="1607"/>
      <c r="LZB76" s="1607"/>
      <c r="LZC76" s="1607"/>
      <c r="LZD76" s="1607"/>
      <c r="LZE76" s="1607"/>
      <c r="LZF76" s="1607"/>
      <c r="LZG76" s="1607"/>
      <c r="LZH76" s="1607"/>
      <c r="LZI76" s="1607"/>
      <c r="LZJ76" s="1607"/>
      <c r="LZK76" s="1607"/>
      <c r="LZL76" s="1607"/>
      <c r="LZM76" s="1607"/>
      <c r="LZN76" s="1607"/>
      <c r="LZO76" s="1607"/>
      <c r="LZP76" s="1607"/>
      <c r="LZQ76" s="1607"/>
      <c r="LZR76" s="1607"/>
      <c r="LZS76" s="1607"/>
      <c r="LZT76" s="1607"/>
      <c r="LZU76" s="1607"/>
      <c r="LZV76" s="1607"/>
      <c r="LZW76" s="1607"/>
      <c r="LZX76" s="1607"/>
      <c r="LZY76" s="1607"/>
      <c r="LZZ76" s="1607"/>
      <c r="MAA76" s="1607"/>
      <c r="MAB76" s="1607"/>
      <c r="MAC76" s="1607"/>
      <c r="MAD76" s="1607"/>
      <c r="MAE76" s="1607"/>
      <c r="MAF76" s="1607"/>
      <c r="MAG76" s="1607"/>
      <c r="MAH76" s="1607"/>
      <c r="MAI76" s="1607"/>
      <c r="MAJ76" s="1607"/>
      <c r="MAK76" s="1607"/>
      <c r="MAL76" s="1607"/>
      <c r="MAM76" s="1607"/>
      <c r="MAN76" s="1607"/>
      <c r="MAO76" s="1607"/>
      <c r="MAP76" s="1607"/>
      <c r="MAQ76" s="1607"/>
      <c r="MAR76" s="1607"/>
      <c r="MAS76" s="1607"/>
      <c r="MAT76" s="1607"/>
      <c r="MAU76" s="1607"/>
      <c r="MAV76" s="1607"/>
      <c r="MAW76" s="1607"/>
      <c r="MAX76" s="1607"/>
      <c r="MAY76" s="1607"/>
      <c r="MAZ76" s="1607"/>
      <c r="MBA76" s="1607"/>
      <c r="MBB76" s="1607"/>
      <c r="MBC76" s="1607"/>
      <c r="MBD76" s="1607"/>
      <c r="MBE76" s="1607"/>
      <c r="MBF76" s="1607"/>
      <c r="MBG76" s="1607"/>
      <c r="MBH76" s="1607"/>
      <c r="MBI76" s="1607"/>
      <c r="MBJ76" s="1607"/>
      <c r="MBK76" s="1607"/>
      <c r="MBL76" s="1607"/>
      <c r="MBM76" s="1607"/>
      <c r="MBN76" s="1607"/>
      <c r="MBO76" s="1607"/>
      <c r="MBP76" s="1607"/>
      <c r="MBQ76" s="1607"/>
      <c r="MBR76" s="1607"/>
      <c r="MBS76" s="1607"/>
      <c r="MBT76" s="1607"/>
      <c r="MBU76" s="1607"/>
      <c r="MBV76" s="1607"/>
      <c r="MBW76" s="1607"/>
      <c r="MBX76" s="1607"/>
      <c r="MBY76" s="1607"/>
      <c r="MBZ76" s="1607"/>
      <c r="MCA76" s="1607"/>
      <c r="MCB76" s="1607"/>
      <c r="MCC76" s="1607"/>
      <c r="MCD76" s="1607"/>
      <c r="MCE76" s="1607"/>
      <c r="MCF76" s="1607"/>
      <c r="MCG76" s="1607"/>
      <c r="MCH76" s="1607"/>
      <c r="MCI76" s="1607"/>
      <c r="MCJ76" s="1607"/>
      <c r="MCK76" s="1607"/>
      <c r="MCL76" s="1607"/>
      <c r="MCM76" s="1607"/>
      <c r="MCN76" s="1607"/>
      <c r="MCO76" s="1607"/>
      <c r="MCP76" s="1607"/>
      <c r="MCQ76" s="1607"/>
      <c r="MCR76" s="1607"/>
      <c r="MCS76" s="1607"/>
      <c r="MCT76" s="1607"/>
      <c r="MCU76" s="1607"/>
      <c r="MCV76" s="1607"/>
      <c r="MCW76" s="1607"/>
      <c r="MCX76" s="1607"/>
      <c r="MCY76" s="1607"/>
      <c r="MCZ76" s="1607"/>
      <c r="MDA76" s="1607"/>
      <c r="MDB76" s="1607"/>
      <c r="MDC76" s="1607"/>
      <c r="MDD76" s="1607"/>
      <c r="MDE76" s="1607"/>
      <c r="MDF76" s="1607"/>
      <c r="MDG76" s="1607"/>
      <c r="MDH76" s="1607"/>
      <c r="MDI76" s="1607"/>
      <c r="MDJ76" s="1607"/>
      <c r="MDK76" s="1607"/>
      <c r="MDL76" s="1607"/>
      <c r="MDM76" s="1607"/>
      <c r="MDN76" s="1607"/>
      <c r="MDO76" s="1607"/>
      <c r="MDP76" s="1607"/>
      <c r="MDQ76" s="1607"/>
      <c r="MDR76" s="1607"/>
      <c r="MDS76" s="1607"/>
      <c r="MDT76" s="1607"/>
      <c r="MDU76" s="1607"/>
      <c r="MDV76" s="1607"/>
      <c r="MDW76" s="1607"/>
      <c r="MDX76" s="1607"/>
      <c r="MDY76" s="1607"/>
      <c r="MDZ76" s="1607"/>
      <c r="MEA76" s="1607"/>
      <c r="MEB76" s="1607"/>
      <c r="MEC76" s="1607"/>
      <c r="MED76" s="1607"/>
      <c r="MEE76" s="1607"/>
      <c r="MEF76" s="1607"/>
      <c r="MEG76" s="1607"/>
      <c r="MEH76" s="1607"/>
      <c r="MEI76" s="1607"/>
      <c r="MEJ76" s="1607"/>
      <c r="MEK76" s="1607"/>
      <c r="MEL76" s="1607"/>
      <c r="MEM76" s="1607"/>
      <c r="MEN76" s="1607"/>
      <c r="MEO76" s="1607"/>
      <c r="MEP76" s="1607"/>
      <c r="MEQ76" s="1607"/>
      <c r="MER76" s="1607"/>
      <c r="MES76" s="1607"/>
      <c r="MET76" s="1607"/>
      <c r="MEU76" s="1607"/>
      <c r="MEV76" s="1607"/>
      <c r="MEW76" s="1607"/>
      <c r="MEX76" s="1607"/>
      <c r="MEY76" s="1607"/>
      <c r="MEZ76" s="1607"/>
      <c r="MFA76" s="1607"/>
      <c r="MFB76" s="1607"/>
      <c r="MFC76" s="1607"/>
      <c r="MFD76" s="1607"/>
      <c r="MFE76" s="1607"/>
      <c r="MFF76" s="1607"/>
      <c r="MFG76" s="1607"/>
      <c r="MFH76" s="1607"/>
      <c r="MFI76" s="1607"/>
      <c r="MFJ76" s="1607"/>
      <c r="MFK76" s="1607"/>
      <c r="MFL76" s="1607"/>
      <c r="MFM76" s="1607"/>
      <c r="MFN76" s="1607"/>
      <c r="MFO76" s="1607"/>
      <c r="MFP76" s="1607"/>
      <c r="MFQ76" s="1607"/>
      <c r="MFR76" s="1607"/>
      <c r="MFS76" s="1607"/>
      <c r="MFT76" s="1607"/>
      <c r="MFU76" s="1607"/>
      <c r="MFV76" s="1607"/>
      <c r="MFW76" s="1607"/>
      <c r="MFX76" s="1607"/>
      <c r="MFY76" s="1607"/>
      <c r="MFZ76" s="1607"/>
      <c r="MGA76" s="1607"/>
      <c r="MGB76" s="1607"/>
      <c r="MGC76" s="1607"/>
      <c r="MGD76" s="1607"/>
      <c r="MGE76" s="1607"/>
      <c r="MGF76" s="1607"/>
      <c r="MGG76" s="1607"/>
      <c r="MGH76" s="1607"/>
      <c r="MGI76" s="1607"/>
      <c r="MGJ76" s="1607"/>
      <c r="MGK76" s="1607"/>
      <c r="MGL76" s="1607"/>
      <c r="MGM76" s="1607"/>
      <c r="MGN76" s="1607"/>
      <c r="MGO76" s="1607"/>
      <c r="MGP76" s="1607"/>
      <c r="MGQ76" s="1607"/>
      <c r="MGR76" s="1607"/>
      <c r="MGS76" s="1607"/>
      <c r="MGT76" s="1607"/>
      <c r="MGU76" s="1607"/>
      <c r="MGV76" s="1607"/>
      <c r="MGW76" s="1607"/>
      <c r="MGX76" s="1607"/>
      <c r="MGY76" s="1607"/>
      <c r="MGZ76" s="1607"/>
      <c r="MHA76" s="1607"/>
      <c r="MHB76" s="1607"/>
      <c r="MHC76" s="1607"/>
      <c r="MHD76" s="1607"/>
      <c r="MHE76" s="1607"/>
      <c r="MHF76" s="1607"/>
      <c r="MHG76" s="1607"/>
      <c r="MHH76" s="1607"/>
      <c r="MHI76" s="1607"/>
      <c r="MHJ76" s="1607"/>
      <c r="MHK76" s="1607"/>
      <c r="MHL76" s="1607"/>
      <c r="MHM76" s="1607"/>
      <c r="MHN76" s="1607"/>
      <c r="MHO76" s="1607"/>
      <c r="MHP76" s="1607"/>
      <c r="MHQ76" s="1607"/>
      <c r="MHR76" s="1607"/>
      <c r="MHS76" s="1607"/>
      <c r="MHT76" s="1607"/>
      <c r="MHU76" s="1607"/>
      <c r="MHV76" s="1607"/>
      <c r="MHW76" s="1607"/>
      <c r="MHX76" s="1607"/>
      <c r="MHY76" s="1607"/>
      <c r="MHZ76" s="1607"/>
      <c r="MIA76" s="1607"/>
      <c r="MIB76" s="1607"/>
      <c r="MIC76" s="1607"/>
      <c r="MID76" s="1607"/>
      <c r="MIE76" s="1607"/>
      <c r="MIF76" s="1607"/>
      <c r="MIG76" s="1607"/>
      <c r="MIH76" s="1607"/>
      <c r="MII76" s="1607"/>
      <c r="MIJ76" s="1607"/>
      <c r="MIK76" s="1607"/>
      <c r="MIL76" s="1607"/>
      <c r="MIM76" s="1607"/>
      <c r="MIN76" s="1607"/>
      <c r="MIO76" s="1607"/>
      <c r="MIP76" s="1607"/>
      <c r="MIQ76" s="1607"/>
      <c r="MIR76" s="1607"/>
      <c r="MIS76" s="1607"/>
      <c r="MIT76" s="1607"/>
      <c r="MIU76" s="1607"/>
      <c r="MIV76" s="1607"/>
      <c r="MIW76" s="1607"/>
      <c r="MIX76" s="1607"/>
      <c r="MIY76" s="1607"/>
      <c r="MIZ76" s="1607"/>
      <c r="MJA76" s="1607"/>
      <c r="MJB76" s="1607"/>
      <c r="MJC76" s="1607"/>
      <c r="MJD76" s="1607"/>
      <c r="MJE76" s="1607"/>
      <c r="MJF76" s="1607"/>
      <c r="MJG76" s="1607"/>
      <c r="MJH76" s="1607"/>
      <c r="MJI76" s="1607"/>
      <c r="MJJ76" s="1607"/>
      <c r="MJK76" s="1607"/>
      <c r="MJL76" s="1607"/>
      <c r="MJM76" s="1607"/>
      <c r="MJN76" s="1607"/>
      <c r="MJO76" s="1607"/>
      <c r="MJP76" s="1607"/>
      <c r="MJQ76" s="1607"/>
      <c r="MJR76" s="1607"/>
      <c r="MJS76" s="1607"/>
      <c r="MJT76" s="1607"/>
      <c r="MJU76" s="1607"/>
      <c r="MJV76" s="1607"/>
      <c r="MJW76" s="1607"/>
      <c r="MJX76" s="1607"/>
      <c r="MJY76" s="1607"/>
      <c r="MJZ76" s="1607"/>
      <c r="MKA76" s="1607"/>
      <c r="MKB76" s="1607"/>
      <c r="MKC76" s="1607"/>
      <c r="MKD76" s="1607"/>
      <c r="MKE76" s="1607"/>
      <c r="MKF76" s="1607"/>
      <c r="MKG76" s="1607"/>
      <c r="MKH76" s="1607"/>
      <c r="MKI76" s="1607"/>
      <c r="MKJ76" s="1607"/>
      <c r="MKK76" s="1607"/>
      <c r="MKL76" s="1607"/>
      <c r="MKM76" s="1607"/>
      <c r="MKN76" s="1607"/>
      <c r="MKO76" s="1607"/>
      <c r="MKP76" s="1607"/>
      <c r="MKQ76" s="1607"/>
      <c r="MKR76" s="1607"/>
      <c r="MKS76" s="1607"/>
      <c r="MKT76" s="1607"/>
      <c r="MKU76" s="1607"/>
      <c r="MKV76" s="1607"/>
      <c r="MKW76" s="1607"/>
      <c r="MKX76" s="1607"/>
      <c r="MKY76" s="1607"/>
      <c r="MKZ76" s="1607"/>
      <c r="MLA76" s="1607"/>
      <c r="MLB76" s="1607"/>
      <c r="MLC76" s="1607"/>
      <c r="MLD76" s="1607"/>
      <c r="MLE76" s="1607"/>
      <c r="MLF76" s="1607"/>
      <c r="MLG76" s="1607"/>
      <c r="MLH76" s="1607"/>
      <c r="MLI76" s="1607"/>
      <c r="MLJ76" s="1607"/>
      <c r="MLK76" s="1607"/>
      <c r="MLL76" s="1607"/>
      <c r="MLM76" s="1607"/>
      <c r="MLN76" s="1607"/>
      <c r="MLO76" s="1607"/>
      <c r="MLP76" s="1607"/>
      <c r="MLQ76" s="1607"/>
      <c r="MLR76" s="1607"/>
      <c r="MLS76" s="1607"/>
      <c r="MLT76" s="1607"/>
      <c r="MLU76" s="1607"/>
      <c r="MLV76" s="1607"/>
      <c r="MLW76" s="1607"/>
      <c r="MLX76" s="1607"/>
      <c r="MLY76" s="1607"/>
      <c r="MLZ76" s="1607"/>
      <c r="MMA76" s="1607"/>
      <c r="MMB76" s="1607"/>
      <c r="MMC76" s="1607"/>
      <c r="MMD76" s="1607"/>
      <c r="MME76" s="1607"/>
      <c r="MMF76" s="1607"/>
      <c r="MMG76" s="1607"/>
      <c r="MMH76" s="1607"/>
      <c r="MMI76" s="1607"/>
      <c r="MMJ76" s="1607"/>
      <c r="MMK76" s="1607"/>
      <c r="MML76" s="1607"/>
      <c r="MMM76" s="1607"/>
      <c r="MMN76" s="1607"/>
      <c r="MMO76" s="1607"/>
      <c r="MMP76" s="1607"/>
      <c r="MMQ76" s="1607"/>
      <c r="MMR76" s="1607"/>
      <c r="MMS76" s="1607"/>
      <c r="MMT76" s="1607"/>
      <c r="MMU76" s="1607"/>
      <c r="MMV76" s="1607"/>
      <c r="MMW76" s="1607"/>
      <c r="MMX76" s="1607"/>
      <c r="MMY76" s="1607"/>
      <c r="MMZ76" s="1607"/>
      <c r="MNA76" s="1607"/>
      <c r="MNB76" s="1607"/>
      <c r="MNC76" s="1607"/>
      <c r="MND76" s="1607"/>
      <c r="MNE76" s="1607"/>
      <c r="MNF76" s="1607"/>
      <c r="MNG76" s="1607"/>
      <c r="MNH76" s="1607"/>
      <c r="MNI76" s="1607"/>
      <c r="MNJ76" s="1607"/>
      <c r="MNK76" s="1607"/>
      <c r="MNL76" s="1607"/>
      <c r="MNM76" s="1607"/>
      <c r="MNN76" s="1607"/>
      <c r="MNO76" s="1607"/>
      <c r="MNP76" s="1607"/>
      <c r="MNQ76" s="1607"/>
      <c r="MNR76" s="1607"/>
      <c r="MNS76" s="1607"/>
      <c r="MNT76" s="1607"/>
      <c r="MNU76" s="1607"/>
      <c r="MNV76" s="1607"/>
      <c r="MNW76" s="1607"/>
      <c r="MNX76" s="1607"/>
      <c r="MNY76" s="1607"/>
      <c r="MNZ76" s="1607"/>
      <c r="MOA76" s="1607"/>
      <c r="MOB76" s="1607"/>
      <c r="MOC76" s="1607"/>
      <c r="MOD76" s="1607"/>
      <c r="MOE76" s="1607"/>
      <c r="MOF76" s="1607"/>
      <c r="MOG76" s="1607"/>
      <c r="MOH76" s="1607"/>
      <c r="MOI76" s="1607"/>
      <c r="MOJ76" s="1607"/>
      <c r="MOK76" s="1607"/>
      <c r="MOL76" s="1607"/>
      <c r="MOM76" s="1607"/>
      <c r="MON76" s="1607"/>
      <c r="MOO76" s="1607"/>
      <c r="MOP76" s="1607"/>
      <c r="MOQ76" s="1607"/>
      <c r="MOR76" s="1607"/>
      <c r="MOS76" s="1607"/>
      <c r="MOT76" s="1607"/>
      <c r="MOU76" s="1607"/>
      <c r="MOV76" s="1607"/>
      <c r="MOW76" s="1607"/>
      <c r="MOX76" s="1607"/>
      <c r="MOY76" s="1607"/>
      <c r="MOZ76" s="1607"/>
      <c r="MPA76" s="1607"/>
      <c r="MPB76" s="1607"/>
      <c r="MPC76" s="1607"/>
      <c r="MPD76" s="1607"/>
      <c r="MPE76" s="1607"/>
      <c r="MPF76" s="1607"/>
      <c r="MPG76" s="1607"/>
      <c r="MPH76" s="1607"/>
      <c r="MPI76" s="1607"/>
      <c r="MPJ76" s="1607"/>
      <c r="MPK76" s="1607"/>
      <c r="MPL76" s="1607"/>
      <c r="MPM76" s="1607"/>
      <c r="MPN76" s="1607"/>
      <c r="MPO76" s="1607"/>
      <c r="MPP76" s="1607"/>
      <c r="MPQ76" s="1607"/>
      <c r="MPR76" s="1607"/>
      <c r="MPS76" s="1607"/>
      <c r="MPT76" s="1607"/>
      <c r="MPU76" s="1607"/>
      <c r="MPV76" s="1607"/>
      <c r="MPW76" s="1607"/>
      <c r="MPX76" s="1607"/>
      <c r="MPY76" s="1607"/>
      <c r="MPZ76" s="1607"/>
      <c r="MQA76" s="1607"/>
      <c r="MQB76" s="1607"/>
      <c r="MQC76" s="1607"/>
      <c r="MQD76" s="1607"/>
      <c r="MQE76" s="1607"/>
      <c r="MQF76" s="1607"/>
      <c r="MQG76" s="1607"/>
      <c r="MQH76" s="1607"/>
      <c r="MQI76" s="1607"/>
      <c r="MQJ76" s="1607"/>
      <c r="MQK76" s="1607"/>
      <c r="MQL76" s="1607"/>
      <c r="MQM76" s="1607"/>
      <c r="MQN76" s="1607"/>
      <c r="MQO76" s="1607"/>
      <c r="MQP76" s="1607"/>
      <c r="MQQ76" s="1607"/>
      <c r="MQR76" s="1607"/>
      <c r="MQS76" s="1607"/>
      <c r="MQT76" s="1607"/>
      <c r="MQU76" s="1607"/>
      <c r="MQV76" s="1607"/>
      <c r="MQW76" s="1607"/>
      <c r="MQX76" s="1607"/>
      <c r="MQY76" s="1607"/>
      <c r="MQZ76" s="1607"/>
      <c r="MRA76" s="1607"/>
      <c r="MRB76" s="1607"/>
      <c r="MRC76" s="1607"/>
      <c r="MRD76" s="1607"/>
      <c r="MRE76" s="1607"/>
      <c r="MRF76" s="1607"/>
      <c r="MRG76" s="1607"/>
      <c r="MRH76" s="1607"/>
      <c r="MRI76" s="1607"/>
      <c r="MRJ76" s="1607"/>
      <c r="MRK76" s="1607"/>
      <c r="MRL76" s="1607"/>
      <c r="MRM76" s="1607"/>
      <c r="MRN76" s="1607"/>
      <c r="MRO76" s="1607"/>
      <c r="MRP76" s="1607"/>
      <c r="MRQ76" s="1607"/>
      <c r="MRR76" s="1607"/>
      <c r="MRS76" s="1607"/>
      <c r="MRT76" s="1607"/>
      <c r="MRU76" s="1607"/>
      <c r="MRV76" s="1607"/>
      <c r="MRW76" s="1607"/>
      <c r="MRX76" s="1607"/>
      <c r="MRY76" s="1607"/>
      <c r="MRZ76" s="1607"/>
      <c r="MSA76" s="1607"/>
      <c r="MSB76" s="1607"/>
      <c r="MSC76" s="1607"/>
      <c r="MSD76" s="1607"/>
      <c r="MSE76" s="1607"/>
      <c r="MSF76" s="1607"/>
      <c r="MSG76" s="1607"/>
      <c r="MSH76" s="1607"/>
      <c r="MSI76" s="1607"/>
      <c r="MSJ76" s="1607"/>
      <c r="MSK76" s="1607"/>
      <c r="MSL76" s="1607"/>
      <c r="MSM76" s="1607"/>
      <c r="MSN76" s="1607"/>
      <c r="MSO76" s="1607"/>
      <c r="MSP76" s="1607"/>
      <c r="MSQ76" s="1607"/>
      <c r="MSR76" s="1607"/>
      <c r="MSS76" s="1607"/>
      <c r="MST76" s="1607"/>
      <c r="MSU76" s="1607"/>
      <c r="MSV76" s="1607"/>
      <c r="MSW76" s="1607"/>
      <c r="MSX76" s="1607"/>
      <c r="MSY76" s="1607"/>
      <c r="MSZ76" s="1607"/>
      <c r="MTA76" s="1607"/>
      <c r="MTB76" s="1607"/>
      <c r="MTC76" s="1607"/>
      <c r="MTD76" s="1607"/>
      <c r="MTE76" s="1607"/>
      <c r="MTF76" s="1607"/>
      <c r="MTG76" s="1607"/>
      <c r="MTH76" s="1607"/>
      <c r="MTI76" s="1607"/>
      <c r="MTJ76" s="1607"/>
      <c r="MTK76" s="1607"/>
      <c r="MTL76" s="1607"/>
      <c r="MTM76" s="1607"/>
      <c r="MTN76" s="1607"/>
      <c r="MTO76" s="1607"/>
      <c r="MTP76" s="1607"/>
      <c r="MTQ76" s="1607"/>
      <c r="MTR76" s="1607"/>
      <c r="MTS76" s="1607"/>
      <c r="MTT76" s="1607"/>
      <c r="MTU76" s="1607"/>
      <c r="MTV76" s="1607"/>
      <c r="MTW76" s="1607"/>
      <c r="MTX76" s="1607"/>
      <c r="MTY76" s="1607"/>
      <c r="MTZ76" s="1607"/>
      <c r="MUA76" s="1607"/>
      <c r="MUB76" s="1607"/>
      <c r="MUC76" s="1607"/>
      <c r="MUD76" s="1607"/>
      <c r="MUE76" s="1607"/>
      <c r="MUF76" s="1607"/>
      <c r="MUG76" s="1607"/>
      <c r="MUH76" s="1607"/>
      <c r="MUI76" s="1607"/>
      <c r="MUJ76" s="1607"/>
      <c r="MUK76" s="1607"/>
      <c r="MUL76" s="1607"/>
      <c r="MUM76" s="1607"/>
      <c r="MUN76" s="1607"/>
      <c r="MUO76" s="1607"/>
      <c r="MUP76" s="1607"/>
      <c r="MUQ76" s="1607"/>
      <c r="MUR76" s="1607"/>
      <c r="MUS76" s="1607"/>
      <c r="MUT76" s="1607"/>
      <c r="MUU76" s="1607"/>
      <c r="MUV76" s="1607"/>
      <c r="MUW76" s="1607"/>
      <c r="MUX76" s="1607"/>
      <c r="MUY76" s="1607"/>
      <c r="MUZ76" s="1607"/>
      <c r="MVA76" s="1607"/>
      <c r="MVB76" s="1607"/>
      <c r="MVC76" s="1607"/>
      <c r="MVD76" s="1607"/>
      <c r="MVE76" s="1607"/>
      <c r="MVF76" s="1607"/>
      <c r="MVG76" s="1607"/>
      <c r="MVH76" s="1607"/>
      <c r="MVI76" s="1607"/>
      <c r="MVJ76" s="1607"/>
      <c r="MVK76" s="1607"/>
      <c r="MVL76" s="1607"/>
      <c r="MVM76" s="1607"/>
      <c r="MVN76" s="1607"/>
      <c r="MVO76" s="1607"/>
      <c r="MVP76" s="1607"/>
      <c r="MVQ76" s="1607"/>
      <c r="MVR76" s="1607"/>
      <c r="MVS76" s="1607"/>
      <c r="MVT76" s="1607"/>
      <c r="MVU76" s="1607"/>
      <c r="MVV76" s="1607"/>
      <c r="MVW76" s="1607"/>
      <c r="MVX76" s="1607"/>
      <c r="MVY76" s="1607"/>
      <c r="MVZ76" s="1607"/>
      <c r="MWA76" s="1607"/>
      <c r="MWB76" s="1607"/>
      <c r="MWC76" s="1607"/>
      <c r="MWD76" s="1607"/>
      <c r="MWE76" s="1607"/>
      <c r="MWF76" s="1607"/>
      <c r="MWG76" s="1607"/>
      <c r="MWH76" s="1607"/>
      <c r="MWI76" s="1607"/>
      <c r="MWJ76" s="1607"/>
      <c r="MWK76" s="1607"/>
      <c r="MWL76" s="1607"/>
      <c r="MWM76" s="1607"/>
      <c r="MWN76" s="1607"/>
      <c r="MWO76" s="1607"/>
      <c r="MWP76" s="1607"/>
      <c r="MWQ76" s="1607"/>
      <c r="MWR76" s="1607"/>
      <c r="MWS76" s="1607"/>
      <c r="MWT76" s="1607"/>
      <c r="MWU76" s="1607"/>
      <c r="MWV76" s="1607"/>
      <c r="MWW76" s="1607"/>
      <c r="MWX76" s="1607"/>
      <c r="MWY76" s="1607"/>
      <c r="MWZ76" s="1607"/>
      <c r="MXA76" s="1607"/>
      <c r="MXB76" s="1607"/>
      <c r="MXC76" s="1607"/>
      <c r="MXD76" s="1607"/>
      <c r="MXE76" s="1607"/>
      <c r="MXF76" s="1607"/>
      <c r="MXG76" s="1607"/>
      <c r="MXH76" s="1607"/>
      <c r="MXI76" s="1607"/>
      <c r="MXJ76" s="1607"/>
      <c r="MXK76" s="1607"/>
      <c r="MXL76" s="1607"/>
      <c r="MXM76" s="1607"/>
      <c r="MXN76" s="1607"/>
      <c r="MXO76" s="1607"/>
      <c r="MXP76" s="1607"/>
      <c r="MXQ76" s="1607"/>
      <c r="MXR76" s="1607"/>
      <c r="MXS76" s="1607"/>
      <c r="MXT76" s="1607"/>
      <c r="MXU76" s="1607"/>
      <c r="MXV76" s="1607"/>
      <c r="MXW76" s="1607"/>
      <c r="MXX76" s="1607"/>
      <c r="MXY76" s="1607"/>
      <c r="MXZ76" s="1607"/>
      <c r="MYA76" s="1607"/>
      <c r="MYB76" s="1607"/>
      <c r="MYC76" s="1607"/>
      <c r="MYD76" s="1607"/>
      <c r="MYE76" s="1607"/>
      <c r="MYF76" s="1607"/>
      <c r="MYG76" s="1607"/>
      <c r="MYH76" s="1607"/>
      <c r="MYI76" s="1607"/>
      <c r="MYJ76" s="1607"/>
      <c r="MYK76" s="1607"/>
      <c r="MYL76" s="1607"/>
      <c r="MYM76" s="1607"/>
      <c r="MYN76" s="1607"/>
      <c r="MYO76" s="1607"/>
      <c r="MYP76" s="1607"/>
      <c r="MYQ76" s="1607"/>
      <c r="MYR76" s="1607"/>
      <c r="MYS76" s="1607"/>
      <c r="MYT76" s="1607"/>
      <c r="MYU76" s="1607"/>
      <c r="MYV76" s="1607"/>
      <c r="MYW76" s="1607"/>
      <c r="MYX76" s="1607"/>
      <c r="MYY76" s="1607"/>
      <c r="MYZ76" s="1607"/>
      <c r="MZA76" s="1607"/>
      <c r="MZB76" s="1607"/>
      <c r="MZC76" s="1607"/>
      <c r="MZD76" s="1607"/>
      <c r="MZE76" s="1607"/>
      <c r="MZF76" s="1607"/>
      <c r="MZG76" s="1607"/>
      <c r="MZH76" s="1607"/>
      <c r="MZI76" s="1607"/>
      <c r="MZJ76" s="1607"/>
      <c r="MZK76" s="1607"/>
      <c r="MZL76" s="1607"/>
      <c r="MZM76" s="1607"/>
      <c r="MZN76" s="1607"/>
      <c r="MZO76" s="1607"/>
      <c r="MZP76" s="1607"/>
      <c r="MZQ76" s="1607"/>
      <c r="MZR76" s="1607"/>
      <c r="MZS76" s="1607"/>
      <c r="MZT76" s="1607"/>
      <c r="MZU76" s="1607"/>
      <c r="MZV76" s="1607"/>
      <c r="MZW76" s="1607"/>
      <c r="MZX76" s="1607"/>
      <c r="MZY76" s="1607"/>
      <c r="MZZ76" s="1607"/>
      <c r="NAA76" s="1607"/>
      <c r="NAB76" s="1607"/>
      <c r="NAC76" s="1607"/>
      <c r="NAD76" s="1607"/>
      <c r="NAE76" s="1607"/>
      <c r="NAF76" s="1607"/>
      <c r="NAG76" s="1607"/>
      <c r="NAH76" s="1607"/>
      <c r="NAI76" s="1607"/>
      <c r="NAJ76" s="1607"/>
      <c r="NAK76" s="1607"/>
      <c r="NAL76" s="1607"/>
      <c r="NAM76" s="1607"/>
      <c r="NAN76" s="1607"/>
      <c r="NAO76" s="1607"/>
      <c r="NAP76" s="1607"/>
      <c r="NAQ76" s="1607"/>
      <c r="NAR76" s="1607"/>
      <c r="NAS76" s="1607"/>
      <c r="NAT76" s="1607"/>
      <c r="NAU76" s="1607"/>
      <c r="NAV76" s="1607"/>
      <c r="NAW76" s="1607"/>
      <c r="NAX76" s="1607"/>
      <c r="NAY76" s="1607"/>
      <c r="NAZ76" s="1607"/>
      <c r="NBA76" s="1607"/>
      <c r="NBB76" s="1607"/>
      <c r="NBC76" s="1607"/>
      <c r="NBD76" s="1607"/>
      <c r="NBE76" s="1607"/>
      <c r="NBF76" s="1607"/>
      <c r="NBG76" s="1607"/>
      <c r="NBH76" s="1607"/>
      <c r="NBI76" s="1607"/>
      <c r="NBJ76" s="1607"/>
      <c r="NBK76" s="1607"/>
      <c r="NBL76" s="1607"/>
      <c r="NBM76" s="1607"/>
      <c r="NBN76" s="1607"/>
      <c r="NBO76" s="1607"/>
      <c r="NBP76" s="1607"/>
      <c r="NBQ76" s="1607"/>
      <c r="NBR76" s="1607"/>
      <c r="NBS76" s="1607"/>
      <c r="NBT76" s="1607"/>
      <c r="NBU76" s="1607"/>
      <c r="NBV76" s="1607"/>
      <c r="NBW76" s="1607"/>
      <c r="NBX76" s="1607"/>
      <c r="NBY76" s="1607"/>
      <c r="NBZ76" s="1607"/>
      <c r="NCA76" s="1607"/>
      <c r="NCB76" s="1607"/>
      <c r="NCC76" s="1607"/>
      <c r="NCD76" s="1607"/>
      <c r="NCE76" s="1607"/>
      <c r="NCF76" s="1607"/>
      <c r="NCG76" s="1607"/>
      <c r="NCH76" s="1607"/>
      <c r="NCI76" s="1607"/>
      <c r="NCJ76" s="1607"/>
      <c r="NCK76" s="1607"/>
      <c r="NCL76" s="1607"/>
      <c r="NCM76" s="1607"/>
      <c r="NCN76" s="1607"/>
      <c r="NCO76" s="1607"/>
      <c r="NCP76" s="1607"/>
      <c r="NCQ76" s="1607"/>
      <c r="NCR76" s="1607"/>
      <c r="NCS76" s="1607"/>
      <c r="NCT76" s="1607"/>
      <c r="NCU76" s="1607"/>
      <c r="NCV76" s="1607"/>
      <c r="NCW76" s="1607"/>
      <c r="NCX76" s="1607"/>
      <c r="NCY76" s="1607"/>
      <c r="NCZ76" s="1607"/>
      <c r="NDA76" s="1607"/>
      <c r="NDB76" s="1607"/>
      <c r="NDC76" s="1607"/>
      <c r="NDD76" s="1607"/>
      <c r="NDE76" s="1607"/>
      <c r="NDF76" s="1607"/>
      <c r="NDG76" s="1607"/>
      <c r="NDH76" s="1607"/>
      <c r="NDI76" s="1607"/>
      <c r="NDJ76" s="1607"/>
      <c r="NDK76" s="1607"/>
      <c r="NDL76" s="1607"/>
      <c r="NDM76" s="1607"/>
      <c r="NDN76" s="1607"/>
      <c r="NDO76" s="1607"/>
      <c r="NDP76" s="1607"/>
      <c r="NDQ76" s="1607"/>
      <c r="NDR76" s="1607"/>
      <c r="NDS76" s="1607"/>
      <c r="NDT76" s="1607"/>
      <c r="NDU76" s="1607"/>
      <c r="NDV76" s="1607"/>
      <c r="NDW76" s="1607"/>
      <c r="NDX76" s="1607"/>
      <c r="NDY76" s="1607"/>
      <c r="NDZ76" s="1607"/>
      <c r="NEA76" s="1607"/>
      <c r="NEB76" s="1607"/>
      <c r="NEC76" s="1607"/>
      <c r="NED76" s="1607"/>
      <c r="NEE76" s="1607"/>
      <c r="NEF76" s="1607"/>
      <c r="NEG76" s="1607"/>
      <c r="NEH76" s="1607"/>
      <c r="NEI76" s="1607"/>
      <c r="NEJ76" s="1607"/>
      <c r="NEK76" s="1607"/>
      <c r="NEL76" s="1607"/>
      <c r="NEM76" s="1607"/>
      <c r="NEN76" s="1607"/>
      <c r="NEO76" s="1607"/>
      <c r="NEP76" s="1607"/>
      <c r="NEQ76" s="1607"/>
      <c r="NER76" s="1607"/>
      <c r="NES76" s="1607"/>
      <c r="NET76" s="1607"/>
      <c r="NEU76" s="1607"/>
      <c r="NEV76" s="1607"/>
      <c r="NEW76" s="1607"/>
      <c r="NEX76" s="1607"/>
      <c r="NEY76" s="1607"/>
      <c r="NEZ76" s="1607"/>
      <c r="NFA76" s="1607"/>
      <c r="NFB76" s="1607"/>
      <c r="NFC76" s="1607"/>
      <c r="NFD76" s="1607"/>
      <c r="NFE76" s="1607"/>
      <c r="NFF76" s="1607"/>
      <c r="NFG76" s="1607"/>
      <c r="NFH76" s="1607"/>
      <c r="NFI76" s="1607"/>
      <c r="NFJ76" s="1607"/>
      <c r="NFK76" s="1607"/>
      <c r="NFL76" s="1607"/>
      <c r="NFM76" s="1607"/>
      <c r="NFN76" s="1607"/>
      <c r="NFO76" s="1607"/>
      <c r="NFP76" s="1607"/>
      <c r="NFQ76" s="1607"/>
      <c r="NFR76" s="1607"/>
      <c r="NFS76" s="1607"/>
      <c r="NFT76" s="1607"/>
      <c r="NFU76" s="1607"/>
      <c r="NFV76" s="1607"/>
      <c r="NFW76" s="1607"/>
      <c r="NFX76" s="1607"/>
      <c r="NFY76" s="1607"/>
      <c r="NFZ76" s="1607"/>
      <c r="NGA76" s="1607"/>
      <c r="NGB76" s="1607"/>
      <c r="NGC76" s="1607"/>
      <c r="NGD76" s="1607"/>
      <c r="NGE76" s="1607"/>
      <c r="NGF76" s="1607"/>
      <c r="NGG76" s="1607"/>
      <c r="NGH76" s="1607"/>
      <c r="NGI76" s="1607"/>
      <c r="NGJ76" s="1607"/>
      <c r="NGK76" s="1607"/>
      <c r="NGL76" s="1607"/>
      <c r="NGM76" s="1607"/>
      <c r="NGN76" s="1607"/>
      <c r="NGO76" s="1607"/>
      <c r="NGP76" s="1607"/>
      <c r="NGQ76" s="1607"/>
      <c r="NGR76" s="1607"/>
      <c r="NGS76" s="1607"/>
      <c r="NGT76" s="1607"/>
      <c r="NGU76" s="1607"/>
      <c r="NGV76" s="1607"/>
      <c r="NGW76" s="1607"/>
      <c r="NGX76" s="1607"/>
      <c r="NGY76" s="1607"/>
      <c r="NGZ76" s="1607"/>
      <c r="NHA76" s="1607"/>
      <c r="NHB76" s="1607"/>
      <c r="NHC76" s="1607"/>
      <c r="NHD76" s="1607"/>
      <c r="NHE76" s="1607"/>
      <c r="NHF76" s="1607"/>
      <c r="NHG76" s="1607"/>
      <c r="NHH76" s="1607"/>
      <c r="NHI76" s="1607"/>
      <c r="NHJ76" s="1607"/>
      <c r="NHK76" s="1607"/>
      <c r="NHL76" s="1607"/>
      <c r="NHM76" s="1607"/>
      <c r="NHN76" s="1607"/>
      <c r="NHO76" s="1607"/>
      <c r="NHP76" s="1607"/>
      <c r="NHQ76" s="1607"/>
      <c r="NHR76" s="1607"/>
      <c r="NHS76" s="1607"/>
      <c r="NHT76" s="1607"/>
      <c r="NHU76" s="1607"/>
      <c r="NHV76" s="1607"/>
      <c r="NHW76" s="1607"/>
      <c r="NHX76" s="1607"/>
      <c r="NHY76" s="1607"/>
      <c r="NHZ76" s="1607"/>
      <c r="NIA76" s="1607"/>
      <c r="NIB76" s="1607"/>
      <c r="NIC76" s="1607"/>
      <c r="NID76" s="1607"/>
      <c r="NIE76" s="1607"/>
      <c r="NIF76" s="1607"/>
      <c r="NIG76" s="1607"/>
      <c r="NIH76" s="1607"/>
      <c r="NII76" s="1607"/>
      <c r="NIJ76" s="1607"/>
      <c r="NIK76" s="1607"/>
      <c r="NIL76" s="1607"/>
      <c r="NIM76" s="1607"/>
      <c r="NIN76" s="1607"/>
      <c r="NIO76" s="1607"/>
      <c r="NIP76" s="1607"/>
      <c r="NIQ76" s="1607"/>
      <c r="NIR76" s="1607"/>
      <c r="NIS76" s="1607"/>
      <c r="NIT76" s="1607"/>
      <c r="NIU76" s="1607"/>
      <c r="NIV76" s="1607"/>
      <c r="NIW76" s="1607"/>
      <c r="NIX76" s="1607"/>
      <c r="NIY76" s="1607"/>
      <c r="NIZ76" s="1607"/>
      <c r="NJA76" s="1607"/>
      <c r="NJB76" s="1607"/>
      <c r="NJC76" s="1607"/>
      <c r="NJD76" s="1607"/>
      <c r="NJE76" s="1607"/>
      <c r="NJF76" s="1607"/>
      <c r="NJG76" s="1607"/>
      <c r="NJH76" s="1607"/>
      <c r="NJI76" s="1607"/>
      <c r="NJJ76" s="1607"/>
      <c r="NJK76" s="1607"/>
      <c r="NJL76" s="1607"/>
      <c r="NJM76" s="1607"/>
      <c r="NJN76" s="1607"/>
      <c r="NJO76" s="1607"/>
      <c r="NJP76" s="1607"/>
      <c r="NJQ76" s="1607"/>
      <c r="NJR76" s="1607"/>
      <c r="NJS76" s="1607"/>
      <c r="NJT76" s="1607"/>
      <c r="NJU76" s="1607"/>
      <c r="NJV76" s="1607"/>
      <c r="NJW76" s="1607"/>
      <c r="NJX76" s="1607"/>
      <c r="NJY76" s="1607"/>
      <c r="NJZ76" s="1607"/>
      <c r="NKA76" s="1607"/>
      <c r="NKB76" s="1607"/>
      <c r="NKC76" s="1607"/>
      <c r="NKD76" s="1607"/>
      <c r="NKE76" s="1607"/>
      <c r="NKF76" s="1607"/>
      <c r="NKG76" s="1607"/>
      <c r="NKH76" s="1607"/>
      <c r="NKI76" s="1607"/>
      <c r="NKJ76" s="1607"/>
      <c r="NKK76" s="1607"/>
      <c r="NKL76" s="1607"/>
      <c r="NKM76" s="1607"/>
      <c r="NKN76" s="1607"/>
      <c r="NKO76" s="1607"/>
      <c r="NKP76" s="1607"/>
      <c r="NKQ76" s="1607"/>
      <c r="NKR76" s="1607"/>
      <c r="NKS76" s="1607"/>
      <c r="NKT76" s="1607"/>
      <c r="NKU76" s="1607"/>
      <c r="NKV76" s="1607"/>
      <c r="NKW76" s="1607"/>
      <c r="NKX76" s="1607"/>
      <c r="NKY76" s="1607"/>
      <c r="NKZ76" s="1607"/>
      <c r="NLA76" s="1607"/>
      <c r="NLB76" s="1607"/>
      <c r="NLC76" s="1607"/>
      <c r="NLD76" s="1607"/>
      <c r="NLE76" s="1607"/>
      <c r="NLF76" s="1607"/>
      <c r="NLG76" s="1607"/>
      <c r="NLH76" s="1607"/>
      <c r="NLI76" s="1607"/>
      <c r="NLJ76" s="1607"/>
      <c r="NLK76" s="1607"/>
      <c r="NLL76" s="1607"/>
      <c r="NLM76" s="1607"/>
      <c r="NLN76" s="1607"/>
      <c r="NLO76" s="1607"/>
      <c r="NLP76" s="1607"/>
      <c r="NLQ76" s="1607"/>
      <c r="NLR76" s="1607"/>
      <c r="NLS76" s="1607"/>
      <c r="NLT76" s="1607"/>
      <c r="NLU76" s="1607"/>
      <c r="NLV76" s="1607"/>
      <c r="NLW76" s="1607"/>
      <c r="NLX76" s="1607"/>
      <c r="NLY76" s="1607"/>
      <c r="NLZ76" s="1607"/>
      <c r="NMA76" s="1607"/>
      <c r="NMB76" s="1607"/>
      <c r="NMC76" s="1607"/>
      <c r="NMD76" s="1607"/>
      <c r="NME76" s="1607"/>
      <c r="NMF76" s="1607"/>
      <c r="NMG76" s="1607"/>
      <c r="NMH76" s="1607"/>
      <c r="NMI76" s="1607"/>
      <c r="NMJ76" s="1607"/>
      <c r="NMK76" s="1607"/>
      <c r="NML76" s="1607"/>
      <c r="NMM76" s="1607"/>
      <c r="NMN76" s="1607"/>
      <c r="NMO76" s="1607"/>
      <c r="NMP76" s="1607"/>
      <c r="NMQ76" s="1607"/>
      <c r="NMR76" s="1607"/>
      <c r="NMS76" s="1607"/>
      <c r="NMT76" s="1607"/>
      <c r="NMU76" s="1607"/>
      <c r="NMV76" s="1607"/>
      <c r="NMW76" s="1607"/>
      <c r="NMX76" s="1607"/>
      <c r="NMY76" s="1607"/>
      <c r="NMZ76" s="1607"/>
      <c r="NNA76" s="1607"/>
      <c r="NNB76" s="1607"/>
      <c r="NNC76" s="1607"/>
      <c r="NND76" s="1607"/>
      <c r="NNE76" s="1607"/>
      <c r="NNF76" s="1607"/>
      <c r="NNG76" s="1607"/>
      <c r="NNH76" s="1607"/>
      <c r="NNI76" s="1607"/>
      <c r="NNJ76" s="1607"/>
      <c r="NNK76" s="1607"/>
      <c r="NNL76" s="1607"/>
      <c r="NNM76" s="1607"/>
      <c r="NNN76" s="1607"/>
      <c r="NNO76" s="1607"/>
      <c r="NNP76" s="1607"/>
      <c r="NNQ76" s="1607"/>
      <c r="NNR76" s="1607"/>
      <c r="NNS76" s="1607"/>
      <c r="NNT76" s="1607"/>
      <c r="NNU76" s="1607"/>
      <c r="NNV76" s="1607"/>
      <c r="NNW76" s="1607"/>
      <c r="NNX76" s="1607"/>
      <c r="NNY76" s="1607"/>
      <c r="NNZ76" s="1607"/>
      <c r="NOA76" s="1607"/>
      <c r="NOB76" s="1607"/>
      <c r="NOC76" s="1607"/>
      <c r="NOD76" s="1607"/>
      <c r="NOE76" s="1607"/>
      <c r="NOF76" s="1607"/>
      <c r="NOG76" s="1607"/>
      <c r="NOH76" s="1607"/>
      <c r="NOI76" s="1607"/>
      <c r="NOJ76" s="1607"/>
      <c r="NOK76" s="1607"/>
      <c r="NOL76" s="1607"/>
      <c r="NOM76" s="1607"/>
      <c r="NON76" s="1607"/>
      <c r="NOO76" s="1607"/>
      <c r="NOP76" s="1607"/>
      <c r="NOQ76" s="1607"/>
      <c r="NOR76" s="1607"/>
      <c r="NOS76" s="1607"/>
      <c r="NOT76" s="1607"/>
      <c r="NOU76" s="1607"/>
      <c r="NOV76" s="1607"/>
      <c r="NOW76" s="1607"/>
      <c r="NOX76" s="1607"/>
      <c r="NOY76" s="1607"/>
      <c r="NOZ76" s="1607"/>
      <c r="NPA76" s="1607"/>
      <c r="NPB76" s="1607"/>
      <c r="NPC76" s="1607"/>
      <c r="NPD76" s="1607"/>
      <c r="NPE76" s="1607"/>
      <c r="NPF76" s="1607"/>
      <c r="NPG76" s="1607"/>
      <c r="NPH76" s="1607"/>
      <c r="NPI76" s="1607"/>
      <c r="NPJ76" s="1607"/>
      <c r="NPK76" s="1607"/>
      <c r="NPL76" s="1607"/>
      <c r="NPM76" s="1607"/>
      <c r="NPN76" s="1607"/>
      <c r="NPO76" s="1607"/>
      <c r="NPP76" s="1607"/>
      <c r="NPQ76" s="1607"/>
      <c r="NPR76" s="1607"/>
      <c r="NPS76" s="1607"/>
      <c r="NPT76" s="1607"/>
      <c r="NPU76" s="1607"/>
      <c r="NPV76" s="1607"/>
      <c r="NPW76" s="1607"/>
      <c r="NPX76" s="1607"/>
      <c r="NPY76" s="1607"/>
      <c r="NPZ76" s="1607"/>
      <c r="NQA76" s="1607"/>
      <c r="NQB76" s="1607"/>
      <c r="NQC76" s="1607"/>
      <c r="NQD76" s="1607"/>
      <c r="NQE76" s="1607"/>
      <c r="NQF76" s="1607"/>
      <c r="NQG76" s="1607"/>
      <c r="NQH76" s="1607"/>
      <c r="NQI76" s="1607"/>
      <c r="NQJ76" s="1607"/>
      <c r="NQK76" s="1607"/>
      <c r="NQL76" s="1607"/>
      <c r="NQM76" s="1607"/>
      <c r="NQN76" s="1607"/>
      <c r="NQO76" s="1607"/>
      <c r="NQP76" s="1607"/>
      <c r="NQQ76" s="1607"/>
      <c r="NQR76" s="1607"/>
      <c r="NQS76" s="1607"/>
      <c r="NQT76" s="1607"/>
      <c r="NQU76" s="1607"/>
      <c r="NQV76" s="1607"/>
      <c r="NQW76" s="1607"/>
      <c r="NQX76" s="1607"/>
      <c r="NQY76" s="1607"/>
      <c r="NQZ76" s="1607"/>
      <c r="NRA76" s="1607"/>
      <c r="NRB76" s="1607"/>
      <c r="NRC76" s="1607"/>
      <c r="NRD76" s="1607"/>
      <c r="NRE76" s="1607"/>
      <c r="NRF76" s="1607"/>
      <c r="NRG76" s="1607"/>
      <c r="NRH76" s="1607"/>
      <c r="NRI76" s="1607"/>
      <c r="NRJ76" s="1607"/>
      <c r="NRK76" s="1607"/>
      <c r="NRL76" s="1607"/>
      <c r="NRM76" s="1607"/>
      <c r="NRN76" s="1607"/>
      <c r="NRO76" s="1607"/>
      <c r="NRP76" s="1607"/>
      <c r="NRQ76" s="1607"/>
      <c r="NRR76" s="1607"/>
      <c r="NRS76" s="1607"/>
      <c r="NRT76" s="1607"/>
      <c r="NRU76" s="1607"/>
      <c r="NRV76" s="1607"/>
      <c r="NRW76" s="1607"/>
      <c r="NRX76" s="1607"/>
      <c r="NRY76" s="1607"/>
      <c r="NRZ76" s="1607"/>
      <c r="NSA76" s="1607"/>
      <c r="NSB76" s="1607"/>
      <c r="NSC76" s="1607"/>
      <c r="NSD76" s="1607"/>
      <c r="NSE76" s="1607"/>
      <c r="NSF76" s="1607"/>
      <c r="NSG76" s="1607"/>
      <c r="NSH76" s="1607"/>
      <c r="NSI76" s="1607"/>
      <c r="NSJ76" s="1607"/>
      <c r="NSK76" s="1607"/>
      <c r="NSL76" s="1607"/>
      <c r="NSM76" s="1607"/>
      <c r="NSN76" s="1607"/>
      <c r="NSO76" s="1607"/>
      <c r="NSP76" s="1607"/>
      <c r="NSQ76" s="1607"/>
      <c r="NSR76" s="1607"/>
      <c r="NSS76" s="1607"/>
      <c r="NST76" s="1607"/>
      <c r="NSU76" s="1607"/>
      <c r="NSV76" s="1607"/>
      <c r="NSW76" s="1607"/>
      <c r="NSX76" s="1607"/>
      <c r="NSY76" s="1607"/>
      <c r="NSZ76" s="1607"/>
      <c r="NTA76" s="1607"/>
      <c r="NTB76" s="1607"/>
      <c r="NTC76" s="1607"/>
      <c r="NTD76" s="1607"/>
      <c r="NTE76" s="1607"/>
      <c r="NTF76" s="1607"/>
      <c r="NTG76" s="1607"/>
      <c r="NTH76" s="1607"/>
      <c r="NTI76" s="1607"/>
      <c r="NTJ76" s="1607"/>
      <c r="NTK76" s="1607"/>
      <c r="NTL76" s="1607"/>
      <c r="NTM76" s="1607"/>
      <c r="NTN76" s="1607"/>
      <c r="NTO76" s="1607"/>
      <c r="NTP76" s="1607"/>
      <c r="NTQ76" s="1607"/>
      <c r="NTR76" s="1607"/>
      <c r="NTS76" s="1607"/>
      <c r="NTT76" s="1607"/>
      <c r="NTU76" s="1607"/>
      <c r="NTV76" s="1607"/>
      <c r="NTW76" s="1607"/>
      <c r="NTX76" s="1607"/>
      <c r="NTY76" s="1607"/>
      <c r="NTZ76" s="1607"/>
      <c r="NUA76" s="1607"/>
      <c r="NUB76" s="1607"/>
      <c r="NUC76" s="1607"/>
      <c r="NUD76" s="1607"/>
      <c r="NUE76" s="1607"/>
      <c r="NUF76" s="1607"/>
      <c r="NUG76" s="1607"/>
      <c r="NUH76" s="1607"/>
      <c r="NUI76" s="1607"/>
      <c r="NUJ76" s="1607"/>
      <c r="NUK76" s="1607"/>
      <c r="NUL76" s="1607"/>
      <c r="NUM76" s="1607"/>
      <c r="NUN76" s="1607"/>
      <c r="NUO76" s="1607"/>
      <c r="NUP76" s="1607"/>
      <c r="NUQ76" s="1607"/>
      <c r="NUR76" s="1607"/>
      <c r="NUS76" s="1607"/>
      <c r="NUT76" s="1607"/>
      <c r="NUU76" s="1607"/>
      <c r="NUV76" s="1607"/>
      <c r="NUW76" s="1607"/>
      <c r="NUX76" s="1607"/>
      <c r="NUY76" s="1607"/>
      <c r="NUZ76" s="1607"/>
      <c r="NVA76" s="1607"/>
      <c r="NVB76" s="1607"/>
      <c r="NVC76" s="1607"/>
      <c r="NVD76" s="1607"/>
      <c r="NVE76" s="1607"/>
      <c r="NVF76" s="1607"/>
      <c r="NVG76" s="1607"/>
      <c r="NVH76" s="1607"/>
      <c r="NVI76" s="1607"/>
      <c r="NVJ76" s="1607"/>
      <c r="NVK76" s="1607"/>
      <c r="NVL76" s="1607"/>
      <c r="NVM76" s="1607"/>
      <c r="NVN76" s="1607"/>
      <c r="NVO76" s="1607"/>
      <c r="NVP76" s="1607"/>
      <c r="NVQ76" s="1607"/>
      <c r="NVR76" s="1607"/>
      <c r="NVS76" s="1607"/>
      <c r="NVT76" s="1607"/>
      <c r="NVU76" s="1607"/>
      <c r="NVV76" s="1607"/>
      <c r="NVW76" s="1607"/>
      <c r="NVX76" s="1607"/>
      <c r="NVY76" s="1607"/>
      <c r="NVZ76" s="1607"/>
      <c r="NWA76" s="1607"/>
      <c r="NWB76" s="1607"/>
      <c r="NWC76" s="1607"/>
      <c r="NWD76" s="1607"/>
      <c r="NWE76" s="1607"/>
      <c r="NWF76" s="1607"/>
      <c r="NWG76" s="1607"/>
      <c r="NWH76" s="1607"/>
      <c r="NWI76" s="1607"/>
      <c r="NWJ76" s="1607"/>
      <c r="NWK76" s="1607"/>
      <c r="NWL76" s="1607"/>
      <c r="NWM76" s="1607"/>
      <c r="NWN76" s="1607"/>
      <c r="NWO76" s="1607"/>
      <c r="NWP76" s="1607"/>
      <c r="NWQ76" s="1607"/>
      <c r="NWR76" s="1607"/>
      <c r="NWS76" s="1607"/>
      <c r="NWT76" s="1607"/>
      <c r="NWU76" s="1607"/>
      <c r="NWV76" s="1607"/>
      <c r="NWW76" s="1607"/>
      <c r="NWX76" s="1607"/>
      <c r="NWY76" s="1607"/>
      <c r="NWZ76" s="1607"/>
      <c r="NXA76" s="1607"/>
      <c r="NXB76" s="1607"/>
      <c r="NXC76" s="1607"/>
      <c r="NXD76" s="1607"/>
      <c r="NXE76" s="1607"/>
      <c r="NXF76" s="1607"/>
      <c r="NXG76" s="1607"/>
      <c r="NXH76" s="1607"/>
      <c r="NXI76" s="1607"/>
      <c r="NXJ76" s="1607"/>
      <c r="NXK76" s="1607"/>
      <c r="NXL76" s="1607"/>
      <c r="NXM76" s="1607"/>
      <c r="NXN76" s="1607"/>
      <c r="NXO76" s="1607"/>
      <c r="NXP76" s="1607"/>
      <c r="NXQ76" s="1607"/>
      <c r="NXR76" s="1607"/>
      <c r="NXS76" s="1607"/>
      <c r="NXT76" s="1607"/>
      <c r="NXU76" s="1607"/>
      <c r="NXV76" s="1607"/>
      <c r="NXW76" s="1607"/>
      <c r="NXX76" s="1607"/>
      <c r="NXY76" s="1607"/>
      <c r="NXZ76" s="1607"/>
      <c r="NYA76" s="1607"/>
      <c r="NYB76" s="1607"/>
      <c r="NYC76" s="1607"/>
      <c r="NYD76" s="1607"/>
      <c r="NYE76" s="1607"/>
      <c r="NYF76" s="1607"/>
      <c r="NYG76" s="1607"/>
      <c r="NYH76" s="1607"/>
      <c r="NYI76" s="1607"/>
      <c r="NYJ76" s="1607"/>
      <c r="NYK76" s="1607"/>
      <c r="NYL76" s="1607"/>
      <c r="NYM76" s="1607"/>
      <c r="NYN76" s="1607"/>
      <c r="NYO76" s="1607"/>
      <c r="NYP76" s="1607"/>
      <c r="NYQ76" s="1607"/>
      <c r="NYR76" s="1607"/>
      <c r="NYS76" s="1607"/>
      <c r="NYT76" s="1607"/>
      <c r="NYU76" s="1607"/>
      <c r="NYV76" s="1607"/>
      <c r="NYW76" s="1607"/>
      <c r="NYX76" s="1607"/>
      <c r="NYY76" s="1607"/>
      <c r="NYZ76" s="1607"/>
      <c r="NZA76" s="1607"/>
      <c r="NZB76" s="1607"/>
      <c r="NZC76" s="1607"/>
      <c r="NZD76" s="1607"/>
      <c r="NZE76" s="1607"/>
      <c r="NZF76" s="1607"/>
      <c r="NZG76" s="1607"/>
      <c r="NZH76" s="1607"/>
      <c r="NZI76" s="1607"/>
      <c r="NZJ76" s="1607"/>
      <c r="NZK76" s="1607"/>
      <c r="NZL76" s="1607"/>
      <c r="NZM76" s="1607"/>
      <c r="NZN76" s="1607"/>
      <c r="NZO76" s="1607"/>
      <c r="NZP76" s="1607"/>
      <c r="NZQ76" s="1607"/>
      <c r="NZR76" s="1607"/>
      <c r="NZS76" s="1607"/>
      <c r="NZT76" s="1607"/>
      <c r="NZU76" s="1607"/>
      <c r="NZV76" s="1607"/>
      <c r="NZW76" s="1607"/>
      <c r="NZX76" s="1607"/>
      <c r="NZY76" s="1607"/>
      <c r="NZZ76" s="1607"/>
      <c r="OAA76" s="1607"/>
      <c r="OAB76" s="1607"/>
      <c r="OAC76" s="1607"/>
      <c r="OAD76" s="1607"/>
      <c r="OAE76" s="1607"/>
      <c r="OAF76" s="1607"/>
      <c r="OAG76" s="1607"/>
      <c r="OAH76" s="1607"/>
      <c r="OAI76" s="1607"/>
      <c r="OAJ76" s="1607"/>
      <c r="OAK76" s="1607"/>
      <c r="OAL76" s="1607"/>
      <c r="OAM76" s="1607"/>
      <c r="OAN76" s="1607"/>
      <c r="OAO76" s="1607"/>
      <c r="OAP76" s="1607"/>
      <c r="OAQ76" s="1607"/>
      <c r="OAR76" s="1607"/>
      <c r="OAS76" s="1607"/>
      <c r="OAT76" s="1607"/>
      <c r="OAU76" s="1607"/>
      <c r="OAV76" s="1607"/>
      <c r="OAW76" s="1607"/>
      <c r="OAX76" s="1607"/>
      <c r="OAY76" s="1607"/>
      <c r="OAZ76" s="1607"/>
      <c r="OBA76" s="1607"/>
      <c r="OBB76" s="1607"/>
      <c r="OBC76" s="1607"/>
      <c r="OBD76" s="1607"/>
      <c r="OBE76" s="1607"/>
      <c r="OBF76" s="1607"/>
      <c r="OBG76" s="1607"/>
      <c r="OBH76" s="1607"/>
      <c r="OBI76" s="1607"/>
      <c r="OBJ76" s="1607"/>
      <c r="OBK76" s="1607"/>
      <c r="OBL76" s="1607"/>
      <c r="OBM76" s="1607"/>
      <c r="OBN76" s="1607"/>
      <c r="OBO76" s="1607"/>
      <c r="OBP76" s="1607"/>
      <c r="OBQ76" s="1607"/>
      <c r="OBR76" s="1607"/>
      <c r="OBS76" s="1607"/>
      <c r="OBT76" s="1607"/>
      <c r="OBU76" s="1607"/>
      <c r="OBV76" s="1607"/>
      <c r="OBW76" s="1607"/>
      <c r="OBX76" s="1607"/>
      <c r="OBY76" s="1607"/>
      <c r="OBZ76" s="1607"/>
      <c r="OCA76" s="1607"/>
      <c r="OCB76" s="1607"/>
      <c r="OCC76" s="1607"/>
      <c r="OCD76" s="1607"/>
      <c r="OCE76" s="1607"/>
      <c r="OCF76" s="1607"/>
      <c r="OCG76" s="1607"/>
      <c r="OCH76" s="1607"/>
      <c r="OCI76" s="1607"/>
      <c r="OCJ76" s="1607"/>
      <c r="OCK76" s="1607"/>
      <c r="OCL76" s="1607"/>
      <c r="OCM76" s="1607"/>
      <c r="OCN76" s="1607"/>
      <c r="OCO76" s="1607"/>
      <c r="OCP76" s="1607"/>
      <c r="OCQ76" s="1607"/>
      <c r="OCR76" s="1607"/>
      <c r="OCS76" s="1607"/>
      <c r="OCT76" s="1607"/>
      <c r="OCU76" s="1607"/>
      <c r="OCV76" s="1607"/>
      <c r="OCW76" s="1607"/>
      <c r="OCX76" s="1607"/>
      <c r="OCY76" s="1607"/>
      <c r="OCZ76" s="1607"/>
      <c r="ODA76" s="1607"/>
      <c r="ODB76" s="1607"/>
      <c r="ODC76" s="1607"/>
      <c r="ODD76" s="1607"/>
      <c r="ODE76" s="1607"/>
      <c r="ODF76" s="1607"/>
      <c r="ODG76" s="1607"/>
      <c r="ODH76" s="1607"/>
      <c r="ODI76" s="1607"/>
      <c r="ODJ76" s="1607"/>
      <c r="ODK76" s="1607"/>
      <c r="ODL76" s="1607"/>
      <c r="ODM76" s="1607"/>
      <c r="ODN76" s="1607"/>
      <c r="ODO76" s="1607"/>
      <c r="ODP76" s="1607"/>
      <c r="ODQ76" s="1607"/>
      <c r="ODR76" s="1607"/>
      <c r="ODS76" s="1607"/>
      <c r="ODT76" s="1607"/>
      <c r="ODU76" s="1607"/>
      <c r="ODV76" s="1607"/>
      <c r="ODW76" s="1607"/>
      <c r="ODX76" s="1607"/>
      <c r="ODY76" s="1607"/>
      <c r="ODZ76" s="1607"/>
      <c r="OEA76" s="1607"/>
      <c r="OEB76" s="1607"/>
      <c r="OEC76" s="1607"/>
      <c r="OED76" s="1607"/>
      <c r="OEE76" s="1607"/>
      <c r="OEF76" s="1607"/>
      <c r="OEG76" s="1607"/>
      <c r="OEH76" s="1607"/>
      <c r="OEI76" s="1607"/>
      <c r="OEJ76" s="1607"/>
      <c r="OEK76" s="1607"/>
      <c r="OEL76" s="1607"/>
      <c r="OEM76" s="1607"/>
      <c r="OEN76" s="1607"/>
      <c r="OEO76" s="1607"/>
      <c r="OEP76" s="1607"/>
      <c r="OEQ76" s="1607"/>
      <c r="OER76" s="1607"/>
      <c r="OES76" s="1607"/>
      <c r="OET76" s="1607"/>
      <c r="OEU76" s="1607"/>
      <c r="OEV76" s="1607"/>
      <c r="OEW76" s="1607"/>
      <c r="OEX76" s="1607"/>
      <c r="OEY76" s="1607"/>
      <c r="OEZ76" s="1607"/>
      <c r="OFA76" s="1607"/>
      <c r="OFB76" s="1607"/>
      <c r="OFC76" s="1607"/>
      <c r="OFD76" s="1607"/>
      <c r="OFE76" s="1607"/>
      <c r="OFF76" s="1607"/>
      <c r="OFG76" s="1607"/>
      <c r="OFH76" s="1607"/>
      <c r="OFI76" s="1607"/>
      <c r="OFJ76" s="1607"/>
      <c r="OFK76" s="1607"/>
      <c r="OFL76" s="1607"/>
      <c r="OFM76" s="1607"/>
      <c r="OFN76" s="1607"/>
      <c r="OFO76" s="1607"/>
      <c r="OFP76" s="1607"/>
      <c r="OFQ76" s="1607"/>
      <c r="OFR76" s="1607"/>
      <c r="OFS76" s="1607"/>
      <c r="OFT76" s="1607"/>
      <c r="OFU76" s="1607"/>
      <c r="OFV76" s="1607"/>
      <c r="OFW76" s="1607"/>
      <c r="OFX76" s="1607"/>
      <c r="OFY76" s="1607"/>
      <c r="OFZ76" s="1607"/>
      <c r="OGA76" s="1607"/>
      <c r="OGB76" s="1607"/>
      <c r="OGC76" s="1607"/>
      <c r="OGD76" s="1607"/>
      <c r="OGE76" s="1607"/>
      <c r="OGF76" s="1607"/>
      <c r="OGG76" s="1607"/>
      <c r="OGH76" s="1607"/>
      <c r="OGI76" s="1607"/>
      <c r="OGJ76" s="1607"/>
      <c r="OGK76" s="1607"/>
      <c r="OGL76" s="1607"/>
      <c r="OGM76" s="1607"/>
      <c r="OGN76" s="1607"/>
      <c r="OGO76" s="1607"/>
      <c r="OGP76" s="1607"/>
      <c r="OGQ76" s="1607"/>
      <c r="OGR76" s="1607"/>
      <c r="OGS76" s="1607"/>
      <c r="OGT76" s="1607"/>
      <c r="OGU76" s="1607"/>
      <c r="OGV76" s="1607"/>
      <c r="OGW76" s="1607"/>
      <c r="OGX76" s="1607"/>
      <c r="OGY76" s="1607"/>
      <c r="OGZ76" s="1607"/>
      <c r="OHA76" s="1607"/>
      <c r="OHB76" s="1607"/>
      <c r="OHC76" s="1607"/>
      <c r="OHD76" s="1607"/>
      <c r="OHE76" s="1607"/>
      <c r="OHF76" s="1607"/>
      <c r="OHG76" s="1607"/>
      <c r="OHH76" s="1607"/>
      <c r="OHI76" s="1607"/>
      <c r="OHJ76" s="1607"/>
      <c r="OHK76" s="1607"/>
      <c r="OHL76" s="1607"/>
      <c r="OHM76" s="1607"/>
      <c r="OHN76" s="1607"/>
      <c r="OHO76" s="1607"/>
      <c r="OHP76" s="1607"/>
      <c r="OHQ76" s="1607"/>
      <c r="OHR76" s="1607"/>
      <c r="OHS76" s="1607"/>
      <c r="OHT76" s="1607"/>
      <c r="OHU76" s="1607"/>
      <c r="OHV76" s="1607"/>
      <c r="OHW76" s="1607"/>
      <c r="OHX76" s="1607"/>
      <c r="OHY76" s="1607"/>
      <c r="OHZ76" s="1607"/>
      <c r="OIA76" s="1607"/>
      <c r="OIB76" s="1607"/>
      <c r="OIC76" s="1607"/>
      <c r="OID76" s="1607"/>
      <c r="OIE76" s="1607"/>
      <c r="OIF76" s="1607"/>
      <c r="OIG76" s="1607"/>
      <c r="OIH76" s="1607"/>
      <c r="OII76" s="1607"/>
      <c r="OIJ76" s="1607"/>
      <c r="OIK76" s="1607"/>
      <c r="OIL76" s="1607"/>
      <c r="OIM76" s="1607"/>
      <c r="OIN76" s="1607"/>
      <c r="OIO76" s="1607"/>
      <c r="OIP76" s="1607"/>
      <c r="OIQ76" s="1607"/>
      <c r="OIR76" s="1607"/>
      <c r="OIS76" s="1607"/>
      <c r="OIT76" s="1607"/>
      <c r="OIU76" s="1607"/>
      <c r="OIV76" s="1607"/>
      <c r="OIW76" s="1607"/>
      <c r="OIX76" s="1607"/>
      <c r="OIY76" s="1607"/>
      <c r="OIZ76" s="1607"/>
      <c r="OJA76" s="1607"/>
      <c r="OJB76" s="1607"/>
      <c r="OJC76" s="1607"/>
      <c r="OJD76" s="1607"/>
      <c r="OJE76" s="1607"/>
      <c r="OJF76" s="1607"/>
      <c r="OJG76" s="1607"/>
      <c r="OJH76" s="1607"/>
      <c r="OJI76" s="1607"/>
      <c r="OJJ76" s="1607"/>
      <c r="OJK76" s="1607"/>
      <c r="OJL76" s="1607"/>
      <c r="OJM76" s="1607"/>
      <c r="OJN76" s="1607"/>
      <c r="OJO76" s="1607"/>
      <c r="OJP76" s="1607"/>
      <c r="OJQ76" s="1607"/>
      <c r="OJR76" s="1607"/>
      <c r="OJS76" s="1607"/>
      <c r="OJT76" s="1607"/>
      <c r="OJU76" s="1607"/>
      <c r="OJV76" s="1607"/>
      <c r="OJW76" s="1607"/>
      <c r="OJX76" s="1607"/>
      <c r="OJY76" s="1607"/>
      <c r="OJZ76" s="1607"/>
      <c r="OKA76" s="1607"/>
      <c r="OKB76" s="1607"/>
      <c r="OKC76" s="1607"/>
      <c r="OKD76" s="1607"/>
      <c r="OKE76" s="1607"/>
      <c r="OKF76" s="1607"/>
      <c r="OKG76" s="1607"/>
      <c r="OKH76" s="1607"/>
      <c r="OKI76" s="1607"/>
      <c r="OKJ76" s="1607"/>
      <c r="OKK76" s="1607"/>
      <c r="OKL76" s="1607"/>
      <c r="OKM76" s="1607"/>
      <c r="OKN76" s="1607"/>
      <c r="OKO76" s="1607"/>
      <c r="OKP76" s="1607"/>
      <c r="OKQ76" s="1607"/>
      <c r="OKR76" s="1607"/>
      <c r="OKS76" s="1607"/>
      <c r="OKT76" s="1607"/>
      <c r="OKU76" s="1607"/>
      <c r="OKV76" s="1607"/>
      <c r="OKW76" s="1607"/>
      <c r="OKX76" s="1607"/>
      <c r="OKY76" s="1607"/>
      <c r="OKZ76" s="1607"/>
      <c r="OLA76" s="1607"/>
      <c r="OLB76" s="1607"/>
      <c r="OLC76" s="1607"/>
      <c r="OLD76" s="1607"/>
      <c r="OLE76" s="1607"/>
      <c r="OLF76" s="1607"/>
      <c r="OLG76" s="1607"/>
      <c r="OLH76" s="1607"/>
      <c r="OLI76" s="1607"/>
      <c r="OLJ76" s="1607"/>
      <c r="OLK76" s="1607"/>
      <c r="OLL76" s="1607"/>
      <c r="OLM76" s="1607"/>
      <c r="OLN76" s="1607"/>
      <c r="OLO76" s="1607"/>
      <c r="OLP76" s="1607"/>
      <c r="OLQ76" s="1607"/>
      <c r="OLR76" s="1607"/>
      <c r="OLS76" s="1607"/>
      <c r="OLT76" s="1607"/>
      <c r="OLU76" s="1607"/>
      <c r="OLV76" s="1607"/>
      <c r="OLW76" s="1607"/>
      <c r="OLX76" s="1607"/>
      <c r="OLY76" s="1607"/>
      <c r="OLZ76" s="1607"/>
      <c r="OMA76" s="1607"/>
      <c r="OMB76" s="1607"/>
      <c r="OMC76" s="1607"/>
      <c r="OMD76" s="1607"/>
      <c r="OME76" s="1607"/>
      <c r="OMF76" s="1607"/>
      <c r="OMG76" s="1607"/>
      <c r="OMH76" s="1607"/>
      <c r="OMI76" s="1607"/>
      <c r="OMJ76" s="1607"/>
      <c r="OMK76" s="1607"/>
      <c r="OML76" s="1607"/>
      <c r="OMM76" s="1607"/>
      <c r="OMN76" s="1607"/>
      <c r="OMO76" s="1607"/>
      <c r="OMP76" s="1607"/>
      <c r="OMQ76" s="1607"/>
      <c r="OMR76" s="1607"/>
      <c r="OMS76" s="1607"/>
      <c r="OMT76" s="1607"/>
      <c r="OMU76" s="1607"/>
      <c r="OMV76" s="1607"/>
      <c r="OMW76" s="1607"/>
      <c r="OMX76" s="1607"/>
      <c r="OMY76" s="1607"/>
      <c r="OMZ76" s="1607"/>
      <c r="ONA76" s="1607"/>
      <c r="ONB76" s="1607"/>
      <c r="ONC76" s="1607"/>
      <c r="OND76" s="1607"/>
      <c r="ONE76" s="1607"/>
      <c r="ONF76" s="1607"/>
      <c r="ONG76" s="1607"/>
      <c r="ONH76" s="1607"/>
      <c r="ONI76" s="1607"/>
      <c r="ONJ76" s="1607"/>
      <c r="ONK76" s="1607"/>
      <c r="ONL76" s="1607"/>
      <c r="ONM76" s="1607"/>
      <c r="ONN76" s="1607"/>
      <c r="ONO76" s="1607"/>
      <c r="ONP76" s="1607"/>
      <c r="ONQ76" s="1607"/>
      <c r="ONR76" s="1607"/>
      <c r="ONS76" s="1607"/>
      <c r="ONT76" s="1607"/>
      <c r="ONU76" s="1607"/>
      <c r="ONV76" s="1607"/>
      <c r="ONW76" s="1607"/>
      <c r="ONX76" s="1607"/>
      <c r="ONY76" s="1607"/>
      <c r="ONZ76" s="1607"/>
      <c r="OOA76" s="1607"/>
      <c r="OOB76" s="1607"/>
      <c r="OOC76" s="1607"/>
      <c r="OOD76" s="1607"/>
      <c r="OOE76" s="1607"/>
      <c r="OOF76" s="1607"/>
      <c r="OOG76" s="1607"/>
      <c r="OOH76" s="1607"/>
      <c r="OOI76" s="1607"/>
      <c r="OOJ76" s="1607"/>
      <c r="OOK76" s="1607"/>
      <c r="OOL76" s="1607"/>
      <c r="OOM76" s="1607"/>
      <c r="OON76" s="1607"/>
      <c r="OOO76" s="1607"/>
      <c r="OOP76" s="1607"/>
      <c r="OOQ76" s="1607"/>
      <c r="OOR76" s="1607"/>
      <c r="OOS76" s="1607"/>
      <c r="OOT76" s="1607"/>
      <c r="OOU76" s="1607"/>
      <c r="OOV76" s="1607"/>
      <c r="OOW76" s="1607"/>
      <c r="OOX76" s="1607"/>
      <c r="OOY76" s="1607"/>
      <c r="OOZ76" s="1607"/>
      <c r="OPA76" s="1607"/>
      <c r="OPB76" s="1607"/>
      <c r="OPC76" s="1607"/>
      <c r="OPD76" s="1607"/>
      <c r="OPE76" s="1607"/>
      <c r="OPF76" s="1607"/>
      <c r="OPG76" s="1607"/>
      <c r="OPH76" s="1607"/>
      <c r="OPI76" s="1607"/>
      <c r="OPJ76" s="1607"/>
      <c r="OPK76" s="1607"/>
      <c r="OPL76" s="1607"/>
      <c r="OPM76" s="1607"/>
      <c r="OPN76" s="1607"/>
      <c r="OPO76" s="1607"/>
      <c r="OPP76" s="1607"/>
      <c r="OPQ76" s="1607"/>
      <c r="OPR76" s="1607"/>
      <c r="OPS76" s="1607"/>
      <c r="OPT76" s="1607"/>
      <c r="OPU76" s="1607"/>
      <c r="OPV76" s="1607"/>
      <c r="OPW76" s="1607"/>
      <c r="OPX76" s="1607"/>
      <c r="OPY76" s="1607"/>
      <c r="OPZ76" s="1607"/>
      <c r="OQA76" s="1607"/>
      <c r="OQB76" s="1607"/>
      <c r="OQC76" s="1607"/>
      <c r="OQD76" s="1607"/>
      <c r="OQE76" s="1607"/>
      <c r="OQF76" s="1607"/>
      <c r="OQG76" s="1607"/>
      <c r="OQH76" s="1607"/>
      <c r="OQI76" s="1607"/>
      <c r="OQJ76" s="1607"/>
      <c r="OQK76" s="1607"/>
      <c r="OQL76" s="1607"/>
      <c r="OQM76" s="1607"/>
      <c r="OQN76" s="1607"/>
      <c r="OQO76" s="1607"/>
      <c r="OQP76" s="1607"/>
      <c r="OQQ76" s="1607"/>
      <c r="OQR76" s="1607"/>
      <c r="OQS76" s="1607"/>
      <c r="OQT76" s="1607"/>
      <c r="OQU76" s="1607"/>
      <c r="OQV76" s="1607"/>
      <c r="OQW76" s="1607"/>
      <c r="OQX76" s="1607"/>
      <c r="OQY76" s="1607"/>
      <c r="OQZ76" s="1607"/>
      <c r="ORA76" s="1607"/>
      <c r="ORB76" s="1607"/>
      <c r="ORC76" s="1607"/>
      <c r="ORD76" s="1607"/>
      <c r="ORE76" s="1607"/>
      <c r="ORF76" s="1607"/>
      <c r="ORG76" s="1607"/>
      <c r="ORH76" s="1607"/>
      <c r="ORI76" s="1607"/>
      <c r="ORJ76" s="1607"/>
      <c r="ORK76" s="1607"/>
      <c r="ORL76" s="1607"/>
      <c r="ORM76" s="1607"/>
      <c r="ORN76" s="1607"/>
      <c r="ORO76" s="1607"/>
      <c r="ORP76" s="1607"/>
      <c r="ORQ76" s="1607"/>
      <c r="ORR76" s="1607"/>
      <c r="ORS76" s="1607"/>
      <c r="ORT76" s="1607"/>
      <c r="ORU76" s="1607"/>
      <c r="ORV76" s="1607"/>
      <c r="ORW76" s="1607"/>
      <c r="ORX76" s="1607"/>
      <c r="ORY76" s="1607"/>
      <c r="ORZ76" s="1607"/>
      <c r="OSA76" s="1607"/>
      <c r="OSB76" s="1607"/>
      <c r="OSC76" s="1607"/>
      <c r="OSD76" s="1607"/>
      <c r="OSE76" s="1607"/>
      <c r="OSF76" s="1607"/>
      <c r="OSG76" s="1607"/>
      <c r="OSH76" s="1607"/>
      <c r="OSI76" s="1607"/>
      <c r="OSJ76" s="1607"/>
      <c r="OSK76" s="1607"/>
      <c r="OSL76" s="1607"/>
      <c r="OSM76" s="1607"/>
      <c r="OSN76" s="1607"/>
      <c r="OSO76" s="1607"/>
      <c r="OSP76" s="1607"/>
      <c r="OSQ76" s="1607"/>
      <c r="OSR76" s="1607"/>
      <c r="OSS76" s="1607"/>
      <c r="OST76" s="1607"/>
      <c r="OSU76" s="1607"/>
      <c r="OSV76" s="1607"/>
      <c r="OSW76" s="1607"/>
      <c r="OSX76" s="1607"/>
      <c r="OSY76" s="1607"/>
      <c r="OSZ76" s="1607"/>
      <c r="OTA76" s="1607"/>
      <c r="OTB76" s="1607"/>
      <c r="OTC76" s="1607"/>
      <c r="OTD76" s="1607"/>
      <c r="OTE76" s="1607"/>
      <c r="OTF76" s="1607"/>
      <c r="OTG76" s="1607"/>
      <c r="OTH76" s="1607"/>
      <c r="OTI76" s="1607"/>
      <c r="OTJ76" s="1607"/>
      <c r="OTK76" s="1607"/>
      <c r="OTL76" s="1607"/>
      <c r="OTM76" s="1607"/>
      <c r="OTN76" s="1607"/>
      <c r="OTO76" s="1607"/>
      <c r="OTP76" s="1607"/>
      <c r="OTQ76" s="1607"/>
      <c r="OTR76" s="1607"/>
      <c r="OTS76" s="1607"/>
      <c r="OTT76" s="1607"/>
      <c r="OTU76" s="1607"/>
      <c r="OTV76" s="1607"/>
      <c r="OTW76" s="1607"/>
      <c r="OTX76" s="1607"/>
      <c r="OTY76" s="1607"/>
      <c r="OTZ76" s="1607"/>
      <c r="OUA76" s="1607"/>
      <c r="OUB76" s="1607"/>
      <c r="OUC76" s="1607"/>
      <c r="OUD76" s="1607"/>
      <c r="OUE76" s="1607"/>
      <c r="OUF76" s="1607"/>
      <c r="OUG76" s="1607"/>
      <c r="OUH76" s="1607"/>
      <c r="OUI76" s="1607"/>
      <c r="OUJ76" s="1607"/>
      <c r="OUK76" s="1607"/>
      <c r="OUL76" s="1607"/>
      <c r="OUM76" s="1607"/>
      <c r="OUN76" s="1607"/>
      <c r="OUO76" s="1607"/>
      <c r="OUP76" s="1607"/>
      <c r="OUQ76" s="1607"/>
      <c r="OUR76" s="1607"/>
      <c r="OUS76" s="1607"/>
      <c r="OUT76" s="1607"/>
      <c r="OUU76" s="1607"/>
      <c r="OUV76" s="1607"/>
      <c r="OUW76" s="1607"/>
      <c r="OUX76" s="1607"/>
      <c r="OUY76" s="1607"/>
      <c r="OUZ76" s="1607"/>
      <c r="OVA76" s="1607"/>
      <c r="OVB76" s="1607"/>
      <c r="OVC76" s="1607"/>
      <c r="OVD76" s="1607"/>
      <c r="OVE76" s="1607"/>
      <c r="OVF76" s="1607"/>
      <c r="OVG76" s="1607"/>
      <c r="OVH76" s="1607"/>
      <c r="OVI76" s="1607"/>
      <c r="OVJ76" s="1607"/>
      <c r="OVK76" s="1607"/>
      <c r="OVL76" s="1607"/>
      <c r="OVM76" s="1607"/>
      <c r="OVN76" s="1607"/>
      <c r="OVO76" s="1607"/>
      <c r="OVP76" s="1607"/>
      <c r="OVQ76" s="1607"/>
      <c r="OVR76" s="1607"/>
      <c r="OVS76" s="1607"/>
      <c r="OVT76" s="1607"/>
      <c r="OVU76" s="1607"/>
      <c r="OVV76" s="1607"/>
      <c r="OVW76" s="1607"/>
      <c r="OVX76" s="1607"/>
      <c r="OVY76" s="1607"/>
      <c r="OVZ76" s="1607"/>
      <c r="OWA76" s="1607"/>
      <c r="OWB76" s="1607"/>
      <c r="OWC76" s="1607"/>
      <c r="OWD76" s="1607"/>
      <c r="OWE76" s="1607"/>
      <c r="OWF76" s="1607"/>
      <c r="OWG76" s="1607"/>
      <c r="OWH76" s="1607"/>
      <c r="OWI76" s="1607"/>
      <c r="OWJ76" s="1607"/>
      <c r="OWK76" s="1607"/>
      <c r="OWL76" s="1607"/>
      <c r="OWM76" s="1607"/>
      <c r="OWN76" s="1607"/>
      <c r="OWO76" s="1607"/>
      <c r="OWP76" s="1607"/>
      <c r="OWQ76" s="1607"/>
      <c r="OWR76" s="1607"/>
      <c r="OWS76" s="1607"/>
      <c r="OWT76" s="1607"/>
      <c r="OWU76" s="1607"/>
      <c r="OWV76" s="1607"/>
      <c r="OWW76" s="1607"/>
      <c r="OWX76" s="1607"/>
      <c r="OWY76" s="1607"/>
      <c r="OWZ76" s="1607"/>
      <c r="OXA76" s="1607"/>
      <c r="OXB76" s="1607"/>
      <c r="OXC76" s="1607"/>
      <c r="OXD76" s="1607"/>
      <c r="OXE76" s="1607"/>
      <c r="OXF76" s="1607"/>
      <c r="OXG76" s="1607"/>
      <c r="OXH76" s="1607"/>
      <c r="OXI76" s="1607"/>
      <c r="OXJ76" s="1607"/>
      <c r="OXK76" s="1607"/>
      <c r="OXL76" s="1607"/>
      <c r="OXM76" s="1607"/>
      <c r="OXN76" s="1607"/>
      <c r="OXO76" s="1607"/>
      <c r="OXP76" s="1607"/>
      <c r="OXQ76" s="1607"/>
      <c r="OXR76" s="1607"/>
      <c r="OXS76" s="1607"/>
      <c r="OXT76" s="1607"/>
      <c r="OXU76" s="1607"/>
      <c r="OXV76" s="1607"/>
      <c r="OXW76" s="1607"/>
      <c r="OXX76" s="1607"/>
      <c r="OXY76" s="1607"/>
      <c r="OXZ76" s="1607"/>
      <c r="OYA76" s="1607"/>
      <c r="OYB76" s="1607"/>
      <c r="OYC76" s="1607"/>
      <c r="OYD76" s="1607"/>
      <c r="OYE76" s="1607"/>
      <c r="OYF76" s="1607"/>
      <c r="OYG76" s="1607"/>
      <c r="OYH76" s="1607"/>
      <c r="OYI76" s="1607"/>
      <c r="OYJ76" s="1607"/>
      <c r="OYK76" s="1607"/>
      <c r="OYL76" s="1607"/>
      <c r="OYM76" s="1607"/>
      <c r="OYN76" s="1607"/>
      <c r="OYO76" s="1607"/>
      <c r="OYP76" s="1607"/>
      <c r="OYQ76" s="1607"/>
      <c r="OYR76" s="1607"/>
      <c r="OYS76" s="1607"/>
      <c r="OYT76" s="1607"/>
      <c r="OYU76" s="1607"/>
      <c r="OYV76" s="1607"/>
      <c r="OYW76" s="1607"/>
      <c r="OYX76" s="1607"/>
      <c r="OYY76" s="1607"/>
      <c r="OYZ76" s="1607"/>
      <c r="OZA76" s="1607"/>
      <c r="OZB76" s="1607"/>
      <c r="OZC76" s="1607"/>
      <c r="OZD76" s="1607"/>
      <c r="OZE76" s="1607"/>
      <c r="OZF76" s="1607"/>
      <c r="OZG76" s="1607"/>
      <c r="OZH76" s="1607"/>
      <c r="OZI76" s="1607"/>
      <c r="OZJ76" s="1607"/>
      <c r="OZK76" s="1607"/>
      <c r="OZL76" s="1607"/>
      <c r="OZM76" s="1607"/>
      <c r="OZN76" s="1607"/>
      <c r="OZO76" s="1607"/>
      <c r="OZP76" s="1607"/>
      <c r="OZQ76" s="1607"/>
      <c r="OZR76" s="1607"/>
      <c r="OZS76" s="1607"/>
      <c r="OZT76" s="1607"/>
      <c r="OZU76" s="1607"/>
      <c r="OZV76" s="1607"/>
      <c r="OZW76" s="1607"/>
      <c r="OZX76" s="1607"/>
      <c r="OZY76" s="1607"/>
      <c r="OZZ76" s="1607"/>
      <c r="PAA76" s="1607"/>
      <c r="PAB76" s="1607"/>
      <c r="PAC76" s="1607"/>
      <c r="PAD76" s="1607"/>
      <c r="PAE76" s="1607"/>
      <c r="PAF76" s="1607"/>
      <c r="PAG76" s="1607"/>
      <c r="PAH76" s="1607"/>
      <c r="PAI76" s="1607"/>
      <c r="PAJ76" s="1607"/>
      <c r="PAK76" s="1607"/>
      <c r="PAL76" s="1607"/>
      <c r="PAM76" s="1607"/>
      <c r="PAN76" s="1607"/>
      <c r="PAO76" s="1607"/>
      <c r="PAP76" s="1607"/>
      <c r="PAQ76" s="1607"/>
      <c r="PAR76" s="1607"/>
      <c r="PAS76" s="1607"/>
      <c r="PAT76" s="1607"/>
      <c r="PAU76" s="1607"/>
      <c r="PAV76" s="1607"/>
      <c r="PAW76" s="1607"/>
      <c r="PAX76" s="1607"/>
      <c r="PAY76" s="1607"/>
      <c r="PAZ76" s="1607"/>
      <c r="PBA76" s="1607"/>
      <c r="PBB76" s="1607"/>
      <c r="PBC76" s="1607"/>
      <c r="PBD76" s="1607"/>
      <c r="PBE76" s="1607"/>
      <c r="PBF76" s="1607"/>
      <c r="PBG76" s="1607"/>
      <c r="PBH76" s="1607"/>
      <c r="PBI76" s="1607"/>
      <c r="PBJ76" s="1607"/>
      <c r="PBK76" s="1607"/>
      <c r="PBL76" s="1607"/>
      <c r="PBM76" s="1607"/>
      <c r="PBN76" s="1607"/>
      <c r="PBO76" s="1607"/>
      <c r="PBP76" s="1607"/>
      <c r="PBQ76" s="1607"/>
      <c r="PBR76" s="1607"/>
      <c r="PBS76" s="1607"/>
      <c r="PBT76" s="1607"/>
      <c r="PBU76" s="1607"/>
      <c r="PBV76" s="1607"/>
      <c r="PBW76" s="1607"/>
      <c r="PBX76" s="1607"/>
      <c r="PBY76" s="1607"/>
      <c r="PBZ76" s="1607"/>
      <c r="PCA76" s="1607"/>
      <c r="PCB76" s="1607"/>
      <c r="PCC76" s="1607"/>
      <c r="PCD76" s="1607"/>
      <c r="PCE76" s="1607"/>
      <c r="PCF76" s="1607"/>
      <c r="PCG76" s="1607"/>
      <c r="PCH76" s="1607"/>
      <c r="PCI76" s="1607"/>
      <c r="PCJ76" s="1607"/>
      <c r="PCK76" s="1607"/>
      <c r="PCL76" s="1607"/>
      <c r="PCM76" s="1607"/>
      <c r="PCN76" s="1607"/>
      <c r="PCO76" s="1607"/>
      <c r="PCP76" s="1607"/>
      <c r="PCQ76" s="1607"/>
      <c r="PCR76" s="1607"/>
      <c r="PCS76" s="1607"/>
      <c r="PCT76" s="1607"/>
      <c r="PCU76" s="1607"/>
      <c r="PCV76" s="1607"/>
      <c r="PCW76" s="1607"/>
      <c r="PCX76" s="1607"/>
      <c r="PCY76" s="1607"/>
      <c r="PCZ76" s="1607"/>
      <c r="PDA76" s="1607"/>
      <c r="PDB76" s="1607"/>
      <c r="PDC76" s="1607"/>
      <c r="PDD76" s="1607"/>
      <c r="PDE76" s="1607"/>
      <c r="PDF76" s="1607"/>
      <c r="PDG76" s="1607"/>
      <c r="PDH76" s="1607"/>
      <c r="PDI76" s="1607"/>
      <c r="PDJ76" s="1607"/>
      <c r="PDK76" s="1607"/>
      <c r="PDL76" s="1607"/>
      <c r="PDM76" s="1607"/>
      <c r="PDN76" s="1607"/>
      <c r="PDO76" s="1607"/>
      <c r="PDP76" s="1607"/>
      <c r="PDQ76" s="1607"/>
      <c r="PDR76" s="1607"/>
      <c r="PDS76" s="1607"/>
      <c r="PDT76" s="1607"/>
      <c r="PDU76" s="1607"/>
      <c r="PDV76" s="1607"/>
      <c r="PDW76" s="1607"/>
      <c r="PDX76" s="1607"/>
      <c r="PDY76" s="1607"/>
      <c r="PDZ76" s="1607"/>
      <c r="PEA76" s="1607"/>
      <c r="PEB76" s="1607"/>
      <c r="PEC76" s="1607"/>
      <c r="PED76" s="1607"/>
      <c r="PEE76" s="1607"/>
      <c r="PEF76" s="1607"/>
      <c r="PEG76" s="1607"/>
      <c r="PEH76" s="1607"/>
      <c r="PEI76" s="1607"/>
      <c r="PEJ76" s="1607"/>
      <c r="PEK76" s="1607"/>
      <c r="PEL76" s="1607"/>
      <c r="PEM76" s="1607"/>
      <c r="PEN76" s="1607"/>
      <c r="PEO76" s="1607"/>
      <c r="PEP76" s="1607"/>
      <c r="PEQ76" s="1607"/>
      <c r="PER76" s="1607"/>
      <c r="PES76" s="1607"/>
      <c r="PET76" s="1607"/>
      <c r="PEU76" s="1607"/>
      <c r="PEV76" s="1607"/>
      <c r="PEW76" s="1607"/>
      <c r="PEX76" s="1607"/>
      <c r="PEY76" s="1607"/>
      <c r="PEZ76" s="1607"/>
      <c r="PFA76" s="1607"/>
      <c r="PFB76" s="1607"/>
      <c r="PFC76" s="1607"/>
      <c r="PFD76" s="1607"/>
      <c r="PFE76" s="1607"/>
      <c r="PFF76" s="1607"/>
      <c r="PFG76" s="1607"/>
      <c r="PFH76" s="1607"/>
      <c r="PFI76" s="1607"/>
      <c r="PFJ76" s="1607"/>
      <c r="PFK76" s="1607"/>
      <c r="PFL76" s="1607"/>
      <c r="PFM76" s="1607"/>
      <c r="PFN76" s="1607"/>
      <c r="PFO76" s="1607"/>
      <c r="PFP76" s="1607"/>
      <c r="PFQ76" s="1607"/>
      <c r="PFR76" s="1607"/>
      <c r="PFS76" s="1607"/>
      <c r="PFT76" s="1607"/>
      <c r="PFU76" s="1607"/>
      <c r="PFV76" s="1607"/>
      <c r="PFW76" s="1607"/>
      <c r="PFX76" s="1607"/>
      <c r="PFY76" s="1607"/>
      <c r="PFZ76" s="1607"/>
      <c r="PGA76" s="1607"/>
      <c r="PGB76" s="1607"/>
      <c r="PGC76" s="1607"/>
      <c r="PGD76" s="1607"/>
      <c r="PGE76" s="1607"/>
      <c r="PGF76" s="1607"/>
      <c r="PGG76" s="1607"/>
      <c r="PGH76" s="1607"/>
      <c r="PGI76" s="1607"/>
      <c r="PGJ76" s="1607"/>
      <c r="PGK76" s="1607"/>
      <c r="PGL76" s="1607"/>
      <c r="PGM76" s="1607"/>
      <c r="PGN76" s="1607"/>
      <c r="PGO76" s="1607"/>
      <c r="PGP76" s="1607"/>
      <c r="PGQ76" s="1607"/>
      <c r="PGR76" s="1607"/>
      <c r="PGS76" s="1607"/>
      <c r="PGT76" s="1607"/>
      <c r="PGU76" s="1607"/>
      <c r="PGV76" s="1607"/>
      <c r="PGW76" s="1607"/>
      <c r="PGX76" s="1607"/>
      <c r="PGY76" s="1607"/>
      <c r="PGZ76" s="1607"/>
      <c r="PHA76" s="1607"/>
      <c r="PHB76" s="1607"/>
      <c r="PHC76" s="1607"/>
      <c r="PHD76" s="1607"/>
      <c r="PHE76" s="1607"/>
      <c r="PHF76" s="1607"/>
      <c r="PHG76" s="1607"/>
      <c r="PHH76" s="1607"/>
      <c r="PHI76" s="1607"/>
      <c r="PHJ76" s="1607"/>
      <c r="PHK76" s="1607"/>
      <c r="PHL76" s="1607"/>
      <c r="PHM76" s="1607"/>
      <c r="PHN76" s="1607"/>
      <c r="PHO76" s="1607"/>
      <c r="PHP76" s="1607"/>
      <c r="PHQ76" s="1607"/>
      <c r="PHR76" s="1607"/>
      <c r="PHS76" s="1607"/>
      <c r="PHT76" s="1607"/>
      <c r="PHU76" s="1607"/>
      <c r="PHV76" s="1607"/>
      <c r="PHW76" s="1607"/>
      <c r="PHX76" s="1607"/>
      <c r="PHY76" s="1607"/>
      <c r="PHZ76" s="1607"/>
      <c r="PIA76" s="1607"/>
      <c r="PIB76" s="1607"/>
      <c r="PIC76" s="1607"/>
      <c r="PID76" s="1607"/>
      <c r="PIE76" s="1607"/>
      <c r="PIF76" s="1607"/>
      <c r="PIG76" s="1607"/>
      <c r="PIH76" s="1607"/>
      <c r="PII76" s="1607"/>
      <c r="PIJ76" s="1607"/>
      <c r="PIK76" s="1607"/>
      <c r="PIL76" s="1607"/>
      <c r="PIM76" s="1607"/>
      <c r="PIN76" s="1607"/>
      <c r="PIO76" s="1607"/>
      <c r="PIP76" s="1607"/>
      <c r="PIQ76" s="1607"/>
      <c r="PIR76" s="1607"/>
      <c r="PIS76" s="1607"/>
      <c r="PIT76" s="1607"/>
      <c r="PIU76" s="1607"/>
      <c r="PIV76" s="1607"/>
      <c r="PIW76" s="1607"/>
      <c r="PIX76" s="1607"/>
      <c r="PIY76" s="1607"/>
      <c r="PIZ76" s="1607"/>
      <c r="PJA76" s="1607"/>
      <c r="PJB76" s="1607"/>
      <c r="PJC76" s="1607"/>
      <c r="PJD76" s="1607"/>
      <c r="PJE76" s="1607"/>
      <c r="PJF76" s="1607"/>
      <c r="PJG76" s="1607"/>
      <c r="PJH76" s="1607"/>
      <c r="PJI76" s="1607"/>
      <c r="PJJ76" s="1607"/>
      <c r="PJK76" s="1607"/>
      <c r="PJL76" s="1607"/>
      <c r="PJM76" s="1607"/>
      <c r="PJN76" s="1607"/>
      <c r="PJO76" s="1607"/>
      <c r="PJP76" s="1607"/>
      <c r="PJQ76" s="1607"/>
      <c r="PJR76" s="1607"/>
      <c r="PJS76" s="1607"/>
      <c r="PJT76" s="1607"/>
      <c r="PJU76" s="1607"/>
      <c r="PJV76" s="1607"/>
      <c r="PJW76" s="1607"/>
      <c r="PJX76" s="1607"/>
      <c r="PJY76" s="1607"/>
      <c r="PJZ76" s="1607"/>
      <c r="PKA76" s="1607"/>
      <c r="PKB76" s="1607"/>
      <c r="PKC76" s="1607"/>
      <c r="PKD76" s="1607"/>
      <c r="PKE76" s="1607"/>
      <c r="PKF76" s="1607"/>
      <c r="PKG76" s="1607"/>
      <c r="PKH76" s="1607"/>
      <c r="PKI76" s="1607"/>
      <c r="PKJ76" s="1607"/>
      <c r="PKK76" s="1607"/>
      <c r="PKL76" s="1607"/>
      <c r="PKM76" s="1607"/>
      <c r="PKN76" s="1607"/>
      <c r="PKO76" s="1607"/>
      <c r="PKP76" s="1607"/>
      <c r="PKQ76" s="1607"/>
      <c r="PKR76" s="1607"/>
      <c r="PKS76" s="1607"/>
      <c r="PKT76" s="1607"/>
      <c r="PKU76" s="1607"/>
      <c r="PKV76" s="1607"/>
      <c r="PKW76" s="1607"/>
      <c r="PKX76" s="1607"/>
      <c r="PKY76" s="1607"/>
      <c r="PKZ76" s="1607"/>
      <c r="PLA76" s="1607"/>
      <c r="PLB76" s="1607"/>
      <c r="PLC76" s="1607"/>
      <c r="PLD76" s="1607"/>
      <c r="PLE76" s="1607"/>
      <c r="PLF76" s="1607"/>
      <c r="PLG76" s="1607"/>
      <c r="PLH76" s="1607"/>
      <c r="PLI76" s="1607"/>
      <c r="PLJ76" s="1607"/>
      <c r="PLK76" s="1607"/>
      <c r="PLL76" s="1607"/>
      <c r="PLM76" s="1607"/>
      <c r="PLN76" s="1607"/>
      <c r="PLO76" s="1607"/>
      <c r="PLP76" s="1607"/>
      <c r="PLQ76" s="1607"/>
      <c r="PLR76" s="1607"/>
      <c r="PLS76" s="1607"/>
      <c r="PLT76" s="1607"/>
      <c r="PLU76" s="1607"/>
      <c r="PLV76" s="1607"/>
      <c r="PLW76" s="1607"/>
      <c r="PLX76" s="1607"/>
      <c r="PLY76" s="1607"/>
      <c r="PLZ76" s="1607"/>
      <c r="PMA76" s="1607"/>
      <c r="PMB76" s="1607"/>
      <c r="PMC76" s="1607"/>
      <c r="PMD76" s="1607"/>
      <c r="PME76" s="1607"/>
      <c r="PMF76" s="1607"/>
      <c r="PMG76" s="1607"/>
      <c r="PMH76" s="1607"/>
      <c r="PMI76" s="1607"/>
      <c r="PMJ76" s="1607"/>
      <c r="PMK76" s="1607"/>
      <c r="PML76" s="1607"/>
      <c r="PMM76" s="1607"/>
      <c r="PMN76" s="1607"/>
      <c r="PMO76" s="1607"/>
      <c r="PMP76" s="1607"/>
      <c r="PMQ76" s="1607"/>
      <c r="PMR76" s="1607"/>
      <c r="PMS76" s="1607"/>
      <c r="PMT76" s="1607"/>
      <c r="PMU76" s="1607"/>
      <c r="PMV76" s="1607"/>
      <c r="PMW76" s="1607"/>
      <c r="PMX76" s="1607"/>
      <c r="PMY76" s="1607"/>
      <c r="PMZ76" s="1607"/>
      <c r="PNA76" s="1607"/>
      <c r="PNB76" s="1607"/>
      <c r="PNC76" s="1607"/>
      <c r="PND76" s="1607"/>
      <c r="PNE76" s="1607"/>
      <c r="PNF76" s="1607"/>
      <c r="PNG76" s="1607"/>
      <c r="PNH76" s="1607"/>
      <c r="PNI76" s="1607"/>
      <c r="PNJ76" s="1607"/>
      <c r="PNK76" s="1607"/>
      <c r="PNL76" s="1607"/>
      <c r="PNM76" s="1607"/>
      <c r="PNN76" s="1607"/>
      <c r="PNO76" s="1607"/>
      <c r="PNP76" s="1607"/>
      <c r="PNQ76" s="1607"/>
      <c r="PNR76" s="1607"/>
      <c r="PNS76" s="1607"/>
      <c r="PNT76" s="1607"/>
      <c r="PNU76" s="1607"/>
      <c r="PNV76" s="1607"/>
      <c r="PNW76" s="1607"/>
      <c r="PNX76" s="1607"/>
      <c r="PNY76" s="1607"/>
      <c r="PNZ76" s="1607"/>
      <c r="POA76" s="1607"/>
      <c r="POB76" s="1607"/>
      <c r="POC76" s="1607"/>
      <c r="POD76" s="1607"/>
      <c r="POE76" s="1607"/>
      <c r="POF76" s="1607"/>
      <c r="POG76" s="1607"/>
      <c r="POH76" s="1607"/>
      <c r="POI76" s="1607"/>
      <c r="POJ76" s="1607"/>
      <c r="POK76" s="1607"/>
      <c r="POL76" s="1607"/>
      <c r="POM76" s="1607"/>
      <c r="PON76" s="1607"/>
      <c r="POO76" s="1607"/>
      <c r="POP76" s="1607"/>
      <c r="POQ76" s="1607"/>
      <c r="POR76" s="1607"/>
      <c r="POS76" s="1607"/>
      <c r="POT76" s="1607"/>
      <c r="POU76" s="1607"/>
      <c r="POV76" s="1607"/>
      <c r="POW76" s="1607"/>
      <c r="POX76" s="1607"/>
      <c r="POY76" s="1607"/>
      <c r="POZ76" s="1607"/>
      <c r="PPA76" s="1607"/>
      <c r="PPB76" s="1607"/>
      <c r="PPC76" s="1607"/>
      <c r="PPD76" s="1607"/>
      <c r="PPE76" s="1607"/>
      <c r="PPF76" s="1607"/>
      <c r="PPG76" s="1607"/>
      <c r="PPH76" s="1607"/>
      <c r="PPI76" s="1607"/>
      <c r="PPJ76" s="1607"/>
      <c r="PPK76" s="1607"/>
      <c r="PPL76" s="1607"/>
      <c r="PPM76" s="1607"/>
      <c r="PPN76" s="1607"/>
      <c r="PPO76" s="1607"/>
      <c r="PPP76" s="1607"/>
      <c r="PPQ76" s="1607"/>
      <c r="PPR76" s="1607"/>
      <c r="PPS76" s="1607"/>
      <c r="PPT76" s="1607"/>
      <c r="PPU76" s="1607"/>
      <c r="PPV76" s="1607"/>
      <c r="PPW76" s="1607"/>
      <c r="PPX76" s="1607"/>
      <c r="PPY76" s="1607"/>
      <c r="PPZ76" s="1607"/>
      <c r="PQA76" s="1607"/>
      <c r="PQB76" s="1607"/>
      <c r="PQC76" s="1607"/>
      <c r="PQD76" s="1607"/>
      <c r="PQE76" s="1607"/>
      <c r="PQF76" s="1607"/>
      <c r="PQG76" s="1607"/>
      <c r="PQH76" s="1607"/>
      <c r="PQI76" s="1607"/>
      <c r="PQJ76" s="1607"/>
      <c r="PQK76" s="1607"/>
      <c r="PQL76" s="1607"/>
      <c r="PQM76" s="1607"/>
      <c r="PQN76" s="1607"/>
      <c r="PQO76" s="1607"/>
      <c r="PQP76" s="1607"/>
      <c r="PQQ76" s="1607"/>
      <c r="PQR76" s="1607"/>
      <c r="PQS76" s="1607"/>
      <c r="PQT76" s="1607"/>
      <c r="PQU76" s="1607"/>
      <c r="PQV76" s="1607"/>
      <c r="PQW76" s="1607"/>
      <c r="PQX76" s="1607"/>
      <c r="PQY76" s="1607"/>
      <c r="PQZ76" s="1607"/>
      <c r="PRA76" s="1607"/>
      <c r="PRB76" s="1607"/>
      <c r="PRC76" s="1607"/>
      <c r="PRD76" s="1607"/>
      <c r="PRE76" s="1607"/>
      <c r="PRF76" s="1607"/>
      <c r="PRG76" s="1607"/>
      <c r="PRH76" s="1607"/>
      <c r="PRI76" s="1607"/>
      <c r="PRJ76" s="1607"/>
      <c r="PRK76" s="1607"/>
      <c r="PRL76" s="1607"/>
      <c r="PRM76" s="1607"/>
      <c r="PRN76" s="1607"/>
      <c r="PRO76" s="1607"/>
      <c r="PRP76" s="1607"/>
      <c r="PRQ76" s="1607"/>
      <c r="PRR76" s="1607"/>
      <c r="PRS76" s="1607"/>
      <c r="PRT76" s="1607"/>
      <c r="PRU76" s="1607"/>
      <c r="PRV76" s="1607"/>
      <c r="PRW76" s="1607"/>
      <c r="PRX76" s="1607"/>
      <c r="PRY76" s="1607"/>
      <c r="PRZ76" s="1607"/>
      <c r="PSA76" s="1607"/>
      <c r="PSB76" s="1607"/>
      <c r="PSC76" s="1607"/>
      <c r="PSD76" s="1607"/>
      <c r="PSE76" s="1607"/>
      <c r="PSF76" s="1607"/>
      <c r="PSG76" s="1607"/>
      <c r="PSH76" s="1607"/>
      <c r="PSI76" s="1607"/>
      <c r="PSJ76" s="1607"/>
      <c r="PSK76" s="1607"/>
      <c r="PSL76" s="1607"/>
      <c r="PSM76" s="1607"/>
      <c r="PSN76" s="1607"/>
      <c r="PSO76" s="1607"/>
      <c r="PSP76" s="1607"/>
      <c r="PSQ76" s="1607"/>
      <c r="PSR76" s="1607"/>
      <c r="PSS76" s="1607"/>
      <c r="PST76" s="1607"/>
      <c r="PSU76" s="1607"/>
      <c r="PSV76" s="1607"/>
      <c r="PSW76" s="1607"/>
      <c r="PSX76" s="1607"/>
      <c r="PSY76" s="1607"/>
      <c r="PSZ76" s="1607"/>
      <c r="PTA76" s="1607"/>
      <c r="PTB76" s="1607"/>
      <c r="PTC76" s="1607"/>
      <c r="PTD76" s="1607"/>
      <c r="PTE76" s="1607"/>
      <c r="PTF76" s="1607"/>
      <c r="PTG76" s="1607"/>
      <c r="PTH76" s="1607"/>
      <c r="PTI76" s="1607"/>
      <c r="PTJ76" s="1607"/>
      <c r="PTK76" s="1607"/>
      <c r="PTL76" s="1607"/>
      <c r="PTM76" s="1607"/>
      <c r="PTN76" s="1607"/>
      <c r="PTO76" s="1607"/>
      <c r="PTP76" s="1607"/>
      <c r="PTQ76" s="1607"/>
      <c r="PTR76" s="1607"/>
      <c r="PTS76" s="1607"/>
      <c r="PTT76" s="1607"/>
      <c r="PTU76" s="1607"/>
      <c r="PTV76" s="1607"/>
      <c r="PTW76" s="1607"/>
      <c r="PTX76" s="1607"/>
      <c r="PTY76" s="1607"/>
      <c r="PTZ76" s="1607"/>
      <c r="PUA76" s="1607"/>
      <c r="PUB76" s="1607"/>
      <c r="PUC76" s="1607"/>
      <c r="PUD76" s="1607"/>
      <c r="PUE76" s="1607"/>
      <c r="PUF76" s="1607"/>
      <c r="PUG76" s="1607"/>
      <c r="PUH76" s="1607"/>
      <c r="PUI76" s="1607"/>
      <c r="PUJ76" s="1607"/>
      <c r="PUK76" s="1607"/>
      <c r="PUL76" s="1607"/>
      <c r="PUM76" s="1607"/>
      <c r="PUN76" s="1607"/>
      <c r="PUO76" s="1607"/>
      <c r="PUP76" s="1607"/>
      <c r="PUQ76" s="1607"/>
      <c r="PUR76" s="1607"/>
      <c r="PUS76" s="1607"/>
      <c r="PUT76" s="1607"/>
      <c r="PUU76" s="1607"/>
      <c r="PUV76" s="1607"/>
      <c r="PUW76" s="1607"/>
      <c r="PUX76" s="1607"/>
      <c r="PUY76" s="1607"/>
      <c r="PUZ76" s="1607"/>
      <c r="PVA76" s="1607"/>
      <c r="PVB76" s="1607"/>
      <c r="PVC76" s="1607"/>
      <c r="PVD76" s="1607"/>
      <c r="PVE76" s="1607"/>
      <c r="PVF76" s="1607"/>
      <c r="PVG76" s="1607"/>
      <c r="PVH76" s="1607"/>
      <c r="PVI76" s="1607"/>
      <c r="PVJ76" s="1607"/>
      <c r="PVK76" s="1607"/>
      <c r="PVL76" s="1607"/>
      <c r="PVM76" s="1607"/>
      <c r="PVN76" s="1607"/>
      <c r="PVO76" s="1607"/>
      <c r="PVP76" s="1607"/>
      <c r="PVQ76" s="1607"/>
      <c r="PVR76" s="1607"/>
      <c r="PVS76" s="1607"/>
      <c r="PVT76" s="1607"/>
      <c r="PVU76" s="1607"/>
      <c r="PVV76" s="1607"/>
      <c r="PVW76" s="1607"/>
      <c r="PVX76" s="1607"/>
      <c r="PVY76" s="1607"/>
      <c r="PVZ76" s="1607"/>
      <c r="PWA76" s="1607"/>
      <c r="PWB76" s="1607"/>
      <c r="PWC76" s="1607"/>
      <c r="PWD76" s="1607"/>
      <c r="PWE76" s="1607"/>
      <c r="PWF76" s="1607"/>
      <c r="PWG76" s="1607"/>
      <c r="PWH76" s="1607"/>
      <c r="PWI76" s="1607"/>
      <c r="PWJ76" s="1607"/>
      <c r="PWK76" s="1607"/>
      <c r="PWL76" s="1607"/>
      <c r="PWM76" s="1607"/>
      <c r="PWN76" s="1607"/>
      <c r="PWO76" s="1607"/>
      <c r="PWP76" s="1607"/>
      <c r="PWQ76" s="1607"/>
      <c r="PWR76" s="1607"/>
      <c r="PWS76" s="1607"/>
      <c r="PWT76" s="1607"/>
      <c r="PWU76" s="1607"/>
      <c r="PWV76" s="1607"/>
      <c r="PWW76" s="1607"/>
      <c r="PWX76" s="1607"/>
      <c r="PWY76" s="1607"/>
      <c r="PWZ76" s="1607"/>
      <c r="PXA76" s="1607"/>
      <c r="PXB76" s="1607"/>
      <c r="PXC76" s="1607"/>
      <c r="PXD76" s="1607"/>
      <c r="PXE76" s="1607"/>
      <c r="PXF76" s="1607"/>
      <c r="PXG76" s="1607"/>
      <c r="PXH76" s="1607"/>
      <c r="PXI76" s="1607"/>
      <c r="PXJ76" s="1607"/>
      <c r="PXK76" s="1607"/>
      <c r="PXL76" s="1607"/>
      <c r="PXM76" s="1607"/>
      <c r="PXN76" s="1607"/>
      <c r="PXO76" s="1607"/>
      <c r="PXP76" s="1607"/>
      <c r="PXQ76" s="1607"/>
      <c r="PXR76" s="1607"/>
      <c r="PXS76" s="1607"/>
      <c r="PXT76" s="1607"/>
      <c r="PXU76" s="1607"/>
      <c r="PXV76" s="1607"/>
      <c r="PXW76" s="1607"/>
      <c r="PXX76" s="1607"/>
      <c r="PXY76" s="1607"/>
      <c r="PXZ76" s="1607"/>
      <c r="PYA76" s="1607"/>
      <c r="PYB76" s="1607"/>
      <c r="PYC76" s="1607"/>
      <c r="PYD76" s="1607"/>
      <c r="PYE76" s="1607"/>
      <c r="PYF76" s="1607"/>
      <c r="PYG76" s="1607"/>
      <c r="PYH76" s="1607"/>
      <c r="PYI76" s="1607"/>
      <c r="PYJ76" s="1607"/>
      <c r="PYK76" s="1607"/>
      <c r="PYL76" s="1607"/>
      <c r="PYM76" s="1607"/>
      <c r="PYN76" s="1607"/>
      <c r="PYO76" s="1607"/>
      <c r="PYP76" s="1607"/>
      <c r="PYQ76" s="1607"/>
      <c r="PYR76" s="1607"/>
      <c r="PYS76" s="1607"/>
      <c r="PYT76" s="1607"/>
      <c r="PYU76" s="1607"/>
      <c r="PYV76" s="1607"/>
      <c r="PYW76" s="1607"/>
      <c r="PYX76" s="1607"/>
      <c r="PYY76" s="1607"/>
      <c r="PYZ76" s="1607"/>
      <c r="PZA76" s="1607"/>
      <c r="PZB76" s="1607"/>
      <c r="PZC76" s="1607"/>
      <c r="PZD76" s="1607"/>
      <c r="PZE76" s="1607"/>
      <c r="PZF76" s="1607"/>
      <c r="PZG76" s="1607"/>
      <c r="PZH76" s="1607"/>
      <c r="PZI76" s="1607"/>
      <c r="PZJ76" s="1607"/>
      <c r="PZK76" s="1607"/>
      <c r="PZL76" s="1607"/>
      <c r="PZM76" s="1607"/>
      <c r="PZN76" s="1607"/>
      <c r="PZO76" s="1607"/>
      <c r="PZP76" s="1607"/>
      <c r="PZQ76" s="1607"/>
      <c r="PZR76" s="1607"/>
      <c r="PZS76" s="1607"/>
      <c r="PZT76" s="1607"/>
      <c r="PZU76" s="1607"/>
      <c r="PZV76" s="1607"/>
      <c r="PZW76" s="1607"/>
      <c r="PZX76" s="1607"/>
      <c r="PZY76" s="1607"/>
      <c r="PZZ76" s="1607"/>
      <c r="QAA76" s="1607"/>
      <c r="QAB76" s="1607"/>
      <c r="QAC76" s="1607"/>
      <c r="QAD76" s="1607"/>
      <c r="QAE76" s="1607"/>
      <c r="QAF76" s="1607"/>
      <c r="QAG76" s="1607"/>
      <c r="QAH76" s="1607"/>
      <c r="QAI76" s="1607"/>
      <c r="QAJ76" s="1607"/>
      <c r="QAK76" s="1607"/>
      <c r="QAL76" s="1607"/>
      <c r="QAM76" s="1607"/>
      <c r="QAN76" s="1607"/>
      <c r="QAO76" s="1607"/>
      <c r="QAP76" s="1607"/>
      <c r="QAQ76" s="1607"/>
      <c r="QAR76" s="1607"/>
      <c r="QAS76" s="1607"/>
      <c r="QAT76" s="1607"/>
      <c r="QAU76" s="1607"/>
      <c r="QAV76" s="1607"/>
      <c r="QAW76" s="1607"/>
      <c r="QAX76" s="1607"/>
      <c r="QAY76" s="1607"/>
      <c r="QAZ76" s="1607"/>
      <c r="QBA76" s="1607"/>
      <c r="QBB76" s="1607"/>
      <c r="QBC76" s="1607"/>
      <c r="QBD76" s="1607"/>
      <c r="QBE76" s="1607"/>
      <c r="QBF76" s="1607"/>
      <c r="QBG76" s="1607"/>
      <c r="QBH76" s="1607"/>
      <c r="QBI76" s="1607"/>
      <c r="QBJ76" s="1607"/>
      <c r="QBK76" s="1607"/>
      <c r="QBL76" s="1607"/>
      <c r="QBM76" s="1607"/>
      <c r="QBN76" s="1607"/>
      <c r="QBO76" s="1607"/>
      <c r="QBP76" s="1607"/>
      <c r="QBQ76" s="1607"/>
      <c r="QBR76" s="1607"/>
      <c r="QBS76" s="1607"/>
      <c r="QBT76" s="1607"/>
      <c r="QBU76" s="1607"/>
      <c r="QBV76" s="1607"/>
      <c r="QBW76" s="1607"/>
      <c r="QBX76" s="1607"/>
      <c r="QBY76" s="1607"/>
      <c r="QBZ76" s="1607"/>
      <c r="QCA76" s="1607"/>
      <c r="QCB76" s="1607"/>
      <c r="QCC76" s="1607"/>
      <c r="QCD76" s="1607"/>
      <c r="QCE76" s="1607"/>
      <c r="QCF76" s="1607"/>
      <c r="QCG76" s="1607"/>
      <c r="QCH76" s="1607"/>
      <c r="QCI76" s="1607"/>
      <c r="QCJ76" s="1607"/>
      <c r="QCK76" s="1607"/>
      <c r="QCL76" s="1607"/>
      <c r="QCM76" s="1607"/>
      <c r="QCN76" s="1607"/>
      <c r="QCO76" s="1607"/>
      <c r="QCP76" s="1607"/>
      <c r="QCQ76" s="1607"/>
      <c r="QCR76" s="1607"/>
      <c r="QCS76" s="1607"/>
      <c r="QCT76" s="1607"/>
      <c r="QCU76" s="1607"/>
      <c r="QCV76" s="1607"/>
      <c r="QCW76" s="1607"/>
      <c r="QCX76" s="1607"/>
      <c r="QCY76" s="1607"/>
      <c r="QCZ76" s="1607"/>
      <c r="QDA76" s="1607"/>
      <c r="QDB76" s="1607"/>
      <c r="QDC76" s="1607"/>
      <c r="QDD76" s="1607"/>
      <c r="QDE76" s="1607"/>
      <c r="QDF76" s="1607"/>
      <c r="QDG76" s="1607"/>
      <c r="QDH76" s="1607"/>
      <c r="QDI76" s="1607"/>
      <c r="QDJ76" s="1607"/>
      <c r="QDK76" s="1607"/>
      <c r="QDL76" s="1607"/>
      <c r="QDM76" s="1607"/>
      <c r="QDN76" s="1607"/>
      <c r="QDO76" s="1607"/>
      <c r="QDP76" s="1607"/>
      <c r="QDQ76" s="1607"/>
      <c r="QDR76" s="1607"/>
      <c r="QDS76" s="1607"/>
      <c r="QDT76" s="1607"/>
      <c r="QDU76" s="1607"/>
      <c r="QDV76" s="1607"/>
      <c r="QDW76" s="1607"/>
      <c r="QDX76" s="1607"/>
      <c r="QDY76" s="1607"/>
      <c r="QDZ76" s="1607"/>
      <c r="QEA76" s="1607"/>
      <c r="QEB76" s="1607"/>
      <c r="QEC76" s="1607"/>
      <c r="QED76" s="1607"/>
      <c r="QEE76" s="1607"/>
      <c r="QEF76" s="1607"/>
      <c r="QEG76" s="1607"/>
      <c r="QEH76" s="1607"/>
      <c r="QEI76" s="1607"/>
      <c r="QEJ76" s="1607"/>
      <c r="QEK76" s="1607"/>
      <c r="QEL76" s="1607"/>
      <c r="QEM76" s="1607"/>
      <c r="QEN76" s="1607"/>
      <c r="QEO76" s="1607"/>
      <c r="QEP76" s="1607"/>
      <c r="QEQ76" s="1607"/>
      <c r="QER76" s="1607"/>
      <c r="QES76" s="1607"/>
      <c r="QET76" s="1607"/>
      <c r="QEU76" s="1607"/>
      <c r="QEV76" s="1607"/>
      <c r="QEW76" s="1607"/>
      <c r="QEX76" s="1607"/>
      <c r="QEY76" s="1607"/>
      <c r="QEZ76" s="1607"/>
      <c r="QFA76" s="1607"/>
      <c r="QFB76" s="1607"/>
      <c r="QFC76" s="1607"/>
      <c r="QFD76" s="1607"/>
      <c r="QFE76" s="1607"/>
      <c r="QFF76" s="1607"/>
      <c r="QFG76" s="1607"/>
      <c r="QFH76" s="1607"/>
      <c r="QFI76" s="1607"/>
      <c r="QFJ76" s="1607"/>
      <c r="QFK76" s="1607"/>
      <c r="QFL76" s="1607"/>
      <c r="QFM76" s="1607"/>
      <c r="QFN76" s="1607"/>
      <c r="QFO76" s="1607"/>
      <c r="QFP76" s="1607"/>
      <c r="QFQ76" s="1607"/>
      <c r="QFR76" s="1607"/>
      <c r="QFS76" s="1607"/>
      <c r="QFT76" s="1607"/>
      <c r="QFU76" s="1607"/>
      <c r="QFV76" s="1607"/>
      <c r="QFW76" s="1607"/>
      <c r="QFX76" s="1607"/>
      <c r="QFY76" s="1607"/>
      <c r="QFZ76" s="1607"/>
      <c r="QGA76" s="1607"/>
      <c r="QGB76" s="1607"/>
      <c r="QGC76" s="1607"/>
      <c r="QGD76" s="1607"/>
      <c r="QGE76" s="1607"/>
      <c r="QGF76" s="1607"/>
      <c r="QGG76" s="1607"/>
      <c r="QGH76" s="1607"/>
      <c r="QGI76" s="1607"/>
      <c r="QGJ76" s="1607"/>
      <c r="QGK76" s="1607"/>
      <c r="QGL76" s="1607"/>
      <c r="QGM76" s="1607"/>
      <c r="QGN76" s="1607"/>
      <c r="QGO76" s="1607"/>
      <c r="QGP76" s="1607"/>
      <c r="QGQ76" s="1607"/>
      <c r="QGR76" s="1607"/>
      <c r="QGS76" s="1607"/>
      <c r="QGT76" s="1607"/>
      <c r="QGU76" s="1607"/>
      <c r="QGV76" s="1607"/>
      <c r="QGW76" s="1607"/>
      <c r="QGX76" s="1607"/>
      <c r="QGY76" s="1607"/>
      <c r="QGZ76" s="1607"/>
      <c r="QHA76" s="1607"/>
      <c r="QHB76" s="1607"/>
      <c r="QHC76" s="1607"/>
      <c r="QHD76" s="1607"/>
      <c r="QHE76" s="1607"/>
      <c r="QHF76" s="1607"/>
      <c r="QHG76" s="1607"/>
      <c r="QHH76" s="1607"/>
      <c r="QHI76" s="1607"/>
      <c r="QHJ76" s="1607"/>
      <c r="QHK76" s="1607"/>
      <c r="QHL76" s="1607"/>
      <c r="QHM76" s="1607"/>
      <c r="QHN76" s="1607"/>
      <c r="QHO76" s="1607"/>
      <c r="QHP76" s="1607"/>
      <c r="QHQ76" s="1607"/>
      <c r="QHR76" s="1607"/>
      <c r="QHS76" s="1607"/>
      <c r="QHT76" s="1607"/>
      <c r="QHU76" s="1607"/>
      <c r="QHV76" s="1607"/>
      <c r="QHW76" s="1607"/>
      <c r="QHX76" s="1607"/>
      <c r="QHY76" s="1607"/>
      <c r="QHZ76" s="1607"/>
      <c r="QIA76" s="1607"/>
      <c r="QIB76" s="1607"/>
      <c r="QIC76" s="1607"/>
      <c r="QID76" s="1607"/>
      <c r="QIE76" s="1607"/>
      <c r="QIF76" s="1607"/>
      <c r="QIG76" s="1607"/>
      <c r="QIH76" s="1607"/>
      <c r="QII76" s="1607"/>
      <c r="QIJ76" s="1607"/>
      <c r="QIK76" s="1607"/>
      <c r="QIL76" s="1607"/>
      <c r="QIM76" s="1607"/>
      <c r="QIN76" s="1607"/>
      <c r="QIO76" s="1607"/>
      <c r="QIP76" s="1607"/>
      <c r="QIQ76" s="1607"/>
      <c r="QIR76" s="1607"/>
      <c r="QIS76" s="1607"/>
      <c r="QIT76" s="1607"/>
      <c r="QIU76" s="1607"/>
      <c r="QIV76" s="1607"/>
      <c r="QIW76" s="1607"/>
      <c r="QIX76" s="1607"/>
      <c r="QIY76" s="1607"/>
      <c r="QIZ76" s="1607"/>
      <c r="QJA76" s="1607"/>
      <c r="QJB76" s="1607"/>
      <c r="QJC76" s="1607"/>
      <c r="QJD76" s="1607"/>
      <c r="QJE76" s="1607"/>
      <c r="QJF76" s="1607"/>
      <c r="QJG76" s="1607"/>
      <c r="QJH76" s="1607"/>
      <c r="QJI76" s="1607"/>
      <c r="QJJ76" s="1607"/>
      <c r="QJK76" s="1607"/>
      <c r="QJL76" s="1607"/>
      <c r="QJM76" s="1607"/>
      <c r="QJN76" s="1607"/>
      <c r="QJO76" s="1607"/>
      <c r="QJP76" s="1607"/>
      <c r="QJQ76" s="1607"/>
      <c r="QJR76" s="1607"/>
      <c r="QJS76" s="1607"/>
      <c r="QJT76" s="1607"/>
      <c r="QJU76" s="1607"/>
      <c r="QJV76" s="1607"/>
      <c r="QJW76" s="1607"/>
      <c r="QJX76" s="1607"/>
      <c r="QJY76" s="1607"/>
      <c r="QJZ76" s="1607"/>
      <c r="QKA76" s="1607"/>
      <c r="QKB76" s="1607"/>
      <c r="QKC76" s="1607"/>
      <c r="QKD76" s="1607"/>
      <c r="QKE76" s="1607"/>
      <c r="QKF76" s="1607"/>
      <c r="QKG76" s="1607"/>
      <c r="QKH76" s="1607"/>
      <c r="QKI76" s="1607"/>
      <c r="QKJ76" s="1607"/>
      <c r="QKK76" s="1607"/>
      <c r="QKL76" s="1607"/>
      <c r="QKM76" s="1607"/>
      <c r="QKN76" s="1607"/>
      <c r="QKO76" s="1607"/>
      <c r="QKP76" s="1607"/>
      <c r="QKQ76" s="1607"/>
      <c r="QKR76" s="1607"/>
      <c r="QKS76" s="1607"/>
      <c r="QKT76" s="1607"/>
      <c r="QKU76" s="1607"/>
      <c r="QKV76" s="1607"/>
      <c r="QKW76" s="1607"/>
      <c r="QKX76" s="1607"/>
      <c r="QKY76" s="1607"/>
      <c r="QKZ76" s="1607"/>
      <c r="QLA76" s="1607"/>
      <c r="QLB76" s="1607"/>
      <c r="QLC76" s="1607"/>
      <c r="QLD76" s="1607"/>
      <c r="QLE76" s="1607"/>
      <c r="QLF76" s="1607"/>
      <c r="QLG76" s="1607"/>
      <c r="QLH76" s="1607"/>
      <c r="QLI76" s="1607"/>
      <c r="QLJ76" s="1607"/>
      <c r="QLK76" s="1607"/>
      <c r="QLL76" s="1607"/>
      <c r="QLM76" s="1607"/>
      <c r="QLN76" s="1607"/>
      <c r="QLO76" s="1607"/>
      <c r="QLP76" s="1607"/>
      <c r="QLQ76" s="1607"/>
      <c r="QLR76" s="1607"/>
      <c r="QLS76" s="1607"/>
      <c r="QLT76" s="1607"/>
      <c r="QLU76" s="1607"/>
      <c r="QLV76" s="1607"/>
      <c r="QLW76" s="1607"/>
      <c r="QLX76" s="1607"/>
      <c r="QLY76" s="1607"/>
      <c r="QLZ76" s="1607"/>
      <c r="QMA76" s="1607"/>
      <c r="QMB76" s="1607"/>
      <c r="QMC76" s="1607"/>
      <c r="QMD76" s="1607"/>
      <c r="QME76" s="1607"/>
      <c r="QMF76" s="1607"/>
      <c r="QMG76" s="1607"/>
      <c r="QMH76" s="1607"/>
      <c r="QMI76" s="1607"/>
      <c r="QMJ76" s="1607"/>
      <c r="QMK76" s="1607"/>
      <c r="QML76" s="1607"/>
      <c r="QMM76" s="1607"/>
      <c r="QMN76" s="1607"/>
      <c r="QMO76" s="1607"/>
      <c r="QMP76" s="1607"/>
      <c r="QMQ76" s="1607"/>
      <c r="QMR76" s="1607"/>
      <c r="QMS76" s="1607"/>
      <c r="QMT76" s="1607"/>
      <c r="QMU76" s="1607"/>
      <c r="QMV76" s="1607"/>
      <c r="QMW76" s="1607"/>
      <c r="QMX76" s="1607"/>
      <c r="QMY76" s="1607"/>
      <c r="QMZ76" s="1607"/>
      <c r="QNA76" s="1607"/>
      <c r="QNB76" s="1607"/>
      <c r="QNC76" s="1607"/>
      <c r="QND76" s="1607"/>
      <c r="QNE76" s="1607"/>
      <c r="QNF76" s="1607"/>
      <c r="QNG76" s="1607"/>
      <c r="QNH76" s="1607"/>
      <c r="QNI76" s="1607"/>
      <c r="QNJ76" s="1607"/>
      <c r="QNK76" s="1607"/>
      <c r="QNL76" s="1607"/>
      <c r="QNM76" s="1607"/>
      <c r="QNN76" s="1607"/>
      <c r="QNO76" s="1607"/>
      <c r="QNP76" s="1607"/>
      <c r="QNQ76" s="1607"/>
      <c r="QNR76" s="1607"/>
      <c r="QNS76" s="1607"/>
      <c r="QNT76" s="1607"/>
      <c r="QNU76" s="1607"/>
      <c r="QNV76" s="1607"/>
      <c r="QNW76" s="1607"/>
      <c r="QNX76" s="1607"/>
      <c r="QNY76" s="1607"/>
      <c r="QNZ76" s="1607"/>
      <c r="QOA76" s="1607"/>
      <c r="QOB76" s="1607"/>
      <c r="QOC76" s="1607"/>
      <c r="QOD76" s="1607"/>
      <c r="QOE76" s="1607"/>
      <c r="QOF76" s="1607"/>
      <c r="QOG76" s="1607"/>
      <c r="QOH76" s="1607"/>
      <c r="QOI76" s="1607"/>
      <c r="QOJ76" s="1607"/>
      <c r="QOK76" s="1607"/>
      <c r="QOL76" s="1607"/>
      <c r="QOM76" s="1607"/>
      <c r="QON76" s="1607"/>
      <c r="QOO76" s="1607"/>
      <c r="QOP76" s="1607"/>
      <c r="QOQ76" s="1607"/>
      <c r="QOR76" s="1607"/>
      <c r="QOS76" s="1607"/>
      <c r="QOT76" s="1607"/>
      <c r="QOU76" s="1607"/>
      <c r="QOV76" s="1607"/>
      <c r="QOW76" s="1607"/>
      <c r="QOX76" s="1607"/>
      <c r="QOY76" s="1607"/>
      <c r="QOZ76" s="1607"/>
      <c r="QPA76" s="1607"/>
      <c r="QPB76" s="1607"/>
      <c r="QPC76" s="1607"/>
      <c r="QPD76" s="1607"/>
      <c r="QPE76" s="1607"/>
      <c r="QPF76" s="1607"/>
      <c r="QPG76" s="1607"/>
      <c r="QPH76" s="1607"/>
      <c r="QPI76" s="1607"/>
      <c r="QPJ76" s="1607"/>
      <c r="QPK76" s="1607"/>
      <c r="QPL76" s="1607"/>
      <c r="QPM76" s="1607"/>
      <c r="QPN76" s="1607"/>
      <c r="QPO76" s="1607"/>
      <c r="QPP76" s="1607"/>
      <c r="QPQ76" s="1607"/>
      <c r="QPR76" s="1607"/>
      <c r="QPS76" s="1607"/>
      <c r="QPT76" s="1607"/>
      <c r="QPU76" s="1607"/>
      <c r="QPV76" s="1607"/>
      <c r="QPW76" s="1607"/>
      <c r="QPX76" s="1607"/>
      <c r="QPY76" s="1607"/>
      <c r="QPZ76" s="1607"/>
      <c r="QQA76" s="1607"/>
      <c r="QQB76" s="1607"/>
      <c r="QQC76" s="1607"/>
      <c r="QQD76" s="1607"/>
      <c r="QQE76" s="1607"/>
      <c r="QQF76" s="1607"/>
      <c r="QQG76" s="1607"/>
      <c r="QQH76" s="1607"/>
      <c r="QQI76" s="1607"/>
      <c r="QQJ76" s="1607"/>
      <c r="QQK76" s="1607"/>
      <c r="QQL76" s="1607"/>
      <c r="QQM76" s="1607"/>
      <c r="QQN76" s="1607"/>
      <c r="QQO76" s="1607"/>
      <c r="QQP76" s="1607"/>
      <c r="QQQ76" s="1607"/>
      <c r="QQR76" s="1607"/>
      <c r="QQS76" s="1607"/>
      <c r="QQT76" s="1607"/>
      <c r="QQU76" s="1607"/>
      <c r="QQV76" s="1607"/>
      <c r="QQW76" s="1607"/>
      <c r="QQX76" s="1607"/>
      <c r="QQY76" s="1607"/>
      <c r="QQZ76" s="1607"/>
      <c r="QRA76" s="1607"/>
      <c r="QRB76" s="1607"/>
      <c r="QRC76" s="1607"/>
      <c r="QRD76" s="1607"/>
      <c r="QRE76" s="1607"/>
      <c r="QRF76" s="1607"/>
      <c r="QRG76" s="1607"/>
      <c r="QRH76" s="1607"/>
      <c r="QRI76" s="1607"/>
      <c r="QRJ76" s="1607"/>
      <c r="QRK76" s="1607"/>
      <c r="QRL76" s="1607"/>
      <c r="QRM76" s="1607"/>
      <c r="QRN76" s="1607"/>
      <c r="QRO76" s="1607"/>
      <c r="QRP76" s="1607"/>
      <c r="QRQ76" s="1607"/>
      <c r="QRR76" s="1607"/>
      <c r="QRS76" s="1607"/>
      <c r="QRT76" s="1607"/>
      <c r="QRU76" s="1607"/>
      <c r="QRV76" s="1607"/>
      <c r="QRW76" s="1607"/>
      <c r="QRX76" s="1607"/>
      <c r="QRY76" s="1607"/>
      <c r="QRZ76" s="1607"/>
      <c r="QSA76" s="1607"/>
      <c r="QSB76" s="1607"/>
      <c r="QSC76" s="1607"/>
      <c r="QSD76" s="1607"/>
      <c r="QSE76" s="1607"/>
      <c r="QSF76" s="1607"/>
      <c r="QSG76" s="1607"/>
      <c r="QSH76" s="1607"/>
      <c r="QSI76" s="1607"/>
      <c r="QSJ76" s="1607"/>
      <c r="QSK76" s="1607"/>
      <c r="QSL76" s="1607"/>
      <c r="QSM76" s="1607"/>
      <c r="QSN76" s="1607"/>
      <c r="QSO76" s="1607"/>
      <c r="QSP76" s="1607"/>
      <c r="QSQ76" s="1607"/>
      <c r="QSR76" s="1607"/>
      <c r="QSS76" s="1607"/>
      <c r="QST76" s="1607"/>
      <c r="QSU76" s="1607"/>
      <c r="QSV76" s="1607"/>
      <c r="QSW76" s="1607"/>
      <c r="QSX76" s="1607"/>
      <c r="QSY76" s="1607"/>
      <c r="QSZ76" s="1607"/>
      <c r="QTA76" s="1607"/>
      <c r="QTB76" s="1607"/>
      <c r="QTC76" s="1607"/>
      <c r="QTD76" s="1607"/>
      <c r="QTE76" s="1607"/>
      <c r="QTF76" s="1607"/>
      <c r="QTG76" s="1607"/>
      <c r="QTH76" s="1607"/>
      <c r="QTI76" s="1607"/>
      <c r="QTJ76" s="1607"/>
      <c r="QTK76" s="1607"/>
      <c r="QTL76" s="1607"/>
      <c r="QTM76" s="1607"/>
      <c r="QTN76" s="1607"/>
      <c r="QTO76" s="1607"/>
      <c r="QTP76" s="1607"/>
      <c r="QTQ76" s="1607"/>
      <c r="QTR76" s="1607"/>
      <c r="QTS76" s="1607"/>
      <c r="QTT76" s="1607"/>
      <c r="QTU76" s="1607"/>
      <c r="QTV76" s="1607"/>
      <c r="QTW76" s="1607"/>
      <c r="QTX76" s="1607"/>
      <c r="QTY76" s="1607"/>
      <c r="QTZ76" s="1607"/>
      <c r="QUA76" s="1607"/>
      <c r="QUB76" s="1607"/>
      <c r="QUC76" s="1607"/>
      <c r="QUD76" s="1607"/>
      <c r="QUE76" s="1607"/>
      <c r="QUF76" s="1607"/>
      <c r="QUG76" s="1607"/>
      <c r="QUH76" s="1607"/>
      <c r="QUI76" s="1607"/>
      <c r="QUJ76" s="1607"/>
      <c r="QUK76" s="1607"/>
      <c r="QUL76" s="1607"/>
      <c r="QUM76" s="1607"/>
      <c r="QUN76" s="1607"/>
      <c r="QUO76" s="1607"/>
      <c r="QUP76" s="1607"/>
      <c r="QUQ76" s="1607"/>
      <c r="QUR76" s="1607"/>
      <c r="QUS76" s="1607"/>
      <c r="QUT76" s="1607"/>
      <c r="QUU76" s="1607"/>
      <c r="QUV76" s="1607"/>
      <c r="QUW76" s="1607"/>
      <c r="QUX76" s="1607"/>
      <c r="QUY76" s="1607"/>
      <c r="QUZ76" s="1607"/>
      <c r="QVA76" s="1607"/>
      <c r="QVB76" s="1607"/>
      <c r="QVC76" s="1607"/>
      <c r="QVD76" s="1607"/>
      <c r="QVE76" s="1607"/>
      <c r="QVF76" s="1607"/>
      <c r="QVG76" s="1607"/>
      <c r="QVH76" s="1607"/>
      <c r="QVI76" s="1607"/>
      <c r="QVJ76" s="1607"/>
      <c r="QVK76" s="1607"/>
      <c r="QVL76" s="1607"/>
      <c r="QVM76" s="1607"/>
      <c r="QVN76" s="1607"/>
      <c r="QVO76" s="1607"/>
      <c r="QVP76" s="1607"/>
      <c r="QVQ76" s="1607"/>
      <c r="QVR76" s="1607"/>
      <c r="QVS76" s="1607"/>
      <c r="QVT76" s="1607"/>
      <c r="QVU76" s="1607"/>
      <c r="QVV76" s="1607"/>
      <c r="QVW76" s="1607"/>
      <c r="QVX76" s="1607"/>
      <c r="QVY76" s="1607"/>
      <c r="QVZ76" s="1607"/>
      <c r="QWA76" s="1607"/>
      <c r="QWB76" s="1607"/>
      <c r="QWC76" s="1607"/>
      <c r="QWD76" s="1607"/>
      <c r="QWE76" s="1607"/>
      <c r="QWF76" s="1607"/>
      <c r="QWG76" s="1607"/>
      <c r="QWH76" s="1607"/>
      <c r="QWI76" s="1607"/>
      <c r="QWJ76" s="1607"/>
      <c r="QWK76" s="1607"/>
      <c r="QWL76" s="1607"/>
      <c r="QWM76" s="1607"/>
      <c r="QWN76" s="1607"/>
      <c r="QWO76" s="1607"/>
      <c r="QWP76" s="1607"/>
      <c r="QWQ76" s="1607"/>
      <c r="QWR76" s="1607"/>
      <c r="QWS76" s="1607"/>
      <c r="QWT76" s="1607"/>
      <c r="QWU76" s="1607"/>
      <c r="QWV76" s="1607"/>
      <c r="QWW76" s="1607"/>
      <c r="QWX76" s="1607"/>
      <c r="QWY76" s="1607"/>
      <c r="QWZ76" s="1607"/>
      <c r="QXA76" s="1607"/>
      <c r="QXB76" s="1607"/>
      <c r="QXC76" s="1607"/>
      <c r="QXD76" s="1607"/>
      <c r="QXE76" s="1607"/>
      <c r="QXF76" s="1607"/>
      <c r="QXG76" s="1607"/>
      <c r="QXH76" s="1607"/>
      <c r="QXI76" s="1607"/>
      <c r="QXJ76" s="1607"/>
      <c r="QXK76" s="1607"/>
      <c r="QXL76" s="1607"/>
      <c r="QXM76" s="1607"/>
      <c r="QXN76" s="1607"/>
      <c r="QXO76" s="1607"/>
      <c r="QXP76" s="1607"/>
      <c r="QXQ76" s="1607"/>
      <c r="QXR76" s="1607"/>
      <c r="QXS76" s="1607"/>
      <c r="QXT76" s="1607"/>
      <c r="QXU76" s="1607"/>
      <c r="QXV76" s="1607"/>
      <c r="QXW76" s="1607"/>
      <c r="QXX76" s="1607"/>
      <c r="QXY76" s="1607"/>
      <c r="QXZ76" s="1607"/>
      <c r="QYA76" s="1607"/>
      <c r="QYB76" s="1607"/>
      <c r="QYC76" s="1607"/>
      <c r="QYD76" s="1607"/>
      <c r="QYE76" s="1607"/>
      <c r="QYF76" s="1607"/>
      <c r="QYG76" s="1607"/>
      <c r="QYH76" s="1607"/>
      <c r="QYI76" s="1607"/>
      <c r="QYJ76" s="1607"/>
      <c r="QYK76" s="1607"/>
      <c r="QYL76" s="1607"/>
      <c r="QYM76" s="1607"/>
      <c r="QYN76" s="1607"/>
      <c r="QYO76" s="1607"/>
      <c r="QYP76" s="1607"/>
      <c r="QYQ76" s="1607"/>
      <c r="QYR76" s="1607"/>
      <c r="QYS76" s="1607"/>
      <c r="QYT76" s="1607"/>
      <c r="QYU76" s="1607"/>
      <c r="QYV76" s="1607"/>
      <c r="QYW76" s="1607"/>
      <c r="QYX76" s="1607"/>
      <c r="QYY76" s="1607"/>
      <c r="QYZ76" s="1607"/>
      <c r="QZA76" s="1607"/>
      <c r="QZB76" s="1607"/>
      <c r="QZC76" s="1607"/>
      <c r="QZD76" s="1607"/>
      <c r="QZE76" s="1607"/>
      <c r="QZF76" s="1607"/>
      <c r="QZG76" s="1607"/>
      <c r="QZH76" s="1607"/>
      <c r="QZI76" s="1607"/>
      <c r="QZJ76" s="1607"/>
      <c r="QZK76" s="1607"/>
      <c r="QZL76" s="1607"/>
      <c r="QZM76" s="1607"/>
      <c r="QZN76" s="1607"/>
      <c r="QZO76" s="1607"/>
      <c r="QZP76" s="1607"/>
      <c r="QZQ76" s="1607"/>
      <c r="QZR76" s="1607"/>
      <c r="QZS76" s="1607"/>
      <c r="QZT76" s="1607"/>
      <c r="QZU76" s="1607"/>
      <c r="QZV76" s="1607"/>
      <c r="QZW76" s="1607"/>
      <c r="QZX76" s="1607"/>
      <c r="QZY76" s="1607"/>
      <c r="QZZ76" s="1607"/>
      <c r="RAA76" s="1607"/>
      <c r="RAB76" s="1607"/>
      <c r="RAC76" s="1607"/>
      <c r="RAD76" s="1607"/>
      <c r="RAE76" s="1607"/>
      <c r="RAF76" s="1607"/>
      <c r="RAG76" s="1607"/>
      <c r="RAH76" s="1607"/>
      <c r="RAI76" s="1607"/>
      <c r="RAJ76" s="1607"/>
      <c r="RAK76" s="1607"/>
      <c r="RAL76" s="1607"/>
      <c r="RAM76" s="1607"/>
      <c r="RAN76" s="1607"/>
      <c r="RAO76" s="1607"/>
      <c r="RAP76" s="1607"/>
      <c r="RAQ76" s="1607"/>
      <c r="RAR76" s="1607"/>
      <c r="RAS76" s="1607"/>
      <c r="RAT76" s="1607"/>
      <c r="RAU76" s="1607"/>
      <c r="RAV76" s="1607"/>
      <c r="RAW76" s="1607"/>
      <c r="RAX76" s="1607"/>
      <c r="RAY76" s="1607"/>
      <c r="RAZ76" s="1607"/>
      <c r="RBA76" s="1607"/>
      <c r="RBB76" s="1607"/>
      <c r="RBC76" s="1607"/>
      <c r="RBD76" s="1607"/>
      <c r="RBE76" s="1607"/>
      <c r="RBF76" s="1607"/>
      <c r="RBG76" s="1607"/>
      <c r="RBH76" s="1607"/>
      <c r="RBI76" s="1607"/>
      <c r="RBJ76" s="1607"/>
      <c r="RBK76" s="1607"/>
      <c r="RBL76" s="1607"/>
      <c r="RBM76" s="1607"/>
      <c r="RBN76" s="1607"/>
      <c r="RBO76" s="1607"/>
      <c r="RBP76" s="1607"/>
      <c r="RBQ76" s="1607"/>
      <c r="RBR76" s="1607"/>
      <c r="RBS76" s="1607"/>
      <c r="RBT76" s="1607"/>
      <c r="RBU76" s="1607"/>
      <c r="RBV76" s="1607"/>
      <c r="RBW76" s="1607"/>
      <c r="RBX76" s="1607"/>
      <c r="RBY76" s="1607"/>
      <c r="RBZ76" s="1607"/>
      <c r="RCA76" s="1607"/>
      <c r="RCB76" s="1607"/>
      <c r="RCC76" s="1607"/>
      <c r="RCD76" s="1607"/>
      <c r="RCE76" s="1607"/>
      <c r="RCF76" s="1607"/>
      <c r="RCG76" s="1607"/>
      <c r="RCH76" s="1607"/>
      <c r="RCI76" s="1607"/>
      <c r="RCJ76" s="1607"/>
      <c r="RCK76" s="1607"/>
      <c r="RCL76" s="1607"/>
      <c r="RCM76" s="1607"/>
      <c r="RCN76" s="1607"/>
      <c r="RCO76" s="1607"/>
      <c r="RCP76" s="1607"/>
      <c r="RCQ76" s="1607"/>
      <c r="RCR76" s="1607"/>
      <c r="RCS76" s="1607"/>
      <c r="RCT76" s="1607"/>
      <c r="RCU76" s="1607"/>
      <c r="RCV76" s="1607"/>
      <c r="RCW76" s="1607"/>
      <c r="RCX76" s="1607"/>
      <c r="RCY76" s="1607"/>
      <c r="RCZ76" s="1607"/>
      <c r="RDA76" s="1607"/>
      <c r="RDB76" s="1607"/>
      <c r="RDC76" s="1607"/>
      <c r="RDD76" s="1607"/>
      <c r="RDE76" s="1607"/>
      <c r="RDF76" s="1607"/>
      <c r="RDG76" s="1607"/>
      <c r="RDH76" s="1607"/>
      <c r="RDI76" s="1607"/>
      <c r="RDJ76" s="1607"/>
      <c r="RDK76" s="1607"/>
      <c r="RDL76" s="1607"/>
      <c r="RDM76" s="1607"/>
      <c r="RDN76" s="1607"/>
      <c r="RDO76" s="1607"/>
      <c r="RDP76" s="1607"/>
      <c r="RDQ76" s="1607"/>
      <c r="RDR76" s="1607"/>
      <c r="RDS76" s="1607"/>
      <c r="RDT76" s="1607"/>
      <c r="RDU76" s="1607"/>
      <c r="RDV76" s="1607"/>
      <c r="RDW76" s="1607"/>
      <c r="RDX76" s="1607"/>
      <c r="RDY76" s="1607"/>
      <c r="RDZ76" s="1607"/>
      <c r="REA76" s="1607"/>
      <c r="REB76" s="1607"/>
      <c r="REC76" s="1607"/>
      <c r="RED76" s="1607"/>
      <c r="REE76" s="1607"/>
      <c r="REF76" s="1607"/>
      <c r="REG76" s="1607"/>
      <c r="REH76" s="1607"/>
      <c r="REI76" s="1607"/>
      <c r="REJ76" s="1607"/>
      <c r="REK76" s="1607"/>
      <c r="REL76" s="1607"/>
      <c r="REM76" s="1607"/>
      <c r="REN76" s="1607"/>
      <c r="REO76" s="1607"/>
      <c r="REP76" s="1607"/>
      <c r="REQ76" s="1607"/>
      <c r="RER76" s="1607"/>
      <c r="RES76" s="1607"/>
      <c r="RET76" s="1607"/>
      <c r="REU76" s="1607"/>
      <c r="REV76" s="1607"/>
      <c r="REW76" s="1607"/>
      <c r="REX76" s="1607"/>
      <c r="REY76" s="1607"/>
      <c r="REZ76" s="1607"/>
      <c r="RFA76" s="1607"/>
      <c r="RFB76" s="1607"/>
      <c r="RFC76" s="1607"/>
      <c r="RFD76" s="1607"/>
      <c r="RFE76" s="1607"/>
      <c r="RFF76" s="1607"/>
      <c r="RFG76" s="1607"/>
      <c r="RFH76" s="1607"/>
      <c r="RFI76" s="1607"/>
      <c r="RFJ76" s="1607"/>
      <c r="RFK76" s="1607"/>
      <c r="RFL76" s="1607"/>
      <c r="RFM76" s="1607"/>
      <c r="RFN76" s="1607"/>
      <c r="RFO76" s="1607"/>
      <c r="RFP76" s="1607"/>
      <c r="RFQ76" s="1607"/>
      <c r="RFR76" s="1607"/>
      <c r="RFS76" s="1607"/>
      <c r="RFT76" s="1607"/>
      <c r="RFU76" s="1607"/>
      <c r="RFV76" s="1607"/>
      <c r="RFW76" s="1607"/>
      <c r="RFX76" s="1607"/>
      <c r="RFY76" s="1607"/>
      <c r="RFZ76" s="1607"/>
      <c r="RGA76" s="1607"/>
      <c r="RGB76" s="1607"/>
      <c r="RGC76" s="1607"/>
      <c r="RGD76" s="1607"/>
      <c r="RGE76" s="1607"/>
      <c r="RGF76" s="1607"/>
      <c r="RGG76" s="1607"/>
      <c r="RGH76" s="1607"/>
      <c r="RGI76" s="1607"/>
      <c r="RGJ76" s="1607"/>
      <c r="RGK76" s="1607"/>
      <c r="RGL76" s="1607"/>
      <c r="RGM76" s="1607"/>
      <c r="RGN76" s="1607"/>
      <c r="RGO76" s="1607"/>
      <c r="RGP76" s="1607"/>
      <c r="RGQ76" s="1607"/>
      <c r="RGR76" s="1607"/>
      <c r="RGS76" s="1607"/>
      <c r="RGT76" s="1607"/>
      <c r="RGU76" s="1607"/>
      <c r="RGV76" s="1607"/>
      <c r="RGW76" s="1607"/>
      <c r="RGX76" s="1607"/>
      <c r="RGY76" s="1607"/>
      <c r="RGZ76" s="1607"/>
      <c r="RHA76" s="1607"/>
      <c r="RHB76" s="1607"/>
      <c r="RHC76" s="1607"/>
      <c r="RHD76" s="1607"/>
      <c r="RHE76" s="1607"/>
      <c r="RHF76" s="1607"/>
      <c r="RHG76" s="1607"/>
      <c r="RHH76" s="1607"/>
      <c r="RHI76" s="1607"/>
      <c r="RHJ76" s="1607"/>
      <c r="RHK76" s="1607"/>
      <c r="RHL76" s="1607"/>
      <c r="RHM76" s="1607"/>
      <c r="RHN76" s="1607"/>
      <c r="RHO76" s="1607"/>
      <c r="RHP76" s="1607"/>
      <c r="RHQ76" s="1607"/>
      <c r="RHR76" s="1607"/>
      <c r="RHS76" s="1607"/>
      <c r="RHT76" s="1607"/>
      <c r="RHU76" s="1607"/>
      <c r="RHV76" s="1607"/>
      <c r="RHW76" s="1607"/>
      <c r="RHX76" s="1607"/>
      <c r="RHY76" s="1607"/>
      <c r="RHZ76" s="1607"/>
      <c r="RIA76" s="1607"/>
      <c r="RIB76" s="1607"/>
      <c r="RIC76" s="1607"/>
      <c r="RID76" s="1607"/>
      <c r="RIE76" s="1607"/>
      <c r="RIF76" s="1607"/>
      <c r="RIG76" s="1607"/>
      <c r="RIH76" s="1607"/>
      <c r="RII76" s="1607"/>
      <c r="RIJ76" s="1607"/>
      <c r="RIK76" s="1607"/>
      <c r="RIL76" s="1607"/>
      <c r="RIM76" s="1607"/>
      <c r="RIN76" s="1607"/>
      <c r="RIO76" s="1607"/>
      <c r="RIP76" s="1607"/>
      <c r="RIQ76" s="1607"/>
      <c r="RIR76" s="1607"/>
      <c r="RIS76" s="1607"/>
      <c r="RIT76" s="1607"/>
      <c r="RIU76" s="1607"/>
      <c r="RIV76" s="1607"/>
      <c r="RIW76" s="1607"/>
      <c r="RIX76" s="1607"/>
      <c r="RIY76" s="1607"/>
      <c r="RIZ76" s="1607"/>
      <c r="RJA76" s="1607"/>
      <c r="RJB76" s="1607"/>
      <c r="RJC76" s="1607"/>
      <c r="RJD76" s="1607"/>
      <c r="RJE76" s="1607"/>
      <c r="RJF76" s="1607"/>
      <c r="RJG76" s="1607"/>
      <c r="RJH76" s="1607"/>
      <c r="RJI76" s="1607"/>
      <c r="RJJ76" s="1607"/>
      <c r="RJK76" s="1607"/>
      <c r="RJL76" s="1607"/>
      <c r="RJM76" s="1607"/>
      <c r="RJN76" s="1607"/>
      <c r="RJO76" s="1607"/>
      <c r="RJP76" s="1607"/>
      <c r="RJQ76" s="1607"/>
      <c r="RJR76" s="1607"/>
      <c r="RJS76" s="1607"/>
      <c r="RJT76" s="1607"/>
      <c r="RJU76" s="1607"/>
      <c r="RJV76" s="1607"/>
      <c r="RJW76" s="1607"/>
      <c r="RJX76" s="1607"/>
      <c r="RJY76" s="1607"/>
      <c r="RJZ76" s="1607"/>
      <c r="RKA76" s="1607"/>
      <c r="RKB76" s="1607"/>
      <c r="RKC76" s="1607"/>
      <c r="RKD76" s="1607"/>
      <c r="RKE76" s="1607"/>
      <c r="RKF76" s="1607"/>
      <c r="RKG76" s="1607"/>
      <c r="RKH76" s="1607"/>
      <c r="RKI76" s="1607"/>
      <c r="RKJ76" s="1607"/>
      <c r="RKK76" s="1607"/>
      <c r="RKL76" s="1607"/>
      <c r="RKM76" s="1607"/>
      <c r="RKN76" s="1607"/>
      <c r="RKO76" s="1607"/>
      <c r="RKP76" s="1607"/>
      <c r="RKQ76" s="1607"/>
      <c r="RKR76" s="1607"/>
      <c r="RKS76" s="1607"/>
      <c r="RKT76" s="1607"/>
      <c r="RKU76" s="1607"/>
      <c r="RKV76" s="1607"/>
      <c r="RKW76" s="1607"/>
      <c r="RKX76" s="1607"/>
      <c r="RKY76" s="1607"/>
      <c r="RKZ76" s="1607"/>
      <c r="RLA76" s="1607"/>
      <c r="RLB76" s="1607"/>
      <c r="RLC76" s="1607"/>
      <c r="RLD76" s="1607"/>
      <c r="RLE76" s="1607"/>
      <c r="RLF76" s="1607"/>
      <c r="RLG76" s="1607"/>
      <c r="RLH76" s="1607"/>
      <c r="RLI76" s="1607"/>
      <c r="RLJ76" s="1607"/>
      <c r="RLK76" s="1607"/>
      <c r="RLL76" s="1607"/>
      <c r="RLM76" s="1607"/>
      <c r="RLN76" s="1607"/>
      <c r="RLO76" s="1607"/>
      <c r="RLP76" s="1607"/>
      <c r="RLQ76" s="1607"/>
      <c r="RLR76" s="1607"/>
      <c r="RLS76" s="1607"/>
      <c r="RLT76" s="1607"/>
      <c r="RLU76" s="1607"/>
      <c r="RLV76" s="1607"/>
      <c r="RLW76" s="1607"/>
      <c r="RLX76" s="1607"/>
      <c r="RLY76" s="1607"/>
      <c r="RLZ76" s="1607"/>
      <c r="RMA76" s="1607"/>
      <c r="RMB76" s="1607"/>
      <c r="RMC76" s="1607"/>
      <c r="RMD76" s="1607"/>
      <c r="RME76" s="1607"/>
      <c r="RMF76" s="1607"/>
      <c r="RMG76" s="1607"/>
      <c r="RMH76" s="1607"/>
      <c r="RMI76" s="1607"/>
      <c r="RMJ76" s="1607"/>
      <c r="RMK76" s="1607"/>
      <c r="RML76" s="1607"/>
      <c r="RMM76" s="1607"/>
      <c r="RMN76" s="1607"/>
      <c r="RMO76" s="1607"/>
      <c r="RMP76" s="1607"/>
      <c r="RMQ76" s="1607"/>
      <c r="RMR76" s="1607"/>
      <c r="RMS76" s="1607"/>
      <c r="RMT76" s="1607"/>
      <c r="RMU76" s="1607"/>
      <c r="RMV76" s="1607"/>
      <c r="RMW76" s="1607"/>
      <c r="RMX76" s="1607"/>
      <c r="RMY76" s="1607"/>
      <c r="RMZ76" s="1607"/>
      <c r="RNA76" s="1607"/>
      <c r="RNB76" s="1607"/>
      <c r="RNC76" s="1607"/>
      <c r="RND76" s="1607"/>
      <c r="RNE76" s="1607"/>
      <c r="RNF76" s="1607"/>
      <c r="RNG76" s="1607"/>
      <c r="RNH76" s="1607"/>
      <c r="RNI76" s="1607"/>
      <c r="RNJ76" s="1607"/>
      <c r="RNK76" s="1607"/>
      <c r="RNL76" s="1607"/>
      <c r="RNM76" s="1607"/>
      <c r="RNN76" s="1607"/>
      <c r="RNO76" s="1607"/>
      <c r="RNP76" s="1607"/>
      <c r="RNQ76" s="1607"/>
      <c r="RNR76" s="1607"/>
      <c r="RNS76" s="1607"/>
      <c r="RNT76" s="1607"/>
      <c r="RNU76" s="1607"/>
      <c r="RNV76" s="1607"/>
      <c r="RNW76" s="1607"/>
      <c r="RNX76" s="1607"/>
      <c r="RNY76" s="1607"/>
      <c r="RNZ76" s="1607"/>
      <c r="ROA76" s="1607"/>
      <c r="ROB76" s="1607"/>
      <c r="ROC76" s="1607"/>
      <c r="ROD76" s="1607"/>
      <c r="ROE76" s="1607"/>
      <c r="ROF76" s="1607"/>
      <c r="ROG76" s="1607"/>
      <c r="ROH76" s="1607"/>
      <c r="ROI76" s="1607"/>
      <c r="ROJ76" s="1607"/>
      <c r="ROK76" s="1607"/>
      <c r="ROL76" s="1607"/>
      <c r="ROM76" s="1607"/>
      <c r="RON76" s="1607"/>
      <c r="ROO76" s="1607"/>
      <c r="ROP76" s="1607"/>
      <c r="ROQ76" s="1607"/>
      <c r="ROR76" s="1607"/>
      <c r="ROS76" s="1607"/>
      <c r="ROT76" s="1607"/>
      <c r="ROU76" s="1607"/>
      <c r="ROV76" s="1607"/>
      <c r="ROW76" s="1607"/>
      <c r="ROX76" s="1607"/>
      <c r="ROY76" s="1607"/>
      <c r="ROZ76" s="1607"/>
      <c r="RPA76" s="1607"/>
      <c r="RPB76" s="1607"/>
      <c r="RPC76" s="1607"/>
      <c r="RPD76" s="1607"/>
      <c r="RPE76" s="1607"/>
      <c r="RPF76" s="1607"/>
      <c r="RPG76" s="1607"/>
      <c r="RPH76" s="1607"/>
      <c r="RPI76" s="1607"/>
      <c r="RPJ76" s="1607"/>
      <c r="RPK76" s="1607"/>
      <c r="RPL76" s="1607"/>
      <c r="RPM76" s="1607"/>
      <c r="RPN76" s="1607"/>
      <c r="RPO76" s="1607"/>
      <c r="RPP76" s="1607"/>
      <c r="RPQ76" s="1607"/>
      <c r="RPR76" s="1607"/>
      <c r="RPS76" s="1607"/>
      <c r="RPT76" s="1607"/>
      <c r="RPU76" s="1607"/>
      <c r="RPV76" s="1607"/>
      <c r="RPW76" s="1607"/>
      <c r="RPX76" s="1607"/>
      <c r="RPY76" s="1607"/>
      <c r="RPZ76" s="1607"/>
      <c r="RQA76" s="1607"/>
      <c r="RQB76" s="1607"/>
      <c r="RQC76" s="1607"/>
      <c r="RQD76" s="1607"/>
      <c r="RQE76" s="1607"/>
      <c r="RQF76" s="1607"/>
      <c r="RQG76" s="1607"/>
      <c r="RQH76" s="1607"/>
      <c r="RQI76" s="1607"/>
      <c r="RQJ76" s="1607"/>
      <c r="RQK76" s="1607"/>
      <c r="RQL76" s="1607"/>
      <c r="RQM76" s="1607"/>
      <c r="RQN76" s="1607"/>
      <c r="RQO76" s="1607"/>
      <c r="RQP76" s="1607"/>
      <c r="RQQ76" s="1607"/>
      <c r="RQR76" s="1607"/>
      <c r="RQS76" s="1607"/>
      <c r="RQT76" s="1607"/>
      <c r="RQU76" s="1607"/>
      <c r="RQV76" s="1607"/>
      <c r="RQW76" s="1607"/>
      <c r="RQX76" s="1607"/>
      <c r="RQY76" s="1607"/>
      <c r="RQZ76" s="1607"/>
      <c r="RRA76" s="1607"/>
      <c r="RRB76" s="1607"/>
      <c r="RRC76" s="1607"/>
      <c r="RRD76" s="1607"/>
      <c r="RRE76" s="1607"/>
      <c r="RRF76" s="1607"/>
      <c r="RRG76" s="1607"/>
      <c r="RRH76" s="1607"/>
      <c r="RRI76" s="1607"/>
      <c r="RRJ76" s="1607"/>
      <c r="RRK76" s="1607"/>
      <c r="RRL76" s="1607"/>
      <c r="RRM76" s="1607"/>
      <c r="RRN76" s="1607"/>
      <c r="RRO76" s="1607"/>
      <c r="RRP76" s="1607"/>
      <c r="RRQ76" s="1607"/>
      <c r="RRR76" s="1607"/>
      <c r="RRS76" s="1607"/>
      <c r="RRT76" s="1607"/>
      <c r="RRU76" s="1607"/>
      <c r="RRV76" s="1607"/>
      <c r="RRW76" s="1607"/>
      <c r="RRX76" s="1607"/>
      <c r="RRY76" s="1607"/>
      <c r="RRZ76" s="1607"/>
      <c r="RSA76" s="1607"/>
      <c r="RSB76" s="1607"/>
      <c r="RSC76" s="1607"/>
      <c r="RSD76" s="1607"/>
      <c r="RSE76" s="1607"/>
      <c r="RSF76" s="1607"/>
      <c r="RSG76" s="1607"/>
      <c r="RSH76" s="1607"/>
      <c r="RSI76" s="1607"/>
      <c r="RSJ76" s="1607"/>
      <c r="RSK76" s="1607"/>
      <c r="RSL76" s="1607"/>
      <c r="RSM76" s="1607"/>
      <c r="RSN76" s="1607"/>
      <c r="RSO76" s="1607"/>
      <c r="RSP76" s="1607"/>
      <c r="RSQ76" s="1607"/>
      <c r="RSR76" s="1607"/>
      <c r="RSS76" s="1607"/>
      <c r="RST76" s="1607"/>
      <c r="RSU76" s="1607"/>
      <c r="RSV76" s="1607"/>
      <c r="RSW76" s="1607"/>
      <c r="RSX76" s="1607"/>
      <c r="RSY76" s="1607"/>
      <c r="RSZ76" s="1607"/>
      <c r="RTA76" s="1607"/>
      <c r="RTB76" s="1607"/>
      <c r="RTC76" s="1607"/>
      <c r="RTD76" s="1607"/>
      <c r="RTE76" s="1607"/>
      <c r="RTF76" s="1607"/>
      <c r="RTG76" s="1607"/>
      <c r="RTH76" s="1607"/>
      <c r="RTI76" s="1607"/>
      <c r="RTJ76" s="1607"/>
      <c r="RTK76" s="1607"/>
      <c r="RTL76" s="1607"/>
      <c r="RTM76" s="1607"/>
      <c r="RTN76" s="1607"/>
      <c r="RTO76" s="1607"/>
      <c r="RTP76" s="1607"/>
      <c r="RTQ76" s="1607"/>
      <c r="RTR76" s="1607"/>
      <c r="RTS76" s="1607"/>
      <c r="RTT76" s="1607"/>
      <c r="RTU76" s="1607"/>
      <c r="RTV76" s="1607"/>
      <c r="RTW76" s="1607"/>
      <c r="RTX76" s="1607"/>
      <c r="RTY76" s="1607"/>
      <c r="RTZ76" s="1607"/>
      <c r="RUA76" s="1607"/>
      <c r="RUB76" s="1607"/>
      <c r="RUC76" s="1607"/>
      <c r="RUD76" s="1607"/>
      <c r="RUE76" s="1607"/>
      <c r="RUF76" s="1607"/>
      <c r="RUG76" s="1607"/>
      <c r="RUH76" s="1607"/>
      <c r="RUI76" s="1607"/>
      <c r="RUJ76" s="1607"/>
      <c r="RUK76" s="1607"/>
      <c r="RUL76" s="1607"/>
      <c r="RUM76" s="1607"/>
      <c r="RUN76" s="1607"/>
      <c r="RUO76" s="1607"/>
      <c r="RUP76" s="1607"/>
      <c r="RUQ76" s="1607"/>
      <c r="RUR76" s="1607"/>
      <c r="RUS76" s="1607"/>
      <c r="RUT76" s="1607"/>
      <c r="RUU76" s="1607"/>
      <c r="RUV76" s="1607"/>
      <c r="RUW76" s="1607"/>
      <c r="RUX76" s="1607"/>
      <c r="RUY76" s="1607"/>
      <c r="RUZ76" s="1607"/>
      <c r="RVA76" s="1607"/>
      <c r="RVB76" s="1607"/>
      <c r="RVC76" s="1607"/>
      <c r="RVD76" s="1607"/>
      <c r="RVE76" s="1607"/>
      <c r="RVF76" s="1607"/>
      <c r="RVG76" s="1607"/>
      <c r="RVH76" s="1607"/>
      <c r="RVI76" s="1607"/>
      <c r="RVJ76" s="1607"/>
      <c r="RVK76" s="1607"/>
      <c r="RVL76" s="1607"/>
      <c r="RVM76" s="1607"/>
      <c r="RVN76" s="1607"/>
      <c r="RVO76" s="1607"/>
      <c r="RVP76" s="1607"/>
      <c r="RVQ76" s="1607"/>
      <c r="RVR76" s="1607"/>
      <c r="RVS76" s="1607"/>
      <c r="RVT76" s="1607"/>
      <c r="RVU76" s="1607"/>
      <c r="RVV76" s="1607"/>
      <c r="RVW76" s="1607"/>
      <c r="RVX76" s="1607"/>
      <c r="RVY76" s="1607"/>
      <c r="RVZ76" s="1607"/>
      <c r="RWA76" s="1607"/>
      <c r="RWB76" s="1607"/>
      <c r="RWC76" s="1607"/>
      <c r="RWD76" s="1607"/>
      <c r="RWE76" s="1607"/>
      <c r="RWF76" s="1607"/>
      <c r="RWG76" s="1607"/>
      <c r="RWH76" s="1607"/>
      <c r="RWI76" s="1607"/>
      <c r="RWJ76" s="1607"/>
      <c r="RWK76" s="1607"/>
      <c r="RWL76" s="1607"/>
      <c r="RWM76" s="1607"/>
      <c r="RWN76" s="1607"/>
      <c r="RWO76" s="1607"/>
      <c r="RWP76" s="1607"/>
      <c r="RWQ76" s="1607"/>
      <c r="RWR76" s="1607"/>
      <c r="RWS76" s="1607"/>
      <c r="RWT76" s="1607"/>
      <c r="RWU76" s="1607"/>
      <c r="RWV76" s="1607"/>
      <c r="RWW76" s="1607"/>
      <c r="RWX76" s="1607"/>
      <c r="RWY76" s="1607"/>
      <c r="RWZ76" s="1607"/>
      <c r="RXA76" s="1607"/>
      <c r="RXB76" s="1607"/>
      <c r="RXC76" s="1607"/>
      <c r="RXD76" s="1607"/>
      <c r="RXE76" s="1607"/>
      <c r="RXF76" s="1607"/>
      <c r="RXG76" s="1607"/>
      <c r="RXH76" s="1607"/>
      <c r="RXI76" s="1607"/>
      <c r="RXJ76" s="1607"/>
      <c r="RXK76" s="1607"/>
      <c r="RXL76" s="1607"/>
      <c r="RXM76" s="1607"/>
      <c r="RXN76" s="1607"/>
      <c r="RXO76" s="1607"/>
      <c r="RXP76" s="1607"/>
      <c r="RXQ76" s="1607"/>
      <c r="RXR76" s="1607"/>
      <c r="RXS76" s="1607"/>
      <c r="RXT76" s="1607"/>
      <c r="RXU76" s="1607"/>
      <c r="RXV76" s="1607"/>
      <c r="RXW76" s="1607"/>
      <c r="RXX76" s="1607"/>
      <c r="RXY76" s="1607"/>
      <c r="RXZ76" s="1607"/>
      <c r="RYA76" s="1607"/>
      <c r="RYB76" s="1607"/>
      <c r="RYC76" s="1607"/>
      <c r="RYD76" s="1607"/>
      <c r="RYE76" s="1607"/>
      <c r="RYF76" s="1607"/>
      <c r="RYG76" s="1607"/>
      <c r="RYH76" s="1607"/>
      <c r="RYI76" s="1607"/>
      <c r="RYJ76" s="1607"/>
      <c r="RYK76" s="1607"/>
      <c r="RYL76" s="1607"/>
      <c r="RYM76" s="1607"/>
      <c r="RYN76" s="1607"/>
      <c r="RYO76" s="1607"/>
      <c r="RYP76" s="1607"/>
      <c r="RYQ76" s="1607"/>
      <c r="RYR76" s="1607"/>
      <c r="RYS76" s="1607"/>
      <c r="RYT76" s="1607"/>
      <c r="RYU76" s="1607"/>
      <c r="RYV76" s="1607"/>
      <c r="RYW76" s="1607"/>
      <c r="RYX76" s="1607"/>
      <c r="RYY76" s="1607"/>
      <c r="RYZ76" s="1607"/>
      <c r="RZA76" s="1607"/>
      <c r="RZB76" s="1607"/>
      <c r="RZC76" s="1607"/>
      <c r="RZD76" s="1607"/>
      <c r="RZE76" s="1607"/>
      <c r="RZF76" s="1607"/>
      <c r="RZG76" s="1607"/>
      <c r="RZH76" s="1607"/>
      <c r="RZI76" s="1607"/>
      <c r="RZJ76" s="1607"/>
      <c r="RZK76" s="1607"/>
      <c r="RZL76" s="1607"/>
      <c r="RZM76" s="1607"/>
      <c r="RZN76" s="1607"/>
      <c r="RZO76" s="1607"/>
      <c r="RZP76" s="1607"/>
      <c r="RZQ76" s="1607"/>
      <c r="RZR76" s="1607"/>
      <c r="RZS76" s="1607"/>
      <c r="RZT76" s="1607"/>
      <c r="RZU76" s="1607"/>
      <c r="RZV76" s="1607"/>
      <c r="RZW76" s="1607"/>
      <c r="RZX76" s="1607"/>
      <c r="RZY76" s="1607"/>
      <c r="RZZ76" s="1607"/>
      <c r="SAA76" s="1607"/>
      <c r="SAB76" s="1607"/>
      <c r="SAC76" s="1607"/>
      <c r="SAD76" s="1607"/>
      <c r="SAE76" s="1607"/>
      <c r="SAF76" s="1607"/>
      <c r="SAG76" s="1607"/>
      <c r="SAH76" s="1607"/>
      <c r="SAI76" s="1607"/>
      <c r="SAJ76" s="1607"/>
      <c r="SAK76" s="1607"/>
      <c r="SAL76" s="1607"/>
      <c r="SAM76" s="1607"/>
      <c r="SAN76" s="1607"/>
      <c r="SAO76" s="1607"/>
      <c r="SAP76" s="1607"/>
      <c r="SAQ76" s="1607"/>
      <c r="SAR76" s="1607"/>
      <c r="SAS76" s="1607"/>
      <c r="SAT76" s="1607"/>
      <c r="SAU76" s="1607"/>
      <c r="SAV76" s="1607"/>
      <c r="SAW76" s="1607"/>
      <c r="SAX76" s="1607"/>
      <c r="SAY76" s="1607"/>
      <c r="SAZ76" s="1607"/>
      <c r="SBA76" s="1607"/>
      <c r="SBB76" s="1607"/>
      <c r="SBC76" s="1607"/>
      <c r="SBD76" s="1607"/>
      <c r="SBE76" s="1607"/>
      <c r="SBF76" s="1607"/>
      <c r="SBG76" s="1607"/>
      <c r="SBH76" s="1607"/>
      <c r="SBI76" s="1607"/>
      <c r="SBJ76" s="1607"/>
      <c r="SBK76" s="1607"/>
      <c r="SBL76" s="1607"/>
      <c r="SBM76" s="1607"/>
      <c r="SBN76" s="1607"/>
      <c r="SBO76" s="1607"/>
      <c r="SBP76" s="1607"/>
      <c r="SBQ76" s="1607"/>
      <c r="SBR76" s="1607"/>
      <c r="SBS76" s="1607"/>
      <c r="SBT76" s="1607"/>
      <c r="SBU76" s="1607"/>
      <c r="SBV76" s="1607"/>
      <c r="SBW76" s="1607"/>
      <c r="SBX76" s="1607"/>
      <c r="SBY76" s="1607"/>
      <c r="SBZ76" s="1607"/>
      <c r="SCA76" s="1607"/>
      <c r="SCB76" s="1607"/>
      <c r="SCC76" s="1607"/>
      <c r="SCD76" s="1607"/>
      <c r="SCE76" s="1607"/>
      <c r="SCF76" s="1607"/>
      <c r="SCG76" s="1607"/>
      <c r="SCH76" s="1607"/>
      <c r="SCI76" s="1607"/>
      <c r="SCJ76" s="1607"/>
      <c r="SCK76" s="1607"/>
      <c r="SCL76" s="1607"/>
      <c r="SCM76" s="1607"/>
      <c r="SCN76" s="1607"/>
      <c r="SCO76" s="1607"/>
      <c r="SCP76" s="1607"/>
      <c r="SCQ76" s="1607"/>
      <c r="SCR76" s="1607"/>
      <c r="SCS76" s="1607"/>
      <c r="SCT76" s="1607"/>
      <c r="SCU76" s="1607"/>
      <c r="SCV76" s="1607"/>
      <c r="SCW76" s="1607"/>
      <c r="SCX76" s="1607"/>
      <c r="SCY76" s="1607"/>
      <c r="SCZ76" s="1607"/>
      <c r="SDA76" s="1607"/>
      <c r="SDB76" s="1607"/>
      <c r="SDC76" s="1607"/>
      <c r="SDD76" s="1607"/>
      <c r="SDE76" s="1607"/>
      <c r="SDF76" s="1607"/>
      <c r="SDG76" s="1607"/>
      <c r="SDH76" s="1607"/>
      <c r="SDI76" s="1607"/>
      <c r="SDJ76" s="1607"/>
      <c r="SDK76" s="1607"/>
      <c r="SDL76" s="1607"/>
      <c r="SDM76" s="1607"/>
      <c r="SDN76" s="1607"/>
      <c r="SDO76" s="1607"/>
      <c r="SDP76" s="1607"/>
      <c r="SDQ76" s="1607"/>
      <c r="SDR76" s="1607"/>
      <c r="SDS76" s="1607"/>
      <c r="SDT76" s="1607"/>
      <c r="SDU76" s="1607"/>
      <c r="SDV76" s="1607"/>
      <c r="SDW76" s="1607"/>
      <c r="SDX76" s="1607"/>
      <c r="SDY76" s="1607"/>
      <c r="SDZ76" s="1607"/>
      <c r="SEA76" s="1607"/>
      <c r="SEB76" s="1607"/>
      <c r="SEC76" s="1607"/>
      <c r="SED76" s="1607"/>
      <c r="SEE76" s="1607"/>
      <c r="SEF76" s="1607"/>
      <c r="SEG76" s="1607"/>
      <c r="SEH76" s="1607"/>
      <c r="SEI76" s="1607"/>
      <c r="SEJ76" s="1607"/>
      <c r="SEK76" s="1607"/>
      <c r="SEL76" s="1607"/>
      <c r="SEM76" s="1607"/>
      <c r="SEN76" s="1607"/>
      <c r="SEO76" s="1607"/>
      <c r="SEP76" s="1607"/>
      <c r="SEQ76" s="1607"/>
      <c r="SER76" s="1607"/>
      <c r="SES76" s="1607"/>
      <c r="SET76" s="1607"/>
      <c r="SEU76" s="1607"/>
      <c r="SEV76" s="1607"/>
      <c r="SEW76" s="1607"/>
      <c r="SEX76" s="1607"/>
      <c r="SEY76" s="1607"/>
      <c r="SEZ76" s="1607"/>
      <c r="SFA76" s="1607"/>
      <c r="SFB76" s="1607"/>
      <c r="SFC76" s="1607"/>
      <c r="SFD76" s="1607"/>
      <c r="SFE76" s="1607"/>
      <c r="SFF76" s="1607"/>
      <c r="SFG76" s="1607"/>
      <c r="SFH76" s="1607"/>
      <c r="SFI76" s="1607"/>
      <c r="SFJ76" s="1607"/>
      <c r="SFK76" s="1607"/>
      <c r="SFL76" s="1607"/>
      <c r="SFM76" s="1607"/>
      <c r="SFN76" s="1607"/>
      <c r="SFO76" s="1607"/>
      <c r="SFP76" s="1607"/>
      <c r="SFQ76" s="1607"/>
      <c r="SFR76" s="1607"/>
      <c r="SFS76" s="1607"/>
      <c r="SFT76" s="1607"/>
      <c r="SFU76" s="1607"/>
      <c r="SFV76" s="1607"/>
      <c r="SFW76" s="1607"/>
      <c r="SFX76" s="1607"/>
      <c r="SFY76" s="1607"/>
      <c r="SFZ76" s="1607"/>
      <c r="SGA76" s="1607"/>
      <c r="SGB76" s="1607"/>
      <c r="SGC76" s="1607"/>
      <c r="SGD76" s="1607"/>
      <c r="SGE76" s="1607"/>
      <c r="SGF76" s="1607"/>
      <c r="SGG76" s="1607"/>
      <c r="SGH76" s="1607"/>
      <c r="SGI76" s="1607"/>
      <c r="SGJ76" s="1607"/>
      <c r="SGK76" s="1607"/>
      <c r="SGL76" s="1607"/>
      <c r="SGM76" s="1607"/>
      <c r="SGN76" s="1607"/>
      <c r="SGO76" s="1607"/>
      <c r="SGP76" s="1607"/>
      <c r="SGQ76" s="1607"/>
      <c r="SGR76" s="1607"/>
      <c r="SGS76" s="1607"/>
      <c r="SGT76" s="1607"/>
      <c r="SGU76" s="1607"/>
      <c r="SGV76" s="1607"/>
      <c r="SGW76" s="1607"/>
      <c r="SGX76" s="1607"/>
      <c r="SGY76" s="1607"/>
      <c r="SGZ76" s="1607"/>
      <c r="SHA76" s="1607"/>
      <c r="SHB76" s="1607"/>
      <c r="SHC76" s="1607"/>
      <c r="SHD76" s="1607"/>
      <c r="SHE76" s="1607"/>
      <c r="SHF76" s="1607"/>
      <c r="SHG76" s="1607"/>
      <c r="SHH76" s="1607"/>
      <c r="SHI76" s="1607"/>
      <c r="SHJ76" s="1607"/>
      <c r="SHK76" s="1607"/>
      <c r="SHL76" s="1607"/>
      <c r="SHM76" s="1607"/>
      <c r="SHN76" s="1607"/>
      <c r="SHO76" s="1607"/>
      <c r="SHP76" s="1607"/>
      <c r="SHQ76" s="1607"/>
      <c r="SHR76" s="1607"/>
      <c r="SHS76" s="1607"/>
      <c r="SHT76" s="1607"/>
      <c r="SHU76" s="1607"/>
      <c r="SHV76" s="1607"/>
      <c r="SHW76" s="1607"/>
      <c r="SHX76" s="1607"/>
      <c r="SHY76" s="1607"/>
      <c r="SHZ76" s="1607"/>
      <c r="SIA76" s="1607"/>
      <c r="SIB76" s="1607"/>
      <c r="SIC76" s="1607"/>
      <c r="SID76" s="1607"/>
      <c r="SIE76" s="1607"/>
      <c r="SIF76" s="1607"/>
      <c r="SIG76" s="1607"/>
      <c r="SIH76" s="1607"/>
      <c r="SII76" s="1607"/>
      <c r="SIJ76" s="1607"/>
      <c r="SIK76" s="1607"/>
      <c r="SIL76" s="1607"/>
      <c r="SIM76" s="1607"/>
      <c r="SIN76" s="1607"/>
      <c r="SIO76" s="1607"/>
      <c r="SIP76" s="1607"/>
      <c r="SIQ76" s="1607"/>
      <c r="SIR76" s="1607"/>
      <c r="SIS76" s="1607"/>
      <c r="SIT76" s="1607"/>
      <c r="SIU76" s="1607"/>
      <c r="SIV76" s="1607"/>
      <c r="SIW76" s="1607"/>
      <c r="SIX76" s="1607"/>
      <c r="SIY76" s="1607"/>
      <c r="SIZ76" s="1607"/>
      <c r="SJA76" s="1607"/>
      <c r="SJB76" s="1607"/>
      <c r="SJC76" s="1607"/>
      <c r="SJD76" s="1607"/>
      <c r="SJE76" s="1607"/>
      <c r="SJF76" s="1607"/>
      <c r="SJG76" s="1607"/>
      <c r="SJH76" s="1607"/>
      <c r="SJI76" s="1607"/>
      <c r="SJJ76" s="1607"/>
      <c r="SJK76" s="1607"/>
      <c r="SJL76" s="1607"/>
      <c r="SJM76" s="1607"/>
      <c r="SJN76" s="1607"/>
      <c r="SJO76" s="1607"/>
      <c r="SJP76" s="1607"/>
      <c r="SJQ76" s="1607"/>
      <c r="SJR76" s="1607"/>
      <c r="SJS76" s="1607"/>
      <c r="SJT76" s="1607"/>
      <c r="SJU76" s="1607"/>
      <c r="SJV76" s="1607"/>
      <c r="SJW76" s="1607"/>
      <c r="SJX76" s="1607"/>
      <c r="SJY76" s="1607"/>
      <c r="SJZ76" s="1607"/>
      <c r="SKA76" s="1607"/>
      <c r="SKB76" s="1607"/>
      <c r="SKC76" s="1607"/>
      <c r="SKD76" s="1607"/>
      <c r="SKE76" s="1607"/>
      <c r="SKF76" s="1607"/>
      <c r="SKG76" s="1607"/>
      <c r="SKH76" s="1607"/>
      <c r="SKI76" s="1607"/>
      <c r="SKJ76" s="1607"/>
      <c r="SKK76" s="1607"/>
      <c r="SKL76" s="1607"/>
      <c r="SKM76" s="1607"/>
      <c r="SKN76" s="1607"/>
      <c r="SKO76" s="1607"/>
      <c r="SKP76" s="1607"/>
      <c r="SKQ76" s="1607"/>
      <c r="SKR76" s="1607"/>
      <c r="SKS76" s="1607"/>
      <c r="SKT76" s="1607"/>
      <c r="SKU76" s="1607"/>
      <c r="SKV76" s="1607"/>
      <c r="SKW76" s="1607"/>
      <c r="SKX76" s="1607"/>
      <c r="SKY76" s="1607"/>
      <c r="SKZ76" s="1607"/>
      <c r="SLA76" s="1607"/>
      <c r="SLB76" s="1607"/>
      <c r="SLC76" s="1607"/>
      <c r="SLD76" s="1607"/>
      <c r="SLE76" s="1607"/>
      <c r="SLF76" s="1607"/>
      <c r="SLG76" s="1607"/>
      <c r="SLH76" s="1607"/>
      <c r="SLI76" s="1607"/>
      <c r="SLJ76" s="1607"/>
      <c r="SLK76" s="1607"/>
      <c r="SLL76" s="1607"/>
      <c r="SLM76" s="1607"/>
      <c r="SLN76" s="1607"/>
      <c r="SLO76" s="1607"/>
      <c r="SLP76" s="1607"/>
      <c r="SLQ76" s="1607"/>
      <c r="SLR76" s="1607"/>
      <c r="SLS76" s="1607"/>
      <c r="SLT76" s="1607"/>
      <c r="SLU76" s="1607"/>
      <c r="SLV76" s="1607"/>
      <c r="SLW76" s="1607"/>
      <c r="SLX76" s="1607"/>
      <c r="SLY76" s="1607"/>
      <c r="SLZ76" s="1607"/>
      <c r="SMA76" s="1607"/>
      <c r="SMB76" s="1607"/>
      <c r="SMC76" s="1607"/>
      <c r="SMD76" s="1607"/>
      <c r="SME76" s="1607"/>
      <c r="SMF76" s="1607"/>
      <c r="SMG76" s="1607"/>
      <c r="SMH76" s="1607"/>
      <c r="SMI76" s="1607"/>
      <c r="SMJ76" s="1607"/>
      <c r="SMK76" s="1607"/>
      <c r="SML76" s="1607"/>
      <c r="SMM76" s="1607"/>
      <c r="SMN76" s="1607"/>
      <c r="SMO76" s="1607"/>
      <c r="SMP76" s="1607"/>
      <c r="SMQ76" s="1607"/>
      <c r="SMR76" s="1607"/>
      <c r="SMS76" s="1607"/>
      <c r="SMT76" s="1607"/>
      <c r="SMU76" s="1607"/>
      <c r="SMV76" s="1607"/>
      <c r="SMW76" s="1607"/>
      <c r="SMX76" s="1607"/>
      <c r="SMY76" s="1607"/>
      <c r="SMZ76" s="1607"/>
      <c r="SNA76" s="1607"/>
      <c r="SNB76" s="1607"/>
      <c r="SNC76" s="1607"/>
      <c r="SND76" s="1607"/>
      <c r="SNE76" s="1607"/>
      <c r="SNF76" s="1607"/>
      <c r="SNG76" s="1607"/>
      <c r="SNH76" s="1607"/>
      <c r="SNI76" s="1607"/>
      <c r="SNJ76" s="1607"/>
      <c r="SNK76" s="1607"/>
      <c r="SNL76" s="1607"/>
      <c r="SNM76" s="1607"/>
      <c r="SNN76" s="1607"/>
      <c r="SNO76" s="1607"/>
      <c r="SNP76" s="1607"/>
      <c r="SNQ76" s="1607"/>
      <c r="SNR76" s="1607"/>
      <c r="SNS76" s="1607"/>
      <c r="SNT76" s="1607"/>
      <c r="SNU76" s="1607"/>
      <c r="SNV76" s="1607"/>
      <c r="SNW76" s="1607"/>
      <c r="SNX76" s="1607"/>
      <c r="SNY76" s="1607"/>
      <c r="SNZ76" s="1607"/>
      <c r="SOA76" s="1607"/>
      <c r="SOB76" s="1607"/>
      <c r="SOC76" s="1607"/>
      <c r="SOD76" s="1607"/>
      <c r="SOE76" s="1607"/>
      <c r="SOF76" s="1607"/>
      <c r="SOG76" s="1607"/>
      <c r="SOH76" s="1607"/>
      <c r="SOI76" s="1607"/>
      <c r="SOJ76" s="1607"/>
      <c r="SOK76" s="1607"/>
      <c r="SOL76" s="1607"/>
      <c r="SOM76" s="1607"/>
      <c r="SON76" s="1607"/>
      <c r="SOO76" s="1607"/>
      <c r="SOP76" s="1607"/>
      <c r="SOQ76" s="1607"/>
      <c r="SOR76" s="1607"/>
      <c r="SOS76" s="1607"/>
      <c r="SOT76" s="1607"/>
      <c r="SOU76" s="1607"/>
      <c r="SOV76" s="1607"/>
      <c r="SOW76" s="1607"/>
      <c r="SOX76" s="1607"/>
      <c r="SOY76" s="1607"/>
      <c r="SOZ76" s="1607"/>
      <c r="SPA76" s="1607"/>
      <c r="SPB76" s="1607"/>
      <c r="SPC76" s="1607"/>
      <c r="SPD76" s="1607"/>
      <c r="SPE76" s="1607"/>
      <c r="SPF76" s="1607"/>
      <c r="SPG76" s="1607"/>
      <c r="SPH76" s="1607"/>
      <c r="SPI76" s="1607"/>
      <c r="SPJ76" s="1607"/>
      <c r="SPK76" s="1607"/>
      <c r="SPL76" s="1607"/>
      <c r="SPM76" s="1607"/>
      <c r="SPN76" s="1607"/>
      <c r="SPO76" s="1607"/>
      <c r="SPP76" s="1607"/>
      <c r="SPQ76" s="1607"/>
      <c r="SPR76" s="1607"/>
      <c r="SPS76" s="1607"/>
      <c r="SPT76" s="1607"/>
      <c r="SPU76" s="1607"/>
      <c r="SPV76" s="1607"/>
      <c r="SPW76" s="1607"/>
      <c r="SPX76" s="1607"/>
      <c r="SPY76" s="1607"/>
      <c r="SPZ76" s="1607"/>
      <c r="SQA76" s="1607"/>
      <c r="SQB76" s="1607"/>
      <c r="SQC76" s="1607"/>
      <c r="SQD76" s="1607"/>
      <c r="SQE76" s="1607"/>
      <c r="SQF76" s="1607"/>
      <c r="SQG76" s="1607"/>
      <c r="SQH76" s="1607"/>
      <c r="SQI76" s="1607"/>
      <c r="SQJ76" s="1607"/>
      <c r="SQK76" s="1607"/>
      <c r="SQL76" s="1607"/>
      <c r="SQM76" s="1607"/>
      <c r="SQN76" s="1607"/>
      <c r="SQO76" s="1607"/>
      <c r="SQP76" s="1607"/>
      <c r="SQQ76" s="1607"/>
      <c r="SQR76" s="1607"/>
      <c r="SQS76" s="1607"/>
      <c r="SQT76" s="1607"/>
      <c r="SQU76" s="1607"/>
      <c r="SQV76" s="1607"/>
      <c r="SQW76" s="1607"/>
      <c r="SQX76" s="1607"/>
      <c r="SQY76" s="1607"/>
      <c r="SQZ76" s="1607"/>
      <c r="SRA76" s="1607"/>
      <c r="SRB76" s="1607"/>
      <c r="SRC76" s="1607"/>
      <c r="SRD76" s="1607"/>
      <c r="SRE76" s="1607"/>
      <c r="SRF76" s="1607"/>
      <c r="SRG76" s="1607"/>
      <c r="SRH76" s="1607"/>
      <c r="SRI76" s="1607"/>
      <c r="SRJ76" s="1607"/>
      <c r="SRK76" s="1607"/>
      <c r="SRL76" s="1607"/>
      <c r="SRM76" s="1607"/>
      <c r="SRN76" s="1607"/>
      <c r="SRO76" s="1607"/>
      <c r="SRP76" s="1607"/>
      <c r="SRQ76" s="1607"/>
      <c r="SRR76" s="1607"/>
      <c r="SRS76" s="1607"/>
      <c r="SRT76" s="1607"/>
      <c r="SRU76" s="1607"/>
      <c r="SRV76" s="1607"/>
      <c r="SRW76" s="1607"/>
      <c r="SRX76" s="1607"/>
      <c r="SRY76" s="1607"/>
      <c r="SRZ76" s="1607"/>
      <c r="SSA76" s="1607"/>
      <c r="SSB76" s="1607"/>
      <c r="SSC76" s="1607"/>
      <c r="SSD76" s="1607"/>
      <c r="SSE76" s="1607"/>
      <c r="SSF76" s="1607"/>
      <c r="SSG76" s="1607"/>
      <c r="SSH76" s="1607"/>
      <c r="SSI76" s="1607"/>
      <c r="SSJ76" s="1607"/>
      <c r="SSK76" s="1607"/>
      <c r="SSL76" s="1607"/>
      <c r="SSM76" s="1607"/>
      <c r="SSN76" s="1607"/>
      <c r="SSO76" s="1607"/>
      <c r="SSP76" s="1607"/>
      <c r="SSQ76" s="1607"/>
      <c r="SSR76" s="1607"/>
      <c r="SSS76" s="1607"/>
      <c r="SST76" s="1607"/>
      <c r="SSU76" s="1607"/>
      <c r="SSV76" s="1607"/>
      <c r="SSW76" s="1607"/>
      <c r="SSX76" s="1607"/>
      <c r="SSY76" s="1607"/>
      <c r="SSZ76" s="1607"/>
      <c r="STA76" s="1607"/>
      <c r="STB76" s="1607"/>
      <c r="STC76" s="1607"/>
      <c r="STD76" s="1607"/>
      <c r="STE76" s="1607"/>
      <c r="STF76" s="1607"/>
      <c r="STG76" s="1607"/>
      <c r="STH76" s="1607"/>
      <c r="STI76" s="1607"/>
      <c r="STJ76" s="1607"/>
      <c r="STK76" s="1607"/>
      <c r="STL76" s="1607"/>
      <c r="STM76" s="1607"/>
      <c r="STN76" s="1607"/>
      <c r="STO76" s="1607"/>
      <c r="STP76" s="1607"/>
      <c r="STQ76" s="1607"/>
      <c r="STR76" s="1607"/>
      <c r="STS76" s="1607"/>
      <c r="STT76" s="1607"/>
      <c r="STU76" s="1607"/>
      <c r="STV76" s="1607"/>
      <c r="STW76" s="1607"/>
      <c r="STX76" s="1607"/>
      <c r="STY76" s="1607"/>
      <c r="STZ76" s="1607"/>
      <c r="SUA76" s="1607"/>
      <c r="SUB76" s="1607"/>
      <c r="SUC76" s="1607"/>
      <c r="SUD76" s="1607"/>
      <c r="SUE76" s="1607"/>
      <c r="SUF76" s="1607"/>
      <c r="SUG76" s="1607"/>
      <c r="SUH76" s="1607"/>
      <c r="SUI76" s="1607"/>
      <c r="SUJ76" s="1607"/>
      <c r="SUK76" s="1607"/>
      <c r="SUL76" s="1607"/>
      <c r="SUM76" s="1607"/>
      <c r="SUN76" s="1607"/>
      <c r="SUO76" s="1607"/>
      <c r="SUP76" s="1607"/>
      <c r="SUQ76" s="1607"/>
      <c r="SUR76" s="1607"/>
      <c r="SUS76" s="1607"/>
      <c r="SUT76" s="1607"/>
      <c r="SUU76" s="1607"/>
      <c r="SUV76" s="1607"/>
      <c r="SUW76" s="1607"/>
      <c r="SUX76" s="1607"/>
      <c r="SUY76" s="1607"/>
      <c r="SUZ76" s="1607"/>
      <c r="SVA76" s="1607"/>
      <c r="SVB76" s="1607"/>
      <c r="SVC76" s="1607"/>
      <c r="SVD76" s="1607"/>
      <c r="SVE76" s="1607"/>
      <c r="SVF76" s="1607"/>
      <c r="SVG76" s="1607"/>
      <c r="SVH76" s="1607"/>
      <c r="SVI76" s="1607"/>
      <c r="SVJ76" s="1607"/>
      <c r="SVK76" s="1607"/>
      <c r="SVL76" s="1607"/>
      <c r="SVM76" s="1607"/>
      <c r="SVN76" s="1607"/>
      <c r="SVO76" s="1607"/>
      <c r="SVP76" s="1607"/>
      <c r="SVQ76" s="1607"/>
      <c r="SVR76" s="1607"/>
      <c r="SVS76" s="1607"/>
      <c r="SVT76" s="1607"/>
      <c r="SVU76" s="1607"/>
      <c r="SVV76" s="1607"/>
      <c r="SVW76" s="1607"/>
      <c r="SVX76" s="1607"/>
      <c r="SVY76" s="1607"/>
      <c r="SVZ76" s="1607"/>
      <c r="SWA76" s="1607"/>
      <c r="SWB76" s="1607"/>
      <c r="SWC76" s="1607"/>
      <c r="SWD76" s="1607"/>
      <c r="SWE76" s="1607"/>
      <c r="SWF76" s="1607"/>
      <c r="SWG76" s="1607"/>
      <c r="SWH76" s="1607"/>
      <c r="SWI76" s="1607"/>
      <c r="SWJ76" s="1607"/>
      <c r="SWK76" s="1607"/>
      <c r="SWL76" s="1607"/>
      <c r="SWM76" s="1607"/>
      <c r="SWN76" s="1607"/>
      <c r="SWO76" s="1607"/>
      <c r="SWP76" s="1607"/>
      <c r="SWQ76" s="1607"/>
      <c r="SWR76" s="1607"/>
      <c r="SWS76" s="1607"/>
      <c r="SWT76" s="1607"/>
      <c r="SWU76" s="1607"/>
      <c r="SWV76" s="1607"/>
      <c r="SWW76" s="1607"/>
      <c r="SWX76" s="1607"/>
      <c r="SWY76" s="1607"/>
      <c r="SWZ76" s="1607"/>
      <c r="SXA76" s="1607"/>
      <c r="SXB76" s="1607"/>
      <c r="SXC76" s="1607"/>
      <c r="SXD76" s="1607"/>
      <c r="SXE76" s="1607"/>
      <c r="SXF76" s="1607"/>
      <c r="SXG76" s="1607"/>
      <c r="SXH76" s="1607"/>
      <c r="SXI76" s="1607"/>
      <c r="SXJ76" s="1607"/>
      <c r="SXK76" s="1607"/>
      <c r="SXL76" s="1607"/>
      <c r="SXM76" s="1607"/>
      <c r="SXN76" s="1607"/>
      <c r="SXO76" s="1607"/>
      <c r="SXP76" s="1607"/>
      <c r="SXQ76" s="1607"/>
      <c r="SXR76" s="1607"/>
      <c r="SXS76" s="1607"/>
      <c r="SXT76" s="1607"/>
      <c r="SXU76" s="1607"/>
      <c r="SXV76" s="1607"/>
      <c r="SXW76" s="1607"/>
      <c r="SXX76" s="1607"/>
      <c r="SXY76" s="1607"/>
      <c r="SXZ76" s="1607"/>
      <c r="SYA76" s="1607"/>
      <c r="SYB76" s="1607"/>
      <c r="SYC76" s="1607"/>
      <c r="SYD76" s="1607"/>
      <c r="SYE76" s="1607"/>
      <c r="SYF76" s="1607"/>
      <c r="SYG76" s="1607"/>
      <c r="SYH76" s="1607"/>
      <c r="SYI76" s="1607"/>
      <c r="SYJ76" s="1607"/>
      <c r="SYK76" s="1607"/>
      <c r="SYL76" s="1607"/>
      <c r="SYM76" s="1607"/>
      <c r="SYN76" s="1607"/>
      <c r="SYO76" s="1607"/>
      <c r="SYP76" s="1607"/>
      <c r="SYQ76" s="1607"/>
      <c r="SYR76" s="1607"/>
      <c r="SYS76" s="1607"/>
      <c r="SYT76" s="1607"/>
      <c r="SYU76" s="1607"/>
      <c r="SYV76" s="1607"/>
      <c r="SYW76" s="1607"/>
      <c r="SYX76" s="1607"/>
      <c r="SYY76" s="1607"/>
      <c r="SYZ76" s="1607"/>
      <c r="SZA76" s="1607"/>
      <c r="SZB76" s="1607"/>
      <c r="SZC76" s="1607"/>
      <c r="SZD76" s="1607"/>
      <c r="SZE76" s="1607"/>
      <c r="SZF76" s="1607"/>
      <c r="SZG76" s="1607"/>
      <c r="SZH76" s="1607"/>
      <c r="SZI76" s="1607"/>
      <c r="SZJ76" s="1607"/>
      <c r="SZK76" s="1607"/>
      <c r="SZL76" s="1607"/>
      <c r="SZM76" s="1607"/>
      <c r="SZN76" s="1607"/>
      <c r="SZO76" s="1607"/>
      <c r="SZP76" s="1607"/>
      <c r="SZQ76" s="1607"/>
      <c r="SZR76" s="1607"/>
      <c r="SZS76" s="1607"/>
      <c r="SZT76" s="1607"/>
      <c r="SZU76" s="1607"/>
      <c r="SZV76" s="1607"/>
      <c r="SZW76" s="1607"/>
      <c r="SZX76" s="1607"/>
      <c r="SZY76" s="1607"/>
      <c r="SZZ76" s="1607"/>
      <c r="TAA76" s="1607"/>
      <c r="TAB76" s="1607"/>
      <c r="TAC76" s="1607"/>
      <c r="TAD76" s="1607"/>
      <c r="TAE76" s="1607"/>
      <c r="TAF76" s="1607"/>
      <c r="TAG76" s="1607"/>
      <c r="TAH76" s="1607"/>
      <c r="TAI76" s="1607"/>
      <c r="TAJ76" s="1607"/>
      <c r="TAK76" s="1607"/>
      <c r="TAL76" s="1607"/>
      <c r="TAM76" s="1607"/>
      <c r="TAN76" s="1607"/>
      <c r="TAO76" s="1607"/>
      <c r="TAP76" s="1607"/>
      <c r="TAQ76" s="1607"/>
      <c r="TAR76" s="1607"/>
      <c r="TAS76" s="1607"/>
      <c r="TAT76" s="1607"/>
      <c r="TAU76" s="1607"/>
      <c r="TAV76" s="1607"/>
      <c r="TAW76" s="1607"/>
      <c r="TAX76" s="1607"/>
      <c r="TAY76" s="1607"/>
      <c r="TAZ76" s="1607"/>
      <c r="TBA76" s="1607"/>
      <c r="TBB76" s="1607"/>
      <c r="TBC76" s="1607"/>
      <c r="TBD76" s="1607"/>
      <c r="TBE76" s="1607"/>
      <c r="TBF76" s="1607"/>
      <c r="TBG76" s="1607"/>
      <c r="TBH76" s="1607"/>
      <c r="TBI76" s="1607"/>
      <c r="TBJ76" s="1607"/>
      <c r="TBK76" s="1607"/>
      <c r="TBL76" s="1607"/>
      <c r="TBM76" s="1607"/>
      <c r="TBN76" s="1607"/>
      <c r="TBO76" s="1607"/>
      <c r="TBP76" s="1607"/>
      <c r="TBQ76" s="1607"/>
      <c r="TBR76" s="1607"/>
      <c r="TBS76" s="1607"/>
      <c r="TBT76" s="1607"/>
      <c r="TBU76" s="1607"/>
      <c r="TBV76" s="1607"/>
      <c r="TBW76" s="1607"/>
      <c r="TBX76" s="1607"/>
      <c r="TBY76" s="1607"/>
      <c r="TBZ76" s="1607"/>
      <c r="TCA76" s="1607"/>
      <c r="TCB76" s="1607"/>
      <c r="TCC76" s="1607"/>
      <c r="TCD76" s="1607"/>
      <c r="TCE76" s="1607"/>
      <c r="TCF76" s="1607"/>
      <c r="TCG76" s="1607"/>
      <c r="TCH76" s="1607"/>
      <c r="TCI76" s="1607"/>
      <c r="TCJ76" s="1607"/>
      <c r="TCK76" s="1607"/>
      <c r="TCL76" s="1607"/>
      <c r="TCM76" s="1607"/>
      <c r="TCN76" s="1607"/>
      <c r="TCO76" s="1607"/>
      <c r="TCP76" s="1607"/>
      <c r="TCQ76" s="1607"/>
      <c r="TCR76" s="1607"/>
      <c r="TCS76" s="1607"/>
      <c r="TCT76" s="1607"/>
      <c r="TCU76" s="1607"/>
      <c r="TCV76" s="1607"/>
      <c r="TCW76" s="1607"/>
      <c r="TCX76" s="1607"/>
      <c r="TCY76" s="1607"/>
      <c r="TCZ76" s="1607"/>
      <c r="TDA76" s="1607"/>
      <c r="TDB76" s="1607"/>
      <c r="TDC76" s="1607"/>
      <c r="TDD76" s="1607"/>
      <c r="TDE76" s="1607"/>
      <c r="TDF76" s="1607"/>
      <c r="TDG76" s="1607"/>
      <c r="TDH76" s="1607"/>
      <c r="TDI76" s="1607"/>
      <c r="TDJ76" s="1607"/>
      <c r="TDK76" s="1607"/>
      <c r="TDL76" s="1607"/>
      <c r="TDM76" s="1607"/>
      <c r="TDN76" s="1607"/>
      <c r="TDO76" s="1607"/>
      <c r="TDP76" s="1607"/>
      <c r="TDQ76" s="1607"/>
      <c r="TDR76" s="1607"/>
      <c r="TDS76" s="1607"/>
      <c r="TDT76" s="1607"/>
      <c r="TDU76" s="1607"/>
      <c r="TDV76" s="1607"/>
      <c r="TDW76" s="1607"/>
      <c r="TDX76" s="1607"/>
      <c r="TDY76" s="1607"/>
      <c r="TDZ76" s="1607"/>
      <c r="TEA76" s="1607"/>
      <c r="TEB76" s="1607"/>
      <c r="TEC76" s="1607"/>
      <c r="TED76" s="1607"/>
      <c r="TEE76" s="1607"/>
      <c r="TEF76" s="1607"/>
      <c r="TEG76" s="1607"/>
      <c r="TEH76" s="1607"/>
      <c r="TEI76" s="1607"/>
      <c r="TEJ76" s="1607"/>
      <c r="TEK76" s="1607"/>
      <c r="TEL76" s="1607"/>
      <c r="TEM76" s="1607"/>
      <c r="TEN76" s="1607"/>
      <c r="TEO76" s="1607"/>
      <c r="TEP76" s="1607"/>
      <c r="TEQ76" s="1607"/>
      <c r="TER76" s="1607"/>
      <c r="TES76" s="1607"/>
      <c r="TET76" s="1607"/>
      <c r="TEU76" s="1607"/>
      <c r="TEV76" s="1607"/>
      <c r="TEW76" s="1607"/>
      <c r="TEX76" s="1607"/>
      <c r="TEY76" s="1607"/>
      <c r="TEZ76" s="1607"/>
      <c r="TFA76" s="1607"/>
      <c r="TFB76" s="1607"/>
      <c r="TFC76" s="1607"/>
      <c r="TFD76" s="1607"/>
      <c r="TFE76" s="1607"/>
      <c r="TFF76" s="1607"/>
      <c r="TFG76" s="1607"/>
      <c r="TFH76" s="1607"/>
      <c r="TFI76" s="1607"/>
      <c r="TFJ76" s="1607"/>
      <c r="TFK76" s="1607"/>
      <c r="TFL76" s="1607"/>
      <c r="TFM76" s="1607"/>
      <c r="TFN76" s="1607"/>
      <c r="TFO76" s="1607"/>
      <c r="TFP76" s="1607"/>
      <c r="TFQ76" s="1607"/>
      <c r="TFR76" s="1607"/>
      <c r="TFS76" s="1607"/>
      <c r="TFT76" s="1607"/>
      <c r="TFU76" s="1607"/>
      <c r="TFV76" s="1607"/>
      <c r="TFW76" s="1607"/>
      <c r="TFX76" s="1607"/>
      <c r="TFY76" s="1607"/>
      <c r="TFZ76" s="1607"/>
      <c r="TGA76" s="1607"/>
      <c r="TGB76" s="1607"/>
      <c r="TGC76" s="1607"/>
      <c r="TGD76" s="1607"/>
      <c r="TGE76" s="1607"/>
      <c r="TGF76" s="1607"/>
      <c r="TGG76" s="1607"/>
      <c r="TGH76" s="1607"/>
      <c r="TGI76" s="1607"/>
      <c r="TGJ76" s="1607"/>
      <c r="TGK76" s="1607"/>
      <c r="TGL76" s="1607"/>
      <c r="TGM76" s="1607"/>
      <c r="TGN76" s="1607"/>
      <c r="TGO76" s="1607"/>
      <c r="TGP76" s="1607"/>
      <c r="TGQ76" s="1607"/>
      <c r="TGR76" s="1607"/>
      <c r="TGS76" s="1607"/>
      <c r="TGT76" s="1607"/>
      <c r="TGU76" s="1607"/>
      <c r="TGV76" s="1607"/>
      <c r="TGW76" s="1607"/>
      <c r="TGX76" s="1607"/>
      <c r="TGY76" s="1607"/>
      <c r="TGZ76" s="1607"/>
      <c r="THA76" s="1607"/>
      <c r="THB76" s="1607"/>
      <c r="THC76" s="1607"/>
      <c r="THD76" s="1607"/>
      <c r="THE76" s="1607"/>
      <c r="THF76" s="1607"/>
      <c r="THG76" s="1607"/>
      <c r="THH76" s="1607"/>
      <c r="THI76" s="1607"/>
      <c r="THJ76" s="1607"/>
      <c r="THK76" s="1607"/>
      <c r="THL76" s="1607"/>
      <c r="THM76" s="1607"/>
      <c r="THN76" s="1607"/>
      <c r="THO76" s="1607"/>
      <c r="THP76" s="1607"/>
      <c r="THQ76" s="1607"/>
      <c r="THR76" s="1607"/>
      <c r="THS76" s="1607"/>
      <c r="THT76" s="1607"/>
      <c r="THU76" s="1607"/>
      <c r="THV76" s="1607"/>
      <c r="THW76" s="1607"/>
      <c r="THX76" s="1607"/>
      <c r="THY76" s="1607"/>
      <c r="THZ76" s="1607"/>
      <c r="TIA76" s="1607"/>
      <c r="TIB76" s="1607"/>
      <c r="TIC76" s="1607"/>
      <c r="TID76" s="1607"/>
      <c r="TIE76" s="1607"/>
      <c r="TIF76" s="1607"/>
      <c r="TIG76" s="1607"/>
      <c r="TIH76" s="1607"/>
      <c r="TII76" s="1607"/>
      <c r="TIJ76" s="1607"/>
      <c r="TIK76" s="1607"/>
      <c r="TIL76" s="1607"/>
      <c r="TIM76" s="1607"/>
      <c r="TIN76" s="1607"/>
      <c r="TIO76" s="1607"/>
      <c r="TIP76" s="1607"/>
      <c r="TIQ76" s="1607"/>
      <c r="TIR76" s="1607"/>
      <c r="TIS76" s="1607"/>
      <c r="TIT76" s="1607"/>
      <c r="TIU76" s="1607"/>
      <c r="TIV76" s="1607"/>
      <c r="TIW76" s="1607"/>
      <c r="TIX76" s="1607"/>
      <c r="TIY76" s="1607"/>
      <c r="TIZ76" s="1607"/>
      <c r="TJA76" s="1607"/>
      <c r="TJB76" s="1607"/>
      <c r="TJC76" s="1607"/>
      <c r="TJD76" s="1607"/>
      <c r="TJE76" s="1607"/>
      <c r="TJF76" s="1607"/>
      <c r="TJG76" s="1607"/>
      <c r="TJH76" s="1607"/>
      <c r="TJI76" s="1607"/>
      <c r="TJJ76" s="1607"/>
      <c r="TJK76" s="1607"/>
      <c r="TJL76" s="1607"/>
      <c r="TJM76" s="1607"/>
      <c r="TJN76" s="1607"/>
      <c r="TJO76" s="1607"/>
      <c r="TJP76" s="1607"/>
      <c r="TJQ76" s="1607"/>
      <c r="TJR76" s="1607"/>
      <c r="TJS76" s="1607"/>
      <c r="TJT76" s="1607"/>
      <c r="TJU76" s="1607"/>
      <c r="TJV76" s="1607"/>
      <c r="TJW76" s="1607"/>
      <c r="TJX76" s="1607"/>
      <c r="TJY76" s="1607"/>
      <c r="TJZ76" s="1607"/>
      <c r="TKA76" s="1607"/>
      <c r="TKB76" s="1607"/>
      <c r="TKC76" s="1607"/>
      <c r="TKD76" s="1607"/>
      <c r="TKE76" s="1607"/>
      <c r="TKF76" s="1607"/>
      <c r="TKG76" s="1607"/>
      <c r="TKH76" s="1607"/>
      <c r="TKI76" s="1607"/>
      <c r="TKJ76" s="1607"/>
      <c r="TKK76" s="1607"/>
      <c r="TKL76" s="1607"/>
      <c r="TKM76" s="1607"/>
      <c r="TKN76" s="1607"/>
      <c r="TKO76" s="1607"/>
      <c r="TKP76" s="1607"/>
      <c r="TKQ76" s="1607"/>
      <c r="TKR76" s="1607"/>
      <c r="TKS76" s="1607"/>
      <c r="TKT76" s="1607"/>
      <c r="TKU76" s="1607"/>
      <c r="TKV76" s="1607"/>
      <c r="TKW76" s="1607"/>
      <c r="TKX76" s="1607"/>
      <c r="TKY76" s="1607"/>
      <c r="TKZ76" s="1607"/>
      <c r="TLA76" s="1607"/>
      <c r="TLB76" s="1607"/>
      <c r="TLC76" s="1607"/>
      <c r="TLD76" s="1607"/>
      <c r="TLE76" s="1607"/>
      <c r="TLF76" s="1607"/>
      <c r="TLG76" s="1607"/>
      <c r="TLH76" s="1607"/>
      <c r="TLI76" s="1607"/>
      <c r="TLJ76" s="1607"/>
      <c r="TLK76" s="1607"/>
      <c r="TLL76" s="1607"/>
      <c r="TLM76" s="1607"/>
      <c r="TLN76" s="1607"/>
      <c r="TLO76" s="1607"/>
      <c r="TLP76" s="1607"/>
      <c r="TLQ76" s="1607"/>
      <c r="TLR76" s="1607"/>
      <c r="TLS76" s="1607"/>
      <c r="TLT76" s="1607"/>
      <c r="TLU76" s="1607"/>
      <c r="TLV76" s="1607"/>
      <c r="TLW76" s="1607"/>
      <c r="TLX76" s="1607"/>
      <c r="TLY76" s="1607"/>
      <c r="TLZ76" s="1607"/>
      <c r="TMA76" s="1607"/>
      <c r="TMB76" s="1607"/>
      <c r="TMC76" s="1607"/>
      <c r="TMD76" s="1607"/>
      <c r="TME76" s="1607"/>
      <c r="TMF76" s="1607"/>
      <c r="TMG76" s="1607"/>
      <c r="TMH76" s="1607"/>
      <c r="TMI76" s="1607"/>
      <c r="TMJ76" s="1607"/>
      <c r="TMK76" s="1607"/>
      <c r="TML76" s="1607"/>
      <c r="TMM76" s="1607"/>
      <c r="TMN76" s="1607"/>
      <c r="TMO76" s="1607"/>
      <c r="TMP76" s="1607"/>
      <c r="TMQ76" s="1607"/>
      <c r="TMR76" s="1607"/>
      <c r="TMS76" s="1607"/>
      <c r="TMT76" s="1607"/>
      <c r="TMU76" s="1607"/>
      <c r="TMV76" s="1607"/>
      <c r="TMW76" s="1607"/>
      <c r="TMX76" s="1607"/>
      <c r="TMY76" s="1607"/>
      <c r="TMZ76" s="1607"/>
      <c r="TNA76" s="1607"/>
      <c r="TNB76" s="1607"/>
      <c r="TNC76" s="1607"/>
      <c r="TND76" s="1607"/>
      <c r="TNE76" s="1607"/>
      <c r="TNF76" s="1607"/>
      <c r="TNG76" s="1607"/>
      <c r="TNH76" s="1607"/>
      <c r="TNI76" s="1607"/>
      <c r="TNJ76" s="1607"/>
      <c r="TNK76" s="1607"/>
      <c r="TNL76" s="1607"/>
      <c r="TNM76" s="1607"/>
      <c r="TNN76" s="1607"/>
      <c r="TNO76" s="1607"/>
      <c r="TNP76" s="1607"/>
      <c r="TNQ76" s="1607"/>
      <c r="TNR76" s="1607"/>
      <c r="TNS76" s="1607"/>
      <c r="TNT76" s="1607"/>
      <c r="TNU76" s="1607"/>
      <c r="TNV76" s="1607"/>
      <c r="TNW76" s="1607"/>
      <c r="TNX76" s="1607"/>
      <c r="TNY76" s="1607"/>
      <c r="TNZ76" s="1607"/>
      <c r="TOA76" s="1607"/>
      <c r="TOB76" s="1607"/>
      <c r="TOC76" s="1607"/>
      <c r="TOD76" s="1607"/>
      <c r="TOE76" s="1607"/>
      <c r="TOF76" s="1607"/>
      <c r="TOG76" s="1607"/>
      <c r="TOH76" s="1607"/>
      <c r="TOI76" s="1607"/>
      <c r="TOJ76" s="1607"/>
      <c r="TOK76" s="1607"/>
      <c r="TOL76" s="1607"/>
      <c r="TOM76" s="1607"/>
      <c r="TON76" s="1607"/>
      <c r="TOO76" s="1607"/>
      <c r="TOP76" s="1607"/>
      <c r="TOQ76" s="1607"/>
      <c r="TOR76" s="1607"/>
      <c r="TOS76" s="1607"/>
      <c r="TOT76" s="1607"/>
      <c r="TOU76" s="1607"/>
      <c r="TOV76" s="1607"/>
      <c r="TOW76" s="1607"/>
      <c r="TOX76" s="1607"/>
      <c r="TOY76" s="1607"/>
      <c r="TOZ76" s="1607"/>
      <c r="TPA76" s="1607"/>
      <c r="TPB76" s="1607"/>
      <c r="TPC76" s="1607"/>
      <c r="TPD76" s="1607"/>
      <c r="TPE76" s="1607"/>
      <c r="TPF76" s="1607"/>
      <c r="TPG76" s="1607"/>
      <c r="TPH76" s="1607"/>
      <c r="TPI76" s="1607"/>
      <c r="TPJ76" s="1607"/>
      <c r="TPK76" s="1607"/>
      <c r="TPL76" s="1607"/>
      <c r="TPM76" s="1607"/>
      <c r="TPN76" s="1607"/>
      <c r="TPO76" s="1607"/>
      <c r="TPP76" s="1607"/>
      <c r="TPQ76" s="1607"/>
      <c r="TPR76" s="1607"/>
      <c r="TPS76" s="1607"/>
      <c r="TPT76" s="1607"/>
      <c r="TPU76" s="1607"/>
      <c r="TPV76" s="1607"/>
      <c r="TPW76" s="1607"/>
      <c r="TPX76" s="1607"/>
      <c r="TPY76" s="1607"/>
      <c r="TPZ76" s="1607"/>
      <c r="TQA76" s="1607"/>
      <c r="TQB76" s="1607"/>
      <c r="TQC76" s="1607"/>
      <c r="TQD76" s="1607"/>
      <c r="TQE76" s="1607"/>
      <c r="TQF76" s="1607"/>
      <c r="TQG76" s="1607"/>
      <c r="TQH76" s="1607"/>
      <c r="TQI76" s="1607"/>
      <c r="TQJ76" s="1607"/>
      <c r="TQK76" s="1607"/>
      <c r="TQL76" s="1607"/>
      <c r="TQM76" s="1607"/>
      <c r="TQN76" s="1607"/>
      <c r="TQO76" s="1607"/>
      <c r="TQP76" s="1607"/>
      <c r="TQQ76" s="1607"/>
      <c r="TQR76" s="1607"/>
      <c r="TQS76" s="1607"/>
      <c r="TQT76" s="1607"/>
      <c r="TQU76" s="1607"/>
      <c r="TQV76" s="1607"/>
      <c r="TQW76" s="1607"/>
      <c r="TQX76" s="1607"/>
      <c r="TQY76" s="1607"/>
      <c r="TQZ76" s="1607"/>
      <c r="TRA76" s="1607"/>
      <c r="TRB76" s="1607"/>
      <c r="TRC76" s="1607"/>
      <c r="TRD76" s="1607"/>
      <c r="TRE76" s="1607"/>
      <c r="TRF76" s="1607"/>
      <c r="TRG76" s="1607"/>
      <c r="TRH76" s="1607"/>
      <c r="TRI76" s="1607"/>
      <c r="TRJ76" s="1607"/>
      <c r="TRK76" s="1607"/>
      <c r="TRL76" s="1607"/>
      <c r="TRM76" s="1607"/>
      <c r="TRN76" s="1607"/>
      <c r="TRO76" s="1607"/>
      <c r="TRP76" s="1607"/>
      <c r="TRQ76" s="1607"/>
      <c r="TRR76" s="1607"/>
      <c r="TRS76" s="1607"/>
      <c r="TRT76" s="1607"/>
      <c r="TRU76" s="1607"/>
      <c r="TRV76" s="1607"/>
      <c r="TRW76" s="1607"/>
      <c r="TRX76" s="1607"/>
      <c r="TRY76" s="1607"/>
      <c r="TRZ76" s="1607"/>
      <c r="TSA76" s="1607"/>
      <c r="TSB76" s="1607"/>
      <c r="TSC76" s="1607"/>
      <c r="TSD76" s="1607"/>
      <c r="TSE76" s="1607"/>
      <c r="TSF76" s="1607"/>
      <c r="TSG76" s="1607"/>
      <c r="TSH76" s="1607"/>
      <c r="TSI76" s="1607"/>
      <c r="TSJ76" s="1607"/>
      <c r="TSK76" s="1607"/>
      <c r="TSL76" s="1607"/>
      <c r="TSM76" s="1607"/>
      <c r="TSN76" s="1607"/>
      <c r="TSO76" s="1607"/>
      <c r="TSP76" s="1607"/>
      <c r="TSQ76" s="1607"/>
      <c r="TSR76" s="1607"/>
      <c r="TSS76" s="1607"/>
      <c r="TST76" s="1607"/>
      <c r="TSU76" s="1607"/>
      <c r="TSV76" s="1607"/>
      <c r="TSW76" s="1607"/>
      <c r="TSX76" s="1607"/>
      <c r="TSY76" s="1607"/>
      <c r="TSZ76" s="1607"/>
      <c r="TTA76" s="1607"/>
      <c r="TTB76" s="1607"/>
      <c r="TTC76" s="1607"/>
      <c r="TTD76" s="1607"/>
      <c r="TTE76" s="1607"/>
      <c r="TTF76" s="1607"/>
      <c r="TTG76" s="1607"/>
      <c r="TTH76" s="1607"/>
      <c r="TTI76" s="1607"/>
      <c r="TTJ76" s="1607"/>
      <c r="TTK76" s="1607"/>
      <c r="TTL76" s="1607"/>
      <c r="TTM76" s="1607"/>
      <c r="TTN76" s="1607"/>
      <c r="TTO76" s="1607"/>
      <c r="TTP76" s="1607"/>
      <c r="TTQ76" s="1607"/>
      <c r="TTR76" s="1607"/>
      <c r="TTS76" s="1607"/>
      <c r="TTT76" s="1607"/>
      <c r="TTU76" s="1607"/>
      <c r="TTV76" s="1607"/>
      <c r="TTW76" s="1607"/>
      <c r="TTX76" s="1607"/>
      <c r="TTY76" s="1607"/>
      <c r="TTZ76" s="1607"/>
      <c r="TUA76" s="1607"/>
      <c r="TUB76" s="1607"/>
      <c r="TUC76" s="1607"/>
      <c r="TUD76" s="1607"/>
      <c r="TUE76" s="1607"/>
      <c r="TUF76" s="1607"/>
      <c r="TUG76" s="1607"/>
      <c r="TUH76" s="1607"/>
      <c r="TUI76" s="1607"/>
      <c r="TUJ76" s="1607"/>
      <c r="TUK76" s="1607"/>
      <c r="TUL76" s="1607"/>
      <c r="TUM76" s="1607"/>
      <c r="TUN76" s="1607"/>
      <c r="TUO76" s="1607"/>
      <c r="TUP76" s="1607"/>
      <c r="TUQ76" s="1607"/>
      <c r="TUR76" s="1607"/>
      <c r="TUS76" s="1607"/>
      <c r="TUT76" s="1607"/>
      <c r="TUU76" s="1607"/>
      <c r="TUV76" s="1607"/>
      <c r="TUW76" s="1607"/>
      <c r="TUX76" s="1607"/>
      <c r="TUY76" s="1607"/>
      <c r="TUZ76" s="1607"/>
      <c r="TVA76" s="1607"/>
      <c r="TVB76" s="1607"/>
      <c r="TVC76" s="1607"/>
      <c r="TVD76" s="1607"/>
      <c r="TVE76" s="1607"/>
      <c r="TVF76" s="1607"/>
      <c r="TVG76" s="1607"/>
      <c r="TVH76" s="1607"/>
      <c r="TVI76" s="1607"/>
      <c r="TVJ76" s="1607"/>
      <c r="TVK76" s="1607"/>
      <c r="TVL76" s="1607"/>
      <c r="TVM76" s="1607"/>
      <c r="TVN76" s="1607"/>
      <c r="TVO76" s="1607"/>
      <c r="TVP76" s="1607"/>
      <c r="TVQ76" s="1607"/>
      <c r="TVR76" s="1607"/>
      <c r="TVS76" s="1607"/>
      <c r="TVT76" s="1607"/>
      <c r="TVU76" s="1607"/>
      <c r="TVV76" s="1607"/>
      <c r="TVW76" s="1607"/>
      <c r="TVX76" s="1607"/>
      <c r="TVY76" s="1607"/>
      <c r="TVZ76" s="1607"/>
      <c r="TWA76" s="1607"/>
      <c r="TWB76" s="1607"/>
      <c r="TWC76" s="1607"/>
      <c r="TWD76" s="1607"/>
      <c r="TWE76" s="1607"/>
      <c r="TWF76" s="1607"/>
      <c r="TWG76" s="1607"/>
      <c r="TWH76" s="1607"/>
      <c r="TWI76" s="1607"/>
      <c r="TWJ76" s="1607"/>
      <c r="TWK76" s="1607"/>
      <c r="TWL76" s="1607"/>
      <c r="TWM76" s="1607"/>
      <c r="TWN76" s="1607"/>
      <c r="TWO76" s="1607"/>
      <c r="TWP76" s="1607"/>
      <c r="TWQ76" s="1607"/>
      <c r="TWR76" s="1607"/>
      <c r="TWS76" s="1607"/>
      <c r="TWT76" s="1607"/>
      <c r="TWU76" s="1607"/>
      <c r="TWV76" s="1607"/>
      <c r="TWW76" s="1607"/>
      <c r="TWX76" s="1607"/>
      <c r="TWY76" s="1607"/>
      <c r="TWZ76" s="1607"/>
      <c r="TXA76" s="1607"/>
      <c r="TXB76" s="1607"/>
      <c r="TXC76" s="1607"/>
      <c r="TXD76" s="1607"/>
      <c r="TXE76" s="1607"/>
      <c r="TXF76" s="1607"/>
      <c r="TXG76" s="1607"/>
      <c r="TXH76" s="1607"/>
      <c r="TXI76" s="1607"/>
      <c r="TXJ76" s="1607"/>
      <c r="TXK76" s="1607"/>
      <c r="TXL76" s="1607"/>
      <c r="TXM76" s="1607"/>
      <c r="TXN76" s="1607"/>
      <c r="TXO76" s="1607"/>
      <c r="TXP76" s="1607"/>
      <c r="TXQ76" s="1607"/>
      <c r="TXR76" s="1607"/>
      <c r="TXS76" s="1607"/>
      <c r="TXT76" s="1607"/>
      <c r="TXU76" s="1607"/>
      <c r="TXV76" s="1607"/>
      <c r="TXW76" s="1607"/>
      <c r="TXX76" s="1607"/>
      <c r="TXY76" s="1607"/>
      <c r="TXZ76" s="1607"/>
      <c r="TYA76" s="1607"/>
      <c r="TYB76" s="1607"/>
      <c r="TYC76" s="1607"/>
      <c r="TYD76" s="1607"/>
      <c r="TYE76" s="1607"/>
      <c r="TYF76" s="1607"/>
      <c r="TYG76" s="1607"/>
      <c r="TYH76" s="1607"/>
      <c r="TYI76" s="1607"/>
      <c r="TYJ76" s="1607"/>
      <c r="TYK76" s="1607"/>
      <c r="TYL76" s="1607"/>
      <c r="TYM76" s="1607"/>
      <c r="TYN76" s="1607"/>
      <c r="TYO76" s="1607"/>
      <c r="TYP76" s="1607"/>
      <c r="TYQ76" s="1607"/>
      <c r="TYR76" s="1607"/>
      <c r="TYS76" s="1607"/>
      <c r="TYT76" s="1607"/>
      <c r="TYU76" s="1607"/>
      <c r="TYV76" s="1607"/>
      <c r="TYW76" s="1607"/>
      <c r="TYX76" s="1607"/>
      <c r="TYY76" s="1607"/>
      <c r="TYZ76" s="1607"/>
      <c r="TZA76" s="1607"/>
      <c r="TZB76" s="1607"/>
      <c r="TZC76" s="1607"/>
      <c r="TZD76" s="1607"/>
      <c r="TZE76" s="1607"/>
      <c r="TZF76" s="1607"/>
      <c r="TZG76" s="1607"/>
      <c r="TZH76" s="1607"/>
      <c r="TZI76" s="1607"/>
      <c r="TZJ76" s="1607"/>
      <c r="TZK76" s="1607"/>
      <c r="TZL76" s="1607"/>
      <c r="TZM76" s="1607"/>
      <c r="TZN76" s="1607"/>
      <c r="TZO76" s="1607"/>
      <c r="TZP76" s="1607"/>
      <c r="TZQ76" s="1607"/>
      <c r="TZR76" s="1607"/>
      <c r="TZS76" s="1607"/>
      <c r="TZT76" s="1607"/>
      <c r="TZU76" s="1607"/>
      <c r="TZV76" s="1607"/>
      <c r="TZW76" s="1607"/>
      <c r="TZX76" s="1607"/>
      <c r="TZY76" s="1607"/>
      <c r="TZZ76" s="1607"/>
      <c r="UAA76" s="1607"/>
      <c r="UAB76" s="1607"/>
      <c r="UAC76" s="1607"/>
      <c r="UAD76" s="1607"/>
      <c r="UAE76" s="1607"/>
      <c r="UAF76" s="1607"/>
      <c r="UAG76" s="1607"/>
      <c r="UAH76" s="1607"/>
      <c r="UAI76" s="1607"/>
      <c r="UAJ76" s="1607"/>
      <c r="UAK76" s="1607"/>
      <c r="UAL76" s="1607"/>
      <c r="UAM76" s="1607"/>
      <c r="UAN76" s="1607"/>
      <c r="UAO76" s="1607"/>
      <c r="UAP76" s="1607"/>
      <c r="UAQ76" s="1607"/>
      <c r="UAR76" s="1607"/>
      <c r="UAS76" s="1607"/>
      <c r="UAT76" s="1607"/>
      <c r="UAU76" s="1607"/>
      <c r="UAV76" s="1607"/>
      <c r="UAW76" s="1607"/>
      <c r="UAX76" s="1607"/>
      <c r="UAY76" s="1607"/>
      <c r="UAZ76" s="1607"/>
      <c r="UBA76" s="1607"/>
      <c r="UBB76" s="1607"/>
      <c r="UBC76" s="1607"/>
      <c r="UBD76" s="1607"/>
      <c r="UBE76" s="1607"/>
      <c r="UBF76" s="1607"/>
      <c r="UBG76" s="1607"/>
      <c r="UBH76" s="1607"/>
      <c r="UBI76" s="1607"/>
      <c r="UBJ76" s="1607"/>
      <c r="UBK76" s="1607"/>
      <c r="UBL76" s="1607"/>
      <c r="UBM76" s="1607"/>
      <c r="UBN76" s="1607"/>
      <c r="UBO76" s="1607"/>
      <c r="UBP76" s="1607"/>
      <c r="UBQ76" s="1607"/>
      <c r="UBR76" s="1607"/>
      <c r="UBS76" s="1607"/>
      <c r="UBT76" s="1607"/>
      <c r="UBU76" s="1607"/>
      <c r="UBV76" s="1607"/>
      <c r="UBW76" s="1607"/>
      <c r="UBX76" s="1607"/>
      <c r="UBY76" s="1607"/>
      <c r="UBZ76" s="1607"/>
      <c r="UCA76" s="1607"/>
      <c r="UCB76" s="1607"/>
      <c r="UCC76" s="1607"/>
      <c r="UCD76" s="1607"/>
      <c r="UCE76" s="1607"/>
      <c r="UCF76" s="1607"/>
      <c r="UCG76" s="1607"/>
      <c r="UCH76" s="1607"/>
      <c r="UCI76" s="1607"/>
      <c r="UCJ76" s="1607"/>
      <c r="UCK76" s="1607"/>
      <c r="UCL76" s="1607"/>
      <c r="UCM76" s="1607"/>
      <c r="UCN76" s="1607"/>
      <c r="UCO76" s="1607"/>
      <c r="UCP76" s="1607"/>
      <c r="UCQ76" s="1607"/>
      <c r="UCR76" s="1607"/>
      <c r="UCS76" s="1607"/>
      <c r="UCT76" s="1607"/>
      <c r="UCU76" s="1607"/>
      <c r="UCV76" s="1607"/>
      <c r="UCW76" s="1607"/>
      <c r="UCX76" s="1607"/>
      <c r="UCY76" s="1607"/>
      <c r="UCZ76" s="1607"/>
      <c r="UDA76" s="1607"/>
      <c r="UDB76" s="1607"/>
      <c r="UDC76" s="1607"/>
      <c r="UDD76" s="1607"/>
      <c r="UDE76" s="1607"/>
      <c r="UDF76" s="1607"/>
      <c r="UDG76" s="1607"/>
      <c r="UDH76" s="1607"/>
      <c r="UDI76" s="1607"/>
      <c r="UDJ76" s="1607"/>
      <c r="UDK76" s="1607"/>
      <c r="UDL76" s="1607"/>
      <c r="UDM76" s="1607"/>
      <c r="UDN76" s="1607"/>
      <c r="UDO76" s="1607"/>
      <c r="UDP76" s="1607"/>
      <c r="UDQ76" s="1607"/>
      <c r="UDR76" s="1607"/>
      <c r="UDS76" s="1607"/>
      <c r="UDT76" s="1607"/>
      <c r="UDU76" s="1607"/>
      <c r="UDV76" s="1607"/>
      <c r="UDW76" s="1607"/>
      <c r="UDX76" s="1607"/>
      <c r="UDY76" s="1607"/>
      <c r="UDZ76" s="1607"/>
      <c r="UEA76" s="1607"/>
      <c r="UEB76" s="1607"/>
      <c r="UEC76" s="1607"/>
      <c r="UED76" s="1607"/>
      <c r="UEE76" s="1607"/>
      <c r="UEF76" s="1607"/>
      <c r="UEG76" s="1607"/>
      <c r="UEH76" s="1607"/>
      <c r="UEI76" s="1607"/>
      <c r="UEJ76" s="1607"/>
      <c r="UEK76" s="1607"/>
      <c r="UEL76" s="1607"/>
      <c r="UEM76" s="1607"/>
      <c r="UEN76" s="1607"/>
      <c r="UEO76" s="1607"/>
      <c r="UEP76" s="1607"/>
      <c r="UEQ76" s="1607"/>
      <c r="UER76" s="1607"/>
      <c r="UES76" s="1607"/>
      <c r="UET76" s="1607"/>
      <c r="UEU76" s="1607"/>
      <c r="UEV76" s="1607"/>
      <c r="UEW76" s="1607"/>
      <c r="UEX76" s="1607"/>
      <c r="UEY76" s="1607"/>
      <c r="UEZ76" s="1607"/>
      <c r="UFA76" s="1607"/>
      <c r="UFB76" s="1607"/>
      <c r="UFC76" s="1607"/>
      <c r="UFD76" s="1607"/>
      <c r="UFE76" s="1607"/>
      <c r="UFF76" s="1607"/>
      <c r="UFG76" s="1607"/>
      <c r="UFH76" s="1607"/>
      <c r="UFI76" s="1607"/>
      <c r="UFJ76" s="1607"/>
      <c r="UFK76" s="1607"/>
      <c r="UFL76" s="1607"/>
      <c r="UFM76" s="1607"/>
      <c r="UFN76" s="1607"/>
      <c r="UFO76" s="1607"/>
      <c r="UFP76" s="1607"/>
      <c r="UFQ76" s="1607"/>
      <c r="UFR76" s="1607"/>
      <c r="UFS76" s="1607"/>
      <c r="UFT76" s="1607"/>
      <c r="UFU76" s="1607"/>
      <c r="UFV76" s="1607"/>
      <c r="UFW76" s="1607"/>
      <c r="UFX76" s="1607"/>
      <c r="UFY76" s="1607"/>
      <c r="UFZ76" s="1607"/>
      <c r="UGA76" s="1607"/>
      <c r="UGB76" s="1607"/>
      <c r="UGC76" s="1607"/>
      <c r="UGD76" s="1607"/>
      <c r="UGE76" s="1607"/>
      <c r="UGF76" s="1607"/>
      <c r="UGG76" s="1607"/>
      <c r="UGH76" s="1607"/>
      <c r="UGI76" s="1607"/>
      <c r="UGJ76" s="1607"/>
      <c r="UGK76" s="1607"/>
      <c r="UGL76" s="1607"/>
      <c r="UGM76" s="1607"/>
      <c r="UGN76" s="1607"/>
      <c r="UGO76" s="1607"/>
      <c r="UGP76" s="1607"/>
      <c r="UGQ76" s="1607"/>
      <c r="UGR76" s="1607"/>
      <c r="UGS76" s="1607"/>
      <c r="UGT76" s="1607"/>
      <c r="UGU76" s="1607"/>
      <c r="UGV76" s="1607"/>
      <c r="UGW76" s="1607"/>
      <c r="UGX76" s="1607"/>
      <c r="UGY76" s="1607"/>
      <c r="UGZ76" s="1607"/>
      <c r="UHA76" s="1607"/>
      <c r="UHB76" s="1607"/>
      <c r="UHC76" s="1607"/>
      <c r="UHD76" s="1607"/>
      <c r="UHE76" s="1607"/>
      <c r="UHF76" s="1607"/>
      <c r="UHG76" s="1607"/>
      <c r="UHH76" s="1607"/>
      <c r="UHI76" s="1607"/>
      <c r="UHJ76" s="1607"/>
      <c r="UHK76" s="1607"/>
      <c r="UHL76" s="1607"/>
      <c r="UHM76" s="1607"/>
      <c r="UHN76" s="1607"/>
      <c r="UHO76" s="1607"/>
      <c r="UHP76" s="1607"/>
      <c r="UHQ76" s="1607"/>
      <c r="UHR76" s="1607"/>
      <c r="UHS76" s="1607"/>
      <c r="UHT76" s="1607"/>
      <c r="UHU76" s="1607"/>
      <c r="UHV76" s="1607"/>
      <c r="UHW76" s="1607"/>
      <c r="UHX76" s="1607"/>
      <c r="UHY76" s="1607"/>
      <c r="UHZ76" s="1607"/>
      <c r="UIA76" s="1607"/>
      <c r="UIB76" s="1607"/>
      <c r="UIC76" s="1607"/>
      <c r="UID76" s="1607"/>
      <c r="UIE76" s="1607"/>
      <c r="UIF76" s="1607"/>
      <c r="UIG76" s="1607"/>
      <c r="UIH76" s="1607"/>
      <c r="UII76" s="1607"/>
      <c r="UIJ76" s="1607"/>
      <c r="UIK76" s="1607"/>
      <c r="UIL76" s="1607"/>
      <c r="UIM76" s="1607"/>
      <c r="UIN76" s="1607"/>
      <c r="UIO76" s="1607"/>
      <c r="UIP76" s="1607"/>
      <c r="UIQ76" s="1607"/>
      <c r="UIR76" s="1607"/>
      <c r="UIS76" s="1607"/>
      <c r="UIT76" s="1607"/>
      <c r="UIU76" s="1607"/>
      <c r="UIV76" s="1607"/>
      <c r="UIW76" s="1607"/>
      <c r="UIX76" s="1607"/>
      <c r="UIY76" s="1607"/>
      <c r="UIZ76" s="1607"/>
      <c r="UJA76" s="1607"/>
      <c r="UJB76" s="1607"/>
      <c r="UJC76" s="1607"/>
      <c r="UJD76" s="1607"/>
      <c r="UJE76" s="1607"/>
      <c r="UJF76" s="1607"/>
      <c r="UJG76" s="1607"/>
      <c r="UJH76" s="1607"/>
      <c r="UJI76" s="1607"/>
      <c r="UJJ76" s="1607"/>
      <c r="UJK76" s="1607"/>
      <c r="UJL76" s="1607"/>
      <c r="UJM76" s="1607"/>
      <c r="UJN76" s="1607"/>
      <c r="UJO76" s="1607"/>
      <c r="UJP76" s="1607"/>
      <c r="UJQ76" s="1607"/>
      <c r="UJR76" s="1607"/>
      <c r="UJS76" s="1607"/>
      <c r="UJT76" s="1607"/>
      <c r="UJU76" s="1607"/>
      <c r="UJV76" s="1607"/>
      <c r="UJW76" s="1607"/>
      <c r="UJX76" s="1607"/>
      <c r="UJY76" s="1607"/>
      <c r="UJZ76" s="1607"/>
      <c r="UKA76" s="1607"/>
      <c r="UKB76" s="1607"/>
      <c r="UKC76" s="1607"/>
      <c r="UKD76" s="1607"/>
      <c r="UKE76" s="1607"/>
      <c r="UKF76" s="1607"/>
      <c r="UKG76" s="1607"/>
      <c r="UKH76" s="1607"/>
      <c r="UKI76" s="1607"/>
      <c r="UKJ76" s="1607"/>
      <c r="UKK76" s="1607"/>
      <c r="UKL76" s="1607"/>
      <c r="UKM76" s="1607"/>
      <c r="UKN76" s="1607"/>
      <c r="UKO76" s="1607"/>
      <c r="UKP76" s="1607"/>
      <c r="UKQ76" s="1607"/>
      <c r="UKR76" s="1607"/>
      <c r="UKS76" s="1607"/>
      <c r="UKT76" s="1607"/>
      <c r="UKU76" s="1607"/>
      <c r="UKV76" s="1607"/>
      <c r="UKW76" s="1607"/>
      <c r="UKX76" s="1607"/>
      <c r="UKY76" s="1607"/>
      <c r="UKZ76" s="1607"/>
      <c r="ULA76" s="1607"/>
      <c r="ULB76" s="1607"/>
      <c r="ULC76" s="1607"/>
      <c r="ULD76" s="1607"/>
      <c r="ULE76" s="1607"/>
      <c r="ULF76" s="1607"/>
      <c r="ULG76" s="1607"/>
      <c r="ULH76" s="1607"/>
      <c r="ULI76" s="1607"/>
      <c r="ULJ76" s="1607"/>
      <c r="ULK76" s="1607"/>
      <c r="ULL76" s="1607"/>
      <c r="ULM76" s="1607"/>
      <c r="ULN76" s="1607"/>
      <c r="ULO76" s="1607"/>
      <c r="ULP76" s="1607"/>
      <c r="ULQ76" s="1607"/>
      <c r="ULR76" s="1607"/>
      <c r="ULS76" s="1607"/>
      <c r="ULT76" s="1607"/>
      <c r="ULU76" s="1607"/>
      <c r="ULV76" s="1607"/>
      <c r="ULW76" s="1607"/>
      <c r="ULX76" s="1607"/>
      <c r="ULY76" s="1607"/>
      <c r="ULZ76" s="1607"/>
      <c r="UMA76" s="1607"/>
      <c r="UMB76" s="1607"/>
      <c r="UMC76" s="1607"/>
      <c r="UMD76" s="1607"/>
      <c r="UME76" s="1607"/>
      <c r="UMF76" s="1607"/>
      <c r="UMG76" s="1607"/>
      <c r="UMH76" s="1607"/>
      <c r="UMI76" s="1607"/>
      <c r="UMJ76" s="1607"/>
      <c r="UMK76" s="1607"/>
      <c r="UML76" s="1607"/>
      <c r="UMM76" s="1607"/>
      <c r="UMN76" s="1607"/>
      <c r="UMO76" s="1607"/>
      <c r="UMP76" s="1607"/>
      <c r="UMQ76" s="1607"/>
      <c r="UMR76" s="1607"/>
      <c r="UMS76" s="1607"/>
      <c r="UMT76" s="1607"/>
      <c r="UMU76" s="1607"/>
      <c r="UMV76" s="1607"/>
      <c r="UMW76" s="1607"/>
      <c r="UMX76" s="1607"/>
      <c r="UMY76" s="1607"/>
      <c r="UMZ76" s="1607"/>
      <c r="UNA76" s="1607"/>
      <c r="UNB76" s="1607"/>
      <c r="UNC76" s="1607"/>
      <c r="UND76" s="1607"/>
      <c r="UNE76" s="1607"/>
      <c r="UNF76" s="1607"/>
      <c r="UNG76" s="1607"/>
      <c r="UNH76" s="1607"/>
      <c r="UNI76" s="1607"/>
      <c r="UNJ76" s="1607"/>
      <c r="UNK76" s="1607"/>
      <c r="UNL76" s="1607"/>
      <c r="UNM76" s="1607"/>
      <c r="UNN76" s="1607"/>
      <c r="UNO76" s="1607"/>
      <c r="UNP76" s="1607"/>
      <c r="UNQ76" s="1607"/>
      <c r="UNR76" s="1607"/>
      <c r="UNS76" s="1607"/>
      <c r="UNT76" s="1607"/>
      <c r="UNU76" s="1607"/>
      <c r="UNV76" s="1607"/>
      <c r="UNW76" s="1607"/>
      <c r="UNX76" s="1607"/>
      <c r="UNY76" s="1607"/>
      <c r="UNZ76" s="1607"/>
      <c r="UOA76" s="1607"/>
      <c r="UOB76" s="1607"/>
      <c r="UOC76" s="1607"/>
      <c r="UOD76" s="1607"/>
      <c r="UOE76" s="1607"/>
      <c r="UOF76" s="1607"/>
      <c r="UOG76" s="1607"/>
      <c r="UOH76" s="1607"/>
      <c r="UOI76" s="1607"/>
      <c r="UOJ76" s="1607"/>
      <c r="UOK76" s="1607"/>
      <c r="UOL76" s="1607"/>
      <c r="UOM76" s="1607"/>
      <c r="UON76" s="1607"/>
      <c r="UOO76" s="1607"/>
      <c r="UOP76" s="1607"/>
      <c r="UOQ76" s="1607"/>
      <c r="UOR76" s="1607"/>
      <c r="UOS76" s="1607"/>
      <c r="UOT76" s="1607"/>
      <c r="UOU76" s="1607"/>
      <c r="UOV76" s="1607"/>
      <c r="UOW76" s="1607"/>
      <c r="UOX76" s="1607"/>
      <c r="UOY76" s="1607"/>
      <c r="UOZ76" s="1607"/>
      <c r="UPA76" s="1607"/>
      <c r="UPB76" s="1607"/>
      <c r="UPC76" s="1607"/>
      <c r="UPD76" s="1607"/>
      <c r="UPE76" s="1607"/>
      <c r="UPF76" s="1607"/>
      <c r="UPG76" s="1607"/>
      <c r="UPH76" s="1607"/>
      <c r="UPI76" s="1607"/>
      <c r="UPJ76" s="1607"/>
      <c r="UPK76" s="1607"/>
      <c r="UPL76" s="1607"/>
      <c r="UPM76" s="1607"/>
      <c r="UPN76" s="1607"/>
      <c r="UPO76" s="1607"/>
      <c r="UPP76" s="1607"/>
      <c r="UPQ76" s="1607"/>
      <c r="UPR76" s="1607"/>
      <c r="UPS76" s="1607"/>
      <c r="UPT76" s="1607"/>
      <c r="UPU76" s="1607"/>
      <c r="UPV76" s="1607"/>
      <c r="UPW76" s="1607"/>
      <c r="UPX76" s="1607"/>
      <c r="UPY76" s="1607"/>
      <c r="UPZ76" s="1607"/>
      <c r="UQA76" s="1607"/>
      <c r="UQB76" s="1607"/>
      <c r="UQC76" s="1607"/>
      <c r="UQD76" s="1607"/>
      <c r="UQE76" s="1607"/>
      <c r="UQF76" s="1607"/>
      <c r="UQG76" s="1607"/>
      <c r="UQH76" s="1607"/>
      <c r="UQI76" s="1607"/>
      <c r="UQJ76" s="1607"/>
      <c r="UQK76" s="1607"/>
      <c r="UQL76" s="1607"/>
      <c r="UQM76" s="1607"/>
      <c r="UQN76" s="1607"/>
      <c r="UQO76" s="1607"/>
      <c r="UQP76" s="1607"/>
      <c r="UQQ76" s="1607"/>
      <c r="UQR76" s="1607"/>
      <c r="UQS76" s="1607"/>
      <c r="UQT76" s="1607"/>
      <c r="UQU76" s="1607"/>
      <c r="UQV76" s="1607"/>
      <c r="UQW76" s="1607"/>
      <c r="UQX76" s="1607"/>
      <c r="UQY76" s="1607"/>
      <c r="UQZ76" s="1607"/>
      <c r="URA76" s="1607"/>
      <c r="URB76" s="1607"/>
      <c r="URC76" s="1607"/>
      <c r="URD76" s="1607"/>
      <c r="URE76" s="1607"/>
      <c r="URF76" s="1607"/>
      <c r="URG76" s="1607"/>
      <c r="URH76" s="1607"/>
      <c r="URI76" s="1607"/>
      <c r="URJ76" s="1607"/>
      <c r="URK76" s="1607"/>
      <c r="URL76" s="1607"/>
      <c r="URM76" s="1607"/>
      <c r="URN76" s="1607"/>
      <c r="URO76" s="1607"/>
      <c r="URP76" s="1607"/>
      <c r="URQ76" s="1607"/>
      <c r="URR76" s="1607"/>
      <c r="URS76" s="1607"/>
      <c r="URT76" s="1607"/>
      <c r="URU76" s="1607"/>
      <c r="URV76" s="1607"/>
      <c r="URW76" s="1607"/>
      <c r="URX76" s="1607"/>
      <c r="URY76" s="1607"/>
      <c r="URZ76" s="1607"/>
      <c r="USA76" s="1607"/>
      <c r="USB76" s="1607"/>
      <c r="USC76" s="1607"/>
      <c r="USD76" s="1607"/>
      <c r="USE76" s="1607"/>
      <c r="USF76" s="1607"/>
      <c r="USG76" s="1607"/>
      <c r="USH76" s="1607"/>
      <c r="USI76" s="1607"/>
      <c r="USJ76" s="1607"/>
      <c r="USK76" s="1607"/>
      <c r="USL76" s="1607"/>
      <c r="USM76" s="1607"/>
      <c r="USN76" s="1607"/>
      <c r="USO76" s="1607"/>
      <c r="USP76" s="1607"/>
      <c r="USQ76" s="1607"/>
      <c r="USR76" s="1607"/>
      <c r="USS76" s="1607"/>
      <c r="UST76" s="1607"/>
      <c r="USU76" s="1607"/>
      <c r="USV76" s="1607"/>
      <c r="USW76" s="1607"/>
      <c r="USX76" s="1607"/>
      <c r="USY76" s="1607"/>
      <c r="USZ76" s="1607"/>
      <c r="UTA76" s="1607"/>
      <c r="UTB76" s="1607"/>
      <c r="UTC76" s="1607"/>
      <c r="UTD76" s="1607"/>
      <c r="UTE76" s="1607"/>
      <c r="UTF76" s="1607"/>
      <c r="UTG76" s="1607"/>
      <c r="UTH76" s="1607"/>
      <c r="UTI76" s="1607"/>
      <c r="UTJ76" s="1607"/>
      <c r="UTK76" s="1607"/>
      <c r="UTL76" s="1607"/>
      <c r="UTM76" s="1607"/>
      <c r="UTN76" s="1607"/>
      <c r="UTO76" s="1607"/>
      <c r="UTP76" s="1607"/>
      <c r="UTQ76" s="1607"/>
      <c r="UTR76" s="1607"/>
      <c r="UTS76" s="1607"/>
      <c r="UTT76" s="1607"/>
      <c r="UTU76" s="1607"/>
      <c r="UTV76" s="1607"/>
      <c r="UTW76" s="1607"/>
      <c r="UTX76" s="1607"/>
      <c r="UTY76" s="1607"/>
      <c r="UTZ76" s="1607"/>
      <c r="UUA76" s="1607"/>
      <c r="UUB76" s="1607"/>
      <c r="UUC76" s="1607"/>
      <c r="UUD76" s="1607"/>
      <c r="UUE76" s="1607"/>
      <c r="UUF76" s="1607"/>
      <c r="UUG76" s="1607"/>
      <c r="UUH76" s="1607"/>
      <c r="UUI76" s="1607"/>
      <c r="UUJ76" s="1607"/>
      <c r="UUK76" s="1607"/>
      <c r="UUL76" s="1607"/>
      <c r="UUM76" s="1607"/>
      <c r="UUN76" s="1607"/>
      <c r="UUO76" s="1607"/>
      <c r="UUP76" s="1607"/>
      <c r="UUQ76" s="1607"/>
      <c r="UUR76" s="1607"/>
      <c r="UUS76" s="1607"/>
      <c r="UUT76" s="1607"/>
      <c r="UUU76" s="1607"/>
      <c r="UUV76" s="1607"/>
      <c r="UUW76" s="1607"/>
      <c r="UUX76" s="1607"/>
      <c r="UUY76" s="1607"/>
      <c r="UUZ76" s="1607"/>
      <c r="UVA76" s="1607"/>
      <c r="UVB76" s="1607"/>
      <c r="UVC76" s="1607"/>
      <c r="UVD76" s="1607"/>
      <c r="UVE76" s="1607"/>
      <c r="UVF76" s="1607"/>
      <c r="UVG76" s="1607"/>
      <c r="UVH76" s="1607"/>
      <c r="UVI76" s="1607"/>
      <c r="UVJ76" s="1607"/>
      <c r="UVK76" s="1607"/>
      <c r="UVL76" s="1607"/>
      <c r="UVM76" s="1607"/>
      <c r="UVN76" s="1607"/>
      <c r="UVO76" s="1607"/>
      <c r="UVP76" s="1607"/>
      <c r="UVQ76" s="1607"/>
      <c r="UVR76" s="1607"/>
      <c r="UVS76" s="1607"/>
      <c r="UVT76" s="1607"/>
      <c r="UVU76" s="1607"/>
      <c r="UVV76" s="1607"/>
      <c r="UVW76" s="1607"/>
      <c r="UVX76" s="1607"/>
      <c r="UVY76" s="1607"/>
      <c r="UVZ76" s="1607"/>
      <c r="UWA76" s="1607"/>
      <c r="UWB76" s="1607"/>
      <c r="UWC76" s="1607"/>
      <c r="UWD76" s="1607"/>
      <c r="UWE76" s="1607"/>
      <c r="UWF76" s="1607"/>
      <c r="UWG76" s="1607"/>
      <c r="UWH76" s="1607"/>
      <c r="UWI76" s="1607"/>
      <c r="UWJ76" s="1607"/>
      <c r="UWK76" s="1607"/>
      <c r="UWL76" s="1607"/>
      <c r="UWM76" s="1607"/>
      <c r="UWN76" s="1607"/>
      <c r="UWO76" s="1607"/>
      <c r="UWP76" s="1607"/>
      <c r="UWQ76" s="1607"/>
      <c r="UWR76" s="1607"/>
      <c r="UWS76" s="1607"/>
      <c r="UWT76" s="1607"/>
      <c r="UWU76" s="1607"/>
      <c r="UWV76" s="1607"/>
      <c r="UWW76" s="1607"/>
      <c r="UWX76" s="1607"/>
      <c r="UWY76" s="1607"/>
      <c r="UWZ76" s="1607"/>
      <c r="UXA76" s="1607"/>
      <c r="UXB76" s="1607"/>
      <c r="UXC76" s="1607"/>
      <c r="UXD76" s="1607"/>
      <c r="UXE76" s="1607"/>
      <c r="UXF76" s="1607"/>
      <c r="UXG76" s="1607"/>
      <c r="UXH76" s="1607"/>
      <c r="UXI76" s="1607"/>
      <c r="UXJ76" s="1607"/>
      <c r="UXK76" s="1607"/>
      <c r="UXL76" s="1607"/>
      <c r="UXM76" s="1607"/>
      <c r="UXN76" s="1607"/>
      <c r="UXO76" s="1607"/>
      <c r="UXP76" s="1607"/>
      <c r="UXQ76" s="1607"/>
      <c r="UXR76" s="1607"/>
      <c r="UXS76" s="1607"/>
      <c r="UXT76" s="1607"/>
      <c r="UXU76" s="1607"/>
      <c r="UXV76" s="1607"/>
      <c r="UXW76" s="1607"/>
      <c r="UXX76" s="1607"/>
      <c r="UXY76" s="1607"/>
      <c r="UXZ76" s="1607"/>
      <c r="UYA76" s="1607"/>
      <c r="UYB76" s="1607"/>
      <c r="UYC76" s="1607"/>
      <c r="UYD76" s="1607"/>
      <c r="UYE76" s="1607"/>
      <c r="UYF76" s="1607"/>
      <c r="UYG76" s="1607"/>
      <c r="UYH76" s="1607"/>
      <c r="UYI76" s="1607"/>
      <c r="UYJ76" s="1607"/>
      <c r="UYK76" s="1607"/>
      <c r="UYL76" s="1607"/>
      <c r="UYM76" s="1607"/>
      <c r="UYN76" s="1607"/>
      <c r="UYO76" s="1607"/>
      <c r="UYP76" s="1607"/>
      <c r="UYQ76" s="1607"/>
      <c r="UYR76" s="1607"/>
      <c r="UYS76" s="1607"/>
      <c r="UYT76" s="1607"/>
      <c r="UYU76" s="1607"/>
      <c r="UYV76" s="1607"/>
      <c r="UYW76" s="1607"/>
      <c r="UYX76" s="1607"/>
      <c r="UYY76" s="1607"/>
      <c r="UYZ76" s="1607"/>
      <c r="UZA76" s="1607"/>
      <c r="UZB76" s="1607"/>
      <c r="UZC76" s="1607"/>
      <c r="UZD76" s="1607"/>
      <c r="UZE76" s="1607"/>
      <c r="UZF76" s="1607"/>
      <c r="UZG76" s="1607"/>
      <c r="UZH76" s="1607"/>
      <c r="UZI76" s="1607"/>
      <c r="UZJ76" s="1607"/>
      <c r="UZK76" s="1607"/>
      <c r="UZL76" s="1607"/>
      <c r="UZM76" s="1607"/>
      <c r="UZN76" s="1607"/>
      <c r="UZO76" s="1607"/>
      <c r="UZP76" s="1607"/>
      <c r="UZQ76" s="1607"/>
      <c r="UZR76" s="1607"/>
      <c r="UZS76" s="1607"/>
      <c r="UZT76" s="1607"/>
      <c r="UZU76" s="1607"/>
      <c r="UZV76" s="1607"/>
      <c r="UZW76" s="1607"/>
      <c r="UZX76" s="1607"/>
      <c r="UZY76" s="1607"/>
      <c r="UZZ76" s="1607"/>
      <c r="VAA76" s="1607"/>
      <c r="VAB76" s="1607"/>
      <c r="VAC76" s="1607"/>
      <c r="VAD76" s="1607"/>
      <c r="VAE76" s="1607"/>
      <c r="VAF76" s="1607"/>
      <c r="VAG76" s="1607"/>
      <c r="VAH76" s="1607"/>
      <c r="VAI76" s="1607"/>
      <c r="VAJ76" s="1607"/>
      <c r="VAK76" s="1607"/>
      <c r="VAL76" s="1607"/>
      <c r="VAM76" s="1607"/>
      <c r="VAN76" s="1607"/>
      <c r="VAO76" s="1607"/>
      <c r="VAP76" s="1607"/>
      <c r="VAQ76" s="1607"/>
      <c r="VAR76" s="1607"/>
      <c r="VAS76" s="1607"/>
      <c r="VAT76" s="1607"/>
      <c r="VAU76" s="1607"/>
      <c r="VAV76" s="1607"/>
      <c r="VAW76" s="1607"/>
      <c r="VAX76" s="1607"/>
      <c r="VAY76" s="1607"/>
      <c r="VAZ76" s="1607"/>
      <c r="VBA76" s="1607"/>
      <c r="VBB76" s="1607"/>
      <c r="VBC76" s="1607"/>
      <c r="VBD76" s="1607"/>
      <c r="VBE76" s="1607"/>
      <c r="VBF76" s="1607"/>
      <c r="VBG76" s="1607"/>
      <c r="VBH76" s="1607"/>
      <c r="VBI76" s="1607"/>
      <c r="VBJ76" s="1607"/>
      <c r="VBK76" s="1607"/>
      <c r="VBL76" s="1607"/>
      <c r="VBM76" s="1607"/>
      <c r="VBN76" s="1607"/>
      <c r="VBO76" s="1607"/>
      <c r="VBP76" s="1607"/>
      <c r="VBQ76" s="1607"/>
      <c r="VBR76" s="1607"/>
      <c r="VBS76" s="1607"/>
      <c r="VBT76" s="1607"/>
      <c r="VBU76" s="1607"/>
      <c r="VBV76" s="1607"/>
      <c r="VBW76" s="1607"/>
      <c r="VBX76" s="1607"/>
      <c r="VBY76" s="1607"/>
      <c r="VBZ76" s="1607"/>
      <c r="VCA76" s="1607"/>
      <c r="VCB76" s="1607"/>
      <c r="VCC76" s="1607"/>
      <c r="VCD76" s="1607"/>
      <c r="VCE76" s="1607"/>
      <c r="VCF76" s="1607"/>
      <c r="VCG76" s="1607"/>
      <c r="VCH76" s="1607"/>
      <c r="VCI76" s="1607"/>
      <c r="VCJ76" s="1607"/>
      <c r="VCK76" s="1607"/>
      <c r="VCL76" s="1607"/>
      <c r="VCM76" s="1607"/>
      <c r="VCN76" s="1607"/>
      <c r="VCO76" s="1607"/>
      <c r="VCP76" s="1607"/>
      <c r="VCQ76" s="1607"/>
      <c r="VCR76" s="1607"/>
      <c r="VCS76" s="1607"/>
      <c r="VCT76" s="1607"/>
      <c r="VCU76" s="1607"/>
      <c r="VCV76" s="1607"/>
      <c r="VCW76" s="1607"/>
      <c r="VCX76" s="1607"/>
      <c r="VCY76" s="1607"/>
      <c r="VCZ76" s="1607"/>
      <c r="VDA76" s="1607"/>
      <c r="VDB76" s="1607"/>
      <c r="VDC76" s="1607"/>
      <c r="VDD76" s="1607"/>
      <c r="VDE76" s="1607"/>
      <c r="VDF76" s="1607"/>
      <c r="VDG76" s="1607"/>
      <c r="VDH76" s="1607"/>
      <c r="VDI76" s="1607"/>
      <c r="VDJ76" s="1607"/>
      <c r="VDK76" s="1607"/>
      <c r="VDL76" s="1607"/>
      <c r="VDM76" s="1607"/>
      <c r="VDN76" s="1607"/>
      <c r="VDO76" s="1607"/>
      <c r="VDP76" s="1607"/>
      <c r="VDQ76" s="1607"/>
      <c r="VDR76" s="1607"/>
      <c r="VDS76" s="1607"/>
      <c r="VDT76" s="1607"/>
      <c r="VDU76" s="1607"/>
      <c r="VDV76" s="1607"/>
      <c r="VDW76" s="1607"/>
      <c r="VDX76" s="1607"/>
      <c r="VDY76" s="1607"/>
      <c r="VDZ76" s="1607"/>
      <c r="VEA76" s="1607"/>
      <c r="VEB76" s="1607"/>
      <c r="VEC76" s="1607"/>
      <c r="VED76" s="1607"/>
      <c r="VEE76" s="1607"/>
      <c r="VEF76" s="1607"/>
      <c r="VEG76" s="1607"/>
      <c r="VEH76" s="1607"/>
      <c r="VEI76" s="1607"/>
      <c r="VEJ76" s="1607"/>
      <c r="VEK76" s="1607"/>
      <c r="VEL76" s="1607"/>
      <c r="VEM76" s="1607"/>
      <c r="VEN76" s="1607"/>
      <c r="VEO76" s="1607"/>
      <c r="VEP76" s="1607"/>
      <c r="VEQ76" s="1607"/>
      <c r="VER76" s="1607"/>
      <c r="VES76" s="1607"/>
      <c r="VET76" s="1607"/>
      <c r="VEU76" s="1607"/>
      <c r="VEV76" s="1607"/>
      <c r="VEW76" s="1607"/>
      <c r="VEX76" s="1607"/>
      <c r="VEY76" s="1607"/>
      <c r="VEZ76" s="1607"/>
      <c r="VFA76" s="1607"/>
      <c r="VFB76" s="1607"/>
      <c r="VFC76" s="1607"/>
      <c r="VFD76" s="1607"/>
      <c r="VFE76" s="1607"/>
      <c r="VFF76" s="1607"/>
      <c r="VFG76" s="1607"/>
      <c r="VFH76" s="1607"/>
      <c r="VFI76" s="1607"/>
      <c r="VFJ76" s="1607"/>
      <c r="VFK76" s="1607"/>
      <c r="VFL76" s="1607"/>
      <c r="VFM76" s="1607"/>
      <c r="VFN76" s="1607"/>
      <c r="VFO76" s="1607"/>
      <c r="VFP76" s="1607"/>
      <c r="VFQ76" s="1607"/>
      <c r="VFR76" s="1607"/>
      <c r="VFS76" s="1607"/>
      <c r="VFT76" s="1607"/>
      <c r="VFU76" s="1607"/>
      <c r="VFV76" s="1607"/>
      <c r="VFW76" s="1607"/>
      <c r="VFX76" s="1607"/>
      <c r="VFY76" s="1607"/>
      <c r="VFZ76" s="1607"/>
      <c r="VGA76" s="1607"/>
      <c r="VGB76" s="1607"/>
      <c r="VGC76" s="1607"/>
      <c r="VGD76" s="1607"/>
      <c r="VGE76" s="1607"/>
      <c r="VGF76" s="1607"/>
      <c r="VGG76" s="1607"/>
      <c r="VGH76" s="1607"/>
      <c r="VGI76" s="1607"/>
      <c r="VGJ76" s="1607"/>
      <c r="VGK76" s="1607"/>
      <c r="VGL76" s="1607"/>
      <c r="VGM76" s="1607"/>
      <c r="VGN76" s="1607"/>
      <c r="VGO76" s="1607"/>
      <c r="VGP76" s="1607"/>
      <c r="VGQ76" s="1607"/>
      <c r="VGR76" s="1607"/>
      <c r="VGS76" s="1607"/>
      <c r="VGT76" s="1607"/>
      <c r="VGU76" s="1607"/>
      <c r="VGV76" s="1607"/>
      <c r="VGW76" s="1607"/>
      <c r="VGX76" s="1607"/>
      <c r="VGY76" s="1607"/>
      <c r="VGZ76" s="1607"/>
      <c r="VHA76" s="1607"/>
      <c r="VHB76" s="1607"/>
      <c r="VHC76" s="1607"/>
      <c r="VHD76" s="1607"/>
      <c r="VHE76" s="1607"/>
      <c r="VHF76" s="1607"/>
      <c r="VHG76" s="1607"/>
      <c r="VHH76" s="1607"/>
      <c r="VHI76" s="1607"/>
      <c r="VHJ76" s="1607"/>
      <c r="VHK76" s="1607"/>
      <c r="VHL76" s="1607"/>
      <c r="VHM76" s="1607"/>
      <c r="VHN76" s="1607"/>
      <c r="VHO76" s="1607"/>
      <c r="VHP76" s="1607"/>
      <c r="VHQ76" s="1607"/>
      <c r="VHR76" s="1607"/>
      <c r="VHS76" s="1607"/>
      <c r="VHT76" s="1607"/>
      <c r="VHU76" s="1607"/>
      <c r="VHV76" s="1607"/>
      <c r="VHW76" s="1607"/>
      <c r="VHX76" s="1607"/>
      <c r="VHY76" s="1607"/>
      <c r="VHZ76" s="1607"/>
      <c r="VIA76" s="1607"/>
      <c r="VIB76" s="1607"/>
      <c r="VIC76" s="1607"/>
      <c r="VID76" s="1607"/>
      <c r="VIE76" s="1607"/>
      <c r="VIF76" s="1607"/>
      <c r="VIG76" s="1607"/>
      <c r="VIH76" s="1607"/>
      <c r="VII76" s="1607"/>
      <c r="VIJ76" s="1607"/>
      <c r="VIK76" s="1607"/>
      <c r="VIL76" s="1607"/>
      <c r="VIM76" s="1607"/>
      <c r="VIN76" s="1607"/>
      <c r="VIO76" s="1607"/>
      <c r="VIP76" s="1607"/>
      <c r="VIQ76" s="1607"/>
      <c r="VIR76" s="1607"/>
      <c r="VIS76" s="1607"/>
      <c r="VIT76" s="1607"/>
      <c r="VIU76" s="1607"/>
      <c r="VIV76" s="1607"/>
      <c r="VIW76" s="1607"/>
      <c r="VIX76" s="1607"/>
      <c r="VIY76" s="1607"/>
      <c r="VIZ76" s="1607"/>
      <c r="VJA76" s="1607"/>
      <c r="VJB76" s="1607"/>
      <c r="VJC76" s="1607"/>
      <c r="VJD76" s="1607"/>
      <c r="VJE76" s="1607"/>
      <c r="VJF76" s="1607"/>
      <c r="VJG76" s="1607"/>
      <c r="VJH76" s="1607"/>
      <c r="VJI76" s="1607"/>
      <c r="VJJ76" s="1607"/>
      <c r="VJK76" s="1607"/>
      <c r="VJL76" s="1607"/>
      <c r="VJM76" s="1607"/>
      <c r="VJN76" s="1607"/>
      <c r="VJO76" s="1607"/>
      <c r="VJP76" s="1607"/>
      <c r="VJQ76" s="1607"/>
      <c r="VJR76" s="1607"/>
      <c r="VJS76" s="1607"/>
      <c r="VJT76" s="1607"/>
      <c r="VJU76" s="1607"/>
      <c r="VJV76" s="1607"/>
      <c r="VJW76" s="1607"/>
      <c r="VJX76" s="1607"/>
      <c r="VJY76" s="1607"/>
      <c r="VJZ76" s="1607"/>
      <c r="VKA76" s="1607"/>
      <c r="VKB76" s="1607"/>
      <c r="VKC76" s="1607"/>
      <c r="VKD76" s="1607"/>
      <c r="VKE76" s="1607"/>
      <c r="VKF76" s="1607"/>
      <c r="VKG76" s="1607"/>
      <c r="VKH76" s="1607"/>
      <c r="VKI76" s="1607"/>
      <c r="VKJ76" s="1607"/>
      <c r="VKK76" s="1607"/>
      <c r="VKL76" s="1607"/>
      <c r="VKM76" s="1607"/>
      <c r="VKN76" s="1607"/>
      <c r="VKO76" s="1607"/>
      <c r="VKP76" s="1607"/>
      <c r="VKQ76" s="1607"/>
      <c r="VKR76" s="1607"/>
      <c r="VKS76" s="1607"/>
      <c r="VKT76" s="1607"/>
      <c r="VKU76" s="1607"/>
      <c r="VKV76" s="1607"/>
      <c r="VKW76" s="1607"/>
      <c r="VKX76" s="1607"/>
      <c r="VKY76" s="1607"/>
      <c r="VKZ76" s="1607"/>
      <c r="VLA76" s="1607"/>
      <c r="VLB76" s="1607"/>
      <c r="VLC76" s="1607"/>
      <c r="VLD76" s="1607"/>
      <c r="VLE76" s="1607"/>
      <c r="VLF76" s="1607"/>
      <c r="VLG76" s="1607"/>
      <c r="VLH76" s="1607"/>
      <c r="VLI76" s="1607"/>
      <c r="VLJ76" s="1607"/>
      <c r="VLK76" s="1607"/>
      <c r="VLL76" s="1607"/>
      <c r="VLM76" s="1607"/>
      <c r="VLN76" s="1607"/>
      <c r="VLO76" s="1607"/>
      <c r="VLP76" s="1607"/>
      <c r="VLQ76" s="1607"/>
      <c r="VLR76" s="1607"/>
      <c r="VLS76" s="1607"/>
      <c r="VLT76" s="1607"/>
      <c r="VLU76" s="1607"/>
      <c r="VLV76" s="1607"/>
      <c r="VLW76" s="1607"/>
      <c r="VLX76" s="1607"/>
      <c r="VLY76" s="1607"/>
      <c r="VLZ76" s="1607"/>
      <c r="VMA76" s="1607"/>
      <c r="VMB76" s="1607"/>
      <c r="VMC76" s="1607"/>
      <c r="VMD76" s="1607"/>
      <c r="VME76" s="1607"/>
      <c r="VMF76" s="1607"/>
      <c r="VMG76" s="1607"/>
      <c r="VMH76" s="1607"/>
      <c r="VMI76" s="1607"/>
      <c r="VMJ76" s="1607"/>
      <c r="VMK76" s="1607"/>
      <c r="VML76" s="1607"/>
      <c r="VMM76" s="1607"/>
      <c r="VMN76" s="1607"/>
      <c r="VMO76" s="1607"/>
      <c r="VMP76" s="1607"/>
      <c r="VMQ76" s="1607"/>
      <c r="VMR76" s="1607"/>
      <c r="VMS76" s="1607"/>
      <c r="VMT76" s="1607"/>
      <c r="VMU76" s="1607"/>
      <c r="VMV76" s="1607"/>
      <c r="VMW76" s="1607"/>
      <c r="VMX76" s="1607"/>
      <c r="VMY76" s="1607"/>
      <c r="VMZ76" s="1607"/>
      <c r="VNA76" s="1607"/>
      <c r="VNB76" s="1607"/>
      <c r="VNC76" s="1607"/>
      <c r="VND76" s="1607"/>
      <c r="VNE76" s="1607"/>
      <c r="VNF76" s="1607"/>
      <c r="VNG76" s="1607"/>
      <c r="VNH76" s="1607"/>
      <c r="VNI76" s="1607"/>
      <c r="VNJ76" s="1607"/>
      <c r="VNK76" s="1607"/>
      <c r="VNL76" s="1607"/>
      <c r="VNM76" s="1607"/>
      <c r="VNN76" s="1607"/>
      <c r="VNO76" s="1607"/>
      <c r="VNP76" s="1607"/>
      <c r="VNQ76" s="1607"/>
      <c r="VNR76" s="1607"/>
      <c r="VNS76" s="1607"/>
      <c r="VNT76" s="1607"/>
      <c r="VNU76" s="1607"/>
      <c r="VNV76" s="1607"/>
      <c r="VNW76" s="1607"/>
      <c r="VNX76" s="1607"/>
      <c r="VNY76" s="1607"/>
      <c r="VNZ76" s="1607"/>
      <c r="VOA76" s="1607"/>
      <c r="VOB76" s="1607"/>
      <c r="VOC76" s="1607"/>
      <c r="VOD76" s="1607"/>
      <c r="VOE76" s="1607"/>
      <c r="VOF76" s="1607"/>
      <c r="VOG76" s="1607"/>
      <c r="VOH76" s="1607"/>
      <c r="VOI76" s="1607"/>
      <c r="VOJ76" s="1607"/>
      <c r="VOK76" s="1607"/>
      <c r="VOL76" s="1607"/>
      <c r="VOM76" s="1607"/>
      <c r="VON76" s="1607"/>
      <c r="VOO76" s="1607"/>
      <c r="VOP76" s="1607"/>
      <c r="VOQ76" s="1607"/>
      <c r="VOR76" s="1607"/>
      <c r="VOS76" s="1607"/>
      <c r="VOT76" s="1607"/>
      <c r="VOU76" s="1607"/>
      <c r="VOV76" s="1607"/>
      <c r="VOW76" s="1607"/>
      <c r="VOX76" s="1607"/>
      <c r="VOY76" s="1607"/>
      <c r="VOZ76" s="1607"/>
      <c r="VPA76" s="1607"/>
      <c r="VPB76" s="1607"/>
      <c r="VPC76" s="1607"/>
      <c r="VPD76" s="1607"/>
      <c r="VPE76" s="1607"/>
      <c r="VPF76" s="1607"/>
      <c r="VPG76" s="1607"/>
      <c r="VPH76" s="1607"/>
      <c r="VPI76" s="1607"/>
      <c r="VPJ76" s="1607"/>
      <c r="VPK76" s="1607"/>
      <c r="VPL76" s="1607"/>
      <c r="VPM76" s="1607"/>
      <c r="VPN76" s="1607"/>
      <c r="VPO76" s="1607"/>
      <c r="VPP76" s="1607"/>
      <c r="VPQ76" s="1607"/>
      <c r="VPR76" s="1607"/>
      <c r="VPS76" s="1607"/>
      <c r="VPT76" s="1607"/>
      <c r="VPU76" s="1607"/>
      <c r="VPV76" s="1607"/>
      <c r="VPW76" s="1607"/>
      <c r="VPX76" s="1607"/>
      <c r="VPY76" s="1607"/>
      <c r="VPZ76" s="1607"/>
      <c r="VQA76" s="1607"/>
      <c r="VQB76" s="1607"/>
      <c r="VQC76" s="1607"/>
      <c r="VQD76" s="1607"/>
      <c r="VQE76" s="1607"/>
      <c r="VQF76" s="1607"/>
      <c r="VQG76" s="1607"/>
      <c r="VQH76" s="1607"/>
      <c r="VQI76" s="1607"/>
      <c r="VQJ76" s="1607"/>
      <c r="VQK76" s="1607"/>
      <c r="VQL76" s="1607"/>
      <c r="VQM76" s="1607"/>
      <c r="VQN76" s="1607"/>
      <c r="VQO76" s="1607"/>
      <c r="VQP76" s="1607"/>
      <c r="VQQ76" s="1607"/>
      <c r="VQR76" s="1607"/>
      <c r="VQS76" s="1607"/>
      <c r="VQT76" s="1607"/>
      <c r="VQU76" s="1607"/>
      <c r="VQV76" s="1607"/>
      <c r="VQW76" s="1607"/>
      <c r="VQX76" s="1607"/>
      <c r="VQY76" s="1607"/>
      <c r="VQZ76" s="1607"/>
      <c r="VRA76" s="1607"/>
      <c r="VRB76" s="1607"/>
      <c r="VRC76" s="1607"/>
      <c r="VRD76" s="1607"/>
      <c r="VRE76" s="1607"/>
      <c r="VRF76" s="1607"/>
      <c r="VRG76" s="1607"/>
      <c r="VRH76" s="1607"/>
      <c r="VRI76" s="1607"/>
      <c r="VRJ76" s="1607"/>
      <c r="VRK76" s="1607"/>
      <c r="VRL76" s="1607"/>
      <c r="VRM76" s="1607"/>
      <c r="VRN76" s="1607"/>
      <c r="VRO76" s="1607"/>
      <c r="VRP76" s="1607"/>
      <c r="VRQ76" s="1607"/>
      <c r="VRR76" s="1607"/>
      <c r="VRS76" s="1607"/>
      <c r="VRT76" s="1607"/>
      <c r="VRU76" s="1607"/>
      <c r="VRV76" s="1607"/>
      <c r="VRW76" s="1607"/>
      <c r="VRX76" s="1607"/>
      <c r="VRY76" s="1607"/>
      <c r="VRZ76" s="1607"/>
      <c r="VSA76" s="1607"/>
      <c r="VSB76" s="1607"/>
      <c r="VSC76" s="1607"/>
      <c r="VSD76" s="1607"/>
      <c r="VSE76" s="1607"/>
      <c r="VSF76" s="1607"/>
      <c r="VSG76" s="1607"/>
      <c r="VSH76" s="1607"/>
      <c r="VSI76" s="1607"/>
      <c r="VSJ76" s="1607"/>
      <c r="VSK76" s="1607"/>
      <c r="VSL76" s="1607"/>
      <c r="VSM76" s="1607"/>
      <c r="VSN76" s="1607"/>
      <c r="VSO76" s="1607"/>
      <c r="VSP76" s="1607"/>
      <c r="VSQ76" s="1607"/>
      <c r="VSR76" s="1607"/>
      <c r="VSS76" s="1607"/>
      <c r="VST76" s="1607"/>
      <c r="VSU76" s="1607"/>
      <c r="VSV76" s="1607"/>
      <c r="VSW76" s="1607"/>
      <c r="VSX76" s="1607"/>
      <c r="VSY76" s="1607"/>
      <c r="VSZ76" s="1607"/>
      <c r="VTA76" s="1607"/>
      <c r="VTB76" s="1607"/>
      <c r="VTC76" s="1607"/>
      <c r="VTD76" s="1607"/>
      <c r="VTE76" s="1607"/>
      <c r="VTF76" s="1607"/>
      <c r="VTG76" s="1607"/>
      <c r="VTH76" s="1607"/>
      <c r="VTI76" s="1607"/>
      <c r="VTJ76" s="1607"/>
      <c r="VTK76" s="1607"/>
      <c r="VTL76" s="1607"/>
      <c r="VTM76" s="1607"/>
      <c r="VTN76" s="1607"/>
      <c r="VTO76" s="1607"/>
      <c r="VTP76" s="1607"/>
      <c r="VTQ76" s="1607"/>
      <c r="VTR76" s="1607"/>
      <c r="VTS76" s="1607"/>
      <c r="VTT76" s="1607"/>
      <c r="VTU76" s="1607"/>
      <c r="VTV76" s="1607"/>
      <c r="VTW76" s="1607"/>
      <c r="VTX76" s="1607"/>
      <c r="VTY76" s="1607"/>
      <c r="VTZ76" s="1607"/>
      <c r="VUA76" s="1607"/>
      <c r="VUB76" s="1607"/>
      <c r="VUC76" s="1607"/>
      <c r="VUD76" s="1607"/>
      <c r="VUE76" s="1607"/>
      <c r="VUF76" s="1607"/>
      <c r="VUG76" s="1607"/>
      <c r="VUH76" s="1607"/>
      <c r="VUI76" s="1607"/>
      <c r="VUJ76" s="1607"/>
      <c r="VUK76" s="1607"/>
      <c r="VUL76" s="1607"/>
      <c r="VUM76" s="1607"/>
      <c r="VUN76" s="1607"/>
      <c r="VUO76" s="1607"/>
      <c r="VUP76" s="1607"/>
      <c r="VUQ76" s="1607"/>
      <c r="VUR76" s="1607"/>
      <c r="VUS76" s="1607"/>
      <c r="VUT76" s="1607"/>
      <c r="VUU76" s="1607"/>
      <c r="VUV76" s="1607"/>
      <c r="VUW76" s="1607"/>
      <c r="VUX76" s="1607"/>
      <c r="VUY76" s="1607"/>
      <c r="VUZ76" s="1607"/>
      <c r="VVA76" s="1607"/>
      <c r="VVB76" s="1607"/>
      <c r="VVC76" s="1607"/>
      <c r="VVD76" s="1607"/>
      <c r="VVE76" s="1607"/>
      <c r="VVF76" s="1607"/>
      <c r="VVG76" s="1607"/>
      <c r="VVH76" s="1607"/>
      <c r="VVI76" s="1607"/>
      <c r="VVJ76" s="1607"/>
      <c r="VVK76" s="1607"/>
      <c r="VVL76" s="1607"/>
      <c r="VVM76" s="1607"/>
      <c r="VVN76" s="1607"/>
      <c r="VVO76" s="1607"/>
      <c r="VVP76" s="1607"/>
      <c r="VVQ76" s="1607"/>
      <c r="VVR76" s="1607"/>
      <c r="VVS76" s="1607"/>
      <c r="VVT76" s="1607"/>
      <c r="VVU76" s="1607"/>
      <c r="VVV76" s="1607"/>
      <c r="VVW76" s="1607"/>
      <c r="VVX76" s="1607"/>
      <c r="VVY76" s="1607"/>
      <c r="VVZ76" s="1607"/>
      <c r="VWA76" s="1607"/>
      <c r="VWB76" s="1607"/>
      <c r="VWC76" s="1607"/>
      <c r="VWD76" s="1607"/>
      <c r="VWE76" s="1607"/>
      <c r="VWF76" s="1607"/>
      <c r="VWG76" s="1607"/>
      <c r="VWH76" s="1607"/>
      <c r="VWI76" s="1607"/>
      <c r="VWJ76" s="1607"/>
      <c r="VWK76" s="1607"/>
      <c r="VWL76" s="1607"/>
      <c r="VWM76" s="1607"/>
      <c r="VWN76" s="1607"/>
      <c r="VWO76" s="1607"/>
      <c r="VWP76" s="1607"/>
      <c r="VWQ76" s="1607"/>
      <c r="VWR76" s="1607"/>
      <c r="VWS76" s="1607"/>
      <c r="VWT76" s="1607"/>
      <c r="VWU76" s="1607"/>
      <c r="VWV76" s="1607"/>
      <c r="VWW76" s="1607"/>
      <c r="VWX76" s="1607"/>
      <c r="VWY76" s="1607"/>
      <c r="VWZ76" s="1607"/>
      <c r="VXA76" s="1607"/>
      <c r="VXB76" s="1607"/>
      <c r="VXC76" s="1607"/>
      <c r="VXD76" s="1607"/>
      <c r="VXE76" s="1607"/>
      <c r="VXF76" s="1607"/>
      <c r="VXG76" s="1607"/>
      <c r="VXH76" s="1607"/>
      <c r="VXI76" s="1607"/>
      <c r="VXJ76" s="1607"/>
      <c r="VXK76" s="1607"/>
      <c r="VXL76" s="1607"/>
      <c r="VXM76" s="1607"/>
      <c r="VXN76" s="1607"/>
      <c r="VXO76" s="1607"/>
      <c r="VXP76" s="1607"/>
      <c r="VXQ76" s="1607"/>
      <c r="VXR76" s="1607"/>
      <c r="VXS76" s="1607"/>
      <c r="VXT76" s="1607"/>
      <c r="VXU76" s="1607"/>
      <c r="VXV76" s="1607"/>
      <c r="VXW76" s="1607"/>
      <c r="VXX76" s="1607"/>
      <c r="VXY76" s="1607"/>
      <c r="VXZ76" s="1607"/>
      <c r="VYA76" s="1607"/>
      <c r="VYB76" s="1607"/>
      <c r="VYC76" s="1607"/>
      <c r="VYD76" s="1607"/>
      <c r="VYE76" s="1607"/>
      <c r="VYF76" s="1607"/>
      <c r="VYG76" s="1607"/>
      <c r="VYH76" s="1607"/>
      <c r="VYI76" s="1607"/>
      <c r="VYJ76" s="1607"/>
      <c r="VYK76" s="1607"/>
      <c r="VYL76" s="1607"/>
      <c r="VYM76" s="1607"/>
      <c r="VYN76" s="1607"/>
      <c r="VYO76" s="1607"/>
      <c r="VYP76" s="1607"/>
      <c r="VYQ76" s="1607"/>
      <c r="VYR76" s="1607"/>
      <c r="VYS76" s="1607"/>
      <c r="VYT76" s="1607"/>
      <c r="VYU76" s="1607"/>
      <c r="VYV76" s="1607"/>
      <c r="VYW76" s="1607"/>
      <c r="VYX76" s="1607"/>
      <c r="VYY76" s="1607"/>
      <c r="VYZ76" s="1607"/>
      <c r="VZA76" s="1607"/>
      <c r="VZB76" s="1607"/>
      <c r="VZC76" s="1607"/>
      <c r="VZD76" s="1607"/>
      <c r="VZE76" s="1607"/>
      <c r="VZF76" s="1607"/>
      <c r="VZG76" s="1607"/>
      <c r="VZH76" s="1607"/>
      <c r="VZI76" s="1607"/>
      <c r="VZJ76" s="1607"/>
      <c r="VZK76" s="1607"/>
      <c r="VZL76" s="1607"/>
      <c r="VZM76" s="1607"/>
      <c r="VZN76" s="1607"/>
      <c r="VZO76" s="1607"/>
      <c r="VZP76" s="1607"/>
      <c r="VZQ76" s="1607"/>
      <c r="VZR76" s="1607"/>
      <c r="VZS76" s="1607"/>
      <c r="VZT76" s="1607"/>
      <c r="VZU76" s="1607"/>
      <c r="VZV76" s="1607"/>
      <c r="VZW76" s="1607"/>
      <c r="VZX76" s="1607"/>
      <c r="VZY76" s="1607"/>
      <c r="VZZ76" s="1607"/>
      <c r="WAA76" s="1607"/>
      <c r="WAB76" s="1607"/>
      <c r="WAC76" s="1607"/>
      <c r="WAD76" s="1607"/>
      <c r="WAE76" s="1607"/>
      <c r="WAF76" s="1607"/>
      <c r="WAG76" s="1607"/>
      <c r="WAH76" s="1607"/>
      <c r="WAI76" s="1607"/>
      <c r="WAJ76" s="1607"/>
      <c r="WAK76" s="1607"/>
      <c r="WAL76" s="1607"/>
      <c r="WAM76" s="1607"/>
      <c r="WAN76" s="1607"/>
      <c r="WAO76" s="1607"/>
      <c r="WAP76" s="1607"/>
      <c r="WAQ76" s="1607"/>
      <c r="WAR76" s="1607"/>
      <c r="WAS76" s="1607"/>
      <c r="WAT76" s="1607"/>
      <c r="WAU76" s="1607"/>
      <c r="WAV76" s="1607"/>
      <c r="WAW76" s="1607"/>
      <c r="WAX76" s="1607"/>
      <c r="WAY76" s="1607"/>
      <c r="WAZ76" s="1607"/>
      <c r="WBA76" s="1607"/>
      <c r="WBB76" s="1607"/>
      <c r="WBC76" s="1607"/>
      <c r="WBD76" s="1607"/>
      <c r="WBE76" s="1607"/>
      <c r="WBF76" s="1607"/>
      <c r="WBG76" s="1607"/>
      <c r="WBH76" s="1607"/>
      <c r="WBI76" s="1607"/>
      <c r="WBJ76" s="1607"/>
      <c r="WBK76" s="1607"/>
      <c r="WBL76" s="1607"/>
      <c r="WBM76" s="1607"/>
      <c r="WBN76" s="1607"/>
      <c r="WBO76" s="1607"/>
      <c r="WBP76" s="1607"/>
      <c r="WBQ76" s="1607"/>
      <c r="WBR76" s="1607"/>
      <c r="WBS76" s="1607"/>
      <c r="WBT76" s="1607"/>
      <c r="WBU76" s="1607"/>
      <c r="WBV76" s="1607"/>
      <c r="WBW76" s="1607"/>
      <c r="WBX76" s="1607"/>
      <c r="WBY76" s="1607"/>
      <c r="WBZ76" s="1607"/>
      <c r="WCA76" s="1607"/>
      <c r="WCB76" s="1607"/>
      <c r="WCC76" s="1607"/>
      <c r="WCD76" s="1607"/>
      <c r="WCE76" s="1607"/>
      <c r="WCF76" s="1607"/>
      <c r="WCG76" s="1607"/>
      <c r="WCH76" s="1607"/>
      <c r="WCI76" s="1607"/>
      <c r="WCJ76" s="1607"/>
      <c r="WCK76" s="1607"/>
      <c r="WCL76" s="1607"/>
      <c r="WCM76" s="1607"/>
      <c r="WCN76" s="1607"/>
      <c r="WCO76" s="1607"/>
      <c r="WCP76" s="1607"/>
      <c r="WCQ76" s="1607"/>
      <c r="WCR76" s="1607"/>
      <c r="WCS76" s="1607"/>
      <c r="WCT76" s="1607"/>
      <c r="WCU76" s="1607"/>
      <c r="WCV76" s="1607"/>
      <c r="WCW76" s="1607"/>
      <c r="WCX76" s="1607"/>
      <c r="WCY76" s="1607"/>
      <c r="WCZ76" s="1607"/>
      <c r="WDA76" s="1607"/>
      <c r="WDB76" s="1607"/>
      <c r="WDC76" s="1607"/>
      <c r="WDD76" s="1607"/>
      <c r="WDE76" s="1607"/>
      <c r="WDF76" s="1607"/>
      <c r="WDG76" s="1607"/>
      <c r="WDH76" s="1607"/>
      <c r="WDI76" s="1607"/>
      <c r="WDJ76" s="1607"/>
      <c r="WDK76" s="1607"/>
      <c r="WDL76" s="1607"/>
      <c r="WDM76" s="1607"/>
      <c r="WDN76" s="1607"/>
      <c r="WDO76" s="1607"/>
      <c r="WDP76" s="1607"/>
      <c r="WDQ76" s="1607"/>
      <c r="WDR76" s="1607"/>
      <c r="WDS76" s="1607"/>
      <c r="WDT76" s="1607"/>
      <c r="WDU76" s="1607"/>
      <c r="WDV76" s="1607"/>
      <c r="WDW76" s="1607"/>
      <c r="WDX76" s="1607"/>
      <c r="WDY76" s="1607"/>
      <c r="WDZ76" s="1607"/>
      <c r="WEA76" s="1607"/>
      <c r="WEB76" s="1607"/>
      <c r="WEC76" s="1607"/>
      <c r="WED76" s="1607"/>
      <c r="WEE76" s="1607"/>
      <c r="WEF76" s="1607"/>
      <c r="WEG76" s="1607"/>
      <c r="WEH76" s="1607"/>
      <c r="WEI76" s="1607"/>
      <c r="WEJ76" s="1607"/>
      <c r="WEK76" s="1607"/>
      <c r="WEL76" s="1607"/>
      <c r="WEM76" s="1607"/>
      <c r="WEN76" s="1607"/>
      <c r="WEO76" s="1607"/>
      <c r="WEP76" s="1607"/>
      <c r="WEQ76" s="1607"/>
      <c r="WER76" s="1607"/>
      <c r="WES76" s="1607"/>
      <c r="WET76" s="1607"/>
      <c r="WEU76" s="1607"/>
      <c r="WEV76" s="1607"/>
      <c r="WEW76" s="1607"/>
      <c r="WEX76" s="1607"/>
      <c r="WEY76" s="1607"/>
      <c r="WEZ76" s="1607"/>
      <c r="WFA76" s="1607"/>
      <c r="WFB76" s="1607"/>
      <c r="WFC76" s="1607"/>
      <c r="WFD76" s="1607"/>
      <c r="WFE76" s="1607"/>
      <c r="WFF76" s="1607"/>
      <c r="WFG76" s="1607"/>
      <c r="WFH76" s="1607"/>
      <c r="WFI76" s="1607"/>
      <c r="WFJ76" s="1607"/>
      <c r="WFK76" s="1607"/>
      <c r="WFL76" s="1607"/>
      <c r="WFM76" s="1607"/>
      <c r="WFN76" s="1607"/>
      <c r="WFO76" s="1607"/>
      <c r="WFP76" s="1607"/>
      <c r="WFQ76" s="1607"/>
      <c r="WFR76" s="1607"/>
      <c r="WFS76" s="1607"/>
      <c r="WFT76" s="1607"/>
      <c r="WFU76" s="1607"/>
      <c r="WFV76" s="1607"/>
      <c r="WFW76" s="1607"/>
      <c r="WFX76" s="1607"/>
      <c r="WFY76" s="1607"/>
      <c r="WFZ76" s="1607"/>
      <c r="WGA76" s="1607"/>
      <c r="WGB76" s="1607"/>
      <c r="WGC76" s="1607"/>
      <c r="WGD76" s="1607"/>
      <c r="WGE76" s="1607"/>
      <c r="WGF76" s="1607"/>
      <c r="WGG76" s="1607"/>
      <c r="WGH76" s="1607"/>
      <c r="WGI76" s="1607"/>
      <c r="WGJ76" s="1607"/>
      <c r="WGK76" s="1607"/>
      <c r="WGL76" s="1607"/>
      <c r="WGM76" s="1607"/>
      <c r="WGN76" s="1607"/>
      <c r="WGO76" s="1607"/>
      <c r="WGP76" s="1607"/>
      <c r="WGQ76" s="1607"/>
      <c r="WGR76" s="1607"/>
      <c r="WGS76" s="1607"/>
      <c r="WGT76" s="1607"/>
      <c r="WGU76" s="1607"/>
      <c r="WGV76" s="1607"/>
      <c r="WGW76" s="1607"/>
      <c r="WGX76" s="1607"/>
      <c r="WGY76" s="1607"/>
      <c r="WGZ76" s="1607"/>
      <c r="WHA76" s="1607"/>
      <c r="WHB76" s="1607"/>
      <c r="WHC76" s="1607"/>
      <c r="WHD76" s="1607"/>
      <c r="WHE76" s="1607"/>
      <c r="WHF76" s="1607"/>
      <c r="WHG76" s="1607"/>
      <c r="WHH76" s="1607"/>
      <c r="WHI76" s="1607"/>
      <c r="WHJ76" s="1607"/>
      <c r="WHK76" s="1607"/>
      <c r="WHL76" s="1607"/>
      <c r="WHM76" s="1607"/>
      <c r="WHN76" s="1607"/>
      <c r="WHO76" s="1607"/>
      <c r="WHP76" s="1607"/>
      <c r="WHQ76" s="1607"/>
      <c r="WHR76" s="1607"/>
      <c r="WHS76" s="1607"/>
      <c r="WHT76" s="1607"/>
      <c r="WHU76" s="1607"/>
      <c r="WHV76" s="1607"/>
      <c r="WHW76" s="1607"/>
      <c r="WHX76" s="1607"/>
      <c r="WHY76" s="1607"/>
      <c r="WHZ76" s="1607"/>
      <c r="WIA76" s="1607"/>
      <c r="WIB76" s="1607"/>
      <c r="WIC76" s="1607"/>
      <c r="WID76" s="1607"/>
      <c r="WIE76" s="1607"/>
      <c r="WIF76" s="1607"/>
      <c r="WIG76" s="1607"/>
      <c r="WIH76" s="1607"/>
      <c r="WII76" s="1607"/>
      <c r="WIJ76" s="1607"/>
      <c r="WIK76" s="1607"/>
      <c r="WIL76" s="1607"/>
      <c r="WIM76" s="1607"/>
      <c r="WIN76" s="1607"/>
      <c r="WIO76" s="1607"/>
      <c r="WIP76" s="1607"/>
      <c r="WIQ76" s="1607"/>
      <c r="WIR76" s="1607"/>
      <c r="WIS76" s="1607"/>
      <c r="WIT76" s="1607"/>
      <c r="WIU76" s="1607"/>
      <c r="WIV76" s="1607"/>
      <c r="WIW76" s="1607"/>
      <c r="WIX76" s="1607"/>
      <c r="WIY76" s="1607"/>
      <c r="WIZ76" s="1607"/>
      <c r="WJA76" s="1607"/>
      <c r="WJB76" s="1607"/>
      <c r="WJC76" s="1607"/>
      <c r="WJD76" s="1607"/>
      <c r="WJE76" s="1607"/>
      <c r="WJF76" s="1607"/>
      <c r="WJG76" s="1607"/>
      <c r="WJH76" s="1607"/>
      <c r="WJI76" s="1607"/>
      <c r="WJJ76" s="1607"/>
      <c r="WJK76" s="1607"/>
      <c r="WJL76" s="1607"/>
      <c r="WJM76" s="1607"/>
      <c r="WJN76" s="1607"/>
      <c r="WJO76" s="1607"/>
      <c r="WJP76" s="1607"/>
      <c r="WJQ76" s="1607"/>
      <c r="WJR76" s="1607"/>
      <c r="WJS76" s="1607"/>
      <c r="WJT76" s="1607"/>
      <c r="WJU76" s="1607"/>
      <c r="WJV76" s="1607"/>
      <c r="WJW76" s="1607"/>
      <c r="WJX76" s="1607"/>
      <c r="WJY76" s="1607"/>
      <c r="WJZ76" s="1607"/>
      <c r="WKA76" s="1607"/>
      <c r="WKB76" s="1607"/>
      <c r="WKC76" s="1607"/>
      <c r="WKD76" s="1607"/>
      <c r="WKE76" s="1607"/>
      <c r="WKF76" s="1607"/>
      <c r="WKG76" s="1607"/>
      <c r="WKH76" s="1607"/>
      <c r="WKI76" s="1607"/>
      <c r="WKJ76" s="1607"/>
      <c r="WKK76" s="1607"/>
      <c r="WKL76" s="1607"/>
      <c r="WKM76" s="1607"/>
      <c r="WKN76" s="1607"/>
      <c r="WKO76" s="1607"/>
      <c r="WKP76" s="1607"/>
      <c r="WKQ76" s="1607"/>
      <c r="WKR76" s="1607"/>
      <c r="WKS76" s="1607"/>
      <c r="WKT76" s="1607"/>
      <c r="WKU76" s="1607"/>
      <c r="WKV76" s="1607"/>
      <c r="WKW76" s="1607"/>
      <c r="WKX76" s="1607"/>
      <c r="WKY76" s="1607"/>
      <c r="WKZ76" s="1607"/>
      <c r="WLA76" s="1607"/>
      <c r="WLB76" s="1607"/>
      <c r="WLC76" s="1607"/>
      <c r="WLD76" s="1607"/>
      <c r="WLE76" s="1607"/>
      <c r="WLF76" s="1607"/>
      <c r="WLG76" s="1607"/>
      <c r="WLH76" s="1607"/>
      <c r="WLI76" s="1607"/>
      <c r="WLJ76" s="1607"/>
      <c r="WLK76" s="1607"/>
      <c r="WLL76" s="1607"/>
      <c r="WLM76" s="1607"/>
      <c r="WLN76" s="1607"/>
      <c r="WLO76" s="1607"/>
      <c r="WLP76" s="1607"/>
      <c r="WLQ76" s="1607"/>
      <c r="WLR76" s="1607"/>
      <c r="WLS76" s="1607"/>
      <c r="WLT76" s="1607"/>
      <c r="WLU76" s="1607"/>
      <c r="WLV76" s="1607"/>
      <c r="WLW76" s="1607"/>
      <c r="WLX76" s="1607"/>
      <c r="WLY76" s="1607"/>
      <c r="WLZ76" s="1607"/>
      <c r="WMA76" s="1607"/>
      <c r="WMB76" s="1607"/>
      <c r="WMC76" s="1607"/>
      <c r="WMD76" s="1607"/>
      <c r="WME76" s="1607"/>
      <c r="WMF76" s="1607"/>
      <c r="WMG76" s="1607"/>
      <c r="WMH76" s="1607"/>
      <c r="WMI76" s="1607"/>
      <c r="WMJ76" s="1607"/>
      <c r="WMK76" s="1607"/>
      <c r="WML76" s="1607"/>
      <c r="WMM76" s="1607"/>
      <c r="WMN76" s="1607"/>
      <c r="WMO76" s="1607"/>
      <c r="WMP76" s="1607"/>
      <c r="WMQ76" s="1607"/>
      <c r="WMR76" s="1607"/>
      <c r="WMS76" s="1607"/>
      <c r="WMT76" s="1607"/>
      <c r="WMU76" s="1607"/>
      <c r="WMV76" s="1607"/>
      <c r="WMW76" s="1607"/>
      <c r="WMX76" s="1607"/>
      <c r="WMY76" s="1607"/>
      <c r="WMZ76" s="1607"/>
      <c r="WNA76" s="1607"/>
      <c r="WNB76" s="1607"/>
      <c r="WNC76" s="1607"/>
      <c r="WND76" s="1607"/>
      <c r="WNE76" s="1607"/>
      <c r="WNF76" s="1607"/>
      <c r="WNG76" s="1607"/>
      <c r="WNH76" s="1607"/>
      <c r="WNI76" s="1607"/>
      <c r="WNJ76" s="1607"/>
      <c r="WNK76" s="1607"/>
      <c r="WNL76" s="1607"/>
      <c r="WNM76" s="1607"/>
      <c r="WNN76" s="1607"/>
      <c r="WNO76" s="1607"/>
      <c r="WNP76" s="1607"/>
      <c r="WNQ76" s="1607"/>
      <c r="WNR76" s="1607"/>
      <c r="WNS76" s="1607"/>
      <c r="WNT76" s="1607"/>
      <c r="WNU76" s="1607"/>
      <c r="WNV76" s="1607"/>
      <c r="WNW76" s="1607"/>
      <c r="WNX76" s="1607"/>
      <c r="WNY76" s="1607"/>
      <c r="WNZ76" s="1607"/>
      <c r="WOA76" s="1607"/>
      <c r="WOB76" s="1607"/>
      <c r="WOC76" s="1607"/>
      <c r="WOD76" s="1607"/>
      <c r="WOE76" s="1607"/>
      <c r="WOF76" s="1607"/>
      <c r="WOG76" s="1607"/>
      <c r="WOH76" s="1607"/>
      <c r="WOI76" s="1607"/>
      <c r="WOJ76" s="1607"/>
      <c r="WOK76" s="1607"/>
      <c r="WOL76" s="1607"/>
      <c r="WOM76" s="1607"/>
      <c r="WON76" s="1607"/>
      <c r="WOO76" s="1607"/>
      <c r="WOP76" s="1607"/>
      <c r="WOQ76" s="1607"/>
      <c r="WOR76" s="1607"/>
      <c r="WOS76" s="1607"/>
      <c r="WOT76" s="1607"/>
      <c r="WOU76" s="1607"/>
      <c r="WOV76" s="1607"/>
      <c r="WOW76" s="1607"/>
      <c r="WOX76" s="1607"/>
      <c r="WOY76" s="1607"/>
      <c r="WOZ76" s="1607"/>
      <c r="WPA76" s="1607"/>
      <c r="WPB76" s="1607"/>
      <c r="WPC76" s="1607"/>
      <c r="WPD76" s="1607"/>
      <c r="WPE76" s="1607"/>
      <c r="WPF76" s="1607"/>
      <c r="WPG76" s="1607"/>
      <c r="WPH76" s="1607"/>
      <c r="WPI76" s="1607"/>
      <c r="WPJ76" s="1607"/>
      <c r="WPK76" s="1607"/>
      <c r="WPL76" s="1607"/>
      <c r="WPM76" s="1607"/>
      <c r="WPN76" s="1607"/>
      <c r="WPO76" s="1607"/>
      <c r="WPP76" s="1607"/>
      <c r="WPQ76" s="1607"/>
      <c r="WPR76" s="1607"/>
      <c r="WPS76" s="1607"/>
      <c r="WPT76" s="1607"/>
      <c r="WPU76" s="1607"/>
      <c r="WPV76" s="1607"/>
      <c r="WPW76" s="1607"/>
      <c r="WPX76" s="1607"/>
      <c r="WPY76" s="1607"/>
      <c r="WPZ76" s="1607"/>
      <c r="WQA76" s="1607"/>
      <c r="WQB76" s="1607"/>
      <c r="WQC76" s="1607"/>
      <c r="WQD76" s="1607"/>
      <c r="WQE76" s="1607"/>
      <c r="WQF76" s="1607"/>
      <c r="WQG76" s="1607"/>
      <c r="WQH76" s="1607"/>
      <c r="WQI76" s="1607"/>
      <c r="WQJ76" s="1607"/>
      <c r="WQK76" s="1607"/>
      <c r="WQL76" s="1607"/>
      <c r="WQM76" s="1607"/>
      <c r="WQN76" s="1607"/>
      <c r="WQO76" s="1607"/>
      <c r="WQP76" s="1607"/>
      <c r="WQQ76" s="1607"/>
      <c r="WQR76" s="1607"/>
      <c r="WQS76" s="1607"/>
      <c r="WQT76" s="1607"/>
      <c r="WQU76" s="1607"/>
      <c r="WQV76" s="1607"/>
      <c r="WQW76" s="1607"/>
      <c r="WQX76" s="1607"/>
      <c r="WQY76" s="1607"/>
      <c r="WQZ76" s="1607"/>
      <c r="WRA76" s="1607"/>
      <c r="WRB76" s="1607"/>
      <c r="WRC76" s="1607"/>
      <c r="WRD76" s="1607"/>
      <c r="WRE76" s="1607"/>
      <c r="WRF76" s="1607"/>
      <c r="WRG76" s="1607"/>
      <c r="WRH76" s="1607"/>
      <c r="WRI76" s="1607"/>
      <c r="WRJ76" s="1607"/>
      <c r="WRK76" s="1607"/>
      <c r="WRL76" s="1607"/>
      <c r="WRM76" s="1607"/>
      <c r="WRN76" s="1607"/>
      <c r="WRO76" s="1607"/>
      <c r="WRP76" s="1607"/>
      <c r="WRQ76" s="1607"/>
      <c r="WRR76" s="1607"/>
      <c r="WRS76" s="1607"/>
      <c r="WRT76" s="1607"/>
      <c r="WRU76" s="1607"/>
      <c r="WRV76" s="1607"/>
      <c r="WRW76" s="1607"/>
      <c r="WRX76" s="1607"/>
      <c r="WRY76" s="1607"/>
      <c r="WRZ76" s="1607"/>
      <c r="WSA76" s="1607"/>
      <c r="WSB76" s="1607"/>
      <c r="WSC76" s="1607"/>
      <c r="WSD76" s="1607"/>
      <c r="WSE76" s="1607"/>
      <c r="WSF76" s="1607"/>
      <c r="WSG76" s="1607"/>
      <c r="WSH76" s="1607"/>
      <c r="WSI76" s="1607"/>
      <c r="WSJ76" s="1607"/>
      <c r="WSK76" s="1607"/>
      <c r="WSL76" s="1607"/>
      <c r="WSM76" s="1607"/>
      <c r="WSN76" s="1607"/>
      <c r="WSO76" s="1607"/>
      <c r="WSP76" s="1607"/>
      <c r="WSQ76" s="1607"/>
      <c r="WSR76" s="1607"/>
      <c r="WSS76" s="1607"/>
      <c r="WST76" s="1607"/>
      <c r="WSU76" s="1607"/>
      <c r="WSV76" s="1607"/>
      <c r="WSW76" s="1607"/>
      <c r="WSX76" s="1607"/>
      <c r="WSY76" s="1607"/>
      <c r="WSZ76" s="1607"/>
      <c r="WTA76" s="1607"/>
      <c r="WTB76" s="1607"/>
      <c r="WTC76" s="1607"/>
      <c r="WTD76" s="1607"/>
      <c r="WTE76" s="1607"/>
      <c r="WTF76" s="1607"/>
      <c r="WTG76" s="1607"/>
      <c r="WTH76" s="1607"/>
      <c r="WTI76" s="1607"/>
      <c r="WTJ76" s="1607"/>
      <c r="WTK76" s="1607"/>
      <c r="WTL76" s="1607"/>
      <c r="WTM76" s="1607"/>
      <c r="WTN76" s="1607"/>
      <c r="WTO76" s="1607"/>
      <c r="WTP76" s="1607"/>
      <c r="WTQ76" s="1607"/>
      <c r="WTR76" s="1607"/>
      <c r="WTS76" s="1607"/>
      <c r="WTT76" s="1607"/>
      <c r="WTU76" s="1607"/>
      <c r="WTV76" s="1607"/>
      <c r="WTW76" s="1607"/>
      <c r="WTX76" s="1607"/>
      <c r="WTY76" s="1607"/>
      <c r="WTZ76" s="1607"/>
      <c r="WUA76" s="1607"/>
      <c r="WUB76" s="1607"/>
      <c r="WUC76" s="1607"/>
      <c r="WUD76" s="1607"/>
      <c r="WUE76" s="1607"/>
      <c r="WUF76" s="1607"/>
      <c r="WUG76" s="1607"/>
      <c r="WUH76" s="1607"/>
      <c r="WUI76" s="1607"/>
      <c r="WUJ76" s="1607"/>
      <c r="WUK76" s="1607"/>
      <c r="WUL76" s="1607"/>
      <c r="WUM76" s="1607"/>
      <c r="WUN76" s="1607"/>
      <c r="WUO76" s="1607"/>
      <c r="WUP76" s="1607"/>
      <c r="WUQ76" s="1607"/>
      <c r="WUR76" s="1607"/>
      <c r="WUS76" s="1607"/>
      <c r="WUT76" s="1607"/>
      <c r="WUU76" s="1607"/>
      <c r="WUV76" s="1607"/>
      <c r="WUW76" s="1607"/>
      <c r="WUX76" s="1607"/>
      <c r="WUY76" s="1607"/>
      <c r="WUZ76" s="1607"/>
      <c r="WVA76" s="1607"/>
      <c r="WVB76" s="1607"/>
      <c r="WVC76" s="1607"/>
      <c r="WVD76" s="1607"/>
      <c r="WVE76" s="1607"/>
      <c r="WVF76" s="1607"/>
      <c r="WVG76" s="1607"/>
      <c r="WVH76" s="1607"/>
      <c r="WVI76" s="1607"/>
      <c r="WVJ76" s="1607"/>
      <c r="WVK76" s="1607"/>
      <c r="WVL76" s="1607"/>
      <c r="WVM76" s="1607"/>
      <c r="WVN76" s="1607"/>
      <c r="WVO76" s="1607"/>
      <c r="WVP76" s="1607"/>
      <c r="WVQ76" s="1607"/>
      <c r="WVR76" s="1607"/>
      <c r="WVS76" s="1607"/>
      <c r="WVT76" s="1607"/>
      <c r="WVU76" s="1607"/>
      <c r="WVV76" s="1607"/>
      <c r="WVW76" s="1607"/>
      <c r="WVX76" s="1607"/>
      <c r="WVY76" s="1607"/>
      <c r="WVZ76" s="1607"/>
      <c r="WWA76" s="1607"/>
      <c r="WWB76" s="1607"/>
      <c r="WWC76" s="1607"/>
      <c r="WWD76" s="1607"/>
      <c r="WWE76" s="1607"/>
      <c r="WWF76" s="1607"/>
      <c r="WWG76" s="1607"/>
      <c r="WWH76" s="1607"/>
      <c r="WWI76" s="1607"/>
      <c r="WWJ76" s="1607"/>
      <c r="WWK76" s="1607"/>
      <c r="WWL76" s="1607"/>
      <c r="WWM76" s="1607"/>
      <c r="WWN76" s="1607"/>
      <c r="WWO76" s="1607"/>
      <c r="WWP76" s="1607"/>
      <c r="WWQ76" s="1607"/>
      <c r="WWR76" s="1607"/>
      <c r="WWS76" s="1607"/>
      <c r="WWT76" s="1607"/>
      <c r="WWU76" s="1607"/>
      <c r="WWV76" s="1607"/>
      <c r="WWW76" s="1607"/>
      <c r="WWX76" s="1607"/>
      <c r="WWY76" s="1607"/>
      <c r="WWZ76" s="1607"/>
      <c r="WXA76" s="1607"/>
      <c r="WXB76" s="1607"/>
      <c r="WXC76" s="1607"/>
      <c r="WXD76" s="1607"/>
      <c r="WXE76" s="1607"/>
      <c r="WXF76" s="1607"/>
      <c r="WXG76" s="1607"/>
      <c r="WXH76" s="1607"/>
      <c r="WXI76" s="1607"/>
      <c r="WXJ76" s="1607"/>
      <c r="WXK76" s="1607"/>
      <c r="WXL76" s="1607"/>
      <c r="WXM76" s="1607"/>
      <c r="WXN76" s="1607"/>
      <c r="WXO76" s="1607"/>
      <c r="WXP76" s="1607"/>
      <c r="WXQ76" s="1607"/>
      <c r="WXR76" s="1607"/>
      <c r="WXS76" s="1607"/>
      <c r="WXT76" s="1607"/>
      <c r="WXU76" s="1607"/>
      <c r="WXV76" s="1607"/>
      <c r="WXW76" s="1607"/>
      <c r="WXX76" s="1607"/>
      <c r="WXY76" s="1607"/>
      <c r="WXZ76" s="1607"/>
      <c r="WYA76" s="1607"/>
      <c r="WYB76" s="1607"/>
      <c r="WYC76" s="1607"/>
      <c r="WYD76" s="1607"/>
      <c r="WYE76" s="1607"/>
      <c r="WYF76" s="1607"/>
      <c r="WYG76" s="1607"/>
      <c r="WYH76" s="1607"/>
      <c r="WYI76" s="1607"/>
      <c r="WYJ76" s="1607"/>
      <c r="WYK76" s="1607"/>
      <c r="WYL76" s="1607"/>
      <c r="WYM76" s="1607"/>
      <c r="WYN76" s="1607"/>
      <c r="WYO76" s="1607"/>
      <c r="WYP76" s="1607"/>
      <c r="WYQ76" s="1607"/>
      <c r="WYR76" s="1607"/>
      <c r="WYS76" s="1607"/>
      <c r="WYT76" s="1607"/>
      <c r="WYU76" s="1607"/>
      <c r="WYV76" s="1607"/>
      <c r="WYW76" s="1607"/>
      <c r="WYX76" s="1607"/>
      <c r="WYY76" s="1607"/>
      <c r="WYZ76" s="1607"/>
      <c r="WZA76" s="1607"/>
      <c r="WZB76" s="1607"/>
      <c r="WZC76" s="1607"/>
      <c r="WZD76" s="1607"/>
      <c r="WZE76" s="1607"/>
      <c r="WZF76" s="1607"/>
      <c r="WZG76" s="1607"/>
      <c r="WZH76" s="1607"/>
      <c r="WZI76" s="1607"/>
      <c r="WZJ76" s="1607"/>
      <c r="WZK76" s="1607"/>
      <c r="WZL76" s="1607"/>
      <c r="WZM76" s="1607"/>
      <c r="WZN76" s="1607"/>
      <c r="WZO76" s="1607"/>
      <c r="WZP76" s="1607"/>
      <c r="WZQ76" s="1607"/>
      <c r="WZR76" s="1607"/>
      <c r="WZS76" s="1607"/>
      <c r="WZT76" s="1607"/>
      <c r="WZU76" s="1607"/>
      <c r="WZV76" s="1607"/>
      <c r="WZW76" s="1607"/>
      <c r="WZX76" s="1607"/>
      <c r="WZY76" s="1607"/>
      <c r="WZZ76" s="1607"/>
      <c r="XAA76" s="1607"/>
      <c r="XAB76" s="1607"/>
      <c r="XAC76" s="1607"/>
      <c r="XAD76" s="1607"/>
      <c r="XAE76" s="1607"/>
      <c r="XAF76" s="1607"/>
      <c r="XAG76" s="1607"/>
      <c r="XAH76" s="1607"/>
      <c r="XAI76" s="1607"/>
      <c r="XAJ76" s="1607"/>
      <c r="XAK76" s="1607"/>
      <c r="XAL76" s="1607"/>
      <c r="XAM76" s="1607"/>
      <c r="XAN76" s="1607"/>
      <c r="XAO76" s="1607"/>
      <c r="XAP76" s="1607"/>
      <c r="XAQ76" s="1607"/>
      <c r="XAR76" s="1607"/>
      <c r="XAS76" s="1607"/>
      <c r="XAT76" s="1607"/>
      <c r="XAU76" s="1607"/>
      <c r="XAV76" s="1607"/>
      <c r="XAW76" s="1607"/>
      <c r="XAX76" s="1607"/>
      <c r="XAY76" s="1607"/>
      <c r="XAZ76" s="1607"/>
      <c r="XBA76" s="1607"/>
      <c r="XBB76" s="1607"/>
      <c r="XBC76" s="1607"/>
      <c r="XBD76" s="1607"/>
      <c r="XBE76" s="1607"/>
      <c r="XBF76" s="1607"/>
      <c r="XBG76" s="1607"/>
      <c r="XBH76" s="1607"/>
      <c r="XBI76" s="1607"/>
      <c r="XBJ76" s="1607"/>
      <c r="XBK76" s="1607"/>
      <c r="XBL76" s="1607"/>
      <c r="XBM76" s="1607"/>
      <c r="XBN76" s="1607"/>
      <c r="XBO76" s="1607"/>
      <c r="XBP76" s="1607"/>
      <c r="XBQ76" s="1607"/>
      <c r="XBR76" s="1607"/>
      <c r="XBS76" s="1607"/>
      <c r="XBT76" s="1607"/>
      <c r="XBU76" s="1607"/>
      <c r="XBV76" s="1607"/>
      <c r="XBW76" s="1607"/>
      <c r="XBX76" s="1607"/>
      <c r="XBY76" s="1607"/>
      <c r="XBZ76" s="1607"/>
      <c r="XCA76" s="1607"/>
      <c r="XCB76" s="1607"/>
      <c r="XCC76" s="1607"/>
      <c r="XCD76" s="1607"/>
      <c r="XCE76" s="1607"/>
      <c r="XCF76" s="1607"/>
      <c r="XCG76" s="1607"/>
      <c r="XCH76" s="1607"/>
      <c r="XCI76" s="1607"/>
      <c r="XCJ76" s="1607"/>
      <c r="XCK76" s="1607"/>
      <c r="XCL76" s="1607"/>
      <c r="XCM76" s="1607"/>
      <c r="XCN76" s="1607"/>
      <c r="XCO76" s="1607"/>
      <c r="XCP76" s="1607"/>
      <c r="XCQ76" s="1607"/>
      <c r="XCR76" s="1607"/>
      <c r="XCS76" s="1607"/>
      <c r="XCT76" s="1607"/>
      <c r="XCU76" s="1607"/>
      <c r="XCV76" s="1607"/>
      <c r="XCW76" s="1607"/>
      <c r="XCX76" s="1607"/>
      <c r="XCY76" s="1607"/>
      <c r="XCZ76" s="1607"/>
      <c r="XDA76" s="1607"/>
      <c r="XDB76" s="1607"/>
      <c r="XDC76" s="1607"/>
      <c r="XDD76" s="1607"/>
      <c r="XDE76" s="1607"/>
      <c r="XDF76" s="1607"/>
      <c r="XDG76" s="1607"/>
      <c r="XDH76" s="1607"/>
      <c r="XDI76" s="1607"/>
      <c r="XDJ76" s="1607"/>
      <c r="XDK76" s="1607"/>
      <c r="XDL76" s="1607"/>
      <c r="XDM76" s="1607"/>
      <c r="XDN76" s="1607"/>
      <c r="XDO76" s="1607"/>
      <c r="XDP76" s="1607"/>
      <c r="XDQ76" s="1607"/>
      <c r="XDR76" s="1607"/>
      <c r="XDS76" s="1607"/>
      <c r="XDT76" s="1607"/>
      <c r="XDU76" s="1607"/>
      <c r="XDV76" s="1607"/>
      <c r="XDW76" s="1607"/>
      <c r="XDX76" s="1607"/>
      <c r="XDY76" s="1607"/>
      <c r="XDZ76" s="1607"/>
      <c r="XEA76" s="1607"/>
      <c r="XEB76" s="1607"/>
      <c r="XEC76" s="1607"/>
      <c r="XED76" s="1607"/>
      <c r="XEE76" s="1607"/>
      <c r="XEF76" s="1607"/>
      <c r="XEG76" s="1607"/>
      <c r="XEH76" s="1607"/>
      <c r="XEI76" s="1607"/>
      <c r="XEJ76" s="1607"/>
      <c r="XEK76" s="1607"/>
      <c r="XEL76" s="1607"/>
      <c r="XEM76" s="1607"/>
      <c r="XEN76" s="1607"/>
    </row>
    <row r="77" spans="1:16368" s="16" customFormat="1" ht="48" hidden="1" customHeight="1" x14ac:dyDescent="0.25">
      <c r="A77" s="1587"/>
      <c r="B77" s="1587"/>
      <c r="C77" s="1587"/>
      <c r="D77" s="1587"/>
      <c r="E77" s="1587"/>
      <c r="F77" s="1587"/>
      <c r="G77" s="1598" t="s">
        <v>580</v>
      </c>
      <c r="H77" s="1599" t="s">
        <v>121</v>
      </c>
      <c r="I77" s="1599"/>
      <c r="J77" s="1587"/>
      <c r="K77" s="1587"/>
      <c r="L77" s="1587"/>
      <c r="M77" s="1600"/>
      <c r="N77" s="1587"/>
      <c r="O77" s="1587"/>
      <c r="P77" s="1587"/>
      <c r="Q77" s="1587"/>
      <c r="R77" s="1587"/>
      <c r="S77" s="1587"/>
      <c r="T77" s="1587"/>
      <c r="U77" s="1587"/>
      <c r="V77" s="1587"/>
      <c r="W77" s="2212" t="str">
        <f>CONCATENATE("Titles below refer to lookup table in tab 00 cells E",ROW('A-Info, Phases, Recip.'!E124),":E",ROW('A-Info, Phases, Recip.'!E142))</f>
        <v>Titles below refer to lookup table in tab 00 cells E124:E142</v>
      </c>
      <c r="X77" s="2212"/>
      <c r="Y77" s="2212"/>
      <c r="Z77" s="2212"/>
      <c r="AA77" s="2212"/>
      <c r="AB77" s="2212"/>
      <c r="AC77" s="2212"/>
      <c r="AD77" s="2212"/>
      <c r="AE77" s="2212"/>
      <c r="AF77" s="2212"/>
      <c r="AG77" s="2212"/>
      <c r="AH77" s="2212"/>
      <c r="AI77" s="2212"/>
      <c r="AJ77" s="2212"/>
      <c r="AK77" s="2212"/>
      <c r="AL77" s="1596"/>
      <c r="AM77" s="1587"/>
      <c r="AN77" s="1587"/>
      <c r="AO77" s="1587"/>
      <c r="AP77" s="1587"/>
      <c r="AQ77" s="1587"/>
      <c r="AR77" s="1587"/>
      <c r="AS77" s="1587"/>
      <c r="AT77" s="1898">
        <v>1</v>
      </c>
      <c r="AU77" s="1898">
        <v>2</v>
      </c>
      <c r="AV77" s="1898">
        <v>3</v>
      </c>
      <c r="AW77" s="1898">
        <v>4</v>
      </c>
      <c r="AX77" s="1898">
        <v>5</v>
      </c>
      <c r="AY77" s="1898">
        <v>6</v>
      </c>
      <c r="AZ77" s="1898">
        <v>7</v>
      </c>
      <c r="BA77" s="1898">
        <v>8</v>
      </c>
      <c r="BB77" s="1898">
        <v>9</v>
      </c>
      <c r="BC77" s="1898">
        <v>10</v>
      </c>
      <c r="BD77" s="1587"/>
      <c r="BE77" s="1587"/>
      <c r="BF77" s="1587"/>
    </row>
    <row r="78" spans="1:16368" s="16" customFormat="1" ht="15.75" hidden="1" thickBot="1" x14ac:dyDescent="0.3">
      <c r="A78" s="1587"/>
      <c r="B78" s="1587"/>
      <c r="C78" s="1587"/>
      <c r="D78" s="1587"/>
      <c r="E78" s="1587"/>
      <c r="F78" s="1587"/>
      <c r="G78" s="1598" t="s">
        <v>622</v>
      </c>
      <c r="H78" s="1137">
        <f>1+COLUMN(H77)-COLUMN($H77)</f>
        <v>1</v>
      </c>
      <c r="I78" s="1137">
        <f>1+COLUMN(I77)-COLUMN($H77)</f>
        <v>2</v>
      </c>
      <c r="J78" s="1137">
        <f>1+COLUMN(J77)-COLUMN($H77)</f>
        <v>3</v>
      </c>
      <c r="K78" s="1137">
        <f>1+COLUMN(K77)-COLUMN($H77)</f>
        <v>4</v>
      </c>
      <c r="L78" s="1137"/>
      <c r="M78" s="1137">
        <f t="shared" ref="M78:AU78" si="3">1+COLUMN(M77)-COLUMN($H77)</f>
        <v>6</v>
      </c>
      <c r="N78" s="1137">
        <f t="shared" si="3"/>
        <v>7</v>
      </c>
      <c r="O78" s="1137">
        <f t="shared" si="3"/>
        <v>8</v>
      </c>
      <c r="P78" s="1137">
        <f t="shared" si="3"/>
        <v>9</v>
      </c>
      <c r="Q78" s="1137">
        <f t="shared" si="3"/>
        <v>10</v>
      </c>
      <c r="R78" s="1137">
        <f t="shared" si="3"/>
        <v>11</v>
      </c>
      <c r="S78" s="1137">
        <f t="shared" si="3"/>
        <v>12</v>
      </c>
      <c r="T78" s="1137">
        <f t="shared" si="3"/>
        <v>13</v>
      </c>
      <c r="U78" s="1137">
        <f t="shared" si="3"/>
        <v>14</v>
      </c>
      <c r="V78" s="1137">
        <f t="shared" si="3"/>
        <v>15</v>
      </c>
      <c r="W78" s="1083">
        <f t="shared" si="3"/>
        <v>16</v>
      </c>
      <c r="X78" s="1083">
        <f t="shared" si="3"/>
        <v>17</v>
      </c>
      <c r="Y78" s="1083">
        <f t="shared" si="3"/>
        <v>18</v>
      </c>
      <c r="Z78" s="1083">
        <f t="shared" si="3"/>
        <v>19</v>
      </c>
      <c r="AA78" s="1083">
        <f t="shared" si="3"/>
        <v>20</v>
      </c>
      <c r="AB78" s="1083">
        <f t="shared" si="3"/>
        <v>21</v>
      </c>
      <c r="AC78" s="1083">
        <f t="shared" si="3"/>
        <v>22</v>
      </c>
      <c r="AD78" s="1083">
        <f t="shared" si="3"/>
        <v>23</v>
      </c>
      <c r="AE78" s="1083">
        <f t="shared" si="3"/>
        <v>24</v>
      </c>
      <c r="AF78" s="1083">
        <f t="shared" si="3"/>
        <v>25</v>
      </c>
      <c r="AG78" s="1083">
        <f t="shared" si="3"/>
        <v>26</v>
      </c>
      <c r="AH78" s="1083">
        <f t="shared" si="3"/>
        <v>27</v>
      </c>
      <c r="AI78" s="1083">
        <f t="shared" si="3"/>
        <v>28</v>
      </c>
      <c r="AJ78" s="1083">
        <f t="shared" si="3"/>
        <v>29</v>
      </c>
      <c r="AK78" s="1083">
        <f t="shared" si="3"/>
        <v>30</v>
      </c>
      <c r="AL78" s="1083">
        <f t="shared" si="3"/>
        <v>31</v>
      </c>
      <c r="AM78" s="1083">
        <f t="shared" si="3"/>
        <v>32</v>
      </c>
      <c r="AN78" s="1137">
        <f t="shared" si="3"/>
        <v>33</v>
      </c>
      <c r="AO78" s="1137">
        <f t="shared" si="3"/>
        <v>34</v>
      </c>
      <c r="AP78" s="1137">
        <f t="shared" si="3"/>
        <v>35</v>
      </c>
      <c r="AQ78" s="1137">
        <f t="shared" si="3"/>
        <v>36</v>
      </c>
      <c r="AR78" s="1137">
        <f t="shared" si="3"/>
        <v>37</v>
      </c>
      <c r="AS78" s="1137">
        <f t="shared" si="3"/>
        <v>38</v>
      </c>
      <c r="AT78" s="1137">
        <f t="shared" si="3"/>
        <v>39</v>
      </c>
      <c r="AU78" s="1137">
        <f t="shared" si="3"/>
        <v>40</v>
      </c>
      <c r="AV78" s="1109"/>
      <c r="AW78" s="1587"/>
      <c r="AX78" s="1587"/>
      <c r="AY78" s="1587"/>
      <c r="AZ78" s="1587"/>
      <c r="BA78" s="1587"/>
      <c r="BB78" s="1587"/>
      <c r="BC78" s="1587"/>
      <c r="BD78" s="1587"/>
      <c r="BE78" s="1587"/>
      <c r="BF78" s="1587"/>
    </row>
    <row r="79" spans="1:16368" s="16" customFormat="1" ht="15.75" hidden="1" customHeight="1" x14ac:dyDescent="0.25">
      <c r="A79" s="1587"/>
      <c r="B79" s="1587"/>
      <c r="C79" s="1587"/>
      <c r="D79" s="1587"/>
      <c r="E79" s="1587"/>
      <c r="F79" s="1587"/>
      <c r="G79" s="1598"/>
      <c r="H79" s="372"/>
      <c r="I79" s="373"/>
      <c r="J79" s="374"/>
      <c r="K79" s="373"/>
      <c r="L79" s="373"/>
      <c r="M79" s="737" t="s">
        <v>140</v>
      </c>
      <c r="N79" s="737"/>
      <c r="O79" s="737"/>
      <c r="P79" s="737"/>
      <c r="Q79" s="737"/>
      <c r="R79" s="737"/>
      <c r="S79" s="357"/>
      <c r="T79" s="357"/>
      <c r="U79" s="357"/>
      <c r="V79" s="331"/>
      <c r="W79" s="2206" t="str">
        <f>Feasibility_Concept</f>
        <v>Conceptualization</v>
      </c>
      <c r="X79" s="2206"/>
      <c r="Y79" s="2206"/>
      <c r="Z79" s="2206"/>
      <c r="AA79" s="2209"/>
      <c r="AB79" s="2210" t="str">
        <f>CONCATENATE(Design," Phases")</f>
        <v>Design Phases</v>
      </c>
      <c r="AC79" s="2206"/>
      <c r="AD79" s="2206"/>
      <c r="AE79" s="2206"/>
      <c r="AF79" s="2206"/>
      <c r="AG79" s="2206"/>
      <c r="AH79" s="2206"/>
      <c r="AI79" s="2206"/>
      <c r="AJ79" s="2206"/>
      <c r="AK79" s="2206"/>
      <c r="AL79" s="162"/>
      <c r="AN79" s="2205" t="s">
        <v>214</v>
      </c>
      <c r="AO79" s="2206"/>
      <c r="AP79" s="2206"/>
      <c r="AQ79" s="2206"/>
      <c r="AR79" s="701"/>
      <c r="AT79" s="2181"/>
      <c r="AU79" s="2182"/>
      <c r="AV79" s="1109"/>
      <c r="AW79" s="1587"/>
      <c r="AX79" s="2185" t="s">
        <v>1159</v>
      </c>
      <c r="AY79" s="2186"/>
      <c r="AZ79" s="2186"/>
      <c r="BA79" s="2186"/>
      <c r="BB79" s="2186"/>
      <c r="BC79" s="2187"/>
      <c r="BD79" s="1587"/>
      <c r="BE79" s="1587"/>
      <c r="BF79" s="1587"/>
    </row>
    <row r="80" spans="1:16368" s="16" customFormat="1" ht="14.25" hidden="1" customHeight="1" x14ac:dyDescent="0.3">
      <c r="A80" s="1587"/>
      <c r="B80" s="1587"/>
      <c r="C80" s="1587"/>
      <c r="D80" s="1587"/>
      <c r="E80" s="1587"/>
      <c r="F80" s="1587"/>
      <c r="G80" s="1587"/>
      <c r="H80" s="375"/>
      <c r="I80" s="376"/>
      <c r="J80" s="377"/>
      <c r="K80" s="376"/>
      <c r="L80" s="376"/>
      <c r="M80" s="334" t="str">
        <f>IF(OR(Feasibility_Concept="Memorandum or Short Report",Feasibility_Concept="Feasibility Study"),"Y","N")</f>
        <v>N</v>
      </c>
      <c r="N80" s="334" t="str">
        <f>IF(OR(Feasibility_Concept="Conceptualization",Feasibility_Concept="Conceptualization Only"),"Y","N")</f>
        <v>Y</v>
      </c>
      <c r="O80" s="334" t="str">
        <f>IF(OR(Feasibility_Concept="Feasibility Study",Feasibility_Concept="Conceptualization Only",_01_apply="No"),"N",IF(SD_apply="yes","Y","N"))</f>
        <v>Y</v>
      </c>
      <c r="P80" s="334" t="str">
        <f>IF(OR(Feasibility_Concept="Feasibility Study",Feasibility_Concept="Conceptualization Only",_02_apply="No"),"N",IF(DD_apply="yes","Y","N"))</f>
        <v>Y</v>
      </c>
      <c r="Q80" s="334" t="str">
        <f>IF(OR(Feasibility_Concept="Feasibility Study",Feasibility_Concept="Conceptualization Only",_03_apply="no"),"N",IF(CD50_apply="yes","Y","N"))</f>
        <v>Y</v>
      </c>
      <c r="R80" s="334" t="str">
        <f>IF(OR(Feasibility_Concept="Feasibility Study",Feasibility_Concept="Conceptualization Only",_04_apply="no"),"N",IF(CD95_apply="yes","Y","N"))</f>
        <v>Y</v>
      </c>
      <c r="S80" s="334" t="str">
        <f>IF(OR(Feasibility_Concept="Feasibility Study",Feasibility_Concept="Conceptualization Only",_05_apply="no"),"N",IF(bid_apply="yes","Y","N"))</f>
        <v>Y</v>
      </c>
      <c r="T80" s="334" t="str">
        <f>IF(OR(Feasibility_Concept="Feasibility Study",Feasibility_Concept="Conceptualization Only",_06_apply="no"),"N",IF(Const_apply="yes","Y","N"))</f>
        <v>Y</v>
      </c>
      <c r="U80" s="334" t="str">
        <f>IF(OR(Feasibility_Concept="Feasibility Study",Feasibility_Concept="Conceptualization Only",_07_apply="no"),"N",IF(Close_Out_apply="yes","Y","N"))</f>
        <v>Y</v>
      </c>
      <c r="V80" s="335" t="str">
        <f>IF(OR(Feasibility_Concept="Feasibility Study",Feasibility_Concept="Conceptualization Only",_08_apply="no"),"N",IF(Post_Const_Apply="yes","Y","N"))</f>
        <v>Y</v>
      </c>
      <c r="W80" s="336" t="str">
        <f>IF(OR(Feasibility_Concept="No reports or Conceptualization Apply",Feasibility_Concept="Feasibility or Conceptualization do not apply"),"N","Y")</f>
        <v>Y</v>
      </c>
      <c r="X80" s="336" t="str">
        <f>IF(OR(Feasibility_Concept="No reports or Conceptualization Apply",Feasibility_Concept="Feasibility or Conceptualization do not apply"),"N",IF('A-Info, Phases, Recip.'!G12="No","N","Y"))</f>
        <v>N</v>
      </c>
      <c r="Y80" s="336" t="str">
        <f>IF(OR(Feasibility_Concept="No reports or Conceptualization Apply",Feasibility_Concept="Feasibility or Conceptualization do not apply"),"N",IF('A-Info, Phases, Recip.'!H12="No","N","Y"))</f>
        <v>N</v>
      </c>
      <c r="Z80" s="336" t="str">
        <f>IF(OR(Feasibility_Concept="No reports or Conceptualization Apply",Feasibility_Concept="Feasibility or Conceptualization do not apply"),"N",IF('A-Info, Phases, Recip.'!I12="No","N","Y"))</f>
        <v>N</v>
      </c>
      <c r="AA80" s="338" t="str">
        <f>IF(OR(Feasibility_Concept="No reports or Conceptualization Apply",Feasibility_Concept="Feasibility or Conceptualization do not apply"),"N","Y")</f>
        <v>Y</v>
      </c>
      <c r="AB80" s="336" t="str">
        <f>O80</f>
        <v>Y</v>
      </c>
      <c r="AC80" s="336" t="str">
        <f>IF(DD_placeholder="SD / DD","Y","N")</f>
        <v>N</v>
      </c>
      <c r="AD80" s="336" t="str">
        <f>P80</f>
        <v>Y</v>
      </c>
      <c r="AE80" s="336" t="str">
        <f>IF(OR(_50CD_placeholder="SD / DD / 50%CD",_50CD_placeholder="SD / DD / 75%CD"),"Y","N")</f>
        <v>N</v>
      </c>
      <c r="AF80" s="336" t="str">
        <f>IF(OR(_50CD_placeholder="DD / 50%CD",_50CD_placeholder="DD / 75%CD"),"Y","N")</f>
        <v>N</v>
      </c>
      <c r="AG80" s="336" t="str">
        <f>Q80</f>
        <v>Y</v>
      </c>
      <c r="AH80" s="336" t="str">
        <f>IF(OR(_95CD_placeholder="50%CD / 95%CD",_95CD_placeholder="75%CD / 100%CD"),"Y","N")</f>
        <v>N</v>
      </c>
      <c r="AI80" s="336" t="str">
        <f>IF(OR(_95CD_placeholder="DD / 50%CD / 95%CD",_95CD_placeholder="DD / 75%CD / 100%CD"),"Y","N")</f>
        <v>N</v>
      </c>
      <c r="AJ80" s="336" t="str">
        <f>R80</f>
        <v>Y</v>
      </c>
      <c r="AK80" s="336" t="str">
        <f>IF(OR(_95CD_placeholder="Only 95% CD",_95CD_placeholder="Only 100% CD"),"Y","N")</f>
        <v>N</v>
      </c>
      <c r="AL80" s="333"/>
      <c r="AN80" s="337" t="str">
        <f>S80</f>
        <v>Y</v>
      </c>
      <c r="AO80" s="336" t="str">
        <f>T80</f>
        <v>Y</v>
      </c>
      <c r="AP80" s="336" t="str">
        <f>U80</f>
        <v>Y</v>
      </c>
      <c r="AQ80" s="336" t="str">
        <f>V80</f>
        <v>Y</v>
      </c>
      <c r="AR80" s="702"/>
      <c r="AT80" s="2183" t="s">
        <v>1155</v>
      </c>
      <c r="AU80" s="2184"/>
      <c r="AV80" s="1109"/>
      <c r="AW80" s="1587"/>
      <c r="AX80" s="2188" t="s">
        <v>1155</v>
      </c>
      <c r="AY80" s="2189"/>
      <c r="AZ80" s="2189"/>
      <c r="BA80" s="2189"/>
      <c r="BB80" s="2189"/>
      <c r="BC80" s="2190"/>
      <c r="BD80" s="1587"/>
      <c r="BE80" s="1587"/>
      <c r="BF80" s="1587"/>
    </row>
    <row r="81" spans="1:58" s="16" customFormat="1" ht="46.5" hidden="1" customHeight="1" thickBot="1" x14ac:dyDescent="0.35">
      <c r="A81" s="1587"/>
      <c r="B81" s="1587"/>
      <c r="C81" s="1587"/>
      <c r="D81" s="1587"/>
      <c r="E81" s="1587"/>
      <c r="F81" s="1614"/>
      <c r="G81" s="1613">
        <v>1</v>
      </c>
      <c r="H81" s="163" t="s">
        <v>141</v>
      </c>
      <c r="I81" s="170"/>
      <c r="J81" s="164"/>
      <c r="K81" s="379"/>
      <c r="L81" s="379" t="s">
        <v>895</v>
      </c>
      <c r="M81" s="1804" t="s">
        <v>1041</v>
      </c>
      <c r="N81" s="380" t="s">
        <v>137</v>
      </c>
      <c r="O81" s="380" t="s">
        <v>1</v>
      </c>
      <c r="P81" s="380" t="s">
        <v>2</v>
      </c>
      <c r="Q81" s="380">
        <v>50</v>
      </c>
      <c r="R81" s="380">
        <v>95</v>
      </c>
      <c r="S81" s="381" t="s">
        <v>252</v>
      </c>
      <c r="T81" s="381" t="s">
        <v>253</v>
      </c>
      <c r="U81" s="381" t="s">
        <v>156</v>
      </c>
      <c r="V81" s="382" t="s">
        <v>155</v>
      </c>
      <c r="W81" s="383" t="str">
        <f>'A-Info, Phases, Recip.'!F13</f>
        <v>Concept DRAFT</v>
      </c>
      <c r="X81" s="384" t="str">
        <f>IF('A-Info, Phases, Recip.'!G13="","",'A-Info, Phases, Recip.'!G13)</f>
        <v/>
      </c>
      <c r="Y81" s="384" t="str">
        <f>IF('A-Info, Phases, Recip.'!H13="","",'A-Info, Phases, Recip.'!H13)</f>
        <v/>
      </c>
      <c r="Z81" s="384" t="str">
        <f>IF('A-Info, Phases, Recip.'!I13="","",'A-Info, Phases, Recip.'!I13)</f>
        <v/>
      </c>
      <c r="AA81" s="385" t="str">
        <f>'A-Info, Phases, Recip.'!J13</f>
        <v>Concept FINAL</v>
      </c>
      <c r="AB81" s="386" t="str">
        <f>'A-Info, Phases, Recip.'!E131</f>
        <v>SD</v>
      </c>
      <c r="AC81" s="387" t="str">
        <f>'A-Info, Phases, Recip.'!E132</f>
        <v>SD / DD</v>
      </c>
      <c r="AD81" s="388" t="str">
        <f>'A-Info, Phases, Recip.'!E134</f>
        <v>DD</v>
      </c>
      <c r="AE81" s="387" t="str">
        <f>'A-Info, Phases, Recip.'!E133</f>
        <v>SD / DD / 50%CD</v>
      </c>
      <c r="AF81" s="387" t="str">
        <f>'A-Info, Phases, Recip.'!E135</f>
        <v>DD / 50%CD</v>
      </c>
      <c r="AG81" s="388" t="str">
        <f>'A-Info, Phases, Recip.'!E136</f>
        <v>50% CD</v>
      </c>
      <c r="AH81" s="387" t="str">
        <f>'A-Info, Phases, Recip.'!E137</f>
        <v>50%CD / 95%CD</v>
      </c>
      <c r="AI81" s="389" t="str">
        <f>'A-Info, Phases, Recip.'!E138</f>
        <v>DD / 50%CD / 95%CD</v>
      </c>
      <c r="AJ81" s="388" t="str">
        <f>'A-Info, Phases, Recip.'!E139</f>
        <v>95% CD</v>
      </c>
      <c r="AK81" s="390" t="str">
        <f>'A-Info, Phases, Recip.'!E140</f>
        <v>Only 95% CD</v>
      </c>
      <c r="AL81" s="165"/>
      <c r="AN81" s="391" t="str">
        <f>'A-Info, Phases, Recip.'!E142</f>
        <v>Bid &amp; Award</v>
      </c>
      <c r="AO81" s="388" t="str">
        <f>'A-Info, Phases, Recip.'!E143</f>
        <v>Const.</v>
      </c>
      <c r="AP81" s="388" t="str">
        <f>'A-Info, Phases, Recip.'!E144</f>
        <v>Closeout</v>
      </c>
      <c r="AQ81" s="388" t="str">
        <f>'A-Info, Phases, Recip.'!E145</f>
        <v>Post Const.</v>
      </c>
      <c r="AR81" s="703"/>
      <c r="AT81" s="653" t="s">
        <v>1158</v>
      </c>
      <c r="AU81" s="654" t="s">
        <v>571</v>
      </c>
      <c r="AV81" s="1109"/>
      <c r="AW81" s="1587"/>
      <c r="AX81" s="1899" t="s">
        <v>1</v>
      </c>
      <c r="AY81" s="1900" t="s">
        <v>2</v>
      </c>
      <c r="AZ81" s="1901">
        <v>0.5</v>
      </c>
      <c r="BA81" s="1901">
        <v>0.95</v>
      </c>
      <c r="BB81" s="1900" t="s">
        <v>56</v>
      </c>
      <c r="BC81" s="1902" t="s">
        <v>1045</v>
      </c>
      <c r="BD81" s="1587"/>
      <c r="BE81" s="1587"/>
      <c r="BF81" s="1587"/>
    </row>
    <row r="82" spans="1:58" s="16" customFormat="1" ht="6.75" hidden="1" customHeight="1" thickTop="1" x14ac:dyDescent="0.25">
      <c r="A82" s="1587"/>
      <c r="B82" s="1587"/>
      <c r="C82" s="1587"/>
      <c r="D82" s="1587"/>
      <c r="E82" s="1587"/>
      <c r="F82" s="1587"/>
      <c r="G82" s="1601">
        <v>2</v>
      </c>
      <c r="H82" s="392"/>
      <c r="I82" s="393"/>
      <c r="J82" s="394"/>
      <c r="K82" s="21"/>
      <c r="L82" s="21"/>
      <c r="M82" s="363"/>
      <c r="N82" s="363"/>
      <c r="O82" s="363"/>
      <c r="P82" s="363"/>
      <c r="Q82" s="363"/>
      <c r="R82" s="363"/>
      <c r="S82" s="363"/>
      <c r="T82" s="363"/>
      <c r="U82" s="363"/>
      <c r="V82" s="395"/>
      <c r="W82" s="160"/>
      <c r="X82" s="160"/>
      <c r="Y82" s="160"/>
      <c r="Z82" s="160"/>
      <c r="AA82" s="160"/>
      <c r="AB82" s="174"/>
      <c r="AC82" s="160"/>
      <c r="AD82" s="160"/>
      <c r="AE82" s="160"/>
      <c r="AF82" s="160"/>
      <c r="AG82" s="160"/>
      <c r="AH82" s="160"/>
      <c r="AI82" s="160"/>
      <c r="AJ82" s="160"/>
      <c r="AK82" s="160"/>
      <c r="AL82" s="161"/>
      <c r="AN82" s="326"/>
      <c r="AO82" s="160"/>
      <c r="AP82" s="160"/>
      <c r="AQ82" s="160"/>
      <c r="AR82" s="378"/>
      <c r="AT82" s="392"/>
      <c r="AU82" s="396"/>
      <c r="AV82" s="1109"/>
      <c r="AW82" s="1587"/>
      <c r="AX82" s="1587"/>
      <c r="AY82" s="1587"/>
      <c r="AZ82" s="1587"/>
      <c r="BA82" s="1587"/>
      <c r="BB82" s="1587"/>
      <c r="BC82" s="1587"/>
      <c r="BD82" s="1587"/>
      <c r="BE82" s="1587"/>
      <c r="BF82" s="1587"/>
    </row>
    <row r="83" spans="1:58" s="16" customFormat="1" ht="30" hidden="1" x14ac:dyDescent="0.25">
      <c r="A83" s="1587"/>
      <c r="B83" s="1587"/>
      <c r="C83" s="1589"/>
      <c r="D83" s="1587"/>
      <c r="E83" s="1587"/>
      <c r="F83" s="1587"/>
      <c r="G83" s="1601">
        <v>3</v>
      </c>
      <c r="H83" s="2241" t="str">
        <f>CONCATENATE("00 - ",'C-Design&amp;Const'!Z25)</f>
        <v>00 - Minimum List of Deliverables</v>
      </c>
      <c r="I83" s="2242"/>
      <c r="J83" s="692">
        <f t="shared" ref="J83:J90" si="4">MAX(N84-N83,O84-O83,P84-P83,Q84-Q83,R84-R83,S84-S83,T84-T83,U84-U83,V84-V83)</f>
        <v>2</v>
      </c>
      <c r="K83" s="662"/>
      <c r="L83" s="662">
        <f>ROW('C-Design&amp;Const'!Z25)</f>
        <v>25</v>
      </c>
      <c r="M83" s="663">
        <f>ROW('B-Studies or Concept only'!Applies_MLD_Feas_Concept_Only)</f>
        <v>25</v>
      </c>
      <c r="N83" s="663">
        <f>ROW('00 - Concept.'!Applies_MLD_Concept)</f>
        <v>25</v>
      </c>
      <c r="O83" s="663">
        <f>ROW('01 - SD'!Applies_MLD_SD)</f>
        <v>25</v>
      </c>
      <c r="P83" s="663">
        <f>ROW('02 - DD'!Applies_MLD_DD)</f>
        <v>25</v>
      </c>
      <c r="Q83" s="663">
        <f>ROW('03 - 50% CD'!Applies_MLD_50CD)</f>
        <v>25</v>
      </c>
      <c r="R83" s="663">
        <f>ROW('04 - 95% CD'!Applies_MLD_95CD)</f>
        <v>25</v>
      </c>
      <c r="S83" s="663">
        <f>ROW('05-BID'!Applies_MLD_Bid)</f>
        <v>25</v>
      </c>
      <c r="T83" s="663">
        <f>ROW('06-CONST'!Applies_MLD_CONST)</f>
        <v>25</v>
      </c>
      <c r="U83" s="663">
        <f>ROW('07-CLOSEOUT'!Applies_MLD_CLOSEOUT)</f>
        <v>25</v>
      </c>
      <c r="V83" s="664">
        <f>ROW('08-POST CONST'!Applies_MLD_POST_CONST)</f>
        <v>25</v>
      </c>
      <c r="W83" s="665" t="str">
        <f>IF(W$80="N","N/A",IF(Feasibility_Concept="Conceptualization",'00 - Concept.'!Applies_MLD_Concept,IF(OR(Feasibility_Concept="Feasibility Study",Feasibility_Concept="Conceptualization Only",Feasibility_Concept="Investigation/Memo/Short Report"),'B-Studies or Concept only'!Applies_MLD_Feas_Concept_Only,"N/A")))</f>
        <v>Y</v>
      </c>
      <c r="X83" s="665" t="str">
        <f>IF(X$80="N","N/A",$W83)</f>
        <v>N/A</v>
      </c>
      <c r="Y83" s="665" t="str">
        <f t="shared" ref="Y83:Z95" si="5">IF(Y$80="N","N/A",$W83)</f>
        <v>N/A</v>
      </c>
      <c r="Z83" s="665" t="str">
        <f t="shared" si="5"/>
        <v>N/A</v>
      </c>
      <c r="AA83" s="665" t="str">
        <f>IF(AA$80="N","N/A",IF(Feasibility_Concept="Conceptualization",'00 - Concept.'!Applies_MLD_Concept,IF(OR(Feasibility_Concept="Feasibility Study",Feasibility_Concept="Conceptualization Only",Feasibility_Concept="Investigation/Memo/Short Report"),'B-Studies or Concept only'!Applies_MLD_Feas_Concept_Only,"N/A")))</f>
        <v>Y</v>
      </c>
      <c r="AB83" s="693" t="str">
        <f>IF(AB$80="N","N/A",'01 - SD'!Applies_MLD_SD)</f>
        <v>Y</v>
      </c>
      <c r="AC83" s="667" t="str">
        <f>IF(AC$80="N","N/A",'02 - DD'!Applies_MLD_DD)</f>
        <v>N/A</v>
      </c>
      <c r="AD83" s="665" t="str">
        <f>IF(AD$80="N","N/A",'02 - DD'!Applies_MLD_DD)</f>
        <v>Y</v>
      </c>
      <c r="AE83" s="667" t="str">
        <f>IF(AE$80="N","N/A",'03 - 50% CD'!Applies_MLD_50CD)</f>
        <v>N/A</v>
      </c>
      <c r="AF83" s="667" t="str">
        <f>IF(AF$80="N","N/A",'03 - 50% CD'!Applies_MLD_50CD)</f>
        <v>N/A</v>
      </c>
      <c r="AG83" s="665" t="str">
        <f>IF(AG$80="N","N/A",'03 - 50% CD'!Applies_MLD_50CD)</f>
        <v>Y</v>
      </c>
      <c r="AH83" s="667" t="str">
        <f>IF(AH$80="N","N/A",'04 - 95% CD'!Applies_MLD_95CD)</f>
        <v>N/A</v>
      </c>
      <c r="AI83" s="667" t="str">
        <f>IF(AI$80="N","N/A",'04 - 95% CD'!Applies_MLD_95CD)</f>
        <v>N/A</v>
      </c>
      <c r="AJ83" s="665" t="str">
        <f>IF(AJ$80="N","N/A",'04 - 95% CD'!Applies_MLD_95CD)</f>
        <v>Y</v>
      </c>
      <c r="AK83" s="667" t="str">
        <f>IF(OR('01 - SD'!Applies_MLD_SD="Y",'02 - DD'!Applies_MLD_DD="Y",'03 - 50% CD'!Applies_MLD_50CD="Y",'04 - 95% CD'!Applies_MLD_95CD="y"),"Y","N")</f>
        <v>Y</v>
      </c>
      <c r="AL83" s="668"/>
      <c r="AM83" s="651"/>
      <c r="AN83" s="678" t="str">
        <f>IF(AN$80="N","N/A",'05-BID'!Applies_MLD_Bid)</f>
        <v>Y</v>
      </c>
      <c r="AO83" s="665" t="str">
        <f>IF(AO$80="N","N/A",'06-CONST'!Applies_MLD_CONST)</f>
        <v>Y</v>
      </c>
      <c r="AP83" s="665" t="str">
        <f>IF(AP$80="N","N/A",'07-CLOSEOUT'!Applies_MLD_CLOSEOUT)</f>
        <v>Y</v>
      </c>
      <c r="AQ83" s="665" t="str">
        <f>IF(AQ$80="N","N/A",'08-POST CONST'!Applies_MLD_POST_CONST)</f>
        <v>Y</v>
      </c>
      <c r="AR83" s="679"/>
      <c r="AS83" s="651"/>
      <c r="AT83" s="616" t="str">
        <f t="shared" ref="AT83:AT110" si="6">H83</f>
        <v>00 - Minimum List of Deliverables</v>
      </c>
      <c r="AU83" s="617" t="s">
        <v>1213</v>
      </c>
      <c r="AV83" s="1109"/>
      <c r="AW83" s="1587"/>
      <c r="AX83" s="1904" t="str">
        <f>IF('C-Design&amp;Const'!AE25="","",'C-Design&amp;Const'!AE25)</f>
        <v xml:space="preserve"> - Current</v>
      </c>
      <c r="AY83" s="1904" t="str">
        <f>IF('C-Design&amp;Const'!AF25="","",'C-Design&amp;Const'!AF25)</f>
        <v xml:space="preserve"> - Current</v>
      </c>
      <c r="AZ83" s="1904" t="str">
        <f>IF('C-Design&amp;Const'!AG25="","",'C-Design&amp;Const'!AG25)</f>
        <v xml:space="preserve"> - Current</v>
      </c>
      <c r="BA83" s="1904" t="str">
        <f>IF('C-Design&amp;Const'!AH25="","",'C-Design&amp;Const'!AH25)</f>
        <v xml:space="preserve"> - Current</v>
      </c>
      <c r="BB83" s="1904" t="str">
        <f>IF('C-Design&amp;Const'!AI25="","",'C-Design&amp;Const'!AI25)</f>
        <v xml:space="preserve"> - Current</v>
      </c>
      <c r="BC83" s="1904" t="str">
        <f>IF('C-Design&amp;Const'!AK25="","",'C-Design&amp;Const'!AK25)</f>
        <v xml:space="preserve"> - Current</v>
      </c>
      <c r="BD83" s="1587"/>
      <c r="BE83" s="1587"/>
      <c r="BF83" s="1587"/>
    </row>
    <row r="84" spans="1:58" s="16" customFormat="1" ht="30" hidden="1" x14ac:dyDescent="0.25">
      <c r="A84" s="1587"/>
      <c r="B84" s="1587"/>
      <c r="C84" s="1589"/>
      <c r="D84" s="1587"/>
      <c r="E84" s="1587"/>
      <c r="F84" s="1587"/>
      <c r="G84" s="1601">
        <v>4</v>
      </c>
      <c r="H84" s="2241" t="str">
        <f>CONCATENATE("01 - ",'C-Design&amp;Const'!Z27)</f>
        <v>01 - Construction Cost Estimate</v>
      </c>
      <c r="I84" s="2242"/>
      <c r="J84" s="692">
        <f t="shared" si="4"/>
        <v>5</v>
      </c>
      <c r="K84" s="662"/>
      <c r="L84" s="662">
        <f>ROW('C-Design&amp;Const'!Z27)</f>
        <v>27</v>
      </c>
      <c r="M84" s="663">
        <f>ROW('B-Studies or Concept only'!Applies_Cost_Est_Feas_Concept_Only)</f>
        <v>27</v>
      </c>
      <c r="N84" s="663">
        <f>ROW('00 - Concept.'!Applies_Cost_Est_Concept)</f>
        <v>27</v>
      </c>
      <c r="O84" s="663">
        <f>ROW('01 - SD'!Applies_Cost_Est_SD)</f>
        <v>27</v>
      </c>
      <c r="P84" s="663">
        <f>ROW('02 - DD'!Applies_Cost_Est_DD)</f>
        <v>27</v>
      </c>
      <c r="Q84" s="663">
        <f>ROW('03 - 50% CD'!Applies_Cost_Est_50CD)</f>
        <v>27</v>
      </c>
      <c r="R84" s="663">
        <f>ROW('04 - 95% CD'!Applies_Cost_est_95CD)</f>
        <v>27</v>
      </c>
      <c r="S84" s="663">
        <f>ROW('05-BID'!Applies_Cost_est_BID)</f>
        <v>27</v>
      </c>
      <c r="T84" s="663">
        <f>ROW('06-CONST'!Applies_Cost_est_CONST)</f>
        <v>27</v>
      </c>
      <c r="U84" s="663">
        <f>ROW('07-CLOSEOUT'!Applies_Cost_est_CLOSEOUT)</f>
        <v>27</v>
      </c>
      <c r="V84" s="664">
        <f>ROW('08-POST CONST'!Applies_Cost_est_POST_CONST )</f>
        <v>27</v>
      </c>
      <c r="W84" s="665" t="str">
        <f>IF(W$80="N","N/A",IF(Feasibility_Concept="Conceptualization",'00 - Concept.'!Applies_Cost_Est_Concept,IF(OR(Feasibility_Concept="Feasibility Study",Feasibility_Concept="Conceptualization Only",Feasibility_Concept="Investigation/Memo/Short Report"),'B-Studies or Concept only'!Applies_Cost_Est_Feas_Concept_Only,"N/A")))</f>
        <v>Y</v>
      </c>
      <c r="X84" s="665" t="str">
        <f t="shared" ref="X84:X95" si="7">IF(X$80="N","N/A",$W84)</f>
        <v>N/A</v>
      </c>
      <c r="Y84" s="665" t="str">
        <f t="shared" si="5"/>
        <v>N/A</v>
      </c>
      <c r="Z84" s="665" t="str">
        <f t="shared" si="5"/>
        <v>N/A</v>
      </c>
      <c r="AA84" s="665" t="str">
        <f>IF(AA$80="N","N/A",IF(Feasibility_Concept="Conceptualization",'00 - Concept.'!Applies_Cost_Est_Concept,IF(OR(Feasibility_Concept="Feasibility Study",Feasibility_Concept="Conceptualization Only",Feasibility_Concept="Investigation/Memo/Short Report"),'B-Studies or Concept only'!Applies_Cost_Est_Feas_Concept_Only,"N/A")))</f>
        <v>Y</v>
      </c>
      <c r="AB84" s="693" t="str">
        <f>IF(AB$80="N","N/A",'01 - SD'!Applies_Cost_Est_SD)</f>
        <v>Y</v>
      </c>
      <c r="AC84" s="667" t="str">
        <f>IF(AC$80="N","N/A",'02 - DD'!Applies_Cost_Est_DD)</f>
        <v>N/A</v>
      </c>
      <c r="AD84" s="665" t="str">
        <f>IF(AD$80="N","N/A",'02 - DD'!Applies_Cost_Est_DD)</f>
        <v>Y</v>
      </c>
      <c r="AE84" s="667" t="str">
        <f>IF(AE$80="N","N/A",'03 - 50% CD'!Applies_Cost_Est_50CD)</f>
        <v>N/A</v>
      </c>
      <c r="AF84" s="667" t="str">
        <f>IF(AF$80="N","N/A",'03 - 50% CD'!Applies_Cost_Est_50CD)</f>
        <v>N/A</v>
      </c>
      <c r="AG84" s="665" t="str">
        <f>IF(AG$80="N","N/A",'03 - 50% CD'!Applies_Cost_Est_50CD)</f>
        <v>Y</v>
      </c>
      <c r="AH84" s="667" t="str">
        <f>IF(AH$80="N","N/A",'04 - 95% CD'!Applies_Cost_est_95CD)</f>
        <v>N/A</v>
      </c>
      <c r="AI84" s="667" t="str">
        <f>IF(AI$80="N","N/A",'04 - 95% CD'!Applies_Cost_est_95CD)</f>
        <v>N/A</v>
      </c>
      <c r="AJ84" s="665" t="str">
        <f>IF(AJ$80="N","N/A",'04 - 95% CD'!Applies_Cost_est_95CD)</f>
        <v>Y</v>
      </c>
      <c r="AK84" s="667" t="str">
        <f>IF(OR('01 - SD'!Applies_Cost_Est_SD="Y",'02 - DD'!Applies_Cost_Est_DD="Y",'03 - 50% CD'!Applies_Cost_Est_50CD="Y",'04 - 95% CD'!Applies_Cost_est_95CD="y"),"Y","N")</f>
        <v>Y</v>
      </c>
      <c r="AL84" s="668"/>
      <c r="AM84" s="651"/>
      <c r="AN84" s="678" t="str">
        <f>IF(AN$80="N","N/A",'05-BID'!Applies_Cost_est_BID)</f>
        <v>Y</v>
      </c>
      <c r="AO84" s="665" t="str">
        <f>IF(AO$80="N","N/A",'06-CONST'!Applies_Cost_est_CONST)</f>
        <v>Y</v>
      </c>
      <c r="AP84" s="665" t="str">
        <f>IF(AP$80="N","N/A",'07-CLOSEOUT'!Applies_Cost_est_CLOSEOUT)</f>
        <v>N</v>
      </c>
      <c r="AQ84" s="665" t="str">
        <f>IF(AQ$80="N","N/A",'08-POST CONST'!Applies_Cost_est_POST_CONST)</f>
        <v>N</v>
      </c>
      <c r="AR84" s="679"/>
      <c r="AS84" s="651"/>
      <c r="AT84" s="616" t="str">
        <f t="shared" si="6"/>
        <v>01 - Construction Cost Estimate</v>
      </c>
      <c r="AU84" s="1834" t="s">
        <v>1211</v>
      </c>
      <c r="AV84" s="1109"/>
      <c r="AW84" s="1587"/>
      <c r="AX84" s="1904" t="str">
        <f>IF('C-Design&amp;Const'!AE27="","",'C-Design&amp;Const'!AE27)</f>
        <v xml:space="preserve"> (area; volume; unit costs) </v>
      </c>
      <c r="AY84" s="1904" t="str">
        <f>IF('C-Design&amp;Const'!AF27="","",'C-Design&amp;Const'!AF27)</f>
        <v xml:space="preserve"> - Quantity Takeoff in CSI Format (Subst. Complete w/ Bid Alts.)</v>
      </c>
      <c r="AZ84" s="1904" t="str">
        <f>IF('C-Design&amp;Const'!AG27="","",'C-Design&amp;Const'!AG27)</f>
        <v xml:space="preserve"> - Quantity Takeoff in CSI Format (Complete with Bid Alts.)</v>
      </c>
      <c r="BA84" s="1904" t="str">
        <f>IF('C-Design&amp;Const'!AH27="","",'C-Design&amp;Const'!AH27)</f>
        <v xml:space="preserve"> - Quantity Takeoff in CSI Format (Complete with Bid Alts.)</v>
      </c>
      <c r="BB84" s="1904" t="str">
        <f>IF('C-Design&amp;Const'!AI27="","",'C-Design&amp;Const'!AI27)</f>
        <v xml:space="preserve"> - Quantity Takeoff in CSI Format (Updated including Bid Alts.)</v>
      </c>
      <c r="BC84" s="1904" t="str">
        <f>IF('C-Design&amp;Const'!AK27="","",'C-Design&amp;Const'!AK27)</f>
        <v/>
      </c>
      <c r="BD84" s="1587"/>
      <c r="BE84" s="1587"/>
      <c r="BF84" s="1587"/>
    </row>
    <row r="85" spans="1:58" s="16" customFormat="1" ht="30" hidden="1" x14ac:dyDescent="0.25">
      <c r="A85" s="1587"/>
      <c r="B85" s="1587"/>
      <c r="C85" s="1589"/>
      <c r="D85" s="1587"/>
      <c r="E85" s="1587"/>
      <c r="F85" s="1587"/>
      <c r="G85" s="1601">
        <v>5</v>
      </c>
      <c r="H85" s="2241" t="str">
        <f>CONCATENATE("02 - ",'C-Design&amp;Const'!Z32)</f>
        <v>02 - Project Schedule</v>
      </c>
      <c r="I85" s="2242"/>
      <c r="J85" s="692">
        <f t="shared" si="4"/>
        <v>5</v>
      </c>
      <c r="K85" s="662"/>
      <c r="L85" s="662">
        <f>ROW('C-Design&amp;Const'!Z32)</f>
        <v>32</v>
      </c>
      <c r="M85" s="663">
        <f>ROW('B-Studies or Concept only'!Applies_Schedule_Feas_Concept_Only)</f>
        <v>32</v>
      </c>
      <c r="N85" s="663">
        <f>ROW('00 - Concept.'!Applies_Schedule_Concept)</f>
        <v>32</v>
      </c>
      <c r="O85" s="663">
        <f>ROW('01 - SD'!Applies_Schedule_SD)</f>
        <v>32</v>
      </c>
      <c r="P85" s="663">
        <f>ROW('02 - DD'!Applies_Schedule_DD)</f>
        <v>32</v>
      </c>
      <c r="Q85" s="663">
        <f>ROW('03 - 50% CD'!Applies_Schedule_50CD)</f>
        <v>32</v>
      </c>
      <c r="R85" s="663">
        <f>ROW('04 - 95% CD'!Applies_Schedule_95CD)</f>
        <v>32</v>
      </c>
      <c r="S85" s="663">
        <f>ROW('05-BID'!Applies_Schedule_BID)</f>
        <v>32</v>
      </c>
      <c r="T85" s="663">
        <f>ROW('06-CONST'!Applies_Schedule_CONST)</f>
        <v>32</v>
      </c>
      <c r="U85" s="663">
        <f>ROW('07-CLOSEOUT'!Applies_Schedule_CLOSEOUT)</f>
        <v>32</v>
      </c>
      <c r="V85" s="664">
        <f>ROW('08-POST CONST'!Applies_Schedule_POST_CONST )</f>
        <v>32</v>
      </c>
      <c r="W85" s="665" t="str">
        <f>IF(W$80="N","N/A",IF(Feasibility_Concept="Conceptualization",'00 - Concept.'!Applies_Schedule_Concept,IF(OR(Feasibility_Concept="Feasibility Study",Feasibility_Concept="Conceptualization Only",Feasibility_Concept="Investigation/Memo/Short Report"),'B-Studies or Concept only'!Applies_Schedule_Feas_Concept_Only,"N/A")))</f>
        <v>Y</v>
      </c>
      <c r="X85" s="665" t="str">
        <f t="shared" si="7"/>
        <v>N/A</v>
      </c>
      <c r="Y85" s="665" t="str">
        <f t="shared" si="5"/>
        <v>N/A</v>
      </c>
      <c r="Z85" s="665" t="str">
        <f t="shared" si="5"/>
        <v>N/A</v>
      </c>
      <c r="AA85" s="665" t="str">
        <f>IF(AA$80="N","N/A",IF(Feasibility_Concept="Conceptualization",'00 - Concept.'!Applies_Schedule_Concept,IF(OR(Feasibility_Concept="Feasibility Study",Feasibility_Concept="Conceptualization Only",Feasibility_Concept="Investigation/Memo/Short Report"),'B-Studies or Concept only'!Applies_Schedule_Feas_Concept_Only,"N/A")))</f>
        <v>Y</v>
      </c>
      <c r="AB85" s="693" t="str">
        <f>IF(AB$80="N","N/A",'01 - SD'!Applies_Schedule_SD)</f>
        <v>Y</v>
      </c>
      <c r="AC85" s="667" t="str">
        <f>IF(AC$80="N","N/A",'02 - DD'!Applies_Schedule_DD)</f>
        <v>N/A</v>
      </c>
      <c r="AD85" s="665" t="str">
        <f>IF(AD$80="N","N/A",'02 - DD'!Applies_Schedule_DD)</f>
        <v>Y</v>
      </c>
      <c r="AE85" s="667" t="str">
        <f>IF(AE$80="N","N/A",'03 - 50% CD'!Applies_Schedule_50CD)</f>
        <v>N/A</v>
      </c>
      <c r="AF85" s="667" t="str">
        <f>IF(AF$80="N","N/A",'03 - 50% CD'!Applies_Schedule_50CD)</f>
        <v>N/A</v>
      </c>
      <c r="AG85" s="665" t="str">
        <f>IF(AG$80="N","N/A",'03 - 50% CD'!Applies_Schedule_50CD)</f>
        <v>Y</v>
      </c>
      <c r="AH85" s="667" t="str">
        <f>IF(AH$80="N","N/A",'04 - 95% CD'!Applies_Schedule_95CD)</f>
        <v>N/A</v>
      </c>
      <c r="AI85" s="667" t="str">
        <f>IF(AI$80="N","N/A",'04 - 95% CD'!Applies_Schedule_95CD)</f>
        <v>N/A</v>
      </c>
      <c r="AJ85" s="665" t="str">
        <f>IF(AJ$80="N","N/A",'04 - 95% CD'!Applies_Schedule_95CD)</f>
        <v>Y</v>
      </c>
      <c r="AK85" s="667" t="str">
        <f>IF(OR('01 - SD'!Applies_Schedule_SD="Y",'02 - DD'!Applies_Schedule_DD="Y",'03 - 50% CD'!Applies_Schedule_50CD="Y",'04 - 95% CD'!Applies_Schedule_95CD="y"),"Y","N")</f>
        <v>Y</v>
      </c>
      <c r="AL85" s="668"/>
      <c r="AM85" s="651"/>
      <c r="AN85" s="678" t="str">
        <f>IF(AN$80="N","N/A",'05-BID'!Applies_Schedule_BID)</f>
        <v>Y</v>
      </c>
      <c r="AO85" s="665" t="str">
        <f>IF(AO$80="N","N/A",'06-CONST'!Applies_Schedule_CONST)</f>
        <v>N</v>
      </c>
      <c r="AP85" s="665" t="str">
        <f>IF(AP$80="N","N/A",'07-CLOSEOUT'!Applies_Schedule_CLOSEOUT)</f>
        <v>N</v>
      </c>
      <c r="AQ85" s="665" t="str">
        <f>IF(AQ$80="N","N/A",'08-POST CONST'!Applies_Schedule_POST_CONST)</f>
        <v>N</v>
      </c>
      <c r="AR85" s="679"/>
      <c r="AS85" s="651"/>
      <c r="AT85" s="616" t="str">
        <f t="shared" si="6"/>
        <v>02 - Project Schedule</v>
      </c>
      <c r="AU85" s="1834" t="s">
        <v>1077</v>
      </c>
      <c r="AV85" s="1109"/>
      <c r="AW85" s="1587"/>
      <c r="AX85" s="1904" t="str">
        <f>IF('C-Design&amp;Const'!AE32="","",'C-Design&amp;Const'!AE32)</f>
        <v xml:space="preserve"> - Updated</v>
      </c>
      <c r="AY85" s="1904" t="str">
        <f>IF('C-Design&amp;Const'!AF32="","",'C-Design&amp;Const'!AF32)</f>
        <v xml:space="preserve"> - Updated</v>
      </c>
      <c r="AZ85" s="1904" t="str">
        <f>IF('C-Design&amp;Const'!AG32="","",'C-Design&amp;Const'!AG32)</f>
        <v xml:space="preserve"> - Updated</v>
      </c>
      <c r="BA85" s="1904" t="str">
        <f>IF('C-Design&amp;Const'!AH32="","",'C-Design&amp;Const'!AH32)</f>
        <v xml:space="preserve"> - Updated</v>
      </c>
      <c r="BB85" s="1904" t="str">
        <f>IF('C-Design&amp;Const'!AI32="","",'C-Design&amp;Const'!AI32)</f>
        <v xml:space="preserve"> - Updated</v>
      </c>
      <c r="BC85" s="1904" t="str">
        <f>IF('C-Design&amp;Const'!AK32="","",'C-Design&amp;Const'!AK32)</f>
        <v/>
      </c>
      <c r="BD85" s="1587"/>
      <c r="BE85" s="1587"/>
      <c r="BF85" s="1587"/>
    </row>
    <row r="86" spans="1:58" s="16" customFormat="1" ht="30" hidden="1" x14ac:dyDescent="0.25">
      <c r="A86" s="1587"/>
      <c r="B86" s="1587"/>
      <c r="C86" s="1589"/>
      <c r="D86" s="1587"/>
      <c r="E86" s="1587"/>
      <c r="F86" s="1587"/>
      <c r="G86" s="1601">
        <v>6</v>
      </c>
      <c r="H86" s="2241" t="str">
        <f>CONCATENATE("03 - ",'C-Design&amp;Const'!Z37)</f>
        <v>03 - Written Response to Comments</v>
      </c>
      <c r="I86" s="2242"/>
      <c r="J86" s="692">
        <f t="shared" si="4"/>
        <v>2</v>
      </c>
      <c r="K86" s="662"/>
      <c r="L86" s="662">
        <f>ROW('C-Design&amp;Const'!Z37)</f>
        <v>37</v>
      </c>
      <c r="M86" s="663">
        <f>ROW('B-Studies or Concept only'!Applies_Responses_Feas_Concept_Only)</f>
        <v>37</v>
      </c>
      <c r="N86" s="663">
        <f>ROW('00 - Concept.'!Applies_Responses_Concept)</f>
        <v>37</v>
      </c>
      <c r="O86" s="663">
        <f>ROW('01 - SD'!Applies_Responses_SD)</f>
        <v>37</v>
      </c>
      <c r="P86" s="663">
        <f>ROW('02 - DD'!Applies_Responses_DD)</f>
        <v>37</v>
      </c>
      <c r="Q86" s="663">
        <f>ROW('03 - 50% CD'!Applies_Responses_50CD)</f>
        <v>37</v>
      </c>
      <c r="R86" s="663">
        <f>ROW('04 - 95% CD'!Applies_Responses_95CD)</f>
        <v>37</v>
      </c>
      <c r="S86" s="663">
        <f>ROW('05-BID'!Applies_Responses_BID)</f>
        <v>37</v>
      </c>
      <c r="T86" s="663">
        <f>ROW('06-CONST'!Applies_Responses_CONST)</f>
        <v>37</v>
      </c>
      <c r="U86" s="663">
        <f>ROW('07-CLOSEOUT'!Applies_Responses_CLOSEOUT)</f>
        <v>37</v>
      </c>
      <c r="V86" s="664">
        <f>ROW('08-POST CONST'!Applies_Responses_POST_CONST )</f>
        <v>37</v>
      </c>
      <c r="W86" s="665" t="str">
        <f>IF(W$80="N","N/A",IF(Feasibility_Concept="Conceptualization",'00 - Concept.'!Applies_Responses_Concept,IF(OR(Feasibility_Concept="Feasibility Study",Feasibility_Concept="Conceptualization Only",Feasibility_Concept="Investigation/Memo/Short Report"),'B-Studies or Concept only'!Applies_Responses_Feas_Concept_Only,"N/A")))</f>
        <v>Y</v>
      </c>
      <c r="X86" s="665" t="str">
        <f t="shared" si="7"/>
        <v>N/A</v>
      </c>
      <c r="Y86" s="665" t="str">
        <f t="shared" si="5"/>
        <v>N/A</v>
      </c>
      <c r="Z86" s="665" t="str">
        <f t="shared" si="5"/>
        <v>N/A</v>
      </c>
      <c r="AA86" s="665" t="str">
        <f>IF(AA$80="N","N/A",IF(Feasibility_Concept="Conceptualization",'00 - Concept.'!Applies_Responses_Concept,IF(OR(Feasibility_Concept="Feasibility Study",Feasibility_Concept="Conceptualization Only",Feasibility_Concept="Investigation/Memo/Short Report"),'B-Studies or Concept only'!Applies_Responses_Feas_Concept_Only,"N/A")))</f>
        <v>Y</v>
      </c>
      <c r="AB86" s="693" t="str">
        <f>IF(AB$80="N","N/A",'01 - SD'!Applies_Responses_SD)</f>
        <v>Y</v>
      </c>
      <c r="AC86" s="667" t="str">
        <f>IF(AC$80="N","N/A",'02 - DD'!Applies_Responses_DD)</f>
        <v>N/A</v>
      </c>
      <c r="AD86" s="665" t="str">
        <f>IF(AD$80="N","N/A",'02 - DD'!Applies_Responses_DD)</f>
        <v>Y</v>
      </c>
      <c r="AE86" s="667" t="str">
        <f>IF(AE$80="N","N/A",'03 - 50% CD'!Applies_Responses_50CD)</f>
        <v>N/A</v>
      </c>
      <c r="AF86" s="667" t="str">
        <f>IF(AF$80="N","N/A",'03 - 50% CD'!Applies_Responses_50CD)</f>
        <v>N/A</v>
      </c>
      <c r="AG86" s="665" t="str">
        <f>IF(AG$80="N","N/A",'03 - 50% CD'!Applies_Responses_50CD)</f>
        <v>Y</v>
      </c>
      <c r="AH86" s="667" t="str">
        <f>IF(AH$80="N","N/A",'04 - 95% CD'!Applies_Responses_95CD)</f>
        <v>N/A</v>
      </c>
      <c r="AI86" s="667" t="str">
        <f>IF(AI$80="N","N/A",'04 - 95% CD'!Applies_Responses_95CD)</f>
        <v>N/A</v>
      </c>
      <c r="AJ86" s="665" t="str">
        <f>IF(AJ$80="N","N/A",'04 - 95% CD'!Applies_Responses_95CD)</f>
        <v>Y</v>
      </c>
      <c r="AK86" s="667" t="str">
        <f>IF(OR('01 - SD'!Applies_Responses_SD="Y",'02 - DD'!Applies_Responses_DD="Y",'03 - 50% CD'!Applies_Responses_50CD="Y",'04 - 95% CD'!Applies_Responses_95CD="y"),"Y","N")</f>
        <v>Y</v>
      </c>
      <c r="AL86" s="668"/>
      <c r="AM86" s="651"/>
      <c r="AN86" s="678" t="str">
        <f>IF(AN$80="N","N/A",'05-BID'!Applies_Responses_BID)</f>
        <v>Y</v>
      </c>
      <c r="AO86" s="665" t="str">
        <f>IF(AO$80="N","N/A",'06-CONST'!Applies_Responses_CONST)</f>
        <v>N</v>
      </c>
      <c r="AP86" s="665" t="str">
        <f>IF(AP$80="N","N/A",'07-CLOSEOUT'!Applies_Responses_CLOSEOUT)</f>
        <v>N</v>
      </c>
      <c r="AQ86" s="665" t="str">
        <f>IF(AQ$80="N","N/A",'08-POST CONST'!Applies_Responses_POST_CONST)</f>
        <v>N</v>
      </c>
      <c r="AR86" s="679"/>
      <c r="AS86" s="651"/>
      <c r="AT86" s="616" t="str">
        <f t="shared" si="6"/>
        <v>03 - Written Response to Comments</v>
      </c>
      <c r="AU86" s="1834" t="s">
        <v>1072</v>
      </c>
      <c r="AV86" s="1109"/>
      <c r="AW86" s="1587"/>
      <c r="AX86" s="1903"/>
      <c r="AY86" s="1903"/>
      <c r="AZ86" s="1903"/>
      <c r="BA86" s="1903"/>
      <c r="BB86" s="1903"/>
      <c r="BC86" s="1903"/>
      <c r="BD86" s="1587"/>
      <c r="BE86" s="1587"/>
      <c r="BF86" s="1587"/>
    </row>
    <row r="87" spans="1:58" s="16" customFormat="1" ht="18.75" hidden="1" x14ac:dyDescent="0.25">
      <c r="A87" s="1587"/>
      <c r="B87" s="1587"/>
      <c r="C87" s="1589"/>
      <c r="D87" s="1587"/>
      <c r="E87" s="1587"/>
      <c r="F87" s="1587"/>
      <c r="G87" s="1601">
        <v>7</v>
      </c>
      <c r="H87" s="2241" t="str">
        <f>CONCATENATE("04a - ",'C-Design&amp;Const'!Z39)</f>
        <v>04a - Basis of Design (BOD)</v>
      </c>
      <c r="I87" s="2242"/>
      <c r="J87" s="692">
        <f t="shared" si="4"/>
        <v>87</v>
      </c>
      <c r="K87" s="662"/>
      <c r="L87" s="662">
        <f>ROW('C-Design&amp;Const'!Z39)</f>
        <v>39</v>
      </c>
      <c r="M87" s="663">
        <f>ROW('B-Studies or Concept only'!Applies_BOD_PS_Feas_Concept_Only)</f>
        <v>39</v>
      </c>
      <c r="N87" s="663">
        <f>ROW('00 - Concept.'!Applies_BOD_PS_Concept)</f>
        <v>39</v>
      </c>
      <c r="O87" s="663">
        <f>ROW('01 - SD'!Applies_BOD_PS_SD)</f>
        <v>39</v>
      </c>
      <c r="P87" s="663">
        <f>ROW('02 - DD'!Applies_BOD_PS_DD)</f>
        <v>39</v>
      </c>
      <c r="Q87" s="663">
        <f>ROW('03 - 50% CD'!Applies_BOD_PS_50CD)</f>
        <v>39</v>
      </c>
      <c r="R87" s="663">
        <f>ROW('04 - 95% CD'!Applies_BOD_PS_95CD)</f>
        <v>39</v>
      </c>
      <c r="S87" s="663">
        <f>ROW('05-BID'!Applies_BOD_PS_Bid)</f>
        <v>39</v>
      </c>
      <c r="T87" s="663">
        <f>ROW('06-CONST'!Applies_BOD_PS_Const)</f>
        <v>39</v>
      </c>
      <c r="U87" s="663">
        <f>ROW('07-CLOSEOUT'!Applies_BOD_PS_CLOSEOUT)</f>
        <v>39</v>
      </c>
      <c r="V87" s="664">
        <f>ROW('08-POST CONST'!Applies_BOD_PS_POST_CONST )</f>
        <v>39</v>
      </c>
      <c r="W87" s="665" t="str">
        <f>IF(W$80="N","N/A",IF(Feasibility_Concept="Conceptualization",'00 - Concept.'!Applies_BOD_PS_Concept,IF(OR(Feasibility_Concept="Feasibility Study",Feasibility_Concept="Conceptualization Only",Feasibility_Concept="Investigation/Memo/Short Report"),'B-Studies or Concept only'!Applies_BOD_PS_Feas_Concept_Only,"N/A")))</f>
        <v>Y</v>
      </c>
      <c r="X87" s="665" t="str">
        <f t="shared" si="7"/>
        <v>N/A</v>
      </c>
      <c r="Y87" s="665" t="str">
        <f t="shared" si="5"/>
        <v>N/A</v>
      </c>
      <c r="Z87" s="665" t="str">
        <f t="shared" si="5"/>
        <v>N/A</v>
      </c>
      <c r="AA87" s="665" t="str">
        <f>IF(AA$80="N","N/A",IF(Feasibility_Concept="Conceptualization",'00 - Concept.'!Applies_BOD_PS_Concept,IF(OR(Feasibility_Concept="Feasibility Study",Feasibility_Concept="Conceptualization Only",Feasibility_Concept="Investigation/Memo/Short Report"),'B-Studies or Concept only'!Applies_BOD_PS_Feas_Concept_Only,"N/A")))</f>
        <v>Y</v>
      </c>
      <c r="AB87" s="693" t="str">
        <f>IF(AB$80="N","N/A",'01 - SD'!Applies_BOD_PS_SD)</f>
        <v>Y</v>
      </c>
      <c r="AC87" s="694" t="str">
        <f>IF(AC$80="N","N/A",'02 - DD'!Applies_BOD_PS_DD)</f>
        <v>N/A</v>
      </c>
      <c r="AD87" s="665" t="str">
        <f>IF(AD$80="N","N/A",'02 - DD'!Applies_BOD_PS_DD)</f>
        <v>Y</v>
      </c>
      <c r="AE87" s="694" t="str">
        <f>IF(AE$80="N","N/A",'03 - 50% CD'!Applies_BOD_PS_50CD)</f>
        <v>N/A</v>
      </c>
      <c r="AF87" s="667" t="str">
        <f>IF(AF$80="N","N/A",'03 - 50% CD'!Applies_BOD_PS_50CD)</f>
        <v>N/A</v>
      </c>
      <c r="AG87" s="665" t="str">
        <f>IF(AG$80="N","N/A",'03 - 50% CD'!Applies_BOD_PS_50CD)</f>
        <v>Y</v>
      </c>
      <c r="AH87" s="667" t="str">
        <f>IF(AH$80="N","N/A",'04 - 95% CD'!Applies_BOD_PS_95CD)</f>
        <v>N/A</v>
      </c>
      <c r="AI87" s="667" t="str">
        <f>IF(AI$80="N","N/A",'04 - 95% CD'!Applies_BOD_PS_95CD)</f>
        <v>N/A</v>
      </c>
      <c r="AJ87" s="665" t="str">
        <f>IF(AJ$80="N","N/A",'04 - 95% CD'!Applies_BOD_PS_95CD)</f>
        <v>Y</v>
      </c>
      <c r="AK87" s="667" t="str">
        <f>IF(OR('01 - SD'!Applies_BOD_PS_SD="Y",'02 - DD'!Applies_BOD_PS_DD="Y",'03 - 50% CD'!Applies_BOD_PS_50CD="Y",'04 - 95% CD'!Applies_BOD_PS_95CD="y"),"Y","N")</f>
        <v>Y</v>
      </c>
      <c r="AL87" s="668"/>
      <c r="AM87" s="651"/>
      <c r="AN87" s="678" t="str">
        <f>IF(AN$80="N","N/A",'05-BID'!Applies_BOD_PS_Bid)</f>
        <v>Y</v>
      </c>
      <c r="AO87" s="665" t="str">
        <f>IF(AO$80="N","N/A",'06-CONST'!Applies_BOD_PS_Const)</f>
        <v>N</v>
      </c>
      <c r="AP87" s="665" t="str">
        <f>IF(AP$80="N","N/A",'07-CLOSEOUT'!Applies_BOD_PS_CLOSEOUT)</f>
        <v>Y</v>
      </c>
      <c r="AQ87" s="665" t="str">
        <f>IF(AQ$80="N","N/A",'08-POST CONST'!Applies_BOD_PS_POST_CONST)</f>
        <v>N</v>
      </c>
      <c r="AR87" s="679"/>
      <c r="AS87" s="651"/>
      <c r="AT87" s="616" t="str">
        <f t="shared" si="6"/>
        <v>04a - Basis of Design (BOD)</v>
      </c>
      <c r="AU87" s="617" t="s">
        <v>1210</v>
      </c>
      <c r="AV87" s="1109"/>
      <c r="AW87" s="1587"/>
      <c r="AX87" s="1904" t="str">
        <f>IF('C-Design&amp;Const'!AE39="","",'C-Design&amp;Const'!AE39)</f>
        <v xml:space="preserve"> - Updated</v>
      </c>
      <c r="AY87" s="1904" t="str">
        <f>IF('C-Design&amp;Const'!AF39="","",'C-Design&amp;Const'!AF39)</f>
        <v xml:space="preserve"> - Updates only</v>
      </c>
      <c r="AZ87" s="1904" t="str">
        <f>IF('C-Design&amp;Const'!AG39="","",'C-Design&amp;Const'!AG39)</f>
        <v xml:space="preserve"> - Updates only</v>
      </c>
      <c r="BA87" s="1904" t="str">
        <f>IF('C-Design&amp;Const'!AH39="","",'C-Design&amp;Const'!AH39)</f>
        <v xml:space="preserve"> - Updates only</v>
      </c>
      <c r="BB87" s="1904" t="str">
        <f>IF('C-Design&amp;Const'!AI39="","",'C-Design&amp;Const'!AI39)</f>
        <v xml:space="preserve"> - Updates Only</v>
      </c>
      <c r="BC87" s="1904" t="str">
        <f>IF('C-Design&amp;Const'!AK39="","",'C-Design&amp;Const'!AK39)</f>
        <v xml:space="preserve"> - Final including All Updates</v>
      </c>
      <c r="BD87" s="1587"/>
      <c r="BE87" s="1587"/>
      <c r="BF87" s="1587"/>
    </row>
    <row r="88" spans="1:58" s="16" customFormat="1" ht="18.75" hidden="1" x14ac:dyDescent="0.25">
      <c r="A88" s="1587"/>
      <c r="B88" s="1587"/>
      <c r="C88" s="1589"/>
      <c r="D88" s="1587"/>
      <c r="E88" s="1587"/>
      <c r="F88" s="1587"/>
      <c r="G88" s="1601">
        <v>8</v>
      </c>
      <c r="H88" s="2241" t="str">
        <f>CONCATENATE("04b - ",'C-Design&amp;Const'!Z126)</f>
        <v>04b - Project Applicable Information / Calculations</v>
      </c>
      <c r="I88" s="2242"/>
      <c r="J88" s="692">
        <f t="shared" si="4"/>
        <v>42</v>
      </c>
      <c r="K88" s="662"/>
      <c r="L88" s="662">
        <f>ROW('C-Design&amp;Const'!Z126)</f>
        <v>126</v>
      </c>
      <c r="M88" s="663">
        <f>ROW('B-Studies or Concept only'!Applies_Info_Calcs_Feas_Concept_Only)</f>
        <v>222</v>
      </c>
      <c r="N88" s="663">
        <f>ROW('00 - Concept.'!Applies_Info_Calcs_Concept)</f>
        <v>126</v>
      </c>
      <c r="O88" s="663">
        <f>ROW('01 - SD'!Applies_Info_Calcs_SD)</f>
        <v>126</v>
      </c>
      <c r="P88" s="663">
        <f>ROW('02 - DD'!Applies_Info_Calcs_DD)</f>
        <v>126</v>
      </c>
      <c r="Q88" s="663">
        <f>ROW('03 - 50% CD'!Applies_Info_Calcs_50CD)</f>
        <v>126</v>
      </c>
      <c r="R88" s="663">
        <f>ROW('04 - 95% CD'!Applies_Info_Calcs_95CD)</f>
        <v>126</v>
      </c>
      <c r="S88" s="663">
        <f>ROW('05-BID'!Applies_Info_Calcs_BID)</f>
        <v>126</v>
      </c>
      <c r="T88" s="663">
        <f>ROW('06-CONST'!Applies_Info_Calcs_Const)</f>
        <v>126</v>
      </c>
      <c r="U88" s="663">
        <f>ROW('07-CLOSEOUT'!Applies_Info_Calcs_CLOSEOUT)</f>
        <v>126</v>
      </c>
      <c r="V88" s="664">
        <f>ROW('08-POST CONST'!Applies_Info_Calcs_POST_CONST )</f>
        <v>126</v>
      </c>
      <c r="W88" s="665" t="str">
        <f>IF(W$80="N","N/A",IF(Feasibility_Concept="Conceptualization",'00 - Concept.'!Applies_Info_Calcs_Concept,IF(OR(Feasibility_Concept="Feasibility Study",Feasibility_Concept="Conceptualization Only",Feasibility_Concept="Investigation/Memo/Short Report"),'B-Studies or Concept only'!Applies_Info_Calcs_Feas_Concept_Only,"N/A")))</f>
        <v>Y</v>
      </c>
      <c r="X88" s="665" t="str">
        <f t="shared" si="7"/>
        <v>N/A</v>
      </c>
      <c r="Y88" s="665" t="str">
        <f t="shared" si="5"/>
        <v>N/A</v>
      </c>
      <c r="Z88" s="665" t="str">
        <f t="shared" si="5"/>
        <v>N/A</v>
      </c>
      <c r="AA88" s="665" t="str">
        <f>IF(AA$80="N","N/A",IF(Feasibility_Concept="Conceptualization",'00 - Concept.'!Applies_Info_Calcs_Concept,IF(OR(Feasibility_Concept="Feasibility Study",Feasibility_Concept="Conceptualization Only",Feasibility_Concept="Investigation/Memo/Short Report"),'B-Studies or Concept only'!Applies_Info_Calcs_Feas_Concept_Only,"N/A")))</f>
        <v>Y</v>
      </c>
      <c r="AB88" s="693" t="str">
        <f>IF(AB$80="N","N/A",'01 - SD'!Applies_Info_Calcs_SD)</f>
        <v>Y</v>
      </c>
      <c r="AC88" s="667" t="str">
        <f>IF(AC$80="N","N/A",'02 - DD'!Applies_Info_Calcs_DD)</f>
        <v>N/A</v>
      </c>
      <c r="AD88" s="665" t="str">
        <f>IF(AD$80="N","N/A",'02 - DD'!Applies_Info_Calcs_DD)</f>
        <v>Y</v>
      </c>
      <c r="AE88" s="667" t="str">
        <f>IF(AE$80="N","N/A",'03 - 50% CD'!Applies_Info_Calcs_50CD)</f>
        <v>N/A</v>
      </c>
      <c r="AF88" s="667" t="str">
        <f>IF(AF$80="N","N/A",'03 - 50% CD'!Applies_Info_Calcs_50CD)</f>
        <v>N/A</v>
      </c>
      <c r="AG88" s="665" t="str">
        <f>IF(AG$80="N","N/A",'03 - 50% CD'!Applies_Info_Calcs_50CD)</f>
        <v>Y</v>
      </c>
      <c r="AH88" s="667" t="str">
        <f>IF(AH$80="N","N/A",'04 - 95% CD'!Applies_Info_Calcs_95CD)</f>
        <v>N/A</v>
      </c>
      <c r="AI88" s="667" t="str">
        <f>IF(AI$80="N","N/A",'04 - 95% CD'!Applies_Info_Calcs_95CD)</f>
        <v>N/A</v>
      </c>
      <c r="AJ88" s="665" t="str">
        <f>IF(AJ$80="N","N/A",'04 - 95% CD'!Applies_Info_Calcs_95CD)</f>
        <v>Y</v>
      </c>
      <c r="AK88" s="667" t="str">
        <f>IF(OR('01 - SD'!Applies_Info_Calcs_SD="Y",'02 - DD'!Applies_Info_Calcs_DD="Y",'03 - 50% CD'!Applies_Info_Calcs_50CD="Y",'04 - 95% CD'!Applies_Info_Calcs_95CD="y"),"Y","N")</f>
        <v>Y</v>
      </c>
      <c r="AL88" s="668"/>
      <c r="AM88" s="651"/>
      <c r="AN88" s="678" t="str">
        <f>IF(AN$80="N","N/A",'05-BID'!Applies_Info_Calcs_BID)</f>
        <v>Y</v>
      </c>
      <c r="AO88" s="665" t="str">
        <f>IF(AO$80="N","N/A",'06-CONST'!Applies_Info_Calcs_Const)</f>
        <v>N</v>
      </c>
      <c r="AP88" s="665" t="str">
        <f>IF(AP$80="N","N/A",'07-CLOSEOUT'!Applies_Info_Calcs_CLOSEOUT)</f>
        <v>Y</v>
      </c>
      <c r="AQ88" s="665" t="str">
        <f>IF(AQ$80="N","N/A",'08-POST CONST'!Applies_Info_Calcs_POST_CONST)</f>
        <v>N</v>
      </c>
      <c r="AR88" s="679"/>
      <c r="AS88" s="651"/>
      <c r="AT88" s="616" t="str">
        <f t="shared" si="6"/>
        <v>04b - Project Applicable Information / Calculations</v>
      </c>
      <c r="AU88" s="617" t="s">
        <v>1210</v>
      </c>
      <c r="AV88" s="1109"/>
      <c r="AW88" s="1587"/>
      <c r="AX88" s="1904" t="str">
        <f>IF('C-Design&amp;Const'!AE126="","",'C-Design&amp;Const'!AE126)</f>
        <v xml:space="preserve"> - Updated</v>
      </c>
      <c r="AY88" s="1904" t="str">
        <f>IF('C-Design&amp;Const'!AF126="","",'C-Design&amp;Const'!AF126)</f>
        <v xml:space="preserve"> - Updated</v>
      </c>
      <c r="AZ88" s="1904" t="str">
        <f>IF('C-Design&amp;Const'!AG126="","",'C-Design&amp;Const'!AG126)</f>
        <v xml:space="preserve"> - Updated</v>
      </c>
      <c r="BA88" s="1904" t="str">
        <f>IF('C-Design&amp;Const'!AH126="","",'C-Design&amp;Const'!AH126)</f>
        <v xml:space="preserve"> - Updated</v>
      </c>
      <c r="BB88" s="1904" t="str">
        <f>IF('C-Design&amp;Const'!AI126="","",'C-Design&amp;Const'!AI126)</f>
        <v xml:space="preserve"> - Updated</v>
      </c>
      <c r="BC88" s="1904" t="str">
        <f>IF('C-Design&amp;Const'!AK126="","",'C-Design&amp;Const'!AK126)</f>
        <v xml:space="preserve"> - Final</v>
      </c>
      <c r="BD88" s="1587"/>
      <c r="BE88" s="1587"/>
      <c r="BF88" s="1587"/>
    </row>
    <row r="89" spans="1:58" s="16" customFormat="1" ht="30" hidden="1" x14ac:dyDescent="0.25">
      <c r="A89" s="1587"/>
      <c r="B89" s="1587"/>
      <c r="C89" s="1589"/>
      <c r="D89" s="1587"/>
      <c r="E89" s="1587"/>
      <c r="F89" s="1587"/>
      <c r="G89" s="1601">
        <v>9</v>
      </c>
      <c r="H89" s="2241" t="str">
        <f>CONCATENATE("05a - ",'C-Design&amp;Const'!Z168)</f>
        <v xml:space="preserve">05a - Ext. &amp; Int. Finishes Binder(s)/Finishes Board(s) </v>
      </c>
      <c r="I89" s="2242"/>
      <c r="J89" s="692">
        <f t="shared" si="4"/>
        <v>6</v>
      </c>
      <c r="K89" s="662"/>
      <c r="L89" s="662">
        <f>ROW('C-Design&amp;Const'!Z168)</f>
        <v>168</v>
      </c>
      <c r="M89" s="663">
        <f>ROW('B-Studies or Concept only'!Applies_FinishesBinder_Feas_Concept_Only)</f>
        <v>262</v>
      </c>
      <c r="N89" s="663">
        <f>ROW('00 - Concept.'!Applies_FinishesBinder_Concept)</f>
        <v>168</v>
      </c>
      <c r="O89" s="663">
        <f>ROW('01 - SD'!Applies_FinishesBinder_SD)</f>
        <v>168</v>
      </c>
      <c r="P89" s="663">
        <f>ROW('02 - DD'!Applies_FinishesBinder_DD)</f>
        <v>168</v>
      </c>
      <c r="Q89" s="663">
        <f>ROW('03 - 50% CD'!Applies_FinishesBinder_50CD)</f>
        <v>168</v>
      </c>
      <c r="R89" s="663">
        <f>ROW('04 - 95% CD'!Applies_FinishesBinder_95CD)</f>
        <v>168</v>
      </c>
      <c r="S89" s="663">
        <f>ROW('05-BID'!Applies_FinishesBinder_BID)</f>
        <v>168</v>
      </c>
      <c r="T89" s="663">
        <f>ROW('06-CONST'!Applies_FinishesBinder_Const)</f>
        <v>168</v>
      </c>
      <c r="U89" s="663">
        <f>ROW('07-CLOSEOUT'!Applies_FinishesBinder_CLOSEOUT)</f>
        <v>168</v>
      </c>
      <c r="V89" s="664">
        <f>ROW('08-POST CONST'!Applies_FinishesBinder_POST_CONST )</f>
        <v>168</v>
      </c>
      <c r="W89" s="665" t="str">
        <f>IF(W$80="N","N/A",IF(Feasibility_Concept="Conceptualization",'00 - Concept.'!Applies_FinishesBinder_Concept,IF(OR(Feasibility_Concept="Feasibility Study",Feasibility_Concept="Conceptualization Only",Feasibility_Concept="Investigation/Memo/Short Report"),'B-Studies or Concept only'!Applies_FinishesBinder_Feas_Concept_Only,"N/A")))</f>
        <v>N</v>
      </c>
      <c r="X89" s="665" t="str">
        <f t="shared" si="7"/>
        <v>N/A</v>
      </c>
      <c r="Y89" s="665" t="str">
        <f t="shared" si="5"/>
        <v>N/A</v>
      </c>
      <c r="Z89" s="665" t="str">
        <f t="shared" si="5"/>
        <v>N/A</v>
      </c>
      <c r="AA89" s="665" t="str">
        <f>IF(AA$80="N","N/A",IF(Feasibility_Concept="Conceptualization",'00 - Concept.'!Applies_FinishesBinder_Concept,IF(OR(Feasibility_Concept="Feasibility Study",Feasibility_Concept="Conceptualization Only",Feasibility_Concept="Investigation/Memo/Short Report"),'B-Studies or Concept only'!Applies_FinishesBinder_Feas_Concept_Only,"N/A")))</f>
        <v>N</v>
      </c>
      <c r="AB89" s="693" t="str">
        <f>IF(AB$80="N","N/A",'01 - SD'!Applies_FinishesBinder_SD)</f>
        <v>N</v>
      </c>
      <c r="AC89" s="667" t="str">
        <f>IF(AC$80="N","N/A",'02 - DD'!Applies_FinishesBinder_DD)</f>
        <v>N/A</v>
      </c>
      <c r="AD89" s="665" t="str">
        <f>IF(AD$80="N","N/A",'02 - DD'!Applies_FinishesBinder_DD)</f>
        <v>Y</v>
      </c>
      <c r="AE89" s="694" t="str">
        <f>IF(AE$80="N","N/A",'03 - 50% CD'!Applies_FinishesBinder_50CD)</f>
        <v>N/A</v>
      </c>
      <c r="AF89" s="694" t="str">
        <f>IF(AF$80="N","N/A",'03 - 50% CD'!Applies_FinishesBinder_50CD)</f>
        <v>N/A</v>
      </c>
      <c r="AG89" s="665" t="str">
        <f>IF(AG$80="N","N/A",'03 - 50% CD'!Applies_FinishesBinder_50CD)</f>
        <v>Y</v>
      </c>
      <c r="AH89" s="667" t="str">
        <f>IF(AH$80="N","N/A",'04 - 95% CD'!Applies_FinishesBinder_95CD)</f>
        <v>N/A</v>
      </c>
      <c r="AI89" s="694" t="str">
        <f>IF(AI$80="N","N/A",'04 - 95% CD'!Applies_FinishesBinder_95CD)</f>
        <v>N/A</v>
      </c>
      <c r="AJ89" s="665" t="str">
        <f>IF(AJ$80="N","N/A",'04 - 95% CD'!Applies_FinishesBinder_95CD)</f>
        <v>Y</v>
      </c>
      <c r="AK89" s="694" t="str">
        <f>IF(OR('01 - SD'!Applies_FinishesBinder_SD="Y",'02 - DD'!Applies_FinishesBinder_DD="Y",'03 - 50% CD'!Applies_FinishesBinder_50CD="Y",'04 - 95% CD'!Applies_FinishesBinder_95CD="y"),"Y","N")</f>
        <v>Y</v>
      </c>
      <c r="AL89" s="668"/>
      <c r="AM89" s="651"/>
      <c r="AN89" s="678" t="str">
        <f>IF(AN$80="N","N/A",'05-BID'!Applies_FinishesBinder_BID)</f>
        <v>Y</v>
      </c>
      <c r="AO89" s="665" t="str">
        <f>IF(AO$80="N","N/A",'06-CONST'!Applies_FinishesBinder_Const)</f>
        <v>N</v>
      </c>
      <c r="AP89" s="665" t="str">
        <f>IF(AP$80="N","N/A",'07-CLOSEOUT'!Applies_FinishesBinder_CLOSEOUT)</f>
        <v>Y</v>
      </c>
      <c r="AQ89" s="665" t="str">
        <f>IF(AQ$80="N","N/A",'08-POST CONST'!Applies_FinishesBinder_POST_CONST)</f>
        <v>N</v>
      </c>
      <c r="AR89" s="679"/>
      <c r="AS89" s="651"/>
      <c r="AT89" s="616" t="str">
        <f t="shared" si="6"/>
        <v xml:space="preserve">05a - Ext. &amp; Int. Finishes Binder(s)/Finishes Board(s) </v>
      </c>
      <c r="AU89" s="617" t="s">
        <v>1214</v>
      </c>
      <c r="AV89" s="1109"/>
      <c r="AW89" s="1587"/>
      <c r="AX89" s="1904" t="str">
        <f>IF('C-Design&amp;Const'!AE168="","",'C-Design&amp;Const'!AE168)</f>
        <v/>
      </c>
      <c r="AY89" s="1904" t="str">
        <f>IF('C-Design&amp;Const'!AF168="","",'C-Design&amp;Const'!AF168)</f>
        <v xml:space="preserve"> </v>
      </c>
      <c r="AZ89" s="1904" t="str">
        <f>IF('C-Design&amp;Const'!AG168="","",'C-Design&amp;Const'!AG168)</f>
        <v xml:space="preserve"> - Updates - Including Bid Alts</v>
      </c>
      <c r="BA89" s="1904" t="str">
        <f>IF('C-Design&amp;Const'!AH168="","",'C-Design&amp;Const'!AH168)</f>
        <v xml:space="preserve"> - Updates - Including Bid Alts.</v>
      </c>
      <c r="BB89" s="1904" t="str">
        <f>IF('C-Design&amp;Const'!AI168="","",'C-Design&amp;Const'!AI168)</f>
        <v xml:space="preserve"> (Updates - Including Bid Alts.)</v>
      </c>
      <c r="BC89" s="1904" t="str">
        <f>IF('C-Design&amp;Const'!AK168="","",'C-Design&amp;Const'!AK168)</f>
        <v>- Installed - RECORD SET</v>
      </c>
      <c r="BD89" s="1587"/>
      <c r="BE89" s="1587"/>
      <c r="BF89" s="1587"/>
    </row>
    <row r="90" spans="1:58" s="16" customFormat="1" ht="30" hidden="1" x14ac:dyDescent="0.25">
      <c r="A90" s="1587"/>
      <c r="B90" s="1587"/>
      <c r="C90" s="1589"/>
      <c r="D90" s="1587"/>
      <c r="E90" s="1587"/>
      <c r="F90" s="1587"/>
      <c r="G90" s="1601">
        <v>10</v>
      </c>
      <c r="H90" s="2241" t="str">
        <f>CONCATENATE("05b - ",'C-Design&amp;Const'!Z174)</f>
        <v>05b - Furnitures, Fixtures, and Equipment Binder(s)</v>
      </c>
      <c r="I90" s="2242"/>
      <c r="J90" s="692">
        <f t="shared" si="4"/>
        <v>6</v>
      </c>
      <c r="K90" s="662"/>
      <c r="L90" s="662">
        <f>ROW('C-Design&amp;Const'!Z174)</f>
        <v>174</v>
      </c>
      <c r="M90" s="663">
        <f>ROW('B-Studies or Concept only'!Applies_FFE_Binder_Feas_Concept_Only)</f>
        <v>263</v>
      </c>
      <c r="N90" s="663">
        <f>ROW('00 - Concept.'!Applies_FFE_Binder_Concept)</f>
        <v>174</v>
      </c>
      <c r="O90" s="663">
        <f>ROW('01 - SD'!Applies_FFE_Binder_SD)</f>
        <v>174</v>
      </c>
      <c r="P90" s="663">
        <f>ROW('02 - DD'!Applies_FFE_Binder_DD)</f>
        <v>174</v>
      </c>
      <c r="Q90" s="663">
        <f>ROW('03 - 50% CD'!Applies_FFE_Binder_50CD)</f>
        <v>174</v>
      </c>
      <c r="R90" s="663">
        <f>ROW('04 - 95% CD'!Applies_FFE_Binder_95CD)</f>
        <v>174</v>
      </c>
      <c r="S90" s="663">
        <f>ROW('05-BID'!Applies_FFE_Binder_BID)</f>
        <v>174</v>
      </c>
      <c r="T90" s="663">
        <f>ROW('06-CONST'!Applies_FFE_Binder_Const)</f>
        <v>174</v>
      </c>
      <c r="U90" s="663">
        <f>ROW([0]!Applies_FFE_Binder_CLOSEOUT)</f>
        <v>174</v>
      </c>
      <c r="V90" s="664">
        <f>ROW('08-POST CONST'!Applies_FFE_Binder_POST_CONST )</f>
        <v>174</v>
      </c>
      <c r="W90" s="665" t="str">
        <f>IF(W$80="N","N/A",IF(Feasibility_Concept="Conceptualization",'00 - Concept.'!Applies_FFE_Binder_Concept,IF(OR(Feasibility_Concept="Feasibility Study",Feasibility_Concept="Conceptualization Only",Feasibility_Concept="Investigation/Memo/Short Report"),'B-Studies or Concept only'!Applies_FFE_Binder_Feas_Concept_Only,"N/A")))</f>
        <v>N</v>
      </c>
      <c r="X90" s="665" t="str">
        <f t="shared" si="7"/>
        <v>N/A</v>
      </c>
      <c r="Y90" s="665" t="str">
        <f t="shared" si="5"/>
        <v>N/A</v>
      </c>
      <c r="Z90" s="665" t="str">
        <f t="shared" si="5"/>
        <v>N/A</v>
      </c>
      <c r="AA90" s="665" t="str">
        <f>IF(AA$80="N","N/A",IF(Feasibility_Concept="Conceptualization",'00 - Concept.'!Applies_FFE_Binder_Concept,IF(OR(Feasibility_Concept="Feasibility Study",Feasibility_Concept="Conceptualization Only",Feasibility_Concept="Investigation/Memo/Short Report"),'B-Studies or Concept only'!Applies_FFE_Binder_Feas_Concept_Only,"N/A")))</f>
        <v>N</v>
      </c>
      <c r="AB90" s="693" t="str">
        <f>IF(AB$80="N","N/A",'01 - SD'!Applies_FFE_Binder_SD)</f>
        <v>N</v>
      </c>
      <c r="AC90" s="667" t="str">
        <f>IF(AC$80="N","N/A",'02 - DD'!Applies_FFE_Binder_DD)</f>
        <v>N/A</v>
      </c>
      <c r="AD90" s="665" t="str">
        <f>IF(AD$80="N","N/A",'02 - DD'!Applies_FFE_Binder_DD)</f>
        <v>Y</v>
      </c>
      <c r="AE90" s="694" t="str">
        <f>IF(AE$80="N","N/A",'03 - 50% CD'!Applies_FFE_Binder_50CD)</f>
        <v>N/A</v>
      </c>
      <c r="AF90" s="694" t="str">
        <f>IF(AF$80="N","N/A",'03 - 50% CD'!Applies_FFE_Binder_50CD)</f>
        <v>N/A</v>
      </c>
      <c r="AG90" s="665" t="str">
        <f>IF(AG$80="N","N/A",'03 - 50% CD'!Applies_FFE_Binder_50CD)</f>
        <v>Y</v>
      </c>
      <c r="AH90" s="667" t="str">
        <f>IF(AH$80="N","N/A",'04 - 95% CD'!Applies_FFE_Binder_95CD)</f>
        <v>N/A</v>
      </c>
      <c r="AI90" s="694" t="str">
        <f>IF(AI$80="N","N/A",'04 - 95% CD'!Applies_FFE_Binder_95CD)</f>
        <v>N/A</v>
      </c>
      <c r="AJ90" s="665" t="str">
        <f>IF(AJ$80="N","N/A",'04 - 95% CD'!Applies_FFE_Binder_95CD)</f>
        <v>Y</v>
      </c>
      <c r="AK90" s="694" t="str">
        <f>IF(OR('01 - SD'!Applies_FFE_Binder_SD="Y",'02 - DD'!Applies_FFE_Binder_DD="Y",'03 - 50% CD'!Applies_FFE_Binder_50CD="Y",'04 - 95% CD'!Applies_FFE_Binder_95CD="y"),"Y","N")</f>
        <v>Y</v>
      </c>
      <c r="AL90" s="668"/>
      <c r="AM90" s="651"/>
      <c r="AN90" s="678" t="str">
        <f>IF(AN$80="N","N/A",'05-BID'!Applies_FFE_Binder_BID)</f>
        <v>Y</v>
      </c>
      <c r="AO90" s="665" t="str">
        <f>IF(AO$80="N","N/A",'06-CONST'!Applies_FFE_Binder_Const)</f>
        <v>N</v>
      </c>
      <c r="AP90" s="665" t="str">
        <f>IF(AP$80="N","N/A",[0]!Applies_FFE_Binder_CLOSEOUT)</f>
        <v>Y</v>
      </c>
      <c r="AQ90" s="665" t="str">
        <f>IF(AQ$80="N","N/A",'08-POST CONST'!Applies_FFE_Binder_POST_CONST)</f>
        <v>N</v>
      </c>
      <c r="AR90" s="679"/>
      <c r="AS90" s="651"/>
      <c r="AT90" s="616" t="str">
        <f t="shared" si="6"/>
        <v>05b - Furnitures, Fixtures, and Equipment Binder(s)</v>
      </c>
      <c r="AU90" s="617" t="s">
        <v>1214</v>
      </c>
      <c r="AV90" s="1109"/>
      <c r="AW90" s="1587"/>
      <c r="AX90" s="1904" t="str">
        <f>IF('C-Design&amp;Const'!AE174="","",'C-Design&amp;Const'!AE174)</f>
        <v/>
      </c>
      <c r="AY90" s="1904" t="str">
        <f>IF('C-Design&amp;Const'!AF174="","",'C-Design&amp;Const'!AF174)</f>
        <v xml:space="preserve"> </v>
      </c>
      <c r="AZ90" s="1904" t="str">
        <f>IF('C-Design&amp;Const'!AG174="","",'C-Design&amp;Const'!AG174)</f>
        <v xml:space="preserve"> - Updates - Including Bid Alts</v>
      </c>
      <c r="BA90" s="1904" t="str">
        <f>IF('C-Design&amp;Const'!AH174="","",'C-Design&amp;Const'!AH174)</f>
        <v xml:space="preserve"> - Updates - Including Bid Alts.</v>
      </c>
      <c r="BB90" s="1904" t="str">
        <f>IF('C-Design&amp;Const'!AI174="","",'C-Design&amp;Const'!AI174)</f>
        <v xml:space="preserve"> (Updates - Including Bid Alts.)</v>
      </c>
      <c r="BC90" s="1904" t="str">
        <f>IF('C-Design&amp;Const'!AK174="","",'C-Design&amp;Const'!AK174)</f>
        <v>- Installed - RECORD SET</v>
      </c>
      <c r="BD90" s="1587"/>
      <c r="BE90" s="1587"/>
      <c r="BF90" s="1587"/>
    </row>
    <row r="91" spans="1:58" s="16" customFormat="1" ht="18.75" hidden="1" x14ac:dyDescent="0.25">
      <c r="A91" s="1587"/>
      <c r="B91" s="1587"/>
      <c r="C91" s="1589"/>
      <c r="D91" s="1587"/>
      <c r="E91" s="1587"/>
      <c r="F91" s="1587"/>
      <c r="G91" s="1601">
        <v>11</v>
      </c>
      <c r="H91" s="2241" t="str">
        <f>CONCATENATE("06 - ",'C-Design&amp;Const'!Z180)</f>
        <v xml:space="preserve">06 - Project Manual </v>
      </c>
      <c r="I91" s="2242"/>
      <c r="J91" s="692">
        <f>MAX(N92-N91,O92-O91,P92-P91,Q92-Q91,R92-R91,S92-S91,T92-T91,U92-U91,V92-V91)</f>
        <v>26</v>
      </c>
      <c r="K91" s="662"/>
      <c r="L91" s="662">
        <f>ROW('C-Design&amp;Const'!Z180)</f>
        <v>180</v>
      </c>
      <c r="M91" s="663">
        <f>ROW('B-Studies or Concept only'!Applies_ProjectManual_Feas_Conept_Only)</f>
        <v>265</v>
      </c>
      <c r="N91" s="663">
        <f>ROW('00 - Concept.'!Applies_ProjectManual_Concept)</f>
        <v>180</v>
      </c>
      <c r="O91" s="663">
        <f>ROW('01 - SD'!Applies_ProjectManual_SD)</f>
        <v>180</v>
      </c>
      <c r="P91" s="663">
        <f>ROW('02 - DD'!Applies_ProjectManual_DD)</f>
        <v>180</v>
      </c>
      <c r="Q91" s="663">
        <f>ROW('03 - 50% CD'!Applies_ProjectManual_50CD)</f>
        <v>180</v>
      </c>
      <c r="R91" s="663">
        <f>ROW('04 - 95% CD'!Applies_ProjectManual_95CD)</f>
        <v>180</v>
      </c>
      <c r="S91" s="663">
        <f>ROW('05-BID'!Applies_ProjectManual_BID)</f>
        <v>180</v>
      </c>
      <c r="T91" s="663">
        <f>ROW('06-CONST'!Applies_ProjectManual_CONST)</f>
        <v>180</v>
      </c>
      <c r="U91" s="663">
        <f>ROW('07-CLOSEOUT'!Applies_ProjectManual_CLOSEOUT)</f>
        <v>180</v>
      </c>
      <c r="V91" s="664">
        <f>ROW('08-POST CONST'!Applies_ProjectManual_POST_CONST )</f>
        <v>180</v>
      </c>
      <c r="W91" s="665" t="str">
        <f>IF(W$80="N","N/A",IF(Feasibility_Concept="Conceptualization",'00 - Concept.'!Applies_ProjectManual_Concept,IF(OR(Feasibility_Concept="Feasibility Study",Feasibility_Concept="Conceptualization Only",Feasibility_Concept="Investigation/Memo/Short Report"),'B-Studies or Concept only'!Applies_ProjectManual_Feas_Conept_Only,"N/A")))</f>
        <v>N</v>
      </c>
      <c r="X91" s="665" t="str">
        <f t="shared" si="7"/>
        <v>N/A</v>
      </c>
      <c r="Y91" s="665" t="str">
        <f t="shared" si="5"/>
        <v>N/A</v>
      </c>
      <c r="Z91" s="665" t="str">
        <f t="shared" si="5"/>
        <v>N/A</v>
      </c>
      <c r="AA91" s="665" t="str">
        <f>IF(AA$80="N","N/A",IF(Feasibility_Concept="Conceptualization",'00 - Concept.'!Applies_ProjectManual_Concept,IF(OR(Feasibility_Concept="Feasibility Study",Feasibility_Concept="Conceptualization Only",Feasibility_Concept="Investigation/Memo/Short Report"),'B-Studies or Concept only'!Applies_ProjectManual_Feas_Conept_Only,"N/A")))</f>
        <v>N</v>
      </c>
      <c r="AB91" s="693" t="str">
        <f>IF(AB$80="N","N/A",'01 - SD'!Applies_ProjectManual_SD)</f>
        <v>Y</v>
      </c>
      <c r="AC91" s="667" t="str">
        <f>IF(AC$80="N","N/A",'02 - DD'!Applies_ProjectManual_DD)</f>
        <v>N/A</v>
      </c>
      <c r="AD91" s="665" t="str">
        <f>IF(AD$80="N","N/A",'02 - DD'!Applies_ProjectManual_DD)</f>
        <v>Y</v>
      </c>
      <c r="AE91" s="667" t="str">
        <f>IF(AE$80="N","N/A",'03 - 50% CD'!Applies_ProjectManual_50CD)</f>
        <v>N/A</v>
      </c>
      <c r="AF91" s="667" t="str">
        <f>IF(AF$80="N","N/A",'03 - 50% CD'!Applies_ProjectManual_50CD)</f>
        <v>N/A</v>
      </c>
      <c r="AG91" s="665" t="str">
        <f>IF(AG$80="N","N/A",'03 - 50% CD'!Applies_ProjectManual_50CD)</f>
        <v>Y</v>
      </c>
      <c r="AH91" s="667" t="str">
        <f>IF(AH$80="N","N/A",'04 - 95% CD'!Applies_ProjectManual_95CD)</f>
        <v>N/A</v>
      </c>
      <c r="AI91" s="667" t="str">
        <f>IF(AI$80="N","N/A",'04 - 95% CD'!Applies_ProjectManual_95CD)</f>
        <v>N/A</v>
      </c>
      <c r="AJ91" s="665" t="str">
        <f>IF(AJ$80="N","N/A",'04 - 95% CD'!Applies_ProjectManual_95CD)</f>
        <v>Y</v>
      </c>
      <c r="AK91" s="667" t="str">
        <f>IF(OR('01 - SD'!Applies_ProjectManual_SD="Y",'02 - DD'!Applies_ProjectManual_DD="Y",'03 - 50% CD'!Applies_ProjectManual_50CD="Y",'04 - 95% CD'!Applies_ProjectManual_95CD="y"),"Y","N")</f>
        <v>Y</v>
      </c>
      <c r="AL91" s="668"/>
      <c r="AM91" s="651"/>
      <c r="AN91" s="678" t="str">
        <f>IF(AN$80="N","N/A",'05-BID'!Applies_ProjectManual_BID)</f>
        <v>Y</v>
      </c>
      <c r="AO91" s="665" t="str">
        <f>IF(AO$80="N","N/A",'06-CONST'!Applies_ProjectManual_CONST)</f>
        <v>Y</v>
      </c>
      <c r="AP91" s="665" t="str">
        <f>IF(AP$80="N","N/A",'07-CLOSEOUT'!Applies_ProjectManual_CLOSEOUT)</f>
        <v>Y</v>
      </c>
      <c r="AQ91" s="665" t="str">
        <f>IF(AQ$80="N","N/A",'08-POST CONST'!Applies_ProjectManual_POST_CONST)</f>
        <v>N</v>
      </c>
      <c r="AR91" s="679"/>
      <c r="AS91" s="651"/>
      <c r="AT91" s="616" t="str">
        <f t="shared" si="6"/>
        <v xml:space="preserve">06 - Project Manual </v>
      </c>
      <c r="AU91" s="617" t="str">
        <f>IF(Phase_dropdown="Const.","Digital Download of 'Issue for Construction Set', then monitor and update for changes/corrections",IF(Phase_dropdown="Closeout","Printed","Printed (upon requrest) &amp; Digital Download"))</f>
        <v>Printed (upon requrest) &amp; Digital Download</v>
      </c>
      <c r="AV91" s="1860" t="s">
        <v>578</v>
      </c>
      <c r="AW91" s="1587"/>
      <c r="AX91" s="1904" t="str">
        <f>IF('C-Design&amp;Const'!AE180="","",'C-Design&amp;Const'!AE180)</f>
        <v/>
      </c>
      <c r="AY91" s="1904" t="str">
        <f>IF('C-Design&amp;Const'!AF180="","",'C-Design&amp;Const'!AF180)</f>
        <v/>
      </c>
      <c r="AZ91" s="1904" t="str">
        <f>IF('C-Design&amp;Const'!AG180="","",'C-Design&amp;Const'!AG180)</f>
        <v xml:space="preserve"> (Including Bid Alts.)</v>
      </c>
      <c r="BA91" s="1904" t="str">
        <f>IF('C-Design&amp;Const'!AH180="","",'C-Design&amp;Const'!AH180)</f>
        <v xml:space="preserve"> (Including Bid Alts.)</v>
      </c>
      <c r="BB91" s="1904" t="str">
        <f>IF('C-Design&amp;Const'!AI180="","",'C-Design&amp;Const'!AI180)</f>
        <v xml:space="preserve">  (Signed &amp; Sealed including Bid Alts.)</v>
      </c>
      <c r="BC91" s="1904" t="str">
        <f>IF('C-Design&amp;Const'!AK180="","",'C-Design&amp;Const'!AK180)</f>
        <v>- RECORD SET (with Addenda, ASI, Field Directives, and As-Built Red Lines incorporated)</v>
      </c>
      <c r="BD91" s="1587"/>
      <c r="BE91" s="1587"/>
      <c r="BF91" s="1587"/>
    </row>
    <row r="92" spans="1:58" s="16" customFormat="1" ht="18.75" hidden="1" x14ac:dyDescent="0.25">
      <c r="A92" s="1587"/>
      <c r="B92" s="1587"/>
      <c r="C92" s="1589"/>
      <c r="D92" s="1587"/>
      <c r="E92" s="1587"/>
      <c r="F92" s="1587"/>
      <c r="G92" s="1601">
        <v>12</v>
      </c>
      <c r="H92" s="2241" t="str">
        <f>CONCATENATE("07a - ",'C-Design&amp;Const'!Z206)</f>
        <v>07a - Drawing Set</v>
      </c>
      <c r="I92" s="2242"/>
      <c r="J92" s="692">
        <f t="shared" ref="J92:J94" si="8">MAX(N93-N92,O93-O92,P93-P92,Q93-Q92,R93-R92,S93-S92,T93-T92,U93-U92,V93-V92)</f>
        <v>179</v>
      </c>
      <c r="K92" s="662"/>
      <c r="L92" s="662">
        <f>ROW('C-Design&amp;Const'!Z206)</f>
        <v>206</v>
      </c>
      <c r="M92" s="663">
        <f>ROW('B-Studies or Concept only'!Applies_Drawings_Feas_Concept_Only)</f>
        <v>303</v>
      </c>
      <c r="N92" s="663">
        <f>ROW('00 - Concept.'!Applies_Drawings_Concept)</f>
        <v>206</v>
      </c>
      <c r="O92" s="663">
        <f>ROW('01 - SD'!Applies_Drawings_SD)</f>
        <v>206</v>
      </c>
      <c r="P92" s="663">
        <f>ROW('02 - DD'!Applies_Drawings_DD)</f>
        <v>206</v>
      </c>
      <c r="Q92" s="663">
        <f>ROW('03 - 50% CD'!Applies_Drawings_50CD)</f>
        <v>206</v>
      </c>
      <c r="R92" s="663">
        <f>ROW([0]!Applies_Drawings_95CD)</f>
        <v>206</v>
      </c>
      <c r="S92" s="695">
        <f>ROW('05-BID'!Applies_Drawings_Bid)</f>
        <v>206</v>
      </c>
      <c r="T92" s="695">
        <f>ROW('06-CONST'!Applies_Drawings_CONST)</f>
        <v>206</v>
      </c>
      <c r="U92" s="695">
        <f>ROW('07-CLOSEOUT'!Applies_Drawings_CLOSEOUT)</f>
        <v>206</v>
      </c>
      <c r="V92" s="696">
        <f>ROW('08-POST CONST'!Applies_Drawings_POST_CONST)</f>
        <v>206</v>
      </c>
      <c r="W92" s="665" t="str">
        <f>IF(W$80="N","N/A",IF(Feasibility_Concept="Conceptualization",'00 - Concept.'!Applies_Drawings_Concept,IF(OR(Feasibility_Concept="Feasibility Study",Feasibility_Concept="Conceptualization Only",Feasibility_Concept="Investigation/Memo/Short Report"),'B-Studies or Concept only'!Applies_Drawings_Feas_Concept_Only,"N/A")))</f>
        <v>N</v>
      </c>
      <c r="X92" s="665" t="str">
        <f t="shared" si="7"/>
        <v>N/A</v>
      </c>
      <c r="Y92" s="665" t="str">
        <f t="shared" si="5"/>
        <v>N/A</v>
      </c>
      <c r="Z92" s="665" t="str">
        <f t="shared" si="5"/>
        <v>N/A</v>
      </c>
      <c r="AA92" s="665" t="str">
        <f>IF(AA$80="N","N/A",IF(Feasibility_Concept="Conceptualization",'00 - Concept.'!Applies_Drawings_Concept,IF(OR(Feasibility_Concept="Feasibility Study",Feasibility_Concept="Conceptualization Only",Feasibility_Concept="Investigation/Memo/Short Report"),'B-Studies or Concept only'!Applies_Drawings_Feas_Concept_Only,"N/A")))</f>
        <v>N</v>
      </c>
      <c r="AB92" s="693" t="str">
        <f>IF(AB$80="N","N/A",'01 - SD'!Applies_Drawings_SD)</f>
        <v>Y</v>
      </c>
      <c r="AC92" s="667" t="str">
        <f>IF(AC$80="N","N/A",'02 - DD'!Applies_Drawings_DD)</f>
        <v>N/A</v>
      </c>
      <c r="AD92" s="665" t="str">
        <f>IF(AD$80="N","N/A",'02 - DD'!Applies_Drawings_DD)</f>
        <v>Y</v>
      </c>
      <c r="AE92" s="667" t="str">
        <f>IF(AE$80="N","N/A",'03 - 50% CD'!Applies_Drawings_50CD)</f>
        <v>N/A</v>
      </c>
      <c r="AF92" s="667" t="str">
        <f>IF(AF$80="N","N/A",'03 - 50% CD'!Applies_Drawings_50CD)</f>
        <v>N/A</v>
      </c>
      <c r="AG92" s="665" t="str">
        <f>IF(AG$80="N","N/A",'03 - 50% CD'!Applies_Drawings_50CD)</f>
        <v>Y</v>
      </c>
      <c r="AH92" s="667" t="str">
        <f>IF(AH$80="N","N/A",[0]!Applies_Drawings_95CD)</f>
        <v>N/A</v>
      </c>
      <c r="AI92" s="667" t="str">
        <f>IF(AI$80="N","N/A",[0]!Applies_Drawings_95CD)</f>
        <v>N/A</v>
      </c>
      <c r="AJ92" s="665" t="str">
        <f>IF(AJ$80="N","N/A",[0]!Applies_Drawings_95CD)</f>
        <v>Y</v>
      </c>
      <c r="AK92" s="667" t="str">
        <f>IF(OR('01 - SD'!Applies_Drawings_SD="Y",'02 - DD'!Applies_Drawings_DD="Y",'03 - 50% CD'!Applies_Drawings_50CD="Y",[0]!Applies_Drawings_95CD="y"),"Y","N")</f>
        <v>Y</v>
      </c>
      <c r="AL92" s="668"/>
      <c r="AM92" s="651"/>
      <c r="AN92" s="678" t="str">
        <f>IF(AN$80="N","N/A",'05-BID'!Applies_Drawings_Bid)</f>
        <v>Y</v>
      </c>
      <c r="AO92" s="665" t="str">
        <f>IF(AO$80="N","N/A",'06-CONST'!Applies_Drawings_CONST)</f>
        <v>Y</v>
      </c>
      <c r="AP92" s="665" t="str">
        <f>IF(AP$80="N","N/A",'07-CLOSEOUT'!Applies_Drawings_CLOSEOUT)</f>
        <v>Y</v>
      </c>
      <c r="AQ92" s="665" t="str">
        <f>IF(AQ$80="N","N/A",'08-POST CONST'!Applies_Drawings_POST_CONST)</f>
        <v>N</v>
      </c>
      <c r="AR92" s="679"/>
      <c r="AS92" s="651"/>
      <c r="AT92" s="616" t="str">
        <f t="shared" si="6"/>
        <v>07a - Drawing Set</v>
      </c>
      <c r="AU92" s="617" t="str">
        <f>IF(Phase_dropdown="Const.","Digital Download of 'Issue for Construction Set', then monitor and update for changes/corrections",IF(Phase_dropdown="Closeout","Printed","Printed (upon requrest) &amp; Digital Download"))</f>
        <v>Printed (upon requrest) &amp; Digital Download</v>
      </c>
      <c r="AV92" s="1860" t="s">
        <v>578</v>
      </c>
      <c r="AW92" s="1587"/>
      <c r="AX92" s="1904" t="str">
        <f>IF('C-Design&amp;Const'!AE206="","",'C-Design&amp;Const'!AE206)</f>
        <v/>
      </c>
      <c r="AY92" s="1904" t="str">
        <f>IF('C-Design&amp;Const'!AF206="","",'C-Design&amp;Const'!AF206)</f>
        <v/>
      </c>
      <c r="AZ92" s="1904" t="str">
        <f>IF('C-Design&amp;Const'!AG206="","",'C-Design&amp;Const'!AG206)</f>
        <v xml:space="preserve"> (Including Bid Alts.)</v>
      </c>
      <c r="BA92" s="1904" t="str">
        <f>IF('C-Design&amp;Const'!AH206="","",'C-Design&amp;Const'!AH206)</f>
        <v xml:space="preserve"> (Updates - Including Bid Alts.)</v>
      </c>
      <c r="BB92" s="1904" t="str">
        <f>IF('C-Design&amp;Const'!AI206="","",'C-Design&amp;Const'!AI206)</f>
        <v xml:space="preserve">  (Signed &amp; Sealed including Bid Alts.)</v>
      </c>
      <c r="BC92" s="1904" t="str">
        <f>IF('C-Design&amp;Const'!AK206="","",'C-Design&amp;Const'!AK206)</f>
        <v>- RECORD SET (with Addenda, ASI, Field Directives, and As-Built Red Lines incorporated)</v>
      </c>
      <c r="BD92" s="1587"/>
      <c r="BE92" s="1587"/>
      <c r="BF92" s="1587"/>
    </row>
    <row r="93" spans="1:58" s="16" customFormat="1" ht="18.75" hidden="1" x14ac:dyDescent="0.25">
      <c r="A93" s="1587"/>
      <c r="B93" s="1587"/>
      <c r="C93" s="1589"/>
      <c r="D93" s="1587"/>
      <c r="E93" s="1587"/>
      <c r="F93" s="1587"/>
      <c r="G93" s="1601">
        <v>13</v>
      </c>
      <c r="H93" s="2241" t="str">
        <f>CONCATENATE("07b - ",'C-Design&amp;Const'!Z382)</f>
        <v>07b - Building Information Model (BIM)</v>
      </c>
      <c r="I93" s="2242"/>
      <c r="J93" s="692">
        <f t="shared" si="8"/>
        <v>3</v>
      </c>
      <c r="K93" s="662"/>
      <c r="L93" s="662">
        <f>ROW('C-Design&amp;Const'!Z382)</f>
        <v>382</v>
      </c>
      <c r="M93" s="663">
        <f>ROW('B-Studies or Concept only'!Applies_BIM_Feas_Concept_Onlyl)</f>
        <v>405</v>
      </c>
      <c r="N93" s="663">
        <f>ROW('00 - Concept.'!Applies_BIM_Concept)</f>
        <v>382</v>
      </c>
      <c r="O93" s="663">
        <f>ROW('01 - SD'!Applies_BIM_SD)</f>
        <v>382</v>
      </c>
      <c r="P93" s="663">
        <f>ROW('02 - DD'!Applies_BIM_DD)</f>
        <v>385</v>
      </c>
      <c r="Q93" s="663">
        <f>ROW('03 - 50% CD'!Applies_BIM_50CD)</f>
        <v>382</v>
      </c>
      <c r="R93" s="663">
        <f>ROW('04 - 95% CD'!Applies_BIM_95CD)</f>
        <v>382</v>
      </c>
      <c r="S93" s="663">
        <f>ROW('05-BID'!Applies_BIM_Bid)</f>
        <v>382</v>
      </c>
      <c r="T93" s="663">
        <f>ROW('06-CONST'!Applies_BIM_CONST)</f>
        <v>382</v>
      </c>
      <c r="U93" s="663">
        <f>ROW('07-CLOSEOUT'!Applies_BIM_CLOSEOUT)</f>
        <v>382</v>
      </c>
      <c r="V93" s="664">
        <f>ROW('08-POST CONST'!Applies_BIM_POST_CONST )</f>
        <v>382</v>
      </c>
      <c r="W93" s="665" t="str">
        <f>IF(W$80="N","N/A",IF(Feasibility_Concept="Conceptualization",'00 - Concept.'!Applies_BIM_Concept,IF(OR(Feasibility_Concept="Feasibility Study",Feasibility_Concept="Conceptualization Only",Feasibility_Concept="Investigation/Memo/Short Report"),'B-Studies or Concept only'!Applies_BIM_Feas_Concept_Onlyl,"N/A")))</f>
        <v>N</v>
      </c>
      <c r="X93" s="665" t="str">
        <f t="shared" si="7"/>
        <v>N/A</v>
      </c>
      <c r="Y93" s="665" t="str">
        <f t="shared" si="5"/>
        <v>N/A</v>
      </c>
      <c r="Z93" s="665" t="str">
        <f t="shared" si="5"/>
        <v>N/A</v>
      </c>
      <c r="AA93" s="665" t="str">
        <f>IF(AA$80="N","N/A",IF(Feasibility_Concept="Conceptualization",'00 - Concept.'!Applies_BIM_Concept,IF(OR(Feasibility_Concept="Feasibility Study",Feasibility_Concept="Conceptualization Only",Feasibility_Concept="Investigation/Memo/Short Report"),'B-Studies or Concept only'!Applies_BIM_Feas_Concept_Onlyl,"N/A")))</f>
        <v>N</v>
      </c>
      <c r="AB93" s="693" t="str">
        <f>IF(AB$80="N","N/A",'01 - SD'!Applies_BIM_SD)</f>
        <v>N</v>
      </c>
      <c r="AC93" s="667" t="str">
        <f>IF(AC$80="N","N/A",'02 - DD'!Applies_BIM_DD)</f>
        <v>N/A</v>
      </c>
      <c r="AD93" s="665" t="str">
        <f>IF(AD$80="N","N/A",'02 - DD'!Applies_BIM_DD)</f>
        <v>N</v>
      </c>
      <c r="AE93" s="667" t="str">
        <f>IF(AE$80="N","N/A",'03 - 50% CD'!Applies_BIM_50CD)</f>
        <v>N/A</v>
      </c>
      <c r="AF93" s="667" t="str">
        <f>IF(AF$80="N","N/A",'03 - 50% CD'!Applies_BIM_50CD)</f>
        <v>N/A</v>
      </c>
      <c r="AG93" s="665" t="str">
        <f>IF(AG$80="N","N/A",'03 - 50% CD'!Applies_BIM_50CD)</f>
        <v>N</v>
      </c>
      <c r="AH93" s="667" t="str">
        <f>IF(AH$80="N","N/A",'04 - 95% CD'!Applies_BIM_95CD)</f>
        <v>N/A</v>
      </c>
      <c r="AI93" s="667" t="str">
        <f>IF(AI$80="N","N/A",'04 - 95% CD'!Applies_BIM_95CD)</f>
        <v>N/A</v>
      </c>
      <c r="AJ93" s="665" t="str">
        <f>IF(AJ$80="N","N/A",'04 - 95% CD'!Applies_BIM_95CD)</f>
        <v>N</v>
      </c>
      <c r="AK93" s="697" t="str">
        <f>IF(OR('01 - SD'!Applies_BIM_SD="Y",'02 - DD'!Applies_BIM_DD="Y",'03 - 50% CD'!Applies_BIM_50CD="Y",'04 - 95% CD'!Applies_BIM_95CD="y"),"Y","N")</f>
        <v>N</v>
      </c>
      <c r="AL93" s="668"/>
      <c r="AM93" s="651"/>
      <c r="AN93" s="678" t="str">
        <f>IF(AN$80="N","N/A",'05-BID'!Applies_BIM_Bid)</f>
        <v>N</v>
      </c>
      <c r="AO93" s="665" t="str">
        <f>IF(AO$80="N","N/A",'06-CONST'!Applies_BIM_CONST)</f>
        <v>N</v>
      </c>
      <c r="AP93" s="665" t="str">
        <f>IF(AP$80="N","N/A",'07-CLOSEOUT'!Applies_BIM_CLOSEOUT)</f>
        <v>N</v>
      </c>
      <c r="AQ93" s="665" t="str">
        <f>IF(AQ$80="N","N/A",'08-POST CONST'!Applies_BIM_POST_CONST)</f>
        <v>N</v>
      </c>
      <c r="AR93" s="679"/>
      <c r="AS93" s="651"/>
      <c r="AT93" s="616" t="str">
        <f t="shared" si="6"/>
        <v>07b - Building Information Model (BIM)</v>
      </c>
      <c r="AU93" s="617" t="str">
        <f>IF(Phase_dropdown="Const.","Monitor and update for changes/corrections","Digital Download")</f>
        <v>Digital Download</v>
      </c>
      <c r="AV93" s="1860" t="s">
        <v>578</v>
      </c>
      <c r="AW93" s="1587"/>
      <c r="AX93" s="1904" t="str">
        <f>IF('C-Design&amp;Const'!AE382="","",'C-Design&amp;Const'!AE382)</f>
        <v xml:space="preserve"> (LOD of 100)</v>
      </c>
      <c r="AY93" s="1904" t="str">
        <f>IF('C-Design&amp;Const'!AF382="","",'C-Design&amp;Const'!AF382)</f>
        <v xml:space="preserve"> (LOD of 200)</v>
      </c>
      <c r="AZ93" s="1904" t="str">
        <f>IF('C-Design&amp;Const'!AG382="","",'C-Design&amp;Const'!AG382)</f>
        <v xml:space="preserve"> (LOD of 300)</v>
      </c>
      <c r="BA93" s="1904" t="str">
        <f>IF('C-Design&amp;Const'!AH382="","",'C-Design&amp;Const'!AH382)</f>
        <v xml:space="preserve"> (LOD of 300)</v>
      </c>
      <c r="BB93" s="1904" t="str">
        <f>IF('C-Design&amp;Const'!AI382="","",'C-Design&amp;Const'!AI382)</f>
        <v xml:space="preserve"> (Updates &amp; LOD of 300)</v>
      </c>
      <c r="BC93" s="1904" t="str">
        <f>IF('C-Design&amp;Const'!AK382="","",'C-Design&amp;Const'!AK382)</f>
        <v/>
      </c>
      <c r="BD93" s="1587"/>
      <c r="BE93" s="1587"/>
      <c r="BF93" s="1587"/>
    </row>
    <row r="94" spans="1:58" s="16" customFormat="1" ht="28.5" hidden="1" customHeight="1" x14ac:dyDescent="0.25">
      <c r="A94" s="1587"/>
      <c r="B94" s="1587"/>
      <c r="C94" s="1589"/>
      <c r="D94" s="1587"/>
      <c r="E94" s="1587"/>
      <c r="F94" s="1587"/>
      <c r="G94" s="1601">
        <v>14</v>
      </c>
      <c r="H94" s="2241" t="str">
        <f>CONCATENATE("08 - ",'C-Design&amp;Const'!Z385)</f>
        <v>08 - Design Presentation</v>
      </c>
      <c r="I94" s="2242"/>
      <c r="J94" s="692">
        <f t="shared" si="8"/>
        <v>61</v>
      </c>
      <c r="K94" s="662"/>
      <c r="L94" s="662">
        <f>ROW('C-Design&amp;Const'!Z385)</f>
        <v>385</v>
      </c>
      <c r="M94" s="663">
        <f>ROW('B-Studies or Concept only'!Applies_Presentation_Feas_Concept_Only)</f>
        <v>407</v>
      </c>
      <c r="N94" s="663">
        <f>ROW('00 - Concept.'!Applies_Presentation_Concept)</f>
        <v>385</v>
      </c>
      <c r="O94" s="663">
        <f>ROW('01 - SD'!Applies_Presentation_SD)</f>
        <v>385</v>
      </c>
      <c r="P94" s="663">
        <f>ROW('02 - DD'!Applies_Presentation_DD)</f>
        <v>385</v>
      </c>
      <c r="Q94" s="663">
        <f>ROW('03 - 50% CD'!Applies_Presentation_50CD)</f>
        <v>385</v>
      </c>
      <c r="R94" s="663">
        <f>ROW('04 - 95% CD'!Applies_Presentation_95CD)</f>
        <v>385</v>
      </c>
      <c r="S94" s="663">
        <f>ROW('05-BID'!Applies_Presentation_BID)</f>
        <v>385</v>
      </c>
      <c r="T94" s="663">
        <f>ROW('06-CONST'!Applies_Presentation_CONST)</f>
        <v>385</v>
      </c>
      <c r="U94" s="663">
        <f>ROW('07-CLOSEOUT'!Applies_Presentation_CLOSEOUT)</f>
        <v>382</v>
      </c>
      <c r="V94" s="664">
        <f>ROW('08-POST CONST'!Applies_Presentation_POST_CONST )</f>
        <v>385</v>
      </c>
      <c r="W94" s="665" t="str">
        <f>IF(W$80="N","N/A",IF(Feasibility_Concept="Conceptualization",'00 - Concept.'!Applies_Presentation_Concept,IF(OR(Feasibility_Concept="Feasibility Study",Feasibility_Concept="Conceptualization Only",Feasibility_Concept="Investigation/Memo/Short Report"),'B-Studies or Concept only'!Applies_Presentation_Feas_Concept_Only,"N/A")))</f>
        <v>N</v>
      </c>
      <c r="X94" s="665" t="str">
        <f t="shared" si="7"/>
        <v>N/A</v>
      </c>
      <c r="Y94" s="665" t="str">
        <f t="shared" si="5"/>
        <v>N/A</v>
      </c>
      <c r="Z94" s="665" t="str">
        <f t="shared" si="5"/>
        <v>N/A</v>
      </c>
      <c r="AA94" s="665" t="str">
        <f>IF(AA$80="N","N/A",IF(Feasibility_Concept="Conceptualization",'00 - Concept.'!Applies_Presentation_Concept,IF(OR(Feasibility_Concept="Feasibility Study",Feasibility_Concept="Conceptualization Only",Feasibility_Concept="Investigation/Memo/Short Report"),'B-Studies or Concept only'!Applies_Presentation_Feas_Concept_Only,"N/A")))</f>
        <v>N</v>
      </c>
      <c r="AB94" s="693" t="str">
        <f>IF(AB$80="N","N/A",'01 - SD'!Applies_Presentation_SD)</f>
        <v>Y</v>
      </c>
      <c r="AC94" s="694" t="str">
        <f>IF(AC$80="N","N/A",'02 - DD'!Applies_Presentation_DD)</f>
        <v>N/A</v>
      </c>
      <c r="AD94" s="665" t="str">
        <f>IF(AD$80="N","N/A",'02 - DD'!Applies_Presentation_DD)</f>
        <v>N</v>
      </c>
      <c r="AE94" s="694" t="str">
        <f>IF(AE$80="N","N/A",'03 - 50% CD'!Applies_Presentation_50CD)</f>
        <v>N/A</v>
      </c>
      <c r="AF94" s="667" t="str">
        <f>IF(AF$80="N","N/A",'03 - 50% CD'!Applies_Presentation_50CD)</f>
        <v>N/A</v>
      </c>
      <c r="AG94" s="665" t="str">
        <f>IF(AG$80="N","N/A",'03 - 50% CD'!Applies_Presentation_50CD)</f>
        <v>N</v>
      </c>
      <c r="AH94" s="667" t="str">
        <f>IF(AH$80="N","N/A",'04 - 95% CD'!Applies_Presentation_95CD)</f>
        <v>N/A</v>
      </c>
      <c r="AI94" s="667" t="str">
        <f>IF(AI$80="N","N/A",'04 - 95% CD'!Applies_Presentation_95CD)</f>
        <v>N/A</v>
      </c>
      <c r="AJ94" s="665" t="str">
        <f>IF(AJ$80="N","N/A",'04 - 95% CD'!Applies_Presentation_95CD)</f>
        <v>N</v>
      </c>
      <c r="AK94" s="694" t="str">
        <f>IF(OR('01 - SD'!Applies_Presentation_SD="Y",'02 - DD'!Applies_Presentation_DD="Y",'03 - 50% CD'!Applies_Presentation_50CD="Y",'04 - 95% CD'!Applies_Presentation_95CD="y"),"Y","N")</f>
        <v>Y</v>
      </c>
      <c r="AL94" s="668"/>
      <c r="AM94" s="651"/>
      <c r="AN94" s="678" t="str">
        <f>IF(AN$80="N","N/A",'05-BID'!Applies_Presentation_BID)</f>
        <v>N</v>
      </c>
      <c r="AO94" s="665" t="str">
        <f>IF(AO$80="N","N/A",'06-CONST'!Applies_Presentation_CONST)</f>
        <v>N</v>
      </c>
      <c r="AP94" s="665" t="str">
        <f>IF(AP$80="N","N/A",'07-CLOSEOUT'!Applies_Presentation_CLOSEOUT)</f>
        <v>N</v>
      </c>
      <c r="AQ94" s="665" t="str">
        <f>IF(AQ$80="N","N/A",'08-POST CONST'!Applies_Presentation_POST_CONST)</f>
        <v>N</v>
      </c>
      <c r="AR94" s="679"/>
      <c r="AS94" s="651"/>
      <c r="AT94" s="618" t="str">
        <f t="shared" si="6"/>
        <v>08 - Design Presentation</v>
      </c>
      <c r="AU94" s="617" t="str">
        <f>IF(OR(ISNUMBER(SEARCH("Feas",Phase_dropdown))=TRUE,ISNUMBER(SEARCH("Concept",Phase_dropdown))=TRUE),"emailed to PM or Planner and followed up as Digital Download",IF(BOT_project="Yes",IF(Phase_dropdown="SD","ARC, CDAC, Pres. &amp; Chancellor, and BOT versions emailed to PM/Planner. By DD submittal, final BOT version as Digital Download",IF(Phase_dropdown="DD","BOT versions emailed to PM/Planner. By DD submittal, final BOT version as Digital Download","")),"emailed to PM/Planner and followed up as Digital Download"))</f>
        <v>ARC, CDAC, Pres. &amp; Chancellor, and BOT versions emailed to PM/Planner. By DD submittal, final BOT version as Digital Download</v>
      </c>
      <c r="AV94" s="1860" t="s">
        <v>826</v>
      </c>
      <c r="AW94" s="1587"/>
      <c r="AX94" s="1587"/>
      <c r="AY94" s="1587"/>
      <c r="AZ94" s="1600"/>
      <c r="BA94" s="1587"/>
      <c r="BB94" s="1587"/>
      <c r="BC94" s="1587"/>
      <c r="BD94" s="1587"/>
      <c r="BE94" s="1587"/>
      <c r="BF94" s="1587"/>
    </row>
    <row r="95" spans="1:58" s="16" customFormat="1" ht="36" hidden="1" customHeight="1" thickBot="1" x14ac:dyDescent="0.3">
      <c r="A95" s="1587"/>
      <c r="B95" s="1587"/>
      <c r="C95" s="1589"/>
      <c r="D95" s="1587"/>
      <c r="E95" s="1587"/>
      <c r="F95" s="1587"/>
      <c r="G95" s="1601">
        <v>15</v>
      </c>
      <c r="H95" s="2247" t="str">
        <f>CONCATENATE("09 - ",'C-Design&amp;Const'!Z443)</f>
        <v>09 - Illinois State Historic Preservation Office (ISHPO)</v>
      </c>
      <c r="I95" s="2248"/>
      <c r="J95" s="698"/>
      <c r="K95" s="669"/>
      <c r="L95" s="669">
        <f>ROW('C-Design&amp;Const'!Z443)</f>
        <v>443</v>
      </c>
      <c r="M95" s="670">
        <f>ROW('B-Studies or Concept only'!Applies_ISHPO_Feas_Concept_Only)</f>
        <v>462</v>
      </c>
      <c r="N95" s="670">
        <f>ROW('00 - Concept.'!Applies_ISHPO_Concept)</f>
        <v>443</v>
      </c>
      <c r="O95" s="670">
        <f>ROW('01 - SD'!Applies_ISHPO_SD)</f>
        <v>443</v>
      </c>
      <c r="P95" s="670">
        <f>ROW('02 - DD'!Applies_ISHPO_DD)</f>
        <v>443</v>
      </c>
      <c r="Q95" s="670">
        <f>ROW('03 - 50% CD'!Applies_ISHPO_50CD)</f>
        <v>443</v>
      </c>
      <c r="R95" s="670">
        <f>ROW('04 - 95% CD'!Applies_ISHPO_95CD)</f>
        <v>443</v>
      </c>
      <c r="S95" s="670">
        <f>ROW('05-BID'!Applies_ISHPO_Bid)</f>
        <v>443</v>
      </c>
      <c r="T95" s="670">
        <f>ROW('06-CONST'!Applies_ISHPO_CONST)</f>
        <v>443</v>
      </c>
      <c r="U95" s="670">
        <f>ROW('07-CLOSEOUT'!Applies_ISHPO_CLOSEOUT)</f>
        <v>443</v>
      </c>
      <c r="V95" s="671">
        <f>ROW('08-POST CONST'!Applies_ISHPO_POST_CONST )</f>
        <v>443</v>
      </c>
      <c r="W95" s="672" t="str">
        <f>IF(W$80="N","N/A",IF(Feasibility_Concept="Conceptualization",'00 - Concept.'!Applies_ISHPO_Concept,IF(OR(Feasibility_Concept="Feasibility Study",Feasibility_Concept="Conceptualization Only",Feasibility_Concept="Investigation/Memo/Short Reportt"),'B-Studies or Concept only'!Applies_ISHPO_Feas_Concept_Only,"N/A")))</f>
        <v>N</v>
      </c>
      <c r="X95" s="672" t="str">
        <f t="shared" si="7"/>
        <v>N/A</v>
      </c>
      <c r="Y95" s="672" t="str">
        <f t="shared" si="5"/>
        <v>N/A</v>
      </c>
      <c r="Z95" s="672" t="str">
        <f t="shared" si="5"/>
        <v>N/A</v>
      </c>
      <c r="AA95" s="672" t="str">
        <f>IF(AA$80="N","N/A",IF(Feasibility_Concept="Conceptualization",'00 - Concept.'!Applies_ISHPO_Concept,IF(OR(Feasibility_Concept="Feasibility Study",Feasibility_Concept="Conceptualization Only",Feasibility_Concept="Investigation/Memo/Short Reportt"),'B-Studies or Concept only'!Applies_ISHPO_Feas_Concept_Only,"N/A")))</f>
        <v>N</v>
      </c>
      <c r="AB95" s="699" t="str">
        <f>IF(AB$80="N","N/A",'01 - SD'!Applies_ISHPO_SD)</f>
        <v>Y</v>
      </c>
      <c r="AC95" s="700" t="str">
        <f>IF(AC$80="N","N/A",'02 - DD'!Applies_ISHPO_DD)</f>
        <v>N/A</v>
      </c>
      <c r="AD95" s="672" t="str">
        <f>IF(AD$80="N","N/A",'02 - DD'!Applies_ISHPO_DD)</f>
        <v>Y</v>
      </c>
      <c r="AE95" s="700" t="str">
        <f>IF(AE$80="N","N/A",'03 - 50% CD'!Applies_ISHPO_50CD)</f>
        <v>N/A</v>
      </c>
      <c r="AF95" s="674" t="str">
        <f>IF(AF$80="N","N/A",'03 - 50% CD'!Applies_ISHPO_50CD)</f>
        <v>N/A</v>
      </c>
      <c r="AG95" s="672" t="str">
        <f>IF(AG$80="N","N/A",'03 - 50% CD'!Applies_ISHPO_50CD)</f>
        <v>N</v>
      </c>
      <c r="AH95" s="674" t="str">
        <f>IF(AH$80="N","N/A",'04 - 95% CD'!Applies_ISHPO_95CD)</f>
        <v>N/A</v>
      </c>
      <c r="AI95" s="674" t="str">
        <f>IF(AI$80="N","N/A",'04 - 95% CD'!Applies_ISHPO_95CD)</f>
        <v>N/A</v>
      </c>
      <c r="AJ95" s="672" t="str">
        <f>IF(AJ$80="N","N/A",'04 - 95% CD'!Applies_ISHPO_95CD)</f>
        <v>N</v>
      </c>
      <c r="AK95" s="700" t="str">
        <f>IF(OR('01 - SD'!Applies_ISHPO_SD="Y",'02 - DD'!Applies_ISHPO_DD="Y",'03 - 50% CD'!Applies_ISHPO_50CD="Y",'04 - 95% CD'!Applies_ISHPO_95CD="y"),"Y","N")</f>
        <v>Y</v>
      </c>
      <c r="AL95" s="675"/>
      <c r="AM95" s="651"/>
      <c r="AN95" s="680" t="str">
        <f>IF(AN$80="N","N/A",'05-BID'!Applies_ISHPO_Bid)</f>
        <v>N</v>
      </c>
      <c r="AO95" s="672" t="str">
        <f>IF(AO$80="N","N/A",'06-CONST'!Applies_ISHPO_CONST)</f>
        <v>N</v>
      </c>
      <c r="AP95" s="672" t="str">
        <f>IF(AP$80="N","N/A",'07-CLOSEOUT'!Applies_ISHPO_CLOSEOUT)</f>
        <v>N</v>
      </c>
      <c r="AQ95" s="672" t="str">
        <f>IF(AQ$80="N","N/A",'08-POST CONST'!Applies_ISHPO_POST_CONST)</f>
        <v>N</v>
      </c>
      <c r="AR95" s="681"/>
      <c r="AS95" s="651"/>
      <c r="AT95" s="619" t="str">
        <f t="shared" si="6"/>
        <v>09 - Illinois State Historic Preservation Office (ISHPO)</v>
      </c>
      <c r="AU95" s="1835" t="str">
        <f ca="1">IF(OR(ISHPO_Project="Select",BOT_project="select"),CONCATENATE("Error- Check ISHPO in TAB [",MID(CELL("filename",'A-Info, Phases, Recip.'!C4),FIND("]",CELL("filename",'A-Info, Phases, Recip.'!C4))+1,255),"]"),IF(ISHPO_Project="Yes","Do not directly submit to ISHPO.  Discuss ISHPO submittal(s) with Campus Historic Preservation Officer.  Should be received by University by end of SD submittal.",IF(AND(ISHPO_Project="Yes",BOT_project&lt;&gt;"Yes"),"Do not directly submit to ISHPO.  Discuss ISHPO submittal(s) with Campus Historic Preservation Officer.  Should be received by University one month before DD submittal,","")))</f>
        <v>Do not directly submit to ISHPO.  Discuss ISHPO submittal(s) with Campus Historic Preservation Officer.  Should be received by University by end of SD submittal.</v>
      </c>
      <c r="AV95" s="1860" t="s">
        <v>1129</v>
      </c>
      <c r="AW95" s="1587"/>
      <c r="AX95" s="1587"/>
      <c r="AY95" s="1587"/>
      <c r="AZ95" s="1600"/>
      <c r="BA95" s="1587"/>
      <c r="BB95" s="1587"/>
      <c r="BC95" s="1587"/>
      <c r="BD95" s="1587"/>
      <c r="BE95" s="1587"/>
      <c r="BF95" s="1587"/>
    </row>
    <row r="96" spans="1:58" s="16" customFormat="1" ht="19.5" hidden="1" thickTop="1" x14ac:dyDescent="0.25">
      <c r="A96" s="1587"/>
      <c r="B96" s="1587"/>
      <c r="C96" s="1589"/>
      <c r="D96" s="1587"/>
      <c r="E96" s="1587"/>
      <c r="F96" s="1587"/>
      <c r="G96" s="1601">
        <v>16</v>
      </c>
      <c r="H96" s="2252" t="str">
        <f>CONCATENATE("10 - ",'C-Design&amp;Const'!Z459)</f>
        <v>10 - Log of Plan Holders</v>
      </c>
      <c r="I96" s="2253" t="str">
        <f>CONCATENATE("09 - ",'C-Design&amp;Const'!AC444)</f>
        <v xml:space="preserve">09 - </v>
      </c>
      <c r="J96" s="2254" t="str">
        <f>CONCATENATE("09 - ",'C-Design&amp;Const'!AD444)</f>
        <v xml:space="preserve">09 - </v>
      </c>
      <c r="K96" s="655"/>
      <c r="L96" s="655">
        <f>ROW('C-Design&amp;Const'!Z459)</f>
        <v>459</v>
      </c>
      <c r="M96" s="656"/>
      <c r="N96" s="656"/>
      <c r="O96" s="656"/>
      <c r="P96" s="656"/>
      <c r="Q96" s="656"/>
      <c r="R96" s="656"/>
      <c r="S96" s="656"/>
      <c r="T96" s="656"/>
      <c r="U96" s="656"/>
      <c r="V96" s="657"/>
      <c r="W96" s="658" t="s">
        <v>229</v>
      </c>
      <c r="X96" s="658" t="s">
        <v>229</v>
      </c>
      <c r="Y96" s="658" t="s">
        <v>229</v>
      </c>
      <c r="Z96" s="658" t="s">
        <v>229</v>
      </c>
      <c r="AA96" s="658" t="s">
        <v>229</v>
      </c>
      <c r="AB96" s="659" t="s">
        <v>229</v>
      </c>
      <c r="AC96" s="660" t="s">
        <v>229</v>
      </c>
      <c r="AD96" s="660" t="s">
        <v>229</v>
      </c>
      <c r="AE96" s="660" t="s">
        <v>229</v>
      </c>
      <c r="AF96" s="660" t="s">
        <v>229</v>
      </c>
      <c r="AG96" s="660" t="s">
        <v>229</v>
      </c>
      <c r="AH96" s="660" t="s">
        <v>229</v>
      </c>
      <c r="AI96" s="660" t="s">
        <v>229</v>
      </c>
      <c r="AJ96" s="660" t="s">
        <v>229</v>
      </c>
      <c r="AK96" s="660" t="s">
        <v>229</v>
      </c>
      <c r="AL96" s="661"/>
      <c r="AM96" s="651"/>
      <c r="AN96" s="676" t="str">
        <f>IF(AN$80="N","N/A",'05-BID'!D459)</f>
        <v>Y</v>
      </c>
      <c r="AO96" s="658" t="s">
        <v>38</v>
      </c>
      <c r="AP96" s="658" t="s">
        <v>38</v>
      </c>
      <c r="AQ96" s="658" t="s">
        <v>38</v>
      </c>
      <c r="AR96" s="677"/>
      <c r="AS96" s="651"/>
      <c r="AT96" s="621" t="str">
        <f t="shared" si="6"/>
        <v>10 - Log of Plan Holders</v>
      </c>
      <c r="AU96" s="622" t="s">
        <v>1075</v>
      </c>
      <c r="AV96" s="1109"/>
      <c r="AW96" s="1587"/>
      <c r="AX96" s="1587" t="s">
        <v>1157</v>
      </c>
      <c r="AY96" s="1587"/>
      <c r="AZ96" s="1587"/>
      <c r="BA96" s="1587"/>
      <c r="BB96" s="1587"/>
      <c r="BC96" s="1587"/>
      <c r="BD96" s="1587"/>
      <c r="BE96" s="1587"/>
      <c r="BF96" s="1587"/>
    </row>
    <row r="97" spans="1:58" s="16" customFormat="1" ht="18.75" hidden="1" x14ac:dyDescent="0.25">
      <c r="A97" s="1587"/>
      <c r="B97" s="1587"/>
      <c r="C97" s="1589"/>
      <c r="D97" s="1587"/>
      <c r="E97" s="1587"/>
      <c r="F97" s="1587"/>
      <c r="G97" s="1601">
        <v>17</v>
      </c>
      <c r="H97" s="2244" t="str">
        <f>CONCATENATE("11 - ",'C-Design&amp;Const'!Z461)</f>
        <v>11 - Addenda to Project Manual and Drawings</v>
      </c>
      <c r="I97" s="2245" t="str">
        <f>CONCATENATE("09 - ",'C-Design&amp;Const'!AC445)</f>
        <v xml:space="preserve">09 - </v>
      </c>
      <c r="J97" s="2246" t="str">
        <f>CONCATENATE("09 - ",'C-Design&amp;Const'!AD445)</f>
        <v xml:space="preserve">09 - </v>
      </c>
      <c r="K97" s="662"/>
      <c r="L97" s="662">
        <f>ROW('C-Design&amp;Const'!Z461)</f>
        <v>461</v>
      </c>
      <c r="M97" s="663"/>
      <c r="N97" s="663"/>
      <c r="O97" s="663"/>
      <c r="P97" s="663"/>
      <c r="Q97" s="663"/>
      <c r="R97" s="663"/>
      <c r="S97" s="663"/>
      <c r="T97" s="663"/>
      <c r="U97" s="663"/>
      <c r="V97" s="664"/>
      <c r="W97" s="665" t="s">
        <v>229</v>
      </c>
      <c r="X97" s="665" t="s">
        <v>229</v>
      </c>
      <c r="Y97" s="665" t="s">
        <v>229</v>
      </c>
      <c r="Z97" s="665" t="s">
        <v>229</v>
      </c>
      <c r="AA97" s="665" t="s">
        <v>229</v>
      </c>
      <c r="AB97" s="666" t="s">
        <v>229</v>
      </c>
      <c r="AC97" s="667" t="s">
        <v>229</v>
      </c>
      <c r="AD97" s="667" t="s">
        <v>229</v>
      </c>
      <c r="AE97" s="667" t="s">
        <v>229</v>
      </c>
      <c r="AF97" s="667" t="s">
        <v>229</v>
      </c>
      <c r="AG97" s="667" t="s">
        <v>229</v>
      </c>
      <c r="AH97" s="667" t="s">
        <v>229</v>
      </c>
      <c r="AI97" s="667" t="s">
        <v>229</v>
      </c>
      <c r="AJ97" s="667" t="s">
        <v>229</v>
      </c>
      <c r="AK97" s="667" t="s">
        <v>229</v>
      </c>
      <c r="AL97" s="668"/>
      <c r="AM97" s="651"/>
      <c r="AN97" s="678" t="str">
        <f>IF(AN$80="N","N/A",'05-BID'!D461)</f>
        <v>Y</v>
      </c>
      <c r="AO97" s="665" t="s">
        <v>38</v>
      </c>
      <c r="AP97" s="665" t="s">
        <v>38</v>
      </c>
      <c r="AQ97" s="665" t="s">
        <v>38</v>
      </c>
      <c r="AR97" s="679"/>
      <c r="AS97" s="651"/>
      <c r="AT97" s="616" t="str">
        <f t="shared" si="6"/>
        <v>11 - Addenda to Project Manual and Drawings</v>
      </c>
      <c r="AU97" s="617" t="s">
        <v>1210</v>
      </c>
      <c r="AV97" s="1109"/>
      <c r="AW97" s="1587"/>
      <c r="AX97" s="1587"/>
      <c r="AY97" s="1587"/>
      <c r="AZ97" s="1587"/>
      <c r="BA97" s="1587"/>
      <c r="BB97" s="1587"/>
      <c r="BC97" s="1587"/>
      <c r="BD97" s="1587"/>
      <c r="BE97" s="1587"/>
      <c r="BF97" s="1587"/>
    </row>
    <row r="98" spans="1:58" s="16" customFormat="1" ht="30" hidden="1" x14ac:dyDescent="0.25">
      <c r="A98" s="1587"/>
      <c r="B98" s="1587"/>
      <c r="C98" s="1589"/>
      <c r="D98" s="1587"/>
      <c r="E98" s="1587"/>
      <c r="F98" s="1587"/>
      <c r="G98" s="1601">
        <v>18</v>
      </c>
      <c r="H98" s="2244" t="str">
        <f>CONCATENATE("12 - ",'C-Design&amp;Const'!Z463)</f>
        <v>12 - PreBid Meeting</v>
      </c>
      <c r="I98" s="2245" t="str">
        <f>CONCATENATE("09 - ",'C-Design&amp;Const'!AC446)</f>
        <v xml:space="preserve">09 - </v>
      </c>
      <c r="J98" s="2246" t="str">
        <f>CONCATENATE("09 - ",'C-Design&amp;Const'!AD446)</f>
        <v xml:space="preserve">09 - </v>
      </c>
      <c r="K98" s="662"/>
      <c r="L98" s="662">
        <f>ROW('C-Design&amp;Const'!Z463)</f>
        <v>463</v>
      </c>
      <c r="M98" s="663"/>
      <c r="N98" s="663"/>
      <c r="O98" s="663"/>
      <c r="P98" s="663"/>
      <c r="Q98" s="663"/>
      <c r="R98" s="663"/>
      <c r="S98" s="663"/>
      <c r="T98" s="663"/>
      <c r="U98" s="663"/>
      <c r="V98" s="664"/>
      <c r="W98" s="665" t="s">
        <v>229</v>
      </c>
      <c r="X98" s="665" t="s">
        <v>229</v>
      </c>
      <c r="Y98" s="665" t="s">
        <v>229</v>
      </c>
      <c r="Z98" s="665" t="s">
        <v>229</v>
      </c>
      <c r="AA98" s="665" t="s">
        <v>229</v>
      </c>
      <c r="AB98" s="666" t="s">
        <v>229</v>
      </c>
      <c r="AC98" s="667" t="s">
        <v>229</v>
      </c>
      <c r="AD98" s="667" t="s">
        <v>229</v>
      </c>
      <c r="AE98" s="667" t="s">
        <v>229</v>
      </c>
      <c r="AF98" s="667" t="s">
        <v>229</v>
      </c>
      <c r="AG98" s="667" t="s">
        <v>229</v>
      </c>
      <c r="AH98" s="667" t="s">
        <v>229</v>
      </c>
      <c r="AI98" s="667" t="s">
        <v>229</v>
      </c>
      <c r="AJ98" s="667" t="s">
        <v>229</v>
      </c>
      <c r="AK98" s="667" t="s">
        <v>229</v>
      </c>
      <c r="AL98" s="668"/>
      <c r="AM98" s="651"/>
      <c r="AN98" s="678" t="str">
        <f>IF(AN$80="N","N/A",'05-BID'!D463)</f>
        <v>Y</v>
      </c>
      <c r="AO98" s="665" t="s">
        <v>38</v>
      </c>
      <c r="AP98" s="665" t="s">
        <v>38</v>
      </c>
      <c r="AQ98" s="665" t="s">
        <v>38</v>
      </c>
      <c r="AR98" s="679"/>
      <c r="AS98" s="651"/>
      <c r="AT98" s="616" t="str">
        <f t="shared" si="6"/>
        <v>12 - PreBid Meeting</v>
      </c>
      <c r="AU98" s="617" t="s">
        <v>273</v>
      </c>
      <c r="AV98" s="1109"/>
      <c r="AW98" s="1587"/>
      <c r="AX98" s="1587"/>
      <c r="AY98" s="1587"/>
      <c r="AZ98" s="1587"/>
      <c r="BA98" s="1587"/>
      <c r="BB98" s="1587"/>
      <c r="BC98" s="1587"/>
      <c r="BD98" s="1587"/>
      <c r="BE98" s="1587"/>
      <c r="BF98" s="1587"/>
    </row>
    <row r="99" spans="1:58" s="16" customFormat="1" ht="19.5" hidden="1" thickBot="1" x14ac:dyDescent="0.3">
      <c r="A99" s="1587"/>
      <c r="B99" s="1587"/>
      <c r="C99" s="1589"/>
      <c r="D99" s="1587"/>
      <c r="E99" s="1587"/>
      <c r="F99" s="1587"/>
      <c r="G99" s="1601">
        <v>19</v>
      </c>
      <c r="H99" s="2264" t="str">
        <f>CONCATENATE("13 - ",'C-Design&amp;Const'!Z468)</f>
        <v>13 - Written Analysis of Award of Construction Contract</v>
      </c>
      <c r="I99" s="2265" t="str">
        <f>CONCATENATE("09 - ",'C-Design&amp;Const'!AC447)</f>
        <v xml:space="preserve">09 - </v>
      </c>
      <c r="J99" s="2266" t="str">
        <f>CONCATENATE("09 - ",'C-Design&amp;Const'!AD447)</f>
        <v xml:space="preserve">09 - </v>
      </c>
      <c r="K99" s="669"/>
      <c r="L99" s="669">
        <f>ROW('C-Design&amp;Const'!Z468)</f>
        <v>468</v>
      </c>
      <c r="M99" s="670"/>
      <c r="N99" s="670"/>
      <c r="O99" s="670"/>
      <c r="P99" s="670"/>
      <c r="Q99" s="670"/>
      <c r="R99" s="670"/>
      <c r="S99" s="670"/>
      <c r="T99" s="670"/>
      <c r="U99" s="670"/>
      <c r="V99" s="671"/>
      <c r="W99" s="672" t="s">
        <v>229</v>
      </c>
      <c r="X99" s="672" t="s">
        <v>229</v>
      </c>
      <c r="Y99" s="672" t="s">
        <v>229</v>
      </c>
      <c r="Z99" s="672" t="s">
        <v>229</v>
      </c>
      <c r="AA99" s="672" t="s">
        <v>229</v>
      </c>
      <c r="AB99" s="673" t="s">
        <v>229</v>
      </c>
      <c r="AC99" s="674" t="s">
        <v>229</v>
      </c>
      <c r="AD99" s="674" t="s">
        <v>229</v>
      </c>
      <c r="AE99" s="674" t="s">
        <v>229</v>
      </c>
      <c r="AF99" s="674" t="s">
        <v>229</v>
      </c>
      <c r="AG99" s="674" t="s">
        <v>229</v>
      </c>
      <c r="AH99" s="674" t="s">
        <v>229</v>
      </c>
      <c r="AI99" s="674" t="s">
        <v>229</v>
      </c>
      <c r="AJ99" s="674" t="s">
        <v>229</v>
      </c>
      <c r="AK99" s="674" t="s">
        <v>229</v>
      </c>
      <c r="AL99" s="675"/>
      <c r="AM99" s="651"/>
      <c r="AN99" s="680" t="str">
        <f>IF(AN$80="N","N/A",'05-BID'!D468)</f>
        <v>Y</v>
      </c>
      <c r="AO99" s="672" t="s">
        <v>38</v>
      </c>
      <c r="AP99" s="672" t="s">
        <v>38</v>
      </c>
      <c r="AQ99" s="672" t="s">
        <v>38</v>
      </c>
      <c r="AR99" s="681"/>
      <c r="AS99" s="651"/>
      <c r="AT99" s="619" t="str">
        <f t="shared" si="6"/>
        <v>13 - Written Analysis of Award of Construction Contract</v>
      </c>
      <c r="AU99" s="620" t="s">
        <v>1076</v>
      </c>
      <c r="AV99" s="1109"/>
      <c r="AW99" s="1587"/>
      <c r="AX99" s="1587"/>
      <c r="AY99" s="1587"/>
      <c r="AZ99" s="1587"/>
      <c r="BA99" s="1587"/>
      <c r="BB99" s="1587"/>
      <c r="BC99" s="1587"/>
      <c r="BD99" s="1587"/>
      <c r="BE99" s="1587"/>
      <c r="BF99" s="1587"/>
    </row>
    <row r="100" spans="1:58" s="16" customFormat="1" ht="60.75" hidden="1" thickTop="1" x14ac:dyDescent="0.25">
      <c r="A100" s="1587"/>
      <c r="B100" s="1587"/>
      <c r="C100" s="1589"/>
      <c r="D100" s="1587"/>
      <c r="E100" s="1587"/>
      <c r="F100" s="1587"/>
      <c r="G100" s="1601">
        <v>20</v>
      </c>
      <c r="H100" s="2252" t="str">
        <f>CONCATENATE("20 - ",'C-Design&amp;Const'!Z472)</f>
        <v>20 - Results of PSC Construction Reviews</v>
      </c>
      <c r="I100" s="2253" t="str">
        <f>CONCATENATE("09 - ",'C-Design&amp;Const'!AC448)</f>
        <v xml:space="preserve">09 - </v>
      </c>
      <c r="J100" s="2254" t="str">
        <f>CONCATENATE("09 - ",'C-Design&amp;Const'!AD448)</f>
        <v xml:space="preserve">09 - </v>
      </c>
      <c r="K100" s="655"/>
      <c r="L100" s="655">
        <f>ROW('C-Design&amp;Const'!Z472)</f>
        <v>472</v>
      </c>
      <c r="M100" s="656"/>
      <c r="N100" s="656"/>
      <c r="O100" s="656"/>
      <c r="P100" s="656"/>
      <c r="Q100" s="656"/>
      <c r="R100" s="656"/>
      <c r="S100" s="656"/>
      <c r="T100" s="656"/>
      <c r="U100" s="656"/>
      <c r="V100" s="657"/>
      <c r="W100" s="658" t="s">
        <v>229</v>
      </c>
      <c r="X100" s="658" t="s">
        <v>229</v>
      </c>
      <c r="Y100" s="658" t="s">
        <v>229</v>
      </c>
      <c r="Z100" s="658" t="s">
        <v>229</v>
      </c>
      <c r="AA100" s="658" t="s">
        <v>229</v>
      </c>
      <c r="AB100" s="659" t="s">
        <v>229</v>
      </c>
      <c r="AC100" s="660" t="s">
        <v>229</v>
      </c>
      <c r="AD100" s="660" t="s">
        <v>229</v>
      </c>
      <c r="AE100" s="660" t="s">
        <v>229</v>
      </c>
      <c r="AF100" s="660" t="s">
        <v>229</v>
      </c>
      <c r="AG100" s="660" t="s">
        <v>229</v>
      </c>
      <c r="AH100" s="660" t="s">
        <v>229</v>
      </c>
      <c r="AI100" s="660" t="s">
        <v>229</v>
      </c>
      <c r="AJ100" s="660" t="s">
        <v>229</v>
      </c>
      <c r="AK100" s="660" t="s">
        <v>229</v>
      </c>
      <c r="AL100" s="661"/>
      <c r="AM100" s="651"/>
      <c r="AN100" s="676" t="s">
        <v>38</v>
      </c>
      <c r="AO100" s="658" t="str">
        <f>IF(AO$80="N","N/A",'C-Design&amp;Const'!S472)</f>
        <v>Y</v>
      </c>
      <c r="AP100" s="658" t="s">
        <v>38</v>
      </c>
      <c r="AQ100" s="658" t="s">
        <v>38</v>
      </c>
      <c r="AR100" s="677"/>
      <c r="AS100" s="651"/>
      <c r="AT100" s="621" t="str">
        <f t="shared" si="6"/>
        <v>20 - Results of PSC Construction Reviews</v>
      </c>
      <c r="AU100" s="1836" t="str">
        <f>IF(OR(Const_Delivery_Method='A-Info, Phases, Recip.'!E$103,Const_Delivery_Method='A-Info, Phases, Recip.'!E$104,Const_Delivery_Method='A-Info, Phases, Recip.'!E$105,Const_Delivery_Method='A-Info, Phases, Recip.'!E$106,Const_Delivery_Method='A-Info, Phases, Recip.'!E$107,Const_Delivery_Method='A-Info, Phases, Recip.'!E$108),"PSC provided info emailed to PM or Planner","In PRZM and emailed to PM as applicable.  Checklist and PSC reviewed &amp; approved Contractor Submittals (i.e. Product Submittals &amp; Shop Drawings) emailed to &lt;fsshopdrawing@illinois.edu&gt;.")</f>
        <v>In PRZM and emailed to PM as applicable.  Checklist and PSC reviewed &amp; approved Contractor Submittals (i.e. Product Submittals &amp; Shop Drawings) emailed to &lt;fsshopdrawing@illinois.edu&gt;.</v>
      </c>
      <c r="AV100" s="1109" t="s">
        <v>1119</v>
      </c>
      <c r="AW100" s="1587"/>
      <c r="AX100" s="1587"/>
      <c r="AY100" s="1587"/>
      <c r="AZ100" s="1587"/>
      <c r="BA100" s="1587"/>
      <c r="BB100" s="1587"/>
      <c r="BC100" s="1587"/>
      <c r="BD100" s="1587"/>
      <c r="BE100" s="1587"/>
      <c r="BF100" s="1587"/>
    </row>
    <row r="101" spans="1:58" s="16" customFormat="1" ht="18.75" hidden="1" x14ac:dyDescent="0.25">
      <c r="A101" s="1587"/>
      <c r="B101" s="1587"/>
      <c r="C101" s="1589"/>
      <c r="D101" s="1587"/>
      <c r="E101" s="1587"/>
      <c r="F101" s="1587"/>
      <c r="G101" s="1601">
        <v>21</v>
      </c>
      <c r="H101" s="2255" t="str">
        <f>CONCATENATE("21 - ",'C-Design&amp;Const'!Z480)</f>
        <v>21 - Pay / Progress Meetings</v>
      </c>
      <c r="I101" s="2256" t="str">
        <f>CONCATENATE("09 - ",'C-Design&amp;Const'!AC449)</f>
        <v xml:space="preserve">09 - </v>
      </c>
      <c r="J101" s="2257" t="str">
        <f>CONCATENATE("09 - ",'C-Design&amp;Const'!AD449)</f>
        <v xml:space="preserve">09 - </v>
      </c>
      <c r="K101" s="750"/>
      <c r="L101" s="750">
        <f>ROW('C-Design&amp;Const'!Z480)</f>
        <v>480</v>
      </c>
      <c r="M101" s="751"/>
      <c r="N101" s="751"/>
      <c r="O101" s="751"/>
      <c r="P101" s="751"/>
      <c r="Q101" s="751"/>
      <c r="R101" s="751"/>
      <c r="S101" s="751"/>
      <c r="T101" s="751"/>
      <c r="U101" s="751"/>
      <c r="V101" s="752"/>
      <c r="W101" s="753" t="s">
        <v>229</v>
      </c>
      <c r="X101" s="753" t="s">
        <v>229</v>
      </c>
      <c r="Y101" s="753" t="s">
        <v>229</v>
      </c>
      <c r="Z101" s="753" t="s">
        <v>229</v>
      </c>
      <c r="AA101" s="753" t="s">
        <v>229</v>
      </c>
      <c r="AB101" s="754" t="s">
        <v>229</v>
      </c>
      <c r="AC101" s="755" t="s">
        <v>229</v>
      </c>
      <c r="AD101" s="755" t="s">
        <v>229</v>
      </c>
      <c r="AE101" s="755" t="s">
        <v>229</v>
      </c>
      <c r="AF101" s="755" t="s">
        <v>229</v>
      </c>
      <c r="AG101" s="755" t="s">
        <v>229</v>
      </c>
      <c r="AH101" s="755" t="s">
        <v>229</v>
      </c>
      <c r="AI101" s="755" t="s">
        <v>229</v>
      </c>
      <c r="AJ101" s="755" t="s">
        <v>229</v>
      </c>
      <c r="AK101" s="755" t="s">
        <v>229</v>
      </c>
      <c r="AL101" s="756"/>
      <c r="AM101" s="757"/>
      <c r="AN101" s="758" t="s">
        <v>38</v>
      </c>
      <c r="AO101" s="753" t="str">
        <f>IF(AO$80="N","N/A",'C-Design&amp;Const'!S480)</f>
        <v>N</v>
      </c>
      <c r="AP101" s="753" t="s">
        <v>38</v>
      </c>
      <c r="AQ101" s="753" t="s">
        <v>38</v>
      </c>
      <c r="AR101" s="759"/>
      <c r="AS101" s="757"/>
      <c r="AT101" s="760" t="str">
        <f t="shared" si="6"/>
        <v>21 - Pay / Progress Meetings</v>
      </c>
      <c r="AU101" s="1005" t="s">
        <v>306</v>
      </c>
      <c r="AV101" s="1109"/>
      <c r="AW101" s="1587"/>
      <c r="AX101" s="1587"/>
      <c r="AY101" s="1587"/>
      <c r="AZ101" s="1587"/>
      <c r="BA101" s="1587"/>
      <c r="BB101" s="1587"/>
      <c r="BC101" s="1587"/>
      <c r="BD101" s="1587"/>
      <c r="BE101" s="1587"/>
      <c r="BF101" s="1587"/>
    </row>
    <row r="102" spans="1:58" s="16" customFormat="1" ht="18.75" hidden="1" x14ac:dyDescent="0.25">
      <c r="A102" s="1587"/>
      <c r="B102" s="1587"/>
      <c r="C102" s="1589"/>
      <c r="D102" s="1587"/>
      <c r="E102" s="1587"/>
      <c r="F102" s="1587"/>
      <c r="G102" s="1601">
        <v>22</v>
      </c>
      <c r="H102" s="2244" t="str">
        <f>CONCATENATE("22 - ",'C-Design&amp;Const'!Z485)</f>
        <v>22 - Written Description of Delays</v>
      </c>
      <c r="I102" s="2245" t="str">
        <f>CONCATENATE("09 - ",'C-Design&amp;Const'!AC450)</f>
        <v xml:space="preserve">09 - </v>
      </c>
      <c r="J102" s="2246" t="str">
        <f>CONCATENATE("09 - ",'C-Design&amp;Const'!AD450)</f>
        <v xml:space="preserve">09 - </v>
      </c>
      <c r="K102" s="662"/>
      <c r="L102" s="662">
        <f>ROW('C-Design&amp;Const'!Z485)</f>
        <v>485</v>
      </c>
      <c r="M102" s="663"/>
      <c r="N102" s="663"/>
      <c r="O102" s="663"/>
      <c r="P102" s="663"/>
      <c r="Q102" s="663"/>
      <c r="R102" s="663"/>
      <c r="S102" s="663"/>
      <c r="T102" s="663"/>
      <c r="U102" s="663"/>
      <c r="V102" s="664"/>
      <c r="W102" s="665" t="s">
        <v>229</v>
      </c>
      <c r="X102" s="665" t="s">
        <v>229</v>
      </c>
      <c r="Y102" s="665" t="s">
        <v>229</v>
      </c>
      <c r="Z102" s="665" t="s">
        <v>229</v>
      </c>
      <c r="AA102" s="665" t="s">
        <v>229</v>
      </c>
      <c r="AB102" s="666" t="s">
        <v>229</v>
      </c>
      <c r="AC102" s="667" t="s">
        <v>229</v>
      </c>
      <c r="AD102" s="667" t="s">
        <v>229</v>
      </c>
      <c r="AE102" s="667" t="s">
        <v>229</v>
      </c>
      <c r="AF102" s="667" t="s">
        <v>229</v>
      </c>
      <c r="AG102" s="667" t="s">
        <v>229</v>
      </c>
      <c r="AH102" s="667" t="s">
        <v>229</v>
      </c>
      <c r="AI102" s="667" t="s">
        <v>229</v>
      </c>
      <c r="AJ102" s="667" t="s">
        <v>229</v>
      </c>
      <c r="AK102" s="667" t="s">
        <v>229</v>
      </c>
      <c r="AL102" s="668"/>
      <c r="AM102" s="651"/>
      <c r="AN102" s="678" t="s">
        <v>38</v>
      </c>
      <c r="AO102" s="665" t="str">
        <f>IF(AO$80="N","N/A",'C-Design&amp;Const'!S485)</f>
        <v>Y</v>
      </c>
      <c r="AP102" s="665" t="s">
        <v>38</v>
      </c>
      <c r="AQ102" s="665" t="s">
        <v>38</v>
      </c>
      <c r="AR102" s="679"/>
      <c r="AS102" s="651"/>
      <c r="AT102" s="616" t="str">
        <f t="shared" si="6"/>
        <v>22 - Written Description of Delays</v>
      </c>
      <c r="AU102" s="617" t="s">
        <v>1075</v>
      </c>
      <c r="AV102" s="1109"/>
      <c r="AW102" s="1587"/>
      <c r="AX102" s="1587"/>
      <c r="AY102" s="1587"/>
      <c r="AZ102" s="1587"/>
      <c r="BA102" s="1587"/>
      <c r="BB102" s="1587"/>
      <c r="BC102" s="1587"/>
      <c r="BD102" s="1587"/>
      <c r="BE102" s="1587"/>
      <c r="BF102" s="1587"/>
    </row>
    <row r="103" spans="1:58" s="16" customFormat="1" ht="18.75" hidden="1" x14ac:dyDescent="0.25">
      <c r="A103" s="1587"/>
      <c r="B103" s="1587"/>
      <c r="C103" s="1589"/>
      <c r="D103" s="1587"/>
      <c r="E103" s="1587"/>
      <c r="F103" s="1587"/>
      <c r="G103" s="1601">
        <v>23</v>
      </c>
      <c r="H103" s="2244" t="str">
        <f>CONCATENATE("23 - ",'C-Design&amp;Const'!Z487)</f>
        <v>23 - Construction Information / Changes</v>
      </c>
      <c r="I103" s="2245" t="str">
        <f>CONCATENATE("09 - ",'C-Design&amp;Const'!AC451)</f>
        <v xml:space="preserve">09 - </v>
      </c>
      <c r="J103" s="2246" t="str">
        <f>CONCATENATE("09 - ",'C-Design&amp;Const'!AD451)</f>
        <v xml:space="preserve">09 - </v>
      </c>
      <c r="K103" s="662"/>
      <c r="L103" s="662">
        <f>ROW('C-Design&amp;Const'!Z487)</f>
        <v>487</v>
      </c>
      <c r="M103" s="663"/>
      <c r="N103" s="663"/>
      <c r="O103" s="663"/>
      <c r="P103" s="663"/>
      <c r="Q103" s="663"/>
      <c r="R103" s="663"/>
      <c r="S103" s="663"/>
      <c r="T103" s="663"/>
      <c r="U103" s="663"/>
      <c r="V103" s="664"/>
      <c r="W103" s="665" t="s">
        <v>229</v>
      </c>
      <c r="X103" s="665" t="s">
        <v>229</v>
      </c>
      <c r="Y103" s="665" t="s">
        <v>229</v>
      </c>
      <c r="Z103" s="665" t="s">
        <v>229</v>
      </c>
      <c r="AA103" s="665" t="s">
        <v>229</v>
      </c>
      <c r="AB103" s="666" t="s">
        <v>229</v>
      </c>
      <c r="AC103" s="667" t="s">
        <v>229</v>
      </c>
      <c r="AD103" s="667" t="s">
        <v>229</v>
      </c>
      <c r="AE103" s="667" t="s">
        <v>229</v>
      </c>
      <c r="AF103" s="667" t="s">
        <v>229</v>
      </c>
      <c r="AG103" s="667" t="s">
        <v>229</v>
      </c>
      <c r="AH103" s="667" t="s">
        <v>229</v>
      </c>
      <c r="AI103" s="667" t="s">
        <v>229</v>
      </c>
      <c r="AJ103" s="667" t="s">
        <v>229</v>
      </c>
      <c r="AK103" s="667" t="s">
        <v>229</v>
      </c>
      <c r="AL103" s="668"/>
      <c r="AM103" s="651"/>
      <c r="AN103" s="678" t="s">
        <v>38</v>
      </c>
      <c r="AO103" s="665" t="str">
        <f>IF(AO$80="N","N/A",'C-Design&amp;Const'!S487)</f>
        <v>Y</v>
      </c>
      <c r="AP103" s="665" t="s">
        <v>38</v>
      </c>
      <c r="AQ103" s="665" t="s">
        <v>38</v>
      </c>
      <c r="AR103" s="679"/>
      <c r="AS103" s="651"/>
      <c r="AT103" s="616" t="str">
        <f t="shared" si="6"/>
        <v>23 - Construction Information / Changes</v>
      </c>
      <c r="AU103" s="617" t="str">
        <f>IF(OR(Const_Delivery_Method='A-Info, Phases, Recip.'!E$103,Const_Delivery_Method='A-Info, Phases, Recip.'!E$104,Const_Delivery_Method='A-Info, Phases, Recip.'!E$105,Const_Delivery_Method='A-Info, Phases, Recip.'!E$106,Const_Delivery_Method='A-Info, Phases, Recip.'!E$107,Const_Delivery_Method='A-Info, Phases, Recip.'!E$108),"PSC provided info emailed to PM or Planner","in PRZM, check with PM &amp; lead inspector for email applicable items")</f>
        <v>in PRZM, check with PM &amp; lead inspector for email applicable items</v>
      </c>
      <c r="AV103" s="1109" t="s">
        <v>1119</v>
      </c>
      <c r="AW103" s="1587"/>
      <c r="AX103" s="1587"/>
      <c r="AY103" s="1587"/>
      <c r="AZ103" s="1587"/>
      <c r="BA103" s="1587"/>
      <c r="BB103" s="1587"/>
      <c r="BC103" s="1587"/>
      <c r="BD103" s="1587"/>
      <c r="BE103" s="1587"/>
      <c r="BF103" s="1587"/>
    </row>
    <row r="104" spans="1:58" s="16" customFormat="1" ht="18.75" hidden="1" x14ac:dyDescent="0.25">
      <c r="A104" s="1587"/>
      <c r="B104" s="1587"/>
      <c r="C104" s="1589"/>
      <c r="D104" s="1587"/>
      <c r="E104" s="1587"/>
      <c r="F104" s="1587"/>
      <c r="G104" s="1601">
        <v>24</v>
      </c>
      <c r="H104" s="2244" t="str">
        <f>CONCATENATE("24 - ",'C-Design&amp;Const'!Z495)</f>
        <v>24 - On-site Inspection / Observation Reports</v>
      </c>
      <c r="I104" s="2245" t="str">
        <f>CONCATENATE("09 - ",'C-Design&amp;Const'!AC452)</f>
        <v xml:space="preserve">09 - </v>
      </c>
      <c r="J104" s="2246" t="str">
        <f>CONCATENATE("09 - ",'C-Design&amp;Const'!AD452)</f>
        <v xml:space="preserve">09 - </v>
      </c>
      <c r="K104" s="662"/>
      <c r="L104" s="662">
        <f>ROW('C-Design&amp;Const'!Z495)</f>
        <v>495</v>
      </c>
      <c r="M104" s="663"/>
      <c r="N104" s="663"/>
      <c r="O104" s="663"/>
      <c r="P104" s="663"/>
      <c r="Q104" s="663"/>
      <c r="R104" s="663"/>
      <c r="S104" s="663"/>
      <c r="T104" s="663"/>
      <c r="U104" s="663"/>
      <c r="V104" s="664"/>
      <c r="W104" s="665" t="s">
        <v>229</v>
      </c>
      <c r="X104" s="665" t="s">
        <v>229</v>
      </c>
      <c r="Y104" s="665" t="s">
        <v>229</v>
      </c>
      <c r="Z104" s="665" t="s">
        <v>229</v>
      </c>
      <c r="AA104" s="665" t="s">
        <v>229</v>
      </c>
      <c r="AB104" s="666" t="s">
        <v>229</v>
      </c>
      <c r="AC104" s="667" t="s">
        <v>229</v>
      </c>
      <c r="AD104" s="667" t="s">
        <v>229</v>
      </c>
      <c r="AE104" s="667" t="s">
        <v>229</v>
      </c>
      <c r="AF104" s="667" t="s">
        <v>229</v>
      </c>
      <c r="AG104" s="667" t="s">
        <v>229</v>
      </c>
      <c r="AH104" s="667" t="s">
        <v>229</v>
      </c>
      <c r="AI104" s="667" t="s">
        <v>229</v>
      </c>
      <c r="AJ104" s="667" t="s">
        <v>229</v>
      </c>
      <c r="AK104" s="667" t="s">
        <v>229</v>
      </c>
      <c r="AL104" s="668"/>
      <c r="AM104" s="651"/>
      <c r="AN104" s="678" t="s">
        <v>38</v>
      </c>
      <c r="AO104" s="665" t="str">
        <f>IF(AO$80="N","N/A",'C-Design&amp;Const'!S495)</f>
        <v>Y</v>
      </c>
      <c r="AP104" s="665" t="s">
        <v>38</v>
      </c>
      <c r="AQ104" s="665" t="s">
        <v>38</v>
      </c>
      <c r="AR104" s="679"/>
      <c r="AS104" s="651"/>
      <c r="AT104" s="616" t="str">
        <f t="shared" si="6"/>
        <v>24 - On-site Inspection / Observation Reports</v>
      </c>
      <c r="AU104" s="617" t="str">
        <f>IF(OR(Const_Delivery_Method='A-Info, Phases, Recip.'!E$103,Const_Delivery_Method='A-Info, Phases, Recip.'!E$104,Const_Delivery_Method='A-Info, Phases, Recip.'!E$105,Const_Delivery_Method='A-Info, Phases, Recip.'!E$106,Const_Delivery_Method='A-Info, Phases, Recip.'!E$107,Const_Delivery_Method='A-Info, Phases, Recip.'!E$108),"PSC provided info emailed to PM or Planner","in PRZM, check with PM &amp; lead inspector for email applicable items")</f>
        <v>in PRZM, check with PM &amp; lead inspector for email applicable items</v>
      </c>
      <c r="AV104" s="1109" t="s">
        <v>1119</v>
      </c>
      <c r="AW104" s="1587"/>
      <c r="AX104" s="1587"/>
      <c r="AY104" s="1587"/>
      <c r="AZ104" s="1587"/>
      <c r="BA104" s="1587"/>
      <c r="BB104" s="1587"/>
      <c r="BC104" s="1587"/>
      <c r="BD104" s="1587"/>
      <c r="BE104" s="1587"/>
      <c r="BF104" s="1587"/>
    </row>
    <row r="105" spans="1:58" s="16" customFormat="1" ht="18.75" hidden="1" x14ac:dyDescent="0.25">
      <c r="A105" s="1587"/>
      <c r="B105" s="1587"/>
      <c r="C105" s="1589"/>
      <c r="D105" s="1587"/>
      <c r="E105" s="1587"/>
      <c r="F105" s="1587"/>
      <c r="G105" s="1601">
        <v>25</v>
      </c>
      <c r="H105" s="2244" t="str">
        <f>CONCATENATE("25 - ",'C-Design&amp;Const'!Z502)</f>
        <v>25 - Results of Construction Inspection / Survey / Testing</v>
      </c>
      <c r="I105" s="2245" t="str">
        <f>CONCATENATE("09 - ",'C-Design&amp;Const'!AC453)</f>
        <v xml:space="preserve">09 - </v>
      </c>
      <c r="J105" s="2246" t="str">
        <f>CONCATENATE("09 - ",'C-Design&amp;Const'!AD453)</f>
        <v xml:space="preserve">09 - </v>
      </c>
      <c r="K105" s="662"/>
      <c r="L105" s="662">
        <f>ROW('C-Design&amp;Const'!Z502)</f>
        <v>502</v>
      </c>
      <c r="M105" s="663"/>
      <c r="N105" s="663"/>
      <c r="O105" s="663"/>
      <c r="P105" s="663"/>
      <c r="Q105" s="663"/>
      <c r="R105" s="663"/>
      <c r="S105" s="663"/>
      <c r="T105" s="663"/>
      <c r="U105" s="663"/>
      <c r="V105" s="664"/>
      <c r="W105" s="665" t="s">
        <v>229</v>
      </c>
      <c r="X105" s="665" t="s">
        <v>229</v>
      </c>
      <c r="Y105" s="665" t="s">
        <v>229</v>
      </c>
      <c r="Z105" s="665" t="s">
        <v>229</v>
      </c>
      <c r="AA105" s="665" t="s">
        <v>229</v>
      </c>
      <c r="AB105" s="666" t="s">
        <v>229</v>
      </c>
      <c r="AC105" s="667" t="s">
        <v>229</v>
      </c>
      <c r="AD105" s="667" t="s">
        <v>229</v>
      </c>
      <c r="AE105" s="667" t="s">
        <v>229</v>
      </c>
      <c r="AF105" s="667" t="s">
        <v>229</v>
      </c>
      <c r="AG105" s="667" t="s">
        <v>229</v>
      </c>
      <c r="AH105" s="667" t="s">
        <v>229</v>
      </c>
      <c r="AI105" s="667" t="s">
        <v>229</v>
      </c>
      <c r="AJ105" s="667" t="s">
        <v>229</v>
      </c>
      <c r="AK105" s="667" t="s">
        <v>229</v>
      </c>
      <c r="AL105" s="668"/>
      <c r="AM105" s="651"/>
      <c r="AN105" s="678" t="s">
        <v>38</v>
      </c>
      <c r="AO105" s="665" t="str">
        <f>IF(AO$80="N","N/A",'C-Design&amp;Const'!S502)</f>
        <v>Y</v>
      </c>
      <c r="AP105" s="665" t="s">
        <v>38</v>
      </c>
      <c r="AQ105" s="665" t="s">
        <v>38</v>
      </c>
      <c r="AR105" s="679"/>
      <c r="AS105" s="651"/>
      <c r="AT105" s="616" t="str">
        <f t="shared" si="6"/>
        <v>25 - Results of Construction Inspection / Survey / Testing</v>
      </c>
      <c r="AU105" s="617" t="str">
        <f>IF(OR(Const_Delivery_Method='A-Info, Phases, Recip.'!E$103,Const_Delivery_Method='A-Info, Phases, Recip.'!E$104,Const_Delivery_Method='A-Info, Phases, Recip.'!E$105,Const_Delivery_Method='A-Info, Phases, Recip.'!E$106,Const_Delivery_Method='A-Info, Phases, Recip.'!E$107,Const_Delivery_Method='A-Info, Phases, Recip.'!E$108),"PSC provided info emailed to PM or Planner","in PRZM, check with PM &amp; lead inspector for email applicable items")</f>
        <v>in PRZM, check with PM &amp; lead inspector for email applicable items</v>
      </c>
      <c r="AV105" s="1109" t="s">
        <v>1119</v>
      </c>
      <c r="AW105" s="1587"/>
      <c r="AX105" s="1587"/>
      <c r="AY105" s="1587"/>
      <c r="AZ105" s="1587"/>
      <c r="BA105" s="1587"/>
      <c r="BB105" s="1587"/>
      <c r="BC105" s="1587"/>
      <c r="BD105" s="1587"/>
      <c r="BE105" s="1587"/>
      <c r="BF105" s="1587"/>
    </row>
    <row r="106" spans="1:58" s="16" customFormat="1" ht="19.5" hidden="1" thickBot="1" x14ac:dyDescent="0.3">
      <c r="A106" s="1587"/>
      <c r="B106" s="1587"/>
      <c r="C106" s="1589"/>
      <c r="D106" s="1587"/>
      <c r="E106" s="1587"/>
      <c r="F106" s="1587"/>
      <c r="G106" s="1601">
        <v>26</v>
      </c>
      <c r="H106" s="2261" t="str">
        <f>CONCATENATE("26 - ",'C-Design&amp;Const'!Z519)</f>
        <v>26 - List of Systems / Items to Commission</v>
      </c>
      <c r="I106" s="2262" t="str">
        <f>CONCATENATE("09 - ",'C-Design&amp;Const'!AC454)</f>
        <v xml:space="preserve">09 - </v>
      </c>
      <c r="J106" s="2263" t="str">
        <f>CONCATENATE("09 - ",'C-Design&amp;Const'!AD454)</f>
        <v xml:space="preserve">09 - </v>
      </c>
      <c r="K106" s="1805"/>
      <c r="L106" s="1805">
        <f>ROW('C-Design&amp;Const'!Z521)</f>
        <v>521</v>
      </c>
      <c r="M106" s="1806"/>
      <c r="N106" s="1806"/>
      <c r="O106" s="1806"/>
      <c r="P106" s="1806"/>
      <c r="Q106" s="1806"/>
      <c r="R106" s="1806"/>
      <c r="S106" s="1806"/>
      <c r="T106" s="1806"/>
      <c r="U106" s="1806"/>
      <c r="V106" s="1807"/>
      <c r="W106" s="1808" t="s">
        <v>229</v>
      </c>
      <c r="X106" s="1808" t="s">
        <v>229</v>
      </c>
      <c r="Y106" s="1808" t="s">
        <v>229</v>
      </c>
      <c r="Z106" s="1808" t="s">
        <v>229</v>
      </c>
      <c r="AA106" s="1808" t="s">
        <v>229</v>
      </c>
      <c r="AB106" s="1809" t="s">
        <v>229</v>
      </c>
      <c r="AC106" s="1810" t="s">
        <v>229</v>
      </c>
      <c r="AD106" s="1810" t="s">
        <v>229</v>
      </c>
      <c r="AE106" s="1810" t="s">
        <v>229</v>
      </c>
      <c r="AF106" s="1810" t="s">
        <v>229</v>
      </c>
      <c r="AG106" s="1810" t="s">
        <v>229</v>
      </c>
      <c r="AH106" s="1810" t="s">
        <v>229</v>
      </c>
      <c r="AI106" s="1810" t="s">
        <v>229</v>
      </c>
      <c r="AJ106" s="1810" t="s">
        <v>229</v>
      </c>
      <c r="AK106" s="674" t="s">
        <v>229</v>
      </c>
      <c r="AL106" s="675"/>
      <c r="AM106" s="651"/>
      <c r="AN106" s="1811" t="s">
        <v>38</v>
      </c>
      <c r="AO106" s="1808" t="str">
        <f>IF(AO$80="N","N/A",'C-Design&amp;Const'!S521)</f>
        <v>Y</v>
      </c>
      <c r="AP106" s="1808" t="s">
        <v>38</v>
      </c>
      <c r="AQ106" s="1808" t="s">
        <v>38</v>
      </c>
      <c r="AR106" s="1812"/>
      <c r="AS106" s="651"/>
      <c r="AT106" s="1813" t="str">
        <f t="shared" si="6"/>
        <v>26 - List of Systems / Items to Commission</v>
      </c>
      <c r="AU106" s="1814" t="s">
        <v>1074</v>
      </c>
      <c r="AV106" s="1109"/>
      <c r="AW106" s="1587"/>
      <c r="AX106" s="1587"/>
      <c r="AY106" s="1587"/>
      <c r="AZ106" s="1587"/>
      <c r="BA106" s="1587"/>
      <c r="BB106" s="1587"/>
      <c r="BC106" s="1587"/>
      <c r="BD106" s="1587"/>
      <c r="BE106" s="1587"/>
      <c r="BF106" s="1587"/>
    </row>
    <row r="107" spans="1:58" s="16" customFormat="1" ht="19.5" hidden="1" thickTop="1" x14ac:dyDescent="0.25">
      <c r="A107" s="1587"/>
      <c r="B107" s="1587"/>
      <c r="C107" s="1589"/>
      <c r="D107" s="1587"/>
      <c r="E107" s="1587"/>
      <c r="F107" s="1587"/>
      <c r="G107" s="1601">
        <v>27</v>
      </c>
      <c r="H107" s="2244" t="str">
        <f>CONCATENATE("27 - ",'C-Design&amp;Const'!Z521)</f>
        <v>27 - Certificate of Substantial Completion</v>
      </c>
      <c r="I107" s="2245" t="str">
        <f>CONCATENATE("09 - ",'C-Design&amp;Const'!AC455)</f>
        <v xml:space="preserve">09 - </v>
      </c>
      <c r="J107" s="2246" t="str">
        <f>CONCATENATE("09 - ",'C-Design&amp;Const'!AD455)</f>
        <v xml:space="preserve">09 - </v>
      </c>
      <c r="K107" s="662"/>
      <c r="L107" s="662">
        <f>ROW('C-Design&amp;Const'!Z523)</f>
        <v>523</v>
      </c>
      <c r="M107" s="663"/>
      <c r="N107" s="663"/>
      <c r="O107" s="663"/>
      <c r="P107" s="663"/>
      <c r="Q107" s="663"/>
      <c r="R107" s="663"/>
      <c r="S107" s="663"/>
      <c r="T107" s="663"/>
      <c r="U107" s="663"/>
      <c r="V107" s="664"/>
      <c r="W107" s="665" t="s">
        <v>229</v>
      </c>
      <c r="X107" s="665" t="s">
        <v>229</v>
      </c>
      <c r="Y107" s="665" t="s">
        <v>229</v>
      </c>
      <c r="Z107" s="665" t="s">
        <v>229</v>
      </c>
      <c r="AA107" s="665" t="s">
        <v>229</v>
      </c>
      <c r="AB107" s="666" t="s">
        <v>229</v>
      </c>
      <c r="AC107" s="667" t="s">
        <v>229</v>
      </c>
      <c r="AD107" s="667" t="s">
        <v>229</v>
      </c>
      <c r="AE107" s="667" t="s">
        <v>229</v>
      </c>
      <c r="AF107" s="667" t="s">
        <v>229</v>
      </c>
      <c r="AG107" s="667" t="s">
        <v>229</v>
      </c>
      <c r="AH107" s="667" t="s">
        <v>229</v>
      </c>
      <c r="AI107" s="667" t="s">
        <v>229</v>
      </c>
      <c r="AJ107" s="667" t="s">
        <v>229</v>
      </c>
      <c r="AK107" s="660" t="s">
        <v>229</v>
      </c>
      <c r="AL107" s="661"/>
      <c r="AM107" s="651"/>
      <c r="AN107" s="678" t="s">
        <v>38</v>
      </c>
      <c r="AO107" s="665" t="str">
        <f>IF(AO$80="N","N/A",'C-Design&amp;Const'!S523)</f>
        <v>Y</v>
      </c>
      <c r="AP107" s="665" t="str">
        <f>IF(AP$80="N","N/A",'07-CLOSEOUT'!D521)</f>
        <v>N</v>
      </c>
      <c r="AQ107" s="665" t="s">
        <v>38</v>
      </c>
      <c r="AR107" s="679"/>
      <c r="AS107" s="651"/>
      <c r="AT107" s="616" t="str">
        <f t="shared" si="6"/>
        <v>27 - Certificate of Substantial Completion</v>
      </c>
      <c r="AU107" s="1834" t="str">
        <f>IF(OR(Const_Delivery_Method='A-Info, Phases, Recip.'!E$103,Const_Delivery_Method='A-Info, Phases, Recip.'!E$104,Const_Delivery_Method='A-Info, Phases, Recip.'!E$105,Const_Delivery_Method='A-Info, Phases, Recip.'!E$106,Const_Delivery_Method='A-Info, Phases, Recip.'!E$107,Const_Delivery_Method='A-Info, Phases, Recip.'!E$108),"-","in PRZM, by closeout - emailed to &lt;fsshopdrawing@illinois.edu&gt;")</f>
        <v>in PRZM, by closeout - emailed to &lt;fsshopdrawing@illinois.edu&gt;</v>
      </c>
      <c r="AV107" s="1109" t="s">
        <v>1119</v>
      </c>
      <c r="AW107" s="1587"/>
      <c r="AX107" s="1587"/>
      <c r="AY107" s="1587"/>
      <c r="AZ107" s="1587"/>
      <c r="BA107" s="1587"/>
      <c r="BB107" s="1587"/>
      <c r="BC107" s="1587"/>
      <c r="BD107" s="1587"/>
      <c r="BE107" s="1587"/>
      <c r="BF107" s="1587"/>
    </row>
    <row r="108" spans="1:58" s="16" customFormat="1" ht="19.5" hidden="1" thickBot="1" x14ac:dyDescent="0.3">
      <c r="A108" s="1587"/>
      <c r="B108" s="1587"/>
      <c r="C108" s="1589"/>
      <c r="D108" s="1587"/>
      <c r="E108" s="1587"/>
      <c r="F108" s="1587"/>
      <c r="G108" s="1601">
        <v>28</v>
      </c>
      <c r="H108" s="2264" t="str">
        <f>CONCATENATE("28 - ",'C-Design&amp;Const'!Z523)</f>
        <v>28 - Punch List</v>
      </c>
      <c r="I108" s="2265" t="str">
        <f>CONCATENATE("09 - ",'C-Design&amp;Const'!AC456)</f>
        <v xml:space="preserve">09 - </v>
      </c>
      <c r="J108" s="2266" t="str">
        <f>CONCATENATE("09 - ",'C-Design&amp;Const'!AD456)</f>
        <v xml:space="preserve">09 - </v>
      </c>
      <c r="K108" s="669"/>
      <c r="L108" s="669">
        <f>ROW('C-Design&amp;Const'!Z519)</f>
        <v>519</v>
      </c>
      <c r="M108" s="670"/>
      <c r="N108" s="670"/>
      <c r="O108" s="670"/>
      <c r="P108" s="670"/>
      <c r="Q108" s="670"/>
      <c r="R108" s="670"/>
      <c r="S108" s="670"/>
      <c r="T108" s="670"/>
      <c r="U108" s="670"/>
      <c r="V108" s="671"/>
      <c r="W108" s="672" t="s">
        <v>229</v>
      </c>
      <c r="X108" s="672" t="s">
        <v>229</v>
      </c>
      <c r="Y108" s="672" t="s">
        <v>229</v>
      </c>
      <c r="Z108" s="672" t="s">
        <v>229</v>
      </c>
      <c r="AA108" s="672" t="s">
        <v>229</v>
      </c>
      <c r="AB108" s="673" t="s">
        <v>229</v>
      </c>
      <c r="AC108" s="674" t="s">
        <v>229</v>
      </c>
      <c r="AD108" s="674" t="s">
        <v>229</v>
      </c>
      <c r="AE108" s="674" t="s">
        <v>229</v>
      </c>
      <c r="AF108" s="674" t="s">
        <v>229</v>
      </c>
      <c r="AG108" s="674" t="s">
        <v>229</v>
      </c>
      <c r="AH108" s="674" t="s">
        <v>229</v>
      </c>
      <c r="AI108" s="674" t="s">
        <v>229</v>
      </c>
      <c r="AJ108" s="674" t="s">
        <v>229</v>
      </c>
      <c r="AK108" s="667" t="s">
        <v>229</v>
      </c>
      <c r="AL108" s="668"/>
      <c r="AM108" s="651"/>
      <c r="AN108" s="680" t="s">
        <v>38</v>
      </c>
      <c r="AO108" s="672" t="str">
        <f>IF(AO$80="N","N/A",'C-Design&amp;Const'!S519)</f>
        <v>Y</v>
      </c>
      <c r="AP108" s="672" t="str">
        <f>IF(AP$80="N","N/A",'07-CLOSEOUT'!D523)</f>
        <v>N</v>
      </c>
      <c r="AQ108" s="672" t="s">
        <v>38</v>
      </c>
      <c r="AR108" s="681"/>
      <c r="AS108" s="651"/>
      <c r="AT108" s="619" t="str">
        <f t="shared" si="6"/>
        <v>28 - Punch List</v>
      </c>
      <c r="AU108" s="1835" t="str">
        <f>IF(OR(Const_Delivery_Method='A-Info, Phases, Recip.'!E$103,Const_Delivery_Method='A-Info, Phases, Recip.'!E$104,Const_Delivery_Method='A-Info, Phases, Recip.'!E$105,Const_Delivery_Method='A-Info, Phases, Recip.'!E$106,Const_Delivery_Method='A-Info, Phases, Recip.'!E$107,Const_Delivery_Method='A-Info, Phases, Recip.'!E$108),"email Planner and lead inspector","in PRZM, by closeout - emailed to &lt;fsshopdrawing@illinois.edu&gt;")</f>
        <v>in PRZM, by closeout - emailed to &lt;fsshopdrawing@illinois.edu&gt;</v>
      </c>
      <c r="AV108" s="1109" t="s">
        <v>1119</v>
      </c>
      <c r="AW108" s="1587"/>
      <c r="AX108" s="1587"/>
      <c r="AY108" s="1587"/>
      <c r="AZ108" s="1587"/>
      <c r="BA108" s="1587"/>
      <c r="BB108" s="1587"/>
      <c r="BC108" s="1587"/>
      <c r="BD108" s="1587"/>
      <c r="BE108" s="1587"/>
      <c r="BF108" s="1587"/>
    </row>
    <row r="109" spans="1:58" s="16" customFormat="1" ht="30.75" hidden="1" thickTop="1" x14ac:dyDescent="0.25">
      <c r="A109" s="1587"/>
      <c r="B109" s="1587"/>
      <c r="C109" s="1589"/>
      <c r="D109" s="1587"/>
      <c r="E109" s="1587"/>
      <c r="F109" s="1097"/>
      <c r="G109" s="1601">
        <v>29</v>
      </c>
      <c r="H109" s="2267" t="str">
        <f>CONCATENATE("30 - ",'C-Design&amp;Const'!Z527)</f>
        <v>30 - O &amp; M's &amp; Systems Manuals (check for full component list in the facility standards)</v>
      </c>
      <c r="I109" s="2268" t="str">
        <f>CONCATENATE("09 - ",'C-Design&amp;Const'!AC457)</f>
        <v xml:space="preserve">09 - </v>
      </c>
      <c r="J109" s="2269" t="str">
        <f>CONCATENATE("09 - ",'C-Design&amp;Const'!AD457)</f>
        <v xml:space="preserve">09 - </v>
      </c>
      <c r="K109" s="741"/>
      <c r="L109" s="741">
        <f>ROW('C-Design&amp;Const'!Z527)</f>
        <v>527</v>
      </c>
      <c r="M109" s="742"/>
      <c r="N109" s="742"/>
      <c r="O109" s="742"/>
      <c r="P109" s="742"/>
      <c r="Q109" s="742"/>
      <c r="R109" s="742"/>
      <c r="S109" s="742"/>
      <c r="T109" s="742"/>
      <c r="U109" s="742"/>
      <c r="V109" s="743"/>
      <c r="W109" s="739" t="s">
        <v>229</v>
      </c>
      <c r="X109" s="739" t="s">
        <v>229</v>
      </c>
      <c r="Y109" s="739" t="s">
        <v>229</v>
      </c>
      <c r="Z109" s="739" t="s">
        <v>229</v>
      </c>
      <c r="AA109" s="739" t="s">
        <v>229</v>
      </c>
      <c r="AB109" s="744" t="s">
        <v>229</v>
      </c>
      <c r="AC109" s="745" t="s">
        <v>229</v>
      </c>
      <c r="AD109" s="745" t="s">
        <v>229</v>
      </c>
      <c r="AE109" s="745" t="s">
        <v>229</v>
      </c>
      <c r="AF109" s="745" t="s">
        <v>229</v>
      </c>
      <c r="AG109" s="745" t="s">
        <v>229</v>
      </c>
      <c r="AH109" s="745" t="s">
        <v>229</v>
      </c>
      <c r="AI109" s="745" t="s">
        <v>229</v>
      </c>
      <c r="AJ109" s="745" t="s">
        <v>229</v>
      </c>
      <c r="AK109" s="667" t="s">
        <v>229</v>
      </c>
      <c r="AL109" s="668"/>
      <c r="AM109" s="651"/>
      <c r="AN109" s="738" t="s">
        <v>38</v>
      </c>
      <c r="AO109" s="739" t="s">
        <v>38</v>
      </c>
      <c r="AP109" s="739" t="str">
        <f>IF(AP$80="N","N/A",'07-CLOSEOUT'!D527)</f>
        <v>Y</v>
      </c>
      <c r="AQ109" s="739" t="s">
        <v>38</v>
      </c>
      <c r="AR109" s="740"/>
      <c r="AS109" s="651"/>
      <c r="AT109" s="1815" t="str">
        <f t="shared" si="6"/>
        <v>30 - O &amp; M's &amp; Systems Manuals (check for full component list in the facility standards)</v>
      </c>
      <c r="AU109" s="1836" t="str">
        <f>IF(OR(Const_Delivery_Method='A-Info, Phases, Recip.'!E$103,Const_Delivery_Method='A-Info, Phases, Recip.'!E$104,Const_Delivery_Method='A-Info, Phases, Recip.'!E$105,Const_Delivery_Method='A-Info, Phases, Recip.'!E$106,Const_Delivery_Method='A-Info, Phases, Recip.'!E$107,Const_Delivery_Method='A-Info, Phases, Recip.'!E$108),"Printed and pdf version submitted by project coordinator, not PSC.","Printed (upon client request) and digital download")</f>
        <v>Printed (upon client request) and digital download</v>
      </c>
      <c r="AV109" s="1109" t="s">
        <v>1119</v>
      </c>
      <c r="AW109" s="1587"/>
      <c r="AX109" s="1587"/>
      <c r="AY109" s="1587"/>
      <c r="AZ109" s="1587"/>
      <c r="BA109" s="1587"/>
      <c r="BB109" s="1587"/>
      <c r="BC109" s="1587"/>
      <c r="BD109" s="1587"/>
      <c r="BE109" s="1587"/>
      <c r="BF109" s="1587"/>
    </row>
    <row r="110" spans="1:58" s="16" customFormat="1" ht="18.75" hidden="1" x14ac:dyDescent="0.25">
      <c r="A110" s="1587"/>
      <c r="B110" s="1587"/>
      <c r="C110" s="1589"/>
      <c r="D110" s="1587"/>
      <c r="E110" s="1587"/>
      <c r="F110" s="1097"/>
      <c r="G110" s="1601">
        <v>30</v>
      </c>
      <c r="H110" s="2244" t="str">
        <f>CONCATENATE("31 - ",'C-Design&amp;Const'!Z546)</f>
        <v>31 - LEED Certification / Documentation</v>
      </c>
      <c r="I110" s="2245" t="str">
        <f>CONCATENATE("09 - ",'C-Design&amp;Const'!AC458)</f>
        <v xml:space="preserve">09 - </v>
      </c>
      <c r="J110" s="2246" t="str">
        <f>CONCATENATE("09 - ",'C-Design&amp;Const'!AD458)</f>
        <v xml:space="preserve">09 - </v>
      </c>
      <c r="K110" s="662"/>
      <c r="L110" s="662">
        <f>ROW('C-Design&amp;Const'!Z546)</f>
        <v>546</v>
      </c>
      <c r="M110" s="663"/>
      <c r="N110" s="663"/>
      <c r="O110" s="663"/>
      <c r="P110" s="663"/>
      <c r="Q110" s="663"/>
      <c r="R110" s="663"/>
      <c r="S110" s="663"/>
      <c r="T110" s="663"/>
      <c r="U110" s="663"/>
      <c r="V110" s="664"/>
      <c r="W110" s="665" t="s">
        <v>229</v>
      </c>
      <c r="X110" s="665" t="s">
        <v>229</v>
      </c>
      <c r="Y110" s="665" t="s">
        <v>229</v>
      </c>
      <c r="Z110" s="665" t="s">
        <v>229</v>
      </c>
      <c r="AA110" s="665" t="s">
        <v>229</v>
      </c>
      <c r="AB110" s="666" t="s">
        <v>229</v>
      </c>
      <c r="AC110" s="667" t="s">
        <v>229</v>
      </c>
      <c r="AD110" s="667" t="s">
        <v>229</v>
      </c>
      <c r="AE110" s="667" t="s">
        <v>229</v>
      </c>
      <c r="AF110" s="667" t="s">
        <v>229</v>
      </c>
      <c r="AG110" s="667" t="s">
        <v>229</v>
      </c>
      <c r="AH110" s="667" t="s">
        <v>229</v>
      </c>
      <c r="AI110" s="667" t="s">
        <v>229</v>
      </c>
      <c r="AJ110" s="667" t="s">
        <v>229</v>
      </c>
      <c r="AK110" s="667" t="s">
        <v>229</v>
      </c>
      <c r="AL110" s="668"/>
      <c r="AM110" s="651"/>
      <c r="AN110" s="678" t="s">
        <v>38</v>
      </c>
      <c r="AO110" s="665" t="s">
        <v>38</v>
      </c>
      <c r="AP110" s="665" t="str">
        <f>IF(AP$80="N","N/A",'07-CLOSEOUT'!D546)</f>
        <v>Y</v>
      </c>
      <c r="AQ110" s="665" t="s">
        <v>38</v>
      </c>
      <c r="AR110" s="679"/>
      <c r="AS110" s="651"/>
      <c r="AT110" s="616" t="str">
        <f t="shared" si="6"/>
        <v>31 - LEED Certification / Documentation</v>
      </c>
      <c r="AU110" s="617" t="str">
        <f>IF(OR(Const_Delivery_Method='A-Info, Phases, Recip.'!E$103,Const_Delivery_Method='A-Info, Phases, Recip.'!E$104,Const_Delivery_Method='A-Info, Phases, Recip.'!E$105,Const_Delivery_Method='A-Info, Phases, Recip.'!E$106,Const_Delivery_Method='A-Info, Phases, Recip.'!E$107,Const_Delivery_Method='A-Info, Phases, Recip.'!E$108),"-","Digital Download")</f>
        <v>Digital Download</v>
      </c>
      <c r="AV110" s="1109" t="s">
        <v>1119</v>
      </c>
      <c r="AW110" s="1587"/>
      <c r="AX110" s="1587"/>
      <c r="AY110" s="1587"/>
      <c r="AZ110" s="1587"/>
      <c r="BA110" s="1587"/>
      <c r="BB110" s="1587"/>
      <c r="BC110" s="1587"/>
      <c r="BD110" s="1587"/>
      <c r="BE110" s="1587"/>
      <c r="BF110" s="1587"/>
    </row>
    <row r="111" spans="1:58" s="16" customFormat="1" ht="18.75" hidden="1" x14ac:dyDescent="0.25">
      <c r="A111" s="1587"/>
      <c r="B111" s="1587"/>
      <c r="C111" s="1589"/>
      <c r="D111" s="1587"/>
      <c r="E111" s="1587"/>
      <c r="F111" s="1097"/>
      <c r="G111" s="1601">
        <v>31</v>
      </c>
      <c r="H111" s="2244" t="str">
        <f>CONCATENATE("32 - ",'C-Design&amp;Const'!Z551)</f>
        <v>32 - Final Approved Contractor Submittals with Log</v>
      </c>
      <c r="I111" s="2245" t="str">
        <f>CONCATENATE("09 - ",'C-Design&amp;Const'!AC459)</f>
        <v xml:space="preserve">09 - </v>
      </c>
      <c r="J111" s="2246" t="str">
        <f>CONCATENATE("09 - ",'C-Design&amp;Const'!AD459)</f>
        <v xml:space="preserve">09 - </v>
      </c>
      <c r="K111" s="662"/>
      <c r="L111" s="662">
        <f>ROW('C-Design&amp;Const'!Z551)</f>
        <v>551</v>
      </c>
      <c r="M111" s="663"/>
      <c r="N111" s="663"/>
      <c r="O111" s="663"/>
      <c r="P111" s="663"/>
      <c r="Q111" s="663"/>
      <c r="R111" s="663"/>
      <c r="S111" s="663"/>
      <c r="T111" s="663"/>
      <c r="U111" s="663"/>
      <c r="V111" s="664"/>
      <c r="W111" s="665" t="s">
        <v>229</v>
      </c>
      <c r="X111" s="665" t="s">
        <v>229</v>
      </c>
      <c r="Y111" s="665" t="s">
        <v>229</v>
      </c>
      <c r="Z111" s="665" t="s">
        <v>229</v>
      </c>
      <c r="AA111" s="665" t="s">
        <v>229</v>
      </c>
      <c r="AB111" s="666" t="s">
        <v>229</v>
      </c>
      <c r="AC111" s="667" t="s">
        <v>229</v>
      </c>
      <c r="AD111" s="667" t="s">
        <v>229</v>
      </c>
      <c r="AE111" s="667" t="s">
        <v>229</v>
      </c>
      <c r="AF111" s="667" t="s">
        <v>229</v>
      </c>
      <c r="AG111" s="667" t="s">
        <v>229</v>
      </c>
      <c r="AH111" s="667" t="s">
        <v>229</v>
      </c>
      <c r="AI111" s="667" t="s">
        <v>229</v>
      </c>
      <c r="AJ111" s="667" t="s">
        <v>229</v>
      </c>
      <c r="AK111" s="667" t="s">
        <v>229</v>
      </c>
      <c r="AL111" s="668"/>
      <c r="AM111" s="652"/>
      <c r="AN111" s="678" t="s">
        <v>38</v>
      </c>
      <c r="AO111" s="665" t="s">
        <v>38</v>
      </c>
      <c r="AP111" s="665" t="str">
        <f>IF(AP$80="N","N/A",'07-CLOSEOUT'!D551)</f>
        <v>Y</v>
      </c>
      <c r="AQ111" s="665" t="s">
        <v>38</v>
      </c>
      <c r="AR111" s="679"/>
      <c r="AS111" s="651"/>
      <c r="AT111" s="616" t="str">
        <f t="shared" ref="AT111" si="9">H111</f>
        <v>32 - Final Approved Contractor Submittals with Log</v>
      </c>
      <c r="AU111" s="617" t="str">
        <f>IF(OR(Const_Delivery_Method='A-Info, Phases, Recip.'!E$103,Const_Delivery_Method='A-Info, Phases, Recip.'!E$104,Const_Delivery_Method='A-Info, Phases, Recip.'!E$105,Const_Delivery_Method='A-Info, Phases, Recip.'!E$106,Const_Delivery_Method='A-Info, Phases, Recip.'!E$107,Const_Delivery_Method='A-Info, Phases, Recip.'!E$108),"Printed and pdf version submitted by project coordinator, not PSC.","Digital Download")</f>
        <v>Digital Download</v>
      </c>
      <c r="AV111" s="1109" t="s">
        <v>1119</v>
      </c>
      <c r="AW111" s="1587"/>
      <c r="AX111" s="1587"/>
      <c r="AY111" s="1587"/>
      <c r="AZ111" s="1587"/>
      <c r="BA111" s="1587"/>
      <c r="BB111" s="1587"/>
      <c r="BC111" s="1587"/>
      <c r="BD111" s="1587"/>
      <c r="BE111" s="1587"/>
      <c r="BF111" s="1587"/>
    </row>
    <row r="112" spans="1:58" s="16" customFormat="1" ht="19.5" hidden="1" thickBot="1" x14ac:dyDescent="0.3">
      <c r="A112" s="1587"/>
      <c r="B112" s="1587"/>
      <c r="C112" s="1589"/>
      <c r="D112" s="1587"/>
      <c r="E112" s="1587"/>
      <c r="F112" s="1097"/>
      <c r="G112" s="1601">
        <v>32</v>
      </c>
      <c r="H112" s="2264" t="str">
        <f>CONCATENATE("33 - ",'C-Design&amp;Const'!Z553)</f>
        <v>33 - Contractor As-Built Drawings and As-Built Project Manual</v>
      </c>
      <c r="I112" s="2265" t="str">
        <f>CONCATENATE("09 - ",'C-Design&amp;Const'!AC460)</f>
        <v xml:space="preserve">09 - </v>
      </c>
      <c r="J112" s="2266" t="str">
        <f>CONCATENATE("09 - ",'C-Design&amp;Const'!AD460)</f>
        <v xml:space="preserve">09 - </v>
      </c>
      <c r="K112" s="669"/>
      <c r="L112" s="669">
        <f>ROW('C-Design&amp;Const'!Z553)</f>
        <v>553</v>
      </c>
      <c r="M112" s="670"/>
      <c r="N112" s="670"/>
      <c r="O112" s="670"/>
      <c r="P112" s="670"/>
      <c r="Q112" s="670"/>
      <c r="R112" s="670"/>
      <c r="S112" s="670"/>
      <c r="T112" s="670"/>
      <c r="U112" s="670"/>
      <c r="V112" s="671"/>
      <c r="W112" s="672" t="s">
        <v>229</v>
      </c>
      <c r="X112" s="672" t="s">
        <v>229</v>
      </c>
      <c r="Y112" s="672" t="s">
        <v>229</v>
      </c>
      <c r="Z112" s="672" t="s">
        <v>229</v>
      </c>
      <c r="AA112" s="672" t="s">
        <v>229</v>
      </c>
      <c r="AB112" s="673" t="s">
        <v>229</v>
      </c>
      <c r="AC112" s="674" t="s">
        <v>229</v>
      </c>
      <c r="AD112" s="674" t="s">
        <v>229</v>
      </c>
      <c r="AE112" s="674" t="s">
        <v>229</v>
      </c>
      <c r="AF112" s="674" t="s">
        <v>229</v>
      </c>
      <c r="AG112" s="674" t="s">
        <v>229</v>
      </c>
      <c r="AH112" s="674" t="s">
        <v>229</v>
      </c>
      <c r="AI112" s="674" t="s">
        <v>229</v>
      </c>
      <c r="AJ112" s="674" t="s">
        <v>229</v>
      </c>
      <c r="AK112" s="674" t="s">
        <v>229</v>
      </c>
      <c r="AL112" s="668"/>
      <c r="AM112" s="652"/>
      <c r="AN112" s="680" t="s">
        <v>38</v>
      </c>
      <c r="AO112" s="672" t="s">
        <v>38</v>
      </c>
      <c r="AP112" s="672" t="str">
        <f>IF(AP$80="N","N/A",'07-CLOSEOUT'!D553)</f>
        <v>Y</v>
      </c>
      <c r="AQ112" s="672" t="s">
        <v>38</v>
      </c>
      <c r="AR112" s="681"/>
      <c r="AS112" s="652"/>
      <c r="AT112" s="619" t="str">
        <f>H112</f>
        <v>33 - Contractor As-Built Drawings and As-Built Project Manual</v>
      </c>
      <c r="AU112" s="620" t="str">
        <f>IF(OR(Const_Delivery_Method='A-Info, Phases, Recip.'!E$103,Const_Delivery_Method='A-Info, Phases, Recip.'!E$104,Const_Delivery_Method='A-Info, Phases, Recip.'!E$105,Const_Delivery_Method='A-Info, Phases, Recip.'!E$106,Const_Delivery_Method='A-Info, Phases, Recip.'!E$107,Const_Delivery_Method='A-Info, Phases, Recip.'!E$108),"Printed and pdf version submitted by project coordinator, not PSC.","Scanned and Digital Download")</f>
        <v>Scanned and Digital Download</v>
      </c>
      <c r="AV112" s="1109" t="s">
        <v>1119</v>
      </c>
      <c r="AW112" s="1587"/>
      <c r="AX112" s="1587"/>
      <c r="AY112" s="1587"/>
      <c r="AZ112" s="1587"/>
      <c r="BA112" s="1587"/>
      <c r="BB112" s="1587"/>
      <c r="BC112" s="1587"/>
      <c r="BD112" s="1587"/>
      <c r="BE112" s="1587"/>
      <c r="BF112" s="1587"/>
    </row>
    <row r="113" spans="1:58" s="16" customFormat="1" ht="19.5" hidden="1" thickTop="1" x14ac:dyDescent="0.25">
      <c r="A113" s="1587"/>
      <c r="B113" s="1587"/>
      <c r="C113" s="1589"/>
      <c r="D113" s="1587"/>
      <c r="E113" s="1587"/>
      <c r="F113" s="1587"/>
      <c r="G113" s="1601">
        <v>33</v>
      </c>
      <c r="H113" s="2258" t="str">
        <f>CONCATENATE("40 - ",'C-Design&amp;Const'!Z557)</f>
        <v>40 - Post Construction Activities Log</v>
      </c>
      <c r="I113" s="2259" t="str">
        <f>CONCATENATE("09 - ",'C-Design&amp;Const'!AC461)</f>
        <v xml:space="preserve">09 - </v>
      </c>
      <c r="J113" s="2260" t="str">
        <f>CONCATENATE("09 - ",'C-Design&amp;Const'!AD461)</f>
        <v xml:space="preserve">09 - </v>
      </c>
      <c r="K113" s="741"/>
      <c r="L113" s="741">
        <f>ROW('C-Design&amp;Const'!Z557)</f>
        <v>557</v>
      </c>
      <c r="M113" s="742"/>
      <c r="N113" s="742"/>
      <c r="O113" s="742"/>
      <c r="P113" s="742"/>
      <c r="Q113" s="742"/>
      <c r="R113" s="742"/>
      <c r="S113" s="742"/>
      <c r="T113" s="742"/>
      <c r="U113" s="742"/>
      <c r="V113" s="743"/>
      <c r="W113" s="739" t="s">
        <v>229</v>
      </c>
      <c r="X113" s="739" t="s">
        <v>229</v>
      </c>
      <c r="Y113" s="739" t="s">
        <v>229</v>
      </c>
      <c r="Z113" s="739" t="s">
        <v>229</v>
      </c>
      <c r="AA113" s="739" t="s">
        <v>229</v>
      </c>
      <c r="AB113" s="744" t="s">
        <v>229</v>
      </c>
      <c r="AC113" s="745" t="s">
        <v>229</v>
      </c>
      <c r="AD113" s="745" t="s">
        <v>229</v>
      </c>
      <c r="AE113" s="745" t="s">
        <v>229</v>
      </c>
      <c r="AF113" s="745" t="s">
        <v>229</v>
      </c>
      <c r="AG113" s="745" t="s">
        <v>229</v>
      </c>
      <c r="AH113" s="745" t="s">
        <v>229</v>
      </c>
      <c r="AI113" s="745" t="s">
        <v>229</v>
      </c>
      <c r="AJ113" s="745" t="s">
        <v>229</v>
      </c>
      <c r="AK113" s="745" t="s">
        <v>229</v>
      </c>
      <c r="AL113" s="668"/>
      <c r="AM113" s="651"/>
      <c r="AN113" s="738" t="s">
        <v>38</v>
      </c>
      <c r="AO113" s="739" t="s">
        <v>38</v>
      </c>
      <c r="AP113" s="739" t="s">
        <v>38</v>
      </c>
      <c r="AQ113" s="739" t="str">
        <f>IF(AQ$80="N","N/A",'08-POST CONST'!D557)</f>
        <v>Y</v>
      </c>
      <c r="AR113" s="740"/>
      <c r="AS113" s="651"/>
      <c r="AT113" s="621" t="str">
        <f>H113</f>
        <v>40 - Post Construction Activities Log</v>
      </c>
      <c r="AU113" s="622" t="s">
        <v>1210</v>
      </c>
      <c r="AV113" s="1109"/>
      <c r="AW113" s="1587"/>
      <c r="AX113" s="1587"/>
      <c r="AY113" s="1587"/>
      <c r="AZ113" s="1587"/>
      <c r="BA113" s="1587"/>
      <c r="BB113" s="1587"/>
      <c r="BC113" s="1587"/>
      <c r="BD113" s="1587"/>
      <c r="BE113" s="1587"/>
      <c r="BF113" s="1587"/>
    </row>
    <row r="114" spans="1:58" s="16" customFormat="1" ht="30" hidden="1" x14ac:dyDescent="0.25">
      <c r="A114" s="1587"/>
      <c r="B114" s="1587"/>
      <c r="C114" s="1589"/>
      <c r="D114" s="1587"/>
      <c r="E114" s="1587"/>
      <c r="F114" s="1587"/>
      <c r="G114" s="1601">
        <v>34</v>
      </c>
      <c r="H114" s="2241" t="str">
        <f>CONCATENATE("41 - ",'C-Design&amp;Const'!Z559)</f>
        <v>41 - Log of Equipment with Settings Different than Manufacturer's Recommendations</v>
      </c>
      <c r="I114" s="2242" t="str">
        <f>CONCATENATE("09 - ",'C-Design&amp;Const'!AC462)</f>
        <v xml:space="preserve">09 - </v>
      </c>
      <c r="J114" s="2243" t="str">
        <f>CONCATENATE("09 - ",'C-Design&amp;Const'!AD462)</f>
        <v xml:space="preserve">09 - </v>
      </c>
      <c r="K114" s="662"/>
      <c r="L114" s="662">
        <f>ROW('C-Design&amp;Const'!Z559)</f>
        <v>559</v>
      </c>
      <c r="M114" s="663"/>
      <c r="N114" s="663"/>
      <c r="O114" s="663"/>
      <c r="P114" s="663"/>
      <c r="Q114" s="663"/>
      <c r="R114" s="663"/>
      <c r="S114" s="663"/>
      <c r="T114" s="663"/>
      <c r="U114" s="663"/>
      <c r="V114" s="664"/>
      <c r="W114" s="665" t="s">
        <v>229</v>
      </c>
      <c r="X114" s="665" t="s">
        <v>229</v>
      </c>
      <c r="Y114" s="665" t="s">
        <v>229</v>
      </c>
      <c r="Z114" s="665" t="s">
        <v>229</v>
      </c>
      <c r="AA114" s="665" t="s">
        <v>229</v>
      </c>
      <c r="AB114" s="666" t="s">
        <v>229</v>
      </c>
      <c r="AC114" s="667" t="s">
        <v>229</v>
      </c>
      <c r="AD114" s="667" t="s">
        <v>229</v>
      </c>
      <c r="AE114" s="667" t="s">
        <v>229</v>
      </c>
      <c r="AF114" s="667" t="s">
        <v>229</v>
      </c>
      <c r="AG114" s="667" t="s">
        <v>229</v>
      </c>
      <c r="AH114" s="667" t="s">
        <v>229</v>
      </c>
      <c r="AI114" s="667" t="s">
        <v>229</v>
      </c>
      <c r="AJ114" s="667" t="s">
        <v>229</v>
      </c>
      <c r="AK114" s="667" t="s">
        <v>229</v>
      </c>
      <c r="AL114" s="668"/>
      <c r="AM114" s="651"/>
      <c r="AN114" s="678" t="s">
        <v>38</v>
      </c>
      <c r="AO114" s="665" t="s">
        <v>38</v>
      </c>
      <c r="AP114" s="665" t="s">
        <v>38</v>
      </c>
      <c r="AQ114" s="665" t="str">
        <f>IF(AQ$80="N","N/A",'08-POST CONST'!D559)</f>
        <v>Y</v>
      </c>
      <c r="AR114" s="679"/>
      <c r="AS114" s="651"/>
      <c r="AT114" s="618" t="str">
        <f>H114</f>
        <v>41 - Log of Equipment with Settings Different than Manufacturer's Recommendations</v>
      </c>
      <c r="AU114" s="617" t="s">
        <v>1210</v>
      </c>
      <c r="AV114" s="1109"/>
      <c r="AW114" s="1587"/>
      <c r="AX114" s="1587"/>
      <c r="AY114" s="1587"/>
      <c r="AZ114" s="1587"/>
      <c r="BA114" s="1587"/>
      <c r="BB114" s="1587"/>
      <c r="BC114" s="1587"/>
      <c r="BD114" s="1587"/>
      <c r="BE114" s="1587"/>
      <c r="BF114" s="1587"/>
    </row>
    <row r="115" spans="1:58" s="16" customFormat="1" ht="18.75" hidden="1" x14ac:dyDescent="0.25">
      <c r="A115" s="1587"/>
      <c r="B115" s="1587"/>
      <c r="C115" s="1589"/>
      <c r="D115" s="1587"/>
      <c r="E115" s="1587"/>
      <c r="F115" s="1587"/>
      <c r="G115" s="1601">
        <v>35</v>
      </c>
      <c r="H115" s="2244" t="str">
        <f>CONCATENATE("42 - ",'C-Design&amp;Const'!Z561)</f>
        <v>42 - Post Construction Report</v>
      </c>
      <c r="I115" s="2245" t="str">
        <f>CONCATENATE("09 - ",'C-Design&amp;Const'!AC463)</f>
        <v xml:space="preserve">09 - </v>
      </c>
      <c r="J115" s="2246" t="str">
        <f>CONCATENATE("09 - ",'C-Design&amp;Const'!AD463)</f>
        <v xml:space="preserve">09 - </v>
      </c>
      <c r="K115" s="750"/>
      <c r="L115" s="750">
        <f>ROW('C-Design&amp;Const'!Z561)</f>
        <v>561</v>
      </c>
      <c r="M115" s="751"/>
      <c r="N115" s="751"/>
      <c r="O115" s="751"/>
      <c r="P115" s="751"/>
      <c r="Q115" s="751"/>
      <c r="R115" s="751"/>
      <c r="S115" s="751"/>
      <c r="T115" s="751"/>
      <c r="U115" s="751"/>
      <c r="V115" s="752"/>
      <c r="W115" s="753" t="s">
        <v>229</v>
      </c>
      <c r="X115" s="753" t="s">
        <v>229</v>
      </c>
      <c r="Y115" s="753" t="s">
        <v>229</v>
      </c>
      <c r="Z115" s="753" t="s">
        <v>229</v>
      </c>
      <c r="AA115" s="753" t="s">
        <v>229</v>
      </c>
      <c r="AB115" s="754" t="s">
        <v>229</v>
      </c>
      <c r="AC115" s="755" t="s">
        <v>229</v>
      </c>
      <c r="AD115" s="755" t="s">
        <v>229</v>
      </c>
      <c r="AE115" s="755" t="s">
        <v>229</v>
      </c>
      <c r="AF115" s="755" t="s">
        <v>229</v>
      </c>
      <c r="AG115" s="755" t="s">
        <v>229</v>
      </c>
      <c r="AH115" s="755" t="s">
        <v>229</v>
      </c>
      <c r="AI115" s="755" t="s">
        <v>229</v>
      </c>
      <c r="AJ115" s="755" t="s">
        <v>229</v>
      </c>
      <c r="AK115" s="755" t="s">
        <v>229</v>
      </c>
      <c r="AL115" s="756"/>
      <c r="AM115" s="757"/>
      <c r="AN115" s="678" t="s">
        <v>38</v>
      </c>
      <c r="AO115" s="665" t="s">
        <v>38</v>
      </c>
      <c r="AP115" s="665" t="s">
        <v>38</v>
      </c>
      <c r="AQ115" s="665" t="str">
        <f>IF(AQ$80="N","N/A",'08-POST CONST'!D561)</f>
        <v>Y</v>
      </c>
      <c r="AR115" s="759"/>
      <c r="AS115" s="757"/>
      <c r="AT115" s="616" t="str">
        <f>H115</f>
        <v>42 - Post Construction Report</v>
      </c>
      <c r="AU115" s="617" t="s">
        <v>1210</v>
      </c>
      <c r="AV115" s="1109"/>
      <c r="AW115" s="1587"/>
      <c r="AX115" s="1587"/>
      <c r="AY115" s="1587"/>
      <c r="AZ115" s="1587"/>
      <c r="BA115" s="1587"/>
      <c r="BB115" s="1587"/>
      <c r="BC115" s="1587"/>
      <c r="BD115" s="1587"/>
      <c r="BE115" s="1587"/>
      <c r="BF115" s="1587"/>
    </row>
    <row r="116" spans="1:58" s="16" customFormat="1" ht="18.75" hidden="1" x14ac:dyDescent="0.25">
      <c r="A116" s="1587"/>
      <c r="B116" s="1587"/>
      <c r="C116" s="1589"/>
      <c r="D116" s="1587"/>
      <c r="E116" s="1587"/>
      <c r="F116" s="1601"/>
      <c r="G116" s="1601">
        <v>36</v>
      </c>
      <c r="H116" s="2249" t="s">
        <v>229</v>
      </c>
      <c r="I116" s="2250" t="str">
        <f>CONCATENATE("09 - ",'C-Design&amp;Const'!AC464)</f>
        <v xml:space="preserve">09 - </v>
      </c>
      <c r="J116" s="2251" t="str">
        <f>CONCATENATE("09 - ",'C-Design&amp;Const'!AD464)</f>
        <v xml:space="preserve">09 - </v>
      </c>
      <c r="K116" s="750"/>
      <c r="L116" s="750">
        <f>ROW('C-Design&amp;Const'!Z563)</f>
        <v>563</v>
      </c>
      <c r="M116" s="751"/>
      <c r="N116" s="751"/>
      <c r="O116" s="751"/>
      <c r="P116" s="751"/>
      <c r="Q116" s="751"/>
      <c r="R116" s="751"/>
      <c r="S116" s="751"/>
      <c r="T116" s="751"/>
      <c r="U116" s="751"/>
      <c r="V116" s="752"/>
      <c r="W116" s="753" t="s">
        <v>229</v>
      </c>
      <c r="X116" s="753" t="s">
        <v>229</v>
      </c>
      <c r="Y116" s="753" t="s">
        <v>229</v>
      </c>
      <c r="Z116" s="753" t="s">
        <v>229</v>
      </c>
      <c r="AA116" s="753" t="s">
        <v>229</v>
      </c>
      <c r="AB116" s="754" t="s">
        <v>229</v>
      </c>
      <c r="AC116" s="755" t="s">
        <v>229</v>
      </c>
      <c r="AD116" s="755" t="s">
        <v>229</v>
      </c>
      <c r="AE116" s="755" t="s">
        <v>229</v>
      </c>
      <c r="AF116" s="755" t="s">
        <v>229</v>
      </c>
      <c r="AG116" s="755" t="s">
        <v>229</v>
      </c>
      <c r="AH116" s="755" t="s">
        <v>229</v>
      </c>
      <c r="AI116" s="755" t="s">
        <v>229</v>
      </c>
      <c r="AJ116" s="755" t="s">
        <v>229</v>
      </c>
      <c r="AK116" s="755" t="s">
        <v>229</v>
      </c>
      <c r="AL116" s="756"/>
      <c r="AM116" s="757"/>
      <c r="AN116" s="758" t="s">
        <v>229</v>
      </c>
      <c r="AO116" s="753" t="s">
        <v>229</v>
      </c>
      <c r="AP116" s="753" t="s">
        <v>229</v>
      </c>
      <c r="AQ116" s="753" t="s">
        <v>229</v>
      </c>
      <c r="AR116" s="759"/>
      <c r="AS116" s="757"/>
      <c r="AT116" s="760" t="str">
        <f>H116</f>
        <v>-</v>
      </c>
      <c r="AU116" s="617" t="s">
        <v>229</v>
      </c>
      <c r="AV116" s="1109"/>
      <c r="AW116" s="1587" t="s">
        <v>229</v>
      </c>
      <c r="AX116" s="1587"/>
      <c r="AY116" s="1587"/>
      <c r="AZ116" s="1587"/>
      <c r="BA116" s="1587"/>
      <c r="BB116" s="1587"/>
      <c r="BC116" s="1587"/>
      <c r="BD116" s="1587"/>
      <c r="BE116" s="1587"/>
      <c r="BF116" s="1587"/>
    </row>
    <row r="117" spans="1:58" s="16" customFormat="1" ht="6" hidden="1" customHeight="1" thickBot="1" x14ac:dyDescent="0.3">
      <c r="A117" s="1587"/>
      <c r="B117" s="1587"/>
      <c r="C117" s="1589"/>
      <c r="D117" s="1587"/>
      <c r="E117" s="1587"/>
      <c r="F117" s="1587"/>
      <c r="G117" s="1587"/>
      <c r="H117" s="682"/>
      <c r="I117" s="683"/>
      <c r="J117" s="684"/>
      <c r="K117" s="685"/>
      <c r="L117" s="685"/>
      <c r="M117" s="685"/>
      <c r="N117" s="685"/>
      <c r="O117" s="685"/>
      <c r="P117" s="685"/>
      <c r="Q117" s="685"/>
      <c r="R117" s="685"/>
      <c r="S117" s="685"/>
      <c r="T117" s="685"/>
      <c r="U117" s="685"/>
      <c r="V117" s="686"/>
      <c r="W117" s="704"/>
      <c r="X117" s="704"/>
      <c r="Y117" s="704"/>
      <c r="Z117" s="704"/>
      <c r="AA117" s="704"/>
      <c r="AB117" s="687"/>
      <c r="AC117" s="688"/>
      <c r="AD117" s="688"/>
      <c r="AE117" s="688"/>
      <c r="AF117" s="688"/>
      <c r="AG117" s="688"/>
      <c r="AH117" s="688"/>
      <c r="AI117" s="688"/>
      <c r="AJ117" s="688"/>
      <c r="AK117" s="688"/>
      <c r="AL117" s="689"/>
      <c r="AN117" s="690"/>
      <c r="AO117" s="688"/>
      <c r="AP117" s="688"/>
      <c r="AQ117" s="688"/>
      <c r="AR117" s="691"/>
      <c r="AT117" s="397" t="s">
        <v>229</v>
      </c>
      <c r="AU117" s="615" t="s">
        <v>229</v>
      </c>
      <c r="AV117" s="1109"/>
      <c r="AW117" s="1587"/>
      <c r="AX117" s="1587"/>
      <c r="AY117" s="1587"/>
      <c r="AZ117" s="1587"/>
      <c r="BA117" s="1587"/>
      <c r="BB117" s="1587"/>
      <c r="BC117" s="1587"/>
      <c r="BD117" s="1587"/>
      <c r="BE117" s="1587"/>
      <c r="BF117" s="1587"/>
    </row>
    <row r="118" spans="1:58" s="543" customFormat="1" ht="12.75" hidden="1" customHeight="1" thickTop="1" x14ac:dyDescent="0.25">
      <c r="A118" s="1587"/>
      <c r="B118" s="1587"/>
      <c r="C118" s="1589"/>
      <c r="D118" s="1587"/>
      <c r="E118" s="1587"/>
      <c r="F118" s="1587"/>
      <c r="G118" s="1587"/>
      <c r="H118" s="155"/>
      <c r="I118" s="155"/>
      <c r="J118" s="21"/>
      <c r="K118" s="21"/>
      <c r="L118" s="21"/>
      <c r="M118" s="21"/>
      <c r="N118" s="21"/>
      <c r="O118" s="21"/>
      <c r="P118" s="21"/>
      <c r="Q118" s="21"/>
      <c r="R118" s="21"/>
      <c r="S118" s="21"/>
      <c r="T118" s="21"/>
      <c r="U118" s="21"/>
      <c r="V118" s="21"/>
      <c r="W118" s="1864"/>
      <c r="X118" s="1864"/>
      <c r="Y118" s="1864"/>
      <c r="Z118" s="1864"/>
      <c r="AA118" s="1864"/>
      <c r="AB118" s="1865"/>
      <c r="AC118" s="1865"/>
      <c r="AD118" s="1865"/>
      <c r="AE118" s="1865"/>
      <c r="AF118" s="1865"/>
      <c r="AG118" s="1865"/>
      <c r="AH118" s="1865"/>
      <c r="AI118" s="1865"/>
      <c r="AJ118" s="1865"/>
      <c r="AK118" s="1865"/>
      <c r="AL118" s="363"/>
      <c r="AN118" s="1865"/>
      <c r="AO118" s="1865"/>
      <c r="AP118" s="1865"/>
      <c r="AQ118" s="1865"/>
      <c r="AR118" s="21"/>
      <c r="AT118" s="155"/>
      <c r="AU118" s="1866"/>
      <c r="AV118" s="1109"/>
      <c r="AW118" s="1587"/>
      <c r="AX118" s="1587"/>
      <c r="AY118" s="1587"/>
      <c r="AZ118" s="1587"/>
      <c r="BA118" s="1587"/>
      <c r="BB118" s="1587"/>
      <c r="BC118" s="1587"/>
      <c r="BD118" s="1587"/>
      <c r="BE118" s="1587"/>
      <c r="BF118" s="1587"/>
    </row>
    <row r="119" spans="1:58" s="16" customFormat="1" ht="16.5" thickTop="1" thickBot="1" x14ac:dyDescent="0.3">
      <c r="A119" s="1615"/>
      <c r="B119" s="1615"/>
      <c r="C119" s="1619"/>
      <c r="D119" s="1615"/>
      <c r="E119" s="1615"/>
      <c r="F119" s="1587"/>
      <c r="G119" s="1587"/>
      <c r="H119" s="1587"/>
      <c r="I119" s="1587"/>
      <c r="J119" s="1587"/>
      <c r="K119" s="1587"/>
      <c r="L119" s="1587"/>
      <c r="M119" s="1587"/>
      <c r="N119" s="1587"/>
      <c r="O119" s="1587"/>
      <c r="P119" s="1587"/>
      <c r="Q119" s="1587"/>
      <c r="R119" s="1587"/>
      <c r="S119" s="1587"/>
      <c r="T119" s="1587"/>
      <c r="U119" s="1587"/>
      <c r="V119" s="1587"/>
      <c r="W119" s="1587"/>
      <c r="X119" s="1587"/>
      <c r="Y119" s="1587"/>
      <c r="Z119" s="1587"/>
      <c r="AA119" s="1587"/>
      <c r="AB119" s="1587"/>
      <c r="AC119" s="1587"/>
      <c r="AD119" s="1587"/>
      <c r="AE119" s="1587"/>
      <c r="AF119" s="1587"/>
      <c r="AG119" s="1587"/>
      <c r="AH119" s="1587"/>
      <c r="AI119" s="1587"/>
      <c r="AJ119" s="1587"/>
      <c r="AK119" s="2230" t="s">
        <v>239</v>
      </c>
      <c r="AL119" s="1587"/>
      <c r="AM119" s="1587"/>
      <c r="AN119" s="1587"/>
      <c r="AO119" s="1587"/>
      <c r="AP119" s="1587"/>
      <c r="AQ119" s="1587"/>
      <c r="AR119" s="1587"/>
      <c r="AS119" s="1587"/>
      <c r="AT119" s="1587"/>
      <c r="AU119" s="1587"/>
      <c r="AV119" s="1109"/>
      <c r="AW119" s="1587"/>
      <c r="AX119" s="1587"/>
      <c r="AY119" s="1587"/>
      <c r="AZ119" s="1587"/>
      <c r="BA119" s="1587"/>
      <c r="BB119" s="1587"/>
      <c r="BC119" s="1587"/>
      <c r="BD119" s="1587"/>
      <c r="BE119" s="1587"/>
      <c r="BF119" s="1587"/>
    </row>
    <row r="120" spans="1:58" s="16" customFormat="1" ht="25.5" customHeight="1" thickTop="1" x14ac:dyDescent="0.25">
      <c r="A120" s="1587"/>
      <c r="B120" s="1587"/>
      <c r="C120" s="1587"/>
      <c r="D120" s="1587"/>
      <c r="E120" s="1127" t="str">
        <f ca="1">CONCATENATE("UIUC Template Change Log hidden below for TAB [",MID(CELL("filename",E4),FIND("]",CELL("filename",E4))+1,255),"] :")</f>
        <v>UIUC Template Change Log hidden below for TAB [PSC Transmittal Guidance] :</v>
      </c>
      <c r="F120" s="1587"/>
      <c r="G120" s="1587"/>
      <c r="H120" s="1587"/>
      <c r="I120" s="1587"/>
      <c r="J120" s="1587"/>
      <c r="K120" s="1587"/>
      <c r="L120" s="1587"/>
      <c r="M120" s="1587"/>
      <c r="N120" s="1587"/>
      <c r="O120" s="1587"/>
      <c r="P120" s="1587"/>
      <c r="Q120" s="1587"/>
      <c r="R120" s="1587"/>
      <c r="S120" s="1587"/>
      <c r="T120" s="1587"/>
      <c r="U120" s="1587"/>
      <c r="V120" s="1587"/>
      <c r="W120" s="1587"/>
      <c r="X120" s="1587"/>
      <c r="Y120" s="1587"/>
      <c r="Z120" s="1587"/>
      <c r="AA120" s="1587"/>
      <c r="AB120" s="1587"/>
      <c r="AC120" s="1587"/>
      <c r="AD120" s="1587"/>
      <c r="AE120" s="1587"/>
      <c r="AF120" s="1587"/>
      <c r="AG120" s="1587"/>
      <c r="AH120" s="1587"/>
      <c r="AI120" s="1587"/>
      <c r="AJ120" s="1587"/>
      <c r="AK120" s="2231"/>
      <c r="AL120" s="1587"/>
      <c r="AM120" s="1587"/>
      <c r="AN120" s="1587"/>
      <c r="AO120" s="1587"/>
      <c r="AP120" s="1587"/>
      <c r="AQ120" s="1587"/>
      <c r="AR120" s="1587"/>
      <c r="AS120" s="1587"/>
      <c r="AT120" s="1587"/>
      <c r="AU120" s="1587"/>
      <c r="AV120" s="1109"/>
      <c r="AW120" s="1587"/>
      <c r="AX120" s="1587"/>
      <c r="AY120" s="1587"/>
      <c r="AZ120" s="1587"/>
      <c r="BA120" s="1587"/>
      <c r="BB120" s="1587"/>
      <c r="BC120" s="1587"/>
      <c r="BD120" s="1587"/>
      <c r="BE120" s="1587"/>
      <c r="BF120" s="1587"/>
    </row>
    <row r="121" spans="1:58" s="16" customFormat="1" x14ac:dyDescent="0.25">
      <c r="A121" s="1587"/>
      <c r="B121" s="1587"/>
      <c r="C121" s="1587"/>
      <c r="D121" s="1587"/>
      <c r="E121" s="1602"/>
      <c r="F121" s="1603"/>
      <c r="G121" s="1603"/>
      <c r="H121" s="1587"/>
      <c r="I121" s="1587"/>
      <c r="J121" s="1587"/>
      <c r="K121" s="1587"/>
      <c r="L121" s="1587"/>
      <c r="M121" s="1587"/>
      <c r="N121" s="1587"/>
      <c r="O121" s="1587"/>
      <c r="P121" s="1587"/>
      <c r="Q121" s="1587"/>
      <c r="R121" s="1587"/>
      <c r="S121" s="1587"/>
      <c r="T121" s="1587"/>
      <c r="U121" s="1587"/>
      <c r="V121" s="1587"/>
      <c r="W121" s="1587"/>
      <c r="X121" s="1587"/>
      <c r="Y121" s="1587"/>
      <c r="Z121" s="1587"/>
      <c r="AA121" s="1587"/>
      <c r="AB121" s="1587"/>
      <c r="AC121" s="1587"/>
      <c r="AD121" s="1587"/>
      <c r="AE121" s="1587"/>
      <c r="AF121" s="1587"/>
      <c r="AG121" s="1587"/>
      <c r="AH121" s="1587"/>
      <c r="AI121" s="1587"/>
      <c r="AJ121" s="1587"/>
      <c r="AK121" s="1587"/>
      <c r="AL121" s="1587"/>
      <c r="AM121" s="1587"/>
      <c r="AN121" s="1587"/>
      <c r="AO121" s="1587"/>
      <c r="AP121" s="1587"/>
      <c r="AQ121" s="1587"/>
      <c r="AR121" s="1587"/>
      <c r="AS121" s="1587"/>
      <c r="AT121" s="1587"/>
      <c r="AU121" s="1587"/>
      <c r="AV121" s="1109"/>
      <c r="AW121" s="1587"/>
      <c r="AX121" s="1587"/>
      <c r="AY121" s="1587"/>
      <c r="AZ121" s="1587"/>
      <c r="BA121" s="1587"/>
      <c r="BB121" s="1587"/>
      <c r="BC121" s="1587"/>
      <c r="BD121" s="1587"/>
      <c r="BE121" s="1587"/>
      <c r="BF121" s="1587"/>
    </row>
    <row r="122" spans="1:58" s="16" customFormat="1" hidden="1" x14ac:dyDescent="0.25">
      <c r="A122" s="1587"/>
      <c r="B122" s="1587"/>
      <c r="C122" s="1587"/>
      <c r="D122" s="1587"/>
      <c r="E122" s="1602">
        <v>42506</v>
      </c>
      <c r="F122" s="1603" t="s">
        <v>776</v>
      </c>
      <c r="G122" s="1603"/>
      <c r="H122" s="1587"/>
      <c r="I122" s="1587"/>
      <c r="J122" s="1587"/>
      <c r="K122" s="1587"/>
      <c r="L122" s="1587"/>
      <c r="M122" s="1587"/>
      <c r="N122" s="1587"/>
      <c r="O122" s="1587"/>
      <c r="P122" s="1587"/>
      <c r="Q122" s="1587"/>
      <c r="R122" s="1587"/>
      <c r="S122" s="1587"/>
      <c r="T122" s="1587"/>
      <c r="U122" s="1587"/>
      <c r="V122" s="1587"/>
      <c r="W122" s="1587"/>
      <c r="X122" s="1587"/>
      <c r="Y122" s="1587"/>
      <c r="Z122" s="1587"/>
      <c r="AA122" s="1587"/>
      <c r="AB122" s="1587"/>
      <c r="AC122" s="1587"/>
      <c r="AD122" s="1587"/>
      <c r="AE122" s="1587"/>
      <c r="AF122" s="1587"/>
      <c r="AG122" s="1587"/>
      <c r="AH122" s="1587"/>
      <c r="AI122" s="1587"/>
      <c r="AJ122" s="1587"/>
      <c r="AK122" s="1587"/>
      <c r="AL122" s="1587"/>
      <c r="AM122" s="1587"/>
      <c r="AN122" s="1587"/>
      <c r="AO122" s="1587"/>
      <c r="AP122" s="1587"/>
      <c r="AQ122" s="1587"/>
      <c r="AR122" s="1587"/>
      <c r="AS122" s="1587"/>
      <c r="AT122" s="1587"/>
      <c r="AU122" s="1587"/>
      <c r="AV122" s="1109"/>
      <c r="AW122" s="1587"/>
      <c r="AX122" s="1587"/>
      <c r="AY122" s="1587"/>
      <c r="AZ122" s="1587"/>
      <c r="BA122" s="1587"/>
      <c r="BB122" s="1587"/>
      <c r="BC122" s="1587"/>
      <c r="BD122" s="1587"/>
      <c r="BE122" s="1587"/>
      <c r="BF122" s="1587"/>
    </row>
    <row r="123" spans="1:58" s="16" customFormat="1" hidden="1" x14ac:dyDescent="0.25">
      <c r="A123" s="1587"/>
      <c r="B123" s="1587"/>
      <c r="C123" s="1587"/>
      <c r="D123" s="1587"/>
      <c r="E123" s="1602"/>
      <c r="F123" s="1603"/>
      <c r="G123" s="1603"/>
      <c r="H123" s="1587"/>
      <c r="I123" s="1587"/>
      <c r="J123" s="1587"/>
      <c r="K123" s="1587"/>
      <c r="L123" s="1587"/>
      <c r="M123" s="1587"/>
      <c r="N123" s="1587"/>
      <c r="O123" s="1587"/>
      <c r="P123" s="1587"/>
      <c r="Q123" s="1587"/>
      <c r="R123" s="1587"/>
      <c r="S123" s="1587"/>
      <c r="T123" s="1587"/>
      <c r="U123" s="1587"/>
      <c r="V123" s="1587"/>
      <c r="W123" s="1587"/>
      <c r="X123" s="1587"/>
      <c r="Y123" s="1587"/>
      <c r="Z123" s="1587"/>
      <c r="AA123" s="1587"/>
      <c r="AB123" s="1587"/>
      <c r="AC123" s="1587"/>
      <c r="AD123" s="1587"/>
      <c r="AE123" s="1587"/>
      <c r="AF123" s="1587"/>
      <c r="AG123" s="1587"/>
      <c r="AH123" s="1587"/>
      <c r="AI123" s="1587"/>
      <c r="AJ123" s="1587"/>
      <c r="AK123" s="1587"/>
      <c r="AL123" s="1587"/>
      <c r="AM123" s="1587"/>
      <c r="AN123" s="1587"/>
      <c r="AO123" s="1587"/>
      <c r="AP123" s="1587"/>
      <c r="AQ123" s="1587"/>
      <c r="AR123" s="1587"/>
      <c r="AS123" s="1587"/>
      <c r="AT123" s="1587"/>
      <c r="AU123" s="1587"/>
      <c r="AV123" s="1109"/>
      <c r="AW123" s="1587"/>
      <c r="AX123" s="1587"/>
      <c r="AY123" s="1587"/>
      <c r="AZ123" s="1587"/>
      <c r="BA123" s="1587"/>
      <c r="BB123" s="1587"/>
      <c r="BC123" s="1587"/>
      <c r="BD123" s="1587"/>
      <c r="BE123" s="1587"/>
      <c r="BF123" s="1587"/>
    </row>
    <row r="124" spans="1:58" s="16" customFormat="1" hidden="1" x14ac:dyDescent="0.25">
      <c r="A124" s="1587"/>
      <c r="B124" s="1587"/>
      <c r="C124" s="1587"/>
      <c r="D124" s="1587"/>
      <c r="E124" s="1602">
        <v>42522</v>
      </c>
      <c r="F124" s="1603" t="s">
        <v>825</v>
      </c>
      <c r="G124" s="1603"/>
      <c r="H124" s="1587"/>
      <c r="I124" s="1587"/>
      <c r="J124" s="1587"/>
      <c r="K124" s="1587"/>
      <c r="L124" s="1587"/>
      <c r="M124" s="1587"/>
      <c r="N124" s="1587"/>
      <c r="O124" s="1587"/>
      <c r="P124" s="1587"/>
      <c r="Q124" s="1587"/>
      <c r="R124" s="1587"/>
      <c r="S124" s="1587"/>
      <c r="T124" s="1587"/>
      <c r="U124" s="1587"/>
      <c r="V124" s="1587"/>
      <c r="W124" s="1587"/>
      <c r="X124" s="1587"/>
      <c r="Y124" s="1587"/>
      <c r="Z124" s="1587"/>
      <c r="AA124" s="1587"/>
      <c r="AB124" s="1587"/>
      <c r="AC124" s="1587"/>
      <c r="AD124" s="1587"/>
      <c r="AE124" s="1587"/>
      <c r="AF124" s="1587"/>
      <c r="AG124" s="1587"/>
      <c r="AH124" s="1587"/>
      <c r="AI124" s="1587"/>
      <c r="AJ124" s="1587"/>
      <c r="AK124" s="1587"/>
      <c r="AL124" s="1587"/>
      <c r="AM124" s="1587"/>
      <c r="AN124" s="1587"/>
      <c r="AO124" s="1587"/>
      <c r="AP124" s="1587"/>
      <c r="AQ124" s="1587"/>
      <c r="AR124" s="1587"/>
      <c r="AS124" s="1587"/>
      <c r="AT124" s="1587"/>
      <c r="AU124" s="1587"/>
      <c r="AV124" s="1109"/>
      <c r="AW124" s="1587"/>
      <c r="AX124" s="1587"/>
      <c r="AY124" s="1587"/>
      <c r="AZ124" s="1587"/>
      <c r="BA124" s="1587"/>
      <c r="BB124" s="1587"/>
      <c r="BC124" s="1587"/>
      <c r="BD124" s="1587"/>
      <c r="BE124" s="1587"/>
      <c r="BF124" s="1587"/>
    </row>
    <row r="125" spans="1:58" s="16" customFormat="1" hidden="1" x14ac:dyDescent="0.25">
      <c r="A125" s="1587"/>
      <c r="B125" s="1587"/>
      <c r="C125" s="1587"/>
      <c r="D125" s="1587"/>
      <c r="E125" s="1602"/>
      <c r="F125" s="1603"/>
      <c r="G125" s="1603"/>
      <c r="H125" s="1587"/>
      <c r="I125" s="1587"/>
      <c r="J125" s="1587"/>
      <c r="K125" s="1587"/>
      <c r="L125" s="1587"/>
      <c r="M125" s="1587"/>
      <c r="N125" s="1587"/>
      <c r="O125" s="1587"/>
      <c r="P125" s="1587"/>
      <c r="Q125" s="1587"/>
      <c r="R125" s="1587"/>
      <c r="S125" s="1587"/>
      <c r="T125" s="1587"/>
      <c r="U125" s="1587"/>
      <c r="V125" s="1587"/>
      <c r="W125" s="1587"/>
      <c r="X125" s="1587"/>
      <c r="Y125" s="1587"/>
      <c r="Z125" s="1587"/>
      <c r="AA125" s="1587"/>
      <c r="AB125" s="1587"/>
      <c r="AC125" s="1587"/>
      <c r="AD125" s="1587"/>
      <c r="AE125" s="1587"/>
      <c r="AF125" s="1587"/>
      <c r="AG125" s="1587"/>
      <c r="AH125" s="1587"/>
      <c r="AI125" s="1587"/>
      <c r="AJ125" s="1587"/>
      <c r="AK125" s="1587"/>
      <c r="AL125" s="1587"/>
      <c r="AM125" s="1587"/>
      <c r="AN125" s="1587"/>
      <c r="AO125" s="1587"/>
      <c r="AP125" s="1587"/>
      <c r="AQ125" s="1587"/>
      <c r="AR125" s="1587"/>
      <c r="AS125" s="1587"/>
      <c r="AT125" s="1587"/>
      <c r="AU125" s="1587"/>
      <c r="AV125" s="1109"/>
      <c r="AW125" s="1587"/>
      <c r="AX125" s="1587"/>
      <c r="AY125" s="1587"/>
      <c r="AZ125" s="1587"/>
      <c r="BA125" s="1587"/>
      <c r="BB125" s="1587"/>
      <c r="BC125" s="1587"/>
      <c r="BD125" s="1587"/>
      <c r="BE125" s="1587"/>
      <c r="BF125" s="1587"/>
    </row>
    <row r="126" spans="1:58" s="16" customFormat="1" hidden="1" x14ac:dyDescent="0.25">
      <c r="A126" s="1587"/>
      <c r="B126" s="1587"/>
      <c r="C126" s="1587"/>
      <c r="D126" s="1587"/>
      <c r="E126" s="1602">
        <v>42582</v>
      </c>
      <c r="F126" s="1603" t="s">
        <v>833</v>
      </c>
      <c r="G126" s="1604"/>
      <c r="H126" s="1587"/>
      <c r="I126" s="1587"/>
      <c r="J126" s="1587"/>
      <c r="K126" s="1587"/>
      <c r="L126" s="1587"/>
      <c r="M126" s="1587"/>
      <c r="N126" s="1587"/>
      <c r="O126" s="1587"/>
      <c r="P126" s="1587"/>
      <c r="Q126" s="1587"/>
      <c r="R126" s="1587"/>
      <c r="S126" s="1587"/>
      <c r="T126" s="1587"/>
      <c r="U126" s="1587"/>
      <c r="V126" s="1587"/>
      <c r="W126" s="1587"/>
      <c r="X126" s="1587"/>
      <c r="Y126" s="1587"/>
      <c r="Z126" s="1587"/>
      <c r="AA126" s="1587"/>
      <c r="AB126" s="1587"/>
      <c r="AC126" s="1587"/>
      <c r="AD126" s="1587"/>
      <c r="AE126" s="1587"/>
      <c r="AF126" s="1587"/>
      <c r="AG126" s="1587"/>
      <c r="AH126" s="1587"/>
      <c r="AI126" s="1587"/>
      <c r="AJ126" s="1587"/>
      <c r="AK126" s="1587"/>
      <c r="AL126" s="1587"/>
      <c r="AM126" s="1587"/>
      <c r="AN126" s="1587"/>
      <c r="AO126" s="1587"/>
      <c r="AP126" s="1587"/>
      <c r="AQ126" s="1587"/>
      <c r="AR126" s="1587"/>
      <c r="AS126" s="1587"/>
      <c r="AT126" s="1587"/>
      <c r="AU126" s="1587"/>
      <c r="AV126" s="1109"/>
      <c r="AW126" s="1587"/>
      <c r="AX126" s="1587"/>
      <c r="AY126" s="1587"/>
      <c r="AZ126" s="1587"/>
      <c r="BA126" s="1587"/>
      <c r="BB126" s="1587"/>
      <c r="BC126" s="1587"/>
      <c r="BD126" s="1587"/>
      <c r="BE126" s="1587"/>
      <c r="BF126" s="1587"/>
    </row>
    <row r="127" spans="1:58" s="16" customFormat="1" hidden="1" x14ac:dyDescent="0.25">
      <c r="A127" s="1587"/>
      <c r="B127" s="1587"/>
      <c r="C127" s="1587"/>
      <c r="D127" s="1587"/>
      <c r="E127" s="1602"/>
      <c r="F127" s="1603" t="s">
        <v>834</v>
      </c>
      <c r="G127" s="1603"/>
      <c r="H127" s="1587"/>
      <c r="I127" s="1587"/>
      <c r="J127" s="1587"/>
      <c r="K127" s="1587"/>
      <c r="L127" s="1587"/>
      <c r="M127" s="1587"/>
      <c r="N127" s="1587"/>
      <c r="O127" s="1587"/>
      <c r="P127" s="1587"/>
      <c r="Q127" s="1587"/>
      <c r="R127" s="1587"/>
      <c r="S127" s="1587"/>
      <c r="T127" s="1587"/>
      <c r="U127" s="1587"/>
      <c r="V127" s="1587"/>
      <c r="W127" s="1587"/>
      <c r="X127" s="1587"/>
      <c r="Y127" s="1587"/>
      <c r="Z127" s="1587"/>
      <c r="AA127" s="1587"/>
      <c r="AB127" s="1587"/>
      <c r="AC127" s="1587"/>
      <c r="AD127" s="1587"/>
      <c r="AE127" s="1587"/>
      <c r="AF127" s="1587"/>
      <c r="AG127" s="1587"/>
      <c r="AH127" s="1587"/>
      <c r="AI127" s="1587"/>
      <c r="AJ127" s="1587"/>
      <c r="AK127" s="1587"/>
      <c r="AL127" s="1587"/>
      <c r="AM127" s="1587"/>
      <c r="AN127" s="1587"/>
      <c r="AO127" s="1587"/>
      <c r="AP127" s="1587"/>
      <c r="AQ127" s="1587"/>
      <c r="AR127" s="1587"/>
      <c r="AS127" s="1587"/>
      <c r="AT127" s="1587"/>
      <c r="AU127" s="1587"/>
      <c r="AV127" s="1109"/>
      <c r="AW127" s="1587"/>
      <c r="AX127" s="1587"/>
      <c r="AY127" s="1587"/>
      <c r="AZ127" s="1587"/>
      <c r="BA127" s="1587"/>
      <c r="BB127" s="1587"/>
      <c r="BC127" s="1587"/>
      <c r="BD127" s="1587"/>
      <c r="BE127" s="1587"/>
      <c r="BF127" s="1587"/>
    </row>
    <row r="128" spans="1:58" s="16" customFormat="1" hidden="1" x14ac:dyDescent="0.25">
      <c r="A128" s="1587"/>
      <c r="B128" s="1587"/>
      <c r="C128" s="1587"/>
      <c r="D128" s="1587"/>
      <c r="E128" s="1602"/>
      <c r="F128" s="1603"/>
      <c r="G128" s="1603"/>
      <c r="H128" s="1587"/>
      <c r="I128" s="1587"/>
      <c r="J128" s="1587"/>
      <c r="K128" s="1587"/>
      <c r="L128" s="1587"/>
      <c r="M128" s="1587"/>
      <c r="N128" s="1587"/>
      <c r="O128" s="1587"/>
      <c r="P128" s="1587"/>
      <c r="Q128" s="1587"/>
      <c r="R128" s="1587"/>
      <c r="S128" s="1587"/>
      <c r="T128" s="1587"/>
      <c r="U128" s="1587"/>
      <c r="V128" s="1587"/>
      <c r="W128" s="1587"/>
      <c r="X128" s="1587"/>
      <c r="Y128" s="1587"/>
      <c r="Z128" s="1587"/>
      <c r="AA128" s="1587"/>
      <c r="AB128" s="1587"/>
      <c r="AC128" s="1587"/>
      <c r="AD128" s="1587"/>
      <c r="AE128" s="1587"/>
      <c r="AF128" s="1587"/>
      <c r="AG128" s="1587"/>
      <c r="AH128" s="1587"/>
      <c r="AI128" s="1587"/>
      <c r="AJ128" s="1587"/>
      <c r="AK128" s="1587"/>
      <c r="AL128" s="1587"/>
      <c r="AM128" s="1587"/>
      <c r="AN128" s="1587"/>
      <c r="AO128" s="1587"/>
      <c r="AP128" s="1587"/>
      <c r="AQ128" s="1587"/>
      <c r="AR128" s="1587"/>
      <c r="AS128" s="1587"/>
      <c r="AT128" s="1587"/>
      <c r="AU128" s="1587"/>
      <c r="AV128" s="1109"/>
      <c r="AW128" s="1587"/>
      <c r="AX128" s="1587"/>
      <c r="AY128" s="1587"/>
      <c r="AZ128" s="1587"/>
      <c r="BA128" s="1587"/>
      <c r="BB128" s="1587"/>
      <c r="BC128" s="1587"/>
      <c r="BD128" s="1587"/>
      <c r="BE128" s="1587"/>
      <c r="BF128" s="1587"/>
    </row>
    <row r="129" spans="1:58" s="16" customFormat="1" hidden="1" x14ac:dyDescent="0.25">
      <c r="A129" s="1587"/>
      <c r="B129" s="1587"/>
      <c r="C129" s="1587"/>
      <c r="D129" s="1587"/>
      <c r="E129" s="1837">
        <v>42653</v>
      </c>
      <c r="F129" s="1605" t="s">
        <v>844</v>
      </c>
      <c r="G129" s="1587"/>
      <c r="H129" s="1587"/>
      <c r="I129" s="1587"/>
      <c r="J129" s="1587"/>
      <c r="K129" s="1587"/>
      <c r="L129" s="1587"/>
      <c r="M129" s="1587"/>
      <c r="N129" s="1587"/>
      <c r="O129" s="1587"/>
      <c r="P129" s="1587"/>
      <c r="Q129" s="1587"/>
      <c r="R129" s="1587"/>
      <c r="S129" s="1587"/>
      <c r="T129" s="1587"/>
      <c r="U129" s="1587"/>
      <c r="V129" s="1587"/>
      <c r="W129" s="1587"/>
      <c r="X129" s="1587"/>
      <c r="Y129" s="1587"/>
      <c r="Z129" s="1587"/>
      <c r="AA129" s="1587"/>
      <c r="AB129" s="1587"/>
      <c r="AC129" s="1587"/>
      <c r="AD129" s="1587"/>
      <c r="AE129" s="1587"/>
      <c r="AF129" s="1587"/>
      <c r="AG129" s="1587"/>
      <c r="AH129" s="1587"/>
      <c r="AI129" s="1587"/>
      <c r="AJ129" s="1587"/>
      <c r="AK129" s="1587"/>
      <c r="AL129" s="1587"/>
      <c r="AM129" s="1587"/>
      <c r="AN129" s="1587"/>
      <c r="AO129" s="1587"/>
      <c r="AP129" s="1587"/>
      <c r="AQ129" s="1587"/>
      <c r="AR129" s="1587"/>
      <c r="AS129" s="1587"/>
      <c r="AT129" s="1587"/>
      <c r="AU129" s="1587"/>
      <c r="AV129" s="1109"/>
      <c r="AW129" s="1587"/>
      <c r="AX129" s="1587"/>
      <c r="AY129" s="1587"/>
      <c r="AZ129" s="1587"/>
      <c r="BA129" s="1587"/>
      <c r="BB129" s="1587"/>
      <c r="BC129" s="1587"/>
      <c r="BD129" s="1587"/>
      <c r="BE129" s="1587"/>
      <c r="BF129" s="1587"/>
    </row>
    <row r="130" spans="1:58" s="16" customFormat="1" hidden="1" x14ac:dyDescent="0.25">
      <c r="A130" s="1587"/>
      <c r="B130" s="1587"/>
      <c r="C130" s="1587"/>
      <c r="D130" s="1587"/>
      <c r="E130" s="1837"/>
      <c r="F130" s="1605"/>
      <c r="G130" s="1603"/>
      <c r="H130" s="1587"/>
      <c r="I130" s="1587"/>
      <c r="J130" s="1587"/>
      <c r="K130" s="1587"/>
      <c r="L130" s="1587"/>
      <c r="M130" s="1587"/>
      <c r="N130" s="1587"/>
      <c r="O130" s="1587"/>
      <c r="P130" s="1587"/>
      <c r="Q130" s="1587"/>
      <c r="R130" s="1587"/>
      <c r="S130" s="1587"/>
      <c r="T130" s="1587"/>
      <c r="U130" s="1587"/>
      <c r="V130" s="1587"/>
      <c r="W130" s="1587"/>
      <c r="X130" s="1587"/>
      <c r="Y130" s="1587"/>
      <c r="Z130" s="1587"/>
      <c r="AA130" s="1587"/>
      <c r="AB130" s="1587"/>
      <c r="AC130" s="1587"/>
      <c r="AD130" s="1587"/>
      <c r="AE130" s="1587"/>
      <c r="AF130" s="1587"/>
      <c r="AG130" s="1587"/>
      <c r="AH130" s="1587"/>
      <c r="AI130" s="1587"/>
      <c r="AJ130" s="1587"/>
      <c r="AK130" s="1587"/>
      <c r="AL130" s="1587"/>
      <c r="AM130" s="1587"/>
      <c r="AN130" s="1587"/>
      <c r="AO130" s="1587"/>
      <c r="AP130" s="1587"/>
      <c r="AQ130" s="1587"/>
      <c r="AR130" s="1587"/>
      <c r="AS130" s="1587"/>
      <c r="AT130" s="1587"/>
      <c r="AU130" s="1587"/>
      <c r="AV130" s="1109"/>
      <c r="AW130" s="1587"/>
      <c r="AX130" s="1587"/>
      <c r="AY130" s="1587"/>
      <c r="AZ130" s="1587"/>
      <c r="BA130" s="1587"/>
      <c r="BB130" s="1587"/>
      <c r="BC130" s="1587"/>
      <c r="BD130" s="1587"/>
      <c r="BE130" s="1587"/>
      <c r="BF130" s="1587"/>
    </row>
    <row r="131" spans="1:58" s="16" customFormat="1" hidden="1" x14ac:dyDescent="0.25">
      <c r="A131" s="1587"/>
      <c r="B131" s="1587"/>
      <c r="C131" s="1587"/>
      <c r="D131" s="1587"/>
      <c r="E131" s="1837">
        <v>42655</v>
      </c>
      <c r="F131" s="1605" t="s">
        <v>868</v>
      </c>
      <c r="G131" s="1603"/>
      <c r="H131" s="1587"/>
      <c r="I131" s="1587"/>
      <c r="J131" s="1587"/>
      <c r="K131" s="1587"/>
      <c r="L131" s="1587"/>
      <c r="M131" s="1587"/>
      <c r="N131" s="1587"/>
      <c r="O131" s="1587"/>
      <c r="P131" s="1587"/>
      <c r="Q131" s="1587"/>
      <c r="R131" s="1587"/>
      <c r="S131" s="1587"/>
      <c r="T131" s="1587"/>
      <c r="U131" s="1587"/>
      <c r="V131" s="1587"/>
      <c r="W131" s="1587"/>
      <c r="X131" s="1587"/>
      <c r="Y131" s="1587"/>
      <c r="Z131" s="1587"/>
      <c r="AA131" s="1587"/>
      <c r="AB131" s="1587"/>
      <c r="AC131" s="1587"/>
      <c r="AD131" s="1587"/>
      <c r="AE131" s="1587"/>
      <c r="AF131" s="1587"/>
      <c r="AG131" s="1587"/>
      <c r="AH131" s="1587"/>
      <c r="AI131" s="1587"/>
      <c r="AJ131" s="1587"/>
      <c r="AK131" s="1587"/>
      <c r="AL131" s="1587"/>
      <c r="AM131" s="1587"/>
      <c r="AN131" s="1587"/>
      <c r="AO131" s="1587"/>
      <c r="AP131" s="1587"/>
      <c r="AQ131" s="1587"/>
      <c r="AR131" s="1587"/>
      <c r="AS131" s="1587"/>
      <c r="AT131" s="1587"/>
      <c r="AU131" s="1587"/>
      <c r="AV131" s="1109"/>
      <c r="AW131" s="1587"/>
      <c r="AX131" s="1587"/>
      <c r="AY131" s="1587"/>
      <c r="AZ131" s="1587"/>
      <c r="BA131" s="1587"/>
      <c r="BB131" s="1587"/>
      <c r="BC131" s="1587"/>
      <c r="BD131" s="1587"/>
      <c r="BE131" s="1587"/>
      <c r="BF131" s="1587"/>
    </row>
    <row r="132" spans="1:58" s="16" customFormat="1" hidden="1" x14ac:dyDescent="0.25">
      <c r="A132" s="1587"/>
      <c r="B132" s="1587"/>
      <c r="C132" s="1587"/>
      <c r="D132" s="1587"/>
      <c r="E132" s="1837"/>
      <c r="F132" s="1605" t="s">
        <v>883</v>
      </c>
      <c r="G132" s="1603"/>
      <c r="H132" s="1587"/>
      <c r="I132" s="1587"/>
      <c r="J132" s="1587"/>
      <c r="K132" s="1587"/>
      <c r="L132" s="1587"/>
      <c r="M132" s="1587"/>
      <c r="N132" s="1587"/>
      <c r="O132" s="1587"/>
      <c r="P132" s="1587"/>
      <c r="Q132" s="1587"/>
      <c r="R132" s="1587"/>
      <c r="S132" s="1587"/>
      <c r="T132" s="1587"/>
      <c r="U132" s="1587"/>
      <c r="V132" s="1587"/>
      <c r="W132" s="1587"/>
      <c r="X132" s="1587"/>
      <c r="Y132" s="1587"/>
      <c r="Z132" s="1587"/>
      <c r="AA132" s="1587"/>
      <c r="AB132" s="1587"/>
      <c r="AC132" s="1587"/>
      <c r="AD132" s="1587"/>
      <c r="AE132" s="1587"/>
      <c r="AF132" s="1587"/>
      <c r="AG132" s="1587"/>
      <c r="AH132" s="1587"/>
      <c r="AI132" s="1587"/>
      <c r="AJ132" s="1587"/>
      <c r="AK132" s="1587"/>
      <c r="AL132" s="1587"/>
      <c r="AM132" s="1587"/>
      <c r="AN132" s="1587"/>
      <c r="AO132" s="1587"/>
      <c r="AP132" s="1587"/>
      <c r="AQ132" s="1587"/>
      <c r="AR132" s="1587"/>
      <c r="AS132" s="1587"/>
      <c r="AT132" s="1587"/>
      <c r="AU132" s="1587"/>
      <c r="AV132" s="1109"/>
      <c r="AW132" s="1587"/>
      <c r="AX132" s="1587"/>
      <c r="AY132" s="1587"/>
      <c r="AZ132" s="1587"/>
      <c r="BA132" s="1587"/>
      <c r="BB132" s="1587"/>
      <c r="BC132" s="1587"/>
      <c r="BD132" s="1587"/>
      <c r="BE132" s="1587"/>
      <c r="BF132" s="1587"/>
    </row>
    <row r="133" spans="1:58" s="16" customFormat="1" hidden="1" x14ac:dyDescent="0.25">
      <c r="A133" s="1587"/>
      <c r="B133" s="1587"/>
      <c r="C133" s="1587"/>
      <c r="D133" s="1587"/>
      <c r="E133" s="1837"/>
      <c r="F133" s="1605"/>
      <c r="G133" s="1603"/>
      <c r="H133" s="1587"/>
      <c r="I133" s="1587"/>
      <c r="J133" s="1587"/>
      <c r="K133" s="1587"/>
      <c r="L133" s="1587"/>
      <c r="M133" s="1587"/>
      <c r="N133" s="1587"/>
      <c r="O133" s="1587"/>
      <c r="P133" s="1587"/>
      <c r="Q133" s="1587"/>
      <c r="R133" s="1587"/>
      <c r="S133" s="1587"/>
      <c r="T133" s="1587"/>
      <c r="U133" s="1587"/>
      <c r="V133" s="1587"/>
      <c r="W133" s="1587"/>
      <c r="X133" s="1587"/>
      <c r="Y133" s="1587"/>
      <c r="Z133" s="1587"/>
      <c r="AA133" s="1587"/>
      <c r="AB133" s="1587"/>
      <c r="AC133" s="1587"/>
      <c r="AD133" s="1587"/>
      <c r="AE133" s="1587"/>
      <c r="AF133" s="1587"/>
      <c r="AG133" s="1587"/>
      <c r="AH133" s="1587"/>
      <c r="AI133" s="1587"/>
      <c r="AJ133" s="1587"/>
      <c r="AK133" s="1587"/>
      <c r="AL133" s="1587"/>
      <c r="AM133" s="1587"/>
      <c r="AN133" s="1587"/>
      <c r="AO133" s="1587"/>
      <c r="AP133" s="1587"/>
      <c r="AQ133" s="1587"/>
      <c r="AR133" s="1587"/>
      <c r="AS133" s="1587"/>
      <c r="AT133" s="1587"/>
      <c r="AU133" s="1587"/>
      <c r="AV133" s="1109"/>
      <c r="AW133" s="1587"/>
      <c r="AX133" s="1587"/>
      <c r="AY133" s="1587"/>
      <c r="AZ133" s="1587"/>
      <c r="BA133" s="1587"/>
      <c r="BB133" s="1587"/>
      <c r="BC133" s="1587"/>
      <c r="BD133" s="1587"/>
      <c r="BE133" s="1587"/>
      <c r="BF133" s="1587"/>
    </row>
    <row r="134" spans="1:58" s="16" customFormat="1" hidden="1" x14ac:dyDescent="0.25">
      <c r="A134" s="1587"/>
      <c r="B134" s="1587"/>
      <c r="C134" s="1587"/>
      <c r="D134" s="1587"/>
      <c r="E134" s="1837">
        <v>42705</v>
      </c>
      <c r="F134" s="1605" t="s">
        <v>906</v>
      </c>
      <c r="G134" s="1603"/>
      <c r="H134" s="1587"/>
      <c r="I134" s="1587"/>
      <c r="J134" s="1587"/>
      <c r="K134" s="1587"/>
      <c r="L134" s="1587"/>
      <c r="M134" s="1587"/>
      <c r="N134" s="1587"/>
      <c r="O134" s="1587"/>
      <c r="P134" s="1587"/>
      <c r="Q134" s="1587"/>
      <c r="R134" s="1587"/>
      <c r="S134" s="1587"/>
      <c r="T134" s="1587"/>
      <c r="U134" s="1587"/>
      <c r="V134" s="1587"/>
      <c r="W134" s="1587"/>
      <c r="X134" s="1587"/>
      <c r="Y134" s="1587"/>
      <c r="Z134" s="1587"/>
      <c r="AA134" s="1587"/>
      <c r="AB134" s="1587"/>
      <c r="AC134" s="1587"/>
      <c r="AD134" s="1587"/>
      <c r="AE134" s="1587"/>
      <c r="AF134" s="1587"/>
      <c r="AG134" s="1587"/>
      <c r="AH134" s="1587"/>
      <c r="AI134" s="1587"/>
      <c r="AJ134" s="1587"/>
      <c r="AK134" s="1587"/>
      <c r="AL134" s="1587"/>
      <c r="AM134" s="1587"/>
      <c r="AN134" s="1587"/>
      <c r="AO134" s="1587"/>
      <c r="AP134" s="1587"/>
      <c r="AQ134" s="1587"/>
      <c r="AR134" s="1587"/>
      <c r="AS134" s="1587"/>
      <c r="AT134" s="1587"/>
      <c r="AU134" s="1587"/>
      <c r="AV134" s="1109"/>
      <c r="AW134" s="1587"/>
      <c r="AX134" s="1587"/>
      <c r="AY134" s="1587"/>
      <c r="AZ134" s="1587"/>
      <c r="BA134" s="1587"/>
      <c r="BB134" s="1587"/>
      <c r="BC134" s="1587"/>
      <c r="BD134" s="1587"/>
      <c r="BE134" s="1587"/>
      <c r="BF134" s="1587"/>
    </row>
    <row r="135" spans="1:58" s="16" customFormat="1" hidden="1" x14ac:dyDescent="0.25">
      <c r="A135" s="1587"/>
      <c r="B135" s="1587"/>
      <c r="C135" s="1587"/>
      <c r="D135" s="1587"/>
      <c r="E135" s="1837"/>
      <c r="F135" s="1605"/>
      <c r="G135" s="1603"/>
      <c r="H135" s="1587"/>
      <c r="I135" s="1587"/>
      <c r="J135" s="1587"/>
      <c r="K135" s="1587"/>
      <c r="L135" s="1587"/>
      <c r="M135" s="1587"/>
      <c r="N135" s="1587"/>
      <c r="O135" s="1587"/>
      <c r="P135" s="1587"/>
      <c r="Q135" s="1587"/>
      <c r="R135" s="1587"/>
      <c r="S135" s="1587"/>
      <c r="T135" s="1587"/>
      <c r="U135" s="1587"/>
      <c r="V135" s="1587"/>
      <c r="W135" s="1587"/>
      <c r="X135" s="1587"/>
      <c r="Y135" s="1587"/>
      <c r="Z135" s="1587"/>
      <c r="AA135" s="1587"/>
      <c r="AB135" s="1587"/>
      <c r="AC135" s="1587"/>
      <c r="AD135" s="1587"/>
      <c r="AE135" s="1587"/>
      <c r="AF135" s="1587"/>
      <c r="AG135" s="1587"/>
      <c r="AH135" s="1587"/>
      <c r="AI135" s="1587"/>
      <c r="AJ135" s="1587"/>
      <c r="AK135" s="1587"/>
      <c r="AL135" s="1587"/>
      <c r="AM135" s="1587"/>
      <c r="AN135" s="1587"/>
      <c r="AO135" s="1587"/>
      <c r="AP135" s="1587"/>
      <c r="AQ135" s="1587"/>
      <c r="AR135" s="1587"/>
      <c r="AS135" s="1587"/>
      <c r="AT135" s="1587"/>
      <c r="AU135" s="1587"/>
      <c r="AV135" s="1109"/>
      <c r="AW135" s="1587"/>
      <c r="AX135" s="1587"/>
      <c r="AY135" s="1587"/>
      <c r="AZ135" s="1587"/>
      <c r="BA135" s="1587"/>
      <c r="BB135" s="1587"/>
      <c r="BC135" s="1587"/>
      <c r="BD135" s="1587"/>
      <c r="BE135" s="1587"/>
      <c r="BF135" s="1587"/>
    </row>
    <row r="136" spans="1:58" s="16" customFormat="1" hidden="1" x14ac:dyDescent="0.25">
      <c r="A136" s="1587"/>
      <c r="B136" s="1587"/>
      <c r="C136" s="1587"/>
      <c r="D136" s="1587"/>
      <c r="E136" s="1837">
        <v>42746</v>
      </c>
      <c r="F136" s="1605" t="s">
        <v>920</v>
      </c>
      <c r="G136" s="1603"/>
      <c r="H136" s="1587"/>
      <c r="I136" s="1587"/>
      <c r="J136" s="1587"/>
      <c r="K136" s="1587"/>
      <c r="L136" s="1587"/>
      <c r="M136" s="1587"/>
      <c r="N136" s="1587"/>
      <c r="O136" s="1587"/>
      <c r="P136" s="1587"/>
      <c r="Q136" s="1587"/>
      <c r="R136" s="1587"/>
      <c r="S136" s="1587"/>
      <c r="T136" s="1587"/>
      <c r="U136" s="1587"/>
      <c r="V136" s="1587"/>
      <c r="W136" s="1587"/>
      <c r="X136" s="1587"/>
      <c r="Y136" s="1587"/>
      <c r="Z136" s="1587"/>
      <c r="AA136" s="1587"/>
      <c r="AB136" s="1587"/>
      <c r="AC136" s="1587"/>
      <c r="AD136" s="1587"/>
      <c r="AE136" s="1587"/>
      <c r="AF136" s="1587"/>
      <c r="AG136" s="1587"/>
      <c r="AH136" s="1587"/>
      <c r="AI136" s="1587"/>
      <c r="AJ136" s="1587"/>
      <c r="AK136" s="1587"/>
      <c r="AL136" s="1587"/>
      <c r="AM136" s="1587"/>
      <c r="AN136" s="1587"/>
      <c r="AO136" s="1587"/>
      <c r="AP136" s="1587"/>
      <c r="AQ136" s="1587"/>
      <c r="AR136" s="1587"/>
      <c r="AS136" s="1587"/>
      <c r="AT136" s="1587"/>
      <c r="AU136" s="1587"/>
      <c r="AV136" s="1109"/>
      <c r="AW136" s="1587"/>
      <c r="AX136" s="1587"/>
      <c r="AY136" s="1587"/>
      <c r="AZ136" s="1587"/>
      <c r="BA136" s="1587"/>
      <c r="BB136" s="1587"/>
      <c r="BC136" s="1587"/>
      <c r="BD136" s="1587"/>
      <c r="BE136" s="1587"/>
      <c r="BF136" s="1587"/>
    </row>
    <row r="137" spans="1:58" s="16" customFormat="1" hidden="1" x14ac:dyDescent="0.25">
      <c r="A137" s="1587"/>
      <c r="B137" s="1587"/>
      <c r="C137" s="1587"/>
      <c r="D137" s="1587"/>
      <c r="E137" s="1837"/>
      <c r="F137" s="1605" t="s">
        <v>928</v>
      </c>
      <c r="G137" s="1603"/>
      <c r="H137" s="1587"/>
      <c r="I137" s="1587"/>
      <c r="J137" s="1587"/>
      <c r="K137" s="1587"/>
      <c r="L137" s="1587"/>
      <c r="M137" s="1587"/>
      <c r="N137" s="1587"/>
      <c r="O137" s="1587"/>
      <c r="P137" s="1587"/>
      <c r="Q137" s="1587"/>
      <c r="R137" s="1587"/>
      <c r="S137" s="1587"/>
      <c r="T137" s="1587"/>
      <c r="U137" s="1587"/>
      <c r="V137" s="1587"/>
      <c r="W137" s="1587"/>
      <c r="X137" s="1587"/>
      <c r="Y137" s="1587"/>
      <c r="Z137" s="1587"/>
      <c r="AA137" s="1587"/>
      <c r="AB137" s="1587"/>
      <c r="AC137" s="1587"/>
      <c r="AD137" s="1587"/>
      <c r="AE137" s="1587"/>
      <c r="AF137" s="1587"/>
      <c r="AG137" s="1587"/>
      <c r="AH137" s="1587"/>
      <c r="AI137" s="1587"/>
      <c r="AJ137" s="1587"/>
      <c r="AK137" s="1587"/>
      <c r="AL137" s="1587"/>
      <c r="AM137" s="1587"/>
      <c r="AN137" s="1587"/>
      <c r="AO137" s="1587"/>
      <c r="AP137" s="1587"/>
      <c r="AQ137" s="1587"/>
      <c r="AR137" s="1587"/>
      <c r="AS137" s="1587"/>
      <c r="AT137" s="1587"/>
      <c r="AU137" s="1587"/>
      <c r="AV137" s="1109"/>
      <c r="AW137" s="1587"/>
      <c r="AX137" s="1587"/>
      <c r="AY137" s="1587"/>
      <c r="AZ137" s="1587"/>
      <c r="BA137" s="1587"/>
      <c r="BB137" s="1587"/>
      <c r="BC137" s="1587"/>
      <c r="BD137" s="1587"/>
      <c r="BE137" s="1587"/>
      <c r="BF137" s="1587"/>
    </row>
    <row r="138" spans="1:58" s="16" customFormat="1" hidden="1" x14ac:dyDescent="0.25">
      <c r="A138" s="1587"/>
      <c r="B138" s="1587"/>
      <c r="C138" s="1587"/>
      <c r="D138" s="1587"/>
      <c r="E138" s="1837"/>
      <c r="F138" s="1605" t="s">
        <v>929</v>
      </c>
      <c r="G138" s="1603"/>
      <c r="H138" s="1587"/>
      <c r="I138" s="1587"/>
      <c r="J138" s="1587"/>
      <c r="K138" s="1587"/>
      <c r="L138" s="1587"/>
      <c r="M138" s="1587"/>
      <c r="N138" s="1587"/>
      <c r="O138" s="1587"/>
      <c r="P138" s="1587"/>
      <c r="Q138" s="1587"/>
      <c r="R138" s="1587"/>
      <c r="S138" s="1587"/>
      <c r="T138" s="1587"/>
      <c r="U138" s="1587"/>
      <c r="V138" s="1587"/>
      <c r="W138" s="1587"/>
      <c r="X138" s="1587"/>
      <c r="Y138" s="1587"/>
      <c r="Z138" s="1587"/>
      <c r="AA138" s="1587"/>
      <c r="AB138" s="1587"/>
      <c r="AC138" s="1587"/>
      <c r="AD138" s="1587"/>
      <c r="AE138" s="1587"/>
      <c r="AF138" s="1587"/>
      <c r="AG138" s="1587"/>
      <c r="AH138" s="1587"/>
      <c r="AI138" s="1587"/>
      <c r="AJ138" s="1587"/>
      <c r="AK138" s="1587"/>
      <c r="AL138" s="1587"/>
      <c r="AM138" s="1587"/>
      <c r="AN138" s="1587"/>
      <c r="AO138" s="1587"/>
      <c r="AP138" s="1587"/>
      <c r="AQ138" s="1587"/>
      <c r="AR138" s="1587"/>
      <c r="AS138" s="1587"/>
      <c r="AT138" s="1587"/>
      <c r="AU138" s="1587"/>
      <c r="AV138" s="1109"/>
      <c r="AW138" s="1587"/>
      <c r="AX138" s="1587"/>
      <c r="AY138" s="1587"/>
      <c r="AZ138" s="1587"/>
      <c r="BA138" s="1587"/>
      <c r="BB138" s="1587"/>
      <c r="BC138" s="1587"/>
      <c r="BD138" s="1587"/>
      <c r="BE138" s="1587"/>
      <c r="BF138" s="1587"/>
    </row>
    <row r="139" spans="1:58" s="16" customFormat="1" hidden="1" x14ac:dyDescent="0.25">
      <c r="A139" s="1587"/>
      <c r="B139" s="1587"/>
      <c r="C139" s="1587"/>
      <c r="D139" s="1587"/>
      <c r="E139" s="1837"/>
      <c r="F139" s="1605"/>
      <c r="G139" s="1603"/>
      <c r="H139" s="1587"/>
      <c r="I139" s="1587"/>
      <c r="J139" s="1587"/>
      <c r="K139" s="1587"/>
      <c r="L139" s="1587"/>
      <c r="M139" s="1587"/>
      <c r="N139" s="1587"/>
      <c r="O139" s="1587"/>
      <c r="P139" s="1587"/>
      <c r="Q139" s="1587"/>
      <c r="R139" s="1587"/>
      <c r="S139" s="1587"/>
      <c r="T139" s="1587"/>
      <c r="U139" s="1587"/>
      <c r="V139" s="1587"/>
      <c r="W139" s="1587"/>
      <c r="X139" s="1587"/>
      <c r="Y139" s="1587"/>
      <c r="Z139" s="1587"/>
      <c r="AA139" s="1587"/>
      <c r="AB139" s="1587"/>
      <c r="AC139" s="1587"/>
      <c r="AD139" s="1587"/>
      <c r="AE139" s="1587"/>
      <c r="AF139" s="1587"/>
      <c r="AG139" s="1587"/>
      <c r="AH139" s="1587"/>
      <c r="AI139" s="1587"/>
      <c r="AJ139" s="1587"/>
      <c r="AK139" s="1587"/>
      <c r="AL139" s="1587"/>
      <c r="AM139" s="1587"/>
      <c r="AN139" s="1587"/>
      <c r="AO139" s="1587"/>
      <c r="AP139" s="1587"/>
      <c r="AQ139" s="1587"/>
      <c r="AR139" s="1587"/>
      <c r="AS139" s="1587"/>
      <c r="AT139" s="1587"/>
      <c r="AU139" s="1587"/>
      <c r="AV139" s="1109"/>
      <c r="AW139" s="1587"/>
      <c r="AX139" s="1587"/>
      <c r="AY139" s="1587"/>
      <c r="AZ139" s="1587"/>
      <c r="BA139" s="1587"/>
      <c r="BB139" s="1587"/>
      <c r="BC139" s="1587"/>
      <c r="BD139" s="1587"/>
      <c r="BE139" s="1587"/>
      <c r="BF139" s="1587"/>
    </row>
    <row r="140" spans="1:58" s="16" customFormat="1" hidden="1" x14ac:dyDescent="0.25">
      <c r="A140" s="1587"/>
      <c r="B140" s="1587"/>
      <c r="C140" s="1587"/>
      <c r="D140" s="1587"/>
      <c r="E140" s="1837">
        <v>42760</v>
      </c>
      <c r="F140" s="1605" t="s">
        <v>938</v>
      </c>
      <c r="G140" s="1603"/>
      <c r="H140" s="1587"/>
      <c r="I140" s="1587"/>
      <c r="J140" s="1587"/>
      <c r="K140" s="1587"/>
      <c r="L140" s="1587"/>
      <c r="M140" s="1587"/>
      <c r="N140" s="1587"/>
      <c r="O140" s="1587"/>
      <c r="P140" s="1587"/>
      <c r="Q140" s="1587"/>
      <c r="R140" s="1587"/>
      <c r="S140" s="1587"/>
      <c r="T140" s="1587"/>
      <c r="U140" s="1587"/>
      <c r="V140" s="1587"/>
      <c r="W140" s="1587"/>
      <c r="X140" s="1587"/>
      <c r="Y140" s="1587"/>
      <c r="Z140" s="1587"/>
      <c r="AA140" s="1587"/>
      <c r="AB140" s="1587"/>
      <c r="AC140" s="1587"/>
      <c r="AD140" s="1587"/>
      <c r="AE140" s="1587"/>
      <c r="AF140" s="1587"/>
      <c r="AG140" s="1587"/>
      <c r="AH140" s="1587"/>
      <c r="AI140" s="1587"/>
      <c r="AJ140" s="1587"/>
      <c r="AK140" s="1587"/>
      <c r="AL140" s="1587"/>
      <c r="AM140" s="1587"/>
      <c r="AN140" s="1587"/>
      <c r="AO140" s="1587"/>
      <c r="AP140" s="1587"/>
      <c r="AQ140" s="1587"/>
      <c r="AR140" s="1587"/>
      <c r="AS140" s="1587"/>
      <c r="AT140" s="1587"/>
      <c r="AU140" s="1587"/>
      <c r="AV140" s="1109"/>
      <c r="AW140" s="1587"/>
      <c r="AX140" s="1587"/>
      <c r="AY140" s="1587"/>
      <c r="AZ140" s="1587"/>
      <c r="BA140" s="1587"/>
      <c r="BB140" s="1587"/>
      <c r="BC140" s="1587"/>
      <c r="BD140" s="1587"/>
      <c r="BE140" s="1587"/>
      <c r="BF140" s="1587"/>
    </row>
    <row r="141" spans="1:58" s="16" customFormat="1" hidden="1" x14ac:dyDescent="0.25">
      <c r="A141" s="1587"/>
      <c r="B141" s="1587"/>
      <c r="C141" s="1587"/>
      <c r="D141" s="1587"/>
      <c r="E141" s="1837"/>
      <c r="F141" s="1605"/>
      <c r="G141" s="1603"/>
      <c r="H141" s="1587"/>
      <c r="I141" s="1587"/>
      <c r="J141" s="1587"/>
      <c r="K141" s="1587"/>
      <c r="L141" s="1587"/>
      <c r="M141" s="1587"/>
      <c r="N141" s="1587"/>
      <c r="O141" s="1587"/>
      <c r="P141" s="1587"/>
      <c r="Q141" s="1587"/>
      <c r="R141" s="1587"/>
      <c r="S141" s="1587"/>
      <c r="T141" s="1587"/>
      <c r="U141" s="1587"/>
      <c r="V141" s="1587"/>
      <c r="W141" s="1587"/>
      <c r="X141" s="1587"/>
      <c r="Y141" s="1587"/>
      <c r="Z141" s="1587"/>
      <c r="AA141" s="1587"/>
      <c r="AB141" s="1587"/>
      <c r="AC141" s="1587"/>
      <c r="AD141" s="1587"/>
      <c r="AE141" s="1587"/>
      <c r="AF141" s="1587"/>
      <c r="AG141" s="1587"/>
      <c r="AH141" s="1587"/>
      <c r="AI141" s="1587"/>
      <c r="AJ141" s="1587"/>
      <c r="AK141" s="1587"/>
      <c r="AL141" s="1587"/>
      <c r="AM141" s="1587"/>
      <c r="AN141" s="1587"/>
      <c r="AO141" s="1587"/>
      <c r="AP141" s="1587"/>
      <c r="AQ141" s="1587"/>
      <c r="AR141" s="1587"/>
      <c r="AS141" s="1587"/>
      <c r="AT141" s="1587"/>
      <c r="AU141" s="1587"/>
      <c r="AV141" s="1109"/>
      <c r="AW141" s="1587"/>
      <c r="AX141" s="1587"/>
      <c r="AY141" s="1587"/>
      <c r="AZ141" s="1587"/>
      <c r="BA141" s="1587"/>
      <c r="BB141" s="1587"/>
      <c r="BC141" s="1587"/>
      <c r="BD141" s="1587"/>
      <c r="BE141" s="1587"/>
      <c r="BF141" s="1587"/>
    </row>
    <row r="142" spans="1:58" s="16" customFormat="1" hidden="1" x14ac:dyDescent="0.25">
      <c r="A142" s="1587"/>
      <c r="B142" s="1587"/>
      <c r="C142" s="1587"/>
      <c r="D142" s="1587"/>
      <c r="E142" s="1837">
        <v>42825</v>
      </c>
      <c r="F142" s="1605" t="s">
        <v>957</v>
      </c>
      <c r="G142" s="1603"/>
      <c r="H142" s="1587"/>
      <c r="I142" s="1587"/>
      <c r="J142" s="1587"/>
      <c r="K142" s="1587"/>
      <c r="L142" s="1587"/>
      <c r="M142" s="1587"/>
      <c r="N142" s="1587"/>
      <c r="O142" s="1587"/>
      <c r="P142" s="1587"/>
      <c r="Q142" s="1587"/>
      <c r="R142" s="1587"/>
      <c r="S142" s="1587"/>
      <c r="T142" s="1587"/>
      <c r="U142" s="1587"/>
      <c r="V142" s="1587"/>
      <c r="W142" s="1587"/>
      <c r="X142" s="1587"/>
      <c r="Y142" s="1587"/>
      <c r="Z142" s="1587"/>
      <c r="AA142" s="1587"/>
      <c r="AB142" s="1587"/>
      <c r="AC142" s="1587"/>
      <c r="AD142" s="1587"/>
      <c r="AE142" s="1587"/>
      <c r="AF142" s="1587"/>
      <c r="AG142" s="1587"/>
      <c r="AH142" s="1587"/>
      <c r="AI142" s="1587"/>
      <c r="AJ142" s="1587"/>
      <c r="AK142" s="1587"/>
      <c r="AL142" s="1587"/>
      <c r="AM142" s="1587"/>
      <c r="AN142" s="1587"/>
      <c r="AO142" s="1587"/>
      <c r="AP142" s="1587"/>
      <c r="AQ142" s="1587"/>
      <c r="AR142" s="1587"/>
      <c r="AS142" s="1587"/>
      <c r="AT142" s="1587"/>
      <c r="AU142" s="1587"/>
      <c r="AV142" s="1109"/>
      <c r="AW142" s="1587"/>
      <c r="AX142" s="1587"/>
      <c r="AY142" s="1587"/>
      <c r="AZ142" s="1587"/>
      <c r="BA142" s="1587"/>
      <c r="BB142" s="1587"/>
      <c r="BC142" s="1587"/>
      <c r="BD142" s="1587"/>
      <c r="BE142" s="1587"/>
      <c r="BF142" s="1587"/>
    </row>
    <row r="143" spans="1:58" s="16" customFormat="1" hidden="1" x14ac:dyDescent="0.25">
      <c r="A143" s="1587"/>
      <c r="B143" s="1587"/>
      <c r="C143" s="1587"/>
      <c r="D143" s="1587"/>
      <c r="E143" s="1837"/>
      <c r="F143" s="1605"/>
      <c r="G143" s="1603"/>
      <c r="H143" s="1587"/>
      <c r="I143" s="1587"/>
      <c r="J143" s="1587"/>
      <c r="K143" s="1587"/>
      <c r="L143" s="1587"/>
      <c r="M143" s="1587"/>
      <c r="N143" s="1587"/>
      <c r="O143" s="1587"/>
      <c r="P143" s="1587"/>
      <c r="Q143" s="1587"/>
      <c r="R143" s="1587"/>
      <c r="S143" s="1587"/>
      <c r="T143" s="1587"/>
      <c r="U143" s="1587"/>
      <c r="V143" s="1587"/>
      <c r="W143" s="1587"/>
      <c r="X143" s="1587"/>
      <c r="Y143" s="1587"/>
      <c r="Z143" s="1587"/>
      <c r="AA143" s="1587"/>
      <c r="AB143" s="1587"/>
      <c r="AC143" s="1587"/>
      <c r="AD143" s="1587"/>
      <c r="AE143" s="1587"/>
      <c r="AF143" s="1587"/>
      <c r="AG143" s="1587"/>
      <c r="AH143" s="1587"/>
      <c r="AI143" s="1587"/>
      <c r="AJ143" s="1587"/>
      <c r="AK143" s="1587"/>
      <c r="AL143" s="1587"/>
      <c r="AM143" s="1587"/>
      <c r="AN143" s="1587"/>
      <c r="AO143" s="1587"/>
      <c r="AP143" s="1587"/>
      <c r="AQ143" s="1587"/>
      <c r="AR143" s="1587"/>
      <c r="AS143" s="1587"/>
      <c r="AT143" s="1587"/>
      <c r="AU143" s="1587"/>
      <c r="AV143" s="1109"/>
      <c r="AW143" s="1587"/>
      <c r="AX143" s="1587"/>
      <c r="AY143" s="1587"/>
      <c r="AZ143" s="1587"/>
      <c r="BA143" s="1587"/>
      <c r="BB143" s="1587"/>
      <c r="BC143" s="1587"/>
      <c r="BD143" s="1587"/>
      <c r="BE143" s="1587"/>
      <c r="BF143" s="1587"/>
    </row>
    <row r="144" spans="1:58" s="16" customFormat="1" hidden="1" x14ac:dyDescent="0.25">
      <c r="A144" s="1587"/>
      <c r="B144" s="1587"/>
      <c r="C144" s="1587"/>
      <c r="D144" s="1587"/>
      <c r="E144" s="1837">
        <v>42880</v>
      </c>
      <c r="F144" s="1640" t="s">
        <v>958</v>
      </c>
      <c r="G144" s="1603"/>
      <c r="H144" s="1587"/>
      <c r="I144" s="1587"/>
      <c r="J144" s="1587"/>
      <c r="K144" s="1587"/>
      <c r="L144" s="1587"/>
      <c r="M144" s="1587"/>
      <c r="N144" s="1587"/>
      <c r="O144" s="1587"/>
      <c r="P144" s="1587"/>
      <c r="Q144" s="1587"/>
      <c r="R144" s="1587"/>
      <c r="S144" s="1587"/>
      <c r="T144" s="1587"/>
      <c r="U144" s="1587"/>
      <c r="V144" s="1587"/>
      <c r="W144" s="1587"/>
      <c r="X144" s="1587"/>
      <c r="Y144" s="1587"/>
      <c r="Z144" s="1587"/>
      <c r="AA144" s="1587"/>
      <c r="AB144" s="1587"/>
      <c r="AC144" s="1587"/>
      <c r="AD144" s="1587"/>
      <c r="AE144" s="1587"/>
      <c r="AF144" s="1587"/>
      <c r="AG144" s="1587"/>
      <c r="AH144" s="1587"/>
      <c r="AI144" s="1587"/>
      <c r="AJ144" s="1587"/>
      <c r="AK144" s="1587"/>
      <c r="AL144" s="1587"/>
      <c r="AM144" s="1587"/>
      <c r="AN144" s="1587"/>
      <c r="AO144" s="1587"/>
      <c r="AP144" s="1587"/>
      <c r="AQ144" s="1587"/>
      <c r="AR144" s="1587"/>
      <c r="AS144" s="1587"/>
      <c r="AT144" s="1587"/>
      <c r="AU144" s="1587"/>
      <c r="AV144" s="1109"/>
      <c r="AW144" s="1587"/>
      <c r="AX144" s="1587"/>
      <c r="AY144" s="1587"/>
      <c r="AZ144" s="1587"/>
      <c r="BA144" s="1587"/>
      <c r="BB144" s="1587"/>
      <c r="BC144" s="1587"/>
      <c r="BD144" s="1587"/>
      <c r="BE144" s="1587"/>
      <c r="BF144" s="1587"/>
    </row>
    <row r="145" spans="1:58" s="16" customFormat="1" hidden="1" x14ac:dyDescent="0.25">
      <c r="A145" s="1587"/>
      <c r="B145" s="1587"/>
      <c r="C145" s="1587"/>
      <c r="D145" s="1587"/>
      <c r="E145" s="1837"/>
      <c r="F145" s="1605"/>
      <c r="G145" s="1603"/>
      <c r="H145" s="1587"/>
      <c r="I145" s="1587"/>
      <c r="J145" s="1587"/>
      <c r="K145" s="1587"/>
      <c r="L145" s="1587"/>
      <c r="M145" s="1587"/>
      <c r="N145" s="1587"/>
      <c r="O145" s="1587"/>
      <c r="P145" s="1587"/>
      <c r="Q145" s="1587"/>
      <c r="R145" s="1587"/>
      <c r="S145" s="1587"/>
      <c r="T145" s="1587"/>
      <c r="U145" s="1587"/>
      <c r="V145" s="1587"/>
      <c r="W145" s="1587"/>
      <c r="X145" s="1587"/>
      <c r="Y145" s="1587"/>
      <c r="Z145" s="1587"/>
      <c r="AA145" s="1587"/>
      <c r="AB145" s="1587"/>
      <c r="AC145" s="1587"/>
      <c r="AD145" s="1587"/>
      <c r="AE145" s="1587"/>
      <c r="AF145" s="1587"/>
      <c r="AG145" s="1587"/>
      <c r="AH145" s="1587"/>
      <c r="AI145" s="1587"/>
      <c r="AJ145" s="1587"/>
      <c r="AK145" s="1587"/>
      <c r="AL145" s="1587"/>
      <c r="AM145" s="1587"/>
      <c r="AN145" s="1587"/>
      <c r="AO145" s="1587"/>
      <c r="AP145" s="1587"/>
      <c r="AQ145" s="1587"/>
      <c r="AR145" s="1587"/>
      <c r="AS145" s="1587"/>
      <c r="AT145" s="1587"/>
      <c r="AU145" s="1587"/>
      <c r="AV145" s="1109"/>
      <c r="AW145" s="1587"/>
      <c r="AX145" s="1587"/>
      <c r="AY145" s="1587"/>
      <c r="AZ145" s="1587"/>
      <c r="BA145" s="1587"/>
      <c r="BB145" s="1587"/>
      <c r="BC145" s="1587"/>
      <c r="BD145" s="1587"/>
      <c r="BE145" s="1587"/>
      <c r="BF145" s="1587"/>
    </row>
    <row r="146" spans="1:58" s="16" customFormat="1" hidden="1" x14ac:dyDescent="0.25">
      <c r="A146" s="1587"/>
      <c r="B146" s="1587"/>
      <c r="C146" s="1587"/>
      <c r="D146" s="1587"/>
      <c r="E146" s="1837">
        <v>42947</v>
      </c>
      <c r="F146" s="1132" t="s">
        <v>962</v>
      </c>
      <c r="G146" s="1132"/>
      <c r="H146" s="1132"/>
      <c r="I146" s="1132"/>
      <c r="J146" s="1587"/>
      <c r="K146" s="1587"/>
      <c r="L146" s="1587"/>
      <c r="M146" s="1587"/>
      <c r="N146" s="1587"/>
      <c r="O146" s="1587"/>
      <c r="P146" s="1587"/>
      <c r="Q146" s="1587"/>
      <c r="R146" s="1587"/>
      <c r="S146" s="1587"/>
      <c r="T146" s="1587"/>
      <c r="U146" s="1587"/>
      <c r="V146" s="1587"/>
      <c r="W146" s="1587"/>
      <c r="X146" s="1587"/>
      <c r="Y146" s="1587"/>
      <c r="Z146" s="1587"/>
      <c r="AA146" s="1587"/>
      <c r="AB146" s="1587"/>
      <c r="AC146" s="1587"/>
      <c r="AD146" s="1587"/>
      <c r="AE146" s="1587"/>
      <c r="AF146" s="1587"/>
      <c r="AG146" s="1587"/>
      <c r="AH146" s="1587"/>
      <c r="AI146" s="1587"/>
      <c r="AJ146" s="1587"/>
      <c r="AK146" s="1587"/>
      <c r="AL146" s="1587"/>
      <c r="AM146" s="1587"/>
      <c r="AN146" s="1587"/>
      <c r="AO146" s="1587"/>
      <c r="AP146" s="1587"/>
      <c r="AQ146" s="1587"/>
      <c r="AR146" s="1587"/>
      <c r="AS146" s="1587"/>
      <c r="AT146" s="1587"/>
      <c r="AU146" s="1587"/>
      <c r="AV146" s="1109"/>
      <c r="AW146" s="1587"/>
      <c r="AX146" s="1587"/>
      <c r="AY146" s="1587"/>
      <c r="AZ146" s="1587"/>
      <c r="BA146" s="1587"/>
      <c r="BB146" s="1587"/>
      <c r="BC146" s="1587"/>
      <c r="BD146" s="1587"/>
      <c r="BE146" s="1587"/>
      <c r="BF146" s="1587"/>
    </row>
    <row r="147" spans="1:58" s="16" customFormat="1" hidden="1" x14ac:dyDescent="0.25">
      <c r="A147" s="1587"/>
      <c r="B147" s="1587"/>
      <c r="C147" s="1587"/>
      <c r="D147" s="1587"/>
      <c r="E147" s="1837"/>
      <c r="F147" s="1605" t="s">
        <v>1036</v>
      </c>
      <c r="G147" s="1603"/>
      <c r="H147" s="1587"/>
      <c r="I147" s="1587"/>
      <c r="J147" s="1587"/>
      <c r="K147" s="1587"/>
      <c r="L147" s="1587"/>
      <c r="M147" s="1587"/>
      <c r="N147" s="1587"/>
      <c r="O147" s="1587"/>
      <c r="P147" s="1587"/>
      <c r="Q147" s="1587"/>
      <c r="R147" s="1587"/>
      <c r="S147" s="1587"/>
      <c r="T147" s="1587"/>
      <c r="U147" s="1587"/>
      <c r="V147" s="1587"/>
      <c r="W147" s="1587"/>
      <c r="X147" s="1587"/>
      <c r="Y147" s="1587"/>
      <c r="Z147" s="1587"/>
      <c r="AA147" s="1587"/>
      <c r="AB147" s="1587"/>
      <c r="AC147" s="1587"/>
      <c r="AD147" s="1587"/>
      <c r="AE147" s="1587"/>
      <c r="AF147" s="1587"/>
      <c r="AG147" s="1587"/>
      <c r="AH147" s="1587"/>
      <c r="AI147" s="1587"/>
      <c r="AJ147" s="1587"/>
      <c r="AK147" s="1587"/>
      <c r="AL147" s="1587"/>
      <c r="AM147" s="1587"/>
      <c r="AN147" s="1587"/>
      <c r="AO147" s="1587"/>
      <c r="AP147" s="1587"/>
      <c r="AQ147" s="1587"/>
      <c r="AR147" s="1587"/>
      <c r="AS147" s="1587"/>
      <c r="AT147" s="1587"/>
      <c r="AU147" s="1587"/>
      <c r="AV147" s="1109"/>
      <c r="AW147" s="1587"/>
      <c r="AX147" s="1587"/>
      <c r="AY147" s="1587"/>
      <c r="AZ147" s="1587"/>
      <c r="BA147" s="1587"/>
      <c r="BB147" s="1587"/>
      <c r="BC147" s="1587"/>
      <c r="BD147" s="1587"/>
      <c r="BE147" s="1587"/>
      <c r="BF147" s="1587"/>
    </row>
    <row r="148" spans="1:58" s="16" customFormat="1" hidden="1" x14ac:dyDescent="0.25">
      <c r="A148" s="1587"/>
      <c r="B148" s="1587"/>
      <c r="C148" s="1587"/>
      <c r="D148" s="1587"/>
      <c r="E148" s="1837"/>
      <c r="F148" s="1605" t="s">
        <v>1037</v>
      </c>
      <c r="G148" s="1587"/>
      <c r="H148" s="1587"/>
      <c r="I148" s="1587"/>
      <c r="J148" s="1587"/>
      <c r="K148" s="1587"/>
      <c r="L148" s="1587"/>
      <c r="M148" s="1587"/>
      <c r="N148" s="1587"/>
      <c r="O148" s="1587"/>
      <c r="P148" s="1587"/>
      <c r="Q148" s="1587"/>
      <c r="R148" s="1587"/>
      <c r="S148" s="1587"/>
      <c r="T148" s="1587"/>
      <c r="U148" s="1587"/>
      <c r="V148" s="1587"/>
      <c r="W148" s="1587"/>
      <c r="X148" s="1587"/>
      <c r="Y148" s="1587"/>
      <c r="Z148" s="1587"/>
      <c r="AA148" s="1587"/>
      <c r="AB148" s="1587"/>
      <c r="AC148" s="1587"/>
      <c r="AD148" s="1587"/>
      <c r="AE148" s="1587"/>
      <c r="AF148" s="1587"/>
      <c r="AG148" s="1587"/>
      <c r="AH148" s="1587"/>
      <c r="AI148" s="1587"/>
      <c r="AJ148" s="1587"/>
      <c r="AK148" s="1587"/>
      <c r="AL148" s="1587"/>
      <c r="AM148" s="1587"/>
      <c r="AN148" s="1587"/>
      <c r="AO148" s="1587"/>
      <c r="AP148" s="1587"/>
      <c r="AQ148" s="1587"/>
      <c r="AR148" s="1587"/>
      <c r="AS148" s="1587"/>
      <c r="AT148" s="1587"/>
      <c r="AU148" s="1587"/>
      <c r="AV148" s="1109"/>
      <c r="AW148" s="1587"/>
      <c r="AX148" s="1587"/>
      <c r="AY148" s="1587"/>
      <c r="AZ148" s="1587"/>
      <c r="BA148" s="1587"/>
      <c r="BB148" s="1587"/>
      <c r="BC148" s="1587"/>
      <c r="BD148" s="1587"/>
      <c r="BE148" s="1587"/>
      <c r="BF148" s="1587"/>
    </row>
    <row r="149" spans="1:58" s="16" customFormat="1" hidden="1" x14ac:dyDescent="0.25">
      <c r="A149" s="1587"/>
      <c r="B149" s="1587"/>
      <c r="C149" s="1587"/>
      <c r="D149" s="1587"/>
      <c r="E149" s="1837"/>
      <c r="F149" s="1587"/>
      <c r="G149" s="1587"/>
      <c r="H149" s="1587"/>
      <c r="I149" s="1587"/>
      <c r="J149" s="1587"/>
      <c r="K149" s="1587"/>
      <c r="L149" s="1587"/>
      <c r="M149" s="1587"/>
      <c r="N149" s="1587"/>
      <c r="O149" s="1587"/>
      <c r="P149" s="1587"/>
      <c r="Q149" s="1587"/>
      <c r="R149" s="1587"/>
      <c r="S149" s="1587"/>
      <c r="T149" s="1587"/>
      <c r="U149" s="1587"/>
      <c r="V149" s="1587"/>
      <c r="W149" s="1587"/>
      <c r="X149" s="1587"/>
      <c r="Y149" s="1587"/>
      <c r="Z149" s="1587"/>
      <c r="AA149" s="1587"/>
      <c r="AB149" s="1587"/>
      <c r="AC149" s="1587"/>
      <c r="AD149" s="1587"/>
      <c r="AE149" s="1587"/>
      <c r="AF149" s="1587"/>
      <c r="AG149" s="1587"/>
      <c r="AH149" s="1587"/>
      <c r="AI149" s="1587"/>
      <c r="AJ149" s="1587"/>
      <c r="AK149" s="1587"/>
      <c r="AL149" s="1587"/>
      <c r="AM149" s="1587"/>
      <c r="AN149" s="1587"/>
      <c r="AO149" s="1587"/>
      <c r="AP149" s="1587"/>
      <c r="AQ149" s="1587"/>
      <c r="AR149" s="1587"/>
      <c r="AS149" s="1587"/>
      <c r="AT149" s="1587"/>
      <c r="AU149" s="1587"/>
      <c r="AV149" s="1109"/>
      <c r="AW149" s="1587"/>
      <c r="AX149" s="1587"/>
      <c r="AY149" s="1587"/>
      <c r="AZ149" s="1587"/>
      <c r="BA149" s="1587"/>
      <c r="BB149" s="1587"/>
      <c r="BC149" s="1587"/>
      <c r="BD149" s="1587"/>
      <c r="BE149" s="1587"/>
      <c r="BF149" s="1587"/>
    </row>
    <row r="150" spans="1:58" hidden="1" x14ac:dyDescent="0.25">
      <c r="A150" s="1114"/>
      <c r="B150" s="1114"/>
      <c r="C150" s="1114"/>
      <c r="D150" s="1114"/>
      <c r="E150" s="1837">
        <v>42958</v>
      </c>
      <c r="F150" s="1132" t="s">
        <v>1050</v>
      </c>
      <c r="G150" s="1114"/>
      <c r="H150" s="1114"/>
      <c r="I150" s="1114"/>
      <c r="J150" s="1114"/>
      <c r="K150" s="1114"/>
      <c r="L150" s="1114"/>
      <c r="M150" s="1114"/>
      <c r="N150" s="1114"/>
      <c r="O150" s="1114"/>
      <c r="P150" s="1114"/>
      <c r="Q150" s="1114"/>
      <c r="R150" s="1114"/>
      <c r="S150" s="1114"/>
      <c r="T150" s="1114"/>
      <c r="U150" s="1114"/>
      <c r="V150" s="1114"/>
      <c r="W150" s="1114"/>
      <c r="X150" s="1114"/>
      <c r="Y150" s="1114"/>
      <c r="Z150" s="1114"/>
      <c r="AA150" s="1114"/>
      <c r="AB150" s="1114"/>
      <c r="AC150" s="1114"/>
      <c r="AD150" s="1114"/>
      <c r="AE150" s="1114"/>
      <c r="AF150" s="1114"/>
      <c r="AG150" s="1114"/>
      <c r="AH150" s="1114"/>
      <c r="AI150" s="1114"/>
      <c r="AJ150" s="1114"/>
      <c r="AK150" s="1114"/>
      <c r="AL150" s="1114"/>
      <c r="AM150" s="1114"/>
      <c r="AN150" s="1114"/>
      <c r="AO150" s="1114"/>
      <c r="AP150" s="1114"/>
      <c r="AQ150" s="1114"/>
      <c r="AR150" s="1114"/>
      <c r="AS150" s="1114"/>
      <c r="AT150" s="1114"/>
      <c r="AU150" s="1114"/>
      <c r="AV150" s="1109"/>
      <c r="AW150" s="1114"/>
      <c r="AX150" s="1114"/>
      <c r="AY150" s="1114"/>
      <c r="AZ150" s="1114"/>
      <c r="BA150" s="1114"/>
      <c r="BB150" s="1114"/>
      <c r="BC150" s="1114"/>
      <c r="BD150" s="1114"/>
      <c r="BE150" s="1114"/>
      <c r="BF150" s="1114"/>
    </row>
    <row r="151" spans="1:58" hidden="1" x14ac:dyDescent="0.25">
      <c r="A151" s="1114"/>
      <c r="B151" s="1114"/>
      <c r="C151" s="1114"/>
      <c r="D151" s="1114"/>
      <c r="E151" s="1837"/>
      <c r="F151" s="1132"/>
      <c r="G151" s="1114"/>
      <c r="H151" s="1114"/>
      <c r="I151" s="1114"/>
      <c r="J151" s="1114"/>
      <c r="K151" s="1114"/>
      <c r="L151" s="1114"/>
      <c r="M151" s="1114"/>
      <c r="N151" s="1114"/>
      <c r="O151" s="1114"/>
      <c r="P151" s="1114"/>
      <c r="Q151" s="1114"/>
      <c r="R151" s="1114"/>
      <c r="S151" s="1114"/>
      <c r="T151" s="1114"/>
      <c r="U151" s="1114"/>
      <c r="V151" s="1114"/>
      <c r="W151" s="1114"/>
      <c r="X151" s="1114"/>
      <c r="Y151" s="1114"/>
      <c r="Z151" s="1114"/>
      <c r="AA151" s="1114"/>
      <c r="AB151" s="1114"/>
      <c r="AC151" s="1114"/>
      <c r="AD151" s="1114"/>
      <c r="AE151" s="1114"/>
      <c r="AF151" s="1114"/>
      <c r="AG151" s="1114"/>
      <c r="AH151" s="1114"/>
      <c r="AI151" s="1114"/>
      <c r="AJ151" s="1114"/>
      <c r="AK151" s="1114"/>
      <c r="AL151" s="1114"/>
      <c r="AM151" s="1114"/>
      <c r="AN151" s="1114"/>
      <c r="AO151" s="1114"/>
      <c r="AP151" s="1114"/>
      <c r="AQ151" s="1114"/>
      <c r="AR151" s="1114"/>
      <c r="AS151" s="1114"/>
      <c r="AT151" s="1114"/>
      <c r="AU151" s="1114"/>
      <c r="AV151" s="1109"/>
      <c r="AW151" s="1114"/>
      <c r="AX151" s="1114"/>
      <c r="AY151" s="1114"/>
      <c r="AZ151" s="1114"/>
      <c r="BA151" s="1114"/>
      <c r="BB151" s="1114"/>
      <c r="BC151" s="1114"/>
      <c r="BD151" s="1114"/>
      <c r="BE151" s="1114"/>
      <c r="BF151" s="1114"/>
    </row>
    <row r="152" spans="1:58" hidden="1" x14ac:dyDescent="0.25">
      <c r="A152" s="1114"/>
      <c r="B152" s="1114"/>
      <c r="C152" s="1114"/>
      <c r="D152" s="1114"/>
      <c r="E152" s="1837">
        <v>42968</v>
      </c>
      <c r="F152" s="1132" t="s">
        <v>1070</v>
      </c>
      <c r="G152" s="1114"/>
      <c r="H152" s="1114"/>
      <c r="I152" s="1114"/>
      <c r="J152" s="1114"/>
      <c r="K152" s="1114"/>
      <c r="L152" s="1114"/>
      <c r="M152" s="1114"/>
      <c r="N152" s="1114"/>
      <c r="O152" s="1114"/>
      <c r="P152" s="1114"/>
      <c r="Q152" s="1114"/>
      <c r="R152" s="1114"/>
      <c r="S152" s="1114"/>
      <c r="T152" s="1114"/>
      <c r="U152" s="1114"/>
      <c r="V152" s="1114"/>
      <c r="W152" s="1114"/>
      <c r="X152" s="1114"/>
      <c r="Y152" s="1114"/>
      <c r="Z152" s="1114"/>
      <c r="AA152" s="1114"/>
      <c r="AB152" s="1114"/>
      <c r="AC152" s="1114"/>
      <c r="AD152" s="1114"/>
      <c r="AE152" s="1114"/>
      <c r="AF152" s="1114"/>
      <c r="AG152" s="1114"/>
      <c r="AH152" s="1114"/>
      <c r="AI152" s="1114"/>
      <c r="AJ152" s="1114"/>
      <c r="AK152" s="1114"/>
      <c r="AL152" s="1114"/>
      <c r="AM152" s="1114"/>
      <c r="AN152" s="1114"/>
      <c r="AO152" s="1114"/>
      <c r="AP152" s="1114"/>
      <c r="AQ152" s="1114"/>
      <c r="AR152" s="1114"/>
      <c r="AS152" s="1114"/>
      <c r="AT152" s="1114"/>
      <c r="AU152" s="1114"/>
      <c r="AV152" s="1109"/>
      <c r="AW152" s="1114"/>
      <c r="AX152" s="1114"/>
      <c r="AY152" s="1114"/>
      <c r="AZ152" s="1114"/>
      <c r="BA152" s="1114"/>
      <c r="BB152" s="1114"/>
      <c r="BC152" s="1114"/>
      <c r="BD152" s="1114"/>
      <c r="BE152" s="1114"/>
      <c r="BF152" s="1114"/>
    </row>
    <row r="153" spans="1:58" hidden="1" x14ac:dyDescent="0.25">
      <c r="A153" s="1114"/>
      <c r="B153" s="1114"/>
      <c r="C153" s="1114"/>
      <c r="D153" s="1114"/>
      <c r="E153" s="1837"/>
      <c r="F153" s="1132" t="s">
        <v>1071</v>
      </c>
      <c r="G153" s="1114"/>
      <c r="H153" s="1114"/>
      <c r="I153" s="1114"/>
      <c r="J153" s="1114"/>
      <c r="K153" s="1114"/>
      <c r="L153" s="1114"/>
      <c r="M153" s="1114"/>
      <c r="N153" s="1114"/>
      <c r="O153" s="1114"/>
      <c r="P153" s="1114"/>
      <c r="Q153" s="1114"/>
      <c r="R153" s="1114"/>
      <c r="S153" s="1114"/>
      <c r="T153" s="1114"/>
      <c r="U153" s="1114"/>
      <c r="V153" s="1114"/>
      <c r="W153" s="1114"/>
      <c r="X153" s="1114"/>
      <c r="Y153" s="1114"/>
      <c r="Z153" s="1114"/>
      <c r="AA153" s="1114"/>
      <c r="AB153" s="1114"/>
      <c r="AC153" s="1114"/>
      <c r="AD153" s="1114"/>
      <c r="AE153" s="1114"/>
      <c r="AF153" s="1114"/>
      <c r="AG153" s="1114"/>
      <c r="AH153" s="1114"/>
      <c r="AI153" s="1114"/>
      <c r="AJ153" s="1114"/>
      <c r="AK153" s="1114"/>
      <c r="AL153" s="1114"/>
      <c r="AM153" s="1114"/>
      <c r="AN153" s="1114"/>
      <c r="AO153" s="1114"/>
      <c r="AP153" s="1114"/>
      <c r="AQ153" s="1114"/>
      <c r="AR153" s="1114"/>
      <c r="AS153" s="1114"/>
      <c r="AT153" s="1114"/>
      <c r="AU153" s="1114"/>
      <c r="AV153" s="1109"/>
      <c r="AW153" s="1114"/>
      <c r="AX153" s="1114"/>
      <c r="AY153" s="1114"/>
      <c r="AZ153" s="1114"/>
      <c r="BA153" s="1114"/>
      <c r="BB153" s="1114"/>
      <c r="BC153" s="1114"/>
      <c r="BD153" s="1114"/>
      <c r="BE153" s="1114"/>
      <c r="BF153" s="1114"/>
    </row>
    <row r="154" spans="1:58" hidden="1" x14ac:dyDescent="0.25">
      <c r="A154" s="1114"/>
      <c r="B154" s="1114"/>
      <c r="C154" s="1114"/>
      <c r="D154" s="1114"/>
      <c r="E154" s="1837"/>
      <c r="F154" s="1132" t="s">
        <v>1073</v>
      </c>
      <c r="G154" s="1114"/>
      <c r="H154" s="1114"/>
      <c r="I154" s="1114"/>
      <c r="J154" s="1114"/>
      <c r="K154" s="1114"/>
      <c r="L154" s="1114"/>
      <c r="M154" s="1114"/>
      <c r="N154" s="1114"/>
      <c r="O154" s="1114"/>
      <c r="P154" s="1114"/>
      <c r="Q154" s="1114"/>
      <c r="R154" s="1114"/>
      <c r="S154" s="1114"/>
      <c r="T154" s="1114"/>
      <c r="U154" s="1114"/>
      <c r="V154" s="1114"/>
      <c r="W154" s="1114"/>
      <c r="X154" s="1114"/>
      <c r="Y154" s="1114"/>
      <c r="Z154" s="1114"/>
      <c r="AA154" s="1114"/>
      <c r="AB154" s="1114"/>
      <c r="AC154" s="1114"/>
      <c r="AD154" s="1114"/>
      <c r="AE154" s="1114"/>
      <c r="AF154" s="1114"/>
      <c r="AG154" s="1114"/>
      <c r="AH154" s="1114"/>
      <c r="AI154" s="1114"/>
      <c r="AJ154" s="1114"/>
      <c r="AK154" s="1114"/>
      <c r="AL154" s="1114"/>
      <c r="AM154" s="1114"/>
      <c r="AN154" s="1114"/>
      <c r="AO154" s="1114"/>
      <c r="AP154" s="1114"/>
      <c r="AQ154" s="1114"/>
      <c r="AR154" s="1114"/>
      <c r="AS154" s="1114"/>
      <c r="AT154" s="1114"/>
      <c r="AU154" s="1114"/>
      <c r="AV154" s="1109"/>
      <c r="AW154" s="1114"/>
      <c r="AX154" s="1114"/>
      <c r="AY154" s="1114"/>
      <c r="AZ154" s="1114"/>
      <c r="BA154" s="1114"/>
      <c r="BB154" s="1114"/>
      <c r="BC154" s="1114"/>
      <c r="BD154" s="1114"/>
      <c r="BE154" s="1114"/>
      <c r="BF154" s="1114"/>
    </row>
    <row r="155" spans="1:58" hidden="1" x14ac:dyDescent="0.25">
      <c r="A155" s="1114"/>
      <c r="B155" s="1114"/>
      <c r="C155" s="1114"/>
      <c r="D155" s="1114"/>
      <c r="E155" s="1837"/>
      <c r="F155" s="1132"/>
      <c r="G155" s="1114"/>
      <c r="H155" s="1114"/>
      <c r="I155" s="1114"/>
      <c r="J155" s="1114"/>
      <c r="K155" s="1114"/>
      <c r="L155" s="1114"/>
      <c r="M155" s="1114"/>
      <c r="N155" s="1114"/>
      <c r="O155" s="1114"/>
      <c r="P155" s="1114"/>
      <c r="Q155" s="1114"/>
      <c r="R155" s="1114"/>
      <c r="S155" s="1114"/>
      <c r="T155" s="1114"/>
      <c r="U155" s="1114"/>
      <c r="V155" s="1114"/>
      <c r="W155" s="1114"/>
      <c r="X155" s="1114"/>
      <c r="Y155" s="1114"/>
      <c r="Z155" s="1114"/>
      <c r="AA155" s="1114"/>
      <c r="AB155" s="1114"/>
      <c r="AC155" s="1114"/>
      <c r="AD155" s="1114"/>
      <c r="AE155" s="1114"/>
      <c r="AF155" s="1114"/>
      <c r="AG155" s="1114"/>
      <c r="AH155" s="1114"/>
      <c r="AI155" s="1114"/>
      <c r="AJ155" s="1114"/>
      <c r="AK155" s="1114"/>
      <c r="AL155" s="1114"/>
      <c r="AM155" s="1114"/>
      <c r="AN155" s="1114"/>
      <c r="AO155" s="1114"/>
      <c r="AP155" s="1114"/>
      <c r="AQ155" s="1114"/>
      <c r="AR155" s="1114"/>
      <c r="AS155" s="1114"/>
      <c r="AT155" s="1114"/>
      <c r="AU155" s="1114"/>
      <c r="AV155" s="1109"/>
      <c r="AW155" s="1114"/>
      <c r="AX155" s="1114"/>
      <c r="AY155" s="1114"/>
      <c r="AZ155" s="1114"/>
      <c r="BA155" s="1114"/>
      <c r="BB155" s="1114"/>
      <c r="BC155" s="1114"/>
      <c r="BD155" s="1114"/>
      <c r="BE155" s="1114"/>
      <c r="BF155" s="1114"/>
    </row>
    <row r="156" spans="1:58" hidden="1" x14ac:dyDescent="0.25">
      <c r="A156" s="1114"/>
      <c r="B156" s="1114"/>
      <c r="C156" s="1114"/>
      <c r="D156" s="1114"/>
      <c r="E156" s="1837">
        <v>42978</v>
      </c>
      <c r="F156" s="1132" t="s">
        <v>1080</v>
      </c>
      <c r="G156" s="1114"/>
      <c r="H156" s="1114"/>
      <c r="I156" s="1114"/>
      <c r="J156" s="1114"/>
      <c r="K156" s="1114"/>
      <c r="L156" s="1114"/>
      <c r="M156" s="1114"/>
      <c r="N156" s="1114"/>
      <c r="O156" s="1114"/>
      <c r="P156" s="1114"/>
      <c r="Q156" s="1114"/>
      <c r="R156" s="1114"/>
      <c r="S156" s="1114"/>
      <c r="T156" s="1114"/>
      <c r="U156" s="1114"/>
      <c r="V156" s="1114"/>
      <c r="W156" s="1114"/>
      <c r="X156" s="1114"/>
      <c r="Y156" s="1114"/>
      <c r="Z156" s="1114"/>
      <c r="AA156" s="1114"/>
      <c r="AB156" s="1114"/>
      <c r="AC156" s="1114"/>
      <c r="AD156" s="1114"/>
      <c r="AE156" s="1114"/>
      <c r="AF156" s="1114"/>
      <c r="AG156" s="1114"/>
      <c r="AH156" s="1114"/>
      <c r="AI156" s="1114"/>
      <c r="AJ156" s="1114"/>
      <c r="AK156" s="1114"/>
      <c r="AL156" s="1114"/>
      <c r="AM156" s="1114"/>
      <c r="AN156" s="1114"/>
      <c r="AO156" s="1114"/>
      <c r="AP156" s="1114"/>
      <c r="AQ156" s="1114"/>
      <c r="AR156" s="1114"/>
      <c r="AS156" s="1114"/>
      <c r="AT156" s="1114"/>
      <c r="AU156" s="1114"/>
      <c r="AV156" s="1109"/>
      <c r="AW156" s="1114"/>
      <c r="AX156" s="1114"/>
      <c r="AY156" s="1114"/>
      <c r="AZ156" s="1114"/>
      <c r="BA156" s="1114"/>
      <c r="BB156" s="1114"/>
      <c r="BC156" s="1114"/>
      <c r="BD156" s="1114"/>
      <c r="BE156" s="1114"/>
      <c r="BF156" s="1114"/>
    </row>
    <row r="157" spans="1:58" hidden="1" x14ac:dyDescent="0.25">
      <c r="A157" s="1114"/>
      <c r="B157" s="1114"/>
      <c r="C157" s="1114"/>
      <c r="D157" s="1114"/>
      <c r="E157" s="1639"/>
      <c r="F157" s="1132" t="s">
        <v>1081</v>
      </c>
      <c r="G157" s="1114"/>
      <c r="H157" s="1114"/>
      <c r="I157" s="1114"/>
      <c r="J157" s="1114"/>
      <c r="K157" s="1114"/>
      <c r="L157" s="1114"/>
      <c r="M157" s="1114"/>
      <c r="N157" s="1114"/>
      <c r="O157" s="1114"/>
      <c r="P157" s="1114"/>
      <c r="Q157" s="1114"/>
      <c r="R157" s="1114"/>
      <c r="S157" s="1114"/>
      <c r="T157" s="1114"/>
      <c r="U157" s="1114"/>
      <c r="V157" s="1114"/>
      <c r="W157" s="1114"/>
      <c r="X157" s="1114"/>
      <c r="Y157" s="1114"/>
      <c r="Z157" s="1114"/>
      <c r="AA157" s="1114"/>
      <c r="AB157" s="1114"/>
      <c r="AC157" s="1114"/>
      <c r="AD157" s="1114"/>
      <c r="AE157" s="1114"/>
      <c r="AF157" s="1114"/>
      <c r="AG157" s="1114"/>
      <c r="AH157" s="1114"/>
      <c r="AI157" s="1114"/>
      <c r="AJ157" s="1114"/>
      <c r="AK157" s="1114"/>
      <c r="AL157" s="1114"/>
      <c r="AM157" s="1114"/>
      <c r="AN157" s="1114"/>
      <c r="AO157" s="1114"/>
      <c r="AP157" s="1114"/>
      <c r="AQ157" s="1114"/>
      <c r="AR157" s="1114"/>
      <c r="AS157" s="1114"/>
      <c r="AT157" s="1114"/>
      <c r="AU157" s="1114"/>
      <c r="AV157" s="1109"/>
      <c r="AW157" s="1114"/>
      <c r="AX157" s="1114"/>
      <c r="AY157" s="1114"/>
      <c r="AZ157" s="1114"/>
      <c r="BA157" s="1114"/>
      <c r="BB157" s="1114"/>
      <c r="BC157" s="1114"/>
      <c r="BD157" s="1114"/>
      <c r="BE157" s="1114"/>
      <c r="BF157" s="1114"/>
    </row>
    <row r="158" spans="1:58" hidden="1" x14ac:dyDescent="0.25">
      <c r="A158" s="1114"/>
      <c r="B158" s="1114"/>
      <c r="C158" s="1114"/>
      <c r="D158" s="1114"/>
      <c r="E158" s="1837"/>
      <c r="F158" s="1132"/>
      <c r="G158" s="1114"/>
      <c r="H158" s="1114"/>
      <c r="I158" s="1114"/>
      <c r="J158" s="1114"/>
      <c r="K158" s="1114"/>
      <c r="L158" s="1114"/>
      <c r="M158" s="1114"/>
      <c r="N158" s="1114"/>
      <c r="O158" s="1114"/>
      <c r="P158" s="1114"/>
      <c r="Q158" s="1114"/>
      <c r="R158" s="1114"/>
      <c r="S158" s="1114"/>
      <c r="T158" s="1114"/>
      <c r="U158" s="1114"/>
      <c r="V158" s="1114"/>
      <c r="W158" s="1114"/>
      <c r="X158" s="1114"/>
      <c r="Y158" s="1114"/>
      <c r="Z158" s="1114"/>
      <c r="AA158" s="1114"/>
      <c r="AB158" s="1114"/>
      <c r="AC158" s="1114"/>
      <c r="AD158" s="1114"/>
      <c r="AE158" s="1114"/>
      <c r="AF158" s="1114"/>
      <c r="AG158" s="1114"/>
      <c r="AH158" s="1114"/>
      <c r="AI158" s="1114"/>
      <c r="AJ158" s="1114"/>
      <c r="AK158" s="1114"/>
      <c r="AL158" s="1114"/>
      <c r="AM158" s="1114"/>
      <c r="AN158" s="1114"/>
      <c r="AO158" s="1114"/>
      <c r="AP158" s="1114"/>
      <c r="AQ158" s="1114"/>
      <c r="AR158" s="1114"/>
      <c r="AS158" s="1114"/>
      <c r="AT158" s="1114"/>
      <c r="AU158" s="1114"/>
      <c r="AV158" s="1109"/>
      <c r="AW158" s="1114"/>
      <c r="AX158" s="1114"/>
      <c r="AY158" s="1114"/>
      <c r="AZ158" s="1114"/>
      <c r="BA158" s="1114"/>
      <c r="BB158" s="1114"/>
      <c r="BC158" s="1114"/>
      <c r="BD158" s="1114"/>
      <c r="BE158" s="1114"/>
      <c r="BF158" s="1114"/>
    </row>
    <row r="159" spans="1:58" hidden="1" x14ac:dyDescent="0.25">
      <c r="A159" s="1114"/>
      <c r="B159" s="1114"/>
      <c r="C159" s="1114"/>
      <c r="D159" s="1114"/>
      <c r="E159" s="1837">
        <v>43033</v>
      </c>
      <c r="F159" s="1132" t="s">
        <v>1102</v>
      </c>
      <c r="G159" s="1114"/>
      <c r="H159" s="1114"/>
      <c r="I159" s="1114"/>
      <c r="J159" s="1114"/>
      <c r="K159" s="1114"/>
      <c r="L159" s="1114"/>
      <c r="M159" s="1114"/>
      <c r="N159" s="1114"/>
      <c r="O159" s="1114"/>
      <c r="P159" s="1114"/>
      <c r="Q159" s="1114"/>
      <c r="R159" s="1114"/>
      <c r="S159" s="1114"/>
      <c r="T159" s="1114"/>
      <c r="U159" s="1114"/>
      <c r="V159" s="1114"/>
      <c r="W159" s="1114"/>
      <c r="X159" s="1114"/>
      <c r="Y159" s="1114"/>
      <c r="Z159" s="1114"/>
      <c r="AA159" s="1114"/>
      <c r="AB159" s="1114"/>
      <c r="AC159" s="1114"/>
      <c r="AD159" s="1114"/>
      <c r="AE159" s="1114"/>
      <c r="AF159" s="1114"/>
      <c r="AG159" s="1114"/>
      <c r="AH159" s="1114"/>
      <c r="AI159" s="1114"/>
      <c r="AJ159" s="1114"/>
      <c r="AK159" s="1114"/>
      <c r="AL159" s="1114"/>
      <c r="AM159" s="1114"/>
      <c r="AN159" s="1114"/>
      <c r="AO159" s="1114"/>
      <c r="AP159" s="1114"/>
      <c r="AQ159" s="1114"/>
      <c r="AR159" s="1114"/>
      <c r="AS159" s="1114"/>
      <c r="AT159" s="1114"/>
      <c r="AU159" s="1114"/>
      <c r="AV159" s="1109"/>
      <c r="AW159" s="1114"/>
      <c r="AX159" s="1114"/>
      <c r="AY159" s="1114"/>
      <c r="AZ159" s="1114"/>
      <c r="BA159" s="1114"/>
      <c r="BB159" s="1114"/>
      <c r="BC159" s="1114"/>
      <c r="BD159" s="1114"/>
      <c r="BE159" s="1114"/>
      <c r="BF159" s="1114"/>
    </row>
    <row r="160" spans="1:58" hidden="1" x14ac:dyDescent="0.25">
      <c r="A160" s="1114"/>
      <c r="B160" s="1114"/>
      <c r="C160" s="1114"/>
      <c r="D160" s="1114"/>
      <c r="E160" s="1837"/>
      <c r="F160" s="1132"/>
      <c r="G160" s="1114"/>
      <c r="H160" s="1114"/>
      <c r="I160" s="1114"/>
      <c r="J160" s="1114"/>
      <c r="K160" s="1114"/>
      <c r="L160" s="1114"/>
      <c r="M160" s="1114"/>
      <c r="N160" s="1114"/>
      <c r="O160" s="1114"/>
      <c r="P160" s="1114"/>
      <c r="Q160" s="1114"/>
      <c r="R160" s="1114"/>
      <c r="S160" s="1114"/>
      <c r="T160" s="1114"/>
      <c r="U160" s="1114"/>
      <c r="V160" s="1114"/>
      <c r="W160" s="1114"/>
      <c r="X160" s="1114"/>
      <c r="Y160" s="1114"/>
      <c r="Z160" s="1114"/>
      <c r="AA160" s="1114"/>
      <c r="AB160" s="1114"/>
      <c r="AC160" s="1114"/>
      <c r="AD160" s="1114"/>
      <c r="AE160" s="1114"/>
      <c r="AF160" s="1114"/>
      <c r="AG160" s="1114"/>
      <c r="AH160" s="1114"/>
      <c r="AI160" s="1114"/>
      <c r="AJ160" s="1114"/>
      <c r="AK160" s="1114"/>
      <c r="AL160" s="1114"/>
      <c r="AM160" s="1114"/>
      <c r="AN160" s="1114"/>
      <c r="AO160" s="1114"/>
      <c r="AP160" s="1114"/>
      <c r="AQ160" s="1114"/>
      <c r="AR160" s="1114"/>
      <c r="AS160" s="1114"/>
      <c r="AT160" s="1114"/>
      <c r="AU160" s="1114"/>
      <c r="AV160" s="1109"/>
      <c r="AW160" s="1114"/>
      <c r="AX160" s="1114"/>
      <c r="AY160" s="1114"/>
      <c r="AZ160" s="1114"/>
      <c r="BA160" s="1114"/>
      <c r="BB160" s="1114"/>
      <c r="BC160" s="1114"/>
      <c r="BD160" s="1114"/>
      <c r="BE160" s="1114"/>
      <c r="BF160" s="1114"/>
    </row>
    <row r="161" spans="1:58" hidden="1" x14ac:dyDescent="0.25">
      <c r="A161" s="1114"/>
      <c r="B161" s="1114"/>
      <c r="C161" s="1114"/>
      <c r="D161" s="1114"/>
      <c r="E161" s="1837">
        <v>43053</v>
      </c>
      <c r="F161" s="1132" t="s">
        <v>1118</v>
      </c>
      <c r="G161" s="1114"/>
      <c r="H161" s="1114"/>
      <c r="I161" s="1114"/>
      <c r="J161" s="1114"/>
      <c r="K161" s="1114"/>
      <c r="L161" s="1114"/>
      <c r="M161" s="1114"/>
      <c r="N161" s="1114"/>
      <c r="O161" s="1114"/>
      <c r="P161" s="1114"/>
      <c r="Q161" s="1114"/>
      <c r="R161" s="1114"/>
      <c r="S161" s="1114"/>
      <c r="T161" s="1114"/>
      <c r="U161" s="1114"/>
      <c r="V161" s="1114"/>
      <c r="W161" s="1114"/>
      <c r="X161" s="1114"/>
      <c r="Y161" s="1114"/>
      <c r="Z161" s="1114"/>
      <c r="AA161" s="1114"/>
      <c r="AB161" s="1114"/>
      <c r="AC161" s="1114"/>
      <c r="AD161" s="1114"/>
      <c r="AE161" s="1114"/>
      <c r="AF161" s="1114"/>
      <c r="AG161" s="1114"/>
      <c r="AH161" s="1114"/>
      <c r="AI161" s="1114"/>
      <c r="AJ161" s="1114"/>
      <c r="AK161" s="1114"/>
      <c r="AL161" s="1114"/>
      <c r="AM161" s="1114"/>
      <c r="AN161" s="1114"/>
      <c r="AO161" s="1114"/>
      <c r="AP161" s="1114"/>
      <c r="AQ161" s="1114"/>
      <c r="AR161" s="1114"/>
      <c r="AS161" s="1114"/>
      <c r="AT161" s="1114"/>
      <c r="AU161" s="1114"/>
      <c r="AV161" s="1109"/>
      <c r="AW161" s="1114"/>
      <c r="AX161" s="1114"/>
      <c r="AY161" s="1114"/>
      <c r="AZ161" s="1114"/>
      <c r="BA161" s="1114"/>
      <c r="BB161" s="1114"/>
      <c r="BC161" s="1114"/>
      <c r="BD161" s="1114"/>
      <c r="BE161" s="1114"/>
      <c r="BF161" s="1114"/>
    </row>
    <row r="162" spans="1:58" hidden="1" x14ac:dyDescent="0.25">
      <c r="A162" s="1114"/>
      <c r="B162" s="1114"/>
      <c r="C162" s="1114"/>
      <c r="D162" s="1114"/>
      <c r="E162" s="1837"/>
      <c r="F162" s="1132" t="s">
        <v>1123</v>
      </c>
      <c r="G162" s="1114"/>
      <c r="H162" s="1114"/>
      <c r="I162" s="1114"/>
      <c r="J162" s="1114"/>
      <c r="K162" s="1114"/>
      <c r="L162" s="1114"/>
      <c r="M162" s="1114"/>
      <c r="N162" s="1114"/>
      <c r="O162" s="1114"/>
      <c r="P162" s="1114"/>
      <c r="Q162" s="1114"/>
      <c r="R162" s="1114"/>
      <c r="S162" s="1114"/>
      <c r="T162" s="1114"/>
      <c r="U162" s="1114"/>
      <c r="V162" s="1114"/>
      <c r="W162" s="1114"/>
      <c r="X162" s="1114"/>
      <c r="Y162" s="1114"/>
      <c r="Z162" s="1114"/>
      <c r="AA162" s="1114"/>
      <c r="AB162" s="1114"/>
      <c r="AC162" s="1114"/>
      <c r="AD162" s="1114"/>
      <c r="AE162" s="1114"/>
      <c r="AF162" s="1114"/>
      <c r="AG162" s="1114"/>
      <c r="AH162" s="1114"/>
      <c r="AI162" s="1114"/>
      <c r="AJ162" s="1114"/>
      <c r="AK162" s="1114"/>
      <c r="AL162" s="1114"/>
      <c r="AM162" s="1114"/>
      <c r="AN162" s="1114"/>
      <c r="AO162" s="1114"/>
      <c r="AP162" s="1114"/>
      <c r="AQ162" s="1114"/>
      <c r="AR162" s="1114"/>
      <c r="AS162" s="1114"/>
      <c r="AT162" s="1114"/>
      <c r="AU162" s="1114"/>
      <c r="AV162" s="1109"/>
      <c r="AW162" s="1114"/>
      <c r="AX162" s="1114"/>
      <c r="AY162" s="1114"/>
      <c r="AZ162" s="1114"/>
      <c r="BA162" s="1114"/>
      <c r="BB162" s="1114"/>
      <c r="BC162" s="1114"/>
      <c r="BD162" s="1114"/>
      <c r="BE162" s="1114"/>
      <c r="BF162" s="1114"/>
    </row>
    <row r="163" spans="1:58" hidden="1" x14ac:dyDescent="0.25">
      <c r="A163" s="1114"/>
      <c r="B163" s="1114"/>
      <c r="C163" s="1114"/>
      <c r="D163" s="1114"/>
      <c r="E163" s="1837"/>
      <c r="F163" s="1132"/>
      <c r="G163" s="1114"/>
      <c r="H163" s="1114"/>
      <c r="I163" s="1114"/>
      <c r="J163" s="1114"/>
      <c r="K163" s="1114"/>
      <c r="L163" s="1114"/>
      <c r="M163" s="1114"/>
      <c r="N163" s="1114"/>
      <c r="O163" s="1114"/>
      <c r="P163" s="1114"/>
      <c r="Q163" s="1114"/>
      <c r="R163" s="1114"/>
      <c r="S163" s="1114"/>
      <c r="T163" s="1114"/>
      <c r="U163" s="1114"/>
      <c r="V163" s="1114"/>
      <c r="W163" s="1114"/>
      <c r="X163" s="1114"/>
      <c r="Y163" s="1114"/>
      <c r="Z163" s="1114"/>
      <c r="AA163" s="1114"/>
      <c r="AB163" s="1114"/>
      <c r="AC163" s="1114"/>
      <c r="AD163" s="1114"/>
      <c r="AE163" s="1114"/>
      <c r="AF163" s="1114"/>
      <c r="AG163" s="1114"/>
      <c r="AH163" s="1114"/>
      <c r="AI163" s="1114"/>
      <c r="AJ163" s="1114"/>
      <c r="AK163" s="1114"/>
      <c r="AL163" s="1114"/>
      <c r="AM163" s="1114"/>
      <c r="AN163" s="1114"/>
      <c r="AO163" s="1114"/>
      <c r="AP163" s="1114"/>
      <c r="AQ163" s="1114"/>
      <c r="AR163" s="1114"/>
      <c r="AS163" s="1114"/>
      <c r="AT163" s="1114"/>
      <c r="AU163" s="1114"/>
      <c r="AV163" s="1109"/>
      <c r="AW163" s="1114"/>
      <c r="AX163" s="1114"/>
      <c r="AY163" s="1114"/>
      <c r="AZ163" s="1114"/>
      <c r="BA163" s="1114"/>
      <c r="BB163" s="1114"/>
      <c r="BC163" s="1114"/>
      <c r="BD163" s="1114"/>
      <c r="BE163" s="1114"/>
      <c r="BF163" s="1114"/>
    </row>
    <row r="164" spans="1:58" hidden="1" x14ac:dyDescent="0.25">
      <c r="A164" s="1114"/>
      <c r="B164" s="1114"/>
      <c r="C164" s="1114"/>
      <c r="D164" s="1114"/>
      <c r="E164" s="1837">
        <v>43293</v>
      </c>
      <c r="F164" s="1132" t="s">
        <v>1152</v>
      </c>
      <c r="G164" s="1114"/>
      <c r="H164" s="1114"/>
      <c r="I164" s="1114"/>
      <c r="J164" s="1114"/>
      <c r="K164" s="1114"/>
      <c r="L164" s="1114"/>
      <c r="M164" s="1114"/>
      <c r="N164" s="1114"/>
      <c r="O164" s="1114"/>
      <c r="P164" s="1114"/>
      <c r="Q164" s="1114"/>
      <c r="R164" s="1114"/>
      <c r="S164" s="1114"/>
      <c r="T164" s="1114"/>
      <c r="U164" s="1114"/>
      <c r="V164" s="1114"/>
      <c r="W164" s="1114"/>
      <c r="X164" s="1114"/>
      <c r="Y164" s="1114"/>
      <c r="Z164" s="1114"/>
      <c r="AA164" s="1114"/>
      <c r="AB164" s="1114"/>
      <c r="AC164" s="1114"/>
      <c r="AD164" s="1114"/>
      <c r="AE164" s="1114"/>
      <c r="AF164" s="1114"/>
      <c r="AG164" s="1114"/>
      <c r="AH164" s="1114"/>
      <c r="AI164" s="1114"/>
      <c r="AJ164" s="1114"/>
      <c r="AK164" s="1114"/>
      <c r="AL164" s="1114"/>
      <c r="AM164" s="1114"/>
      <c r="AN164" s="1114"/>
      <c r="AO164" s="1114"/>
      <c r="AP164" s="1114"/>
      <c r="AQ164" s="1114"/>
      <c r="AR164" s="1114"/>
      <c r="AS164" s="1114"/>
      <c r="AT164" s="1114"/>
      <c r="AU164" s="1114"/>
      <c r="AV164" s="1109"/>
      <c r="AW164" s="1114"/>
      <c r="AX164" s="1114"/>
      <c r="AY164" s="1114"/>
      <c r="AZ164" s="1114"/>
      <c r="BA164" s="1114"/>
      <c r="BB164" s="1114"/>
      <c r="BC164" s="1114"/>
      <c r="BD164" s="1114"/>
      <c r="BE164" s="1114"/>
      <c r="BF164" s="1114"/>
    </row>
    <row r="165" spans="1:58" hidden="1" x14ac:dyDescent="0.25">
      <c r="A165" s="1114"/>
      <c r="B165" s="1114"/>
      <c r="C165" s="1114"/>
      <c r="D165" s="1114"/>
      <c r="E165" s="1837"/>
      <c r="F165" s="1132"/>
      <c r="G165" s="1114"/>
      <c r="H165" s="1114"/>
      <c r="I165" s="1114"/>
      <c r="J165" s="1114"/>
      <c r="K165" s="1114"/>
      <c r="L165" s="1114"/>
      <c r="M165" s="1114"/>
      <c r="N165" s="1114"/>
      <c r="O165" s="1114"/>
      <c r="P165" s="1114"/>
      <c r="Q165" s="1114"/>
      <c r="R165" s="1114"/>
      <c r="S165" s="1114"/>
      <c r="T165" s="1114"/>
      <c r="U165" s="1114"/>
      <c r="V165" s="1114"/>
      <c r="W165" s="1114"/>
      <c r="X165" s="1114"/>
      <c r="Y165" s="1114"/>
      <c r="Z165" s="1114"/>
      <c r="AA165" s="1114"/>
      <c r="AB165" s="1114"/>
      <c r="AC165" s="1114"/>
      <c r="AD165" s="1114"/>
      <c r="AE165" s="1114"/>
      <c r="AF165" s="1114"/>
      <c r="AG165" s="1114"/>
      <c r="AH165" s="1114"/>
      <c r="AI165" s="1114"/>
      <c r="AJ165" s="1114"/>
      <c r="AK165" s="1114"/>
      <c r="AL165" s="1114"/>
      <c r="AM165" s="1114"/>
      <c r="AN165" s="1114"/>
      <c r="AO165" s="1114"/>
      <c r="AP165" s="1114"/>
      <c r="AQ165" s="1114"/>
      <c r="AR165" s="1114"/>
      <c r="AS165" s="1114"/>
      <c r="AT165" s="1114"/>
      <c r="AU165" s="1114"/>
      <c r="AV165" s="1109"/>
      <c r="AW165" s="1114"/>
      <c r="AX165" s="1114"/>
      <c r="AY165" s="1114"/>
      <c r="AZ165" s="1114"/>
      <c r="BA165" s="1114"/>
      <c r="BB165" s="1114"/>
      <c r="BC165" s="1114"/>
      <c r="BD165" s="1114"/>
      <c r="BE165" s="1114"/>
      <c r="BF165" s="1114"/>
    </row>
    <row r="166" spans="1:58" hidden="1" x14ac:dyDescent="0.25">
      <c r="A166" s="1114"/>
      <c r="B166" s="1114"/>
      <c r="C166" s="1114"/>
      <c r="D166" s="1114"/>
      <c r="E166" s="1837">
        <v>43327</v>
      </c>
      <c r="F166" s="1132" t="s">
        <v>1154</v>
      </c>
      <c r="G166" s="1114"/>
      <c r="H166" s="1114"/>
      <c r="I166" s="1114"/>
      <c r="J166" s="1114"/>
      <c r="K166" s="1114"/>
      <c r="L166" s="1114"/>
      <c r="M166" s="1114"/>
      <c r="N166" s="1114"/>
      <c r="O166" s="1114"/>
      <c r="P166" s="1114"/>
      <c r="Q166" s="1114"/>
      <c r="R166" s="1114"/>
      <c r="S166" s="1114"/>
      <c r="T166" s="1114"/>
      <c r="U166" s="1114"/>
      <c r="V166" s="1114"/>
      <c r="W166" s="1114"/>
      <c r="X166" s="1114"/>
      <c r="Y166" s="1114"/>
      <c r="Z166" s="1114"/>
      <c r="AA166" s="1114"/>
      <c r="AB166" s="1114"/>
      <c r="AC166" s="1114"/>
      <c r="AD166" s="1114"/>
      <c r="AE166" s="1114"/>
      <c r="AF166" s="1114"/>
      <c r="AG166" s="1114"/>
      <c r="AH166" s="1114"/>
      <c r="AI166" s="1114"/>
      <c r="AJ166" s="1114"/>
      <c r="AK166" s="1114"/>
      <c r="AL166" s="1114"/>
      <c r="AM166" s="1114"/>
      <c r="AN166" s="1114"/>
      <c r="AO166" s="1114"/>
      <c r="AP166" s="1114"/>
      <c r="AQ166" s="1114"/>
      <c r="AR166" s="1114"/>
      <c r="AS166" s="1114"/>
      <c r="AT166" s="1114"/>
      <c r="AU166" s="1114"/>
      <c r="AV166" s="1109"/>
      <c r="AW166" s="1114"/>
      <c r="AX166" s="1114"/>
      <c r="AY166" s="1114"/>
      <c r="AZ166" s="1114"/>
      <c r="BA166" s="1114"/>
      <c r="BB166" s="1114"/>
      <c r="BC166" s="1114"/>
      <c r="BD166" s="1114"/>
      <c r="BE166" s="1114"/>
      <c r="BF166" s="1114"/>
    </row>
    <row r="167" spans="1:58" hidden="1" x14ac:dyDescent="0.25">
      <c r="A167" s="1114"/>
      <c r="B167" s="1114"/>
      <c r="C167" s="1114"/>
      <c r="D167" s="1114"/>
      <c r="E167" s="1837"/>
      <c r="F167" s="1132"/>
      <c r="G167" s="1114"/>
      <c r="H167" s="1114"/>
      <c r="I167" s="1114"/>
      <c r="J167" s="1114"/>
      <c r="K167" s="1114"/>
      <c r="L167" s="1114"/>
      <c r="M167" s="1114"/>
      <c r="N167" s="1114"/>
      <c r="O167" s="1114"/>
      <c r="P167" s="1114"/>
      <c r="Q167" s="1114"/>
      <c r="R167" s="1114"/>
      <c r="S167" s="1114"/>
      <c r="T167" s="1114"/>
      <c r="U167" s="1114"/>
      <c r="V167" s="1114"/>
      <c r="W167" s="1114"/>
      <c r="X167" s="1114"/>
      <c r="Y167" s="1114"/>
      <c r="Z167" s="1114"/>
      <c r="AA167" s="1114"/>
      <c r="AB167" s="1114"/>
      <c r="AC167" s="1114"/>
      <c r="AD167" s="1114"/>
      <c r="AE167" s="1114"/>
      <c r="AF167" s="1114"/>
      <c r="AG167" s="1114"/>
      <c r="AH167" s="1114"/>
      <c r="AI167" s="1114"/>
      <c r="AJ167" s="1114"/>
      <c r="AK167" s="1114"/>
      <c r="AL167" s="1114"/>
      <c r="AM167" s="1114"/>
      <c r="AN167" s="1114"/>
      <c r="AO167" s="1114"/>
      <c r="AP167" s="1114"/>
      <c r="AQ167" s="1114"/>
      <c r="AR167" s="1114"/>
      <c r="AS167" s="1114"/>
      <c r="AT167" s="1114"/>
      <c r="AU167" s="1114"/>
      <c r="AV167" s="1109"/>
      <c r="AW167" s="1114"/>
      <c r="AX167" s="1114"/>
      <c r="AY167" s="1114"/>
      <c r="AZ167" s="1114"/>
      <c r="BA167" s="1114"/>
      <c r="BB167" s="1114"/>
      <c r="BC167" s="1114"/>
      <c r="BD167" s="1114"/>
      <c r="BE167" s="1114"/>
      <c r="BF167" s="1114"/>
    </row>
    <row r="168" spans="1:58" hidden="1" x14ac:dyDescent="0.25">
      <c r="A168" s="1114"/>
      <c r="B168" s="1114"/>
      <c r="C168" s="1114"/>
      <c r="D168" s="1114"/>
      <c r="E168" s="1837">
        <v>43378</v>
      </c>
      <c r="F168" s="1132" t="s">
        <v>1171</v>
      </c>
      <c r="G168" s="1114"/>
      <c r="H168" s="1114"/>
      <c r="I168" s="1114"/>
      <c r="J168" s="1114"/>
      <c r="K168" s="1114"/>
      <c r="L168" s="1114"/>
      <c r="M168" s="1114"/>
      <c r="N168" s="1114"/>
      <c r="O168" s="1114"/>
      <c r="P168" s="1114"/>
      <c r="Q168" s="1114"/>
      <c r="R168" s="1114"/>
      <c r="S168" s="1114"/>
      <c r="T168" s="1114"/>
      <c r="U168" s="1114"/>
      <c r="V168" s="1114"/>
      <c r="W168" s="1114"/>
      <c r="X168" s="1114"/>
      <c r="Y168" s="1114"/>
      <c r="Z168" s="1114"/>
      <c r="AA168" s="1114"/>
      <c r="AB168" s="1114"/>
      <c r="AC168" s="1114"/>
      <c r="AD168" s="1114"/>
      <c r="AE168" s="1114"/>
      <c r="AF168" s="1114"/>
      <c r="AG168" s="1114"/>
      <c r="AH168" s="1114"/>
      <c r="AI168" s="1114"/>
      <c r="AJ168" s="1114"/>
      <c r="AK168" s="1114"/>
      <c r="AL168" s="1114"/>
      <c r="AM168" s="1114"/>
      <c r="AN168" s="1114"/>
      <c r="AO168" s="1114"/>
      <c r="AP168" s="1114"/>
      <c r="AQ168" s="1114"/>
      <c r="AR168" s="1114"/>
      <c r="AS168" s="1114"/>
      <c r="AT168" s="1114"/>
      <c r="AU168" s="1114"/>
      <c r="AV168" s="1109"/>
      <c r="AW168" s="1114"/>
      <c r="AX168" s="1114"/>
      <c r="AY168" s="1114"/>
      <c r="AZ168" s="1114"/>
      <c r="BA168" s="1114"/>
      <c r="BB168" s="1114"/>
      <c r="BC168" s="1114"/>
      <c r="BD168" s="1114"/>
      <c r="BE168" s="1114"/>
      <c r="BF168" s="1114"/>
    </row>
    <row r="169" spans="1:58" hidden="1" x14ac:dyDescent="0.25">
      <c r="A169" s="1114"/>
      <c r="B169" s="1114"/>
      <c r="C169" s="1114"/>
      <c r="D169" s="1114"/>
      <c r="E169" s="1837"/>
      <c r="F169" s="1132" t="s">
        <v>1172</v>
      </c>
      <c r="G169" s="1114"/>
      <c r="H169" s="1114"/>
      <c r="I169" s="1114"/>
      <c r="J169" s="1114"/>
      <c r="K169" s="1114"/>
      <c r="L169" s="1114"/>
      <c r="M169" s="1114"/>
      <c r="N169" s="1114"/>
      <c r="O169" s="1114"/>
      <c r="P169" s="1114"/>
      <c r="Q169" s="1114"/>
      <c r="R169" s="1114"/>
      <c r="S169" s="1114"/>
      <c r="T169" s="1114"/>
      <c r="U169" s="1114"/>
      <c r="V169" s="1114"/>
      <c r="W169" s="1114"/>
      <c r="X169" s="1114"/>
      <c r="Y169" s="1114"/>
      <c r="Z169" s="1114"/>
      <c r="AA169" s="1114"/>
      <c r="AB169" s="1114"/>
      <c r="AC169" s="1114"/>
      <c r="AD169" s="1114"/>
      <c r="AE169" s="1114"/>
      <c r="AF169" s="1114"/>
      <c r="AG169" s="1114"/>
      <c r="AH169" s="1114"/>
      <c r="AI169" s="1114"/>
      <c r="AJ169" s="1114"/>
      <c r="AK169" s="1114"/>
      <c r="AL169" s="1114"/>
      <c r="AM169" s="1114"/>
      <c r="AN169" s="1114"/>
      <c r="AO169" s="1114"/>
      <c r="AP169" s="1114"/>
      <c r="AQ169" s="1114"/>
      <c r="AR169" s="1114"/>
      <c r="AS169" s="1114"/>
      <c r="AT169" s="1114"/>
      <c r="AU169" s="1114"/>
      <c r="AV169" s="1109"/>
      <c r="AW169" s="1114"/>
      <c r="AX169" s="1114"/>
      <c r="AY169" s="1114"/>
      <c r="AZ169" s="1114"/>
      <c r="BA169" s="1114"/>
      <c r="BB169" s="1114"/>
      <c r="BC169" s="1114"/>
      <c r="BD169" s="1114"/>
      <c r="BE169" s="1114"/>
      <c r="BF169" s="1114"/>
    </row>
    <row r="170" spans="1:58" hidden="1" x14ac:dyDescent="0.25">
      <c r="A170" s="1114"/>
      <c r="B170" s="1114"/>
      <c r="C170" s="1114"/>
      <c r="D170" s="1114"/>
      <c r="E170" s="1837"/>
      <c r="F170" s="1132"/>
      <c r="G170" s="1114"/>
      <c r="H170" s="1114"/>
      <c r="I170" s="1114"/>
      <c r="J170" s="1114"/>
      <c r="K170" s="1114"/>
      <c r="L170" s="1114"/>
      <c r="M170" s="1114"/>
      <c r="N170" s="1114"/>
      <c r="O170" s="1114"/>
      <c r="P170" s="1114"/>
      <c r="Q170" s="1114"/>
      <c r="R170" s="1114"/>
      <c r="S170" s="1114"/>
      <c r="T170" s="1114"/>
      <c r="U170" s="1114"/>
      <c r="V170" s="1114"/>
      <c r="W170" s="1114"/>
      <c r="X170" s="1114"/>
      <c r="Y170" s="1114"/>
      <c r="Z170" s="1114"/>
      <c r="AA170" s="1114"/>
      <c r="AB170" s="1114"/>
      <c r="AC170" s="1114"/>
      <c r="AD170" s="1114"/>
      <c r="AE170" s="1114"/>
      <c r="AF170" s="1114"/>
      <c r="AG170" s="1114"/>
      <c r="AH170" s="1114"/>
      <c r="AI170" s="1114"/>
      <c r="AJ170" s="1114"/>
      <c r="AK170" s="1114"/>
      <c r="AL170" s="1114"/>
      <c r="AM170" s="1114"/>
      <c r="AN170" s="1114"/>
      <c r="AO170" s="1114"/>
      <c r="AP170" s="1114"/>
      <c r="AQ170" s="1114"/>
      <c r="AR170" s="1114"/>
      <c r="AS170" s="1114"/>
      <c r="AT170" s="1114"/>
      <c r="AU170" s="1114"/>
      <c r="AV170" s="1109"/>
      <c r="AW170" s="1114"/>
      <c r="AX170" s="1114"/>
      <c r="AY170" s="1114"/>
      <c r="AZ170" s="1114"/>
      <c r="BA170" s="1114"/>
      <c r="BB170" s="1114"/>
      <c r="BC170" s="1114"/>
      <c r="BD170" s="1114"/>
      <c r="BE170" s="1114"/>
      <c r="BF170" s="1114"/>
    </row>
    <row r="171" spans="1:58" hidden="1" x14ac:dyDescent="0.25">
      <c r="A171" s="1114"/>
      <c r="B171" s="1114"/>
      <c r="C171" s="1114"/>
      <c r="D171" s="1114"/>
      <c r="E171" s="1837">
        <v>43769</v>
      </c>
      <c r="F171" s="1132" t="s">
        <v>1199</v>
      </c>
      <c r="G171" s="1114"/>
      <c r="H171" s="1114"/>
      <c r="I171" s="1114"/>
      <c r="J171" s="1114"/>
      <c r="K171" s="1114"/>
      <c r="L171" s="1114"/>
      <c r="M171" s="1114"/>
      <c r="N171" s="1114"/>
      <c r="O171" s="1114"/>
      <c r="P171" s="1114"/>
      <c r="Q171" s="1114"/>
      <c r="R171" s="1114"/>
      <c r="S171" s="1114"/>
      <c r="T171" s="1114"/>
      <c r="U171" s="1114"/>
      <c r="V171" s="1114"/>
      <c r="W171" s="1114"/>
      <c r="X171" s="1114"/>
      <c r="Y171" s="1114"/>
      <c r="Z171" s="1114"/>
      <c r="AA171" s="1114"/>
      <c r="AB171" s="1114"/>
      <c r="AC171" s="1114"/>
      <c r="AD171" s="1114"/>
      <c r="AE171" s="1114"/>
      <c r="AF171" s="1114"/>
      <c r="AG171" s="1114"/>
      <c r="AH171" s="1114"/>
      <c r="AI171" s="1114"/>
      <c r="AJ171" s="1114"/>
      <c r="AK171" s="1114"/>
      <c r="AL171" s="1114"/>
      <c r="AM171" s="1114"/>
      <c r="AN171" s="1114"/>
      <c r="AO171" s="1114"/>
      <c r="AP171" s="1114"/>
      <c r="AQ171" s="1114"/>
      <c r="AR171" s="1114"/>
      <c r="AS171" s="1114"/>
      <c r="AT171" s="1114"/>
      <c r="AU171" s="1114"/>
      <c r="AV171" s="1109"/>
      <c r="AW171" s="1114"/>
      <c r="AX171" s="1114"/>
      <c r="AY171" s="1114"/>
      <c r="AZ171" s="1114"/>
      <c r="BA171" s="1114"/>
      <c r="BB171" s="1114"/>
      <c r="BC171" s="1114"/>
      <c r="BD171" s="1114"/>
      <c r="BE171" s="1114"/>
      <c r="BF171" s="1114"/>
    </row>
    <row r="172" spans="1:58" hidden="1" x14ac:dyDescent="0.25">
      <c r="A172" s="1114"/>
      <c r="B172" s="1114"/>
      <c r="C172" s="1114"/>
      <c r="D172" s="1114"/>
      <c r="E172" s="1837"/>
      <c r="F172" s="1132"/>
      <c r="G172" s="1114"/>
      <c r="H172" s="1114"/>
      <c r="I172" s="1114"/>
      <c r="J172" s="1114"/>
      <c r="K172" s="1114"/>
      <c r="L172" s="1114"/>
      <c r="M172" s="1114"/>
      <c r="N172" s="1114"/>
      <c r="O172" s="1114"/>
      <c r="P172" s="1114"/>
      <c r="Q172" s="1114"/>
      <c r="R172" s="1114"/>
      <c r="S172" s="1114"/>
      <c r="T172" s="1114"/>
      <c r="U172" s="1114"/>
      <c r="V172" s="1114"/>
      <c r="W172" s="1114"/>
      <c r="X172" s="1114"/>
      <c r="Y172" s="1114"/>
      <c r="Z172" s="1114"/>
      <c r="AA172" s="1114"/>
      <c r="AB172" s="1114"/>
      <c r="AC172" s="1114"/>
      <c r="AD172" s="1114"/>
      <c r="AE172" s="1114"/>
      <c r="AF172" s="1114"/>
      <c r="AG172" s="1114"/>
      <c r="AH172" s="1114"/>
      <c r="AI172" s="1114"/>
      <c r="AJ172" s="1114"/>
      <c r="AK172" s="1114"/>
      <c r="AL172" s="1114"/>
      <c r="AM172" s="1114"/>
      <c r="AN172" s="1114"/>
      <c r="AO172" s="1114"/>
      <c r="AP172" s="1114"/>
      <c r="AQ172" s="1114"/>
      <c r="AR172" s="1114"/>
      <c r="AS172" s="1114"/>
      <c r="AT172" s="1114"/>
      <c r="AU172" s="1114"/>
      <c r="AV172" s="1109"/>
      <c r="AW172" s="1114"/>
      <c r="AX172" s="1114"/>
      <c r="AY172" s="1114"/>
      <c r="AZ172" s="1114"/>
      <c r="BA172" s="1114"/>
      <c r="BB172" s="1114"/>
      <c r="BC172" s="1114"/>
      <c r="BD172" s="1114"/>
      <c r="BE172" s="1114"/>
      <c r="BF172" s="1114"/>
    </row>
    <row r="173" spans="1:58" hidden="1" x14ac:dyDescent="0.25">
      <c r="A173" s="1114"/>
      <c r="B173" s="1114"/>
      <c r="C173" s="1114"/>
      <c r="D173" s="1114"/>
      <c r="E173" s="1837">
        <v>44053</v>
      </c>
      <c r="F173" s="1132" t="s">
        <v>1220</v>
      </c>
      <c r="G173" s="1114"/>
      <c r="H173" s="1114"/>
      <c r="I173" s="1114"/>
      <c r="J173" s="1114"/>
      <c r="K173" s="1114"/>
      <c r="L173" s="1114"/>
      <c r="M173" s="1114"/>
      <c r="N173" s="1114"/>
      <c r="O173" s="1114"/>
      <c r="P173" s="1114"/>
      <c r="Q173" s="1114"/>
      <c r="R173" s="1114"/>
      <c r="S173" s="1114"/>
      <c r="T173" s="1114"/>
      <c r="U173" s="1114"/>
      <c r="V173" s="1114"/>
      <c r="W173" s="1114"/>
      <c r="X173" s="1114"/>
      <c r="Y173" s="1114"/>
      <c r="Z173" s="1114"/>
      <c r="AA173" s="1114"/>
      <c r="AB173" s="1114"/>
      <c r="AC173" s="1114"/>
      <c r="AD173" s="1114"/>
      <c r="AE173" s="1114"/>
      <c r="AF173" s="1114"/>
      <c r="AG173" s="1114"/>
      <c r="AH173" s="1114"/>
      <c r="AI173" s="1114"/>
      <c r="AJ173" s="1114"/>
      <c r="AK173" s="1114"/>
      <c r="AL173" s="1114"/>
      <c r="AM173" s="1114"/>
      <c r="AN173" s="1114"/>
      <c r="AO173" s="1114"/>
      <c r="AP173" s="1114"/>
      <c r="AQ173" s="1114"/>
      <c r="AR173" s="1114"/>
      <c r="AS173" s="1114"/>
      <c r="AT173" s="1114"/>
      <c r="AU173" s="1114"/>
      <c r="AV173" s="1109"/>
      <c r="AW173" s="1114"/>
      <c r="AX173" s="1114"/>
      <c r="AY173" s="1114"/>
      <c r="AZ173" s="1114"/>
      <c r="BA173" s="1114"/>
      <c r="BB173" s="1114"/>
      <c r="BC173" s="1114"/>
      <c r="BD173" s="1114"/>
      <c r="BE173" s="1114"/>
      <c r="BF173" s="1114"/>
    </row>
    <row r="174" spans="1:58" hidden="1" x14ac:dyDescent="0.25">
      <c r="A174" s="1114"/>
      <c r="B174" s="1114"/>
      <c r="C174" s="1114"/>
      <c r="D174" s="1114"/>
      <c r="E174" s="1837"/>
      <c r="F174" s="1132" t="s">
        <v>1221</v>
      </c>
      <c r="G174" s="1114"/>
      <c r="H174" s="1114"/>
      <c r="I174" s="1114"/>
      <c r="J174" s="1114"/>
      <c r="K174" s="1114"/>
      <c r="L174" s="1114"/>
      <c r="M174" s="1114"/>
      <c r="N174" s="1114"/>
      <c r="O174" s="1114"/>
      <c r="P174" s="1114"/>
      <c r="Q174" s="1114"/>
      <c r="R174" s="1114"/>
      <c r="S174" s="1114"/>
      <c r="T174" s="1114"/>
      <c r="U174" s="1114"/>
      <c r="V174" s="1114"/>
      <c r="W174" s="1114"/>
      <c r="X174" s="1114"/>
      <c r="Y174" s="1114"/>
      <c r="Z174" s="1114"/>
      <c r="AA174" s="1114"/>
      <c r="AB174" s="1114"/>
      <c r="AC174" s="1114"/>
      <c r="AD174" s="1114"/>
      <c r="AE174" s="1114"/>
      <c r="AF174" s="1114"/>
      <c r="AG174" s="1114"/>
      <c r="AH174" s="1114"/>
      <c r="AI174" s="1114"/>
      <c r="AJ174" s="1114"/>
      <c r="AK174" s="1114"/>
      <c r="AL174" s="1114"/>
      <c r="AM174" s="1114"/>
      <c r="AN174" s="1114"/>
      <c r="AO174" s="1114"/>
      <c r="AP174" s="1114"/>
      <c r="AQ174" s="1114"/>
      <c r="AR174" s="1114"/>
      <c r="AS174" s="1114"/>
      <c r="AT174" s="1114"/>
      <c r="AU174" s="1114"/>
      <c r="AV174" s="1109"/>
      <c r="AW174" s="1114"/>
      <c r="AX174" s="1114"/>
      <c r="AY174" s="1114"/>
      <c r="AZ174" s="1114"/>
      <c r="BA174" s="1114"/>
      <c r="BB174" s="1114"/>
      <c r="BC174" s="1114"/>
      <c r="BD174" s="1114"/>
      <c r="BE174" s="1114"/>
      <c r="BF174" s="1114"/>
    </row>
    <row r="175" spans="1:58" hidden="1" x14ac:dyDescent="0.25">
      <c r="A175" s="1114"/>
      <c r="B175" s="1114"/>
      <c r="C175" s="1114"/>
      <c r="D175" s="1114"/>
      <c r="E175" s="1837"/>
      <c r="F175" s="1132"/>
      <c r="G175" s="1114"/>
      <c r="H175" s="1114"/>
      <c r="I175" s="1114"/>
      <c r="J175" s="1114"/>
      <c r="K175" s="1114"/>
      <c r="L175" s="1114"/>
      <c r="M175" s="1114"/>
      <c r="N175" s="1114"/>
      <c r="O175" s="1114"/>
      <c r="P175" s="1114"/>
      <c r="Q175" s="1114"/>
      <c r="R175" s="1114"/>
      <c r="S175" s="1114"/>
      <c r="T175" s="1114"/>
      <c r="U175" s="1114"/>
      <c r="V175" s="1114"/>
      <c r="W175" s="1114"/>
      <c r="X175" s="1114"/>
      <c r="Y175" s="1114"/>
      <c r="Z175" s="1114"/>
      <c r="AA175" s="1114"/>
      <c r="AB175" s="1114"/>
      <c r="AC175" s="1114"/>
      <c r="AD175" s="1114"/>
      <c r="AE175" s="1114"/>
      <c r="AF175" s="1114"/>
      <c r="AG175" s="1114"/>
      <c r="AH175" s="1114"/>
      <c r="AI175" s="1114"/>
      <c r="AJ175" s="1114"/>
      <c r="AK175" s="1114"/>
      <c r="AL175" s="1114"/>
      <c r="AM175" s="1114"/>
      <c r="AN175" s="1114"/>
      <c r="AO175" s="1114"/>
      <c r="AP175" s="1114"/>
      <c r="AQ175" s="1114"/>
      <c r="AR175" s="1114"/>
      <c r="AS175" s="1114"/>
      <c r="AT175" s="1114"/>
      <c r="AU175" s="1114"/>
      <c r="AV175" s="1109"/>
      <c r="AW175" s="1114"/>
      <c r="AX175" s="1114"/>
      <c r="AY175" s="1114"/>
      <c r="AZ175" s="1114"/>
      <c r="BA175" s="1114"/>
      <c r="BB175" s="1114"/>
      <c r="BC175" s="1114"/>
      <c r="BD175" s="1114"/>
      <c r="BE175" s="1114"/>
      <c r="BF175" s="1114"/>
    </row>
    <row r="176" spans="1:58" x14ac:dyDescent="0.25">
      <c r="A176" s="1114"/>
      <c r="B176" s="1114"/>
      <c r="C176" s="1114"/>
      <c r="D176" s="1114"/>
      <c r="E176" s="1837"/>
      <c r="F176" s="1132"/>
      <c r="G176" s="1114"/>
      <c r="H176" s="1114"/>
      <c r="I176" s="1114"/>
      <c r="J176" s="1114"/>
      <c r="K176" s="1114"/>
      <c r="L176" s="1114"/>
      <c r="M176" s="1114"/>
      <c r="N176" s="1114"/>
      <c r="O176" s="1114"/>
      <c r="P176" s="1114"/>
      <c r="Q176" s="1114"/>
      <c r="R176" s="1114"/>
      <c r="S176" s="1114"/>
      <c r="T176" s="1114"/>
      <c r="U176" s="1114"/>
      <c r="V176" s="1114"/>
      <c r="W176" s="1114"/>
      <c r="X176" s="1114"/>
      <c r="Y176" s="1114"/>
      <c r="Z176" s="1114"/>
      <c r="AA176" s="1114"/>
      <c r="AB176" s="1114"/>
      <c r="AC176" s="1114"/>
      <c r="AD176" s="1114"/>
      <c r="AE176" s="1114"/>
      <c r="AF176" s="1114"/>
      <c r="AG176" s="1114"/>
      <c r="AH176" s="1114"/>
      <c r="AI176" s="1114"/>
      <c r="AJ176" s="1114"/>
      <c r="AK176" s="1114"/>
      <c r="AL176" s="1114"/>
      <c r="AM176" s="1114"/>
      <c r="AN176" s="1114"/>
      <c r="AO176" s="1114"/>
      <c r="AP176" s="1114"/>
      <c r="AQ176" s="1114"/>
      <c r="AR176" s="1114"/>
      <c r="AS176" s="1114"/>
      <c r="AT176" s="1114"/>
      <c r="AU176" s="1114"/>
      <c r="AV176" s="1109"/>
      <c r="AW176" s="1114"/>
      <c r="AX176" s="1114"/>
      <c r="AY176" s="1114"/>
      <c r="AZ176" s="1114"/>
      <c r="BA176" s="1114"/>
      <c r="BB176" s="1114"/>
      <c r="BC176" s="1114"/>
      <c r="BD176" s="1114"/>
      <c r="BE176" s="1114"/>
      <c r="BF176" s="1114"/>
    </row>
    <row r="177" spans="1:58" x14ac:dyDescent="0.25">
      <c r="A177" s="1114"/>
      <c r="B177" s="1114"/>
      <c r="C177" s="1114"/>
      <c r="D177" s="1114"/>
      <c r="E177" s="1837"/>
      <c r="F177" s="1132"/>
      <c r="G177" s="1114"/>
      <c r="H177" s="1114"/>
      <c r="I177" s="1114"/>
      <c r="J177" s="1114"/>
      <c r="K177" s="1114"/>
      <c r="L177" s="1114"/>
      <c r="M177" s="1114"/>
      <c r="N177" s="1114"/>
      <c r="O177" s="1114"/>
      <c r="P177" s="1114"/>
      <c r="Q177" s="1114"/>
      <c r="R177" s="1114"/>
      <c r="S177" s="1114"/>
      <c r="T177" s="1114"/>
      <c r="U177" s="1114"/>
      <c r="V177" s="1114"/>
      <c r="W177" s="1114"/>
      <c r="X177" s="1114"/>
      <c r="Y177" s="1114"/>
      <c r="Z177" s="1114"/>
      <c r="AA177" s="1114"/>
      <c r="AB177" s="1114"/>
      <c r="AC177" s="1114"/>
      <c r="AD177" s="1114"/>
      <c r="AE177" s="1114"/>
      <c r="AF177" s="1114"/>
      <c r="AG177" s="1114"/>
      <c r="AH177" s="1114"/>
      <c r="AI177" s="1114"/>
      <c r="AJ177" s="1114"/>
      <c r="AK177" s="1114"/>
      <c r="AL177" s="1114"/>
      <c r="AM177" s="1114"/>
      <c r="AN177" s="1114"/>
      <c r="AO177" s="1114"/>
      <c r="AP177" s="1114"/>
      <c r="AQ177" s="1114"/>
      <c r="AR177" s="1114"/>
      <c r="AS177" s="1114"/>
      <c r="AT177" s="1114"/>
      <c r="AU177" s="1114"/>
      <c r="AV177" s="1109"/>
      <c r="AW177" s="1114"/>
      <c r="AX177" s="1114"/>
      <c r="AY177" s="1114"/>
      <c r="AZ177" s="1114"/>
      <c r="BA177" s="1114"/>
      <c r="BB177" s="1114"/>
      <c r="BC177" s="1114"/>
      <c r="BD177" s="1114"/>
      <c r="BE177" s="1114"/>
      <c r="BF177" s="1114"/>
    </row>
    <row r="178" spans="1:58" x14ac:dyDescent="0.25">
      <c r="A178" s="1114"/>
      <c r="B178" s="1114"/>
      <c r="C178" s="1114"/>
      <c r="D178" s="1114"/>
      <c r="E178" s="1837"/>
      <c r="F178" s="1132"/>
      <c r="G178" s="1114"/>
      <c r="H178" s="1114"/>
      <c r="I178" s="1114"/>
      <c r="J178" s="1114"/>
      <c r="K178" s="1114"/>
      <c r="L178" s="1114"/>
      <c r="M178" s="1114"/>
      <c r="N178" s="1114"/>
      <c r="O178" s="1114"/>
      <c r="P178" s="1114"/>
      <c r="Q178" s="1114"/>
      <c r="R178" s="1114"/>
      <c r="S178" s="1114"/>
      <c r="T178" s="1114"/>
      <c r="U178" s="1114"/>
      <c r="V178" s="1114"/>
      <c r="W178" s="1114"/>
      <c r="X178" s="1114"/>
      <c r="Y178" s="1114"/>
      <c r="Z178" s="1114"/>
      <c r="AA178" s="1114"/>
      <c r="AB178" s="1114"/>
      <c r="AC178" s="1114"/>
      <c r="AD178" s="1114"/>
      <c r="AE178" s="1114"/>
      <c r="AF178" s="1114"/>
      <c r="AG178" s="1114"/>
      <c r="AH178" s="1114"/>
      <c r="AI178" s="1114"/>
      <c r="AJ178" s="1114"/>
      <c r="AK178" s="1114"/>
      <c r="AL178" s="1114"/>
      <c r="AM178" s="1114"/>
      <c r="AN178" s="1114"/>
      <c r="AO178" s="1114"/>
      <c r="AP178" s="1114"/>
      <c r="AQ178" s="1114"/>
      <c r="AR178" s="1114"/>
      <c r="AS178" s="1114"/>
      <c r="AT178" s="1114"/>
      <c r="AU178" s="1114"/>
      <c r="AV178" s="1109"/>
      <c r="AW178" s="1114"/>
      <c r="AX178" s="1114"/>
      <c r="AY178" s="1114"/>
      <c r="AZ178" s="1114"/>
      <c r="BA178" s="1114"/>
      <c r="BB178" s="1114"/>
      <c r="BC178" s="1114"/>
      <c r="BD178" s="1114"/>
      <c r="BE178" s="1114"/>
      <c r="BF178" s="1114"/>
    </row>
    <row r="179" spans="1:58" x14ac:dyDescent="0.25">
      <c r="A179" s="1114"/>
      <c r="B179" s="1114"/>
      <c r="C179" s="1114"/>
      <c r="D179" s="1114"/>
      <c r="E179" s="1837"/>
      <c r="F179" s="1132"/>
      <c r="G179" s="1114"/>
      <c r="H179" s="1114"/>
      <c r="I179" s="1114"/>
      <c r="J179" s="1114"/>
      <c r="K179" s="1114"/>
      <c r="L179" s="1114"/>
      <c r="M179" s="1114"/>
      <c r="N179" s="1114"/>
      <c r="O179" s="1114"/>
      <c r="P179" s="1114"/>
      <c r="Q179" s="1114"/>
      <c r="R179" s="1114"/>
      <c r="S179" s="1114"/>
      <c r="T179" s="1114"/>
      <c r="U179" s="1114"/>
      <c r="V179" s="1114"/>
      <c r="W179" s="1114"/>
      <c r="X179" s="1114"/>
      <c r="Y179" s="1114"/>
      <c r="Z179" s="1114"/>
      <c r="AA179" s="1114"/>
      <c r="AB179" s="1114"/>
      <c r="AC179" s="1114"/>
      <c r="AD179" s="1114"/>
      <c r="AE179" s="1114"/>
      <c r="AF179" s="1114"/>
      <c r="AG179" s="1114"/>
      <c r="AH179" s="1114"/>
      <c r="AI179" s="1114"/>
      <c r="AJ179" s="1114"/>
      <c r="AK179" s="1114"/>
      <c r="AL179" s="1114"/>
      <c r="AM179" s="1114"/>
      <c r="AN179" s="1114"/>
      <c r="AO179" s="1114"/>
      <c r="AP179" s="1114"/>
      <c r="AQ179" s="1114"/>
      <c r="AR179" s="1114"/>
      <c r="AS179" s="1114"/>
      <c r="AT179" s="1114"/>
      <c r="AU179" s="1114"/>
      <c r="AV179" s="1109"/>
      <c r="AW179" s="1114"/>
      <c r="AX179" s="1114"/>
      <c r="AY179" s="1114"/>
      <c r="AZ179" s="1114"/>
      <c r="BA179" s="1114"/>
      <c r="BB179" s="1114"/>
      <c r="BC179" s="1114"/>
      <c r="BD179" s="1114"/>
      <c r="BE179" s="1114"/>
      <c r="BF179" s="1114"/>
    </row>
    <row r="180" spans="1:58" x14ac:dyDescent="0.25">
      <c r="A180" s="1114"/>
      <c r="B180" s="1114"/>
      <c r="C180" s="1114"/>
      <c r="D180" s="1114"/>
      <c r="E180" s="1837"/>
      <c r="F180" s="1132"/>
      <c r="G180" s="1114"/>
      <c r="H180" s="1114"/>
      <c r="I180" s="1114"/>
      <c r="J180" s="1114"/>
      <c r="K180" s="1114"/>
      <c r="L180" s="1114"/>
      <c r="M180" s="1114"/>
      <c r="N180" s="1114"/>
      <c r="O180" s="1114"/>
      <c r="P180" s="1114"/>
      <c r="Q180" s="1114"/>
      <c r="R180" s="1114"/>
      <c r="S180" s="1114"/>
      <c r="T180" s="1114"/>
      <c r="U180" s="1114"/>
      <c r="V180" s="1114"/>
      <c r="W180" s="1114"/>
      <c r="X180" s="1114"/>
      <c r="Y180" s="1114"/>
      <c r="Z180" s="1114"/>
      <c r="AA180" s="1114"/>
      <c r="AB180" s="1114"/>
      <c r="AC180" s="1114"/>
      <c r="AD180" s="1114"/>
      <c r="AE180" s="1114"/>
      <c r="AF180" s="1114"/>
      <c r="AG180" s="1114"/>
      <c r="AH180" s="1114"/>
      <c r="AI180" s="1114"/>
      <c r="AJ180" s="1114"/>
      <c r="AK180" s="1114"/>
      <c r="AL180" s="1114"/>
      <c r="AM180" s="1114"/>
      <c r="AN180" s="1114"/>
      <c r="AO180" s="1114"/>
      <c r="AP180" s="1114"/>
      <c r="AQ180" s="1114"/>
      <c r="AR180" s="1114"/>
      <c r="AS180" s="1114"/>
      <c r="AT180" s="1114"/>
      <c r="AU180" s="1114"/>
      <c r="AV180" s="1109"/>
      <c r="AW180" s="1114"/>
      <c r="AX180" s="1114"/>
      <c r="AY180" s="1114"/>
      <c r="AZ180" s="1114"/>
      <c r="BA180" s="1114"/>
      <c r="BB180" s="1114"/>
      <c r="BC180" s="1114"/>
      <c r="BD180" s="1114"/>
      <c r="BE180" s="1114"/>
      <c r="BF180" s="1114"/>
    </row>
    <row r="181" spans="1:58" x14ac:dyDescent="0.25">
      <c r="A181" s="1114"/>
      <c r="B181" s="1114"/>
      <c r="C181" s="1114"/>
      <c r="D181" s="1114"/>
      <c r="E181" s="1837"/>
      <c r="F181" s="1132"/>
      <c r="G181" s="1114"/>
      <c r="H181" s="1114"/>
      <c r="I181" s="1114"/>
      <c r="J181" s="1114"/>
      <c r="K181" s="1114"/>
      <c r="L181" s="1114"/>
      <c r="M181" s="1114"/>
      <c r="N181" s="1114"/>
      <c r="O181" s="1114"/>
      <c r="P181" s="1114"/>
      <c r="Q181" s="1114"/>
      <c r="R181" s="1114"/>
      <c r="S181" s="1114"/>
      <c r="T181" s="1114"/>
      <c r="U181" s="1114"/>
      <c r="V181" s="1114"/>
      <c r="W181" s="1114"/>
      <c r="X181" s="1114"/>
      <c r="Y181" s="1114"/>
      <c r="Z181" s="1114"/>
      <c r="AA181" s="1114"/>
      <c r="AB181" s="1114"/>
      <c r="AC181" s="1114"/>
      <c r="AD181" s="1114"/>
      <c r="AE181" s="1114"/>
      <c r="AF181" s="1114"/>
      <c r="AG181" s="1114"/>
      <c r="AH181" s="1114"/>
      <c r="AI181" s="1114"/>
      <c r="AJ181" s="1114"/>
      <c r="AK181" s="1114"/>
      <c r="AL181" s="1114"/>
      <c r="AM181" s="1114"/>
      <c r="AN181" s="1114"/>
      <c r="AO181" s="1114"/>
      <c r="AP181" s="1114"/>
      <c r="AQ181" s="1114"/>
      <c r="AR181" s="1114"/>
      <c r="AS181" s="1114"/>
      <c r="AT181" s="1114"/>
      <c r="AU181" s="1114"/>
      <c r="AV181" s="1109"/>
      <c r="AW181" s="1114"/>
      <c r="AX181" s="1114"/>
      <c r="AY181" s="1114"/>
      <c r="AZ181" s="1114"/>
      <c r="BA181" s="1114"/>
      <c r="BB181" s="1114"/>
      <c r="BC181" s="1114"/>
      <c r="BD181" s="1114"/>
      <c r="BE181" s="1114"/>
      <c r="BF181" s="1114"/>
    </row>
    <row r="182" spans="1:58" x14ac:dyDescent="0.25">
      <c r="A182" s="1114"/>
      <c r="B182" s="1114"/>
      <c r="C182" s="1114"/>
      <c r="D182" s="1114"/>
      <c r="E182" s="1837"/>
      <c r="F182" s="1132"/>
      <c r="G182" s="1114"/>
      <c r="H182" s="1114"/>
      <c r="I182" s="1114"/>
      <c r="J182" s="1114"/>
      <c r="K182" s="1114"/>
      <c r="L182" s="1114"/>
      <c r="M182" s="1114"/>
      <c r="N182" s="1114"/>
      <c r="O182" s="1114"/>
      <c r="P182" s="1114"/>
      <c r="Q182" s="1114"/>
      <c r="R182" s="1114"/>
      <c r="S182" s="1114"/>
      <c r="T182" s="1114"/>
      <c r="U182" s="1114"/>
      <c r="V182" s="1114"/>
      <c r="W182" s="1114"/>
      <c r="X182" s="1114"/>
      <c r="Y182" s="1114"/>
      <c r="Z182" s="1114"/>
      <c r="AA182" s="1114"/>
      <c r="AB182" s="1114"/>
      <c r="AC182" s="1114"/>
      <c r="AD182" s="1114"/>
      <c r="AE182" s="1114"/>
      <c r="AF182" s="1114"/>
      <c r="AG182" s="1114"/>
      <c r="AH182" s="1114"/>
      <c r="AI182" s="1114"/>
      <c r="AJ182" s="1114"/>
      <c r="AK182" s="1114"/>
      <c r="AL182" s="1114"/>
      <c r="AM182" s="1114"/>
      <c r="AN182" s="1114"/>
      <c r="AO182" s="1114"/>
      <c r="AP182" s="1114"/>
      <c r="AQ182" s="1114"/>
      <c r="AR182" s="1114"/>
      <c r="AS182" s="1114"/>
      <c r="AT182" s="1114"/>
      <c r="AU182" s="1114"/>
      <c r="AV182" s="1109"/>
      <c r="AW182" s="1114"/>
      <c r="AX182" s="1114"/>
      <c r="AY182" s="1114"/>
      <c r="AZ182" s="1114"/>
      <c r="BA182" s="1114"/>
      <c r="BB182" s="1114"/>
      <c r="BC182" s="1114"/>
      <c r="BD182" s="1114"/>
      <c r="BE182" s="1114"/>
      <c r="BF182" s="1114"/>
    </row>
    <row r="183" spans="1:58" x14ac:dyDescent="0.25">
      <c r="A183" s="1114"/>
      <c r="B183" s="1114"/>
      <c r="C183" s="1114"/>
      <c r="D183" s="1114"/>
      <c r="E183" s="1837"/>
      <c r="F183" s="1132"/>
      <c r="G183" s="1114"/>
      <c r="H183" s="1114"/>
      <c r="I183" s="1114"/>
      <c r="J183" s="1114"/>
      <c r="K183" s="1114"/>
      <c r="L183" s="1114"/>
      <c r="M183" s="1114"/>
      <c r="N183" s="1114"/>
      <c r="O183" s="1114"/>
      <c r="P183" s="1114"/>
      <c r="Q183" s="1114"/>
      <c r="R183" s="1114"/>
      <c r="S183" s="1114"/>
      <c r="T183" s="1114"/>
      <c r="U183" s="1114"/>
      <c r="V183" s="1114"/>
      <c r="W183" s="1114"/>
      <c r="X183" s="1114"/>
      <c r="Y183" s="1114"/>
      <c r="Z183" s="1114"/>
      <c r="AA183" s="1114"/>
      <c r="AB183" s="1114"/>
      <c r="AC183" s="1114"/>
      <c r="AD183" s="1114"/>
      <c r="AE183" s="1114"/>
      <c r="AF183" s="1114"/>
      <c r="AG183" s="1114"/>
      <c r="AH183" s="1114"/>
      <c r="AI183" s="1114"/>
      <c r="AJ183" s="1114"/>
      <c r="AK183" s="1114"/>
      <c r="AL183" s="1114"/>
      <c r="AM183" s="1114"/>
      <c r="AN183" s="1114"/>
      <c r="AO183" s="1114"/>
      <c r="AP183" s="1114"/>
      <c r="AQ183" s="1114"/>
      <c r="AR183" s="1114"/>
      <c r="AS183" s="1114"/>
      <c r="AT183" s="1114"/>
      <c r="AU183" s="1114"/>
      <c r="AV183" s="1109"/>
      <c r="AW183" s="1114"/>
      <c r="AX183" s="1114"/>
      <c r="AY183" s="1114"/>
      <c r="AZ183" s="1114"/>
      <c r="BA183" s="1114"/>
      <c r="BB183" s="1114"/>
      <c r="BC183" s="1114"/>
      <c r="BD183" s="1114"/>
      <c r="BE183" s="1114"/>
      <c r="BF183" s="1114"/>
    </row>
    <row r="184" spans="1:58" x14ac:dyDescent="0.25">
      <c r="A184" s="1114"/>
      <c r="B184" s="1114"/>
      <c r="C184" s="1114"/>
      <c r="D184" s="1114"/>
      <c r="E184" s="1837"/>
      <c r="F184" s="1132"/>
      <c r="G184" s="1114"/>
      <c r="H184" s="1114"/>
      <c r="I184" s="1114"/>
      <c r="J184" s="1114"/>
      <c r="K184" s="1114"/>
      <c r="L184" s="1114"/>
      <c r="M184" s="1114"/>
      <c r="N184" s="1114"/>
      <c r="O184" s="1114"/>
      <c r="P184" s="1114"/>
      <c r="Q184" s="1114"/>
      <c r="R184" s="1114"/>
      <c r="S184" s="1114"/>
      <c r="T184" s="1114"/>
      <c r="U184" s="1114"/>
      <c r="V184" s="1114"/>
      <c r="W184" s="1114"/>
      <c r="X184" s="1114"/>
      <c r="Y184" s="1114"/>
      <c r="Z184" s="1114"/>
      <c r="AA184" s="1114"/>
      <c r="AB184" s="1114"/>
      <c r="AC184" s="1114"/>
      <c r="AD184" s="1114"/>
      <c r="AE184" s="1114"/>
      <c r="AF184" s="1114"/>
      <c r="AG184" s="1114"/>
      <c r="AH184" s="1114"/>
      <c r="AI184" s="1114"/>
      <c r="AJ184" s="1114"/>
      <c r="AK184" s="1114"/>
      <c r="AL184" s="1114"/>
      <c r="AM184" s="1114"/>
      <c r="AN184" s="1114"/>
      <c r="AO184" s="1114"/>
      <c r="AP184" s="1114"/>
      <c r="AQ184" s="1114"/>
      <c r="AR184" s="1114"/>
      <c r="AS184" s="1114"/>
      <c r="AT184" s="1114"/>
      <c r="AU184" s="1114"/>
      <c r="AV184" s="1109"/>
      <c r="AW184" s="1114"/>
      <c r="AX184" s="1114"/>
      <c r="AY184" s="1114"/>
      <c r="AZ184" s="1114"/>
      <c r="BA184" s="1114"/>
      <c r="BB184" s="1114"/>
      <c r="BC184" s="1114"/>
      <c r="BD184" s="1114"/>
      <c r="BE184" s="1114"/>
      <c r="BF184" s="1114"/>
    </row>
    <row r="185" spans="1:58" x14ac:dyDescent="0.25">
      <c r="A185" s="1114"/>
      <c r="B185" s="1114"/>
      <c r="C185" s="1114"/>
      <c r="D185" s="1114"/>
      <c r="E185" s="1837"/>
      <c r="F185" s="1132"/>
      <c r="G185" s="1114"/>
      <c r="H185" s="1114"/>
      <c r="I185" s="1114"/>
      <c r="J185" s="1114"/>
      <c r="K185" s="1114"/>
      <c r="L185" s="1114"/>
      <c r="M185" s="1114"/>
      <c r="N185" s="1114"/>
      <c r="O185" s="1114"/>
      <c r="P185" s="1114"/>
      <c r="Q185" s="1114"/>
      <c r="R185" s="1114"/>
      <c r="S185" s="1114"/>
      <c r="T185" s="1114"/>
      <c r="U185" s="1114"/>
      <c r="V185" s="1114"/>
      <c r="W185" s="1114"/>
      <c r="X185" s="1114"/>
      <c r="Y185" s="1114"/>
      <c r="Z185" s="1114"/>
      <c r="AA185" s="1114"/>
      <c r="AB185" s="1114"/>
      <c r="AC185" s="1114"/>
      <c r="AD185" s="1114"/>
      <c r="AE185" s="1114"/>
      <c r="AF185" s="1114"/>
      <c r="AG185" s="1114"/>
      <c r="AH185" s="1114"/>
      <c r="AI185" s="1114"/>
      <c r="AJ185" s="1114"/>
      <c r="AK185" s="1114"/>
      <c r="AL185" s="1114"/>
      <c r="AM185" s="1114"/>
      <c r="AN185" s="1114"/>
      <c r="AO185" s="1114"/>
      <c r="AP185" s="1114"/>
      <c r="AQ185" s="1114"/>
      <c r="AR185" s="1114"/>
      <c r="AS185" s="1114"/>
      <c r="AT185" s="1114"/>
      <c r="AU185" s="1114"/>
      <c r="AV185" s="1109"/>
      <c r="AW185" s="1114"/>
      <c r="AX185" s="1114"/>
      <c r="AY185" s="1114"/>
      <c r="AZ185" s="1114"/>
      <c r="BA185" s="1114"/>
      <c r="BB185" s="1114"/>
      <c r="BC185" s="1114"/>
      <c r="BD185" s="1114"/>
      <c r="BE185" s="1114"/>
      <c r="BF185" s="1114"/>
    </row>
    <row r="186" spans="1:58" x14ac:dyDescent="0.25">
      <c r="A186" s="1114"/>
      <c r="B186" s="1114"/>
      <c r="C186" s="1114"/>
      <c r="D186" s="1114"/>
      <c r="E186" s="1837"/>
      <c r="F186" s="1132"/>
      <c r="G186" s="1114"/>
      <c r="H186" s="1114"/>
      <c r="I186" s="1114"/>
      <c r="J186" s="1114"/>
      <c r="K186" s="1114"/>
      <c r="L186" s="1114"/>
      <c r="M186" s="1114"/>
      <c r="N186" s="1114"/>
      <c r="O186" s="1114"/>
      <c r="P186" s="1114"/>
      <c r="Q186" s="1114"/>
      <c r="R186" s="1114"/>
      <c r="S186" s="1114"/>
      <c r="T186" s="1114"/>
      <c r="U186" s="1114"/>
      <c r="V186" s="1114"/>
      <c r="W186" s="1114"/>
      <c r="X186" s="1114"/>
      <c r="Y186" s="1114"/>
      <c r="Z186" s="1114"/>
      <c r="AA186" s="1114"/>
      <c r="AB186" s="1114"/>
      <c r="AC186" s="1114"/>
      <c r="AD186" s="1114"/>
      <c r="AE186" s="1114"/>
      <c r="AF186" s="1114"/>
      <c r="AG186" s="1114"/>
      <c r="AH186" s="1114"/>
      <c r="AI186" s="1114"/>
      <c r="AJ186" s="1114"/>
      <c r="AK186" s="1114"/>
      <c r="AL186" s="1114"/>
      <c r="AM186" s="1114"/>
      <c r="AN186" s="1114"/>
      <c r="AO186" s="1114"/>
      <c r="AP186" s="1114"/>
      <c r="AQ186" s="1114"/>
      <c r="AR186" s="1114"/>
      <c r="AS186" s="1114"/>
      <c r="AT186" s="1114"/>
      <c r="AU186" s="1114"/>
      <c r="AV186" s="1109"/>
      <c r="AW186" s="1114"/>
      <c r="AX186" s="1114"/>
      <c r="AY186" s="1114"/>
      <c r="AZ186" s="1114"/>
      <c r="BA186" s="1114"/>
      <c r="BB186" s="1114"/>
      <c r="BC186" s="1114"/>
      <c r="BD186" s="1114"/>
      <c r="BE186" s="1114"/>
      <c r="BF186" s="1114"/>
    </row>
    <row r="187" spans="1:58" x14ac:dyDescent="0.25">
      <c r="A187" s="1114"/>
      <c r="B187" s="1114"/>
      <c r="C187" s="1114"/>
      <c r="D187" s="1114"/>
      <c r="E187" s="1837"/>
      <c r="F187" s="1132"/>
      <c r="G187" s="1114"/>
      <c r="H187" s="1114"/>
      <c r="I187" s="1114"/>
      <c r="J187" s="1114"/>
      <c r="K187" s="1114"/>
      <c r="L187" s="1114"/>
      <c r="M187" s="1114"/>
      <c r="N187" s="1114"/>
      <c r="O187" s="1114"/>
      <c r="P187" s="1114"/>
      <c r="Q187" s="1114"/>
      <c r="R187" s="1114"/>
      <c r="S187" s="1114"/>
      <c r="T187" s="1114"/>
      <c r="U187" s="1114"/>
      <c r="V187" s="1114"/>
      <c r="W187" s="1114"/>
      <c r="X187" s="1114"/>
      <c r="Y187" s="1114"/>
      <c r="Z187" s="1114"/>
      <c r="AA187" s="1114"/>
      <c r="AB187" s="1114"/>
      <c r="AC187" s="1114"/>
      <c r="AD187" s="1114"/>
      <c r="AE187" s="1114"/>
      <c r="AF187" s="1114"/>
      <c r="AG187" s="1114"/>
      <c r="AH187" s="1114"/>
      <c r="AI187" s="1114"/>
      <c r="AJ187" s="1114"/>
      <c r="AK187" s="1114"/>
      <c r="AL187" s="1114"/>
      <c r="AM187" s="1114"/>
      <c r="AN187" s="1114"/>
      <c r="AO187" s="1114"/>
      <c r="AP187" s="1114"/>
      <c r="AQ187" s="1114"/>
      <c r="AR187" s="1114"/>
      <c r="AS187" s="1114"/>
      <c r="AT187" s="1114"/>
      <c r="AU187" s="1114"/>
      <c r="AV187" s="1109"/>
      <c r="AW187" s="1114"/>
      <c r="AX187" s="1114"/>
      <c r="AY187" s="1114"/>
      <c r="AZ187" s="1114"/>
      <c r="BA187" s="1114"/>
      <c r="BB187" s="1114"/>
      <c r="BC187" s="1114"/>
      <c r="BD187" s="1114"/>
      <c r="BE187" s="1114"/>
      <c r="BF187" s="1114"/>
    </row>
    <row r="188" spans="1:58" x14ac:dyDescent="0.25">
      <c r="A188" s="1114"/>
      <c r="B188" s="1114"/>
      <c r="C188" s="1114"/>
      <c r="D188" s="1114"/>
      <c r="E188" s="1837"/>
      <c r="F188" s="1132"/>
      <c r="G188" s="1114"/>
      <c r="H188" s="1114"/>
      <c r="I188" s="1114"/>
      <c r="J188" s="1114"/>
      <c r="K188" s="1114"/>
      <c r="L188" s="1114"/>
      <c r="M188" s="1114"/>
      <c r="N188" s="1114"/>
      <c r="O188" s="1114"/>
      <c r="P188" s="1114"/>
      <c r="Q188" s="1114"/>
      <c r="R188" s="1114"/>
      <c r="S188" s="1114"/>
      <c r="T188" s="1114"/>
      <c r="U188" s="1114"/>
      <c r="V188" s="1114"/>
      <c r="W188" s="1114"/>
      <c r="X188" s="1114"/>
      <c r="Y188" s="1114"/>
      <c r="Z188" s="1114"/>
      <c r="AA188" s="1114"/>
      <c r="AB188" s="1114"/>
      <c r="AC188" s="1114"/>
      <c r="AD188" s="1114"/>
      <c r="AE188" s="1114"/>
      <c r="AF188" s="1114"/>
      <c r="AG188" s="1114"/>
      <c r="AH188" s="1114"/>
      <c r="AI188" s="1114"/>
      <c r="AJ188" s="1114"/>
      <c r="AK188" s="1114"/>
      <c r="AL188" s="1114"/>
      <c r="AM188" s="1114"/>
      <c r="AN188" s="1114"/>
      <c r="AO188" s="1114"/>
      <c r="AP188" s="1114"/>
      <c r="AQ188" s="1114"/>
      <c r="AR188" s="1114"/>
      <c r="AS188" s="1114"/>
      <c r="AT188" s="1114"/>
      <c r="AU188" s="1114"/>
      <c r="AV188" s="1109"/>
      <c r="AW188" s="1114"/>
      <c r="AX188" s="1114"/>
      <c r="AY188" s="1114"/>
      <c r="AZ188" s="1114"/>
      <c r="BA188" s="1114"/>
      <c r="BB188" s="1114"/>
      <c r="BC188" s="1114"/>
      <c r="BD188" s="1114"/>
      <c r="BE188" s="1114"/>
      <c r="BF188" s="1114"/>
    </row>
    <row r="189" spans="1:58" x14ac:dyDescent="0.25">
      <c r="A189" s="1114"/>
      <c r="B189" s="1114"/>
      <c r="C189" s="1114"/>
      <c r="D189" s="1114"/>
      <c r="E189" s="1837"/>
      <c r="F189" s="1132"/>
      <c r="G189" s="1114"/>
      <c r="H189" s="1114"/>
      <c r="I189" s="1114"/>
      <c r="J189" s="1114"/>
      <c r="K189" s="1114"/>
      <c r="L189" s="1114"/>
      <c r="M189" s="1114"/>
      <c r="N189" s="1114"/>
      <c r="O189" s="1114"/>
      <c r="P189" s="1114"/>
      <c r="Q189" s="1114"/>
      <c r="R189" s="1114"/>
      <c r="S189" s="1114"/>
      <c r="T189" s="1114"/>
      <c r="U189" s="1114"/>
      <c r="V189" s="1114"/>
      <c r="W189" s="1114"/>
      <c r="X189" s="1114"/>
      <c r="Y189" s="1114"/>
      <c r="Z189" s="1114"/>
      <c r="AA189" s="1114"/>
      <c r="AB189" s="1114"/>
      <c r="AC189" s="1114"/>
      <c r="AD189" s="1114"/>
      <c r="AE189" s="1114"/>
      <c r="AF189" s="1114"/>
      <c r="AG189" s="1114"/>
      <c r="AH189" s="1114"/>
      <c r="AI189" s="1114"/>
      <c r="AJ189" s="1114"/>
      <c r="AK189" s="1114"/>
      <c r="AL189" s="1114"/>
      <c r="AM189" s="1114"/>
      <c r="AN189" s="1114"/>
      <c r="AO189" s="1114"/>
      <c r="AP189" s="1114"/>
      <c r="AQ189" s="1114"/>
      <c r="AR189" s="1114"/>
      <c r="AS189" s="1114"/>
      <c r="AT189" s="1114"/>
      <c r="AU189" s="1114"/>
      <c r="AV189" s="1109"/>
      <c r="AW189" s="1114"/>
      <c r="AX189" s="1114"/>
      <c r="AY189" s="1114"/>
      <c r="AZ189" s="1114"/>
      <c r="BA189" s="1114"/>
      <c r="BB189" s="1114"/>
      <c r="BC189" s="1114"/>
      <c r="BD189" s="1114"/>
      <c r="BE189" s="1114"/>
      <c r="BF189" s="1114"/>
    </row>
    <row r="190" spans="1:58" x14ac:dyDescent="0.25">
      <c r="A190" s="1114"/>
      <c r="B190" s="1114"/>
      <c r="C190" s="1114"/>
      <c r="D190" s="1114"/>
      <c r="E190" s="1837"/>
      <c r="F190" s="1132"/>
      <c r="G190" s="1114"/>
      <c r="H190" s="1114"/>
      <c r="I190" s="1114"/>
      <c r="J190" s="1114"/>
      <c r="K190" s="1114"/>
      <c r="L190" s="1114"/>
      <c r="M190" s="1114"/>
      <c r="N190" s="1114"/>
      <c r="O190" s="1114"/>
      <c r="P190" s="1114"/>
      <c r="Q190" s="1114"/>
      <c r="R190" s="1114"/>
      <c r="S190" s="1114"/>
      <c r="T190" s="1114"/>
      <c r="U190" s="1114"/>
      <c r="V190" s="1114"/>
      <c r="W190" s="1114"/>
      <c r="X190" s="1114"/>
      <c r="Y190" s="1114"/>
      <c r="Z190" s="1114"/>
      <c r="AA190" s="1114"/>
      <c r="AB190" s="1114"/>
      <c r="AC190" s="1114"/>
      <c r="AD190" s="1114"/>
      <c r="AE190" s="1114"/>
      <c r="AF190" s="1114"/>
      <c r="AG190" s="1114"/>
      <c r="AH190" s="1114"/>
      <c r="AI190" s="1114"/>
      <c r="AJ190" s="1114"/>
      <c r="AK190" s="1114"/>
      <c r="AL190" s="1114"/>
      <c r="AM190" s="1114"/>
      <c r="AN190" s="1114"/>
      <c r="AO190" s="1114"/>
      <c r="AP190" s="1114"/>
      <c r="AQ190" s="1114"/>
      <c r="AR190" s="1114"/>
      <c r="AS190" s="1114"/>
      <c r="AT190" s="1114"/>
      <c r="AU190" s="1114"/>
      <c r="AV190" s="1109"/>
      <c r="AW190" s="1114"/>
      <c r="AX190" s="1114"/>
      <c r="AY190" s="1114"/>
      <c r="AZ190" s="1114"/>
      <c r="BA190" s="1114"/>
      <c r="BB190" s="1114"/>
      <c r="BC190" s="1114"/>
      <c r="BD190" s="1114"/>
      <c r="BE190" s="1114"/>
      <c r="BF190" s="1114"/>
    </row>
    <row r="191" spans="1:58" x14ac:dyDescent="0.25">
      <c r="A191" s="1114"/>
      <c r="B191" s="1114"/>
      <c r="C191" s="1114"/>
      <c r="D191" s="1114"/>
      <c r="E191" s="1837"/>
      <c r="F191" s="1132"/>
      <c r="G191" s="1114"/>
      <c r="H191" s="1114"/>
      <c r="I191" s="1114"/>
      <c r="J191" s="1114"/>
      <c r="K191" s="1114"/>
      <c r="L191" s="1114"/>
      <c r="M191" s="1114"/>
      <c r="N191" s="1114"/>
      <c r="O191" s="1114"/>
      <c r="P191" s="1114"/>
      <c r="Q191" s="1114"/>
      <c r="R191" s="1114"/>
      <c r="S191" s="1114"/>
      <c r="T191" s="1114"/>
      <c r="U191" s="1114"/>
      <c r="V191" s="1114"/>
      <c r="W191" s="1114"/>
      <c r="X191" s="1114"/>
      <c r="Y191" s="1114"/>
      <c r="Z191" s="1114"/>
      <c r="AA191" s="1114"/>
      <c r="AB191" s="1114"/>
      <c r="AC191" s="1114"/>
      <c r="AD191" s="1114"/>
      <c r="AE191" s="1114"/>
      <c r="AF191" s="1114"/>
      <c r="AG191" s="1114"/>
      <c r="AH191" s="1114"/>
      <c r="AI191" s="1114"/>
      <c r="AJ191" s="1114"/>
      <c r="AK191" s="1114"/>
      <c r="AL191" s="1114"/>
      <c r="AM191" s="1114"/>
      <c r="AN191" s="1114"/>
      <c r="AO191" s="1114"/>
      <c r="AP191" s="1114"/>
      <c r="AQ191" s="1114"/>
      <c r="AR191" s="1114"/>
      <c r="AS191" s="1114"/>
      <c r="AT191" s="1114"/>
      <c r="AU191" s="1114"/>
      <c r="AV191" s="1109"/>
      <c r="AW191" s="1114"/>
      <c r="AX191" s="1114"/>
      <c r="AY191" s="1114"/>
      <c r="AZ191" s="1114"/>
      <c r="BA191" s="1114"/>
      <c r="BB191" s="1114"/>
      <c r="BC191" s="1114"/>
      <c r="BD191" s="1114"/>
      <c r="BE191" s="1114"/>
      <c r="BF191" s="1114"/>
    </row>
    <row r="192" spans="1:58" x14ac:dyDescent="0.25">
      <c r="A192" s="1114"/>
      <c r="B192" s="1114"/>
      <c r="C192" s="1114"/>
      <c r="D192" s="1114"/>
      <c r="E192" s="1837"/>
      <c r="F192" s="1132"/>
      <c r="G192" s="1114"/>
      <c r="H192" s="1114"/>
      <c r="I192" s="1114"/>
      <c r="J192" s="1114"/>
      <c r="K192" s="1114"/>
      <c r="L192" s="1114"/>
      <c r="M192" s="1114"/>
      <c r="N192" s="1114"/>
      <c r="O192" s="1114"/>
      <c r="P192" s="1114"/>
      <c r="Q192" s="1114"/>
      <c r="R192" s="1114"/>
      <c r="S192" s="1114"/>
      <c r="T192" s="1114"/>
      <c r="U192" s="1114"/>
      <c r="V192" s="1114"/>
      <c r="W192" s="1114"/>
      <c r="X192" s="1114"/>
      <c r="Y192" s="1114"/>
      <c r="Z192" s="1114"/>
      <c r="AA192" s="1114"/>
      <c r="AB192" s="1114"/>
      <c r="AC192" s="1114"/>
      <c r="AD192" s="1114"/>
      <c r="AE192" s="1114"/>
      <c r="AF192" s="1114"/>
      <c r="AG192" s="1114"/>
      <c r="AH192" s="1114"/>
      <c r="AI192" s="1114"/>
      <c r="AJ192" s="1114"/>
      <c r="AK192" s="1114"/>
      <c r="AL192" s="1114"/>
      <c r="AM192" s="1114"/>
      <c r="AN192" s="1114"/>
      <c r="AO192" s="1114"/>
      <c r="AP192" s="1114"/>
      <c r="AQ192" s="1114"/>
      <c r="AR192" s="1114"/>
      <c r="AS192" s="1114"/>
      <c r="AT192" s="1114"/>
      <c r="AU192" s="1114"/>
      <c r="AV192" s="1109"/>
      <c r="AW192" s="1114"/>
      <c r="AX192" s="1114"/>
      <c r="AY192" s="1114"/>
      <c r="AZ192" s="1114"/>
      <c r="BA192" s="1114"/>
      <c r="BB192" s="1114"/>
      <c r="BC192" s="1114"/>
      <c r="BD192" s="1114"/>
      <c r="BE192" s="1114"/>
      <c r="BF192" s="1114"/>
    </row>
    <row r="193" spans="1:58" x14ac:dyDescent="0.25">
      <c r="A193" s="1114"/>
      <c r="B193" s="1114"/>
      <c r="C193" s="1114"/>
      <c r="D193" s="1114"/>
      <c r="E193" s="1837"/>
      <c r="F193" s="1132"/>
      <c r="G193" s="1114"/>
      <c r="H193" s="1114"/>
      <c r="I193" s="1114"/>
      <c r="J193" s="1114"/>
      <c r="K193" s="1114"/>
      <c r="L193" s="1114"/>
      <c r="M193" s="1114"/>
      <c r="N193" s="1114"/>
      <c r="O193" s="1114"/>
      <c r="P193" s="1114"/>
      <c r="Q193" s="1114"/>
      <c r="R193" s="1114"/>
      <c r="S193" s="1114"/>
      <c r="T193" s="1114"/>
      <c r="U193" s="1114"/>
      <c r="V193" s="1114"/>
      <c r="W193" s="1114"/>
      <c r="X193" s="1114"/>
      <c r="Y193" s="1114"/>
      <c r="Z193" s="1114"/>
      <c r="AA193" s="1114"/>
      <c r="AB193" s="1114"/>
      <c r="AC193" s="1114"/>
      <c r="AD193" s="1114"/>
      <c r="AE193" s="1114"/>
      <c r="AF193" s="1114"/>
      <c r="AG193" s="1114"/>
      <c r="AH193" s="1114"/>
      <c r="AI193" s="1114"/>
      <c r="AJ193" s="1114"/>
      <c r="AK193" s="1114"/>
      <c r="AL193" s="1114"/>
      <c r="AM193" s="1114"/>
      <c r="AN193" s="1114"/>
      <c r="AO193" s="1114"/>
      <c r="AP193" s="1114"/>
      <c r="AQ193" s="1114"/>
      <c r="AR193" s="1114"/>
      <c r="AS193" s="1114"/>
      <c r="AT193" s="1114"/>
      <c r="AU193" s="1114"/>
      <c r="AV193" s="1109"/>
      <c r="AW193" s="1114"/>
      <c r="AX193" s="1114"/>
      <c r="AY193" s="1114"/>
      <c r="AZ193" s="1114"/>
      <c r="BA193" s="1114"/>
      <c r="BB193" s="1114"/>
      <c r="BC193" s="1114"/>
      <c r="BD193" s="1114"/>
      <c r="BE193" s="1114"/>
      <c r="BF193" s="1114"/>
    </row>
    <row r="194" spans="1:58" x14ac:dyDescent="0.25">
      <c r="A194" s="1114"/>
      <c r="B194" s="1114"/>
      <c r="C194" s="1114"/>
      <c r="D194" s="1114"/>
      <c r="E194" s="1837"/>
      <c r="F194" s="1132"/>
      <c r="G194" s="1114"/>
      <c r="H194" s="1114"/>
      <c r="I194" s="1114"/>
      <c r="J194" s="1114"/>
      <c r="K194" s="1114"/>
      <c r="L194" s="1114"/>
      <c r="M194" s="1114"/>
      <c r="N194" s="1114"/>
      <c r="O194" s="1114"/>
      <c r="P194" s="1114"/>
      <c r="Q194" s="1114"/>
      <c r="R194" s="1114"/>
      <c r="S194" s="1114"/>
      <c r="T194" s="1114"/>
      <c r="U194" s="1114"/>
      <c r="V194" s="1114"/>
      <c r="W194" s="1114"/>
      <c r="X194" s="1114"/>
      <c r="Y194" s="1114"/>
      <c r="Z194" s="1114"/>
      <c r="AA194" s="1114"/>
      <c r="AB194" s="1114"/>
      <c r="AC194" s="1114"/>
      <c r="AD194" s="1114"/>
      <c r="AE194" s="1114"/>
      <c r="AF194" s="1114"/>
      <c r="AG194" s="1114"/>
      <c r="AH194" s="1114"/>
      <c r="AI194" s="1114"/>
      <c r="AJ194" s="1114"/>
      <c r="AK194" s="1114"/>
      <c r="AL194" s="1114"/>
      <c r="AM194" s="1114"/>
      <c r="AN194" s="1114"/>
      <c r="AO194" s="1114"/>
      <c r="AP194" s="1114"/>
      <c r="AQ194" s="1114"/>
      <c r="AR194" s="1114"/>
      <c r="AS194" s="1114"/>
      <c r="AT194" s="1114"/>
      <c r="AU194" s="1114"/>
      <c r="AV194" s="1109"/>
      <c r="AW194" s="1114"/>
      <c r="AX194" s="1114"/>
      <c r="AY194" s="1114"/>
      <c r="AZ194" s="1114"/>
      <c r="BA194" s="1114"/>
      <c r="BB194" s="1114"/>
      <c r="BC194" s="1114"/>
      <c r="BD194" s="1114"/>
      <c r="BE194" s="1114"/>
      <c r="BF194" s="1114"/>
    </row>
    <row r="195" spans="1:58" x14ac:dyDescent="0.25">
      <c r="A195" s="1114"/>
      <c r="B195" s="1114"/>
      <c r="C195" s="1114"/>
      <c r="D195" s="1114"/>
      <c r="E195" s="1837"/>
      <c r="F195" s="1132"/>
      <c r="G195" s="1114"/>
      <c r="H195" s="1114"/>
      <c r="I195" s="1114"/>
      <c r="J195" s="1114"/>
      <c r="K195" s="1114"/>
      <c r="L195" s="1114"/>
      <c r="M195" s="1114"/>
      <c r="N195" s="1114"/>
      <c r="O195" s="1114"/>
      <c r="P195" s="1114"/>
      <c r="Q195" s="1114"/>
      <c r="R195" s="1114"/>
      <c r="S195" s="1114"/>
      <c r="T195" s="1114"/>
      <c r="U195" s="1114"/>
      <c r="V195" s="1114"/>
      <c r="W195" s="1114"/>
      <c r="X195" s="1114"/>
      <c r="Y195" s="1114"/>
      <c r="Z195" s="1114"/>
      <c r="AA195" s="1114"/>
      <c r="AB195" s="1114"/>
      <c r="AC195" s="1114"/>
      <c r="AD195" s="1114"/>
      <c r="AE195" s="1114"/>
      <c r="AF195" s="1114"/>
      <c r="AG195" s="1114"/>
      <c r="AH195" s="1114"/>
      <c r="AI195" s="1114"/>
      <c r="AJ195" s="1114"/>
      <c r="AK195" s="1114"/>
      <c r="AL195" s="1114"/>
      <c r="AM195" s="1114"/>
      <c r="AN195" s="1114"/>
      <c r="AO195" s="1114"/>
      <c r="AP195" s="1114"/>
      <c r="AQ195" s="1114"/>
      <c r="AR195" s="1114"/>
      <c r="AS195" s="1114"/>
      <c r="AT195" s="1114"/>
      <c r="AU195" s="1114"/>
      <c r="AV195" s="1109"/>
      <c r="AW195" s="1114"/>
      <c r="AX195" s="1114"/>
      <c r="AY195" s="1114"/>
      <c r="AZ195" s="1114"/>
      <c r="BA195" s="1114"/>
      <c r="BB195" s="1114"/>
      <c r="BC195" s="1114"/>
      <c r="BD195" s="1114"/>
      <c r="BE195" s="1114"/>
      <c r="BF195" s="1114"/>
    </row>
    <row r="196" spans="1:58" x14ac:dyDescent="0.25">
      <c r="A196" s="1114"/>
      <c r="B196" s="1114"/>
      <c r="C196" s="1114"/>
      <c r="D196" s="1114"/>
      <c r="E196" s="1837"/>
      <c r="F196" s="1132"/>
      <c r="G196" s="1114"/>
      <c r="H196" s="1114"/>
      <c r="I196" s="1114"/>
      <c r="J196" s="1114"/>
      <c r="K196" s="1114"/>
      <c r="L196" s="1114"/>
      <c r="M196" s="1114"/>
      <c r="N196" s="1114"/>
      <c r="O196" s="1114"/>
      <c r="P196" s="1114"/>
      <c r="Q196" s="1114"/>
      <c r="R196" s="1114"/>
      <c r="S196" s="1114"/>
      <c r="T196" s="1114"/>
      <c r="U196" s="1114"/>
      <c r="V196" s="1114"/>
      <c r="W196" s="1114"/>
      <c r="X196" s="1114"/>
      <c r="Y196" s="1114"/>
      <c r="Z196" s="1114"/>
      <c r="AA196" s="1114"/>
      <c r="AB196" s="1114"/>
      <c r="AC196" s="1114"/>
      <c r="AD196" s="1114"/>
      <c r="AE196" s="1114"/>
      <c r="AF196" s="1114"/>
      <c r="AG196" s="1114"/>
      <c r="AH196" s="1114"/>
      <c r="AI196" s="1114"/>
      <c r="AJ196" s="1114"/>
      <c r="AK196" s="1114"/>
      <c r="AL196" s="1114"/>
      <c r="AM196" s="1114"/>
      <c r="AN196" s="1114"/>
      <c r="AO196" s="1114"/>
      <c r="AP196" s="1114"/>
      <c r="AQ196" s="1114"/>
      <c r="AR196" s="1114"/>
      <c r="AS196" s="1114"/>
      <c r="AT196" s="1114"/>
      <c r="AU196" s="1114"/>
      <c r="AV196" s="1109"/>
      <c r="AW196" s="1114"/>
      <c r="AX196" s="1114"/>
      <c r="AY196" s="1114"/>
      <c r="AZ196" s="1114"/>
      <c r="BA196" s="1114"/>
      <c r="BB196" s="1114"/>
      <c r="BC196" s="1114"/>
      <c r="BD196" s="1114"/>
      <c r="BE196" s="1114"/>
      <c r="BF196" s="1114"/>
    </row>
    <row r="197" spans="1:58" x14ac:dyDescent="0.25">
      <c r="A197" s="1114"/>
      <c r="B197" s="1114"/>
      <c r="C197" s="1114"/>
      <c r="D197" s="1114"/>
      <c r="E197" s="1837"/>
      <c r="F197" s="1132"/>
      <c r="G197" s="1114"/>
      <c r="H197" s="1114"/>
      <c r="I197" s="1114"/>
      <c r="J197" s="1114"/>
      <c r="K197" s="1114"/>
      <c r="L197" s="1114"/>
      <c r="M197" s="1114"/>
      <c r="N197" s="1114"/>
      <c r="O197" s="1114"/>
      <c r="P197" s="1114"/>
      <c r="Q197" s="1114"/>
      <c r="R197" s="1114"/>
      <c r="S197" s="1114"/>
      <c r="T197" s="1114"/>
      <c r="U197" s="1114"/>
      <c r="V197" s="1114"/>
      <c r="W197" s="1114"/>
      <c r="X197" s="1114"/>
      <c r="Y197" s="1114"/>
      <c r="Z197" s="1114"/>
      <c r="AA197" s="1114"/>
      <c r="AB197" s="1114"/>
      <c r="AC197" s="1114"/>
      <c r="AD197" s="1114"/>
      <c r="AE197" s="1114"/>
      <c r="AF197" s="1114"/>
      <c r="AG197" s="1114"/>
      <c r="AH197" s="1114"/>
      <c r="AI197" s="1114"/>
      <c r="AJ197" s="1114"/>
      <c r="AK197" s="1114"/>
      <c r="AL197" s="1114"/>
      <c r="AM197" s="1114"/>
      <c r="AN197" s="1114"/>
      <c r="AO197" s="1114"/>
      <c r="AP197" s="1114"/>
      <c r="AQ197" s="1114"/>
      <c r="AR197" s="1114"/>
      <c r="AS197" s="1114"/>
      <c r="AT197" s="1114"/>
      <c r="AU197" s="1114"/>
      <c r="AV197" s="1109"/>
      <c r="AW197" s="1114"/>
      <c r="AX197" s="1114"/>
      <c r="AY197" s="1114"/>
      <c r="AZ197" s="1114"/>
      <c r="BA197" s="1114"/>
      <c r="BB197" s="1114"/>
      <c r="BC197" s="1114"/>
      <c r="BD197" s="1114"/>
      <c r="BE197" s="1114"/>
      <c r="BF197" s="1114"/>
    </row>
    <row r="198" spans="1:58" x14ac:dyDescent="0.25">
      <c r="A198" s="1114"/>
      <c r="B198" s="1114"/>
      <c r="C198" s="1114"/>
      <c r="D198" s="1114"/>
      <c r="E198" s="1837"/>
      <c r="F198" s="1132"/>
      <c r="G198" s="1114"/>
      <c r="H198" s="1114"/>
      <c r="I198" s="1114"/>
      <c r="J198" s="1114"/>
      <c r="K198" s="1114"/>
      <c r="L198" s="1114"/>
      <c r="M198" s="1114"/>
      <c r="N198" s="1114"/>
      <c r="O198" s="1114"/>
      <c r="P198" s="1114"/>
      <c r="Q198" s="1114"/>
      <c r="R198" s="1114"/>
      <c r="S198" s="1114"/>
      <c r="T198" s="1114"/>
      <c r="U198" s="1114"/>
      <c r="V198" s="1114"/>
      <c r="W198" s="1114"/>
      <c r="X198" s="1114"/>
      <c r="Y198" s="1114"/>
      <c r="Z198" s="1114"/>
      <c r="AA198" s="1114"/>
      <c r="AB198" s="1114"/>
      <c r="AC198" s="1114"/>
      <c r="AD198" s="1114"/>
      <c r="AE198" s="1114"/>
      <c r="AF198" s="1114"/>
      <c r="AG198" s="1114"/>
      <c r="AH198" s="1114"/>
      <c r="AI198" s="1114"/>
      <c r="AJ198" s="1114"/>
      <c r="AK198" s="1114"/>
      <c r="AL198" s="1114"/>
      <c r="AM198" s="1114"/>
      <c r="AN198" s="1114"/>
      <c r="AO198" s="1114"/>
      <c r="AP198" s="1114"/>
      <c r="AQ198" s="1114"/>
      <c r="AR198" s="1114"/>
      <c r="AS198" s="1114"/>
      <c r="AT198" s="1114"/>
      <c r="AU198" s="1114"/>
      <c r="AV198" s="1109"/>
      <c r="AW198" s="1114"/>
      <c r="AX198" s="1114"/>
      <c r="AY198" s="1114"/>
      <c r="AZ198" s="1114"/>
      <c r="BA198" s="1114"/>
      <c r="BB198" s="1114"/>
      <c r="BC198" s="1114"/>
      <c r="BD198" s="1114"/>
      <c r="BE198" s="1114"/>
      <c r="BF198" s="1114"/>
    </row>
    <row r="199" spans="1:58" x14ac:dyDescent="0.25">
      <c r="A199" s="1114"/>
      <c r="B199" s="1114"/>
      <c r="C199" s="1114"/>
      <c r="D199" s="1114"/>
      <c r="E199" s="1837"/>
      <c r="F199" s="1132"/>
      <c r="G199" s="1114"/>
      <c r="H199" s="1114"/>
      <c r="I199" s="1114"/>
      <c r="J199" s="1114"/>
      <c r="K199" s="1114"/>
      <c r="L199" s="1114"/>
      <c r="M199" s="1114"/>
      <c r="N199" s="1114"/>
      <c r="O199" s="1114"/>
      <c r="P199" s="1114"/>
      <c r="Q199" s="1114"/>
      <c r="R199" s="1114"/>
      <c r="S199" s="1114"/>
      <c r="T199" s="1114"/>
      <c r="U199" s="1114"/>
      <c r="V199" s="1114"/>
      <c r="W199" s="1114"/>
      <c r="X199" s="1114"/>
      <c r="Y199" s="1114"/>
      <c r="Z199" s="1114"/>
      <c r="AA199" s="1114"/>
      <c r="AB199" s="1114"/>
      <c r="AC199" s="1114"/>
      <c r="AD199" s="1114"/>
      <c r="AE199" s="1114"/>
      <c r="AF199" s="1114"/>
      <c r="AG199" s="1114"/>
      <c r="AH199" s="1114"/>
      <c r="AI199" s="1114"/>
      <c r="AJ199" s="1114"/>
      <c r="AK199" s="1114"/>
      <c r="AL199" s="1114"/>
      <c r="AM199" s="1114"/>
      <c r="AN199" s="1114"/>
      <c r="AO199" s="1114"/>
      <c r="AP199" s="1114"/>
      <c r="AQ199" s="1114"/>
      <c r="AR199" s="1114"/>
      <c r="AS199" s="1114"/>
      <c r="AT199" s="1114"/>
      <c r="AU199" s="1114"/>
      <c r="AV199" s="1109"/>
      <c r="AW199" s="1114"/>
      <c r="AX199" s="1114"/>
      <c r="AY199" s="1114"/>
      <c r="AZ199" s="1114"/>
      <c r="BA199" s="1114"/>
      <c r="BB199" s="1114"/>
      <c r="BC199" s="1114"/>
      <c r="BD199" s="1114"/>
      <c r="BE199" s="1114"/>
      <c r="BF199" s="1114"/>
    </row>
    <row r="200" spans="1:58" x14ac:dyDescent="0.25">
      <c r="A200" s="1114"/>
      <c r="B200" s="1114"/>
      <c r="C200" s="1114"/>
      <c r="D200" s="1114"/>
      <c r="E200" s="1837"/>
      <c r="F200" s="1132"/>
      <c r="G200" s="1114"/>
      <c r="H200" s="1114"/>
      <c r="I200" s="1114"/>
      <c r="J200" s="1114"/>
      <c r="K200" s="1114"/>
      <c r="L200" s="1114"/>
      <c r="M200" s="1114"/>
      <c r="N200" s="1114"/>
      <c r="O200" s="1114"/>
      <c r="P200" s="1114"/>
      <c r="Q200" s="1114"/>
      <c r="R200" s="1114"/>
      <c r="S200" s="1114"/>
      <c r="T200" s="1114"/>
      <c r="U200" s="1114"/>
      <c r="V200" s="1114"/>
      <c r="W200" s="1114"/>
      <c r="X200" s="1114"/>
      <c r="Y200" s="1114"/>
      <c r="Z200" s="1114"/>
      <c r="AA200" s="1114"/>
      <c r="AB200" s="1114"/>
      <c r="AC200" s="1114"/>
      <c r="AD200" s="1114"/>
      <c r="AE200" s="1114"/>
      <c r="AF200" s="1114"/>
      <c r="AG200" s="1114"/>
      <c r="AH200" s="1114"/>
      <c r="AI200" s="1114"/>
      <c r="AJ200" s="1114"/>
      <c r="AK200" s="1114"/>
      <c r="AL200" s="1114"/>
      <c r="AM200" s="1114"/>
      <c r="AN200" s="1114"/>
      <c r="AO200" s="1114"/>
      <c r="AP200" s="1114"/>
      <c r="AQ200" s="1114"/>
      <c r="AR200" s="1114"/>
      <c r="AS200" s="1114"/>
      <c r="AT200" s="1114"/>
      <c r="AU200" s="1114"/>
      <c r="AV200" s="1109"/>
      <c r="AW200" s="1114"/>
      <c r="AX200" s="1114"/>
      <c r="AY200" s="1114"/>
      <c r="AZ200" s="1114"/>
      <c r="BA200" s="1114"/>
      <c r="BB200" s="1114"/>
      <c r="BC200" s="1114"/>
      <c r="BD200" s="1114"/>
      <c r="BE200" s="1114"/>
      <c r="BF200" s="1114"/>
    </row>
    <row r="201" spans="1:58" x14ac:dyDescent="0.25">
      <c r="A201" s="1114"/>
      <c r="B201" s="1114"/>
      <c r="C201" s="1114"/>
      <c r="D201" s="1114"/>
      <c r="E201" s="1837"/>
      <c r="F201" s="1132"/>
      <c r="G201" s="1114"/>
      <c r="H201" s="1114"/>
      <c r="I201" s="1114"/>
      <c r="J201" s="1114"/>
      <c r="K201" s="1114"/>
      <c r="L201" s="1114"/>
      <c r="M201" s="1114"/>
      <c r="N201" s="1114"/>
      <c r="O201" s="1114"/>
      <c r="P201" s="1114"/>
      <c r="Q201" s="1114"/>
      <c r="R201" s="1114"/>
      <c r="S201" s="1114"/>
      <c r="T201" s="1114"/>
      <c r="U201" s="1114"/>
      <c r="V201" s="1114"/>
      <c r="W201" s="1114"/>
      <c r="X201" s="1114"/>
      <c r="Y201" s="1114"/>
      <c r="Z201" s="1114"/>
      <c r="AA201" s="1114"/>
      <c r="AB201" s="1114"/>
      <c r="AC201" s="1114"/>
      <c r="AD201" s="1114"/>
      <c r="AE201" s="1114"/>
      <c r="AF201" s="1114"/>
      <c r="AG201" s="1114"/>
      <c r="AH201" s="1114"/>
      <c r="AI201" s="1114"/>
      <c r="AJ201" s="1114"/>
      <c r="AK201" s="1114"/>
      <c r="AL201" s="1114"/>
      <c r="AM201" s="1114"/>
      <c r="AN201" s="1114"/>
      <c r="AO201" s="1114"/>
      <c r="AP201" s="1114"/>
      <c r="AQ201" s="1114"/>
      <c r="AR201" s="1114"/>
      <c r="AS201" s="1114"/>
      <c r="AT201" s="1114"/>
      <c r="AU201" s="1114"/>
      <c r="AV201" s="1109"/>
      <c r="AW201" s="1114"/>
      <c r="AX201" s="1114"/>
      <c r="AY201" s="1114"/>
      <c r="AZ201" s="1114"/>
      <c r="BA201" s="1114"/>
      <c r="BB201" s="1114"/>
      <c r="BC201" s="1114"/>
      <c r="BD201" s="1114"/>
      <c r="BE201" s="1114"/>
      <c r="BF201" s="1114"/>
    </row>
    <row r="202" spans="1:58" x14ac:dyDescent="0.25">
      <c r="A202" s="1114"/>
      <c r="B202" s="1114"/>
      <c r="C202" s="1114"/>
      <c r="D202" s="1114"/>
      <c r="E202" s="1837"/>
      <c r="F202" s="1132"/>
      <c r="G202" s="1114"/>
      <c r="H202" s="1114"/>
      <c r="I202" s="1114"/>
      <c r="J202" s="1114"/>
      <c r="K202" s="1114"/>
      <c r="L202" s="1114"/>
      <c r="M202" s="1114"/>
      <c r="N202" s="1114"/>
      <c r="O202" s="1114"/>
      <c r="P202" s="1114"/>
      <c r="Q202" s="1114"/>
      <c r="R202" s="1114"/>
      <c r="S202" s="1114"/>
      <c r="T202" s="1114"/>
      <c r="U202" s="1114"/>
      <c r="V202" s="1114"/>
      <c r="W202" s="1114"/>
      <c r="X202" s="1114"/>
      <c r="Y202" s="1114"/>
      <c r="Z202" s="1114"/>
      <c r="AA202" s="1114"/>
      <c r="AB202" s="1114"/>
      <c r="AC202" s="1114"/>
      <c r="AD202" s="1114"/>
      <c r="AE202" s="1114"/>
      <c r="AF202" s="1114"/>
      <c r="AG202" s="1114"/>
      <c r="AH202" s="1114"/>
      <c r="AI202" s="1114"/>
      <c r="AJ202" s="1114"/>
      <c r="AK202" s="1114"/>
      <c r="AL202" s="1114"/>
      <c r="AM202" s="1114"/>
      <c r="AN202" s="1114"/>
      <c r="AO202" s="1114"/>
      <c r="AP202" s="1114"/>
      <c r="AQ202" s="1114"/>
      <c r="AR202" s="1114"/>
      <c r="AS202" s="1114"/>
      <c r="AT202" s="1114"/>
      <c r="AU202" s="1114"/>
      <c r="AV202" s="1109"/>
      <c r="AW202" s="1114"/>
      <c r="AX202" s="1114"/>
      <c r="AY202" s="1114"/>
      <c r="AZ202" s="1114"/>
      <c r="BA202" s="1114"/>
      <c r="BB202" s="1114"/>
      <c r="BC202" s="1114"/>
      <c r="BD202" s="1114"/>
      <c r="BE202" s="1114"/>
      <c r="BF202" s="1114"/>
    </row>
    <row r="203" spans="1:58" x14ac:dyDescent="0.25">
      <c r="A203" s="1114"/>
      <c r="B203" s="1114"/>
      <c r="C203" s="1114"/>
      <c r="D203" s="1114"/>
      <c r="E203" s="1837"/>
      <c r="F203" s="1132"/>
      <c r="G203" s="1114"/>
      <c r="H203" s="1114"/>
      <c r="I203" s="1114"/>
      <c r="J203" s="1114"/>
      <c r="K203" s="1114"/>
      <c r="L203" s="1114"/>
      <c r="M203" s="1114"/>
      <c r="N203" s="1114"/>
      <c r="O203" s="1114"/>
      <c r="P203" s="1114"/>
      <c r="Q203" s="1114"/>
      <c r="R203" s="1114"/>
      <c r="S203" s="1114"/>
      <c r="T203" s="1114"/>
      <c r="U203" s="1114"/>
      <c r="V203" s="1114"/>
      <c r="W203" s="1114"/>
      <c r="X203" s="1114"/>
      <c r="Y203" s="1114"/>
      <c r="Z203" s="1114"/>
      <c r="AA203" s="1114"/>
      <c r="AB203" s="1114"/>
      <c r="AC203" s="1114"/>
      <c r="AD203" s="1114"/>
      <c r="AE203" s="1114"/>
      <c r="AF203" s="1114"/>
      <c r="AG203" s="1114"/>
      <c r="AH203" s="1114"/>
      <c r="AI203" s="1114"/>
      <c r="AJ203" s="1114"/>
      <c r="AK203" s="1114"/>
      <c r="AL203" s="1114"/>
      <c r="AM203" s="1114"/>
      <c r="AN203" s="1114"/>
      <c r="AO203" s="1114"/>
      <c r="AP203" s="1114"/>
      <c r="AQ203" s="1114"/>
      <c r="AR203" s="1114"/>
      <c r="AS203" s="1114"/>
      <c r="AT203" s="1114"/>
      <c r="AU203" s="1114"/>
      <c r="AV203" s="1109"/>
      <c r="AW203" s="1114"/>
      <c r="AX203" s="1114"/>
      <c r="AY203" s="1114"/>
      <c r="AZ203" s="1114"/>
      <c r="BA203" s="1114"/>
      <c r="BB203" s="1114"/>
      <c r="BC203" s="1114"/>
      <c r="BD203" s="1114"/>
      <c r="BE203" s="1114"/>
      <c r="BF203" s="1114"/>
    </row>
    <row r="204" spans="1:58" x14ac:dyDescent="0.25">
      <c r="A204" s="1114"/>
      <c r="B204" s="1114"/>
      <c r="C204" s="1114"/>
      <c r="D204" s="1114"/>
      <c r="E204" s="1837"/>
      <c r="F204" s="1132"/>
      <c r="G204" s="1114"/>
      <c r="H204" s="1114"/>
      <c r="I204" s="1114"/>
      <c r="J204" s="1114"/>
      <c r="K204" s="1114"/>
      <c r="L204" s="1114"/>
      <c r="M204" s="1114"/>
      <c r="N204" s="1114"/>
      <c r="O204" s="1114"/>
      <c r="P204" s="1114"/>
      <c r="Q204" s="1114"/>
      <c r="R204" s="1114"/>
      <c r="S204" s="1114"/>
      <c r="T204" s="1114"/>
      <c r="U204" s="1114"/>
      <c r="V204" s="1114"/>
      <c r="W204" s="1114"/>
      <c r="X204" s="1114"/>
      <c r="Y204" s="1114"/>
      <c r="Z204" s="1114"/>
      <c r="AA204" s="1114"/>
      <c r="AB204" s="1114"/>
      <c r="AC204" s="1114"/>
      <c r="AD204" s="1114"/>
      <c r="AE204" s="1114"/>
      <c r="AF204" s="1114"/>
      <c r="AG204" s="1114"/>
      <c r="AH204" s="1114"/>
      <c r="AI204" s="1114"/>
      <c r="AJ204" s="1114"/>
      <c r="AK204" s="1114"/>
      <c r="AL204" s="1114"/>
      <c r="AM204" s="1114"/>
      <c r="AN204" s="1114"/>
      <c r="AO204" s="1114"/>
      <c r="AP204" s="1114"/>
      <c r="AQ204" s="1114"/>
      <c r="AR204" s="1114"/>
      <c r="AS204" s="1114"/>
      <c r="AT204" s="1114"/>
      <c r="AU204" s="1114"/>
      <c r="AV204" s="1109"/>
      <c r="AW204" s="1114"/>
      <c r="AX204" s="1114"/>
      <c r="AY204" s="1114"/>
      <c r="AZ204" s="1114"/>
      <c r="BA204" s="1114"/>
      <c r="BB204" s="1114"/>
      <c r="BC204" s="1114"/>
      <c r="BD204" s="1114"/>
      <c r="BE204" s="1114"/>
      <c r="BF204" s="1114"/>
    </row>
    <row r="205" spans="1:58" x14ac:dyDescent="0.25">
      <c r="A205" s="1114"/>
      <c r="B205" s="1114"/>
      <c r="C205" s="1114"/>
      <c r="D205" s="1114"/>
      <c r="E205" s="1114"/>
      <c r="F205" s="1114"/>
      <c r="G205" s="1114"/>
      <c r="H205" s="1114"/>
      <c r="I205" s="1114"/>
      <c r="J205" s="1114"/>
      <c r="K205" s="1114"/>
      <c r="L205" s="1114"/>
      <c r="M205" s="1114"/>
      <c r="N205" s="1114"/>
      <c r="O205" s="1114"/>
      <c r="P205" s="1114"/>
      <c r="Q205" s="1114"/>
      <c r="R205" s="1114"/>
      <c r="S205" s="1114"/>
      <c r="T205" s="1114"/>
      <c r="U205" s="1114"/>
      <c r="V205" s="1114"/>
      <c r="W205" s="1114"/>
      <c r="X205" s="1114"/>
      <c r="Y205" s="1114"/>
      <c r="Z205" s="1114"/>
      <c r="AA205" s="1114"/>
      <c r="AB205" s="1114"/>
      <c r="AC205" s="1114"/>
      <c r="AD205" s="1114"/>
      <c r="AE205" s="1114"/>
      <c r="AF205" s="1114"/>
      <c r="AG205" s="1114"/>
      <c r="AH205" s="1114"/>
      <c r="AI205" s="1114"/>
      <c r="AJ205" s="1114"/>
      <c r="AK205" s="1114"/>
      <c r="AL205" s="1114"/>
      <c r="AM205" s="1114"/>
      <c r="AN205" s="1114"/>
      <c r="AO205" s="1114"/>
      <c r="AP205" s="1114"/>
      <c r="AQ205" s="1114"/>
      <c r="AR205" s="1114"/>
      <c r="AS205" s="1114"/>
      <c r="AT205" s="1114"/>
      <c r="AU205" s="1114"/>
      <c r="AV205" s="1109"/>
      <c r="AW205" s="1114"/>
      <c r="AX205" s="1114"/>
      <c r="AY205" s="1114"/>
      <c r="AZ205" s="1114"/>
      <c r="BA205" s="1114"/>
      <c r="BB205" s="1114"/>
      <c r="BC205" s="1114"/>
      <c r="BD205" s="1114"/>
      <c r="BE205" s="1114"/>
      <c r="BF205" s="1114"/>
    </row>
    <row r="206" spans="1:58" x14ac:dyDescent="0.25">
      <c r="A206" s="1114"/>
      <c r="B206" s="1114"/>
      <c r="C206" s="1114"/>
      <c r="D206" s="1114"/>
      <c r="E206" s="1114"/>
      <c r="F206" s="1114"/>
      <c r="G206" s="1114"/>
      <c r="H206" s="1114"/>
      <c r="I206" s="1114"/>
      <c r="J206" s="1114"/>
      <c r="K206" s="1114"/>
      <c r="L206" s="1114"/>
      <c r="M206" s="1114"/>
      <c r="N206" s="1114"/>
      <c r="O206" s="1114"/>
      <c r="P206" s="1114"/>
      <c r="Q206" s="1114"/>
      <c r="R206" s="1114"/>
      <c r="S206" s="1114"/>
      <c r="T206" s="1114"/>
      <c r="U206" s="1114"/>
      <c r="V206" s="1114"/>
      <c r="W206" s="1114"/>
      <c r="X206" s="1114"/>
      <c r="Y206" s="1114"/>
      <c r="Z206" s="1114"/>
      <c r="AA206" s="1114"/>
      <c r="AB206" s="1114"/>
      <c r="AC206" s="1114"/>
      <c r="AD206" s="1114"/>
      <c r="AE206" s="1114"/>
      <c r="AF206" s="1114"/>
      <c r="AG206" s="1114"/>
      <c r="AH206" s="1114"/>
      <c r="AI206" s="1114"/>
      <c r="AJ206" s="1114"/>
      <c r="AK206" s="1114"/>
      <c r="AL206" s="1114"/>
      <c r="AM206" s="1114"/>
      <c r="AN206" s="1114"/>
      <c r="AO206" s="1114"/>
      <c r="AP206" s="1114"/>
      <c r="AQ206" s="1114"/>
      <c r="AR206" s="1114"/>
      <c r="AS206" s="1114"/>
      <c r="AT206" s="1114"/>
      <c r="AU206" s="1114"/>
      <c r="AV206" s="1109"/>
      <c r="AW206" s="1114"/>
      <c r="AX206" s="1114"/>
      <c r="AY206" s="1114"/>
      <c r="AZ206" s="1114"/>
      <c r="BA206" s="1114"/>
      <c r="BB206" s="1114"/>
      <c r="BC206" s="1114"/>
      <c r="BD206" s="1114"/>
      <c r="BE206" s="1114"/>
      <c r="BF206" s="1114"/>
    </row>
    <row r="207" spans="1:58" x14ac:dyDescent="0.25">
      <c r="A207" s="1114"/>
      <c r="B207" s="1114"/>
      <c r="C207" s="1114"/>
      <c r="D207" s="1114"/>
      <c r="E207" s="1114"/>
      <c r="F207" s="1114"/>
      <c r="G207" s="1114"/>
      <c r="H207" s="1114"/>
      <c r="I207" s="1114"/>
      <c r="J207" s="1114"/>
      <c r="K207" s="1114"/>
      <c r="L207" s="1114"/>
      <c r="M207" s="1114"/>
      <c r="N207" s="1114"/>
      <c r="O207" s="1114"/>
      <c r="P207" s="1114"/>
      <c r="Q207" s="1114"/>
      <c r="R207" s="1114"/>
      <c r="S207" s="1114"/>
      <c r="T207" s="1114"/>
      <c r="U207" s="1114"/>
      <c r="V207" s="1114"/>
      <c r="W207" s="1114"/>
      <c r="X207" s="1114"/>
      <c r="Y207" s="1114"/>
      <c r="Z207" s="1114"/>
      <c r="AA207" s="1114"/>
      <c r="AB207" s="1114"/>
      <c r="AC207" s="1114"/>
      <c r="AD207" s="1114"/>
      <c r="AE207" s="1114"/>
      <c r="AF207" s="1114"/>
      <c r="AG207" s="1114"/>
      <c r="AH207" s="1114"/>
      <c r="AI207" s="1114"/>
      <c r="AJ207" s="1114"/>
      <c r="AK207" s="1114"/>
      <c r="AL207" s="1114"/>
      <c r="AM207" s="1114"/>
      <c r="AN207" s="1114"/>
      <c r="AO207" s="1114"/>
      <c r="AP207" s="1114"/>
      <c r="AQ207" s="1114"/>
      <c r="AR207" s="1114"/>
      <c r="AS207" s="1114"/>
      <c r="AT207" s="1114"/>
      <c r="AU207" s="1114"/>
      <c r="AV207" s="1109"/>
      <c r="AW207" s="1114"/>
      <c r="AX207" s="1114"/>
      <c r="AY207" s="1114"/>
      <c r="AZ207" s="1114"/>
      <c r="BA207" s="1114"/>
      <c r="BB207" s="1114"/>
      <c r="BC207" s="1114"/>
      <c r="BD207" s="1114"/>
      <c r="BE207" s="1114"/>
      <c r="BF207" s="1114"/>
    </row>
    <row r="208" spans="1:58" x14ac:dyDescent="0.25">
      <c r="A208" s="1114"/>
      <c r="B208" s="1114"/>
      <c r="C208" s="1114"/>
      <c r="D208" s="1114"/>
      <c r="E208" s="1114"/>
      <c r="F208" s="1114"/>
      <c r="G208" s="1114"/>
      <c r="H208" s="1114"/>
      <c r="I208" s="1114"/>
      <c r="J208" s="1114"/>
      <c r="K208" s="1114"/>
      <c r="L208" s="1114"/>
      <c r="M208" s="1114"/>
      <c r="N208" s="1114"/>
      <c r="O208" s="1114"/>
      <c r="P208" s="1114"/>
      <c r="Q208" s="1114"/>
      <c r="R208" s="1114"/>
      <c r="S208" s="1114"/>
      <c r="T208" s="1114"/>
      <c r="U208" s="1114"/>
      <c r="V208" s="1114"/>
      <c r="W208" s="1114"/>
      <c r="X208" s="1114"/>
      <c r="Y208" s="1114"/>
      <c r="Z208" s="1114"/>
      <c r="AA208" s="1114"/>
      <c r="AB208" s="1114"/>
      <c r="AC208" s="1114"/>
      <c r="AD208" s="1114"/>
      <c r="AE208" s="1114"/>
      <c r="AF208" s="1114"/>
      <c r="AG208" s="1114"/>
      <c r="AH208" s="1114"/>
      <c r="AI208" s="1114"/>
      <c r="AJ208" s="1114"/>
      <c r="AK208" s="1114"/>
      <c r="AL208" s="1114"/>
      <c r="AM208" s="1114"/>
      <c r="AN208" s="1114"/>
      <c r="AO208" s="1114"/>
      <c r="AP208" s="1114"/>
      <c r="AQ208" s="1114"/>
      <c r="AR208" s="1114"/>
      <c r="AS208" s="1114"/>
      <c r="AT208" s="1114"/>
      <c r="AU208" s="1114"/>
      <c r="AV208" s="1109"/>
      <c r="AW208" s="1114"/>
      <c r="AX208" s="1114"/>
      <c r="AY208" s="1114"/>
      <c r="AZ208" s="1114"/>
      <c r="BA208" s="1114"/>
      <c r="BB208" s="1114"/>
      <c r="BC208" s="1114"/>
      <c r="BD208" s="1114"/>
      <c r="BE208" s="1114"/>
      <c r="BF208" s="1114"/>
    </row>
    <row r="209" spans="1:58" x14ac:dyDescent="0.25">
      <c r="A209" s="1114"/>
      <c r="B209" s="1114"/>
      <c r="C209" s="1114"/>
      <c r="D209" s="1114"/>
      <c r="E209" s="1114"/>
      <c r="F209" s="1114"/>
      <c r="G209" s="1114"/>
      <c r="H209" s="1114"/>
      <c r="I209" s="1114"/>
      <c r="J209" s="1114"/>
      <c r="K209" s="1114"/>
      <c r="L209" s="1114"/>
      <c r="M209" s="1114"/>
      <c r="N209" s="1114"/>
      <c r="O209" s="1114"/>
      <c r="P209" s="1114"/>
      <c r="Q209" s="1114"/>
      <c r="R209" s="1114"/>
      <c r="S209" s="1114"/>
      <c r="T209" s="1114"/>
      <c r="U209" s="1114"/>
      <c r="V209" s="1114"/>
      <c r="W209" s="1114"/>
      <c r="X209" s="1114"/>
      <c r="Y209" s="1114"/>
      <c r="Z209" s="1114"/>
      <c r="AA209" s="1114"/>
      <c r="AB209" s="1114"/>
      <c r="AC209" s="1114"/>
      <c r="AD209" s="1114"/>
      <c r="AE209" s="1114"/>
      <c r="AF209" s="1114"/>
      <c r="AG209" s="1114"/>
      <c r="AH209" s="1114"/>
      <c r="AI209" s="1114"/>
      <c r="AJ209" s="1114"/>
      <c r="AK209" s="1114"/>
      <c r="AL209" s="1114"/>
      <c r="AM209" s="1114"/>
      <c r="AN209" s="1114"/>
      <c r="AO209" s="1114"/>
      <c r="AP209" s="1114"/>
      <c r="AQ209" s="1114"/>
      <c r="AR209" s="1114"/>
      <c r="AS209" s="1114"/>
      <c r="AT209" s="1114"/>
      <c r="AU209" s="1114"/>
      <c r="AV209" s="1109"/>
      <c r="AW209" s="1114"/>
      <c r="AX209" s="1114"/>
      <c r="AY209" s="1114"/>
      <c r="AZ209" s="1114"/>
      <c r="BA209" s="1114"/>
      <c r="BB209" s="1114"/>
      <c r="BC209" s="1114"/>
      <c r="BD209" s="1114"/>
      <c r="BE209" s="1114"/>
      <c r="BF209" s="1114"/>
    </row>
    <row r="210" spans="1:58" x14ac:dyDescent="0.25">
      <c r="A210" s="1114"/>
      <c r="B210" s="1114"/>
      <c r="C210" s="1114"/>
      <c r="D210" s="1114"/>
      <c r="E210" s="1114"/>
      <c r="F210" s="1114"/>
      <c r="G210" s="1114"/>
      <c r="H210" s="1114"/>
      <c r="I210" s="1114"/>
      <c r="J210" s="1114"/>
      <c r="K210" s="1114"/>
      <c r="L210" s="1114"/>
      <c r="M210" s="1114"/>
      <c r="N210" s="1114"/>
      <c r="O210" s="1114"/>
      <c r="P210" s="1114"/>
      <c r="Q210" s="1114"/>
      <c r="R210" s="1114"/>
      <c r="S210" s="1114"/>
      <c r="T210" s="1114"/>
      <c r="U210" s="1114"/>
      <c r="V210" s="1114"/>
      <c r="W210" s="1114"/>
      <c r="X210" s="1114"/>
      <c r="Y210" s="1114"/>
      <c r="Z210" s="1114"/>
      <c r="AA210" s="1114"/>
      <c r="AB210" s="1114"/>
      <c r="AC210" s="1114"/>
      <c r="AD210" s="1114"/>
      <c r="AE210" s="1114"/>
      <c r="AF210" s="1114"/>
      <c r="AG210" s="1114"/>
      <c r="AH210" s="1114"/>
      <c r="AI210" s="1114"/>
      <c r="AJ210" s="1114"/>
      <c r="AK210" s="1114"/>
      <c r="AL210" s="1114"/>
      <c r="AM210" s="1114"/>
      <c r="AN210" s="1114"/>
      <c r="AO210" s="1114"/>
      <c r="AP210" s="1114"/>
      <c r="AQ210" s="1114"/>
      <c r="AR210" s="1114"/>
      <c r="AS210" s="1114"/>
      <c r="AT210" s="1114"/>
      <c r="AU210" s="1114"/>
      <c r="AV210" s="1109"/>
      <c r="AW210" s="1114"/>
      <c r="AX210" s="1114"/>
      <c r="AY210" s="1114"/>
      <c r="AZ210" s="1114"/>
      <c r="BA210" s="1114"/>
      <c r="BB210" s="1114"/>
      <c r="BC210" s="1114"/>
      <c r="BD210" s="1114"/>
      <c r="BE210" s="1114"/>
      <c r="BF210" s="1114"/>
    </row>
  </sheetData>
  <sheetProtection formatCells="0" selectLockedCells="1"/>
  <mergeCells count="143">
    <mergeCell ref="F36:G36"/>
    <mergeCell ref="H36:I36"/>
    <mergeCell ref="F35:G35"/>
    <mergeCell ref="H35:I35"/>
    <mergeCell ref="H95:I95"/>
    <mergeCell ref="H116:J116"/>
    <mergeCell ref="H100:J100"/>
    <mergeCell ref="H101:J101"/>
    <mergeCell ref="H102:J102"/>
    <mergeCell ref="H113:J113"/>
    <mergeCell ref="H105:J105"/>
    <mergeCell ref="H106:J106"/>
    <mergeCell ref="H107:J107"/>
    <mergeCell ref="H108:J108"/>
    <mergeCell ref="H109:J109"/>
    <mergeCell ref="H110:J110"/>
    <mergeCell ref="H115:J115"/>
    <mergeCell ref="H112:J112"/>
    <mergeCell ref="H111:J111"/>
    <mergeCell ref="H96:J96"/>
    <mergeCell ref="H97:J97"/>
    <mergeCell ref="H98:J98"/>
    <mergeCell ref="H99:J99"/>
    <mergeCell ref="H85:I85"/>
    <mergeCell ref="H94:I94"/>
    <mergeCell ref="H93:I93"/>
    <mergeCell ref="H92:I92"/>
    <mergeCell ref="H91:I91"/>
    <mergeCell ref="H90:I90"/>
    <mergeCell ref="F61:G61"/>
    <mergeCell ref="F60:G60"/>
    <mergeCell ref="F59:G59"/>
    <mergeCell ref="H84:I84"/>
    <mergeCell ref="H83:I83"/>
    <mergeCell ref="H89:I89"/>
    <mergeCell ref="H88:I88"/>
    <mergeCell ref="H87:I87"/>
    <mergeCell ref="H86:I86"/>
    <mergeCell ref="F63:G63"/>
    <mergeCell ref="AK119:AK120"/>
    <mergeCell ref="W1:AA1"/>
    <mergeCell ref="E68:J68"/>
    <mergeCell ref="E3:J3"/>
    <mergeCell ref="E66:J66"/>
    <mergeCell ref="E5:J5"/>
    <mergeCell ref="E4:J4"/>
    <mergeCell ref="F13:I13"/>
    <mergeCell ref="F14:I14"/>
    <mergeCell ref="H34:I34"/>
    <mergeCell ref="H32:I32"/>
    <mergeCell ref="H30:I30"/>
    <mergeCell ref="H15:I15"/>
    <mergeCell ref="H18:I18"/>
    <mergeCell ref="H23:I23"/>
    <mergeCell ref="H20:I20"/>
    <mergeCell ref="H114:J114"/>
    <mergeCell ref="F26:G26"/>
    <mergeCell ref="F20:G20"/>
    <mergeCell ref="F18:G18"/>
    <mergeCell ref="F23:G23"/>
    <mergeCell ref="F25:G25"/>
    <mergeCell ref="H103:J103"/>
    <mergeCell ref="H104:J104"/>
    <mergeCell ref="F29:G29"/>
    <mergeCell ref="H29:I29"/>
    <mergeCell ref="AN79:AQ79"/>
    <mergeCell ref="H40:I40"/>
    <mergeCell ref="W79:AA79"/>
    <mergeCell ref="AB79:AK79"/>
    <mergeCell ref="H31:I31"/>
    <mergeCell ref="H33:I33"/>
    <mergeCell ref="F37:J37"/>
    <mergeCell ref="W77:AK77"/>
    <mergeCell ref="F40:F41"/>
    <mergeCell ref="F39:I39"/>
    <mergeCell ref="F34:G34"/>
    <mergeCell ref="F32:G32"/>
    <mergeCell ref="F31:G31"/>
    <mergeCell ref="F33:G33"/>
    <mergeCell ref="F53:G53"/>
    <mergeCell ref="F54:G54"/>
    <mergeCell ref="F64:G64"/>
    <mergeCell ref="F62:G62"/>
    <mergeCell ref="F58:G58"/>
    <mergeCell ref="F57:G57"/>
    <mergeCell ref="F56:G56"/>
    <mergeCell ref="F55:G55"/>
    <mergeCell ref="H16:I16"/>
    <mergeCell ref="H17:I17"/>
    <mergeCell ref="F9:G11"/>
    <mergeCell ref="F12:I12"/>
    <mergeCell ref="H26:I26"/>
    <mergeCell ref="F27:G27"/>
    <mergeCell ref="H27:I27"/>
    <mergeCell ref="F28:G28"/>
    <mergeCell ref="H28:I28"/>
    <mergeCell ref="AT79:AU79"/>
    <mergeCell ref="AT80:AU80"/>
    <mergeCell ref="AX79:BC79"/>
    <mergeCell ref="AX80:BC80"/>
    <mergeCell ref="B1:B4"/>
    <mergeCell ref="H24:I24"/>
    <mergeCell ref="H25:I25"/>
    <mergeCell ref="F16:G16"/>
    <mergeCell ref="F15:G15"/>
    <mergeCell ref="F17:G17"/>
    <mergeCell ref="F19:G19"/>
    <mergeCell ref="F21:G21"/>
    <mergeCell ref="F30:G30"/>
    <mergeCell ref="F24:G24"/>
    <mergeCell ref="F22:G22"/>
    <mergeCell ref="E7:J7"/>
    <mergeCell ref="H8:J8"/>
    <mergeCell ref="H9:J9"/>
    <mergeCell ref="H10:J10"/>
    <mergeCell ref="H11:J11"/>
    <mergeCell ref="F8:G8"/>
    <mergeCell ref="H19:I19"/>
    <mergeCell ref="H21:I21"/>
    <mergeCell ref="H22:I22"/>
    <mergeCell ref="J33:K33"/>
    <mergeCell ref="J34:K34"/>
    <mergeCell ref="J35:K35"/>
    <mergeCell ref="J36:K36"/>
    <mergeCell ref="J14:K14"/>
    <mergeCell ref="J24:K24"/>
    <mergeCell ref="J25:K25"/>
    <mergeCell ref="J26:K26"/>
    <mergeCell ref="J27:K27"/>
    <mergeCell ref="J28:K28"/>
    <mergeCell ref="J29:K29"/>
    <mergeCell ref="J30:K30"/>
    <mergeCell ref="J31:K31"/>
    <mergeCell ref="J32:K32"/>
    <mergeCell ref="J15:K15"/>
    <mergeCell ref="J16:K16"/>
    <mergeCell ref="J17:K17"/>
    <mergeCell ref="J18:K18"/>
    <mergeCell ref="J19:K19"/>
    <mergeCell ref="J20:K20"/>
    <mergeCell ref="J21:K21"/>
    <mergeCell ref="J22:K22"/>
    <mergeCell ref="J23:K23"/>
  </mergeCells>
  <conditionalFormatting sqref="F16:K36">
    <cfRule type="expression" dxfId="1497" priority="896">
      <formula>$H16="Recipient Not Applicable"</formula>
    </cfRule>
  </conditionalFormatting>
  <conditionalFormatting sqref="F13:G13">
    <cfRule type="expression" dxfId="1496" priority="631">
      <formula>$F$13="Choose Submittal Phase"</formula>
    </cfRule>
  </conditionalFormatting>
  <conditionalFormatting sqref="F70:G70">
    <cfRule type="cellIs" dxfId="1495" priority="630" operator="equal">
      <formula>"Printout of Completed Choose Submittal Phase Minimum List of Deliverables Checklist"</formula>
    </cfRule>
  </conditionalFormatting>
  <conditionalFormatting sqref="F71:G71">
    <cfRule type="cellIs" dxfId="1494" priority="629" operator="equal">
      <formula>"Printout of Completed Choose Submittal Phase Minimum List of Deliverables Checklist"</formula>
    </cfRule>
  </conditionalFormatting>
  <conditionalFormatting sqref="W8">
    <cfRule type="cellIs" dxfId="1493" priority="618" operator="equal">
      <formula>"Choose applicable Phase or Combined Phases"</formula>
    </cfRule>
  </conditionalFormatting>
  <conditionalFormatting sqref="W16:W71">
    <cfRule type="cellIs" dxfId="1492" priority="617" operator="notEqual">
      <formula>"&lt;--- AUTO"</formula>
    </cfRule>
  </conditionalFormatting>
  <conditionalFormatting sqref="X8:Z8">
    <cfRule type="cellIs" dxfId="1491" priority="603" operator="equal">
      <formula>"Choose applicable Phase or Combined Phases"</formula>
    </cfRule>
  </conditionalFormatting>
  <conditionalFormatting sqref="X16:Z16">
    <cfRule type="cellIs" dxfId="1490" priority="602" operator="notEqual">
      <formula>"&lt;--- AUTO"</formula>
    </cfRule>
  </conditionalFormatting>
  <conditionalFormatting sqref="X18:Z18">
    <cfRule type="cellIs" dxfId="1489" priority="601" operator="notEqual">
      <formula>"&lt;--- AUTO"</formula>
    </cfRule>
  </conditionalFormatting>
  <conditionalFormatting sqref="X20:Z20">
    <cfRule type="cellIs" dxfId="1488" priority="600" operator="notEqual">
      <formula>"&lt;--- AUTO"</formula>
    </cfRule>
  </conditionalFormatting>
  <conditionalFormatting sqref="X22:Z22">
    <cfRule type="cellIs" dxfId="1487" priority="599" operator="notEqual">
      <formula>"&lt;--- AUTO"</formula>
    </cfRule>
  </conditionalFormatting>
  <conditionalFormatting sqref="X24:Z24">
    <cfRule type="cellIs" dxfId="1486" priority="598" operator="notEqual">
      <formula>"&lt;--- AUTO"</formula>
    </cfRule>
  </conditionalFormatting>
  <conditionalFormatting sqref="X30:Z30">
    <cfRule type="cellIs" dxfId="1485" priority="597" operator="notEqual">
      <formula>"&lt;--- AUTO"</formula>
    </cfRule>
  </conditionalFormatting>
  <conditionalFormatting sqref="X32:Z32">
    <cfRule type="cellIs" dxfId="1484" priority="596" operator="notEqual">
      <formula>"&lt;--- AUTO"</formula>
    </cfRule>
  </conditionalFormatting>
  <conditionalFormatting sqref="X34:Z34 X42:X48 X53 X50:X51">
    <cfRule type="cellIs" dxfId="1483" priority="595" operator="notEqual">
      <formula>"&lt;--- AUTO"</formula>
    </cfRule>
  </conditionalFormatting>
  <conditionalFormatting sqref="X54">
    <cfRule type="cellIs" dxfId="1482" priority="547" operator="notEqual">
      <formula>"&lt;--- AUTO"</formula>
    </cfRule>
  </conditionalFormatting>
  <conditionalFormatting sqref="X52">
    <cfRule type="cellIs" dxfId="1481" priority="346" operator="notEqual">
      <formula>"&lt;--- AUTO"</formula>
    </cfRule>
  </conditionalFormatting>
  <conditionalFormatting sqref="X49">
    <cfRule type="cellIs" dxfId="1480" priority="284" operator="notEqual">
      <formula>"&lt;--- AUTO"</formula>
    </cfRule>
  </conditionalFormatting>
  <conditionalFormatting sqref="X55:X59 X61:X64">
    <cfRule type="cellIs" dxfId="1479" priority="237" operator="notEqual">
      <formula>"&lt;--- AUTO"</formula>
    </cfRule>
  </conditionalFormatting>
  <conditionalFormatting sqref="X60">
    <cfRule type="cellIs" dxfId="1478" priority="230" operator="notEqual">
      <formula>"&lt;--- AUTO"</formula>
    </cfRule>
  </conditionalFormatting>
  <conditionalFormatting sqref="M81:V95 AK112:AM116 AK83:AM110">
    <cfRule type="expression" dxfId="1477" priority="163">
      <formula>M$80="N"</formula>
    </cfRule>
  </conditionalFormatting>
  <conditionalFormatting sqref="AJ81:AJ82">
    <cfRule type="expression" dxfId="1476" priority="113">
      <formula>$AI$80="Y"</formula>
    </cfRule>
  </conditionalFormatting>
  <conditionalFormatting sqref="AK83:AM110 AK112:AM116">
    <cfRule type="cellIs" dxfId="1475" priority="115" operator="equal">
      <formula>"N"</formula>
    </cfRule>
    <cfRule type="cellIs" dxfId="1474" priority="116" operator="equal">
      <formula>"Y"</formula>
    </cfRule>
    <cfRule type="cellIs" dxfId="1473" priority="117" operator="equal">
      <formula>"N/A"</formula>
    </cfRule>
  </conditionalFormatting>
  <conditionalFormatting sqref="AB81:AB82">
    <cfRule type="expression" dxfId="1472" priority="112">
      <formula>$AC$80="Y"</formula>
    </cfRule>
  </conditionalFormatting>
  <conditionalFormatting sqref="W81:AQ82">
    <cfRule type="expression" dxfId="1471" priority="111">
      <formula>W$80="N"</formula>
    </cfRule>
  </conditionalFormatting>
  <conditionalFormatting sqref="AD81:AD82">
    <cfRule type="expression" dxfId="1470" priority="99">
      <formula>$AK$80="Y"</formula>
    </cfRule>
    <cfRule type="expression" dxfId="1469" priority="100">
      <formula>$AI$80="Y"</formula>
    </cfRule>
    <cfRule type="expression" dxfId="1468" priority="101">
      <formula>$AE$80="Y"</formula>
    </cfRule>
    <cfRule type="expression" dxfId="1467" priority="108">
      <formula>$AF$80="Y"</formula>
    </cfRule>
    <cfRule type="expression" dxfId="1466" priority="109">
      <formula>$AC$80="Y"</formula>
    </cfRule>
  </conditionalFormatting>
  <conditionalFormatting sqref="AG81:AG82">
    <cfRule type="expression" dxfId="1465" priority="102">
      <formula>$AK$80="Y"</formula>
    </cfRule>
    <cfRule type="expression" dxfId="1464" priority="103">
      <formula>$AI$80="Y"</formula>
    </cfRule>
    <cfRule type="expression" dxfId="1463" priority="104">
      <formula>$AH$80="Y"</formula>
    </cfRule>
    <cfRule type="expression" dxfId="1462" priority="105">
      <formula>$AF$80="Y"</formula>
    </cfRule>
    <cfRule type="expression" dxfId="1461" priority="107">
      <formula>$AE$80="Y"</formula>
    </cfRule>
  </conditionalFormatting>
  <conditionalFormatting sqref="AB81:AB82">
    <cfRule type="expression" dxfId="1460" priority="97">
      <formula>$AK$80="Y"</formula>
    </cfRule>
    <cfRule type="expression" dxfId="1459" priority="98">
      <formula>$AE$80="Y"</formula>
    </cfRule>
  </conditionalFormatting>
  <conditionalFormatting sqref="AJ81:AJ82">
    <cfRule type="expression" dxfId="1458" priority="94">
      <formula>$AI$80="Y"</formula>
    </cfRule>
    <cfRule type="expression" dxfId="1457" priority="95">
      <formula>$AH$80="Y"</formula>
    </cfRule>
    <cfRule type="expression" dxfId="1456" priority="96">
      <formula>$AK$80="Y"</formula>
    </cfRule>
  </conditionalFormatting>
  <conditionalFormatting sqref="AK111:AM111">
    <cfRule type="cellIs" dxfId="1455" priority="91" operator="equal">
      <formula>"N"</formula>
    </cfRule>
    <cfRule type="cellIs" dxfId="1454" priority="92" operator="equal">
      <formula>"Y"</formula>
    </cfRule>
    <cfRule type="cellIs" dxfId="1453" priority="93" operator="equal">
      <formula>"N/A"</formula>
    </cfRule>
  </conditionalFormatting>
  <conditionalFormatting sqref="AK111:AM111">
    <cfRule type="expression" dxfId="1452" priority="90">
      <formula>AK$80="N"</formula>
    </cfRule>
  </conditionalFormatting>
  <conditionalFormatting sqref="I42">
    <cfRule type="expression" dxfId="1451" priority="70">
      <formula>$H42="error in"</formula>
    </cfRule>
  </conditionalFormatting>
  <conditionalFormatting sqref="AN83:AQ118 W83:AJ118">
    <cfRule type="cellIs" dxfId="1450" priority="68" operator="equal">
      <formula>"N"</formula>
    </cfRule>
    <cfRule type="cellIs" dxfId="1449" priority="69" operator="equal">
      <formula>"Y"</formula>
    </cfRule>
  </conditionalFormatting>
  <conditionalFormatting sqref="H42:H61">
    <cfRule type="cellIs" dxfId="1448" priority="58" operator="equal">
      <formula>"Y"</formula>
    </cfRule>
  </conditionalFormatting>
  <conditionalFormatting sqref="W4">
    <cfRule type="containsText" dxfId="1447" priority="57" operator="containsText" text="fill in">
      <formula>NOT(ISERROR(SEARCH("fill in",W4)))</formula>
    </cfRule>
  </conditionalFormatting>
  <conditionalFormatting sqref="E4:J4">
    <cfRule type="containsText" dxfId="1446" priority="55" operator="containsText" text="Insert">
      <formula>NOT(ISERROR(SEARCH("Insert",E4)))</formula>
    </cfRule>
    <cfRule type="containsText" dxfId="1445" priority="56" operator="containsText" text="U#####">
      <formula>NOT(ISERROR(SEARCH("U#####",E4)))</formula>
    </cfRule>
  </conditionalFormatting>
  <conditionalFormatting sqref="F19">
    <cfRule type="expression" dxfId="1444" priority="54">
      <formula>$H19="Recipient Not Applicable"</formula>
    </cfRule>
  </conditionalFormatting>
  <conditionalFormatting sqref="F21">
    <cfRule type="expression" dxfId="1443" priority="53">
      <formula>$H21="Recipient Not Applicable"</formula>
    </cfRule>
  </conditionalFormatting>
  <conditionalFormatting sqref="F23">
    <cfRule type="expression" dxfId="1442" priority="52">
      <formula>$H23="Recipient Not Applicable"</formula>
    </cfRule>
  </conditionalFormatting>
  <conditionalFormatting sqref="F25">
    <cfRule type="expression" dxfId="1441" priority="51">
      <formula>$H25="Recipient Not Applicable"</formula>
    </cfRule>
  </conditionalFormatting>
  <conditionalFormatting sqref="F31">
    <cfRule type="expression" dxfId="1440" priority="50">
      <formula>$H31="Recipient Not Applicable"</formula>
    </cfRule>
  </conditionalFormatting>
  <conditionalFormatting sqref="F33">
    <cfRule type="expression" dxfId="1439" priority="49">
      <formula>$H33="Recipient Not Applicable"</formula>
    </cfRule>
  </conditionalFormatting>
  <conditionalFormatting sqref="H42:I61 H64:I64">
    <cfRule type="expression" dxfId="1438" priority="378">
      <formula>$H42="error in"</formula>
    </cfRule>
  </conditionalFormatting>
  <conditionalFormatting sqref="H42:I54">
    <cfRule type="cellIs" dxfId="1437" priority="48" operator="equal">
      <formula>"?"</formula>
    </cfRule>
  </conditionalFormatting>
  <conditionalFormatting sqref="X26:Z26">
    <cfRule type="cellIs" dxfId="1436" priority="44" operator="notEqual">
      <formula>"&lt;--- AUTO"</formula>
    </cfRule>
  </conditionalFormatting>
  <conditionalFormatting sqref="F27">
    <cfRule type="expression" dxfId="1435" priority="42">
      <formula>$H27="Recipient Not Applicable"</formula>
    </cfRule>
  </conditionalFormatting>
  <conditionalFormatting sqref="X28:Z28">
    <cfRule type="cellIs" dxfId="1434" priority="38" operator="notEqual">
      <formula>"&lt;--- AUTO"</formula>
    </cfRule>
  </conditionalFormatting>
  <conditionalFormatting sqref="F29">
    <cfRule type="expression" dxfId="1433" priority="36">
      <formula>$H29="Recipient Not Applicable"</formula>
    </cfRule>
  </conditionalFormatting>
  <conditionalFormatting sqref="H62:H63">
    <cfRule type="cellIs" dxfId="1432" priority="34" operator="equal">
      <formula>"Y"</formula>
    </cfRule>
  </conditionalFormatting>
  <conditionalFormatting sqref="H62:I63">
    <cfRule type="expression" dxfId="1431" priority="35">
      <formula>$H62="error in"</formula>
    </cfRule>
  </conditionalFormatting>
  <conditionalFormatting sqref="I42:I63">
    <cfRule type="containsText" dxfId="1430" priority="33" operator="containsText" text="error">
      <formula>NOT(ISERROR(SEARCH("error",I42)))</formula>
    </cfRule>
  </conditionalFormatting>
  <conditionalFormatting sqref="X36:Z36">
    <cfRule type="cellIs" dxfId="1429" priority="30" operator="notEqual">
      <formula>"&lt;--- AUTO"</formula>
    </cfRule>
  </conditionalFormatting>
  <conditionalFormatting sqref="H16:K36">
    <cfRule type="containsText" dxfId="1428" priority="25" operator="containsText" text="ERROR">
      <formula>NOT(ISERROR(SEARCH("ERROR",H16)))</formula>
    </cfRule>
    <cfRule type="cellIs" dxfId="1427" priority="27" operator="equal">
      <formula>"Choose applicable Phase or Combined Phases"</formula>
    </cfRule>
  </conditionalFormatting>
  <conditionalFormatting sqref="F35">
    <cfRule type="expression" dxfId="1426" priority="26">
      <formula>$H35="Recipient Not Applicable"</formula>
    </cfRule>
  </conditionalFormatting>
  <dataValidations count="5">
    <dataValidation type="list" allowBlank="1" showInputMessage="1" showErrorMessage="1" sqref="B5:B119">
      <formula1>$Z$9:$Z$12</formula1>
    </dataValidation>
    <dataValidation allowBlank="1" showInputMessage="1" showErrorMessage="1" prompt="NOT AN INPUT CELL." sqref="E3:J11 J14:K15 F39:I63 F14:I36 F37:J37"/>
    <dataValidation allowBlank="1" showInputMessage="1" showErrorMessage="1" promptTitle="ECHO from tab C" prompt="From columns AC through AJ" sqref="AX79:BC79"/>
    <dataValidation allowBlank="1" showInputMessage="1" showErrorMessage="1" prompt="Not an Input!" sqref="AX83:BC93"/>
    <dataValidation allowBlank="1" showInputMessage="1" showErrorMessage="1" prompt="NOT AN INPUT!" sqref="H83:AU116"/>
  </dataValidations>
  <printOptions horizontalCentered="1"/>
  <pageMargins left="0.7" right="0.7" top="0.4" bottom="0.45" header="0.3" footer="0.3"/>
  <pageSetup scale="59" orientation="portrait" r:id="rId1"/>
  <headerFooter>
    <oddFooter>&amp;L&amp;"-,Bold"&amp;8&amp;K04-048TAB &amp;A&amp;R&amp;"Ebrima,Regular"&amp;G</oddFooter>
  </headerFooter>
  <drawing r:id="rId2"/>
  <legacyDrawing r:id="rId3"/>
  <legacyDrawingHF r:id="rId4"/>
  <extLst>
    <ext xmlns:x14="http://schemas.microsoft.com/office/spreadsheetml/2009/9/main" uri="{78C0D931-6437-407d-A8EE-F0AAD7539E65}">
      <x14:conditionalFormattings>
        <x14:conditionalFormatting xmlns:xm="http://schemas.microsoft.com/office/excel/2006/main">
          <x14:cfRule type="expression" priority="66" id="{62D8DE11-46D4-42E3-BA36-73CFAA0D95EE}">
            <xm:f>'02 - DD'!$D$206="N"</xm:f>
            <x14:dxf>
              <font>
                <strike/>
              </font>
            </x14:dxf>
          </x14:cfRule>
          <xm:sqref>A75:XFD76</xm:sqref>
        </x14:conditionalFormatting>
        <x14:conditionalFormatting xmlns:xm="http://schemas.microsoft.com/office/excel/2006/main">
          <x14:cfRule type="expression" priority="64" id="{55DF759C-D2BE-4EDA-8207-3A6C1A139AAB}">
            <xm:f>'02 - DD'!$F79="N"</xm:f>
            <x14:dxf>
              <font>
                <strike/>
              </font>
            </x14:dxf>
          </x14:cfRule>
          <xm:sqref>A75:XFD76</xm:sqref>
        </x14:conditionalFormatting>
        <x14:conditionalFormatting xmlns:xm="http://schemas.microsoft.com/office/excel/2006/main">
          <x14:cfRule type="expression" priority="63" id="{4C64D6E6-EF46-4923-9F64-0DCFFE6E1F78}">
            <xm:f>'02 - DD'!$E79="N"</xm:f>
            <x14:dxf>
              <font>
                <strike/>
              </font>
            </x14:dxf>
          </x14:cfRule>
          <xm:sqref>A75:XFD76</xm:sqref>
        </x14:conditionalFormatting>
        <x14:conditionalFormatting xmlns:xm="http://schemas.microsoft.com/office/excel/2006/main">
          <x14:cfRule type="expression" priority="62" id="{E7FF4B77-C13F-410D-AD2F-0A932DBD7AD4}">
            <xm:f>'02 - DD'!$D79="N"</xm:f>
            <x14:dxf>
              <font>
                <strike/>
              </font>
            </x14:dxf>
          </x14:cfRule>
          <xm:sqref>A75:XFD76</xm:sqref>
        </x14:conditionalFormatting>
        <x14:conditionalFormatting xmlns:xm="http://schemas.microsoft.com/office/excel/2006/main">
          <x14:cfRule type="expression" priority="65" id="{299E8116-1B51-464B-AD34-3D19F9F5AEFF}">
            <xm:f>'02 - DD'!$G79="N"</xm:f>
            <x14:dxf>
              <font>
                <strike/>
              </font>
            </x14:dxf>
          </x14:cfRule>
          <xm:sqref>A75:XFD76</xm:sqref>
        </x14:conditionalFormatting>
        <x14:conditionalFormatting xmlns:xm="http://schemas.microsoft.com/office/excel/2006/main">
          <x14:cfRule type="containsText" priority="59" operator="containsText" text="Placeholder" id="{BC884928-330C-4A77-B383-C6FDE7F1AC27}">
            <xm:f>NOT(ISERROR(SEARCH("Placeholder",'02 - DD'!A79)))</xm:f>
            <x14:dxf>
              <font>
                <b val="0"/>
                <i/>
              </font>
            </x14:dxf>
          </x14:cfRule>
          <xm:sqref>C75:G76</xm:sqref>
        </x14:conditionalFormatting>
        <x14:conditionalFormatting xmlns:xm="http://schemas.microsoft.com/office/excel/2006/main">
          <x14:cfRule type="expression" priority="60" id="{83FE7217-E3AA-4773-98E3-5C3E01F6EEBB}">
            <xm:f>'02 - DD'!$C$16="NO DESIGN - DESIGN DEVELOPMENT DOES NOT APPLY"</xm:f>
            <x14:dxf>
              <font>
                <strike/>
              </font>
              <fill>
                <patternFill>
                  <bgColor theme="0" tint="-0.499984740745262"/>
                </patternFill>
              </fill>
            </x14:dxf>
          </x14:cfRule>
          <x14:cfRule type="expression" priority="61" id="{FCB5CE0A-AB19-4C3E-8FFF-07743AB0B349}">
            <xm:f>'02 - DD'!$C$16="DESIGN DEVELOPMENT DOES NOT APPLY"</xm:f>
            <x14:dxf>
              <font>
                <strike/>
              </font>
              <fill>
                <patternFill>
                  <bgColor theme="0" tint="-0.34998626667073579"/>
                </patternFill>
              </fill>
            </x14:dxf>
          </x14:cfRule>
          <xm:sqref>A75:XFD76</xm:sqref>
        </x14:conditionalFormatting>
        <x14:conditionalFormatting xmlns:xm="http://schemas.microsoft.com/office/excel/2006/main">
          <x14:cfRule type="expression" priority="32090" id="{22F75270-D6C1-4390-87AC-1D0D04404A90}">
            <xm:f>'02 - DD'!$E$350="N"</xm:f>
            <x14:dxf>
              <font>
                <strike/>
              </font>
            </x14:dxf>
          </x14:cfRule>
          <xm:sqref>A75:XFD76</xm:sqref>
        </x14:conditionalFormatting>
        <x14:conditionalFormatting xmlns:xm="http://schemas.microsoft.com/office/excel/2006/main">
          <x14:cfRule type="containsText" priority="34587" operator="containsText" text="Placeholder" id="{BC884928-330C-4A77-B383-C6FDE7F1AC27}">
            <xm:f>NOT(ISERROR(SEARCH("Placeholder",'02 - DD'!E79)))</xm:f>
            <x14:dxf>
              <font>
                <b val="0"/>
                <i/>
              </font>
            </x14:dxf>
          </x14:cfRule>
          <xm:sqref>H75:XFD76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promptTitle="Select Phase from DropDown" prompt="Chose the appropriate_x000a_single phase or combined phase._x000a_See tab A for applicable phases.">
          <x14:formula1>
            <xm:f>'A-Info, Phases, Recip.'!$E$124:$E$146</xm:f>
          </x14:formula1>
          <xm:sqref>F13:I13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249977111117893"/>
    <pageSetUpPr fitToPage="1"/>
  </sheetPr>
  <dimension ref="A1:AW787"/>
  <sheetViews>
    <sheetView showGridLines="0" view="pageBreakPreview" zoomScaleNormal="100" zoomScaleSheetLayoutView="100" workbookViewId="0">
      <pane ySplit="23" topLeftCell="A24" activePane="bottomLeft" state="frozen"/>
      <selection pane="bottomLeft" activeCell="T25" sqref="T25"/>
    </sheetView>
  </sheetViews>
  <sheetFormatPr defaultRowHeight="15" x14ac:dyDescent="0.25"/>
  <cols>
    <col min="1" max="1" width="0.85546875" style="91" customWidth="1"/>
    <col min="2" max="2" width="1" hidden="1" customWidth="1"/>
    <col min="4" max="6" width="3.28515625" style="12" customWidth="1"/>
    <col min="7" max="7" width="7" style="19" customWidth="1"/>
    <col min="8" max="8" width="86" style="17" customWidth="1"/>
    <col min="9" max="9" width="0.85546875" style="17" customWidth="1"/>
    <col min="10" max="10" width="13.85546875" style="17" hidden="1" customWidth="1"/>
    <col min="11" max="11" width="7.28515625" style="17" hidden="1" customWidth="1"/>
    <col min="12" max="49" width="9.140625" style="17"/>
  </cols>
  <sheetData>
    <row r="1" spans="1:49" s="542" customFormat="1" hidden="1" x14ac:dyDescent="0.25">
      <c r="A1" s="91"/>
      <c r="D1" s="543"/>
      <c r="E1" s="543"/>
      <c r="F1" s="543"/>
      <c r="G1" s="19"/>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row>
    <row r="2" spans="1:49" s="542" customFormat="1" hidden="1" x14ac:dyDescent="0.25">
      <c r="A2" s="91"/>
      <c r="D2" s="543"/>
      <c r="E2" s="543"/>
      <c r="F2" s="543"/>
      <c r="G2" s="19"/>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row>
    <row r="3" spans="1:49" ht="30" customHeight="1" x14ac:dyDescent="0.25">
      <c r="A3" s="1331"/>
      <c r="B3" s="542"/>
      <c r="C3" s="1577" t="s">
        <v>46</v>
      </c>
      <c r="D3" s="1421"/>
      <c r="E3" s="1421"/>
      <c r="F3" s="2270" t="str">
        <f ca="1">CONCATENATE("READ DIRECTIONS FILE FIRST.  PSC should print &amp; use at CONCEPT submittals. PM/ Planner only should hide non-applicable rows.  Choices for applicability are in the tab [",MID(CELL("filename",Date_edited_TAB_C),FIND("]",CELL("filename",Date_edited_TAB_C))+1,255),"]")</f>
        <v>READ DIRECTIONS FILE FIRST.  PSC should print &amp; use at CONCEPT submittals. PM/ Planner only should hide non-applicable rows.  Choices for applicability are in the tab [C-Design&amp;Const]</v>
      </c>
      <c r="G3" s="2270"/>
      <c r="H3" s="2270"/>
      <c r="I3" s="1421"/>
      <c r="J3" s="1186"/>
      <c r="K3" s="1441"/>
      <c r="L3" s="1186"/>
      <c r="M3" s="1186"/>
      <c r="N3" s="1186"/>
      <c r="O3" s="1186"/>
      <c r="P3" s="1186"/>
      <c r="Q3" s="1186"/>
      <c r="R3" s="1186"/>
      <c r="S3" s="1333"/>
      <c r="T3" s="1333"/>
      <c r="U3" s="1333"/>
      <c r="V3" s="1333"/>
      <c r="W3" s="1333"/>
      <c r="X3" s="1333"/>
      <c r="Y3" s="1333"/>
      <c r="Z3" s="1333"/>
      <c r="AA3" s="1333"/>
      <c r="AB3" s="1333"/>
      <c r="AC3" s="1333"/>
      <c r="AD3" s="1333"/>
      <c r="AE3" s="1333"/>
      <c r="AF3" s="1333"/>
      <c r="AG3" s="1333"/>
      <c r="AH3" s="1333"/>
      <c r="AI3" s="1333"/>
    </row>
    <row r="4" spans="1:49" ht="19.5" hidden="1" thickTop="1" x14ac:dyDescent="0.25">
      <c r="A4" s="1331"/>
      <c r="C4" s="1422"/>
      <c r="D4" s="1423" t="s">
        <v>37</v>
      </c>
      <c r="E4" s="1424"/>
      <c r="F4" s="1798"/>
      <c r="G4" s="1799" t="s">
        <v>39</v>
      </c>
      <c r="H4" s="1800" t="s">
        <v>219</v>
      </c>
      <c r="I4" s="63"/>
      <c r="K4" s="63"/>
      <c r="L4" s="1341" t="s">
        <v>142</v>
      </c>
      <c r="M4" s="1333"/>
      <c r="N4" s="1333"/>
      <c r="O4" s="1333"/>
      <c r="P4" s="1333"/>
      <c r="Q4" s="1333"/>
      <c r="R4" s="1333"/>
      <c r="S4" s="1333"/>
      <c r="T4" s="1333"/>
      <c r="U4" s="1333"/>
      <c r="V4" s="1333"/>
      <c r="W4" s="1333"/>
      <c r="X4" s="1333"/>
      <c r="Y4" s="1333"/>
      <c r="Z4" s="1333"/>
      <c r="AA4" s="1333"/>
      <c r="AB4" s="1333"/>
      <c r="AC4" s="1333"/>
      <c r="AD4" s="1333"/>
      <c r="AE4" s="1333"/>
      <c r="AF4" s="1333"/>
      <c r="AG4" s="1333"/>
      <c r="AH4" s="1333"/>
      <c r="AI4" s="1333"/>
    </row>
    <row r="5" spans="1:49" hidden="1" x14ac:dyDescent="0.25">
      <c r="A5" s="1342"/>
      <c r="C5" s="1425"/>
      <c r="D5" s="1426"/>
      <c r="E5" s="1427" t="s">
        <v>37</v>
      </c>
      <c r="F5" s="1428"/>
      <c r="G5" s="1429"/>
      <c r="H5" s="1430" t="s">
        <v>50</v>
      </c>
      <c r="I5" s="64"/>
      <c r="K5" s="64"/>
      <c r="L5" s="1350" t="s">
        <v>49</v>
      </c>
      <c r="M5" s="1351"/>
      <c r="N5" s="1333"/>
      <c r="O5" s="1333"/>
      <c r="P5" s="1333"/>
      <c r="Q5" s="1333"/>
      <c r="R5" s="1333"/>
      <c r="S5" s="1333"/>
      <c r="T5" s="1333"/>
      <c r="U5" s="1333"/>
      <c r="V5" s="1333"/>
      <c r="W5" s="1333"/>
      <c r="X5" s="1333"/>
      <c r="Y5" s="1333"/>
      <c r="Z5" s="1333"/>
      <c r="AA5" s="1333"/>
      <c r="AB5" s="1333"/>
      <c r="AC5" s="1333"/>
      <c r="AD5" s="1333"/>
      <c r="AE5" s="1333"/>
      <c r="AF5" s="1333"/>
      <c r="AG5" s="1333"/>
      <c r="AH5" s="1333"/>
      <c r="AI5" s="1333"/>
    </row>
    <row r="6" spans="1:49" ht="15.75" hidden="1" thickBot="1" x14ac:dyDescent="0.3">
      <c r="A6" s="1342"/>
      <c r="C6" s="1431"/>
      <c r="D6" s="1432"/>
      <c r="E6" s="1432"/>
      <c r="F6" s="1433" t="s">
        <v>37</v>
      </c>
      <c r="G6" s="1434"/>
      <c r="H6" s="1435" t="s">
        <v>51</v>
      </c>
      <c r="I6" s="65"/>
      <c r="K6" s="65"/>
      <c r="L6" s="1358"/>
      <c r="M6" s="1351"/>
      <c r="N6" s="1333"/>
      <c r="O6" s="1333"/>
      <c r="P6" s="1333"/>
      <c r="Q6" s="1333"/>
      <c r="R6" s="1333"/>
      <c r="S6" s="1333"/>
      <c r="T6" s="1333"/>
      <c r="U6" s="1333"/>
      <c r="V6" s="1333"/>
      <c r="W6" s="1333"/>
      <c r="X6" s="1333"/>
      <c r="Y6" s="1333"/>
      <c r="Z6" s="1333"/>
      <c r="AA6" s="1333"/>
      <c r="AB6" s="1333"/>
      <c r="AC6" s="1333"/>
      <c r="AD6" s="1333"/>
      <c r="AE6" s="1333"/>
      <c r="AF6" s="1333"/>
      <c r="AG6" s="1333"/>
      <c r="AH6" s="1333"/>
      <c r="AI6" s="1333"/>
    </row>
    <row r="7" spans="1:49" hidden="1" x14ac:dyDescent="0.25">
      <c r="A7" s="1342"/>
      <c r="C7" s="1436" t="s">
        <v>71</v>
      </c>
      <c r="D7" s="1436" t="s">
        <v>45</v>
      </c>
      <c r="E7" s="1436"/>
      <c r="F7" s="1436"/>
      <c r="G7" s="1437"/>
      <c r="H7" s="1170" t="s">
        <v>107</v>
      </c>
      <c r="I7" s="49"/>
      <c r="K7" s="49"/>
      <c r="L7" s="1358"/>
      <c r="M7" s="1351"/>
      <c r="N7" s="1333"/>
      <c r="O7" s="1333"/>
      <c r="P7" s="1333"/>
      <c r="Q7" s="1333"/>
      <c r="R7" s="1333"/>
      <c r="S7" s="1333"/>
      <c r="T7" s="1333"/>
      <c r="U7" s="1333"/>
      <c r="V7" s="1333"/>
      <c r="W7" s="1333"/>
      <c r="X7" s="1333"/>
      <c r="Y7" s="1333"/>
      <c r="Z7" s="1333"/>
      <c r="AA7" s="1333"/>
      <c r="AB7" s="1333"/>
      <c r="AC7" s="1333"/>
      <c r="AD7" s="1333"/>
      <c r="AE7" s="1333"/>
      <c r="AF7" s="1333"/>
      <c r="AG7" s="1333"/>
      <c r="AH7" s="1333"/>
      <c r="AI7" s="1333"/>
    </row>
    <row r="8" spans="1:49" hidden="1" x14ac:dyDescent="0.25">
      <c r="A8" s="1342"/>
      <c r="C8" s="1438" t="s">
        <v>100</v>
      </c>
      <c r="D8" s="1438" t="s">
        <v>37</v>
      </c>
      <c r="E8" s="1439" t="s">
        <v>47</v>
      </c>
      <c r="F8" s="1440"/>
      <c r="G8" s="1187"/>
      <c r="H8" s="1173" t="s">
        <v>108</v>
      </c>
      <c r="L8" s="1358"/>
      <c r="M8" s="1351"/>
      <c r="N8" s="1333"/>
      <c r="O8" s="1333"/>
      <c r="P8" s="1333"/>
      <c r="Q8" s="1333"/>
      <c r="R8" s="1333"/>
      <c r="S8" s="1333"/>
      <c r="T8" s="1333"/>
      <c r="U8" s="1333"/>
      <c r="V8" s="1333"/>
      <c r="W8" s="1333"/>
      <c r="X8" s="1333"/>
      <c r="Y8" s="1333"/>
      <c r="Z8" s="1333"/>
      <c r="AA8" s="1333"/>
      <c r="AB8" s="1333"/>
      <c r="AC8" s="1333"/>
      <c r="AD8" s="1333"/>
      <c r="AE8" s="1333"/>
      <c r="AF8" s="1333"/>
      <c r="AG8" s="1333"/>
      <c r="AH8" s="1333"/>
      <c r="AI8" s="1333"/>
    </row>
    <row r="9" spans="1:49" hidden="1" x14ac:dyDescent="0.25">
      <c r="A9" s="1342"/>
      <c r="C9" s="1438" t="s">
        <v>72</v>
      </c>
      <c r="D9" s="1438" t="s">
        <v>38</v>
      </c>
      <c r="E9" s="1439" t="s">
        <v>47</v>
      </c>
      <c r="F9" s="1440"/>
      <c r="G9" s="1187"/>
      <c r="H9" s="1173" t="s">
        <v>53</v>
      </c>
      <c r="L9" s="1358"/>
      <c r="M9" s="1351"/>
      <c r="N9" s="1333"/>
      <c r="O9" s="1333"/>
      <c r="P9" s="1333"/>
      <c r="Q9" s="1333"/>
      <c r="R9" s="1333"/>
      <c r="S9" s="1333"/>
      <c r="T9" s="1333"/>
      <c r="U9" s="1333"/>
      <c r="V9" s="1333"/>
      <c r="W9" s="1333"/>
      <c r="X9" s="1333"/>
      <c r="Y9" s="1333"/>
      <c r="Z9" s="1333"/>
      <c r="AA9" s="1333"/>
      <c r="AB9" s="1333"/>
      <c r="AC9" s="1333"/>
      <c r="AD9" s="1333"/>
      <c r="AE9" s="1333"/>
      <c r="AF9" s="1333"/>
      <c r="AG9" s="1333"/>
      <c r="AH9" s="1333"/>
      <c r="AI9" s="1333"/>
    </row>
    <row r="10" spans="1:49" hidden="1" x14ac:dyDescent="0.25">
      <c r="A10" s="1342"/>
      <c r="C10" s="1438"/>
      <c r="D10" s="1438" t="s">
        <v>21</v>
      </c>
      <c r="E10" s="1439" t="s">
        <v>47</v>
      </c>
      <c r="F10" s="1440"/>
      <c r="G10" s="1187"/>
      <c r="H10" s="1173" t="s">
        <v>109</v>
      </c>
      <c r="L10" s="1358"/>
      <c r="M10" s="1351"/>
      <c r="N10" s="1333"/>
      <c r="O10" s="1333"/>
      <c r="P10" s="1333"/>
      <c r="Q10" s="1333"/>
      <c r="R10" s="1333"/>
      <c r="S10" s="1333"/>
      <c r="T10" s="1333"/>
      <c r="U10" s="1333"/>
      <c r="V10" s="1333"/>
      <c r="W10" s="1333"/>
      <c r="X10" s="1333"/>
      <c r="Y10" s="1333"/>
      <c r="Z10" s="1333"/>
      <c r="AA10" s="1333"/>
      <c r="AB10" s="1333"/>
      <c r="AC10" s="1333"/>
      <c r="AD10" s="1333"/>
      <c r="AE10" s="1333"/>
      <c r="AF10" s="1333"/>
      <c r="AG10" s="1333"/>
      <c r="AH10" s="1333"/>
      <c r="AI10" s="1333"/>
    </row>
    <row r="11" spans="1:49" hidden="1" x14ac:dyDescent="0.25">
      <c r="A11" s="1342"/>
      <c r="C11" s="1438"/>
      <c r="D11" s="1438"/>
      <c r="E11" s="1440"/>
      <c r="F11" s="1440"/>
      <c r="G11" s="1187"/>
      <c r="H11" s="1186"/>
      <c r="L11" s="1358"/>
      <c r="M11" s="1351"/>
      <c r="N11" s="1333"/>
      <c r="O11" s="1333"/>
      <c r="P11" s="1333"/>
      <c r="Q11" s="1333"/>
      <c r="R11" s="1333"/>
      <c r="S11" s="1333"/>
      <c r="T11" s="1333"/>
      <c r="U11" s="1333"/>
      <c r="V11" s="1333"/>
      <c r="W11" s="1333"/>
      <c r="X11" s="1333"/>
      <c r="Y11" s="1333"/>
      <c r="Z11" s="1333"/>
      <c r="AA11" s="1333"/>
      <c r="AB11" s="1333"/>
      <c r="AC11" s="1333"/>
      <c r="AD11" s="1333"/>
      <c r="AE11" s="1333"/>
      <c r="AF11" s="1333"/>
      <c r="AG11" s="1333"/>
      <c r="AH11" s="1333"/>
      <c r="AI11" s="1333"/>
    </row>
    <row r="12" spans="1:49" hidden="1" x14ac:dyDescent="0.25">
      <c r="A12" s="1342"/>
      <c r="C12" s="1185"/>
      <c r="D12" s="1440"/>
      <c r="E12" s="1440"/>
      <c r="F12" s="1440"/>
      <c r="G12" s="1187"/>
      <c r="H12" s="1186"/>
      <c r="L12" s="1358"/>
      <c r="M12" s="1351"/>
      <c r="N12" s="1333"/>
      <c r="O12" s="1333"/>
      <c r="P12" s="1333"/>
      <c r="Q12" s="1333"/>
      <c r="R12" s="1333"/>
      <c r="S12" s="1333"/>
      <c r="T12" s="1333"/>
      <c r="U12" s="1333"/>
      <c r="V12" s="1333"/>
      <c r="W12" s="1333"/>
      <c r="X12" s="1333"/>
      <c r="Y12" s="1333"/>
      <c r="Z12" s="1333"/>
      <c r="AA12" s="1333"/>
      <c r="AB12" s="1333"/>
      <c r="AC12" s="1333"/>
      <c r="AD12" s="1333"/>
      <c r="AE12" s="1333"/>
      <c r="AF12" s="1333"/>
      <c r="AG12" s="1333"/>
      <c r="AH12" s="1333"/>
      <c r="AI12" s="1333"/>
    </row>
    <row r="13" spans="1:49" ht="6" customHeight="1" x14ac:dyDescent="0.25">
      <c r="A13" s="1367"/>
      <c r="C13" s="1185"/>
      <c r="D13" s="1440"/>
      <c r="E13" s="1440"/>
      <c r="F13" s="1440"/>
      <c r="G13" s="1187"/>
      <c r="H13" s="1186"/>
      <c r="L13" s="1368"/>
      <c r="M13" s="1369"/>
      <c r="N13" s="1333"/>
      <c r="O13" s="1333"/>
      <c r="P13" s="1333"/>
      <c r="Q13" s="1333"/>
      <c r="R13" s="1333"/>
      <c r="S13" s="1333"/>
      <c r="T13" s="1333"/>
      <c r="U13" s="1333"/>
      <c r="V13" s="1333"/>
      <c r="W13" s="1333"/>
      <c r="X13" s="1333"/>
      <c r="Y13" s="1333"/>
      <c r="Z13" s="1333"/>
      <c r="AA13" s="1333"/>
      <c r="AB13" s="1333"/>
      <c r="AC13" s="1333"/>
      <c r="AD13" s="1333"/>
      <c r="AE13" s="1333"/>
      <c r="AF13" s="1333"/>
      <c r="AG13" s="1333"/>
      <c r="AH13" s="1333"/>
      <c r="AI13" s="1333"/>
    </row>
    <row r="14" spans="1:49" ht="6" customHeight="1" x14ac:dyDescent="0.25">
      <c r="A14" s="1370"/>
      <c r="B14" s="120"/>
      <c r="C14" s="120"/>
      <c r="D14" s="121"/>
      <c r="E14" s="121"/>
      <c r="F14" s="121"/>
      <c r="G14" s="122"/>
      <c r="H14" s="123"/>
      <c r="I14" s="124"/>
      <c r="K14" s="62"/>
      <c r="L14" s="1333"/>
      <c r="M14" s="1333"/>
      <c r="N14" s="1333"/>
      <c r="O14" s="1333"/>
      <c r="P14" s="1333"/>
      <c r="Q14" s="1333"/>
      <c r="R14" s="1333"/>
      <c r="S14" s="1333"/>
      <c r="T14" s="1333"/>
      <c r="U14" s="1333"/>
      <c r="V14" s="1333"/>
      <c r="W14" s="1333"/>
      <c r="X14" s="1333"/>
      <c r="Y14" s="1333"/>
      <c r="Z14" s="1333"/>
      <c r="AA14" s="1333"/>
      <c r="AB14" s="1333"/>
      <c r="AC14" s="1333"/>
      <c r="AD14" s="1333"/>
      <c r="AE14" s="1333"/>
      <c r="AF14" s="1333"/>
      <c r="AG14" s="1333"/>
      <c r="AH14" s="1333"/>
      <c r="AI14" s="1333"/>
    </row>
    <row r="15" spans="1:49" ht="18.75" x14ac:dyDescent="0.3">
      <c r="A15" s="2052"/>
      <c r="B15" s="125"/>
      <c r="C15" s="2275" t="str">
        <f>CONCATENATE(Project_No," - ",Project_Name)</f>
        <v>U12345 - Davenport Hall Addition &amp; Remodel - Example</v>
      </c>
      <c r="D15" s="2275"/>
      <c r="E15" s="2275"/>
      <c r="F15" s="2275"/>
      <c r="G15" s="2275"/>
      <c r="H15" s="2275"/>
      <c r="I15" s="126"/>
      <c r="K15" s="224"/>
      <c r="L15" s="1376" t="str">
        <f ca="1">CONCATENATE(IF(ISNUMBER(SEARCH("INSERT",C15))=TRUE,"&lt;----Fill in information in tab [","&lt;----ECHOED from Tab ["),MID(CELL("filename",'A-Info, Phases, Recip.'!D4),FIND("]",CELL("filename",'A-Info, Phases, Recip.'!D4))+1,255),"]")</f>
        <v>&lt;----ECHOED from Tab [A-Info, Phases, Recip.]</v>
      </c>
      <c r="M15" s="1333"/>
      <c r="N15" s="1333"/>
      <c r="O15" s="1333"/>
      <c r="P15" s="1333"/>
      <c r="Q15" s="1333"/>
      <c r="R15" s="1333"/>
      <c r="S15" s="1333"/>
      <c r="T15" s="1333"/>
      <c r="U15" s="1333"/>
      <c r="V15" s="1333"/>
      <c r="W15" s="1333"/>
      <c r="X15" s="1333"/>
      <c r="Y15" s="1333"/>
      <c r="Z15" s="1333"/>
      <c r="AA15" s="1333"/>
      <c r="AB15" s="1333"/>
      <c r="AC15" s="1333"/>
      <c r="AD15" s="1333"/>
      <c r="AE15" s="1333"/>
      <c r="AF15" s="1333"/>
      <c r="AG15" s="1333"/>
      <c r="AH15" s="1333"/>
      <c r="AI15" s="1333"/>
    </row>
    <row r="16" spans="1:49" ht="18.75" x14ac:dyDescent="0.3">
      <c r="A16" s="2052"/>
      <c r="B16" s="125"/>
      <c r="C16" s="2054" t="str">
        <f>IF(Feasibility_Concept="Conceptualization Only","PROJECT HAS NOT BEEN SET UP PAST CONCEPTUALIZATION",IF(Feasibility_Concept="Conceptualization","Conceptualization - PSC Minimum List of Deliverables","CONCEPTUALIZATION IS NOT IN PROJECT"))</f>
        <v>Conceptualization - PSC Minimum List of Deliverables</v>
      </c>
      <c r="D16" s="2054"/>
      <c r="E16" s="2054"/>
      <c r="F16" s="2054"/>
      <c r="G16" s="2054"/>
      <c r="H16" s="2054"/>
      <c r="I16" s="126"/>
      <c r="K16" s="224"/>
      <c r="L16" s="1377" t="str">
        <f ca="1">CONCATENATE("&lt;----Phase Applicability chosen in Tab [",MID(CELL("filename",'A-Info, Phases, Recip.'!D4),FIND("]",CELL("filename",'A-Info, Phases, Recip.'!D4))+1,255),"]")</f>
        <v>&lt;----Phase Applicability chosen in Tab [A-Info, Phases, Recip.]</v>
      </c>
      <c r="M16" s="1333"/>
      <c r="N16" s="1333"/>
      <c r="O16" s="1333"/>
      <c r="P16" s="1333"/>
      <c r="Q16" s="1333"/>
      <c r="R16" s="1333"/>
      <c r="S16" s="1333"/>
      <c r="T16" s="1333"/>
      <c r="U16" s="1333"/>
      <c r="V16" s="1333"/>
      <c r="W16" s="1333"/>
      <c r="X16" s="1333"/>
      <c r="Y16" s="1333"/>
      <c r="Z16" s="1333"/>
      <c r="AA16" s="1333"/>
      <c r="AB16" s="1333"/>
      <c r="AC16" s="1333"/>
      <c r="AD16" s="1333"/>
      <c r="AE16" s="1333"/>
      <c r="AF16" s="1333"/>
      <c r="AG16" s="1333"/>
      <c r="AH16" s="1333"/>
      <c r="AI16" s="1333"/>
    </row>
    <row r="17" spans="1:49" s="542" customFormat="1" ht="18.75" x14ac:dyDescent="0.3">
      <c r="A17" s="2052"/>
      <c r="B17" s="125"/>
      <c r="C17" s="2272" t="str">
        <f ca="1">IF(Feasibility_Concept="Conceptualization Only",CONCATENATE("Use tab ''",MID(CELL("filename",'B-Studies or Concept only'!C15),FIND("]",CELL("filename",'B-Studies or Concept only'!C15))+1,255),"'' instead"),"")</f>
        <v/>
      </c>
      <c r="D17" s="2272"/>
      <c r="E17" s="2272"/>
      <c r="F17" s="2272"/>
      <c r="G17" s="2272"/>
      <c r="H17" s="2272"/>
      <c r="I17" s="126"/>
      <c r="J17" s="17"/>
      <c r="K17" s="224"/>
      <c r="L17" s="1377"/>
      <c r="M17" s="1333"/>
      <c r="N17" s="1333"/>
      <c r="O17" s="1333"/>
      <c r="P17" s="1333"/>
      <c r="Q17" s="1333"/>
      <c r="R17" s="1333"/>
      <c r="S17" s="1333"/>
      <c r="T17" s="1333"/>
      <c r="U17" s="1333"/>
      <c r="V17" s="1333"/>
      <c r="W17" s="1333"/>
      <c r="X17" s="1333"/>
      <c r="Y17" s="1333"/>
      <c r="Z17" s="1333"/>
      <c r="AA17" s="1333"/>
      <c r="AB17" s="1333"/>
      <c r="AC17" s="1333"/>
      <c r="AD17" s="1333"/>
      <c r="AE17" s="1333"/>
      <c r="AF17" s="1333"/>
      <c r="AG17" s="1333"/>
      <c r="AH17" s="1333"/>
      <c r="AI17" s="1333"/>
      <c r="AJ17" s="17"/>
      <c r="AK17" s="17"/>
      <c r="AL17" s="17"/>
      <c r="AM17" s="17"/>
      <c r="AN17" s="17"/>
      <c r="AO17" s="17"/>
      <c r="AP17" s="17"/>
      <c r="AQ17" s="17"/>
      <c r="AR17" s="17"/>
      <c r="AS17" s="17"/>
      <c r="AT17" s="17"/>
      <c r="AU17" s="17"/>
      <c r="AV17" s="17"/>
      <c r="AW17" s="17"/>
    </row>
    <row r="18" spans="1:49" ht="11.1" customHeight="1" x14ac:dyDescent="0.25">
      <c r="A18" s="2052"/>
      <c r="B18" s="125"/>
      <c r="C18" s="2055" t="str">
        <f>CONCATENATE("Const. Delivery = ",Const_Delivery_Method," ; Const. Type = ",Const_Type,"; LEED Goal = ",IF(LEED_Goal="none","N/A",LEED_Goal),"; Bldg, lot, or Utility: ",Bldg_No_or_Utility)</f>
        <v>Const. Delivery = BID ; Const. Type = Remodeling/Addition; LEED Goal = Silver - Certified; Bldg, lot, or Utility: 0001</v>
      </c>
      <c r="D18" s="2056"/>
      <c r="E18" s="2056"/>
      <c r="F18" s="2056"/>
      <c r="G18" s="2056"/>
      <c r="H18" s="2056"/>
      <c r="I18" s="127"/>
      <c r="K18" s="225"/>
      <c r="L18" s="1378" t="str">
        <f ca="1">CONCATENATE(IF(OR(ISNUMBER(SEARCH("Select",C18))=TRUE,ISNUMBER(SEARCH("Choose",D18))=TRUE,ISNUMBER(SEARCH("####",C18))=TRUE),"&lt;----Fill in information in tab [","&lt;----ECHOED from Tab ["),MID(CELL("filename",'A-Info, Phases, Recip.'!D6),FIND("]",CELL("filename",'A-Info, Phases, Recip.'!D6))+1,255),"]")</f>
        <v>&lt;----ECHOED from Tab [A-Info, Phases, Recip.]</v>
      </c>
      <c r="M18" s="1333"/>
      <c r="N18" s="1333"/>
      <c r="O18" s="1333"/>
      <c r="P18" s="1333"/>
      <c r="Q18" s="1333"/>
      <c r="R18" s="1333"/>
      <c r="S18" s="1333"/>
      <c r="T18" s="1333"/>
      <c r="U18" s="1333"/>
      <c r="V18" s="1333"/>
      <c r="W18" s="1333"/>
      <c r="X18" s="1333"/>
      <c r="Y18" s="1333"/>
      <c r="Z18" s="1333"/>
      <c r="AA18" s="1333"/>
      <c r="AB18" s="1333"/>
      <c r="AC18" s="1333"/>
      <c r="AD18" s="1333"/>
      <c r="AE18" s="1333"/>
      <c r="AF18" s="1333"/>
      <c r="AG18" s="1333"/>
      <c r="AH18" s="1333"/>
      <c r="AI18" s="1333"/>
    </row>
    <row r="19" spans="1:49" ht="11.1" customHeight="1" x14ac:dyDescent="0.25">
      <c r="A19" s="2052"/>
      <c r="B19" s="125"/>
      <c r="C19" s="2057" t="str">
        <f>CONCATENATE("Master Template last updated on: ",TEXT(Form_Update,"MM/DD/YYYY"),".  Struck out text is not required.")</f>
        <v>Master Template last updated on: 08/31/2020.  Struck out text is not required.</v>
      </c>
      <c r="D19" s="2057"/>
      <c r="E19" s="2057"/>
      <c r="F19" s="2057"/>
      <c r="G19" s="2057"/>
      <c r="H19" s="2057"/>
      <c r="I19" s="128"/>
      <c r="K19" s="226"/>
      <c r="L19" s="1333"/>
      <c r="M19" s="1333"/>
      <c r="N19" s="1333"/>
      <c r="O19" s="1333"/>
      <c r="P19" s="1333"/>
      <c r="Q19" s="1333"/>
      <c r="R19" s="1333"/>
      <c r="S19" s="1333"/>
      <c r="T19" s="1333"/>
      <c r="U19" s="1333"/>
      <c r="V19" s="1333"/>
      <c r="W19" s="1333"/>
      <c r="X19" s="1333"/>
      <c r="Y19" s="1333"/>
      <c r="Z19" s="1333"/>
      <c r="AA19" s="1333"/>
      <c r="AB19" s="1333"/>
      <c r="AC19" s="1333"/>
      <c r="AD19" s="1333"/>
      <c r="AE19" s="1333"/>
      <c r="AF19" s="1333"/>
      <c r="AG19" s="1333"/>
      <c r="AH19" s="1333"/>
      <c r="AI19" s="1333"/>
    </row>
    <row r="20" spans="1:49" ht="9" customHeight="1" x14ac:dyDescent="0.25">
      <c r="A20" s="2052"/>
      <c r="B20" s="125"/>
      <c r="C20" s="112"/>
      <c r="D20" s="112"/>
      <c r="E20" s="112"/>
      <c r="F20" s="112"/>
      <c r="G20" s="112"/>
      <c r="H20" s="112"/>
      <c r="I20" s="128"/>
      <c r="K20" s="226"/>
      <c r="L20" s="1333"/>
      <c r="M20" s="1333"/>
      <c r="N20" s="1333"/>
      <c r="O20" s="1333"/>
      <c r="P20" s="1333"/>
      <c r="Q20" s="1333"/>
      <c r="R20" s="1333"/>
      <c r="S20" s="1333"/>
      <c r="T20" s="1333"/>
      <c r="U20" s="1333"/>
      <c r="V20" s="1333"/>
      <c r="W20" s="1333"/>
      <c r="X20" s="1333"/>
      <c r="Y20" s="1333"/>
      <c r="Z20" s="1333"/>
      <c r="AA20" s="1333"/>
      <c r="AB20" s="1333"/>
      <c r="AC20" s="1333"/>
      <c r="AD20" s="1333"/>
      <c r="AE20" s="1333"/>
      <c r="AF20" s="1333"/>
      <c r="AG20" s="1333"/>
      <c r="AH20" s="1333"/>
      <c r="AI20" s="1333"/>
    </row>
    <row r="21" spans="1:49" ht="12.75" customHeight="1" x14ac:dyDescent="0.25">
      <c r="A21" s="2052"/>
      <c r="B21" s="125"/>
      <c r="C21" s="2276">
        <f>IF(Date_edited_TAB_C="","",Date_edited_TAB_C)</f>
        <v>44069</v>
      </c>
      <c r="D21" s="2276"/>
      <c r="E21" s="112"/>
      <c r="F21" s="2277" t="str">
        <f>IF(Edit_by_Entity_TAB_C="","",Edit_by_Entity_TAB_C)</f>
        <v>PM</v>
      </c>
      <c r="G21" s="2277"/>
      <c r="H21" s="99" t="str">
        <f>IF(Editor_Name_TAB_C="","",Editor_Name_TAB_C)</f>
        <v>Smith</v>
      </c>
      <c r="I21" s="128"/>
      <c r="K21" s="226"/>
      <c r="L21" s="1307" t="str">
        <f ca="1">CONCATENATE("&lt;----Enter/Update ''EDIT DATE'' / ''ENTITY'' / ''EDITOR NAME'' in TAB [",MID(CELL("filename",Date_edited_TAB_C),FIND("]",CELL("filename",Date_edited_TAB_C))+1,255),"]")</f>
        <v>&lt;----Enter/Update ''EDIT DATE'' / ''ENTITY'' / ''EDITOR NAME'' in TAB [C-Design&amp;Const]</v>
      </c>
      <c r="M21" s="1333"/>
      <c r="N21" s="1333"/>
      <c r="O21" s="1333"/>
      <c r="P21" s="1333"/>
      <c r="Q21" s="1333"/>
      <c r="R21" s="1333"/>
      <c r="S21" s="1333"/>
      <c r="T21" s="1333"/>
      <c r="U21" s="1333"/>
      <c r="V21" s="1333"/>
      <c r="W21" s="1333"/>
      <c r="X21" s="1333"/>
      <c r="Y21" s="1333"/>
      <c r="Z21" s="1333"/>
      <c r="AA21" s="1333"/>
      <c r="AB21" s="1333"/>
      <c r="AC21" s="1333"/>
      <c r="AD21" s="1333"/>
      <c r="AE21" s="1333"/>
      <c r="AF21" s="1333"/>
      <c r="AG21" s="1333"/>
      <c r="AH21" s="1333"/>
      <c r="AI21" s="1333"/>
    </row>
    <row r="22" spans="1:49" ht="15" customHeight="1" x14ac:dyDescent="0.25">
      <c r="A22" s="2052"/>
      <c r="B22" s="125"/>
      <c r="C22" s="2060" t="s">
        <v>106</v>
      </c>
      <c r="D22" s="2060"/>
      <c r="E22" s="21"/>
      <c r="F22" s="2060" t="s">
        <v>267</v>
      </c>
      <c r="G22" s="2060"/>
      <c r="H22" s="114" t="s">
        <v>110</v>
      </c>
      <c r="I22" s="128"/>
      <c r="K22" s="226"/>
      <c r="L22" s="1333"/>
      <c r="M22" s="1333"/>
      <c r="N22" s="1333"/>
      <c r="O22" s="1333"/>
      <c r="P22" s="1333"/>
      <c r="Q22" s="1333"/>
      <c r="R22" s="1333"/>
      <c r="S22" s="1333"/>
      <c r="T22" s="1333"/>
      <c r="U22" s="1333"/>
      <c r="V22" s="1333"/>
      <c r="W22" s="1333"/>
      <c r="X22" s="1333"/>
      <c r="Y22" s="1333"/>
      <c r="Z22" s="1333"/>
      <c r="AA22" s="1333"/>
      <c r="AB22" s="1333"/>
      <c r="AC22" s="1333"/>
      <c r="AD22" s="1333"/>
      <c r="AE22" s="1333"/>
      <c r="AF22" s="1333"/>
      <c r="AG22" s="1333"/>
      <c r="AH22" s="1333"/>
      <c r="AI22" s="1333"/>
    </row>
    <row r="23" spans="1:49" ht="27" customHeight="1" thickBot="1" x14ac:dyDescent="0.3">
      <c r="A23" s="2052"/>
      <c r="B23" s="125"/>
      <c r="C23" s="249" t="s">
        <v>100</v>
      </c>
      <c r="D23" s="2271" t="s">
        <v>36</v>
      </c>
      <c r="E23" s="2271"/>
      <c r="F23" s="2271"/>
      <c r="G23" s="2273" t="s">
        <v>783</v>
      </c>
      <c r="H23" s="2274"/>
      <c r="I23" s="131"/>
      <c r="J23" s="418" t="s">
        <v>389</v>
      </c>
      <c r="K23" s="227"/>
      <c r="L23" s="1379" t="s">
        <v>48</v>
      </c>
      <c r="M23" s="1379"/>
      <c r="N23" s="1379"/>
      <c r="O23" s="1379"/>
      <c r="P23" s="1379"/>
      <c r="Q23" s="1333"/>
      <c r="R23" s="1333"/>
      <c r="S23" s="1333"/>
      <c r="T23" s="1333"/>
      <c r="U23" s="1333"/>
      <c r="V23" s="1333"/>
      <c r="W23" s="1333"/>
      <c r="X23" s="1333"/>
      <c r="Y23" s="1333"/>
      <c r="Z23" s="1333"/>
      <c r="AA23" s="1333"/>
      <c r="AB23" s="1333"/>
      <c r="AC23" s="1333"/>
      <c r="AD23" s="1333"/>
      <c r="AE23" s="1333"/>
      <c r="AF23" s="1333"/>
      <c r="AG23" s="1333"/>
      <c r="AH23" s="1333"/>
      <c r="AI23" s="1333"/>
    </row>
    <row r="24" spans="1:49" s="1" customFormat="1" ht="6.75" customHeight="1" thickTop="1" x14ac:dyDescent="0.25">
      <c r="A24" s="1331"/>
      <c r="B24" s="67"/>
      <c r="C24" s="25"/>
      <c r="D24" s="26"/>
      <c r="E24" s="26"/>
      <c r="F24" s="26"/>
      <c r="G24" s="27"/>
      <c r="H24" s="27"/>
      <c r="I24" s="132"/>
      <c r="J24" s="17"/>
      <c r="K24" s="27"/>
      <c r="L24" s="1333"/>
      <c r="M24" s="1333"/>
      <c r="N24" s="1333"/>
      <c r="O24" s="1333"/>
      <c r="P24" s="1333"/>
      <c r="Q24" s="1333"/>
      <c r="R24" s="1333"/>
      <c r="S24" s="1333"/>
      <c r="T24" s="1333"/>
      <c r="U24" s="1333"/>
      <c r="V24" s="1333"/>
      <c r="W24" s="1333"/>
      <c r="X24" s="1333"/>
      <c r="Y24" s="1333"/>
      <c r="Z24" s="1333"/>
      <c r="AA24" s="1333"/>
      <c r="AB24" s="1333"/>
      <c r="AC24" s="1333"/>
      <c r="AD24" s="1333"/>
      <c r="AE24" s="1333"/>
      <c r="AF24" s="1333"/>
      <c r="AG24" s="1333"/>
      <c r="AH24" s="1333"/>
      <c r="AI24" s="1333"/>
      <c r="AJ24" s="13"/>
      <c r="AK24" s="13"/>
      <c r="AL24" s="13"/>
      <c r="AM24" s="13"/>
      <c r="AN24" s="13"/>
      <c r="AO24" s="13"/>
      <c r="AP24" s="13"/>
      <c r="AQ24" s="13"/>
      <c r="AR24" s="13"/>
      <c r="AS24" s="13"/>
      <c r="AT24" s="13"/>
      <c r="AU24" s="13"/>
      <c r="AV24" s="13"/>
      <c r="AW24" s="13"/>
    </row>
    <row r="25" spans="1:49" s="30" customFormat="1" ht="18.75" x14ac:dyDescent="0.25">
      <c r="A25" s="1407"/>
      <c r="B25" s="191"/>
      <c r="C25" s="915"/>
      <c r="D25" s="52" t="str">
        <f>IF('C-Design&amp;Const'!G25="","",'C-Design&amp;Const'!G25)</f>
        <v>Y</v>
      </c>
      <c r="E25" s="234"/>
      <c r="F25" s="235"/>
      <c r="G25" s="1008" t="str">
        <f>IF('C-Design&amp;Const'!Y25="","",'C-Design&amp;Const'!Y25)</f>
        <v>00. *</v>
      </c>
      <c r="H25" s="290" t="str">
        <f>(CONCATENATE('C-Design&amp;Const'!Z25,IF(D25="N"," Not Used In This Design Phase",J25)))</f>
        <v>Minimum List of Deliverables</v>
      </c>
      <c r="I25" s="184"/>
      <c r="J25" s="578" t="str">
        <f>IF('C-Design&amp;Const'!AD25="","",'C-Design&amp;Const'!AD25)</f>
        <v/>
      </c>
      <c r="K25" s="228"/>
      <c r="L25" s="1410" t="str">
        <f t="shared" ref="L25:L99" si="0">CONCATENATE(IF(ISNUMBER(SEARCH("Placeholder",H25))=TRUE,"&lt;---PM/Planner may hide PLACEHOLDER ROW",""))</f>
        <v/>
      </c>
      <c r="M25" s="1382"/>
      <c r="N25" s="1382"/>
      <c r="O25" s="1382"/>
      <c r="P25" s="1382"/>
      <c r="Q25" s="1382"/>
      <c r="R25" s="1382"/>
      <c r="S25" s="1382"/>
      <c r="T25" s="1382"/>
      <c r="U25" s="1382"/>
      <c r="V25" s="1382"/>
      <c r="W25" s="1382"/>
      <c r="X25" s="1382"/>
      <c r="Y25" s="1382"/>
      <c r="Z25" s="1382"/>
      <c r="AA25" s="1382"/>
      <c r="AB25" s="1382"/>
      <c r="AC25" s="1382"/>
      <c r="AD25" s="1382"/>
      <c r="AE25" s="1382"/>
      <c r="AF25" s="1382"/>
      <c r="AG25" s="1382"/>
      <c r="AH25" s="1382"/>
      <c r="AI25" s="1382"/>
      <c r="AJ25" s="181"/>
      <c r="AK25" s="181"/>
      <c r="AL25" s="181"/>
      <c r="AM25" s="181"/>
      <c r="AN25" s="181"/>
      <c r="AO25" s="181"/>
      <c r="AP25" s="181"/>
      <c r="AQ25" s="181"/>
      <c r="AR25" s="181"/>
      <c r="AS25" s="181"/>
      <c r="AT25" s="181"/>
      <c r="AU25" s="181"/>
      <c r="AV25" s="181"/>
      <c r="AW25" s="181"/>
    </row>
    <row r="26" spans="1:49" s="30" customFormat="1" ht="14.25" customHeight="1" x14ac:dyDescent="0.25">
      <c r="A26" s="1407"/>
      <c r="B26" s="191"/>
      <c r="C26" s="921"/>
      <c r="D26" s="32"/>
      <c r="E26" s="411"/>
      <c r="F26" s="411"/>
      <c r="G26" s="208"/>
      <c r="H26" s="455"/>
      <c r="I26" s="186"/>
      <c r="J26" s="578" t="str">
        <f>IF('C-Design&amp;Const'!AD26="","",'C-Design&amp;Const'!AD26)</f>
        <v/>
      </c>
      <c r="K26" s="192"/>
      <c r="L26" s="1410" t="str">
        <f t="shared" si="0"/>
        <v/>
      </c>
      <c r="M26" s="1382"/>
      <c r="N26" s="1382"/>
      <c r="O26" s="1382"/>
      <c r="P26" s="1382"/>
      <c r="Q26" s="1382"/>
      <c r="R26" s="1382"/>
      <c r="S26" s="1382"/>
      <c r="T26" s="1382"/>
      <c r="U26" s="1382"/>
      <c r="V26" s="1382"/>
      <c r="W26" s="1382"/>
      <c r="X26" s="1382"/>
      <c r="Y26" s="1382"/>
      <c r="Z26" s="1382"/>
      <c r="AA26" s="1382"/>
      <c r="AB26" s="1382"/>
      <c r="AC26" s="1382"/>
      <c r="AD26" s="1382"/>
      <c r="AE26" s="1382"/>
      <c r="AF26" s="1382"/>
      <c r="AG26" s="1382"/>
      <c r="AH26" s="1382"/>
      <c r="AI26" s="1382"/>
      <c r="AJ26" s="181"/>
      <c r="AK26" s="181"/>
      <c r="AL26" s="181"/>
      <c r="AM26" s="181"/>
      <c r="AN26" s="181"/>
      <c r="AO26" s="181"/>
      <c r="AP26" s="181"/>
      <c r="AQ26" s="181"/>
      <c r="AR26" s="181"/>
      <c r="AS26" s="181"/>
      <c r="AT26" s="181"/>
      <c r="AU26" s="181"/>
      <c r="AV26" s="181"/>
      <c r="AW26" s="181"/>
    </row>
    <row r="27" spans="1:49" s="30" customFormat="1" ht="18.75" x14ac:dyDescent="0.25">
      <c r="A27" s="1407"/>
      <c r="B27" s="191"/>
      <c r="C27" s="915"/>
      <c r="D27" s="52" t="str">
        <f>IF('C-Design&amp;Const'!G27="","",'C-Design&amp;Const'!G27)</f>
        <v>Y</v>
      </c>
      <c r="E27" s="234"/>
      <c r="F27" s="235"/>
      <c r="G27" s="291" t="str">
        <f>IF('C-Design&amp;Const'!Y27="","",'C-Design&amp;Const'!Y27)</f>
        <v>01.</v>
      </c>
      <c r="H27" s="290" t="str">
        <f>(CONCATENATE('C-Design&amp;Const'!Z27,IF(D27="N"," Not Used In This Design Phase",J27)))</f>
        <v xml:space="preserve">Construction Cost Estimate (area; volume; unit costs) </v>
      </c>
      <c r="I27" s="184"/>
      <c r="J27" s="578" t="str">
        <f>IF('C-Design&amp;Const'!AD27="","",'C-Design&amp;Const'!AD27)</f>
        <v xml:space="preserve"> (area; volume; unit costs) </v>
      </c>
      <c r="K27" s="228"/>
      <c r="L27" s="1410" t="str">
        <f t="shared" si="0"/>
        <v/>
      </c>
      <c r="M27" s="1382"/>
      <c r="N27" s="1382"/>
      <c r="O27" s="1382"/>
      <c r="P27" s="1382"/>
      <c r="Q27" s="1382"/>
      <c r="R27" s="1382"/>
      <c r="S27" s="1382"/>
      <c r="T27" s="1382"/>
      <c r="U27" s="1382"/>
      <c r="V27" s="1382"/>
      <c r="W27" s="1382"/>
      <c r="X27" s="1382"/>
      <c r="Y27" s="1382"/>
      <c r="Z27" s="1382"/>
      <c r="AA27" s="1382"/>
      <c r="AB27" s="1382"/>
      <c r="AC27" s="1382"/>
      <c r="AD27" s="1382"/>
      <c r="AE27" s="1382"/>
      <c r="AF27" s="1382"/>
      <c r="AG27" s="1382"/>
      <c r="AH27" s="1382"/>
      <c r="AI27" s="1382"/>
      <c r="AJ27" s="181"/>
      <c r="AK27" s="181"/>
      <c r="AL27" s="181"/>
      <c r="AM27" s="181"/>
      <c r="AN27" s="181"/>
      <c r="AO27" s="181"/>
      <c r="AP27" s="181"/>
      <c r="AQ27" s="181"/>
      <c r="AR27" s="181"/>
      <c r="AS27" s="181"/>
      <c r="AT27" s="181"/>
      <c r="AU27" s="181"/>
      <c r="AV27" s="181"/>
      <c r="AW27" s="181"/>
    </row>
    <row r="28" spans="1:49" s="545" customFormat="1" ht="15" customHeight="1" x14ac:dyDescent="0.25">
      <c r="A28" s="1966"/>
      <c r="B28" s="9"/>
      <c r="C28" s="945"/>
      <c r="D28" s="116"/>
      <c r="E28" s="559" t="str">
        <f>IF('C-Design&amp;Const'!$G28="","",'C-Design&amp;Const'!$G28)</f>
        <v>N</v>
      </c>
      <c r="F28" s="456"/>
      <c r="G28" s="457"/>
      <c r="H28" s="325" t="str">
        <f>CONCATENATE(IF(ISNUMBER(SEARCH("Placeholder",'C-Design&amp;Const'!Z28))=TRUE,"",IF(E28="N","PLACEHOLDER ROW - ","")),'C-Design&amp;Const'!Z28,IF(E28="N","",J28))</f>
        <v>PLACEHOLDER ROW - Construction Cost Estimate</v>
      </c>
      <c r="I28" s="552"/>
      <c r="J28" s="578" t="str">
        <f>IF('C-Design&amp;Const'!AD28="","",'C-Design&amp;Const'!AD28)</f>
        <v xml:space="preserve"> (area; volume; unit costs) </v>
      </c>
      <c r="K28" s="228"/>
      <c r="L28" s="1410"/>
      <c r="M28" s="1382"/>
      <c r="N28" s="1382"/>
      <c r="O28" s="1382"/>
      <c r="P28" s="1382"/>
      <c r="Q28" s="1382"/>
      <c r="R28" s="1382"/>
      <c r="S28" s="1382"/>
      <c r="T28" s="1382"/>
      <c r="U28" s="1382"/>
      <c r="V28" s="1382"/>
      <c r="W28" s="1382"/>
      <c r="X28" s="1382"/>
      <c r="Y28" s="1382"/>
      <c r="Z28" s="1382"/>
      <c r="AA28" s="1382"/>
      <c r="AB28" s="1382"/>
      <c r="AC28" s="1382"/>
      <c r="AD28" s="1382"/>
      <c r="AE28" s="1382"/>
      <c r="AF28" s="1382"/>
      <c r="AG28" s="1382"/>
      <c r="AH28" s="1382"/>
      <c r="AI28" s="1382"/>
      <c r="AJ28" s="551"/>
      <c r="AK28" s="551"/>
      <c r="AL28" s="551"/>
      <c r="AM28" s="551"/>
      <c r="AN28" s="551"/>
      <c r="AO28" s="551"/>
      <c r="AP28" s="551"/>
      <c r="AQ28" s="551"/>
      <c r="AR28" s="551"/>
      <c r="AS28" s="551"/>
      <c r="AT28" s="551"/>
      <c r="AU28" s="551"/>
      <c r="AV28" s="551"/>
      <c r="AW28" s="551"/>
    </row>
    <row r="29" spans="1:49" s="545" customFormat="1" ht="15" customHeight="1" x14ac:dyDescent="0.25">
      <c r="A29" s="1966"/>
      <c r="B29" s="9"/>
      <c r="C29" s="945"/>
      <c r="D29" s="116"/>
      <c r="E29" s="559" t="str">
        <f>IF('C-Design&amp;Const'!$G29="","",'C-Design&amp;Const'!$G29)</f>
        <v>N</v>
      </c>
      <c r="F29" s="456"/>
      <c r="G29" s="457"/>
      <c r="H29" s="325" t="str">
        <f>CONCATENATE(IF(ISNUMBER(SEARCH("Placeholder",'C-Design&amp;Const'!Z29))=TRUE,"",IF(E29="N","PLACEHOLDER ROW - ","")),'C-Design&amp;Const'!Z29,IF(E29="N","",J29))</f>
        <v>PLACEHOLDER ROW - Reconciliation with Owner's 3rd party estimater</v>
      </c>
      <c r="I29" s="552"/>
      <c r="J29" s="578" t="str">
        <f>IF('C-Design&amp;Const'!AD29="","",'C-Design&amp;Const'!AD29)</f>
        <v/>
      </c>
      <c r="K29" s="228"/>
      <c r="L29" s="1410"/>
      <c r="M29" s="1382"/>
      <c r="N29" s="1382"/>
      <c r="O29" s="1382"/>
      <c r="P29" s="1382"/>
      <c r="Q29" s="1382"/>
      <c r="R29" s="1382"/>
      <c r="S29" s="1382"/>
      <c r="T29" s="1382"/>
      <c r="U29" s="1382"/>
      <c r="V29" s="1382"/>
      <c r="W29" s="1382"/>
      <c r="X29" s="1382"/>
      <c r="Y29" s="1382"/>
      <c r="Z29" s="1382"/>
      <c r="AA29" s="1382"/>
      <c r="AB29" s="1382"/>
      <c r="AC29" s="1382"/>
      <c r="AD29" s="1382"/>
      <c r="AE29" s="1382"/>
      <c r="AF29" s="1382"/>
      <c r="AG29" s="1382"/>
      <c r="AH29" s="1382"/>
      <c r="AI29" s="1382"/>
      <c r="AJ29" s="551"/>
      <c r="AK29" s="551"/>
      <c r="AL29" s="551"/>
      <c r="AM29" s="551"/>
      <c r="AN29" s="551"/>
      <c r="AO29" s="551"/>
      <c r="AP29" s="551"/>
      <c r="AQ29" s="551"/>
      <c r="AR29" s="551"/>
      <c r="AS29" s="551"/>
      <c r="AT29" s="551"/>
      <c r="AU29" s="551"/>
      <c r="AV29" s="551"/>
      <c r="AW29" s="551"/>
    </row>
    <row r="30" spans="1:49" s="545" customFormat="1" ht="15" customHeight="1" x14ac:dyDescent="0.25">
      <c r="A30" s="1966"/>
      <c r="B30" s="9"/>
      <c r="C30" s="945"/>
      <c r="D30" s="116"/>
      <c r="E30" s="559" t="str">
        <f>IF('C-Design&amp;Const'!$G30="","",'C-Design&amp;Const'!$G30)</f>
        <v>N</v>
      </c>
      <c r="F30" s="456"/>
      <c r="G30" s="457"/>
      <c r="H30" s="1967" t="str">
        <f>CONCATENATE(IF(ISNUMBER(SEARCH("Placeholder",'C-Design&amp;Const'!Z30))=TRUE,"",IF(E30="N","PLACEHOLDER ROW - ","")),'C-Design&amp;Const'!Z30,IF(E30="N","",J30))</f>
        <v>PLACEHOLDER ROW - CUSTOM ROW - OPTIONAL CLIENT ITEM</v>
      </c>
      <c r="I30" s="552"/>
      <c r="J30" s="578" t="str">
        <f>IF('C-Design&amp;Const'!AD30="","",'C-Design&amp;Const'!AD30)</f>
        <v/>
      </c>
      <c r="K30" s="228"/>
      <c r="L30" s="1410"/>
      <c r="M30" s="1382"/>
      <c r="N30" s="1382"/>
      <c r="O30" s="1382"/>
      <c r="P30" s="1382"/>
      <c r="Q30" s="1382"/>
      <c r="R30" s="1382"/>
      <c r="S30" s="1382"/>
      <c r="T30" s="1382"/>
      <c r="U30" s="1382"/>
      <c r="V30" s="1382"/>
      <c r="W30" s="1382"/>
      <c r="X30" s="1382"/>
      <c r="Y30" s="1382"/>
      <c r="Z30" s="1382"/>
      <c r="AA30" s="1382"/>
      <c r="AB30" s="1382"/>
      <c r="AC30" s="1382"/>
      <c r="AD30" s="1382"/>
      <c r="AE30" s="1382"/>
      <c r="AF30" s="1382"/>
      <c r="AG30" s="1382"/>
      <c r="AH30" s="1382"/>
      <c r="AI30" s="1382"/>
      <c r="AJ30" s="551"/>
      <c r="AK30" s="551"/>
      <c r="AL30" s="551"/>
      <c r="AM30" s="551"/>
      <c r="AN30" s="551"/>
      <c r="AO30" s="551"/>
      <c r="AP30" s="551"/>
      <c r="AQ30" s="551"/>
      <c r="AR30" s="551"/>
      <c r="AS30" s="551"/>
      <c r="AT30" s="551"/>
      <c r="AU30" s="551"/>
      <c r="AV30" s="551"/>
      <c r="AW30" s="551"/>
    </row>
    <row r="31" spans="1:49" s="30" customFormat="1" ht="20.25" customHeight="1" x14ac:dyDescent="0.25">
      <c r="A31" s="1966"/>
      <c r="B31" s="9"/>
      <c r="C31" s="945"/>
      <c r="D31" s="116"/>
      <c r="E31" s="411"/>
      <c r="F31" s="411"/>
      <c r="G31" s="208"/>
      <c r="H31" s="1617" t="str">
        <f>IF(D27="N","",IF('C-Design&amp;Const'!Z31="","",'C-Design&amp;Const'!Z31))</f>
        <v>Estimates for all ADA upgrades and deficiency corrections shall be broken out in an additional estimate</v>
      </c>
      <c r="I31" s="186"/>
      <c r="J31" s="578" t="str">
        <f>IF('C-Design&amp;Const'!AD31="","",'C-Design&amp;Const'!AD31)</f>
        <v/>
      </c>
      <c r="K31" s="192"/>
      <c r="L31" s="1410" t="str">
        <f t="shared" si="0"/>
        <v/>
      </c>
      <c r="M31" s="1382"/>
      <c r="N31" s="1382"/>
      <c r="O31" s="1382"/>
      <c r="P31" s="1382"/>
      <c r="Q31" s="1382"/>
      <c r="R31" s="1382"/>
      <c r="S31" s="1382"/>
      <c r="T31" s="1382"/>
      <c r="U31" s="1382"/>
      <c r="V31" s="1382"/>
      <c r="W31" s="1382"/>
      <c r="X31" s="1382"/>
      <c r="Y31" s="1382"/>
      <c r="Z31" s="1382"/>
      <c r="AA31" s="1382"/>
      <c r="AB31" s="1382"/>
      <c r="AC31" s="1382"/>
      <c r="AD31" s="1382"/>
      <c r="AE31" s="1382"/>
      <c r="AF31" s="1382"/>
      <c r="AG31" s="1382"/>
      <c r="AH31" s="1382"/>
      <c r="AI31" s="1382"/>
      <c r="AJ31" s="181"/>
      <c r="AK31" s="181"/>
      <c r="AL31" s="181"/>
      <c r="AM31" s="181"/>
      <c r="AN31" s="181"/>
      <c r="AO31" s="181"/>
      <c r="AP31" s="181"/>
      <c r="AQ31" s="181"/>
      <c r="AR31" s="181"/>
      <c r="AS31" s="181"/>
      <c r="AT31" s="181"/>
      <c r="AU31" s="181"/>
      <c r="AV31" s="181"/>
      <c r="AW31" s="181"/>
    </row>
    <row r="32" spans="1:49" s="30" customFormat="1" ht="18.75" x14ac:dyDescent="0.25">
      <c r="A32" s="1966"/>
      <c r="B32" s="9"/>
      <c r="C32" s="928"/>
      <c r="D32" s="52" t="str">
        <f>IF('C-Design&amp;Const'!G32="","",'C-Design&amp;Const'!G32)</f>
        <v>Y</v>
      </c>
      <c r="E32" s="234"/>
      <c r="F32" s="235"/>
      <c r="G32" s="291" t="str">
        <f>IF('C-Design&amp;Const'!Y32="","",'C-Design&amp;Const'!Y32)</f>
        <v>02. *</v>
      </c>
      <c r="H32" s="290" t="str">
        <f>(CONCATENATE('C-Design&amp;Const'!Z32,IF(D32="N"," Not Used In This Design Phase",J32)))</f>
        <v>Project Schedule</v>
      </c>
      <c r="I32" s="184"/>
      <c r="J32" s="578" t="str">
        <f>IF('C-Design&amp;Const'!AD32="","",'C-Design&amp;Const'!AD32)</f>
        <v/>
      </c>
      <c r="K32" s="228"/>
      <c r="L32" s="1410" t="str">
        <f t="shared" si="0"/>
        <v/>
      </c>
      <c r="M32" s="1382"/>
      <c r="N32" s="1382"/>
      <c r="O32" s="1382"/>
      <c r="P32" s="1382"/>
      <c r="Q32" s="1382"/>
      <c r="R32" s="1382"/>
      <c r="S32" s="1382"/>
      <c r="T32" s="1382"/>
      <c r="U32" s="1382"/>
      <c r="V32" s="1382"/>
      <c r="W32" s="1382"/>
      <c r="X32" s="1382"/>
      <c r="Y32" s="1382"/>
      <c r="Z32" s="1382"/>
      <c r="AA32" s="1382"/>
      <c r="AB32" s="1382"/>
      <c r="AC32" s="1382"/>
      <c r="AD32" s="1382"/>
      <c r="AE32" s="1382"/>
      <c r="AF32" s="1382"/>
      <c r="AG32" s="1382"/>
      <c r="AH32" s="1382"/>
      <c r="AI32" s="1382"/>
      <c r="AJ32" s="181"/>
      <c r="AK32" s="181"/>
      <c r="AL32" s="181"/>
      <c r="AM32" s="181"/>
      <c r="AN32" s="181"/>
      <c r="AO32" s="181"/>
      <c r="AP32" s="181"/>
      <c r="AQ32" s="181"/>
      <c r="AR32" s="181"/>
      <c r="AS32" s="181"/>
      <c r="AT32" s="181"/>
      <c r="AU32" s="181"/>
      <c r="AV32" s="181"/>
      <c r="AW32" s="181"/>
    </row>
    <row r="33" spans="1:49" s="545" customFormat="1" ht="15" customHeight="1" x14ac:dyDescent="0.25">
      <c r="A33" s="1966"/>
      <c r="B33" s="9"/>
      <c r="C33" s="945"/>
      <c r="D33" s="116"/>
      <c r="E33" s="559" t="str">
        <f>IF('C-Design&amp;Const'!$G33="","",'C-Design&amp;Const'!$G33)</f>
        <v>N</v>
      </c>
      <c r="F33" s="456"/>
      <c r="G33" s="457"/>
      <c r="H33" s="325" t="str">
        <f>CONCATENATE(IF(ISNUMBER(SEARCH("Placeholder",'C-Design&amp;Const'!Z33))=TRUE,"",IF(E33="N","PLACEHOLDER ROW - ","")),'C-Design&amp;Const'!Z33,IF(E33="N","",J33))</f>
        <v>PLACEHOLDER ROW - Project Schedule</v>
      </c>
      <c r="I33" s="552"/>
      <c r="J33" s="578" t="str">
        <f>IF('C-Design&amp;Const'!AD33="","",'C-Design&amp;Const'!AD33)</f>
        <v/>
      </c>
      <c r="K33" s="228"/>
      <c r="L33" s="1410"/>
      <c r="M33" s="1382"/>
      <c r="N33" s="1382"/>
      <c r="O33" s="1382"/>
      <c r="P33" s="1382"/>
      <c r="Q33" s="1382"/>
      <c r="R33" s="1382"/>
      <c r="S33" s="1382"/>
      <c r="T33" s="1382"/>
      <c r="U33" s="1382"/>
      <c r="V33" s="1382"/>
      <c r="W33" s="1382"/>
      <c r="X33" s="1382"/>
      <c r="Y33" s="1382"/>
      <c r="Z33" s="1382"/>
      <c r="AA33" s="1382"/>
      <c r="AB33" s="1382"/>
      <c r="AC33" s="1382"/>
      <c r="AD33" s="1382"/>
      <c r="AE33" s="1382"/>
      <c r="AF33" s="1382"/>
      <c r="AG33" s="1382"/>
      <c r="AH33" s="1382"/>
      <c r="AI33" s="1382"/>
      <c r="AJ33" s="551"/>
      <c r="AK33" s="551"/>
      <c r="AL33" s="551"/>
      <c r="AM33" s="551"/>
      <c r="AN33" s="551"/>
      <c r="AO33" s="551"/>
      <c r="AP33" s="551"/>
      <c r="AQ33" s="551"/>
      <c r="AR33" s="551"/>
      <c r="AS33" s="551"/>
      <c r="AT33" s="551"/>
      <c r="AU33" s="551"/>
      <c r="AV33" s="551"/>
      <c r="AW33" s="551"/>
    </row>
    <row r="34" spans="1:49" s="545" customFormat="1" ht="15" customHeight="1" x14ac:dyDescent="0.25">
      <c r="A34" s="1966"/>
      <c r="B34" s="9"/>
      <c r="C34" s="945"/>
      <c r="D34" s="116"/>
      <c r="E34" s="559" t="str">
        <f>IF('C-Design&amp;Const'!$G34="","",'C-Design&amp;Const'!$G34)</f>
        <v>N</v>
      </c>
      <c r="F34" s="456"/>
      <c r="G34" s="457"/>
      <c r="H34" s="325" t="str">
        <f>CONCATENATE(IF(ISNUMBER(SEARCH("Placeholder",'C-Design&amp;Const'!Z34))=TRUE,"",IF(E34="N","PLACEHOLDER ROW - ","")),'C-Design&amp;Const'!Z34,IF(E34="N","",J34))</f>
        <v>PLACEHOLDER ROW - Summary of Coordination with Owner's 3rd party scheduler</v>
      </c>
      <c r="I34" s="552"/>
      <c r="J34" s="578" t="str">
        <f>IF('C-Design&amp;Const'!AD34="","",'C-Design&amp;Const'!AD34)</f>
        <v/>
      </c>
      <c r="K34" s="228"/>
      <c r="L34" s="1410"/>
      <c r="M34" s="1382"/>
      <c r="N34" s="1382"/>
      <c r="O34" s="1382"/>
      <c r="P34" s="1382"/>
      <c r="Q34" s="1382"/>
      <c r="R34" s="1382"/>
      <c r="S34" s="1382"/>
      <c r="T34" s="1382"/>
      <c r="U34" s="1382"/>
      <c r="V34" s="1382"/>
      <c r="W34" s="1382"/>
      <c r="X34" s="1382"/>
      <c r="Y34" s="1382"/>
      <c r="Z34" s="1382"/>
      <c r="AA34" s="1382"/>
      <c r="AB34" s="1382"/>
      <c r="AC34" s="1382"/>
      <c r="AD34" s="1382"/>
      <c r="AE34" s="1382"/>
      <c r="AF34" s="1382"/>
      <c r="AG34" s="1382"/>
      <c r="AH34" s="1382"/>
      <c r="AI34" s="1382"/>
      <c r="AJ34" s="551"/>
      <c r="AK34" s="551"/>
      <c r="AL34" s="551"/>
      <c r="AM34" s="551"/>
      <c r="AN34" s="551"/>
      <c r="AO34" s="551"/>
      <c r="AP34" s="551"/>
      <c r="AQ34" s="551"/>
      <c r="AR34" s="551"/>
      <c r="AS34" s="551"/>
      <c r="AT34" s="551"/>
      <c r="AU34" s="551"/>
      <c r="AV34" s="551"/>
      <c r="AW34" s="551"/>
    </row>
    <row r="35" spans="1:49" s="545" customFormat="1" ht="15" customHeight="1" x14ac:dyDescent="0.25">
      <c r="A35" s="1966"/>
      <c r="B35" s="9"/>
      <c r="C35" s="945"/>
      <c r="D35" s="116"/>
      <c r="E35" s="559" t="str">
        <f>IF('C-Design&amp;Const'!$G35="","",'C-Design&amp;Const'!$G35)</f>
        <v>N</v>
      </c>
      <c r="F35" s="456"/>
      <c r="G35" s="457"/>
      <c r="H35" s="325" t="str">
        <f>CONCATENATE(IF(ISNUMBER(SEARCH("Placeholder",'C-Design&amp;Const'!Z35))=TRUE,"",IF(E35="N","PLACEHOLDER ROW - ","")),'C-Design&amp;Const'!Z35,IF(E35="N","",J35))</f>
        <v>PLACEHOLDER ROW - Reconciliation with Owner's 3rd party scheduler</v>
      </c>
      <c r="I35" s="552"/>
      <c r="J35" s="578" t="str">
        <f>IF('C-Design&amp;Const'!AD35="","",'C-Design&amp;Const'!AD35)</f>
        <v/>
      </c>
      <c r="K35" s="228"/>
      <c r="L35" s="1410"/>
      <c r="M35" s="1382"/>
      <c r="N35" s="1382"/>
      <c r="O35" s="1382"/>
      <c r="P35" s="1382"/>
      <c r="Q35" s="1382"/>
      <c r="R35" s="1382"/>
      <c r="S35" s="1382"/>
      <c r="T35" s="1382"/>
      <c r="U35" s="1382"/>
      <c r="V35" s="1382"/>
      <c r="W35" s="1382"/>
      <c r="X35" s="1382"/>
      <c r="Y35" s="1382"/>
      <c r="Z35" s="1382"/>
      <c r="AA35" s="1382"/>
      <c r="AB35" s="1382"/>
      <c r="AC35" s="1382"/>
      <c r="AD35" s="1382"/>
      <c r="AE35" s="1382"/>
      <c r="AF35" s="1382"/>
      <c r="AG35" s="1382"/>
      <c r="AH35" s="1382"/>
      <c r="AI35" s="1382"/>
      <c r="AJ35" s="551"/>
      <c r="AK35" s="551"/>
      <c r="AL35" s="551"/>
      <c r="AM35" s="551"/>
      <c r="AN35" s="551"/>
      <c r="AO35" s="551"/>
      <c r="AP35" s="551"/>
      <c r="AQ35" s="551"/>
      <c r="AR35" s="551"/>
      <c r="AS35" s="551"/>
      <c r="AT35" s="551"/>
      <c r="AU35" s="551"/>
      <c r="AV35" s="551"/>
      <c r="AW35" s="551"/>
    </row>
    <row r="36" spans="1:49" s="30" customFormat="1" x14ac:dyDescent="0.25">
      <c r="A36" s="1966"/>
      <c r="B36" s="9"/>
      <c r="C36" s="945"/>
      <c r="D36" s="116"/>
      <c r="E36" s="411"/>
      <c r="F36" s="411"/>
      <c r="G36" s="208"/>
      <c r="H36" s="411"/>
      <c r="I36" s="186"/>
      <c r="J36" s="578" t="str">
        <f>IF('C-Design&amp;Const'!AD36="","",'C-Design&amp;Const'!AD36)</f>
        <v/>
      </c>
      <c r="K36" s="192"/>
      <c r="L36" s="1410" t="str">
        <f t="shared" si="0"/>
        <v/>
      </c>
      <c r="M36" s="1382"/>
      <c r="N36" s="1382"/>
      <c r="O36" s="1382"/>
      <c r="P36" s="1382"/>
      <c r="Q36" s="1382"/>
      <c r="R36" s="1382"/>
      <c r="S36" s="1382"/>
      <c r="T36" s="1382"/>
      <c r="U36" s="1382"/>
      <c r="V36" s="1382"/>
      <c r="W36" s="1382"/>
      <c r="X36" s="1382"/>
      <c r="Y36" s="1382"/>
      <c r="Z36" s="1382"/>
      <c r="AA36" s="1382"/>
      <c r="AB36" s="1382"/>
      <c r="AC36" s="1382"/>
      <c r="AD36" s="1382"/>
      <c r="AE36" s="1382"/>
      <c r="AF36" s="1382"/>
      <c r="AG36" s="1382"/>
      <c r="AH36" s="1382"/>
      <c r="AI36" s="1382"/>
      <c r="AJ36" s="181"/>
      <c r="AK36" s="181"/>
      <c r="AL36" s="181"/>
      <c r="AM36" s="181"/>
      <c r="AN36" s="181"/>
      <c r="AO36" s="181"/>
      <c r="AP36" s="181"/>
      <c r="AQ36" s="181"/>
      <c r="AR36" s="181"/>
      <c r="AS36" s="181"/>
      <c r="AT36" s="181"/>
      <c r="AU36" s="181"/>
      <c r="AV36" s="181"/>
      <c r="AW36" s="181"/>
    </row>
    <row r="37" spans="1:49" s="30" customFormat="1" ht="18.75" x14ac:dyDescent="0.25">
      <c r="A37" s="1407"/>
      <c r="B37" s="191"/>
      <c r="C37" s="915"/>
      <c r="D37" s="52" t="str">
        <f>IF('C-Design&amp;Const'!G37="","",'C-Design&amp;Const'!G37)</f>
        <v>Y</v>
      </c>
      <c r="E37" s="234"/>
      <c r="F37" s="235"/>
      <c r="G37" s="291" t="str">
        <f>IF('C-Design&amp;Const'!Y37="","",'C-Design&amp;Const'!Y37)</f>
        <v>03.</v>
      </c>
      <c r="H37" s="290" t="str">
        <f>(CONCATENATE('C-Design&amp;Const'!Z37,IF(D37="N"," Not Used In This Design Phase",J37)))</f>
        <v>Written Response to Comments</v>
      </c>
      <c r="I37" s="184"/>
      <c r="J37" s="578" t="str">
        <f>IF('C-Design&amp;Const'!AD37="","",'C-Design&amp;Const'!AD37)</f>
        <v/>
      </c>
      <c r="K37" s="228"/>
      <c r="L37" s="1410" t="str">
        <f t="shared" si="0"/>
        <v/>
      </c>
      <c r="M37" s="1382"/>
      <c r="N37" s="1382"/>
      <c r="O37" s="1382"/>
      <c r="P37" s="1382"/>
      <c r="Q37" s="1382"/>
      <c r="R37" s="1382"/>
      <c r="S37" s="1382"/>
      <c r="T37" s="1382"/>
      <c r="U37" s="1382"/>
      <c r="V37" s="1382"/>
      <c r="W37" s="1382"/>
      <c r="X37" s="1382"/>
      <c r="Y37" s="1382"/>
      <c r="Z37" s="1382"/>
      <c r="AA37" s="1382"/>
      <c r="AB37" s="1382"/>
      <c r="AC37" s="1382"/>
      <c r="AD37" s="1382"/>
      <c r="AE37" s="1382"/>
      <c r="AF37" s="1382"/>
      <c r="AG37" s="1382"/>
      <c r="AH37" s="1382"/>
      <c r="AI37" s="1382"/>
      <c r="AJ37" s="181"/>
      <c r="AK37" s="181"/>
      <c r="AL37" s="181"/>
      <c r="AM37" s="181"/>
      <c r="AN37" s="181"/>
      <c r="AO37" s="181"/>
      <c r="AP37" s="181"/>
      <c r="AQ37" s="181"/>
      <c r="AR37" s="181"/>
      <c r="AS37" s="181"/>
      <c r="AT37" s="181"/>
      <c r="AU37" s="181"/>
      <c r="AV37" s="181"/>
      <c r="AW37" s="181"/>
    </row>
    <row r="38" spans="1:49" s="30" customFormat="1" ht="18.75" x14ac:dyDescent="0.25">
      <c r="A38" s="1407"/>
      <c r="B38" s="191"/>
      <c r="C38" s="921"/>
      <c r="D38" s="32"/>
      <c r="E38" s="411"/>
      <c r="F38" s="411"/>
      <c r="G38" s="208"/>
      <c r="H38" s="411"/>
      <c r="I38" s="186"/>
      <c r="J38" s="578" t="str">
        <f>IF('C-Design&amp;Const'!AD38="","",'C-Design&amp;Const'!AD38)</f>
        <v/>
      </c>
      <c r="K38" s="228"/>
      <c r="L38" s="1410" t="str">
        <f t="shared" si="0"/>
        <v/>
      </c>
      <c r="M38" s="1382"/>
      <c r="N38" s="1382"/>
      <c r="O38" s="1382"/>
      <c r="P38" s="1382"/>
      <c r="Q38" s="1382"/>
      <c r="R38" s="1382"/>
      <c r="S38" s="1382"/>
      <c r="T38" s="1382"/>
      <c r="U38" s="1382"/>
      <c r="V38" s="1382"/>
      <c r="W38" s="1382"/>
      <c r="X38" s="1382"/>
      <c r="Y38" s="1382"/>
      <c r="Z38" s="1382"/>
      <c r="AA38" s="1382"/>
      <c r="AB38" s="1382"/>
      <c r="AC38" s="1382"/>
      <c r="AD38" s="1382"/>
      <c r="AE38" s="1382"/>
      <c r="AF38" s="1382"/>
      <c r="AG38" s="1382"/>
      <c r="AH38" s="1382"/>
      <c r="AI38" s="1382"/>
      <c r="AJ38" s="181"/>
      <c r="AK38" s="181"/>
      <c r="AL38" s="181"/>
      <c r="AM38" s="181"/>
      <c r="AN38" s="181"/>
      <c r="AO38" s="181"/>
      <c r="AP38" s="181"/>
      <c r="AQ38" s="181"/>
      <c r="AR38" s="181"/>
      <c r="AS38" s="181"/>
      <c r="AT38" s="181"/>
      <c r="AU38" s="181"/>
      <c r="AV38" s="181"/>
      <c r="AW38" s="181"/>
    </row>
    <row r="39" spans="1:49" s="30" customFormat="1" ht="18.75" x14ac:dyDescent="0.25">
      <c r="A39" s="1408"/>
      <c r="B39" s="191"/>
      <c r="C39" s="921"/>
      <c r="D39" s="52" t="str">
        <f>IF('C-Design&amp;Const'!$G39="","",'C-Design&amp;Const'!$G39)</f>
        <v>Y</v>
      </c>
      <c r="E39" s="234"/>
      <c r="F39" s="235"/>
      <c r="G39" s="207" t="str">
        <f>IF('C-Design&amp;Const'!Y39="","",'C-Design&amp;Const'!Y39)</f>
        <v>04a. *</v>
      </c>
      <c r="H39" s="290" t="str">
        <f>(CONCATENATE('C-Design&amp;Const'!Z39,IF(D39="N"," Not Used In This Design Phase",J39)))</f>
        <v>Basis of Design (BOD) / Conceptualization Report</v>
      </c>
      <c r="I39" s="184"/>
      <c r="J39" s="578" t="str">
        <f>IF('C-Design&amp;Const'!AD39="","",'C-Design&amp;Const'!AD39)</f>
        <v xml:space="preserve"> / Conceptualization Report</v>
      </c>
      <c r="K39" s="228"/>
      <c r="L39" s="1410" t="str">
        <f t="shared" si="0"/>
        <v/>
      </c>
      <c r="M39" s="1382"/>
      <c r="N39" s="1382"/>
      <c r="O39" s="1382"/>
      <c r="P39" s="1382"/>
      <c r="Q39" s="1382"/>
      <c r="R39" s="1382"/>
      <c r="S39" s="1382"/>
      <c r="T39" s="1382"/>
      <c r="U39" s="1382"/>
      <c r="V39" s="1382"/>
      <c r="W39" s="1382"/>
      <c r="X39" s="1382"/>
      <c r="Y39" s="1382"/>
      <c r="Z39" s="1382"/>
      <c r="AA39" s="1382"/>
      <c r="AB39" s="1382"/>
      <c r="AC39" s="1382"/>
      <c r="AD39" s="1382"/>
      <c r="AE39" s="1382"/>
      <c r="AF39" s="1382"/>
      <c r="AG39" s="1382"/>
      <c r="AH39" s="1382"/>
      <c r="AI39" s="1382"/>
      <c r="AJ39" s="181"/>
      <c r="AK39" s="181"/>
      <c r="AL39" s="181"/>
      <c r="AM39" s="181"/>
      <c r="AN39" s="181"/>
      <c r="AO39" s="181"/>
      <c r="AP39" s="181"/>
      <c r="AQ39" s="181"/>
      <c r="AR39" s="181"/>
      <c r="AS39" s="181"/>
      <c r="AT39" s="181"/>
      <c r="AU39" s="181"/>
      <c r="AV39" s="181"/>
      <c r="AW39" s="181"/>
    </row>
    <row r="40" spans="1:49" s="30" customFormat="1" ht="15" customHeight="1" x14ac:dyDescent="0.25">
      <c r="A40" s="1408"/>
      <c r="B40" s="191"/>
      <c r="C40" s="921"/>
      <c r="D40" s="32"/>
      <c r="E40" s="415" t="str">
        <f>IF('C-Design&amp;Const'!$G40="","",'C-Design&amp;Const'!$G40)</f>
        <v>Y</v>
      </c>
      <c r="F40" s="456"/>
      <c r="G40" s="457"/>
      <c r="H40" s="325" t="str">
        <f>CONCATENATE(IF(ISNUMBER(SEARCH("Placeholder",'C-Design&amp;Const'!Z40))=TRUE,"",IF(E40="N","PLACEHOLDER ROW - ","")),'C-Design&amp;Const'!Z40,IF(E40="N","",J40))</f>
        <v xml:space="preserve">Project Description </v>
      </c>
      <c r="I40" s="193"/>
      <c r="J40" s="578" t="str">
        <f>IF('C-Design&amp;Const'!AD40="","",'C-Design&amp;Const'!AD40)</f>
        <v/>
      </c>
      <c r="K40" s="228"/>
      <c r="L40" s="1410" t="str">
        <f t="shared" si="0"/>
        <v/>
      </c>
      <c r="M40" s="1382"/>
      <c r="N40" s="1382"/>
      <c r="O40" s="1382"/>
      <c r="P40" s="1382"/>
      <c r="Q40" s="1382"/>
      <c r="R40" s="1382"/>
      <c r="S40" s="1382"/>
      <c r="T40" s="1382"/>
      <c r="U40" s="1382"/>
      <c r="V40" s="1382"/>
      <c r="W40" s="1382"/>
      <c r="X40" s="1382"/>
      <c r="Y40" s="1382"/>
      <c r="Z40" s="1382"/>
      <c r="AA40" s="1382"/>
      <c r="AB40" s="1382"/>
      <c r="AC40" s="1382"/>
      <c r="AD40" s="1382"/>
      <c r="AE40" s="1382"/>
      <c r="AF40" s="1382"/>
      <c r="AG40" s="1382"/>
      <c r="AH40" s="1382"/>
      <c r="AI40" s="1382"/>
      <c r="AJ40" s="181"/>
      <c r="AK40" s="181"/>
      <c r="AL40" s="181"/>
      <c r="AM40" s="181"/>
      <c r="AN40" s="181"/>
      <c r="AO40" s="181"/>
      <c r="AP40" s="181"/>
      <c r="AQ40" s="181"/>
      <c r="AR40" s="181"/>
      <c r="AS40" s="181"/>
      <c r="AT40" s="181"/>
      <c r="AU40" s="181"/>
      <c r="AV40" s="181"/>
      <c r="AW40" s="181"/>
    </row>
    <row r="41" spans="1:49" s="30" customFormat="1" ht="15" customHeight="1" x14ac:dyDescent="0.25">
      <c r="A41" s="1408"/>
      <c r="B41" s="191"/>
      <c r="C41" s="921"/>
      <c r="D41" s="32"/>
      <c r="E41" s="415" t="str">
        <f>IF('C-Design&amp;Const'!$G41="","",'C-Design&amp;Const'!$G41)</f>
        <v>Y</v>
      </c>
      <c r="F41" s="458"/>
      <c r="G41" s="459"/>
      <c r="H41" s="325" t="str">
        <f>CONCATENATE(IF(ISNUMBER(SEARCH("Placeholder",'C-Design&amp;Const'!Z41))=TRUE,"",IF(E41="N","PLACEHOLDER ROW - ","")),'C-Design&amp;Const'!Z41,IF(E41="N","",J41))</f>
        <v xml:space="preserve">Program Needs Assessment </v>
      </c>
      <c r="I41" s="196"/>
      <c r="J41" s="578" t="str">
        <f>IF('C-Design&amp;Const'!AD41="","",'C-Design&amp;Const'!AD41)</f>
        <v/>
      </c>
      <c r="K41" s="228"/>
      <c r="L41" s="1410" t="str">
        <f t="shared" si="0"/>
        <v/>
      </c>
      <c r="M41" s="1382"/>
      <c r="N41" s="1382"/>
      <c r="O41" s="1382"/>
      <c r="P41" s="1382"/>
      <c r="Q41" s="1382"/>
      <c r="R41" s="1382"/>
      <c r="S41" s="1382"/>
      <c r="T41" s="1382"/>
      <c r="U41" s="1382"/>
      <c r="V41" s="1382"/>
      <c r="W41" s="1382"/>
      <c r="X41" s="1382"/>
      <c r="Y41" s="1382"/>
      <c r="Z41" s="1382"/>
      <c r="AA41" s="1382"/>
      <c r="AB41" s="1382"/>
      <c r="AC41" s="1382"/>
      <c r="AD41" s="1382"/>
      <c r="AE41" s="1382"/>
      <c r="AF41" s="1382"/>
      <c r="AG41" s="1382"/>
      <c r="AH41" s="1382"/>
      <c r="AI41" s="1382"/>
      <c r="AJ41" s="181"/>
      <c r="AK41" s="181"/>
      <c r="AL41" s="181"/>
      <c r="AM41" s="181"/>
      <c r="AN41" s="181"/>
      <c r="AO41" s="181"/>
      <c r="AP41" s="181"/>
      <c r="AQ41" s="181"/>
      <c r="AR41" s="181"/>
      <c r="AS41" s="181"/>
      <c r="AT41" s="181"/>
      <c r="AU41" s="181"/>
      <c r="AV41" s="181"/>
      <c r="AW41" s="181"/>
    </row>
    <row r="42" spans="1:49" s="30" customFormat="1" ht="15" customHeight="1" x14ac:dyDescent="0.25">
      <c r="A42" s="1408"/>
      <c r="B42" s="191"/>
      <c r="C42" s="921"/>
      <c r="D42" s="32"/>
      <c r="E42" s="415" t="str">
        <f>IF('C-Design&amp;Const'!$G42="","",'C-Design&amp;Const'!$G42)</f>
        <v>Y</v>
      </c>
      <c r="F42" s="456"/>
      <c r="G42" s="457"/>
      <c r="H42" s="325" t="str">
        <f>CONCATENATE(IF(ISNUMBER(SEARCH("Placeholder",'C-Design&amp;Const'!Z42))=TRUE,"",IF(E42="N","PLACEHOLDER ROW - ","")),'C-Design&amp;Const'!Z42,IF(E42="N","",J42))</f>
        <v xml:space="preserve">Program Summary / Analysis </v>
      </c>
      <c r="I42" s="193"/>
      <c r="J42" s="578" t="str">
        <f>IF('C-Design&amp;Const'!AD42="","",'C-Design&amp;Const'!AD42)</f>
        <v/>
      </c>
      <c r="K42" s="228"/>
      <c r="L42" s="1410" t="str">
        <f t="shared" si="0"/>
        <v/>
      </c>
      <c r="M42" s="1382"/>
      <c r="N42" s="1382"/>
      <c r="O42" s="1382"/>
      <c r="P42" s="1382"/>
      <c r="Q42" s="1382"/>
      <c r="R42" s="1382"/>
      <c r="S42" s="1382"/>
      <c r="T42" s="1382"/>
      <c r="U42" s="1382"/>
      <c r="V42" s="1382"/>
      <c r="W42" s="1382"/>
      <c r="X42" s="1382"/>
      <c r="Y42" s="1382"/>
      <c r="Z42" s="1382"/>
      <c r="AA42" s="1382"/>
      <c r="AB42" s="1382"/>
      <c r="AC42" s="1382"/>
      <c r="AD42" s="1382"/>
      <c r="AE42" s="1382"/>
      <c r="AF42" s="1382"/>
      <c r="AG42" s="1382"/>
      <c r="AH42" s="1382"/>
      <c r="AI42" s="1382"/>
      <c r="AJ42" s="181"/>
      <c r="AK42" s="181"/>
      <c r="AL42" s="181"/>
      <c r="AM42" s="181"/>
      <c r="AN42" s="181"/>
      <c r="AO42" s="181"/>
      <c r="AP42" s="181"/>
      <c r="AQ42" s="181"/>
      <c r="AR42" s="181"/>
      <c r="AS42" s="181"/>
      <c r="AT42" s="181"/>
      <c r="AU42" s="181"/>
      <c r="AV42" s="181"/>
      <c r="AW42" s="181"/>
    </row>
    <row r="43" spans="1:49" s="30" customFormat="1" ht="15" customHeight="1" x14ac:dyDescent="0.25">
      <c r="A43" s="1408"/>
      <c r="B43" s="191"/>
      <c r="C43" s="921"/>
      <c r="D43" s="32"/>
      <c r="E43" s="415" t="str">
        <f>IF('C-Design&amp;Const'!$G43="","",'C-Design&amp;Const'!$G43)</f>
        <v>N</v>
      </c>
      <c r="F43" s="456"/>
      <c r="G43" s="457"/>
      <c r="H43" s="362" t="str">
        <f>CONCATENATE(IF(ISNUMBER(SEARCH("Placeholder",'C-Design&amp;Const'!Z43))=TRUE,"",IF(E43="N","PLACEHOLDER ROW - ","")),'C-Design&amp;Const'!Z43,IF(E43="N","",J43))</f>
        <v>PLACEHOLDER - Program Study</v>
      </c>
      <c r="I43" s="193"/>
      <c r="J43" s="578" t="str">
        <f>IF('C-Design&amp;Const'!AD43="","",'C-Design&amp;Const'!AD43)</f>
        <v/>
      </c>
      <c r="K43" s="228"/>
      <c r="L43" s="1410" t="str">
        <f t="shared" si="0"/>
        <v>&lt;---PM/Planner may hide PLACEHOLDER ROW</v>
      </c>
      <c r="M43" s="1382"/>
      <c r="N43" s="1382"/>
      <c r="O43" s="1382"/>
      <c r="P43" s="1382"/>
      <c r="Q43" s="1382"/>
      <c r="R43" s="1382"/>
      <c r="S43" s="1382"/>
      <c r="T43" s="1382"/>
      <c r="U43" s="1382"/>
      <c r="V43" s="1382"/>
      <c r="W43" s="1382"/>
      <c r="X43" s="1382"/>
      <c r="Y43" s="1382"/>
      <c r="Z43" s="1382"/>
      <c r="AA43" s="1382"/>
      <c r="AB43" s="1382"/>
      <c r="AC43" s="1382"/>
      <c r="AD43" s="1382"/>
      <c r="AE43" s="1382"/>
      <c r="AF43" s="1382"/>
      <c r="AG43" s="1382"/>
      <c r="AH43" s="1382"/>
      <c r="AI43" s="1382"/>
      <c r="AJ43" s="181"/>
      <c r="AK43" s="181"/>
      <c r="AL43" s="181"/>
      <c r="AM43" s="181"/>
      <c r="AN43" s="181"/>
      <c r="AO43" s="181"/>
      <c r="AP43" s="181"/>
      <c r="AQ43" s="181"/>
      <c r="AR43" s="181"/>
      <c r="AS43" s="181"/>
      <c r="AT43" s="181"/>
      <c r="AU43" s="181"/>
      <c r="AV43" s="181"/>
      <c r="AW43" s="181"/>
    </row>
    <row r="44" spans="1:49" s="30" customFormat="1" ht="15" customHeight="1" x14ac:dyDescent="0.25">
      <c r="A44" s="1408"/>
      <c r="B44" s="191"/>
      <c r="C44" s="921"/>
      <c r="D44" s="32"/>
      <c r="E44" s="415" t="str">
        <f>IF('C-Design&amp;Const'!$G44="","",'C-Design&amp;Const'!$G44)</f>
        <v>Y</v>
      </c>
      <c r="F44" s="456"/>
      <c r="G44" s="457"/>
      <c r="H44" s="325" t="str">
        <f>CONCATENATE(IF(ISNUMBER(SEARCH("Placeholder",'C-Design&amp;Const'!Z44))=TRUE,"",IF(E44="N","PLACEHOLDER ROW - ","")),'C-Design&amp;Const'!Z44,IF(E44="N","",J44))</f>
        <v xml:space="preserve">Major Project Goals; Objectives; and Design Requirements </v>
      </c>
      <c r="I44" s="193"/>
      <c r="J44" s="578" t="str">
        <f>IF('C-Design&amp;Const'!AD44="","",'C-Design&amp;Const'!AD44)</f>
        <v/>
      </c>
      <c r="K44" s="228"/>
      <c r="L44" s="1410" t="str">
        <f t="shared" si="0"/>
        <v/>
      </c>
      <c r="M44" s="1382"/>
      <c r="N44" s="1382"/>
      <c r="O44" s="1382"/>
      <c r="P44" s="1382"/>
      <c r="Q44" s="1382"/>
      <c r="R44" s="1382"/>
      <c r="S44" s="1382"/>
      <c r="T44" s="1382"/>
      <c r="U44" s="1382"/>
      <c r="V44" s="1382"/>
      <c r="W44" s="1382"/>
      <c r="X44" s="1382"/>
      <c r="Y44" s="1382"/>
      <c r="Z44" s="1382"/>
      <c r="AA44" s="1382"/>
      <c r="AB44" s="1382"/>
      <c r="AC44" s="1382"/>
      <c r="AD44" s="1382"/>
      <c r="AE44" s="1382"/>
      <c r="AF44" s="1382"/>
      <c r="AG44" s="1382"/>
      <c r="AH44" s="1382"/>
      <c r="AI44" s="1382"/>
      <c r="AJ44" s="181"/>
      <c r="AK44" s="181"/>
      <c r="AL44" s="181"/>
      <c r="AM44" s="181"/>
      <c r="AN44" s="181"/>
      <c r="AO44" s="181"/>
      <c r="AP44" s="181"/>
      <c r="AQ44" s="181"/>
      <c r="AR44" s="181"/>
      <c r="AS44" s="181"/>
      <c r="AT44" s="181"/>
      <c r="AU44" s="181"/>
      <c r="AV44" s="181"/>
      <c r="AW44" s="181"/>
    </row>
    <row r="45" spans="1:49" s="30" customFormat="1" ht="15" customHeight="1" x14ac:dyDescent="0.25">
      <c r="A45" s="1408"/>
      <c r="B45" s="191"/>
      <c r="C45" s="921"/>
      <c r="D45" s="32"/>
      <c r="E45" s="415" t="str">
        <f>IF('C-Design&amp;Const'!$G45="","",'C-Design&amp;Const'!$G45)</f>
        <v>Y</v>
      </c>
      <c r="F45" s="456"/>
      <c r="G45" s="457"/>
      <c r="H45" s="325" t="str">
        <f>CONCATENATE(IF(ISNUMBER(SEARCH("Placeholder",'C-Design&amp;Const'!Z45))=TRUE,"",IF(E45="N","PLACEHOLDER ROW - ","")),'C-Design&amp;Const'!Z45,IF(E45="N","",J45))</f>
        <v xml:space="preserve">Special Considerations </v>
      </c>
      <c r="I45" s="196"/>
      <c r="J45" s="578" t="str">
        <f>IF('C-Design&amp;Const'!AD45="","",'C-Design&amp;Const'!AD45)</f>
        <v/>
      </c>
      <c r="K45" s="228"/>
      <c r="L45" s="1410" t="str">
        <f t="shared" si="0"/>
        <v/>
      </c>
      <c r="M45" s="1382"/>
      <c r="N45" s="1382"/>
      <c r="O45" s="1382"/>
      <c r="P45" s="1382"/>
      <c r="Q45" s="1382"/>
      <c r="R45" s="1382"/>
      <c r="S45" s="1382"/>
      <c r="T45" s="1382"/>
      <c r="U45" s="1382"/>
      <c r="V45" s="1382"/>
      <c r="W45" s="1382"/>
      <c r="X45" s="1382"/>
      <c r="Y45" s="1382"/>
      <c r="Z45" s="1382"/>
      <c r="AA45" s="1382"/>
      <c r="AB45" s="1382"/>
      <c r="AC45" s="1382"/>
      <c r="AD45" s="1382"/>
      <c r="AE45" s="1382"/>
      <c r="AF45" s="1382"/>
      <c r="AG45" s="1382"/>
      <c r="AH45" s="1382"/>
      <c r="AI45" s="1382"/>
      <c r="AJ45" s="181"/>
      <c r="AK45" s="181"/>
      <c r="AL45" s="181"/>
      <c r="AM45" s="181"/>
      <c r="AN45" s="181"/>
      <c r="AO45" s="181"/>
      <c r="AP45" s="181"/>
      <c r="AQ45" s="181"/>
      <c r="AR45" s="181"/>
      <c r="AS45" s="181"/>
      <c r="AT45" s="181"/>
      <c r="AU45" s="181"/>
      <c r="AV45" s="181"/>
      <c r="AW45" s="181"/>
    </row>
    <row r="46" spans="1:49" s="30" customFormat="1" ht="15" customHeight="1" x14ac:dyDescent="0.25">
      <c r="A46" s="1408"/>
      <c r="B46" s="191"/>
      <c r="C46" s="921"/>
      <c r="D46" s="32"/>
      <c r="E46" s="415" t="str">
        <f>IF('C-Design&amp;Const'!$G46="","",'C-Design&amp;Const'!$G46)</f>
        <v>Y</v>
      </c>
      <c r="F46" s="456"/>
      <c r="G46" s="457"/>
      <c r="H46" s="325" t="str">
        <f>CONCATENATE(IF(ISNUMBER(SEARCH("Placeholder",'C-Design&amp;Const'!Z46))=TRUE,"",IF(E46="N","PLACEHOLDER ROW - ","")),'C-Design&amp;Const'!Z46,IF(E46="N","",J46))</f>
        <v xml:space="preserve">Code Analysis - As Applicable </v>
      </c>
      <c r="I46" s="193"/>
      <c r="J46" s="578" t="str">
        <f>IF('C-Design&amp;Const'!AD46="","",'C-Design&amp;Const'!AD46)</f>
        <v/>
      </c>
      <c r="K46" s="228"/>
      <c r="L46" s="1410" t="str">
        <f t="shared" si="0"/>
        <v/>
      </c>
      <c r="M46" s="1382"/>
      <c r="N46" s="1382"/>
      <c r="O46" s="1382"/>
      <c r="P46" s="1382"/>
      <c r="Q46" s="1382"/>
      <c r="R46" s="1382"/>
      <c r="S46" s="1382"/>
      <c r="T46" s="1382"/>
      <c r="U46" s="1382"/>
      <c r="V46" s="1382"/>
      <c r="W46" s="1382"/>
      <c r="X46" s="1382"/>
      <c r="Y46" s="1382"/>
      <c r="Z46" s="1382"/>
      <c r="AA46" s="1382"/>
      <c r="AB46" s="1382"/>
      <c r="AC46" s="1382"/>
      <c r="AD46" s="1382"/>
      <c r="AE46" s="1382"/>
      <c r="AF46" s="1382"/>
      <c r="AG46" s="1382"/>
      <c r="AH46" s="1382"/>
      <c r="AI46" s="1382"/>
      <c r="AJ46" s="181"/>
      <c r="AK46" s="181"/>
      <c r="AL46" s="181"/>
      <c r="AM46" s="181"/>
      <c r="AN46" s="181"/>
      <c r="AO46" s="181"/>
      <c r="AP46" s="181"/>
      <c r="AQ46" s="181"/>
      <c r="AR46" s="181"/>
      <c r="AS46" s="181"/>
      <c r="AT46" s="181"/>
      <c r="AU46" s="181"/>
      <c r="AV46" s="181"/>
      <c r="AW46" s="181"/>
    </row>
    <row r="47" spans="1:49" s="30" customFormat="1" ht="15" customHeight="1" x14ac:dyDescent="0.25">
      <c r="A47" s="1408"/>
      <c r="B47" s="191"/>
      <c r="C47" s="921"/>
      <c r="D47" s="32"/>
      <c r="E47" s="415" t="str">
        <f>IF('C-Design&amp;Const'!$G47="","",'C-Design&amp;Const'!$G47)</f>
        <v>Y</v>
      </c>
      <c r="F47" s="456"/>
      <c r="G47" s="457"/>
      <c r="H47" s="325" t="str">
        <f>CONCATENATE(IF(ISNUMBER(SEARCH("Placeholder",'C-Design&amp;Const'!Z47))=TRUE,"",IF(E47="N","PLACEHOLDER ROW - ","")),'C-Design&amp;Const'!Z47,IF(E47="N","",J47))</f>
        <v xml:space="preserve">Permit Analysis  - As Applicable </v>
      </c>
      <c r="I47" s="193"/>
      <c r="J47" s="578" t="str">
        <f>IF('C-Design&amp;Const'!AD47="","",'C-Design&amp;Const'!AD47)</f>
        <v/>
      </c>
      <c r="K47" s="228"/>
      <c r="L47" s="1410" t="str">
        <f t="shared" si="0"/>
        <v/>
      </c>
      <c r="M47" s="1382"/>
      <c r="N47" s="1382"/>
      <c r="O47" s="1382"/>
      <c r="P47" s="1382"/>
      <c r="Q47" s="1382"/>
      <c r="R47" s="1382"/>
      <c r="S47" s="1382"/>
      <c r="T47" s="1382"/>
      <c r="U47" s="1382"/>
      <c r="V47" s="1382"/>
      <c r="W47" s="1382"/>
      <c r="X47" s="1382"/>
      <c r="Y47" s="1382"/>
      <c r="Z47" s="1382"/>
      <c r="AA47" s="1382"/>
      <c r="AB47" s="1382"/>
      <c r="AC47" s="1382"/>
      <c r="AD47" s="1382"/>
      <c r="AE47" s="1382"/>
      <c r="AF47" s="1382"/>
      <c r="AG47" s="1382"/>
      <c r="AH47" s="1382"/>
      <c r="AI47" s="1382"/>
      <c r="AJ47" s="181"/>
      <c r="AK47" s="181"/>
      <c r="AL47" s="181"/>
      <c r="AM47" s="181"/>
      <c r="AN47" s="181"/>
      <c r="AO47" s="181"/>
      <c r="AP47" s="181"/>
      <c r="AQ47" s="181"/>
      <c r="AR47" s="181"/>
      <c r="AS47" s="181"/>
      <c r="AT47" s="181"/>
      <c r="AU47" s="181"/>
      <c r="AV47" s="181"/>
      <c r="AW47" s="181"/>
    </row>
    <row r="48" spans="1:49" s="30" customFormat="1" ht="15" customHeight="1" x14ac:dyDescent="0.25">
      <c r="A48" s="1408"/>
      <c r="B48" s="191"/>
      <c r="C48" s="921"/>
      <c r="D48" s="32"/>
      <c r="E48" s="415" t="str">
        <f>IF('C-Design&amp;Const'!$G48="","",'C-Design&amp;Const'!$G48)</f>
        <v>Y</v>
      </c>
      <c r="F48" s="456"/>
      <c r="G48" s="457"/>
      <c r="H48" s="325" t="str">
        <f>CONCATENATE(IF(ISNUMBER(SEARCH("Placeholder",'C-Design&amp;Const'!Z48))=TRUE,"",IF(E48="N","PLACEHOLDER ROW - ","")),'C-Design&amp;Const'!Z48,IF(E48="N","",J48))</f>
        <v>Variances - As Applicable  (Expected)</v>
      </c>
      <c r="I48" s="193"/>
      <c r="J48" s="578" t="str">
        <f>IF('C-Design&amp;Const'!AD48="","",'C-Design&amp;Const'!AD48)</f>
        <v xml:space="preserve"> (Expected)</v>
      </c>
      <c r="K48" s="228"/>
      <c r="L48" s="1410" t="str">
        <f t="shared" si="0"/>
        <v/>
      </c>
      <c r="M48" s="1382"/>
      <c r="N48" s="1382"/>
      <c r="O48" s="1382"/>
      <c r="P48" s="1382"/>
      <c r="Q48" s="1382"/>
      <c r="R48" s="1382"/>
      <c r="S48" s="1382"/>
      <c r="T48" s="1382"/>
      <c r="U48" s="1382"/>
      <c r="V48" s="1382"/>
      <c r="W48" s="1382"/>
      <c r="X48" s="1382"/>
      <c r="Y48" s="1382"/>
      <c r="Z48" s="1382"/>
      <c r="AA48" s="1382"/>
      <c r="AB48" s="1382"/>
      <c r="AC48" s="1382"/>
      <c r="AD48" s="1382"/>
      <c r="AE48" s="1382"/>
      <c r="AF48" s="1382"/>
      <c r="AG48" s="1382"/>
      <c r="AH48" s="1382"/>
      <c r="AI48" s="1382"/>
      <c r="AJ48" s="181"/>
      <c r="AK48" s="181"/>
      <c r="AL48" s="181"/>
      <c r="AM48" s="181"/>
      <c r="AN48" s="181"/>
      <c r="AO48" s="181"/>
      <c r="AP48" s="181"/>
      <c r="AQ48" s="181"/>
      <c r="AR48" s="181"/>
      <c r="AS48" s="181"/>
      <c r="AT48" s="181"/>
      <c r="AU48" s="181"/>
      <c r="AV48" s="181"/>
      <c r="AW48" s="181"/>
    </row>
    <row r="49" spans="1:49" s="30" customFormat="1" ht="26.25" customHeight="1" x14ac:dyDescent="0.25">
      <c r="A49" s="1408"/>
      <c r="B49" s="191"/>
      <c r="C49" s="921"/>
      <c r="D49" s="32"/>
      <c r="E49" s="415" t="str">
        <f>IF('C-Design&amp;Const'!$G49="","",'C-Design&amp;Const'!$G49)</f>
        <v>Y</v>
      </c>
      <c r="F49" s="456"/>
      <c r="G49" s="457"/>
      <c r="H49" s="325" t="str">
        <f>CONCATENATE(IF(ISNUMBER(SEARCH("Placeholder",'C-Design&amp;Const'!Z49))=TRUE,"",IF(E49="N","PLACEHOLDER ROW - ","")),'C-Design&amp;Const'!Z49,IF(E49="N","",J49))</f>
        <v xml:space="preserve">Results of itemized Area Analysis Comparing the Net-to-Gross Square Feet  - Per Floor; Per Assembly Space; and Per Building as applicable </v>
      </c>
      <c r="I49" s="193"/>
      <c r="J49" s="578" t="str">
        <f>IF('C-Design&amp;Const'!AD49="","",'C-Design&amp;Const'!AD49)</f>
        <v/>
      </c>
      <c r="K49" s="228"/>
      <c r="L49" s="1410" t="str">
        <f t="shared" si="0"/>
        <v/>
      </c>
      <c r="M49" s="1382"/>
      <c r="N49" s="1382"/>
      <c r="O49" s="1382"/>
      <c r="P49" s="1382"/>
      <c r="Q49" s="1382"/>
      <c r="R49" s="1382"/>
      <c r="S49" s="1382"/>
      <c r="T49" s="1382"/>
      <c r="U49" s="1382"/>
      <c r="V49" s="1382"/>
      <c r="W49" s="1382"/>
      <c r="X49" s="1382"/>
      <c r="Y49" s="1382"/>
      <c r="Z49" s="1382"/>
      <c r="AA49" s="1382"/>
      <c r="AB49" s="1382"/>
      <c r="AC49" s="1382"/>
      <c r="AD49" s="1382"/>
      <c r="AE49" s="1382"/>
      <c r="AF49" s="1382"/>
      <c r="AG49" s="1382"/>
      <c r="AH49" s="1382"/>
      <c r="AI49" s="1382"/>
      <c r="AJ49" s="181"/>
      <c r="AK49" s="181"/>
      <c r="AL49" s="181"/>
      <c r="AM49" s="181"/>
      <c r="AN49" s="181"/>
      <c r="AO49" s="181"/>
      <c r="AP49" s="181"/>
      <c r="AQ49" s="181"/>
      <c r="AR49" s="181"/>
      <c r="AS49" s="181"/>
      <c r="AT49" s="181"/>
      <c r="AU49" s="181"/>
      <c r="AV49" s="181"/>
      <c r="AW49" s="181"/>
    </row>
    <row r="50" spans="1:49" s="30" customFormat="1" ht="15" customHeight="1" x14ac:dyDescent="0.25">
      <c r="A50" s="1408"/>
      <c r="B50" s="191"/>
      <c r="C50" s="921"/>
      <c r="D50" s="32"/>
      <c r="E50" s="415" t="str">
        <f>IF('C-Design&amp;Const'!$G50="","",'C-Design&amp;Const'!$G50)</f>
        <v>Y</v>
      </c>
      <c r="F50" s="456"/>
      <c r="G50" s="457"/>
      <c r="H50" s="325" t="str">
        <f>CONCATENATE(IF(ISNUMBER(SEARCH("Placeholder",'C-Design&amp;Const'!Z50))=TRUE,"",IF(E50="N","PLACEHOLDER ROW - ","")),'C-Design&amp;Const'!Z50,IF(E50="N","",J50))</f>
        <v xml:space="preserve">Room Type Alternative Concepts </v>
      </c>
      <c r="I50" s="206"/>
      <c r="J50" s="578" t="str">
        <f>IF('C-Design&amp;Const'!AD50="","",'C-Design&amp;Const'!AD50)</f>
        <v/>
      </c>
      <c r="K50" s="228"/>
      <c r="L50" s="1410" t="str">
        <f t="shared" si="0"/>
        <v/>
      </c>
      <c r="M50" s="1382"/>
      <c r="N50" s="1382"/>
      <c r="O50" s="1382"/>
      <c r="P50" s="1382"/>
      <c r="Q50" s="1382"/>
      <c r="R50" s="1382"/>
      <c r="S50" s="1382"/>
      <c r="T50" s="1382"/>
      <c r="U50" s="1382"/>
      <c r="V50" s="1382"/>
      <c r="W50" s="1382"/>
      <c r="X50" s="1382"/>
      <c r="Y50" s="1382"/>
      <c r="Z50" s="1382"/>
      <c r="AA50" s="1382"/>
      <c r="AB50" s="1382"/>
      <c r="AC50" s="1382"/>
      <c r="AD50" s="1382"/>
      <c r="AE50" s="1382"/>
      <c r="AF50" s="1382"/>
      <c r="AG50" s="1382"/>
      <c r="AH50" s="1382"/>
      <c r="AI50" s="1382"/>
      <c r="AJ50" s="181"/>
      <c r="AK50" s="181"/>
      <c r="AL50" s="181"/>
      <c r="AM50" s="181"/>
      <c r="AN50" s="181"/>
      <c r="AO50" s="181"/>
      <c r="AP50" s="181"/>
      <c r="AQ50" s="181"/>
      <c r="AR50" s="181"/>
      <c r="AS50" s="181"/>
      <c r="AT50" s="181"/>
      <c r="AU50" s="181"/>
      <c r="AV50" s="181"/>
      <c r="AW50" s="181"/>
    </row>
    <row r="51" spans="1:49" s="30" customFormat="1" ht="15" customHeight="1" x14ac:dyDescent="0.25">
      <c r="A51" s="1402"/>
      <c r="B51" s="191"/>
      <c r="C51" s="921"/>
      <c r="D51" s="32"/>
      <c r="E51" s="415" t="str">
        <f>IF('C-Design&amp;Const'!$G51="","",'C-Design&amp;Const'!$G51)</f>
        <v>Y</v>
      </c>
      <c r="F51" s="460"/>
      <c r="G51" s="459"/>
      <c r="H51" s="325" t="str">
        <f>CONCATENATE(IF(ISNUMBER(SEARCH("Placeholder",'C-Design&amp;Const'!Z51))=TRUE,"",IF(E51="N","PLACEHOLDER ROW - ","")),'C-Design&amp;Const'!Z51,IF(E51="N","",J51))</f>
        <v>Design Concept(s)  (Preliminary)</v>
      </c>
      <c r="I51" s="197"/>
      <c r="J51" s="578" t="str">
        <f>IF('C-Design&amp;Const'!AD51="","",'C-Design&amp;Const'!AD51)</f>
        <v xml:space="preserve"> (Preliminary)</v>
      </c>
      <c r="K51" s="228"/>
      <c r="L51" s="1410" t="str">
        <f t="shared" si="0"/>
        <v/>
      </c>
      <c r="M51" s="1382"/>
      <c r="N51" s="1382"/>
      <c r="O51" s="1382"/>
      <c r="P51" s="1382"/>
      <c r="Q51" s="1382"/>
      <c r="R51" s="1382"/>
      <c r="S51" s="1382"/>
      <c r="T51" s="1382"/>
      <c r="U51" s="1382"/>
      <c r="V51" s="1382"/>
      <c r="W51" s="1382"/>
      <c r="X51" s="1382"/>
      <c r="Y51" s="1382"/>
      <c r="Z51" s="1382"/>
      <c r="AA51" s="1382"/>
      <c r="AB51" s="1382"/>
      <c r="AC51" s="1382"/>
      <c r="AD51" s="1382"/>
      <c r="AE51" s="1382"/>
      <c r="AF51" s="1382"/>
      <c r="AG51" s="1382"/>
      <c r="AH51" s="1382"/>
      <c r="AI51" s="1382"/>
      <c r="AJ51" s="181"/>
      <c r="AK51" s="181"/>
      <c r="AL51" s="181"/>
      <c r="AM51" s="181"/>
      <c r="AN51" s="181"/>
      <c r="AO51" s="181"/>
      <c r="AP51" s="181"/>
      <c r="AQ51" s="181"/>
      <c r="AR51" s="181"/>
      <c r="AS51" s="181"/>
      <c r="AT51" s="181"/>
      <c r="AU51" s="181"/>
      <c r="AV51" s="181"/>
      <c r="AW51" s="181"/>
    </row>
    <row r="52" spans="1:49" s="30" customFormat="1" ht="15" customHeight="1" x14ac:dyDescent="0.25">
      <c r="A52" s="1402"/>
      <c r="B52" s="191"/>
      <c r="C52" s="921"/>
      <c r="D52" s="32"/>
      <c r="E52" s="415" t="str">
        <f>IF('C-Design&amp;Const'!$G52="","",'C-Design&amp;Const'!$G52)</f>
        <v>Y</v>
      </c>
      <c r="F52" s="460"/>
      <c r="G52" s="457"/>
      <c r="H52" s="325" t="str">
        <f>CONCATENATE(IF(ISNUMBER(SEARCH("Placeholder",'C-Design&amp;Const'!Z52))=TRUE,"",IF(E52="N","PLACEHOLDER ROW - ","")),'C-Design&amp;Const'!Z52,IF(E52="N","",J52))</f>
        <v xml:space="preserve">Master Plan Impact and Options </v>
      </c>
      <c r="I52" s="197"/>
      <c r="J52" s="578" t="str">
        <f>IF('C-Design&amp;Const'!AD52="","",'C-Design&amp;Const'!AD52)</f>
        <v/>
      </c>
      <c r="K52" s="228"/>
      <c r="L52" s="1410" t="str">
        <f t="shared" si="0"/>
        <v/>
      </c>
      <c r="M52" s="1382"/>
      <c r="N52" s="1382"/>
      <c r="O52" s="1382"/>
      <c r="P52" s="1382"/>
      <c r="Q52" s="1382"/>
      <c r="R52" s="1382"/>
      <c r="S52" s="1382"/>
      <c r="T52" s="1382"/>
      <c r="U52" s="1382"/>
      <c r="V52" s="1382"/>
      <c r="W52" s="1382"/>
      <c r="X52" s="1382"/>
      <c r="Y52" s="1382"/>
      <c r="Z52" s="1382"/>
      <c r="AA52" s="1382"/>
      <c r="AB52" s="1382"/>
      <c r="AC52" s="1382"/>
      <c r="AD52" s="1382"/>
      <c r="AE52" s="1382"/>
      <c r="AF52" s="1382"/>
      <c r="AG52" s="1382"/>
      <c r="AH52" s="1382"/>
      <c r="AI52" s="1382"/>
      <c r="AJ52" s="181"/>
      <c r="AK52" s="181"/>
      <c r="AL52" s="181"/>
      <c r="AM52" s="181"/>
      <c r="AN52" s="181"/>
      <c r="AO52" s="181"/>
      <c r="AP52" s="181"/>
      <c r="AQ52" s="181"/>
      <c r="AR52" s="181"/>
      <c r="AS52" s="181"/>
      <c r="AT52" s="181"/>
      <c r="AU52" s="181"/>
      <c r="AV52" s="181"/>
      <c r="AW52" s="181"/>
    </row>
    <row r="53" spans="1:49" s="30" customFormat="1" ht="15" customHeight="1" x14ac:dyDescent="0.25">
      <c r="A53" s="1402"/>
      <c r="B53" s="191"/>
      <c r="C53" s="921"/>
      <c r="D53" s="32"/>
      <c r="E53" s="415" t="str">
        <f>IF('C-Design&amp;Const'!$G53="","",'C-Design&amp;Const'!$G53)</f>
        <v>Y</v>
      </c>
      <c r="F53" s="460"/>
      <c r="G53" s="457"/>
      <c r="H53" s="795" t="str">
        <f>CONCATENATE(IF(ISNUMBER(SEARCH("Placeholder",'C-Design&amp;Const'!Z53))=TRUE,"",IF(E53="N","PLACEHOLDER ROW - ","")),'C-Design&amp;Const'!Z53,IF(E53="N","",J53))</f>
        <v>Required adjacent property acquisitions</v>
      </c>
      <c r="I53" s="197"/>
      <c r="J53" s="578" t="str">
        <f>IF('C-Design&amp;Const'!AD53="","",'C-Design&amp;Const'!AD53)</f>
        <v/>
      </c>
      <c r="K53" s="228"/>
      <c r="L53" s="1410" t="str">
        <f t="shared" si="0"/>
        <v/>
      </c>
      <c r="M53" s="1382"/>
      <c r="N53" s="1382"/>
      <c r="O53" s="1382"/>
      <c r="P53" s="1382"/>
      <c r="Q53" s="1382"/>
      <c r="R53" s="1382"/>
      <c r="S53" s="1382"/>
      <c r="T53" s="1382"/>
      <c r="U53" s="1382"/>
      <c r="V53" s="1382"/>
      <c r="W53" s="1382"/>
      <c r="X53" s="1382"/>
      <c r="Y53" s="1382"/>
      <c r="Z53" s="1382"/>
      <c r="AA53" s="1382"/>
      <c r="AB53" s="1382"/>
      <c r="AC53" s="1382"/>
      <c r="AD53" s="1382"/>
      <c r="AE53" s="1382"/>
      <c r="AF53" s="1382"/>
      <c r="AG53" s="1382"/>
      <c r="AH53" s="1382"/>
      <c r="AI53" s="1382"/>
      <c r="AJ53" s="181"/>
      <c r="AK53" s="181"/>
      <c r="AL53" s="181"/>
      <c r="AM53" s="181"/>
      <c r="AN53" s="181"/>
      <c r="AO53" s="181"/>
      <c r="AP53" s="181"/>
      <c r="AQ53" s="181"/>
      <c r="AR53" s="181"/>
      <c r="AS53" s="181"/>
      <c r="AT53" s="181"/>
      <c r="AU53" s="181"/>
      <c r="AV53" s="181"/>
      <c r="AW53" s="181"/>
    </row>
    <row r="54" spans="1:49" s="30" customFormat="1" ht="15" customHeight="1" x14ac:dyDescent="0.25">
      <c r="A54" s="1402"/>
      <c r="B54" s="191"/>
      <c r="C54" s="921"/>
      <c r="D54" s="32"/>
      <c r="E54" s="415" t="str">
        <f>IF('C-Design&amp;Const'!$G54="","",'C-Design&amp;Const'!$G54)</f>
        <v>N</v>
      </c>
      <c r="F54" s="460"/>
      <c r="G54" s="457"/>
      <c r="H54" s="795" t="str">
        <f>CONCATENATE(IF(ISNUMBER(SEARCH("Placeholder",'C-Design&amp;Const'!Z54))=TRUE,"",IF(E54="N","PLACEHOLDER ROW - ","")),'C-Design&amp;Const'!Z54,IF(E54="N","",J54))</f>
        <v>PLACEHOLDER ROW - CUSTOM ROW - OPTIONAL CLIENT ITEM</v>
      </c>
      <c r="I54" s="197"/>
      <c r="J54" s="578" t="str">
        <f>IF('C-Design&amp;Const'!AD54="","",'C-Design&amp;Const'!AD54)</f>
        <v/>
      </c>
      <c r="K54" s="228"/>
      <c r="L54" s="1410" t="str">
        <f t="shared" si="0"/>
        <v>&lt;---PM/Planner may hide PLACEHOLDER ROW</v>
      </c>
      <c r="M54" s="1382"/>
      <c r="N54" s="1382"/>
      <c r="O54" s="1382"/>
      <c r="P54" s="1382"/>
      <c r="Q54" s="1382"/>
      <c r="R54" s="1382"/>
      <c r="S54" s="1382"/>
      <c r="T54" s="1382"/>
      <c r="U54" s="1382"/>
      <c r="V54" s="1382"/>
      <c r="W54" s="1382"/>
      <c r="X54" s="1382"/>
      <c r="Y54" s="1382"/>
      <c r="Z54" s="1382"/>
      <c r="AA54" s="1382"/>
      <c r="AB54" s="1382"/>
      <c r="AC54" s="1382"/>
      <c r="AD54" s="1382"/>
      <c r="AE54" s="1382"/>
      <c r="AF54" s="1382"/>
      <c r="AG54" s="1382"/>
      <c r="AH54" s="1382"/>
      <c r="AI54" s="1382"/>
      <c r="AJ54" s="181"/>
      <c r="AK54" s="181"/>
      <c r="AL54" s="181"/>
      <c r="AM54" s="181"/>
      <c r="AN54" s="181"/>
      <c r="AO54" s="181"/>
      <c r="AP54" s="181"/>
      <c r="AQ54" s="181"/>
      <c r="AR54" s="181"/>
      <c r="AS54" s="181"/>
      <c r="AT54" s="181"/>
      <c r="AU54" s="181"/>
      <c r="AV54" s="181"/>
      <c r="AW54" s="181"/>
    </row>
    <row r="55" spans="1:49" s="30" customFormat="1" ht="15" customHeight="1" x14ac:dyDescent="0.25">
      <c r="A55" s="1407"/>
      <c r="B55" s="191"/>
      <c r="C55" s="921"/>
      <c r="E55" s="415" t="str">
        <f>IF('C-Design&amp;Const'!$G55="","",'C-Design&amp;Const'!$G55)</f>
        <v>N</v>
      </c>
      <c r="F55" s="461"/>
      <c r="G55" s="291"/>
      <c r="H55" s="795" t="str">
        <f>CONCATENATE(IF(ISNUMBER(SEARCH("Placeholder",'C-Design&amp;Const'!Z55))=TRUE,"",IF(E55="N","PLACEHOLDER ROW - ","")),'C-Design&amp;Const'!Z55,IF(E55="N","",J55))</f>
        <v>PLACEHOLDER ROW - CUSTOM ROW - OPTIONAL CLIENT ITEM</v>
      </c>
      <c r="I55" s="184"/>
      <c r="J55" s="578" t="str">
        <f>IF('C-Design&amp;Const'!AD55="","",'C-Design&amp;Const'!AD55)</f>
        <v/>
      </c>
      <c r="K55" s="228"/>
      <c r="L55" s="1410" t="str">
        <f t="shared" si="0"/>
        <v>&lt;---PM/Planner may hide PLACEHOLDER ROW</v>
      </c>
      <c r="M55" s="1382"/>
      <c r="N55" s="1382"/>
      <c r="O55" s="1382"/>
      <c r="P55" s="1382"/>
      <c r="Q55" s="1382"/>
      <c r="R55" s="1382"/>
      <c r="S55" s="1382"/>
      <c r="T55" s="1382"/>
      <c r="U55" s="1382"/>
      <c r="V55" s="1382"/>
      <c r="W55" s="1382"/>
      <c r="X55" s="1382"/>
      <c r="Y55" s="1382"/>
      <c r="Z55" s="1382"/>
      <c r="AA55" s="1382"/>
      <c r="AB55" s="1382"/>
      <c r="AC55" s="1382"/>
      <c r="AD55" s="1382"/>
      <c r="AE55" s="1382"/>
      <c r="AF55" s="1382"/>
      <c r="AG55" s="1382"/>
      <c r="AH55" s="1382"/>
      <c r="AI55" s="1382"/>
      <c r="AJ55" s="181"/>
      <c r="AK55" s="181"/>
      <c r="AL55" s="181"/>
      <c r="AM55" s="181"/>
      <c r="AN55" s="181"/>
      <c r="AO55" s="181"/>
      <c r="AP55" s="181"/>
      <c r="AQ55" s="181"/>
      <c r="AR55" s="181"/>
      <c r="AS55" s="181"/>
      <c r="AT55" s="181"/>
      <c r="AU55" s="181"/>
      <c r="AV55" s="181"/>
      <c r="AW55" s="181"/>
    </row>
    <row r="56" spans="1:49" s="30" customFormat="1" ht="15" customHeight="1" x14ac:dyDescent="0.25">
      <c r="A56" s="1407"/>
      <c r="B56" s="191"/>
      <c r="C56" s="921"/>
      <c r="E56" s="415" t="str">
        <f>IF('C-Design&amp;Const'!$G56="","",'C-Design&amp;Const'!$G56)</f>
        <v>Y</v>
      </c>
      <c r="F56" s="461"/>
      <c r="G56" s="291"/>
      <c r="H56" s="462" t="str">
        <f>CONCATENATE(IF(E56="N","PLACEHOLDER ROW - ",""),'C-Design&amp;Const'!Z56,IF(E56="N","",J56))</f>
        <v>Building &amp; Site Systems Narratives</v>
      </c>
      <c r="I56" s="184"/>
      <c r="J56" s="578" t="str">
        <f>IF('C-Design&amp;Const'!AD56="","",'C-Design&amp;Const'!AD56)</f>
        <v/>
      </c>
      <c r="K56" s="228"/>
      <c r="L56" s="1410" t="str">
        <f t="shared" si="0"/>
        <v/>
      </c>
      <c r="M56" s="1382"/>
      <c r="N56" s="1382"/>
      <c r="O56" s="1382"/>
      <c r="P56" s="1382"/>
      <c r="Q56" s="1382"/>
      <c r="R56" s="1382"/>
      <c r="S56" s="1382"/>
      <c r="T56" s="1382"/>
      <c r="U56" s="1382"/>
      <c r="V56" s="1382"/>
      <c r="W56" s="1382"/>
      <c r="X56" s="1382"/>
      <c r="Y56" s="1382"/>
      <c r="Z56" s="1382"/>
      <c r="AA56" s="1382"/>
      <c r="AB56" s="1382"/>
      <c r="AC56" s="1382"/>
      <c r="AD56" s="1382"/>
      <c r="AE56" s="1382"/>
      <c r="AF56" s="1382"/>
      <c r="AG56" s="1382"/>
      <c r="AH56" s="1382"/>
      <c r="AI56" s="1382"/>
      <c r="AJ56" s="181"/>
      <c r="AK56" s="181"/>
      <c r="AL56" s="181"/>
      <c r="AM56" s="181"/>
      <c r="AN56" s="181"/>
      <c r="AO56" s="181"/>
      <c r="AP56" s="181"/>
      <c r="AQ56" s="181"/>
      <c r="AR56" s="181"/>
      <c r="AS56" s="181"/>
      <c r="AT56" s="181"/>
      <c r="AU56" s="181"/>
      <c r="AV56" s="181"/>
      <c r="AW56" s="181"/>
    </row>
    <row r="57" spans="1:49" s="30" customFormat="1" ht="24.75" customHeight="1" x14ac:dyDescent="0.25">
      <c r="A57" s="1407"/>
      <c r="B57" s="191"/>
      <c r="C57" s="945"/>
      <c r="D57" s="10"/>
      <c r="E57" s="463"/>
      <c r="F57" s="464"/>
      <c r="G57" s="465"/>
      <c r="H57" s="362" t="str">
        <f>CONCATENATE(IF(E57="N","PLACEHOLDER ROW - ",""),'C-Design&amp;Const'!Z57,IF(E57="N","",J57))</f>
        <v>Under separate bound cover, any detailed results, reports, surveys, tests, etc… for existing systems verification.</v>
      </c>
      <c r="I57" s="184"/>
      <c r="J57" s="578" t="str">
        <f>IF('C-Design&amp;Const'!AD57="","",'C-Design&amp;Const'!AD57)</f>
        <v/>
      </c>
      <c r="K57" s="228"/>
      <c r="L57" s="1410" t="str">
        <f t="shared" si="0"/>
        <v/>
      </c>
      <c r="M57" s="1382"/>
      <c r="N57" s="1382"/>
      <c r="O57" s="1382"/>
      <c r="P57" s="1382"/>
      <c r="Q57" s="1382"/>
      <c r="R57" s="1382"/>
      <c r="S57" s="1382"/>
      <c r="T57" s="1382"/>
      <c r="U57" s="1382"/>
      <c r="V57" s="1382"/>
      <c r="W57" s="1382"/>
      <c r="X57" s="1382"/>
      <c r="Y57" s="1382"/>
      <c r="Z57" s="1382"/>
      <c r="AA57" s="1382"/>
      <c r="AB57" s="1382"/>
      <c r="AC57" s="1382"/>
      <c r="AD57" s="1382"/>
      <c r="AE57" s="1382"/>
      <c r="AF57" s="1382"/>
      <c r="AG57" s="1382"/>
      <c r="AH57" s="1382"/>
      <c r="AI57" s="1382"/>
      <c r="AJ57" s="181"/>
      <c r="AK57" s="181"/>
      <c r="AL57" s="181"/>
      <c r="AM57" s="181"/>
      <c r="AN57" s="181"/>
      <c r="AO57" s="181"/>
      <c r="AP57" s="181"/>
      <c r="AQ57" s="181"/>
      <c r="AR57" s="181"/>
      <c r="AS57" s="181"/>
      <c r="AT57" s="181"/>
      <c r="AU57" s="181"/>
      <c r="AV57" s="181"/>
      <c r="AW57" s="181"/>
    </row>
    <row r="58" spans="1:49" s="30" customFormat="1" ht="25.5" customHeight="1" x14ac:dyDescent="0.25">
      <c r="A58" s="1407"/>
      <c r="B58" s="191"/>
      <c r="C58" s="945"/>
      <c r="D58" s="10"/>
      <c r="E58" s="463"/>
      <c r="F58" s="359" t="str">
        <f>IF('C-Design&amp;Const'!$G58="","",'C-Design&amp;Const'!$G58)</f>
        <v>Y</v>
      </c>
      <c r="G58" s="291"/>
      <c r="H58" s="408" t="str">
        <f>CONCATENATE(IF(F58="N","PLACEHOLDER ROW - ",""),'C-Design&amp;Const'!Z58,IF(F58="N","",J58))</f>
        <v>Site / Civil / Landscape - Storm Water Management for changes in impervious area **(List assumptions for mitigation.  Verify existing system.  Any outlet into field tiles must be verified for size, location, and condition)</v>
      </c>
      <c r="I58" s="184"/>
      <c r="J58" s="578" t="str">
        <f>IF('C-Design&amp;Const'!AD58="","",'C-Design&amp;Const'!AD58)</f>
        <v/>
      </c>
      <c r="K58" s="228"/>
      <c r="L58" s="1410" t="str">
        <f t="shared" si="0"/>
        <v/>
      </c>
      <c r="M58" s="1382"/>
      <c r="N58" s="1382"/>
      <c r="O58" s="1382"/>
      <c r="P58" s="1382"/>
      <c r="Q58" s="1382"/>
      <c r="R58" s="1382"/>
      <c r="S58" s="1382"/>
      <c r="T58" s="1382"/>
      <c r="U58" s="1382"/>
      <c r="V58" s="1382"/>
      <c r="W58" s="1382"/>
      <c r="X58" s="1382"/>
      <c r="Y58" s="1382"/>
      <c r="Z58" s="1382"/>
      <c r="AA58" s="1382"/>
      <c r="AB58" s="1382"/>
      <c r="AC58" s="1382"/>
      <c r="AD58" s="1382"/>
      <c r="AE58" s="1382"/>
      <c r="AF58" s="1382"/>
      <c r="AG58" s="1382"/>
      <c r="AH58" s="1382"/>
      <c r="AI58" s="1382"/>
      <c r="AJ58" s="181"/>
      <c r="AK58" s="181"/>
      <c r="AL58" s="181"/>
      <c r="AM58" s="181"/>
      <c r="AN58" s="181"/>
      <c r="AO58" s="181"/>
      <c r="AP58" s="181"/>
      <c r="AQ58" s="181"/>
      <c r="AR58" s="181"/>
      <c r="AS58" s="181"/>
      <c r="AT58" s="181"/>
      <c r="AU58" s="181"/>
      <c r="AV58" s="181"/>
      <c r="AW58" s="181"/>
    </row>
    <row r="59" spans="1:49" s="30" customFormat="1" ht="15" customHeight="1" x14ac:dyDescent="0.25">
      <c r="A59" s="1407"/>
      <c r="B59" s="191"/>
      <c r="C59" s="945"/>
      <c r="D59" s="10"/>
      <c r="E59" s="463"/>
      <c r="F59" s="359" t="str">
        <f>IF('C-Design&amp;Const'!$G59="","",'C-Design&amp;Const'!$G59)</f>
        <v>Y</v>
      </c>
      <c r="G59" s="291"/>
      <c r="H59" s="408" t="str">
        <f>CONCATENATE(IF(F59="N","PLACEHOLDER ROW - ",""),'C-Design&amp;Const'!Z59,IF(F59="N","",J59))</f>
        <v>Site / Civil / Landscape - Bike Parking, Vehicle Parking,  Driveways, Multimodal Transporation</v>
      </c>
      <c r="I59" s="184"/>
      <c r="J59" s="578" t="str">
        <f>IF('C-Design&amp;Const'!AD59="","",'C-Design&amp;Const'!AD59)</f>
        <v/>
      </c>
      <c r="K59" s="228"/>
      <c r="L59" s="1410" t="str">
        <f t="shared" si="0"/>
        <v/>
      </c>
      <c r="M59" s="1382"/>
      <c r="N59" s="1382"/>
      <c r="O59" s="1382"/>
      <c r="P59" s="1382"/>
      <c r="Q59" s="1382"/>
      <c r="R59" s="1382"/>
      <c r="S59" s="1382"/>
      <c r="T59" s="1382"/>
      <c r="U59" s="1382"/>
      <c r="V59" s="1382"/>
      <c r="W59" s="1382"/>
      <c r="X59" s="1382"/>
      <c r="Y59" s="1382"/>
      <c r="Z59" s="1382"/>
      <c r="AA59" s="1382"/>
      <c r="AB59" s="1382"/>
      <c r="AC59" s="1382"/>
      <c r="AD59" s="1382"/>
      <c r="AE59" s="1382"/>
      <c r="AF59" s="1382"/>
      <c r="AG59" s="1382"/>
      <c r="AH59" s="1382"/>
      <c r="AI59" s="1382"/>
      <c r="AJ59" s="181"/>
      <c r="AK59" s="181"/>
      <c r="AL59" s="181"/>
      <c r="AM59" s="181"/>
      <c r="AN59" s="181"/>
      <c r="AO59" s="181"/>
      <c r="AP59" s="181"/>
      <c r="AQ59" s="181"/>
      <c r="AR59" s="181"/>
      <c r="AS59" s="181"/>
      <c r="AT59" s="181"/>
      <c r="AU59" s="181"/>
      <c r="AV59" s="181"/>
      <c r="AW59" s="181"/>
    </row>
    <row r="60" spans="1:49" s="545" customFormat="1" ht="15" customHeight="1" x14ac:dyDescent="0.25">
      <c r="A60" s="1407"/>
      <c r="B60" s="554"/>
      <c r="C60" s="945"/>
      <c r="D60" s="10"/>
      <c r="E60" s="463"/>
      <c r="F60" s="359" t="str">
        <f>IF('C-Design&amp;Const'!$G60="","",'C-Design&amp;Const'!$G60)</f>
        <v>Y</v>
      </c>
      <c r="G60" s="291"/>
      <c r="H60" s="408" t="str">
        <f>CONCATENATE(IF(F60="N","PLACEHOLDER ROW - ",""),'C-Design&amp;Const'!Z60,IF(F60="N","",J60))</f>
        <v>Site / Civil / Landscape - Waste &amp; Recycling Hauling, Service Access, &amp; Loading Zones</v>
      </c>
      <c r="I60" s="552"/>
      <c r="J60" s="578" t="str">
        <f>IF('C-Design&amp;Const'!AD60="","",'C-Design&amp;Const'!AD60)</f>
        <v/>
      </c>
      <c r="K60" s="228"/>
      <c r="L60" s="1410" t="str">
        <f t="shared" ref="L60" si="1">CONCATENATE(IF(ISNUMBER(SEARCH("Placeholder",H60))=TRUE,"&lt;---PM/Planner may hide PLACEHOLDER ROW",""))</f>
        <v/>
      </c>
      <c r="M60" s="1382"/>
      <c r="N60" s="1382"/>
      <c r="O60" s="1382"/>
      <c r="P60" s="1382"/>
      <c r="Q60" s="1382"/>
      <c r="R60" s="1382"/>
      <c r="S60" s="1382"/>
      <c r="T60" s="1382"/>
      <c r="U60" s="1382"/>
      <c r="V60" s="1382"/>
      <c r="W60" s="1382"/>
      <c r="X60" s="1382"/>
      <c r="Y60" s="1382"/>
      <c r="Z60" s="1382"/>
      <c r="AA60" s="1382"/>
      <c r="AB60" s="1382"/>
      <c r="AC60" s="1382"/>
      <c r="AD60" s="1382"/>
      <c r="AE60" s="1382"/>
      <c r="AF60" s="1382"/>
      <c r="AG60" s="1382"/>
      <c r="AH60" s="1382"/>
      <c r="AI60" s="1382"/>
      <c r="AJ60" s="551"/>
      <c r="AK60" s="551"/>
      <c r="AL60" s="551"/>
      <c r="AM60" s="551"/>
      <c r="AN60" s="551"/>
      <c r="AO60" s="551"/>
      <c r="AP60" s="551"/>
      <c r="AQ60" s="551"/>
      <c r="AR60" s="551"/>
      <c r="AS60" s="551"/>
      <c r="AT60" s="551"/>
      <c r="AU60" s="551"/>
      <c r="AV60" s="551"/>
      <c r="AW60" s="551"/>
    </row>
    <row r="61" spans="1:49" s="30" customFormat="1" ht="15" customHeight="1" x14ac:dyDescent="0.25">
      <c r="A61" s="1407"/>
      <c r="B61" s="191"/>
      <c r="C61" s="945"/>
      <c r="D61" s="10"/>
      <c r="E61" s="463"/>
      <c r="F61" s="359" t="str">
        <f>IF('C-Design&amp;Const'!$G61="","",'C-Design&amp;Const'!$G61)</f>
        <v>Y</v>
      </c>
      <c r="G61" s="291"/>
      <c r="H61" s="408" t="str">
        <f>CONCATENATE(IF(F61="N","PLACEHOLDER ROW - ",""),'C-Design&amp;Const'!Z61,IF(F61="N","",J61))</f>
        <v>Site / Civil / Landscape - Sidewalks, Plazas, Landscape</v>
      </c>
      <c r="I61" s="184"/>
      <c r="J61" s="578" t="str">
        <f>IF('C-Design&amp;Const'!AD61="","",'C-Design&amp;Const'!AD61)</f>
        <v/>
      </c>
      <c r="K61" s="228"/>
      <c r="L61" s="1410" t="str">
        <f t="shared" si="0"/>
        <v/>
      </c>
      <c r="M61" s="1382"/>
      <c r="N61" s="1382"/>
      <c r="O61" s="1382"/>
      <c r="P61" s="1382"/>
      <c r="Q61" s="1382"/>
      <c r="R61" s="1382"/>
      <c r="S61" s="1382"/>
      <c r="T61" s="1382"/>
      <c r="U61" s="1382"/>
      <c r="V61" s="1382"/>
      <c r="W61" s="1382"/>
      <c r="X61" s="1382"/>
      <c r="Y61" s="1382"/>
      <c r="Z61" s="1382"/>
      <c r="AA61" s="1382"/>
      <c r="AB61" s="1382"/>
      <c r="AC61" s="1382"/>
      <c r="AD61" s="1382"/>
      <c r="AE61" s="1382"/>
      <c r="AF61" s="1382"/>
      <c r="AG61" s="1382"/>
      <c r="AH61" s="1382"/>
      <c r="AI61" s="1382"/>
      <c r="AJ61" s="181"/>
      <c r="AK61" s="181"/>
      <c r="AL61" s="181"/>
      <c r="AM61" s="181"/>
      <c r="AN61" s="181"/>
      <c r="AO61" s="181"/>
      <c r="AP61" s="181"/>
      <c r="AQ61" s="181"/>
      <c r="AR61" s="181"/>
      <c r="AS61" s="181"/>
      <c r="AT61" s="181"/>
      <c r="AU61" s="181"/>
      <c r="AV61" s="181"/>
      <c r="AW61" s="181"/>
    </row>
    <row r="62" spans="1:49" s="30" customFormat="1" ht="15" customHeight="1" x14ac:dyDescent="0.25">
      <c r="A62" s="1402"/>
      <c r="B62" s="191"/>
      <c r="C62" s="945"/>
      <c r="D62" s="116"/>
      <c r="E62" s="411"/>
      <c r="F62" s="559" t="str">
        <f>IF('C-Design&amp;Const'!$G62="","",'C-Design&amp;Const'!$G62)</f>
        <v>Y</v>
      </c>
      <c r="G62" s="457"/>
      <c r="H62" s="408" t="str">
        <f>CONCATENATE(IF(F62="N","PLACEHOLDER ROW - ",""),'C-Design&amp;Const'!Z62,IF(F62="N","",J62))</f>
        <v>Site / Civil / Landscape - Demolition &amp; Site Clearing</v>
      </c>
      <c r="I62" s="197"/>
      <c r="J62" s="578" t="str">
        <f>IF('C-Design&amp;Const'!AD62="","",'C-Design&amp;Const'!AD62)</f>
        <v/>
      </c>
      <c r="K62" s="228"/>
      <c r="L62" s="1410" t="str">
        <f t="shared" si="0"/>
        <v/>
      </c>
      <c r="M62" s="1382"/>
      <c r="N62" s="1382"/>
      <c r="O62" s="1382"/>
      <c r="P62" s="1382"/>
      <c r="Q62" s="1382"/>
      <c r="R62" s="1382"/>
      <c r="S62" s="1382"/>
      <c r="T62" s="1382"/>
      <c r="U62" s="1382"/>
      <c r="V62" s="1382"/>
      <c r="W62" s="1382"/>
      <c r="X62" s="1382"/>
      <c r="Y62" s="1382"/>
      <c r="Z62" s="1382"/>
      <c r="AA62" s="1382"/>
      <c r="AB62" s="1382"/>
      <c r="AC62" s="1382"/>
      <c r="AD62" s="1382"/>
      <c r="AE62" s="1382"/>
      <c r="AF62" s="1382"/>
      <c r="AG62" s="1382"/>
      <c r="AH62" s="1382"/>
      <c r="AI62" s="1382"/>
      <c r="AJ62" s="181"/>
      <c r="AK62" s="181"/>
      <c r="AL62" s="181"/>
      <c r="AM62" s="181"/>
      <c r="AN62" s="181"/>
      <c r="AO62" s="181"/>
      <c r="AP62" s="181"/>
      <c r="AQ62" s="181"/>
      <c r="AR62" s="181"/>
      <c r="AS62" s="181"/>
      <c r="AT62" s="181"/>
      <c r="AU62" s="181"/>
      <c r="AV62" s="181"/>
      <c r="AW62" s="181"/>
    </row>
    <row r="63" spans="1:49" s="30" customFormat="1" ht="15" customHeight="1" x14ac:dyDescent="0.25">
      <c r="A63" s="1402"/>
      <c r="B63" s="191"/>
      <c r="C63" s="945"/>
      <c r="D63" s="116"/>
      <c r="E63" s="411"/>
      <c r="F63" s="559" t="str">
        <f>IF('C-Design&amp;Const'!$G63="","",'C-Design&amp;Const'!$G63)</f>
        <v>Y</v>
      </c>
      <c r="G63" s="457"/>
      <c r="H63" s="408" t="str">
        <f>CONCATENATE(IF(F63="N","PLACEHOLDER ROW - ",""),'C-Design&amp;Const'!Z63,IF(F63="N","",J63))</f>
        <v>Site / Civil / Landscape - Utility Relocations</v>
      </c>
      <c r="I63" s="197"/>
      <c r="J63" s="578" t="str">
        <f>IF('C-Design&amp;Const'!AD63="","",'C-Design&amp;Const'!AD63)</f>
        <v/>
      </c>
      <c r="K63" s="228"/>
      <c r="L63" s="1410" t="str">
        <f t="shared" si="0"/>
        <v/>
      </c>
      <c r="M63" s="1382"/>
      <c r="N63" s="1382"/>
      <c r="O63" s="1382"/>
      <c r="P63" s="1382"/>
      <c r="Q63" s="1382"/>
      <c r="R63" s="1382"/>
      <c r="S63" s="1382"/>
      <c r="T63" s="1382"/>
      <c r="U63" s="1382"/>
      <c r="V63" s="1382"/>
      <c r="W63" s="1382"/>
      <c r="X63" s="1382"/>
      <c r="Y63" s="1382"/>
      <c r="Z63" s="1382"/>
      <c r="AA63" s="1382"/>
      <c r="AB63" s="1382"/>
      <c r="AC63" s="1382"/>
      <c r="AD63" s="1382"/>
      <c r="AE63" s="1382"/>
      <c r="AF63" s="1382"/>
      <c r="AG63" s="1382"/>
      <c r="AH63" s="1382"/>
      <c r="AI63" s="1382"/>
      <c r="AJ63" s="181"/>
      <c r="AK63" s="181"/>
      <c r="AL63" s="181"/>
      <c r="AM63" s="181"/>
      <c r="AN63" s="181"/>
      <c r="AO63" s="181"/>
      <c r="AP63" s="181"/>
      <c r="AQ63" s="181"/>
      <c r="AR63" s="181"/>
      <c r="AS63" s="181"/>
      <c r="AT63" s="181"/>
      <c r="AU63" s="181"/>
      <c r="AV63" s="181"/>
      <c r="AW63" s="181"/>
    </row>
    <row r="64" spans="1:49" s="30" customFormat="1" ht="15" customHeight="1" x14ac:dyDescent="0.25">
      <c r="A64" s="1402"/>
      <c r="B64" s="191"/>
      <c r="C64" s="945"/>
      <c r="D64" s="116"/>
      <c r="E64" s="411"/>
      <c r="F64" s="559" t="str">
        <f>IF('C-Design&amp;Const'!$G64="","",'C-Design&amp;Const'!$G64)</f>
        <v>Y</v>
      </c>
      <c r="G64" s="457"/>
      <c r="H64" s="408" t="str">
        <f>CONCATENATE(IF(F64="N","PLACEHOLDER ROW - ",""),'C-Design&amp;Const'!Z64,IF(F64="N","",J64))</f>
        <v>Site / Civil / Landscape - Utility Abandonments</v>
      </c>
      <c r="I64" s="197"/>
      <c r="J64" s="578" t="str">
        <f>IF('C-Design&amp;Const'!AD64="","",'C-Design&amp;Const'!AD64)</f>
        <v/>
      </c>
      <c r="K64" s="228"/>
      <c r="L64" s="1410" t="str">
        <f t="shared" si="0"/>
        <v/>
      </c>
      <c r="M64" s="1382"/>
      <c r="N64" s="1382"/>
      <c r="O64" s="1382"/>
      <c r="P64" s="1382"/>
      <c r="Q64" s="1382"/>
      <c r="R64" s="1382"/>
      <c r="S64" s="1382"/>
      <c r="T64" s="1382"/>
      <c r="U64" s="1382"/>
      <c r="V64" s="1382"/>
      <c r="W64" s="1382"/>
      <c r="X64" s="1382"/>
      <c r="Y64" s="1382"/>
      <c r="Z64" s="1382"/>
      <c r="AA64" s="1382"/>
      <c r="AB64" s="1382"/>
      <c r="AC64" s="1382"/>
      <c r="AD64" s="1382"/>
      <c r="AE64" s="1382"/>
      <c r="AF64" s="1382"/>
      <c r="AG64" s="1382"/>
      <c r="AH64" s="1382"/>
      <c r="AI64" s="1382"/>
      <c r="AJ64" s="181"/>
      <c r="AK64" s="181"/>
      <c r="AL64" s="181"/>
      <c r="AM64" s="181"/>
      <c r="AN64" s="181"/>
      <c r="AO64" s="181"/>
      <c r="AP64" s="181"/>
      <c r="AQ64" s="181"/>
      <c r="AR64" s="181"/>
      <c r="AS64" s="181"/>
      <c r="AT64" s="181"/>
      <c r="AU64" s="181"/>
      <c r="AV64" s="181"/>
      <c r="AW64" s="181"/>
    </row>
    <row r="65" spans="1:49" s="30" customFormat="1" ht="15" customHeight="1" x14ac:dyDescent="0.25">
      <c r="A65" s="1402"/>
      <c r="B65" s="191"/>
      <c r="C65" s="945"/>
      <c r="D65" s="116"/>
      <c r="E65" s="411"/>
      <c r="F65" s="559" t="str">
        <f>IF('C-Design&amp;Const'!$G65="","",'C-Design&amp;Const'!$G65)</f>
        <v>N</v>
      </c>
      <c r="G65" s="457"/>
      <c r="H65" s="408" t="str">
        <f>CONCATENATE(IF(F65="N","PLACEHOLDER ROW - ",""),'C-Design&amp;Const'!Z65,IF(F65="N","",J65))</f>
        <v>PLACEHOLDER ROW - Site / Civil / Landscape - CUSTOM</v>
      </c>
      <c r="I65" s="197"/>
      <c r="J65" s="578" t="str">
        <f>IF('C-Design&amp;Const'!AD65="","",'C-Design&amp;Const'!AD65)</f>
        <v/>
      </c>
      <c r="K65" s="228"/>
      <c r="L65" s="1410" t="str">
        <f t="shared" si="0"/>
        <v>&lt;---PM/Planner may hide PLACEHOLDER ROW</v>
      </c>
      <c r="M65" s="1382"/>
      <c r="N65" s="1382"/>
      <c r="O65" s="1382"/>
      <c r="P65" s="1382"/>
      <c r="Q65" s="1382"/>
      <c r="R65" s="1382"/>
      <c r="S65" s="1382"/>
      <c r="T65" s="1382"/>
      <c r="U65" s="1382"/>
      <c r="V65" s="1382"/>
      <c r="W65" s="1382"/>
      <c r="X65" s="1382"/>
      <c r="Y65" s="1382"/>
      <c r="Z65" s="1382"/>
      <c r="AA65" s="1382"/>
      <c r="AB65" s="1382"/>
      <c r="AC65" s="1382"/>
      <c r="AD65" s="1382"/>
      <c r="AE65" s="1382"/>
      <c r="AF65" s="1382"/>
      <c r="AG65" s="1382"/>
      <c r="AH65" s="1382"/>
      <c r="AI65" s="1382"/>
      <c r="AJ65" s="181"/>
      <c r="AK65" s="181"/>
      <c r="AL65" s="181"/>
      <c r="AM65" s="181"/>
      <c r="AN65" s="181"/>
      <c r="AO65" s="181"/>
      <c r="AP65" s="181"/>
      <c r="AQ65" s="181"/>
      <c r="AR65" s="181"/>
      <c r="AS65" s="181"/>
      <c r="AT65" s="181"/>
      <c r="AU65" s="181"/>
      <c r="AV65" s="181"/>
      <c r="AW65" s="181"/>
    </row>
    <row r="66" spans="1:49" s="545" customFormat="1" ht="15" customHeight="1" x14ac:dyDescent="0.25">
      <c r="A66" s="1402"/>
      <c r="B66" s="554"/>
      <c r="C66" s="945"/>
      <c r="D66" s="116"/>
      <c r="E66" s="411"/>
      <c r="F66" s="559" t="str">
        <f>IF('C-Design&amp;Const'!$G66="","",'C-Design&amp;Const'!$G66)</f>
        <v>Y</v>
      </c>
      <c r="G66" s="457"/>
      <c r="H66" s="408" t="str">
        <f>CONCATENATE(IF(F66="N","PLACEHOLDER ROW - ",""),'C-Design&amp;Const'!Z66,IF(F66="N","",J66))</f>
        <v>Architectural - Demolition(s)</v>
      </c>
      <c r="I66" s="197"/>
      <c r="J66" s="578"/>
      <c r="K66" s="228"/>
      <c r="L66" s="1410"/>
      <c r="M66" s="1382"/>
      <c r="N66" s="1382"/>
      <c r="O66" s="1382"/>
      <c r="P66" s="1382"/>
      <c r="Q66" s="1382"/>
      <c r="R66" s="1382"/>
      <c r="S66" s="1382"/>
      <c r="T66" s="1382"/>
      <c r="U66" s="1382"/>
      <c r="V66" s="1382"/>
      <c r="W66" s="1382"/>
      <c r="X66" s="1382"/>
      <c r="Y66" s="1382"/>
      <c r="Z66" s="1382"/>
      <c r="AA66" s="1382"/>
      <c r="AB66" s="1382"/>
      <c r="AC66" s="1382"/>
      <c r="AD66" s="1382"/>
      <c r="AE66" s="1382"/>
      <c r="AF66" s="1382"/>
      <c r="AG66" s="1382"/>
      <c r="AH66" s="1382"/>
      <c r="AI66" s="1382"/>
      <c r="AJ66" s="551"/>
      <c r="AK66" s="551"/>
      <c r="AL66" s="551"/>
      <c r="AM66" s="551"/>
      <c r="AN66" s="551"/>
      <c r="AO66" s="551"/>
      <c r="AP66" s="551"/>
      <c r="AQ66" s="551"/>
      <c r="AR66" s="551"/>
      <c r="AS66" s="551"/>
      <c r="AT66" s="551"/>
      <c r="AU66" s="551"/>
      <c r="AV66" s="551"/>
      <c r="AW66" s="551"/>
    </row>
    <row r="67" spans="1:49" s="30" customFormat="1" ht="15" customHeight="1" x14ac:dyDescent="0.25">
      <c r="A67" s="1402"/>
      <c r="B67" s="191"/>
      <c r="C67" s="945"/>
      <c r="D67" s="116"/>
      <c r="E67" s="411"/>
      <c r="F67" s="559" t="str">
        <f>IF('C-Design&amp;Const'!$G67="","",'C-Design&amp;Const'!$G67)</f>
        <v>Y</v>
      </c>
      <c r="G67" s="457"/>
      <c r="H67" s="408" t="str">
        <f>CONCATENATE(IF(F67="N","PLACEHOLDER ROW - ",""),'C-Design&amp;Const'!Z67,IF(F67="N","",J67))</f>
        <v>Architectural - Space Use</v>
      </c>
      <c r="I67" s="197"/>
      <c r="J67" s="578" t="str">
        <f>IF('C-Design&amp;Const'!AD67="","",'C-Design&amp;Const'!AD67)</f>
        <v/>
      </c>
      <c r="K67" s="228"/>
      <c r="L67" s="1410" t="str">
        <f t="shared" si="0"/>
        <v/>
      </c>
      <c r="M67" s="1382"/>
      <c r="N67" s="1382"/>
      <c r="O67" s="1382"/>
      <c r="P67" s="1382"/>
      <c r="Q67" s="1382"/>
      <c r="R67" s="1382"/>
      <c r="S67" s="1382"/>
      <c r="T67" s="1382"/>
      <c r="U67" s="1382"/>
      <c r="V67" s="1382"/>
      <c r="W67" s="1382"/>
      <c r="X67" s="1382"/>
      <c r="Y67" s="1382"/>
      <c r="Z67" s="1382"/>
      <c r="AA67" s="1382"/>
      <c r="AB67" s="1382"/>
      <c r="AC67" s="1382"/>
      <c r="AD67" s="1382"/>
      <c r="AE67" s="1382"/>
      <c r="AF67" s="1382"/>
      <c r="AG67" s="1382"/>
      <c r="AH67" s="1382"/>
      <c r="AI67" s="1382"/>
      <c r="AJ67" s="181"/>
      <c r="AK67" s="181"/>
      <c r="AL67" s="181"/>
      <c r="AM67" s="181"/>
      <c r="AN67" s="181"/>
      <c r="AO67" s="181"/>
      <c r="AP67" s="181"/>
      <c r="AQ67" s="181"/>
      <c r="AR67" s="181"/>
      <c r="AS67" s="181"/>
      <c r="AT67" s="181"/>
      <c r="AU67" s="181"/>
      <c r="AV67" s="181"/>
      <c r="AW67" s="181"/>
    </row>
    <row r="68" spans="1:49" s="30" customFormat="1" ht="15" customHeight="1" x14ac:dyDescent="0.25">
      <c r="A68" s="1402"/>
      <c r="B68" s="191"/>
      <c r="C68" s="945"/>
      <c r="D68" s="116"/>
      <c r="E68" s="411"/>
      <c r="F68" s="559" t="str">
        <f>IF('C-Design&amp;Const'!$G68="","",'C-Design&amp;Const'!$G68)</f>
        <v>Y</v>
      </c>
      <c r="G68" s="457"/>
      <c r="H68" s="408" t="str">
        <f>CONCATENATE(IF(F68="N","PLACEHOLDER ROW - ",""),'C-Design&amp;Const'!Z68,IF(F68="N","",J68))</f>
        <v>Architectural - Historical Preservation</v>
      </c>
      <c r="I68" s="197"/>
      <c r="J68" s="578" t="str">
        <f>IF('C-Design&amp;Const'!AD68="","",'C-Design&amp;Const'!AD68)</f>
        <v/>
      </c>
      <c r="K68" s="228"/>
      <c r="L68" s="1410" t="str">
        <f t="shared" si="0"/>
        <v/>
      </c>
      <c r="M68" s="1382"/>
      <c r="N68" s="1382"/>
      <c r="O68" s="1382"/>
      <c r="P68" s="1382"/>
      <c r="Q68" s="1382"/>
      <c r="R68" s="1382"/>
      <c r="S68" s="1382"/>
      <c r="T68" s="1382"/>
      <c r="U68" s="1382"/>
      <c r="V68" s="1382"/>
      <c r="W68" s="1382"/>
      <c r="X68" s="1382"/>
      <c r="Y68" s="1382"/>
      <c r="Z68" s="1382"/>
      <c r="AA68" s="1382"/>
      <c r="AB68" s="1382"/>
      <c r="AC68" s="1382"/>
      <c r="AD68" s="1382"/>
      <c r="AE68" s="1382"/>
      <c r="AF68" s="1382"/>
      <c r="AG68" s="1382"/>
      <c r="AH68" s="1382"/>
      <c r="AI68" s="1382"/>
      <c r="AJ68" s="181"/>
      <c r="AK68" s="181"/>
      <c r="AL68" s="181"/>
      <c r="AM68" s="181"/>
      <c r="AN68" s="181"/>
      <c r="AO68" s="181"/>
      <c r="AP68" s="181"/>
      <c r="AQ68" s="181"/>
      <c r="AR68" s="181"/>
      <c r="AS68" s="181"/>
      <c r="AT68" s="181"/>
      <c r="AU68" s="181"/>
      <c r="AV68" s="181"/>
      <c r="AW68" s="181"/>
    </row>
    <row r="69" spans="1:49" s="30" customFormat="1" ht="15" customHeight="1" x14ac:dyDescent="0.25">
      <c r="A69" s="1407"/>
      <c r="B69" s="191"/>
      <c r="C69" s="945"/>
      <c r="D69" s="10"/>
      <c r="E69" s="463"/>
      <c r="F69" s="359" t="str">
        <f>IF('C-Design&amp;Const'!$G69="","",'C-Design&amp;Const'!$G69)</f>
        <v>Y</v>
      </c>
      <c r="G69" s="291"/>
      <c r="H69" s="408" t="str">
        <f>CONCATENATE(IF(F69="N","PLACEHOLDER ROW - ",""),'C-Design&amp;Const'!Z69,IF(F69="N","",J69))</f>
        <v>Architectural - Building Envelope **(existing systems verification recommended on renovations)</v>
      </c>
      <c r="I69" s="184"/>
      <c r="J69" s="578" t="str">
        <f>IF('C-Design&amp;Const'!AD69="","",'C-Design&amp;Const'!AD69)</f>
        <v/>
      </c>
      <c r="K69" s="228"/>
      <c r="L69" s="1410" t="str">
        <f>CONCATENATE(IF(ISNUMBER(SEARCH("Placeholder",H69))=TRUE,"&lt;---PM/Planner may hide PLACEHOLDER ROW",""))</f>
        <v/>
      </c>
      <c r="M69" s="1382"/>
      <c r="N69" s="1382"/>
      <c r="O69" s="1382"/>
      <c r="P69" s="1382"/>
      <c r="Q69" s="1382"/>
      <c r="R69" s="1382"/>
      <c r="S69" s="1382"/>
      <c r="T69" s="1382"/>
      <c r="U69" s="1382"/>
      <c r="V69" s="1382"/>
      <c r="W69" s="1382"/>
      <c r="X69" s="1382"/>
      <c r="Y69" s="1382"/>
      <c r="Z69" s="1382"/>
      <c r="AA69" s="1382"/>
      <c r="AB69" s="1382"/>
      <c r="AC69" s="1382"/>
      <c r="AD69" s="1382"/>
      <c r="AE69" s="1382"/>
      <c r="AF69" s="1382"/>
      <c r="AG69" s="1382"/>
      <c r="AH69" s="1382"/>
      <c r="AI69" s="1382"/>
      <c r="AJ69" s="181"/>
      <c r="AK69" s="181"/>
      <c r="AL69" s="181"/>
      <c r="AM69" s="181"/>
      <c r="AN69" s="181"/>
      <c r="AO69" s="181"/>
      <c r="AP69" s="181"/>
      <c r="AQ69" s="181"/>
      <c r="AR69" s="181"/>
      <c r="AS69" s="181"/>
      <c r="AT69" s="181"/>
      <c r="AU69" s="181"/>
      <c r="AV69" s="181"/>
      <c r="AW69" s="181"/>
    </row>
    <row r="70" spans="1:49" s="30" customFormat="1" ht="15" customHeight="1" x14ac:dyDescent="0.25">
      <c r="A70" s="1407"/>
      <c r="B70" s="191"/>
      <c r="C70" s="945"/>
      <c r="D70" s="10"/>
      <c r="E70" s="463"/>
      <c r="F70" s="359" t="str">
        <f>IF('C-Design&amp;Const'!$G70="","",'C-Design&amp;Const'!$G70)</f>
        <v>Y</v>
      </c>
      <c r="G70" s="291"/>
      <c r="H70" s="408" t="str">
        <f>CONCATENATE(IF(F70="N","PLACEHOLDER ROW - ",""),'C-Design&amp;Const'!Z70,IF(F70="N","",J70))</f>
        <v>Architectural - Interiors</v>
      </c>
      <c r="I70" s="184"/>
      <c r="J70" s="578" t="str">
        <f>IF('C-Design&amp;Const'!AD70="","",'C-Design&amp;Const'!AD70)</f>
        <v/>
      </c>
      <c r="K70" s="228"/>
      <c r="L70" s="1410" t="str">
        <f t="shared" si="0"/>
        <v/>
      </c>
      <c r="M70" s="1382"/>
      <c r="N70" s="1382"/>
      <c r="O70" s="1382"/>
      <c r="P70" s="1382"/>
      <c r="Q70" s="1382"/>
      <c r="R70" s="1382"/>
      <c r="S70" s="1382"/>
      <c r="T70" s="1382"/>
      <c r="U70" s="1382"/>
      <c r="V70" s="1382"/>
      <c r="W70" s="1382"/>
      <c r="X70" s="1382"/>
      <c r="Y70" s="1382"/>
      <c r="Z70" s="1382"/>
      <c r="AA70" s="1382"/>
      <c r="AB70" s="1382"/>
      <c r="AC70" s="1382"/>
      <c r="AD70" s="1382"/>
      <c r="AE70" s="1382"/>
      <c r="AF70" s="1382"/>
      <c r="AG70" s="1382"/>
      <c r="AH70" s="1382"/>
      <c r="AI70" s="1382"/>
      <c r="AJ70" s="181"/>
      <c r="AK70" s="181"/>
      <c r="AL70" s="181"/>
      <c r="AM70" s="181"/>
      <c r="AN70" s="181"/>
      <c r="AO70" s="181"/>
      <c r="AP70" s="181"/>
      <c r="AQ70" s="181"/>
      <c r="AR70" s="181"/>
      <c r="AS70" s="181"/>
      <c r="AT70" s="181"/>
      <c r="AU70" s="181"/>
      <c r="AV70" s="181"/>
      <c r="AW70" s="181"/>
    </row>
    <row r="71" spans="1:49" s="30" customFormat="1" ht="15" customHeight="1" x14ac:dyDescent="0.25">
      <c r="A71" s="1407"/>
      <c r="B71" s="191"/>
      <c r="C71" s="945"/>
      <c r="D71" s="10"/>
      <c r="E71" s="463"/>
      <c r="F71" s="359" t="str">
        <f>IF('C-Design&amp;Const'!$G71="","",'C-Design&amp;Const'!$G71)</f>
        <v>Y</v>
      </c>
      <c r="G71" s="291"/>
      <c r="H71" s="408" t="str">
        <f>CONCATENATE(IF(F71="N","PLACEHOLDER ROW - ",""),'C-Design&amp;Const'!Z71,IF(F71="N","",J71))</f>
        <v xml:space="preserve">Architectural - Interior and Exterior Signage </v>
      </c>
      <c r="I71" s="184"/>
      <c r="J71" s="578" t="str">
        <f>IF('C-Design&amp;Const'!AD71="","",'C-Design&amp;Const'!AD71)</f>
        <v/>
      </c>
      <c r="K71" s="228"/>
      <c r="L71" s="1410" t="str">
        <f t="shared" si="0"/>
        <v/>
      </c>
      <c r="M71" s="1382"/>
      <c r="N71" s="1382"/>
      <c r="O71" s="1382"/>
      <c r="P71" s="1382"/>
      <c r="Q71" s="1382"/>
      <c r="R71" s="1382"/>
      <c r="S71" s="1382"/>
      <c r="T71" s="1382"/>
      <c r="U71" s="1382"/>
      <c r="V71" s="1382"/>
      <c r="W71" s="1382"/>
      <c r="X71" s="1382"/>
      <c r="Y71" s="1382"/>
      <c r="Z71" s="1382"/>
      <c r="AA71" s="1382"/>
      <c r="AB71" s="1382"/>
      <c r="AC71" s="1382"/>
      <c r="AD71" s="1382"/>
      <c r="AE71" s="1382"/>
      <c r="AF71" s="1382"/>
      <c r="AG71" s="1382"/>
      <c r="AH71" s="1382"/>
      <c r="AI71" s="1382"/>
      <c r="AJ71" s="181"/>
      <c r="AK71" s="181"/>
      <c r="AL71" s="181"/>
      <c r="AM71" s="181"/>
      <c r="AN71" s="181"/>
      <c r="AO71" s="181"/>
      <c r="AP71" s="181"/>
      <c r="AQ71" s="181"/>
      <c r="AR71" s="181"/>
      <c r="AS71" s="181"/>
      <c r="AT71" s="181"/>
      <c r="AU71" s="181"/>
      <c r="AV71" s="181"/>
      <c r="AW71" s="181"/>
    </row>
    <row r="72" spans="1:49" s="30" customFormat="1" ht="15" customHeight="1" x14ac:dyDescent="0.25">
      <c r="A72" s="1402"/>
      <c r="B72" s="191"/>
      <c r="C72" s="945"/>
      <c r="D72" s="116"/>
      <c r="E72" s="411"/>
      <c r="F72" s="559" t="str">
        <f>IF('C-Design&amp;Const'!$G72="","",'C-Design&amp;Const'!$G72)</f>
        <v>Y</v>
      </c>
      <c r="G72" s="457"/>
      <c r="H72" s="408" t="str">
        <f>CONCATENATE(IF(F72="N","PLACEHOLDER ROW - ",""),'C-Design&amp;Const'!Z72,IF(F72="N","",J72))</f>
        <v>Architectural - Elevators  **(existing systems verification recommended on renovations)</v>
      </c>
      <c r="I72" s="197"/>
      <c r="J72" s="578" t="str">
        <f>IF('C-Design&amp;Const'!AD72="","",'C-Design&amp;Const'!AD72)</f>
        <v/>
      </c>
      <c r="K72" s="228"/>
      <c r="L72" s="1410" t="str">
        <f t="shared" si="0"/>
        <v/>
      </c>
      <c r="M72" s="1382"/>
      <c r="N72" s="1382"/>
      <c r="O72" s="1382"/>
      <c r="P72" s="1382"/>
      <c r="Q72" s="1382"/>
      <c r="R72" s="1382"/>
      <c r="S72" s="1382"/>
      <c r="T72" s="1382"/>
      <c r="U72" s="1382"/>
      <c r="V72" s="1382"/>
      <c r="W72" s="1382"/>
      <c r="X72" s="1382"/>
      <c r="Y72" s="1382"/>
      <c r="Z72" s="1382"/>
      <c r="AA72" s="1382"/>
      <c r="AB72" s="1382"/>
      <c r="AC72" s="1382"/>
      <c r="AD72" s="1382"/>
      <c r="AE72" s="1382"/>
      <c r="AF72" s="1382"/>
      <c r="AG72" s="1382"/>
      <c r="AH72" s="1382"/>
      <c r="AI72" s="1382"/>
      <c r="AJ72" s="181"/>
      <c r="AK72" s="181"/>
      <c r="AL72" s="181"/>
      <c r="AM72" s="181"/>
      <c r="AN72" s="181"/>
      <c r="AO72" s="181"/>
      <c r="AP72" s="181"/>
      <c r="AQ72" s="181"/>
      <c r="AR72" s="181"/>
      <c r="AS72" s="181"/>
      <c r="AT72" s="181"/>
      <c r="AU72" s="181"/>
      <c r="AV72" s="181"/>
      <c r="AW72" s="181"/>
    </row>
    <row r="73" spans="1:49" s="30" customFormat="1" ht="15" customHeight="1" x14ac:dyDescent="0.25">
      <c r="A73" s="1407"/>
      <c r="B73" s="191"/>
      <c r="C73" s="945"/>
      <c r="D73" s="10"/>
      <c r="E73" s="463"/>
      <c r="F73" s="359" t="str">
        <f>IF('C-Design&amp;Const'!$G73="","",'C-Design&amp;Const'!$G73)</f>
        <v>N</v>
      </c>
      <c r="G73" s="291"/>
      <c r="H73" s="408" t="str">
        <f>CONCATENATE(IF(F73="N","PLACEHOLDER ROW - ",""),'C-Design&amp;Const'!Z73,IF(F73="N","",J73))</f>
        <v>PLACEHOLDER ROW - Architectural - CUSTOM</v>
      </c>
      <c r="I73" s="184"/>
      <c r="J73" s="578" t="str">
        <f>IF('C-Design&amp;Const'!AD73="","",'C-Design&amp;Const'!AD73)</f>
        <v/>
      </c>
      <c r="K73" s="228"/>
      <c r="L73" s="1410" t="str">
        <f t="shared" si="0"/>
        <v>&lt;---PM/Planner may hide PLACEHOLDER ROW</v>
      </c>
      <c r="M73" s="1382"/>
      <c r="N73" s="1382"/>
      <c r="O73" s="1382"/>
      <c r="P73" s="1382"/>
      <c r="Q73" s="1382"/>
      <c r="R73" s="1382"/>
      <c r="S73" s="1382"/>
      <c r="T73" s="1382"/>
      <c r="U73" s="1382"/>
      <c r="V73" s="1382"/>
      <c r="W73" s="1382"/>
      <c r="X73" s="1382"/>
      <c r="Y73" s="1382"/>
      <c r="Z73" s="1382"/>
      <c r="AA73" s="1382"/>
      <c r="AB73" s="1382"/>
      <c r="AC73" s="1382"/>
      <c r="AD73" s="1382"/>
      <c r="AE73" s="1382"/>
      <c r="AF73" s="1382"/>
      <c r="AG73" s="1382"/>
      <c r="AH73" s="1382"/>
      <c r="AI73" s="1382"/>
      <c r="AJ73" s="181"/>
      <c r="AK73" s="181"/>
      <c r="AL73" s="181"/>
      <c r="AM73" s="181"/>
      <c r="AN73" s="181"/>
      <c r="AO73" s="181"/>
      <c r="AP73" s="181"/>
      <c r="AQ73" s="181"/>
      <c r="AR73" s="181"/>
      <c r="AS73" s="181"/>
      <c r="AT73" s="181"/>
      <c r="AU73" s="181"/>
      <c r="AV73" s="181"/>
      <c r="AW73" s="181"/>
    </row>
    <row r="74" spans="1:49" s="30" customFormat="1" ht="15" customHeight="1" x14ac:dyDescent="0.25">
      <c r="A74" s="1402"/>
      <c r="B74" s="191"/>
      <c r="C74" s="945"/>
      <c r="D74" s="116"/>
      <c r="E74" s="411"/>
      <c r="F74" s="559" t="str">
        <f>IF('C-Design&amp;Const'!$G74="","",'C-Design&amp;Const'!$G74)</f>
        <v>N</v>
      </c>
      <c r="G74" s="457"/>
      <c r="H74" s="408" t="str">
        <f>CONCATENATE(IF(F74="N","PLACEHOLDER ROW - ",""),'C-Design&amp;Const'!Z74,IF(F74="N","",J74))</f>
        <v>PLACEHOLDER ROW - Architectural - CUSTOM</v>
      </c>
      <c r="I74" s="197"/>
      <c r="J74" s="578" t="str">
        <f>IF('C-Design&amp;Const'!AD74="","",'C-Design&amp;Const'!AD74)</f>
        <v/>
      </c>
      <c r="K74" s="228"/>
      <c r="L74" s="1410" t="str">
        <f t="shared" si="0"/>
        <v>&lt;---PM/Planner may hide PLACEHOLDER ROW</v>
      </c>
      <c r="M74" s="1382"/>
      <c r="N74" s="1382"/>
      <c r="O74" s="1382"/>
      <c r="P74" s="1382"/>
      <c r="Q74" s="1382"/>
      <c r="R74" s="1382"/>
      <c r="S74" s="1382"/>
      <c r="T74" s="1382"/>
      <c r="U74" s="1382"/>
      <c r="V74" s="1382"/>
      <c r="W74" s="1382"/>
      <c r="X74" s="1382"/>
      <c r="Y74" s="1382"/>
      <c r="Z74" s="1382"/>
      <c r="AA74" s="1382"/>
      <c r="AB74" s="1382"/>
      <c r="AC74" s="1382"/>
      <c r="AD74" s="1382"/>
      <c r="AE74" s="1382"/>
      <c r="AF74" s="1382"/>
      <c r="AG74" s="1382"/>
      <c r="AH74" s="1382"/>
      <c r="AI74" s="1382"/>
      <c r="AJ74" s="181"/>
      <c r="AK74" s="181"/>
      <c r="AL74" s="181"/>
      <c r="AM74" s="181"/>
      <c r="AN74" s="181"/>
      <c r="AO74" s="181"/>
      <c r="AP74" s="181"/>
      <c r="AQ74" s="181"/>
      <c r="AR74" s="181"/>
      <c r="AS74" s="181"/>
      <c r="AT74" s="181"/>
      <c r="AU74" s="181"/>
      <c r="AV74" s="181"/>
      <c r="AW74" s="181"/>
    </row>
    <row r="75" spans="1:49" s="30" customFormat="1" ht="15" customHeight="1" x14ac:dyDescent="0.25">
      <c r="A75" s="1402"/>
      <c r="B75" s="191"/>
      <c r="C75" s="945"/>
      <c r="D75" s="116"/>
      <c r="E75" s="411"/>
      <c r="F75" s="559" t="str">
        <f>IF('C-Design&amp;Const'!$G75="","",'C-Design&amp;Const'!$G75)</f>
        <v>Y</v>
      </c>
      <c r="G75" s="457"/>
      <c r="H75" s="408" t="str">
        <f>CONCATENATE(IF(F75="N","PLACEHOLDER ROW - ",""),'C-Design&amp;Const'!Z75,IF(F75="N","",J75))</f>
        <v>Structural - Demolition(s)</v>
      </c>
      <c r="I75" s="197"/>
      <c r="J75" s="578" t="str">
        <f>IF('C-Design&amp;Const'!AD75="","",'C-Design&amp;Const'!AD75)</f>
        <v/>
      </c>
      <c r="K75" s="228"/>
      <c r="L75" s="1410" t="str">
        <f t="shared" si="0"/>
        <v/>
      </c>
      <c r="M75" s="1382"/>
      <c r="N75" s="1382"/>
      <c r="O75" s="1382"/>
      <c r="P75" s="1382"/>
      <c r="Q75" s="1382"/>
      <c r="R75" s="1382"/>
      <c r="S75" s="1382"/>
      <c r="T75" s="1382"/>
      <c r="U75" s="1382"/>
      <c r="V75" s="1382"/>
      <c r="W75" s="1382"/>
      <c r="X75" s="1382"/>
      <c r="Y75" s="1382"/>
      <c r="Z75" s="1382"/>
      <c r="AA75" s="1382"/>
      <c r="AB75" s="1382"/>
      <c r="AC75" s="1382"/>
      <c r="AD75" s="1382"/>
      <c r="AE75" s="1382"/>
      <c r="AF75" s="1382"/>
      <c r="AG75" s="1382"/>
      <c r="AH75" s="1382"/>
      <c r="AI75" s="1382"/>
      <c r="AJ75" s="181"/>
      <c r="AK75" s="181"/>
      <c r="AL75" s="181"/>
      <c r="AM75" s="181"/>
      <c r="AN75" s="181"/>
      <c r="AO75" s="181"/>
      <c r="AP75" s="181"/>
      <c r="AQ75" s="181"/>
      <c r="AR75" s="181"/>
      <c r="AS75" s="181"/>
      <c r="AT75" s="181"/>
      <c r="AU75" s="181"/>
      <c r="AV75" s="181"/>
      <c r="AW75" s="181"/>
    </row>
    <row r="76" spans="1:49" s="30" customFormat="1" ht="15" customHeight="1" x14ac:dyDescent="0.25">
      <c r="A76" s="1407"/>
      <c r="B76" s="191"/>
      <c r="C76" s="945"/>
      <c r="D76" s="10"/>
      <c r="E76" s="463"/>
      <c r="F76" s="359" t="str">
        <f>IF('C-Design&amp;Const'!$G76="","",'C-Design&amp;Const'!$G76)</f>
        <v>Y</v>
      </c>
      <c r="G76" s="291"/>
      <c r="H76" s="408" t="str">
        <f>CONCATENATE(IF(F76="N","PLACEHOLDER ROW - ",""),'C-Design&amp;Const'!Z76,IF(F76="N","",J76))</f>
        <v>Structural - Gravity Loads</v>
      </c>
      <c r="I76" s="184"/>
      <c r="J76" s="578" t="str">
        <f>IF('C-Design&amp;Const'!AD76="","",'C-Design&amp;Const'!AD76)</f>
        <v/>
      </c>
      <c r="K76" s="228"/>
      <c r="L76" s="1410" t="str">
        <f t="shared" si="0"/>
        <v/>
      </c>
      <c r="M76" s="1382"/>
      <c r="N76" s="1382"/>
      <c r="O76" s="1382"/>
      <c r="P76" s="1382"/>
      <c r="Q76" s="1382"/>
      <c r="R76" s="1382"/>
      <c r="S76" s="1382"/>
      <c r="T76" s="1382"/>
      <c r="U76" s="1382"/>
      <c r="V76" s="1382"/>
      <c r="W76" s="1382"/>
      <c r="X76" s="1382"/>
      <c r="Y76" s="1382"/>
      <c r="Z76" s="1382"/>
      <c r="AA76" s="1382"/>
      <c r="AB76" s="1382"/>
      <c r="AC76" s="1382"/>
      <c r="AD76" s="1382"/>
      <c r="AE76" s="1382"/>
      <c r="AF76" s="1382"/>
      <c r="AG76" s="1382"/>
      <c r="AH76" s="1382"/>
      <c r="AI76" s="1382"/>
      <c r="AJ76" s="181"/>
      <c r="AK76" s="181"/>
      <c r="AL76" s="181"/>
      <c r="AM76" s="181"/>
      <c r="AN76" s="181"/>
      <c r="AO76" s="181"/>
      <c r="AP76" s="181"/>
      <c r="AQ76" s="181"/>
      <c r="AR76" s="181"/>
      <c r="AS76" s="181"/>
      <c r="AT76" s="181"/>
      <c r="AU76" s="181"/>
      <c r="AV76" s="181"/>
      <c r="AW76" s="181"/>
    </row>
    <row r="77" spans="1:49" s="30" customFormat="1" ht="15" customHeight="1" x14ac:dyDescent="0.25">
      <c r="A77" s="1407"/>
      <c r="B77" s="191"/>
      <c r="C77" s="945"/>
      <c r="D77" s="10"/>
      <c r="E77" s="463"/>
      <c r="F77" s="359" t="str">
        <f>IF('C-Design&amp;Const'!$G77="","",'C-Design&amp;Const'!$G77)</f>
        <v>Y</v>
      </c>
      <c r="G77" s="291"/>
      <c r="H77" s="408" t="str">
        <f>CONCATENATE(IF(F77="N","PLACEHOLDER ROW - ",""),'C-Design&amp;Const'!Z77,IF(F77="N","",J77))</f>
        <v>Structural - Lateral loads and force resisting systems</v>
      </c>
      <c r="I77" s="184"/>
      <c r="J77" s="578" t="str">
        <f>IF('C-Design&amp;Const'!AD77="","",'C-Design&amp;Const'!AD77)</f>
        <v/>
      </c>
      <c r="K77" s="228"/>
      <c r="L77" s="1410" t="str">
        <f t="shared" si="0"/>
        <v/>
      </c>
      <c r="M77" s="1382"/>
      <c r="N77" s="1382"/>
      <c r="O77" s="1382"/>
      <c r="P77" s="1382"/>
      <c r="Q77" s="1382"/>
      <c r="R77" s="1382"/>
      <c r="S77" s="1382"/>
      <c r="T77" s="1382"/>
      <c r="U77" s="1382"/>
      <c r="V77" s="1382"/>
      <c r="W77" s="1382"/>
      <c r="X77" s="1382"/>
      <c r="Y77" s="1382"/>
      <c r="Z77" s="1382"/>
      <c r="AA77" s="1382"/>
      <c r="AB77" s="1382"/>
      <c r="AC77" s="1382"/>
      <c r="AD77" s="1382"/>
      <c r="AE77" s="1382"/>
      <c r="AF77" s="1382"/>
      <c r="AG77" s="1382"/>
      <c r="AH77" s="1382"/>
      <c r="AI77" s="1382"/>
      <c r="AJ77" s="181"/>
      <c r="AK77" s="181"/>
      <c r="AL77" s="181"/>
      <c r="AM77" s="181"/>
      <c r="AN77" s="181"/>
      <c r="AO77" s="181"/>
      <c r="AP77" s="181"/>
      <c r="AQ77" s="181"/>
      <c r="AR77" s="181"/>
      <c r="AS77" s="181"/>
      <c r="AT77" s="181"/>
      <c r="AU77" s="181"/>
      <c r="AV77" s="181"/>
      <c r="AW77" s="181"/>
    </row>
    <row r="78" spans="1:49" s="30" customFormat="1" ht="15" customHeight="1" x14ac:dyDescent="0.25">
      <c r="A78" s="1409"/>
      <c r="B78" s="191"/>
      <c r="C78" s="945"/>
      <c r="D78" s="116"/>
      <c r="E78" s="466"/>
      <c r="F78" s="559" t="str">
        <f>IF('C-Design&amp;Const'!$G78="","",'C-Design&amp;Const'!$G78)</f>
        <v>Y</v>
      </c>
      <c r="G78" s="457"/>
      <c r="H78" s="408" t="str">
        <f>CONCATENATE(IF(F78="N","PLACEHOLDER ROW - ",""),'C-Design&amp;Const'!Z78,IF(F78="N","",J78))</f>
        <v>Structural - Foundation Systems</v>
      </c>
      <c r="I78" s="193"/>
      <c r="J78" s="578" t="str">
        <f>IF('C-Design&amp;Const'!AD78="","",'C-Design&amp;Const'!AD78)</f>
        <v/>
      </c>
      <c r="K78" s="228"/>
      <c r="L78" s="1410" t="str">
        <f t="shared" si="0"/>
        <v/>
      </c>
      <c r="M78" s="1382"/>
      <c r="N78" s="1382"/>
      <c r="O78" s="1382"/>
      <c r="P78" s="1382"/>
      <c r="Q78" s="1382"/>
      <c r="R78" s="1382"/>
      <c r="S78" s="1382"/>
      <c r="T78" s="1382"/>
      <c r="U78" s="1382"/>
      <c r="V78" s="1382"/>
      <c r="W78" s="1382"/>
      <c r="X78" s="1382"/>
      <c r="Y78" s="1382"/>
      <c r="Z78" s="1382"/>
      <c r="AA78" s="1382"/>
      <c r="AB78" s="1382"/>
      <c r="AC78" s="1382"/>
      <c r="AD78" s="1382"/>
      <c r="AE78" s="1382"/>
      <c r="AF78" s="1382"/>
      <c r="AG78" s="1382"/>
      <c r="AH78" s="1382"/>
      <c r="AI78" s="1382"/>
      <c r="AJ78" s="181"/>
      <c r="AK78" s="181"/>
      <c r="AL78" s="181"/>
      <c r="AM78" s="181"/>
      <c r="AN78" s="181"/>
      <c r="AO78" s="181"/>
      <c r="AP78" s="181"/>
      <c r="AQ78" s="181"/>
      <c r="AR78" s="181"/>
      <c r="AS78" s="181"/>
      <c r="AT78" s="181"/>
      <c r="AU78" s="181"/>
      <c r="AV78" s="181"/>
      <c r="AW78" s="181"/>
    </row>
    <row r="79" spans="1:49" s="30" customFormat="1" ht="15" customHeight="1" x14ac:dyDescent="0.25">
      <c r="A79" s="1408"/>
      <c r="B79" s="191"/>
      <c r="C79" s="945"/>
      <c r="D79" s="116"/>
      <c r="E79" s="466"/>
      <c r="F79" s="559" t="str">
        <f>IF('C-Design&amp;Const'!$G79="","",'C-Design&amp;Const'!$G79)</f>
        <v>Y</v>
      </c>
      <c r="G79" s="457"/>
      <c r="H79" s="408" t="str">
        <f>CONCATENATE(IF(F79="N","PLACEHOLDER ROW - ",""),'C-Design&amp;Const'!Z79,IF(F79="N","",J79))</f>
        <v>Structural - Block, concrete, &amp; steel  **(existing systems verification recommended on renovations)</v>
      </c>
      <c r="I79" s="193"/>
      <c r="J79" s="578" t="str">
        <f>IF('C-Design&amp;Const'!AD79="","",'C-Design&amp;Const'!AD79)</f>
        <v/>
      </c>
      <c r="K79" s="228"/>
      <c r="L79" s="1410" t="str">
        <f t="shared" si="0"/>
        <v/>
      </c>
      <c r="M79" s="1382"/>
      <c r="N79" s="1382"/>
      <c r="O79" s="1382"/>
      <c r="P79" s="1382"/>
      <c r="Q79" s="1382"/>
      <c r="R79" s="1382"/>
      <c r="S79" s="1382"/>
      <c r="T79" s="1382"/>
      <c r="U79" s="1382"/>
      <c r="V79" s="1382"/>
      <c r="W79" s="1382"/>
      <c r="X79" s="1382"/>
      <c r="Y79" s="1382"/>
      <c r="Z79" s="1382"/>
      <c r="AA79" s="1382"/>
      <c r="AB79" s="1382"/>
      <c r="AC79" s="1382"/>
      <c r="AD79" s="1382"/>
      <c r="AE79" s="1382"/>
      <c r="AF79" s="1382"/>
      <c r="AG79" s="1382"/>
      <c r="AH79" s="1382"/>
      <c r="AI79" s="1382"/>
      <c r="AJ79" s="181"/>
      <c r="AK79" s="181"/>
      <c r="AL79" s="181"/>
      <c r="AM79" s="181"/>
      <c r="AN79" s="181"/>
      <c r="AO79" s="181"/>
      <c r="AP79" s="181"/>
      <c r="AQ79" s="181"/>
      <c r="AR79" s="181"/>
      <c r="AS79" s="181"/>
      <c r="AT79" s="181"/>
      <c r="AU79" s="181"/>
      <c r="AV79" s="181"/>
      <c r="AW79" s="181"/>
    </row>
    <row r="80" spans="1:49" s="30" customFormat="1" ht="15" customHeight="1" x14ac:dyDescent="0.25">
      <c r="A80" s="1408"/>
      <c r="B80" s="191"/>
      <c r="C80" s="945"/>
      <c r="D80" s="116"/>
      <c r="E80" s="466"/>
      <c r="F80" s="559" t="str">
        <f>IF('C-Design&amp;Const'!$G80="","",'C-Design&amp;Const'!$G80)</f>
        <v>N</v>
      </c>
      <c r="G80" s="459"/>
      <c r="H80" s="408" t="str">
        <f>CONCATENATE(IF(F80="N","PLACEHOLDER ROW - ",""),'C-Design&amp;Const'!Z80,IF(F80="N","",J80))</f>
        <v>PLACEHOLDER ROW - Structural - CUSTOM</v>
      </c>
      <c r="I80" s="193"/>
      <c r="J80" s="578" t="str">
        <f>IF('C-Design&amp;Const'!AD80="","",'C-Design&amp;Const'!AD80)</f>
        <v/>
      </c>
      <c r="K80" s="228"/>
      <c r="L80" s="1410" t="str">
        <f t="shared" si="0"/>
        <v>&lt;---PM/Planner may hide PLACEHOLDER ROW</v>
      </c>
      <c r="M80" s="1382"/>
      <c r="N80" s="1382"/>
      <c r="O80" s="1382"/>
      <c r="P80" s="1382"/>
      <c r="Q80" s="1382"/>
      <c r="R80" s="1382"/>
      <c r="S80" s="1382"/>
      <c r="T80" s="1382"/>
      <c r="U80" s="1382"/>
      <c r="V80" s="1382"/>
      <c r="W80" s="1382"/>
      <c r="X80" s="1382"/>
      <c r="Y80" s="1382"/>
      <c r="Z80" s="1382"/>
      <c r="AA80" s="1382"/>
      <c r="AB80" s="1382"/>
      <c r="AC80" s="1382"/>
      <c r="AD80" s="1382"/>
      <c r="AE80" s="1382"/>
      <c r="AF80" s="1382"/>
      <c r="AG80" s="1382"/>
      <c r="AH80" s="1382"/>
      <c r="AI80" s="1382"/>
      <c r="AJ80" s="181"/>
      <c r="AK80" s="181"/>
      <c r="AL80" s="181"/>
      <c r="AM80" s="181"/>
      <c r="AN80" s="181"/>
      <c r="AO80" s="181"/>
      <c r="AP80" s="181"/>
      <c r="AQ80" s="181"/>
      <c r="AR80" s="181"/>
      <c r="AS80" s="181"/>
      <c r="AT80" s="181"/>
      <c r="AU80" s="181"/>
      <c r="AV80" s="181"/>
      <c r="AW80" s="181"/>
    </row>
    <row r="81" spans="1:49" s="30" customFormat="1" ht="15" customHeight="1" x14ac:dyDescent="0.25">
      <c r="A81" s="1408"/>
      <c r="B81" s="191"/>
      <c r="C81" s="945"/>
      <c r="D81" s="116"/>
      <c r="E81" s="466"/>
      <c r="F81" s="559" t="str">
        <f>IF('C-Design&amp;Const'!$G81="","",'C-Design&amp;Const'!$G81)</f>
        <v>N</v>
      </c>
      <c r="G81" s="457"/>
      <c r="H81" s="408" t="str">
        <f>CONCATENATE(IF(F81="N","PLACEHOLDER ROW - ",""),'C-Design&amp;Const'!Z81,IF(F81="N","",J81))</f>
        <v>PLACEHOLDER ROW - Structural - CUSTOM</v>
      </c>
      <c r="I81" s="193"/>
      <c r="J81" s="578" t="str">
        <f>IF('C-Design&amp;Const'!AD81="","",'C-Design&amp;Const'!AD81)</f>
        <v/>
      </c>
      <c r="K81" s="228"/>
      <c r="L81" s="1410" t="str">
        <f t="shared" si="0"/>
        <v>&lt;---PM/Planner may hide PLACEHOLDER ROW</v>
      </c>
      <c r="M81" s="1382"/>
      <c r="N81" s="1382"/>
      <c r="O81" s="1382"/>
      <c r="P81" s="1382"/>
      <c r="Q81" s="1382"/>
      <c r="R81" s="1382"/>
      <c r="S81" s="1382"/>
      <c r="T81" s="1382"/>
      <c r="U81" s="1382"/>
      <c r="V81" s="1382"/>
      <c r="W81" s="1382"/>
      <c r="X81" s="1382"/>
      <c r="Y81" s="1382"/>
      <c r="Z81" s="1382"/>
      <c r="AA81" s="1382"/>
      <c r="AB81" s="1382"/>
      <c r="AC81" s="1382"/>
      <c r="AD81" s="1382"/>
      <c r="AE81" s="1382"/>
      <c r="AF81" s="1382"/>
      <c r="AG81" s="1382"/>
      <c r="AH81" s="1382"/>
      <c r="AI81" s="1382"/>
      <c r="AJ81" s="181"/>
      <c r="AK81" s="181"/>
      <c r="AL81" s="181"/>
      <c r="AM81" s="181"/>
      <c r="AN81" s="181"/>
      <c r="AO81" s="181"/>
      <c r="AP81" s="181"/>
      <c r="AQ81" s="181"/>
      <c r="AR81" s="181"/>
      <c r="AS81" s="181"/>
      <c r="AT81" s="181"/>
      <c r="AU81" s="181"/>
      <c r="AV81" s="181"/>
      <c r="AW81" s="181"/>
    </row>
    <row r="82" spans="1:49" s="30" customFormat="1" ht="15" customHeight="1" x14ac:dyDescent="0.25">
      <c r="A82" s="1408"/>
      <c r="B82" s="191"/>
      <c r="C82" s="945"/>
      <c r="D82" s="116"/>
      <c r="E82" s="466"/>
      <c r="F82" s="559" t="str">
        <f>IF('C-Design&amp;Const'!$G82="","",'C-Design&amp;Const'!$G82)</f>
        <v>Y</v>
      </c>
      <c r="G82" s="457"/>
      <c r="H82" s="408" t="str">
        <f>CONCATENATE(IF(F82="N","PLACEHOLDER ROW - ",""),'C-Design&amp;Const'!Z82,IF(F82="N","",J82))</f>
        <v>Plumbing  - General System(s) - **(verify existing system for renovations)</v>
      </c>
      <c r="I82" s="193"/>
      <c r="J82" s="578" t="str">
        <f>IF('C-Design&amp;Const'!AD82="","",'C-Design&amp;Const'!AD82)</f>
        <v/>
      </c>
      <c r="K82" s="228"/>
      <c r="L82" s="1410" t="str">
        <f t="shared" si="0"/>
        <v/>
      </c>
      <c r="M82" s="1382"/>
      <c r="N82" s="1382"/>
      <c r="O82" s="1382"/>
      <c r="P82" s="1382"/>
      <c r="Q82" s="1382"/>
      <c r="R82" s="1382"/>
      <c r="S82" s="1382"/>
      <c r="T82" s="1382"/>
      <c r="U82" s="1382"/>
      <c r="V82" s="1382"/>
      <c r="W82" s="1382"/>
      <c r="X82" s="1382"/>
      <c r="Y82" s="1382"/>
      <c r="Z82" s="1382"/>
      <c r="AA82" s="1382"/>
      <c r="AB82" s="1382"/>
      <c r="AC82" s="1382"/>
      <c r="AD82" s="1382"/>
      <c r="AE82" s="1382"/>
      <c r="AF82" s="1382"/>
      <c r="AG82" s="1382"/>
      <c r="AH82" s="1382"/>
      <c r="AI82" s="1382"/>
      <c r="AJ82" s="181"/>
      <c r="AK82" s="181"/>
      <c r="AL82" s="181"/>
      <c r="AM82" s="181"/>
      <c r="AN82" s="181"/>
      <c r="AO82" s="181"/>
      <c r="AP82" s="181"/>
      <c r="AQ82" s="181"/>
      <c r="AR82" s="181"/>
      <c r="AS82" s="181"/>
      <c r="AT82" s="181"/>
      <c r="AU82" s="181"/>
      <c r="AV82" s="181"/>
      <c r="AW82" s="181"/>
    </row>
    <row r="83" spans="1:49" s="545" customFormat="1" ht="15" customHeight="1" x14ac:dyDescent="0.25">
      <c r="A83" s="1402"/>
      <c r="B83" s="554"/>
      <c r="C83" s="945"/>
      <c r="D83" s="116"/>
      <c r="E83" s="411"/>
      <c r="F83" s="559" t="str">
        <f>IF('C-Design&amp;Const'!$G83="","",'C-Design&amp;Const'!$G83)</f>
        <v>Y</v>
      </c>
      <c r="G83" s="457"/>
      <c r="H83" s="408" t="str">
        <f>CONCATENATE(IF(F83="N","PLACEHOLDER ROW - ",""),'C-Design&amp;Const'!Z83,IF(F83="N","",J83))</f>
        <v>Plumbing - Demolition(s)</v>
      </c>
      <c r="I83" s="197"/>
      <c r="J83" s="578"/>
      <c r="K83" s="228"/>
      <c r="L83" s="1410"/>
      <c r="M83" s="1382"/>
      <c r="N83" s="1382"/>
      <c r="O83" s="1382"/>
      <c r="P83" s="1382"/>
      <c r="Q83" s="1382"/>
      <c r="R83" s="1382"/>
      <c r="S83" s="1382"/>
      <c r="T83" s="1382"/>
      <c r="U83" s="1382"/>
      <c r="V83" s="1382"/>
      <c r="W83" s="1382"/>
      <c r="X83" s="1382"/>
      <c r="Y83" s="1382"/>
      <c r="Z83" s="1382"/>
      <c r="AA83" s="1382"/>
      <c r="AB83" s="1382"/>
      <c r="AC83" s="1382"/>
      <c r="AD83" s="1382"/>
      <c r="AE83" s="1382"/>
      <c r="AF83" s="1382"/>
      <c r="AG83" s="1382"/>
      <c r="AH83" s="1382"/>
      <c r="AI83" s="1382"/>
      <c r="AJ83" s="551"/>
      <c r="AK83" s="551"/>
      <c r="AL83" s="551"/>
      <c r="AM83" s="551"/>
      <c r="AN83" s="551"/>
      <c r="AO83" s="551"/>
      <c r="AP83" s="551"/>
      <c r="AQ83" s="551"/>
      <c r="AR83" s="551"/>
      <c r="AS83" s="551"/>
      <c r="AT83" s="551"/>
      <c r="AU83" s="551"/>
      <c r="AV83" s="551"/>
      <c r="AW83" s="551"/>
    </row>
    <row r="84" spans="1:49" s="30" customFormat="1" ht="15" customHeight="1" x14ac:dyDescent="0.25">
      <c r="A84" s="1408"/>
      <c r="B84" s="191"/>
      <c r="C84" s="945"/>
      <c r="D84" s="116"/>
      <c r="E84" s="466"/>
      <c r="F84" s="559" t="str">
        <f>IF('C-Design&amp;Const'!$G84="","",'C-Design&amp;Const'!$G84)</f>
        <v>Y</v>
      </c>
      <c r="G84" s="457"/>
      <c r="H84" s="408" t="str">
        <f>CONCATENATE(IF(F84="N","PLACEHOLDER ROW - ",""),'C-Design&amp;Const'!Z84,IF(F84="N","",J84))</f>
        <v>Plumbing - Fixtures  **(Fixture Unit Analysis as verification of existing systems on renovations)</v>
      </c>
      <c r="I84" s="193"/>
      <c r="J84" s="578" t="str">
        <f>IF('C-Design&amp;Const'!AD84="","",'C-Design&amp;Const'!AD84)</f>
        <v/>
      </c>
      <c r="K84" s="228"/>
      <c r="L84" s="1410" t="str">
        <f t="shared" si="0"/>
        <v/>
      </c>
      <c r="M84" s="1382"/>
      <c r="N84" s="1382"/>
      <c r="O84" s="1382"/>
      <c r="P84" s="1382"/>
      <c r="Q84" s="1382"/>
      <c r="R84" s="1382"/>
      <c r="S84" s="1382"/>
      <c r="T84" s="1382"/>
      <c r="U84" s="1382"/>
      <c r="V84" s="1382"/>
      <c r="W84" s="1382"/>
      <c r="X84" s="1382"/>
      <c r="Y84" s="1382"/>
      <c r="Z84" s="1382"/>
      <c r="AA84" s="1382"/>
      <c r="AB84" s="1382"/>
      <c r="AC84" s="1382"/>
      <c r="AD84" s="1382"/>
      <c r="AE84" s="1382"/>
      <c r="AF84" s="1382"/>
      <c r="AG84" s="1382"/>
      <c r="AH84" s="1382"/>
      <c r="AI84" s="1382"/>
      <c r="AJ84" s="181"/>
      <c r="AK84" s="181"/>
      <c r="AL84" s="181"/>
      <c r="AM84" s="181"/>
      <c r="AN84" s="181"/>
      <c r="AO84" s="181"/>
      <c r="AP84" s="181"/>
      <c r="AQ84" s="181"/>
      <c r="AR84" s="181"/>
      <c r="AS84" s="181"/>
      <c r="AT84" s="181"/>
      <c r="AU84" s="181"/>
      <c r="AV84" s="181"/>
      <c r="AW84" s="181"/>
    </row>
    <row r="85" spans="1:49" s="30" customFormat="1" ht="15" customHeight="1" x14ac:dyDescent="0.25">
      <c r="A85" s="1408"/>
      <c r="B85" s="191"/>
      <c r="C85" s="945"/>
      <c r="D85" s="116"/>
      <c r="E85" s="466"/>
      <c r="F85" s="559" t="str">
        <f>IF('C-Design&amp;Const'!$G85="","",'C-Design&amp;Const'!$G85)</f>
        <v>Y</v>
      </c>
      <c r="G85" s="457"/>
      <c r="H85" s="408" t="str">
        <f>CONCATENATE(IF(F85="N","PLACEHOLDER ROW - ",""),'C-Design&amp;Const'!Z85,IF(F85="N","",J85))</f>
        <v>Plumbing - Air/Gas  **(verify existing system for renovations)</v>
      </c>
      <c r="I85" s="193"/>
      <c r="J85" s="578" t="str">
        <f>IF('C-Design&amp;Const'!AD85="","",'C-Design&amp;Const'!AD85)</f>
        <v/>
      </c>
      <c r="K85" s="228"/>
      <c r="L85" s="1410" t="str">
        <f t="shared" si="0"/>
        <v/>
      </c>
      <c r="M85" s="1382"/>
      <c r="N85" s="1382"/>
      <c r="O85" s="1382"/>
      <c r="P85" s="1382"/>
      <c r="Q85" s="1382"/>
      <c r="R85" s="1382"/>
      <c r="S85" s="1382"/>
      <c r="T85" s="1382"/>
      <c r="U85" s="1382"/>
      <c r="V85" s="1382"/>
      <c r="W85" s="1382"/>
      <c r="X85" s="1382"/>
      <c r="Y85" s="1382"/>
      <c r="Z85" s="1382"/>
      <c r="AA85" s="1382"/>
      <c r="AB85" s="1382"/>
      <c r="AC85" s="1382"/>
      <c r="AD85" s="1382"/>
      <c r="AE85" s="1382"/>
      <c r="AF85" s="1382"/>
      <c r="AG85" s="1382"/>
      <c r="AH85" s="1382"/>
      <c r="AI85" s="1382"/>
      <c r="AJ85" s="181"/>
      <c r="AK85" s="181"/>
      <c r="AL85" s="181"/>
      <c r="AM85" s="181"/>
      <c r="AN85" s="181"/>
      <c r="AO85" s="181"/>
      <c r="AP85" s="181"/>
      <c r="AQ85" s="181"/>
      <c r="AR85" s="181"/>
      <c r="AS85" s="181"/>
      <c r="AT85" s="181"/>
      <c r="AU85" s="181"/>
      <c r="AV85" s="181"/>
      <c r="AW85" s="181"/>
    </row>
    <row r="86" spans="1:49" s="30" customFormat="1" ht="15" customHeight="1" x14ac:dyDescent="0.25">
      <c r="A86" s="1408"/>
      <c r="B86" s="191"/>
      <c r="C86" s="945"/>
      <c r="D86" s="116"/>
      <c r="E86" s="466"/>
      <c r="F86" s="559" t="str">
        <f>IF('C-Design&amp;Const'!$G86="","",'C-Design&amp;Const'!$G86)</f>
        <v>Y</v>
      </c>
      <c r="G86" s="457"/>
      <c r="H86" s="408" t="str">
        <f>CONCATENATE(IF(F86="N","PLACEHOLDER ROW - ",""),'C-Design&amp;Const'!Z86,IF(F86="N","",J86))</f>
        <v>Plumbing - Water  **(verify existing system for renovations)</v>
      </c>
      <c r="I86" s="193"/>
      <c r="J86" s="578" t="str">
        <f>IF('C-Design&amp;Const'!AD86="","",'C-Design&amp;Const'!AD86)</f>
        <v/>
      </c>
      <c r="K86" s="228"/>
      <c r="L86" s="1410" t="str">
        <f t="shared" si="0"/>
        <v/>
      </c>
      <c r="M86" s="1382"/>
      <c r="N86" s="1382"/>
      <c r="O86" s="1382"/>
      <c r="P86" s="1382"/>
      <c r="Q86" s="1382"/>
      <c r="R86" s="1382"/>
      <c r="S86" s="1382"/>
      <c r="T86" s="1382"/>
      <c r="U86" s="1382"/>
      <c r="V86" s="1382"/>
      <c r="W86" s="1382"/>
      <c r="X86" s="1382"/>
      <c r="Y86" s="1382"/>
      <c r="Z86" s="1382"/>
      <c r="AA86" s="1382"/>
      <c r="AB86" s="1382"/>
      <c r="AC86" s="1382"/>
      <c r="AD86" s="1382"/>
      <c r="AE86" s="1382"/>
      <c r="AF86" s="1382"/>
      <c r="AG86" s="1382"/>
      <c r="AH86" s="1382"/>
      <c r="AI86" s="1382"/>
      <c r="AJ86" s="181"/>
      <c r="AK86" s="181"/>
      <c r="AL86" s="181"/>
      <c r="AM86" s="181"/>
      <c r="AN86" s="181"/>
      <c r="AO86" s="181"/>
      <c r="AP86" s="181"/>
      <c r="AQ86" s="181"/>
      <c r="AR86" s="181"/>
      <c r="AS86" s="181"/>
      <c r="AT86" s="181"/>
      <c r="AU86" s="181"/>
      <c r="AV86" s="181"/>
      <c r="AW86" s="181"/>
    </row>
    <row r="87" spans="1:49" s="30" customFormat="1" ht="15" customHeight="1" x14ac:dyDescent="0.25">
      <c r="A87" s="1408"/>
      <c r="B87" s="191"/>
      <c r="C87" s="945"/>
      <c r="D87" s="116"/>
      <c r="E87" s="466"/>
      <c r="F87" s="559" t="str">
        <f>IF('C-Design&amp;Const'!$G87="","",'C-Design&amp;Const'!$G87)</f>
        <v>Y</v>
      </c>
      <c r="G87" s="457"/>
      <c r="H87" s="408" t="str">
        <f>CONCATENATE(IF(F87="N","PLACEHOLDER ROW - ",""),'C-Design&amp;Const'!Z87,IF(F87="N","",J87))</f>
        <v>Plumbing - Sanitary **(verify existing system for renovations)</v>
      </c>
      <c r="I87" s="193"/>
      <c r="J87" s="578" t="str">
        <f>IF('C-Design&amp;Const'!AD87="","",'C-Design&amp;Const'!AD87)</f>
        <v/>
      </c>
      <c r="K87" s="228"/>
      <c r="L87" s="1410" t="str">
        <f t="shared" si="0"/>
        <v/>
      </c>
      <c r="M87" s="1382"/>
      <c r="N87" s="1382"/>
      <c r="O87" s="1382"/>
      <c r="P87" s="1382"/>
      <c r="Q87" s="1382"/>
      <c r="R87" s="1382"/>
      <c r="S87" s="1382"/>
      <c r="T87" s="1382"/>
      <c r="U87" s="1382"/>
      <c r="V87" s="1382"/>
      <c r="W87" s="1382"/>
      <c r="X87" s="1382"/>
      <c r="Y87" s="1382"/>
      <c r="Z87" s="1382"/>
      <c r="AA87" s="1382"/>
      <c r="AB87" s="1382"/>
      <c r="AC87" s="1382"/>
      <c r="AD87" s="1382"/>
      <c r="AE87" s="1382"/>
      <c r="AF87" s="1382"/>
      <c r="AG87" s="1382"/>
      <c r="AH87" s="1382"/>
      <c r="AI87" s="1382"/>
      <c r="AJ87" s="181"/>
      <c r="AK87" s="181"/>
      <c r="AL87" s="181"/>
      <c r="AM87" s="181"/>
      <c r="AN87" s="181"/>
      <c r="AO87" s="181"/>
      <c r="AP87" s="181"/>
      <c r="AQ87" s="181"/>
      <c r="AR87" s="181"/>
      <c r="AS87" s="181"/>
      <c r="AT87" s="181"/>
      <c r="AU87" s="181"/>
      <c r="AV87" s="181"/>
      <c r="AW87" s="181"/>
    </row>
    <row r="88" spans="1:49" s="30" customFormat="1" ht="15" customHeight="1" x14ac:dyDescent="0.25">
      <c r="A88" s="1408"/>
      <c r="B88" s="191"/>
      <c r="C88" s="945"/>
      <c r="D88" s="116"/>
      <c r="E88" s="466"/>
      <c r="F88" s="559" t="str">
        <f>IF('C-Design&amp;Const'!$G88="","",'C-Design&amp;Const'!$G88)</f>
        <v>?</v>
      </c>
      <c r="G88" s="457"/>
      <c r="H88" s="408" t="str">
        <f>CONCATENATE(IF(F88="N","PLACEHOLDER ROW - ",""),'C-Design&amp;Const'!Z88,IF(F88="N","",J88))</f>
        <v>Plumbing - Cut Sheets or Product Data Sheets on Plumbing Fixtures</v>
      </c>
      <c r="I88" s="193"/>
      <c r="J88" s="578" t="str">
        <f>IF('C-Design&amp;Const'!AD88="","",'C-Design&amp;Const'!AD88)</f>
        <v/>
      </c>
      <c r="K88" s="228"/>
      <c r="L88" s="1410" t="str">
        <f t="shared" si="0"/>
        <v/>
      </c>
      <c r="M88" s="1382"/>
      <c r="N88" s="1382"/>
      <c r="O88" s="1382"/>
      <c r="P88" s="1382"/>
      <c r="Q88" s="1382"/>
      <c r="R88" s="1382"/>
      <c r="S88" s="1382"/>
      <c r="T88" s="1382"/>
      <c r="U88" s="1382"/>
      <c r="V88" s="1382"/>
      <c r="W88" s="1382"/>
      <c r="X88" s="1382"/>
      <c r="Y88" s="1382"/>
      <c r="Z88" s="1382"/>
      <c r="AA88" s="1382"/>
      <c r="AB88" s="1382"/>
      <c r="AC88" s="1382"/>
      <c r="AD88" s="1382"/>
      <c r="AE88" s="1382"/>
      <c r="AF88" s="1382"/>
      <c r="AG88" s="1382"/>
      <c r="AH88" s="1382"/>
      <c r="AI88" s="1382"/>
      <c r="AJ88" s="181"/>
      <c r="AK88" s="181"/>
      <c r="AL88" s="181"/>
      <c r="AM88" s="181"/>
      <c r="AN88" s="181"/>
      <c r="AO88" s="181"/>
      <c r="AP88" s="181"/>
      <c r="AQ88" s="181"/>
      <c r="AR88" s="181"/>
      <c r="AS88" s="181"/>
      <c r="AT88" s="181"/>
      <c r="AU88" s="181"/>
      <c r="AV88" s="181"/>
      <c r="AW88" s="181"/>
    </row>
    <row r="89" spans="1:49" s="30" customFormat="1" ht="15" customHeight="1" x14ac:dyDescent="0.25">
      <c r="A89" s="1408"/>
      <c r="B89" s="191"/>
      <c r="C89" s="945"/>
      <c r="D89" s="116"/>
      <c r="E89" s="466"/>
      <c r="F89" s="559" t="str">
        <f>IF('C-Design&amp;Const'!$G89="","",'C-Design&amp;Const'!$G89)</f>
        <v>Y</v>
      </c>
      <c r="G89" s="457"/>
      <c r="H89" s="408" t="str">
        <f>CONCATENATE(IF(F89="N","PLACEHOLDER ROW - ",""),'C-Design&amp;Const'!Z89,IF(F89="N","",J89))</f>
        <v>Fire Suppression System(s) **(verify existing system for renovations)</v>
      </c>
      <c r="I89" s="193"/>
      <c r="J89" s="578" t="str">
        <f>IF('C-Design&amp;Const'!AD89="","",'C-Design&amp;Const'!AD89)</f>
        <v/>
      </c>
      <c r="K89" s="228"/>
      <c r="L89" s="1410" t="str">
        <f t="shared" si="0"/>
        <v/>
      </c>
      <c r="M89" s="1382"/>
      <c r="N89" s="1382"/>
      <c r="O89" s="1382"/>
      <c r="P89" s="1382"/>
      <c r="Q89" s="1382"/>
      <c r="R89" s="1382"/>
      <c r="S89" s="1382"/>
      <c r="T89" s="1382"/>
      <c r="U89" s="1382"/>
      <c r="V89" s="1382"/>
      <c r="W89" s="1382"/>
      <c r="X89" s="1382"/>
      <c r="Y89" s="1382"/>
      <c r="Z89" s="1382"/>
      <c r="AA89" s="1382"/>
      <c r="AB89" s="1382"/>
      <c r="AC89" s="1382"/>
      <c r="AD89" s="1382"/>
      <c r="AE89" s="1382"/>
      <c r="AF89" s="1382"/>
      <c r="AG89" s="1382"/>
      <c r="AH89" s="1382"/>
      <c r="AI89" s="1382"/>
      <c r="AJ89" s="181"/>
      <c r="AK89" s="181"/>
      <c r="AL89" s="181"/>
      <c r="AM89" s="181"/>
      <c r="AN89" s="181"/>
      <c r="AO89" s="181"/>
      <c r="AP89" s="181"/>
      <c r="AQ89" s="181"/>
      <c r="AR89" s="181"/>
      <c r="AS89" s="181"/>
      <c r="AT89" s="181"/>
      <c r="AU89" s="181"/>
      <c r="AV89" s="181"/>
      <c r="AW89" s="181"/>
    </row>
    <row r="90" spans="1:49" s="30" customFormat="1" ht="15" customHeight="1" x14ac:dyDescent="0.25">
      <c r="A90" s="1408"/>
      <c r="B90" s="191"/>
      <c r="C90" s="945"/>
      <c r="D90" s="116"/>
      <c r="E90" s="466"/>
      <c r="F90" s="559" t="str">
        <f>IF('C-Design&amp;Const'!$G90="","",'C-Design&amp;Const'!$G90)</f>
        <v>Y</v>
      </c>
      <c r="G90" s="457"/>
      <c r="H90" s="408" t="str">
        <f>CONCATENATE(IF(F90="N","PLACEHOLDER ROW - ",""),'C-Design&amp;Const'!Z90,IF(F90="N","",J90))</f>
        <v>Heating - General System(s) **(verify existing system for renovations)</v>
      </c>
      <c r="I90" s="193"/>
      <c r="J90" s="578" t="str">
        <f>IF('C-Design&amp;Const'!AD90="","",'C-Design&amp;Const'!AD90)</f>
        <v/>
      </c>
      <c r="K90" s="228"/>
      <c r="L90" s="1410" t="str">
        <f t="shared" si="0"/>
        <v/>
      </c>
      <c r="M90" s="1382"/>
      <c r="N90" s="1382"/>
      <c r="O90" s="1382"/>
      <c r="P90" s="1382"/>
      <c r="Q90" s="1382"/>
      <c r="R90" s="1382"/>
      <c r="S90" s="1382"/>
      <c r="T90" s="1382"/>
      <c r="U90" s="1382"/>
      <c r="V90" s="1382"/>
      <c r="W90" s="1382"/>
      <c r="X90" s="1382"/>
      <c r="Y90" s="1382"/>
      <c r="Z90" s="1382"/>
      <c r="AA90" s="1382"/>
      <c r="AB90" s="1382"/>
      <c r="AC90" s="1382"/>
      <c r="AD90" s="1382"/>
      <c r="AE90" s="1382"/>
      <c r="AF90" s="1382"/>
      <c r="AG90" s="1382"/>
      <c r="AH90" s="1382"/>
      <c r="AI90" s="1382"/>
      <c r="AJ90" s="181"/>
      <c r="AK90" s="181"/>
      <c r="AL90" s="181"/>
      <c r="AM90" s="181"/>
      <c r="AN90" s="181"/>
      <c r="AO90" s="181"/>
      <c r="AP90" s="181"/>
      <c r="AQ90" s="181"/>
      <c r="AR90" s="181"/>
      <c r="AS90" s="181"/>
      <c r="AT90" s="181"/>
      <c r="AU90" s="181"/>
      <c r="AV90" s="181"/>
      <c r="AW90" s="181"/>
    </row>
    <row r="91" spans="1:49" s="545" customFormat="1" ht="15" customHeight="1" x14ac:dyDescent="0.25">
      <c r="A91" s="1402"/>
      <c r="B91" s="554"/>
      <c r="C91" s="945"/>
      <c r="D91" s="116"/>
      <c r="E91" s="411"/>
      <c r="F91" s="559" t="str">
        <f>IF('C-Design&amp;Const'!$G91="","",'C-Design&amp;Const'!$G91)</f>
        <v>Y</v>
      </c>
      <c r="G91" s="457"/>
      <c r="H91" s="408" t="str">
        <f>CONCATENATE(IF(F91="N","PLACEHOLDER ROW - ",""),'C-Design&amp;Const'!Z91,IF(F91="N","",J91))</f>
        <v>Heating - Demolition(s)</v>
      </c>
      <c r="I91" s="197"/>
      <c r="J91" s="578"/>
      <c r="K91" s="228"/>
      <c r="L91" s="1410"/>
      <c r="M91" s="1382"/>
      <c r="N91" s="1382"/>
      <c r="O91" s="1382"/>
      <c r="P91" s="1382"/>
      <c r="Q91" s="1382"/>
      <c r="R91" s="1382"/>
      <c r="S91" s="1382"/>
      <c r="T91" s="1382"/>
      <c r="U91" s="1382"/>
      <c r="V91" s="1382"/>
      <c r="W91" s="1382"/>
      <c r="X91" s="1382"/>
      <c r="Y91" s="1382"/>
      <c r="Z91" s="1382"/>
      <c r="AA91" s="1382"/>
      <c r="AB91" s="1382"/>
      <c r="AC91" s="1382"/>
      <c r="AD91" s="1382"/>
      <c r="AE91" s="1382"/>
      <c r="AF91" s="1382"/>
      <c r="AG91" s="1382"/>
      <c r="AH91" s="1382"/>
      <c r="AI91" s="1382"/>
      <c r="AJ91" s="551"/>
      <c r="AK91" s="551"/>
      <c r="AL91" s="551"/>
      <c r="AM91" s="551"/>
      <c r="AN91" s="551"/>
      <c r="AO91" s="551"/>
      <c r="AP91" s="551"/>
      <c r="AQ91" s="551"/>
      <c r="AR91" s="551"/>
      <c r="AS91" s="551"/>
      <c r="AT91" s="551"/>
      <c r="AU91" s="551"/>
      <c r="AV91" s="551"/>
      <c r="AW91" s="551"/>
    </row>
    <row r="92" spans="1:49" s="30" customFormat="1" ht="15" customHeight="1" x14ac:dyDescent="0.25">
      <c r="A92" s="1408"/>
      <c r="B92" s="191"/>
      <c r="C92" s="945"/>
      <c r="D92" s="116"/>
      <c r="E92" s="466"/>
      <c r="F92" s="559" t="str">
        <f>IF('C-Design&amp;Const'!$G92="","",'C-Design&amp;Const'!$G92)</f>
        <v>Y</v>
      </c>
      <c r="G92" s="457"/>
      <c r="H92" s="408" t="str">
        <f>CONCATENATE(IF(F92="N","PLACEHOLDER ROW - ",""),'C-Design&amp;Const'!Z92,IF(F92="N","",J92))</f>
        <v>Heating - Gas (and verify existing system for renovations)*</v>
      </c>
      <c r="I92" s="193"/>
      <c r="J92" s="578" t="str">
        <f>IF('C-Design&amp;Const'!AD92="","",'C-Design&amp;Const'!AD92)</f>
        <v/>
      </c>
      <c r="K92" s="228"/>
      <c r="L92" s="1410" t="str">
        <f t="shared" si="0"/>
        <v/>
      </c>
      <c r="M92" s="1382"/>
      <c r="N92" s="1382"/>
      <c r="O92" s="1382"/>
      <c r="P92" s="1382"/>
      <c r="Q92" s="1382"/>
      <c r="R92" s="1382"/>
      <c r="S92" s="1382"/>
      <c r="T92" s="1382"/>
      <c r="U92" s="1382"/>
      <c r="V92" s="1382"/>
      <c r="W92" s="1382"/>
      <c r="X92" s="1382"/>
      <c r="Y92" s="1382"/>
      <c r="Z92" s="1382"/>
      <c r="AA92" s="1382"/>
      <c r="AB92" s="1382"/>
      <c r="AC92" s="1382"/>
      <c r="AD92" s="1382"/>
      <c r="AE92" s="1382"/>
      <c r="AF92" s="1382"/>
      <c r="AG92" s="1382"/>
      <c r="AH92" s="1382"/>
      <c r="AI92" s="1382"/>
      <c r="AJ92" s="181"/>
      <c r="AK92" s="181"/>
      <c r="AL92" s="181"/>
      <c r="AM92" s="181"/>
      <c r="AN92" s="181"/>
      <c r="AO92" s="181"/>
      <c r="AP92" s="181"/>
      <c r="AQ92" s="181"/>
      <c r="AR92" s="181"/>
      <c r="AS92" s="181"/>
      <c r="AT92" s="181"/>
      <c r="AU92" s="181"/>
      <c r="AV92" s="181"/>
      <c r="AW92" s="181"/>
    </row>
    <row r="93" spans="1:49" s="30" customFormat="1" ht="15" customHeight="1" x14ac:dyDescent="0.25">
      <c r="A93" s="1408"/>
      <c r="B93" s="191"/>
      <c r="C93" s="945"/>
      <c r="D93" s="116"/>
      <c r="E93" s="466"/>
      <c r="F93" s="559" t="str">
        <f>IF('C-Design&amp;Const'!$G93="","",'C-Design&amp;Const'!$G93)</f>
        <v>Y</v>
      </c>
      <c r="G93" s="457"/>
      <c r="H93" s="408" t="str">
        <f>CONCATENATE(IF(F93="N","PLACEHOLDER ROW - ",""),'C-Design&amp;Const'!Z93,IF(F93="N","",J93))</f>
        <v>Heating -  Steam  (and verify existing system for renovations)*</v>
      </c>
      <c r="I93" s="193"/>
      <c r="J93" s="578" t="str">
        <f>IF('C-Design&amp;Const'!AD93="","",'C-Design&amp;Const'!AD93)</f>
        <v/>
      </c>
      <c r="K93" s="228"/>
      <c r="L93" s="1410" t="str">
        <f t="shared" si="0"/>
        <v/>
      </c>
      <c r="M93" s="1382"/>
      <c r="N93" s="1382"/>
      <c r="O93" s="1382"/>
      <c r="P93" s="1382"/>
      <c r="Q93" s="1382"/>
      <c r="R93" s="1382"/>
      <c r="S93" s="1382"/>
      <c r="T93" s="1382"/>
      <c r="U93" s="1382"/>
      <c r="V93" s="1382"/>
      <c r="W93" s="1382"/>
      <c r="X93" s="1382"/>
      <c r="Y93" s="1382"/>
      <c r="Z93" s="1382"/>
      <c r="AA93" s="1382"/>
      <c r="AB93" s="1382"/>
      <c r="AC93" s="1382"/>
      <c r="AD93" s="1382"/>
      <c r="AE93" s="1382"/>
      <c r="AF93" s="1382"/>
      <c r="AG93" s="1382"/>
      <c r="AH93" s="1382"/>
      <c r="AI93" s="1382"/>
      <c r="AJ93" s="181"/>
      <c r="AK93" s="181"/>
      <c r="AL93" s="181"/>
      <c r="AM93" s="181"/>
      <c r="AN93" s="181"/>
      <c r="AO93" s="181"/>
      <c r="AP93" s="181"/>
      <c r="AQ93" s="181"/>
      <c r="AR93" s="181"/>
      <c r="AS93" s="181"/>
      <c r="AT93" s="181"/>
      <c r="AU93" s="181"/>
      <c r="AV93" s="181"/>
      <c r="AW93" s="181"/>
    </row>
    <row r="94" spans="1:49" s="30" customFormat="1" ht="15" customHeight="1" x14ac:dyDescent="0.25">
      <c r="A94" s="1408"/>
      <c r="B94" s="191"/>
      <c r="C94" s="945"/>
      <c r="D94" s="116"/>
      <c r="E94" s="466"/>
      <c r="F94" s="559" t="str">
        <f>IF('C-Design&amp;Const'!$G94="","",'C-Design&amp;Const'!$G94)</f>
        <v>N</v>
      </c>
      <c r="G94" s="457"/>
      <c r="H94" s="408" t="str">
        <f>CONCATENATE(IF(F94="N","PLACEHOLDER ROW - ",""),'C-Design&amp;Const'!Z94,IF(F94="N","",J94))</f>
        <v>PLACEHOLDER ROW - Heating - CUSTOM</v>
      </c>
      <c r="I94" s="193"/>
      <c r="J94" s="578" t="str">
        <f>IF('C-Design&amp;Const'!AD94="","",'C-Design&amp;Const'!AD94)</f>
        <v/>
      </c>
      <c r="K94" s="228"/>
      <c r="L94" s="1410" t="str">
        <f t="shared" si="0"/>
        <v>&lt;---PM/Planner may hide PLACEHOLDER ROW</v>
      </c>
      <c r="M94" s="1382"/>
      <c r="N94" s="1382"/>
      <c r="O94" s="1382"/>
      <c r="P94" s="1382"/>
      <c r="Q94" s="1382"/>
      <c r="R94" s="1382"/>
      <c r="S94" s="1382"/>
      <c r="T94" s="1382"/>
      <c r="U94" s="1382"/>
      <c r="V94" s="1382"/>
      <c r="W94" s="1382"/>
      <c r="X94" s="1382"/>
      <c r="Y94" s="1382"/>
      <c r="Z94" s="1382"/>
      <c r="AA94" s="1382"/>
      <c r="AB94" s="1382"/>
      <c r="AC94" s="1382"/>
      <c r="AD94" s="1382"/>
      <c r="AE94" s="1382"/>
      <c r="AF94" s="1382"/>
      <c r="AG94" s="1382"/>
      <c r="AH94" s="1382"/>
      <c r="AI94" s="1382"/>
      <c r="AJ94" s="181"/>
      <c r="AK94" s="181"/>
      <c r="AL94" s="181"/>
      <c r="AM94" s="181"/>
      <c r="AN94" s="181"/>
      <c r="AO94" s="181"/>
      <c r="AP94" s="181"/>
      <c r="AQ94" s="181"/>
      <c r="AR94" s="181"/>
      <c r="AS94" s="181"/>
      <c r="AT94" s="181"/>
      <c r="AU94" s="181"/>
      <c r="AV94" s="181"/>
      <c r="AW94" s="181"/>
    </row>
    <row r="95" spans="1:49" s="30" customFormat="1" ht="15" customHeight="1" x14ac:dyDescent="0.25">
      <c r="A95" s="1408"/>
      <c r="B95" s="191"/>
      <c r="C95" s="945"/>
      <c r="D95" s="116"/>
      <c r="E95" s="466"/>
      <c r="F95" s="559" t="str">
        <f>IF('C-Design&amp;Const'!$G95="","",'C-Design&amp;Const'!$G95)</f>
        <v>Y</v>
      </c>
      <c r="G95" s="457"/>
      <c r="H95" s="796" t="str">
        <f>CONCATENATE(IF(F95="N","PLACEHOLDER ROW - ",""),'C-Design&amp;Const'!Z95,IF(F95="N","",J95))</f>
        <v>Ventilation - General System(s)  **(verify existing system for renovations)</v>
      </c>
      <c r="I95" s="193"/>
      <c r="J95" s="578" t="str">
        <f>IF('C-Design&amp;Const'!AD95="","",'C-Design&amp;Const'!AD95)</f>
        <v/>
      </c>
      <c r="K95" s="228"/>
      <c r="L95" s="1410" t="str">
        <f t="shared" si="0"/>
        <v/>
      </c>
      <c r="M95" s="1382"/>
      <c r="N95" s="1382"/>
      <c r="O95" s="1382"/>
      <c r="P95" s="1382"/>
      <c r="Q95" s="1382"/>
      <c r="R95" s="1382"/>
      <c r="S95" s="1382"/>
      <c r="T95" s="1382"/>
      <c r="U95" s="1382"/>
      <c r="V95" s="1382"/>
      <c r="W95" s="1382"/>
      <c r="X95" s="1382"/>
      <c r="Y95" s="1382"/>
      <c r="Z95" s="1382"/>
      <c r="AA95" s="1382"/>
      <c r="AB95" s="1382"/>
      <c r="AC95" s="1382"/>
      <c r="AD95" s="1382"/>
      <c r="AE95" s="1382"/>
      <c r="AF95" s="1382"/>
      <c r="AG95" s="1382"/>
      <c r="AH95" s="1382"/>
      <c r="AI95" s="1382"/>
      <c r="AJ95" s="181"/>
      <c r="AK95" s="181"/>
      <c r="AL95" s="181"/>
      <c r="AM95" s="181"/>
      <c r="AN95" s="181"/>
      <c r="AO95" s="181"/>
      <c r="AP95" s="181"/>
      <c r="AQ95" s="181"/>
      <c r="AR95" s="181"/>
      <c r="AS95" s="181"/>
      <c r="AT95" s="181"/>
      <c r="AU95" s="181"/>
      <c r="AV95" s="181"/>
      <c r="AW95" s="181"/>
    </row>
    <row r="96" spans="1:49" s="545" customFormat="1" ht="15" customHeight="1" x14ac:dyDescent="0.25">
      <c r="A96" s="1402"/>
      <c r="B96" s="554"/>
      <c r="C96" s="945"/>
      <c r="D96" s="116"/>
      <c r="E96" s="411"/>
      <c r="F96" s="559" t="str">
        <f>IF('C-Design&amp;Const'!$G96="","",'C-Design&amp;Const'!$G96)</f>
        <v>Y</v>
      </c>
      <c r="G96" s="457"/>
      <c r="H96" s="408" t="str">
        <f>CONCATENATE(IF(F96="N","PLACEHOLDER ROW - ",""),'C-Design&amp;Const'!Z96,IF(F96="N","",J96))</f>
        <v>Ventilation - Demolition(s)</v>
      </c>
      <c r="I96" s="197"/>
      <c r="J96" s="578"/>
      <c r="K96" s="228"/>
      <c r="L96" s="1410"/>
      <c r="M96" s="1382"/>
      <c r="N96" s="1382"/>
      <c r="O96" s="1382"/>
      <c r="P96" s="1382"/>
      <c r="Q96" s="1382"/>
      <c r="R96" s="1382"/>
      <c r="S96" s="1382"/>
      <c r="T96" s="1382"/>
      <c r="U96" s="1382"/>
      <c r="V96" s="1382"/>
      <c r="W96" s="1382"/>
      <c r="X96" s="1382"/>
      <c r="Y96" s="1382"/>
      <c r="Z96" s="1382"/>
      <c r="AA96" s="1382"/>
      <c r="AB96" s="1382"/>
      <c r="AC96" s="1382"/>
      <c r="AD96" s="1382"/>
      <c r="AE96" s="1382"/>
      <c r="AF96" s="1382"/>
      <c r="AG96" s="1382"/>
      <c r="AH96" s="1382"/>
      <c r="AI96" s="1382"/>
      <c r="AJ96" s="551"/>
      <c r="AK96" s="551"/>
      <c r="AL96" s="551"/>
      <c r="AM96" s="551"/>
      <c r="AN96" s="551"/>
      <c r="AO96" s="551"/>
      <c r="AP96" s="551"/>
      <c r="AQ96" s="551"/>
      <c r="AR96" s="551"/>
      <c r="AS96" s="551"/>
      <c r="AT96" s="551"/>
      <c r="AU96" s="551"/>
      <c r="AV96" s="551"/>
      <c r="AW96" s="551"/>
    </row>
    <row r="97" spans="1:49" s="30" customFormat="1" ht="15" customHeight="1" x14ac:dyDescent="0.25">
      <c r="A97" s="1408"/>
      <c r="B97" s="191"/>
      <c r="C97" s="945"/>
      <c r="D97" s="116"/>
      <c r="E97" s="466"/>
      <c r="F97" s="559" t="str">
        <f>IF('C-Design&amp;Const'!$G97="","",'C-Design&amp;Const'!$G97)</f>
        <v>Y</v>
      </c>
      <c r="G97" s="457"/>
      <c r="H97" s="408" t="str">
        <f>CONCATENATE(IF(F97="N","PLACEHOLDER ROW - ",""),'C-Design&amp;Const'!Z97,IF(F97="N","",J97))</f>
        <v>Ventilation - Refrigeration Systems **(verify existing system for renovations)</v>
      </c>
      <c r="I97" s="193"/>
      <c r="J97" s="578" t="str">
        <f>IF('C-Design&amp;Const'!AD97="","",'C-Design&amp;Const'!AD97)</f>
        <v/>
      </c>
      <c r="K97" s="228"/>
      <c r="L97" s="1410" t="str">
        <f t="shared" si="0"/>
        <v/>
      </c>
      <c r="M97" s="1382"/>
      <c r="N97" s="1382"/>
      <c r="O97" s="1382"/>
      <c r="P97" s="1382"/>
      <c r="Q97" s="1382"/>
      <c r="R97" s="1382"/>
      <c r="S97" s="1382"/>
      <c r="T97" s="1382"/>
      <c r="U97" s="1382"/>
      <c r="V97" s="1382"/>
      <c r="W97" s="1382"/>
      <c r="X97" s="1382"/>
      <c r="Y97" s="1382"/>
      <c r="Z97" s="1382"/>
      <c r="AA97" s="1382"/>
      <c r="AB97" s="1382"/>
      <c r="AC97" s="1382"/>
      <c r="AD97" s="1382"/>
      <c r="AE97" s="1382"/>
      <c r="AF97" s="1382"/>
      <c r="AG97" s="1382"/>
      <c r="AH97" s="1382"/>
      <c r="AI97" s="1382"/>
      <c r="AJ97" s="181"/>
      <c r="AK97" s="181"/>
      <c r="AL97" s="181"/>
      <c r="AM97" s="181"/>
      <c r="AN97" s="181"/>
      <c r="AO97" s="181"/>
      <c r="AP97" s="181"/>
      <c r="AQ97" s="181"/>
      <c r="AR97" s="181"/>
      <c r="AS97" s="181"/>
      <c r="AT97" s="181"/>
      <c r="AU97" s="181"/>
      <c r="AV97" s="181"/>
      <c r="AW97" s="181"/>
    </row>
    <row r="98" spans="1:49" s="30" customFormat="1" ht="15" customHeight="1" x14ac:dyDescent="0.25">
      <c r="A98" s="1408"/>
      <c r="B98" s="191"/>
      <c r="C98" s="945"/>
      <c r="D98" s="116"/>
      <c r="E98" s="466"/>
      <c r="F98" s="559" t="str">
        <f>IF('C-Design&amp;Const'!$G98="","",'C-Design&amp;Const'!$G98)</f>
        <v>Y</v>
      </c>
      <c r="G98" s="457"/>
      <c r="H98" s="408" t="str">
        <f>CONCATENATE(IF(F98="N","PLACEHOLDER ROW - ",""),'C-Design&amp;Const'!Z98,IF(F98="N","",J98))</f>
        <v>Ventilation - Chilled Water  **(verify existing system for renovations)</v>
      </c>
      <c r="I98" s="193"/>
      <c r="J98" s="578" t="str">
        <f>IF('C-Design&amp;Const'!AD98="","",'C-Design&amp;Const'!AD98)</f>
        <v/>
      </c>
      <c r="K98" s="228"/>
      <c r="L98" s="1410" t="str">
        <f t="shared" si="0"/>
        <v/>
      </c>
      <c r="M98" s="1382"/>
      <c r="N98" s="1382"/>
      <c r="O98" s="1382"/>
      <c r="P98" s="1382"/>
      <c r="Q98" s="1382"/>
      <c r="R98" s="1382"/>
      <c r="S98" s="1382"/>
      <c r="T98" s="1382"/>
      <c r="U98" s="1382"/>
      <c r="V98" s="1382"/>
      <c r="W98" s="1382"/>
      <c r="X98" s="1382"/>
      <c r="Y98" s="1382"/>
      <c r="Z98" s="1382"/>
      <c r="AA98" s="1382"/>
      <c r="AB98" s="1382"/>
      <c r="AC98" s="1382"/>
      <c r="AD98" s="1382"/>
      <c r="AE98" s="1382"/>
      <c r="AF98" s="1382"/>
      <c r="AG98" s="1382"/>
      <c r="AH98" s="1382"/>
      <c r="AI98" s="1382"/>
      <c r="AJ98" s="181"/>
      <c r="AK98" s="181"/>
      <c r="AL98" s="181"/>
      <c r="AM98" s="181"/>
      <c r="AN98" s="181"/>
      <c r="AO98" s="181"/>
      <c r="AP98" s="181"/>
      <c r="AQ98" s="181"/>
      <c r="AR98" s="181"/>
      <c r="AS98" s="181"/>
      <c r="AT98" s="181"/>
      <c r="AU98" s="181"/>
      <c r="AV98" s="181"/>
      <c r="AW98" s="181"/>
    </row>
    <row r="99" spans="1:49" s="30" customFormat="1" ht="15" customHeight="1" x14ac:dyDescent="0.25">
      <c r="A99" s="1408"/>
      <c r="B99" s="191"/>
      <c r="C99" s="945"/>
      <c r="D99" s="116"/>
      <c r="E99" s="466"/>
      <c r="F99" s="559" t="str">
        <f>IF('C-Design&amp;Const'!$G99="","",'C-Design&amp;Const'!$G99)</f>
        <v>N</v>
      </c>
      <c r="G99" s="457"/>
      <c r="H99" s="408" t="str">
        <f>CONCATENATE(IF(F99="N","PLACEHOLDER ROW - ",""),'C-Design&amp;Const'!Z99,IF(F99="N","",J99))</f>
        <v>PLACEHOLDER ROW - Ventilation - CUSTOM</v>
      </c>
      <c r="I99" s="193"/>
      <c r="J99" s="578" t="str">
        <f>IF('C-Design&amp;Const'!AD99="","",'C-Design&amp;Const'!AD99)</f>
        <v/>
      </c>
      <c r="K99" s="228"/>
      <c r="L99" s="1410" t="str">
        <f t="shared" si="0"/>
        <v>&lt;---PM/Planner may hide PLACEHOLDER ROW</v>
      </c>
      <c r="M99" s="1382"/>
      <c r="N99" s="1382"/>
      <c r="O99" s="1382"/>
      <c r="P99" s="1382"/>
      <c r="Q99" s="1382"/>
      <c r="R99" s="1382"/>
      <c r="S99" s="1382"/>
      <c r="T99" s="1382"/>
      <c r="U99" s="1382"/>
      <c r="V99" s="1382"/>
      <c r="W99" s="1382"/>
      <c r="X99" s="1382"/>
      <c r="Y99" s="1382"/>
      <c r="Z99" s="1382"/>
      <c r="AA99" s="1382"/>
      <c r="AB99" s="1382"/>
      <c r="AC99" s="1382"/>
      <c r="AD99" s="1382"/>
      <c r="AE99" s="1382"/>
      <c r="AF99" s="1382"/>
      <c r="AG99" s="1382"/>
      <c r="AH99" s="1382"/>
      <c r="AI99" s="1382"/>
      <c r="AJ99" s="181"/>
      <c r="AK99" s="181"/>
      <c r="AL99" s="181"/>
      <c r="AM99" s="181"/>
      <c r="AN99" s="181"/>
      <c r="AO99" s="181"/>
      <c r="AP99" s="181"/>
      <c r="AQ99" s="181"/>
      <c r="AR99" s="181"/>
      <c r="AS99" s="181"/>
      <c r="AT99" s="181"/>
      <c r="AU99" s="181"/>
      <c r="AV99" s="181"/>
      <c r="AW99" s="181"/>
    </row>
    <row r="100" spans="1:49" s="30" customFormat="1" ht="15" customHeight="1" x14ac:dyDescent="0.25">
      <c r="A100" s="1408"/>
      <c r="B100" s="191"/>
      <c r="C100" s="945"/>
      <c r="D100" s="116"/>
      <c r="E100" s="466"/>
      <c r="F100" s="559" t="str">
        <f>IF('C-Design&amp;Const'!$G100="","",'C-Design&amp;Const'!$G100)</f>
        <v>Y</v>
      </c>
      <c r="G100" s="457"/>
      <c r="H100" s="408" t="str">
        <f>CONCATENATE(IF(F100="N","PLACEHOLDER ROW - ",""),'C-Design&amp;Const'!Z100,IF(F100="N","",J100))</f>
        <v>Electrical - General System(s) - **(verify existing system for renovations)</v>
      </c>
      <c r="I100" s="193"/>
      <c r="J100" s="578" t="str">
        <f>IF('C-Design&amp;Const'!AD100="","",'C-Design&amp;Const'!AD100)</f>
        <v/>
      </c>
      <c r="K100" s="228"/>
      <c r="L100" s="1410" t="str">
        <f t="shared" ref="L100:L173" si="2">CONCATENATE(IF(ISNUMBER(SEARCH("Placeholder",H100))=TRUE,"&lt;---PM/Planner may hide PLACEHOLDER ROW",""))</f>
        <v/>
      </c>
      <c r="M100" s="1382"/>
      <c r="N100" s="1382"/>
      <c r="O100" s="1382"/>
      <c r="P100" s="1382"/>
      <c r="Q100" s="1382"/>
      <c r="R100" s="1382"/>
      <c r="S100" s="1382"/>
      <c r="T100" s="1382"/>
      <c r="U100" s="1382"/>
      <c r="V100" s="1382"/>
      <c r="W100" s="1382"/>
      <c r="X100" s="1382"/>
      <c r="Y100" s="1382"/>
      <c r="Z100" s="1382"/>
      <c r="AA100" s="1382"/>
      <c r="AB100" s="1382"/>
      <c r="AC100" s="1382"/>
      <c r="AD100" s="1382"/>
      <c r="AE100" s="1382"/>
      <c r="AF100" s="1382"/>
      <c r="AG100" s="1382"/>
      <c r="AH100" s="1382"/>
      <c r="AI100" s="1382"/>
      <c r="AJ100" s="181"/>
      <c r="AK100" s="181"/>
      <c r="AL100" s="181"/>
      <c r="AM100" s="181"/>
      <c r="AN100" s="181"/>
      <c r="AO100" s="181"/>
      <c r="AP100" s="181"/>
      <c r="AQ100" s="181"/>
      <c r="AR100" s="181"/>
      <c r="AS100" s="181"/>
      <c r="AT100" s="181"/>
      <c r="AU100" s="181"/>
      <c r="AV100" s="181"/>
      <c r="AW100" s="181"/>
    </row>
    <row r="101" spans="1:49" s="545" customFormat="1" ht="15" customHeight="1" x14ac:dyDescent="0.25">
      <c r="A101" s="1402"/>
      <c r="B101" s="554"/>
      <c r="C101" s="945"/>
      <c r="D101" s="116"/>
      <c r="E101" s="411"/>
      <c r="F101" s="559" t="str">
        <f>IF('C-Design&amp;Const'!$G101="","",'C-Design&amp;Const'!$G101)</f>
        <v>Y</v>
      </c>
      <c r="G101" s="457"/>
      <c r="H101" s="408" t="str">
        <f>CONCATENATE(IF(F101="N","PLACEHOLDER ROW - ",""),'C-Design&amp;Const'!Z101,IF(F101="N","",J101))</f>
        <v>Electrical - Demolition(s)</v>
      </c>
      <c r="I101" s="197"/>
      <c r="J101" s="578"/>
      <c r="K101" s="228"/>
      <c r="L101" s="1410"/>
      <c r="M101" s="1382"/>
      <c r="N101" s="1382"/>
      <c r="O101" s="1382"/>
      <c r="P101" s="1382"/>
      <c r="Q101" s="1382"/>
      <c r="R101" s="1382"/>
      <c r="S101" s="1382"/>
      <c r="T101" s="1382"/>
      <c r="U101" s="1382"/>
      <c r="V101" s="1382"/>
      <c r="W101" s="1382"/>
      <c r="X101" s="1382"/>
      <c r="Y101" s="1382"/>
      <c r="Z101" s="1382"/>
      <c r="AA101" s="1382"/>
      <c r="AB101" s="1382"/>
      <c r="AC101" s="1382"/>
      <c r="AD101" s="1382"/>
      <c r="AE101" s="1382"/>
      <c r="AF101" s="1382"/>
      <c r="AG101" s="1382"/>
      <c r="AH101" s="1382"/>
      <c r="AI101" s="1382"/>
      <c r="AJ101" s="551"/>
      <c r="AK101" s="551"/>
      <c r="AL101" s="551"/>
      <c r="AM101" s="551"/>
      <c r="AN101" s="551"/>
      <c r="AO101" s="551"/>
      <c r="AP101" s="551"/>
      <c r="AQ101" s="551"/>
      <c r="AR101" s="551"/>
      <c r="AS101" s="551"/>
      <c r="AT101" s="551"/>
      <c r="AU101" s="551"/>
      <c r="AV101" s="551"/>
      <c r="AW101" s="551"/>
    </row>
    <row r="102" spans="1:49" s="30" customFormat="1" ht="15" customHeight="1" x14ac:dyDescent="0.25">
      <c r="A102" s="1408"/>
      <c r="B102" s="191"/>
      <c r="C102" s="945"/>
      <c r="D102" s="116"/>
      <c r="E102" s="466"/>
      <c r="F102" s="559" t="str">
        <f>IF('C-Design&amp;Const'!$G102="","",'C-Design&amp;Const'!$G102)</f>
        <v>Y</v>
      </c>
      <c r="G102" s="457"/>
      <c r="H102" s="408" t="str">
        <f>CONCATENATE(IF(F102="N","PLACEHOLDER ROW - ",""),'C-Design&amp;Const'!Z102,IF(F102="N","",J102))</f>
        <v>Electrical - Lighting **(verify existing system for renovations)</v>
      </c>
      <c r="I102" s="193"/>
      <c r="J102" s="578" t="str">
        <f>IF('C-Design&amp;Const'!AD102="","",'C-Design&amp;Const'!AD102)</f>
        <v/>
      </c>
      <c r="K102" s="228"/>
      <c r="L102" s="1410" t="str">
        <f t="shared" si="2"/>
        <v/>
      </c>
      <c r="M102" s="1382"/>
      <c r="N102" s="1382"/>
      <c r="O102" s="1382"/>
      <c r="P102" s="1382"/>
      <c r="Q102" s="1382"/>
      <c r="R102" s="1382"/>
      <c r="S102" s="1382"/>
      <c r="T102" s="1382"/>
      <c r="U102" s="1382"/>
      <c r="V102" s="1382"/>
      <c r="W102" s="1382"/>
      <c r="X102" s="1382"/>
      <c r="Y102" s="1382"/>
      <c r="Z102" s="1382"/>
      <c r="AA102" s="1382"/>
      <c r="AB102" s="1382"/>
      <c r="AC102" s="1382"/>
      <c r="AD102" s="1382"/>
      <c r="AE102" s="1382"/>
      <c r="AF102" s="1382"/>
      <c r="AG102" s="1382"/>
      <c r="AH102" s="1382"/>
      <c r="AI102" s="1382"/>
      <c r="AJ102" s="181"/>
      <c r="AK102" s="181"/>
      <c r="AL102" s="181"/>
      <c r="AM102" s="181"/>
      <c r="AN102" s="181"/>
      <c r="AO102" s="181"/>
      <c r="AP102" s="181"/>
      <c r="AQ102" s="181"/>
      <c r="AR102" s="181"/>
      <c r="AS102" s="181"/>
      <c r="AT102" s="181"/>
      <c r="AU102" s="181"/>
      <c r="AV102" s="181"/>
      <c r="AW102" s="181"/>
    </row>
    <row r="103" spans="1:49" s="30" customFormat="1" ht="15" customHeight="1" x14ac:dyDescent="0.25">
      <c r="A103" s="1408"/>
      <c r="B103" s="191"/>
      <c r="C103" s="945"/>
      <c r="D103" s="116"/>
      <c r="E103" s="466"/>
      <c r="F103" s="559" t="str">
        <f>IF('C-Design&amp;Const'!$G103="","",'C-Design&amp;Const'!$G103)</f>
        <v>Y</v>
      </c>
      <c r="G103" s="457"/>
      <c r="H103" s="796" t="str">
        <f>CONCATENATE(IF(F103="N","PLACEHOLDER ROW - ",""),'C-Design&amp;Const'!Z103,IF(F103="N","",J103))</f>
        <v>Electrical - Elevators **(verify existing system for renovations)</v>
      </c>
      <c r="I103" s="193"/>
      <c r="J103" s="578" t="str">
        <f>IF('C-Design&amp;Const'!AD103="","",'C-Design&amp;Const'!AD103)</f>
        <v/>
      </c>
      <c r="K103" s="228"/>
      <c r="L103" s="1410" t="str">
        <f t="shared" si="2"/>
        <v/>
      </c>
      <c r="M103" s="1382"/>
      <c r="N103" s="1382"/>
      <c r="O103" s="1382"/>
      <c r="P103" s="1382"/>
      <c r="Q103" s="1382"/>
      <c r="R103" s="1382"/>
      <c r="S103" s="1382"/>
      <c r="T103" s="1382"/>
      <c r="U103" s="1382"/>
      <c r="V103" s="1382"/>
      <c r="W103" s="1382"/>
      <c r="X103" s="1382"/>
      <c r="Y103" s="1382"/>
      <c r="Z103" s="1382"/>
      <c r="AA103" s="1382"/>
      <c r="AB103" s="1382"/>
      <c r="AC103" s="1382"/>
      <c r="AD103" s="1382"/>
      <c r="AE103" s="1382"/>
      <c r="AF103" s="1382"/>
      <c r="AG103" s="1382"/>
      <c r="AH103" s="1382"/>
      <c r="AI103" s="1382"/>
      <c r="AJ103" s="181"/>
      <c r="AK103" s="181"/>
      <c r="AL103" s="181"/>
      <c r="AM103" s="181"/>
      <c r="AN103" s="181"/>
      <c r="AO103" s="181"/>
      <c r="AP103" s="181"/>
      <c r="AQ103" s="181"/>
      <c r="AR103" s="181"/>
      <c r="AS103" s="181"/>
      <c r="AT103" s="181"/>
      <c r="AU103" s="181"/>
      <c r="AV103" s="181"/>
      <c r="AW103" s="181"/>
    </row>
    <row r="104" spans="1:49" s="30" customFormat="1" ht="15" customHeight="1" x14ac:dyDescent="0.25">
      <c r="A104" s="1408"/>
      <c r="B104" s="191"/>
      <c r="C104" s="945"/>
      <c r="D104" s="116"/>
      <c r="E104" s="466"/>
      <c r="F104" s="559" t="str">
        <f>IF('C-Design&amp;Const'!$G104="","",'C-Design&amp;Const'!$G104)</f>
        <v>Y</v>
      </c>
      <c r="G104" s="457"/>
      <c r="H104" s="408" t="str">
        <f>CONCATENATE(IF(F104="N","PLACEHOLDER ROW - ",""),'C-Design&amp;Const'!Z104,IF(F104="N","",J104))</f>
        <v>Electrical - Lightning Protection System(s) **(verify existing system for renovations)</v>
      </c>
      <c r="I104" s="193"/>
      <c r="J104" s="578" t="str">
        <f>IF('C-Design&amp;Const'!AD104="","",'C-Design&amp;Const'!AD104)</f>
        <v/>
      </c>
      <c r="K104" s="228"/>
      <c r="L104" s="1410" t="str">
        <f t="shared" si="2"/>
        <v/>
      </c>
      <c r="M104" s="1382"/>
      <c r="N104" s="1382"/>
      <c r="O104" s="1382"/>
      <c r="P104" s="1382"/>
      <c r="Q104" s="1382"/>
      <c r="R104" s="1382"/>
      <c r="S104" s="1382"/>
      <c r="T104" s="1382"/>
      <c r="U104" s="1382"/>
      <c r="V104" s="1382"/>
      <c r="W104" s="1382"/>
      <c r="X104" s="1382"/>
      <c r="Y104" s="1382"/>
      <c r="Z104" s="1382"/>
      <c r="AA104" s="1382"/>
      <c r="AB104" s="1382"/>
      <c r="AC104" s="1382"/>
      <c r="AD104" s="1382"/>
      <c r="AE104" s="1382"/>
      <c r="AF104" s="1382"/>
      <c r="AG104" s="1382"/>
      <c r="AH104" s="1382"/>
      <c r="AI104" s="1382"/>
      <c r="AJ104" s="181"/>
      <c r="AK104" s="181"/>
      <c r="AL104" s="181"/>
      <c r="AM104" s="181"/>
      <c r="AN104" s="181"/>
      <c r="AO104" s="181"/>
      <c r="AP104" s="181"/>
      <c r="AQ104" s="181"/>
      <c r="AR104" s="181"/>
      <c r="AS104" s="181"/>
      <c r="AT104" s="181"/>
      <c r="AU104" s="181"/>
      <c r="AV104" s="181"/>
      <c r="AW104" s="181"/>
    </row>
    <row r="105" spans="1:49" s="30" customFormat="1" ht="15" customHeight="1" x14ac:dyDescent="0.25">
      <c r="A105" s="1408"/>
      <c r="B105" s="191"/>
      <c r="C105" s="945"/>
      <c r="D105" s="116"/>
      <c r="E105" s="466"/>
      <c r="F105" s="559" t="str">
        <f>IF('C-Design&amp;Const'!$G105="","",'C-Design&amp;Const'!$G105)</f>
        <v>Y</v>
      </c>
      <c r="G105" s="457"/>
      <c r="H105" s="408" t="str">
        <f>CONCATENATE(IF(F105="N","PLACEHOLDER ROW - ",""),'C-Design&amp;Const'!Z105,IF(F105="N","",J105))</f>
        <v>Electrical - Fire Alarm System(s) **(verify existing system for renovations)</v>
      </c>
      <c r="I105" s="193"/>
      <c r="J105" s="578" t="str">
        <f>IF('C-Design&amp;Const'!AD105="","",'C-Design&amp;Const'!AD105)</f>
        <v/>
      </c>
      <c r="K105" s="228"/>
      <c r="L105" s="1410" t="str">
        <f t="shared" si="2"/>
        <v/>
      </c>
      <c r="M105" s="1382"/>
      <c r="N105" s="1382"/>
      <c r="O105" s="1382"/>
      <c r="P105" s="1382"/>
      <c r="Q105" s="1382"/>
      <c r="R105" s="1382"/>
      <c r="S105" s="1382"/>
      <c r="T105" s="1382"/>
      <c r="U105" s="1382"/>
      <c r="V105" s="1382"/>
      <c r="W105" s="1382"/>
      <c r="X105" s="1382"/>
      <c r="Y105" s="1382"/>
      <c r="Z105" s="1382"/>
      <c r="AA105" s="1382"/>
      <c r="AB105" s="1382"/>
      <c r="AC105" s="1382"/>
      <c r="AD105" s="1382"/>
      <c r="AE105" s="1382"/>
      <c r="AF105" s="1382"/>
      <c r="AG105" s="1382"/>
      <c r="AH105" s="1382"/>
      <c r="AI105" s="1382"/>
      <c r="AJ105" s="181"/>
      <c r="AK105" s="181"/>
      <c r="AL105" s="181"/>
      <c r="AM105" s="181"/>
      <c r="AN105" s="181"/>
      <c r="AO105" s="181"/>
      <c r="AP105" s="181"/>
      <c r="AQ105" s="181"/>
      <c r="AR105" s="181"/>
      <c r="AS105" s="181"/>
      <c r="AT105" s="181"/>
      <c r="AU105" s="181"/>
      <c r="AV105" s="181"/>
      <c r="AW105" s="181"/>
    </row>
    <row r="106" spans="1:49" s="30" customFormat="1" ht="28.5" customHeight="1" x14ac:dyDescent="0.25">
      <c r="A106" s="1408"/>
      <c r="B106" s="191"/>
      <c r="C106" s="945"/>
      <c r="D106" s="116"/>
      <c r="E106" s="466"/>
      <c r="F106" s="559" t="str">
        <f>IF('C-Design&amp;Const'!$G106="","",'C-Design&amp;Const'!$G106)</f>
        <v>Y</v>
      </c>
      <c r="G106" s="457"/>
      <c r="H106" s="408" t="str">
        <f>CONCATENATE(IF(F106="N","PLACEHOLDER ROW - ",""),'C-Design&amp;Const'!Z106,IF(F106="N","",J106))</f>
        <v>Electrical - Emergency Generator systems to support **(verify existing systems for renovations)</v>
      </c>
      <c r="I106" s="193"/>
      <c r="J106" s="578" t="str">
        <f>IF('C-Design&amp;Const'!AD106="","",'C-Design&amp;Const'!AD106)</f>
        <v/>
      </c>
      <c r="K106" s="228"/>
      <c r="L106" s="1410" t="str">
        <f t="shared" si="2"/>
        <v/>
      </c>
      <c r="M106" s="1382"/>
      <c r="N106" s="1382"/>
      <c r="O106" s="1382"/>
      <c r="P106" s="1382"/>
      <c r="Q106" s="1382"/>
      <c r="R106" s="1382"/>
      <c r="S106" s="1382"/>
      <c r="T106" s="1382"/>
      <c r="U106" s="1382"/>
      <c r="V106" s="1382"/>
      <c r="W106" s="1382"/>
      <c r="X106" s="1382"/>
      <c r="Y106" s="1382"/>
      <c r="Z106" s="1382"/>
      <c r="AA106" s="1382"/>
      <c r="AB106" s="1382"/>
      <c r="AC106" s="1382"/>
      <c r="AD106" s="1382"/>
      <c r="AE106" s="1382"/>
      <c r="AF106" s="1382"/>
      <c r="AG106" s="1382"/>
      <c r="AH106" s="1382"/>
      <c r="AI106" s="1382"/>
      <c r="AJ106" s="181"/>
      <c r="AK106" s="181"/>
      <c r="AL106" s="181"/>
      <c r="AM106" s="181"/>
      <c r="AN106" s="181"/>
      <c r="AO106" s="181"/>
      <c r="AP106" s="181"/>
      <c r="AQ106" s="181"/>
      <c r="AR106" s="181"/>
      <c r="AS106" s="181"/>
      <c r="AT106" s="181"/>
      <c r="AU106" s="181"/>
      <c r="AV106" s="181"/>
      <c r="AW106" s="181"/>
    </row>
    <row r="107" spans="1:49" s="30" customFormat="1" ht="15" customHeight="1" x14ac:dyDescent="0.25">
      <c r="A107" s="1408"/>
      <c r="B107" s="191"/>
      <c r="C107" s="945"/>
      <c r="D107" s="116"/>
      <c r="E107" s="466"/>
      <c r="F107" s="559" t="str">
        <f>IF('C-Design&amp;Const'!$G107="","",'C-Design&amp;Const'!$G107)</f>
        <v>N</v>
      </c>
      <c r="G107" s="457"/>
      <c r="H107" s="408" t="str">
        <f>CONCATENATE(IF(F107="N","PLACEHOLDER ROW - ",""),'C-Design&amp;Const'!Z107,IF(F107="N","",J107))</f>
        <v>PLACEHOLDER ROW - Electrical - Cut Sheets or Product Sheets on Lighting fixtures</v>
      </c>
      <c r="I107" s="193"/>
      <c r="J107" s="578" t="str">
        <f>IF('C-Design&amp;Const'!AD107="","",'C-Design&amp;Const'!AD107)</f>
        <v/>
      </c>
      <c r="K107" s="228"/>
      <c r="L107" s="1410" t="str">
        <f t="shared" si="2"/>
        <v>&lt;---PM/Planner may hide PLACEHOLDER ROW</v>
      </c>
      <c r="M107" s="1382"/>
      <c r="N107" s="1382"/>
      <c r="O107" s="1382"/>
      <c r="P107" s="1382"/>
      <c r="Q107" s="1382"/>
      <c r="R107" s="1382"/>
      <c r="S107" s="1382"/>
      <c r="T107" s="1382"/>
      <c r="U107" s="1382"/>
      <c r="V107" s="1382"/>
      <c r="W107" s="1382"/>
      <c r="X107" s="1382"/>
      <c r="Y107" s="1382"/>
      <c r="Z107" s="1382"/>
      <c r="AA107" s="1382"/>
      <c r="AB107" s="1382"/>
      <c r="AC107" s="1382"/>
      <c r="AD107" s="1382"/>
      <c r="AE107" s="1382"/>
      <c r="AF107" s="1382"/>
      <c r="AG107" s="1382"/>
      <c r="AH107" s="1382"/>
      <c r="AI107" s="1382"/>
      <c r="AJ107" s="181"/>
      <c r="AK107" s="181"/>
      <c r="AL107" s="181"/>
      <c r="AM107" s="181"/>
      <c r="AN107" s="181"/>
      <c r="AO107" s="181"/>
      <c r="AP107" s="181"/>
      <c r="AQ107" s="181"/>
      <c r="AR107" s="181"/>
      <c r="AS107" s="181"/>
      <c r="AT107" s="181"/>
      <c r="AU107" s="181"/>
      <c r="AV107" s="181"/>
      <c r="AW107" s="181"/>
    </row>
    <row r="108" spans="1:49" s="30" customFormat="1" ht="15" customHeight="1" x14ac:dyDescent="0.25">
      <c r="A108" s="1408"/>
      <c r="B108" s="191"/>
      <c r="C108" s="945"/>
      <c r="D108" s="116"/>
      <c r="E108" s="466"/>
      <c r="F108" s="559" t="str">
        <f>IF('C-Design&amp;Const'!$G108="","",'C-Design&amp;Const'!$G108)</f>
        <v>N</v>
      </c>
      <c r="G108" s="457"/>
      <c r="H108" s="408" t="str">
        <f>CONCATENATE(IF(F108="N","PLACEHOLDER ROW - ",""),'C-Design&amp;Const'!Z108,IF(F108="N","",J108))</f>
        <v>PLACEHOLDER ROW - Electrical - CUSTOM</v>
      </c>
      <c r="I108" s="193"/>
      <c r="J108" s="578" t="str">
        <f>IF('C-Design&amp;Const'!AD108="","",'C-Design&amp;Const'!AD108)</f>
        <v/>
      </c>
      <c r="K108" s="228"/>
      <c r="L108" s="1410" t="str">
        <f t="shared" si="2"/>
        <v>&lt;---PM/Planner may hide PLACEHOLDER ROW</v>
      </c>
      <c r="M108" s="1382"/>
      <c r="N108" s="1382"/>
      <c r="O108" s="1382"/>
      <c r="P108" s="1382"/>
      <c r="Q108" s="1382"/>
      <c r="R108" s="1382"/>
      <c r="S108" s="1382"/>
      <c r="T108" s="1382"/>
      <c r="U108" s="1382"/>
      <c r="V108" s="1382"/>
      <c r="W108" s="1382"/>
      <c r="X108" s="1382"/>
      <c r="Y108" s="1382"/>
      <c r="Z108" s="1382"/>
      <c r="AA108" s="1382"/>
      <c r="AB108" s="1382"/>
      <c r="AC108" s="1382"/>
      <c r="AD108" s="1382"/>
      <c r="AE108" s="1382"/>
      <c r="AF108" s="1382"/>
      <c r="AG108" s="1382"/>
      <c r="AH108" s="1382"/>
      <c r="AI108" s="1382"/>
      <c r="AJ108" s="181"/>
      <c r="AK108" s="181"/>
      <c r="AL108" s="181"/>
      <c r="AM108" s="181"/>
      <c r="AN108" s="181"/>
      <c r="AO108" s="181"/>
      <c r="AP108" s="181"/>
      <c r="AQ108" s="181"/>
      <c r="AR108" s="181"/>
      <c r="AS108" s="181"/>
      <c r="AT108" s="181"/>
      <c r="AU108" s="181"/>
      <c r="AV108" s="181"/>
      <c r="AW108" s="181"/>
    </row>
    <row r="109" spans="1:49" s="30" customFormat="1" ht="15" customHeight="1" x14ac:dyDescent="0.25">
      <c r="A109" s="1408"/>
      <c r="B109" s="191"/>
      <c r="C109" s="945"/>
      <c r="D109" s="116"/>
      <c r="E109" s="466"/>
      <c r="F109" s="559" t="str">
        <f>IF('C-Design&amp;Const'!$G109="","",'C-Design&amp;Const'!$G109)</f>
        <v>Y</v>
      </c>
      <c r="G109" s="457"/>
      <c r="H109" s="408" t="str">
        <f>CONCATENATE(IF(F109="N","PLACEHOLDER ROW - ",""),'C-Design&amp;Const'!Z109,IF(F109="N","",J109))</f>
        <v>Building Automation Systems- General - **(verify existing system for renovations)</v>
      </c>
      <c r="I109" s="193"/>
      <c r="J109" s="578" t="str">
        <f>IF('C-Design&amp;Const'!AD109="","",'C-Design&amp;Const'!AD109)</f>
        <v/>
      </c>
      <c r="K109" s="228"/>
      <c r="L109" s="1410" t="str">
        <f t="shared" ref="L109:L116" si="3">CONCATENATE(IF(ISNUMBER(SEARCH("Placeholder",H109))=TRUE,"&lt;---PM/Planner may hide PLACEHOLDER ROW",""))</f>
        <v/>
      </c>
      <c r="M109" s="1382"/>
      <c r="N109" s="1382"/>
      <c r="O109" s="1382"/>
      <c r="P109" s="1382"/>
      <c r="Q109" s="1382"/>
      <c r="R109" s="1382"/>
      <c r="S109" s="1382"/>
      <c r="T109" s="1382"/>
      <c r="U109" s="1382"/>
      <c r="V109" s="1382"/>
      <c r="W109" s="1382"/>
      <c r="X109" s="1382"/>
      <c r="Y109" s="1382"/>
      <c r="Z109" s="1382"/>
      <c r="AA109" s="1382"/>
      <c r="AB109" s="1382"/>
      <c r="AC109" s="1382"/>
      <c r="AD109" s="1382"/>
      <c r="AE109" s="1382"/>
      <c r="AF109" s="1382"/>
      <c r="AG109" s="1382"/>
      <c r="AH109" s="1382"/>
      <c r="AI109" s="1382"/>
      <c r="AJ109" s="181"/>
      <c r="AK109" s="181"/>
      <c r="AL109" s="181"/>
      <c r="AM109" s="181"/>
      <c r="AN109" s="181"/>
      <c r="AO109" s="181"/>
      <c r="AP109" s="181"/>
      <c r="AQ109" s="181"/>
      <c r="AR109" s="181"/>
      <c r="AS109" s="181"/>
      <c r="AT109" s="181"/>
      <c r="AU109" s="181"/>
      <c r="AV109" s="181"/>
      <c r="AW109" s="181"/>
    </row>
    <row r="110" spans="1:49" s="545" customFormat="1" ht="15" customHeight="1" x14ac:dyDescent="0.25">
      <c r="A110" s="1402"/>
      <c r="B110" s="554"/>
      <c r="C110" s="945"/>
      <c r="D110" s="116"/>
      <c r="E110" s="411"/>
      <c r="F110" s="559" t="str">
        <f>IF('C-Design&amp;Const'!$G110="","",'C-Design&amp;Const'!$G110)</f>
        <v>Y</v>
      </c>
      <c r="G110" s="457"/>
      <c r="H110" s="408" t="str">
        <f>CONCATENATE(IF(F110="N","PLACEHOLDER ROW - ",""),'C-Design&amp;Const'!Z110,IF(F110="N","",J110))</f>
        <v>Building Automation Systems - Demolition(s)</v>
      </c>
      <c r="I110" s="197"/>
      <c r="J110" s="578"/>
      <c r="K110" s="228"/>
      <c r="L110" s="1410"/>
      <c r="M110" s="1382"/>
      <c r="N110" s="1382"/>
      <c r="O110" s="1382"/>
      <c r="P110" s="1382"/>
      <c r="Q110" s="1382"/>
      <c r="R110" s="1382"/>
      <c r="S110" s="1382"/>
      <c r="T110" s="1382"/>
      <c r="U110" s="1382"/>
      <c r="V110" s="1382"/>
      <c r="W110" s="1382"/>
      <c r="X110" s="1382"/>
      <c r="Y110" s="1382"/>
      <c r="Z110" s="1382"/>
      <c r="AA110" s="1382"/>
      <c r="AB110" s="1382"/>
      <c r="AC110" s="1382"/>
      <c r="AD110" s="1382"/>
      <c r="AE110" s="1382"/>
      <c r="AF110" s="1382"/>
      <c r="AG110" s="1382"/>
      <c r="AH110" s="1382"/>
      <c r="AI110" s="1382"/>
      <c r="AJ110" s="551"/>
      <c r="AK110" s="551"/>
      <c r="AL110" s="551"/>
      <c r="AM110" s="551"/>
      <c r="AN110" s="551"/>
      <c r="AO110" s="551"/>
      <c r="AP110" s="551"/>
      <c r="AQ110" s="551"/>
      <c r="AR110" s="551"/>
      <c r="AS110" s="551"/>
      <c r="AT110" s="551"/>
      <c r="AU110" s="551"/>
      <c r="AV110" s="551"/>
      <c r="AW110" s="551"/>
    </row>
    <row r="111" spans="1:49" s="30" customFormat="1" ht="15" customHeight="1" x14ac:dyDescent="0.25">
      <c r="A111" s="1408"/>
      <c r="B111" s="191"/>
      <c r="C111" s="945"/>
      <c r="D111" s="116"/>
      <c r="E111" s="466"/>
      <c r="F111" s="559" t="str">
        <f>IF('C-Design&amp;Const'!$G111="","",'C-Design&amp;Const'!$G111)</f>
        <v>Y</v>
      </c>
      <c r="G111" s="457"/>
      <c r="H111" s="408" t="str">
        <f>CONCATENATE(IF(F111="N","PLACEHOLDER ROW - ",""),'C-Design&amp;Const'!Z111,IF(F111="N","",J111))</f>
        <v>Building Automation Systems - Systems Network Architecture</v>
      </c>
      <c r="I111" s="193"/>
      <c r="J111" s="578" t="str">
        <f>IF('C-Design&amp;Const'!AD111="","",'C-Design&amp;Const'!AD111)</f>
        <v/>
      </c>
      <c r="K111" s="228"/>
      <c r="L111" s="1410" t="str">
        <f t="shared" si="3"/>
        <v/>
      </c>
      <c r="M111" s="1382"/>
      <c r="N111" s="1382"/>
      <c r="O111" s="1382"/>
      <c r="P111" s="1382"/>
      <c r="Q111" s="1382"/>
      <c r="R111" s="1382"/>
      <c r="S111" s="1382"/>
      <c r="T111" s="1382"/>
      <c r="U111" s="1382"/>
      <c r="V111" s="1382"/>
      <c r="W111" s="1382"/>
      <c r="X111" s="1382"/>
      <c r="Y111" s="1382"/>
      <c r="Z111" s="1382"/>
      <c r="AA111" s="1382"/>
      <c r="AB111" s="1382"/>
      <c r="AC111" s="1382"/>
      <c r="AD111" s="1382"/>
      <c r="AE111" s="1382"/>
      <c r="AF111" s="1382"/>
      <c r="AG111" s="1382"/>
      <c r="AH111" s="1382"/>
      <c r="AI111" s="1382"/>
      <c r="AJ111" s="181"/>
      <c r="AK111" s="181"/>
      <c r="AL111" s="181"/>
      <c r="AM111" s="181"/>
      <c r="AN111" s="181"/>
      <c r="AO111" s="181"/>
      <c r="AP111" s="181"/>
      <c r="AQ111" s="181"/>
      <c r="AR111" s="181"/>
      <c r="AS111" s="181"/>
      <c r="AT111" s="181"/>
      <c r="AU111" s="181"/>
      <c r="AV111" s="181"/>
      <c r="AW111" s="181"/>
    </row>
    <row r="112" spans="1:49" s="30" customFormat="1" ht="15" customHeight="1" x14ac:dyDescent="0.25">
      <c r="A112" s="1407"/>
      <c r="B112" s="191"/>
      <c r="C112" s="945"/>
      <c r="D112" s="10"/>
      <c r="E112" s="467"/>
      <c r="F112" s="559" t="str">
        <f>IF('C-Design&amp;Const'!$G112="","",'C-Design&amp;Const'!$G112)</f>
        <v>Y</v>
      </c>
      <c r="G112" s="291"/>
      <c r="H112" s="408" t="str">
        <f>CONCATENATE(IF(F112="N","PLACEHOLDER ROW - ",""),'C-Design&amp;Const'!Z112,IF(F112="N","",J112))</f>
        <v>Building Automation Systems - HVAC Temperature Controls System(s)</v>
      </c>
      <c r="I112" s="184"/>
      <c r="J112" s="578" t="str">
        <f>IF('C-Design&amp;Const'!AD112="","",'C-Design&amp;Const'!AD112)</f>
        <v/>
      </c>
      <c r="K112" s="228"/>
      <c r="L112" s="1410" t="str">
        <f t="shared" si="3"/>
        <v/>
      </c>
      <c r="M112" s="1382"/>
      <c r="N112" s="1382"/>
      <c r="O112" s="1382"/>
      <c r="P112" s="1382"/>
      <c r="Q112" s="1382"/>
      <c r="R112" s="1382"/>
      <c r="S112" s="1382"/>
      <c r="T112" s="1382"/>
      <c r="U112" s="1382"/>
      <c r="V112" s="1382"/>
      <c r="W112" s="1382"/>
      <c r="X112" s="1382"/>
      <c r="Y112" s="1382"/>
      <c r="Z112" s="1382"/>
      <c r="AA112" s="1382"/>
      <c r="AB112" s="1382"/>
      <c r="AC112" s="1382"/>
      <c r="AD112" s="1382"/>
      <c r="AE112" s="1382"/>
      <c r="AF112" s="1382"/>
      <c r="AG112" s="1382"/>
      <c r="AH112" s="1382"/>
      <c r="AI112" s="1382"/>
      <c r="AJ112" s="181"/>
      <c r="AK112" s="181"/>
      <c r="AL112" s="181"/>
      <c r="AM112" s="181"/>
      <c r="AN112" s="181"/>
      <c r="AO112" s="181"/>
      <c r="AP112" s="181"/>
      <c r="AQ112" s="181"/>
      <c r="AR112" s="181"/>
      <c r="AS112" s="181"/>
      <c r="AT112" s="181"/>
      <c r="AU112" s="181"/>
      <c r="AV112" s="181"/>
      <c r="AW112" s="181"/>
    </row>
    <row r="113" spans="1:49" s="30" customFormat="1" ht="15" customHeight="1" x14ac:dyDescent="0.25">
      <c r="A113" s="1407"/>
      <c r="B113" s="191"/>
      <c r="C113" s="945"/>
      <c r="D113" s="10"/>
      <c r="E113" s="467"/>
      <c r="F113" s="559" t="str">
        <f>IF('C-Design&amp;Const'!$G113="","",'C-Design&amp;Const'!$G113)</f>
        <v>N</v>
      </c>
      <c r="G113" s="291"/>
      <c r="H113" s="408" t="str">
        <f>CONCATENATE(IF(F113="N","PLACEHOLDER ROW - ",""),'C-Design&amp;Const'!Z113,IF(F113="N","",J113))</f>
        <v>PLACEHOLDER ROW - Building Automation Systems - CUSTOM</v>
      </c>
      <c r="I113" s="184"/>
      <c r="J113" s="578" t="str">
        <f>IF('C-Design&amp;Const'!AD113="","",'C-Design&amp;Const'!AD113)</f>
        <v/>
      </c>
      <c r="K113" s="228"/>
      <c r="L113" s="1410" t="str">
        <f t="shared" si="3"/>
        <v>&lt;---PM/Planner may hide PLACEHOLDER ROW</v>
      </c>
      <c r="M113" s="1382"/>
      <c r="N113" s="1382"/>
      <c r="O113" s="1382"/>
      <c r="P113" s="1382"/>
      <c r="Q113" s="1382"/>
      <c r="R113" s="1382"/>
      <c r="S113" s="1382"/>
      <c r="T113" s="1382"/>
      <c r="U113" s="1382"/>
      <c r="V113" s="1382"/>
      <c r="W113" s="1382"/>
      <c r="X113" s="1382"/>
      <c r="Y113" s="1382"/>
      <c r="Z113" s="1382"/>
      <c r="AA113" s="1382"/>
      <c r="AB113" s="1382"/>
      <c r="AC113" s="1382"/>
      <c r="AD113" s="1382"/>
      <c r="AE113" s="1382"/>
      <c r="AF113" s="1382"/>
      <c r="AG113" s="1382"/>
      <c r="AH113" s="1382"/>
      <c r="AI113" s="1382"/>
      <c r="AJ113" s="181"/>
      <c r="AK113" s="181"/>
      <c r="AL113" s="181"/>
      <c r="AM113" s="181"/>
      <c r="AN113" s="181"/>
      <c r="AO113" s="181"/>
      <c r="AP113" s="181"/>
      <c r="AQ113" s="181"/>
      <c r="AR113" s="181"/>
      <c r="AS113" s="181"/>
      <c r="AT113" s="181"/>
      <c r="AU113" s="181"/>
      <c r="AV113" s="181"/>
      <c r="AW113" s="181"/>
    </row>
    <row r="114" spans="1:49" s="30" customFormat="1" ht="15" customHeight="1" x14ac:dyDescent="0.25">
      <c r="A114" s="1407"/>
      <c r="B114" s="191"/>
      <c r="C114" s="945"/>
      <c r="D114" s="10"/>
      <c r="E114" s="467"/>
      <c r="F114" s="559" t="str">
        <f>IF('C-Design&amp;Const'!$G114="","",'C-Design&amp;Const'!$G114)</f>
        <v>Y</v>
      </c>
      <c r="G114" s="291"/>
      <c r="H114" s="408" t="str">
        <f>CONCATENATE(IF(F114="N","PLACEHOLDER ROW - ",""),'C-Design&amp;Const'!Z114,IF(F114="N","",J114))</f>
        <v>Access Controls - General Systems</v>
      </c>
      <c r="I114" s="184"/>
      <c r="J114" s="578" t="str">
        <f>IF('C-Design&amp;Const'!AD114="","",'C-Design&amp;Const'!AD114)</f>
        <v/>
      </c>
      <c r="K114" s="228"/>
      <c r="L114" s="1410" t="str">
        <f t="shared" si="3"/>
        <v/>
      </c>
      <c r="M114" s="1382"/>
      <c r="N114" s="1382"/>
      <c r="O114" s="1382"/>
      <c r="P114" s="1382"/>
      <c r="Q114" s="1382"/>
      <c r="R114" s="1382"/>
      <c r="S114" s="1382"/>
      <c r="T114" s="1382"/>
      <c r="U114" s="1382"/>
      <c r="V114" s="1382"/>
      <c r="W114" s="1382"/>
      <c r="X114" s="1382"/>
      <c r="Y114" s="1382"/>
      <c r="Z114" s="1382"/>
      <c r="AA114" s="1382"/>
      <c r="AB114" s="1382"/>
      <c r="AC114" s="1382"/>
      <c r="AD114" s="1382"/>
      <c r="AE114" s="1382"/>
      <c r="AF114" s="1382"/>
      <c r="AG114" s="1382"/>
      <c r="AH114" s="1382"/>
      <c r="AI114" s="1382"/>
      <c r="AJ114" s="181"/>
      <c r="AK114" s="181"/>
      <c r="AL114" s="181"/>
      <c r="AM114" s="181"/>
      <c r="AN114" s="181"/>
      <c r="AO114" s="181"/>
      <c r="AP114" s="181"/>
      <c r="AQ114" s="181"/>
      <c r="AR114" s="181"/>
      <c r="AS114" s="181"/>
      <c r="AT114" s="181"/>
      <c r="AU114" s="181"/>
      <c r="AV114" s="181"/>
      <c r="AW114" s="181"/>
    </row>
    <row r="115" spans="1:49" s="545" customFormat="1" ht="15" customHeight="1" x14ac:dyDescent="0.25">
      <c r="A115" s="1402"/>
      <c r="B115" s="554"/>
      <c r="C115" s="945"/>
      <c r="D115" s="116"/>
      <c r="E115" s="411"/>
      <c r="F115" s="559" t="str">
        <f>IF('C-Design&amp;Const'!$G115="","",'C-Design&amp;Const'!$G115)</f>
        <v>Y</v>
      </c>
      <c r="G115" s="457"/>
      <c r="H115" s="408" t="str">
        <f>CONCATENATE(IF(F115="N","PLACEHOLDER ROW - ",""),'C-Design&amp;Const'!Z115,IF(F115="N","",J115))</f>
        <v>Access Controls - Demolition(s)</v>
      </c>
      <c r="I115" s="197"/>
      <c r="J115" s="578"/>
      <c r="K115" s="228"/>
      <c r="L115" s="1410"/>
      <c r="M115" s="1382"/>
      <c r="N115" s="1382"/>
      <c r="O115" s="1382"/>
      <c r="P115" s="1382"/>
      <c r="Q115" s="1382"/>
      <c r="R115" s="1382"/>
      <c r="S115" s="1382"/>
      <c r="T115" s="1382"/>
      <c r="U115" s="1382"/>
      <c r="V115" s="1382"/>
      <c r="W115" s="1382"/>
      <c r="X115" s="1382"/>
      <c r="Y115" s="1382"/>
      <c r="Z115" s="1382"/>
      <c r="AA115" s="1382"/>
      <c r="AB115" s="1382"/>
      <c r="AC115" s="1382"/>
      <c r="AD115" s="1382"/>
      <c r="AE115" s="1382"/>
      <c r="AF115" s="1382"/>
      <c r="AG115" s="1382"/>
      <c r="AH115" s="1382"/>
      <c r="AI115" s="1382"/>
      <c r="AJ115" s="551"/>
      <c r="AK115" s="551"/>
      <c r="AL115" s="551"/>
      <c r="AM115" s="551"/>
      <c r="AN115" s="551"/>
      <c r="AO115" s="551"/>
      <c r="AP115" s="551"/>
      <c r="AQ115" s="551"/>
      <c r="AR115" s="551"/>
      <c r="AS115" s="551"/>
      <c r="AT115" s="551"/>
      <c r="AU115" s="551"/>
      <c r="AV115" s="551"/>
      <c r="AW115" s="551"/>
    </row>
    <row r="116" spans="1:49" s="30" customFormat="1" ht="15" customHeight="1" x14ac:dyDescent="0.25">
      <c r="A116" s="1407"/>
      <c r="B116" s="191"/>
      <c r="C116" s="945"/>
      <c r="D116" s="10"/>
      <c r="E116" s="467"/>
      <c r="F116" s="559" t="str">
        <f>IF('C-Design&amp;Const'!$G116="","",'C-Design&amp;Const'!$G116)</f>
        <v>N</v>
      </c>
      <c r="G116" s="291"/>
      <c r="H116" s="408" t="str">
        <f>CONCATENATE(IF(F116="N","PLACEHOLDER ROW - ",""),'C-Design&amp;Const'!Z116,IF(F116="N","",J116))</f>
        <v>PLACEHOLDER ROW - Access Controls - CUSTOM</v>
      </c>
      <c r="I116" s="184"/>
      <c r="J116" s="578" t="str">
        <f>IF('C-Design&amp;Const'!AD116="","",'C-Design&amp;Const'!AD116)</f>
        <v/>
      </c>
      <c r="K116" s="228"/>
      <c r="L116" s="1410" t="str">
        <f t="shared" si="3"/>
        <v>&lt;---PM/Planner may hide PLACEHOLDER ROW</v>
      </c>
      <c r="M116" s="1382"/>
      <c r="N116" s="1382"/>
      <c r="O116" s="1382"/>
      <c r="P116" s="1382"/>
      <c r="Q116" s="1382"/>
      <c r="R116" s="1382"/>
      <c r="S116" s="1382"/>
      <c r="T116" s="1382"/>
      <c r="U116" s="1382"/>
      <c r="V116" s="1382"/>
      <c r="W116" s="1382"/>
      <c r="X116" s="1382"/>
      <c r="Y116" s="1382"/>
      <c r="Z116" s="1382"/>
      <c r="AA116" s="1382"/>
      <c r="AB116" s="1382"/>
      <c r="AC116" s="1382"/>
      <c r="AD116" s="1382"/>
      <c r="AE116" s="1382"/>
      <c r="AF116" s="1382"/>
      <c r="AG116" s="1382"/>
      <c r="AH116" s="1382"/>
      <c r="AI116" s="1382"/>
      <c r="AJ116" s="181"/>
      <c r="AK116" s="181"/>
      <c r="AL116" s="181"/>
      <c r="AM116" s="181"/>
      <c r="AN116" s="181"/>
      <c r="AO116" s="181"/>
      <c r="AP116" s="181"/>
      <c r="AQ116" s="181"/>
      <c r="AR116" s="181"/>
      <c r="AS116" s="181"/>
      <c r="AT116" s="181"/>
      <c r="AU116" s="181"/>
      <c r="AV116" s="181"/>
      <c r="AW116" s="181"/>
    </row>
    <row r="117" spans="1:49" s="30" customFormat="1" ht="15" customHeight="1" x14ac:dyDescent="0.25">
      <c r="A117" s="1408"/>
      <c r="B117" s="191"/>
      <c r="C117" s="945"/>
      <c r="D117" s="116"/>
      <c r="E117" s="466"/>
      <c r="F117" s="559" t="str">
        <f>IF('C-Design&amp;Const'!$G117="","",'C-Design&amp;Const'!$G117)</f>
        <v>Y</v>
      </c>
      <c r="G117" s="457"/>
      <c r="H117" s="408" t="str">
        <f>CONCATENATE(IF(F117="N","PLACEHOLDER ROW - ",""),'C-Design&amp;Const'!Z117,IF(F117="N","",J117))</f>
        <v xml:space="preserve">Telecom - General Systems </v>
      </c>
      <c r="I117" s="193"/>
      <c r="J117" s="578" t="str">
        <f>IF('C-Design&amp;Const'!AD117="","",'C-Design&amp;Const'!AD117)</f>
        <v/>
      </c>
      <c r="K117" s="228"/>
      <c r="L117" s="1410" t="str">
        <f t="shared" si="2"/>
        <v/>
      </c>
      <c r="M117" s="1382"/>
      <c r="N117" s="1382"/>
      <c r="O117" s="1382"/>
      <c r="P117" s="1382"/>
      <c r="Q117" s="1382"/>
      <c r="R117" s="1382"/>
      <c r="S117" s="1382"/>
      <c r="T117" s="1382"/>
      <c r="U117" s="1382"/>
      <c r="V117" s="1382"/>
      <c r="W117" s="1382"/>
      <c r="X117" s="1382"/>
      <c r="Y117" s="1382"/>
      <c r="Z117" s="1382"/>
      <c r="AA117" s="1382"/>
      <c r="AB117" s="1382"/>
      <c r="AC117" s="1382"/>
      <c r="AD117" s="1382"/>
      <c r="AE117" s="1382"/>
      <c r="AF117" s="1382"/>
      <c r="AG117" s="1382"/>
      <c r="AH117" s="1382"/>
      <c r="AI117" s="1382"/>
      <c r="AJ117" s="181"/>
      <c r="AK117" s="181"/>
      <c r="AL117" s="181"/>
      <c r="AM117" s="181"/>
      <c r="AN117" s="181"/>
      <c r="AO117" s="181"/>
      <c r="AP117" s="181"/>
      <c r="AQ117" s="181"/>
      <c r="AR117" s="181"/>
      <c r="AS117" s="181"/>
      <c r="AT117" s="181"/>
      <c r="AU117" s="181"/>
      <c r="AV117" s="181"/>
      <c r="AW117" s="181"/>
    </row>
    <row r="118" spans="1:49" s="545" customFormat="1" ht="15" customHeight="1" x14ac:dyDescent="0.25">
      <c r="A118" s="1402"/>
      <c r="B118" s="554"/>
      <c r="C118" s="945"/>
      <c r="D118" s="116"/>
      <c r="E118" s="411"/>
      <c r="F118" s="559" t="str">
        <f>IF('C-Design&amp;Const'!$G118="","",'C-Design&amp;Const'!$G118)</f>
        <v>Y</v>
      </c>
      <c r="G118" s="457"/>
      <c r="H118" s="408" t="str">
        <f>CONCATENATE(IF(F118="N","PLACEHOLDER ROW - ",""),'C-Design&amp;Const'!Z118,IF(F118="N","",J118))</f>
        <v>Telecom - Demolition(s)</v>
      </c>
      <c r="I118" s="197"/>
      <c r="J118" s="578"/>
      <c r="K118" s="228"/>
      <c r="L118" s="1410"/>
      <c r="M118" s="1382"/>
      <c r="N118" s="1382"/>
      <c r="O118" s="1382"/>
      <c r="P118" s="1382"/>
      <c r="Q118" s="1382"/>
      <c r="R118" s="1382"/>
      <c r="S118" s="1382"/>
      <c r="T118" s="1382"/>
      <c r="U118" s="1382"/>
      <c r="V118" s="1382"/>
      <c r="W118" s="1382"/>
      <c r="X118" s="1382"/>
      <c r="Y118" s="1382"/>
      <c r="Z118" s="1382"/>
      <c r="AA118" s="1382"/>
      <c r="AB118" s="1382"/>
      <c r="AC118" s="1382"/>
      <c r="AD118" s="1382"/>
      <c r="AE118" s="1382"/>
      <c r="AF118" s="1382"/>
      <c r="AG118" s="1382"/>
      <c r="AH118" s="1382"/>
      <c r="AI118" s="1382"/>
      <c r="AJ118" s="551"/>
      <c r="AK118" s="551"/>
      <c r="AL118" s="551"/>
      <c r="AM118" s="551"/>
      <c r="AN118" s="551"/>
      <c r="AO118" s="551"/>
      <c r="AP118" s="551"/>
      <c r="AQ118" s="551"/>
      <c r="AR118" s="551"/>
      <c r="AS118" s="551"/>
      <c r="AT118" s="551"/>
      <c r="AU118" s="551"/>
      <c r="AV118" s="551"/>
      <c r="AW118" s="551"/>
    </row>
    <row r="119" spans="1:49" s="30" customFormat="1" ht="15" customHeight="1" x14ac:dyDescent="0.25">
      <c r="A119" s="1408"/>
      <c r="B119" s="191"/>
      <c r="C119" s="945"/>
      <c r="D119" s="116"/>
      <c r="E119" s="466"/>
      <c r="F119" s="559" t="str">
        <f>IF('C-Design&amp;Const'!$G119="","",'C-Design&amp;Const'!$G119)</f>
        <v>N</v>
      </c>
      <c r="G119" s="457"/>
      <c r="H119" s="408" t="str">
        <f>CONCATENATE(IF(F119="N","PLACEHOLDER ROW - ",""),'C-Design&amp;Const'!Z119,IF(F119="N","",J119))</f>
        <v>PLACEHOLDER ROW - Telecom - CUSTOM</v>
      </c>
      <c r="I119" s="193"/>
      <c r="J119" s="578" t="str">
        <f>IF('C-Design&amp;Const'!AD119="","",'C-Design&amp;Const'!AD119)</f>
        <v/>
      </c>
      <c r="K119" s="228"/>
      <c r="L119" s="1410" t="str">
        <f t="shared" si="2"/>
        <v>&lt;---PM/Planner may hide PLACEHOLDER ROW</v>
      </c>
      <c r="M119" s="1382"/>
      <c r="N119" s="1382"/>
      <c r="O119" s="1382"/>
      <c r="P119" s="1382"/>
      <c r="Q119" s="1382"/>
      <c r="R119" s="1382"/>
      <c r="S119" s="1382"/>
      <c r="T119" s="1382"/>
      <c r="U119" s="1382"/>
      <c r="V119" s="1382"/>
      <c r="W119" s="1382"/>
      <c r="X119" s="1382"/>
      <c r="Y119" s="1382"/>
      <c r="Z119" s="1382"/>
      <c r="AA119" s="1382"/>
      <c r="AB119" s="1382"/>
      <c r="AC119" s="1382"/>
      <c r="AD119" s="1382"/>
      <c r="AE119" s="1382"/>
      <c r="AF119" s="1382"/>
      <c r="AG119" s="1382"/>
      <c r="AH119" s="1382"/>
      <c r="AI119" s="1382"/>
      <c r="AJ119" s="181"/>
      <c r="AK119" s="181"/>
      <c r="AL119" s="181"/>
      <c r="AM119" s="181"/>
      <c r="AN119" s="181"/>
      <c r="AO119" s="181"/>
      <c r="AP119" s="181"/>
      <c r="AQ119" s="181"/>
      <c r="AR119" s="181"/>
      <c r="AS119" s="181"/>
      <c r="AT119" s="181"/>
      <c r="AU119" s="181"/>
      <c r="AV119" s="181"/>
      <c r="AW119" s="181"/>
    </row>
    <row r="120" spans="1:49" s="30" customFormat="1" ht="15" customHeight="1" x14ac:dyDescent="0.25">
      <c r="A120" s="1408"/>
      <c r="B120" s="191"/>
      <c r="C120" s="945"/>
      <c r="D120" s="116"/>
      <c r="E120" s="466"/>
      <c r="F120" s="559" t="str">
        <f>IF('C-Design&amp;Const'!$G120="","",'C-Design&amp;Const'!$G120)</f>
        <v>Y</v>
      </c>
      <c r="G120" s="457"/>
      <c r="H120" s="408" t="str">
        <f>CONCATENATE(IF(F120="N","PLACEHOLDER ROW - ",""),'C-Design&amp;Const'!Z120,IF(F120="N","",J120))</f>
        <v>Audio Visual - General Systems</v>
      </c>
      <c r="I120" s="193"/>
      <c r="J120" s="578" t="str">
        <f>IF('C-Design&amp;Const'!AD120="","",'C-Design&amp;Const'!AD120)</f>
        <v/>
      </c>
      <c r="K120" s="228"/>
      <c r="L120" s="1410" t="str">
        <f t="shared" si="2"/>
        <v/>
      </c>
      <c r="M120" s="1382"/>
      <c r="N120" s="1382"/>
      <c r="O120" s="1382"/>
      <c r="P120" s="1382"/>
      <c r="Q120" s="1382"/>
      <c r="R120" s="1382"/>
      <c r="S120" s="1382"/>
      <c r="T120" s="1382"/>
      <c r="U120" s="1382"/>
      <c r="V120" s="1382"/>
      <c r="W120" s="1382"/>
      <c r="X120" s="1382"/>
      <c r="Y120" s="1382"/>
      <c r="Z120" s="1382"/>
      <c r="AA120" s="1382"/>
      <c r="AB120" s="1382"/>
      <c r="AC120" s="1382"/>
      <c r="AD120" s="1382"/>
      <c r="AE120" s="1382"/>
      <c r="AF120" s="1382"/>
      <c r="AG120" s="1382"/>
      <c r="AH120" s="1382"/>
      <c r="AI120" s="1382"/>
      <c r="AJ120" s="181"/>
      <c r="AK120" s="181"/>
      <c r="AL120" s="181"/>
      <c r="AM120" s="181"/>
      <c r="AN120" s="181"/>
      <c r="AO120" s="181"/>
      <c r="AP120" s="181"/>
      <c r="AQ120" s="181"/>
      <c r="AR120" s="181"/>
      <c r="AS120" s="181"/>
      <c r="AT120" s="181"/>
      <c r="AU120" s="181"/>
      <c r="AV120" s="181"/>
      <c r="AW120" s="181"/>
    </row>
    <row r="121" spans="1:49" s="545" customFormat="1" ht="15" customHeight="1" x14ac:dyDescent="0.25">
      <c r="A121" s="1402"/>
      <c r="B121" s="554"/>
      <c r="C121" s="945"/>
      <c r="D121" s="116"/>
      <c r="E121" s="411"/>
      <c r="F121" s="559" t="str">
        <f>IF('C-Design&amp;Const'!$G121="","",'C-Design&amp;Const'!$G121)</f>
        <v>Y</v>
      </c>
      <c r="G121" s="457"/>
      <c r="H121" s="408" t="str">
        <f>CONCATENATE(IF(F121="N","PLACEHOLDER ROW - ",""),'C-Design&amp;Const'!Z121,IF(F121="N","",J121))</f>
        <v>Audio Visual - Demolition(s)</v>
      </c>
      <c r="I121" s="197"/>
      <c r="J121" s="578"/>
      <c r="K121" s="228"/>
      <c r="L121" s="1410"/>
      <c r="M121" s="1382"/>
      <c r="N121" s="1382"/>
      <c r="O121" s="1382"/>
      <c r="P121" s="1382"/>
      <c r="Q121" s="1382"/>
      <c r="R121" s="1382"/>
      <c r="S121" s="1382"/>
      <c r="T121" s="1382"/>
      <c r="U121" s="1382"/>
      <c r="V121" s="1382"/>
      <c r="W121" s="1382"/>
      <c r="X121" s="1382"/>
      <c r="Y121" s="1382"/>
      <c r="Z121" s="1382"/>
      <c r="AA121" s="1382"/>
      <c r="AB121" s="1382"/>
      <c r="AC121" s="1382"/>
      <c r="AD121" s="1382"/>
      <c r="AE121" s="1382"/>
      <c r="AF121" s="1382"/>
      <c r="AG121" s="1382"/>
      <c r="AH121" s="1382"/>
      <c r="AI121" s="1382"/>
      <c r="AJ121" s="551"/>
      <c r="AK121" s="551"/>
      <c r="AL121" s="551"/>
      <c r="AM121" s="551"/>
      <c r="AN121" s="551"/>
      <c r="AO121" s="551"/>
      <c r="AP121" s="551"/>
      <c r="AQ121" s="551"/>
      <c r="AR121" s="551"/>
      <c r="AS121" s="551"/>
      <c r="AT121" s="551"/>
      <c r="AU121" s="551"/>
      <c r="AV121" s="551"/>
      <c r="AW121" s="551"/>
    </row>
    <row r="122" spans="1:49" s="30" customFormat="1" ht="15" customHeight="1" x14ac:dyDescent="0.25">
      <c r="A122" s="1408"/>
      <c r="B122" s="191"/>
      <c r="C122" s="921"/>
      <c r="D122" s="32"/>
      <c r="E122" s="466"/>
      <c r="F122" s="559" t="str">
        <f>IF('C-Design&amp;Const'!$G122="","",'C-Design&amp;Const'!$G122)</f>
        <v>N</v>
      </c>
      <c r="G122" s="457"/>
      <c r="H122" s="408" t="str">
        <f>CONCATENATE(IF(F122="N","PLACEHOLDER ROW - ",""),'C-Design&amp;Const'!Z122,IF(F122="N","",J122))</f>
        <v>PLACEHOLDER ROW - Audio Visual - CUSTOM</v>
      </c>
      <c r="I122" s="193"/>
      <c r="J122" s="578" t="str">
        <f>IF('C-Design&amp;Const'!AD122="","",'C-Design&amp;Const'!AD122)</f>
        <v/>
      </c>
      <c r="K122" s="228"/>
      <c r="L122" s="1410" t="str">
        <f t="shared" si="2"/>
        <v>&lt;---PM/Planner may hide PLACEHOLDER ROW</v>
      </c>
      <c r="M122" s="1382"/>
      <c r="N122" s="1382"/>
      <c r="O122" s="1382"/>
      <c r="P122" s="1382"/>
      <c r="Q122" s="1382"/>
      <c r="R122" s="1382"/>
      <c r="S122" s="1382"/>
      <c r="T122" s="1382"/>
      <c r="U122" s="1382"/>
      <c r="V122" s="1382"/>
      <c r="W122" s="1382"/>
      <c r="X122" s="1382"/>
      <c r="Y122" s="1382"/>
      <c r="Z122" s="1382"/>
      <c r="AA122" s="1382"/>
      <c r="AB122" s="1382"/>
      <c r="AC122" s="1382"/>
      <c r="AD122" s="1382"/>
      <c r="AE122" s="1382"/>
      <c r="AF122" s="1382"/>
      <c r="AG122" s="1382"/>
      <c r="AH122" s="1382"/>
      <c r="AI122" s="1382"/>
      <c r="AJ122" s="181"/>
      <c r="AK122" s="181"/>
      <c r="AL122" s="181"/>
      <c r="AM122" s="181"/>
      <c r="AN122" s="181"/>
      <c r="AO122" s="181"/>
      <c r="AP122" s="181"/>
      <c r="AQ122" s="181"/>
      <c r="AR122" s="181"/>
      <c r="AS122" s="181"/>
      <c r="AT122" s="181"/>
      <c r="AU122" s="181"/>
      <c r="AV122" s="181"/>
      <c r="AW122" s="181"/>
    </row>
    <row r="123" spans="1:49" s="30" customFormat="1" ht="15" customHeight="1" x14ac:dyDescent="0.25">
      <c r="A123" s="1407"/>
      <c r="B123" s="191"/>
      <c r="C123" s="921"/>
      <c r="E123" s="467"/>
      <c r="F123" s="559" t="str">
        <f>IF('C-Design&amp;Const'!$G123="","",'C-Design&amp;Const'!$G123)</f>
        <v>N</v>
      </c>
      <c r="G123" s="291"/>
      <c r="H123" s="408" t="str">
        <f>CONCATENATE(IF(F123="N","PLACEHOLDER ROW - ",""),'C-Design&amp;Const'!Z123,IF(F123="N","",J123))</f>
        <v>PLACEHOLDER ROW - CUSTOM ROW - OPTIONAL CLIENT ITEM</v>
      </c>
      <c r="I123" s="184"/>
      <c r="J123" s="578" t="str">
        <f>IF('C-Design&amp;Const'!AD123="","",'C-Design&amp;Const'!AD123)</f>
        <v/>
      </c>
      <c r="K123" s="228"/>
      <c r="L123" s="1410" t="str">
        <f t="shared" si="2"/>
        <v>&lt;---PM/Planner may hide PLACEHOLDER ROW</v>
      </c>
      <c r="M123" s="1382"/>
      <c r="N123" s="1382"/>
      <c r="O123" s="1382"/>
      <c r="P123" s="1382"/>
      <c r="Q123" s="1382"/>
      <c r="R123" s="1382"/>
      <c r="S123" s="1382"/>
      <c r="T123" s="1382"/>
      <c r="U123" s="1382"/>
      <c r="V123" s="1382"/>
      <c r="W123" s="1382"/>
      <c r="X123" s="1382"/>
      <c r="Y123" s="1382"/>
      <c r="Z123" s="1382"/>
      <c r="AA123" s="1382"/>
      <c r="AB123" s="1382"/>
      <c r="AC123" s="1382"/>
      <c r="AD123" s="1382"/>
      <c r="AE123" s="1382"/>
      <c r="AF123" s="1382"/>
      <c r="AG123" s="1382"/>
      <c r="AH123" s="1382"/>
      <c r="AI123" s="1382"/>
      <c r="AJ123" s="181"/>
      <c r="AK123" s="181"/>
      <c r="AL123" s="181"/>
      <c r="AM123" s="181"/>
      <c r="AN123" s="181"/>
      <c r="AO123" s="181"/>
      <c r="AP123" s="181"/>
      <c r="AQ123" s="181"/>
      <c r="AR123" s="181"/>
      <c r="AS123" s="181"/>
      <c r="AT123" s="181"/>
      <c r="AU123" s="181"/>
      <c r="AV123" s="181"/>
      <c r="AW123" s="181"/>
    </row>
    <row r="124" spans="1:49" s="30" customFormat="1" ht="15" hidden="1" customHeight="1" x14ac:dyDescent="0.25">
      <c r="A124" s="1408"/>
      <c r="B124" s="191"/>
      <c r="C124" s="921"/>
      <c r="D124" s="32"/>
      <c r="E124" s="466"/>
      <c r="F124" s="559" t="str">
        <f>IF('C-Design&amp;Const'!$G124="","",'C-Design&amp;Const'!$G124)</f>
        <v>N</v>
      </c>
      <c r="G124" s="457"/>
      <c r="H124" s="408" t="str">
        <f>CONCATENATE(IF(F124="N","PLACEHOLDER ROW - ",""),'C-Design&amp;Const'!Z124,IF(F124="N","",J124))</f>
        <v>PLACEHOLDER ROW - CUSTOM ROW - OPTIONAL CLIENT ITEM</v>
      </c>
      <c r="I124" s="193"/>
      <c r="J124" s="578" t="str">
        <f>IF('C-Design&amp;Const'!AD124="","",'C-Design&amp;Const'!AD124)</f>
        <v/>
      </c>
      <c r="K124" s="228"/>
      <c r="L124" s="1410" t="str">
        <f t="shared" si="2"/>
        <v>&lt;---PM/Planner may hide PLACEHOLDER ROW</v>
      </c>
      <c r="M124" s="1382"/>
      <c r="N124" s="1382"/>
      <c r="O124" s="1382"/>
      <c r="P124" s="1382"/>
      <c r="Q124" s="1382"/>
      <c r="R124" s="1382"/>
      <c r="S124" s="1382"/>
      <c r="T124" s="1382"/>
      <c r="U124" s="1382"/>
      <c r="V124" s="1382"/>
      <c r="W124" s="1382"/>
      <c r="X124" s="1382"/>
      <c r="Y124" s="1382"/>
      <c r="Z124" s="1382"/>
      <c r="AA124" s="1382"/>
      <c r="AB124" s="1382"/>
      <c r="AC124" s="1382"/>
      <c r="AD124" s="1382"/>
      <c r="AE124" s="1382"/>
      <c r="AF124" s="1382"/>
      <c r="AG124" s="1382"/>
      <c r="AH124" s="1382"/>
      <c r="AI124" s="1382"/>
      <c r="AJ124" s="181"/>
      <c r="AK124" s="181"/>
      <c r="AL124" s="181"/>
      <c r="AM124" s="181"/>
      <c r="AN124" s="181"/>
      <c r="AO124" s="181"/>
      <c r="AP124" s="181"/>
      <c r="AQ124" s="181"/>
      <c r="AR124" s="181"/>
      <c r="AS124" s="181"/>
      <c r="AT124" s="181"/>
      <c r="AU124" s="181"/>
      <c r="AV124" s="181"/>
      <c r="AW124" s="181"/>
    </row>
    <row r="125" spans="1:49" s="30" customFormat="1" ht="18.75" x14ac:dyDescent="0.25">
      <c r="A125" s="1407"/>
      <c r="B125" s="191"/>
      <c r="C125" s="921"/>
      <c r="D125" s="32"/>
      <c r="E125" s="411"/>
      <c r="F125" s="411"/>
      <c r="G125" s="208"/>
      <c r="H125" s="411"/>
      <c r="I125" s="186"/>
      <c r="J125" s="578" t="str">
        <f>IF('C-Design&amp;Const'!AD125="","",'C-Design&amp;Const'!AD125)</f>
        <v/>
      </c>
      <c r="K125" s="228"/>
      <c r="L125" s="1410" t="str">
        <f t="shared" si="2"/>
        <v/>
      </c>
      <c r="M125" s="1382"/>
      <c r="N125" s="1382"/>
      <c r="O125" s="1382"/>
      <c r="P125" s="1382"/>
      <c r="Q125" s="1382"/>
      <c r="R125" s="1382"/>
      <c r="S125" s="1382"/>
      <c r="T125" s="1382"/>
      <c r="U125" s="1382"/>
      <c r="V125" s="1382"/>
      <c r="W125" s="1382"/>
      <c r="X125" s="1382"/>
      <c r="Y125" s="1382"/>
      <c r="Z125" s="1382"/>
      <c r="AA125" s="1382"/>
      <c r="AB125" s="1382"/>
      <c r="AC125" s="1382"/>
      <c r="AD125" s="1382"/>
      <c r="AE125" s="1382"/>
      <c r="AF125" s="1382"/>
      <c r="AG125" s="1382"/>
      <c r="AH125" s="1382"/>
      <c r="AI125" s="1382"/>
      <c r="AJ125" s="181"/>
      <c r="AK125" s="181"/>
      <c r="AL125" s="181"/>
      <c r="AM125" s="181"/>
      <c r="AN125" s="181"/>
      <c r="AO125" s="181"/>
      <c r="AP125" s="181"/>
      <c r="AQ125" s="181"/>
      <c r="AR125" s="181"/>
      <c r="AS125" s="181"/>
      <c r="AT125" s="181"/>
      <c r="AU125" s="181"/>
      <c r="AV125" s="181"/>
      <c r="AW125" s="181"/>
    </row>
    <row r="126" spans="1:49" s="30" customFormat="1" ht="18.75" x14ac:dyDescent="0.25">
      <c r="A126" s="1407"/>
      <c r="B126" s="191"/>
      <c r="C126" s="921"/>
      <c r="D126" s="52" t="str">
        <f>IF('C-Design&amp;Const'!G126="","",'C-Design&amp;Const'!G126)</f>
        <v>Y</v>
      </c>
      <c r="E126" s="234"/>
      <c r="F126" s="235"/>
      <c r="G126" s="207" t="str">
        <f>IF('C-Design&amp;Const'!Y126="","",'C-Design&amp;Const'!Y126)</f>
        <v>04b.</v>
      </c>
      <c r="H126" s="290" t="str">
        <f>(CONCATENATE('C-Design&amp;Const'!Z126,IF(D126="N"," Not Used In This Design Phase",J126)))</f>
        <v>Project Applicable Information / Calculations</v>
      </c>
      <c r="I126" s="180"/>
      <c r="J126" s="578" t="str">
        <f>IF('C-Design&amp;Const'!AD126="","",'C-Design&amp;Const'!AD126)</f>
        <v/>
      </c>
      <c r="K126" s="228"/>
      <c r="L126" s="1410" t="str">
        <f t="shared" si="2"/>
        <v/>
      </c>
      <c r="M126" s="1382"/>
      <c r="N126" s="1382"/>
      <c r="O126" s="1382"/>
      <c r="P126" s="1382"/>
      <c r="Q126" s="1382"/>
      <c r="R126" s="1382"/>
      <c r="S126" s="1382"/>
      <c r="T126" s="1382"/>
      <c r="U126" s="1382"/>
      <c r="V126" s="1382"/>
      <c r="W126" s="1382"/>
      <c r="X126" s="1382"/>
      <c r="Y126" s="1382"/>
      <c r="Z126" s="1382"/>
      <c r="AA126" s="1382"/>
      <c r="AB126" s="1382"/>
      <c r="AC126" s="1382"/>
      <c r="AD126" s="1382"/>
      <c r="AE126" s="1382"/>
      <c r="AF126" s="1382"/>
      <c r="AG126" s="1382"/>
      <c r="AH126" s="1382"/>
      <c r="AI126" s="1382"/>
      <c r="AJ126" s="181"/>
      <c r="AK126" s="181"/>
      <c r="AL126" s="181"/>
      <c r="AM126" s="181"/>
      <c r="AN126" s="181"/>
      <c r="AO126" s="181"/>
      <c r="AP126" s="181"/>
      <c r="AQ126" s="181"/>
      <c r="AR126" s="181"/>
      <c r="AS126" s="181"/>
      <c r="AT126" s="181"/>
      <c r="AU126" s="181"/>
      <c r="AV126" s="181"/>
      <c r="AW126" s="181"/>
    </row>
    <row r="127" spans="1:49" s="30" customFormat="1" ht="15" customHeight="1" x14ac:dyDescent="0.25">
      <c r="A127" s="1407"/>
      <c r="B127" s="191"/>
      <c r="C127" s="921"/>
      <c r="E127" s="359" t="str">
        <f>IF('C-Design&amp;Const'!$G127="","",'C-Design&amp;Const'!$G127)</f>
        <v>N</v>
      </c>
      <c r="F127" s="235"/>
      <c r="G127" s="291"/>
      <c r="H127" s="761" t="str">
        <f>CONCATENATE(IF(E127="N","PLACEHOLDER ROW - ",""),'C-Design&amp;Const'!Z127,IF(E127="N","",J127))</f>
        <v>PLACEHOLDER ROW - Occupancy calculations between existing and proposed; breaking down the FTE</v>
      </c>
      <c r="I127" s="184"/>
      <c r="J127" s="578" t="str">
        <f>IF('C-Design&amp;Const'!AD127="","",'C-Design&amp;Const'!AD127)</f>
        <v xml:space="preserve">(Preliminary) </v>
      </c>
      <c r="K127" s="228"/>
      <c r="L127" s="1410" t="str">
        <f t="shared" si="2"/>
        <v>&lt;---PM/Planner may hide PLACEHOLDER ROW</v>
      </c>
      <c r="M127" s="1382"/>
      <c r="N127" s="1382"/>
      <c r="O127" s="1382"/>
      <c r="P127" s="1382"/>
      <c r="Q127" s="1382"/>
      <c r="R127" s="1382"/>
      <c r="S127" s="1382"/>
      <c r="T127" s="1382"/>
      <c r="U127" s="1382"/>
      <c r="V127" s="1382"/>
      <c r="W127" s="1382"/>
      <c r="X127" s="1382"/>
      <c r="Y127" s="1382"/>
      <c r="Z127" s="1382"/>
      <c r="AA127" s="1382"/>
      <c r="AB127" s="1382"/>
      <c r="AC127" s="1382"/>
      <c r="AD127" s="1382"/>
      <c r="AE127" s="1382"/>
      <c r="AF127" s="1382"/>
      <c r="AG127" s="1382"/>
      <c r="AH127" s="1382"/>
      <c r="AI127" s="1382"/>
      <c r="AJ127" s="181"/>
      <c r="AK127" s="181"/>
      <c r="AL127" s="181"/>
      <c r="AM127" s="181"/>
      <c r="AN127" s="181"/>
      <c r="AO127" s="181"/>
      <c r="AP127" s="181"/>
      <c r="AQ127" s="181"/>
      <c r="AR127" s="181"/>
      <c r="AS127" s="181"/>
      <c r="AT127" s="181"/>
      <c r="AU127" s="181"/>
      <c r="AV127" s="181"/>
      <c r="AW127" s="181"/>
    </row>
    <row r="128" spans="1:49" s="30" customFormat="1" ht="15" customHeight="1" x14ac:dyDescent="0.25">
      <c r="A128" s="1407"/>
      <c r="B128" s="191"/>
      <c r="C128" s="921"/>
      <c r="E128" s="359" t="str">
        <f>IF('C-Design&amp;Const'!$G128="","",'C-Design&amp;Const'!$G128)</f>
        <v>N</v>
      </c>
      <c r="F128" s="235"/>
      <c r="G128" s="291"/>
      <c r="H128" s="761" t="str">
        <f>CONCATENATE(IF(E128="N","PLACEHOLDER ROW - ",""),'C-Design&amp;Const'!Z128,IF(E128="N","",J128))</f>
        <v>PLACEHOLDER ROW - Soil Borings and Soils Report</v>
      </c>
      <c r="I128" s="184"/>
      <c r="J128" s="578" t="str">
        <f>IF('C-Design&amp;Const'!AD128="","",'C-Design&amp;Const'!AD128)</f>
        <v xml:space="preserve">(Substantially Complete) </v>
      </c>
      <c r="K128" s="228"/>
      <c r="L128" s="1410" t="str">
        <f t="shared" si="2"/>
        <v>&lt;---PM/Planner may hide PLACEHOLDER ROW</v>
      </c>
      <c r="M128" s="1382"/>
      <c r="N128" s="1382"/>
      <c r="O128" s="1382"/>
      <c r="P128" s="1382"/>
      <c r="Q128" s="1382"/>
      <c r="R128" s="1382"/>
      <c r="S128" s="1382"/>
      <c r="T128" s="1382"/>
      <c r="U128" s="1382"/>
      <c r="V128" s="1382"/>
      <c r="W128" s="1382"/>
      <c r="X128" s="1382"/>
      <c r="Y128" s="1382"/>
      <c r="Z128" s="1382"/>
      <c r="AA128" s="1382"/>
      <c r="AB128" s="1382"/>
      <c r="AC128" s="1382"/>
      <c r="AD128" s="1382"/>
      <c r="AE128" s="1382"/>
      <c r="AF128" s="1382"/>
      <c r="AG128" s="1382"/>
      <c r="AH128" s="1382"/>
      <c r="AI128" s="1382"/>
      <c r="AJ128" s="181"/>
      <c r="AK128" s="181"/>
      <c r="AL128" s="181"/>
      <c r="AM128" s="181"/>
      <c r="AN128" s="181"/>
      <c r="AO128" s="181"/>
      <c r="AP128" s="181"/>
      <c r="AQ128" s="181"/>
      <c r="AR128" s="181"/>
      <c r="AS128" s="181"/>
      <c r="AT128" s="181"/>
      <c r="AU128" s="181"/>
      <c r="AV128" s="181"/>
      <c r="AW128" s="181"/>
    </row>
    <row r="129" spans="1:49" s="30" customFormat="1" ht="15" customHeight="1" x14ac:dyDescent="0.25">
      <c r="A129" s="1407"/>
      <c r="B129" s="191"/>
      <c r="C129" s="921"/>
      <c r="E129" s="359" t="str">
        <f>IF('C-Design&amp;Const'!$G129="","",'C-Design&amp;Const'!$G129)</f>
        <v>N</v>
      </c>
      <c r="F129" s="235"/>
      <c r="G129" s="291"/>
      <c r="H129" s="761" t="str">
        <f>CONCATENATE(IF(E129="N","PLACEHOLDER ROW - ",""),'C-Design&amp;Const'!Z129,IF(E129="N","",J129))</f>
        <v>PLACEHOLDER ROW - Stormwater Runoff Rate Calculation/Model Results and Water Detention</v>
      </c>
      <c r="I129" s="184"/>
      <c r="J129" s="578" t="str">
        <f>IF('C-Design&amp;Const'!AD129="","",'C-Design&amp;Const'!AD129)</f>
        <v xml:space="preserve">(Preliminary) </v>
      </c>
      <c r="K129" s="228"/>
      <c r="L129" s="1410" t="str">
        <f t="shared" si="2"/>
        <v>&lt;---PM/Planner may hide PLACEHOLDER ROW</v>
      </c>
      <c r="M129" s="1382"/>
      <c r="N129" s="1382"/>
      <c r="O129" s="1382"/>
      <c r="P129" s="1382"/>
      <c r="Q129" s="1382"/>
      <c r="R129" s="1382"/>
      <c r="S129" s="1382"/>
      <c r="T129" s="1382"/>
      <c r="U129" s="1382"/>
      <c r="V129" s="1382"/>
      <c r="W129" s="1382"/>
      <c r="X129" s="1382"/>
      <c r="Y129" s="1382"/>
      <c r="Z129" s="1382"/>
      <c r="AA129" s="1382"/>
      <c r="AB129" s="1382"/>
      <c r="AC129" s="1382"/>
      <c r="AD129" s="1382"/>
      <c r="AE129" s="1382"/>
      <c r="AF129" s="1382"/>
      <c r="AG129" s="1382"/>
      <c r="AH129" s="1382"/>
      <c r="AI129" s="1382"/>
      <c r="AJ129" s="181"/>
      <c r="AK129" s="181"/>
      <c r="AL129" s="181"/>
      <c r="AM129" s="181"/>
      <c r="AN129" s="181"/>
      <c r="AO129" s="181"/>
      <c r="AP129" s="181"/>
      <c r="AQ129" s="181"/>
      <c r="AR129" s="181"/>
      <c r="AS129" s="181"/>
      <c r="AT129" s="181"/>
      <c r="AU129" s="181"/>
      <c r="AV129" s="181"/>
      <c r="AW129" s="181"/>
    </row>
    <row r="130" spans="1:49" s="30" customFormat="1" ht="15" customHeight="1" x14ac:dyDescent="0.25">
      <c r="A130" s="1407"/>
      <c r="B130" s="191"/>
      <c r="C130" s="921"/>
      <c r="E130" s="359" t="str">
        <f>IF('C-Design&amp;Const'!$G130="","",'C-Design&amp;Const'!$G130)</f>
        <v>N</v>
      </c>
      <c r="F130" s="235"/>
      <c r="G130" s="291"/>
      <c r="H130" s="761" t="str">
        <f>CONCATENATE(IF(E130="N","PLACEHOLDER ROW - ",""),'C-Design&amp;Const'!Z130,IF(E130="N","",J130))</f>
        <v>PLACEHOLDER ROW - Asbestos and Lead Survey and Recommendations</v>
      </c>
      <c r="I130" s="184"/>
      <c r="J130" s="578" t="str">
        <f>IF('C-Design&amp;Const'!AD130="","",'C-Design&amp;Const'!AD130)</f>
        <v xml:space="preserve">(Preliminary) </v>
      </c>
      <c r="K130" s="228"/>
      <c r="L130" s="1410" t="str">
        <f t="shared" si="2"/>
        <v>&lt;---PM/Planner may hide PLACEHOLDER ROW</v>
      </c>
      <c r="M130" s="1382"/>
      <c r="N130" s="1382"/>
      <c r="O130" s="1382"/>
      <c r="P130" s="1382"/>
      <c r="Q130" s="1382"/>
      <c r="R130" s="1382"/>
      <c r="S130" s="1382"/>
      <c r="T130" s="1382"/>
      <c r="U130" s="1382"/>
      <c r="V130" s="1382"/>
      <c r="W130" s="1382"/>
      <c r="X130" s="1382"/>
      <c r="Y130" s="1382"/>
      <c r="Z130" s="1382"/>
      <c r="AA130" s="1382"/>
      <c r="AB130" s="1382"/>
      <c r="AC130" s="1382"/>
      <c r="AD130" s="1382"/>
      <c r="AE130" s="1382"/>
      <c r="AF130" s="1382"/>
      <c r="AG130" s="1382"/>
      <c r="AH130" s="1382"/>
      <c r="AI130" s="1382"/>
      <c r="AJ130" s="181"/>
      <c r="AK130" s="181"/>
      <c r="AL130" s="181"/>
      <c r="AM130" s="181"/>
      <c r="AN130" s="181"/>
      <c r="AO130" s="181"/>
      <c r="AP130" s="181"/>
      <c r="AQ130" s="181"/>
      <c r="AR130" s="181"/>
      <c r="AS130" s="181"/>
      <c r="AT130" s="181"/>
      <c r="AU130" s="181"/>
      <c r="AV130" s="181"/>
      <c r="AW130" s="181"/>
    </row>
    <row r="131" spans="1:49" s="30" customFormat="1" ht="18" customHeight="1" x14ac:dyDescent="0.25">
      <c r="A131" s="1407"/>
      <c r="B131" s="191"/>
      <c r="C131" s="921"/>
      <c r="E131" s="359" t="str">
        <f>IF('C-Design&amp;Const'!$G131="","",'C-Design&amp;Const'!$G131)</f>
        <v>N</v>
      </c>
      <c r="F131" s="235"/>
      <c r="G131" s="291"/>
      <c r="H131" s="761" t="str">
        <f>CONCATENATE(IF(E131="N","PLACEHOLDER ROW - ",""),'C-Design&amp;Const'!Z131,IF(E131="N","",J131))</f>
        <v>PLACEHOLDER ROW - Results of Hazardous Materials Testing and Hazardous Materials Mediation Plan</v>
      </c>
      <c r="I131" s="184"/>
      <c r="J131" s="578" t="str">
        <f>IF('C-Design&amp;Const'!AD131="","",'C-Design&amp;Const'!AD131)</f>
        <v/>
      </c>
      <c r="K131" s="228"/>
      <c r="L131" s="1410" t="str">
        <f t="shared" si="2"/>
        <v>&lt;---PM/Planner may hide PLACEHOLDER ROW</v>
      </c>
      <c r="M131" s="1382"/>
      <c r="N131" s="1382"/>
      <c r="O131" s="1382"/>
      <c r="P131" s="1382"/>
      <c r="Q131" s="1382"/>
      <c r="R131" s="1382"/>
      <c r="S131" s="1382"/>
      <c r="T131" s="1382"/>
      <c r="U131" s="1382"/>
      <c r="V131" s="1382"/>
      <c r="W131" s="1382"/>
      <c r="X131" s="1382"/>
      <c r="Y131" s="1382"/>
      <c r="Z131" s="1382"/>
      <c r="AA131" s="1382"/>
      <c r="AB131" s="1382"/>
      <c r="AC131" s="1382"/>
      <c r="AD131" s="1382"/>
      <c r="AE131" s="1382"/>
      <c r="AF131" s="1382"/>
      <c r="AG131" s="1382"/>
      <c r="AH131" s="1382"/>
      <c r="AI131" s="1382"/>
      <c r="AJ131" s="181"/>
      <c r="AK131" s="181"/>
      <c r="AL131" s="181"/>
      <c r="AM131" s="181"/>
      <c r="AN131" s="181"/>
      <c r="AO131" s="181"/>
      <c r="AP131" s="181"/>
      <c r="AQ131" s="181"/>
      <c r="AR131" s="181"/>
      <c r="AS131" s="181"/>
      <c r="AT131" s="181"/>
      <c r="AU131" s="181"/>
      <c r="AV131" s="181"/>
      <c r="AW131" s="181"/>
    </row>
    <row r="132" spans="1:49" s="30" customFormat="1" ht="15" customHeight="1" x14ac:dyDescent="0.25">
      <c r="A132" s="1407"/>
      <c r="B132" s="191"/>
      <c r="C132" s="921"/>
      <c r="E132" s="359" t="str">
        <f>IF('C-Design&amp;Const'!$G132="","",'C-Design&amp;Const'!$G132)</f>
        <v>N</v>
      </c>
      <c r="F132" s="235"/>
      <c r="G132" s="291"/>
      <c r="H132" s="761" t="str">
        <f>CONCATENATE(IF(E132="N","PLACEHOLDER ROW - ",""),'C-Design&amp;Const'!Z132,IF(E132="N","",J132))</f>
        <v>PLACEHOLDER ROW - EPA &amp; State Permits (including but not limited to SWPPP)</v>
      </c>
      <c r="I132" s="184"/>
      <c r="J132" s="578" t="str">
        <f>IF('C-Design&amp;Const'!AD132="","",'C-Design&amp;Const'!AD132)</f>
        <v/>
      </c>
      <c r="K132" s="228"/>
      <c r="L132" s="1410" t="str">
        <f t="shared" si="2"/>
        <v>&lt;---PM/Planner may hide PLACEHOLDER ROW</v>
      </c>
      <c r="M132" s="1382"/>
      <c r="N132" s="1382"/>
      <c r="O132" s="1382"/>
      <c r="P132" s="1382"/>
      <c r="Q132" s="1382"/>
      <c r="R132" s="1382"/>
      <c r="S132" s="1382"/>
      <c r="T132" s="1382"/>
      <c r="U132" s="1382"/>
      <c r="V132" s="1382"/>
      <c r="W132" s="1382"/>
      <c r="X132" s="1382"/>
      <c r="Y132" s="1382"/>
      <c r="Z132" s="1382"/>
      <c r="AA132" s="1382"/>
      <c r="AB132" s="1382"/>
      <c r="AC132" s="1382"/>
      <c r="AD132" s="1382"/>
      <c r="AE132" s="1382"/>
      <c r="AF132" s="1382"/>
      <c r="AG132" s="1382"/>
      <c r="AH132" s="1382"/>
      <c r="AI132" s="1382"/>
      <c r="AJ132" s="181"/>
      <c r="AK132" s="181"/>
      <c r="AL132" s="181"/>
      <c r="AM132" s="181"/>
      <c r="AN132" s="181"/>
      <c r="AO132" s="181"/>
      <c r="AP132" s="181"/>
      <c r="AQ132" s="181"/>
      <c r="AR132" s="181"/>
      <c r="AS132" s="181"/>
      <c r="AT132" s="181"/>
      <c r="AU132" s="181"/>
      <c r="AV132" s="181"/>
      <c r="AW132" s="181"/>
    </row>
    <row r="133" spans="1:49" s="30" customFormat="1" ht="15" customHeight="1" x14ac:dyDescent="0.25">
      <c r="A133" s="1407"/>
      <c r="B133" s="191"/>
      <c r="C133" s="921"/>
      <c r="E133" s="359" t="str">
        <f>IF('C-Design&amp;Const'!$G133="","",'C-Design&amp;Const'!$G133)</f>
        <v>N</v>
      </c>
      <c r="F133" s="235"/>
      <c r="G133" s="291"/>
      <c r="H133" s="761" t="str">
        <f>CONCATENATE(IF(E133="N","PLACEHOLDER ROW - ",""),'C-Design&amp;Const'!Z133,IF(E133="N","",J133))</f>
        <v xml:space="preserve">PLACEHOLDER ROW - Saftey &amp; Compliance / Environmental - Checklist   </v>
      </c>
      <c r="I133" s="184"/>
      <c r="J133" s="578" t="str">
        <f>IF('C-Design&amp;Const'!AD133="","",'C-Design&amp;Const'!AD133)</f>
        <v/>
      </c>
      <c r="K133" s="228"/>
      <c r="L133" s="1410" t="str">
        <f t="shared" si="2"/>
        <v>&lt;---PM/Planner may hide PLACEHOLDER ROW</v>
      </c>
      <c r="M133" s="1382"/>
      <c r="N133" s="1382"/>
      <c r="O133" s="1382"/>
      <c r="P133" s="1382"/>
      <c r="Q133" s="1382"/>
      <c r="R133" s="1382"/>
      <c r="S133" s="1382"/>
      <c r="T133" s="1382"/>
      <c r="U133" s="1382"/>
      <c r="V133" s="1382"/>
      <c r="W133" s="1382"/>
      <c r="X133" s="1382"/>
      <c r="Y133" s="1382"/>
      <c r="Z133" s="1382"/>
      <c r="AA133" s="1382"/>
      <c r="AB133" s="1382"/>
      <c r="AC133" s="1382"/>
      <c r="AD133" s="1382"/>
      <c r="AE133" s="1382"/>
      <c r="AF133" s="1382"/>
      <c r="AG133" s="1382"/>
      <c r="AH133" s="1382"/>
      <c r="AI133" s="1382"/>
      <c r="AJ133" s="181"/>
      <c r="AK133" s="181"/>
      <c r="AL133" s="181"/>
      <c r="AM133" s="181"/>
      <c r="AN133" s="181"/>
      <c r="AO133" s="181"/>
      <c r="AP133" s="181"/>
      <c r="AQ133" s="181"/>
      <c r="AR133" s="181"/>
      <c r="AS133" s="181"/>
      <c r="AT133" s="181"/>
      <c r="AU133" s="181"/>
      <c r="AV133" s="181"/>
      <c r="AW133" s="181"/>
    </row>
    <row r="134" spans="1:49" s="545" customFormat="1" ht="15" customHeight="1" x14ac:dyDescent="0.25">
      <c r="A134" s="1407"/>
      <c r="B134" s="554"/>
      <c r="C134" s="921"/>
      <c r="E134" s="359" t="str">
        <f>IF('C-Design&amp;Const'!$G134="","",'C-Design&amp;Const'!$G134)</f>
        <v>N</v>
      </c>
      <c r="F134" s="235"/>
      <c r="G134" s="291"/>
      <c r="H134" s="761" t="str">
        <f>CONCATENATE(IF(E134="N","PLACEHOLDER ROW - ",""),'C-Design&amp;Const'!Z134,IF(E134="N","",J134))</f>
        <v>PLACEHOLDER ROW - Excel files of all equipment schedules for all disciplines.</v>
      </c>
      <c r="I134" s="552"/>
      <c r="J134" s="578" t="str">
        <f>IF('C-Design&amp;Const'!AD134="","",'C-Design&amp;Const'!AD134)</f>
        <v/>
      </c>
      <c r="K134" s="228"/>
      <c r="L134" s="1410" t="str">
        <f t="shared" ref="L134" si="4">CONCATENATE(IF(ISNUMBER(SEARCH("Placeholder",H134))=TRUE,"&lt;---PM/Planner may hide PLACEHOLDER ROW",""))</f>
        <v>&lt;---PM/Planner may hide PLACEHOLDER ROW</v>
      </c>
      <c r="M134" s="1382"/>
      <c r="N134" s="1382"/>
      <c r="O134" s="1382"/>
      <c r="P134" s="1382"/>
      <c r="Q134" s="1382"/>
      <c r="R134" s="1382"/>
      <c r="S134" s="1382"/>
      <c r="T134" s="1382"/>
      <c r="U134" s="1382"/>
      <c r="V134" s="1382"/>
      <c r="W134" s="1382"/>
      <c r="X134" s="1382"/>
      <c r="Y134" s="1382"/>
      <c r="Z134" s="1382"/>
      <c r="AA134" s="1382"/>
      <c r="AB134" s="1382"/>
      <c r="AC134" s="1382"/>
      <c r="AD134" s="1382"/>
      <c r="AE134" s="1382"/>
      <c r="AF134" s="1382"/>
      <c r="AG134" s="1382"/>
      <c r="AH134" s="1382"/>
      <c r="AI134" s="1382"/>
      <c r="AJ134" s="551"/>
      <c r="AK134" s="551"/>
      <c r="AL134" s="551"/>
      <c r="AM134" s="551"/>
      <c r="AN134" s="551"/>
      <c r="AO134" s="551"/>
      <c r="AP134" s="551"/>
      <c r="AQ134" s="551"/>
      <c r="AR134" s="551"/>
      <c r="AS134" s="551"/>
      <c r="AT134" s="551"/>
      <c r="AU134" s="551"/>
      <c r="AV134" s="551"/>
      <c r="AW134" s="551"/>
    </row>
    <row r="135" spans="1:49" s="30" customFormat="1" ht="25.5" customHeight="1" x14ac:dyDescent="0.25">
      <c r="A135" s="1407"/>
      <c r="B135" s="191"/>
      <c r="C135" s="921"/>
      <c r="E135" s="359" t="str">
        <f>IF('C-Design&amp;Const'!$G135="","",'C-Design&amp;Const'!$G135)</f>
        <v>Y</v>
      </c>
      <c r="F135" s="235"/>
      <c r="G135" s="291"/>
      <c r="H135" s="761" t="str">
        <f>CONCATENATE(IF(E135="N","PLACEHOLDER ROW - ",""),'C-Design&amp;Const'!Z135,IF(E135="N","",J135))</f>
        <v>Results of existing exterior envelope material tests or strengths (i.e. brick and mortar tests, pull tests of existing mechanical fasteners, etc…)</v>
      </c>
      <c r="I135" s="184"/>
      <c r="J135" s="578" t="str">
        <f>IF('C-Design&amp;Const'!AD135="","",'C-Design&amp;Const'!AD135)</f>
        <v/>
      </c>
      <c r="K135" s="228"/>
      <c r="L135" s="1410" t="str">
        <f t="shared" si="2"/>
        <v/>
      </c>
      <c r="M135" s="1382"/>
      <c r="N135" s="1382"/>
      <c r="O135" s="1382"/>
      <c r="P135" s="1382"/>
      <c r="Q135" s="1382"/>
      <c r="R135" s="1382"/>
      <c r="S135" s="1382"/>
      <c r="T135" s="1382"/>
      <c r="U135" s="1382"/>
      <c r="V135" s="1382"/>
      <c r="W135" s="1382"/>
      <c r="X135" s="1382"/>
      <c r="Y135" s="1382"/>
      <c r="Z135" s="1382"/>
      <c r="AA135" s="1382"/>
      <c r="AB135" s="1382"/>
      <c r="AC135" s="1382"/>
      <c r="AD135" s="1382"/>
      <c r="AE135" s="1382"/>
      <c r="AF135" s="1382"/>
      <c r="AG135" s="1382"/>
      <c r="AH135" s="1382"/>
      <c r="AI135" s="1382"/>
      <c r="AJ135" s="181"/>
      <c r="AK135" s="181"/>
      <c r="AL135" s="181"/>
      <c r="AM135" s="181"/>
      <c r="AN135" s="181"/>
      <c r="AO135" s="181"/>
      <c r="AP135" s="181"/>
      <c r="AQ135" s="181"/>
      <c r="AR135" s="181"/>
      <c r="AS135" s="181"/>
      <c r="AT135" s="181"/>
      <c r="AU135" s="181"/>
      <c r="AV135" s="181"/>
      <c r="AW135" s="181"/>
    </row>
    <row r="136" spans="1:49" s="30" customFormat="1" ht="16.5" customHeight="1" x14ac:dyDescent="0.25">
      <c r="A136" s="1407"/>
      <c r="B136" s="191"/>
      <c r="C136" s="921"/>
      <c r="E136" s="359" t="str">
        <f>IF('C-Design&amp;Const'!$G136="","",'C-Design&amp;Const'!$G136)</f>
        <v>Y</v>
      </c>
      <c r="F136" s="235"/>
      <c r="G136" s="291"/>
      <c r="H136" s="761" t="str">
        <f>CONCATENATE(IF(E136="N","PLACEHOLDER ROW - ",""),'C-Design&amp;Const'!Z136,IF(E136="N","",J136))</f>
        <v>Results of any existing structural materials tests or verification / scans of structure layout.</v>
      </c>
      <c r="I136" s="184"/>
      <c r="J136" s="578" t="str">
        <f>IF('C-Design&amp;Const'!AD136="","",'C-Design&amp;Const'!AD136)</f>
        <v/>
      </c>
      <c r="K136" s="228"/>
      <c r="L136" s="1410" t="str">
        <f t="shared" si="2"/>
        <v/>
      </c>
      <c r="M136" s="1382"/>
      <c r="N136" s="1382"/>
      <c r="O136" s="1382"/>
      <c r="P136" s="1382"/>
      <c r="Q136" s="1382"/>
      <c r="R136" s="1382"/>
      <c r="S136" s="1382"/>
      <c r="T136" s="1382"/>
      <c r="U136" s="1382"/>
      <c r="V136" s="1382"/>
      <c r="W136" s="1382"/>
      <c r="X136" s="1382"/>
      <c r="Y136" s="1382"/>
      <c r="Z136" s="1382"/>
      <c r="AA136" s="1382"/>
      <c r="AB136" s="1382"/>
      <c r="AC136" s="1382"/>
      <c r="AD136" s="1382"/>
      <c r="AE136" s="1382"/>
      <c r="AF136" s="1382"/>
      <c r="AG136" s="1382"/>
      <c r="AH136" s="1382"/>
      <c r="AI136" s="1382"/>
      <c r="AJ136" s="181"/>
      <c r="AK136" s="181"/>
      <c r="AL136" s="181"/>
      <c r="AM136" s="181"/>
      <c r="AN136" s="181"/>
      <c r="AO136" s="181"/>
      <c r="AP136" s="181"/>
      <c r="AQ136" s="181"/>
      <c r="AR136" s="181"/>
      <c r="AS136" s="181"/>
      <c r="AT136" s="181"/>
      <c r="AU136" s="181"/>
      <c r="AV136" s="181"/>
      <c r="AW136" s="181"/>
    </row>
    <row r="137" spans="1:49" s="30" customFormat="1" ht="28.5" x14ac:dyDescent="0.25">
      <c r="A137" s="1408"/>
      <c r="B137" s="191"/>
      <c r="C137" s="921"/>
      <c r="D137" s="32"/>
      <c r="E137" s="415" t="str">
        <f>IF('C-Design&amp;Const'!$G137="","",'C-Design&amp;Const'!$G137)</f>
        <v>N</v>
      </c>
      <c r="F137" s="456"/>
      <c r="G137" s="457"/>
      <c r="H137" s="761" t="str">
        <f>CONCATENATE(IF(E137="N","PLACEHOLDER ROW - ",""),'C-Design&amp;Const'!Z137,IF(E137="N","",J137))</f>
        <v>PLACEHOLDER ROW - Summary of floor analysis for required strengthening (for new walls, materials, mechanical equipment change in use).</v>
      </c>
      <c r="I137" s="193"/>
      <c r="J137" s="578" t="str">
        <f>IF('C-Design&amp;Const'!AD137="","",'C-Design&amp;Const'!AD137)</f>
        <v/>
      </c>
      <c r="K137" s="228"/>
      <c r="L137" s="1410" t="str">
        <f t="shared" si="2"/>
        <v>&lt;---PM/Planner may hide PLACEHOLDER ROW</v>
      </c>
      <c r="M137" s="1382"/>
      <c r="N137" s="1382"/>
      <c r="O137" s="1382"/>
      <c r="P137" s="1382"/>
      <c r="Q137" s="1382"/>
      <c r="R137" s="1382"/>
      <c r="S137" s="1382"/>
      <c r="T137" s="1382"/>
      <c r="U137" s="1382"/>
      <c r="V137" s="1382"/>
      <c r="W137" s="1382"/>
      <c r="X137" s="1382"/>
      <c r="Y137" s="1382"/>
      <c r="Z137" s="1382"/>
      <c r="AA137" s="1382"/>
      <c r="AB137" s="1382"/>
      <c r="AC137" s="1382"/>
      <c r="AD137" s="1382"/>
      <c r="AE137" s="1382"/>
      <c r="AF137" s="1382"/>
      <c r="AG137" s="1382"/>
      <c r="AH137" s="1382"/>
      <c r="AI137" s="1382"/>
      <c r="AJ137" s="181"/>
      <c r="AK137" s="181"/>
      <c r="AL137" s="181"/>
      <c r="AM137" s="181"/>
      <c r="AN137" s="181"/>
      <c r="AO137" s="181"/>
      <c r="AP137" s="181"/>
      <c r="AQ137" s="181"/>
      <c r="AR137" s="181"/>
      <c r="AS137" s="181"/>
      <c r="AT137" s="181"/>
      <c r="AU137" s="181"/>
      <c r="AV137" s="181"/>
      <c r="AW137" s="181"/>
    </row>
    <row r="138" spans="1:49" s="30" customFormat="1" ht="28.5" x14ac:dyDescent="0.25">
      <c r="A138" s="1408"/>
      <c r="B138" s="191"/>
      <c r="C138" s="921"/>
      <c r="D138" s="32"/>
      <c r="E138" s="415" t="str">
        <f>IF('C-Design&amp;Const'!$G138="","",'C-Design&amp;Const'!$G138)</f>
        <v>N</v>
      </c>
      <c r="F138" s="456"/>
      <c r="G138" s="457"/>
      <c r="H138" s="761" t="str">
        <f>CONCATENATE(IF(E138="N","PLACEHOLDER ROW - ",""),'C-Design&amp;Const'!Z138,IF(E138="N","",J138))</f>
        <v>PLACEHOLDER ROW - Summary of lateral force resisting systems (for new tributary load or compromising of existing system).</v>
      </c>
      <c r="I138" s="193"/>
      <c r="J138" s="578" t="str">
        <f>IF('C-Design&amp;Const'!AD138="","",'C-Design&amp;Const'!AD138)</f>
        <v/>
      </c>
      <c r="K138" s="228"/>
      <c r="L138" s="1410" t="str">
        <f t="shared" si="2"/>
        <v>&lt;---PM/Planner may hide PLACEHOLDER ROW</v>
      </c>
      <c r="M138" s="1382"/>
      <c r="N138" s="1382"/>
      <c r="O138" s="1382"/>
      <c r="P138" s="1382"/>
      <c r="Q138" s="1382"/>
      <c r="R138" s="1382"/>
      <c r="S138" s="1382"/>
      <c r="T138" s="1382"/>
      <c r="U138" s="1382"/>
      <c r="V138" s="1382"/>
      <c r="W138" s="1382"/>
      <c r="X138" s="1382"/>
      <c r="Y138" s="1382"/>
      <c r="Z138" s="1382"/>
      <c r="AA138" s="1382"/>
      <c r="AB138" s="1382"/>
      <c r="AC138" s="1382"/>
      <c r="AD138" s="1382"/>
      <c r="AE138" s="1382"/>
      <c r="AF138" s="1382"/>
      <c r="AG138" s="1382"/>
      <c r="AH138" s="1382"/>
      <c r="AI138" s="1382"/>
      <c r="AJ138" s="181"/>
      <c r="AK138" s="181"/>
      <c r="AL138" s="181"/>
      <c r="AM138" s="181"/>
      <c r="AN138" s="181"/>
      <c r="AO138" s="181"/>
      <c r="AP138" s="181"/>
      <c r="AQ138" s="181"/>
      <c r="AR138" s="181"/>
      <c r="AS138" s="181"/>
      <c r="AT138" s="181"/>
      <c r="AU138" s="181"/>
      <c r="AV138" s="181"/>
      <c r="AW138" s="181"/>
    </row>
    <row r="139" spans="1:49" s="30" customFormat="1" ht="18.75" x14ac:dyDescent="0.25">
      <c r="A139" s="1408"/>
      <c r="B139" s="191"/>
      <c r="C139" s="921"/>
      <c r="D139" s="32"/>
      <c r="E139" s="415" t="str">
        <f>IF('C-Design&amp;Const'!$G139="","",'C-Design&amp;Const'!$G139)</f>
        <v>Y</v>
      </c>
      <c r="F139" s="456"/>
      <c r="G139" s="457"/>
      <c r="H139" s="761" t="str">
        <f>CONCATENATE(IF(E139="N","PLACEHOLDER ROW - ",""),'C-Design&amp;Const'!Z139,IF(E139="N","",J139))</f>
        <v>LEED Version (v4) Prerequisites Narrative</v>
      </c>
      <c r="I139" s="193"/>
      <c r="J139" s="578" t="str">
        <f>IF('C-Design&amp;Const'!AD139="","",'C-Design&amp;Const'!AD139)</f>
        <v/>
      </c>
      <c r="K139" s="228"/>
      <c r="L139" s="1410" t="str">
        <f t="shared" si="2"/>
        <v/>
      </c>
      <c r="M139" s="1382"/>
      <c r="N139" s="1382"/>
      <c r="O139" s="1382"/>
      <c r="P139" s="1382"/>
      <c r="Q139" s="1382"/>
      <c r="R139" s="1382"/>
      <c r="S139" s="1382"/>
      <c r="T139" s="1382"/>
      <c r="U139" s="1382"/>
      <c r="V139" s="1382"/>
      <c r="W139" s="1382"/>
      <c r="X139" s="1382"/>
      <c r="Y139" s="1382"/>
      <c r="Z139" s="1382"/>
      <c r="AA139" s="1382"/>
      <c r="AB139" s="1382"/>
      <c r="AC139" s="1382"/>
      <c r="AD139" s="1382"/>
      <c r="AE139" s="1382"/>
      <c r="AF139" s="1382"/>
      <c r="AG139" s="1382"/>
      <c r="AH139" s="1382"/>
      <c r="AI139" s="1382"/>
      <c r="AJ139" s="181"/>
      <c r="AK139" s="181"/>
      <c r="AL139" s="181"/>
      <c r="AM139" s="181"/>
      <c r="AN139" s="181"/>
      <c r="AO139" s="181"/>
      <c r="AP139" s="181"/>
      <c r="AQ139" s="181"/>
      <c r="AR139" s="181"/>
      <c r="AS139" s="181"/>
      <c r="AT139" s="181"/>
      <c r="AU139" s="181"/>
      <c r="AV139" s="181"/>
      <c r="AW139" s="181"/>
    </row>
    <row r="140" spans="1:49" s="30" customFormat="1" ht="28.5" x14ac:dyDescent="0.25">
      <c r="A140" s="1408"/>
      <c r="B140" s="191"/>
      <c r="C140" s="921"/>
      <c r="D140" s="32"/>
      <c r="E140" s="415" t="str">
        <f>IF('C-Design&amp;Const'!$G140="","",'C-Design&amp;Const'!$G140)</f>
        <v>Y</v>
      </c>
      <c r="F140" s="456"/>
      <c r="G140" s="457"/>
      <c r="H140" s="761" t="str">
        <f>CONCATENATE(IF(E140="N","PLACEHOLDER ROW - ",""),'C-Design&amp;Const'!Z140,IF(E140="N","",J140))</f>
        <v>LEED Minimum Silver or better Registration (&gt;10,000 sqft and/or Capital Projects &gt;= $5million; Major renovations or New Construction)</v>
      </c>
      <c r="I140" s="193"/>
      <c r="J140" s="578" t="str">
        <f>IF('C-Design&amp;Const'!AD140="","",'C-Design&amp;Const'!AD140)</f>
        <v/>
      </c>
      <c r="K140" s="228"/>
      <c r="L140" s="1410" t="str">
        <f t="shared" si="2"/>
        <v/>
      </c>
      <c r="M140" s="1382"/>
      <c r="N140" s="1382"/>
      <c r="O140" s="1382"/>
      <c r="P140" s="1382"/>
      <c r="Q140" s="1382"/>
      <c r="R140" s="1382"/>
      <c r="S140" s="1382"/>
      <c r="T140" s="1382"/>
      <c r="U140" s="1382"/>
      <c r="V140" s="1382"/>
      <c r="W140" s="1382"/>
      <c r="X140" s="1382"/>
      <c r="Y140" s="1382"/>
      <c r="Z140" s="1382"/>
      <c r="AA140" s="1382"/>
      <c r="AB140" s="1382"/>
      <c r="AC140" s="1382"/>
      <c r="AD140" s="1382"/>
      <c r="AE140" s="1382"/>
      <c r="AF140" s="1382"/>
      <c r="AG140" s="1382"/>
      <c r="AH140" s="1382"/>
      <c r="AI140" s="1382"/>
      <c r="AJ140" s="181"/>
      <c r="AK140" s="181"/>
      <c r="AL140" s="181"/>
      <c r="AM140" s="181"/>
      <c r="AN140" s="181"/>
      <c r="AO140" s="181"/>
      <c r="AP140" s="181"/>
      <c r="AQ140" s="181"/>
      <c r="AR140" s="181"/>
      <c r="AS140" s="181"/>
      <c r="AT140" s="181"/>
      <c r="AU140" s="181"/>
      <c r="AV140" s="181"/>
      <c r="AW140" s="181"/>
    </row>
    <row r="141" spans="1:49" s="30" customFormat="1" ht="15" customHeight="1" x14ac:dyDescent="0.25">
      <c r="A141" s="1408"/>
      <c r="B141" s="191"/>
      <c r="C141" s="921"/>
      <c r="D141" s="32"/>
      <c r="E141" s="415" t="str">
        <f>IF('C-Design&amp;Const'!$G141="","",'C-Design&amp;Const'!$G141)</f>
        <v>Y</v>
      </c>
      <c r="F141" s="456"/>
      <c r="G141" s="457"/>
      <c r="H141" s="761" t="str">
        <f>CONCATENATE(IF(E141="N","PLACEHOLDER ROW - ",""),'C-Design&amp;Const'!Z141,IF(E141="N","",J141))</f>
        <v xml:space="preserve">LEED Project Checklist - (previously referred to as LEED Scorecard) </v>
      </c>
      <c r="I141" s="193"/>
      <c r="J141" s="578" t="str">
        <f>IF('C-Design&amp;Const'!AD141="","",'C-Design&amp;Const'!AD141)</f>
        <v/>
      </c>
      <c r="K141" s="228"/>
      <c r="L141" s="1410" t="str">
        <f t="shared" si="2"/>
        <v/>
      </c>
      <c r="M141" s="1382"/>
      <c r="N141" s="1382"/>
      <c r="O141" s="1382"/>
      <c r="P141" s="1382"/>
      <c r="Q141" s="1382"/>
      <c r="R141" s="1382"/>
      <c r="S141" s="1382"/>
      <c r="T141" s="1382"/>
      <c r="U141" s="1382"/>
      <c r="V141" s="1382"/>
      <c r="W141" s="1382"/>
      <c r="X141" s="1382"/>
      <c r="Y141" s="1382"/>
      <c r="Z141" s="1382"/>
      <c r="AA141" s="1382"/>
      <c r="AB141" s="1382"/>
      <c r="AC141" s="1382"/>
      <c r="AD141" s="1382"/>
      <c r="AE141" s="1382"/>
      <c r="AF141" s="1382"/>
      <c r="AG141" s="1382"/>
      <c r="AH141" s="1382"/>
      <c r="AI141" s="1382"/>
      <c r="AJ141" s="181"/>
      <c r="AK141" s="181"/>
      <c r="AL141" s="181"/>
      <c r="AM141" s="181"/>
      <c r="AN141" s="181"/>
      <c r="AO141" s="181"/>
      <c r="AP141" s="181"/>
      <c r="AQ141" s="181"/>
      <c r="AR141" s="181"/>
      <c r="AS141" s="181"/>
      <c r="AT141" s="181"/>
      <c r="AU141" s="181"/>
      <c r="AV141" s="181"/>
      <c r="AW141" s="181"/>
    </row>
    <row r="142" spans="1:49" s="30" customFormat="1" ht="15" customHeight="1" x14ac:dyDescent="0.25">
      <c r="A142" s="1408"/>
      <c r="B142" s="191"/>
      <c r="C142" s="921"/>
      <c r="D142" s="32"/>
      <c r="E142" s="415" t="str">
        <f>IF('C-Design&amp;Const'!$G142="","",'C-Design&amp;Const'!$G142)</f>
        <v>N</v>
      </c>
      <c r="F142" s="456"/>
      <c r="G142" s="457"/>
      <c r="H142" s="761" t="str">
        <f>CONCATENATE(IF(E142="N","PLACEHOLDER ROW - ",""),'C-Design&amp;Const'!Z142,IF(E142="N","",J142))</f>
        <v xml:space="preserve">PLACEHOLDER ROW - Energy Model (per ASHRAE 90.1, version from 2013  ) </v>
      </c>
      <c r="I142" s="193"/>
      <c r="J142" s="578" t="str">
        <f>IF('C-Design&amp;Const'!AD142="","",'C-Design&amp;Const'!AD142)</f>
        <v/>
      </c>
      <c r="K142" s="228"/>
      <c r="L142" s="1410" t="str">
        <f t="shared" si="2"/>
        <v>&lt;---PM/Planner may hide PLACEHOLDER ROW</v>
      </c>
      <c r="M142" s="1382"/>
      <c r="N142" s="1382"/>
      <c r="O142" s="1382"/>
      <c r="P142" s="1382"/>
      <c r="Q142" s="1382"/>
      <c r="R142" s="1382"/>
      <c r="S142" s="1382"/>
      <c r="T142" s="1382"/>
      <c r="U142" s="1382"/>
      <c r="V142" s="1382"/>
      <c r="W142" s="1382"/>
      <c r="X142" s="1382"/>
      <c r="Y142" s="1382"/>
      <c r="Z142" s="1382"/>
      <c r="AA142" s="1382"/>
      <c r="AB142" s="1382"/>
      <c r="AC142" s="1382"/>
      <c r="AD142" s="1382"/>
      <c r="AE142" s="1382"/>
      <c r="AF142" s="1382"/>
      <c r="AG142" s="1382"/>
      <c r="AH142" s="1382"/>
      <c r="AI142" s="1382"/>
      <c r="AJ142" s="181"/>
      <c r="AK142" s="181"/>
      <c r="AL142" s="181"/>
      <c r="AM142" s="181"/>
      <c r="AN142" s="181"/>
      <c r="AO142" s="181"/>
      <c r="AP142" s="181"/>
      <c r="AQ142" s="181"/>
      <c r="AR142" s="181"/>
      <c r="AS142" s="181"/>
      <c r="AT142" s="181"/>
      <c r="AU142" s="181"/>
      <c r="AV142" s="181"/>
      <c r="AW142" s="181"/>
    </row>
    <row r="143" spans="1:49" s="30" customFormat="1" ht="15" customHeight="1" x14ac:dyDescent="0.25">
      <c r="A143" s="1408"/>
      <c r="B143" s="191"/>
      <c r="C143" s="921"/>
      <c r="D143" s="32"/>
      <c r="E143" s="415" t="str">
        <f>IF('C-Design&amp;Const'!$G143="","",'C-Design&amp;Const'!$G143)</f>
        <v>N</v>
      </c>
      <c r="F143" s="456"/>
      <c r="G143" s="457"/>
      <c r="H143" s="761" t="str">
        <f>CONCATENATE(IF(E143="N","PLACEHOLDER ROW - ",""),'C-Design&amp;Const'!Z143,IF(E143="N","",J143))</f>
        <v>PLACEHOLDER ROW - Life Cycle Cost Analysis for selected systems (for projects exceeding 25,000 SF)</v>
      </c>
      <c r="I143" s="193"/>
      <c r="J143" s="578" t="str">
        <f>IF('C-Design&amp;Const'!AD143="","",'C-Design&amp;Const'!AD143)</f>
        <v/>
      </c>
      <c r="K143" s="228"/>
      <c r="L143" s="1410" t="str">
        <f t="shared" si="2"/>
        <v>&lt;---PM/Planner may hide PLACEHOLDER ROW</v>
      </c>
      <c r="M143" s="1382"/>
      <c r="N143" s="1382"/>
      <c r="O143" s="1382"/>
      <c r="P143" s="1382"/>
      <c r="Q143" s="1382"/>
      <c r="R143" s="1382"/>
      <c r="S143" s="1382"/>
      <c r="T143" s="1382"/>
      <c r="U143" s="1382"/>
      <c r="V143" s="1382"/>
      <c r="W143" s="1382"/>
      <c r="X143" s="1382"/>
      <c r="Y143" s="1382"/>
      <c r="Z143" s="1382"/>
      <c r="AA143" s="1382"/>
      <c r="AB143" s="1382"/>
      <c r="AC143" s="1382"/>
      <c r="AD143" s="1382"/>
      <c r="AE143" s="1382"/>
      <c r="AF143" s="1382"/>
      <c r="AG143" s="1382"/>
      <c r="AH143" s="1382"/>
      <c r="AI143" s="1382"/>
      <c r="AJ143" s="181"/>
      <c r="AK143" s="181"/>
      <c r="AL143" s="181"/>
      <c r="AM143" s="181"/>
      <c r="AN143" s="181"/>
      <c r="AO143" s="181"/>
      <c r="AP143" s="181"/>
      <c r="AQ143" s="181"/>
      <c r="AR143" s="181"/>
      <c r="AS143" s="181"/>
      <c r="AT143" s="181"/>
      <c r="AU143" s="181"/>
      <c r="AV143" s="181"/>
      <c r="AW143" s="181"/>
    </row>
    <row r="144" spans="1:49" s="30" customFormat="1" ht="15" customHeight="1" x14ac:dyDescent="0.25">
      <c r="A144" s="1408"/>
      <c r="B144" s="191"/>
      <c r="C144" s="921"/>
      <c r="D144" s="32"/>
      <c r="E144" s="415" t="str">
        <f>IF('C-Design&amp;Const'!$G144="","",'C-Design&amp;Const'!$G144)</f>
        <v>N</v>
      </c>
      <c r="F144" s="456"/>
      <c r="G144" s="457"/>
      <c r="H144" s="761" t="str">
        <f>CONCATENATE(IF(E144="N","PLACEHOLDER ROW - ",""),'C-Design&amp;Const'!Z144,IF(E144="N","",J144))</f>
        <v xml:space="preserve">PLACEHOLDER ROW - Energy Budget </v>
      </c>
      <c r="I144" s="193"/>
      <c r="J144" s="578" t="str">
        <f>IF('C-Design&amp;Const'!AD144="","",'C-Design&amp;Const'!AD144)</f>
        <v/>
      </c>
      <c r="K144" s="228"/>
      <c r="L144" s="1410" t="str">
        <f t="shared" si="2"/>
        <v>&lt;---PM/Planner may hide PLACEHOLDER ROW</v>
      </c>
      <c r="M144" s="1382"/>
      <c r="N144" s="1382"/>
      <c r="O144" s="1382"/>
      <c r="P144" s="1382"/>
      <c r="Q144" s="1382"/>
      <c r="R144" s="1382"/>
      <c r="S144" s="1382"/>
      <c r="T144" s="1382"/>
      <c r="U144" s="1382"/>
      <c r="V144" s="1382"/>
      <c r="W144" s="1382"/>
      <c r="X144" s="1382"/>
      <c r="Y144" s="1382"/>
      <c r="Z144" s="1382"/>
      <c r="AA144" s="1382"/>
      <c r="AB144" s="1382"/>
      <c r="AC144" s="1382"/>
      <c r="AD144" s="1382"/>
      <c r="AE144" s="1382"/>
      <c r="AF144" s="1382"/>
      <c r="AG144" s="1382"/>
      <c r="AH144" s="1382"/>
      <c r="AI144" s="1382"/>
      <c r="AJ144" s="181"/>
      <c r="AK144" s="181"/>
      <c r="AL144" s="181"/>
      <c r="AM144" s="181"/>
      <c r="AN144" s="181"/>
      <c r="AO144" s="181"/>
      <c r="AP144" s="181"/>
      <c r="AQ144" s="181"/>
      <c r="AR144" s="181"/>
      <c r="AS144" s="181"/>
      <c r="AT144" s="181"/>
      <c r="AU144" s="181"/>
      <c r="AV144" s="181"/>
      <c r="AW144" s="181"/>
    </row>
    <row r="145" spans="1:49" s="30" customFormat="1" ht="15" customHeight="1" x14ac:dyDescent="0.25">
      <c r="A145" s="1408"/>
      <c r="B145" s="191"/>
      <c r="C145" s="921"/>
      <c r="D145" s="32"/>
      <c r="E145" s="415" t="str">
        <f>IF('C-Design&amp;Const'!$G145="","",'C-Design&amp;Const'!$G145)</f>
        <v>N</v>
      </c>
      <c r="F145" s="456"/>
      <c r="G145" s="457"/>
      <c r="H145" s="761" t="str">
        <f>CONCATENATE(IF(E145="N","PLACEHOLDER ROW - ",""),'C-Design&amp;Const'!Z145,IF(E145="N","",J145))</f>
        <v>PLACEHOLDER ROW - Utilities Peak Load Estimates</v>
      </c>
      <c r="I145" s="193"/>
      <c r="J145" s="578" t="str">
        <f>IF('C-Design&amp;Const'!AD145="","",'C-Design&amp;Const'!AD145)</f>
        <v/>
      </c>
      <c r="K145" s="228"/>
      <c r="L145" s="1410" t="str">
        <f t="shared" si="2"/>
        <v>&lt;---PM/Planner may hide PLACEHOLDER ROW</v>
      </c>
      <c r="M145" s="1382"/>
      <c r="N145" s="1382"/>
      <c r="O145" s="1382"/>
      <c r="P145" s="1382"/>
      <c r="Q145" s="1382"/>
      <c r="R145" s="1382"/>
      <c r="S145" s="1382"/>
      <c r="T145" s="1382"/>
      <c r="U145" s="1382"/>
      <c r="V145" s="1382"/>
      <c r="W145" s="1382"/>
      <c r="X145" s="1382"/>
      <c r="Y145" s="1382"/>
      <c r="Z145" s="1382"/>
      <c r="AA145" s="1382"/>
      <c r="AB145" s="1382"/>
      <c r="AC145" s="1382"/>
      <c r="AD145" s="1382"/>
      <c r="AE145" s="1382"/>
      <c r="AF145" s="1382"/>
      <c r="AG145" s="1382"/>
      <c r="AH145" s="1382"/>
      <c r="AI145" s="1382"/>
      <c r="AJ145" s="181"/>
      <c r="AK145" s="181"/>
      <c r="AL145" s="181"/>
      <c r="AM145" s="181"/>
      <c r="AN145" s="181"/>
      <c r="AO145" s="181"/>
      <c r="AP145" s="181"/>
      <c r="AQ145" s="181"/>
      <c r="AR145" s="181"/>
      <c r="AS145" s="181"/>
      <c r="AT145" s="181"/>
      <c r="AU145" s="181"/>
      <c r="AV145" s="181"/>
      <c r="AW145" s="181"/>
    </row>
    <row r="146" spans="1:49" s="30" customFormat="1" ht="15" customHeight="1" x14ac:dyDescent="0.25">
      <c r="A146" s="1408"/>
      <c r="B146" s="191"/>
      <c r="C146" s="921"/>
      <c r="D146" s="32"/>
      <c r="E146" s="415" t="str">
        <f>IF('C-Design&amp;Const'!$G146="","",'C-Design&amp;Const'!$G146)</f>
        <v>N</v>
      </c>
      <c r="F146" s="456"/>
      <c r="G146" s="457"/>
      <c r="H146" s="761" t="str">
        <f>CONCATENATE(IF(E146="N","PLACEHOLDER ROW - ",""),'C-Design&amp;Const'!Z146,IF(E146="N","",J146))</f>
        <v xml:space="preserve">PLACEHOLDER ROW - Chilled Water Capacity Charge form </v>
      </c>
      <c r="I146" s="193"/>
      <c r="J146" s="578" t="str">
        <f>IF('C-Design&amp;Const'!AD146="","",'C-Design&amp;Const'!AD146)</f>
        <v/>
      </c>
      <c r="K146" s="228"/>
      <c r="L146" s="1410" t="str">
        <f>CONCATENATE(IF(ISNUMBER(SEARCH("Placeholder",H146))=TRUE,"&lt;---PM/Planner may hide PLACEHOLDER ROW",""))</f>
        <v>&lt;---PM/Planner may hide PLACEHOLDER ROW</v>
      </c>
      <c r="M146" s="1382"/>
      <c r="N146" s="1382"/>
      <c r="O146" s="1382"/>
      <c r="P146" s="1382"/>
      <c r="Q146" s="1382"/>
      <c r="R146" s="1382"/>
      <c r="S146" s="1382"/>
      <c r="T146" s="1382"/>
      <c r="U146" s="1382"/>
      <c r="V146" s="1382"/>
      <c r="W146" s="1382"/>
      <c r="X146" s="1382"/>
      <c r="Y146" s="1382"/>
      <c r="Z146" s="1382"/>
      <c r="AA146" s="1382"/>
      <c r="AB146" s="1382"/>
      <c r="AC146" s="1382"/>
      <c r="AD146" s="1382"/>
      <c r="AE146" s="1382"/>
      <c r="AF146" s="1382"/>
      <c r="AG146" s="1382"/>
      <c r="AH146" s="1382"/>
      <c r="AI146" s="1382"/>
      <c r="AJ146" s="181"/>
      <c r="AK146" s="181"/>
      <c r="AL146" s="181"/>
      <c r="AM146" s="181"/>
      <c r="AN146" s="181"/>
      <c r="AO146" s="181"/>
      <c r="AP146" s="181"/>
      <c r="AQ146" s="181"/>
      <c r="AR146" s="181"/>
      <c r="AS146" s="181"/>
      <c r="AT146" s="181"/>
      <c r="AU146" s="181"/>
      <c r="AV146" s="181"/>
      <c r="AW146" s="181"/>
    </row>
    <row r="147" spans="1:49" s="30" customFormat="1" ht="15" customHeight="1" x14ac:dyDescent="0.25">
      <c r="A147" s="1408"/>
      <c r="B147" s="191"/>
      <c r="C147" s="921"/>
      <c r="D147" s="32"/>
      <c r="E147" s="415" t="str">
        <f>IF('C-Design&amp;Const'!$G147="","",'C-Design&amp;Const'!$G147)</f>
        <v>N</v>
      </c>
      <c r="F147" s="456"/>
      <c r="G147" s="457"/>
      <c r="H147" s="761" t="str">
        <f>CONCATENATE(IF(E147="N","PLACEHOLDER ROW - ",""),'C-Design&amp;Const'!Z147,IF(E147="N","",J147))</f>
        <v xml:space="preserve">PLACEHOLDER ROW - Energy Standards – proof of compliance </v>
      </c>
      <c r="I147" s="193"/>
      <c r="J147" s="578" t="str">
        <f>IF('C-Design&amp;Const'!AD147="","",'C-Design&amp;Const'!AD147)</f>
        <v/>
      </c>
      <c r="K147" s="228"/>
      <c r="L147" s="1410" t="str">
        <f t="shared" si="2"/>
        <v>&lt;---PM/Planner may hide PLACEHOLDER ROW</v>
      </c>
      <c r="M147" s="1382"/>
      <c r="N147" s="1382"/>
      <c r="O147" s="1382"/>
      <c r="P147" s="1382"/>
      <c r="Q147" s="1382"/>
      <c r="R147" s="1382"/>
      <c r="S147" s="1382"/>
      <c r="T147" s="1382"/>
      <c r="U147" s="1382"/>
      <c r="V147" s="1382"/>
      <c r="W147" s="1382"/>
      <c r="X147" s="1382"/>
      <c r="Y147" s="1382"/>
      <c r="Z147" s="1382"/>
      <c r="AA147" s="1382"/>
      <c r="AB147" s="1382"/>
      <c r="AC147" s="1382"/>
      <c r="AD147" s="1382"/>
      <c r="AE147" s="1382"/>
      <c r="AF147" s="1382"/>
      <c r="AG147" s="1382"/>
      <c r="AH147" s="1382"/>
      <c r="AI147" s="1382"/>
      <c r="AJ147" s="181"/>
      <c r="AK147" s="181"/>
      <c r="AL147" s="181"/>
      <c r="AM147" s="181"/>
      <c r="AN147" s="181"/>
      <c r="AO147" s="181"/>
      <c r="AP147" s="181"/>
      <c r="AQ147" s="181"/>
      <c r="AR147" s="181"/>
      <c r="AS147" s="181"/>
      <c r="AT147" s="181"/>
      <c r="AU147" s="181"/>
      <c r="AV147" s="181"/>
      <c r="AW147" s="181"/>
    </row>
    <row r="148" spans="1:49" s="30" customFormat="1" ht="16.5" customHeight="1" x14ac:dyDescent="0.25">
      <c r="A148" s="1408"/>
      <c r="B148" s="191"/>
      <c r="C148" s="921"/>
      <c r="D148" s="32"/>
      <c r="E148" s="415" t="str">
        <f>IF('C-Design&amp;Const'!$G148="","",'C-Design&amp;Const'!$G148)</f>
        <v>N</v>
      </c>
      <c r="F148" s="456"/>
      <c r="G148" s="457"/>
      <c r="H148" s="761" t="str">
        <f>CONCATENATE(IF(E148="N","PLACEHOLDER ROW - ",""),'C-Design&amp;Const'!Z148,IF(E148="N","",J148))</f>
        <v xml:space="preserve">PLACEHOLDER ROW - Hydraulic Analysis for water and waste - ** calculations available upon request </v>
      </c>
      <c r="I148" s="193"/>
      <c r="J148" s="578" t="str">
        <f>IF('C-Design&amp;Const'!AD148="","",'C-Design&amp;Const'!AD148)</f>
        <v/>
      </c>
      <c r="K148" s="228"/>
      <c r="L148" s="1410" t="str">
        <f t="shared" si="2"/>
        <v>&lt;---PM/Planner may hide PLACEHOLDER ROW</v>
      </c>
      <c r="M148" s="1382"/>
      <c r="N148" s="1382"/>
      <c r="O148" s="1382"/>
      <c r="P148" s="1382"/>
      <c r="Q148" s="1382"/>
      <c r="R148" s="1382"/>
      <c r="S148" s="1382"/>
      <c r="T148" s="1382"/>
      <c r="U148" s="1382"/>
      <c r="V148" s="1382"/>
      <c r="W148" s="1382"/>
      <c r="X148" s="1382"/>
      <c r="Y148" s="1382"/>
      <c r="Z148" s="1382"/>
      <c r="AA148" s="1382"/>
      <c r="AB148" s="1382"/>
      <c r="AC148" s="1382"/>
      <c r="AD148" s="1382"/>
      <c r="AE148" s="1382"/>
      <c r="AF148" s="1382"/>
      <c r="AG148" s="1382"/>
      <c r="AH148" s="1382"/>
      <c r="AI148" s="1382"/>
      <c r="AJ148" s="181"/>
      <c r="AK148" s="181"/>
      <c r="AL148" s="181"/>
      <c r="AM148" s="181"/>
      <c r="AN148" s="181"/>
      <c r="AO148" s="181"/>
      <c r="AP148" s="181"/>
      <c r="AQ148" s="181"/>
      <c r="AR148" s="181"/>
      <c r="AS148" s="181"/>
      <c r="AT148" s="181"/>
      <c r="AU148" s="181"/>
      <c r="AV148" s="181"/>
      <c r="AW148" s="181"/>
    </row>
    <row r="149" spans="1:49" s="30" customFormat="1" ht="15" customHeight="1" x14ac:dyDescent="0.25">
      <c r="A149" s="1408"/>
      <c r="B149" s="191"/>
      <c r="C149" s="921"/>
      <c r="D149" s="32"/>
      <c r="E149" s="415" t="str">
        <f>IF('C-Design&amp;Const'!$G149="","",'C-Design&amp;Const'!$G149)</f>
        <v>N</v>
      </c>
      <c r="F149" s="456"/>
      <c r="G149" s="457"/>
      <c r="H149" s="761" t="str">
        <f>CONCATENATE(IF(E149="N","PLACEHOLDER ROW - ",""),'C-Design&amp;Const'!Z149,IF(E149="N","",J149))</f>
        <v xml:space="preserve">PLACEHOLDER ROW - Hydraulic Analysis for fire protection - ** calculations available upon request </v>
      </c>
      <c r="I149" s="193"/>
      <c r="J149" s="578" t="str">
        <f>IF('C-Design&amp;Const'!AD149="","",'C-Design&amp;Const'!AD149)</f>
        <v/>
      </c>
      <c r="K149" s="228"/>
      <c r="L149" s="1410" t="str">
        <f t="shared" si="2"/>
        <v>&lt;---PM/Planner may hide PLACEHOLDER ROW</v>
      </c>
      <c r="M149" s="1382"/>
      <c r="N149" s="1382"/>
      <c r="O149" s="1382"/>
      <c r="P149" s="1382"/>
      <c r="Q149" s="1382"/>
      <c r="R149" s="1382"/>
      <c r="S149" s="1382"/>
      <c r="T149" s="1382"/>
      <c r="U149" s="1382"/>
      <c r="V149" s="1382"/>
      <c r="W149" s="1382"/>
      <c r="X149" s="1382"/>
      <c r="Y149" s="1382"/>
      <c r="Z149" s="1382"/>
      <c r="AA149" s="1382"/>
      <c r="AB149" s="1382"/>
      <c r="AC149" s="1382"/>
      <c r="AD149" s="1382"/>
      <c r="AE149" s="1382"/>
      <c r="AF149" s="1382"/>
      <c r="AG149" s="1382"/>
      <c r="AH149" s="1382"/>
      <c r="AI149" s="1382"/>
      <c r="AJ149" s="181"/>
      <c r="AK149" s="181"/>
      <c r="AL149" s="181"/>
      <c r="AM149" s="181"/>
      <c r="AN149" s="181"/>
      <c r="AO149" s="181"/>
      <c r="AP149" s="181"/>
      <c r="AQ149" s="181"/>
      <c r="AR149" s="181"/>
      <c r="AS149" s="181"/>
      <c r="AT149" s="181"/>
      <c r="AU149" s="181"/>
      <c r="AV149" s="181"/>
      <c r="AW149" s="181"/>
    </row>
    <row r="150" spans="1:49" s="30" customFormat="1" ht="15" customHeight="1" x14ac:dyDescent="0.25">
      <c r="A150" s="1408"/>
      <c r="B150" s="191"/>
      <c r="C150" s="921"/>
      <c r="D150" s="32"/>
      <c r="E150" s="415" t="str">
        <f>IF('C-Design&amp;Const'!$G150="","",'C-Design&amp;Const'!$G150)</f>
        <v>N</v>
      </c>
      <c r="F150" s="456"/>
      <c r="G150" s="457"/>
      <c r="H150" s="761" t="str">
        <f>CONCATENATE(IF(E150="N","PLACEHOLDER ROW - ",""),'C-Design&amp;Const'!Z150,IF(E150="N","",J150))</f>
        <v>PLACEHOLDER ROW - Harmonic Analysis Report for VFDs (N/A till construction)</v>
      </c>
      <c r="I150" s="193"/>
      <c r="J150" s="578" t="str">
        <f>IF('C-Design&amp;Const'!AD150="","",'C-Design&amp;Const'!AD150)</f>
        <v/>
      </c>
      <c r="K150" s="228"/>
      <c r="L150" s="1410" t="str">
        <f t="shared" si="2"/>
        <v>&lt;---PM/Planner may hide PLACEHOLDER ROW</v>
      </c>
      <c r="M150" s="1382"/>
      <c r="N150" s="1382"/>
      <c r="O150" s="1382"/>
      <c r="P150" s="1382"/>
      <c r="Q150" s="1382"/>
      <c r="R150" s="1382"/>
      <c r="S150" s="1382"/>
      <c r="T150" s="1382"/>
      <c r="U150" s="1382"/>
      <c r="V150" s="1382"/>
      <c r="W150" s="1382"/>
      <c r="X150" s="1382"/>
      <c r="Y150" s="1382"/>
      <c r="Z150" s="1382"/>
      <c r="AA150" s="1382"/>
      <c r="AB150" s="1382"/>
      <c r="AC150" s="1382"/>
      <c r="AD150" s="1382"/>
      <c r="AE150" s="1382"/>
      <c r="AF150" s="1382"/>
      <c r="AG150" s="1382"/>
      <c r="AH150" s="1382"/>
      <c r="AI150" s="1382"/>
      <c r="AJ150" s="181"/>
      <c r="AK150" s="181"/>
      <c r="AL150" s="181"/>
      <c r="AM150" s="181"/>
      <c r="AN150" s="181"/>
      <c r="AO150" s="181"/>
      <c r="AP150" s="181"/>
      <c r="AQ150" s="181"/>
      <c r="AR150" s="181"/>
      <c r="AS150" s="181"/>
      <c r="AT150" s="181"/>
      <c r="AU150" s="181"/>
      <c r="AV150" s="181"/>
      <c r="AW150" s="181"/>
    </row>
    <row r="151" spans="1:49" s="30" customFormat="1" ht="24.75" customHeight="1" x14ac:dyDescent="0.25">
      <c r="A151" s="1408"/>
      <c r="B151" s="191"/>
      <c r="C151" s="921"/>
      <c r="D151" s="32"/>
      <c r="E151" s="415" t="str">
        <f>IF('C-Design&amp;Const'!$G151="","",'C-Design&amp;Const'!$G151)</f>
        <v>N</v>
      </c>
      <c r="F151" s="456"/>
      <c r="G151" s="457"/>
      <c r="H151" s="761" t="str">
        <f>CONCATENATE(IF(E151="N","PLACEHOLDER ROW - ",""),'C-Design&amp;Const'!Z151,IF(E151="N","",J151))</f>
        <v xml:space="preserve">PLACEHOLDER ROW - Results of Emergency Generator Load Calculation - ** calculations available upon request </v>
      </c>
      <c r="I151" s="193"/>
      <c r="J151" s="578" t="str">
        <f>IF('C-Design&amp;Const'!AD151="","",'C-Design&amp;Const'!AD151)</f>
        <v/>
      </c>
      <c r="K151" s="228"/>
      <c r="L151" s="1410" t="str">
        <f t="shared" si="2"/>
        <v>&lt;---PM/Planner may hide PLACEHOLDER ROW</v>
      </c>
      <c r="M151" s="1382"/>
      <c r="N151" s="1382"/>
      <c r="O151" s="1382"/>
      <c r="P151" s="1382"/>
      <c r="Q151" s="1382"/>
      <c r="R151" s="1382"/>
      <c r="S151" s="1382"/>
      <c r="T151" s="1382"/>
      <c r="U151" s="1382"/>
      <c r="V151" s="1382"/>
      <c r="W151" s="1382"/>
      <c r="X151" s="1382"/>
      <c r="Y151" s="1382"/>
      <c r="Z151" s="1382"/>
      <c r="AA151" s="1382"/>
      <c r="AB151" s="1382"/>
      <c r="AC151" s="1382"/>
      <c r="AD151" s="1382"/>
      <c r="AE151" s="1382"/>
      <c r="AF151" s="1382"/>
      <c r="AG151" s="1382"/>
      <c r="AH151" s="1382"/>
      <c r="AI151" s="1382"/>
      <c r="AJ151" s="181"/>
      <c r="AK151" s="181"/>
      <c r="AL151" s="181"/>
      <c r="AM151" s="181"/>
      <c r="AN151" s="181"/>
      <c r="AO151" s="181"/>
      <c r="AP151" s="181"/>
      <c r="AQ151" s="181"/>
      <c r="AR151" s="181"/>
      <c r="AS151" s="181"/>
      <c r="AT151" s="181"/>
      <c r="AU151" s="181"/>
      <c r="AV151" s="181"/>
      <c r="AW151" s="181"/>
    </row>
    <row r="152" spans="1:49" s="30" customFormat="1" ht="15" customHeight="1" x14ac:dyDescent="0.25">
      <c r="A152" s="1408"/>
      <c r="B152" s="191"/>
      <c r="C152" s="921"/>
      <c r="D152" s="32"/>
      <c r="E152" s="415" t="str">
        <f>IF('C-Design&amp;Const'!$G152="","",'C-Design&amp;Const'!$G152)</f>
        <v>N</v>
      </c>
      <c r="F152" s="456"/>
      <c r="G152" s="457"/>
      <c r="H152" s="761" t="str">
        <f>CONCATENATE(IF(E152="N","PLACEHOLDER ROW - ",""),'C-Design&amp;Const'!Z152,IF(E152="N","",J152))</f>
        <v>PLACEHOLDER ROW - CUSTOM ROW - OPTIONAL CLIENT ITEM</v>
      </c>
      <c r="I152" s="193"/>
      <c r="J152" s="578" t="str">
        <f>IF('C-Design&amp;Const'!AD152="","",'C-Design&amp;Const'!AD152)</f>
        <v/>
      </c>
      <c r="K152" s="228"/>
      <c r="L152" s="1410" t="str">
        <f t="shared" si="2"/>
        <v>&lt;---PM/Planner may hide PLACEHOLDER ROW</v>
      </c>
      <c r="M152" s="1382"/>
      <c r="N152" s="1382"/>
      <c r="O152" s="1382"/>
      <c r="P152" s="1382"/>
      <c r="Q152" s="1382"/>
      <c r="R152" s="1382"/>
      <c r="S152" s="1382"/>
      <c r="T152" s="1382"/>
      <c r="U152" s="1382"/>
      <c r="V152" s="1382"/>
      <c r="W152" s="1382"/>
      <c r="X152" s="1382"/>
      <c r="Y152" s="1382"/>
      <c r="Z152" s="1382"/>
      <c r="AA152" s="1382"/>
      <c r="AB152" s="1382"/>
      <c r="AC152" s="1382"/>
      <c r="AD152" s="1382"/>
      <c r="AE152" s="1382"/>
      <c r="AF152" s="1382"/>
      <c r="AG152" s="1382"/>
      <c r="AH152" s="1382"/>
      <c r="AI152" s="1382"/>
      <c r="AJ152" s="181"/>
      <c r="AK152" s="181"/>
      <c r="AL152" s="181"/>
      <c r="AM152" s="181"/>
      <c r="AN152" s="181"/>
      <c r="AO152" s="181"/>
      <c r="AP152" s="181"/>
      <c r="AQ152" s="181"/>
      <c r="AR152" s="181"/>
      <c r="AS152" s="181"/>
      <c r="AT152" s="181"/>
      <c r="AU152" s="181"/>
      <c r="AV152" s="181"/>
      <c r="AW152" s="181"/>
    </row>
    <row r="153" spans="1:49" s="30" customFormat="1" ht="17.25" customHeight="1" x14ac:dyDescent="0.25">
      <c r="A153" s="1408"/>
      <c r="B153" s="191"/>
      <c r="C153" s="921"/>
      <c r="D153" s="32"/>
      <c r="E153" s="415" t="str">
        <f>IF('C-Design&amp;Const'!$G153="","",'C-Design&amp;Const'!$G153)</f>
        <v>N</v>
      </c>
      <c r="F153" s="456"/>
      <c r="G153" s="457"/>
      <c r="H153" s="761" t="str">
        <f>CONCATENATE(IF(E153="N","PLACEHOLDER ROW - ",""),'C-Design&amp;Const'!Z153,IF(E153="N","",J153))</f>
        <v xml:space="preserve">PLACEHOLDER ROW - Results of Transformer Load Calculation -** calculations available upon request </v>
      </c>
      <c r="I153" s="193"/>
      <c r="J153" s="578" t="str">
        <f>IF('C-Design&amp;Const'!AD153="","",'C-Design&amp;Const'!AD153)</f>
        <v/>
      </c>
      <c r="K153" s="228"/>
      <c r="L153" s="1410" t="str">
        <f t="shared" si="2"/>
        <v>&lt;---PM/Planner may hide PLACEHOLDER ROW</v>
      </c>
      <c r="M153" s="1382"/>
      <c r="N153" s="1382"/>
      <c r="O153" s="1382"/>
      <c r="P153" s="1382"/>
      <c r="Q153" s="1382"/>
      <c r="R153" s="1382"/>
      <c r="S153" s="1382"/>
      <c r="T153" s="1382"/>
      <c r="U153" s="1382"/>
      <c r="V153" s="1382"/>
      <c r="W153" s="1382"/>
      <c r="X153" s="1382"/>
      <c r="Y153" s="1382"/>
      <c r="Z153" s="1382"/>
      <c r="AA153" s="1382"/>
      <c r="AB153" s="1382"/>
      <c r="AC153" s="1382"/>
      <c r="AD153" s="1382"/>
      <c r="AE153" s="1382"/>
      <c r="AF153" s="1382"/>
      <c r="AG153" s="1382"/>
      <c r="AH153" s="1382"/>
      <c r="AI153" s="1382"/>
      <c r="AJ153" s="181"/>
      <c r="AK153" s="181"/>
      <c r="AL153" s="181"/>
      <c r="AM153" s="181"/>
      <c r="AN153" s="181"/>
      <c r="AO153" s="181"/>
      <c r="AP153" s="181"/>
      <c r="AQ153" s="181"/>
      <c r="AR153" s="181"/>
      <c r="AS153" s="181"/>
      <c r="AT153" s="181"/>
      <c r="AU153" s="181"/>
      <c r="AV153" s="181"/>
      <c r="AW153" s="181"/>
    </row>
    <row r="154" spans="1:49" s="30" customFormat="1" ht="28.5" x14ac:dyDescent="0.25">
      <c r="A154" s="1408"/>
      <c r="B154" s="191"/>
      <c r="C154" s="921"/>
      <c r="D154" s="32"/>
      <c r="E154" s="415" t="str">
        <f>IF('C-Design&amp;Const'!$G154="","",'C-Design&amp;Const'!$G154)</f>
        <v>N</v>
      </c>
      <c r="F154" s="456"/>
      <c r="G154" s="457"/>
      <c r="H154" s="761" t="str">
        <f>CONCATENATE(IF(E154="N","PLACEHOLDER ROW - ",""),'C-Design&amp;Const'!Z154,IF(E154="N","",J154))</f>
        <v xml:space="preserve">PLACEHOLDER ROW - Results of Short-Circuit (Fault) Analysis of Building Electrical System- ** calculations available upon request </v>
      </c>
      <c r="I154" s="193"/>
      <c r="J154" s="578" t="str">
        <f>IF('C-Design&amp;Const'!AD154="","",'C-Design&amp;Const'!AD154)</f>
        <v/>
      </c>
      <c r="K154" s="228"/>
      <c r="L154" s="1410" t="str">
        <f t="shared" si="2"/>
        <v>&lt;---PM/Planner may hide PLACEHOLDER ROW</v>
      </c>
      <c r="M154" s="1382"/>
      <c r="N154" s="1382"/>
      <c r="O154" s="1382"/>
      <c r="P154" s="1382"/>
      <c r="Q154" s="1382"/>
      <c r="R154" s="1382"/>
      <c r="S154" s="1382"/>
      <c r="T154" s="1382"/>
      <c r="U154" s="1382"/>
      <c r="V154" s="1382"/>
      <c r="W154" s="1382"/>
      <c r="X154" s="1382"/>
      <c r="Y154" s="1382"/>
      <c r="Z154" s="1382"/>
      <c r="AA154" s="1382"/>
      <c r="AB154" s="1382"/>
      <c r="AC154" s="1382"/>
      <c r="AD154" s="1382"/>
      <c r="AE154" s="1382"/>
      <c r="AF154" s="1382"/>
      <c r="AG154" s="1382"/>
      <c r="AH154" s="1382"/>
      <c r="AI154" s="1382"/>
      <c r="AJ154" s="181"/>
      <c r="AK154" s="181"/>
      <c r="AL154" s="181"/>
      <c r="AM154" s="181"/>
      <c r="AN154" s="181"/>
      <c r="AO154" s="181"/>
      <c r="AP154" s="181"/>
      <c r="AQ154" s="181"/>
      <c r="AR154" s="181"/>
      <c r="AS154" s="181"/>
      <c r="AT154" s="181"/>
      <c r="AU154" s="181"/>
      <c r="AV154" s="181"/>
      <c r="AW154" s="181"/>
    </row>
    <row r="155" spans="1:49" s="30" customFormat="1" ht="28.5" x14ac:dyDescent="0.25">
      <c r="A155" s="1408"/>
      <c r="B155" s="191"/>
      <c r="C155" s="921"/>
      <c r="D155" s="32"/>
      <c r="E155" s="415" t="str">
        <f>IF('C-Design&amp;Const'!$G155="","",'C-Design&amp;Const'!$G155)</f>
        <v>N</v>
      </c>
      <c r="F155" s="456"/>
      <c r="G155" s="457"/>
      <c r="H155" s="761" t="str">
        <f>CONCATENATE(IF(E155="N","PLACEHOLDER ROW - ",""),'C-Design&amp;Const'!Z155,IF(E155="N","",J155))</f>
        <v xml:space="preserve">PLACEHOLDER ROW - Extensions of Primary Electrical Distribution-** calculations available upon request </v>
      </c>
      <c r="I155" s="193"/>
      <c r="J155" s="578" t="str">
        <f>IF('C-Design&amp;Const'!AD155="","",'C-Design&amp;Const'!AD155)</f>
        <v/>
      </c>
      <c r="K155" s="228"/>
      <c r="L155" s="1410" t="str">
        <f t="shared" si="2"/>
        <v>&lt;---PM/Planner may hide PLACEHOLDER ROW</v>
      </c>
      <c r="M155" s="1382"/>
      <c r="N155" s="1382"/>
      <c r="O155" s="1382"/>
      <c r="P155" s="1382"/>
      <c r="Q155" s="1382"/>
      <c r="R155" s="1382"/>
      <c r="S155" s="1382"/>
      <c r="T155" s="1382"/>
      <c r="U155" s="1382"/>
      <c r="V155" s="1382"/>
      <c r="W155" s="1382"/>
      <c r="X155" s="1382"/>
      <c r="Y155" s="1382"/>
      <c r="Z155" s="1382"/>
      <c r="AA155" s="1382"/>
      <c r="AB155" s="1382"/>
      <c r="AC155" s="1382"/>
      <c r="AD155" s="1382"/>
      <c r="AE155" s="1382"/>
      <c r="AF155" s="1382"/>
      <c r="AG155" s="1382"/>
      <c r="AH155" s="1382"/>
      <c r="AI155" s="1382"/>
      <c r="AJ155" s="181"/>
      <c r="AK155" s="181"/>
      <c r="AL155" s="181"/>
      <c r="AM155" s="181"/>
      <c r="AN155" s="181"/>
      <c r="AO155" s="181"/>
      <c r="AP155" s="181"/>
      <c r="AQ155" s="181"/>
      <c r="AR155" s="181"/>
      <c r="AS155" s="181"/>
      <c r="AT155" s="181"/>
      <c r="AU155" s="181"/>
      <c r="AV155" s="181"/>
      <c r="AW155" s="181"/>
    </row>
    <row r="156" spans="1:49" s="30" customFormat="1" ht="42.75" x14ac:dyDescent="0.25">
      <c r="A156" s="1408"/>
      <c r="B156" s="191"/>
      <c r="C156" s="921"/>
      <c r="D156" s="32"/>
      <c r="E156" s="415" t="str">
        <f>IF('C-Design&amp;Const'!$G156="","",'C-Design&amp;Const'!$G156)</f>
        <v>N</v>
      </c>
      <c r="F156" s="456"/>
      <c r="G156" s="457"/>
      <c r="H156" s="761" t="str">
        <f>CONCATENATE(IF(E156="N","PLACEHOLDER ROW - ",""),'C-Design&amp;Const'!Z156,IF(E156="N","",J156))</f>
        <v xml:space="preserve">PLACEHOLDER ROW - Results of Proposed Lighting Power Density Calculation (output from COMcheck software or similar) showing Compliance with Energy Codes and Standards -** calculations available upon request </v>
      </c>
      <c r="I156" s="193"/>
      <c r="J156" s="578" t="str">
        <f>IF('C-Design&amp;Const'!AD156="","",'C-Design&amp;Const'!AD156)</f>
        <v/>
      </c>
      <c r="K156" s="228"/>
      <c r="L156" s="1410" t="str">
        <f t="shared" si="2"/>
        <v>&lt;---PM/Planner may hide PLACEHOLDER ROW</v>
      </c>
      <c r="M156" s="1382"/>
      <c r="N156" s="1382"/>
      <c r="O156" s="1382"/>
      <c r="P156" s="1382"/>
      <c r="Q156" s="1382"/>
      <c r="R156" s="1382"/>
      <c r="S156" s="1382"/>
      <c r="T156" s="1382"/>
      <c r="U156" s="1382"/>
      <c r="V156" s="1382"/>
      <c r="W156" s="1382"/>
      <c r="X156" s="1382"/>
      <c r="Y156" s="1382"/>
      <c r="Z156" s="1382"/>
      <c r="AA156" s="1382"/>
      <c r="AB156" s="1382"/>
      <c r="AC156" s="1382"/>
      <c r="AD156" s="1382"/>
      <c r="AE156" s="1382"/>
      <c r="AF156" s="1382"/>
      <c r="AG156" s="1382"/>
      <c r="AH156" s="1382"/>
      <c r="AI156" s="1382"/>
      <c r="AJ156" s="181"/>
      <c r="AK156" s="181"/>
      <c r="AL156" s="181"/>
      <c r="AM156" s="181"/>
      <c r="AN156" s="181"/>
      <c r="AO156" s="181"/>
      <c r="AP156" s="181"/>
      <c r="AQ156" s="181"/>
      <c r="AR156" s="181"/>
      <c r="AS156" s="181"/>
      <c r="AT156" s="181"/>
      <c r="AU156" s="181"/>
      <c r="AV156" s="181"/>
      <c r="AW156" s="181"/>
    </row>
    <row r="157" spans="1:49" s="30" customFormat="1" ht="28.5" x14ac:dyDescent="0.25">
      <c r="A157" s="1408"/>
      <c r="B157" s="191"/>
      <c r="C157" s="921"/>
      <c r="D157" s="32"/>
      <c r="E157" s="415" t="str">
        <f>IF('C-Design&amp;Const'!$G157="","",'C-Design&amp;Const'!$G157)</f>
        <v>N</v>
      </c>
      <c r="F157" s="456"/>
      <c r="G157" s="457"/>
      <c r="H157" s="761" t="str">
        <f>CONCATENATE(IF(E157="N","PLACEHOLDER ROW - ",""),'C-Design&amp;Const'!Z157,IF(E157="N","",J157))</f>
        <v>PLACEHOLDER ROW - Results of Point-by-Point Exterior Lighting Calculations Showing Compliance with IESNA Recommendations</v>
      </c>
      <c r="I157" s="193"/>
      <c r="J157" s="578" t="str">
        <f>IF('C-Design&amp;Const'!AD157="","",'C-Design&amp;Const'!AD157)</f>
        <v/>
      </c>
      <c r="K157" s="228"/>
      <c r="L157" s="1410" t="str">
        <f t="shared" si="2"/>
        <v>&lt;---PM/Planner may hide PLACEHOLDER ROW</v>
      </c>
      <c r="M157" s="1382"/>
      <c r="N157" s="1382"/>
      <c r="O157" s="1382"/>
      <c r="P157" s="1382"/>
      <c r="Q157" s="1382"/>
      <c r="R157" s="1382"/>
      <c r="S157" s="1382"/>
      <c r="T157" s="1382"/>
      <c r="U157" s="1382"/>
      <c r="V157" s="1382"/>
      <c r="W157" s="1382"/>
      <c r="X157" s="1382"/>
      <c r="Y157" s="1382"/>
      <c r="Z157" s="1382"/>
      <c r="AA157" s="1382"/>
      <c r="AB157" s="1382"/>
      <c r="AC157" s="1382"/>
      <c r="AD157" s="1382"/>
      <c r="AE157" s="1382"/>
      <c r="AF157" s="1382"/>
      <c r="AG157" s="1382"/>
      <c r="AH157" s="1382"/>
      <c r="AI157" s="1382"/>
      <c r="AJ157" s="181"/>
      <c r="AK157" s="181"/>
      <c r="AL157" s="181"/>
      <c r="AM157" s="181"/>
      <c r="AN157" s="181"/>
      <c r="AO157" s="181"/>
      <c r="AP157" s="181"/>
      <c r="AQ157" s="181"/>
      <c r="AR157" s="181"/>
      <c r="AS157" s="181"/>
      <c r="AT157" s="181"/>
      <c r="AU157" s="181"/>
      <c r="AV157" s="181"/>
      <c r="AW157" s="181"/>
    </row>
    <row r="158" spans="1:49" s="30" customFormat="1" ht="15.75" customHeight="1" x14ac:dyDescent="0.25">
      <c r="A158" s="1408"/>
      <c r="B158" s="191"/>
      <c r="C158" s="921"/>
      <c r="D158" s="32"/>
      <c r="E158" s="415" t="str">
        <f>IF('C-Design&amp;Const'!$G158="","",'C-Design&amp;Const'!$G158)</f>
        <v>N</v>
      </c>
      <c r="F158" s="456"/>
      <c r="G158" s="457"/>
      <c r="H158" s="761" t="str">
        <f>CONCATENATE(IF(E158="N","PLACEHOLDER ROW - ",""),'C-Design&amp;Const'!Z158,IF(E158="N","",J158))</f>
        <v>PLACEHOLDER ROW - Results of Point-by-Point Interior Lighting Calculations for Each Typical Space</v>
      </c>
      <c r="I158" s="193"/>
      <c r="J158" s="578" t="str">
        <f>IF('C-Design&amp;Const'!AD158="","",'C-Design&amp;Const'!AD158)</f>
        <v/>
      </c>
      <c r="K158" s="228"/>
      <c r="L158" s="1410" t="str">
        <f t="shared" si="2"/>
        <v>&lt;---PM/Planner may hide PLACEHOLDER ROW</v>
      </c>
      <c r="M158" s="1382"/>
      <c r="N158" s="1382"/>
      <c r="O158" s="1382"/>
      <c r="P158" s="1382"/>
      <c r="Q158" s="1382"/>
      <c r="R158" s="1382"/>
      <c r="S158" s="1382"/>
      <c r="T158" s="1382"/>
      <c r="U158" s="1382"/>
      <c r="V158" s="1382"/>
      <c r="W158" s="1382"/>
      <c r="X158" s="1382"/>
      <c r="Y158" s="1382"/>
      <c r="Z158" s="1382"/>
      <c r="AA158" s="1382"/>
      <c r="AB158" s="1382"/>
      <c r="AC158" s="1382"/>
      <c r="AD158" s="1382"/>
      <c r="AE158" s="1382"/>
      <c r="AF158" s="1382"/>
      <c r="AG158" s="1382"/>
      <c r="AH158" s="1382"/>
      <c r="AI158" s="1382"/>
      <c r="AJ158" s="181"/>
      <c r="AK158" s="181"/>
      <c r="AL158" s="181"/>
      <c r="AM158" s="181"/>
      <c r="AN158" s="181"/>
      <c r="AO158" s="181"/>
      <c r="AP158" s="181"/>
      <c r="AQ158" s="181"/>
      <c r="AR158" s="181"/>
      <c r="AS158" s="181"/>
      <c r="AT158" s="181"/>
      <c r="AU158" s="181"/>
      <c r="AV158" s="181"/>
      <c r="AW158" s="181"/>
    </row>
    <row r="159" spans="1:49" s="30" customFormat="1" ht="16.5" customHeight="1" x14ac:dyDescent="0.25">
      <c r="A159" s="1408"/>
      <c r="B159" s="191"/>
      <c r="C159" s="921"/>
      <c r="D159" s="32"/>
      <c r="E159" s="415" t="str">
        <f>IF('C-Design&amp;Const'!$G159="","",'C-Design&amp;Const'!$G159)</f>
        <v>N</v>
      </c>
      <c r="F159" s="456"/>
      <c r="G159" s="457"/>
      <c r="H159" s="761" t="str">
        <f>CONCATENATE(IF(E159="N","PLACEHOLDER ROW - ",""),'C-Design&amp;Const'!Z159,IF(E159="N","",J159))</f>
        <v xml:space="preserve">PLACEHOLDER ROW - Extensions of Primary Building Automation Systems </v>
      </c>
      <c r="I159" s="193"/>
      <c r="J159" s="578" t="str">
        <f>IF('C-Design&amp;Const'!AD159="","",'C-Design&amp;Const'!AD159)</f>
        <v/>
      </c>
      <c r="K159" s="228"/>
      <c r="L159" s="1410" t="str">
        <f t="shared" si="2"/>
        <v>&lt;---PM/Planner may hide PLACEHOLDER ROW</v>
      </c>
      <c r="M159" s="1382"/>
      <c r="N159" s="1382"/>
      <c r="O159" s="1382"/>
      <c r="P159" s="1382"/>
      <c r="Q159" s="1382"/>
      <c r="R159" s="1382"/>
      <c r="S159" s="1382"/>
      <c r="T159" s="1382"/>
      <c r="U159" s="1382"/>
      <c r="V159" s="1382"/>
      <c r="W159" s="1382"/>
      <c r="X159" s="1382"/>
      <c r="Y159" s="1382"/>
      <c r="Z159" s="1382"/>
      <c r="AA159" s="1382"/>
      <c r="AB159" s="1382"/>
      <c r="AC159" s="1382"/>
      <c r="AD159" s="1382"/>
      <c r="AE159" s="1382"/>
      <c r="AF159" s="1382"/>
      <c r="AG159" s="1382"/>
      <c r="AH159" s="1382"/>
      <c r="AI159" s="1382"/>
      <c r="AJ159" s="181"/>
      <c r="AK159" s="181"/>
      <c r="AL159" s="181"/>
      <c r="AM159" s="181"/>
      <c r="AN159" s="181"/>
      <c r="AO159" s="181"/>
      <c r="AP159" s="181"/>
      <c r="AQ159" s="181"/>
      <c r="AR159" s="181"/>
      <c r="AS159" s="181"/>
      <c r="AT159" s="181"/>
      <c r="AU159" s="181"/>
      <c r="AV159" s="181"/>
      <c r="AW159" s="181"/>
    </row>
    <row r="160" spans="1:49" s="30" customFormat="1" ht="15" customHeight="1" x14ac:dyDescent="0.25">
      <c r="A160" s="1408"/>
      <c r="B160" s="191"/>
      <c r="C160" s="921"/>
      <c r="D160" s="32"/>
      <c r="E160" s="415" t="str">
        <f>IF('C-Design&amp;Const'!$G160="","",'C-Design&amp;Const'!$G160)</f>
        <v>N</v>
      </c>
      <c r="F160" s="456"/>
      <c r="G160" s="457"/>
      <c r="H160" s="1847" t="str">
        <f>CONCATENATE(IF(E160="N","PLACEHOLDER ROW - ",""),'C-Design&amp;Const'!Z160,IF(E160="N","",J160))</f>
        <v>PLACEHOLDER ROW - IDNR Consultation (EcoCAT and results)</v>
      </c>
      <c r="I160" s="193"/>
      <c r="J160" s="578" t="str">
        <f>IF('C-Design&amp;Const'!AD160="","",'C-Design&amp;Const'!AD160)</f>
        <v xml:space="preserve">(Information Request Only) </v>
      </c>
      <c r="K160" s="228"/>
      <c r="L160" s="1410" t="str">
        <f t="shared" si="2"/>
        <v>&lt;---PM/Planner may hide PLACEHOLDER ROW</v>
      </c>
      <c r="M160" s="1382"/>
      <c r="N160" s="1382"/>
      <c r="O160" s="1382"/>
      <c r="P160" s="1382"/>
      <c r="Q160" s="1382"/>
      <c r="R160" s="1382"/>
      <c r="S160" s="1382"/>
      <c r="T160" s="1382"/>
      <c r="U160" s="1382"/>
      <c r="V160" s="1382"/>
      <c r="W160" s="1382"/>
      <c r="X160" s="1382"/>
      <c r="Y160" s="1382"/>
      <c r="Z160" s="1382"/>
      <c r="AA160" s="1382"/>
      <c r="AB160" s="1382"/>
      <c r="AC160" s="1382"/>
      <c r="AD160" s="1382"/>
      <c r="AE160" s="1382"/>
      <c r="AF160" s="1382"/>
      <c r="AG160" s="1382"/>
      <c r="AH160" s="1382"/>
      <c r="AI160" s="1382"/>
      <c r="AJ160" s="181"/>
      <c r="AK160" s="181"/>
      <c r="AL160" s="181"/>
      <c r="AM160" s="181"/>
      <c r="AN160" s="181"/>
      <c r="AO160" s="181"/>
      <c r="AP160" s="181"/>
      <c r="AQ160" s="181"/>
      <c r="AR160" s="181"/>
      <c r="AS160" s="181"/>
      <c r="AT160" s="181"/>
      <c r="AU160" s="181"/>
      <c r="AV160" s="181"/>
      <c r="AW160" s="181"/>
    </row>
    <row r="161" spans="1:49" s="30" customFormat="1" ht="15" customHeight="1" x14ac:dyDescent="0.25">
      <c r="A161" s="1408"/>
      <c r="B161" s="191"/>
      <c r="C161" s="921"/>
      <c r="D161" s="32"/>
      <c r="E161" s="415" t="str">
        <f>IF('C-Design&amp;Const'!$G161="","",'C-Design&amp;Const'!$G161)</f>
        <v>N</v>
      </c>
      <c r="F161" s="456"/>
      <c r="G161" s="457"/>
      <c r="H161" s="410" t="str">
        <f>CONCATENATE(IF(E161="N","PLACEHOLDER ROW - ",""),'C-Design&amp;Const'!Z161,IF(E161="N","",J161))</f>
        <v>PLACEHOLDER ROW - Results of Environmental Impact Assessments or Statements</v>
      </c>
      <c r="I161" s="193"/>
      <c r="J161" s="578" t="str">
        <f>IF('C-Design&amp;Const'!AD161="","",'C-Design&amp;Const'!AD161)</f>
        <v/>
      </c>
      <c r="K161" s="228"/>
      <c r="L161" s="1410" t="str">
        <f t="shared" si="2"/>
        <v>&lt;---PM/Planner may hide PLACEHOLDER ROW</v>
      </c>
      <c r="M161" s="1382"/>
      <c r="N161" s="1382"/>
      <c r="O161" s="1382"/>
      <c r="P161" s="1382"/>
      <c r="Q161" s="1382"/>
      <c r="R161" s="1382"/>
      <c r="S161" s="1382"/>
      <c r="T161" s="1382"/>
      <c r="U161" s="1382"/>
      <c r="V161" s="1382"/>
      <c r="W161" s="1382"/>
      <c r="X161" s="1382"/>
      <c r="Y161" s="1382"/>
      <c r="Z161" s="1382"/>
      <c r="AA161" s="1382"/>
      <c r="AB161" s="1382"/>
      <c r="AC161" s="1382"/>
      <c r="AD161" s="1382"/>
      <c r="AE161" s="1382"/>
      <c r="AF161" s="1382"/>
      <c r="AG161" s="1382"/>
      <c r="AH161" s="1382"/>
      <c r="AI161" s="1382"/>
      <c r="AJ161" s="181"/>
      <c r="AK161" s="181"/>
      <c r="AL161" s="181"/>
      <c r="AM161" s="181"/>
      <c r="AN161" s="181"/>
      <c r="AO161" s="181"/>
      <c r="AP161" s="181"/>
      <c r="AQ161" s="181"/>
      <c r="AR161" s="181"/>
      <c r="AS161" s="181"/>
      <c r="AT161" s="181"/>
      <c r="AU161" s="181"/>
      <c r="AV161" s="181"/>
      <c r="AW161" s="181"/>
    </row>
    <row r="162" spans="1:49" s="30" customFormat="1" ht="15" customHeight="1" x14ac:dyDescent="0.25">
      <c r="A162" s="1408"/>
      <c r="B162" s="191"/>
      <c r="C162" s="921"/>
      <c r="D162" s="32"/>
      <c r="E162" s="415" t="str">
        <f>IF('C-Design&amp;Const'!$G162="","",'C-Design&amp;Const'!$G162)</f>
        <v>N</v>
      </c>
      <c r="F162" s="456"/>
      <c r="G162" s="457"/>
      <c r="H162" s="358" t="str">
        <f>CONCATENATE(IF(E162="N","PLACEHOLDER ROW - ",""),'C-Design&amp;Const'!Z162,IF(E162="N","",J162))</f>
        <v>PLACEHOLDER ROW - Results of Archealogical Field Reports or Assessments</v>
      </c>
      <c r="I162" s="193"/>
      <c r="J162" s="578" t="str">
        <f>IF('C-Design&amp;Const'!AD162="","",'C-Design&amp;Const'!AD162)</f>
        <v/>
      </c>
      <c r="K162" s="228"/>
      <c r="L162" s="1410" t="str">
        <f t="shared" si="2"/>
        <v>&lt;---PM/Planner may hide PLACEHOLDER ROW</v>
      </c>
      <c r="M162" s="1382"/>
      <c r="N162" s="1382"/>
      <c r="O162" s="1382"/>
      <c r="P162" s="1382"/>
      <c r="Q162" s="1382"/>
      <c r="R162" s="1382"/>
      <c r="S162" s="1382"/>
      <c r="T162" s="1382"/>
      <c r="U162" s="1382"/>
      <c r="V162" s="1382"/>
      <c r="W162" s="1382"/>
      <c r="X162" s="1382"/>
      <c r="Y162" s="1382"/>
      <c r="Z162" s="1382"/>
      <c r="AA162" s="1382"/>
      <c r="AB162" s="1382"/>
      <c r="AC162" s="1382"/>
      <c r="AD162" s="1382"/>
      <c r="AE162" s="1382"/>
      <c r="AF162" s="1382"/>
      <c r="AG162" s="1382"/>
      <c r="AH162" s="1382"/>
      <c r="AI162" s="1382"/>
      <c r="AJ162" s="181"/>
      <c r="AK162" s="181"/>
      <c r="AL162" s="181"/>
      <c r="AM162" s="181"/>
      <c r="AN162" s="181"/>
      <c r="AO162" s="181"/>
      <c r="AP162" s="181"/>
      <c r="AQ162" s="181"/>
      <c r="AR162" s="181"/>
      <c r="AS162" s="181"/>
      <c r="AT162" s="181"/>
      <c r="AU162" s="181"/>
      <c r="AV162" s="181"/>
      <c r="AW162" s="181"/>
    </row>
    <row r="163" spans="1:49" s="30" customFormat="1" ht="15" customHeight="1" x14ac:dyDescent="0.25">
      <c r="A163" s="1407"/>
      <c r="B163" s="191"/>
      <c r="C163" s="921"/>
      <c r="E163" s="359" t="str">
        <f>IF('C-Design&amp;Const'!$G163="","",'C-Design&amp;Const'!$G163)</f>
        <v>N</v>
      </c>
      <c r="F163" s="235"/>
      <c r="G163" s="291"/>
      <c r="H163" s="358" t="str">
        <f>CONCATENATE(IF(E163="N","PLACEHOLDER ROW - ",""),'C-Design&amp;Const'!Z163,IF(E163="N","",J163))</f>
        <v>PLACEHOLDER ROW - CUSTOM ROW - OPTIONAL CLIENT ITEM</v>
      </c>
      <c r="I163" s="184"/>
      <c r="J163" s="578" t="str">
        <f>IF('C-Design&amp;Const'!AD163="","",'C-Design&amp;Const'!AD163)</f>
        <v/>
      </c>
      <c r="K163" s="228"/>
      <c r="L163" s="1410" t="str">
        <f t="shared" si="2"/>
        <v>&lt;---PM/Planner may hide PLACEHOLDER ROW</v>
      </c>
      <c r="M163" s="1382"/>
      <c r="N163" s="1382"/>
      <c r="O163" s="1382"/>
      <c r="P163" s="1382"/>
      <c r="Q163" s="1382"/>
      <c r="R163" s="1382"/>
      <c r="S163" s="1382"/>
      <c r="T163" s="1382"/>
      <c r="U163" s="1382"/>
      <c r="V163" s="1382"/>
      <c r="W163" s="1382"/>
      <c r="X163" s="1382"/>
      <c r="Y163" s="1382"/>
      <c r="Z163" s="1382"/>
      <c r="AA163" s="1382"/>
      <c r="AB163" s="1382"/>
      <c r="AC163" s="1382"/>
      <c r="AD163" s="1382"/>
      <c r="AE163" s="1382"/>
      <c r="AF163" s="1382"/>
      <c r="AG163" s="1382"/>
      <c r="AH163" s="1382"/>
      <c r="AI163" s="1382"/>
      <c r="AJ163" s="181"/>
      <c r="AK163" s="181"/>
      <c r="AL163" s="181"/>
      <c r="AM163" s="181"/>
      <c r="AN163" s="181"/>
      <c r="AO163" s="181"/>
      <c r="AP163" s="181"/>
      <c r="AQ163" s="181"/>
      <c r="AR163" s="181"/>
      <c r="AS163" s="181"/>
      <c r="AT163" s="181"/>
      <c r="AU163" s="181"/>
      <c r="AV163" s="181"/>
      <c r="AW163" s="181"/>
    </row>
    <row r="164" spans="1:49" s="30" customFormat="1" ht="15" customHeight="1" x14ac:dyDescent="0.25">
      <c r="A164" s="1407"/>
      <c r="B164" s="191"/>
      <c r="C164" s="921"/>
      <c r="E164" s="359" t="str">
        <f>IF('C-Design&amp;Const'!$G164="","",'C-Design&amp;Const'!$G164)</f>
        <v>N</v>
      </c>
      <c r="F164" s="235"/>
      <c r="G164" s="291"/>
      <c r="H164" s="358" t="str">
        <f>CONCATENATE(IF(E164="N","PLACEHOLDER ROW - ",""),'C-Design&amp;Const'!Z164,IF(E164="N","",J164))</f>
        <v>PLACEHOLDER ROW - CUSTOM ROW - OPTIONAL CLIENT ITEM</v>
      </c>
      <c r="I164" s="184"/>
      <c r="J164" s="578" t="str">
        <f>IF('C-Design&amp;Const'!AD164="","",'C-Design&amp;Const'!AD164)</f>
        <v/>
      </c>
      <c r="K164" s="228"/>
      <c r="L164" s="1410" t="str">
        <f t="shared" si="2"/>
        <v>&lt;---PM/Planner may hide PLACEHOLDER ROW</v>
      </c>
      <c r="M164" s="1382"/>
      <c r="N164" s="1382"/>
      <c r="O164" s="1382"/>
      <c r="P164" s="1382"/>
      <c r="Q164" s="1382"/>
      <c r="R164" s="1382"/>
      <c r="S164" s="1382"/>
      <c r="T164" s="1382"/>
      <c r="U164" s="1382"/>
      <c r="V164" s="1382"/>
      <c r="W164" s="1382"/>
      <c r="X164" s="1382"/>
      <c r="Y164" s="1382"/>
      <c r="Z164" s="1382"/>
      <c r="AA164" s="1382"/>
      <c r="AB164" s="1382"/>
      <c r="AC164" s="1382"/>
      <c r="AD164" s="1382"/>
      <c r="AE164" s="1382"/>
      <c r="AF164" s="1382"/>
      <c r="AG164" s="1382"/>
      <c r="AH164" s="1382"/>
      <c r="AI164" s="1382"/>
      <c r="AJ164" s="181"/>
      <c r="AK164" s="181"/>
      <c r="AL164" s="181"/>
      <c r="AM164" s="181"/>
      <c r="AN164" s="181"/>
      <c r="AO164" s="181"/>
      <c r="AP164" s="181"/>
      <c r="AQ164" s="181"/>
      <c r="AR164" s="181"/>
      <c r="AS164" s="181"/>
      <c r="AT164" s="181"/>
      <c r="AU164" s="181"/>
      <c r="AV164" s="181"/>
      <c r="AW164" s="181"/>
    </row>
    <row r="165" spans="1:49" s="30" customFormat="1" ht="15" customHeight="1" x14ac:dyDescent="0.25">
      <c r="A165" s="1407"/>
      <c r="B165" s="191"/>
      <c r="C165" s="921"/>
      <c r="E165" s="359" t="str">
        <f>IF('C-Design&amp;Const'!$G165="","",'C-Design&amp;Const'!$G165)</f>
        <v>N</v>
      </c>
      <c r="F165" s="235"/>
      <c r="G165" s="291"/>
      <c r="H165" s="358" t="str">
        <f>CONCATENATE(IF(E165="N","PLACEHOLDER ROW - ",""),'C-Design&amp;Const'!Z165,IF(E165="N","",J165))</f>
        <v>PLACEHOLDER ROW - CUSTOM ROW - OPTIONAL CLIENT ITEM</v>
      </c>
      <c r="I165" s="184"/>
      <c r="J165" s="578" t="str">
        <f>IF('C-Design&amp;Const'!AD165="","",'C-Design&amp;Const'!AD165)</f>
        <v/>
      </c>
      <c r="K165" s="228"/>
      <c r="L165" s="1410" t="str">
        <f t="shared" si="2"/>
        <v>&lt;---PM/Planner may hide PLACEHOLDER ROW</v>
      </c>
      <c r="M165" s="1382"/>
      <c r="N165" s="1382"/>
      <c r="O165" s="1382"/>
      <c r="P165" s="1382"/>
      <c r="Q165" s="1382"/>
      <c r="R165" s="1382"/>
      <c r="S165" s="1382"/>
      <c r="T165" s="1382"/>
      <c r="U165" s="1382"/>
      <c r="V165" s="1382"/>
      <c r="W165" s="1382"/>
      <c r="X165" s="1382"/>
      <c r="Y165" s="1382"/>
      <c r="Z165" s="1382"/>
      <c r="AA165" s="1382"/>
      <c r="AB165" s="1382"/>
      <c r="AC165" s="1382"/>
      <c r="AD165" s="1382"/>
      <c r="AE165" s="1382"/>
      <c r="AF165" s="1382"/>
      <c r="AG165" s="1382"/>
      <c r="AH165" s="1382"/>
      <c r="AI165" s="1382"/>
      <c r="AJ165" s="181"/>
      <c r="AK165" s="181"/>
      <c r="AL165" s="181"/>
      <c r="AM165" s="181"/>
      <c r="AN165" s="181"/>
      <c r="AO165" s="181"/>
      <c r="AP165" s="181"/>
      <c r="AQ165" s="181"/>
      <c r="AR165" s="181"/>
      <c r="AS165" s="181"/>
      <c r="AT165" s="181"/>
      <c r="AU165" s="181"/>
      <c r="AV165" s="181"/>
      <c r="AW165" s="181"/>
    </row>
    <row r="166" spans="1:49" s="30" customFormat="1" ht="15" customHeight="1" x14ac:dyDescent="0.25">
      <c r="A166" s="1407"/>
      <c r="B166" s="191"/>
      <c r="C166" s="921"/>
      <c r="E166" s="359" t="str">
        <f>IF('C-Design&amp;Const'!$G166="","",'C-Design&amp;Const'!$G166)</f>
        <v>N</v>
      </c>
      <c r="F166" s="235"/>
      <c r="G166" s="291"/>
      <c r="H166" s="358" t="str">
        <f>CONCATENATE(IF(E166="N","PLACEHOLDER ROW - ",""),'C-Design&amp;Const'!Z166,IF(E166="N","",J166))</f>
        <v>PLACEHOLDER ROW - CUSTOM ROW - OPTIONAL CLIENT ITEM</v>
      </c>
      <c r="I166" s="184"/>
      <c r="J166" s="578" t="str">
        <f>IF('C-Design&amp;Const'!AD166="","",'C-Design&amp;Const'!AD166)</f>
        <v/>
      </c>
      <c r="K166" s="228"/>
      <c r="L166" s="1410" t="str">
        <f t="shared" si="2"/>
        <v>&lt;---PM/Planner may hide PLACEHOLDER ROW</v>
      </c>
      <c r="M166" s="1382"/>
      <c r="N166" s="1382"/>
      <c r="O166" s="1382"/>
      <c r="P166" s="1382"/>
      <c r="Q166" s="1382"/>
      <c r="R166" s="1382"/>
      <c r="S166" s="1382"/>
      <c r="T166" s="1382"/>
      <c r="U166" s="1382"/>
      <c r="V166" s="1382"/>
      <c r="W166" s="1382"/>
      <c r="X166" s="1382"/>
      <c r="Y166" s="1382"/>
      <c r="Z166" s="1382"/>
      <c r="AA166" s="1382"/>
      <c r="AB166" s="1382"/>
      <c r="AC166" s="1382"/>
      <c r="AD166" s="1382"/>
      <c r="AE166" s="1382"/>
      <c r="AF166" s="1382"/>
      <c r="AG166" s="1382"/>
      <c r="AH166" s="1382"/>
      <c r="AI166" s="1382"/>
      <c r="AJ166" s="181"/>
      <c r="AK166" s="181"/>
      <c r="AL166" s="181"/>
      <c r="AM166" s="181"/>
      <c r="AN166" s="181"/>
      <c r="AO166" s="181"/>
      <c r="AP166" s="181"/>
      <c r="AQ166" s="181"/>
      <c r="AR166" s="181"/>
      <c r="AS166" s="181"/>
      <c r="AT166" s="181"/>
      <c r="AU166" s="181"/>
      <c r="AV166" s="181"/>
      <c r="AW166" s="181"/>
    </row>
    <row r="167" spans="1:49" s="30" customFormat="1" ht="18.75" x14ac:dyDescent="0.25">
      <c r="A167" s="1407"/>
      <c r="B167" s="191"/>
      <c r="C167" s="921"/>
      <c r="D167" s="32"/>
      <c r="E167" s="411"/>
      <c r="F167" s="411"/>
      <c r="G167" s="208"/>
      <c r="H167" s="797"/>
      <c r="I167" s="186"/>
      <c r="J167" s="578" t="str">
        <f>IF('C-Design&amp;Const'!AD167="","",'C-Design&amp;Const'!AD167)</f>
        <v/>
      </c>
      <c r="K167" s="228"/>
      <c r="L167" s="1410" t="str">
        <f t="shared" si="2"/>
        <v/>
      </c>
      <c r="M167" s="1382"/>
      <c r="N167" s="1382"/>
      <c r="O167" s="1382"/>
      <c r="P167" s="1382"/>
      <c r="Q167" s="1382"/>
      <c r="R167" s="1382"/>
      <c r="S167" s="1382"/>
      <c r="T167" s="1382"/>
      <c r="U167" s="1382"/>
      <c r="V167" s="1382"/>
      <c r="W167" s="1382"/>
      <c r="X167" s="1382"/>
      <c r="Y167" s="1382"/>
      <c r="Z167" s="1382"/>
      <c r="AA167" s="1382"/>
      <c r="AB167" s="1382"/>
      <c r="AC167" s="1382"/>
      <c r="AD167" s="1382"/>
      <c r="AE167" s="1382"/>
      <c r="AF167" s="1382"/>
      <c r="AG167" s="1382"/>
      <c r="AH167" s="1382"/>
      <c r="AI167" s="1382"/>
      <c r="AJ167" s="181"/>
      <c r="AK167" s="181"/>
      <c r="AL167" s="181"/>
      <c r="AM167" s="181"/>
      <c r="AN167" s="181"/>
      <c r="AO167" s="181"/>
      <c r="AP167" s="181"/>
      <c r="AQ167" s="181"/>
      <c r="AR167" s="181"/>
      <c r="AS167" s="181"/>
      <c r="AT167" s="181"/>
      <c r="AU167" s="181"/>
      <c r="AV167" s="181"/>
      <c r="AW167" s="181"/>
    </row>
    <row r="168" spans="1:49" s="30" customFormat="1" ht="20.25" customHeight="1" x14ac:dyDescent="0.25">
      <c r="A168" s="1407"/>
      <c r="B168" s="191"/>
      <c r="C168" s="915"/>
      <c r="D168" s="52" t="str">
        <f>IF('C-Design&amp;Const'!G168="","",'C-Design&amp;Const'!G168)</f>
        <v>N</v>
      </c>
      <c r="E168" s="234"/>
      <c r="F168" s="235"/>
      <c r="G168" s="291" t="str">
        <f>IF('C-Design&amp;Const'!Y168="","",'C-Design&amp;Const'!Y168)</f>
        <v>05a.</v>
      </c>
      <c r="H168" s="290" t="str">
        <f>(CONCATENATE('C-Design&amp;Const'!Z168,IF(D168="N"," Not Used In This Design Phase",J168)))</f>
        <v>Ext. &amp; Int. Finishes Binder(s)/Finishes Board(s)  Not Used In This Design Phase</v>
      </c>
      <c r="I168" s="185"/>
      <c r="J168" s="578" t="str">
        <f>IF('C-Design&amp;Const'!AD168="","",'C-Design&amp;Const'!AD168)</f>
        <v/>
      </c>
      <c r="K168" s="228"/>
      <c r="L168" s="1410" t="str">
        <f t="shared" si="2"/>
        <v/>
      </c>
      <c r="M168" s="1382"/>
      <c r="N168" s="1382"/>
      <c r="O168" s="1382"/>
      <c r="P168" s="1382"/>
      <c r="Q168" s="1382"/>
      <c r="R168" s="1382"/>
      <c r="S168" s="1382"/>
      <c r="T168" s="1382"/>
      <c r="U168" s="1382"/>
      <c r="V168" s="1382"/>
      <c r="W168" s="1382"/>
      <c r="X168" s="1382"/>
      <c r="Y168" s="1382"/>
      <c r="Z168" s="1382"/>
      <c r="AA168" s="1382"/>
      <c r="AB168" s="1382"/>
      <c r="AC168" s="1382"/>
      <c r="AD168" s="1382"/>
      <c r="AE168" s="1382"/>
      <c r="AF168" s="1382"/>
      <c r="AG168" s="1382"/>
      <c r="AH168" s="1382"/>
      <c r="AI168" s="1382"/>
      <c r="AJ168" s="181"/>
      <c r="AK168" s="181"/>
      <c r="AL168" s="181"/>
      <c r="AM168" s="181"/>
      <c r="AN168" s="181"/>
      <c r="AO168" s="181"/>
      <c r="AP168" s="181"/>
      <c r="AQ168" s="181"/>
      <c r="AR168" s="181"/>
      <c r="AS168" s="181"/>
      <c r="AT168" s="181"/>
      <c r="AU168" s="181"/>
      <c r="AV168" s="181"/>
      <c r="AW168" s="181"/>
    </row>
    <row r="169" spans="1:49" s="545" customFormat="1" ht="26.25" hidden="1" customHeight="1" x14ac:dyDescent="0.25">
      <c r="A169" s="1408"/>
      <c r="B169" s="554"/>
      <c r="C169" s="921"/>
      <c r="D169" s="32"/>
      <c r="E169" s="559" t="str">
        <f>IF('C-Design&amp;Const'!$G169="","",'C-Design&amp;Const'!$G169)</f>
        <v>N</v>
      </c>
      <c r="F169" s="456"/>
      <c r="G169" s="457"/>
      <c r="H169" s="340" t="str">
        <f>CONCATENATE(IF(E169="N","PLACEHOLDER ROW - ",""),'C-Design&amp;Const'!Z169,IF(E169="N","",J169))</f>
        <v xml:space="preserve">PLACEHOLDER ROW - Product Samples of Floor Coverings, Wall Covering, Window Treatment, Ceiling Tile, etc... </v>
      </c>
      <c r="I169" s="193"/>
      <c r="J169" s="578" t="str">
        <f>IF('C-Design&amp;Const'!AD169="","",'C-Design&amp;Const'!AD169)</f>
        <v/>
      </c>
      <c r="K169" s="228"/>
      <c r="L169" s="1410" t="str">
        <f t="shared" si="2"/>
        <v>&lt;---PM/Planner may hide PLACEHOLDER ROW</v>
      </c>
      <c r="M169" s="1382"/>
      <c r="N169" s="1382"/>
      <c r="O169" s="1382"/>
      <c r="P169" s="1382"/>
      <c r="Q169" s="1382"/>
      <c r="R169" s="1382"/>
      <c r="S169" s="1382"/>
      <c r="T169" s="1382"/>
      <c r="U169" s="1382"/>
      <c r="V169" s="1382"/>
      <c r="W169" s="1382"/>
      <c r="X169" s="1382"/>
      <c r="Y169" s="1382"/>
      <c r="Z169" s="1382"/>
      <c r="AA169" s="1382"/>
      <c r="AB169" s="1382"/>
      <c r="AC169" s="1382"/>
      <c r="AD169" s="1382"/>
      <c r="AE169" s="1382"/>
      <c r="AF169" s="1382"/>
      <c r="AG169" s="1382"/>
      <c r="AH169" s="1382"/>
      <c r="AI169" s="1382"/>
      <c r="AJ169" s="551"/>
      <c r="AK169" s="551"/>
      <c r="AL169" s="551"/>
      <c r="AM169" s="551"/>
      <c r="AN169" s="551"/>
      <c r="AO169" s="551"/>
      <c r="AP169" s="551"/>
      <c r="AQ169" s="551"/>
      <c r="AR169" s="551"/>
      <c r="AS169" s="551"/>
      <c r="AT169" s="551"/>
      <c r="AU169" s="551"/>
      <c r="AV169" s="551"/>
      <c r="AW169" s="551"/>
    </row>
    <row r="170" spans="1:49" s="545" customFormat="1" ht="15" hidden="1" customHeight="1" x14ac:dyDescent="0.25">
      <c r="A170" s="1408"/>
      <c r="B170" s="554"/>
      <c r="C170" s="921"/>
      <c r="D170" s="32"/>
      <c r="E170" s="559" t="str">
        <f>IF('C-Design&amp;Const'!$G170="","",'C-Design&amp;Const'!$G170)</f>
        <v>N</v>
      </c>
      <c r="F170" s="456"/>
      <c r="G170" s="457"/>
      <c r="H170" s="340" t="str">
        <f>CONCATENATE(IF(E170="N","PLACEHOLDER ROW - ",""),'C-Design&amp;Const'!Z170,IF(E170="N","",J170))</f>
        <v>PLACEHOLDER ROW - Paint selections and combinations</v>
      </c>
      <c r="I170" s="193"/>
      <c r="J170" s="578" t="str">
        <f>IF('C-Design&amp;Const'!AD170="","",'C-Design&amp;Const'!AD170)</f>
        <v/>
      </c>
      <c r="K170" s="228"/>
      <c r="L170" s="1410" t="str">
        <f t="shared" si="2"/>
        <v>&lt;---PM/Planner may hide PLACEHOLDER ROW</v>
      </c>
      <c r="M170" s="1382"/>
      <c r="N170" s="1382"/>
      <c r="O170" s="1382"/>
      <c r="P170" s="1382"/>
      <c r="Q170" s="1382"/>
      <c r="R170" s="1382"/>
      <c r="S170" s="1382"/>
      <c r="T170" s="1382"/>
      <c r="U170" s="1382"/>
      <c r="V170" s="1382"/>
      <c r="W170" s="1382"/>
      <c r="X170" s="1382"/>
      <c r="Y170" s="1382"/>
      <c r="Z170" s="1382"/>
      <c r="AA170" s="1382"/>
      <c r="AB170" s="1382"/>
      <c r="AC170" s="1382"/>
      <c r="AD170" s="1382"/>
      <c r="AE170" s="1382"/>
      <c r="AF170" s="1382"/>
      <c r="AG170" s="1382"/>
      <c r="AH170" s="1382"/>
      <c r="AI170" s="1382"/>
      <c r="AJ170" s="551"/>
      <c r="AK170" s="551"/>
      <c r="AL170" s="551"/>
      <c r="AM170" s="551"/>
      <c r="AN170" s="551"/>
      <c r="AO170" s="551"/>
      <c r="AP170" s="551"/>
      <c r="AQ170" s="551"/>
      <c r="AR170" s="551"/>
      <c r="AS170" s="551"/>
      <c r="AT170" s="551"/>
      <c r="AU170" s="551"/>
      <c r="AV170" s="551"/>
      <c r="AW170" s="551"/>
    </row>
    <row r="171" spans="1:49" s="545" customFormat="1" ht="15" hidden="1" customHeight="1" x14ac:dyDescent="0.25">
      <c r="A171" s="1408"/>
      <c r="B171" s="554"/>
      <c r="C171" s="921"/>
      <c r="D171" s="32"/>
      <c r="E171" s="559" t="str">
        <f>IF('C-Design&amp;Const'!$G171="","",'C-Design&amp;Const'!$G171)</f>
        <v>N</v>
      </c>
      <c r="F171" s="456"/>
      <c r="G171" s="457"/>
      <c r="H171" s="358" t="str">
        <f>CONCATENATE(IF(E171="N","PLACEHOLDER ROW - ",""),'C-Design&amp;Const'!Z171,IF(E171="N","",J171))</f>
        <v>PLACEHOLDER ROW - PSC contracted mock-ups to match existing brick</v>
      </c>
      <c r="I171" s="193"/>
      <c r="J171" s="578" t="str">
        <f>IF('C-Design&amp;Const'!AD171="","",'C-Design&amp;Const'!AD171)</f>
        <v/>
      </c>
      <c r="K171" s="228"/>
      <c r="L171" s="1410" t="str">
        <f t="shared" si="2"/>
        <v>&lt;---PM/Planner may hide PLACEHOLDER ROW</v>
      </c>
      <c r="M171" s="1382"/>
      <c r="N171" s="1382"/>
      <c r="O171" s="1382"/>
      <c r="P171" s="1382"/>
      <c r="Q171" s="1382"/>
      <c r="R171" s="1382"/>
      <c r="S171" s="1382"/>
      <c r="T171" s="1382"/>
      <c r="U171" s="1382"/>
      <c r="V171" s="1382"/>
      <c r="W171" s="1382"/>
      <c r="X171" s="1382"/>
      <c r="Y171" s="1382"/>
      <c r="Z171" s="1382"/>
      <c r="AA171" s="1382"/>
      <c r="AB171" s="1382"/>
      <c r="AC171" s="1382"/>
      <c r="AD171" s="1382"/>
      <c r="AE171" s="1382"/>
      <c r="AF171" s="1382"/>
      <c r="AG171" s="1382"/>
      <c r="AH171" s="1382"/>
      <c r="AI171" s="1382"/>
      <c r="AJ171" s="551"/>
      <c r="AK171" s="551"/>
      <c r="AL171" s="551"/>
      <c r="AM171" s="551"/>
      <c r="AN171" s="551"/>
      <c r="AO171" s="551"/>
      <c r="AP171" s="551"/>
      <c r="AQ171" s="551"/>
      <c r="AR171" s="551"/>
      <c r="AS171" s="551"/>
      <c r="AT171" s="551"/>
      <c r="AU171" s="551"/>
      <c r="AV171" s="551"/>
      <c r="AW171" s="551"/>
    </row>
    <row r="172" spans="1:49" s="545" customFormat="1" ht="15" hidden="1" customHeight="1" x14ac:dyDescent="0.25">
      <c r="A172" s="1407"/>
      <c r="B172" s="554"/>
      <c r="C172" s="921"/>
      <c r="E172" s="559" t="str">
        <f>IF('C-Design&amp;Const'!$G172="","",'C-Design&amp;Const'!$G172)</f>
        <v>N</v>
      </c>
      <c r="F172" s="235"/>
      <c r="G172" s="291"/>
      <c r="H172" s="358" t="str">
        <f>CONCATENATE(IF(E172="N","PLACEHOLDER ROW - ",""),'C-Design&amp;Const'!Z172,IF(E172="N","",J172))</f>
        <v>PLACEHOLDER ROW - CUSTOM ROW - OPTIONAL CLIENT ITEM</v>
      </c>
      <c r="I172" s="552"/>
      <c r="J172" s="578" t="str">
        <f>IF('C-Design&amp;Const'!AD172="","",'C-Design&amp;Const'!AD172)</f>
        <v/>
      </c>
      <c r="K172" s="228"/>
      <c r="L172" s="1410" t="str">
        <f t="shared" si="2"/>
        <v>&lt;---PM/Planner may hide PLACEHOLDER ROW</v>
      </c>
      <c r="M172" s="1382"/>
      <c r="N172" s="1382"/>
      <c r="O172" s="1382"/>
      <c r="P172" s="1382"/>
      <c r="Q172" s="1382"/>
      <c r="R172" s="1382"/>
      <c r="S172" s="1382"/>
      <c r="T172" s="1382"/>
      <c r="U172" s="1382"/>
      <c r="V172" s="1382"/>
      <c r="W172" s="1382"/>
      <c r="X172" s="1382"/>
      <c r="Y172" s="1382"/>
      <c r="Z172" s="1382"/>
      <c r="AA172" s="1382"/>
      <c r="AB172" s="1382"/>
      <c r="AC172" s="1382"/>
      <c r="AD172" s="1382"/>
      <c r="AE172" s="1382"/>
      <c r="AF172" s="1382"/>
      <c r="AG172" s="1382"/>
      <c r="AH172" s="1382"/>
      <c r="AI172" s="1382"/>
      <c r="AJ172" s="551"/>
      <c r="AK172" s="551"/>
      <c r="AL172" s="551"/>
      <c r="AM172" s="551"/>
      <c r="AN172" s="551"/>
      <c r="AO172" s="551"/>
      <c r="AP172" s="551"/>
      <c r="AQ172" s="551"/>
      <c r="AR172" s="551"/>
      <c r="AS172" s="551"/>
      <c r="AT172" s="551"/>
      <c r="AU172" s="551"/>
      <c r="AV172" s="551"/>
      <c r="AW172" s="551"/>
    </row>
    <row r="173" spans="1:49" s="30" customFormat="1" ht="18.75" x14ac:dyDescent="0.25">
      <c r="A173" s="1407"/>
      <c r="B173" s="191"/>
      <c r="C173" s="921"/>
      <c r="D173" s="32"/>
      <c r="E173" s="411"/>
      <c r="F173" s="411"/>
      <c r="G173" s="208"/>
      <c r="H173" s="411"/>
      <c r="I173" s="186"/>
      <c r="J173" s="578" t="str">
        <f>IF('C-Design&amp;Const'!AD173="","",'C-Design&amp;Const'!AD173)</f>
        <v/>
      </c>
      <c r="K173" s="228"/>
      <c r="L173" s="1410" t="str">
        <f t="shared" si="2"/>
        <v/>
      </c>
      <c r="M173" s="1382"/>
      <c r="N173" s="1382"/>
      <c r="O173" s="1382"/>
      <c r="P173" s="1382"/>
      <c r="Q173" s="1382"/>
      <c r="R173" s="1382"/>
      <c r="S173" s="1382"/>
      <c r="T173" s="1382"/>
      <c r="U173" s="1382"/>
      <c r="V173" s="1382"/>
      <c r="W173" s="1382"/>
      <c r="X173" s="1382"/>
      <c r="Y173" s="1382"/>
      <c r="Z173" s="1382"/>
      <c r="AA173" s="1382"/>
      <c r="AB173" s="1382"/>
      <c r="AC173" s="1382"/>
      <c r="AD173" s="1382"/>
      <c r="AE173" s="1382"/>
      <c r="AF173" s="1382"/>
      <c r="AG173" s="1382"/>
      <c r="AH173" s="1382"/>
      <c r="AI173" s="1382"/>
      <c r="AJ173" s="181"/>
      <c r="AK173" s="181"/>
      <c r="AL173" s="181"/>
      <c r="AM173" s="181"/>
      <c r="AN173" s="181"/>
      <c r="AO173" s="181"/>
      <c r="AP173" s="181"/>
      <c r="AQ173" s="181"/>
      <c r="AR173" s="181"/>
      <c r="AS173" s="181"/>
      <c r="AT173" s="181"/>
      <c r="AU173" s="181"/>
      <c r="AV173" s="181"/>
      <c r="AW173" s="181"/>
    </row>
    <row r="174" spans="1:49" s="30" customFormat="1" ht="21" customHeight="1" x14ac:dyDescent="0.25">
      <c r="A174" s="1407"/>
      <c r="B174" s="191"/>
      <c r="C174" s="915"/>
      <c r="D174" s="52" t="str">
        <f>IF('C-Design&amp;Const'!G174="","",'C-Design&amp;Const'!G174)</f>
        <v>N</v>
      </c>
      <c r="E174" s="234"/>
      <c r="F174" s="235"/>
      <c r="G174" s="291" t="str">
        <f>IF('C-Design&amp;Const'!Y174="","",'C-Design&amp;Const'!Y174)</f>
        <v>05b.</v>
      </c>
      <c r="H174" s="290" t="str">
        <f>(CONCATENATE('C-Design&amp;Const'!Z174,IF(D174="N"," Not Used In This Design Phase",J174)))</f>
        <v>Furnitures, Fixtures, and Equipment Binder(s) Not Used In This Design Phase</v>
      </c>
      <c r="I174" s="185"/>
      <c r="J174" s="578" t="str">
        <f>IF('C-Design&amp;Const'!AD174="","",'C-Design&amp;Const'!AD174)</f>
        <v/>
      </c>
      <c r="K174" s="228"/>
      <c r="L174" s="1410" t="str">
        <f t="shared" ref="L174:L248" si="5">CONCATENATE(IF(ISNUMBER(SEARCH("Placeholder",H174))=TRUE,"&lt;---PM/Planner may hide PLACEHOLDER ROW",""))</f>
        <v/>
      </c>
      <c r="M174" s="1382"/>
      <c r="N174" s="1382"/>
      <c r="O174" s="1382"/>
      <c r="P174" s="1382"/>
      <c r="Q174" s="1382"/>
      <c r="R174" s="1382"/>
      <c r="S174" s="1382"/>
      <c r="T174" s="1382"/>
      <c r="U174" s="1382"/>
      <c r="V174" s="1382"/>
      <c r="W174" s="1382"/>
      <c r="X174" s="1382"/>
      <c r="Y174" s="1382"/>
      <c r="Z174" s="1382"/>
      <c r="AA174" s="1382"/>
      <c r="AB174" s="1382"/>
      <c r="AC174" s="1382"/>
      <c r="AD174" s="1382"/>
      <c r="AE174" s="1382"/>
      <c r="AF174" s="1382"/>
      <c r="AG174" s="1382"/>
      <c r="AH174" s="1382"/>
      <c r="AI174" s="1382"/>
      <c r="AJ174" s="181"/>
      <c r="AK174" s="181"/>
      <c r="AL174" s="181"/>
      <c r="AM174" s="181"/>
      <c r="AN174" s="181"/>
      <c r="AO174" s="181"/>
      <c r="AP174" s="181"/>
      <c r="AQ174" s="181"/>
      <c r="AR174" s="181"/>
      <c r="AS174" s="181"/>
      <c r="AT174" s="181"/>
      <c r="AU174" s="181"/>
      <c r="AV174" s="181"/>
      <c r="AW174" s="181"/>
    </row>
    <row r="175" spans="1:49" s="30" customFormat="1" ht="15" hidden="1" customHeight="1" x14ac:dyDescent="0.25">
      <c r="A175" s="1408"/>
      <c r="B175" s="191"/>
      <c r="C175" s="921"/>
      <c r="D175" s="32"/>
      <c r="E175" s="415" t="str">
        <f>IF('C-Design&amp;Const'!$G175="","",'C-Design&amp;Const'!$G175)</f>
        <v>N</v>
      </c>
      <c r="F175" s="456"/>
      <c r="G175" s="457"/>
      <c r="H175" s="340" t="str">
        <f>CONCATENATE(IF(ISNUMBER(SEARCH("Placeholder",'C-Design&amp;Const'!Z175))=TRUE,"",IF(E175="N","PLACEHOLDER ROW - ","")),'C-Design&amp;Const'!Z175,IF(E175="N","",J175))</f>
        <v>PLACEHOLDER ROW - Cut Sheets</v>
      </c>
      <c r="I175" s="193"/>
      <c r="J175" s="578" t="str">
        <f>IF('C-Design&amp;Const'!AD175="","",'C-Design&amp;Const'!AD175)</f>
        <v/>
      </c>
      <c r="K175" s="228"/>
      <c r="L175" s="1410" t="str">
        <f t="shared" si="5"/>
        <v>&lt;---PM/Planner may hide PLACEHOLDER ROW</v>
      </c>
      <c r="M175" s="1382"/>
      <c r="N175" s="1382"/>
      <c r="O175" s="1382"/>
      <c r="P175" s="1382"/>
      <c r="Q175" s="1382"/>
      <c r="R175" s="1382"/>
      <c r="S175" s="1382"/>
      <c r="T175" s="1382"/>
      <c r="U175" s="1382"/>
      <c r="V175" s="1382"/>
      <c r="W175" s="1382"/>
      <c r="X175" s="1382"/>
      <c r="Y175" s="1382"/>
      <c r="Z175" s="1382"/>
      <c r="AA175" s="1382"/>
      <c r="AB175" s="1382"/>
      <c r="AC175" s="1382"/>
      <c r="AD175" s="1382"/>
      <c r="AE175" s="1382"/>
      <c r="AF175" s="1382"/>
      <c r="AG175" s="1382"/>
      <c r="AH175" s="1382"/>
      <c r="AI175" s="1382"/>
      <c r="AJ175" s="181"/>
      <c r="AK175" s="181"/>
      <c r="AL175" s="181"/>
      <c r="AM175" s="181"/>
      <c r="AN175" s="181"/>
      <c r="AO175" s="181"/>
      <c r="AP175" s="181"/>
      <c r="AQ175" s="181"/>
      <c r="AR175" s="181"/>
      <c r="AS175" s="181"/>
      <c r="AT175" s="181"/>
      <c r="AU175" s="181"/>
      <c r="AV175" s="181"/>
      <c r="AW175" s="181"/>
    </row>
    <row r="176" spans="1:49" s="30" customFormat="1" ht="15" hidden="1" customHeight="1" x14ac:dyDescent="0.25">
      <c r="A176" s="1408"/>
      <c r="B176" s="191"/>
      <c r="C176" s="921"/>
      <c r="D176" s="32"/>
      <c r="E176" s="415" t="str">
        <f>IF('C-Design&amp;Const'!$G176="","",'C-Design&amp;Const'!$G176)</f>
        <v>N</v>
      </c>
      <c r="F176" s="456"/>
      <c r="G176" s="457"/>
      <c r="H176" s="340" t="str">
        <f>CONCATENATE(IF(ISNUMBER(SEARCH("Placeholder",'C-Design&amp;Const'!Z176))=TRUE,"",IF(E176="N","PLACEHOLDER ROW - ","")),'C-Design&amp;Const'!Z176,IF(E176="N","",J176))</f>
        <v>PLACEHOLDER ROW - Product Samples</v>
      </c>
      <c r="I176" s="193"/>
      <c r="J176" s="578" t="str">
        <f>IF('C-Design&amp;Const'!AD176="","",'C-Design&amp;Const'!AD176)</f>
        <v/>
      </c>
      <c r="K176" s="228"/>
      <c r="L176" s="1410" t="str">
        <f t="shared" si="5"/>
        <v>&lt;---PM/Planner may hide PLACEHOLDER ROW</v>
      </c>
      <c r="M176" s="1382"/>
      <c r="N176" s="1382"/>
      <c r="O176" s="1382"/>
      <c r="P176" s="1382"/>
      <c r="Q176" s="1382"/>
      <c r="R176" s="1382"/>
      <c r="S176" s="1382"/>
      <c r="T176" s="1382"/>
      <c r="U176" s="1382"/>
      <c r="V176" s="1382"/>
      <c r="W176" s="1382"/>
      <c r="X176" s="1382"/>
      <c r="Y176" s="1382"/>
      <c r="Z176" s="1382"/>
      <c r="AA176" s="1382"/>
      <c r="AB176" s="1382"/>
      <c r="AC176" s="1382"/>
      <c r="AD176" s="1382"/>
      <c r="AE176" s="1382"/>
      <c r="AF176" s="1382"/>
      <c r="AG176" s="1382"/>
      <c r="AH176" s="1382"/>
      <c r="AI176" s="1382"/>
      <c r="AJ176" s="181"/>
      <c r="AK176" s="181"/>
      <c r="AL176" s="181"/>
      <c r="AM176" s="181"/>
      <c r="AN176" s="181"/>
      <c r="AO176" s="181"/>
      <c r="AP176" s="181"/>
      <c r="AQ176" s="181"/>
      <c r="AR176" s="181"/>
      <c r="AS176" s="181"/>
      <c r="AT176" s="181"/>
      <c r="AU176" s="181"/>
      <c r="AV176" s="181"/>
      <c r="AW176" s="181"/>
    </row>
    <row r="177" spans="1:49" s="30" customFormat="1" ht="15" hidden="1" customHeight="1" x14ac:dyDescent="0.25">
      <c r="A177" s="1408"/>
      <c r="B177" s="191"/>
      <c r="C177" s="921"/>
      <c r="D177" s="32"/>
      <c r="E177" s="415" t="str">
        <f>IF('C-Design&amp;Const'!$G177="","",'C-Design&amp;Const'!$G177)</f>
        <v>N</v>
      </c>
      <c r="F177" s="456"/>
      <c r="G177" s="457"/>
      <c r="H177" s="358" t="str">
        <f>CONCATENATE(IF(ISNUMBER(SEARCH("Placeholder",'C-Design&amp;Const'!Z177))=TRUE,"",IF(E177="N","PLACEHOLDER ROW - ","")),'C-Design&amp;Const'!Z177,IF(E177="N","",J177))</f>
        <v>PLACEHOLDER ROW - "Furniture Information Form" (electronic)</v>
      </c>
      <c r="I177" s="193"/>
      <c r="J177" s="578" t="str">
        <f>IF('C-Design&amp;Const'!AD177="","",'C-Design&amp;Const'!AD177)</f>
        <v/>
      </c>
      <c r="K177" s="228"/>
      <c r="L177" s="1410" t="str">
        <f t="shared" si="5"/>
        <v>&lt;---PM/Planner may hide PLACEHOLDER ROW</v>
      </c>
      <c r="M177" s="1382"/>
      <c r="N177" s="1382"/>
      <c r="O177" s="1382"/>
      <c r="P177" s="1382"/>
      <c r="Q177" s="1382"/>
      <c r="R177" s="1382"/>
      <c r="S177" s="1382"/>
      <c r="T177" s="1382"/>
      <c r="U177" s="1382"/>
      <c r="V177" s="1382"/>
      <c r="W177" s="1382"/>
      <c r="X177" s="1382"/>
      <c r="Y177" s="1382"/>
      <c r="Z177" s="1382"/>
      <c r="AA177" s="1382"/>
      <c r="AB177" s="1382"/>
      <c r="AC177" s="1382"/>
      <c r="AD177" s="1382"/>
      <c r="AE177" s="1382"/>
      <c r="AF177" s="1382"/>
      <c r="AG177" s="1382"/>
      <c r="AH177" s="1382"/>
      <c r="AI177" s="1382"/>
      <c r="AJ177" s="181"/>
      <c r="AK177" s="181"/>
      <c r="AL177" s="181"/>
      <c r="AM177" s="181"/>
      <c r="AN177" s="181"/>
      <c r="AO177" s="181"/>
      <c r="AP177" s="181"/>
      <c r="AQ177" s="181"/>
      <c r="AR177" s="181"/>
      <c r="AS177" s="181"/>
      <c r="AT177" s="181"/>
      <c r="AU177" s="181"/>
      <c r="AV177" s="181"/>
      <c r="AW177" s="181"/>
    </row>
    <row r="178" spans="1:49" s="30" customFormat="1" ht="15" hidden="1" customHeight="1" x14ac:dyDescent="0.25">
      <c r="A178" s="1407"/>
      <c r="B178" s="191"/>
      <c r="C178" s="921"/>
      <c r="E178" s="415" t="str">
        <f>IF('C-Design&amp;Const'!$G178="","",'C-Design&amp;Const'!$G178)</f>
        <v>N</v>
      </c>
      <c r="F178" s="235"/>
      <c r="G178" s="291"/>
      <c r="H178" s="358" t="str">
        <f>CONCATENATE(IF(ISNUMBER(SEARCH("Placeholder",'C-Design&amp;Const'!Z178))=TRUE,"",IF(E178="N","PLACEHOLDER ROW - ","")),'C-Design&amp;Const'!Z178,IF(E178="N","",J178))</f>
        <v>PLACEHOLDER ROW - CUSTOM ROW - OPTIONAL CLIENT ITEM</v>
      </c>
      <c r="I178" s="184"/>
      <c r="J178" s="578" t="str">
        <f>IF('C-Design&amp;Const'!AD178="","",'C-Design&amp;Const'!AD178)</f>
        <v/>
      </c>
      <c r="K178" s="228"/>
      <c r="L178" s="1410" t="str">
        <f t="shared" si="5"/>
        <v>&lt;---PM/Planner may hide PLACEHOLDER ROW</v>
      </c>
      <c r="M178" s="1382"/>
      <c r="N178" s="1382"/>
      <c r="O178" s="1382"/>
      <c r="P178" s="1382"/>
      <c r="Q178" s="1382"/>
      <c r="R178" s="1382"/>
      <c r="S178" s="1382"/>
      <c r="T178" s="1382"/>
      <c r="U178" s="1382"/>
      <c r="V178" s="1382"/>
      <c r="W178" s="1382"/>
      <c r="X178" s="1382"/>
      <c r="Y178" s="1382"/>
      <c r="Z178" s="1382"/>
      <c r="AA178" s="1382"/>
      <c r="AB178" s="1382"/>
      <c r="AC178" s="1382"/>
      <c r="AD178" s="1382"/>
      <c r="AE178" s="1382"/>
      <c r="AF178" s="1382"/>
      <c r="AG178" s="1382"/>
      <c r="AH178" s="1382"/>
      <c r="AI178" s="1382"/>
      <c r="AJ178" s="181"/>
      <c r="AK178" s="181"/>
      <c r="AL178" s="181"/>
      <c r="AM178" s="181"/>
      <c r="AN178" s="181"/>
      <c r="AO178" s="181"/>
      <c r="AP178" s="181"/>
      <c r="AQ178" s="181"/>
      <c r="AR178" s="181"/>
      <c r="AS178" s="181"/>
      <c r="AT178" s="181"/>
      <c r="AU178" s="181"/>
      <c r="AV178" s="181"/>
      <c r="AW178" s="181"/>
    </row>
    <row r="179" spans="1:49" s="30" customFormat="1" ht="18.75" x14ac:dyDescent="0.25">
      <c r="A179" s="1407"/>
      <c r="B179" s="191"/>
      <c r="C179" s="921"/>
      <c r="D179" s="32"/>
      <c r="E179" s="411"/>
      <c r="F179" s="411"/>
      <c r="G179" s="208"/>
      <c r="H179" s="411"/>
      <c r="I179" s="186"/>
      <c r="J179" s="578" t="str">
        <f>IF('C-Design&amp;Const'!AD179="","",'C-Design&amp;Const'!AD179)</f>
        <v/>
      </c>
      <c r="K179" s="228"/>
      <c r="L179" s="1410" t="str">
        <f t="shared" si="5"/>
        <v/>
      </c>
      <c r="M179" s="1382"/>
      <c r="N179" s="1382"/>
      <c r="O179" s="1382"/>
      <c r="P179" s="1382"/>
      <c r="Q179" s="1382"/>
      <c r="R179" s="1382"/>
      <c r="S179" s="1382"/>
      <c r="T179" s="1382"/>
      <c r="U179" s="1382"/>
      <c r="V179" s="1382"/>
      <c r="W179" s="1382"/>
      <c r="X179" s="1382"/>
      <c r="Y179" s="1382"/>
      <c r="Z179" s="1382"/>
      <c r="AA179" s="1382"/>
      <c r="AB179" s="1382"/>
      <c r="AC179" s="1382"/>
      <c r="AD179" s="1382"/>
      <c r="AE179" s="1382"/>
      <c r="AF179" s="1382"/>
      <c r="AG179" s="1382"/>
      <c r="AH179" s="1382"/>
      <c r="AI179" s="1382"/>
      <c r="AJ179" s="181"/>
      <c r="AK179" s="181"/>
      <c r="AL179" s="181"/>
      <c r="AM179" s="181"/>
      <c r="AN179" s="181"/>
      <c r="AO179" s="181"/>
      <c r="AP179" s="181"/>
      <c r="AQ179" s="181"/>
      <c r="AR179" s="181"/>
      <c r="AS179" s="181"/>
      <c r="AT179" s="181"/>
      <c r="AU179" s="181"/>
      <c r="AV179" s="181"/>
      <c r="AW179" s="181"/>
    </row>
    <row r="180" spans="1:49" s="30" customFormat="1" ht="20.25" customHeight="1" x14ac:dyDescent="0.25">
      <c r="A180" s="1407"/>
      <c r="B180" s="191"/>
      <c r="C180" s="921"/>
      <c r="D180" s="52" t="str">
        <f>IF('C-Design&amp;Const'!G180="","",'C-Design&amp;Const'!G180)</f>
        <v>N</v>
      </c>
      <c r="E180" s="234"/>
      <c r="F180" s="235"/>
      <c r="G180" s="207" t="str">
        <f>IF('C-Design&amp;Const'!Y180="","",'C-Design&amp;Const'!Y180)</f>
        <v>06.</v>
      </c>
      <c r="H180" s="290" t="str">
        <f>(CONCATENATE('C-Design&amp;Const'!Z180,IF(D180="N"," Not Used In This Design Phase",J180)))</f>
        <v>Project Manual  Not Used In This Design Phase</v>
      </c>
      <c r="I180" s="180"/>
      <c r="J180" s="578" t="str">
        <f>IF('C-Design&amp;Const'!AD180="","",'C-Design&amp;Const'!AD180)</f>
        <v/>
      </c>
      <c r="K180" s="228"/>
      <c r="L180" s="1410" t="str">
        <f t="shared" si="5"/>
        <v/>
      </c>
      <c r="M180" s="1382"/>
      <c r="N180" s="1382"/>
      <c r="O180" s="1382"/>
      <c r="P180" s="1382"/>
      <c r="Q180" s="1382"/>
      <c r="R180" s="1382"/>
      <c r="S180" s="1382"/>
      <c r="T180" s="1382"/>
      <c r="U180" s="1382"/>
      <c r="V180" s="1382"/>
      <c r="W180" s="1382"/>
      <c r="X180" s="1382"/>
      <c r="Y180" s="1382"/>
      <c r="Z180" s="1382"/>
      <c r="AA180" s="1382"/>
      <c r="AB180" s="1382"/>
      <c r="AC180" s="1382"/>
      <c r="AD180" s="1382"/>
      <c r="AE180" s="1382"/>
      <c r="AF180" s="1382"/>
      <c r="AG180" s="1382"/>
      <c r="AH180" s="1382"/>
      <c r="AI180" s="1382"/>
      <c r="AJ180" s="181"/>
      <c r="AK180" s="181"/>
      <c r="AL180" s="181"/>
      <c r="AM180" s="181"/>
      <c r="AN180" s="181"/>
      <c r="AO180" s="181"/>
      <c r="AP180" s="181"/>
      <c r="AQ180" s="181"/>
      <c r="AR180" s="181"/>
      <c r="AS180" s="181"/>
      <c r="AT180" s="181"/>
      <c r="AU180" s="181"/>
      <c r="AV180" s="181"/>
      <c r="AW180" s="181"/>
    </row>
    <row r="181" spans="1:49" s="30" customFormat="1" ht="28.5" hidden="1" x14ac:dyDescent="0.25">
      <c r="A181" s="1407"/>
      <c r="B181" s="191"/>
      <c r="C181" s="921"/>
      <c r="E181" s="359" t="str">
        <f>IF('C-Design&amp;Const'!$G181="","",'C-Design&amp;Const'!$G181)</f>
        <v>N</v>
      </c>
      <c r="F181" s="235"/>
      <c r="G181" s="291"/>
      <c r="H181" s="358" t="str">
        <f>CONCATENATE(IF(E181="N","PLACEHOLDER ROW - ",""),'C-Design&amp;Const'!Z181,IF(E181="N","",J181))</f>
        <v>PLACEHOLDER ROW - Summary of Changes by Discipline (beyond corrections from comments) - UNDER SEPARATE COVER &amp; NOT BOUND WITH MANUAL.</v>
      </c>
      <c r="I181" s="184"/>
      <c r="J181" s="578" t="str">
        <f>IF('C-Design&amp;Const'!AD181="","",'C-Design&amp;Const'!AD181)</f>
        <v/>
      </c>
      <c r="K181" s="228"/>
      <c r="L181" s="1410" t="str">
        <f t="shared" si="5"/>
        <v>&lt;---PM/Planner may hide PLACEHOLDER ROW</v>
      </c>
      <c r="M181" s="1382"/>
      <c r="N181" s="1382"/>
      <c r="O181" s="1382"/>
      <c r="P181" s="1382"/>
      <c r="Q181" s="1382"/>
      <c r="R181" s="1382"/>
      <c r="S181" s="1382"/>
      <c r="T181" s="1382"/>
      <c r="U181" s="1382"/>
      <c r="V181" s="1382"/>
      <c r="W181" s="1382"/>
      <c r="X181" s="1382"/>
      <c r="Y181" s="1382"/>
      <c r="Z181" s="1382"/>
      <c r="AA181" s="1382"/>
      <c r="AB181" s="1382"/>
      <c r="AC181" s="1382"/>
      <c r="AD181" s="1382"/>
      <c r="AE181" s="1382"/>
      <c r="AF181" s="1382"/>
      <c r="AG181" s="1382"/>
      <c r="AH181" s="1382"/>
      <c r="AI181" s="1382"/>
      <c r="AJ181" s="181"/>
      <c r="AK181" s="181"/>
      <c r="AL181" s="181"/>
      <c r="AM181" s="181"/>
      <c r="AN181" s="181"/>
      <c r="AO181" s="181"/>
      <c r="AP181" s="181"/>
      <c r="AQ181" s="181"/>
      <c r="AR181" s="181"/>
      <c r="AS181" s="181"/>
      <c r="AT181" s="181"/>
      <c r="AU181" s="181"/>
      <c r="AV181" s="181"/>
      <c r="AW181" s="181"/>
    </row>
    <row r="182" spans="1:49" s="30" customFormat="1" ht="26.25" hidden="1" customHeight="1" x14ac:dyDescent="0.25">
      <c r="A182" s="1408"/>
      <c r="B182" s="191"/>
      <c r="C182" s="921"/>
      <c r="D182" s="32"/>
      <c r="E182" s="415" t="str">
        <f>IF('C-Design&amp;Const'!$G182="","",'C-Design&amp;Const'!$G182)</f>
        <v>N</v>
      </c>
      <c r="F182" s="456"/>
      <c r="G182" s="457"/>
      <c r="H182" s="358" t="str">
        <f>CONCATENATE(IF(E182="N","PLACEHOLDER ROW - ",""),'C-Design&amp;Const'!Z182,IF(E182="N","",J182))</f>
        <v>PLACEHOLDER ROW - Checklist for specification sections with submittals required (materials, shop drawings, calcs, etc…) - UNDER SEPARATE COVER &amp; NOT BOUND WITH MANUAL.</v>
      </c>
      <c r="I182" s="193"/>
      <c r="J182" s="578" t="str">
        <f>IF('C-Design&amp;Const'!AD182="","",'C-Design&amp;Const'!AD182)</f>
        <v/>
      </c>
      <c r="K182" s="228"/>
      <c r="L182" s="1410" t="str">
        <f>CONCATENATE(IF(ISNUMBER(SEARCH("Placeholder",H182))=TRUE,"&lt;---PM/Planner may hide PLACEHOLDER ROW",""))</f>
        <v>&lt;---PM/Planner may hide PLACEHOLDER ROW</v>
      </c>
      <c r="M182" s="1382"/>
      <c r="N182" s="1382"/>
      <c r="O182" s="1382"/>
      <c r="P182" s="1382"/>
      <c r="Q182" s="1382"/>
      <c r="R182" s="1382"/>
      <c r="S182" s="1382"/>
      <c r="T182" s="1382"/>
      <c r="U182" s="1382"/>
      <c r="V182" s="1382"/>
      <c r="W182" s="1382"/>
      <c r="X182" s="1382"/>
      <c r="Y182" s="1382"/>
      <c r="Z182" s="1382"/>
      <c r="AA182" s="1382"/>
      <c r="AB182" s="1382"/>
      <c r="AC182" s="1382"/>
      <c r="AD182" s="1382"/>
      <c r="AE182" s="1382"/>
      <c r="AF182" s="1382"/>
      <c r="AG182" s="1382"/>
      <c r="AH182" s="1382"/>
      <c r="AI182" s="1382"/>
      <c r="AJ182" s="181"/>
      <c r="AK182" s="181"/>
      <c r="AL182" s="181"/>
      <c r="AM182" s="181"/>
      <c r="AN182" s="181"/>
      <c r="AO182" s="181"/>
      <c r="AP182" s="181"/>
      <c r="AQ182" s="181"/>
      <c r="AR182" s="181"/>
      <c r="AS182" s="181"/>
      <c r="AT182" s="181"/>
      <c r="AU182" s="181"/>
      <c r="AV182" s="181"/>
      <c r="AW182" s="181"/>
    </row>
    <row r="183" spans="1:49" s="30" customFormat="1" ht="15" hidden="1" customHeight="1" x14ac:dyDescent="0.25">
      <c r="A183" s="1407"/>
      <c r="B183" s="191"/>
      <c r="C183" s="921"/>
      <c r="E183" s="359" t="str">
        <f>IF('C-Design&amp;Const'!$G183="","",'C-Design&amp;Const'!$G183)</f>
        <v>N</v>
      </c>
      <c r="F183" s="235"/>
      <c r="G183" s="291"/>
      <c r="H183" s="358" t="str">
        <f>CONCATENATE(IF(E183="N","PLACEHOLDER ROW - ",""),'C-Design&amp;Const'!Z183,IF(E183="N","",J183))</f>
        <v xml:space="preserve">PLACEHOLDER ROW - Front End Documents  [Div 00] </v>
      </c>
      <c r="I183" s="184"/>
      <c r="J183" s="578" t="str">
        <f>IF('C-Design&amp;Const'!AD183="","",'C-Design&amp;Const'!AD183)</f>
        <v/>
      </c>
      <c r="K183" s="228"/>
      <c r="L183" s="1410" t="str">
        <f t="shared" si="5"/>
        <v>&lt;---PM/Planner may hide PLACEHOLDER ROW</v>
      </c>
      <c r="M183" s="1382"/>
      <c r="N183" s="1382"/>
      <c r="O183" s="1382"/>
      <c r="P183" s="1382"/>
      <c r="Q183" s="1382"/>
      <c r="R183" s="1382"/>
      <c r="S183" s="1382"/>
      <c r="T183" s="1382"/>
      <c r="U183" s="1382"/>
      <c r="V183" s="1382"/>
      <c r="W183" s="1382"/>
      <c r="X183" s="1382"/>
      <c r="Y183" s="1382"/>
      <c r="Z183" s="1382"/>
      <c r="AA183" s="1382"/>
      <c r="AB183" s="1382"/>
      <c r="AC183" s="1382"/>
      <c r="AD183" s="1382"/>
      <c r="AE183" s="1382"/>
      <c r="AF183" s="1382"/>
      <c r="AG183" s="1382"/>
      <c r="AH183" s="1382"/>
      <c r="AI183" s="1382"/>
      <c r="AJ183" s="181"/>
      <c r="AK183" s="181"/>
      <c r="AL183" s="181"/>
      <c r="AM183" s="181"/>
      <c r="AN183" s="181"/>
      <c r="AO183" s="181"/>
      <c r="AP183" s="181"/>
      <c r="AQ183" s="181"/>
      <c r="AR183" s="181"/>
      <c r="AS183" s="181"/>
      <c r="AT183" s="181"/>
      <c r="AU183" s="181"/>
      <c r="AV183" s="181"/>
      <c r="AW183" s="181"/>
    </row>
    <row r="184" spans="1:49" s="30" customFormat="1" ht="15" hidden="1" customHeight="1" x14ac:dyDescent="0.25">
      <c r="A184" s="1407"/>
      <c r="B184" s="191"/>
      <c r="C184" s="921"/>
      <c r="E184" s="359" t="str">
        <f>IF('C-Design&amp;Const'!$G184="","",'C-Design&amp;Const'!$G184)</f>
        <v>N</v>
      </c>
      <c r="F184" s="235"/>
      <c r="G184" s="291"/>
      <c r="H184" s="358" t="str">
        <f>CONCATENATE(IF(E184="N","PLACEHOLDER ROW - ",""),'C-Design&amp;Const'!Z184,IF(E184="N","",J184))</f>
        <v>PLACEHOLDER ROW - Outline Specifications (CSI Format)</v>
      </c>
      <c r="I184" s="184"/>
      <c r="J184" s="578" t="str">
        <f>IF('C-Design&amp;Const'!AD184="","",'C-Design&amp;Const'!AD184)</f>
        <v/>
      </c>
      <c r="K184" s="228"/>
      <c r="L184" s="1410" t="str">
        <f t="shared" si="5"/>
        <v>&lt;---PM/Planner may hide PLACEHOLDER ROW</v>
      </c>
      <c r="M184" s="1382"/>
      <c r="N184" s="1382"/>
      <c r="O184" s="1382"/>
      <c r="P184" s="1382"/>
      <c r="Q184" s="1382"/>
      <c r="R184" s="1382"/>
      <c r="S184" s="1382"/>
      <c r="T184" s="1382"/>
      <c r="U184" s="1382"/>
      <c r="V184" s="1382"/>
      <c r="W184" s="1382"/>
      <c r="X184" s="1382"/>
      <c r="Y184" s="1382"/>
      <c r="Z184" s="1382"/>
      <c r="AA184" s="1382"/>
      <c r="AB184" s="1382"/>
      <c r="AC184" s="1382"/>
      <c r="AD184" s="1382"/>
      <c r="AE184" s="1382"/>
      <c r="AF184" s="1382"/>
      <c r="AG184" s="1382"/>
      <c r="AH184" s="1382"/>
      <c r="AI184" s="1382"/>
      <c r="AJ184" s="181"/>
      <c r="AK184" s="181"/>
      <c r="AL184" s="181"/>
      <c r="AM184" s="181"/>
      <c r="AN184" s="181"/>
      <c r="AO184" s="181"/>
      <c r="AP184" s="181"/>
      <c r="AQ184" s="181"/>
      <c r="AR184" s="181"/>
      <c r="AS184" s="181"/>
      <c r="AT184" s="181"/>
      <c r="AU184" s="181"/>
      <c r="AV184" s="181"/>
      <c r="AW184" s="181"/>
    </row>
    <row r="185" spans="1:49" s="30" customFormat="1" ht="15" hidden="1" customHeight="1" x14ac:dyDescent="0.25">
      <c r="A185" s="1407"/>
      <c r="B185" s="191"/>
      <c r="C185" s="921"/>
      <c r="E185" s="359" t="str">
        <f>IF('C-Design&amp;Const'!$G185="","",'C-Design&amp;Const'!$G185)</f>
        <v>N</v>
      </c>
      <c r="F185" s="235"/>
      <c r="G185" s="291"/>
      <c r="H185" s="358" t="str">
        <f>CONCATENATE(IF(E185="N","PLACEHOLDER ROW - ",""),'C-Design&amp;Const'!Z185,IF(E185="N","",J185))</f>
        <v>PLACEHOLDER ROW - Technical Specifications  [Div 01 and after]</v>
      </c>
      <c r="I185" s="184"/>
      <c r="J185" s="578" t="str">
        <f>IF('C-Design&amp;Const'!AD185="","",'C-Design&amp;Const'!AD185)</f>
        <v/>
      </c>
      <c r="K185" s="228"/>
      <c r="L185" s="1410" t="str">
        <f t="shared" si="5"/>
        <v>&lt;---PM/Planner may hide PLACEHOLDER ROW</v>
      </c>
      <c r="M185" s="1382"/>
      <c r="N185" s="1382"/>
      <c r="O185" s="1382"/>
      <c r="P185" s="1382"/>
      <c r="Q185" s="1382"/>
      <c r="R185" s="1382"/>
      <c r="S185" s="1382"/>
      <c r="T185" s="1382"/>
      <c r="U185" s="1382"/>
      <c r="V185" s="1382"/>
      <c r="W185" s="1382"/>
      <c r="X185" s="1382"/>
      <c r="Y185" s="1382"/>
      <c r="Z185" s="1382"/>
      <c r="AA185" s="1382"/>
      <c r="AB185" s="1382"/>
      <c r="AC185" s="1382"/>
      <c r="AD185" s="1382"/>
      <c r="AE185" s="1382"/>
      <c r="AF185" s="1382"/>
      <c r="AG185" s="1382"/>
      <c r="AH185" s="1382"/>
      <c r="AI185" s="1382"/>
      <c r="AJ185" s="181"/>
      <c r="AK185" s="181"/>
      <c r="AL185" s="181"/>
      <c r="AM185" s="181"/>
      <c r="AN185" s="181"/>
      <c r="AO185" s="181"/>
      <c r="AP185" s="181"/>
      <c r="AQ185" s="181"/>
      <c r="AR185" s="181"/>
      <c r="AS185" s="181"/>
      <c r="AT185" s="181"/>
      <c r="AU185" s="181"/>
      <c r="AV185" s="181"/>
      <c r="AW185" s="181"/>
    </row>
    <row r="186" spans="1:49" s="30" customFormat="1" ht="15" hidden="1" customHeight="1" x14ac:dyDescent="0.25">
      <c r="A186" s="1407"/>
      <c r="B186" s="191"/>
      <c r="C186" s="921"/>
      <c r="E186" s="359" t="str">
        <f>IF('C-Design&amp;Const'!$G186="","",'C-Design&amp;Const'!$G186)</f>
        <v>N</v>
      </c>
      <c r="F186" s="235"/>
      <c r="G186" s="291"/>
      <c r="H186" s="358" t="str">
        <f>CONCATENATE(IF(E186="N","PLACEHOLDER ROW - ",""),'C-Design&amp;Const'!Z186,IF(E186="N","",J186))</f>
        <v xml:space="preserve">PLACEHOLDER ROW - FF&amp;E Outline Specification for at least 2 competitor packages </v>
      </c>
      <c r="I186" s="184"/>
      <c r="J186" s="578" t="str">
        <f>IF('C-Design&amp;Const'!AD186="","",'C-Design&amp;Const'!AD186)</f>
        <v/>
      </c>
      <c r="K186" s="228"/>
      <c r="L186" s="1410" t="str">
        <f t="shared" si="5"/>
        <v>&lt;---PM/Planner may hide PLACEHOLDER ROW</v>
      </c>
      <c r="M186" s="1382"/>
      <c r="N186" s="1382"/>
      <c r="O186" s="1382"/>
      <c r="P186" s="1382"/>
      <c r="Q186" s="1382"/>
      <c r="R186" s="1382"/>
      <c r="S186" s="1382"/>
      <c r="T186" s="1382"/>
      <c r="U186" s="1382"/>
      <c r="V186" s="1382"/>
      <c r="W186" s="1382"/>
      <c r="X186" s="1382"/>
      <c r="Y186" s="1382"/>
      <c r="Z186" s="1382"/>
      <c r="AA186" s="1382"/>
      <c r="AB186" s="1382"/>
      <c r="AC186" s="1382"/>
      <c r="AD186" s="1382"/>
      <c r="AE186" s="1382"/>
      <c r="AF186" s="1382"/>
      <c r="AG186" s="1382"/>
      <c r="AH186" s="1382"/>
      <c r="AI186" s="1382"/>
      <c r="AJ186" s="181"/>
      <c r="AK186" s="181"/>
      <c r="AL186" s="181"/>
      <c r="AM186" s="181"/>
      <c r="AN186" s="181"/>
      <c r="AO186" s="181"/>
      <c r="AP186" s="181"/>
      <c r="AQ186" s="181"/>
      <c r="AR186" s="181"/>
      <c r="AS186" s="181"/>
      <c r="AT186" s="181"/>
      <c r="AU186" s="181"/>
      <c r="AV186" s="181"/>
      <c r="AW186" s="181"/>
    </row>
    <row r="187" spans="1:49" s="30" customFormat="1" ht="15" hidden="1" customHeight="1" x14ac:dyDescent="0.25">
      <c r="A187" s="1407"/>
      <c r="B187" s="191"/>
      <c r="C187" s="921"/>
      <c r="E187" s="359" t="str">
        <f>IF('C-Design&amp;Const'!$G187="","",'C-Design&amp;Const'!$G187)</f>
        <v>N</v>
      </c>
      <c r="F187" s="463"/>
      <c r="G187" s="291"/>
      <c r="H187" s="358" t="str">
        <f>CONCATENATE(IF(E187="N","PLACEHOLDER ROW - ",""),'C-Design&amp;Const'!Z187,IF(E187="N","",J187))</f>
        <v>PLACEHOLDER ROW - Furniture Information Form (FIF)</v>
      </c>
      <c r="I187" s="184"/>
      <c r="J187" s="578" t="str">
        <f>IF('C-Design&amp;Const'!AD187="","",'C-Design&amp;Const'!AD187)</f>
        <v/>
      </c>
      <c r="K187" s="228"/>
      <c r="L187" s="1410" t="str">
        <f>CONCATENATE(IF(ISNUMBER(SEARCH("Placeholder",H187))=TRUE,"&lt;---PM/Planner may hide PLACEHOLDER ROW",""))</f>
        <v>&lt;---PM/Planner may hide PLACEHOLDER ROW</v>
      </c>
      <c r="M187" s="1382"/>
      <c r="N187" s="1382"/>
      <c r="O187" s="1382"/>
      <c r="P187" s="1382"/>
      <c r="Q187" s="1382"/>
      <c r="R187" s="1382"/>
      <c r="S187" s="1382"/>
      <c r="T187" s="1382"/>
      <c r="U187" s="1382"/>
      <c r="V187" s="1382"/>
      <c r="W187" s="1382"/>
      <c r="X187" s="1382"/>
      <c r="Y187" s="1382"/>
      <c r="Z187" s="1382"/>
      <c r="AA187" s="1382"/>
      <c r="AB187" s="1382"/>
      <c r="AC187" s="1382"/>
      <c r="AD187" s="1382"/>
      <c r="AE187" s="1382"/>
      <c r="AF187" s="1382"/>
      <c r="AG187" s="1382"/>
      <c r="AH187" s="1382"/>
      <c r="AI187" s="1382"/>
      <c r="AJ187" s="181"/>
      <c r="AK187" s="181"/>
      <c r="AL187" s="181"/>
      <c r="AM187" s="181"/>
      <c r="AN187" s="181"/>
      <c r="AO187" s="181"/>
      <c r="AP187" s="181"/>
      <c r="AQ187" s="181"/>
      <c r="AR187" s="181"/>
      <c r="AS187" s="181"/>
      <c r="AT187" s="181"/>
      <c r="AU187" s="181"/>
      <c r="AV187" s="181"/>
      <c r="AW187" s="181"/>
    </row>
    <row r="188" spans="1:49" s="30" customFormat="1" ht="15" hidden="1" customHeight="1" x14ac:dyDescent="0.25">
      <c r="A188" s="1407"/>
      <c r="B188" s="191"/>
      <c r="C188" s="921"/>
      <c r="E188" s="359" t="str">
        <f>IF('C-Design&amp;Const'!$G188="","",'C-Design&amp;Const'!$G188)</f>
        <v>N</v>
      </c>
      <c r="F188" s="235"/>
      <c r="G188" s="291"/>
      <c r="H188" s="358" t="str">
        <f>CONCATENATE(IF(E188="N","PLACEHOLDER ROW - ",""),'C-Design&amp;Const'!Z188,IF(E188="N","",J188))</f>
        <v xml:space="preserve">PLACEHOLDER ROW - Voice/Data Communications System Requirements </v>
      </c>
      <c r="I188" s="184"/>
      <c r="J188" s="578" t="str">
        <f>IF('C-Design&amp;Const'!AD188="","",'C-Design&amp;Const'!AD188)</f>
        <v/>
      </c>
      <c r="K188" s="228"/>
      <c r="L188" s="1410" t="str">
        <f t="shared" si="5"/>
        <v>&lt;---PM/Planner may hide PLACEHOLDER ROW</v>
      </c>
      <c r="M188" s="1382"/>
      <c r="N188" s="1382"/>
      <c r="O188" s="1382"/>
      <c r="P188" s="1382"/>
      <c r="Q188" s="1382"/>
      <c r="R188" s="1382"/>
      <c r="S188" s="1382"/>
      <c r="T188" s="1382"/>
      <c r="U188" s="1382"/>
      <c r="V188" s="1382"/>
      <c r="W188" s="1382"/>
      <c r="X188" s="1382"/>
      <c r="Y188" s="1382"/>
      <c r="Z188" s="1382"/>
      <c r="AA188" s="1382"/>
      <c r="AB188" s="1382"/>
      <c r="AC188" s="1382"/>
      <c r="AD188" s="1382"/>
      <c r="AE188" s="1382"/>
      <c r="AF188" s="1382"/>
      <c r="AG188" s="1382"/>
      <c r="AH188" s="1382"/>
      <c r="AI188" s="1382"/>
      <c r="AJ188" s="181"/>
      <c r="AK188" s="181"/>
      <c r="AL188" s="181"/>
      <c r="AM188" s="181"/>
      <c r="AN188" s="181"/>
      <c r="AO188" s="181"/>
      <c r="AP188" s="181"/>
      <c r="AQ188" s="181"/>
      <c r="AR188" s="181"/>
      <c r="AS188" s="181"/>
      <c r="AT188" s="181"/>
      <c r="AU188" s="181"/>
      <c r="AV188" s="181"/>
      <c r="AW188" s="181"/>
    </row>
    <row r="189" spans="1:49" s="30" customFormat="1" ht="42.75" hidden="1" x14ac:dyDescent="0.25">
      <c r="A189" s="1407"/>
      <c r="B189" s="191"/>
      <c r="C189" s="921"/>
      <c r="E189" s="359" t="str">
        <f>IF('C-Design&amp;Const'!$G189="","",'C-Design&amp;Const'!$G189)</f>
        <v>N</v>
      </c>
      <c r="F189" s="235"/>
      <c r="G189" s="291"/>
      <c r="H189" s="358" t="str">
        <f>CONCATENATE(IF(E189="N","PLACEHOLDER ROW - ",""),'C-Design&amp;Const'!Z189,IF(E189="N","",J189))</f>
        <v xml:space="preserve">PLACEHOLDER ROW - AV Systems Requirements, including Millwork, Associated Cooling, Power, Grounding, Data / Telecomm, Acoustics &amp; Noise Control, and Lighting System. Cables Identified by Manufacturer/Model Number. </v>
      </c>
      <c r="I189" s="184"/>
      <c r="J189" s="578" t="str">
        <f>IF('C-Design&amp;Const'!AD189="","",'C-Design&amp;Const'!AD189)</f>
        <v/>
      </c>
      <c r="K189" s="228"/>
      <c r="L189" s="1410" t="str">
        <f t="shared" si="5"/>
        <v>&lt;---PM/Planner may hide PLACEHOLDER ROW</v>
      </c>
      <c r="M189" s="1382"/>
      <c r="N189" s="1382"/>
      <c r="O189" s="1382"/>
      <c r="P189" s="1382"/>
      <c r="Q189" s="1382"/>
      <c r="R189" s="1382"/>
      <c r="S189" s="1382"/>
      <c r="T189" s="1382"/>
      <c r="U189" s="1382"/>
      <c r="V189" s="1382"/>
      <c r="W189" s="1382"/>
      <c r="X189" s="1382"/>
      <c r="Y189" s="1382"/>
      <c r="Z189" s="1382"/>
      <c r="AA189" s="1382"/>
      <c r="AB189" s="1382"/>
      <c r="AC189" s="1382"/>
      <c r="AD189" s="1382"/>
      <c r="AE189" s="1382"/>
      <c r="AF189" s="1382"/>
      <c r="AG189" s="1382"/>
      <c r="AH189" s="1382"/>
      <c r="AI189" s="1382"/>
      <c r="AJ189" s="181"/>
      <c r="AK189" s="181"/>
      <c r="AL189" s="181"/>
      <c r="AM189" s="181"/>
      <c r="AN189" s="181"/>
      <c r="AO189" s="181"/>
      <c r="AP189" s="181"/>
      <c r="AQ189" s="181"/>
      <c r="AR189" s="181"/>
      <c r="AS189" s="181"/>
      <c r="AT189" s="181"/>
      <c r="AU189" s="181"/>
      <c r="AV189" s="181"/>
      <c r="AW189" s="181"/>
    </row>
    <row r="190" spans="1:49" s="30" customFormat="1" ht="15" hidden="1" customHeight="1" x14ac:dyDescent="0.25">
      <c r="A190" s="1408"/>
      <c r="B190" s="191"/>
      <c r="C190" s="921"/>
      <c r="D190" s="32"/>
      <c r="E190" s="415" t="str">
        <f>IF('C-Design&amp;Const'!$G190="","",'C-Design&amp;Const'!$G190)</f>
        <v>N</v>
      </c>
      <c r="F190" s="456"/>
      <c r="G190" s="457"/>
      <c r="H190" s="358" t="str">
        <f>CONCATENATE(IF(E190="N","PLACEHOLDER ROW - ",""),'C-Design&amp;Const'!Z190,IF(E190="N","",J190))</f>
        <v>PLACEHOLDER ROW - Audio / Visual Basis of Material (AV BOM)</v>
      </c>
      <c r="I190" s="193"/>
      <c r="J190" s="578" t="str">
        <f>IF('C-Design&amp;Const'!AD190="","",'C-Design&amp;Const'!AD190)</f>
        <v/>
      </c>
      <c r="K190" s="228"/>
      <c r="L190" s="1410" t="str">
        <f>CONCATENATE(IF(ISNUMBER(SEARCH("Placeholder",H190))=TRUE,"&lt;---PM/Planner may hide PLACEHOLDER ROW",""))</f>
        <v>&lt;---PM/Planner may hide PLACEHOLDER ROW</v>
      </c>
      <c r="M190" s="1382"/>
      <c r="N190" s="1382"/>
      <c r="O190" s="1382"/>
      <c r="P190" s="1382"/>
      <c r="Q190" s="1382"/>
      <c r="R190" s="1382"/>
      <c r="S190" s="1382"/>
      <c r="T190" s="1382"/>
      <c r="U190" s="1382"/>
      <c r="V190" s="1382"/>
      <c r="W190" s="1382"/>
      <c r="X190" s="1382"/>
      <c r="Y190" s="1382"/>
      <c r="Z190" s="1382"/>
      <c r="AA190" s="1382"/>
      <c r="AB190" s="1382"/>
      <c r="AC190" s="1382"/>
      <c r="AD190" s="1382"/>
      <c r="AE190" s="1382"/>
      <c r="AF190" s="1382"/>
      <c r="AG190" s="1382"/>
      <c r="AH190" s="1382"/>
      <c r="AI190" s="1382"/>
      <c r="AJ190" s="181"/>
      <c r="AK190" s="181"/>
      <c r="AL190" s="181"/>
      <c r="AM190" s="181"/>
      <c r="AN190" s="181"/>
      <c r="AO190" s="181"/>
      <c r="AP190" s="181"/>
      <c r="AQ190" s="181"/>
      <c r="AR190" s="181"/>
      <c r="AS190" s="181"/>
      <c r="AT190" s="181"/>
      <c r="AU190" s="181"/>
      <c r="AV190" s="181"/>
      <c r="AW190" s="181"/>
    </row>
    <row r="191" spans="1:49" s="30" customFormat="1" ht="18.75" hidden="1" x14ac:dyDescent="0.25">
      <c r="A191" s="1407"/>
      <c r="B191" s="191"/>
      <c r="C191" s="921"/>
      <c r="E191" s="359" t="str">
        <f>IF('C-Design&amp;Const'!$G191="","",'C-Design&amp;Const'!$G191)</f>
        <v>N</v>
      </c>
      <c r="F191" s="235"/>
      <c r="G191" s="291"/>
      <c r="H191" s="358" t="str">
        <f>CONCATENATE(IF(E191="N","PLACEHOLDER ROW - ",""),'C-Design&amp;Const'!Z191,IF(E191="N","",J191))</f>
        <v>PLACEHOLDER ROW - Soil Borings and Soils Report (With Applicable Section)</v>
      </c>
      <c r="I191" s="184"/>
      <c r="J191" s="578" t="str">
        <f>IF('C-Design&amp;Const'!AD191="","",'C-Design&amp;Const'!AD191)</f>
        <v/>
      </c>
      <c r="K191" s="228"/>
      <c r="L191" s="1410" t="str">
        <f t="shared" si="5"/>
        <v>&lt;---PM/Planner may hide PLACEHOLDER ROW</v>
      </c>
      <c r="M191" s="1382"/>
      <c r="N191" s="1382"/>
      <c r="O191" s="1382"/>
      <c r="P191" s="1382"/>
      <c r="Q191" s="1382"/>
      <c r="R191" s="1382"/>
      <c r="S191" s="1382"/>
      <c r="T191" s="1382"/>
      <c r="U191" s="1382"/>
      <c r="V191" s="1382"/>
      <c r="W191" s="1382"/>
      <c r="X191" s="1382"/>
      <c r="Y191" s="1382"/>
      <c r="Z191" s="1382"/>
      <c r="AA191" s="1382"/>
      <c r="AB191" s="1382"/>
      <c r="AC191" s="1382"/>
      <c r="AD191" s="1382"/>
      <c r="AE191" s="1382"/>
      <c r="AF191" s="1382"/>
      <c r="AG191" s="1382"/>
      <c r="AH191" s="1382"/>
      <c r="AI191" s="1382"/>
      <c r="AJ191" s="181"/>
      <c r="AK191" s="181"/>
      <c r="AL191" s="181"/>
      <c r="AM191" s="181"/>
      <c r="AN191" s="181"/>
      <c r="AO191" s="181"/>
      <c r="AP191" s="181"/>
      <c r="AQ191" s="181"/>
      <c r="AR191" s="181"/>
      <c r="AS191" s="181"/>
      <c r="AT191" s="181"/>
      <c r="AU191" s="181"/>
      <c r="AV191" s="181"/>
      <c r="AW191" s="181"/>
    </row>
    <row r="192" spans="1:49" s="30" customFormat="1" ht="28.5" hidden="1" x14ac:dyDescent="0.25">
      <c r="A192" s="1408"/>
      <c r="B192" s="191"/>
      <c r="C192" s="921"/>
      <c r="D192" s="32"/>
      <c r="E192" s="415" t="str">
        <f>IF('C-Design&amp;Const'!$G192="","",'C-Design&amp;Const'!$G192)</f>
        <v>N</v>
      </c>
      <c r="F192" s="456"/>
      <c r="G192" s="457"/>
      <c r="H192" s="358" t="str">
        <f>CONCATENATE(IF(E192="N","PLACEHOLDER ROW - ",""),'C-Design&amp;Const'!Z192,IF(E192="N","",J192))</f>
        <v>PLACEHOLDER ROW - Results of Hazardous Materials Testing and Hazardous Materials Mediation Plan (With Applicable Section)</v>
      </c>
      <c r="I192" s="193"/>
      <c r="J192" s="578" t="str">
        <f>IF('C-Design&amp;Const'!AD192="","",'C-Design&amp;Const'!AD192)</f>
        <v/>
      </c>
      <c r="K192" s="228"/>
      <c r="L192" s="1410" t="str">
        <f t="shared" si="5"/>
        <v>&lt;---PM/Planner may hide PLACEHOLDER ROW</v>
      </c>
      <c r="M192" s="1382"/>
      <c r="N192" s="1382"/>
      <c r="O192" s="1382"/>
      <c r="P192" s="1382"/>
      <c r="Q192" s="1382"/>
      <c r="R192" s="1382"/>
      <c r="S192" s="1382"/>
      <c r="T192" s="1382"/>
      <c r="U192" s="1382"/>
      <c r="V192" s="1382"/>
      <c r="W192" s="1382"/>
      <c r="X192" s="1382"/>
      <c r="Y192" s="1382"/>
      <c r="Z192" s="1382"/>
      <c r="AA192" s="1382"/>
      <c r="AB192" s="1382"/>
      <c r="AC192" s="1382"/>
      <c r="AD192" s="1382"/>
      <c r="AE192" s="1382"/>
      <c r="AF192" s="1382"/>
      <c r="AG192" s="1382"/>
      <c r="AH192" s="1382"/>
      <c r="AI192" s="1382"/>
      <c r="AJ192" s="181"/>
      <c r="AK192" s="181"/>
      <c r="AL192" s="181"/>
      <c r="AM192" s="181"/>
      <c r="AN192" s="181"/>
      <c r="AO192" s="181"/>
      <c r="AP192" s="181"/>
      <c r="AQ192" s="181"/>
      <c r="AR192" s="181"/>
      <c r="AS192" s="181"/>
      <c r="AT192" s="181"/>
      <c r="AU192" s="181"/>
      <c r="AV192" s="181"/>
      <c r="AW192" s="181"/>
    </row>
    <row r="193" spans="1:49" s="30" customFormat="1" ht="15" hidden="1" customHeight="1" x14ac:dyDescent="0.25">
      <c r="A193" s="1408"/>
      <c r="B193" s="191"/>
      <c r="C193" s="921"/>
      <c r="D193" s="32"/>
      <c r="E193" s="415" t="str">
        <f>IF('C-Design&amp;Const'!$G193="","",'C-Design&amp;Const'!$G193)</f>
        <v>N</v>
      </c>
      <c r="F193" s="456"/>
      <c r="G193" s="457"/>
      <c r="H193" s="358" t="str">
        <f>CONCATENATE(IF(E193="N","PLACEHOLDER ROW - ",""),'C-Design&amp;Const'!Z193,IF(E193="N","",J193))</f>
        <v>PLACEHOLDER ROW - EPA &amp; State Permits (With Applicable Section)</v>
      </c>
      <c r="I193" s="193"/>
      <c r="J193" s="578" t="str">
        <f>IF('C-Design&amp;Const'!AD193="","",'C-Design&amp;Const'!AD193)</f>
        <v/>
      </c>
      <c r="K193" s="228"/>
      <c r="L193" s="1410" t="str">
        <f t="shared" si="5"/>
        <v>&lt;---PM/Planner may hide PLACEHOLDER ROW</v>
      </c>
      <c r="M193" s="1382"/>
      <c r="N193" s="1382"/>
      <c r="O193" s="1382"/>
      <c r="P193" s="1382"/>
      <c r="Q193" s="1382"/>
      <c r="R193" s="1382"/>
      <c r="S193" s="1382"/>
      <c r="T193" s="1382"/>
      <c r="U193" s="1382"/>
      <c r="V193" s="1382"/>
      <c r="W193" s="1382"/>
      <c r="X193" s="1382"/>
      <c r="Y193" s="1382"/>
      <c r="Z193" s="1382"/>
      <c r="AA193" s="1382"/>
      <c r="AB193" s="1382"/>
      <c r="AC193" s="1382"/>
      <c r="AD193" s="1382"/>
      <c r="AE193" s="1382"/>
      <c r="AF193" s="1382"/>
      <c r="AG193" s="1382"/>
      <c r="AH193" s="1382"/>
      <c r="AI193" s="1382"/>
      <c r="AJ193" s="181"/>
      <c r="AK193" s="181"/>
      <c r="AL193" s="181"/>
      <c r="AM193" s="181"/>
      <c r="AN193" s="181"/>
      <c r="AO193" s="181"/>
      <c r="AP193" s="181"/>
      <c r="AQ193" s="181"/>
      <c r="AR193" s="181"/>
      <c r="AS193" s="181"/>
      <c r="AT193" s="181"/>
      <c r="AU193" s="181"/>
      <c r="AV193" s="181"/>
      <c r="AW193" s="181"/>
    </row>
    <row r="194" spans="1:49" s="30" customFormat="1" ht="15" hidden="1" customHeight="1" x14ac:dyDescent="0.25">
      <c r="A194" s="1408"/>
      <c r="B194" s="191"/>
      <c r="C194" s="921"/>
      <c r="D194" s="32"/>
      <c r="E194" s="415" t="str">
        <f>IF('C-Design&amp;Const'!$G194="","",'C-Design&amp;Const'!$G194)</f>
        <v>N</v>
      </c>
      <c r="F194" s="456"/>
      <c r="G194" s="457"/>
      <c r="H194" s="358" t="str">
        <f>CONCATENATE(IF(E194="N","PLACEHOLDER ROW - ",""),'C-Design&amp;Const'!Z194,IF(E194="N","",J194))</f>
        <v>PLACEHOLDER ROW - Results of flow testing (With Applicable Section)</v>
      </c>
      <c r="I194" s="193"/>
      <c r="J194" s="578" t="str">
        <f>IF('C-Design&amp;Const'!AD194="","",'C-Design&amp;Const'!AD194)</f>
        <v/>
      </c>
      <c r="K194" s="228"/>
      <c r="L194" s="1410" t="str">
        <f t="shared" si="5"/>
        <v>&lt;---PM/Planner may hide PLACEHOLDER ROW</v>
      </c>
      <c r="M194" s="1382"/>
      <c r="N194" s="1382"/>
      <c r="O194" s="1382"/>
      <c r="P194" s="1382"/>
      <c r="Q194" s="1382"/>
      <c r="R194" s="1382"/>
      <c r="S194" s="1382"/>
      <c r="T194" s="1382"/>
      <c r="U194" s="1382"/>
      <c r="V194" s="1382"/>
      <c r="W194" s="1382"/>
      <c r="X194" s="1382"/>
      <c r="Y194" s="1382"/>
      <c r="Z194" s="1382"/>
      <c r="AA194" s="1382"/>
      <c r="AB194" s="1382"/>
      <c r="AC194" s="1382"/>
      <c r="AD194" s="1382"/>
      <c r="AE194" s="1382"/>
      <c r="AF194" s="1382"/>
      <c r="AG194" s="1382"/>
      <c r="AH194" s="1382"/>
      <c r="AI194" s="1382"/>
      <c r="AJ194" s="181"/>
      <c r="AK194" s="181"/>
      <c r="AL194" s="181"/>
      <c r="AM194" s="181"/>
      <c r="AN194" s="181"/>
      <c r="AO194" s="181"/>
      <c r="AP194" s="181"/>
      <c r="AQ194" s="181"/>
      <c r="AR194" s="181"/>
      <c r="AS194" s="181"/>
      <c r="AT194" s="181"/>
      <c r="AU194" s="181"/>
      <c r="AV194" s="181"/>
      <c r="AW194" s="181"/>
    </row>
    <row r="195" spans="1:49" s="30" customFormat="1" ht="15" hidden="1" customHeight="1" x14ac:dyDescent="0.25">
      <c r="A195" s="1408"/>
      <c r="B195" s="191"/>
      <c r="C195" s="921"/>
      <c r="D195" s="32"/>
      <c r="E195" s="415" t="str">
        <f>IF('C-Design&amp;Const'!$G195="","",'C-Design&amp;Const'!$G195)</f>
        <v>N</v>
      </c>
      <c r="F195" s="456"/>
      <c r="G195" s="457"/>
      <c r="H195" s="358" t="str">
        <f>CONCATENATE(IF(E195="N","PLACEHOLDER ROW - ",""),'C-Design&amp;Const'!Z195,IF(E195="N","",J195))</f>
        <v>PLACEHOLDER ROW - Results of existing exterior envelope material tests or strengths (With Applicable section)</v>
      </c>
      <c r="I195" s="193"/>
      <c r="J195" s="578" t="str">
        <f>IF('C-Design&amp;Const'!AD195="","",'C-Design&amp;Const'!AD195)</f>
        <v/>
      </c>
      <c r="K195" s="228"/>
      <c r="L195" s="1410" t="str">
        <f t="shared" si="5"/>
        <v>&lt;---PM/Planner may hide PLACEHOLDER ROW</v>
      </c>
      <c r="M195" s="1382"/>
      <c r="N195" s="1382"/>
      <c r="O195" s="1382"/>
      <c r="P195" s="1382"/>
      <c r="Q195" s="1382"/>
      <c r="R195" s="1382"/>
      <c r="S195" s="1382"/>
      <c r="T195" s="1382"/>
      <c r="U195" s="1382"/>
      <c r="V195" s="1382"/>
      <c r="W195" s="1382"/>
      <c r="X195" s="1382"/>
      <c r="Y195" s="1382"/>
      <c r="Z195" s="1382"/>
      <c r="AA195" s="1382"/>
      <c r="AB195" s="1382"/>
      <c r="AC195" s="1382"/>
      <c r="AD195" s="1382"/>
      <c r="AE195" s="1382"/>
      <c r="AF195" s="1382"/>
      <c r="AG195" s="1382"/>
      <c r="AH195" s="1382"/>
      <c r="AI195" s="1382"/>
      <c r="AJ195" s="181"/>
      <c r="AK195" s="181"/>
      <c r="AL195" s="181"/>
      <c r="AM195" s="181"/>
      <c r="AN195" s="181"/>
      <c r="AO195" s="181"/>
      <c r="AP195" s="181"/>
      <c r="AQ195" s="181"/>
      <c r="AR195" s="181"/>
      <c r="AS195" s="181"/>
      <c r="AT195" s="181"/>
      <c r="AU195" s="181"/>
      <c r="AV195" s="181"/>
      <c r="AW195" s="181"/>
    </row>
    <row r="196" spans="1:49" s="30" customFormat="1" ht="15" hidden="1" customHeight="1" x14ac:dyDescent="0.25">
      <c r="A196" s="1408"/>
      <c r="B196" s="191"/>
      <c r="C196" s="921"/>
      <c r="D196" s="32"/>
      <c r="E196" s="415" t="str">
        <f>IF('C-Design&amp;Const'!$G196="","",'C-Design&amp;Const'!$G196)</f>
        <v>N</v>
      </c>
      <c r="F196" s="456"/>
      <c r="G196" s="457"/>
      <c r="H196" s="358" t="str">
        <f>CONCATENATE(IF(E196="N","PLACEHOLDER ROW - ",""),'C-Design&amp;Const'!Z196,IF(E196="N","",J196))</f>
        <v>PLACEHOLDER ROW - Results of any existing structural materials tests or verification / scans of structure layout. (With Applicable section)</v>
      </c>
      <c r="I196" s="193"/>
      <c r="J196" s="578" t="str">
        <f>IF('C-Design&amp;Const'!AD196="","",'C-Design&amp;Const'!AD196)</f>
        <v/>
      </c>
      <c r="K196" s="228"/>
      <c r="L196" s="1410" t="str">
        <f t="shared" si="5"/>
        <v>&lt;---PM/Planner may hide PLACEHOLDER ROW</v>
      </c>
      <c r="M196" s="1382"/>
      <c r="N196" s="1382"/>
      <c r="O196" s="1382"/>
      <c r="P196" s="1382"/>
      <c r="Q196" s="1382"/>
      <c r="R196" s="1382"/>
      <c r="S196" s="1382"/>
      <c r="T196" s="1382"/>
      <c r="U196" s="1382"/>
      <c r="V196" s="1382"/>
      <c r="W196" s="1382"/>
      <c r="X196" s="1382"/>
      <c r="Y196" s="1382"/>
      <c r="Z196" s="1382"/>
      <c r="AA196" s="1382"/>
      <c r="AB196" s="1382"/>
      <c r="AC196" s="1382"/>
      <c r="AD196" s="1382"/>
      <c r="AE196" s="1382"/>
      <c r="AF196" s="1382"/>
      <c r="AG196" s="1382"/>
      <c r="AH196" s="1382"/>
      <c r="AI196" s="1382"/>
      <c r="AJ196" s="181"/>
      <c r="AK196" s="181"/>
      <c r="AL196" s="181"/>
      <c r="AM196" s="181"/>
      <c r="AN196" s="181"/>
      <c r="AO196" s="181"/>
      <c r="AP196" s="181"/>
      <c r="AQ196" s="181"/>
      <c r="AR196" s="181"/>
      <c r="AS196" s="181"/>
      <c r="AT196" s="181"/>
      <c r="AU196" s="181"/>
      <c r="AV196" s="181"/>
      <c r="AW196" s="181"/>
    </row>
    <row r="197" spans="1:49" s="30" customFormat="1" ht="15" hidden="1" customHeight="1" x14ac:dyDescent="0.25">
      <c r="A197" s="1408"/>
      <c r="B197" s="191"/>
      <c r="C197" s="921"/>
      <c r="D197" s="32"/>
      <c r="E197" s="415" t="str">
        <f>IF('C-Design&amp;Const'!$G197="","",'C-Design&amp;Const'!$G197)</f>
        <v>N</v>
      </c>
      <c r="F197" s="456"/>
      <c r="G197" s="457"/>
      <c r="H197" s="358" t="str">
        <f>CONCATENATE(IF(E197="N","PLACEHOLDER ROW - ",""),'C-Design&amp;Const'!Z197,IF(E197="N","",J197))</f>
        <v>PLACEHOLDER ROW - CUSTOM ROW - OPTIONAL CLIENT ITEM</v>
      </c>
      <c r="I197" s="193"/>
      <c r="J197" s="578" t="str">
        <f>IF('C-Design&amp;Const'!AD197="","",'C-Design&amp;Const'!AD197)</f>
        <v/>
      </c>
      <c r="K197" s="228"/>
      <c r="L197" s="1410" t="str">
        <f t="shared" si="5"/>
        <v>&lt;---PM/Planner may hide PLACEHOLDER ROW</v>
      </c>
      <c r="M197" s="1382"/>
      <c r="N197" s="1382"/>
      <c r="O197" s="1382"/>
      <c r="P197" s="1382"/>
      <c r="Q197" s="1382"/>
      <c r="R197" s="1382"/>
      <c r="S197" s="1382"/>
      <c r="T197" s="1382"/>
      <c r="U197" s="1382"/>
      <c r="V197" s="1382"/>
      <c r="W197" s="1382"/>
      <c r="X197" s="1382"/>
      <c r="Y197" s="1382"/>
      <c r="Z197" s="1382"/>
      <c r="AA197" s="1382"/>
      <c r="AB197" s="1382"/>
      <c r="AC197" s="1382"/>
      <c r="AD197" s="1382"/>
      <c r="AE197" s="1382"/>
      <c r="AF197" s="1382"/>
      <c r="AG197" s="1382"/>
      <c r="AH197" s="1382"/>
      <c r="AI197" s="1382"/>
      <c r="AJ197" s="181"/>
      <c r="AK197" s="181"/>
      <c r="AL197" s="181"/>
      <c r="AM197" s="181"/>
      <c r="AN197" s="181"/>
      <c r="AO197" s="181"/>
      <c r="AP197" s="181"/>
      <c r="AQ197" s="181"/>
      <c r="AR197" s="181"/>
      <c r="AS197" s="181"/>
      <c r="AT197" s="181"/>
      <c r="AU197" s="181"/>
      <c r="AV197" s="181"/>
      <c r="AW197" s="181"/>
    </row>
    <row r="198" spans="1:49" s="30" customFormat="1" ht="15" hidden="1" customHeight="1" x14ac:dyDescent="0.25">
      <c r="A198" s="1408"/>
      <c r="B198" s="191"/>
      <c r="C198" s="921"/>
      <c r="D198" s="32"/>
      <c r="E198" s="415" t="str">
        <f>IF('C-Design&amp;Const'!$G198="","",'C-Design&amp;Const'!$G198)</f>
        <v>N</v>
      </c>
      <c r="F198" s="456"/>
      <c r="G198" s="457"/>
      <c r="H198" s="358" t="str">
        <f>CONCATENATE(IF(E198="N","PLACEHOLDER ROW - ",""),'C-Design&amp;Const'!Z198,IF(E198="N","",J198))</f>
        <v>PLACEHOLDER ROW - CUSTOM ROW - OPTIONAL CLIENT ITEM</v>
      </c>
      <c r="I198" s="193"/>
      <c r="J198" s="578" t="str">
        <f>IF('C-Design&amp;Const'!AD198="","",'C-Design&amp;Const'!AD198)</f>
        <v/>
      </c>
      <c r="K198" s="228"/>
      <c r="L198" s="1410" t="str">
        <f t="shared" si="5"/>
        <v>&lt;---PM/Planner may hide PLACEHOLDER ROW</v>
      </c>
      <c r="M198" s="1382"/>
      <c r="N198" s="1382"/>
      <c r="O198" s="1382"/>
      <c r="P198" s="1382"/>
      <c r="Q198" s="1382"/>
      <c r="R198" s="1382"/>
      <c r="S198" s="1382"/>
      <c r="T198" s="1382"/>
      <c r="U198" s="1382"/>
      <c r="V198" s="1382"/>
      <c r="W198" s="1382"/>
      <c r="X198" s="1382"/>
      <c r="Y198" s="1382"/>
      <c r="Z198" s="1382"/>
      <c r="AA198" s="1382"/>
      <c r="AB198" s="1382"/>
      <c r="AC198" s="1382"/>
      <c r="AD198" s="1382"/>
      <c r="AE198" s="1382"/>
      <c r="AF198" s="1382"/>
      <c r="AG198" s="1382"/>
      <c r="AH198" s="1382"/>
      <c r="AI198" s="1382"/>
      <c r="AJ198" s="181"/>
      <c r="AK198" s="181"/>
      <c r="AL198" s="181"/>
      <c r="AM198" s="181"/>
      <c r="AN198" s="181"/>
      <c r="AO198" s="181"/>
      <c r="AP198" s="181"/>
      <c r="AQ198" s="181"/>
      <c r="AR198" s="181"/>
      <c r="AS198" s="181"/>
      <c r="AT198" s="181"/>
      <c r="AU198" s="181"/>
      <c r="AV198" s="181"/>
      <c r="AW198" s="181"/>
    </row>
    <row r="199" spans="1:49" s="30" customFormat="1" ht="15" hidden="1" customHeight="1" x14ac:dyDescent="0.25">
      <c r="A199" s="1408"/>
      <c r="B199" s="191"/>
      <c r="C199" s="921"/>
      <c r="D199" s="32"/>
      <c r="E199" s="415" t="str">
        <f>IF('C-Design&amp;Const'!$G199="","",'C-Design&amp;Const'!$G199)</f>
        <v>N</v>
      </c>
      <c r="F199" s="456"/>
      <c r="G199" s="457"/>
      <c r="H199" s="358" t="str">
        <f>CONCATENATE(IF(E199="N","PLACEHOLDER ROW - ",""),'C-Design&amp;Const'!Z199,IF(E199="N","",J199))</f>
        <v>PLACEHOLDER ROW - CUSTOM ROW - OPTIONAL CLIENT ITEM</v>
      </c>
      <c r="I199" s="193"/>
      <c r="J199" s="578" t="str">
        <f>IF('C-Design&amp;Const'!AD199="","",'C-Design&amp;Const'!AD199)</f>
        <v/>
      </c>
      <c r="K199" s="228"/>
      <c r="L199" s="1410" t="str">
        <f t="shared" si="5"/>
        <v>&lt;---PM/Planner may hide PLACEHOLDER ROW</v>
      </c>
      <c r="M199" s="1382"/>
      <c r="N199" s="1382"/>
      <c r="O199" s="1382"/>
      <c r="P199" s="1382"/>
      <c r="Q199" s="1382"/>
      <c r="R199" s="1382"/>
      <c r="S199" s="1382"/>
      <c r="T199" s="1382"/>
      <c r="U199" s="1382"/>
      <c r="V199" s="1382"/>
      <c r="W199" s="1382"/>
      <c r="X199" s="1382"/>
      <c r="Y199" s="1382"/>
      <c r="Z199" s="1382"/>
      <c r="AA199" s="1382"/>
      <c r="AB199" s="1382"/>
      <c r="AC199" s="1382"/>
      <c r="AD199" s="1382"/>
      <c r="AE199" s="1382"/>
      <c r="AF199" s="1382"/>
      <c r="AG199" s="1382"/>
      <c r="AH199" s="1382"/>
      <c r="AI199" s="1382"/>
      <c r="AJ199" s="181"/>
      <c r="AK199" s="181"/>
      <c r="AL199" s="181"/>
      <c r="AM199" s="181"/>
      <c r="AN199" s="181"/>
      <c r="AO199" s="181"/>
      <c r="AP199" s="181"/>
      <c r="AQ199" s="181"/>
      <c r="AR199" s="181"/>
      <c r="AS199" s="181"/>
      <c r="AT199" s="181"/>
      <c r="AU199" s="181"/>
      <c r="AV199" s="181"/>
      <c r="AW199" s="181"/>
    </row>
    <row r="200" spans="1:49" s="30" customFormat="1" ht="15" hidden="1" customHeight="1" x14ac:dyDescent="0.25">
      <c r="A200" s="1408"/>
      <c r="B200" s="191"/>
      <c r="C200" s="921"/>
      <c r="D200" s="32"/>
      <c r="E200" s="415" t="str">
        <f>IF('C-Design&amp;Const'!$G200="","",'C-Design&amp;Const'!$G200)</f>
        <v>N</v>
      </c>
      <c r="F200" s="456"/>
      <c r="G200" s="457"/>
      <c r="H200" s="358" t="str">
        <f>CONCATENATE(IF(E200="N","PLACEHOLDER ROW - ",""),'C-Design&amp;Const'!Z200,IF(E200="N","",J200))</f>
        <v>PLACEHOLDER ROW - CUSTOM ROW - OPTIONAL CLIENT ITEM</v>
      </c>
      <c r="I200" s="193"/>
      <c r="J200" s="578" t="str">
        <f>IF('C-Design&amp;Const'!AD200="","",'C-Design&amp;Const'!AD200)</f>
        <v/>
      </c>
      <c r="K200" s="228"/>
      <c r="L200" s="1410" t="str">
        <f t="shared" si="5"/>
        <v>&lt;---PM/Planner may hide PLACEHOLDER ROW</v>
      </c>
      <c r="M200" s="1382"/>
      <c r="N200" s="1382"/>
      <c r="O200" s="1382"/>
      <c r="P200" s="1382"/>
      <c r="Q200" s="1382"/>
      <c r="R200" s="1382"/>
      <c r="S200" s="1382"/>
      <c r="T200" s="1382"/>
      <c r="U200" s="1382"/>
      <c r="V200" s="1382"/>
      <c r="W200" s="1382"/>
      <c r="X200" s="1382"/>
      <c r="Y200" s="1382"/>
      <c r="Z200" s="1382"/>
      <c r="AA200" s="1382"/>
      <c r="AB200" s="1382"/>
      <c r="AC200" s="1382"/>
      <c r="AD200" s="1382"/>
      <c r="AE200" s="1382"/>
      <c r="AF200" s="1382"/>
      <c r="AG200" s="1382"/>
      <c r="AH200" s="1382"/>
      <c r="AI200" s="1382"/>
      <c r="AJ200" s="181"/>
      <c r="AK200" s="181"/>
      <c r="AL200" s="181"/>
      <c r="AM200" s="181"/>
      <c r="AN200" s="181"/>
      <c r="AO200" s="181"/>
      <c r="AP200" s="181"/>
      <c r="AQ200" s="181"/>
      <c r="AR200" s="181"/>
      <c r="AS200" s="181"/>
      <c r="AT200" s="181"/>
      <c r="AU200" s="181"/>
      <c r="AV200" s="181"/>
      <c r="AW200" s="181"/>
    </row>
    <row r="201" spans="1:49" s="30" customFormat="1" ht="15" hidden="1" customHeight="1" x14ac:dyDescent="0.25">
      <c r="A201" s="1408"/>
      <c r="B201" s="191"/>
      <c r="C201" s="921"/>
      <c r="D201" s="32"/>
      <c r="E201" s="415" t="str">
        <f>IF('C-Design&amp;Const'!$G201="","",'C-Design&amp;Const'!$G201)</f>
        <v>N</v>
      </c>
      <c r="F201" s="456"/>
      <c r="G201" s="457"/>
      <c r="H201" s="358" t="str">
        <f>CONCATENATE(IF(E201="N","PLACEHOLDER ROW - ",""),'C-Design&amp;Const'!Z201,IF(E201="N","",J201))</f>
        <v>PLACEHOLDER ROW - CUSTOM ROW - OPTIONAL CLIENT ITEM</v>
      </c>
      <c r="I201" s="193"/>
      <c r="J201" s="578" t="str">
        <f>IF('C-Design&amp;Const'!AD201="","",'C-Design&amp;Const'!AD201)</f>
        <v/>
      </c>
      <c r="K201" s="228"/>
      <c r="L201" s="1410" t="str">
        <f t="shared" si="5"/>
        <v>&lt;---PM/Planner may hide PLACEHOLDER ROW</v>
      </c>
      <c r="M201" s="1382"/>
      <c r="N201" s="1382"/>
      <c r="O201" s="1382"/>
      <c r="P201" s="1382"/>
      <c r="Q201" s="1382"/>
      <c r="R201" s="1382"/>
      <c r="S201" s="1382"/>
      <c r="T201" s="1382"/>
      <c r="U201" s="1382"/>
      <c r="V201" s="1382"/>
      <c r="W201" s="1382"/>
      <c r="X201" s="1382"/>
      <c r="Y201" s="1382"/>
      <c r="Z201" s="1382"/>
      <c r="AA201" s="1382"/>
      <c r="AB201" s="1382"/>
      <c r="AC201" s="1382"/>
      <c r="AD201" s="1382"/>
      <c r="AE201" s="1382"/>
      <c r="AF201" s="1382"/>
      <c r="AG201" s="1382"/>
      <c r="AH201" s="1382"/>
      <c r="AI201" s="1382"/>
      <c r="AJ201" s="181"/>
      <c r="AK201" s="181"/>
      <c r="AL201" s="181"/>
      <c r="AM201" s="181"/>
      <c r="AN201" s="181"/>
      <c r="AO201" s="181"/>
      <c r="AP201" s="181"/>
      <c r="AQ201" s="181"/>
      <c r="AR201" s="181"/>
      <c r="AS201" s="181"/>
      <c r="AT201" s="181"/>
      <c r="AU201" s="181"/>
      <c r="AV201" s="181"/>
      <c r="AW201" s="181"/>
    </row>
    <row r="202" spans="1:49" s="30" customFormat="1" ht="15" hidden="1" customHeight="1" x14ac:dyDescent="0.25">
      <c r="A202" s="1408"/>
      <c r="B202" s="191"/>
      <c r="C202" s="921"/>
      <c r="D202" s="32"/>
      <c r="E202" s="415" t="str">
        <f>IF('C-Design&amp;Const'!$G202="","",'C-Design&amp;Const'!$G202)</f>
        <v>N</v>
      </c>
      <c r="F202" s="456"/>
      <c r="G202" s="457"/>
      <c r="H202" s="358" t="str">
        <f>CONCATENATE(IF(E202="N","PLACEHOLDER ROW - ",""),'C-Design&amp;Const'!Z202,IF(E202="N","",J202))</f>
        <v>PLACEHOLDER ROW - CUSTOM ROW - OPTIONAL CLIENT ITEM</v>
      </c>
      <c r="I202" s="193"/>
      <c r="J202" s="578" t="str">
        <f>IF('C-Design&amp;Const'!AD202="","",'C-Design&amp;Const'!AD202)</f>
        <v/>
      </c>
      <c r="K202" s="228"/>
      <c r="L202" s="1410" t="str">
        <f t="shared" si="5"/>
        <v>&lt;---PM/Planner may hide PLACEHOLDER ROW</v>
      </c>
      <c r="M202" s="1382"/>
      <c r="N202" s="1382"/>
      <c r="O202" s="1382"/>
      <c r="P202" s="1382"/>
      <c r="Q202" s="1382"/>
      <c r="R202" s="1382"/>
      <c r="S202" s="1382"/>
      <c r="T202" s="1382"/>
      <c r="U202" s="1382"/>
      <c r="V202" s="1382"/>
      <c r="W202" s="1382"/>
      <c r="X202" s="1382"/>
      <c r="Y202" s="1382"/>
      <c r="Z202" s="1382"/>
      <c r="AA202" s="1382"/>
      <c r="AB202" s="1382"/>
      <c r="AC202" s="1382"/>
      <c r="AD202" s="1382"/>
      <c r="AE202" s="1382"/>
      <c r="AF202" s="1382"/>
      <c r="AG202" s="1382"/>
      <c r="AH202" s="1382"/>
      <c r="AI202" s="1382"/>
      <c r="AJ202" s="181"/>
      <c r="AK202" s="181"/>
      <c r="AL202" s="181"/>
      <c r="AM202" s="181"/>
      <c r="AN202" s="181"/>
      <c r="AO202" s="181"/>
      <c r="AP202" s="181"/>
      <c r="AQ202" s="181"/>
      <c r="AR202" s="181"/>
      <c r="AS202" s="181"/>
      <c r="AT202" s="181"/>
      <c r="AU202" s="181"/>
      <c r="AV202" s="181"/>
      <c r="AW202" s="181"/>
    </row>
    <row r="203" spans="1:49" s="30" customFormat="1" ht="15" hidden="1" customHeight="1" x14ac:dyDescent="0.25">
      <c r="A203" s="1408"/>
      <c r="B203" s="191"/>
      <c r="C203" s="921"/>
      <c r="D203" s="32"/>
      <c r="E203" s="415" t="str">
        <f>IF('C-Design&amp;Const'!$G203="","",'C-Design&amp;Const'!$G203)</f>
        <v>N</v>
      </c>
      <c r="F203" s="456"/>
      <c r="G203" s="457"/>
      <c r="H203" s="358" t="str">
        <f>CONCATENATE(IF(E203="N","PLACEHOLDER ROW - ",""),'C-Design&amp;Const'!Z203,IF(E203="N","",J203))</f>
        <v>PLACEHOLDER ROW - CUSTOM ROW - OPTIONAL CLIENT ITEM</v>
      </c>
      <c r="I203" s="193"/>
      <c r="J203" s="578" t="str">
        <f>IF('C-Design&amp;Const'!AD203="","",'C-Design&amp;Const'!AD203)</f>
        <v/>
      </c>
      <c r="K203" s="228"/>
      <c r="L203" s="1410" t="str">
        <f t="shared" si="5"/>
        <v>&lt;---PM/Planner may hide PLACEHOLDER ROW</v>
      </c>
      <c r="M203" s="1382"/>
      <c r="N203" s="1382"/>
      <c r="O203" s="1382"/>
      <c r="P203" s="1382"/>
      <c r="Q203" s="1382"/>
      <c r="R203" s="1382"/>
      <c r="S203" s="1382"/>
      <c r="T203" s="1382"/>
      <c r="U203" s="1382"/>
      <c r="V203" s="1382"/>
      <c r="W203" s="1382"/>
      <c r="X203" s="1382"/>
      <c r="Y203" s="1382"/>
      <c r="Z203" s="1382"/>
      <c r="AA203" s="1382"/>
      <c r="AB203" s="1382"/>
      <c r="AC203" s="1382"/>
      <c r="AD203" s="1382"/>
      <c r="AE203" s="1382"/>
      <c r="AF203" s="1382"/>
      <c r="AG203" s="1382"/>
      <c r="AH203" s="1382"/>
      <c r="AI203" s="1382"/>
      <c r="AJ203" s="181"/>
      <c r="AK203" s="181"/>
      <c r="AL203" s="181"/>
      <c r="AM203" s="181"/>
      <c r="AN203" s="181"/>
      <c r="AO203" s="181"/>
      <c r="AP203" s="181"/>
      <c r="AQ203" s="181"/>
      <c r="AR203" s="181"/>
      <c r="AS203" s="181"/>
      <c r="AT203" s="181"/>
      <c r="AU203" s="181"/>
      <c r="AV203" s="181"/>
      <c r="AW203" s="181"/>
    </row>
    <row r="204" spans="1:49" s="30" customFormat="1" ht="15" hidden="1" customHeight="1" x14ac:dyDescent="0.25">
      <c r="A204" s="1408"/>
      <c r="B204" s="191"/>
      <c r="C204" s="921"/>
      <c r="D204" s="32"/>
      <c r="E204" s="415" t="str">
        <f>IF('C-Design&amp;Const'!$G204="","",'C-Design&amp;Const'!$G204)</f>
        <v>N</v>
      </c>
      <c r="F204" s="456"/>
      <c r="G204" s="457"/>
      <c r="H204" s="358" t="str">
        <f>CONCATENATE(IF(E204="N","PLACEHOLDER ROW - ",""),'C-Design&amp;Const'!Z204,IF(E204="N","",J204))</f>
        <v>PLACEHOLDER ROW - CUSTOM ROW - OPTIONAL CLIENT ITEM</v>
      </c>
      <c r="I204" s="193"/>
      <c r="J204" s="578" t="str">
        <f>IF('C-Design&amp;Const'!AD204="","",'C-Design&amp;Const'!AD204)</f>
        <v/>
      </c>
      <c r="K204" s="228"/>
      <c r="L204" s="1410" t="str">
        <f t="shared" si="5"/>
        <v>&lt;---PM/Planner may hide PLACEHOLDER ROW</v>
      </c>
      <c r="M204" s="1382"/>
      <c r="N204" s="1382"/>
      <c r="O204" s="1382"/>
      <c r="P204" s="1382"/>
      <c r="Q204" s="1382"/>
      <c r="R204" s="1382"/>
      <c r="S204" s="1382"/>
      <c r="T204" s="1382"/>
      <c r="U204" s="1382"/>
      <c r="V204" s="1382"/>
      <c r="W204" s="1382"/>
      <c r="X204" s="1382"/>
      <c r="Y204" s="1382"/>
      <c r="Z204" s="1382"/>
      <c r="AA204" s="1382"/>
      <c r="AB204" s="1382"/>
      <c r="AC204" s="1382"/>
      <c r="AD204" s="1382"/>
      <c r="AE204" s="1382"/>
      <c r="AF204" s="1382"/>
      <c r="AG204" s="1382"/>
      <c r="AH204" s="1382"/>
      <c r="AI204" s="1382"/>
      <c r="AJ204" s="181"/>
      <c r="AK204" s="181"/>
      <c r="AL204" s="181"/>
      <c r="AM204" s="181"/>
      <c r="AN204" s="181"/>
      <c r="AO204" s="181"/>
      <c r="AP204" s="181"/>
      <c r="AQ204" s="181"/>
      <c r="AR204" s="181"/>
      <c r="AS204" s="181"/>
      <c r="AT204" s="181"/>
      <c r="AU204" s="181"/>
      <c r="AV204" s="181"/>
      <c r="AW204" s="181"/>
    </row>
    <row r="205" spans="1:49" s="30" customFormat="1" ht="18.75" x14ac:dyDescent="0.25">
      <c r="A205" s="1407"/>
      <c r="B205" s="191"/>
      <c r="C205" s="921"/>
      <c r="D205" s="32"/>
      <c r="E205" s="411"/>
      <c r="F205" s="411"/>
      <c r="G205" s="208"/>
      <c r="H205" s="411"/>
      <c r="I205" s="186"/>
      <c r="J205" s="578" t="str">
        <f>IF('C-Design&amp;Const'!AD205="","",'C-Design&amp;Const'!AD205)</f>
        <v/>
      </c>
      <c r="K205" s="228"/>
      <c r="L205" s="1410" t="str">
        <f t="shared" si="5"/>
        <v/>
      </c>
      <c r="M205" s="1382"/>
      <c r="N205" s="1382"/>
      <c r="O205" s="1382"/>
      <c r="P205" s="1382"/>
      <c r="Q205" s="1382"/>
      <c r="R205" s="1382"/>
      <c r="S205" s="1382"/>
      <c r="T205" s="1382"/>
      <c r="U205" s="1382"/>
      <c r="V205" s="1382"/>
      <c r="W205" s="1382"/>
      <c r="X205" s="1382"/>
      <c r="Y205" s="1382"/>
      <c r="Z205" s="1382"/>
      <c r="AA205" s="1382"/>
      <c r="AB205" s="1382"/>
      <c r="AC205" s="1382"/>
      <c r="AD205" s="1382"/>
      <c r="AE205" s="1382"/>
      <c r="AF205" s="1382"/>
      <c r="AG205" s="1382"/>
      <c r="AH205" s="1382"/>
      <c r="AI205" s="1382"/>
      <c r="AJ205" s="181"/>
      <c r="AK205" s="181"/>
      <c r="AL205" s="181"/>
      <c r="AM205" s="181"/>
      <c r="AN205" s="181"/>
      <c r="AO205" s="181"/>
      <c r="AP205" s="181"/>
      <c r="AQ205" s="181"/>
      <c r="AR205" s="181"/>
      <c r="AS205" s="181"/>
      <c r="AT205" s="181"/>
      <c r="AU205" s="181"/>
      <c r="AV205" s="181"/>
      <c r="AW205" s="181"/>
    </row>
    <row r="206" spans="1:49" s="30" customFormat="1" ht="18.75" x14ac:dyDescent="0.25">
      <c r="A206" s="1407"/>
      <c r="B206" s="191"/>
      <c r="C206" s="915"/>
      <c r="D206" s="52" t="str">
        <f>IF('C-Design&amp;Const'!$G206="","",'C-Design&amp;Const'!$G206)</f>
        <v>N</v>
      </c>
      <c r="E206" s="234"/>
      <c r="F206" s="235"/>
      <c r="G206" s="291" t="str">
        <f>IF('C-Design&amp;Const'!Y206="","",'C-Design&amp;Const'!Y206)</f>
        <v>07a.</v>
      </c>
      <c r="H206" s="290" t="str">
        <f>(CONCATENATE('C-Design&amp;Const'!Z206,IF(D206="N"," Not Used In This Design Phase",J206)))</f>
        <v>Drawing Set Not Used In This Design Phase</v>
      </c>
      <c r="I206" s="184"/>
      <c r="J206" s="578" t="str">
        <f>IF('C-Design&amp;Const'!AD206="","",'C-Design&amp;Const'!AD206)</f>
        <v/>
      </c>
      <c r="K206" s="228"/>
      <c r="L206" s="1410" t="str">
        <f t="shared" si="5"/>
        <v/>
      </c>
      <c r="M206" s="1382"/>
      <c r="N206" s="1382"/>
      <c r="O206" s="1382"/>
      <c r="P206" s="1382"/>
      <c r="Q206" s="1382"/>
      <c r="R206" s="1382"/>
      <c r="S206" s="1382"/>
      <c r="T206" s="1382"/>
      <c r="U206" s="1382"/>
      <c r="V206" s="1382"/>
      <c r="W206" s="1382"/>
      <c r="X206" s="1382"/>
      <c r="Y206" s="1382"/>
      <c r="Z206" s="1382"/>
      <c r="AA206" s="1382"/>
      <c r="AB206" s="1382"/>
      <c r="AC206" s="1382"/>
      <c r="AD206" s="1382"/>
      <c r="AE206" s="1382"/>
      <c r="AF206" s="1382"/>
      <c r="AG206" s="1382"/>
      <c r="AH206" s="1382"/>
      <c r="AI206" s="1382"/>
      <c r="AJ206" s="181"/>
      <c r="AK206" s="181"/>
      <c r="AL206" s="181"/>
      <c r="AM206" s="181"/>
      <c r="AN206" s="181"/>
      <c r="AO206" s="181"/>
      <c r="AP206" s="181"/>
      <c r="AQ206" s="181"/>
      <c r="AR206" s="181"/>
      <c r="AS206" s="181"/>
      <c r="AT206" s="181"/>
      <c r="AU206" s="181"/>
      <c r="AV206" s="181"/>
      <c r="AW206" s="181"/>
    </row>
    <row r="207" spans="1:49" s="30" customFormat="1" ht="15" hidden="1" customHeight="1" x14ac:dyDescent="0.25">
      <c r="A207" s="1407"/>
      <c r="B207" s="191"/>
      <c r="C207" s="945"/>
      <c r="D207" s="10"/>
      <c r="E207" s="467"/>
      <c r="F207" s="559" t="str">
        <f>IF('C-Design&amp;Const'!$G207="","",'C-Design&amp;Const'!$G207)</f>
        <v>N</v>
      </c>
      <c r="G207" s="291"/>
      <c r="H207" s="469" t="str">
        <f>CONCATENATE(IF(F207="N","PLACEHOLDER ROW - ",""),'C-Design&amp;Const'!Z207,IF(F207="N","",J207))</f>
        <v xml:space="preserve">PLACEHOLDER ROW - Title Sheet </v>
      </c>
      <c r="I207" s="184"/>
      <c r="J207" s="578" t="str">
        <f>IF('C-Design&amp;Const'!AD207="","",'C-Design&amp;Const'!AD207)</f>
        <v>(Preliminary)</v>
      </c>
      <c r="K207" s="228"/>
      <c r="L207" s="1410" t="str">
        <f t="shared" si="5"/>
        <v>&lt;---PM/Planner may hide PLACEHOLDER ROW</v>
      </c>
      <c r="M207" s="1382"/>
      <c r="N207" s="1382"/>
      <c r="O207" s="1382"/>
      <c r="P207" s="1382"/>
      <c r="Q207" s="1382"/>
      <c r="R207" s="1382"/>
      <c r="S207" s="1382"/>
      <c r="T207" s="1382"/>
      <c r="U207" s="1382"/>
      <c r="V207" s="1382"/>
      <c r="W207" s="1382"/>
      <c r="X207" s="1382"/>
      <c r="Y207" s="1382"/>
      <c r="Z207" s="1382"/>
      <c r="AA207" s="1382"/>
      <c r="AB207" s="1382"/>
      <c r="AC207" s="1382"/>
      <c r="AD207" s="1382"/>
      <c r="AE207" s="1382"/>
      <c r="AF207" s="1382"/>
      <c r="AG207" s="1382"/>
      <c r="AH207" s="1382"/>
      <c r="AI207" s="1382"/>
      <c r="AJ207" s="181"/>
      <c r="AK207" s="181"/>
      <c r="AL207" s="181"/>
      <c r="AM207" s="181"/>
      <c r="AN207" s="181"/>
      <c r="AO207" s="181"/>
      <c r="AP207" s="181"/>
      <c r="AQ207" s="181"/>
      <c r="AR207" s="181"/>
      <c r="AS207" s="181"/>
      <c r="AT207" s="181"/>
      <c r="AU207" s="181"/>
      <c r="AV207" s="181"/>
      <c r="AW207" s="181"/>
    </row>
    <row r="208" spans="1:49" s="30" customFormat="1" ht="15" hidden="1" customHeight="1" x14ac:dyDescent="0.25">
      <c r="A208" s="1407"/>
      <c r="B208" s="191"/>
      <c r="C208" s="945"/>
      <c r="D208" s="10"/>
      <c r="E208" s="467"/>
      <c r="F208" s="559" t="str">
        <f>IF('C-Design&amp;Const'!$G208="","",'C-Design&amp;Const'!$G208)</f>
        <v>N</v>
      </c>
      <c r="G208" s="291"/>
      <c r="H208" s="469" t="str">
        <f>CONCATENATE(IF(F208="N","PLACEHOLDER ROW - ",""),'C-Design&amp;Const'!Z208,IF(F208="N","",J208))</f>
        <v xml:space="preserve">PLACEHOLDER ROW - Code Compliance </v>
      </c>
      <c r="I208" s="184"/>
      <c r="J208" s="578" t="str">
        <f>IF('C-Design&amp;Const'!AD208="","",'C-Design&amp;Const'!AD208)</f>
        <v>(Preliminary)</v>
      </c>
      <c r="K208" s="228"/>
      <c r="L208" s="1410" t="str">
        <f t="shared" si="5"/>
        <v>&lt;---PM/Planner may hide PLACEHOLDER ROW</v>
      </c>
      <c r="M208" s="1382"/>
      <c r="N208" s="1382"/>
      <c r="O208" s="1382"/>
      <c r="P208" s="1382"/>
      <c r="Q208" s="1382"/>
      <c r="R208" s="1382"/>
      <c r="S208" s="1382"/>
      <c r="T208" s="1382"/>
      <c r="U208" s="1382"/>
      <c r="V208" s="1382"/>
      <c r="W208" s="1382"/>
      <c r="X208" s="1382"/>
      <c r="Y208" s="1382"/>
      <c r="Z208" s="1382"/>
      <c r="AA208" s="1382"/>
      <c r="AB208" s="1382"/>
      <c r="AC208" s="1382"/>
      <c r="AD208" s="1382"/>
      <c r="AE208" s="1382"/>
      <c r="AF208" s="1382"/>
      <c r="AG208" s="1382"/>
      <c r="AH208" s="1382"/>
      <c r="AI208" s="1382"/>
      <c r="AJ208" s="181"/>
      <c r="AK208" s="181"/>
      <c r="AL208" s="181"/>
      <c r="AM208" s="181"/>
      <c r="AN208" s="181"/>
      <c r="AO208" s="181"/>
      <c r="AP208" s="181"/>
      <c r="AQ208" s="181"/>
      <c r="AR208" s="181"/>
      <c r="AS208" s="181"/>
      <c r="AT208" s="181"/>
      <c r="AU208" s="181"/>
      <c r="AV208" s="181"/>
      <c r="AW208" s="181"/>
    </row>
    <row r="209" spans="1:49" s="30" customFormat="1" ht="15" hidden="1" customHeight="1" x14ac:dyDescent="0.25">
      <c r="A209" s="1407"/>
      <c r="B209" s="191"/>
      <c r="C209" s="945"/>
      <c r="D209" s="10"/>
      <c r="E209" s="467"/>
      <c r="F209" s="559" t="str">
        <f>IF('C-Design&amp;Const'!$G209="","",'C-Design&amp;Const'!$G209)</f>
        <v>N</v>
      </c>
      <c r="G209" s="291"/>
      <c r="H209" s="469" t="str">
        <f>CONCATENATE(IF(F209="N","PLACEHOLDER ROW - ",""),'C-Design&amp;Const'!Z209,IF(F209="N","",J209))</f>
        <v xml:space="preserve">PLACEHOLDER ROW - Life Safety </v>
      </c>
      <c r="I209" s="184"/>
      <c r="J209" s="578" t="str">
        <f>IF('C-Design&amp;Const'!AD209="","",'C-Design&amp;Const'!AD209)</f>
        <v>(Preliminary)</v>
      </c>
      <c r="K209" s="228"/>
      <c r="L209" s="1410" t="str">
        <f t="shared" si="5"/>
        <v>&lt;---PM/Planner may hide PLACEHOLDER ROW</v>
      </c>
      <c r="M209" s="1382"/>
      <c r="N209" s="1382"/>
      <c r="O209" s="1382"/>
      <c r="P209" s="1382"/>
      <c r="Q209" s="1382"/>
      <c r="R209" s="1382"/>
      <c r="S209" s="1382"/>
      <c r="T209" s="1382"/>
      <c r="U209" s="1382"/>
      <c r="V209" s="1382"/>
      <c r="W209" s="1382"/>
      <c r="X209" s="1382"/>
      <c r="Y209" s="1382"/>
      <c r="Z209" s="1382"/>
      <c r="AA209" s="1382"/>
      <c r="AB209" s="1382"/>
      <c r="AC209" s="1382"/>
      <c r="AD209" s="1382"/>
      <c r="AE209" s="1382"/>
      <c r="AF209" s="1382"/>
      <c r="AG209" s="1382"/>
      <c r="AH209" s="1382"/>
      <c r="AI209" s="1382"/>
      <c r="AJ209" s="181"/>
      <c r="AK209" s="181"/>
      <c r="AL209" s="181"/>
      <c r="AM209" s="181"/>
      <c r="AN209" s="181"/>
      <c r="AO209" s="181"/>
      <c r="AP209" s="181"/>
      <c r="AQ209" s="181"/>
      <c r="AR209" s="181"/>
      <c r="AS209" s="181"/>
      <c r="AT209" s="181"/>
      <c r="AU209" s="181"/>
      <c r="AV209" s="181"/>
      <c r="AW209" s="181"/>
    </row>
    <row r="210" spans="1:49" s="30" customFormat="1" ht="15" hidden="1" customHeight="1" x14ac:dyDescent="0.25">
      <c r="A210" s="1407"/>
      <c r="B210" s="191"/>
      <c r="C210" s="945"/>
      <c r="D210" s="10"/>
      <c r="E210" s="467"/>
      <c r="F210" s="559" t="str">
        <f>IF('C-Design&amp;Const'!$G210="","",'C-Design&amp;Const'!$G210)</f>
        <v>N</v>
      </c>
      <c r="G210" s="291"/>
      <c r="H210" s="469" t="str">
        <f>CONCATENATE(IF(F210="N","PLACEHOLDER ROW - ",""),'C-Design&amp;Const'!Z210,IF(F210="N","",J210))</f>
        <v xml:space="preserve">PLACEHOLDER ROW - General Project Info </v>
      </c>
      <c r="I210" s="184"/>
      <c r="J210" s="578" t="str">
        <f>IF('C-Design&amp;Const'!AD210="","",'C-Design&amp;Const'!AD210)</f>
        <v>(Preliminary)</v>
      </c>
      <c r="K210" s="228"/>
      <c r="L210" s="1410" t="str">
        <f t="shared" si="5"/>
        <v>&lt;---PM/Planner may hide PLACEHOLDER ROW</v>
      </c>
      <c r="M210" s="1382"/>
      <c r="N210" s="1382"/>
      <c r="O210" s="1382"/>
      <c r="P210" s="1382"/>
      <c r="Q210" s="1382"/>
      <c r="R210" s="1382"/>
      <c r="S210" s="1382"/>
      <c r="T210" s="1382"/>
      <c r="U210" s="1382"/>
      <c r="V210" s="1382"/>
      <c r="W210" s="1382"/>
      <c r="X210" s="1382"/>
      <c r="Y210" s="1382"/>
      <c r="Z210" s="1382"/>
      <c r="AA210" s="1382"/>
      <c r="AB210" s="1382"/>
      <c r="AC210" s="1382"/>
      <c r="AD210" s="1382"/>
      <c r="AE210" s="1382"/>
      <c r="AF210" s="1382"/>
      <c r="AG210" s="1382"/>
      <c r="AH210" s="1382"/>
      <c r="AI210" s="1382"/>
      <c r="AJ210" s="181"/>
      <c r="AK210" s="181"/>
      <c r="AL210" s="181"/>
      <c r="AM210" s="181"/>
      <c r="AN210" s="181"/>
      <c r="AO210" s="181"/>
      <c r="AP210" s="181"/>
      <c r="AQ210" s="181"/>
      <c r="AR210" s="181"/>
      <c r="AS210" s="181"/>
      <c r="AT210" s="181"/>
      <c r="AU210" s="181"/>
      <c r="AV210" s="181"/>
      <c r="AW210" s="181"/>
    </row>
    <row r="211" spans="1:49" s="545" customFormat="1" ht="15" hidden="1" customHeight="1" x14ac:dyDescent="0.25">
      <c r="A211" s="1407"/>
      <c r="B211" s="554"/>
      <c r="C211" s="945"/>
      <c r="D211" s="116"/>
      <c r="E211" s="559" t="str">
        <f>IF('C-Design&amp;Const'!$G212="","",'C-Design&amp;Const'!$G212)</f>
        <v>N</v>
      </c>
      <c r="F211" s="470"/>
      <c r="G211" s="459"/>
      <c r="H211" s="244" t="str">
        <f>CONCATENATE(IF(F211="N","PLACEHOLDER ROW - ",""),'C-Design&amp;Const'!Z211,IF(F211="N","",J211))</f>
        <v>Asbestos, Lead Based Paint, &amp; Hazardous Materials Drawings(Preliminary)</v>
      </c>
      <c r="I211" s="193"/>
      <c r="J211" s="578" t="str">
        <f>IF('C-Design&amp;Const'!AD212="","",'C-Design&amp;Const'!AD212)</f>
        <v>(Preliminary)</v>
      </c>
      <c r="K211" s="228"/>
      <c r="L211" s="1410" t="str">
        <f t="shared" ref="L211" si="6">CONCATENATE(IF(ISNUMBER(SEARCH("Placeholder",H211))=TRUE,"&lt;---PM/Planner may hide PLACEHOLDER ROW",""))</f>
        <v/>
      </c>
      <c r="M211" s="1382"/>
      <c r="N211" s="1382"/>
      <c r="O211" s="1382"/>
      <c r="P211" s="1382"/>
      <c r="Q211" s="1382"/>
      <c r="R211" s="1382"/>
      <c r="S211" s="1382"/>
      <c r="T211" s="1382"/>
      <c r="U211" s="1382"/>
      <c r="V211" s="1382"/>
      <c r="W211" s="1382"/>
      <c r="X211" s="1382"/>
      <c r="Y211" s="1382"/>
      <c r="Z211" s="1382"/>
      <c r="AA211" s="1382"/>
      <c r="AB211" s="1382"/>
      <c r="AC211" s="1382"/>
      <c r="AD211" s="1382"/>
      <c r="AE211" s="1382"/>
      <c r="AF211" s="1382"/>
      <c r="AG211" s="1382"/>
      <c r="AH211" s="1382"/>
      <c r="AI211" s="1382"/>
      <c r="AJ211" s="551"/>
      <c r="AK211" s="551"/>
      <c r="AL211" s="551"/>
      <c r="AM211" s="551"/>
      <c r="AN211" s="551"/>
      <c r="AO211" s="551"/>
      <c r="AP211" s="551"/>
      <c r="AQ211" s="551"/>
      <c r="AR211" s="551"/>
      <c r="AS211" s="551"/>
      <c r="AT211" s="551"/>
      <c r="AU211" s="551"/>
      <c r="AV211" s="551"/>
      <c r="AW211" s="551"/>
    </row>
    <row r="212" spans="1:49" s="545" customFormat="1" ht="15" hidden="1" customHeight="1" x14ac:dyDescent="0.25">
      <c r="A212" s="1407"/>
      <c r="B212" s="554"/>
      <c r="C212" s="945"/>
      <c r="D212" s="116"/>
      <c r="E212" s="466"/>
      <c r="F212" s="559" t="str">
        <f>IF('C-Design&amp;Const'!$G212="","",'C-Design&amp;Const'!$G212)</f>
        <v>N</v>
      </c>
      <c r="G212" s="459"/>
      <c r="H212" s="469" t="str">
        <f>CONCATENATE(IF(F212="N","PLACEHOLDER ROW - ",""),'C-Design&amp;Const'!Z212,IF(F212="N","",J212))</f>
        <v>PLACEHOLDER ROW - CUSTOM - Asbestos</v>
      </c>
      <c r="I212" s="193"/>
      <c r="J212" s="578" t="str">
        <f>IF('C-Design&amp;Const'!AD213="","",'C-Design&amp;Const'!AD213)</f>
        <v>(Preliminary)</v>
      </c>
      <c r="K212" s="228"/>
      <c r="L212" s="1410" t="str">
        <f>CONCATENATE(IF(ISNUMBER(SEARCH("Placeholder",H212))=TRUE,"&lt;---PM/Planner may hide PLACEHOLDER ROW",""))</f>
        <v>&lt;---PM/Planner may hide PLACEHOLDER ROW</v>
      </c>
      <c r="M212" s="1382"/>
      <c r="N212" s="1382"/>
      <c r="O212" s="1382"/>
      <c r="P212" s="1382"/>
      <c r="Q212" s="1382"/>
      <c r="R212" s="1382"/>
      <c r="S212" s="1382"/>
      <c r="T212" s="1382"/>
      <c r="U212" s="1382"/>
      <c r="V212" s="1382"/>
      <c r="W212" s="1382"/>
      <c r="X212" s="1382"/>
      <c r="Y212" s="1382"/>
      <c r="Z212" s="1382"/>
      <c r="AA212" s="1382"/>
      <c r="AB212" s="1382"/>
      <c r="AC212" s="1382"/>
      <c r="AD212" s="1382"/>
      <c r="AE212" s="1382"/>
      <c r="AF212" s="1382"/>
      <c r="AG212" s="1382"/>
      <c r="AH212" s="1382"/>
      <c r="AI212" s="1382"/>
      <c r="AJ212" s="551"/>
      <c r="AK212" s="551"/>
      <c r="AL212" s="551"/>
      <c r="AM212" s="551"/>
      <c r="AN212" s="551"/>
      <c r="AO212" s="551"/>
      <c r="AP212" s="551"/>
      <c r="AQ212" s="551"/>
      <c r="AR212" s="551"/>
      <c r="AS212" s="551"/>
      <c r="AT212" s="551"/>
      <c r="AU212" s="551"/>
      <c r="AV212" s="551"/>
      <c r="AW212" s="551"/>
    </row>
    <row r="213" spans="1:49" s="545" customFormat="1" ht="15" hidden="1" customHeight="1" x14ac:dyDescent="0.25">
      <c r="A213" s="1407"/>
      <c r="B213" s="554"/>
      <c r="C213" s="945"/>
      <c r="D213" s="116"/>
      <c r="E213" s="466"/>
      <c r="F213" s="559" t="str">
        <f>IF('C-Design&amp;Const'!$G213="","",'C-Design&amp;Const'!$G213)</f>
        <v>N</v>
      </c>
      <c r="G213" s="459"/>
      <c r="H213" s="469" t="str">
        <f>CONCATENATE(IF(F213="N","PLACEHOLDER ROW - ",""),'C-Design&amp;Const'!Z213,IF(F213="N","",J213))</f>
        <v xml:space="preserve">PLACEHOLDER ROW - Asbestos Removal, Remediation, Containment </v>
      </c>
      <c r="I213" s="193"/>
      <c r="J213" s="578" t="str">
        <f>IF('C-Design&amp;Const'!AD214="","",'C-Design&amp;Const'!AD214)</f>
        <v>(Preliminary)</v>
      </c>
      <c r="K213" s="228"/>
      <c r="L213" s="1410" t="str">
        <f>CONCATENATE(IF(ISNUMBER(SEARCH("Placeholder",H213))=TRUE,"&lt;---PM/Planner may hide PLACEHOLDER ROW",""))</f>
        <v>&lt;---PM/Planner may hide PLACEHOLDER ROW</v>
      </c>
      <c r="M213" s="1382"/>
      <c r="N213" s="1382"/>
      <c r="O213" s="1382"/>
      <c r="P213" s="1382"/>
      <c r="Q213" s="1382"/>
      <c r="R213" s="1382"/>
      <c r="S213" s="1382"/>
      <c r="T213" s="1382"/>
      <c r="U213" s="1382"/>
      <c r="V213" s="1382"/>
      <c r="W213" s="1382"/>
      <c r="X213" s="1382"/>
      <c r="Y213" s="1382"/>
      <c r="Z213" s="1382"/>
      <c r="AA213" s="1382"/>
      <c r="AB213" s="1382"/>
      <c r="AC213" s="1382"/>
      <c r="AD213" s="1382"/>
      <c r="AE213" s="1382"/>
      <c r="AF213" s="1382"/>
      <c r="AG213" s="1382"/>
      <c r="AH213" s="1382"/>
      <c r="AI213" s="1382"/>
      <c r="AJ213" s="551"/>
      <c r="AK213" s="551"/>
      <c r="AL213" s="551"/>
      <c r="AM213" s="551"/>
      <c r="AN213" s="551"/>
      <c r="AO213" s="551"/>
      <c r="AP213" s="551"/>
      <c r="AQ213" s="551"/>
      <c r="AR213" s="551"/>
      <c r="AS213" s="551"/>
      <c r="AT213" s="551"/>
      <c r="AU213" s="551"/>
      <c r="AV213" s="551"/>
      <c r="AW213" s="551"/>
    </row>
    <row r="214" spans="1:49" s="545" customFormat="1" ht="15" hidden="1" customHeight="1" x14ac:dyDescent="0.25">
      <c r="A214" s="1407"/>
      <c r="B214" s="554"/>
      <c r="C214" s="945"/>
      <c r="D214" s="116"/>
      <c r="E214" s="466"/>
      <c r="F214" s="559" t="str">
        <f>IF('C-Design&amp;Const'!$G214="","",'C-Design&amp;Const'!$G214)</f>
        <v>N</v>
      </c>
      <c r="G214" s="459"/>
      <c r="H214" s="469" t="str">
        <f>CONCATENATE(IF(F214="N","PLACEHOLDER ROW - ",""),'C-Design&amp;Const'!Z214,IF(F214="N","",J214))</f>
        <v>PLACEHOLDER ROW - CUSTOM - Lead Based Paint</v>
      </c>
      <c r="I214" s="193"/>
      <c r="J214" s="578" t="str">
        <f>IF('C-Design&amp;Const'!AD215="","",'C-Design&amp;Const'!AD215)</f>
        <v>(Preliminary)</v>
      </c>
      <c r="K214" s="228"/>
      <c r="L214" s="1410" t="str">
        <f t="shared" ref="L214:L216" si="7">CONCATENATE(IF(ISNUMBER(SEARCH("Placeholder",H214))=TRUE,"&lt;---PM/Planner may hide PLACEHOLDER ROW",""))</f>
        <v>&lt;---PM/Planner may hide PLACEHOLDER ROW</v>
      </c>
      <c r="M214" s="1382"/>
      <c r="N214" s="1382"/>
      <c r="O214" s="1382"/>
      <c r="P214" s="1382"/>
      <c r="Q214" s="1382"/>
      <c r="R214" s="1382"/>
      <c r="S214" s="1382"/>
      <c r="T214" s="1382"/>
      <c r="U214" s="1382"/>
      <c r="V214" s="1382"/>
      <c r="W214" s="1382"/>
      <c r="X214" s="1382"/>
      <c r="Y214" s="1382"/>
      <c r="Z214" s="1382"/>
      <c r="AA214" s="1382"/>
      <c r="AB214" s="1382"/>
      <c r="AC214" s="1382"/>
      <c r="AD214" s="1382"/>
      <c r="AE214" s="1382"/>
      <c r="AF214" s="1382"/>
      <c r="AG214" s="1382"/>
      <c r="AH214" s="1382"/>
      <c r="AI214" s="1382"/>
      <c r="AJ214" s="551"/>
      <c r="AK214" s="551"/>
      <c r="AL214" s="551"/>
      <c r="AM214" s="551"/>
      <c r="AN214" s="551"/>
      <c r="AO214" s="551"/>
      <c r="AP214" s="551"/>
      <c r="AQ214" s="551"/>
      <c r="AR214" s="551"/>
      <c r="AS214" s="551"/>
      <c r="AT214" s="551"/>
      <c r="AU214" s="551"/>
      <c r="AV214" s="551"/>
      <c r="AW214" s="551"/>
    </row>
    <row r="215" spans="1:49" s="545" customFormat="1" ht="15" hidden="1" customHeight="1" x14ac:dyDescent="0.25">
      <c r="A215" s="1407"/>
      <c r="B215" s="554"/>
      <c r="C215" s="945"/>
      <c r="D215" s="116"/>
      <c r="E215" s="466"/>
      <c r="F215" s="559" t="str">
        <f>IF('C-Design&amp;Const'!$G215="","",'C-Design&amp;Const'!$G215)</f>
        <v>N</v>
      </c>
      <c r="G215" s="459"/>
      <c r="H215" s="469" t="str">
        <f>CONCATENATE(IF(F215="N","PLACEHOLDER ROW - ",""),'C-Design&amp;Const'!Z215,IF(F215="N","",J215))</f>
        <v xml:space="preserve">PLACEHOLDER ROW - Lead Based Paint Removal, Remediation, Containment </v>
      </c>
      <c r="I215" s="193"/>
      <c r="J215" s="578" t="str">
        <f>IF('C-Design&amp;Const'!AD216="","",'C-Design&amp;Const'!AD216)</f>
        <v>(Preliminary)</v>
      </c>
      <c r="K215" s="228"/>
      <c r="L215" s="1410" t="str">
        <f t="shared" ref="L215" si="8">CONCATENATE(IF(ISNUMBER(SEARCH("Placeholder",H215))=TRUE,"&lt;---PM/Planner may hide PLACEHOLDER ROW",""))</f>
        <v>&lt;---PM/Planner may hide PLACEHOLDER ROW</v>
      </c>
      <c r="M215" s="1382"/>
      <c r="N215" s="1382"/>
      <c r="O215" s="1382"/>
      <c r="P215" s="1382"/>
      <c r="Q215" s="1382"/>
      <c r="R215" s="1382"/>
      <c r="S215" s="1382"/>
      <c r="T215" s="1382"/>
      <c r="U215" s="1382"/>
      <c r="V215" s="1382"/>
      <c r="W215" s="1382"/>
      <c r="X215" s="1382"/>
      <c r="Y215" s="1382"/>
      <c r="Z215" s="1382"/>
      <c r="AA215" s="1382"/>
      <c r="AB215" s="1382"/>
      <c r="AC215" s="1382"/>
      <c r="AD215" s="1382"/>
      <c r="AE215" s="1382"/>
      <c r="AF215" s="1382"/>
      <c r="AG215" s="1382"/>
      <c r="AH215" s="1382"/>
      <c r="AI215" s="1382"/>
      <c r="AJ215" s="551"/>
      <c r="AK215" s="551"/>
      <c r="AL215" s="551"/>
      <c r="AM215" s="551"/>
      <c r="AN215" s="551"/>
      <c r="AO215" s="551"/>
      <c r="AP215" s="551"/>
      <c r="AQ215" s="551"/>
      <c r="AR215" s="551"/>
      <c r="AS215" s="551"/>
      <c r="AT215" s="551"/>
      <c r="AU215" s="551"/>
      <c r="AV215" s="551"/>
      <c r="AW215" s="551"/>
    </row>
    <row r="216" spans="1:49" s="545" customFormat="1" ht="15" hidden="1" customHeight="1" x14ac:dyDescent="0.25">
      <c r="A216" s="1407"/>
      <c r="B216" s="554"/>
      <c r="C216" s="945"/>
      <c r="D216" s="116"/>
      <c r="E216" s="466"/>
      <c r="F216" s="559" t="str">
        <f>IF('C-Design&amp;Const'!$G216="","",'C-Design&amp;Const'!$G216)</f>
        <v>N</v>
      </c>
      <c r="G216" s="459"/>
      <c r="H216" s="469" t="str">
        <f>CONCATENATE(IF(F216="N","PLACEHOLDER ROW - ",""),'C-Design&amp;Const'!Z216,IF(F216="N","",J216))</f>
        <v>PLACEHOLDER ROW - CUSTOM - Hazardous Materials</v>
      </c>
      <c r="I216" s="193"/>
      <c r="J216" s="578" t="str">
        <f>IF('C-Design&amp;Const'!AD217="","",'C-Design&amp;Const'!AD217)</f>
        <v>(Preliminary)</v>
      </c>
      <c r="K216" s="228"/>
      <c r="L216" s="1410" t="str">
        <f t="shared" si="7"/>
        <v>&lt;---PM/Planner may hide PLACEHOLDER ROW</v>
      </c>
      <c r="M216" s="1382"/>
      <c r="N216" s="1382"/>
      <c r="O216" s="1382"/>
      <c r="P216" s="1382"/>
      <c r="Q216" s="1382"/>
      <c r="R216" s="1382"/>
      <c r="S216" s="1382"/>
      <c r="T216" s="1382"/>
      <c r="U216" s="1382"/>
      <c r="V216" s="1382"/>
      <c r="W216" s="1382"/>
      <c r="X216" s="1382"/>
      <c r="Y216" s="1382"/>
      <c r="Z216" s="1382"/>
      <c r="AA216" s="1382"/>
      <c r="AB216" s="1382"/>
      <c r="AC216" s="1382"/>
      <c r="AD216" s="1382"/>
      <c r="AE216" s="1382"/>
      <c r="AF216" s="1382"/>
      <c r="AG216" s="1382"/>
      <c r="AH216" s="1382"/>
      <c r="AI216" s="1382"/>
      <c r="AJ216" s="551"/>
      <c r="AK216" s="551"/>
      <c r="AL216" s="551"/>
      <c r="AM216" s="551"/>
      <c r="AN216" s="551"/>
      <c r="AO216" s="551"/>
      <c r="AP216" s="551"/>
      <c r="AQ216" s="551"/>
      <c r="AR216" s="551"/>
      <c r="AS216" s="551"/>
      <c r="AT216" s="551"/>
      <c r="AU216" s="551"/>
      <c r="AV216" s="551"/>
      <c r="AW216" s="551"/>
    </row>
    <row r="217" spans="1:49" s="545" customFormat="1" ht="15" hidden="1" customHeight="1" x14ac:dyDescent="0.25">
      <c r="A217" s="1407"/>
      <c r="B217" s="554"/>
      <c r="C217" s="945"/>
      <c r="D217" s="116"/>
      <c r="E217" s="466"/>
      <c r="F217" s="559" t="str">
        <f>IF('C-Design&amp;Const'!$G217="","",'C-Design&amp;Const'!$G217)</f>
        <v>N</v>
      </c>
      <c r="G217" s="459"/>
      <c r="H217" s="469" t="str">
        <f>CONCATENATE(IF(F217="N","PLACEHOLDER ROW - ",""),'C-Design&amp;Const'!Z217,IF(F217="N","",J217))</f>
        <v xml:space="preserve">PLACEHOLDER ROW - Other Hazardous Materials Removal, Remediation, Containment </v>
      </c>
      <c r="I217" s="193"/>
      <c r="J217" s="578" t="str">
        <f>IF('C-Design&amp;Const'!AD218="","",'C-Design&amp;Const'!AD218)</f>
        <v/>
      </c>
      <c r="K217" s="228"/>
      <c r="L217" s="1410" t="str">
        <f t="shared" ref="L217" si="9">CONCATENATE(IF(ISNUMBER(SEARCH("Placeholder",H217))=TRUE,"&lt;---PM/Planner may hide PLACEHOLDER ROW",""))</f>
        <v>&lt;---PM/Planner may hide PLACEHOLDER ROW</v>
      </c>
      <c r="M217" s="1382"/>
      <c r="N217" s="1382"/>
      <c r="O217" s="1382"/>
      <c r="P217" s="1382"/>
      <c r="Q217" s="1382"/>
      <c r="R217" s="1382"/>
      <c r="S217" s="1382"/>
      <c r="T217" s="1382"/>
      <c r="U217" s="1382"/>
      <c r="V217" s="1382"/>
      <c r="W217" s="1382"/>
      <c r="X217" s="1382"/>
      <c r="Y217" s="1382"/>
      <c r="Z217" s="1382"/>
      <c r="AA217" s="1382"/>
      <c r="AB217" s="1382"/>
      <c r="AC217" s="1382"/>
      <c r="AD217" s="1382"/>
      <c r="AE217" s="1382"/>
      <c r="AF217" s="1382"/>
      <c r="AG217" s="1382"/>
      <c r="AH217" s="1382"/>
      <c r="AI217" s="1382"/>
      <c r="AJ217" s="551"/>
      <c r="AK217" s="551"/>
      <c r="AL217" s="551"/>
      <c r="AM217" s="551"/>
      <c r="AN217" s="551"/>
      <c r="AO217" s="551"/>
      <c r="AP217" s="551"/>
      <c r="AQ217" s="551"/>
      <c r="AR217" s="551"/>
      <c r="AS217" s="551"/>
      <c r="AT217" s="551"/>
      <c r="AU217" s="551"/>
      <c r="AV217" s="551"/>
      <c r="AW217" s="551"/>
    </row>
    <row r="218" spans="1:49" s="30" customFormat="1" ht="15" hidden="1" customHeight="1" x14ac:dyDescent="0.25">
      <c r="A218" s="1407"/>
      <c r="B218" s="191"/>
      <c r="C218" s="945"/>
      <c r="D218" s="116"/>
      <c r="E218" s="559" t="str">
        <f>IF('C-Design&amp;Const'!$G218="","",'C-Design&amp;Const'!$G218)</f>
        <v>N</v>
      </c>
      <c r="F218" s="470"/>
      <c r="G218" s="459"/>
      <c r="H218" s="244" t="str">
        <f>CONCATENATE(IF(F218="N","PLACEHOLDER ROW - ",""),'C-Design&amp;Const'!Z218,IF(F218="N","",J218))</f>
        <v>Site, Civil, &amp; Landscape Drawings</v>
      </c>
      <c r="I218" s="193"/>
      <c r="J218" s="578" t="str">
        <f>IF('C-Design&amp;Const'!AD218="","",'C-Design&amp;Const'!AD218)</f>
        <v/>
      </c>
      <c r="K218" s="228"/>
      <c r="L218" s="1410" t="str">
        <f t="shared" si="5"/>
        <v/>
      </c>
      <c r="M218" s="1382"/>
      <c r="N218" s="1382"/>
      <c r="O218" s="1382"/>
      <c r="P218" s="1382"/>
      <c r="Q218" s="1382"/>
      <c r="R218" s="1382"/>
      <c r="S218" s="1382"/>
      <c r="T218" s="1382"/>
      <c r="U218" s="1382"/>
      <c r="V218" s="1382"/>
      <c r="W218" s="1382"/>
      <c r="X218" s="1382"/>
      <c r="Y218" s="1382"/>
      <c r="Z218" s="1382"/>
      <c r="AA218" s="1382"/>
      <c r="AB218" s="1382"/>
      <c r="AC218" s="1382"/>
      <c r="AD218" s="1382"/>
      <c r="AE218" s="1382"/>
      <c r="AF218" s="1382"/>
      <c r="AG218" s="1382"/>
      <c r="AH218" s="1382"/>
      <c r="AI218" s="1382"/>
      <c r="AJ218" s="181"/>
      <c r="AK218" s="181"/>
      <c r="AL218" s="181"/>
      <c r="AM218" s="181"/>
      <c r="AN218" s="181"/>
      <c r="AO218" s="181"/>
      <c r="AP218" s="181"/>
      <c r="AQ218" s="181"/>
      <c r="AR218" s="181"/>
      <c r="AS218" s="181"/>
      <c r="AT218" s="181"/>
      <c r="AU218" s="181"/>
      <c r="AV218" s="181"/>
      <c r="AW218" s="181"/>
    </row>
    <row r="219" spans="1:49" s="30" customFormat="1" ht="15" hidden="1" customHeight="1" x14ac:dyDescent="0.25">
      <c r="A219" s="1407"/>
      <c r="B219" s="191"/>
      <c r="C219" s="945"/>
      <c r="D219" s="116"/>
      <c r="E219" s="466"/>
      <c r="F219" s="559" t="str">
        <f>IF('C-Design&amp;Const'!$G219="","",'C-Design&amp;Const'!$G219)</f>
        <v>N</v>
      </c>
      <c r="G219" s="459"/>
      <c r="H219" s="469" t="str">
        <f>CONCATENATE(IF(F219="N","PLACEHOLDER ROW - ",""),'C-Design&amp;Const'!Z219,IF(F219="N","",J219))</f>
        <v>PLACEHOLDER ROW - CUSTOM - Site / Civil / Landscape</v>
      </c>
      <c r="I219" s="193"/>
      <c r="J219" s="578" t="str">
        <f>IF('C-Design&amp;Const'!AD219="","",'C-Design&amp;Const'!AD219)</f>
        <v>(Preliminary)</v>
      </c>
      <c r="K219" s="228"/>
      <c r="L219" s="1410" t="str">
        <f>CONCATENATE(IF(ISNUMBER(SEARCH("Placeholder",H219))=TRUE,"&lt;---PM/Planner may hide PLACEHOLDER ROW",""))</f>
        <v>&lt;---PM/Planner may hide PLACEHOLDER ROW</v>
      </c>
      <c r="M219" s="1382"/>
      <c r="N219" s="1382"/>
      <c r="O219" s="1382"/>
      <c r="P219" s="1382"/>
      <c r="Q219" s="1382"/>
      <c r="R219" s="1382"/>
      <c r="S219" s="1382"/>
      <c r="T219" s="1382"/>
      <c r="U219" s="1382"/>
      <c r="V219" s="1382"/>
      <c r="W219" s="1382"/>
      <c r="X219" s="1382"/>
      <c r="Y219" s="1382"/>
      <c r="Z219" s="1382"/>
      <c r="AA219" s="1382"/>
      <c r="AB219" s="1382"/>
      <c r="AC219" s="1382"/>
      <c r="AD219" s="1382"/>
      <c r="AE219" s="1382"/>
      <c r="AF219" s="1382"/>
      <c r="AG219" s="1382"/>
      <c r="AH219" s="1382"/>
      <c r="AI219" s="1382"/>
      <c r="AJ219" s="181"/>
      <c r="AK219" s="181"/>
      <c r="AL219" s="181"/>
      <c r="AM219" s="181"/>
      <c r="AN219" s="181"/>
      <c r="AO219" s="181"/>
      <c r="AP219" s="181"/>
      <c r="AQ219" s="181"/>
      <c r="AR219" s="181"/>
      <c r="AS219" s="181"/>
      <c r="AT219" s="181"/>
      <c r="AU219" s="181"/>
      <c r="AV219" s="181"/>
      <c r="AW219" s="181"/>
    </row>
    <row r="220" spans="1:49" s="30" customFormat="1" ht="15" hidden="1" customHeight="1" x14ac:dyDescent="0.25">
      <c r="A220" s="1407"/>
      <c r="B220" s="191"/>
      <c r="C220" s="945"/>
      <c r="D220" s="116"/>
      <c r="E220" s="466"/>
      <c r="F220" s="559" t="str">
        <f>IF('C-Design&amp;Const'!$G220="","",'C-Design&amp;Const'!$G220)</f>
        <v>N</v>
      </c>
      <c r="G220" s="459"/>
      <c r="H220" s="469" t="str">
        <f>CONCATENATE(IF(F220="N","PLACEHOLDER ROW - ",""),'C-Design&amp;Const'!Z220,IF(F220="N","",J220))</f>
        <v>PLACEHOLDER ROW - CUSTOM - Site / Civil / Landscape</v>
      </c>
      <c r="I220" s="193"/>
      <c r="J220" s="578" t="str">
        <f>IF('C-Design&amp;Const'!AD220="","",'C-Design&amp;Const'!AD220)</f>
        <v>(Preliminary)</v>
      </c>
      <c r="K220" s="228"/>
      <c r="L220" s="1410" t="str">
        <f t="shared" ref="L220:L230" si="10">CONCATENATE(IF(ISNUMBER(SEARCH("Placeholder",H220))=TRUE,"&lt;---PM/Planner may hide PLACEHOLDER ROW",""))</f>
        <v>&lt;---PM/Planner may hide PLACEHOLDER ROW</v>
      </c>
      <c r="M220" s="1382"/>
      <c r="N220" s="1382"/>
      <c r="O220" s="1382"/>
      <c r="P220" s="1382"/>
      <c r="Q220" s="1382"/>
      <c r="R220" s="1382"/>
      <c r="S220" s="1382"/>
      <c r="T220" s="1382"/>
      <c r="U220" s="1382"/>
      <c r="V220" s="1382"/>
      <c r="W220" s="1382"/>
      <c r="X220" s="1382"/>
      <c r="Y220" s="1382"/>
      <c r="Z220" s="1382"/>
      <c r="AA220" s="1382"/>
      <c r="AB220" s="1382"/>
      <c r="AC220" s="1382"/>
      <c r="AD220" s="1382"/>
      <c r="AE220" s="1382"/>
      <c r="AF220" s="1382"/>
      <c r="AG220" s="1382"/>
      <c r="AH220" s="1382"/>
      <c r="AI220" s="1382"/>
      <c r="AJ220" s="181"/>
      <c r="AK220" s="181"/>
      <c r="AL220" s="181"/>
      <c r="AM220" s="181"/>
      <c r="AN220" s="181"/>
      <c r="AO220" s="181"/>
      <c r="AP220" s="181"/>
      <c r="AQ220" s="181"/>
      <c r="AR220" s="181"/>
      <c r="AS220" s="181"/>
      <c r="AT220" s="181"/>
      <c r="AU220" s="181"/>
      <c r="AV220" s="181"/>
      <c r="AW220" s="181"/>
    </row>
    <row r="221" spans="1:49" s="545" customFormat="1" ht="15" hidden="1" customHeight="1" x14ac:dyDescent="0.25">
      <c r="A221" s="1407"/>
      <c r="B221" s="554"/>
      <c r="C221" s="945"/>
      <c r="D221" s="116"/>
      <c r="E221" s="466"/>
      <c r="F221" s="559" t="str">
        <f>IF('C-Design&amp;Const'!$G221="","",'C-Design&amp;Const'!$G221)</f>
        <v>N</v>
      </c>
      <c r="G221" s="459"/>
      <c r="H221" s="469" t="str">
        <f>CONCATENATE(IF(F221="N","PLACEHOLDER ROW - ",""),'C-Design&amp;Const'!Z221,IF(F221="N","",J221))</f>
        <v xml:space="preserve">PLACEHOLDER ROW - Civil, Site, Landscape Symbols, Abbreviations, and General Notes </v>
      </c>
      <c r="I221" s="193"/>
      <c r="J221" s="578" t="str">
        <f>IF('C-Design&amp;Const'!AD221="","",'C-Design&amp;Const'!AD221)</f>
        <v>(Preliminary)</v>
      </c>
      <c r="K221" s="228"/>
      <c r="L221" s="1410" t="str">
        <f t="shared" ref="L221" si="11">CONCATENATE(IF(ISNUMBER(SEARCH("Placeholder",H221))=TRUE,"&lt;---PM/Planner may hide PLACEHOLDER ROW",""))</f>
        <v>&lt;---PM/Planner may hide PLACEHOLDER ROW</v>
      </c>
      <c r="M221" s="1382"/>
      <c r="N221" s="1382"/>
      <c r="O221" s="1382"/>
      <c r="P221" s="1382"/>
      <c r="Q221" s="1382"/>
      <c r="R221" s="1382"/>
      <c r="S221" s="1382"/>
      <c r="T221" s="1382"/>
      <c r="U221" s="1382"/>
      <c r="V221" s="1382"/>
      <c r="W221" s="1382"/>
      <c r="X221" s="1382"/>
      <c r="Y221" s="1382"/>
      <c r="Z221" s="1382"/>
      <c r="AA221" s="1382"/>
      <c r="AB221" s="1382"/>
      <c r="AC221" s="1382"/>
      <c r="AD221" s="1382"/>
      <c r="AE221" s="1382"/>
      <c r="AF221" s="1382"/>
      <c r="AG221" s="1382"/>
      <c r="AH221" s="1382"/>
      <c r="AI221" s="1382"/>
      <c r="AJ221" s="551"/>
      <c r="AK221" s="551"/>
      <c r="AL221" s="551"/>
      <c r="AM221" s="551"/>
      <c r="AN221" s="551"/>
      <c r="AO221" s="551"/>
      <c r="AP221" s="551"/>
      <c r="AQ221" s="551"/>
      <c r="AR221" s="551"/>
      <c r="AS221" s="551"/>
      <c r="AT221" s="551"/>
      <c r="AU221" s="551"/>
      <c r="AV221" s="551"/>
      <c r="AW221" s="551"/>
    </row>
    <row r="222" spans="1:49" s="30" customFormat="1" ht="15" hidden="1" customHeight="1" x14ac:dyDescent="0.25">
      <c r="A222" s="1407"/>
      <c r="B222" s="191"/>
      <c r="C222" s="945"/>
      <c r="D222" s="116"/>
      <c r="E222" s="466"/>
      <c r="F222" s="559" t="str">
        <f>IF('C-Design&amp;Const'!$G222="","",'C-Design&amp;Const'!$G222)</f>
        <v>N</v>
      </c>
      <c r="G222" s="459"/>
      <c r="H222" s="469" t="str">
        <f>CONCATENATE(IF(F222="N","PLACEHOLDER ROW - ",""),'C-Design&amp;Const'!Z222,IF(F222="N","",J222))</f>
        <v xml:space="preserve">PLACEHOLDER ROW - Site Clearing, Demolitions, &amp; Abandonments </v>
      </c>
      <c r="I222" s="193"/>
      <c r="J222" s="578" t="str">
        <f>IF('C-Design&amp;Const'!AD222="","",'C-Design&amp;Const'!AD222)</f>
        <v>(Preliminary)</v>
      </c>
      <c r="K222" s="228"/>
      <c r="L222" s="1410" t="str">
        <f t="shared" si="10"/>
        <v>&lt;---PM/Planner may hide PLACEHOLDER ROW</v>
      </c>
      <c r="M222" s="1382"/>
      <c r="N222" s="1382"/>
      <c r="O222" s="1382"/>
      <c r="P222" s="1382"/>
      <c r="Q222" s="1382"/>
      <c r="R222" s="1382"/>
      <c r="S222" s="1382"/>
      <c r="T222" s="1382"/>
      <c r="U222" s="1382"/>
      <c r="V222" s="1382"/>
      <c r="W222" s="1382"/>
      <c r="X222" s="1382"/>
      <c r="Y222" s="1382"/>
      <c r="Z222" s="1382"/>
      <c r="AA222" s="1382"/>
      <c r="AB222" s="1382"/>
      <c r="AC222" s="1382"/>
      <c r="AD222" s="1382"/>
      <c r="AE222" s="1382"/>
      <c r="AF222" s="1382"/>
      <c r="AG222" s="1382"/>
      <c r="AH222" s="1382"/>
      <c r="AI222" s="1382"/>
      <c r="AJ222" s="181"/>
      <c r="AK222" s="181"/>
      <c r="AL222" s="181"/>
      <c r="AM222" s="181"/>
      <c r="AN222" s="181"/>
      <c r="AO222" s="181"/>
      <c r="AP222" s="181"/>
      <c r="AQ222" s="181"/>
      <c r="AR222" s="181"/>
      <c r="AS222" s="181"/>
      <c r="AT222" s="181"/>
      <c r="AU222" s="181"/>
      <c r="AV222" s="181"/>
      <c r="AW222" s="181"/>
    </row>
    <row r="223" spans="1:49" s="30" customFormat="1" ht="15" hidden="1" customHeight="1" x14ac:dyDescent="0.25">
      <c r="A223" s="1407"/>
      <c r="B223" s="191"/>
      <c r="C223" s="945"/>
      <c r="D223" s="116"/>
      <c r="E223" s="466"/>
      <c r="F223" s="559" t="str">
        <f>IF('C-Design&amp;Const'!$G223="","",'C-Design&amp;Const'!$G223)</f>
        <v>N</v>
      </c>
      <c r="G223" s="459"/>
      <c r="H223" s="469" t="str">
        <f>CONCATENATE(IF(F223="N","PLACEHOLDER ROW - ",""),'C-Design&amp;Const'!Z223,IF(F223="N","",J223))</f>
        <v>PLACEHOLDER ROW - Site Plan (show tree protection if not yet shown in laydown plan)</v>
      </c>
      <c r="I223" s="193"/>
      <c r="J223" s="578" t="str">
        <f>IF('C-Design&amp;Const'!AD223="","",'C-Design&amp;Const'!AD223)</f>
        <v>(Preliminary)</v>
      </c>
      <c r="K223" s="228"/>
      <c r="L223" s="1410" t="str">
        <f t="shared" si="10"/>
        <v>&lt;---PM/Planner may hide PLACEHOLDER ROW</v>
      </c>
      <c r="M223" s="1382"/>
      <c r="N223" s="1382"/>
      <c r="O223" s="1382"/>
      <c r="P223" s="1382"/>
      <c r="Q223" s="1382"/>
      <c r="R223" s="1382"/>
      <c r="S223" s="1382"/>
      <c r="T223" s="1382"/>
      <c r="U223" s="1382"/>
      <c r="V223" s="1382"/>
      <c r="W223" s="1382"/>
      <c r="X223" s="1382"/>
      <c r="Y223" s="1382"/>
      <c r="Z223" s="1382"/>
      <c r="AA223" s="1382"/>
      <c r="AB223" s="1382"/>
      <c r="AC223" s="1382"/>
      <c r="AD223" s="1382"/>
      <c r="AE223" s="1382"/>
      <c r="AF223" s="1382"/>
      <c r="AG223" s="1382"/>
      <c r="AH223" s="1382"/>
      <c r="AI223" s="1382"/>
      <c r="AJ223" s="181"/>
      <c r="AK223" s="181"/>
      <c r="AL223" s="181"/>
      <c r="AM223" s="181"/>
      <c r="AN223" s="181"/>
      <c r="AO223" s="181"/>
      <c r="AP223" s="181"/>
      <c r="AQ223" s="181"/>
      <c r="AR223" s="181"/>
      <c r="AS223" s="181"/>
      <c r="AT223" s="181"/>
      <c r="AU223" s="181"/>
      <c r="AV223" s="181"/>
      <c r="AW223" s="181"/>
    </row>
    <row r="224" spans="1:49" s="30" customFormat="1" ht="15" hidden="1" customHeight="1" x14ac:dyDescent="0.25">
      <c r="A224" s="1407"/>
      <c r="B224" s="191"/>
      <c r="C224" s="945"/>
      <c r="D224" s="116"/>
      <c r="E224" s="466"/>
      <c r="F224" s="559" t="str">
        <f>IF('C-Design&amp;Const'!$G224="","",'C-Design&amp;Const'!$G224)</f>
        <v>N</v>
      </c>
      <c r="G224" s="459"/>
      <c r="H224" s="469" t="str">
        <f>CONCATENATE(IF(F224="N","PLACEHOLDER ROW - ",""),'C-Design&amp;Const'!Z224,IF(F224="N","",J224))</f>
        <v xml:space="preserve">PLACEHOLDER ROW - Storm Water Detention Plan </v>
      </c>
      <c r="I224" s="193"/>
      <c r="J224" s="578" t="str">
        <f>IF('C-Design&amp;Const'!AD224="","",'C-Design&amp;Const'!AD224)</f>
        <v>(Preliminary)</v>
      </c>
      <c r="K224" s="228"/>
      <c r="L224" s="1410" t="str">
        <f t="shared" si="10"/>
        <v>&lt;---PM/Planner may hide PLACEHOLDER ROW</v>
      </c>
      <c r="M224" s="1382"/>
      <c r="N224" s="1382"/>
      <c r="O224" s="1382"/>
      <c r="P224" s="1382"/>
      <c r="Q224" s="1382"/>
      <c r="R224" s="1382"/>
      <c r="S224" s="1382"/>
      <c r="T224" s="1382"/>
      <c r="U224" s="1382"/>
      <c r="V224" s="1382"/>
      <c r="W224" s="1382"/>
      <c r="X224" s="1382"/>
      <c r="Y224" s="1382"/>
      <c r="Z224" s="1382"/>
      <c r="AA224" s="1382"/>
      <c r="AB224" s="1382"/>
      <c r="AC224" s="1382"/>
      <c r="AD224" s="1382"/>
      <c r="AE224" s="1382"/>
      <c r="AF224" s="1382"/>
      <c r="AG224" s="1382"/>
      <c r="AH224" s="1382"/>
      <c r="AI224" s="1382"/>
      <c r="AJ224" s="181"/>
      <c r="AK224" s="181"/>
      <c r="AL224" s="181"/>
      <c r="AM224" s="181"/>
      <c r="AN224" s="181"/>
      <c r="AO224" s="181"/>
      <c r="AP224" s="181"/>
      <c r="AQ224" s="181"/>
      <c r="AR224" s="181"/>
      <c r="AS224" s="181"/>
      <c r="AT224" s="181"/>
      <c r="AU224" s="181"/>
      <c r="AV224" s="181"/>
      <c r="AW224" s="181"/>
    </row>
    <row r="225" spans="1:49" s="30" customFormat="1" ht="15" hidden="1" customHeight="1" x14ac:dyDescent="0.25">
      <c r="A225" s="1407"/>
      <c r="B225" s="191"/>
      <c r="C225" s="945"/>
      <c r="D225" s="116"/>
      <c r="E225" s="466"/>
      <c r="F225" s="559" t="str">
        <f>IF('C-Design&amp;Const'!$G225="","",'C-Design&amp;Const'!$G225)</f>
        <v>N</v>
      </c>
      <c r="G225" s="459"/>
      <c r="H225" s="469" t="str">
        <f>CONCATENATE(IF(F225="N","PLACEHOLDER ROW - ",""),'C-Design&amp;Const'!Z225,IF(F225="N","",J225))</f>
        <v xml:space="preserve">PLACEHOLDER ROW - Pavement, Sidewalks, and/or Utility Sections </v>
      </c>
      <c r="I225" s="193"/>
      <c r="J225" s="578" t="str">
        <f>IF('C-Design&amp;Const'!AD225="","",'C-Design&amp;Const'!AD225)</f>
        <v>(Preliminary)</v>
      </c>
      <c r="K225" s="228"/>
      <c r="L225" s="1410" t="str">
        <f t="shared" si="10"/>
        <v>&lt;---PM/Planner may hide PLACEHOLDER ROW</v>
      </c>
      <c r="M225" s="1382"/>
      <c r="N225" s="1382"/>
      <c r="O225" s="1382"/>
      <c r="P225" s="1382"/>
      <c r="Q225" s="1382"/>
      <c r="R225" s="1382"/>
      <c r="S225" s="1382"/>
      <c r="T225" s="1382"/>
      <c r="U225" s="1382"/>
      <c r="V225" s="1382"/>
      <c r="W225" s="1382"/>
      <c r="X225" s="1382"/>
      <c r="Y225" s="1382"/>
      <c r="Z225" s="1382"/>
      <c r="AA225" s="1382"/>
      <c r="AB225" s="1382"/>
      <c r="AC225" s="1382"/>
      <c r="AD225" s="1382"/>
      <c r="AE225" s="1382"/>
      <c r="AF225" s="1382"/>
      <c r="AG225" s="1382"/>
      <c r="AH225" s="1382"/>
      <c r="AI225" s="1382"/>
      <c r="AJ225" s="181"/>
      <c r="AK225" s="181"/>
      <c r="AL225" s="181"/>
      <c r="AM225" s="181"/>
      <c r="AN225" s="181"/>
      <c r="AO225" s="181"/>
      <c r="AP225" s="181"/>
      <c r="AQ225" s="181"/>
      <c r="AR225" s="181"/>
      <c r="AS225" s="181"/>
      <c r="AT225" s="181"/>
      <c r="AU225" s="181"/>
      <c r="AV225" s="181"/>
      <c r="AW225" s="181"/>
    </row>
    <row r="226" spans="1:49" s="30" customFormat="1" ht="15" hidden="1" customHeight="1" x14ac:dyDescent="0.25">
      <c r="A226" s="1407"/>
      <c r="B226" s="191"/>
      <c r="C226" s="945"/>
      <c r="D226" s="116"/>
      <c r="E226" s="466"/>
      <c r="F226" s="559" t="str">
        <f>IF('C-Design&amp;Const'!$G226="","",'C-Design&amp;Const'!$G226)</f>
        <v>N</v>
      </c>
      <c r="G226" s="459"/>
      <c r="H226" s="469" t="str">
        <f>CONCATENATE(IF(F226="N","PLACEHOLDER ROW - ",""),'C-Design&amp;Const'!Z226,IF(F226="N","",J226))</f>
        <v xml:space="preserve">PLACEHOLDER ROW - Utility Relocations </v>
      </c>
      <c r="I226" s="193"/>
      <c r="J226" s="578" t="str">
        <f>IF('C-Design&amp;Const'!AD226="","",'C-Design&amp;Const'!AD226)</f>
        <v>(Preliminary)</v>
      </c>
      <c r="K226" s="228"/>
      <c r="L226" s="1410" t="str">
        <f t="shared" si="10"/>
        <v>&lt;---PM/Planner may hide PLACEHOLDER ROW</v>
      </c>
      <c r="M226" s="1382"/>
      <c r="N226" s="1382"/>
      <c r="O226" s="1382"/>
      <c r="P226" s="1382"/>
      <c r="Q226" s="1382"/>
      <c r="R226" s="1382"/>
      <c r="S226" s="1382"/>
      <c r="T226" s="1382"/>
      <c r="U226" s="1382"/>
      <c r="V226" s="1382"/>
      <c r="W226" s="1382"/>
      <c r="X226" s="1382"/>
      <c r="Y226" s="1382"/>
      <c r="Z226" s="1382"/>
      <c r="AA226" s="1382"/>
      <c r="AB226" s="1382"/>
      <c r="AC226" s="1382"/>
      <c r="AD226" s="1382"/>
      <c r="AE226" s="1382"/>
      <c r="AF226" s="1382"/>
      <c r="AG226" s="1382"/>
      <c r="AH226" s="1382"/>
      <c r="AI226" s="1382"/>
      <c r="AJ226" s="181"/>
      <c r="AK226" s="181"/>
      <c r="AL226" s="181"/>
      <c r="AM226" s="181"/>
      <c r="AN226" s="181"/>
      <c r="AO226" s="181"/>
      <c r="AP226" s="181"/>
      <c r="AQ226" s="181"/>
      <c r="AR226" s="181"/>
      <c r="AS226" s="181"/>
      <c r="AT226" s="181"/>
      <c r="AU226" s="181"/>
      <c r="AV226" s="181"/>
      <c r="AW226" s="181"/>
    </row>
    <row r="227" spans="1:49" s="30" customFormat="1" ht="15" hidden="1" customHeight="1" x14ac:dyDescent="0.25">
      <c r="A227" s="1407"/>
      <c r="B227" s="191"/>
      <c r="C227" s="945"/>
      <c r="D227" s="116"/>
      <c r="E227" s="466"/>
      <c r="F227" s="559" t="str">
        <f>IF('C-Design&amp;Const'!$G227="","",'C-Design&amp;Const'!$G227)</f>
        <v>N</v>
      </c>
      <c r="G227" s="459"/>
      <c r="H227" s="469" t="str">
        <f>CONCATENATE(IF(F227="N","PLACEHOLDER ROW - ",""),'C-Design&amp;Const'!Z227,IF(F227="N","",J227))</f>
        <v xml:space="preserve">PLACEHOLDER ROW - Utility Site Plan and Details </v>
      </c>
      <c r="I227" s="193"/>
      <c r="J227" s="578" t="str">
        <f>IF('C-Design&amp;Const'!AD227="","",'C-Design&amp;Const'!AD227)</f>
        <v>(Preliminary)</v>
      </c>
      <c r="K227" s="228"/>
      <c r="L227" s="1410" t="str">
        <f t="shared" si="10"/>
        <v>&lt;---PM/Planner may hide PLACEHOLDER ROW</v>
      </c>
      <c r="M227" s="1382"/>
      <c r="N227" s="1382"/>
      <c r="O227" s="1382"/>
      <c r="P227" s="1382"/>
      <c r="Q227" s="1382"/>
      <c r="R227" s="1382"/>
      <c r="S227" s="1382"/>
      <c r="T227" s="1382"/>
      <c r="U227" s="1382"/>
      <c r="V227" s="1382"/>
      <c r="W227" s="1382"/>
      <c r="X227" s="1382"/>
      <c r="Y227" s="1382"/>
      <c r="Z227" s="1382"/>
      <c r="AA227" s="1382"/>
      <c r="AB227" s="1382"/>
      <c r="AC227" s="1382"/>
      <c r="AD227" s="1382"/>
      <c r="AE227" s="1382"/>
      <c r="AF227" s="1382"/>
      <c r="AG227" s="1382"/>
      <c r="AH227" s="1382"/>
      <c r="AI227" s="1382"/>
      <c r="AJ227" s="181"/>
      <c r="AK227" s="181"/>
      <c r="AL227" s="181"/>
      <c r="AM227" s="181"/>
      <c r="AN227" s="181"/>
      <c r="AO227" s="181"/>
      <c r="AP227" s="181"/>
      <c r="AQ227" s="181"/>
      <c r="AR227" s="181"/>
      <c r="AS227" s="181"/>
      <c r="AT227" s="181"/>
      <c r="AU227" s="181"/>
      <c r="AV227" s="181"/>
      <c r="AW227" s="181"/>
    </row>
    <row r="228" spans="1:49" s="545" customFormat="1" ht="15" hidden="1" customHeight="1" x14ac:dyDescent="0.25">
      <c r="A228" s="1407"/>
      <c r="B228" s="554"/>
      <c r="C228" s="945"/>
      <c r="D228" s="116"/>
      <c r="E228" s="466"/>
      <c r="F228" s="559" t="str">
        <f>IF('C-Design&amp;Const'!$G228="","",'C-Design&amp;Const'!$G228)</f>
        <v>N</v>
      </c>
      <c r="G228" s="459"/>
      <c r="H228" s="469" t="str">
        <f>CONCATENATE(IF(F228="N","PLACEHOLDER ROW - ",""),'C-Design&amp;Const'!Z228,IF(F228="N","",J228))</f>
        <v xml:space="preserve">PLACEHOLDER ROW - Traffic Control Plans - Vehicular &amp; Pedestrian </v>
      </c>
      <c r="I228" s="1874"/>
      <c r="J228" s="1875" t="s">
        <v>387</v>
      </c>
      <c r="K228" s="1876"/>
      <c r="L228" s="1877" t="s">
        <v>1125</v>
      </c>
      <c r="M228" s="1878"/>
      <c r="N228" s="1382"/>
      <c r="O228" s="1382"/>
      <c r="P228" s="1382"/>
      <c r="Q228" s="1382"/>
      <c r="R228" s="1382"/>
      <c r="S228" s="1382"/>
      <c r="T228" s="1382"/>
      <c r="U228" s="1382"/>
      <c r="V228" s="1382"/>
      <c r="W228" s="1382"/>
      <c r="X228" s="1382"/>
      <c r="Y228" s="1382"/>
      <c r="Z228" s="1382"/>
      <c r="AA228" s="1382"/>
      <c r="AB228" s="1382"/>
      <c r="AC228" s="1382"/>
      <c r="AD228" s="1382"/>
      <c r="AE228" s="1382"/>
      <c r="AF228" s="1382"/>
      <c r="AG228" s="1382"/>
      <c r="AH228" s="1382"/>
      <c r="AI228" s="1382"/>
      <c r="AJ228" s="551"/>
      <c r="AK228" s="551"/>
      <c r="AL228" s="551"/>
      <c r="AM228" s="551"/>
      <c r="AN228" s="551"/>
      <c r="AO228" s="551"/>
      <c r="AP228" s="551"/>
      <c r="AQ228" s="551"/>
      <c r="AR228" s="551"/>
      <c r="AS228" s="551"/>
      <c r="AT228" s="551"/>
      <c r="AU228" s="551"/>
      <c r="AV228" s="551"/>
      <c r="AW228" s="551"/>
    </row>
    <row r="229" spans="1:49" s="30" customFormat="1" ht="15" hidden="1" customHeight="1" x14ac:dyDescent="0.25">
      <c r="A229" s="1407"/>
      <c r="B229" s="191"/>
      <c r="C229" s="945"/>
      <c r="D229" s="116"/>
      <c r="E229" s="466"/>
      <c r="F229" s="559" t="str">
        <f>IF('C-Design&amp;Const'!$G229="","",'C-Design&amp;Const'!$G229)</f>
        <v>N</v>
      </c>
      <c r="G229" s="459"/>
      <c r="H229" s="469" t="str">
        <f>CONCATENATE(IF(F229="N","PLACEHOLDER ROW - ",""),'C-Design&amp;Const'!Z229,IF(F229="N","",J229))</f>
        <v>PLACEHOLDER ROW - Construction Layout/Laydown Plan with tree protection</v>
      </c>
      <c r="I229" s="193"/>
      <c r="J229" s="578" t="str">
        <f>IF('C-Design&amp;Const'!AD229="","",'C-Design&amp;Const'!AD229)</f>
        <v>(Preliminary)</v>
      </c>
      <c r="K229" s="228"/>
      <c r="L229" s="1410" t="str">
        <f t="shared" si="10"/>
        <v>&lt;---PM/Planner may hide PLACEHOLDER ROW</v>
      </c>
      <c r="M229" s="1382"/>
      <c r="N229" s="1382"/>
      <c r="O229" s="1382"/>
      <c r="P229" s="1382"/>
      <c r="Q229" s="1382"/>
      <c r="R229" s="1382"/>
      <c r="S229" s="1382"/>
      <c r="T229" s="1382"/>
      <c r="U229" s="1382"/>
      <c r="V229" s="1382"/>
      <c r="W229" s="1382"/>
      <c r="X229" s="1382"/>
      <c r="Y229" s="1382"/>
      <c r="Z229" s="1382"/>
      <c r="AA229" s="1382"/>
      <c r="AB229" s="1382"/>
      <c r="AC229" s="1382"/>
      <c r="AD229" s="1382"/>
      <c r="AE229" s="1382"/>
      <c r="AF229" s="1382"/>
      <c r="AG229" s="1382"/>
      <c r="AH229" s="1382"/>
      <c r="AI229" s="1382"/>
      <c r="AJ229" s="181"/>
      <c r="AK229" s="181"/>
      <c r="AL229" s="181"/>
      <c r="AM229" s="181"/>
      <c r="AN229" s="181"/>
      <c r="AO229" s="181"/>
      <c r="AP229" s="181"/>
      <c r="AQ229" s="181"/>
      <c r="AR229" s="181"/>
      <c r="AS229" s="181"/>
      <c r="AT229" s="181"/>
      <c r="AU229" s="181"/>
      <c r="AV229" s="181"/>
      <c r="AW229" s="181"/>
    </row>
    <row r="230" spans="1:49" s="30" customFormat="1" ht="15" hidden="1" customHeight="1" x14ac:dyDescent="0.25">
      <c r="A230" s="1407"/>
      <c r="B230" s="191"/>
      <c r="C230" s="945"/>
      <c r="D230" s="116"/>
      <c r="E230" s="466"/>
      <c r="F230" s="559" t="str">
        <f>IF('C-Design&amp;Const'!$G230="","",'C-Design&amp;Const'!$G230)</f>
        <v>N</v>
      </c>
      <c r="G230" s="459"/>
      <c r="H230" s="469" t="str">
        <f>CONCATENATE(IF(F230="N","PLACEHOLDER ROW - ",""),'C-Design&amp;Const'!Z230,IF(F230="N","",J230))</f>
        <v xml:space="preserve">PLACEHOLDER ROW - Landscape Plan </v>
      </c>
      <c r="I230" s="193"/>
      <c r="J230" s="578" t="str">
        <f>IF('C-Design&amp;Const'!AD230="","",'C-Design&amp;Const'!AD230)</f>
        <v>(Preliminary)</v>
      </c>
      <c r="K230" s="228"/>
      <c r="L230" s="1410" t="str">
        <f t="shared" si="10"/>
        <v>&lt;---PM/Planner may hide PLACEHOLDER ROW</v>
      </c>
      <c r="M230" s="1382"/>
      <c r="N230" s="1382"/>
      <c r="O230" s="1382"/>
      <c r="P230" s="1382"/>
      <c r="Q230" s="1382"/>
      <c r="R230" s="1382"/>
      <c r="S230" s="1382"/>
      <c r="T230" s="1382"/>
      <c r="U230" s="1382"/>
      <c r="V230" s="1382"/>
      <c r="W230" s="1382"/>
      <c r="X230" s="1382"/>
      <c r="Y230" s="1382"/>
      <c r="Z230" s="1382"/>
      <c r="AA230" s="1382"/>
      <c r="AB230" s="1382"/>
      <c r="AC230" s="1382"/>
      <c r="AD230" s="1382"/>
      <c r="AE230" s="1382"/>
      <c r="AF230" s="1382"/>
      <c r="AG230" s="1382"/>
      <c r="AH230" s="1382"/>
      <c r="AI230" s="1382"/>
      <c r="AJ230" s="181"/>
      <c r="AK230" s="181"/>
      <c r="AL230" s="181"/>
      <c r="AM230" s="181"/>
      <c r="AN230" s="181"/>
      <c r="AO230" s="181"/>
      <c r="AP230" s="181"/>
      <c r="AQ230" s="181"/>
      <c r="AR230" s="181"/>
      <c r="AS230" s="181"/>
      <c r="AT230" s="181"/>
      <c r="AU230" s="181"/>
      <c r="AV230" s="181"/>
      <c r="AW230" s="181"/>
    </row>
    <row r="231" spans="1:49" s="30" customFormat="1" ht="15" hidden="1" customHeight="1" x14ac:dyDescent="0.25">
      <c r="A231" s="1407"/>
      <c r="B231" s="191"/>
      <c r="C231" s="945"/>
      <c r="D231" s="116"/>
      <c r="E231" s="559" t="str">
        <f>IF('C-Design&amp;Const'!$G231="","",'C-Design&amp;Const'!$G231)</f>
        <v>N</v>
      </c>
      <c r="F231" s="470"/>
      <c r="G231" s="459"/>
      <c r="H231" s="244" t="str">
        <f>CONCATENATE(IF(F231="N","PLACEHOLDER ROW - ",""),'C-Design&amp;Const'!Z231,IF(F231="N","",J231))</f>
        <v>Architectural Drawings</v>
      </c>
      <c r="I231" s="193"/>
      <c r="J231" s="578" t="str">
        <f>IF('C-Design&amp;Const'!AD231="","",'C-Design&amp;Const'!AD231)</f>
        <v/>
      </c>
      <c r="K231" s="228"/>
      <c r="L231" s="1410" t="str">
        <f t="shared" si="5"/>
        <v/>
      </c>
      <c r="M231" s="1382"/>
      <c r="N231" s="1382"/>
      <c r="O231" s="1382"/>
      <c r="P231" s="1382"/>
      <c r="Q231" s="1382"/>
      <c r="R231" s="1382"/>
      <c r="S231" s="1382"/>
      <c r="T231" s="1382"/>
      <c r="U231" s="1382"/>
      <c r="V231" s="1382"/>
      <c r="W231" s="1382"/>
      <c r="X231" s="1382"/>
      <c r="Y231" s="1382"/>
      <c r="Z231" s="1382"/>
      <c r="AA231" s="1382"/>
      <c r="AB231" s="1382"/>
      <c r="AC231" s="1382"/>
      <c r="AD231" s="1382"/>
      <c r="AE231" s="1382"/>
      <c r="AF231" s="1382"/>
      <c r="AG231" s="1382"/>
      <c r="AH231" s="1382"/>
      <c r="AI231" s="1382"/>
      <c r="AJ231" s="181"/>
      <c r="AK231" s="181"/>
      <c r="AL231" s="181"/>
      <c r="AM231" s="181"/>
      <c r="AN231" s="181"/>
      <c r="AO231" s="181"/>
      <c r="AP231" s="181"/>
      <c r="AQ231" s="181"/>
      <c r="AR231" s="181"/>
      <c r="AS231" s="181"/>
      <c r="AT231" s="181"/>
      <c r="AU231" s="181"/>
      <c r="AV231" s="181"/>
      <c r="AW231" s="181"/>
    </row>
    <row r="232" spans="1:49" s="30" customFormat="1" ht="15" hidden="1" customHeight="1" x14ac:dyDescent="0.25">
      <c r="A232" s="1407"/>
      <c r="B232" s="191"/>
      <c r="C232" s="945"/>
      <c r="D232" s="116"/>
      <c r="E232" s="466"/>
      <c r="F232" s="559" t="str">
        <f>IF('C-Design&amp;Const'!$G232="","",'C-Design&amp;Const'!$G232)</f>
        <v>N</v>
      </c>
      <c r="G232" s="459"/>
      <c r="H232" s="469" t="str">
        <f>CONCATENATE(IF(F232="N","PLACEHOLDER ROW - ",""),'C-Design&amp;Const'!Z232,IF(F232="N","",J232))</f>
        <v xml:space="preserve">PLACEHOLDER ROW - CUSTOM - Architectural  </v>
      </c>
      <c r="I232" s="193"/>
      <c r="J232" s="578" t="str">
        <f>IF('C-Design&amp;Const'!AD232="","",'C-Design&amp;Const'!AD232)</f>
        <v>(Preliminary)</v>
      </c>
      <c r="K232" s="228"/>
      <c r="L232" s="1410" t="str">
        <f t="shared" si="5"/>
        <v>&lt;---PM/Planner may hide PLACEHOLDER ROW</v>
      </c>
      <c r="M232" s="1382"/>
      <c r="N232" s="1382"/>
      <c r="O232" s="1382"/>
      <c r="P232" s="1382"/>
      <c r="Q232" s="1382"/>
      <c r="R232" s="1382"/>
      <c r="S232" s="1382"/>
      <c r="T232" s="1382"/>
      <c r="U232" s="1382"/>
      <c r="V232" s="1382"/>
      <c r="W232" s="1382"/>
      <c r="X232" s="1382"/>
      <c r="Y232" s="1382"/>
      <c r="Z232" s="1382"/>
      <c r="AA232" s="1382"/>
      <c r="AB232" s="1382"/>
      <c r="AC232" s="1382"/>
      <c r="AD232" s="1382"/>
      <c r="AE232" s="1382"/>
      <c r="AF232" s="1382"/>
      <c r="AG232" s="1382"/>
      <c r="AH232" s="1382"/>
      <c r="AI232" s="1382"/>
      <c r="AJ232" s="181"/>
      <c r="AK232" s="181"/>
      <c r="AL232" s="181"/>
      <c r="AM232" s="181"/>
      <c r="AN232" s="181"/>
      <c r="AO232" s="181"/>
      <c r="AP232" s="181"/>
      <c r="AQ232" s="181"/>
      <c r="AR232" s="181"/>
      <c r="AS232" s="181"/>
      <c r="AT232" s="181"/>
      <c r="AU232" s="181"/>
      <c r="AV232" s="181"/>
      <c r="AW232" s="181"/>
    </row>
    <row r="233" spans="1:49" s="30" customFormat="1" ht="15" hidden="1" customHeight="1" x14ac:dyDescent="0.25">
      <c r="A233" s="1407"/>
      <c r="B233" s="191"/>
      <c r="C233" s="945"/>
      <c r="D233" s="116"/>
      <c r="E233" s="466"/>
      <c r="F233" s="559" t="str">
        <f>IF('C-Design&amp;Const'!$G233="","",'C-Design&amp;Const'!$G233)</f>
        <v>N</v>
      </c>
      <c r="G233" s="459"/>
      <c r="H233" s="469" t="str">
        <f>CONCATENATE(IF(F233="N","PLACEHOLDER ROW - ",""),'C-Design&amp;Const'!Z233,IF(F233="N","",J233))</f>
        <v xml:space="preserve">PLACEHOLDER ROW - CUSTOM - Architectural  </v>
      </c>
      <c r="I233" s="193"/>
      <c r="J233" s="578" t="str">
        <f>IF('C-Design&amp;Const'!AD233="","",'C-Design&amp;Const'!AD233)</f>
        <v>(Preliminary)</v>
      </c>
      <c r="K233" s="228"/>
      <c r="L233" s="1410" t="str">
        <f t="shared" si="5"/>
        <v>&lt;---PM/Planner may hide PLACEHOLDER ROW</v>
      </c>
      <c r="M233" s="1382"/>
      <c r="N233" s="1382"/>
      <c r="O233" s="1382"/>
      <c r="P233" s="1382"/>
      <c r="Q233" s="1382"/>
      <c r="R233" s="1382"/>
      <c r="S233" s="1382"/>
      <c r="T233" s="1382"/>
      <c r="U233" s="1382"/>
      <c r="V233" s="1382"/>
      <c r="W233" s="1382"/>
      <c r="X233" s="1382"/>
      <c r="Y233" s="1382"/>
      <c r="Z233" s="1382"/>
      <c r="AA233" s="1382"/>
      <c r="AB233" s="1382"/>
      <c r="AC233" s="1382"/>
      <c r="AD233" s="1382"/>
      <c r="AE233" s="1382"/>
      <c r="AF233" s="1382"/>
      <c r="AG233" s="1382"/>
      <c r="AH233" s="1382"/>
      <c r="AI233" s="1382"/>
      <c r="AJ233" s="181"/>
      <c r="AK233" s="181"/>
      <c r="AL233" s="181"/>
      <c r="AM233" s="181"/>
      <c r="AN233" s="181"/>
      <c r="AO233" s="181"/>
      <c r="AP233" s="181"/>
      <c r="AQ233" s="181"/>
      <c r="AR233" s="181"/>
      <c r="AS233" s="181"/>
      <c r="AT233" s="181"/>
      <c r="AU233" s="181"/>
      <c r="AV233" s="181"/>
      <c r="AW233" s="181"/>
    </row>
    <row r="234" spans="1:49" s="545" customFormat="1" ht="15" hidden="1" customHeight="1" x14ac:dyDescent="0.25">
      <c r="A234" s="1407"/>
      <c r="B234" s="554"/>
      <c r="C234" s="945"/>
      <c r="D234" s="116"/>
      <c r="E234" s="466"/>
      <c r="F234" s="559" t="str">
        <f>IF('C-Design&amp;Const'!$G234="","",'C-Design&amp;Const'!$G234)</f>
        <v>N</v>
      </c>
      <c r="G234" s="459"/>
      <c r="H234" s="469" t="str">
        <f>CONCATENATE(IF(F234="N","PLACEHOLDER ROW - ",""),'C-Design&amp;Const'!Z234,IF(F234="N","",J234))</f>
        <v xml:space="preserve">PLACEHOLDER ROW - Architectural Symbols, Abbreviations, and General Notes </v>
      </c>
      <c r="I234" s="193"/>
      <c r="J234" s="578" t="str">
        <f>IF('C-Design&amp;Const'!AD234="","",'C-Design&amp;Const'!AD234)</f>
        <v>(Preliminary)</v>
      </c>
      <c r="K234" s="228"/>
      <c r="L234" s="1410" t="str">
        <f t="shared" si="5"/>
        <v>&lt;---PM/Planner may hide PLACEHOLDER ROW</v>
      </c>
      <c r="M234" s="1382"/>
      <c r="N234" s="1382"/>
      <c r="O234" s="1382"/>
      <c r="P234" s="1382"/>
      <c r="Q234" s="1382"/>
      <c r="R234" s="1382"/>
      <c r="S234" s="1382"/>
      <c r="T234" s="1382"/>
      <c r="U234" s="1382"/>
      <c r="V234" s="1382"/>
      <c r="W234" s="1382"/>
      <c r="X234" s="1382"/>
      <c r="Y234" s="1382"/>
      <c r="Z234" s="1382"/>
      <c r="AA234" s="1382"/>
      <c r="AB234" s="1382"/>
      <c r="AC234" s="1382"/>
      <c r="AD234" s="1382"/>
      <c r="AE234" s="1382"/>
      <c r="AF234" s="1382"/>
      <c r="AG234" s="1382"/>
      <c r="AH234" s="1382"/>
      <c r="AI234" s="1382"/>
      <c r="AJ234" s="551"/>
      <c r="AK234" s="551"/>
      <c r="AL234" s="551"/>
      <c r="AM234" s="551"/>
      <c r="AN234" s="551"/>
      <c r="AO234" s="551"/>
      <c r="AP234" s="551"/>
      <c r="AQ234" s="551"/>
      <c r="AR234" s="551"/>
      <c r="AS234" s="551"/>
      <c r="AT234" s="551"/>
      <c r="AU234" s="551"/>
      <c r="AV234" s="551"/>
      <c r="AW234" s="551"/>
    </row>
    <row r="235" spans="1:49" s="30" customFormat="1" ht="15" hidden="1" customHeight="1" x14ac:dyDescent="0.25">
      <c r="A235" s="1407"/>
      <c r="B235" s="191"/>
      <c r="C235" s="945"/>
      <c r="D235" s="116"/>
      <c r="E235" s="466"/>
      <c r="F235" s="559" t="str">
        <f>IF('C-Design&amp;Const'!$G235="","",'C-Design&amp;Const'!$G235)</f>
        <v>N</v>
      </c>
      <c r="G235" s="459"/>
      <c r="H235" s="469" t="str">
        <f>CONCATENATE(IF(F235="N","PLACEHOLDER ROW - ",""),'C-Design&amp;Const'!Z235,IF(F235="N","",J235))</f>
        <v xml:space="preserve">PLACEHOLDER ROW - Renderings </v>
      </c>
      <c r="I235" s="193"/>
      <c r="J235" s="578" t="str">
        <f>IF('C-Design&amp;Const'!AD235="","",'C-Design&amp;Const'!AD235)</f>
        <v>(Preliminary)</v>
      </c>
      <c r="K235" s="228"/>
      <c r="L235" s="1410" t="str">
        <f t="shared" si="5"/>
        <v>&lt;---PM/Planner may hide PLACEHOLDER ROW</v>
      </c>
      <c r="M235" s="1382"/>
      <c r="N235" s="1382"/>
      <c r="O235" s="1382"/>
      <c r="P235" s="1382"/>
      <c r="Q235" s="1382"/>
      <c r="R235" s="1382"/>
      <c r="S235" s="1382"/>
      <c r="T235" s="1382"/>
      <c r="U235" s="1382"/>
      <c r="V235" s="1382"/>
      <c r="W235" s="1382"/>
      <c r="X235" s="1382"/>
      <c r="Y235" s="1382"/>
      <c r="Z235" s="1382"/>
      <c r="AA235" s="1382"/>
      <c r="AB235" s="1382"/>
      <c r="AC235" s="1382"/>
      <c r="AD235" s="1382"/>
      <c r="AE235" s="1382"/>
      <c r="AF235" s="1382"/>
      <c r="AG235" s="1382"/>
      <c r="AH235" s="1382"/>
      <c r="AI235" s="1382"/>
      <c r="AJ235" s="181"/>
      <c r="AK235" s="181"/>
      <c r="AL235" s="181"/>
      <c r="AM235" s="181"/>
      <c r="AN235" s="181"/>
      <c r="AO235" s="181"/>
      <c r="AP235" s="181"/>
      <c r="AQ235" s="181"/>
      <c r="AR235" s="181"/>
      <c r="AS235" s="181"/>
      <c r="AT235" s="181"/>
      <c r="AU235" s="181"/>
      <c r="AV235" s="181"/>
      <c r="AW235" s="181"/>
    </row>
    <row r="236" spans="1:49" s="545" customFormat="1" ht="15" hidden="1" customHeight="1" x14ac:dyDescent="0.25">
      <c r="A236" s="1402"/>
      <c r="B236" s="554"/>
      <c r="C236" s="945"/>
      <c r="D236" s="116"/>
      <c r="E236" s="411"/>
      <c r="F236" s="559" t="str">
        <f>IF('C-Design&amp;Const'!$G236="","",'C-Design&amp;Const'!$G236)</f>
        <v>N</v>
      </c>
      <c r="G236" s="457"/>
      <c r="H236" s="469" t="str">
        <f>CONCATENATE(IF(F236="N","PLACEHOLDER ROW - ",""),'C-Design&amp;Const'!Z236,IF(F236="N","",J236))</f>
        <v xml:space="preserve">PLACEHOLDER ROW - Demolition(s) </v>
      </c>
      <c r="I236" s="197"/>
      <c r="J236" s="578"/>
      <c r="K236" s="228"/>
      <c r="L236" s="1410"/>
      <c r="M236" s="1382"/>
      <c r="N236" s="1382"/>
      <c r="O236" s="1382"/>
      <c r="P236" s="1382"/>
      <c r="Q236" s="1382"/>
      <c r="R236" s="1382"/>
      <c r="S236" s="1382"/>
      <c r="T236" s="1382"/>
      <c r="U236" s="1382"/>
      <c r="V236" s="1382"/>
      <c r="W236" s="1382"/>
      <c r="X236" s="1382"/>
      <c r="Y236" s="1382"/>
      <c r="Z236" s="1382"/>
      <c r="AA236" s="1382"/>
      <c r="AB236" s="1382"/>
      <c r="AC236" s="1382"/>
      <c r="AD236" s="1382"/>
      <c r="AE236" s="1382"/>
      <c r="AF236" s="1382"/>
      <c r="AG236" s="1382"/>
      <c r="AH236" s="1382"/>
      <c r="AI236" s="1382"/>
      <c r="AJ236" s="551"/>
      <c r="AK236" s="551"/>
      <c r="AL236" s="551"/>
      <c r="AM236" s="551"/>
      <c r="AN236" s="551"/>
      <c r="AO236" s="551"/>
      <c r="AP236" s="551"/>
      <c r="AQ236" s="551"/>
      <c r="AR236" s="551"/>
      <c r="AS236" s="551"/>
      <c r="AT236" s="551"/>
      <c r="AU236" s="551"/>
      <c r="AV236" s="551"/>
      <c r="AW236" s="551"/>
    </row>
    <row r="237" spans="1:49" s="30" customFormat="1" ht="15" hidden="1" customHeight="1" x14ac:dyDescent="0.25">
      <c r="A237" s="1407"/>
      <c r="B237" s="191"/>
      <c r="C237" s="945"/>
      <c r="D237" s="116"/>
      <c r="E237" s="466"/>
      <c r="F237" s="559" t="str">
        <f>IF('C-Design&amp;Const'!$G237="","",'C-Design&amp;Const'!$G237)</f>
        <v>N</v>
      </c>
      <c r="G237" s="459"/>
      <c r="H237" s="469" t="str">
        <f>CONCATENATE(IF(F237="N","PLACEHOLDER ROW - ",""),'C-Design&amp;Const'!Z237,IF(F237="N","",J237))</f>
        <v xml:space="preserve">PLACEHOLDER ROW - Floor Plans - Large Scale </v>
      </c>
      <c r="I237" s="193"/>
      <c r="J237" s="578" t="str">
        <f>IF('C-Design&amp;Const'!AD237="","",'C-Design&amp;Const'!AD237)</f>
        <v>(Preliminary)</v>
      </c>
      <c r="K237" s="228"/>
      <c r="L237" s="1410" t="str">
        <f>CONCATENATE(IF(ISNUMBER(SEARCH("Placeholder",H237))=TRUE,"&lt;---PM/Planner may hide PLACEHOLDER ROW",""))</f>
        <v>&lt;---PM/Planner may hide PLACEHOLDER ROW</v>
      </c>
      <c r="M237" s="1382"/>
      <c r="N237" s="1382"/>
      <c r="O237" s="1382"/>
      <c r="P237" s="1382"/>
      <c r="Q237" s="1382"/>
      <c r="R237" s="1382"/>
      <c r="S237" s="1382"/>
      <c r="T237" s="1382"/>
      <c r="U237" s="1382"/>
      <c r="V237" s="1382"/>
      <c r="W237" s="1382"/>
      <c r="X237" s="1382"/>
      <c r="Y237" s="1382"/>
      <c r="Z237" s="1382"/>
      <c r="AA237" s="1382"/>
      <c r="AB237" s="1382"/>
      <c r="AC237" s="1382"/>
      <c r="AD237" s="1382"/>
      <c r="AE237" s="1382"/>
      <c r="AF237" s="1382"/>
      <c r="AG237" s="1382"/>
      <c r="AH237" s="1382"/>
      <c r="AI237" s="1382"/>
      <c r="AJ237" s="181"/>
      <c r="AK237" s="181"/>
      <c r="AL237" s="181"/>
      <c r="AM237" s="181"/>
      <c r="AN237" s="181"/>
      <c r="AO237" s="181"/>
      <c r="AP237" s="181"/>
      <c r="AQ237" s="181"/>
      <c r="AR237" s="181"/>
      <c r="AS237" s="181"/>
      <c r="AT237" s="181"/>
      <c r="AU237" s="181"/>
      <c r="AV237" s="181"/>
      <c r="AW237" s="181"/>
    </row>
    <row r="238" spans="1:49" s="30" customFormat="1" ht="15" hidden="1" customHeight="1" x14ac:dyDescent="0.25">
      <c r="A238" s="1407"/>
      <c r="B238" s="191"/>
      <c r="C238" s="945"/>
      <c r="D238" s="116"/>
      <c r="E238" s="466"/>
      <c r="F238" s="559" t="str">
        <f>IF('C-Design&amp;Const'!$G238="","",'C-Design&amp;Const'!$G238)</f>
        <v>N</v>
      </c>
      <c r="G238" s="459"/>
      <c r="H238" s="469" t="str">
        <f>CONCATENATE(IF(F238="N","PLACEHOLDER ROW - ",""),'C-Design&amp;Const'!Z238,IF(F238="N","",J238))</f>
        <v xml:space="preserve">PLACEHOLDER ROW - Floor Plans </v>
      </c>
      <c r="I238" s="193"/>
      <c r="J238" s="578" t="str">
        <f>IF('C-Design&amp;Const'!AD238="","",'C-Design&amp;Const'!AD238)</f>
        <v>(Preliminary)</v>
      </c>
      <c r="K238" s="228"/>
      <c r="L238" s="1410" t="str">
        <f t="shared" si="5"/>
        <v>&lt;---PM/Planner may hide PLACEHOLDER ROW</v>
      </c>
      <c r="M238" s="1382"/>
      <c r="N238" s="1382"/>
      <c r="O238" s="1382"/>
      <c r="P238" s="1382"/>
      <c r="Q238" s="1382"/>
      <c r="R238" s="1382"/>
      <c r="S238" s="1382"/>
      <c r="T238" s="1382"/>
      <c r="U238" s="1382"/>
      <c r="V238" s="1382"/>
      <c r="W238" s="1382"/>
      <c r="X238" s="1382"/>
      <c r="Y238" s="1382"/>
      <c r="Z238" s="1382"/>
      <c r="AA238" s="1382"/>
      <c r="AB238" s="1382"/>
      <c r="AC238" s="1382"/>
      <c r="AD238" s="1382"/>
      <c r="AE238" s="1382"/>
      <c r="AF238" s="1382"/>
      <c r="AG238" s="1382"/>
      <c r="AH238" s="1382"/>
      <c r="AI238" s="1382"/>
      <c r="AJ238" s="181"/>
      <c r="AK238" s="181"/>
      <c r="AL238" s="181"/>
      <c r="AM238" s="181"/>
      <c r="AN238" s="181"/>
      <c r="AO238" s="181"/>
      <c r="AP238" s="181"/>
      <c r="AQ238" s="181"/>
      <c r="AR238" s="181"/>
      <c r="AS238" s="181"/>
      <c r="AT238" s="181"/>
      <c r="AU238" s="181"/>
      <c r="AV238" s="181"/>
      <c r="AW238" s="181"/>
    </row>
    <row r="239" spans="1:49" s="30" customFormat="1" ht="15" hidden="1" customHeight="1" x14ac:dyDescent="0.25">
      <c r="A239" s="1407"/>
      <c r="B239" s="191"/>
      <c r="C239" s="945"/>
      <c r="D239" s="116"/>
      <c r="E239" s="466"/>
      <c r="F239" s="559" t="str">
        <f>IF('C-Design&amp;Const'!$G239="","",'C-Design&amp;Const'!$G239)</f>
        <v>N</v>
      </c>
      <c r="G239" s="459"/>
      <c r="H239" s="469" t="str">
        <f>CONCATENATE(IF(F239="N","PLACEHOLDER ROW - ",""),'C-Design&amp;Const'!Z239,IF(F239="N","",J239))</f>
        <v xml:space="preserve">PLACEHOLDER ROW - Roof Plan </v>
      </c>
      <c r="I239" s="193"/>
      <c r="J239" s="578" t="str">
        <f>IF('C-Design&amp;Const'!AD239="","",'C-Design&amp;Const'!AD239)</f>
        <v>(Preliminary)</v>
      </c>
      <c r="K239" s="228"/>
      <c r="L239" s="1410" t="str">
        <f t="shared" si="5"/>
        <v>&lt;---PM/Planner may hide PLACEHOLDER ROW</v>
      </c>
      <c r="M239" s="1382"/>
      <c r="N239" s="1382"/>
      <c r="O239" s="1382"/>
      <c r="P239" s="1382"/>
      <c r="Q239" s="1382"/>
      <c r="R239" s="1382"/>
      <c r="S239" s="1382"/>
      <c r="T239" s="1382"/>
      <c r="U239" s="1382"/>
      <c r="V239" s="1382"/>
      <c r="W239" s="1382"/>
      <c r="X239" s="1382"/>
      <c r="Y239" s="1382"/>
      <c r="Z239" s="1382"/>
      <c r="AA239" s="1382"/>
      <c r="AB239" s="1382"/>
      <c r="AC239" s="1382"/>
      <c r="AD239" s="1382"/>
      <c r="AE239" s="1382"/>
      <c r="AF239" s="1382"/>
      <c r="AG239" s="1382"/>
      <c r="AH239" s="1382"/>
      <c r="AI239" s="1382"/>
      <c r="AJ239" s="181"/>
      <c r="AK239" s="181"/>
      <c r="AL239" s="181"/>
      <c r="AM239" s="181"/>
      <c r="AN239" s="181"/>
      <c r="AO239" s="181"/>
      <c r="AP239" s="181"/>
      <c r="AQ239" s="181"/>
      <c r="AR239" s="181"/>
      <c r="AS239" s="181"/>
      <c r="AT239" s="181"/>
      <c r="AU239" s="181"/>
      <c r="AV239" s="181"/>
      <c r="AW239" s="181"/>
    </row>
    <row r="240" spans="1:49" s="30" customFormat="1" ht="15" hidden="1" customHeight="1" x14ac:dyDescent="0.25">
      <c r="A240" s="1407"/>
      <c r="B240" s="191"/>
      <c r="C240" s="945"/>
      <c r="D240" s="116"/>
      <c r="E240" s="466"/>
      <c r="F240" s="559" t="str">
        <f>IF('C-Design&amp;Const'!$G240="","",'C-Design&amp;Const'!$G240)</f>
        <v>N</v>
      </c>
      <c r="G240" s="459"/>
      <c r="H240" s="469" t="str">
        <f>CONCATENATE(IF(F240="N","PLACEHOLDER ROW - ",""),'C-Design&amp;Const'!Z240,IF(F240="N","",J240))</f>
        <v xml:space="preserve">PLACEHOLDER ROW - Building Elevations - Exterior </v>
      </c>
      <c r="I240" s="193"/>
      <c r="J240" s="578" t="str">
        <f>IF('C-Design&amp;Const'!AD240="","",'C-Design&amp;Const'!AD240)</f>
        <v>(Preliminary)</v>
      </c>
      <c r="K240" s="228"/>
      <c r="L240" s="1410" t="str">
        <f t="shared" si="5"/>
        <v>&lt;---PM/Planner may hide PLACEHOLDER ROW</v>
      </c>
      <c r="M240" s="1382"/>
      <c r="N240" s="1382"/>
      <c r="O240" s="1382"/>
      <c r="P240" s="1382"/>
      <c r="Q240" s="1382"/>
      <c r="R240" s="1382"/>
      <c r="S240" s="1382"/>
      <c r="T240" s="1382"/>
      <c r="U240" s="1382"/>
      <c r="V240" s="1382"/>
      <c r="W240" s="1382"/>
      <c r="X240" s="1382"/>
      <c r="Y240" s="1382"/>
      <c r="Z240" s="1382"/>
      <c r="AA240" s="1382"/>
      <c r="AB240" s="1382"/>
      <c r="AC240" s="1382"/>
      <c r="AD240" s="1382"/>
      <c r="AE240" s="1382"/>
      <c r="AF240" s="1382"/>
      <c r="AG240" s="1382"/>
      <c r="AH240" s="1382"/>
      <c r="AI240" s="1382"/>
      <c r="AJ240" s="181"/>
      <c r="AK240" s="181"/>
      <c r="AL240" s="181"/>
      <c r="AM240" s="181"/>
      <c r="AN240" s="181"/>
      <c r="AO240" s="181"/>
      <c r="AP240" s="181"/>
      <c r="AQ240" s="181"/>
      <c r="AR240" s="181"/>
      <c r="AS240" s="181"/>
      <c r="AT240" s="181"/>
      <c r="AU240" s="181"/>
      <c r="AV240" s="181"/>
      <c r="AW240" s="181"/>
    </row>
    <row r="241" spans="1:49" s="30" customFormat="1" ht="15" hidden="1" customHeight="1" x14ac:dyDescent="0.25">
      <c r="A241" s="1407"/>
      <c r="B241" s="191"/>
      <c r="C241" s="945"/>
      <c r="D241" s="116"/>
      <c r="E241" s="466"/>
      <c r="F241" s="559" t="str">
        <f>IF('C-Design&amp;Const'!$G241="","",'C-Design&amp;Const'!$G241)</f>
        <v>N</v>
      </c>
      <c r="G241" s="459"/>
      <c r="H241" s="469" t="str">
        <f>CONCATENATE(IF(F241="N","PLACEHOLDER ROW - ",""),'C-Design&amp;Const'!Z241,IF(F241="N","",J241))</f>
        <v xml:space="preserve">PLACEHOLDER ROW - Transverse and Longitudinal Sections </v>
      </c>
      <c r="I241" s="193"/>
      <c r="J241" s="578" t="str">
        <f>IF('C-Design&amp;Const'!AD241="","",'C-Design&amp;Const'!AD241)</f>
        <v>(Preliminary)</v>
      </c>
      <c r="K241" s="228"/>
      <c r="L241" s="1410" t="str">
        <f t="shared" si="5"/>
        <v>&lt;---PM/Planner may hide PLACEHOLDER ROW</v>
      </c>
      <c r="M241" s="1382"/>
      <c r="N241" s="1382"/>
      <c r="O241" s="1382"/>
      <c r="P241" s="1382"/>
      <c r="Q241" s="1382"/>
      <c r="R241" s="1382"/>
      <c r="S241" s="1382"/>
      <c r="T241" s="1382"/>
      <c r="U241" s="1382"/>
      <c r="V241" s="1382"/>
      <c r="W241" s="1382"/>
      <c r="X241" s="1382"/>
      <c r="Y241" s="1382"/>
      <c r="Z241" s="1382"/>
      <c r="AA241" s="1382"/>
      <c r="AB241" s="1382"/>
      <c r="AC241" s="1382"/>
      <c r="AD241" s="1382"/>
      <c r="AE241" s="1382"/>
      <c r="AF241" s="1382"/>
      <c r="AG241" s="1382"/>
      <c r="AH241" s="1382"/>
      <c r="AI241" s="1382"/>
      <c r="AJ241" s="181"/>
      <c r="AK241" s="181"/>
      <c r="AL241" s="181"/>
      <c r="AM241" s="181"/>
      <c r="AN241" s="181"/>
      <c r="AO241" s="181"/>
      <c r="AP241" s="181"/>
      <c r="AQ241" s="181"/>
      <c r="AR241" s="181"/>
      <c r="AS241" s="181"/>
      <c r="AT241" s="181"/>
      <c r="AU241" s="181"/>
      <c r="AV241" s="181"/>
      <c r="AW241" s="181"/>
    </row>
    <row r="242" spans="1:49" s="30" customFormat="1" ht="15" hidden="1" customHeight="1" x14ac:dyDescent="0.25">
      <c r="A242" s="1407"/>
      <c r="B242" s="191"/>
      <c r="C242" s="945"/>
      <c r="D242" s="116"/>
      <c r="E242" s="466"/>
      <c r="F242" s="559" t="str">
        <f>IF('C-Design&amp;Const'!$G242="","",'C-Design&amp;Const'!$G242)</f>
        <v>N</v>
      </c>
      <c r="G242" s="459"/>
      <c r="H242" s="469" t="str">
        <f>CONCATENATE(IF(F242="N","PLACEHOLDER ROW - ",""),'C-Design&amp;Const'!Z242,IF(F242="N","",J242))</f>
        <v xml:space="preserve">PLACEHOLDER ROW - Wall Sections - All Major Exterior </v>
      </c>
      <c r="I242" s="193"/>
      <c r="J242" s="578" t="str">
        <f>IF('C-Design&amp;Const'!AD242="","",'C-Design&amp;Const'!AD242)</f>
        <v>(Preliminary)</v>
      </c>
      <c r="K242" s="228"/>
      <c r="L242" s="1410" t="str">
        <f t="shared" si="5"/>
        <v>&lt;---PM/Planner may hide PLACEHOLDER ROW</v>
      </c>
      <c r="M242" s="1382"/>
      <c r="N242" s="1382"/>
      <c r="O242" s="1382"/>
      <c r="P242" s="1382"/>
      <c r="Q242" s="1382"/>
      <c r="R242" s="1382"/>
      <c r="S242" s="1382"/>
      <c r="T242" s="1382"/>
      <c r="U242" s="1382"/>
      <c r="V242" s="1382"/>
      <c r="W242" s="1382"/>
      <c r="X242" s="1382"/>
      <c r="Y242" s="1382"/>
      <c r="Z242" s="1382"/>
      <c r="AA242" s="1382"/>
      <c r="AB242" s="1382"/>
      <c r="AC242" s="1382"/>
      <c r="AD242" s="1382"/>
      <c r="AE242" s="1382"/>
      <c r="AF242" s="1382"/>
      <c r="AG242" s="1382"/>
      <c r="AH242" s="1382"/>
      <c r="AI242" s="1382"/>
      <c r="AJ242" s="181"/>
      <c r="AK242" s="181"/>
      <c r="AL242" s="181"/>
      <c r="AM242" s="181"/>
      <c r="AN242" s="181"/>
      <c r="AO242" s="181"/>
      <c r="AP242" s="181"/>
      <c r="AQ242" s="181"/>
      <c r="AR242" s="181"/>
      <c r="AS242" s="181"/>
      <c r="AT242" s="181"/>
      <c r="AU242" s="181"/>
      <c r="AV242" s="181"/>
      <c r="AW242" s="181"/>
    </row>
    <row r="243" spans="1:49" s="30" customFormat="1" ht="15" hidden="1" customHeight="1" x14ac:dyDescent="0.25">
      <c r="A243" s="1407"/>
      <c r="B243" s="191"/>
      <c r="C243" s="945"/>
      <c r="D243" s="116"/>
      <c r="E243" s="466"/>
      <c r="F243" s="559" t="str">
        <f>IF('C-Design&amp;Const'!$G243="","",'C-Design&amp;Const'!$G243)</f>
        <v>N</v>
      </c>
      <c r="G243" s="459"/>
      <c r="H243" s="469" t="str">
        <f>CONCATENATE(IF(F243="N","PLACEHOLDER ROW - ",""),'C-Design&amp;Const'!Z243,IF(F243="N","",J243))</f>
        <v xml:space="preserve">PLACEHOLDER ROW - Partial Sections and Details </v>
      </c>
      <c r="I243" s="193"/>
      <c r="J243" s="578" t="str">
        <f>IF('C-Design&amp;Const'!AD243="","",'C-Design&amp;Const'!AD243)</f>
        <v>(Preliminary)</v>
      </c>
      <c r="K243" s="228"/>
      <c r="L243" s="1410" t="str">
        <f t="shared" si="5"/>
        <v>&lt;---PM/Planner may hide PLACEHOLDER ROW</v>
      </c>
      <c r="M243" s="1382"/>
      <c r="N243" s="1382"/>
      <c r="O243" s="1382"/>
      <c r="P243" s="1382"/>
      <c r="Q243" s="1382"/>
      <c r="R243" s="1382"/>
      <c r="S243" s="1382"/>
      <c r="T243" s="1382"/>
      <c r="U243" s="1382"/>
      <c r="V243" s="1382"/>
      <c r="W243" s="1382"/>
      <c r="X243" s="1382"/>
      <c r="Y243" s="1382"/>
      <c r="Z243" s="1382"/>
      <c r="AA243" s="1382"/>
      <c r="AB243" s="1382"/>
      <c r="AC243" s="1382"/>
      <c r="AD243" s="1382"/>
      <c r="AE243" s="1382"/>
      <c r="AF243" s="1382"/>
      <c r="AG243" s="1382"/>
      <c r="AH243" s="1382"/>
      <c r="AI243" s="1382"/>
      <c r="AJ243" s="181"/>
      <c r="AK243" s="181"/>
      <c r="AL243" s="181"/>
      <c r="AM243" s="181"/>
      <c r="AN243" s="181"/>
      <c r="AO243" s="181"/>
      <c r="AP243" s="181"/>
      <c r="AQ243" s="181"/>
      <c r="AR243" s="181"/>
      <c r="AS243" s="181"/>
      <c r="AT243" s="181"/>
      <c r="AU243" s="181"/>
      <c r="AV243" s="181"/>
      <c r="AW243" s="181"/>
    </row>
    <row r="244" spans="1:49" s="30" customFormat="1" ht="15" hidden="1" customHeight="1" x14ac:dyDescent="0.25">
      <c r="A244" s="1407"/>
      <c r="B244" s="191"/>
      <c r="C244" s="945"/>
      <c r="D244" s="116"/>
      <c r="E244" s="466"/>
      <c r="F244" s="559" t="str">
        <f>IF('C-Design&amp;Const'!$G244="","",'C-Design&amp;Const'!$G244)</f>
        <v>N</v>
      </c>
      <c r="G244" s="459"/>
      <c r="H244" s="469" t="str">
        <f>CONCATENATE(IF(F244="N","PLACEHOLDER ROW - ",""),'C-Design&amp;Const'!Z244,IF(F244="N","",J244))</f>
        <v xml:space="preserve">PLACEHOLDER ROW - Wall / Window Details </v>
      </c>
      <c r="I244" s="193"/>
      <c r="J244" s="578" t="str">
        <f>IF('C-Design&amp;Const'!AD244="","",'C-Design&amp;Const'!AD244)</f>
        <v>(Approx. 50% Complete)</v>
      </c>
      <c r="K244" s="228"/>
      <c r="L244" s="1410" t="str">
        <f t="shared" si="5"/>
        <v>&lt;---PM/Planner may hide PLACEHOLDER ROW</v>
      </c>
      <c r="M244" s="1382"/>
      <c r="N244" s="1382"/>
      <c r="O244" s="1382"/>
      <c r="P244" s="1382"/>
      <c r="Q244" s="1382"/>
      <c r="R244" s="1382"/>
      <c r="S244" s="1382"/>
      <c r="T244" s="1382"/>
      <c r="U244" s="1382"/>
      <c r="V244" s="1382"/>
      <c r="W244" s="1382"/>
      <c r="X244" s="1382"/>
      <c r="Y244" s="1382"/>
      <c r="Z244" s="1382"/>
      <c r="AA244" s="1382"/>
      <c r="AB244" s="1382"/>
      <c r="AC244" s="1382"/>
      <c r="AD244" s="1382"/>
      <c r="AE244" s="1382"/>
      <c r="AF244" s="1382"/>
      <c r="AG244" s="1382"/>
      <c r="AH244" s="1382"/>
      <c r="AI244" s="1382"/>
      <c r="AJ244" s="181"/>
      <c r="AK244" s="181"/>
      <c r="AL244" s="181"/>
      <c r="AM244" s="181"/>
      <c r="AN244" s="181"/>
      <c r="AO244" s="181"/>
      <c r="AP244" s="181"/>
      <c r="AQ244" s="181"/>
      <c r="AR244" s="181"/>
      <c r="AS244" s="181"/>
      <c r="AT244" s="181"/>
      <c r="AU244" s="181"/>
      <c r="AV244" s="181"/>
      <c r="AW244" s="181"/>
    </row>
    <row r="245" spans="1:49" s="30" customFormat="1" ht="15" hidden="1" customHeight="1" x14ac:dyDescent="0.25">
      <c r="A245" s="1407"/>
      <c r="B245" s="191"/>
      <c r="C245" s="945"/>
      <c r="D245" s="116"/>
      <c r="E245" s="466"/>
      <c r="F245" s="559" t="str">
        <f>IF('C-Design&amp;Const'!$G245="","",'C-Design&amp;Const'!$G245)</f>
        <v>N</v>
      </c>
      <c r="G245" s="459"/>
      <c r="H245" s="469" t="str">
        <f>CONCATENATE(IF(F245="N","PLACEHOLDER ROW - ",""),'C-Design&amp;Const'!Z245,IF(F245="N","",J245))</f>
        <v xml:space="preserve">PLACEHOLDER ROW - Sections through Elevators </v>
      </c>
      <c r="I245" s="193"/>
      <c r="J245" s="578" t="str">
        <f>IF('C-Design&amp;Const'!AD245="","",'C-Design&amp;Const'!AD245)</f>
        <v>(Preliminary)</v>
      </c>
      <c r="K245" s="228"/>
      <c r="L245" s="1410" t="str">
        <f t="shared" si="5"/>
        <v>&lt;---PM/Planner may hide PLACEHOLDER ROW</v>
      </c>
      <c r="M245" s="1382"/>
      <c r="N245" s="1382"/>
      <c r="O245" s="1382"/>
      <c r="P245" s="1382"/>
      <c r="Q245" s="1382"/>
      <c r="R245" s="1382"/>
      <c r="S245" s="1382"/>
      <c r="T245" s="1382"/>
      <c r="U245" s="1382"/>
      <c r="V245" s="1382"/>
      <c r="W245" s="1382"/>
      <c r="X245" s="1382"/>
      <c r="Y245" s="1382"/>
      <c r="Z245" s="1382"/>
      <c r="AA245" s="1382"/>
      <c r="AB245" s="1382"/>
      <c r="AC245" s="1382"/>
      <c r="AD245" s="1382"/>
      <c r="AE245" s="1382"/>
      <c r="AF245" s="1382"/>
      <c r="AG245" s="1382"/>
      <c r="AH245" s="1382"/>
      <c r="AI245" s="1382"/>
      <c r="AJ245" s="181"/>
      <c r="AK245" s="181"/>
      <c r="AL245" s="181"/>
      <c r="AM245" s="181"/>
      <c r="AN245" s="181"/>
      <c r="AO245" s="181"/>
      <c r="AP245" s="181"/>
      <c r="AQ245" s="181"/>
      <c r="AR245" s="181"/>
      <c r="AS245" s="181"/>
      <c r="AT245" s="181"/>
      <c r="AU245" s="181"/>
      <c r="AV245" s="181"/>
      <c r="AW245" s="181"/>
    </row>
    <row r="246" spans="1:49" s="30" customFormat="1" ht="15" hidden="1" customHeight="1" x14ac:dyDescent="0.25">
      <c r="A246" s="1407"/>
      <c r="B246" s="191"/>
      <c r="C246" s="945"/>
      <c r="D246" s="116"/>
      <c r="E246" s="466"/>
      <c r="F246" s="559" t="str">
        <f>IF('C-Design&amp;Const'!$G246="","",'C-Design&amp;Const'!$G246)</f>
        <v>N</v>
      </c>
      <c r="G246" s="459"/>
      <c r="H246" s="469" t="str">
        <f>CONCATENATE(IF(F246="N","PLACEHOLDER ROW - ",""),'C-Design&amp;Const'!Z246,IF(F246="N","",J246))</f>
        <v xml:space="preserve">PLACEHOLDER ROW - Exterior Wall and Roof Details </v>
      </c>
      <c r="I246" s="193"/>
      <c r="J246" s="578" t="str">
        <f>IF('C-Design&amp;Const'!AD246="","",'C-Design&amp;Const'!AD246)</f>
        <v>(Preliminary)</v>
      </c>
      <c r="K246" s="228"/>
      <c r="L246" s="1410" t="str">
        <f t="shared" si="5"/>
        <v>&lt;---PM/Planner may hide PLACEHOLDER ROW</v>
      </c>
      <c r="M246" s="1382"/>
      <c r="N246" s="1382"/>
      <c r="O246" s="1382"/>
      <c r="P246" s="1382"/>
      <c r="Q246" s="1382"/>
      <c r="R246" s="1382"/>
      <c r="S246" s="1382"/>
      <c r="T246" s="1382"/>
      <c r="U246" s="1382"/>
      <c r="V246" s="1382"/>
      <c r="W246" s="1382"/>
      <c r="X246" s="1382"/>
      <c r="Y246" s="1382"/>
      <c r="Z246" s="1382"/>
      <c r="AA246" s="1382"/>
      <c r="AB246" s="1382"/>
      <c r="AC246" s="1382"/>
      <c r="AD246" s="1382"/>
      <c r="AE246" s="1382"/>
      <c r="AF246" s="1382"/>
      <c r="AG246" s="1382"/>
      <c r="AH246" s="1382"/>
      <c r="AI246" s="1382"/>
      <c r="AJ246" s="181"/>
      <c r="AK246" s="181"/>
      <c r="AL246" s="181"/>
      <c r="AM246" s="181"/>
      <c r="AN246" s="181"/>
      <c r="AO246" s="181"/>
      <c r="AP246" s="181"/>
      <c r="AQ246" s="181"/>
      <c r="AR246" s="181"/>
      <c r="AS246" s="181"/>
      <c r="AT246" s="181"/>
      <c r="AU246" s="181"/>
      <c r="AV246" s="181"/>
      <c r="AW246" s="181"/>
    </row>
    <row r="247" spans="1:49" s="30" customFormat="1" ht="15" hidden="1" customHeight="1" x14ac:dyDescent="0.25">
      <c r="A247" s="1407"/>
      <c r="B247" s="191"/>
      <c r="C247" s="945"/>
      <c r="D247" s="116"/>
      <c r="E247" s="466"/>
      <c r="F247" s="559" t="str">
        <f>IF('C-Design&amp;Const'!$G247="","",'C-Design&amp;Const'!$G247)</f>
        <v>N</v>
      </c>
      <c r="G247" s="459"/>
      <c r="H247" s="469" t="str">
        <f>CONCATENATE(IF(F247="N","PLACEHOLDER ROW - ",""),'C-Design&amp;Const'!Z247,IF(F247="N","",J247))</f>
        <v xml:space="preserve">PLACEHOLDER ROW - Reflected Ceiling Plan </v>
      </c>
      <c r="I247" s="193"/>
      <c r="J247" s="578" t="str">
        <f>IF('C-Design&amp;Const'!AD247="","",'C-Design&amp;Const'!AD247)</f>
        <v>(Preliminary)</v>
      </c>
      <c r="K247" s="228"/>
      <c r="L247" s="1410" t="str">
        <f t="shared" si="5"/>
        <v>&lt;---PM/Planner may hide PLACEHOLDER ROW</v>
      </c>
      <c r="M247" s="1382"/>
      <c r="N247" s="1382"/>
      <c r="O247" s="1382"/>
      <c r="P247" s="1382"/>
      <c r="Q247" s="1382"/>
      <c r="R247" s="1382"/>
      <c r="S247" s="1382"/>
      <c r="T247" s="1382"/>
      <c r="U247" s="1382"/>
      <c r="V247" s="1382"/>
      <c r="W247" s="1382"/>
      <c r="X247" s="1382"/>
      <c r="Y247" s="1382"/>
      <c r="Z247" s="1382"/>
      <c r="AA247" s="1382"/>
      <c r="AB247" s="1382"/>
      <c r="AC247" s="1382"/>
      <c r="AD247" s="1382"/>
      <c r="AE247" s="1382"/>
      <c r="AF247" s="1382"/>
      <c r="AG247" s="1382"/>
      <c r="AH247" s="1382"/>
      <c r="AI247" s="1382"/>
      <c r="AJ247" s="181"/>
      <c r="AK247" s="181"/>
      <c r="AL247" s="181"/>
      <c r="AM247" s="181"/>
      <c r="AN247" s="181"/>
      <c r="AO247" s="181"/>
      <c r="AP247" s="181"/>
      <c r="AQ247" s="181"/>
      <c r="AR247" s="181"/>
      <c r="AS247" s="181"/>
      <c r="AT247" s="181"/>
      <c r="AU247" s="181"/>
      <c r="AV247" s="181"/>
      <c r="AW247" s="181"/>
    </row>
    <row r="248" spans="1:49" s="30" customFormat="1" ht="15" hidden="1" customHeight="1" x14ac:dyDescent="0.25">
      <c r="A248" s="1407"/>
      <c r="B248" s="191"/>
      <c r="C248" s="945"/>
      <c r="D248" s="116"/>
      <c r="E248" s="466"/>
      <c r="F248" s="559" t="str">
        <f>IF('C-Design&amp;Const'!$G248="","",'C-Design&amp;Const'!$G248)</f>
        <v>N</v>
      </c>
      <c r="G248" s="459"/>
      <c r="H248" s="469" t="str">
        <f>CONCATENATE(IF(F248="N","PLACEHOLDER ROW - ",""),'C-Design&amp;Const'!Z248,IF(F248="N","",J248))</f>
        <v>PLACEHOLDER ROW - Interior Elevations and Details</v>
      </c>
      <c r="I248" s="193"/>
      <c r="J248" s="578" t="str">
        <f>IF('C-Design&amp;Const'!AD248="","",'C-Design&amp;Const'!AD248)</f>
        <v>(Preliminary)</v>
      </c>
      <c r="K248" s="228"/>
      <c r="L248" s="1410" t="str">
        <f t="shared" si="5"/>
        <v>&lt;---PM/Planner may hide PLACEHOLDER ROW</v>
      </c>
      <c r="M248" s="1382"/>
      <c r="N248" s="1382"/>
      <c r="O248" s="1382"/>
      <c r="P248" s="1382"/>
      <c r="Q248" s="1382"/>
      <c r="R248" s="1382"/>
      <c r="S248" s="1382"/>
      <c r="T248" s="1382"/>
      <c r="U248" s="1382"/>
      <c r="V248" s="1382"/>
      <c r="W248" s="1382"/>
      <c r="X248" s="1382"/>
      <c r="Y248" s="1382"/>
      <c r="Z248" s="1382"/>
      <c r="AA248" s="1382"/>
      <c r="AB248" s="1382"/>
      <c r="AC248" s="1382"/>
      <c r="AD248" s="1382"/>
      <c r="AE248" s="1382"/>
      <c r="AF248" s="1382"/>
      <c r="AG248" s="1382"/>
      <c r="AH248" s="1382"/>
      <c r="AI248" s="1382"/>
      <c r="AJ248" s="181"/>
      <c r="AK248" s="181"/>
      <c r="AL248" s="181"/>
      <c r="AM248" s="181"/>
      <c r="AN248" s="181"/>
      <c r="AO248" s="181"/>
      <c r="AP248" s="181"/>
      <c r="AQ248" s="181"/>
      <c r="AR248" s="181"/>
      <c r="AS248" s="181"/>
      <c r="AT248" s="181"/>
      <c r="AU248" s="181"/>
      <c r="AV248" s="181"/>
      <c r="AW248" s="181"/>
    </row>
    <row r="249" spans="1:49" s="30" customFormat="1" ht="15" hidden="1" customHeight="1" x14ac:dyDescent="0.25">
      <c r="A249" s="1407"/>
      <c r="B249" s="191"/>
      <c r="C249" s="945"/>
      <c r="D249" s="116"/>
      <c r="E249" s="466"/>
      <c r="F249" s="559" t="str">
        <f>IF('C-Design&amp;Const'!$G249="","",'C-Design&amp;Const'!$G249)</f>
        <v>N</v>
      </c>
      <c r="G249" s="459"/>
      <c r="H249" s="469" t="str">
        <f>CONCATENATE(IF(F249="N","PLACEHOLDER ROW - ",""),'C-Design&amp;Const'!Z249,IF(F249="N","",J249))</f>
        <v xml:space="preserve">PLACEHOLDER ROW - Door/Hardware; Room Finish; Window; and Equipment Schedules </v>
      </c>
      <c r="I249" s="193"/>
      <c r="J249" s="578" t="str">
        <f>IF('C-Design&amp;Const'!AD249="","",'C-Design&amp;Const'!AD249)</f>
        <v/>
      </c>
      <c r="K249" s="228"/>
      <c r="L249" s="1410" t="str">
        <f t="shared" ref="L249:L326" si="12">CONCATENATE(IF(ISNUMBER(SEARCH("Placeholder",H249))=TRUE,"&lt;---PM/Planner may hide PLACEHOLDER ROW",""))</f>
        <v>&lt;---PM/Planner may hide PLACEHOLDER ROW</v>
      </c>
      <c r="M249" s="1382"/>
      <c r="N249" s="1382"/>
      <c r="O249" s="1382"/>
      <c r="P249" s="1382"/>
      <c r="Q249" s="1382"/>
      <c r="R249" s="1382"/>
      <c r="S249" s="1382"/>
      <c r="T249" s="1382"/>
      <c r="U249" s="1382"/>
      <c r="V249" s="1382"/>
      <c r="W249" s="1382"/>
      <c r="X249" s="1382"/>
      <c r="Y249" s="1382"/>
      <c r="Z249" s="1382"/>
      <c r="AA249" s="1382"/>
      <c r="AB249" s="1382"/>
      <c r="AC249" s="1382"/>
      <c r="AD249" s="1382"/>
      <c r="AE249" s="1382"/>
      <c r="AF249" s="1382"/>
      <c r="AG249" s="1382"/>
      <c r="AH249" s="1382"/>
      <c r="AI249" s="1382"/>
      <c r="AJ249" s="181"/>
      <c r="AK249" s="181"/>
      <c r="AL249" s="181"/>
      <c r="AM249" s="181"/>
      <c r="AN249" s="181"/>
      <c r="AO249" s="181"/>
      <c r="AP249" s="181"/>
      <c r="AQ249" s="181"/>
      <c r="AR249" s="181"/>
      <c r="AS249" s="181"/>
      <c r="AT249" s="181"/>
      <c r="AU249" s="181"/>
      <c r="AV249" s="181"/>
      <c r="AW249" s="181"/>
    </row>
    <row r="250" spans="1:49" s="30" customFormat="1" ht="15" hidden="1" customHeight="1" x14ac:dyDescent="0.25">
      <c r="A250" s="1407"/>
      <c r="B250" s="191"/>
      <c r="C250" s="945"/>
      <c r="D250" s="10"/>
      <c r="E250" s="467"/>
      <c r="F250" s="559" t="str">
        <f>IF('C-Design&amp;Const'!$G250="","",'C-Design&amp;Const'!$G250)</f>
        <v>N</v>
      </c>
      <c r="G250" s="291"/>
      <c r="H250" s="469" t="str">
        <f>CONCATENATE(IF(F250="N","PLACEHOLDER ROW - ",""),'C-Design&amp;Const'!Z250,IF(F250="N","",J250))</f>
        <v xml:space="preserve">PLACEHOLDER ROW - Interior Partition Types; Door and Window Details </v>
      </c>
      <c r="I250" s="184"/>
      <c r="J250" s="578" t="str">
        <f>IF('C-Design&amp;Const'!AD250="","",'C-Design&amp;Const'!AD250)</f>
        <v>(Preliminary)</v>
      </c>
      <c r="K250" s="228"/>
      <c r="L250" s="1410" t="str">
        <f t="shared" si="12"/>
        <v>&lt;---PM/Planner may hide PLACEHOLDER ROW</v>
      </c>
      <c r="M250" s="1382"/>
      <c r="N250" s="1382"/>
      <c r="O250" s="1382"/>
      <c r="P250" s="1382"/>
      <c r="Q250" s="1382"/>
      <c r="R250" s="1382"/>
      <c r="S250" s="1382"/>
      <c r="T250" s="1382"/>
      <c r="U250" s="1382"/>
      <c r="V250" s="1382"/>
      <c r="W250" s="1382"/>
      <c r="X250" s="1382"/>
      <c r="Y250" s="1382"/>
      <c r="Z250" s="1382"/>
      <c r="AA250" s="1382"/>
      <c r="AB250" s="1382"/>
      <c r="AC250" s="1382"/>
      <c r="AD250" s="1382"/>
      <c r="AE250" s="1382"/>
      <c r="AF250" s="1382"/>
      <c r="AG250" s="1382"/>
      <c r="AH250" s="1382"/>
      <c r="AI250" s="1382"/>
      <c r="AJ250" s="181"/>
      <c r="AK250" s="181"/>
      <c r="AL250" s="181"/>
      <c r="AM250" s="181"/>
      <c r="AN250" s="181"/>
      <c r="AO250" s="181"/>
      <c r="AP250" s="181"/>
      <c r="AQ250" s="181"/>
      <c r="AR250" s="181"/>
      <c r="AS250" s="181"/>
      <c r="AT250" s="181"/>
      <c r="AU250" s="181"/>
      <c r="AV250" s="181"/>
      <c r="AW250" s="181"/>
    </row>
    <row r="251" spans="1:49" s="30" customFormat="1" ht="15" hidden="1" customHeight="1" x14ac:dyDescent="0.25">
      <c r="A251" s="1407"/>
      <c r="B251" s="191"/>
      <c r="C251" s="945"/>
      <c r="D251" s="10"/>
      <c r="E251" s="467"/>
      <c r="F251" s="559" t="str">
        <f>IF('C-Design&amp;Const'!$G251="","",'C-Design&amp;Const'!$G251)</f>
        <v>N</v>
      </c>
      <c r="G251" s="291"/>
      <c r="H251" s="469" t="str">
        <f>CONCATENATE(IF(F251="N","PLACEHOLDER ROW - ",""),'C-Design&amp;Const'!Z251,IF(F251="N","",J251))</f>
        <v xml:space="preserve">PLACEHOLDER ROW - Interior Signage </v>
      </c>
      <c r="I251" s="184"/>
      <c r="J251" s="578" t="str">
        <f>IF('C-Design&amp;Const'!AD251="","",'C-Design&amp;Const'!AD251)</f>
        <v>(Preliminary)</v>
      </c>
      <c r="K251" s="228"/>
      <c r="L251" s="1410" t="str">
        <f t="shared" si="12"/>
        <v>&lt;---PM/Planner may hide PLACEHOLDER ROW</v>
      </c>
      <c r="M251" s="1382"/>
      <c r="N251" s="1382"/>
      <c r="O251" s="1382"/>
      <c r="P251" s="1382"/>
      <c r="Q251" s="1382"/>
      <c r="R251" s="1382"/>
      <c r="S251" s="1382"/>
      <c r="T251" s="1382"/>
      <c r="U251" s="1382"/>
      <c r="V251" s="1382"/>
      <c r="W251" s="1382"/>
      <c r="X251" s="1382"/>
      <c r="Y251" s="1382"/>
      <c r="Z251" s="1382"/>
      <c r="AA251" s="1382"/>
      <c r="AB251" s="1382"/>
      <c r="AC251" s="1382"/>
      <c r="AD251" s="1382"/>
      <c r="AE251" s="1382"/>
      <c r="AF251" s="1382"/>
      <c r="AG251" s="1382"/>
      <c r="AH251" s="1382"/>
      <c r="AI251" s="1382"/>
      <c r="AJ251" s="181"/>
      <c r="AK251" s="181"/>
      <c r="AL251" s="181"/>
      <c r="AM251" s="181"/>
      <c r="AN251" s="181"/>
      <c r="AO251" s="181"/>
      <c r="AP251" s="181"/>
      <c r="AQ251" s="181"/>
      <c r="AR251" s="181"/>
      <c r="AS251" s="181"/>
      <c r="AT251" s="181"/>
      <c r="AU251" s="181"/>
      <c r="AV251" s="181"/>
      <c r="AW251" s="181"/>
    </row>
    <row r="252" spans="1:49" s="30" customFormat="1" ht="15" hidden="1" customHeight="1" x14ac:dyDescent="0.25">
      <c r="A252" s="1407"/>
      <c r="B252" s="191"/>
      <c r="C252" s="945"/>
      <c r="D252" s="10"/>
      <c r="E252" s="467"/>
      <c r="F252" s="559" t="str">
        <f>IF('C-Design&amp;Const'!$G252="","",'C-Design&amp;Const'!$G252)</f>
        <v>N</v>
      </c>
      <c r="G252" s="291"/>
      <c r="H252" s="469" t="str">
        <f>CONCATENATE(IF(F252="N","PLACEHOLDER ROW - ",""),'C-Design&amp;Const'!Z252,IF(F252="N","",J252))</f>
        <v xml:space="preserve">PLACEHOLDER ROW - Fixed Equipment; Casework; and Millwork </v>
      </c>
      <c r="I252" s="184"/>
      <c r="J252" s="578" t="str">
        <f>IF('C-Design&amp;Const'!AD252="","",'C-Design&amp;Const'!AD252)</f>
        <v>(Preliminary)</v>
      </c>
      <c r="K252" s="228"/>
      <c r="L252" s="1410" t="str">
        <f t="shared" si="12"/>
        <v>&lt;---PM/Planner may hide PLACEHOLDER ROW</v>
      </c>
      <c r="M252" s="1382"/>
      <c r="N252" s="1382"/>
      <c r="O252" s="1382"/>
      <c r="P252" s="1382"/>
      <c r="Q252" s="1382"/>
      <c r="R252" s="1382"/>
      <c r="S252" s="1382"/>
      <c r="T252" s="1382"/>
      <c r="U252" s="1382"/>
      <c r="V252" s="1382"/>
      <c r="W252" s="1382"/>
      <c r="X252" s="1382"/>
      <c r="Y252" s="1382"/>
      <c r="Z252" s="1382"/>
      <c r="AA252" s="1382"/>
      <c r="AB252" s="1382"/>
      <c r="AC252" s="1382"/>
      <c r="AD252" s="1382"/>
      <c r="AE252" s="1382"/>
      <c r="AF252" s="1382"/>
      <c r="AG252" s="1382"/>
      <c r="AH252" s="1382"/>
      <c r="AI252" s="1382"/>
      <c r="AJ252" s="181"/>
      <c r="AK252" s="181"/>
      <c r="AL252" s="181"/>
      <c r="AM252" s="181"/>
      <c r="AN252" s="181"/>
      <c r="AO252" s="181"/>
      <c r="AP252" s="181"/>
      <c r="AQ252" s="181"/>
      <c r="AR252" s="181"/>
      <c r="AS252" s="181"/>
      <c r="AT252" s="181"/>
      <c r="AU252" s="181"/>
      <c r="AV252" s="181"/>
      <c r="AW252" s="181"/>
    </row>
    <row r="253" spans="1:49" s="30" customFormat="1" ht="15" hidden="1" customHeight="1" x14ac:dyDescent="0.25">
      <c r="A253" s="1407"/>
      <c r="B253" s="191"/>
      <c r="C253" s="945"/>
      <c r="D253" s="10"/>
      <c r="E253" s="467"/>
      <c r="F253" s="559" t="str">
        <f>IF('C-Design&amp;Const'!$G253="","",'C-Design&amp;Const'!$G253)</f>
        <v>N</v>
      </c>
      <c r="G253" s="291"/>
      <c r="H253" s="469" t="str">
        <f>CONCATENATE(IF(F253="N","PLACEHOLDER ROW - ",""),'C-Design&amp;Const'!Z253,IF(F253="N","",J253))</f>
        <v xml:space="preserve">PLACEHOLDER ROW - FF&amp;E Plans </v>
      </c>
      <c r="I253" s="184"/>
      <c r="J253" s="578" t="str">
        <f>IF('C-Design&amp;Const'!AD253="","",'C-Design&amp;Const'!AD253)</f>
        <v>(Preliminary)</v>
      </c>
      <c r="K253" s="228"/>
      <c r="L253" s="1410" t="str">
        <f t="shared" si="12"/>
        <v>&lt;---PM/Planner may hide PLACEHOLDER ROW</v>
      </c>
      <c r="M253" s="1382"/>
      <c r="N253" s="1382"/>
      <c r="O253" s="1382"/>
      <c r="P253" s="1382"/>
      <c r="Q253" s="1382"/>
      <c r="R253" s="1382"/>
      <c r="S253" s="1382"/>
      <c r="T253" s="1382"/>
      <c r="U253" s="1382"/>
      <c r="V253" s="1382"/>
      <c r="W253" s="1382"/>
      <c r="X253" s="1382"/>
      <c r="Y253" s="1382"/>
      <c r="Z253" s="1382"/>
      <c r="AA253" s="1382"/>
      <c r="AB253" s="1382"/>
      <c r="AC253" s="1382"/>
      <c r="AD253" s="1382"/>
      <c r="AE253" s="1382"/>
      <c r="AF253" s="1382"/>
      <c r="AG253" s="1382"/>
      <c r="AH253" s="1382"/>
      <c r="AI253" s="1382"/>
      <c r="AJ253" s="181"/>
      <c r="AK253" s="181"/>
      <c r="AL253" s="181"/>
      <c r="AM253" s="181"/>
      <c r="AN253" s="181"/>
      <c r="AO253" s="181"/>
      <c r="AP253" s="181"/>
      <c r="AQ253" s="181"/>
      <c r="AR253" s="181"/>
      <c r="AS253" s="181"/>
      <c r="AT253" s="181"/>
      <c r="AU253" s="181"/>
      <c r="AV253" s="181"/>
      <c r="AW253" s="181"/>
    </row>
    <row r="254" spans="1:49" s="30" customFormat="1" ht="15" hidden="1" customHeight="1" x14ac:dyDescent="0.25">
      <c r="A254" s="1407"/>
      <c r="B254" s="191"/>
      <c r="C254" s="945"/>
      <c r="D254" s="10"/>
      <c r="E254" s="467"/>
      <c r="F254" s="559" t="str">
        <f>IF('C-Design&amp;Const'!$G254="","",'C-Design&amp;Const'!$G254)</f>
        <v>N</v>
      </c>
      <c r="G254" s="291"/>
      <c r="H254" s="469" t="str">
        <f>CONCATENATE(IF(F254="N","PLACEHOLDER ROW - ",""),'C-Design&amp;Const'!Z254,IF(F254="N","",J254))</f>
        <v xml:space="preserve">PLACEHOLDER ROW - CUSTOM - Architectural  </v>
      </c>
      <c r="I254" s="184"/>
      <c r="J254" s="578" t="str">
        <f>IF('C-Design&amp;Const'!AD254="","",'C-Design&amp;Const'!AD254)</f>
        <v>(Preliminary)</v>
      </c>
      <c r="K254" s="228"/>
      <c r="L254" s="1410" t="str">
        <f t="shared" si="12"/>
        <v>&lt;---PM/Planner may hide PLACEHOLDER ROW</v>
      </c>
      <c r="M254" s="1382"/>
      <c r="N254" s="1382"/>
      <c r="O254" s="1382"/>
      <c r="P254" s="1382"/>
      <c r="Q254" s="1382"/>
      <c r="R254" s="1382"/>
      <c r="S254" s="1382"/>
      <c r="T254" s="1382"/>
      <c r="U254" s="1382"/>
      <c r="V254" s="1382"/>
      <c r="W254" s="1382"/>
      <c r="X254" s="1382"/>
      <c r="Y254" s="1382"/>
      <c r="Z254" s="1382"/>
      <c r="AA254" s="1382"/>
      <c r="AB254" s="1382"/>
      <c r="AC254" s="1382"/>
      <c r="AD254" s="1382"/>
      <c r="AE254" s="1382"/>
      <c r="AF254" s="1382"/>
      <c r="AG254" s="1382"/>
      <c r="AH254" s="1382"/>
      <c r="AI254" s="1382"/>
      <c r="AJ254" s="181"/>
      <c r="AK254" s="181"/>
      <c r="AL254" s="181"/>
      <c r="AM254" s="181"/>
      <c r="AN254" s="181"/>
      <c r="AO254" s="181"/>
      <c r="AP254" s="181"/>
      <c r="AQ254" s="181"/>
      <c r="AR254" s="181"/>
      <c r="AS254" s="181"/>
      <c r="AT254" s="181"/>
      <c r="AU254" s="181"/>
      <c r="AV254" s="181"/>
      <c r="AW254" s="181"/>
    </row>
    <row r="255" spans="1:49" s="30" customFormat="1" ht="15" hidden="1" customHeight="1" x14ac:dyDescent="0.25">
      <c r="A255" s="1407"/>
      <c r="B255" s="191"/>
      <c r="C255" s="945"/>
      <c r="D255" s="10"/>
      <c r="E255" s="359" t="str">
        <f>IF('C-Design&amp;Const'!$G255="","",'C-Design&amp;Const'!$G255)</f>
        <v>N</v>
      </c>
      <c r="F255" s="471"/>
      <c r="G255" s="291"/>
      <c r="H255" s="244" t="str">
        <f>CONCATENATE(IF(F255="N","PLACEHOLDER ROW - ",""),'C-Design&amp;Const'!Z255,IF(F255="N","",J255))</f>
        <v>Structural Drawings</v>
      </c>
      <c r="I255" s="184"/>
      <c r="J255" s="578" t="str">
        <f>IF('C-Design&amp;Const'!AD255="","",'C-Design&amp;Const'!AD255)</f>
        <v/>
      </c>
      <c r="K255" s="228"/>
      <c r="L255" s="1410" t="str">
        <f t="shared" si="12"/>
        <v/>
      </c>
      <c r="M255" s="1382"/>
      <c r="N255" s="1382"/>
      <c r="O255" s="1382"/>
      <c r="P255" s="1382"/>
      <c r="Q255" s="1382"/>
      <c r="R255" s="1382"/>
      <c r="S255" s="1382"/>
      <c r="T255" s="1382"/>
      <c r="U255" s="1382"/>
      <c r="V255" s="1382"/>
      <c r="W255" s="1382"/>
      <c r="X255" s="1382"/>
      <c r="Y255" s="1382"/>
      <c r="Z255" s="1382"/>
      <c r="AA255" s="1382"/>
      <c r="AB255" s="1382"/>
      <c r="AC255" s="1382"/>
      <c r="AD255" s="1382"/>
      <c r="AE255" s="1382"/>
      <c r="AF255" s="1382"/>
      <c r="AG255" s="1382"/>
      <c r="AH255" s="1382"/>
      <c r="AI255" s="1382"/>
      <c r="AJ255" s="181"/>
      <c r="AK255" s="181"/>
      <c r="AL255" s="181"/>
      <c r="AM255" s="181"/>
      <c r="AN255" s="181"/>
      <c r="AO255" s="181"/>
      <c r="AP255" s="181"/>
      <c r="AQ255" s="181"/>
      <c r="AR255" s="181"/>
      <c r="AS255" s="181"/>
      <c r="AT255" s="181"/>
      <c r="AU255" s="181"/>
      <c r="AV255" s="181"/>
      <c r="AW255" s="181"/>
    </row>
    <row r="256" spans="1:49" s="30" customFormat="1" ht="15" hidden="1" customHeight="1" x14ac:dyDescent="0.25">
      <c r="A256" s="1407"/>
      <c r="B256" s="191"/>
      <c r="C256" s="945"/>
      <c r="D256" s="10"/>
      <c r="E256" s="467"/>
      <c r="F256" s="559" t="str">
        <f>IF('C-Design&amp;Const'!$G256="","",'C-Design&amp;Const'!$G256)</f>
        <v>N</v>
      </c>
      <c r="G256" s="291"/>
      <c r="H256" s="469" t="str">
        <f>CONCATENATE(IF(F256="N","PLACEHOLDER ROW - ",""),'C-Design&amp;Const'!Z256,IF(F256="N","",J256))</f>
        <v xml:space="preserve">PLACEHOLDER ROW - CUSTOM - Structural  </v>
      </c>
      <c r="I256" s="184"/>
      <c r="J256" s="578" t="str">
        <f>IF('C-Design&amp;Const'!AD256="","",'C-Design&amp;Const'!AD256)</f>
        <v>(Preliminary)</v>
      </c>
      <c r="K256" s="228"/>
      <c r="L256" s="1410" t="str">
        <f t="shared" si="12"/>
        <v>&lt;---PM/Planner may hide PLACEHOLDER ROW</v>
      </c>
      <c r="M256" s="1382"/>
      <c r="N256" s="1382"/>
      <c r="O256" s="1382"/>
      <c r="P256" s="1382"/>
      <c r="Q256" s="1382"/>
      <c r="R256" s="1382"/>
      <c r="S256" s="1382"/>
      <c r="T256" s="1382"/>
      <c r="U256" s="1382"/>
      <c r="V256" s="1382"/>
      <c r="W256" s="1382"/>
      <c r="X256" s="1382"/>
      <c r="Y256" s="1382"/>
      <c r="Z256" s="1382"/>
      <c r="AA256" s="1382"/>
      <c r="AB256" s="1382"/>
      <c r="AC256" s="1382"/>
      <c r="AD256" s="1382"/>
      <c r="AE256" s="1382"/>
      <c r="AF256" s="1382"/>
      <c r="AG256" s="1382"/>
      <c r="AH256" s="1382"/>
      <c r="AI256" s="1382"/>
      <c r="AJ256" s="181"/>
      <c r="AK256" s="181"/>
      <c r="AL256" s="181"/>
      <c r="AM256" s="181"/>
      <c r="AN256" s="181"/>
      <c r="AO256" s="181"/>
      <c r="AP256" s="181"/>
      <c r="AQ256" s="181"/>
      <c r="AR256" s="181"/>
      <c r="AS256" s="181"/>
      <c r="AT256" s="181"/>
      <c r="AU256" s="181"/>
      <c r="AV256" s="181"/>
      <c r="AW256" s="181"/>
    </row>
    <row r="257" spans="1:49" s="30" customFormat="1" ht="15" hidden="1" customHeight="1" x14ac:dyDescent="0.25">
      <c r="A257" s="1407"/>
      <c r="B257" s="191"/>
      <c r="C257" s="945"/>
      <c r="D257" s="10"/>
      <c r="E257" s="467"/>
      <c r="F257" s="559" t="str">
        <f>IF('C-Design&amp;Const'!$G257="","",'C-Design&amp;Const'!$G257)</f>
        <v>N</v>
      </c>
      <c r="G257" s="291"/>
      <c r="H257" s="469" t="str">
        <f>CONCATENATE(IF(F257="N","PLACEHOLDER ROW - ",""),'C-Design&amp;Const'!Z257,IF(F257="N","",J257))</f>
        <v xml:space="preserve">PLACEHOLDER ROW - CUSTOM - Structural  </v>
      </c>
      <c r="I257" s="184"/>
      <c r="J257" s="578" t="str">
        <f>IF('C-Design&amp;Const'!AD257="","",'C-Design&amp;Const'!AD257)</f>
        <v>(Preliminary)</v>
      </c>
      <c r="K257" s="228"/>
      <c r="L257" s="1410" t="str">
        <f t="shared" si="12"/>
        <v>&lt;---PM/Planner may hide PLACEHOLDER ROW</v>
      </c>
      <c r="M257" s="1382"/>
      <c r="N257" s="1382"/>
      <c r="O257" s="1382"/>
      <c r="P257" s="1382"/>
      <c r="Q257" s="1382"/>
      <c r="R257" s="1382"/>
      <c r="S257" s="1382"/>
      <c r="T257" s="1382"/>
      <c r="U257" s="1382"/>
      <c r="V257" s="1382"/>
      <c r="W257" s="1382"/>
      <c r="X257" s="1382"/>
      <c r="Y257" s="1382"/>
      <c r="Z257" s="1382"/>
      <c r="AA257" s="1382"/>
      <c r="AB257" s="1382"/>
      <c r="AC257" s="1382"/>
      <c r="AD257" s="1382"/>
      <c r="AE257" s="1382"/>
      <c r="AF257" s="1382"/>
      <c r="AG257" s="1382"/>
      <c r="AH257" s="1382"/>
      <c r="AI257" s="1382"/>
      <c r="AJ257" s="181"/>
      <c r="AK257" s="181"/>
      <c r="AL257" s="181"/>
      <c r="AM257" s="181"/>
      <c r="AN257" s="181"/>
      <c r="AO257" s="181"/>
      <c r="AP257" s="181"/>
      <c r="AQ257" s="181"/>
      <c r="AR257" s="181"/>
      <c r="AS257" s="181"/>
      <c r="AT257" s="181"/>
      <c r="AU257" s="181"/>
      <c r="AV257" s="181"/>
      <c r="AW257" s="181"/>
    </row>
    <row r="258" spans="1:49" s="545" customFormat="1" ht="15" hidden="1" customHeight="1" x14ac:dyDescent="0.25">
      <c r="A258" s="1407"/>
      <c r="B258" s="554"/>
      <c r="C258" s="945"/>
      <c r="D258" s="116"/>
      <c r="E258" s="466"/>
      <c r="F258" s="559" t="str">
        <f>IF('C-Design&amp;Const'!$G258="","",'C-Design&amp;Const'!$G258)</f>
        <v>N</v>
      </c>
      <c r="G258" s="459"/>
      <c r="H258" s="469" t="str">
        <f>CONCATENATE(IF(F258="N","PLACEHOLDER ROW - ",""),'C-Design&amp;Const'!Z258,IF(F258="N","",J258))</f>
        <v xml:space="preserve">PLACEHOLDER ROW - Structural Symbols, Abbreviations, and General Notes </v>
      </c>
      <c r="I258" s="193"/>
      <c r="J258" s="578" t="str">
        <f>IF('C-Design&amp;Const'!AD258="","",'C-Design&amp;Const'!AD258)</f>
        <v>(Preliminary)</v>
      </c>
      <c r="K258" s="228"/>
      <c r="L258" s="1410" t="str">
        <f t="shared" si="12"/>
        <v>&lt;---PM/Planner may hide PLACEHOLDER ROW</v>
      </c>
      <c r="M258" s="1382"/>
      <c r="N258" s="1382"/>
      <c r="O258" s="1382"/>
      <c r="P258" s="1382"/>
      <c r="Q258" s="1382"/>
      <c r="R258" s="1382"/>
      <c r="S258" s="1382"/>
      <c r="T258" s="1382"/>
      <c r="U258" s="1382"/>
      <c r="V258" s="1382"/>
      <c r="W258" s="1382"/>
      <c r="X258" s="1382"/>
      <c r="Y258" s="1382"/>
      <c r="Z258" s="1382"/>
      <c r="AA258" s="1382"/>
      <c r="AB258" s="1382"/>
      <c r="AC258" s="1382"/>
      <c r="AD258" s="1382"/>
      <c r="AE258" s="1382"/>
      <c r="AF258" s="1382"/>
      <c r="AG258" s="1382"/>
      <c r="AH258" s="1382"/>
      <c r="AI258" s="1382"/>
      <c r="AJ258" s="551"/>
      <c r="AK258" s="551"/>
      <c r="AL258" s="551"/>
      <c r="AM258" s="551"/>
      <c r="AN258" s="551"/>
      <c r="AO258" s="551"/>
      <c r="AP258" s="551"/>
      <c r="AQ258" s="551"/>
      <c r="AR258" s="551"/>
      <c r="AS258" s="551"/>
      <c r="AT258" s="551"/>
      <c r="AU258" s="551"/>
      <c r="AV258" s="551"/>
      <c r="AW258" s="551"/>
    </row>
    <row r="259" spans="1:49" s="545" customFormat="1" ht="15" hidden="1" customHeight="1" x14ac:dyDescent="0.25">
      <c r="A259" s="1402"/>
      <c r="B259" s="554"/>
      <c r="C259" s="945"/>
      <c r="D259" s="116"/>
      <c r="E259" s="411"/>
      <c r="F259" s="559" t="str">
        <f>IF('C-Design&amp;Const'!$G259="","",'C-Design&amp;Const'!$G259)</f>
        <v>N</v>
      </c>
      <c r="G259" s="457"/>
      <c r="H259" s="469" t="str">
        <f>CONCATENATE(IF(F259="N","PLACEHOLDER ROW - ",""),'C-Design&amp;Const'!Z259,IF(F259="N","",J259))</f>
        <v xml:space="preserve">PLACEHOLDER ROW - Structural Demolition(s) </v>
      </c>
      <c r="I259" s="197"/>
      <c r="J259" s="578"/>
      <c r="K259" s="228"/>
      <c r="L259" s="1410"/>
      <c r="M259" s="1382"/>
      <c r="N259" s="1382"/>
      <c r="O259" s="1382"/>
      <c r="P259" s="1382"/>
      <c r="Q259" s="1382"/>
      <c r="R259" s="1382"/>
      <c r="S259" s="1382"/>
      <c r="T259" s="1382"/>
      <c r="U259" s="1382"/>
      <c r="V259" s="1382"/>
      <c r="W259" s="1382"/>
      <c r="X259" s="1382"/>
      <c r="Y259" s="1382"/>
      <c r="Z259" s="1382"/>
      <c r="AA259" s="1382"/>
      <c r="AB259" s="1382"/>
      <c r="AC259" s="1382"/>
      <c r="AD259" s="1382"/>
      <c r="AE259" s="1382"/>
      <c r="AF259" s="1382"/>
      <c r="AG259" s="1382"/>
      <c r="AH259" s="1382"/>
      <c r="AI259" s="1382"/>
      <c r="AJ259" s="551"/>
      <c r="AK259" s="551"/>
      <c r="AL259" s="551"/>
      <c r="AM259" s="551"/>
      <c r="AN259" s="551"/>
      <c r="AO259" s="551"/>
      <c r="AP259" s="551"/>
      <c r="AQ259" s="551"/>
      <c r="AR259" s="551"/>
      <c r="AS259" s="551"/>
      <c r="AT259" s="551"/>
      <c r="AU259" s="551"/>
      <c r="AV259" s="551"/>
      <c r="AW259" s="551"/>
    </row>
    <row r="260" spans="1:49" s="30" customFormat="1" ht="15" hidden="1" customHeight="1" x14ac:dyDescent="0.25">
      <c r="A260" s="1407"/>
      <c r="B260" s="191"/>
      <c r="C260" s="945"/>
      <c r="D260" s="116"/>
      <c r="E260" s="466"/>
      <c r="F260" s="559" t="str">
        <f>IF('C-Design&amp;Const'!$G260="","",'C-Design&amp;Const'!$G260)</f>
        <v>N</v>
      </c>
      <c r="G260" s="457"/>
      <c r="H260" s="469" t="str">
        <f>CONCATENATE(IF(F260="N","PLACEHOLDER ROW - ",""),'C-Design&amp;Const'!Z260,IF(F260="N","",J260))</f>
        <v xml:space="preserve">PLACEHOLDER ROW - Foundation Plan </v>
      </c>
      <c r="I260" s="193"/>
      <c r="J260" s="578" t="str">
        <f>IF('C-Design&amp;Const'!AD260="","",'C-Design&amp;Const'!AD260)</f>
        <v>(Preliminary)</v>
      </c>
      <c r="K260" s="228"/>
      <c r="L260" s="1410" t="str">
        <f t="shared" si="12"/>
        <v>&lt;---PM/Planner may hide PLACEHOLDER ROW</v>
      </c>
      <c r="M260" s="1382"/>
      <c r="N260" s="1382"/>
      <c r="O260" s="1382"/>
      <c r="P260" s="1382"/>
      <c r="Q260" s="1382"/>
      <c r="R260" s="1382"/>
      <c r="S260" s="1382"/>
      <c r="T260" s="1382"/>
      <c r="U260" s="1382"/>
      <c r="V260" s="1382"/>
      <c r="W260" s="1382"/>
      <c r="X260" s="1382"/>
      <c r="Y260" s="1382"/>
      <c r="Z260" s="1382"/>
      <c r="AA260" s="1382"/>
      <c r="AB260" s="1382"/>
      <c r="AC260" s="1382"/>
      <c r="AD260" s="1382"/>
      <c r="AE260" s="1382"/>
      <c r="AF260" s="1382"/>
      <c r="AG260" s="1382"/>
      <c r="AH260" s="1382"/>
      <c r="AI260" s="1382"/>
      <c r="AJ260" s="181"/>
      <c r="AK260" s="181"/>
      <c r="AL260" s="181"/>
      <c r="AM260" s="181"/>
      <c r="AN260" s="181"/>
      <c r="AO260" s="181"/>
      <c r="AP260" s="181"/>
      <c r="AQ260" s="181"/>
      <c r="AR260" s="181"/>
      <c r="AS260" s="181"/>
      <c r="AT260" s="181"/>
      <c r="AU260" s="181"/>
      <c r="AV260" s="181"/>
      <c r="AW260" s="181"/>
    </row>
    <row r="261" spans="1:49" s="30" customFormat="1" ht="15" hidden="1" customHeight="1" x14ac:dyDescent="0.25">
      <c r="A261" s="1407"/>
      <c r="B261" s="191"/>
      <c r="C261" s="945"/>
      <c r="D261" s="116"/>
      <c r="E261" s="466"/>
      <c r="F261" s="559" t="str">
        <f>IF('C-Design&amp;Const'!$G261="","",'C-Design&amp;Const'!$G261)</f>
        <v>N</v>
      </c>
      <c r="G261" s="457"/>
      <c r="H261" s="469" t="str">
        <f>CONCATENATE(IF(F261="N","PLACEHOLDER ROW - ",""),'C-Design&amp;Const'!Z261,IF(F261="N","",J261))</f>
        <v xml:space="preserve">PLACEHOLDER ROW - Foundation to wall connections (bolted/reinforcing bar dowels) </v>
      </c>
      <c r="I261" s="193"/>
      <c r="J261" s="578" t="str">
        <f>IF('C-Design&amp;Const'!AD261="","",'C-Design&amp;Const'!AD261)</f>
        <v>(Preliminary)</v>
      </c>
      <c r="K261" s="228"/>
      <c r="L261" s="1410" t="str">
        <f t="shared" si="12"/>
        <v>&lt;---PM/Planner may hide PLACEHOLDER ROW</v>
      </c>
      <c r="M261" s="1382"/>
      <c r="N261" s="1382"/>
      <c r="O261" s="1382"/>
      <c r="P261" s="1382"/>
      <c r="Q261" s="1382"/>
      <c r="R261" s="1382"/>
      <c r="S261" s="1382"/>
      <c r="T261" s="1382"/>
      <c r="U261" s="1382"/>
      <c r="V261" s="1382"/>
      <c r="W261" s="1382"/>
      <c r="X261" s="1382"/>
      <c r="Y261" s="1382"/>
      <c r="Z261" s="1382"/>
      <c r="AA261" s="1382"/>
      <c r="AB261" s="1382"/>
      <c r="AC261" s="1382"/>
      <c r="AD261" s="1382"/>
      <c r="AE261" s="1382"/>
      <c r="AF261" s="1382"/>
      <c r="AG261" s="1382"/>
      <c r="AH261" s="1382"/>
      <c r="AI261" s="1382"/>
      <c r="AJ261" s="181"/>
      <c r="AK261" s="181"/>
      <c r="AL261" s="181"/>
      <c r="AM261" s="181"/>
      <c r="AN261" s="181"/>
      <c r="AO261" s="181"/>
      <c r="AP261" s="181"/>
      <c r="AQ261" s="181"/>
      <c r="AR261" s="181"/>
      <c r="AS261" s="181"/>
      <c r="AT261" s="181"/>
      <c r="AU261" s="181"/>
      <c r="AV261" s="181"/>
      <c r="AW261" s="181"/>
    </row>
    <row r="262" spans="1:49" s="30" customFormat="1" ht="15" hidden="1" customHeight="1" x14ac:dyDescent="0.25">
      <c r="A262" s="1407"/>
      <c r="B262" s="191"/>
      <c r="C262" s="945"/>
      <c r="D262" s="116"/>
      <c r="E262" s="466"/>
      <c r="F262" s="559" t="str">
        <f>IF('C-Design&amp;Const'!$G262="","",'C-Design&amp;Const'!$G262)</f>
        <v>N</v>
      </c>
      <c r="G262" s="457"/>
      <c r="H262" s="469" t="str">
        <f>CONCATENATE(IF(F262="N","PLACEHOLDER ROW - ",""),'C-Design&amp;Const'!Z262,IF(F262="N","",J262))</f>
        <v xml:space="preserve">PLACEHOLDER ROW - Column and Base Plate Schedule </v>
      </c>
      <c r="I262" s="193"/>
      <c r="J262" s="578" t="str">
        <f>IF('C-Design&amp;Const'!AD262="","",'C-Design&amp;Const'!AD262)</f>
        <v/>
      </c>
      <c r="K262" s="228"/>
      <c r="L262" s="1410" t="str">
        <f t="shared" si="12"/>
        <v>&lt;---PM/Planner may hide PLACEHOLDER ROW</v>
      </c>
      <c r="M262" s="1382"/>
      <c r="N262" s="1382"/>
      <c r="O262" s="1382"/>
      <c r="P262" s="1382"/>
      <c r="Q262" s="1382"/>
      <c r="R262" s="1382"/>
      <c r="S262" s="1382"/>
      <c r="T262" s="1382"/>
      <c r="U262" s="1382"/>
      <c r="V262" s="1382"/>
      <c r="W262" s="1382"/>
      <c r="X262" s="1382"/>
      <c r="Y262" s="1382"/>
      <c r="Z262" s="1382"/>
      <c r="AA262" s="1382"/>
      <c r="AB262" s="1382"/>
      <c r="AC262" s="1382"/>
      <c r="AD262" s="1382"/>
      <c r="AE262" s="1382"/>
      <c r="AF262" s="1382"/>
      <c r="AG262" s="1382"/>
      <c r="AH262" s="1382"/>
      <c r="AI262" s="1382"/>
      <c r="AJ262" s="181"/>
      <c r="AK262" s="181"/>
      <c r="AL262" s="181"/>
      <c r="AM262" s="181"/>
      <c r="AN262" s="181"/>
      <c r="AO262" s="181"/>
      <c r="AP262" s="181"/>
      <c r="AQ262" s="181"/>
      <c r="AR262" s="181"/>
      <c r="AS262" s="181"/>
      <c r="AT262" s="181"/>
      <c r="AU262" s="181"/>
      <c r="AV262" s="181"/>
      <c r="AW262" s="181"/>
    </row>
    <row r="263" spans="1:49" s="30" customFormat="1" ht="15" hidden="1" customHeight="1" x14ac:dyDescent="0.25">
      <c r="A263" s="1407"/>
      <c r="B263" s="191"/>
      <c r="C263" s="945"/>
      <c r="D263" s="116"/>
      <c r="E263" s="466"/>
      <c r="F263" s="559" t="str">
        <f>IF('C-Design&amp;Const'!$G263="","",'C-Design&amp;Const'!$G263)</f>
        <v>N</v>
      </c>
      <c r="G263" s="457"/>
      <c r="H263" s="469" t="str">
        <f>CONCATENATE(IF(F263="N","PLACEHOLDER ROW - ",""),'C-Design&amp;Const'!Z263,IF(F263="N","",J263))</f>
        <v xml:space="preserve">PLACEHOLDER ROW - Foundation Individual Details </v>
      </c>
      <c r="I263" s="193"/>
      <c r="J263" s="578" t="str">
        <f>IF('C-Design&amp;Const'!AD263="","",'C-Design&amp;Const'!AD263)</f>
        <v>(Preliminary)</v>
      </c>
      <c r="K263" s="228"/>
      <c r="L263" s="1410" t="str">
        <f t="shared" si="12"/>
        <v>&lt;---PM/Planner may hide PLACEHOLDER ROW</v>
      </c>
      <c r="M263" s="1382"/>
      <c r="N263" s="1382"/>
      <c r="O263" s="1382"/>
      <c r="P263" s="1382"/>
      <c r="Q263" s="1382"/>
      <c r="R263" s="1382"/>
      <c r="S263" s="1382"/>
      <c r="T263" s="1382"/>
      <c r="U263" s="1382"/>
      <c r="V263" s="1382"/>
      <c r="W263" s="1382"/>
      <c r="X263" s="1382"/>
      <c r="Y263" s="1382"/>
      <c r="Z263" s="1382"/>
      <c r="AA263" s="1382"/>
      <c r="AB263" s="1382"/>
      <c r="AC263" s="1382"/>
      <c r="AD263" s="1382"/>
      <c r="AE263" s="1382"/>
      <c r="AF263" s="1382"/>
      <c r="AG263" s="1382"/>
      <c r="AH263" s="1382"/>
      <c r="AI263" s="1382"/>
      <c r="AJ263" s="181"/>
      <c r="AK263" s="181"/>
      <c r="AL263" s="181"/>
      <c r="AM263" s="181"/>
      <c r="AN263" s="181"/>
      <c r="AO263" s="181"/>
      <c r="AP263" s="181"/>
      <c r="AQ263" s="181"/>
      <c r="AR263" s="181"/>
      <c r="AS263" s="181"/>
      <c r="AT263" s="181"/>
      <c r="AU263" s="181"/>
      <c r="AV263" s="181"/>
      <c r="AW263" s="181"/>
    </row>
    <row r="264" spans="1:49" s="30" customFormat="1" ht="15" hidden="1" customHeight="1" x14ac:dyDescent="0.25">
      <c r="A264" s="1407"/>
      <c r="B264" s="191"/>
      <c r="C264" s="945"/>
      <c r="D264" s="116"/>
      <c r="E264" s="466"/>
      <c r="F264" s="559" t="str">
        <f>IF('C-Design&amp;Const'!$G264="","",'C-Design&amp;Const'!$G264)</f>
        <v>N</v>
      </c>
      <c r="G264" s="457"/>
      <c r="H264" s="469" t="str">
        <f>CONCATENATE(IF(F264="N","PLACEHOLDER ROW - ",""),'C-Design&amp;Const'!Z264,IF(F264="N","",J264))</f>
        <v xml:space="preserve">PLACEHOLDER ROW - Structural Masonry Wall Plan </v>
      </c>
      <c r="I264" s="193"/>
      <c r="J264" s="578" t="str">
        <f>IF('C-Design&amp;Const'!AD264="","",'C-Design&amp;Const'!AD264)</f>
        <v>(Preliminary)</v>
      </c>
      <c r="K264" s="228"/>
      <c r="L264" s="1410" t="str">
        <f t="shared" si="12"/>
        <v>&lt;---PM/Planner may hide PLACEHOLDER ROW</v>
      </c>
      <c r="M264" s="1382"/>
      <c r="N264" s="1382"/>
      <c r="O264" s="1382"/>
      <c r="P264" s="1382"/>
      <c r="Q264" s="1382"/>
      <c r="R264" s="1382"/>
      <c r="S264" s="1382"/>
      <c r="T264" s="1382"/>
      <c r="U264" s="1382"/>
      <c r="V264" s="1382"/>
      <c r="W264" s="1382"/>
      <c r="X264" s="1382"/>
      <c r="Y264" s="1382"/>
      <c r="Z264" s="1382"/>
      <c r="AA264" s="1382"/>
      <c r="AB264" s="1382"/>
      <c r="AC264" s="1382"/>
      <c r="AD264" s="1382"/>
      <c r="AE264" s="1382"/>
      <c r="AF264" s="1382"/>
      <c r="AG264" s="1382"/>
      <c r="AH264" s="1382"/>
      <c r="AI264" s="1382"/>
      <c r="AJ264" s="181"/>
      <c r="AK264" s="181"/>
      <c r="AL264" s="181"/>
      <c r="AM264" s="181"/>
      <c r="AN264" s="181"/>
      <c r="AO264" s="181"/>
      <c r="AP264" s="181"/>
      <c r="AQ264" s="181"/>
      <c r="AR264" s="181"/>
      <c r="AS264" s="181"/>
      <c r="AT264" s="181"/>
      <c r="AU264" s="181"/>
      <c r="AV264" s="181"/>
      <c r="AW264" s="181"/>
    </row>
    <row r="265" spans="1:49" s="30" customFormat="1" ht="15" hidden="1" customHeight="1" x14ac:dyDescent="0.25">
      <c r="A265" s="1407"/>
      <c r="B265" s="191"/>
      <c r="C265" s="945"/>
      <c r="D265" s="116"/>
      <c r="E265" s="466"/>
      <c r="F265" s="559" t="str">
        <f>IF('C-Design&amp;Const'!$G265="","",'C-Design&amp;Const'!$G265)</f>
        <v>N</v>
      </c>
      <c r="G265" s="457"/>
      <c r="H265" s="469" t="str">
        <f>CONCATENATE(IF(F265="N","PLACEHOLDER ROW - ",""),'C-Design&amp;Const'!Z265,IF(F265="N","",J265))</f>
        <v xml:space="preserve">PLACEHOLDER ROW - Structural Masonry Details </v>
      </c>
      <c r="I265" s="193"/>
      <c r="J265" s="578" t="str">
        <f>IF('C-Design&amp;Const'!AD265="","",'C-Design&amp;Const'!AD265)</f>
        <v>(Preliminary)</v>
      </c>
      <c r="K265" s="228"/>
      <c r="L265" s="1410" t="str">
        <f t="shared" si="12"/>
        <v>&lt;---PM/Planner may hide PLACEHOLDER ROW</v>
      </c>
      <c r="M265" s="1382"/>
      <c r="N265" s="1382"/>
      <c r="O265" s="1382"/>
      <c r="P265" s="1382"/>
      <c r="Q265" s="1382"/>
      <c r="R265" s="1382"/>
      <c r="S265" s="1382"/>
      <c r="T265" s="1382"/>
      <c r="U265" s="1382"/>
      <c r="V265" s="1382"/>
      <c r="W265" s="1382"/>
      <c r="X265" s="1382"/>
      <c r="Y265" s="1382"/>
      <c r="Z265" s="1382"/>
      <c r="AA265" s="1382"/>
      <c r="AB265" s="1382"/>
      <c r="AC265" s="1382"/>
      <c r="AD265" s="1382"/>
      <c r="AE265" s="1382"/>
      <c r="AF265" s="1382"/>
      <c r="AG265" s="1382"/>
      <c r="AH265" s="1382"/>
      <c r="AI265" s="1382"/>
      <c r="AJ265" s="181"/>
      <c r="AK265" s="181"/>
      <c r="AL265" s="181"/>
      <c r="AM265" s="181"/>
      <c r="AN265" s="181"/>
      <c r="AO265" s="181"/>
      <c r="AP265" s="181"/>
      <c r="AQ265" s="181"/>
      <c r="AR265" s="181"/>
      <c r="AS265" s="181"/>
      <c r="AT265" s="181"/>
      <c r="AU265" s="181"/>
      <c r="AV265" s="181"/>
      <c r="AW265" s="181"/>
    </row>
    <row r="266" spans="1:49" s="30" customFormat="1" ht="15" hidden="1" customHeight="1" x14ac:dyDescent="0.25">
      <c r="A266" s="1407"/>
      <c r="B266" s="191"/>
      <c r="C266" s="945"/>
      <c r="D266" s="116"/>
      <c r="E266" s="466"/>
      <c r="F266" s="559" t="str">
        <f>IF('C-Design&amp;Const'!$G266="","",'C-Design&amp;Const'!$G266)</f>
        <v>N</v>
      </c>
      <c r="G266" s="457"/>
      <c r="H266" s="469" t="str">
        <f>CONCATENATE(IF(F266="N","PLACEHOLDER ROW - ",""),'C-Design&amp;Const'!Z266,IF(F266="N","",J266))</f>
        <v xml:space="preserve">PLACEHOLDER ROW - Lintel Details </v>
      </c>
      <c r="I266" s="193"/>
      <c r="J266" s="578" t="str">
        <f>IF('C-Design&amp;Const'!AD266="","",'C-Design&amp;Const'!AD266)</f>
        <v/>
      </c>
      <c r="K266" s="228"/>
      <c r="L266" s="1410" t="str">
        <f t="shared" si="12"/>
        <v>&lt;---PM/Planner may hide PLACEHOLDER ROW</v>
      </c>
      <c r="M266" s="1382"/>
      <c r="N266" s="1382"/>
      <c r="O266" s="1382"/>
      <c r="P266" s="1382"/>
      <c r="Q266" s="1382"/>
      <c r="R266" s="1382"/>
      <c r="S266" s="1382"/>
      <c r="T266" s="1382"/>
      <c r="U266" s="1382"/>
      <c r="V266" s="1382"/>
      <c r="W266" s="1382"/>
      <c r="X266" s="1382"/>
      <c r="Y266" s="1382"/>
      <c r="Z266" s="1382"/>
      <c r="AA266" s="1382"/>
      <c r="AB266" s="1382"/>
      <c r="AC266" s="1382"/>
      <c r="AD266" s="1382"/>
      <c r="AE266" s="1382"/>
      <c r="AF266" s="1382"/>
      <c r="AG266" s="1382"/>
      <c r="AH266" s="1382"/>
      <c r="AI266" s="1382"/>
      <c r="AJ266" s="181"/>
      <c r="AK266" s="181"/>
      <c r="AL266" s="181"/>
      <c r="AM266" s="181"/>
      <c r="AN266" s="181"/>
      <c r="AO266" s="181"/>
      <c r="AP266" s="181"/>
      <c r="AQ266" s="181"/>
      <c r="AR266" s="181"/>
      <c r="AS266" s="181"/>
      <c r="AT266" s="181"/>
      <c r="AU266" s="181"/>
      <c r="AV266" s="181"/>
      <c r="AW266" s="181"/>
    </row>
    <row r="267" spans="1:49" s="30" customFormat="1" ht="15" hidden="1" customHeight="1" x14ac:dyDescent="0.25">
      <c r="A267" s="1407"/>
      <c r="B267" s="191"/>
      <c r="C267" s="945"/>
      <c r="D267" s="116"/>
      <c r="E267" s="466"/>
      <c r="F267" s="559" t="str">
        <f>IF('C-Design&amp;Const'!$G267="","",'C-Design&amp;Const'!$G267)</f>
        <v>N</v>
      </c>
      <c r="G267" s="457"/>
      <c r="H267" s="469" t="str">
        <f>CONCATENATE(IF(F267="N","PLACEHOLDER ROW - ",""),'C-Design&amp;Const'!Z267,IF(F267="N","",J267))</f>
        <v xml:space="preserve">PLACEHOLDER ROW - Lateral Force Resisting System Plan and Details </v>
      </c>
      <c r="I267" s="193"/>
      <c r="J267" s="578" t="str">
        <f>IF('C-Design&amp;Const'!AD267="","",'C-Design&amp;Const'!AD267)</f>
        <v>(Preliminary)</v>
      </c>
      <c r="K267" s="228"/>
      <c r="L267" s="1410" t="str">
        <f t="shared" si="12"/>
        <v>&lt;---PM/Planner may hide PLACEHOLDER ROW</v>
      </c>
      <c r="M267" s="1382"/>
      <c r="N267" s="1382"/>
      <c r="O267" s="1382"/>
      <c r="P267" s="1382"/>
      <c r="Q267" s="1382"/>
      <c r="R267" s="1382"/>
      <c r="S267" s="1382"/>
      <c r="T267" s="1382"/>
      <c r="U267" s="1382"/>
      <c r="V267" s="1382"/>
      <c r="W267" s="1382"/>
      <c r="X267" s="1382"/>
      <c r="Y267" s="1382"/>
      <c r="Z267" s="1382"/>
      <c r="AA267" s="1382"/>
      <c r="AB267" s="1382"/>
      <c r="AC267" s="1382"/>
      <c r="AD267" s="1382"/>
      <c r="AE267" s="1382"/>
      <c r="AF267" s="1382"/>
      <c r="AG267" s="1382"/>
      <c r="AH267" s="1382"/>
      <c r="AI267" s="1382"/>
      <c r="AJ267" s="181"/>
      <c r="AK267" s="181"/>
      <c r="AL267" s="181"/>
      <c r="AM267" s="181"/>
      <c r="AN267" s="181"/>
      <c r="AO267" s="181"/>
      <c r="AP267" s="181"/>
      <c r="AQ267" s="181"/>
      <c r="AR267" s="181"/>
      <c r="AS267" s="181"/>
      <c r="AT267" s="181"/>
      <c r="AU267" s="181"/>
      <c r="AV267" s="181"/>
      <c r="AW267" s="181"/>
    </row>
    <row r="268" spans="1:49" s="30" customFormat="1" ht="15" hidden="1" customHeight="1" x14ac:dyDescent="0.25">
      <c r="A268" s="1407"/>
      <c r="B268" s="191"/>
      <c r="C268" s="945"/>
      <c r="D268" s="116"/>
      <c r="E268" s="466"/>
      <c r="F268" s="559" t="str">
        <f>IF('C-Design&amp;Const'!$G268="","",'C-Design&amp;Const'!$G268)</f>
        <v>N</v>
      </c>
      <c r="G268" s="457"/>
      <c r="H268" s="469" t="str">
        <f>CONCATENATE(IF(F268="N","PLACEHOLDER ROW - ",""),'C-Design&amp;Const'!Z268,IF(F268="N","",J268))</f>
        <v xml:space="preserve">PLACEHOLDER ROW - Floor Framing Plans </v>
      </c>
      <c r="I268" s="193"/>
      <c r="J268" s="578" t="str">
        <f>IF('C-Design&amp;Const'!AD268="","",'C-Design&amp;Const'!AD268)</f>
        <v>(Preliminary)</v>
      </c>
      <c r="K268" s="228"/>
      <c r="L268" s="1410" t="str">
        <f t="shared" si="12"/>
        <v>&lt;---PM/Planner may hide PLACEHOLDER ROW</v>
      </c>
      <c r="M268" s="1382"/>
      <c r="N268" s="1382"/>
      <c r="O268" s="1382"/>
      <c r="P268" s="1382"/>
      <c r="Q268" s="1382"/>
      <c r="R268" s="1382"/>
      <c r="S268" s="1382"/>
      <c r="T268" s="1382"/>
      <c r="U268" s="1382"/>
      <c r="V268" s="1382"/>
      <c r="W268" s="1382"/>
      <c r="X268" s="1382"/>
      <c r="Y268" s="1382"/>
      <c r="Z268" s="1382"/>
      <c r="AA268" s="1382"/>
      <c r="AB268" s="1382"/>
      <c r="AC268" s="1382"/>
      <c r="AD268" s="1382"/>
      <c r="AE268" s="1382"/>
      <c r="AF268" s="1382"/>
      <c r="AG268" s="1382"/>
      <c r="AH268" s="1382"/>
      <c r="AI268" s="1382"/>
      <c r="AJ268" s="181"/>
      <c r="AK268" s="181"/>
      <c r="AL268" s="181"/>
      <c r="AM268" s="181"/>
      <c r="AN268" s="181"/>
      <c r="AO268" s="181"/>
      <c r="AP268" s="181"/>
      <c r="AQ268" s="181"/>
      <c r="AR268" s="181"/>
      <c r="AS268" s="181"/>
      <c r="AT268" s="181"/>
      <c r="AU268" s="181"/>
      <c r="AV268" s="181"/>
      <c r="AW268" s="181"/>
    </row>
    <row r="269" spans="1:49" s="30" customFormat="1" ht="15" hidden="1" customHeight="1" x14ac:dyDescent="0.25">
      <c r="A269" s="1407"/>
      <c r="B269" s="191"/>
      <c r="C269" s="945"/>
      <c r="D269" s="116"/>
      <c r="E269" s="466"/>
      <c r="F269" s="559" t="str">
        <f>IF('C-Design&amp;Const'!$G269="","",'C-Design&amp;Const'!$G269)</f>
        <v>N</v>
      </c>
      <c r="G269" s="457"/>
      <c r="H269" s="469" t="str">
        <f>CONCATENATE(IF(F269="N","PLACEHOLDER ROW - ",""),'C-Design&amp;Const'!Z269,IF(F269="N","",J269))</f>
        <v xml:space="preserve">PLACEHOLDER ROW - Roof Framing Details </v>
      </c>
      <c r="I269" s="193"/>
      <c r="J269" s="578" t="str">
        <f>IF('C-Design&amp;Const'!AD269="","",'C-Design&amp;Const'!AD269)</f>
        <v>(Preliminary)</v>
      </c>
      <c r="K269" s="228"/>
      <c r="L269" s="1410" t="str">
        <f t="shared" si="12"/>
        <v>&lt;---PM/Planner may hide PLACEHOLDER ROW</v>
      </c>
      <c r="M269" s="1382"/>
      <c r="N269" s="1382"/>
      <c r="O269" s="1382"/>
      <c r="P269" s="1382"/>
      <c r="Q269" s="1382"/>
      <c r="R269" s="1382"/>
      <c r="S269" s="1382"/>
      <c r="T269" s="1382"/>
      <c r="U269" s="1382"/>
      <c r="V269" s="1382"/>
      <c r="W269" s="1382"/>
      <c r="X269" s="1382"/>
      <c r="Y269" s="1382"/>
      <c r="Z269" s="1382"/>
      <c r="AA269" s="1382"/>
      <c r="AB269" s="1382"/>
      <c r="AC269" s="1382"/>
      <c r="AD269" s="1382"/>
      <c r="AE269" s="1382"/>
      <c r="AF269" s="1382"/>
      <c r="AG269" s="1382"/>
      <c r="AH269" s="1382"/>
      <c r="AI269" s="1382"/>
      <c r="AJ269" s="181"/>
      <c r="AK269" s="181"/>
      <c r="AL269" s="181"/>
      <c r="AM269" s="181"/>
      <c r="AN269" s="181"/>
      <c r="AO269" s="181"/>
      <c r="AP269" s="181"/>
      <c r="AQ269" s="181"/>
      <c r="AR269" s="181"/>
      <c r="AS269" s="181"/>
      <c r="AT269" s="181"/>
      <c r="AU269" s="181"/>
      <c r="AV269" s="181"/>
      <c r="AW269" s="181"/>
    </row>
    <row r="270" spans="1:49" s="30" customFormat="1" ht="15" hidden="1" customHeight="1" x14ac:dyDescent="0.25">
      <c r="A270" s="1407"/>
      <c r="B270" s="191"/>
      <c r="C270" s="945"/>
      <c r="D270" s="116"/>
      <c r="E270" s="559" t="str">
        <f>IF('C-Design&amp;Const'!$G270="","",'C-Design&amp;Const'!$G270)</f>
        <v>N</v>
      </c>
      <c r="F270" s="460"/>
      <c r="G270" s="457"/>
      <c r="H270" s="244" t="str">
        <f>CONCATENATE(IF(F270="N","PLACEHOLDER ROW - ",""),'C-Design&amp;Const'!Z270,IF(F270="N","",J270))</f>
        <v>Plumbing Drawings</v>
      </c>
      <c r="I270" s="193"/>
      <c r="J270" s="578" t="str">
        <f>IF('C-Design&amp;Const'!AD270="","",'C-Design&amp;Const'!AD270)</f>
        <v/>
      </c>
      <c r="K270" s="228"/>
      <c r="L270" s="1410" t="str">
        <f t="shared" si="12"/>
        <v/>
      </c>
      <c r="M270" s="1382"/>
      <c r="N270" s="1382"/>
      <c r="O270" s="1382"/>
      <c r="P270" s="1382"/>
      <c r="Q270" s="1382"/>
      <c r="R270" s="1382"/>
      <c r="S270" s="1382"/>
      <c r="T270" s="1382"/>
      <c r="U270" s="1382"/>
      <c r="V270" s="1382"/>
      <c r="W270" s="1382"/>
      <c r="X270" s="1382"/>
      <c r="Y270" s="1382"/>
      <c r="Z270" s="1382"/>
      <c r="AA270" s="1382"/>
      <c r="AB270" s="1382"/>
      <c r="AC270" s="1382"/>
      <c r="AD270" s="1382"/>
      <c r="AE270" s="1382"/>
      <c r="AF270" s="1382"/>
      <c r="AG270" s="1382"/>
      <c r="AH270" s="1382"/>
      <c r="AI270" s="1382"/>
      <c r="AJ270" s="181"/>
      <c r="AK270" s="181"/>
      <c r="AL270" s="181"/>
      <c r="AM270" s="181"/>
      <c r="AN270" s="181"/>
      <c r="AO270" s="181"/>
      <c r="AP270" s="181"/>
      <c r="AQ270" s="181"/>
      <c r="AR270" s="181"/>
      <c r="AS270" s="181"/>
      <c r="AT270" s="181"/>
      <c r="AU270" s="181"/>
      <c r="AV270" s="181"/>
      <c r="AW270" s="181"/>
    </row>
    <row r="271" spans="1:49" s="30" customFormat="1" ht="15" hidden="1" customHeight="1" x14ac:dyDescent="0.25">
      <c r="A271" s="1407"/>
      <c r="B271" s="191"/>
      <c r="C271" s="945"/>
      <c r="D271" s="116"/>
      <c r="E271" s="466"/>
      <c r="F271" s="559" t="str">
        <f>IF('C-Design&amp;Const'!$G271="","",'C-Design&amp;Const'!$G271)</f>
        <v>N</v>
      </c>
      <c r="G271" s="457"/>
      <c r="H271" s="469" t="str">
        <f>CONCATENATE(IF(F271="N","PLACEHOLDER ROW - ",""),'C-Design&amp;Const'!Z271,IF(F271="N","",J271))</f>
        <v xml:space="preserve">PLACEHOLDER ROW - CUSTOM - Plumbing  </v>
      </c>
      <c r="I271" s="193"/>
      <c r="J271" s="578" t="str">
        <f>IF('C-Design&amp;Const'!AD271="","",'C-Design&amp;Const'!AD271)</f>
        <v>(Preliminary)</v>
      </c>
      <c r="K271" s="228"/>
      <c r="L271" s="1410" t="str">
        <f t="shared" si="12"/>
        <v>&lt;---PM/Planner may hide PLACEHOLDER ROW</v>
      </c>
      <c r="M271" s="1382"/>
      <c r="N271" s="1382"/>
      <c r="O271" s="1382"/>
      <c r="P271" s="1382"/>
      <c r="Q271" s="1382"/>
      <c r="R271" s="1382"/>
      <c r="S271" s="1382"/>
      <c r="T271" s="1382"/>
      <c r="U271" s="1382"/>
      <c r="V271" s="1382"/>
      <c r="W271" s="1382"/>
      <c r="X271" s="1382"/>
      <c r="Y271" s="1382"/>
      <c r="Z271" s="1382"/>
      <c r="AA271" s="1382"/>
      <c r="AB271" s="1382"/>
      <c r="AC271" s="1382"/>
      <c r="AD271" s="1382"/>
      <c r="AE271" s="1382"/>
      <c r="AF271" s="1382"/>
      <c r="AG271" s="1382"/>
      <c r="AH271" s="1382"/>
      <c r="AI271" s="1382"/>
      <c r="AJ271" s="181"/>
      <c r="AK271" s="181"/>
      <c r="AL271" s="181"/>
      <c r="AM271" s="181"/>
      <c r="AN271" s="181"/>
      <c r="AO271" s="181"/>
      <c r="AP271" s="181"/>
      <c r="AQ271" s="181"/>
      <c r="AR271" s="181"/>
      <c r="AS271" s="181"/>
      <c r="AT271" s="181"/>
      <c r="AU271" s="181"/>
      <c r="AV271" s="181"/>
      <c r="AW271" s="181"/>
    </row>
    <row r="272" spans="1:49" s="30" customFormat="1" ht="15" hidden="1" customHeight="1" x14ac:dyDescent="0.25">
      <c r="A272" s="1407"/>
      <c r="B272" s="191"/>
      <c r="C272" s="945"/>
      <c r="D272" s="116"/>
      <c r="E272" s="466"/>
      <c r="F272" s="559" t="str">
        <f>IF('C-Design&amp;Const'!$G272="","",'C-Design&amp;Const'!$G272)</f>
        <v>N</v>
      </c>
      <c r="G272" s="457"/>
      <c r="H272" s="469" t="str">
        <f>CONCATENATE(IF(F272="N","PLACEHOLDER ROW - ",""),'C-Design&amp;Const'!Z272,IF(F272="N","",J272))</f>
        <v xml:space="preserve">PLACEHOLDER ROW - CUSTOM - Plumbing  </v>
      </c>
      <c r="I272" s="193"/>
      <c r="J272" s="578" t="str">
        <f>IF('C-Design&amp;Const'!AD272="","",'C-Design&amp;Const'!AD272)</f>
        <v>(Preliminary)</v>
      </c>
      <c r="K272" s="228"/>
      <c r="L272" s="1410" t="str">
        <f t="shared" si="12"/>
        <v>&lt;---PM/Planner may hide PLACEHOLDER ROW</v>
      </c>
      <c r="M272" s="1382"/>
      <c r="N272" s="1382"/>
      <c r="O272" s="1382"/>
      <c r="P272" s="1382"/>
      <c r="Q272" s="1382"/>
      <c r="R272" s="1382"/>
      <c r="S272" s="1382"/>
      <c r="T272" s="1382"/>
      <c r="U272" s="1382"/>
      <c r="V272" s="1382"/>
      <c r="W272" s="1382"/>
      <c r="X272" s="1382"/>
      <c r="Y272" s="1382"/>
      <c r="Z272" s="1382"/>
      <c r="AA272" s="1382"/>
      <c r="AB272" s="1382"/>
      <c r="AC272" s="1382"/>
      <c r="AD272" s="1382"/>
      <c r="AE272" s="1382"/>
      <c r="AF272" s="1382"/>
      <c r="AG272" s="1382"/>
      <c r="AH272" s="1382"/>
      <c r="AI272" s="1382"/>
      <c r="AJ272" s="181"/>
      <c r="AK272" s="181"/>
      <c r="AL272" s="181"/>
      <c r="AM272" s="181"/>
      <c r="AN272" s="181"/>
      <c r="AO272" s="181"/>
      <c r="AP272" s="181"/>
      <c r="AQ272" s="181"/>
      <c r="AR272" s="181"/>
      <c r="AS272" s="181"/>
      <c r="AT272" s="181"/>
      <c r="AU272" s="181"/>
      <c r="AV272" s="181"/>
      <c r="AW272" s="181"/>
    </row>
    <row r="273" spans="1:49" s="30" customFormat="1" ht="15" hidden="1" customHeight="1" x14ac:dyDescent="0.25">
      <c r="A273" s="1407"/>
      <c r="B273" s="191"/>
      <c r="C273" s="945"/>
      <c r="D273" s="116"/>
      <c r="E273" s="466"/>
      <c r="F273" s="559" t="str">
        <f>IF('C-Design&amp;Const'!$G273="","",'C-Design&amp;Const'!$G273)</f>
        <v>N</v>
      </c>
      <c r="G273" s="457"/>
      <c r="H273" s="469" t="str">
        <f>CONCATENATE(IF(F273="N","PLACEHOLDER ROW - ",""),'C-Design&amp;Const'!Z273,IF(F273="N","",J273))</f>
        <v xml:space="preserve">PLACEHOLDER ROW - Plumbing Symbols, Abbreviations, and General Notes </v>
      </c>
      <c r="I273" s="193"/>
      <c r="J273" s="578" t="str">
        <f>IF('C-Design&amp;Const'!AD273="","",'C-Design&amp;Const'!AD273)</f>
        <v>(Approx. 50% Complete)</v>
      </c>
      <c r="K273" s="228"/>
      <c r="L273" s="1410" t="str">
        <f t="shared" si="12"/>
        <v>&lt;---PM/Planner may hide PLACEHOLDER ROW</v>
      </c>
      <c r="M273" s="1382"/>
      <c r="N273" s="1382"/>
      <c r="O273" s="1382"/>
      <c r="P273" s="1382"/>
      <c r="Q273" s="1382"/>
      <c r="R273" s="1382"/>
      <c r="S273" s="1382"/>
      <c r="T273" s="1382"/>
      <c r="U273" s="1382"/>
      <c r="V273" s="1382"/>
      <c r="W273" s="1382"/>
      <c r="X273" s="1382"/>
      <c r="Y273" s="1382"/>
      <c r="Z273" s="1382"/>
      <c r="AA273" s="1382"/>
      <c r="AB273" s="1382"/>
      <c r="AC273" s="1382"/>
      <c r="AD273" s="1382"/>
      <c r="AE273" s="1382"/>
      <c r="AF273" s="1382"/>
      <c r="AG273" s="1382"/>
      <c r="AH273" s="1382"/>
      <c r="AI273" s="1382"/>
      <c r="AJ273" s="181"/>
      <c r="AK273" s="181"/>
      <c r="AL273" s="181"/>
      <c r="AM273" s="181"/>
      <c r="AN273" s="181"/>
      <c r="AO273" s="181"/>
      <c r="AP273" s="181"/>
      <c r="AQ273" s="181"/>
      <c r="AR273" s="181"/>
      <c r="AS273" s="181"/>
      <c r="AT273" s="181"/>
      <c r="AU273" s="181"/>
      <c r="AV273" s="181"/>
      <c r="AW273" s="181"/>
    </row>
    <row r="274" spans="1:49" s="545" customFormat="1" ht="15" hidden="1" customHeight="1" x14ac:dyDescent="0.25">
      <c r="A274" s="1402"/>
      <c r="B274" s="554"/>
      <c r="C274" s="945"/>
      <c r="D274" s="116"/>
      <c r="E274" s="411"/>
      <c r="F274" s="559" t="str">
        <f>IF('C-Design&amp;Const'!$G274="","",'C-Design&amp;Const'!$G274)</f>
        <v>N</v>
      </c>
      <c r="G274" s="457"/>
      <c r="H274" s="469" t="str">
        <f>CONCATENATE(IF(F274="N","PLACEHOLDER ROW - ",""),'C-Design&amp;Const'!Z274,IF(F274="N","",J274))</f>
        <v xml:space="preserve">PLACEHOLDER ROW - Plumbing Demolition(s) </v>
      </c>
      <c r="I274" s="197"/>
      <c r="J274" s="578"/>
      <c r="K274" s="228"/>
      <c r="L274" s="1410"/>
      <c r="M274" s="1382"/>
      <c r="N274" s="1382"/>
      <c r="O274" s="1382"/>
      <c r="P274" s="1382"/>
      <c r="Q274" s="1382"/>
      <c r="R274" s="1382"/>
      <c r="S274" s="1382"/>
      <c r="T274" s="1382"/>
      <c r="U274" s="1382"/>
      <c r="V274" s="1382"/>
      <c r="W274" s="1382"/>
      <c r="X274" s="1382"/>
      <c r="Y274" s="1382"/>
      <c r="Z274" s="1382"/>
      <c r="AA274" s="1382"/>
      <c r="AB274" s="1382"/>
      <c r="AC274" s="1382"/>
      <c r="AD274" s="1382"/>
      <c r="AE274" s="1382"/>
      <c r="AF274" s="1382"/>
      <c r="AG274" s="1382"/>
      <c r="AH274" s="1382"/>
      <c r="AI274" s="1382"/>
      <c r="AJ274" s="551"/>
      <c r="AK274" s="551"/>
      <c r="AL274" s="551"/>
      <c r="AM274" s="551"/>
      <c r="AN274" s="551"/>
      <c r="AO274" s="551"/>
      <c r="AP274" s="551"/>
      <c r="AQ274" s="551"/>
      <c r="AR274" s="551"/>
      <c r="AS274" s="551"/>
      <c r="AT274" s="551"/>
      <c r="AU274" s="551"/>
      <c r="AV274" s="551"/>
      <c r="AW274" s="551"/>
    </row>
    <row r="275" spans="1:49" s="30" customFormat="1" ht="15" hidden="1" customHeight="1" x14ac:dyDescent="0.25">
      <c r="A275" s="1407"/>
      <c r="B275" s="191"/>
      <c r="C275" s="945"/>
      <c r="D275" s="116"/>
      <c r="E275" s="466"/>
      <c r="F275" s="559" t="str">
        <f>IF('C-Design&amp;Const'!$G275="","",'C-Design&amp;Const'!$G275)</f>
        <v>N</v>
      </c>
      <c r="G275" s="457"/>
      <c r="H275" s="469" t="str">
        <f>CONCATENATE(IF(F275="N","PLACEHOLDER ROW - ",""),'C-Design&amp;Const'!Z275,IF(F275="N","",J275))</f>
        <v xml:space="preserve">PLACEHOLDER ROW - Plumbing Floor Plans and Roof Plan </v>
      </c>
      <c r="I275" s="193"/>
      <c r="J275" s="578" t="str">
        <f>IF('C-Design&amp;Const'!AD275="","",'C-Design&amp;Const'!AD275)</f>
        <v>(Preliminary)</v>
      </c>
      <c r="K275" s="228"/>
      <c r="L275" s="1410" t="str">
        <f t="shared" si="12"/>
        <v>&lt;---PM/Planner may hide PLACEHOLDER ROW</v>
      </c>
      <c r="M275" s="1382"/>
      <c r="N275" s="1382"/>
      <c r="O275" s="1382"/>
      <c r="P275" s="1382"/>
      <c r="Q275" s="1382"/>
      <c r="R275" s="1382"/>
      <c r="S275" s="1382"/>
      <c r="T275" s="1382"/>
      <c r="U275" s="1382"/>
      <c r="V275" s="1382"/>
      <c r="W275" s="1382"/>
      <c r="X275" s="1382"/>
      <c r="Y275" s="1382"/>
      <c r="Z275" s="1382"/>
      <c r="AA275" s="1382"/>
      <c r="AB275" s="1382"/>
      <c r="AC275" s="1382"/>
      <c r="AD275" s="1382"/>
      <c r="AE275" s="1382"/>
      <c r="AF275" s="1382"/>
      <c r="AG275" s="1382"/>
      <c r="AH275" s="1382"/>
      <c r="AI275" s="1382"/>
      <c r="AJ275" s="181"/>
      <c r="AK275" s="181"/>
      <c r="AL275" s="181"/>
      <c r="AM275" s="181"/>
      <c r="AN275" s="181"/>
      <c r="AO275" s="181"/>
      <c r="AP275" s="181"/>
      <c r="AQ275" s="181"/>
      <c r="AR275" s="181"/>
      <c r="AS275" s="181"/>
      <c r="AT275" s="181"/>
      <c r="AU275" s="181"/>
      <c r="AV275" s="181"/>
      <c r="AW275" s="181"/>
    </row>
    <row r="276" spans="1:49" s="30" customFormat="1" ht="15" hidden="1" customHeight="1" x14ac:dyDescent="0.25">
      <c r="A276" s="1407"/>
      <c r="B276" s="191"/>
      <c r="C276" s="945"/>
      <c r="D276" s="116"/>
      <c r="E276" s="466"/>
      <c r="F276" s="559" t="str">
        <f>IF('C-Design&amp;Const'!$G276="","",'C-Design&amp;Const'!$G276)</f>
        <v>N</v>
      </c>
      <c r="G276" s="457"/>
      <c r="H276" s="469" t="str">
        <f>CONCATENATE(IF(F276="N","PLACEHOLDER ROW - ",""),'C-Design&amp;Const'!Z276,IF(F276="N","",J276))</f>
        <v xml:space="preserve">PLACEHOLDER ROW - Plumbing Sanitary, Vent, Storm, Water Riser Diagram </v>
      </c>
      <c r="I276" s="193"/>
      <c r="J276" s="578" t="str">
        <f>IF('C-Design&amp;Const'!AD276="","",'C-Design&amp;Const'!AD276)</f>
        <v>(Preliminary)</v>
      </c>
      <c r="K276" s="228"/>
      <c r="L276" s="1410" t="str">
        <f t="shared" si="12"/>
        <v>&lt;---PM/Planner may hide PLACEHOLDER ROW</v>
      </c>
      <c r="M276" s="1382"/>
      <c r="N276" s="1382"/>
      <c r="O276" s="1382"/>
      <c r="P276" s="1382"/>
      <c r="Q276" s="1382"/>
      <c r="R276" s="1382"/>
      <c r="S276" s="1382"/>
      <c r="T276" s="1382"/>
      <c r="U276" s="1382"/>
      <c r="V276" s="1382"/>
      <c r="W276" s="1382"/>
      <c r="X276" s="1382"/>
      <c r="Y276" s="1382"/>
      <c r="Z276" s="1382"/>
      <c r="AA276" s="1382"/>
      <c r="AB276" s="1382"/>
      <c r="AC276" s="1382"/>
      <c r="AD276" s="1382"/>
      <c r="AE276" s="1382"/>
      <c r="AF276" s="1382"/>
      <c r="AG276" s="1382"/>
      <c r="AH276" s="1382"/>
      <c r="AI276" s="1382"/>
      <c r="AJ276" s="181"/>
      <c r="AK276" s="181"/>
      <c r="AL276" s="181"/>
      <c r="AM276" s="181"/>
      <c r="AN276" s="181"/>
      <c r="AO276" s="181"/>
      <c r="AP276" s="181"/>
      <c r="AQ276" s="181"/>
      <c r="AR276" s="181"/>
      <c r="AS276" s="181"/>
      <c r="AT276" s="181"/>
      <c r="AU276" s="181"/>
      <c r="AV276" s="181"/>
      <c r="AW276" s="181"/>
    </row>
    <row r="277" spans="1:49" s="30" customFormat="1" ht="15" hidden="1" customHeight="1" x14ac:dyDescent="0.25">
      <c r="A277" s="1407"/>
      <c r="B277" s="191"/>
      <c r="C277" s="945"/>
      <c r="D277" s="116"/>
      <c r="E277" s="466"/>
      <c r="F277" s="559" t="str">
        <f>IF('C-Design&amp;Const'!$G277="","",'C-Design&amp;Const'!$G277)</f>
        <v>N</v>
      </c>
      <c r="G277" s="457"/>
      <c r="H277" s="469" t="str">
        <f>CONCATENATE(IF(F277="N","PLACEHOLDER ROW - ",""),'C-Design&amp;Const'!Z277,IF(F277="N","",J277))</f>
        <v xml:space="preserve">PLACEHOLDER ROW - Plumbing Details and Sections </v>
      </c>
      <c r="I277" s="193"/>
      <c r="J277" s="578" t="str">
        <f>IF('C-Design&amp;Const'!AD277="","",'C-Design&amp;Const'!AD277)</f>
        <v>(Preliminary)</v>
      </c>
      <c r="K277" s="228"/>
      <c r="L277" s="1410" t="str">
        <f t="shared" si="12"/>
        <v>&lt;---PM/Planner may hide PLACEHOLDER ROW</v>
      </c>
      <c r="M277" s="1382"/>
      <c r="N277" s="1382"/>
      <c r="O277" s="1382"/>
      <c r="P277" s="1382"/>
      <c r="Q277" s="1382"/>
      <c r="R277" s="1382"/>
      <c r="S277" s="1382"/>
      <c r="T277" s="1382"/>
      <c r="U277" s="1382"/>
      <c r="V277" s="1382"/>
      <c r="W277" s="1382"/>
      <c r="X277" s="1382"/>
      <c r="Y277" s="1382"/>
      <c r="Z277" s="1382"/>
      <c r="AA277" s="1382"/>
      <c r="AB277" s="1382"/>
      <c r="AC277" s="1382"/>
      <c r="AD277" s="1382"/>
      <c r="AE277" s="1382"/>
      <c r="AF277" s="1382"/>
      <c r="AG277" s="1382"/>
      <c r="AH277" s="1382"/>
      <c r="AI277" s="1382"/>
      <c r="AJ277" s="181"/>
      <c r="AK277" s="181"/>
      <c r="AL277" s="181"/>
      <c r="AM277" s="181"/>
      <c r="AN277" s="181"/>
      <c r="AO277" s="181"/>
      <c r="AP277" s="181"/>
      <c r="AQ277" s="181"/>
      <c r="AR277" s="181"/>
      <c r="AS277" s="181"/>
      <c r="AT277" s="181"/>
      <c r="AU277" s="181"/>
      <c r="AV277" s="181"/>
      <c r="AW277" s="181"/>
    </row>
    <row r="278" spans="1:49" s="30" customFormat="1" ht="15" hidden="1" customHeight="1" x14ac:dyDescent="0.25">
      <c r="A278" s="1407"/>
      <c r="B278" s="191"/>
      <c r="C278" s="945"/>
      <c r="D278" s="116"/>
      <c r="E278" s="466"/>
      <c r="F278" s="559" t="str">
        <f>IF('C-Design&amp;Const'!$G278="","",'C-Design&amp;Const'!$G278)</f>
        <v>N</v>
      </c>
      <c r="G278" s="457"/>
      <c r="H278" s="469" t="str">
        <f>CONCATENATE(IF(F278="N","PLACEHOLDER ROW - ",""),'C-Design&amp;Const'!Z278,IF(F278="N","",J278))</f>
        <v xml:space="preserve">PLACEHOLDER ROW - Plumbing Fixture Schedule </v>
      </c>
      <c r="I278" s="193"/>
      <c r="J278" s="578" t="str">
        <f>IF('C-Design&amp;Const'!AD278="","",'C-Design&amp;Const'!AD278)</f>
        <v/>
      </c>
      <c r="K278" s="228"/>
      <c r="L278" s="1410" t="str">
        <f t="shared" si="12"/>
        <v>&lt;---PM/Planner may hide PLACEHOLDER ROW</v>
      </c>
      <c r="M278" s="1382"/>
      <c r="N278" s="1382"/>
      <c r="O278" s="1382"/>
      <c r="P278" s="1382"/>
      <c r="Q278" s="1382"/>
      <c r="R278" s="1382"/>
      <c r="S278" s="1382"/>
      <c r="T278" s="1382"/>
      <c r="U278" s="1382"/>
      <c r="V278" s="1382"/>
      <c r="W278" s="1382"/>
      <c r="X278" s="1382"/>
      <c r="Y278" s="1382"/>
      <c r="Z278" s="1382"/>
      <c r="AA278" s="1382"/>
      <c r="AB278" s="1382"/>
      <c r="AC278" s="1382"/>
      <c r="AD278" s="1382"/>
      <c r="AE278" s="1382"/>
      <c r="AF278" s="1382"/>
      <c r="AG278" s="1382"/>
      <c r="AH278" s="1382"/>
      <c r="AI278" s="1382"/>
      <c r="AJ278" s="181"/>
      <c r="AK278" s="181"/>
      <c r="AL278" s="181"/>
      <c r="AM278" s="181"/>
      <c r="AN278" s="181"/>
      <c r="AO278" s="181"/>
      <c r="AP278" s="181"/>
      <c r="AQ278" s="181"/>
      <c r="AR278" s="181"/>
      <c r="AS278" s="181"/>
      <c r="AT278" s="181"/>
      <c r="AU278" s="181"/>
      <c r="AV278" s="181"/>
      <c r="AW278" s="181"/>
    </row>
    <row r="279" spans="1:49" s="30" customFormat="1" ht="15" hidden="1" customHeight="1" x14ac:dyDescent="0.25">
      <c r="A279" s="1407"/>
      <c r="B279" s="191"/>
      <c r="C279" s="945"/>
      <c r="D279" s="116"/>
      <c r="E279" s="559" t="str">
        <f>IF('C-Design&amp;Const'!$G279="","",'C-Design&amp;Const'!$G279)</f>
        <v>N</v>
      </c>
      <c r="F279" s="460"/>
      <c r="G279" s="457"/>
      <c r="H279" s="244" t="str">
        <f>CONCATENATE(IF(F279="N","PLACEHOLDER ROW - ",""),'C-Design&amp;Const'!Z279,IF(F279="N","",J279))</f>
        <v>Fire Protection / Fire Suppression Drawings</v>
      </c>
      <c r="I279" s="193"/>
      <c r="J279" s="578" t="str">
        <f>IF('C-Design&amp;Const'!AD279="","",'C-Design&amp;Const'!AD279)</f>
        <v/>
      </c>
      <c r="K279" s="228"/>
      <c r="L279" s="1410" t="str">
        <f t="shared" si="12"/>
        <v/>
      </c>
      <c r="M279" s="1382"/>
      <c r="N279" s="1382"/>
      <c r="O279" s="1382"/>
      <c r="P279" s="1382"/>
      <c r="Q279" s="1382"/>
      <c r="R279" s="1382"/>
      <c r="S279" s="1382"/>
      <c r="T279" s="1382"/>
      <c r="U279" s="1382"/>
      <c r="V279" s="1382"/>
      <c r="W279" s="1382"/>
      <c r="X279" s="1382"/>
      <c r="Y279" s="1382"/>
      <c r="Z279" s="1382"/>
      <c r="AA279" s="1382"/>
      <c r="AB279" s="1382"/>
      <c r="AC279" s="1382"/>
      <c r="AD279" s="1382"/>
      <c r="AE279" s="1382"/>
      <c r="AF279" s="1382"/>
      <c r="AG279" s="1382"/>
      <c r="AH279" s="1382"/>
      <c r="AI279" s="1382"/>
      <c r="AJ279" s="181"/>
      <c r="AK279" s="181"/>
      <c r="AL279" s="181"/>
      <c r="AM279" s="181"/>
      <c r="AN279" s="181"/>
      <c r="AO279" s="181"/>
      <c r="AP279" s="181"/>
      <c r="AQ279" s="181"/>
      <c r="AR279" s="181"/>
      <c r="AS279" s="181"/>
      <c r="AT279" s="181"/>
      <c r="AU279" s="181"/>
      <c r="AV279" s="181"/>
      <c r="AW279" s="181"/>
    </row>
    <row r="280" spans="1:49" s="30" customFormat="1" ht="15" hidden="1" customHeight="1" x14ac:dyDescent="0.25">
      <c r="A280" s="1407"/>
      <c r="B280" s="191"/>
      <c r="C280" s="945"/>
      <c r="D280" s="116"/>
      <c r="E280" s="466"/>
      <c r="F280" s="559" t="str">
        <f>IF('C-Design&amp;Const'!$G280="","",'C-Design&amp;Const'!$G280)</f>
        <v>N</v>
      </c>
      <c r="G280" s="457"/>
      <c r="H280" s="469" t="str">
        <f>CONCATENATE(IF(F280="N","PLACEHOLDER ROW - ",""),'C-Design&amp;Const'!Z280,IF(F280="N","",J280))</f>
        <v xml:space="preserve">PLACEHOLDER ROW - CUSTOM - Fire Suppression  </v>
      </c>
      <c r="I280" s="193"/>
      <c r="J280" s="578" t="str">
        <f>IF('C-Design&amp;Const'!AD280="","",'C-Design&amp;Const'!AD280)</f>
        <v>(Preliminary)</v>
      </c>
      <c r="K280" s="228"/>
      <c r="L280" s="1410" t="str">
        <f t="shared" si="12"/>
        <v>&lt;---PM/Planner may hide PLACEHOLDER ROW</v>
      </c>
      <c r="M280" s="1382"/>
      <c r="N280" s="1382"/>
      <c r="O280" s="1382"/>
      <c r="P280" s="1382"/>
      <c r="Q280" s="1382"/>
      <c r="R280" s="1382"/>
      <c r="S280" s="1382"/>
      <c r="T280" s="1382"/>
      <c r="U280" s="1382"/>
      <c r="V280" s="1382"/>
      <c r="W280" s="1382"/>
      <c r="X280" s="1382"/>
      <c r="Y280" s="1382"/>
      <c r="Z280" s="1382"/>
      <c r="AA280" s="1382"/>
      <c r="AB280" s="1382"/>
      <c r="AC280" s="1382"/>
      <c r="AD280" s="1382"/>
      <c r="AE280" s="1382"/>
      <c r="AF280" s="1382"/>
      <c r="AG280" s="1382"/>
      <c r="AH280" s="1382"/>
      <c r="AI280" s="1382"/>
      <c r="AJ280" s="181"/>
      <c r="AK280" s="181"/>
      <c r="AL280" s="181"/>
      <c r="AM280" s="181"/>
      <c r="AN280" s="181"/>
      <c r="AO280" s="181"/>
      <c r="AP280" s="181"/>
      <c r="AQ280" s="181"/>
      <c r="AR280" s="181"/>
      <c r="AS280" s="181"/>
      <c r="AT280" s="181"/>
      <c r="AU280" s="181"/>
      <c r="AV280" s="181"/>
      <c r="AW280" s="181"/>
    </row>
    <row r="281" spans="1:49" s="30" customFormat="1" ht="15" hidden="1" customHeight="1" x14ac:dyDescent="0.25">
      <c r="A281" s="1407"/>
      <c r="B281" s="191"/>
      <c r="C281" s="945"/>
      <c r="D281" s="116"/>
      <c r="E281" s="466"/>
      <c r="F281" s="559" t="str">
        <f>IF('C-Design&amp;Const'!$G281="","",'C-Design&amp;Const'!$G281)</f>
        <v>N</v>
      </c>
      <c r="G281" s="457"/>
      <c r="H281" s="469" t="str">
        <f>CONCATENATE(IF(F281="N","PLACEHOLDER ROW - ",""),'C-Design&amp;Const'!Z281,IF(F281="N","",J281))</f>
        <v xml:space="preserve">PLACEHOLDER ROW - CUSTOM - Fire Suppression  </v>
      </c>
      <c r="I281" s="193"/>
      <c r="J281" s="578" t="str">
        <f>IF('C-Design&amp;Const'!AD281="","",'C-Design&amp;Const'!AD281)</f>
        <v>(Preliminary)</v>
      </c>
      <c r="K281" s="228"/>
      <c r="L281" s="1410" t="str">
        <f t="shared" si="12"/>
        <v>&lt;---PM/Planner may hide PLACEHOLDER ROW</v>
      </c>
      <c r="M281" s="1382"/>
      <c r="N281" s="1382"/>
      <c r="O281" s="1382"/>
      <c r="P281" s="1382"/>
      <c r="Q281" s="1382"/>
      <c r="R281" s="1382"/>
      <c r="S281" s="1382"/>
      <c r="T281" s="1382"/>
      <c r="U281" s="1382"/>
      <c r="V281" s="1382"/>
      <c r="W281" s="1382"/>
      <c r="X281" s="1382"/>
      <c r="Y281" s="1382"/>
      <c r="Z281" s="1382"/>
      <c r="AA281" s="1382"/>
      <c r="AB281" s="1382"/>
      <c r="AC281" s="1382"/>
      <c r="AD281" s="1382"/>
      <c r="AE281" s="1382"/>
      <c r="AF281" s="1382"/>
      <c r="AG281" s="1382"/>
      <c r="AH281" s="1382"/>
      <c r="AI281" s="1382"/>
      <c r="AJ281" s="181"/>
      <c r="AK281" s="181"/>
      <c r="AL281" s="181"/>
      <c r="AM281" s="181"/>
      <c r="AN281" s="181"/>
      <c r="AO281" s="181"/>
      <c r="AP281" s="181"/>
      <c r="AQ281" s="181"/>
      <c r="AR281" s="181"/>
      <c r="AS281" s="181"/>
      <c r="AT281" s="181"/>
      <c r="AU281" s="181"/>
      <c r="AV281" s="181"/>
      <c r="AW281" s="181"/>
    </row>
    <row r="282" spans="1:49" s="30" customFormat="1" ht="15" hidden="1" customHeight="1" x14ac:dyDescent="0.25">
      <c r="A282" s="1407"/>
      <c r="B282" s="191"/>
      <c r="C282" s="945"/>
      <c r="D282" s="116"/>
      <c r="E282" s="466"/>
      <c r="F282" s="559" t="str">
        <f>IF('C-Design&amp;Const'!$G282="","",'C-Design&amp;Const'!$G282)</f>
        <v>N</v>
      </c>
      <c r="G282" s="457"/>
      <c r="H282" s="469" t="str">
        <f>CONCATENATE(IF(F282="N","PLACEHOLDER ROW - ",""),'C-Design&amp;Const'!Z282,IF(F282="N","",J282))</f>
        <v xml:space="preserve">PLACEHOLDER ROW - Sprinkler System Symbols, Abbreviations, and General Notes </v>
      </c>
      <c r="I282" s="193"/>
      <c r="J282" s="578" t="str">
        <f>IF('C-Design&amp;Const'!AD282="","",'C-Design&amp;Const'!AD282)</f>
        <v>(Approx. 50% Complete)</v>
      </c>
      <c r="K282" s="228"/>
      <c r="L282" s="1410" t="str">
        <f t="shared" si="12"/>
        <v>&lt;---PM/Planner may hide PLACEHOLDER ROW</v>
      </c>
      <c r="M282" s="1382"/>
      <c r="N282" s="1382"/>
      <c r="O282" s="1382"/>
      <c r="P282" s="1382"/>
      <c r="Q282" s="1382"/>
      <c r="R282" s="1382"/>
      <c r="S282" s="1382"/>
      <c r="T282" s="1382"/>
      <c r="U282" s="1382"/>
      <c r="V282" s="1382"/>
      <c r="W282" s="1382"/>
      <c r="X282" s="1382"/>
      <c r="Y282" s="1382"/>
      <c r="Z282" s="1382"/>
      <c r="AA282" s="1382"/>
      <c r="AB282" s="1382"/>
      <c r="AC282" s="1382"/>
      <c r="AD282" s="1382"/>
      <c r="AE282" s="1382"/>
      <c r="AF282" s="1382"/>
      <c r="AG282" s="1382"/>
      <c r="AH282" s="1382"/>
      <c r="AI282" s="1382"/>
      <c r="AJ282" s="181"/>
      <c r="AK282" s="181"/>
      <c r="AL282" s="181"/>
      <c r="AM282" s="181"/>
      <c r="AN282" s="181"/>
      <c r="AO282" s="181"/>
      <c r="AP282" s="181"/>
      <c r="AQ282" s="181"/>
      <c r="AR282" s="181"/>
      <c r="AS282" s="181"/>
      <c r="AT282" s="181"/>
      <c r="AU282" s="181"/>
      <c r="AV282" s="181"/>
      <c r="AW282" s="181"/>
    </row>
    <row r="283" spans="1:49" s="545" customFormat="1" ht="15" hidden="1" customHeight="1" x14ac:dyDescent="0.25">
      <c r="A283" s="1402"/>
      <c r="B283" s="554"/>
      <c r="C283" s="945"/>
      <c r="D283" s="116"/>
      <c r="E283" s="411"/>
      <c r="F283" s="559" t="str">
        <f>IF('C-Design&amp;Const'!$G283="","",'C-Design&amp;Const'!$G283)</f>
        <v>N</v>
      </c>
      <c r="G283" s="457"/>
      <c r="H283" s="469" t="str">
        <f>CONCATENATE(IF(F283="N","PLACEHOLDER ROW - ",""),'C-Design&amp;Const'!Z283,IF(F283="N","",J283))</f>
        <v xml:space="preserve">PLACEHOLDER ROW - Sprinkler System Demolition(s) </v>
      </c>
      <c r="I283" s="197"/>
      <c r="J283" s="578"/>
      <c r="K283" s="228"/>
      <c r="L283" s="1410"/>
      <c r="M283" s="1382"/>
      <c r="N283" s="1382"/>
      <c r="O283" s="1382"/>
      <c r="P283" s="1382"/>
      <c r="Q283" s="1382"/>
      <c r="R283" s="1382"/>
      <c r="S283" s="1382"/>
      <c r="T283" s="1382"/>
      <c r="U283" s="1382"/>
      <c r="V283" s="1382"/>
      <c r="W283" s="1382"/>
      <c r="X283" s="1382"/>
      <c r="Y283" s="1382"/>
      <c r="Z283" s="1382"/>
      <c r="AA283" s="1382"/>
      <c r="AB283" s="1382"/>
      <c r="AC283" s="1382"/>
      <c r="AD283" s="1382"/>
      <c r="AE283" s="1382"/>
      <c r="AF283" s="1382"/>
      <c r="AG283" s="1382"/>
      <c r="AH283" s="1382"/>
      <c r="AI283" s="1382"/>
      <c r="AJ283" s="551"/>
      <c r="AK283" s="551"/>
      <c r="AL283" s="551"/>
      <c r="AM283" s="551"/>
      <c r="AN283" s="551"/>
      <c r="AO283" s="551"/>
      <c r="AP283" s="551"/>
      <c r="AQ283" s="551"/>
      <c r="AR283" s="551"/>
      <c r="AS283" s="551"/>
      <c r="AT283" s="551"/>
      <c r="AU283" s="551"/>
      <c r="AV283" s="551"/>
      <c r="AW283" s="551"/>
    </row>
    <row r="284" spans="1:49" s="30" customFormat="1" ht="15" hidden="1" customHeight="1" x14ac:dyDescent="0.25">
      <c r="A284" s="1407"/>
      <c r="B284" s="191"/>
      <c r="C284" s="945"/>
      <c r="D284" s="116"/>
      <c r="E284" s="466"/>
      <c r="F284" s="559" t="str">
        <f>IF('C-Design&amp;Const'!$G284="","",'C-Design&amp;Const'!$G284)</f>
        <v>N</v>
      </c>
      <c r="G284" s="457"/>
      <c r="H284" s="469" t="str">
        <f>CONCATENATE(IF(F284="N","PLACEHOLDER ROW - ",""),'C-Design&amp;Const'!Z284,IF(F284="N","",J284))</f>
        <v xml:space="preserve">PLACEHOLDER ROW - Sprinkler System Floor Plans </v>
      </c>
      <c r="I284" s="193"/>
      <c r="J284" s="578" t="str">
        <f>IF('C-Design&amp;Const'!AD284="","",'C-Design&amp;Const'!AD284)</f>
        <v>(Preliminary)</v>
      </c>
      <c r="K284" s="228"/>
      <c r="L284" s="1410" t="str">
        <f t="shared" si="12"/>
        <v>&lt;---PM/Planner may hide PLACEHOLDER ROW</v>
      </c>
      <c r="M284" s="1382"/>
      <c r="N284" s="1382"/>
      <c r="O284" s="1382"/>
      <c r="P284" s="1382"/>
      <c r="Q284" s="1382"/>
      <c r="R284" s="1382"/>
      <c r="S284" s="1382"/>
      <c r="T284" s="1382"/>
      <c r="U284" s="1382"/>
      <c r="V284" s="1382"/>
      <c r="W284" s="1382"/>
      <c r="X284" s="1382"/>
      <c r="Y284" s="1382"/>
      <c r="Z284" s="1382"/>
      <c r="AA284" s="1382"/>
      <c r="AB284" s="1382"/>
      <c r="AC284" s="1382"/>
      <c r="AD284" s="1382"/>
      <c r="AE284" s="1382"/>
      <c r="AF284" s="1382"/>
      <c r="AG284" s="1382"/>
      <c r="AH284" s="1382"/>
      <c r="AI284" s="1382"/>
      <c r="AJ284" s="181"/>
      <c r="AK284" s="181"/>
      <c r="AL284" s="181"/>
      <c r="AM284" s="181"/>
      <c r="AN284" s="181"/>
      <c r="AO284" s="181"/>
      <c r="AP284" s="181"/>
      <c r="AQ284" s="181"/>
      <c r="AR284" s="181"/>
      <c r="AS284" s="181"/>
      <c r="AT284" s="181"/>
      <c r="AU284" s="181"/>
      <c r="AV284" s="181"/>
      <c r="AW284" s="181"/>
    </row>
    <row r="285" spans="1:49" s="30" customFormat="1" ht="15" hidden="1" customHeight="1" x14ac:dyDescent="0.25">
      <c r="A285" s="1407"/>
      <c r="B285" s="191"/>
      <c r="C285" s="945"/>
      <c r="D285" s="116"/>
      <c r="E285" s="466"/>
      <c r="F285" s="559" t="str">
        <f>IF('C-Design&amp;Const'!$G285="","",'C-Design&amp;Const'!$G285)</f>
        <v>N</v>
      </c>
      <c r="G285" s="457"/>
      <c r="H285" s="469" t="str">
        <f>CONCATENATE(IF(F285="N","PLACEHOLDER ROW - ",""),'C-Design&amp;Const'!Z285,IF(F285="N","",J285))</f>
        <v xml:space="preserve">PLACEHOLDER ROW - Sprinkler System Flow and Riser Diagrams </v>
      </c>
      <c r="I285" s="193"/>
      <c r="J285" s="578" t="str">
        <f>IF('C-Design&amp;Const'!AD285="","",'C-Design&amp;Const'!AD285)</f>
        <v>(Preliminary)</v>
      </c>
      <c r="K285" s="228"/>
      <c r="L285" s="1410" t="str">
        <f t="shared" si="12"/>
        <v>&lt;---PM/Planner may hide PLACEHOLDER ROW</v>
      </c>
      <c r="M285" s="1382"/>
      <c r="N285" s="1382"/>
      <c r="O285" s="1382"/>
      <c r="P285" s="1382"/>
      <c r="Q285" s="1382"/>
      <c r="R285" s="1382"/>
      <c r="S285" s="1382"/>
      <c r="T285" s="1382"/>
      <c r="U285" s="1382"/>
      <c r="V285" s="1382"/>
      <c r="W285" s="1382"/>
      <c r="X285" s="1382"/>
      <c r="Y285" s="1382"/>
      <c r="Z285" s="1382"/>
      <c r="AA285" s="1382"/>
      <c r="AB285" s="1382"/>
      <c r="AC285" s="1382"/>
      <c r="AD285" s="1382"/>
      <c r="AE285" s="1382"/>
      <c r="AF285" s="1382"/>
      <c r="AG285" s="1382"/>
      <c r="AH285" s="1382"/>
      <c r="AI285" s="1382"/>
      <c r="AJ285" s="181"/>
      <c r="AK285" s="181"/>
      <c r="AL285" s="181"/>
      <c r="AM285" s="181"/>
      <c r="AN285" s="181"/>
      <c r="AO285" s="181"/>
      <c r="AP285" s="181"/>
      <c r="AQ285" s="181"/>
      <c r="AR285" s="181"/>
      <c r="AS285" s="181"/>
      <c r="AT285" s="181"/>
      <c r="AU285" s="181"/>
      <c r="AV285" s="181"/>
      <c r="AW285" s="181"/>
    </row>
    <row r="286" spans="1:49" s="30" customFormat="1" ht="15" hidden="1" customHeight="1" x14ac:dyDescent="0.25">
      <c r="A286" s="1407"/>
      <c r="B286" s="191"/>
      <c r="C286" s="945"/>
      <c r="D286" s="116"/>
      <c r="E286" s="466"/>
      <c r="F286" s="559" t="str">
        <f>IF('C-Design&amp;Const'!$G286="","",'C-Design&amp;Const'!$G286)</f>
        <v>N</v>
      </c>
      <c r="G286" s="457"/>
      <c r="H286" s="469" t="str">
        <f>CONCATENATE(IF(F286="N","PLACEHOLDER ROW - ",""),'C-Design&amp;Const'!Z286,IF(F286="N","",J286))</f>
        <v xml:space="preserve">PLACEHOLDER ROW - Sprinkler/Fire Pump Room Large Scale Plan </v>
      </c>
      <c r="I286" s="193"/>
      <c r="J286" s="578" t="str">
        <f>IF('C-Design&amp;Const'!AD286="","",'C-Design&amp;Const'!AD286)</f>
        <v>(Preliminary)</v>
      </c>
      <c r="K286" s="228"/>
      <c r="L286" s="1410" t="str">
        <f t="shared" si="12"/>
        <v>&lt;---PM/Planner may hide PLACEHOLDER ROW</v>
      </c>
      <c r="M286" s="1382"/>
      <c r="N286" s="1382"/>
      <c r="O286" s="1382"/>
      <c r="P286" s="1382"/>
      <c r="Q286" s="1382"/>
      <c r="R286" s="1382"/>
      <c r="S286" s="1382"/>
      <c r="T286" s="1382"/>
      <c r="U286" s="1382"/>
      <c r="V286" s="1382"/>
      <c r="W286" s="1382"/>
      <c r="X286" s="1382"/>
      <c r="Y286" s="1382"/>
      <c r="Z286" s="1382"/>
      <c r="AA286" s="1382"/>
      <c r="AB286" s="1382"/>
      <c r="AC286" s="1382"/>
      <c r="AD286" s="1382"/>
      <c r="AE286" s="1382"/>
      <c r="AF286" s="1382"/>
      <c r="AG286" s="1382"/>
      <c r="AH286" s="1382"/>
      <c r="AI286" s="1382"/>
      <c r="AJ286" s="181"/>
      <c r="AK286" s="181"/>
      <c r="AL286" s="181"/>
      <c r="AM286" s="181"/>
      <c r="AN286" s="181"/>
      <c r="AO286" s="181"/>
      <c r="AP286" s="181"/>
      <c r="AQ286" s="181"/>
      <c r="AR286" s="181"/>
      <c r="AS286" s="181"/>
      <c r="AT286" s="181"/>
      <c r="AU286" s="181"/>
      <c r="AV286" s="181"/>
      <c r="AW286" s="181"/>
    </row>
    <row r="287" spans="1:49" s="30" customFormat="1" ht="15" hidden="1" customHeight="1" x14ac:dyDescent="0.25">
      <c r="A287" s="1407"/>
      <c r="B287" s="191"/>
      <c r="C287" s="945"/>
      <c r="D287" s="116"/>
      <c r="E287" s="466"/>
      <c r="F287" s="559" t="str">
        <f>IF('C-Design&amp;Const'!$G287="","",'C-Design&amp;Const'!$G287)</f>
        <v>N</v>
      </c>
      <c r="G287" s="457"/>
      <c r="H287" s="469" t="str">
        <f>CONCATENATE(IF(F287="N","PLACEHOLDER ROW - ",""),'C-Design&amp;Const'!Z287,IF(F287="N","",J287))</f>
        <v xml:space="preserve">PLACEHOLDER ROW - Sprinkler System Equipment Schedule </v>
      </c>
      <c r="I287" s="193"/>
      <c r="J287" s="578" t="str">
        <f>IF('C-Design&amp;Const'!AD287="","",'C-Design&amp;Const'!AD287)</f>
        <v/>
      </c>
      <c r="K287" s="228"/>
      <c r="L287" s="1410" t="str">
        <f t="shared" si="12"/>
        <v>&lt;---PM/Planner may hide PLACEHOLDER ROW</v>
      </c>
      <c r="M287" s="1382"/>
      <c r="N287" s="1382"/>
      <c r="O287" s="1382"/>
      <c r="P287" s="1382"/>
      <c r="Q287" s="1382"/>
      <c r="R287" s="1382"/>
      <c r="S287" s="1382"/>
      <c r="T287" s="1382"/>
      <c r="U287" s="1382"/>
      <c r="V287" s="1382"/>
      <c r="W287" s="1382"/>
      <c r="X287" s="1382"/>
      <c r="Y287" s="1382"/>
      <c r="Z287" s="1382"/>
      <c r="AA287" s="1382"/>
      <c r="AB287" s="1382"/>
      <c r="AC287" s="1382"/>
      <c r="AD287" s="1382"/>
      <c r="AE287" s="1382"/>
      <c r="AF287" s="1382"/>
      <c r="AG287" s="1382"/>
      <c r="AH287" s="1382"/>
      <c r="AI287" s="1382"/>
      <c r="AJ287" s="181"/>
      <c r="AK287" s="181"/>
      <c r="AL287" s="181"/>
      <c r="AM287" s="181"/>
      <c r="AN287" s="181"/>
      <c r="AO287" s="181"/>
      <c r="AP287" s="181"/>
      <c r="AQ287" s="181"/>
      <c r="AR287" s="181"/>
      <c r="AS287" s="181"/>
      <c r="AT287" s="181"/>
      <c r="AU287" s="181"/>
      <c r="AV287" s="181"/>
      <c r="AW287" s="181"/>
    </row>
    <row r="288" spans="1:49" s="30" customFormat="1" ht="15" hidden="1" customHeight="1" x14ac:dyDescent="0.25">
      <c r="A288" s="1407"/>
      <c r="B288" s="191"/>
      <c r="C288" s="945"/>
      <c r="D288" s="116"/>
      <c r="E288" s="466"/>
      <c r="F288" s="559" t="str">
        <f>IF('C-Design&amp;Const'!$G288="","",'C-Design&amp;Const'!$G288)</f>
        <v>N</v>
      </c>
      <c r="G288" s="457"/>
      <c r="H288" s="469" t="str">
        <f>CONCATENATE(IF(F288="N","PLACEHOLDER ROW - ",""),'C-Design&amp;Const'!Z288,IF(F288="N","",J288))</f>
        <v xml:space="preserve">PLACEHOLDER ROW - Sprinkler System Details and Sections </v>
      </c>
      <c r="I288" s="193"/>
      <c r="J288" s="578" t="str">
        <f>IF('C-Design&amp;Const'!AD288="","",'C-Design&amp;Const'!AD288)</f>
        <v>(Preliminary)</v>
      </c>
      <c r="K288" s="228"/>
      <c r="L288" s="1410" t="str">
        <f t="shared" si="12"/>
        <v>&lt;---PM/Planner may hide PLACEHOLDER ROW</v>
      </c>
      <c r="M288" s="1382"/>
      <c r="N288" s="1382"/>
      <c r="O288" s="1382"/>
      <c r="P288" s="1382"/>
      <c r="Q288" s="1382"/>
      <c r="R288" s="1382"/>
      <c r="S288" s="1382"/>
      <c r="T288" s="1382"/>
      <c r="U288" s="1382"/>
      <c r="V288" s="1382"/>
      <c r="W288" s="1382"/>
      <c r="X288" s="1382"/>
      <c r="Y288" s="1382"/>
      <c r="Z288" s="1382"/>
      <c r="AA288" s="1382"/>
      <c r="AB288" s="1382"/>
      <c r="AC288" s="1382"/>
      <c r="AD288" s="1382"/>
      <c r="AE288" s="1382"/>
      <c r="AF288" s="1382"/>
      <c r="AG288" s="1382"/>
      <c r="AH288" s="1382"/>
      <c r="AI288" s="1382"/>
      <c r="AJ288" s="181"/>
      <c r="AK288" s="181"/>
      <c r="AL288" s="181"/>
      <c r="AM288" s="181"/>
      <c r="AN288" s="181"/>
      <c r="AO288" s="181"/>
      <c r="AP288" s="181"/>
      <c r="AQ288" s="181"/>
      <c r="AR288" s="181"/>
      <c r="AS288" s="181"/>
      <c r="AT288" s="181"/>
      <c r="AU288" s="181"/>
      <c r="AV288" s="181"/>
      <c r="AW288" s="181"/>
    </row>
    <row r="289" spans="1:49" s="30" customFormat="1" ht="15" hidden="1" customHeight="1" x14ac:dyDescent="0.25">
      <c r="A289" s="1407"/>
      <c r="B289" s="191"/>
      <c r="C289" s="945"/>
      <c r="D289" s="116"/>
      <c r="E289" s="559" t="str">
        <f>IF('C-Design&amp;Const'!$G289="","",'C-Design&amp;Const'!$G289)</f>
        <v>N</v>
      </c>
      <c r="F289" s="460"/>
      <c r="G289" s="457"/>
      <c r="H289" s="244" t="str">
        <f>CONCATENATE(IF(F289="N","PLACEHOLDER ROW - ",""),'C-Design&amp;Const'!Z289,IF(F289="N","",J289))</f>
        <v>Heating Drawings</v>
      </c>
      <c r="I289" s="193"/>
      <c r="J289" s="578" t="str">
        <f>IF('C-Design&amp;Const'!AD289="","",'C-Design&amp;Const'!AD289)</f>
        <v/>
      </c>
      <c r="K289" s="228"/>
      <c r="L289" s="1410" t="str">
        <f t="shared" si="12"/>
        <v/>
      </c>
      <c r="M289" s="1382"/>
      <c r="N289" s="1382"/>
      <c r="O289" s="1382"/>
      <c r="P289" s="1382"/>
      <c r="Q289" s="1382"/>
      <c r="R289" s="1382"/>
      <c r="S289" s="1382"/>
      <c r="T289" s="1382"/>
      <c r="U289" s="1382"/>
      <c r="V289" s="1382"/>
      <c r="W289" s="1382"/>
      <c r="X289" s="1382"/>
      <c r="Y289" s="1382"/>
      <c r="Z289" s="1382"/>
      <c r="AA289" s="1382"/>
      <c r="AB289" s="1382"/>
      <c r="AC289" s="1382"/>
      <c r="AD289" s="1382"/>
      <c r="AE289" s="1382"/>
      <c r="AF289" s="1382"/>
      <c r="AG289" s="1382"/>
      <c r="AH289" s="1382"/>
      <c r="AI289" s="1382"/>
      <c r="AJ289" s="181"/>
      <c r="AK289" s="181"/>
      <c r="AL289" s="181"/>
      <c r="AM289" s="181"/>
      <c r="AN289" s="181"/>
      <c r="AO289" s="181"/>
      <c r="AP289" s="181"/>
      <c r="AQ289" s="181"/>
      <c r="AR289" s="181"/>
      <c r="AS289" s="181"/>
      <c r="AT289" s="181"/>
      <c r="AU289" s="181"/>
      <c r="AV289" s="181"/>
      <c r="AW289" s="181"/>
    </row>
    <row r="290" spans="1:49" s="30" customFormat="1" ht="15" hidden="1" customHeight="1" x14ac:dyDescent="0.25">
      <c r="A290" s="1407"/>
      <c r="B290" s="191"/>
      <c r="C290" s="945"/>
      <c r="D290" s="116"/>
      <c r="E290" s="466"/>
      <c r="F290" s="559" t="str">
        <f>IF('C-Design&amp;Const'!$G290="","",'C-Design&amp;Const'!$G290)</f>
        <v>N</v>
      </c>
      <c r="G290" s="457"/>
      <c r="H290" s="469" t="str">
        <f>CONCATENATE(IF(F290="N","PLACEHOLDER ROW - ",""),'C-Design&amp;Const'!Z290,IF(F290="N","",J290))</f>
        <v xml:space="preserve">PLACEHOLDER ROW - CUSTOM - Heating  </v>
      </c>
      <c r="I290" s="193"/>
      <c r="J290" s="578" t="str">
        <f>IF('C-Design&amp;Const'!AD290="","",'C-Design&amp;Const'!AD290)</f>
        <v>(Preliminary)</v>
      </c>
      <c r="K290" s="228"/>
      <c r="L290" s="1410" t="str">
        <f t="shared" si="12"/>
        <v>&lt;---PM/Planner may hide PLACEHOLDER ROW</v>
      </c>
      <c r="M290" s="1382"/>
      <c r="N290" s="1382"/>
      <c r="O290" s="1382"/>
      <c r="P290" s="1382"/>
      <c r="Q290" s="1382"/>
      <c r="R290" s="1382"/>
      <c r="S290" s="1382"/>
      <c r="T290" s="1382"/>
      <c r="U290" s="1382"/>
      <c r="V290" s="1382"/>
      <c r="W290" s="1382"/>
      <c r="X290" s="1382"/>
      <c r="Y290" s="1382"/>
      <c r="Z290" s="1382"/>
      <c r="AA290" s="1382"/>
      <c r="AB290" s="1382"/>
      <c r="AC290" s="1382"/>
      <c r="AD290" s="1382"/>
      <c r="AE290" s="1382"/>
      <c r="AF290" s="1382"/>
      <c r="AG290" s="1382"/>
      <c r="AH290" s="1382"/>
      <c r="AI290" s="1382"/>
      <c r="AJ290" s="181"/>
      <c r="AK290" s="181"/>
      <c r="AL290" s="181"/>
      <c r="AM290" s="181"/>
      <c r="AN290" s="181"/>
      <c r="AO290" s="181"/>
      <c r="AP290" s="181"/>
      <c r="AQ290" s="181"/>
      <c r="AR290" s="181"/>
      <c r="AS290" s="181"/>
      <c r="AT290" s="181"/>
      <c r="AU290" s="181"/>
      <c r="AV290" s="181"/>
      <c r="AW290" s="181"/>
    </row>
    <row r="291" spans="1:49" s="30" customFormat="1" ht="15" hidden="1" customHeight="1" x14ac:dyDescent="0.25">
      <c r="A291" s="1407"/>
      <c r="B291" s="191"/>
      <c r="C291" s="945"/>
      <c r="D291" s="116"/>
      <c r="E291" s="466"/>
      <c r="F291" s="559" t="str">
        <f>IF('C-Design&amp;Const'!$G291="","",'C-Design&amp;Const'!$G291)</f>
        <v>N</v>
      </c>
      <c r="G291" s="457"/>
      <c r="H291" s="469" t="str">
        <f>CONCATENATE(IF(F291="N","PLACEHOLDER ROW - ",""),'C-Design&amp;Const'!Z291,IF(F291="N","",J291))</f>
        <v xml:space="preserve">PLACEHOLDER ROW - CUSTOM - Heating  </v>
      </c>
      <c r="I291" s="193"/>
      <c r="J291" s="578" t="str">
        <f>IF('C-Design&amp;Const'!AD291="","",'C-Design&amp;Const'!AD291)</f>
        <v>(Preliminary)</v>
      </c>
      <c r="K291" s="228"/>
      <c r="L291" s="1410" t="str">
        <f t="shared" si="12"/>
        <v>&lt;---PM/Planner may hide PLACEHOLDER ROW</v>
      </c>
      <c r="M291" s="1382"/>
      <c r="N291" s="1382"/>
      <c r="O291" s="1382"/>
      <c r="P291" s="1382"/>
      <c r="Q291" s="1382"/>
      <c r="R291" s="1382"/>
      <c r="S291" s="1382"/>
      <c r="T291" s="1382"/>
      <c r="U291" s="1382"/>
      <c r="V291" s="1382"/>
      <c r="W291" s="1382"/>
      <c r="X291" s="1382"/>
      <c r="Y291" s="1382"/>
      <c r="Z291" s="1382"/>
      <c r="AA291" s="1382"/>
      <c r="AB291" s="1382"/>
      <c r="AC291" s="1382"/>
      <c r="AD291" s="1382"/>
      <c r="AE291" s="1382"/>
      <c r="AF291" s="1382"/>
      <c r="AG291" s="1382"/>
      <c r="AH291" s="1382"/>
      <c r="AI291" s="1382"/>
      <c r="AJ291" s="181"/>
      <c r="AK291" s="181"/>
      <c r="AL291" s="181"/>
      <c r="AM291" s="181"/>
      <c r="AN291" s="181"/>
      <c r="AO291" s="181"/>
      <c r="AP291" s="181"/>
      <c r="AQ291" s="181"/>
      <c r="AR291" s="181"/>
      <c r="AS291" s="181"/>
      <c r="AT291" s="181"/>
      <c r="AU291" s="181"/>
      <c r="AV291" s="181"/>
      <c r="AW291" s="181"/>
    </row>
    <row r="292" spans="1:49" s="30" customFormat="1" ht="15" hidden="1" customHeight="1" x14ac:dyDescent="0.25">
      <c r="A292" s="1407"/>
      <c r="B292" s="191"/>
      <c r="C292" s="945"/>
      <c r="D292" s="116"/>
      <c r="E292" s="466"/>
      <c r="F292" s="559" t="str">
        <f>IF('C-Design&amp;Const'!$G292="","",'C-Design&amp;Const'!$G292)</f>
        <v>N</v>
      </c>
      <c r="G292" s="457"/>
      <c r="H292" s="469" t="str">
        <f>CONCATENATE(IF(F292="N","PLACEHOLDER ROW - ",""),'C-Design&amp;Const'!Z292,IF(F292="N","",J292))</f>
        <v xml:space="preserve">PLACEHOLDER ROW - Heating and A/C Symbols, Abbreviations, and General Notes </v>
      </c>
      <c r="I292" s="193"/>
      <c r="J292" s="578" t="str">
        <f>IF('C-Design&amp;Const'!AD292="","",'C-Design&amp;Const'!AD292)</f>
        <v>(Preliminary)</v>
      </c>
      <c r="K292" s="228"/>
      <c r="L292" s="1410" t="str">
        <f t="shared" si="12"/>
        <v>&lt;---PM/Planner may hide PLACEHOLDER ROW</v>
      </c>
      <c r="M292" s="1382"/>
      <c r="N292" s="1382"/>
      <c r="O292" s="1382"/>
      <c r="P292" s="1382"/>
      <c r="Q292" s="1382"/>
      <c r="R292" s="1382"/>
      <c r="S292" s="1382"/>
      <c r="T292" s="1382"/>
      <c r="U292" s="1382"/>
      <c r="V292" s="1382"/>
      <c r="W292" s="1382"/>
      <c r="X292" s="1382"/>
      <c r="Y292" s="1382"/>
      <c r="Z292" s="1382"/>
      <c r="AA292" s="1382"/>
      <c r="AB292" s="1382"/>
      <c r="AC292" s="1382"/>
      <c r="AD292" s="1382"/>
      <c r="AE292" s="1382"/>
      <c r="AF292" s="1382"/>
      <c r="AG292" s="1382"/>
      <c r="AH292" s="1382"/>
      <c r="AI292" s="1382"/>
      <c r="AJ292" s="181"/>
      <c r="AK292" s="181"/>
      <c r="AL292" s="181"/>
      <c r="AM292" s="181"/>
      <c r="AN292" s="181"/>
      <c r="AO292" s="181"/>
      <c r="AP292" s="181"/>
      <c r="AQ292" s="181"/>
      <c r="AR292" s="181"/>
      <c r="AS292" s="181"/>
      <c r="AT292" s="181"/>
      <c r="AU292" s="181"/>
      <c r="AV292" s="181"/>
      <c r="AW292" s="181"/>
    </row>
    <row r="293" spans="1:49" s="545" customFormat="1" ht="15" hidden="1" customHeight="1" x14ac:dyDescent="0.25">
      <c r="A293" s="1402"/>
      <c r="B293" s="554"/>
      <c r="C293" s="945"/>
      <c r="D293" s="116"/>
      <c r="E293" s="411"/>
      <c r="F293" s="559" t="str">
        <f>IF('C-Design&amp;Const'!$G293="","",'C-Design&amp;Const'!$G293)</f>
        <v>N</v>
      </c>
      <c r="G293" s="457"/>
      <c r="H293" s="469" t="str">
        <f>CONCATENATE(IF(F293="N","PLACEHOLDER ROW - ",""),'C-Design&amp;Const'!Z293,IF(F293="N","",J293))</f>
        <v xml:space="preserve">PLACEHOLDER ROW - Heating and A/C Demolition(s) </v>
      </c>
      <c r="I293" s="197"/>
      <c r="J293" s="578"/>
      <c r="K293" s="228"/>
      <c r="L293" s="1410" t="str">
        <f t="shared" si="12"/>
        <v>&lt;---PM/Planner may hide PLACEHOLDER ROW</v>
      </c>
      <c r="M293" s="1382"/>
      <c r="N293" s="1382"/>
      <c r="O293" s="1382"/>
      <c r="P293" s="1382"/>
      <c r="Q293" s="1382"/>
      <c r="R293" s="1382"/>
      <c r="S293" s="1382"/>
      <c r="T293" s="1382"/>
      <c r="U293" s="1382"/>
      <c r="V293" s="1382"/>
      <c r="W293" s="1382"/>
      <c r="X293" s="1382"/>
      <c r="Y293" s="1382"/>
      <c r="Z293" s="1382"/>
      <c r="AA293" s="1382"/>
      <c r="AB293" s="1382"/>
      <c r="AC293" s="1382"/>
      <c r="AD293" s="1382"/>
      <c r="AE293" s="1382"/>
      <c r="AF293" s="1382"/>
      <c r="AG293" s="1382"/>
      <c r="AH293" s="1382"/>
      <c r="AI293" s="1382"/>
      <c r="AJ293" s="551"/>
      <c r="AK293" s="551"/>
      <c r="AL293" s="551"/>
      <c r="AM293" s="551"/>
      <c r="AN293" s="551"/>
      <c r="AO293" s="551"/>
      <c r="AP293" s="551"/>
      <c r="AQ293" s="551"/>
      <c r="AR293" s="551"/>
      <c r="AS293" s="551"/>
      <c r="AT293" s="551"/>
      <c r="AU293" s="551"/>
      <c r="AV293" s="551"/>
      <c r="AW293" s="551"/>
    </row>
    <row r="294" spans="1:49" s="30" customFormat="1" ht="15" hidden="1" customHeight="1" x14ac:dyDescent="0.25">
      <c r="A294" s="1407"/>
      <c r="B294" s="191"/>
      <c r="C294" s="945"/>
      <c r="D294" s="116"/>
      <c r="E294" s="466"/>
      <c r="F294" s="559" t="str">
        <f>IF('C-Design&amp;Const'!$G294="","",'C-Design&amp;Const'!$G294)</f>
        <v>N</v>
      </c>
      <c r="G294" s="457"/>
      <c r="H294" s="469" t="str">
        <f>CONCATENATE(IF(F294="N","PLACEHOLDER ROW - ",""),'C-Design&amp;Const'!Z294,IF(F294="N","",J294))</f>
        <v xml:space="preserve">PLACEHOLDER ROW - Heating and A/C Floor Plans </v>
      </c>
      <c r="I294" s="193"/>
      <c r="J294" s="578" t="str">
        <f>IF('C-Design&amp;Const'!AD294="","",'C-Design&amp;Const'!AD294)</f>
        <v>(Preliminary)</v>
      </c>
      <c r="K294" s="228"/>
      <c r="L294" s="1410" t="str">
        <f t="shared" si="12"/>
        <v>&lt;---PM/Planner may hide PLACEHOLDER ROW</v>
      </c>
      <c r="M294" s="1382"/>
      <c r="N294" s="1382"/>
      <c r="O294" s="1382"/>
      <c r="P294" s="1382"/>
      <c r="Q294" s="1382"/>
      <c r="R294" s="1382"/>
      <c r="S294" s="1382"/>
      <c r="T294" s="1382"/>
      <c r="U294" s="1382"/>
      <c r="V294" s="1382"/>
      <c r="W294" s="1382"/>
      <c r="X294" s="1382"/>
      <c r="Y294" s="1382"/>
      <c r="Z294" s="1382"/>
      <c r="AA294" s="1382"/>
      <c r="AB294" s="1382"/>
      <c r="AC294" s="1382"/>
      <c r="AD294" s="1382"/>
      <c r="AE294" s="1382"/>
      <c r="AF294" s="1382"/>
      <c r="AG294" s="1382"/>
      <c r="AH294" s="1382"/>
      <c r="AI294" s="1382"/>
      <c r="AJ294" s="181"/>
      <c r="AK294" s="181"/>
      <c r="AL294" s="181"/>
      <c r="AM294" s="181"/>
      <c r="AN294" s="181"/>
      <c r="AO294" s="181"/>
      <c r="AP294" s="181"/>
      <c r="AQ294" s="181"/>
      <c r="AR294" s="181"/>
      <c r="AS294" s="181"/>
      <c r="AT294" s="181"/>
      <c r="AU294" s="181"/>
      <c r="AV294" s="181"/>
      <c r="AW294" s="181"/>
    </row>
    <row r="295" spans="1:49" s="30" customFormat="1" ht="15" hidden="1" customHeight="1" x14ac:dyDescent="0.25">
      <c r="A295" s="1407"/>
      <c r="B295" s="191"/>
      <c r="C295" s="945"/>
      <c r="D295" s="116"/>
      <c r="E295" s="466"/>
      <c r="F295" s="559" t="str">
        <f>IF('C-Design&amp;Const'!$G295="","",'C-Design&amp;Const'!$G295)</f>
        <v>N</v>
      </c>
      <c r="G295" s="457"/>
      <c r="H295" s="469" t="str">
        <f>CONCATENATE(IF(F295="N","PLACEHOLDER ROW - ",""),'C-Design&amp;Const'!Z295,IF(F295="N","",J295))</f>
        <v xml:space="preserve">PLACEHOLDER ROW - Heating and Cooling Piping Isometrics/Flow Diagrams </v>
      </c>
      <c r="I295" s="193"/>
      <c r="J295" s="578" t="str">
        <f>IF('C-Design&amp;Const'!AD295="","",'C-Design&amp;Const'!AD295)</f>
        <v>(Preliminary)</v>
      </c>
      <c r="K295" s="228"/>
      <c r="L295" s="1410" t="str">
        <f t="shared" si="12"/>
        <v>&lt;---PM/Planner may hide PLACEHOLDER ROW</v>
      </c>
      <c r="M295" s="1382"/>
      <c r="N295" s="1382"/>
      <c r="O295" s="1382"/>
      <c r="P295" s="1382"/>
      <c r="Q295" s="1382"/>
      <c r="R295" s="1382"/>
      <c r="S295" s="1382"/>
      <c r="T295" s="1382"/>
      <c r="U295" s="1382"/>
      <c r="V295" s="1382"/>
      <c r="W295" s="1382"/>
      <c r="X295" s="1382"/>
      <c r="Y295" s="1382"/>
      <c r="Z295" s="1382"/>
      <c r="AA295" s="1382"/>
      <c r="AB295" s="1382"/>
      <c r="AC295" s="1382"/>
      <c r="AD295" s="1382"/>
      <c r="AE295" s="1382"/>
      <c r="AF295" s="1382"/>
      <c r="AG295" s="1382"/>
      <c r="AH295" s="1382"/>
      <c r="AI295" s="1382"/>
      <c r="AJ295" s="181"/>
      <c r="AK295" s="181"/>
      <c r="AL295" s="181"/>
      <c r="AM295" s="181"/>
      <c r="AN295" s="181"/>
      <c r="AO295" s="181"/>
      <c r="AP295" s="181"/>
      <c r="AQ295" s="181"/>
      <c r="AR295" s="181"/>
      <c r="AS295" s="181"/>
      <c r="AT295" s="181"/>
      <c r="AU295" s="181"/>
      <c r="AV295" s="181"/>
      <c r="AW295" s="181"/>
    </row>
    <row r="296" spans="1:49" s="30" customFormat="1" ht="15" hidden="1" customHeight="1" x14ac:dyDescent="0.25">
      <c r="A296" s="1407"/>
      <c r="B296" s="191"/>
      <c r="C296" s="945"/>
      <c r="D296" s="116"/>
      <c r="E296" s="466"/>
      <c r="F296" s="559" t="str">
        <f>IF('C-Design&amp;Const'!$G296="","",'C-Design&amp;Const'!$G296)</f>
        <v>N</v>
      </c>
      <c r="G296" s="457"/>
      <c r="H296" s="469" t="str">
        <f>CONCATENATE(IF(F296="N","PLACEHOLDER ROW - ",""),'C-Design&amp;Const'!Z296,IF(F296="N","",J296))</f>
        <v xml:space="preserve">PLACEHOLDER ROW - Heating and A/C Large Scale Mechanical Room Plans </v>
      </c>
      <c r="I296" s="193"/>
      <c r="J296" s="578" t="str">
        <f>IF('C-Design&amp;Const'!AD296="","",'C-Design&amp;Const'!AD296)</f>
        <v>(Preliminary)</v>
      </c>
      <c r="K296" s="228"/>
      <c r="L296" s="1410" t="str">
        <f t="shared" si="12"/>
        <v>&lt;---PM/Planner may hide PLACEHOLDER ROW</v>
      </c>
      <c r="M296" s="1382"/>
      <c r="N296" s="1382"/>
      <c r="O296" s="1382"/>
      <c r="P296" s="1382"/>
      <c r="Q296" s="1382"/>
      <c r="R296" s="1382"/>
      <c r="S296" s="1382"/>
      <c r="T296" s="1382"/>
      <c r="U296" s="1382"/>
      <c r="V296" s="1382"/>
      <c r="W296" s="1382"/>
      <c r="X296" s="1382"/>
      <c r="Y296" s="1382"/>
      <c r="Z296" s="1382"/>
      <c r="AA296" s="1382"/>
      <c r="AB296" s="1382"/>
      <c r="AC296" s="1382"/>
      <c r="AD296" s="1382"/>
      <c r="AE296" s="1382"/>
      <c r="AF296" s="1382"/>
      <c r="AG296" s="1382"/>
      <c r="AH296" s="1382"/>
      <c r="AI296" s="1382"/>
      <c r="AJ296" s="181"/>
      <c r="AK296" s="181"/>
      <c r="AL296" s="181"/>
      <c r="AM296" s="181"/>
      <c r="AN296" s="181"/>
      <c r="AO296" s="181"/>
      <c r="AP296" s="181"/>
      <c r="AQ296" s="181"/>
      <c r="AR296" s="181"/>
      <c r="AS296" s="181"/>
      <c r="AT296" s="181"/>
      <c r="AU296" s="181"/>
      <c r="AV296" s="181"/>
      <c r="AW296" s="181"/>
    </row>
    <row r="297" spans="1:49" s="30" customFormat="1" ht="15" hidden="1" customHeight="1" x14ac:dyDescent="0.25">
      <c r="A297" s="1407"/>
      <c r="B297" s="191"/>
      <c r="C297" s="945"/>
      <c r="D297" s="116"/>
      <c r="E297" s="466"/>
      <c r="F297" s="559" t="str">
        <f>IF('C-Design&amp;Const'!$G297="","",'C-Design&amp;Const'!$G297)</f>
        <v>N</v>
      </c>
      <c r="G297" s="457"/>
      <c r="H297" s="469" t="str">
        <f>CONCATENATE(IF(F297="N","PLACEHOLDER ROW - ",""),'C-Design&amp;Const'!Z297,IF(F297="N","",J297))</f>
        <v xml:space="preserve">PLACEHOLDER ROW - Heating and A/C Equipment Schedule </v>
      </c>
      <c r="I297" s="193"/>
      <c r="J297" s="578" t="str">
        <f>IF('C-Design&amp;Const'!AD297="","",'C-Design&amp;Const'!AD297)</f>
        <v/>
      </c>
      <c r="K297" s="228"/>
      <c r="L297" s="1410" t="str">
        <f t="shared" si="12"/>
        <v>&lt;---PM/Planner may hide PLACEHOLDER ROW</v>
      </c>
      <c r="M297" s="1382"/>
      <c r="N297" s="1382"/>
      <c r="O297" s="1382"/>
      <c r="P297" s="1382"/>
      <c r="Q297" s="1382"/>
      <c r="R297" s="1382"/>
      <c r="S297" s="1382"/>
      <c r="T297" s="1382"/>
      <c r="U297" s="1382"/>
      <c r="V297" s="1382"/>
      <c r="W297" s="1382"/>
      <c r="X297" s="1382"/>
      <c r="Y297" s="1382"/>
      <c r="Z297" s="1382"/>
      <c r="AA297" s="1382"/>
      <c r="AB297" s="1382"/>
      <c r="AC297" s="1382"/>
      <c r="AD297" s="1382"/>
      <c r="AE297" s="1382"/>
      <c r="AF297" s="1382"/>
      <c r="AG297" s="1382"/>
      <c r="AH297" s="1382"/>
      <c r="AI297" s="1382"/>
      <c r="AJ297" s="181"/>
      <c r="AK297" s="181"/>
      <c r="AL297" s="181"/>
      <c r="AM297" s="181"/>
      <c r="AN297" s="181"/>
      <c r="AO297" s="181"/>
      <c r="AP297" s="181"/>
      <c r="AQ297" s="181"/>
      <c r="AR297" s="181"/>
      <c r="AS297" s="181"/>
      <c r="AT297" s="181"/>
      <c r="AU297" s="181"/>
      <c r="AV297" s="181"/>
      <c r="AW297" s="181"/>
    </row>
    <row r="298" spans="1:49" s="30" customFormat="1" ht="15" hidden="1" customHeight="1" x14ac:dyDescent="0.25">
      <c r="A298" s="1407"/>
      <c r="B298" s="191"/>
      <c r="C298" s="945"/>
      <c r="D298" s="116"/>
      <c r="E298" s="466"/>
      <c r="F298" s="559" t="str">
        <f>IF('C-Design&amp;Const'!$G298="","",'C-Design&amp;Const'!$G298)</f>
        <v>N</v>
      </c>
      <c r="G298" s="457"/>
      <c r="H298" s="469" t="str">
        <f>CONCATENATE(IF(F298="N","PLACEHOLDER ROW - ",""),'C-Design&amp;Const'!Z298,IF(F298="N","",J298))</f>
        <v xml:space="preserve">PLACEHOLDER ROW - Heating and A/C Details and Sections </v>
      </c>
      <c r="I298" s="193"/>
      <c r="J298" s="578" t="str">
        <f>IF('C-Design&amp;Const'!AD298="","",'C-Design&amp;Const'!AD298)</f>
        <v>(Preliminary)</v>
      </c>
      <c r="K298" s="228"/>
      <c r="L298" s="1410" t="str">
        <f t="shared" si="12"/>
        <v>&lt;---PM/Planner may hide PLACEHOLDER ROW</v>
      </c>
      <c r="M298" s="1382"/>
      <c r="N298" s="1382"/>
      <c r="O298" s="1382"/>
      <c r="P298" s="1382"/>
      <c r="Q298" s="1382"/>
      <c r="R298" s="1382"/>
      <c r="S298" s="1382"/>
      <c r="T298" s="1382"/>
      <c r="U298" s="1382"/>
      <c r="V298" s="1382"/>
      <c r="W298" s="1382"/>
      <c r="X298" s="1382"/>
      <c r="Y298" s="1382"/>
      <c r="Z298" s="1382"/>
      <c r="AA298" s="1382"/>
      <c r="AB298" s="1382"/>
      <c r="AC298" s="1382"/>
      <c r="AD298" s="1382"/>
      <c r="AE298" s="1382"/>
      <c r="AF298" s="1382"/>
      <c r="AG298" s="1382"/>
      <c r="AH298" s="1382"/>
      <c r="AI298" s="1382"/>
      <c r="AJ298" s="181"/>
      <c r="AK298" s="181"/>
      <c r="AL298" s="181"/>
      <c r="AM298" s="181"/>
      <c r="AN298" s="181"/>
      <c r="AO298" s="181"/>
      <c r="AP298" s="181"/>
      <c r="AQ298" s="181"/>
      <c r="AR298" s="181"/>
      <c r="AS298" s="181"/>
      <c r="AT298" s="181"/>
      <c r="AU298" s="181"/>
      <c r="AV298" s="181"/>
      <c r="AW298" s="181"/>
    </row>
    <row r="299" spans="1:49" s="30" customFormat="1" ht="15" hidden="1" customHeight="1" x14ac:dyDescent="0.25">
      <c r="A299" s="1407"/>
      <c r="B299" s="191"/>
      <c r="C299" s="945"/>
      <c r="D299" s="116"/>
      <c r="E299" s="559" t="str">
        <f>IF('C-Design&amp;Const'!$G299="","",'C-Design&amp;Const'!$G299)</f>
        <v>N</v>
      </c>
      <c r="F299" s="460"/>
      <c r="G299" s="457"/>
      <c r="H299" s="244" t="str">
        <f>CONCATENATE(IF(F299="N","PLACEHOLDER ROW - ",""),'C-Design&amp;Const'!Z299,IF(F299="N","",J299))</f>
        <v>Ventilation Drawings</v>
      </c>
      <c r="I299" s="193"/>
      <c r="J299" s="578" t="str">
        <f>IF('C-Design&amp;Const'!AD299="","",'C-Design&amp;Const'!AD299)</f>
        <v/>
      </c>
      <c r="K299" s="228"/>
      <c r="L299" s="1410" t="str">
        <f t="shared" si="12"/>
        <v/>
      </c>
      <c r="M299" s="1382"/>
      <c r="N299" s="1382"/>
      <c r="O299" s="1382"/>
      <c r="P299" s="1382"/>
      <c r="Q299" s="1382"/>
      <c r="R299" s="1382"/>
      <c r="S299" s="1382"/>
      <c r="T299" s="1382"/>
      <c r="U299" s="1382"/>
      <c r="V299" s="1382"/>
      <c r="W299" s="1382"/>
      <c r="X299" s="1382"/>
      <c r="Y299" s="1382"/>
      <c r="Z299" s="1382"/>
      <c r="AA299" s="1382"/>
      <c r="AB299" s="1382"/>
      <c r="AC299" s="1382"/>
      <c r="AD299" s="1382"/>
      <c r="AE299" s="1382"/>
      <c r="AF299" s="1382"/>
      <c r="AG299" s="1382"/>
      <c r="AH299" s="1382"/>
      <c r="AI299" s="1382"/>
      <c r="AJ299" s="181"/>
      <c r="AK299" s="181"/>
      <c r="AL299" s="181"/>
      <c r="AM299" s="181"/>
      <c r="AN299" s="181"/>
      <c r="AO299" s="181"/>
      <c r="AP299" s="181"/>
      <c r="AQ299" s="181"/>
      <c r="AR299" s="181"/>
      <c r="AS299" s="181"/>
      <c r="AT299" s="181"/>
      <c r="AU299" s="181"/>
      <c r="AV299" s="181"/>
      <c r="AW299" s="181"/>
    </row>
    <row r="300" spans="1:49" s="30" customFormat="1" ht="15" hidden="1" customHeight="1" x14ac:dyDescent="0.25">
      <c r="A300" s="1407"/>
      <c r="B300" s="191"/>
      <c r="C300" s="945"/>
      <c r="D300" s="116"/>
      <c r="E300" s="466"/>
      <c r="F300" s="559" t="str">
        <f>IF('C-Design&amp;Const'!$G300="","",'C-Design&amp;Const'!$G300)</f>
        <v>N</v>
      </c>
      <c r="G300" s="457"/>
      <c r="H300" s="469" t="str">
        <f>CONCATENATE(IF(F300="N","PLACEHOLDER ROW - ",""),'C-Design&amp;Const'!Z300,IF(F300="N","",J300))</f>
        <v xml:space="preserve">PLACEHOLDER ROW - CUSTOM - Ventilation  </v>
      </c>
      <c r="I300" s="193"/>
      <c r="J300" s="578" t="str">
        <f>IF('C-Design&amp;Const'!AD300="","",'C-Design&amp;Const'!AD300)</f>
        <v>(Preliminary)</v>
      </c>
      <c r="K300" s="228"/>
      <c r="L300" s="1410" t="str">
        <f t="shared" si="12"/>
        <v>&lt;---PM/Planner may hide PLACEHOLDER ROW</v>
      </c>
      <c r="M300" s="1382"/>
      <c r="N300" s="1382"/>
      <c r="O300" s="1382"/>
      <c r="P300" s="1382"/>
      <c r="Q300" s="1382"/>
      <c r="R300" s="1382"/>
      <c r="S300" s="1382"/>
      <c r="T300" s="1382"/>
      <c r="U300" s="1382"/>
      <c r="V300" s="1382"/>
      <c r="W300" s="1382"/>
      <c r="X300" s="1382"/>
      <c r="Y300" s="1382"/>
      <c r="Z300" s="1382"/>
      <c r="AA300" s="1382"/>
      <c r="AB300" s="1382"/>
      <c r="AC300" s="1382"/>
      <c r="AD300" s="1382"/>
      <c r="AE300" s="1382"/>
      <c r="AF300" s="1382"/>
      <c r="AG300" s="1382"/>
      <c r="AH300" s="1382"/>
      <c r="AI300" s="1382"/>
      <c r="AJ300" s="181"/>
      <c r="AK300" s="181"/>
      <c r="AL300" s="181"/>
      <c r="AM300" s="181"/>
      <c r="AN300" s="181"/>
      <c r="AO300" s="181"/>
      <c r="AP300" s="181"/>
      <c r="AQ300" s="181"/>
      <c r="AR300" s="181"/>
      <c r="AS300" s="181"/>
      <c r="AT300" s="181"/>
      <c r="AU300" s="181"/>
      <c r="AV300" s="181"/>
      <c r="AW300" s="181"/>
    </row>
    <row r="301" spans="1:49" s="30" customFormat="1" ht="15" hidden="1" customHeight="1" x14ac:dyDescent="0.25">
      <c r="A301" s="1407"/>
      <c r="B301" s="191"/>
      <c r="C301" s="945"/>
      <c r="D301" s="116"/>
      <c r="E301" s="466"/>
      <c r="F301" s="559" t="str">
        <f>IF('C-Design&amp;Const'!$G301="","",'C-Design&amp;Const'!$G301)</f>
        <v>N</v>
      </c>
      <c r="G301" s="457"/>
      <c r="H301" s="469" t="str">
        <f>CONCATENATE(IF(F301="N","PLACEHOLDER ROW - ",""),'C-Design&amp;Const'!Z301,IF(F301="N","",J301))</f>
        <v xml:space="preserve">PLACEHOLDER ROW - CUSTOM - Ventilation  </v>
      </c>
      <c r="I301" s="193"/>
      <c r="J301" s="578" t="str">
        <f>IF('C-Design&amp;Const'!AD301="","",'C-Design&amp;Const'!AD301)</f>
        <v>(Preliminary)</v>
      </c>
      <c r="K301" s="228"/>
      <c r="L301" s="1410" t="str">
        <f t="shared" si="12"/>
        <v>&lt;---PM/Planner may hide PLACEHOLDER ROW</v>
      </c>
      <c r="M301" s="1382"/>
      <c r="N301" s="1382"/>
      <c r="O301" s="1382"/>
      <c r="P301" s="1382"/>
      <c r="Q301" s="1382"/>
      <c r="R301" s="1382"/>
      <c r="S301" s="1382"/>
      <c r="T301" s="1382"/>
      <c r="U301" s="1382"/>
      <c r="V301" s="1382"/>
      <c r="W301" s="1382"/>
      <c r="X301" s="1382"/>
      <c r="Y301" s="1382"/>
      <c r="Z301" s="1382"/>
      <c r="AA301" s="1382"/>
      <c r="AB301" s="1382"/>
      <c r="AC301" s="1382"/>
      <c r="AD301" s="1382"/>
      <c r="AE301" s="1382"/>
      <c r="AF301" s="1382"/>
      <c r="AG301" s="1382"/>
      <c r="AH301" s="1382"/>
      <c r="AI301" s="1382"/>
      <c r="AJ301" s="181"/>
      <c r="AK301" s="181"/>
      <c r="AL301" s="181"/>
      <c r="AM301" s="181"/>
      <c r="AN301" s="181"/>
      <c r="AO301" s="181"/>
      <c r="AP301" s="181"/>
      <c r="AQ301" s="181"/>
      <c r="AR301" s="181"/>
      <c r="AS301" s="181"/>
      <c r="AT301" s="181"/>
      <c r="AU301" s="181"/>
      <c r="AV301" s="181"/>
      <c r="AW301" s="181"/>
    </row>
    <row r="302" spans="1:49" s="30" customFormat="1" ht="15" hidden="1" customHeight="1" x14ac:dyDescent="0.25">
      <c r="A302" s="1407"/>
      <c r="B302" s="191"/>
      <c r="C302" s="945"/>
      <c r="D302" s="116"/>
      <c r="E302" s="466"/>
      <c r="F302" s="559" t="str">
        <f>IF('C-Design&amp;Const'!$G302="","",'C-Design&amp;Const'!$G302)</f>
        <v>N</v>
      </c>
      <c r="G302" s="457"/>
      <c r="H302" s="469" t="str">
        <f>CONCATENATE(IF(F302="N","PLACEHOLDER ROW - ",""),'C-Design&amp;Const'!Z302,IF(F302="N","",J302))</f>
        <v xml:space="preserve">PLACEHOLDER ROW - Ventilation Symbols, Abbreviations, and General Notes </v>
      </c>
      <c r="I302" s="193"/>
      <c r="J302" s="578" t="str">
        <f>IF('C-Design&amp;Const'!AD302="","",'C-Design&amp;Const'!AD302)</f>
        <v>(Approx. 50% Complete)</v>
      </c>
      <c r="K302" s="228"/>
      <c r="L302" s="1410" t="str">
        <f t="shared" si="12"/>
        <v>&lt;---PM/Planner may hide PLACEHOLDER ROW</v>
      </c>
      <c r="M302" s="1382"/>
      <c r="N302" s="1382"/>
      <c r="O302" s="1382"/>
      <c r="P302" s="1382"/>
      <c r="Q302" s="1382"/>
      <c r="R302" s="1382"/>
      <c r="S302" s="1382"/>
      <c r="T302" s="1382"/>
      <c r="U302" s="1382"/>
      <c r="V302" s="1382"/>
      <c r="W302" s="1382"/>
      <c r="X302" s="1382"/>
      <c r="Y302" s="1382"/>
      <c r="Z302" s="1382"/>
      <c r="AA302" s="1382"/>
      <c r="AB302" s="1382"/>
      <c r="AC302" s="1382"/>
      <c r="AD302" s="1382"/>
      <c r="AE302" s="1382"/>
      <c r="AF302" s="1382"/>
      <c r="AG302" s="1382"/>
      <c r="AH302" s="1382"/>
      <c r="AI302" s="1382"/>
      <c r="AJ302" s="181"/>
      <c r="AK302" s="181"/>
      <c r="AL302" s="181"/>
      <c r="AM302" s="181"/>
      <c r="AN302" s="181"/>
      <c r="AO302" s="181"/>
      <c r="AP302" s="181"/>
      <c r="AQ302" s="181"/>
      <c r="AR302" s="181"/>
      <c r="AS302" s="181"/>
      <c r="AT302" s="181"/>
      <c r="AU302" s="181"/>
      <c r="AV302" s="181"/>
      <c r="AW302" s="181"/>
    </row>
    <row r="303" spans="1:49" s="545" customFormat="1" ht="15" hidden="1" customHeight="1" x14ac:dyDescent="0.25">
      <c r="A303" s="1402"/>
      <c r="B303" s="554"/>
      <c r="C303" s="945"/>
      <c r="D303" s="116"/>
      <c r="E303" s="411"/>
      <c r="F303" s="559" t="str">
        <f>IF('C-Design&amp;Const'!$G303="","",'C-Design&amp;Const'!$G303)</f>
        <v>N</v>
      </c>
      <c r="G303" s="457"/>
      <c r="H303" s="469" t="str">
        <f>CONCATENATE(IF(F303="N","PLACEHOLDER ROW - ",""),'C-Design&amp;Const'!Z303,IF(F303="N","",J303))</f>
        <v xml:space="preserve">PLACEHOLDER ROW - Ventilation Demolition(s) </v>
      </c>
      <c r="I303" s="197"/>
      <c r="J303" s="578"/>
      <c r="K303" s="228"/>
      <c r="L303" s="1410" t="str">
        <f t="shared" ref="L303" si="13">CONCATENATE(IF(ISNUMBER(SEARCH("Placeholder",H303))=TRUE,"&lt;---PM/Planner may hide PLACEHOLDER ROW",""))</f>
        <v>&lt;---PM/Planner may hide PLACEHOLDER ROW</v>
      </c>
      <c r="M303" s="1382"/>
      <c r="N303" s="1382"/>
      <c r="O303" s="1382"/>
      <c r="P303" s="1382"/>
      <c r="Q303" s="1382"/>
      <c r="R303" s="1382"/>
      <c r="S303" s="1382"/>
      <c r="T303" s="1382"/>
      <c r="U303" s="1382"/>
      <c r="V303" s="1382"/>
      <c r="W303" s="1382"/>
      <c r="X303" s="1382"/>
      <c r="Y303" s="1382"/>
      <c r="Z303" s="1382"/>
      <c r="AA303" s="1382"/>
      <c r="AB303" s="1382"/>
      <c r="AC303" s="1382"/>
      <c r="AD303" s="1382"/>
      <c r="AE303" s="1382"/>
      <c r="AF303" s="1382"/>
      <c r="AG303" s="1382"/>
      <c r="AH303" s="1382"/>
      <c r="AI303" s="1382"/>
      <c r="AJ303" s="551"/>
      <c r="AK303" s="551"/>
      <c r="AL303" s="551"/>
      <c r="AM303" s="551"/>
      <c r="AN303" s="551"/>
      <c r="AO303" s="551"/>
      <c r="AP303" s="551"/>
      <c r="AQ303" s="551"/>
      <c r="AR303" s="551"/>
      <c r="AS303" s="551"/>
      <c r="AT303" s="551"/>
      <c r="AU303" s="551"/>
      <c r="AV303" s="551"/>
      <c r="AW303" s="551"/>
    </row>
    <row r="304" spans="1:49" s="30" customFormat="1" ht="15" hidden="1" customHeight="1" x14ac:dyDescent="0.25">
      <c r="A304" s="1407"/>
      <c r="B304" s="191"/>
      <c r="C304" s="945"/>
      <c r="D304" s="116"/>
      <c r="E304" s="466"/>
      <c r="F304" s="559" t="str">
        <f>IF('C-Design&amp;Const'!$G304="","",'C-Design&amp;Const'!$G304)</f>
        <v>N</v>
      </c>
      <c r="G304" s="457"/>
      <c r="H304" s="469" t="str">
        <f>CONCATENATE(IF(F304="N","PLACEHOLDER ROW - ",""),'C-Design&amp;Const'!Z304,IF(F304="N","",J304))</f>
        <v xml:space="preserve">PLACEHOLDER ROW - Ventilation Floor Plans </v>
      </c>
      <c r="I304" s="193"/>
      <c r="J304" s="578" t="str">
        <f>IF('C-Design&amp;Const'!AD304="","",'C-Design&amp;Const'!AD304)</f>
        <v>(Preliminary)</v>
      </c>
      <c r="K304" s="228"/>
      <c r="L304" s="1410" t="str">
        <f t="shared" si="12"/>
        <v>&lt;---PM/Planner may hide PLACEHOLDER ROW</v>
      </c>
      <c r="M304" s="1382"/>
      <c r="N304" s="1382"/>
      <c r="O304" s="1382"/>
      <c r="P304" s="1382"/>
      <c r="Q304" s="1382"/>
      <c r="R304" s="1382"/>
      <c r="S304" s="1382"/>
      <c r="T304" s="1382"/>
      <c r="U304" s="1382"/>
      <c r="V304" s="1382"/>
      <c r="W304" s="1382"/>
      <c r="X304" s="1382"/>
      <c r="Y304" s="1382"/>
      <c r="Z304" s="1382"/>
      <c r="AA304" s="1382"/>
      <c r="AB304" s="1382"/>
      <c r="AC304" s="1382"/>
      <c r="AD304" s="1382"/>
      <c r="AE304" s="1382"/>
      <c r="AF304" s="1382"/>
      <c r="AG304" s="1382"/>
      <c r="AH304" s="1382"/>
      <c r="AI304" s="1382"/>
      <c r="AJ304" s="181"/>
      <c r="AK304" s="181"/>
      <c r="AL304" s="181"/>
      <c r="AM304" s="181"/>
      <c r="AN304" s="181"/>
      <c r="AO304" s="181"/>
      <c r="AP304" s="181"/>
      <c r="AQ304" s="181"/>
      <c r="AR304" s="181"/>
      <c r="AS304" s="181"/>
      <c r="AT304" s="181"/>
      <c r="AU304" s="181"/>
      <c r="AV304" s="181"/>
      <c r="AW304" s="181"/>
    </row>
    <row r="305" spans="1:49" s="30" customFormat="1" ht="15" hidden="1" customHeight="1" x14ac:dyDescent="0.25">
      <c r="A305" s="1407"/>
      <c r="B305" s="191"/>
      <c r="C305" s="945"/>
      <c r="D305" s="116"/>
      <c r="E305" s="466"/>
      <c r="F305" s="559" t="str">
        <f>IF('C-Design&amp;Const'!$G305="","",'C-Design&amp;Const'!$G305)</f>
        <v>N</v>
      </c>
      <c r="G305" s="457"/>
      <c r="H305" s="469" t="str">
        <f>CONCATENATE(IF(F305="N","PLACEHOLDER ROW - ",""),'C-Design&amp;Const'!Z305,IF(F305="N","",J305))</f>
        <v xml:space="preserve">PLACEHOLDER ROW - Ventilation Air Flow Diagrams </v>
      </c>
      <c r="I305" s="193"/>
      <c r="J305" s="578" t="str">
        <f>IF('C-Design&amp;Const'!AD305="","",'C-Design&amp;Const'!AD305)</f>
        <v>(Preliminary)</v>
      </c>
      <c r="K305" s="228"/>
      <c r="L305" s="1410" t="str">
        <f t="shared" si="12"/>
        <v>&lt;---PM/Planner may hide PLACEHOLDER ROW</v>
      </c>
      <c r="M305" s="1382"/>
      <c r="N305" s="1382"/>
      <c r="O305" s="1382"/>
      <c r="P305" s="1382"/>
      <c r="Q305" s="1382"/>
      <c r="R305" s="1382"/>
      <c r="S305" s="1382"/>
      <c r="T305" s="1382"/>
      <c r="U305" s="1382"/>
      <c r="V305" s="1382"/>
      <c r="W305" s="1382"/>
      <c r="X305" s="1382"/>
      <c r="Y305" s="1382"/>
      <c r="Z305" s="1382"/>
      <c r="AA305" s="1382"/>
      <c r="AB305" s="1382"/>
      <c r="AC305" s="1382"/>
      <c r="AD305" s="1382"/>
      <c r="AE305" s="1382"/>
      <c r="AF305" s="1382"/>
      <c r="AG305" s="1382"/>
      <c r="AH305" s="1382"/>
      <c r="AI305" s="1382"/>
      <c r="AJ305" s="181"/>
      <c r="AK305" s="181"/>
      <c r="AL305" s="181"/>
      <c r="AM305" s="181"/>
      <c r="AN305" s="181"/>
      <c r="AO305" s="181"/>
      <c r="AP305" s="181"/>
      <c r="AQ305" s="181"/>
      <c r="AR305" s="181"/>
      <c r="AS305" s="181"/>
      <c r="AT305" s="181"/>
      <c r="AU305" s="181"/>
      <c r="AV305" s="181"/>
      <c r="AW305" s="181"/>
    </row>
    <row r="306" spans="1:49" s="30" customFormat="1" ht="15" hidden="1" customHeight="1" x14ac:dyDescent="0.25">
      <c r="A306" s="1407"/>
      <c r="B306" s="191"/>
      <c r="C306" s="945"/>
      <c r="D306" s="116"/>
      <c r="E306" s="466"/>
      <c r="F306" s="559" t="str">
        <f>IF('C-Design&amp;Const'!$G306="","",'C-Design&amp;Const'!$G306)</f>
        <v>N</v>
      </c>
      <c r="G306" s="457"/>
      <c r="H306" s="469" t="str">
        <f>CONCATENATE(IF(F306="N","PLACEHOLDER ROW - ",""),'C-Design&amp;Const'!Z306,IF(F306="N","",J306))</f>
        <v xml:space="preserve">PLACEHOLDER ROW - Ventilation Large Scale Mechanical Room Plans </v>
      </c>
      <c r="I306" s="193"/>
      <c r="J306" s="578" t="str">
        <f>IF('C-Design&amp;Const'!AD306="","",'C-Design&amp;Const'!AD306)</f>
        <v>(Preliminary)</v>
      </c>
      <c r="K306" s="228"/>
      <c r="L306" s="1410" t="str">
        <f t="shared" si="12"/>
        <v>&lt;---PM/Planner may hide PLACEHOLDER ROW</v>
      </c>
      <c r="M306" s="1382"/>
      <c r="N306" s="1382"/>
      <c r="O306" s="1382"/>
      <c r="P306" s="1382"/>
      <c r="Q306" s="1382"/>
      <c r="R306" s="1382"/>
      <c r="S306" s="1382"/>
      <c r="T306" s="1382"/>
      <c r="U306" s="1382"/>
      <c r="V306" s="1382"/>
      <c r="W306" s="1382"/>
      <c r="X306" s="1382"/>
      <c r="Y306" s="1382"/>
      <c r="Z306" s="1382"/>
      <c r="AA306" s="1382"/>
      <c r="AB306" s="1382"/>
      <c r="AC306" s="1382"/>
      <c r="AD306" s="1382"/>
      <c r="AE306" s="1382"/>
      <c r="AF306" s="1382"/>
      <c r="AG306" s="1382"/>
      <c r="AH306" s="1382"/>
      <c r="AI306" s="1382"/>
      <c r="AJ306" s="181"/>
      <c r="AK306" s="181"/>
      <c r="AL306" s="181"/>
      <c r="AM306" s="181"/>
      <c r="AN306" s="181"/>
      <c r="AO306" s="181"/>
      <c r="AP306" s="181"/>
      <c r="AQ306" s="181"/>
      <c r="AR306" s="181"/>
      <c r="AS306" s="181"/>
      <c r="AT306" s="181"/>
      <c r="AU306" s="181"/>
      <c r="AV306" s="181"/>
      <c r="AW306" s="181"/>
    </row>
    <row r="307" spans="1:49" s="30" customFormat="1" ht="15" hidden="1" customHeight="1" x14ac:dyDescent="0.25">
      <c r="A307" s="1407"/>
      <c r="B307" s="191"/>
      <c r="C307" s="945"/>
      <c r="D307" s="116"/>
      <c r="E307" s="466"/>
      <c r="F307" s="559" t="str">
        <f>IF('C-Design&amp;Const'!$G307="","",'C-Design&amp;Const'!$G307)</f>
        <v>N</v>
      </c>
      <c r="G307" s="457"/>
      <c r="H307" s="469" t="str">
        <f>CONCATENATE(IF(F307="N","PLACEHOLDER ROW - ",""),'C-Design&amp;Const'!Z307,IF(F307="N","",J307))</f>
        <v xml:space="preserve">PLACEHOLDER ROW - Ventilation Details and Sections </v>
      </c>
      <c r="I307" s="193"/>
      <c r="J307" s="578" t="str">
        <f>IF('C-Design&amp;Const'!AD307="","",'C-Design&amp;Const'!AD307)</f>
        <v>(Preliminary)</v>
      </c>
      <c r="K307" s="228"/>
      <c r="L307" s="1410" t="str">
        <f t="shared" si="12"/>
        <v>&lt;---PM/Planner may hide PLACEHOLDER ROW</v>
      </c>
      <c r="M307" s="1382"/>
      <c r="N307" s="1382"/>
      <c r="O307" s="1382"/>
      <c r="P307" s="1382"/>
      <c r="Q307" s="1382"/>
      <c r="R307" s="1382"/>
      <c r="S307" s="1382"/>
      <c r="T307" s="1382"/>
      <c r="U307" s="1382"/>
      <c r="V307" s="1382"/>
      <c r="W307" s="1382"/>
      <c r="X307" s="1382"/>
      <c r="Y307" s="1382"/>
      <c r="Z307" s="1382"/>
      <c r="AA307" s="1382"/>
      <c r="AB307" s="1382"/>
      <c r="AC307" s="1382"/>
      <c r="AD307" s="1382"/>
      <c r="AE307" s="1382"/>
      <c r="AF307" s="1382"/>
      <c r="AG307" s="1382"/>
      <c r="AH307" s="1382"/>
      <c r="AI307" s="1382"/>
      <c r="AJ307" s="181"/>
      <c r="AK307" s="181"/>
      <c r="AL307" s="181"/>
      <c r="AM307" s="181"/>
      <c r="AN307" s="181"/>
      <c r="AO307" s="181"/>
      <c r="AP307" s="181"/>
      <c r="AQ307" s="181"/>
      <c r="AR307" s="181"/>
      <c r="AS307" s="181"/>
      <c r="AT307" s="181"/>
      <c r="AU307" s="181"/>
      <c r="AV307" s="181"/>
      <c r="AW307" s="181"/>
    </row>
    <row r="308" spans="1:49" s="30" customFormat="1" ht="15" hidden="1" customHeight="1" x14ac:dyDescent="0.25">
      <c r="A308" s="1407"/>
      <c r="B308" s="191"/>
      <c r="C308" s="945"/>
      <c r="D308" s="116"/>
      <c r="E308" s="466"/>
      <c r="F308" s="559" t="str">
        <f>IF('C-Design&amp;Const'!$G308="","",'C-Design&amp;Const'!$G308)</f>
        <v>N</v>
      </c>
      <c r="G308" s="457"/>
      <c r="H308" s="469" t="str">
        <f>CONCATENATE(IF(F308="N","PLACEHOLDER ROW - ",""),'C-Design&amp;Const'!Z308,IF(F308="N","",J308))</f>
        <v xml:space="preserve">PLACEHOLDER ROW - Ventilation Equipment Schedule </v>
      </c>
      <c r="I308" s="193"/>
      <c r="J308" s="578" t="str">
        <f>IF('C-Design&amp;Const'!AD308="","",'C-Design&amp;Const'!AD308)</f>
        <v/>
      </c>
      <c r="K308" s="228"/>
      <c r="L308" s="1410" t="str">
        <f t="shared" si="12"/>
        <v>&lt;---PM/Planner may hide PLACEHOLDER ROW</v>
      </c>
      <c r="M308" s="1382"/>
      <c r="N308" s="1382"/>
      <c r="O308" s="1382"/>
      <c r="P308" s="1382"/>
      <c r="Q308" s="1382"/>
      <c r="R308" s="1382"/>
      <c r="S308" s="1382"/>
      <c r="T308" s="1382"/>
      <c r="U308" s="1382"/>
      <c r="V308" s="1382"/>
      <c r="W308" s="1382"/>
      <c r="X308" s="1382"/>
      <c r="Y308" s="1382"/>
      <c r="Z308" s="1382"/>
      <c r="AA308" s="1382"/>
      <c r="AB308" s="1382"/>
      <c r="AC308" s="1382"/>
      <c r="AD308" s="1382"/>
      <c r="AE308" s="1382"/>
      <c r="AF308" s="1382"/>
      <c r="AG308" s="1382"/>
      <c r="AH308" s="1382"/>
      <c r="AI308" s="1382"/>
      <c r="AJ308" s="181"/>
      <c r="AK308" s="181"/>
      <c r="AL308" s="181"/>
      <c r="AM308" s="181"/>
      <c r="AN308" s="181"/>
      <c r="AO308" s="181"/>
      <c r="AP308" s="181"/>
      <c r="AQ308" s="181"/>
      <c r="AR308" s="181"/>
      <c r="AS308" s="181"/>
      <c r="AT308" s="181"/>
      <c r="AU308" s="181"/>
      <c r="AV308" s="181"/>
      <c r="AW308" s="181"/>
    </row>
    <row r="309" spans="1:49" s="545" customFormat="1" ht="15" hidden="1" customHeight="1" x14ac:dyDescent="0.25">
      <c r="A309" s="1407"/>
      <c r="B309" s="554"/>
      <c r="C309" s="945"/>
      <c r="D309" s="116"/>
      <c r="E309" s="559" t="str">
        <f>IF('C-Design&amp;Const'!$G309="","",'C-Design&amp;Const'!$G309)</f>
        <v>N</v>
      </c>
      <c r="F309" s="460"/>
      <c r="G309" s="457"/>
      <c r="H309" s="244" t="str">
        <f>CONCATENATE(IF(F309="N","PLACEHOLDER ROW - ",""),'C-Design&amp;Const'!Z309,IF(F309="N","",J309))</f>
        <v>Temperature Control Drawings</v>
      </c>
      <c r="I309" s="193"/>
      <c r="J309" s="578" t="str">
        <f>IF('C-Design&amp;Const'!AD309="","",'C-Design&amp;Const'!AD309)</f>
        <v/>
      </c>
      <c r="K309" s="228"/>
      <c r="L309" s="1410" t="str">
        <f t="shared" ref="L309:L315" si="14">CONCATENATE(IF(ISNUMBER(SEARCH("Placeholder",H309))=TRUE,"&lt;---PM/Planner may hide PLACEHOLDER ROW",""))</f>
        <v/>
      </c>
      <c r="M309" s="1382"/>
      <c r="N309" s="1382"/>
      <c r="O309" s="1382"/>
      <c r="P309" s="1382"/>
      <c r="Q309" s="1382"/>
      <c r="R309" s="1382"/>
      <c r="S309" s="1382"/>
      <c r="T309" s="1382"/>
      <c r="U309" s="1382"/>
      <c r="V309" s="1382"/>
      <c r="W309" s="1382"/>
      <c r="X309" s="1382"/>
      <c r="Y309" s="1382"/>
      <c r="Z309" s="1382"/>
      <c r="AA309" s="1382"/>
      <c r="AB309" s="1382"/>
      <c r="AC309" s="1382"/>
      <c r="AD309" s="1382"/>
      <c r="AE309" s="1382"/>
      <c r="AF309" s="1382"/>
      <c r="AG309" s="1382"/>
      <c r="AH309" s="1382"/>
      <c r="AI309" s="1382"/>
      <c r="AJ309" s="551"/>
      <c r="AK309" s="551"/>
      <c r="AL309" s="551"/>
      <c r="AM309" s="551"/>
      <c r="AN309" s="551"/>
      <c r="AO309" s="551"/>
      <c r="AP309" s="551"/>
      <c r="AQ309" s="551"/>
      <c r="AR309" s="551"/>
      <c r="AS309" s="551"/>
      <c r="AT309" s="551"/>
      <c r="AU309" s="551"/>
      <c r="AV309" s="551"/>
      <c r="AW309" s="551"/>
    </row>
    <row r="310" spans="1:49" s="545" customFormat="1" ht="15" hidden="1" customHeight="1" x14ac:dyDescent="0.25">
      <c r="A310" s="1407"/>
      <c r="B310" s="554"/>
      <c r="C310" s="945"/>
      <c r="D310" s="116"/>
      <c r="E310" s="466"/>
      <c r="F310" s="559" t="str">
        <f>IF('C-Design&amp;Const'!$G310="","",'C-Design&amp;Const'!$G310)</f>
        <v>N</v>
      </c>
      <c r="G310" s="457"/>
      <c r="H310" s="469" t="str">
        <f>CONCATENATE(IF(F310="N","PLACEHOLDER ROW - ",""),'C-Design&amp;Const'!Z310,IF(F310="N","",J310))</f>
        <v>PLACEHOLDER ROW - CUSTOM - Temperature Control</v>
      </c>
      <c r="I310" s="193"/>
      <c r="J310" s="578" t="str">
        <f>IF('C-Design&amp;Const'!AD310="","",'C-Design&amp;Const'!AD310)</f>
        <v>(Preliminary)</v>
      </c>
      <c r="K310" s="228"/>
      <c r="L310" s="1410" t="str">
        <f t="shared" si="14"/>
        <v>&lt;---PM/Planner may hide PLACEHOLDER ROW</v>
      </c>
      <c r="M310" s="1382"/>
      <c r="N310" s="1382"/>
      <c r="O310" s="1382"/>
      <c r="P310" s="1382"/>
      <c r="Q310" s="1382"/>
      <c r="R310" s="1382"/>
      <c r="S310" s="1382"/>
      <c r="T310" s="1382"/>
      <c r="U310" s="1382"/>
      <c r="V310" s="1382"/>
      <c r="W310" s="1382"/>
      <c r="X310" s="1382"/>
      <c r="Y310" s="1382"/>
      <c r="Z310" s="1382"/>
      <c r="AA310" s="1382"/>
      <c r="AB310" s="1382"/>
      <c r="AC310" s="1382"/>
      <c r="AD310" s="1382"/>
      <c r="AE310" s="1382"/>
      <c r="AF310" s="1382"/>
      <c r="AG310" s="1382"/>
      <c r="AH310" s="1382"/>
      <c r="AI310" s="1382"/>
      <c r="AJ310" s="551"/>
      <c r="AK310" s="551"/>
      <c r="AL310" s="551"/>
      <c r="AM310" s="551"/>
      <c r="AN310" s="551"/>
      <c r="AO310" s="551"/>
      <c r="AP310" s="551"/>
      <c r="AQ310" s="551"/>
      <c r="AR310" s="551"/>
      <c r="AS310" s="551"/>
      <c r="AT310" s="551"/>
      <c r="AU310" s="551"/>
      <c r="AV310" s="551"/>
      <c r="AW310" s="551"/>
    </row>
    <row r="311" spans="1:49" s="545" customFormat="1" ht="15" hidden="1" customHeight="1" x14ac:dyDescent="0.25">
      <c r="A311" s="1407"/>
      <c r="B311" s="554"/>
      <c r="C311" s="945"/>
      <c r="D311" s="116"/>
      <c r="E311" s="466"/>
      <c r="F311" s="559" t="str">
        <f>IF('C-Design&amp;Const'!$G311="","",'C-Design&amp;Const'!$G311)</f>
        <v>N</v>
      </c>
      <c r="G311" s="457"/>
      <c r="H311" s="469" t="str">
        <f>CONCATENATE(IF(F311="N","PLACEHOLDER ROW - ",""),'C-Design&amp;Const'!Z311,IF(F311="N","",J311))</f>
        <v>PLACEHOLDER ROW - CUSTOM - Temperature Control</v>
      </c>
      <c r="I311" s="193"/>
      <c r="J311" s="578" t="str">
        <f>IF('C-Design&amp;Const'!AD311="","",'C-Design&amp;Const'!AD311)</f>
        <v>(Preliminary)</v>
      </c>
      <c r="K311" s="228"/>
      <c r="L311" s="1410" t="str">
        <f t="shared" si="14"/>
        <v>&lt;---PM/Planner may hide PLACEHOLDER ROW</v>
      </c>
      <c r="M311" s="1382"/>
      <c r="N311" s="1382"/>
      <c r="O311" s="1382"/>
      <c r="P311" s="1382"/>
      <c r="Q311" s="1382"/>
      <c r="R311" s="1382"/>
      <c r="S311" s="1382"/>
      <c r="T311" s="1382"/>
      <c r="U311" s="1382"/>
      <c r="V311" s="1382"/>
      <c r="W311" s="1382"/>
      <c r="X311" s="1382"/>
      <c r="Y311" s="1382"/>
      <c r="Z311" s="1382"/>
      <c r="AA311" s="1382"/>
      <c r="AB311" s="1382"/>
      <c r="AC311" s="1382"/>
      <c r="AD311" s="1382"/>
      <c r="AE311" s="1382"/>
      <c r="AF311" s="1382"/>
      <c r="AG311" s="1382"/>
      <c r="AH311" s="1382"/>
      <c r="AI311" s="1382"/>
      <c r="AJ311" s="551"/>
      <c r="AK311" s="551"/>
      <c r="AL311" s="551"/>
      <c r="AM311" s="551"/>
      <c r="AN311" s="551"/>
      <c r="AO311" s="551"/>
      <c r="AP311" s="551"/>
      <c r="AQ311" s="551"/>
      <c r="AR311" s="551"/>
      <c r="AS311" s="551"/>
      <c r="AT311" s="551"/>
      <c r="AU311" s="551"/>
      <c r="AV311" s="551"/>
      <c r="AW311" s="551"/>
    </row>
    <row r="312" spans="1:49" s="545" customFormat="1" ht="15" hidden="1" customHeight="1" x14ac:dyDescent="0.25">
      <c r="A312" s="1407"/>
      <c r="B312" s="554"/>
      <c r="C312" s="945"/>
      <c r="D312" s="116"/>
      <c r="E312" s="466"/>
      <c r="F312" s="559" t="str">
        <f>IF('C-Design&amp;Const'!$G312="","",'C-Design&amp;Const'!$G312)</f>
        <v>N</v>
      </c>
      <c r="G312" s="457"/>
      <c r="H312" s="469" t="str">
        <f>CONCATENATE(IF(F312="N","PLACEHOLDER ROW - ",""),'C-Design&amp;Const'!Z312,IF(F312="N","",J312))</f>
        <v xml:space="preserve">PLACEHOLDER ROW - Temperature Control Symbols, Abbreviations, and General Notes </v>
      </c>
      <c r="I312" s="193"/>
      <c r="J312" s="578" t="str">
        <f>IF('C-Design&amp;Const'!AD312="","",'C-Design&amp;Const'!AD312)</f>
        <v>(Approx. 50% Complete)</v>
      </c>
      <c r="K312" s="228"/>
      <c r="L312" s="1410" t="str">
        <f t="shared" si="14"/>
        <v>&lt;---PM/Planner may hide PLACEHOLDER ROW</v>
      </c>
      <c r="M312" s="1382"/>
      <c r="N312" s="1382"/>
      <c r="O312" s="1382"/>
      <c r="P312" s="1382"/>
      <c r="Q312" s="1382"/>
      <c r="R312" s="1382"/>
      <c r="S312" s="1382"/>
      <c r="T312" s="1382"/>
      <c r="U312" s="1382"/>
      <c r="V312" s="1382"/>
      <c r="W312" s="1382"/>
      <c r="X312" s="1382"/>
      <c r="Y312" s="1382"/>
      <c r="Z312" s="1382"/>
      <c r="AA312" s="1382"/>
      <c r="AB312" s="1382"/>
      <c r="AC312" s="1382"/>
      <c r="AD312" s="1382"/>
      <c r="AE312" s="1382"/>
      <c r="AF312" s="1382"/>
      <c r="AG312" s="1382"/>
      <c r="AH312" s="1382"/>
      <c r="AI312" s="1382"/>
      <c r="AJ312" s="551"/>
      <c r="AK312" s="551"/>
      <c r="AL312" s="551"/>
      <c r="AM312" s="551"/>
      <c r="AN312" s="551"/>
      <c r="AO312" s="551"/>
      <c r="AP312" s="551"/>
      <c r="AQ312" s="551"/>
      <c r="AR312" s="551"/>
      <c r="AS312" s="551"/>
      <c r="AT312" s="551"/>
      <c r="AU312" s="551"/>
      <c r="AV312" s="551"/>
      <c r="AW312" s="551"/>
    </row>
    <row r="313" spans="1:49" s="545" customFormat="1" ht="15" hidden="1" customHeight="1" x14ac:dyDescent="0.25">
      <c r="A313" s="1402"/>
      <c r="B313" s="554"/>
      <c r="C313" s="945"/>
      <c r="D313" s="116"/>
      <c r="E313" s="411"/>
      <c r="F313" s="559" t="str">
        <f>IF('C-Design&amp;Const'!$G313="","",'C-Design&amp;Const'!$G313)</f>
        <v>N</v>
      </c>
      <c r="G313" s="457"/>
      <c r="H313" s="469" t="str">
        <f>CONCATENATE(IF(F313="N","PLACEHOLDER ROW - ",""),'C-Design&amp;Const'!Z313,IF(F313="N","",J313))</f>
        <v xml:space="preserve">PLACEHOLDER ROW - Temperature Control Demolition(s) </v>
      </c>
      <c r="I313" s="197"/>
      <c r="J313" s="578"/>
      <c r="K313" s="228"/>
      <c r="L313" s="1410" t="str">
        <f t="shared" si="14"/>
        <v>&lt;---PM/Planner may hide PLACEHOLDER ROW</v>
      </c>
      <c r="M313" s="1382"/>
      <c r="N313" s="1382"/>
      <c r="O313" s="1382"/>
      <c r="P313" s="1382"/>
      <c r="Q313" s="1382"/>
      <c r="R313" s="1382"/>
      <c r="S313" s="1382"/>
      <c r="T313" s="1382"/>
      <c r="U313" s="1382"/>
      <c r="V313" s="1382"/>
      <c r="W313" s="1382"/>
      <c r="X313" s="1382"/>
      <c r="Y313" s="1382"/>
      <c r="Z313" s="1382"/>
      <c r="AA313" s="1382"/>
      <c r="AB313" s="1382"/>
      <c r="AC313" s="1382"/>
      <c r="AD313" s="1382"/>
      <c r="AE313" s="1382"/>
      <c r="AF313" s="1382"/>
      <c r="AG313" s="1382"/>
      <c r="AH313" s="1382"/>
      <c r="AI313" s="1382"/>
      <c r="AJ313" s="551"/>
      <c r="AK313" s="551"/>
      <c r="AL313" s="551"/>
      <c r="AM313" s="551"/>
      <c r="AN313" s="551"/>
      <c r="AO313" s="551"/>
      <c r="AP313" s="551"/>
      <c r="AQ313" s="551"/>
      <c r="AR313" s="551"/>
      <c r="AS313" s="551"/>
      <c r="AT313" s="551"/>
      <c r="AU313" s="551"/>
      <c r="AV313" s="551"/>
      <c r="AW313" s="551"/>
    </row>
    <row r="314" spans="1:49" s="545" customFormat="1" ht="15" hidden="1" customHeight="1" x14ac:dyDescent="0.25">
      <c r="A314" s="1407"/>
      <c r="B314" s="554"/>
      <c r="C314" s="945"/>
      <c r="D314" s="116"/>
      <c r="E314" s="466"/>
      <c r="F314" s="559" t="str">
        <f>IF('C-Design&amp;Const'!$G314="","",'C-Design&amp;Const'!$G314)</f>
        <v>N</v>
      </c>
      <c r="G314" s="457"/>
      <c r="H314" s="469" t="str">
        <f>CONCATENATE(IF(F314="N","PLACEHOLDER ROW - ",""),'C-Design&amp;Const'!Z314,IF(F314="N","",J314))</f>
        <v xml:space="preserve">PLACEHOLDER ROW - Temperature Control Floor Plans </v>
      </c>
      <c r="I314" s="193"/>
      <c r="J314" s="578" t="str">
        <f>IF('C-Design&amp;Const'!AD314="","",'C-Design&amp;Const'!AD314)</f>
        <v>(Preliminary)</v>
      </c>
      <c r="K314" s="228"/>
      <c r="L314" s="1410" t="str">
        <f t="shared" si="14"/>
        <v>&lt;---PM/Planner may hide PLACEHOLDER ROW</v>
      </c>
      <c r="M314" s="1382"/>
      <c r="N314" s="1382"/>
      <c r="O314" s="1382"/>
      <c r="P314" s="1382"/>
      <c r="Q314" s="1382"/>
      <c r="R314" s="1382"/>
      <c r="S314" s="1382"/>
      <c r="T314" s="1382"/>
      <c r="U314" s="1382"/>
      <c r="V314" s="1382"/>
      <c r="W314" s="1382"/>
      <c r="X314" s="1382"/>
      <c r="Y314" s="1382"/>
      <c r="Z314" s="1382"/>
      <c r="AA314" s="1382"/>
      <c r="AB314" s="1382"/>
      <c r="AC314" s="1382"/>
      <c r="AD314" s="1382"/>
      <c r="AE314" s="1382"/>
      <c r="AF314" s="1382"/>
      <c r="AG314" s="1382"/>
      <c r="AH314" s="1382"/>
      <c r="AI314" s="1382"/>
      <c r="AJ314" s="551"/>
      <c r="AK314" s="551"/>
      <c r="AL314" s="551"/>
      <c r="AM314" s="551"/>
      <c r="AN314" s="551"/>
      <c r="AO314" s="551"/>
      <c r="AP314" s="551"/>
      <c r="AQ314" s="551"/>
      <c r="AR314" s="551"/>
      <c r="AS314" s="551"/>
      <c r="AT314" s="551"/>
      <c r="AU314" s="551"/>
      <c r="AV314" s="551"/>
      <c r="AW314" s="551"/>
    </row>
    <row r="315" spans="1:49" s="545" customFormat="1" ht="15" hidden="1" customHeight="1" x14ac:dyDescent="0.25">
      <c r="A315" s="1407"/>
      <c r="B315" s="554"/>
      <c r="C315" s="945"/>
      <c r="D315" s="116"/>
      <c r="E315" s="466"/>
      <c r="F315" s="559" t="str">
        <f>IF('C-Design&amp;Const'!$G315="","",'C-Design&amp;Const'!$G315)</f>
        <v>N</v>
      </c>
      <c r="G315" s="457"/>
      <c r="H315" s="469" t="str">
        <f>CONCATENATE(IF(F315="N","PLACEHOLDER ROW - ",""),'C-Design&amp;Const'!Z315,IF(F315="N","",J315))</f>
        <v>PLACEHOLDER ROW - Temperature Control Sequences, Schedules, and Diagrams</v>
      </c>
      <c r="I315" s="193"/>
      <c r="J315" s="578" t="str">
        <f>IF('C-Design&amp;Const'!AD315="","",'C-Design&amp;Const'!AD315)</f>
        <v/>
      </c>
      <c r="K315" s="228"/>
      <c r="L315" s="1410" t="str">
        <f t="shared" si="14"/>
        <v>&lt;---PM/Planner may hide PLACEHOLDER ROW</v>
      </c>
      <c r="M315" s="1382"/>
      <c r="N315" s="1382"/>
      <c r="O315" s="1382"/>
      <c r="P315" s="1382"/>
      <c r="Q315" s="1382"/>
      <c r="R315" s="1382"/>
      <c r="S315" s="1382"/>
      <c r="T315" s="1382"/>
      <c r="U315" s="1382"/>
      <c r="V315" s="1382"/>
      <c r="W315" s="1382"/>
      <c r="X315" s="1382"/>
      <c r="Y315" s="1382"/>
      <c r="Z315" s="1382"/>
      <c r="AA315" s="1382"/>
      <c r="AB315" s="1382"/>
      <c r="AC315" s="1382"/>
      <c r="AD315" s="1382"/>
      <c r="AE315" s="1382"/>
      <c r="AF315" s="1382"/>
      <c r="AG315" s="1382"/>
      <c r="AH315" s="1382"/>
      <c r="AI315" s="1382"/>
      <c r="AJ315" s="551"/>
      <c r="AK315" s="551"/>
      <c r="AL315" s="551"/>
      <c r="AM315" s="551"/>
      <c r="AN315" s="551"/>
      <c r="AO315" s="551"/>
      <c r="AP315" s="551"/>
      <c r="AQ315" s="551"/>
      <c r="AR315" s="551"/>
      <c r="AS315" s="551"/>
      <c r="AT315" s="551"/>
      <c r="AU315" s="551"/>
      <c r="AV315" s="551"/>
      <c r="AW315" s="551"/>
    </row>
    <row r="316" spans="1:49" s="30" customFormat="1" ht="15" hidden="1" customHeight="1" x14ac:dyDescent="0.25">
      <c r="A316" s="1407"/>
      <c r="B316" s="191"/>
      <c r="C316" s="945"/>
      <c r="D316" s="116"/>
      <c r="E316" s="559" t="str">
        <f>IF('C-Design&amp;Const'!$G316="","",'C-Design&amp;Const'!$G316)</f>
        <v>N</v>
      </c>
      <c r="F316" s="460"/>
      <c r="G316" s="457"/>
      <c r="H316" s="244" t="str">
        <f>CONCATENATE(IF(F316="N","PLACEHOLDER ROW - ",""),'C-Design&amp;Const'!Z316,IF(F316="N","",J316))</f>
        <v>Electrical Drawings</v>
      </c>
      <c r="I316" s="193"/>
      <c r="J316" s="578" t="str">
        <f>IF('C-Design&amp;Const'!AD316="","",'C-Design&amp;Const'!AD316)</f>
        <v/>
      </c>
      <c r="K316" s="228"/>
      <c r="L316" s="1410" t="str">
        <f t="shared" si="12"/>
        <v/>
      </c>
      <c r="M316" s="1382"/>
      <c r="N316" s="1382"/>
      <c r="O316" s="1382"/>
      <c r="P316" s="1382"/>
      <c r="Q316" s="1382"/>
      <c r="R316" s="1382"/>
      <c r="S316" s="1382"/>
      <c r="T316" s="1382"/>
      <c r="U316" s="1382"/>
      <c r="V316" s="1382"/>
      <c r="W316" s="1382"/>
      <c r="X316" s="1382"/>
      <c r="Y316" s="1382"/>
      <c r="Z316" s="1382"/>
      <c r="AA316" s="1382"/>
      <c r="AB316" s="1382"/>
      <c r="AC316" s="1382"/>
      <c r="AD316" s="1382"/>
      <c r="AE316" s="1382"/>
      <c r="AF316" s="1382"/>
      <c r="AG316" s="1382"/>
      <c r="AH316" s="1382"/>
      <c r="AI316" s="1382"/>
      <c r="AJ316" s="181"/>
      <c r="AK316" s="181"/>
      <c r="AL316" s="181"/>
      <c r="AM316" s="181"/>
      <c r="AN316" s="181"/>
      <c r="AO316" s="181"/>
      <c r="AP316" s="181"/>
      <c r="AQ316" s="181"/>
      <c r="AR316" s="181"/>
      <c r="AS316" s="181"/>
      <c r="AT316" s="181"/>
      <c r="AU316" s="181"/>
      <c r="AV316" s="181"/>
      <c r="AW316" s="181"/>
    </row>
    <row r="317" spans="1:49" s="30" customFormat="1" ht="15" hidden="1" customHeight="1" x14ac:dyDescent="0.25">
      <c r="A317" s="1407"/>
      <c r="B317" s="191"/>
      <c r="C317" s="945"/>
      <c r="D317" s="116"/>
      <c r="E317" s="466"/>
      <c r="F317" s="559" t="str">
        <f>IF('C-Design&amp;Const'!$G317="","",'C-Design&amp;Const'!$G317)</f>
        <v>N</v>
      </c>
      <c r="G317" s="457"/>
      <c r="H317" s="469" t="str">
        <f>CONCATENATE(IF(F317="N","PLACEHOLDER ROW - ",""),'C-Design&amp;Const'!Z317,IF(F317="N","",J317))</f>
        <v xml:space="preserve">PLACEHOLDER ROW - CUSTOM - Electrical  </v>
      </c>
      <c r="I317" s="193"/>
      <c r="J317" s="578" t="str">
        <f>IF('C-Design&amp;Const'!AD317="","",'C-Design&amp;Const'!AD317)</f>
        <v>(Preliminary)</v>
      </c>
      <c r="K317" s="228"/>
      <c r="L317" s="1410" t="str">
        <f t="shared" si="12"/>
        <v>&lt;---PM/Planner may hide PLACEHOLDER ROW</v>
      </c>
      <c r="M317" s="1382"/>
      <c r="N317" s="1382"/>
      <c r="O317" s="1382"/>
      <c r="P317" s="1382"/>
      <c r="Q317" s="1382"/>
      <c r="R317" s="1382"/>
      <c r="S317" s="1382"/>
      <c r="T317" s="1382"/>
      <c r="U317" s="1382"/>
      <c r="V317" s="1382"/>
      <c r="W317" s="1382"/>
      <c r="X317" s="1382"/>
      <c r="Y317" s="1382"/>
      <c r="Z317" s="1382"/>
      <c r="AA317" s="1382"/>
      <c r="AB317" s="1382"/>
      <c r="AC317" s="1382"/>
      <c r="AD317" s="1382"/>
      <c r="AE317" s="1382"/>
      <c r="AF317" s="1382"/>
      <c r="AG317" s="1382"/>
      <c r="AH317" s="1382"/>
      <c r="AI317" s="1382"/>
      <c r="AJ317" s="181"/>
      <c r="AK317" s="181"/>
      <c r="AL317" s="181"/>
      <c r="AM317" s="181"/>
      <c r="AN317" s="181"/>
      <c r="AO317" s="181"/>
      <c r="AP317" s="181"/>
      <c r="AQ317" s="181"/>
      <c r="AR317" s="181"/>
      <c r="AS317" s="181"/>
      <c r="AT317" s="181"/>
      <c r="AU317" s="181"/>
      <c r="AV317" s="181"/>
      <c r="AW317" s="181"/>
    </row>
    <row r="318" spans="1:49" s="30" customFormat="1" ht="15" hidden="1" customHeight="1" x14ac:dyDescent="0.25">
      <c r="A318" s="1407"/>
      <c r="B318" s="191"/>
      <c r="C318" s="945"/>
      <c r="D318" s="116"/>
      <c r="E318" s="466"/>
      <c r="F318" s="559" t="str">
        <f>IF('C-Design&amp;Const'!$G318="","",'C-Design&amp;Const'!$G318)</f>
        <v>N</v>
      </c>
      <c r="G318" s="457"/>
      <c r="H318" s="469" t="str">
        <f>CONCATENATE(IF(F318="N","PLACEHOLDER ROW - ",""),'C-Design&amp;Const'!Z318,IF(F318="N","",J318))</f>
        <v xml:space="preserve">PLACEHOLDER ROW - CUSTOM - Electrical  </v>
      </c>
      <c r="I318" s="193"/>
      <c r="J318" s="578" t="str">
        <f>IF('C-Design&amp;Const'!AD318="","",'C-Design&amp;Const'!AD318)</f>
        <v>(Preliminary)</v>
      </c>
      <c r="K318" s="228"/>
      <c r="L318" s="1410" t="str">
        <f t="shared" si="12"/>
        <v>&lt;---PM/Planner may hide PLACEHOLDER ROW</v>
      </c>
      <c r="M318" s="1382"/>
      <c r="N318" s="1382"/>
      <c r="O318" s="1382"/>
      <c r="P318" s="1382"/>
      <c r="Q318" s="1382"/>
      <c r="R318" s="1382"/>
      <c r="S318" s="1382"/>
      <c r="T318" s="1382"/>
      <c r="U318" s="1382"/>
      <c r="V318" s="1382"/>
      <c r="W318" s="1382"/>
      <c r="X318" s="1382"/>
      <c r="Y318" s="1382"/>
      <c r="Z318" s="1382"/>
      <c r="AA318" s="1382"/>
      <c r="AB318" s="1382"/>
      <c r="AC318" s="1382"/>
      <c r="AD318" s="1382"/>
      <c r="AE318" s="1382"/>
      <c r="AF318" s="1382"/>
      <c r="AG318" s="1382"/>
      <c r="AH318" s="1382"/>
      <c r="AI318" s="1382"/>
      <c r="AJ318" s="181"/>
      <c r="AK318" s="181"/>
      <c r="AL318" s="181"/>
      <c r="AM318" s="181"/>
      <c r="AN318" s="181"/>
      <c r="AO318" s="181"/>
      <c r="AP318" s="181"/>
      <c r="AQ318" s="181"/>
      <c r="AR318" s="181"/>
      <c r="AS318" s="181"/>
      <c r="AT318" s="181"/>
      <c r="AU318" s="181"/>
      <c r="AV318" s="181"/>
      <c r="AW318" s="181"/>
    </row>
    <row r="319" spans="1:49" s="30" customFormat="1" ht="15" hidden="1" customHeight="1" x14ac:dyDescent="0.25">
      <c r="A319" s="1407"/>
      <c r="B319" s="191"/>
      <c r="C319" s="945"/>
      <c r="D319" s="116"/>
      <c r="E319" s="466"/>
      <c r="F319" s="559" t="str">
        <f>IF('C-Design&amp;Const'!$G319="","",'C-Design&amp;Const'!$G319)</f>
        <v>N</v>
      </c>
      <c r="G319" s="457"/>
      <c r="H319" s="469" t="str">
        <f>CONCATENATE(IF(F319="N","PLACEHOLDER ROW - ",""),'C-Design&amp;Const'!Z319,IF(F319="N","",J319))</f>
        <v xml:space="preserve">PLACEHOLDER ROW - Electrical Symbols, Abbreviations, and General Notes </v>
      </c>
      <c r="I319" s="193"/>
      <c r="J319" s="578" t="str">
        <f>IF('C-Design&amp;Const'!AD319="","",'C-Design&amp;Const'!AD319)</f>
        <v>(Approx. 50% Complete)</v>
      </c>
      <c r="K319" s="228"/>
      <c r="L319" s="1410" t="str">
        <f t="shared" si="12"/>
        <v>&lt;---PM/Planner may hide PLACEHOLDER ROW</v>
      </c>
      <c r="M319" s="1382"/>
      <c r="N319" s="1382"/>
      <c r="O319" s="1382"/>
      <c r="P319" s="1382"/>
      <c r="Q319" s="1382"/>
      <c r="R319" s="1382"/>
      <c r="S319" s="1382"/>
      <c r="T319" s="1382"/>
      <c r="U319" s="1382"/>
      <c r="V319" s="1382"/>
      <c r="W319" s="1382"/>
      <c r="X319" s="1382"/>
      <c r="Y319" s="1382"/>
      <c r="Z319" s="1382"/>
      <c r="AA319" s="1382"/>
      <c r="AB319" s="1382"/>
      <c r="AC319" s="1382"/>
      <c r="AD319" s="1382"/>
      <c r="AE319" s="1382"/>
      <c r="AF319" s="1382"/>
      <c r="AG319" s="1382"/>
      <c r="AH319" s="1382"/>
      <c r="AI319" s="1382"/>
      <c r="AJ319" s="181"/>
      <c r="AK319" s="181"/>
      <c r="AL319" s="181"/>
      <c r="AM319" s="181"/>
      <c r="AN319" s="181"/>
      <c r="AO319" s="181"/>
      <c r="AP319" s="181"/>
      <c r="AQ319" s="181"/>
      <c r="AR319" s="181"/>
      <c r="AS319" s="181"/>
      <c r="AT319" s="181"/>
      <c r="AU319" s="181"/>
      <c r="AV319" s="181"/>
      <c r="AW319" s="181"/>
    </row>
    <row r="320" spans="1:49" s="545" customFormat="1" ht="15" hidden="1" customHeight="1" x14ac:dyDescent="0.25">
      <c r="A320" s="1402"/>
      <c r="B320" s="554"/>
      <c r="C320" s="945"/>
      <c r="D320" s="116"/>
      <c r="E320" s="411"/>
      <c r="F320" s="559" t="str">
        <f>IF('C-Design&amp;Const'!$G320="","",'C-Design&amp;Const'!$G320)</f>
        <v>N</v>
      </c>
      <c r="G320" s="457"/>
      <c r="H320" s="469" t="str">
        <f>CONCATENATE(IF(F320="N","PLACEHOLDER ROW - ",""),'C-Design&amp;Const'!Z320,IF(F320="N","",J320))</f>
        <v xml:space="preserve">PLACEHOLDER ROW - Electrical Demolition(s) </v>
      </c>
      <c r="I320" s="197"/>
      <c r="J320" s="578"/>
      <c r="K320" s="228"/>
      <c r="L320" s="1410" t="str">
        <f t="shared" si="12"/>
        <v>&lt;---PM/Planner may hide PLACEHOLDER ROW</v>
      </c>
      <c r="M320" s="1382"/>
      <c r="N320" s="1382"/>
      <c r="O320" s="1382"/>
      <c r="P320" s="1382"/>
      <c r="Q320" s="1382"/>
      <c r="R320" s="1382"/>
      <c r="S320" s="1382"/>
      <c r="T320" s="1382"/>
      <c r="U320" s="1382"/>
      <c r="V320" s="1382"/>
      <c r="W320" s="1382"/>
      <c r="X320" s="1382"/>
      <c r="Y320" s="1382"/>
      <c r="Z320" s="1382"/>
      <c r="AA320" s="1382"/>
      <c r="AB320" s="1382"/>
      <c r="AC320" s="1382"/>
      <c r="AD320" s="1382"/>
      <c r="AE320" s="1382"/>
      <c r="AF320" s="1382"/>
      <c r="AG320" s="1382"/>
      <c r="AH320" s="1382"/>
      <c r="AI320" s="1382"/>
      <c r="AJ320" s="551"/>
      <c r="AK320" s="551"/>
      <c r="AL320" s="551"/>
      <c r="AM320" s="551"/>
      <c r="AN320" s="551"/>
      <c r="AO320" s="551"/>
      <c r="AP320" s="551"/>
      <c r="AQ320" s="551"/>
      <c r="AR320" s="551"/>
      <c r="AS320" s="551"/>
      <c r="AT320" s="551"/>
      <c r="AU320" s="551"/>
      <c r="AV320" s="551"/>
      <c r="AW320" s="551"/>
    </row>
    <row r="321" spans="1:49" s="30" customFormat="1" ht="15" hidden="1" customHeight="1" x14ac:dyDescent="0.25">
      <c r="A321" s="1407"/>
      <c r="B321" s="191"/>
      <c r="C321" s="945"/>
      <c r="D321" s="116"/>
      <c r="E321" s="466"/>
      <c r="F321" s="559" t="str">
        <f>IF('C-Design&amp;Const'!$G321="","",'C-Design&amp;Const'!$G321)</f>
        <v>N</v>
      </c>
      <c r="G321" s="457"/>
      <c r="H321" s="469" t="str">
        <f>CONCATENATE(IF(F321="N","PLACEHOLDER ROW - ",""),'C-Design&amp;Const'!Z321,IF(F321="N","",J321))</f>
        <v xml:space="preserve">PLACEHOLDER ROW - Electrical Floor Plans w/ Devices for Power </v>
      </c>
      <c r="I321" s="193"/>
      <c r="J321" s="578" t="str">
        <f>IF('C-Design&amp;Const'!AD321="","",'C-Design&amp;Const'!AD321)</f>
        <v>(Preliminary)</v>
      </c>
      <c r="K321" s="228"/>
      <c r="L321" s="1410" t="str">
        <f t="shared" si="12"/>
        <v>&lt;---PM/Planner may hide PLACEHOLDER ROW</v>
      </c>
      <c r="M321" s="1382"/>
      <c r="N321" s="1382"/>
      <c r="O321" s="1382"/>
      <c r="P321" s="1382"/>
      <c r="Q321" s="1382"/>
      <c r="R321" s="1382"/>
      <c r="S321" s="1382"/>
      <c r="T321" s="1382"/>
      <c r="U321" s="1382"/>
      <c r="V321" s="1382"/>
      <c r="W321" s="1382"/>
      <c r="X321" s="1382"/>
      <c r="Y321" s="1382"/>
      <c r="Z321" s="1382"/>
      <c r="AA321" s="1382"/>
      <c r="AB321" s="1382"/>
      <c r="AC321" s="1382"/>
      <c r="AD321" s="1382"/>
      <c r="AE321" s="1382"/>
      <c r="AF321" s="1382"/>
      <c r="AG321" s="1382"/>
      <c r="AH321" s="1382"/>
      <c r="AI321" s="1382"/>
      <c r="AJ321" s="181"/>
      <c r="AK321" s="181"/>
      <c r="AL321" s="181"/>
      <c r="AM321" s="181"/>
      <c r="AN321" s="181"/>
      <c r="AO321" s="181"/>
      <c r="AP321" s="181"/>
      <c r="AQ321" s="181"/>
      <c r="AR321" s="181"/>
      <c r="AS321" s="181"/>
      <c r="AT321" s="181"/>
      <c r="AU321" s="181"/>
      <c r="AV321" s="181"/>
      <c r="AW321" s="181"/>
    </row>
    <row r="322" spans="1:49" s="30" customFormat="1" ht="15" hidden="1" customHeight="1" x14ac:dyDescent="0.25">
      <c r="A322" s="1407"/>
      <c r="B322" s="191"/>
      <c r="C322" s="945"/>
      <c r="D322" s="116"/>
      <c r="E322" s="466"/>
      <c r="F322" s="559" t="str">
        <f>IF('C-Design&amp;Const'!$G322="","",'C-Design&amp;Const'!$G322)</f>
        <v>N</v>
      </c>
      <c r="G322" s="457"/>
      <c r="H322" s="469" t="str">
        <f>CONCATENATE(IF(F322="N","PLACEHOLDER ROW - ",""),'C-Design&amp;Const'!Z322,IF(F322="N","",J322))</f>
        <v xml:space="preserve">PLACEHOLDER ROW - Electrical Lighting Plans; Power Plans </v>
      </c>
      <c r="I322" s="193"/>
      <c r="J322" s="578" t="str">
        <f>IF('C-Design&amp;Const'!AD322="","",'C-Design&amp;Const'!AD322)</f>
        <v>(Preliminary)</v>
      </c>
      <c r="K322" s="228"/>
      <c r="L322" s="1410" t="str">
        <f t="shared" si="12"/>
        <v>&lt;---PM/Planner may hide PLACEHOLDER ROW</v>
      </c>
      <c r="M322" s="1382"/>
      <c r="N322" s="1382"/>
      <c r="O322" s="1382"/>
      <c r="P322" s="1382"/>
      <c r="Q322" s="1382"/>
      <c r="R322" s="1382"/>
      <c r="S322" s="1382"/>
      <c r="T322" s="1382"/>
      <c r="U322" s="1382"/>
      <c r="V322" s="1382"/>
      <c r="W322" s="1382"/>
      <c r="X322" s="1382"/>
      <c r="Y322" s="1382"/>
      <c r="Z322" s="1382"/>
      <c r="AA322" s="1382"/>
      <c r="AB322" s="1382"/>
      <c r="AC322" s="1382"/>
      <c r="AD322" s="1382"/>
      <c r="AE322" s="1382"/>
      <c r="AF322" s="1382"/>
      <c r="AG322" s="1382"/>
      <c r="AH322" s="1382"/>
      <c r="AI322" s="1382"/>
      <c r="AJ322" s="181"/>
      <c r="AK322" s="181"/>
      <c r="AL322" s="181"/>
      <c r="AM322" s="181"/>
      <c r="AN322" s="181"/>
      <c r="AO322" s="181"/>
      <c r="AP322" s="181"/>
      <c r="AQ322" s="181"/>
      <c r="AR322" s="181"/>
      <c r="AS322" s="181"/>
      <c r="AT322" s="181"/>
      <c r="AU322" s="181"/>
      <c r="AV322" s="181"/>
      <c r="AW322" s="181"/>
    </row>
    <row r="323" spans="1:49" s="30" customFormat="1" ht="15" hidden="1" customHeight="1" x14ac:dyDescent="0.25">
      <c r="A323" s="1407"/>
      <c r="B323" s="191"/>
      <c r="C323" s="945"/>
      <c r="D323" s="116"/>
      <c r="E323" s="466"/>
      <c r="F323" s="559" t="str">
        <f>IF('C-Design&amp;Const'!$G323="","",'C-Design&amp;Const'!$G323)</f>
        <v>N</v>
      </c>
      <c r="G323" s="457"/>
      <c r="H323" s="469" t="str">
        <f>CONCATENATE(IF(F323="N","PLACEHOLDER ROW - ",""),'C-Design&amp;Const'!Z323,IF(F323="N","",J323))</f>
        <v xml:space="preserve">PLACEHOLDER ROW - Electrical Primary Feed Diagrams </v>
      </c>
      <c r="I323" s="193"/>
      <c r="J323" s="578" t="str">
        <f>IF('C-Design&amp;Const'!AD323="","",'C-Design&amp;Const'!AD323)</f>
        <v>(Preliminary)</v>
      </c>
      <c r="K323" s="228"/>
      <c r="L323" s="1410" t="str">
        <f t="shared" si="12"/>
        <v>&lt;---PM/Planner may hide PLACEHOLDER ROW</v>
      </c>
      <c r="M323" s="1382"/>
      <c r="N323" s="1382"/>
      <c r="O323" s="1382"/>
      <c r="P323" s="1382"/>
      <c r="Q323" s="1382"/>
      <c r="R323" s="1382"/>
      <c r="S323" s="1382"/>
      <c r="T323" s="1382"/>
      <c r="U323" s="1382"/>
      <c r="V323" s="1382"/>
      <c r="W323" s="1382"/>
      <c r="X323" s="1382"/>
      <c r="Y323" s="1382"/>
      <c r="Z323" s="1382"/>
      <c r="AA323" s="1382"/>
      <c r="AB323" s="1382"/>
      <c r="AC323" s="1382"/>
      <c r="AD323" s="1382"/>
      <c r="AE323" s="1382"/>
      <c r="AF323" s="1382"/>
      <c r="AG323" s="1382"/>
      <c r="AH323" s="1382"/>
      <c r="AI323" s="1382"/>
      <c r="AJ323" s="181"/>
      <c r="AK323" s="181"/>
      <c r="AL323" s="181"/>
      <c r="AM323" s="181"/>
      <c r="AN323" s="181"/>
      <c r="AO323" s="181"/>
      <c r="AP323" s="181"/>
      <c r="AQ323" s="181"/>
      <c r="AR323" s="181"/>
      <c r="AS323" s="181"/>
      <c r="AT323" s="181"/>
      <c r="AU323" s="181"/>
      <c r="AV323" s="181"/>
      <c r="AW323" s="181"/>
    </row>
    <row r="324" spans="1:49" s="30" customFormat="1" ht="15" hidden="1" customHeight="1" x14ac:dyDescent="0.25">
      <c r="A324" s="1407"/>
      <c r="B324" s="191"/>
      <c r="C324" s="945"/>
      <c r="D324" s="116"/>
      <c r="E324" s="466"/>
      <c r="F324" s="559" t="str">
        <f>IF('C-Design&amp;Const'!$G324="","",'C-Design&amp;Const'!$G324)</f>
        <v>N</v>
      </c>
      <c r="G324" s="457"/>
      <c r="H324" s="469" t="str">
        <f>CONCATENATE(IF(F324="N","PLACEHOLDER ROW - ",""),'C-Design&amp;Const'!Z324,IF(F324="N","",J324))</f>
        <v xml:space="preserve">PLACEHOLDER ROW - Electrical Feeder Schedule </v>
      </c>
      <c r="I324" s="193"/>
      <c r="J324" s="578" t="str">
        <f>IF('C-Design&amp;Const'!AD324="","",'C-Design&amp;Const'!AD324)</f>
        <v/>
      </c>
      <c r="K324" s="228"/>
      <c r="L324" s="1410" t="str">
        <f t="shared" si="12"/>
        <v>&lt;---PM/Planner may hide PLACEHOLDER ROW</v>
      </c>
      <c r="M324" s="1382"/>
      <c r="N324" s="1382"/>
      <c r="O324" s="1382"/>
      <c r="P324" s="1382"/>
      <c r="Q324" s="1382"/>
      <c r="R324" s="1382"/>
      <c r="S324" s="1382"/>
      <c r="T324" s="1382"/>
      <c r="U324" s="1382"/>
      <c r="V324" s="1382"/>
      <c r="W324" s="1382"/>
      <c r="X324" s="1382"/>
      <c r="Y324" s="1382"/>
      <c r="Z324" s="1382"/>
      <c r="AA324" s="1382"/>
      <c r="AB324" s="1382"/>
      <c r="AC324" s="1382"/>
      <c r="AD324" s="1382"/>
      <c r="AE324" s="1382"/>
      <c r="AF324" s="1382"/>
      <c r="AG324" s="1382"/>
      <c r="AH324" s="1382"/>
      <c r="AI324" s="1382"/>
      <c r="AJ324" s="181"/>
      <c r="AK324" s="181"/>
      <c r="AL324" s="181"/>
      <c r="AM324" s="181"/>
      <c r="AN324" s="181"/>
      <c r="AO324" s="181"/>
      <c r="AP324" s="181"/>
      <c r="AQ324" s="181"/>
      <c r="AR324" s="181"/>
      <c r="AS324" s="181"/>
      <c r="AT324" s="181"/>
      <c r="AU324" s="181"/>
      <c r="AV324" s="181"/>
      <c r="AW324" s="181"/>
    </row>
    <row r="325" spans="1:49" s="30" customFormat="1" ht="15" hidden="1" customHeight="1" x14ac:dyDescent="0.25">
      <c r="A325" s="1407"/>
      <c r="B325" s="191"/>
      <c r="C325" s="945"/>
      <c r="D325" s="116"/>
      <c r="E325" s="466"/>
      <c r="F325" s="559" t="str">
        <f>IF('C-Design&amp;Const'!$G325="","",'C-Design&amp;Const'!$G325)</f>
        <v>N</v>
      </c>
      <c r="G325" s="457"/>
      <c r="H325" s="469" t="str">
        <f>CONCATENATE(IF(F325="N","PLACEHOLDER ROW - ",""),'C-Design&amp;Const'!Z325,IF(F325="N","",J325))</f>
        <v xml:space="preserve">PLACEHOLDER ROW - Electrical Secondary Riser Diagrams </v>
      </c>
      <c r="I325" s="193"/>
      <c r="J325" s="578" t="str">
        <f>IF('C-Design&amp;Const'!AD325="","",'C-Design&amp;Const'!AD325)</f>
        <v>(Preliminary)</v>
      </c>
      <c r="K325" s="228"/>
      <c r="L325" s="1410" t="str">
        <f t="shared" si="12"/>
        <v>&lt;---PM/Planner may hide PLACEHOLDER ROW</v>
      </c>
      <c r="M325" s="1382"/>
      <c r="N325" s="1382"/>
      <c r="O325" s="1382"/>
      <c r="P325" s="1382"/>
      <c r="Q325" s="1382"/>
      <c r="R325" s="1382"/>
      <c r="S325" s="1382"/>
      <c r="T325" s="1382"/>
      <c r="U325" s="1382"/>
      <c r="V325" s="1382"/>
      <c r="W325" s="1382"/>
      <c r="X325" s="1382"/>
      <c r="Y325" s="1382"/>
      <c r="Z325" s="1382"/>
      <c r="AA325" s="1382"/>
      <c r="AB325" s="1382"/>
      <c r="AC325" s="1382"/>
      <c r="AD325" s="1382"/>
      <c r="AE325" s="1382"/>
      <c r="AF325" s="1382"/>
      <c r="AG325" s="1382"/>
      <c r="AH325" s="1382"/>
      <c r="AI325" s="1382"/>
      <c r="AJ325" s="181"/>
      <c r="AK325" s="181"/>
      <c r="AL325" s="181"/>
      <c r="AM325" s="181"/>
      <c r="AN325" s="181"/>
      <c r="AO325" s="181"/>
      <c r="AP325" s="181"/>
      <c r="AQ325" s="181"/>
      <c r="AR325" s="181"/>
      <c r="AS325" s="181"/>
      <c r="AT325" s="181"/>
      <c r="AU325" s="181"/>
      <c r="AV325" s="181"/>
      <c r="AW325" s="181"/>
    </row>
    <row r="326" spans="1:49" s="30" customFormat="1" ht="15" hidden="1" customHeight="1" x14ac:dyDescent="0.25">
      <c r="A326" s="1407"/>
      <c r="B326" s="191"/>
      <c r="C326" s="945"/>
      <c r="D326" s="116"/>
      <c r="E326" s="466"/>
      <c r="F326" s="559" t="str">
        <f>IF('C-Design&amp;Const'!$G326="","",'C-Design&amp;Const'!$G326)</f>
        <v>N</v>
      </c>
      <c r="G326" s="457"/>
      <c r="H326" s="469" t="str">
        <f>CONCATENATE(IF(F326="N","PLACEHOLDER ROW - ",""),'C-Design&amp;Const'!Z326,IF(F326="N","",J326))</f>
        <v xml:space="preserve">PLACEHOLDER ROW - Electrical Power Distribution Schedule </v>
      </c>
      <c r="I326" s="193"/>
      <c r="J326" s="578" t="str">
        <f>IF('C-Design&amp;Const'!AD326="","",'C-Design&amp;Const'!AD326)</f>
        <v>(Preliminary)</v>
      </c>
      <c r="K326" s="228"/>
      <c r="L326" s="1410" t="str">
        <f t="shared" si="12"/>
        <v>&lt;---PM/Planner may hide PLACEHOLDER ROW</v>
      </c>
      <c r="M326" s="1382"/>
      <c r="N326" s="1382"/>
      <c r="O326" s="1382"/>
      <c r="P326" s="1382"/>
      <c r="Q326" s="1382"/>
      <c r="R326" s="1382"/>
      <c r="S326" s="1382"/>
      <c r="T326" s="1382"/>
      <c r="U326" s="1382"/>
      <c r="V326" s="1382"/>
      <c r="W326" s="1382"/>
      <c r="X326" s="1382"/>
      <c r="Y326" s="1382"/>
      <c r="Z326" s="1382"/>
      <c r="AA326" s="1382"/>
      <c r="AB326" s="1382"/>
      <c r="AC326" s="1382"/>
      <c r="AD326" s="1382"/>
      <c r="AE326" s="1382"/>
      <c r="AF326" s="1382"/>
      <c r="AG326" s="1382"/>
      <c r="AH326" s="1382"/>
      <c r="AI326" s="1382"/>
      <c r="AJ326" s="181"/>
      <c r="AK326" s="181"/>
      <c r="AL326" s="181"/>
      <c r="AM326" s="181"/>
      <c r="AN326" s="181"/>
      <c r="AO326" s="181"/>
      <c r="AP326" s="181"/>
      <c r="AQ326" s="181"/>
      <c r="AR326" s="181"/>
      <c r="AS326" s="181"/>
      <c r="AT326" s="181"/>
      <c r="AU326" s="181"/>
      <c r="AV326" s="181"/>
      <c r="AW326" s="181"/>
    </row>
    <row r="327" spans="1:49" s="30" customFormat="1" ht="15" hidden="1" customHeight="1" x14ac:dyDescent="0.25">
      <c r="A327" s="1407"/>
      <c r="B327" s="191"/>
      <c r="C327" s="945"/>
      <c r="D327" s="116"/>
      <c r="E327" s="466"/>
      <c r="F327" s="559" t="str">
        <f>IF('C-Design&amp;Const'!$G327="","",'C-Design&amp;Const'!$G327)</f>
        <v>N</v>
      </c>
      <c r="G327" s="457"/>
      <c r="H327" s="469" t="str">
        <f>CONCATENATE(IF(F327="N","PLACEHOLDER ROW - ",""),'C-Design&amp;Const'!Z327,IF(F327="N","",J327))</f>
        <v xml:space="preserve">PLACEHOLDER ROW - Electrical Grounding Riser Diagram </v>
      </c>
      <c r="I327" s="193"/>
      <c r="J327" s="578" t="str">
        <f>IF('C-Design&amp;Const'!AD327="","",'C-Design&amp;Const'!AD327)</f>
        <v>(Preliminary)</v>
      </c>
      <c r="K327" s="228"/>
      <c r="L327" s="1410" t="str">
        <f t="shared" ref="L327:L400" si="15">CONCATENATE(IF(ISNUMBER(SEARCH("Placeholder",H327))=TRUE,"&lt;---PM/Planner may hide PLACEHOLDER ROW",""))</f>
        <v>&lt;---PM/Planner may hide PLACEHOLDER ROW</v>
      </c>
      <c r="M327" s="1382"/>
      <c r="N327" s="1382"/>
      <c r="O327" s="1382"/>
      <c r="P327" s="1382"/>
      <c r="Q327" s="1382"/>
      <c r="R327" s="1382"/>
      <c r="S327" s="1382"/>
      <c r="T327" s="1382"/>
      <c r="U327" s="1382"/>
      <c r="V327" s="1382"/>
      <c r="W327" s="1382"/>
      <c r="X327" s="1382"/>
      <c r="Y327" s="1382"/>
      <c r="Z327" s="1382"/>
      <c r="AA327" s="1382"/>
      <c r="AB327" s="1382"/>
      <c r="AC327" s="1382"/>
      <c r="AD327" s="1382"/>
      <c r="AE327" s="1382"/>
      <c r="AF327" s="1382"/>
      <c r="AG327" s="1382"/>
      <c r="AH327" s="1382"/>
      <c r="AI327" s="1382"/>
      <c r="AJ327" s="181"/>
      <c r="AK327" s="181"/>
      <c r="AL327" s="181"/>
      <c r="AM327" s="181"/>
      <c r="AN327" s="181"/>
      <c r="AO327" s="181"/>
      <c r="AP327" s="181"/>
      <c r="AQ327" s="181"/>
      <c r="AR327" s="181"/>
      <c r="AS327" s="181"/>
      <c r="AT327" s="181"/>
      <c r="AU327" s="181"/>
      <c r="AV327" s="181"/>
      <c r="AW327" s="181"/>
    </row>
    <row r="328" spans="1:49" s="30" customFormat="1" ht="15" hidden="1" customHeight="1" x14ac:dyDescent="0.25">
      <c r="A328" s="1407"/>
      <c r="B328" s="191"/>
      <c r="C328" s="945"/>
      <c r="D328" s="116"/>
      <c r="E328" s="466"/>
      <c r="F328" s="559" t="str">
        <f>IF('C-Design&amp;Const'!$G328="","",'C-Design&amp;Const'!$G328)</f>
        <v>N</v>
      </c>
      <c r="G328" s="457"/>
      <c r="H328" s="469" t="str">
        <f>CONCATENATE(IF(F328="N","PLACEHOLDER ROW - ",""),'C-Design&amp;Const'!Z328,IF(F328="N","",J328))</f>
        <v xml:space="preserve">PLACEHOLDER ROW - Electrical Details </v>
      </c>
      <c r="I328" s="193"/>
      <c r="J328" s="578" t="str">
        <f>IF('C-Design&amp;Const'!AD328="","",'C-Design&amp;Const'!AD328)</f>
        <v>(Preliminary)</v>
      </c>
      <c r="K328" s="228"/>
      <c r="L328" s="1410" t="str">
        <f t="shared" si="15"/>
        <v>&lt;---PM/Planner may hide PLACEHOLDER ROW</v>
      </c>
      <c r="M328" s="1382"/>
      <c r="N328" s="1382"/>
      <c r="O328" s="1382"/>
      <c r="P328" s="1382"/>
      <c r="Q328" s="1382"/>
      <c r="R328" s="1382"/>
      <c r="S328" s="1382"/>
      <c r="T328" s="1382"/>
      <c r="U328" s="1382"/>
      <c r="V328" s="1382"/>
      <c r="W328" s="1382"/>
      <c r="X328" s="1382"/>
      <c r="Y328" s="1382"/>
      <c r="Z328" s="1382"/>
      <c r="AA328" s="1382"/>
      <c r="AB328" s="1382"/>
      <c r="AC328" s="1382"/>
      <c r="AD328" s="1382"/>
      <c r="AE328" s="1382"/>
      <c r="AF328" s="1382"/>
      <c r="AG328" s="1382"/>
      <c r="AH328" s="1382"/>
      <c r="AI328" s="1382"/>
      <c r="AJ328" s="181"/>
      <c r="AK328" s="181"/>
      <c r="AL328" s="181"/>
      <c r="AM328" s="181"/>
      <c r="AN328" s="181"/>
      <c r="AO328" s="181"/>
      <c r="AP328" s="181"/>
      <c r="AQ328" s="181"/>
      <c r="AR328" s="181"/>
      <c r="AS328" s="181"/>
      <c r="AT328" s="181"/>
      <c r="AU328" s="181"/>
      <c r="AV328" s="181"/>
      <c r="AW328" s="181"/>
    </row>
    <row r="329" spans="1:49" s="30" customFormat="1" ht="15" hidden="1" customHeight="1" x14ac:dyDescent="0.25">
      <c r="A329" s="1407"/>
      <c r="B329" s="191"/>
      <c r="C329" s="945"/>
      <c r="D329" s="116"/>
      <c r="E329" s="466"/>
      <c r="F329" s="559" t="str">
        <f>IF('C-Design&amp;Const'!$G329="","",'C-Design&amp;Const'!$G329)</f>
        <v>N</v>
      </c>
      <c r="G329" s="457"/>
      <c r="H329" s="469" t="str">
        <f>CONCATENATE(IF(F329="N","PLACEHOLDER ROW - ",""),'C-Design&amp;Const'!Z329,IF(F329="N","",J329))</f>
        <v xml:space="preserve">PLACEHOLDER ROW - Electrical Fixture Schedule and Equipment </v>
      </c>
      <c r="I329" s="193"/>
      <c r="J329" s="578" t="str">
        <f>IF('C-Design&amp;Const'!AD329="","",'C-Design&amp;Const'!AD329)</f>
        <v>(Preliminary)</v>
      </c>
      <c r="K329" s="228"/>
      <c r="L329" s="1410" t="str">
        <f t="shared" si="15"/>
        <v>&lt;---PM/Planner may hide PLACEHOLDER ROW</v>
      </c>
      <c r="M329" s="1382"/>
      <c r="N329" s="1382"/>
      <c r="O329" s="1382"/>
      <c r="P329" s="1382"/>
      <c r="Q329" s="1382"/>
      <c r="R329" s="1382"/>
      <c r="S329" s="1382"/>
      <c r="T329" s="1382"/>
      <c r="U329" s="1382"/>
      <c r="V329" s="1382"/>
      <c r="W329" s="1382"/>
      <c r="X329" s="1382"/>
      <c r="Y329" s="1382"/>
      <c r="Z329" s="1382"/>
      <c r="AA329" s="1382"/>
      <c r="AB329" s="1382"/>
      <c r="AC329" s="1382"/>
      <c r="AD329" s="1382"/>
      <c r="AE329" s="1382"/>
      <c r="AF329" s="1382"/>
      <c r="AG329" s="1382"/>
      <c r="AH329" s="1382"/>
      <c r="AI329" s="1382"/>
      <c r="AJ329" s="181"/>
      <c r="AK329" s="181"/>
      <c r="AL329" s="181"/>
      <c r="AM329" s="181"/>
      <c r="AN329" s="181"/>
      <c r="AO329" s="181"/>
      <c r="AP329" s="181"/>
      <c r="AQ329" s="181"/>
      <c r="AR329" s="181"/>
      <c r="AS329" s="181"/>
      <c r="AT329" s="181"/>
      <c r="AU329" s="181"/>
      <c r="AV329" s="181"/>
      <c r="AW329" s="181"/>
    </row>
    <row r="330" spans="1:49" s="30" customFormat="1" ht="15" hidden="1" customHeight="1" x14ac:dyDescent="0.25">
      <c r="A330" s="1407"/>
      <c r="B330" s="191"/>
      <c r="C330" s="945"/>
      <c r="D330" s="116"/>
      <c r="E330" s="466"/>
      <c r="F330" s="559" t="str">
        <f>IF('C-Design&amp;Const'!$G330="","",'C-Design&amp;Const'!$G330)</f>
        <v>N</v>
      </c>
      <c r="G330" s="457"/>
      <c r="H330" s="469" t="str">
        <f>CONCATENATE(IF(F330="N","PLACEHOLDER ROW - ",""),'C-Design&amp;Const'!Z330,IF(F330="N","",J330))</f>
        <v>PLACEHOLDER ROW - Electrical Lightning Protection Sections / Diagrams</v>
      </c>
      <c r="I330" s="193"/>
      <c r="J330" s="578" t="str">
        <f>IF('C-Design&amp;Const'!AD330="","",'C-Design&amp;Const'!AD330)</f>
        <v>(Preliminary)</v>
      </c>
      <c r="K330" s="228"/>
      <c r="L330" s="1410" t="str">
        <f t="shared" si="15"/>
        <v>&lt;---PM/Planner may hide PLACEHOLDER ROW</v>
      </c>
      <c r="M330" s="1382"/>
      <c r="N330" s="1382"/>
      <c r="O330" s="1382"/>
      <c r="P330" s="1382"/>
      <c r="Q330" s="1382"/>
      <c r="R330" s="1382"/>
      <c r="S330" s="1382"/>
      <c r="T330" s="1382"/>
      <c r="U330" s="1382"/>
      <c r="V330" s="1382"/>
      <c r="W330" s="1382"/>
      <c r="X330" s="1382"/>
      <c r="Y330" s="1382"/>
      <c r="Z330" s="1382"/>
      <c r="AA330" s="1382"/>
      <c r="AB330" s="1382"/>
      <c r="AC330" s="1382"/>
      <c r="AD330" s="1382"/>
      <c r="AE330" s="1382"/>
      <c r="AF330" s="1382"/>
      <c r="AG330" s="1382"/>
      <c r="AH330" s="1382"/>
      <c r="AI330" s="1382"/>
      <c r="AJ330" s="181"/>
      <c r="AK330" s="181"/>
      <c r="AL330" s="181"/>
      <c r="AM330" s="181"/>
      <c r="AN330" s="181"/>
      <c r="AO330" s="181"/>
      <c r="AP330" s="181"/>
      <c r="AQ330" s="181"/>
      <c r="AR330" s="181"/>
      <c r="AS330" s="181"/>
      <c r="AT330" s="181"/>
      <c r="AU330" s="181"/>
      <c r="AV330" s="181"/>
      <c r="AW330" s="181"/>
    </row>
    <row r="331" spans="1:49" s="30" customFormat="1" ht="15" hidden="1" customHeight="1" x14ac:dyDescent="0.25">
      <c r="A331" s="1407"/>
      <c r="B331" s="191"/>
      <c r="C331" s="945"/>
      <c r="D331" s="116"/>
      <c r="E331" s="466"/>
      <c r="F331" s="559" t="str">
        <f>IF('C-Design&amp;Const'!$G331="","",'C-Design&amp;Const'!$G331)</f>
        <v>N</v>
      </c>
      <c r="G331" s="457"/>
      <c r="H331" s="469" t="str">
        <f>CONCATENATE(IF(F331="N","PLACEHOLDER ROW - ",""),'C-Design&amp;Const'!Z331,IF(F331="N","",J331))</f>
        <v xml:space="preserve">PLACEHOLDER ROW - Electrical Lightning Protection Details </v>
      </c>
      <c r="I331" s="193"/>
      <c r="J331" s="578" t="str">
        <f>IF('C-Design&amp;Const'!AD331="","",'C-Design&amp;Const'!AD331)</f>
        <v>(Preliminary)</v>
      </c>
      <c r="K331" s="228"/>
      <c r="L331" s="1410" t="str">
        <f t="shared" si="15"/>
        <v>&lt;---PM/Planner may hide PLACEHOLDER ROW</v>
      </c>
      <c r="M331" s="1382"/>
      <c r="N331" s="1382"/>
      <c r="O331" s="1382"/>
      <c r="P331" s="1382"/>
      <c r="Q331" s="1382"/>
      <c r="R331" s="1382"/>
      <c r="S331" s="1382"/>
      <c r="T331" s="1382"/>
      <c r="U331" s="1382"/>
      <c r="V331" s="1382"/>
      <c r="W331" s="1382"/>
      <c r="X331" s="1382"/>
      <c r="Y331" s="1382"/>
      <c r="Z331" s="1382"/>
      <c r="AA331" s="1382"/>
      <c r="AB331" s="1382"/>
      <c r="AC331" s="1382"/>
      <c r="AD331" s="1382"/>
      <c r="AE331" s="1382"/>
      <c r="AF331" s="1382"/>
      <c r="AG331" s="1382"/>
      <c r="AH331" s="1382"/>
      <c r="AI331" s="1382"/>
      <c r="AJ331" s="181"/>
      <c r="AK331" s="181"/>
      <c r="AL331" s="181"/>
      <c r="AM331" s="181"/>
      <c r="AN331" s="181"/>
      <c r="AO331" s="181"/>
      <c r="AP331" s="181"/>
      <c r="AQ331" s="181"/>
      <c r="AR331" s="181"/>
      <c r="AS331" s="181"/>
      <c r="AT331" s="181"/>
      <c r="AU331" s="181"/>
      <c r="AV331" s="181"/>
      <c r="AW331" s="181"/>
    </row>
    <row r="332" spans="1:49" s="30" customFormat="1" ht="15" hidden="1" customHeight="1" x14ac:dyDescent="0.25">
      <c r="A332" s="1407"/>
      <c r="B332" s="191"/>
      <c r="C332" s="945"/>
      <c r="D332" s="116"/>
      <c r="E332" s="559" t="str">
        <f>IF('C-Design&amp;Const'!$G332="","",'C-Design&amp;Const'!$G332)</f>
        <v>N</v>
      </c>
      <c r="F332" s="460"/>
      <c r="G332" s="457"/>
      <c r="H332" s="244" t="str">
        <f>CONCATENATE(IF(F332="N","PLACEHOLDER ROW - ",""),'C-Design&amp;Const'!Z332,IF(F332="N","",J332))</f>
        <v>Fire Alarm Drawings</v>
      </c>
      <c r="I332" s="193"/>
      <c r="J332" s="578" t="str">
        <f>IF('C-Design&amp;Const'!AD332="","",'C-Design&amp;Const'!AD332)</f>
        <v/>
      </c>
      <c r="K332" s="228"/>
      <c r="L332" s="1410" t="str">
        <f t="shared" si="15"/>
        <v/>
      </c>
      <c r="M332" s="1382"/>
      <c r="N332" s="1382"/>
      <c r="O332" s="1382"/>
      <c r="P332" s="1382"/>
      <c r="Q332" s="1382"/>
      <c r="R332" s="1382"/>
      <c r="S332" s="1382"/>
      <c r="T332" s="1382"/>
      <c r="U332" s="1382"/>
      <c r="V332" s="1382"/>
      <c r="W332" s="1382"/>
      <c r="X332" s="1382"/>
      <c r="Y332" s="1382"/>
      <c r="Z332" s="1382"/>
      <c r="AA332" s="1382"/>
      <c r="AB332" s="1382"/>
      <c r="AC332" s="1382"/>
      <c r="AD332" s="1382"/>
      <c r="AE332" s="1382"/>
      <c r="AF332" s="1382"/>
      <c r="AG332" s="1382"/>
      <c r="AH332" s="1382"/>
      <c r="AI332" s="1382"/>
      <c r="AJ332" s="181"/>
      <c r="AK332" s="181"/>
      <c r="AL332" s="181"/>
      <c r="AM332" s="181"/>
      <c r="AN332" s="181"/>
      <c r="AO332" s="181"/>
      <c r="AP332" s="181"/>
      <c r="AQ332" s="181"/>
      <c r="AR332" s="181"/>
      <c r="AS332" s="181"/>
      <c r="AT332" s="181"/>
      <c r="AU332" s="181"/>
      <c r="AV332" s="181"/>
      <c r="AW332" s="181"/>
    </row>
    <row r="333" spans="1:49" s="30" customFormat="1" ht="15" hidden="1" customHeight="1" x14ac:dyDescent="0.25">
      <c r="A333" s="1407"/>
      <c r="B333" s="191"/>
      <c r="C333" s="945"/>
      <c r="D333" s="116"/>
      <c r="E333" s="466"/>
      <c r="F333" s="559" t="str">
        <f>IF('C-Design&amp;Const'!$G333="","",'C-Design&amp;Const'!$G333)</f>
        <v>N</v>
      </c>
      <c r="G333" s="457"/>
      <c r="H333" s="469" t="str">
        <f>CONCATENATE(IF(F333="N","PLACEHOLDER ROW - ",""),'C-Design&amp;Const'!Z333,IF(F333="N","",J333))</f>
        <v xml:space="preserve">PLACEHOLDER ROW - CUSTOM - Fire Alarm  </v>
      </c>
      <c r="I333" s="193"/>
      <c r="J333" s="578" t="str">
        <f>IF('C-Design&amp;Const'!AD333="","",'C-Design&amp;Const'!AD333)</f>
        <v>(Preliminary)</v>
      </c>
      <c r="K333" s="228"/>
      <c r="L333" s="1410" t="str">
        <f t="shared" si="15"/>
        <v>&lt;---PM/Planner may hide PLACEHOLDER ROW</v>
      </c>
      <c r="M333" s="1382"/>
      <c r="N333" s="1382"/>
      <c r="O333" s="1382"/>
      <c r="P333" s="1382"/>
      <c r="Q333" s="1382"/>
      <c r="R333" s="1382"/>
      <c r="S333" s="1382"/>
      <c r="T333" s="1382"/>
      <c r="U333" s="1382"/>
      <c r="V333" s="1382"/>
      <c r="W333" s="1382"/>
      <c r="X333" s="1382"/>
      <c r="Y333" s="1382"/>
      <c r="Z333" s="1382"/>
      <c r="AA333" s="1382"/>
      <c r="AB333" s="1382"/>
      <c r="AC333" s="1382"/>
      <c r="AD333" s="1382"/>
      <c r="AE333" s="1382"/>
      <c r="AF333" s="1382"/>
      <c r="AG333" s="1382"/>
      <c r="AH333" s="1382"/>
      <c r="AI333" s="1382"/>
      <c r="AJ333" s="181"/>
      <c r="AK333" s="181"/>
      <c r="AL333" s="181"/>
      <c r="AM333" s="181"/>
      <c r="AN333" s="181"/>
      <c r="AO333" s="181"/>
      <c r="AP333" s="181"/>
      <c r="AQ333" s="181"/>
      <c r="AR333" s="181"/>
      <c r="AS333" s="181"/>
      <c r="AT333" s="181"/>
      <c r="AU333" s="181"/>
      <c r="AV333" s="181"/>
      <c r="AW333" s="181"/>
    </row>
    <row r="334" spans="1:49" s="30" customFormat="1" ht="15" hidden="1" customHeight="1" x14ac:dyDescent="0.25">
      <c r="A334" s="1407"/>
      <c r="B334" s="191"/>
      <c r="C334" s="945"/>
      <c r="D334" s="116"/>
      <c r="E334" s="466"/>
      <c r="F334" s="559" t="str">
        <f>IF('C-Design&amp;Const'!$G334="","",'C-Design&amp;Const'!$G334)</f>
        <v>N</v>
      </c>
      <c r="G334" s="457"/>
      <c r="H334" s="469" t="str">
        <f>CONCATENATE(IF(F334="N","PLACEHOLDER ROW - ",""),'C-Design&amp;Const'!Z334,IF(F334="N","",J334))</f>
        <v xml:space="preserve">PLACEHOLDER ROW - CUSTOM - Fire Alarm  </v>
      </c>
      <c r="I334" s="193"/>
      <c r="J334" s="578" t="str">
        <f>IF('C-Design&amp;Const'!AD334="","",'C-Design&amp;Const'!AD334)</f>
        <v>(Preliminary)</v>
      </c>
      <c r="K334" s="228"/>
      <c r="L334" s="1410" t="str">
        <f t="shared" si="15"/>
        <v>&lt;---PM/Planner may hide PLACEHOLDER ROW</v>
      </c>
      <c r="M334" s="1382"/>
      <c r="N334" s="1382"/>
      <c r="O334" s="1382"/>
      <c r="P334" s="1382"/>
      <c r="Q334" s="1382"/>
      <c r="R334" s="1382"/>
      <c r="S334" s="1382"/>
      <c r="T334" s="1382"/>
      <c r="U334" s="1382"/>
      <c r="V334" s="1382"/>
      <c r="W334" s="1382"/>
      <c r="X334" s="1382"/>
      <c r="Y334" s="1382"/>
      <c r="Z334" s="1382"/>
      <c r="AA334" s="1382"/>
      <c r="AB334" s="1382"/>
      <c r="AC334" s="1382"/>
      <c r="AD334" s="1382"/>
      <c r="AE334" s="1382"/>
      <c r="AF334" s="1382"/>
      <c r="AG334" s="1382"/>
      <c r="AH334" s="1382"/>
      <c r="AI334" s="1382"/>
      <c r="AJ334" s="181"/>
      <c r="AK334" s="181"/>
      <c r="AL334" s="181"/>
      <c r="AM334" s="181"/>
      <c r="AN334" s="181"/>
      <c r="AO334" s="181"/>
      <c r="AP334" s="181"/>
      <c r="AQ334" s="181"/>
      <c r="AR334" s="181"/>
      <c r="AS334" s="181"/>
      <c r="AT334" s="181"/>
      <c r="AU334" s="181"/>
      <c r="AV334" s="181"/>
      <c r="AW334" s="181"/>
    </row>
    <row r="335" spans="1:49" s="545" customFormat="1" ht="15" hidden="1" customHeight="1" x14ac:dyDescent="0.25">
      <c r="A335" s="1402"/>
      <c r="B335" s="554"/>
      <c r="C335" s="945"/>
      <c r="D335" s="116"/>
      <c r="E335" s="411"/>
      <c r="F335" s="559" t="str">
        <f>IF('C-Design&amp;Const'!$G335="","",'C-Design&amp;Const'!$G335)</f>
        <v>N</v>
      </c>
      <c r="G335" s="457"/>
      <c r="H335" s="469" t="str">
        <f>CONCATENATE(IF(F335="N","PLACEHOLDER ROW - ",""),'C-Design&amp;Const'!Z335,IF(F335="N","",J335))</f>
        <v xml:space="preserve">PLACEHOLDER ROW - Fire Alarm Symbols, Abbreviations, and General Notes </v>
      </c>
      <c r="I335" s="197"/>
      <c r="J335" s="578"/>
      <c r="K335" s="228"/>
      <c r="L335" s="1410" t="str">
        <f t="shared" si="15"/>
        <v>&lt;---PM/Planner may hide PLACEHOLDER ROW</v>
      </c>
      <c r="M335" s="1382"/>
      <c r="N335" s="1382"/>
      <c r="O335" s="1382"/>
      <c r="P335" s="1382"/>
      <c r="Q335" s="1382"/>
      <c r="R335" s="1382"/>
      <c r="S335" s="1382"/>
      <c r="T335" s="1382"/>
      <c r="U335" s="1382"/>
      <c r="V335" s="1382"/>
      <c r="W335" s="1382"/>
      <c r="X335" s="1382"/>
      <c r="Y335" s="1382"/>
      <c r="Z335" s="1382"/>
      <c r="AA335" s="1382"/>
      <c r="AB335" s="1382"/>
      <c r="AC335" s="1382"/>
      <c r="AD335" s="1382"/>
      <c r="AE335" s="1382"/>
      <c r="AF335" s="1382"/>
      <c r="AG335" s="1382"/>
      <c r="AH335" s="1382"/>
      <c r="AI335" s="1382"/>
      <c r="AJ335" s="551"/>
      <c r="AK335" s="551"/>
      <c r="AL335" s="551"/>
      <c r="AM335" s="551"/>
      <c r="AN335" s="551"/>
      <c r="AO335" s="551"/>
      <c r="AP335" s="551"/>
      <c r="AQ335" s="551"/>
      <c r="AR335" s="551"/>
      <c r="AS335" s="551"/>
      <c r="AT335" s="551"/>
      <c r="AU335" s="551"/>
      <c r="AV335" s="551"/>
      <c r="AW335" s="551"/>
    </row>
    <row r="336" spans="1:49" s="545" customFormat="1" ht="15" hidden="1" customHeight="1" x14ac:dyDescent="0.25">
      <c r="A336" s="1402"/>
      <c r="B336" s="554"/>
      <c r="C336" s="945"/>
      <c r="D336" s="116"/>
      <c r="E336" s="411"/>
      <c r="F336" s="559" t="str">
        <f>IF('C-Design&amp;Const'!$G336="","",'C-Design&amp;Const'!$G336)</f>
        <v>N</v>
      </c>
      <c r="G336" s="457"/>
      <c r="H336" s="469" t="str">
        <f>CONCATENATE(IF(F336="N","PLACEHOLDER ROW - ",""),'C-Design&amp;Const'!Z336,IF(F336="N","",J336))</f>
        <v xml:space="preserve">PLACEHOLDER ROW - Fire Alarm Demolition(s) </v>
      </c>
      <c r="I336" s="197"/>
      <c r="J336" s="578"/>
      <c r="K336" s="228"/>
      <c r="L336" s="1410" t="str">
        <f t="shared" si="15"/>
        <v>&lt;---PM/Planner may hide PLACEHOLDER ROW</v>
      </c>
      <c r="M336" s="1382"/>
      <c r="N336" s="1382"/>
      <c r="O336" s="1382"/>
      <c r="P336" s="1382"/>
      <c r="Q336" s="1382"/>
      <c r="R336" s="1382"/>
      <c r="S336" s="1382"/>
      <c r="T336" s="1382"/>
      <c r="U336" s="1382"/>
      <c r="V336" s="1382"/>
      <c r="W336" s="1382"/>
      <c r="X336" s="1382"/>
      <c r="Y336" s="1382"/>
      <c r="Z336" s="1382"/>
      <c r="AA336" s="1382"/>
      <c r="AB336" s="1382"/>
      <c r="AC336" s="1382"/>
      <c r="AD336" s="1382"/>
      <c r="AE336" s="1382"/>
      <c r="AF336" s="1382"/>
      <c r="AG336" s="1382"/>
      <c r="AH336" s="1382"/>
      <c r="AI336" s="1382"/>
      <c r="AJ336" s="551"/>
      <c r="AK336" s="551"/>
      <c r="AL336" s="551"/>
      <c r="AM336" s="551"/>
      <c r="AN336" s="551"/>
      <c r="AO336" s="551"/>
      <c r="AP336" s="551"/>
      <c r="AQ336" s="551"/>
      <c r="AR336" s="551"/>
      <c r="AS336" s="551"/>
      <c r="AT336" s="551"/>
      <c r="AU336" s="551"/>
      <c r="AV336" s="551"/>
      <c r="AW336" s="551"/>
    </row>
    <row r="337" spans="1:49" s="30" customFormat="1" ht="15" hidden="1" customHeight="1" x14ac:dyDescent="0.25">
      <c r="A337" s="1407"/>
      <c r="B337" s="191"/>
      <c r="C337" s="945"/>
      <c r="D337" s="116"/>
      <c r="E337" s="466"/>
      <c r="F337" s="559" t="str">
        <f>IF('C-Design&amp;Const'!$G337="","",'C-Design&amp;Const'!$G337)</f>
        <v>N</v>
      </c>
      <c r="G337" s="457"/>
      <c r="H337" s="243" t="str">
        <f>CONCATENATE(IF(F337="N","PLACEHOLDER ROW - ",""),'C-Design&amp;Const'!Z337,IF(F337="N","",J337))</f>
        <v xml:space="preserve">PLACEHOLDER ROW - Fire Alarm Floor Plans </v>
      </c>
      <c r="I337" s="193"/>
      <c r="J337" s="578" t="str">
        <f>IF('C-Design&amp;Const'!AD337="","",'C-Design&amp;Const'!AD337)</f>
        <v>(Preliminary)</v>
      </c>
      <c r="K337" s="228"/>
      <c r="L337" s="1410" t="str">
        <f t="shared" si="15"/>
        <v>&lt;---PM/Planner may hide PLACEHOLDER ROW</v>
      </c>
      <c r="M337" s="1382"/>
      <c r="N337" s="1382"/>
      <c r="O337" s="1382"/>
      <c r="P337" s="1382"/>
      <c r="Q337" s="1382"/>
      <c r="R337" s="1382"/>
      <c r="S337" s="1382"/>
      <c r="T337" s="1382"/>
      <c r="U337" s="1382"/>
      <c r="V337" s="1382"/>
      <c r="W337" s="1382"/>
      <c r="X337" s="1382"/>
      <c r="Y337" s="1382"/>
      <c r="Z337" s="1382"/>
      <c r="AA337" s="1382"/>
      <c r="AB337" s="1382"/>
      <c r="AC337" s="1382"/>
      <c r="AD337" s="1382"/>
      <c r="AE337" s="1382"/>
      <c r="AF337" s="1382"/>
      <c r="AG337" s="1382"/>
      <c r="AH337" s="1382"/>
      <c r="AI337" s="1382"/>
      <c r="AJ337" s="181"/>
      <c r="AK337" s="181"/>
      <c r="AL337" s="181"/>
      <c r="AM337" s="181"/>
      <c r="AN337" s="181"/>
      <c r="AO337" s="181"/>
      <c r="AP337" s="181"/>
      <c r="AQ337" s="181"/>
      <c r="AR337" s="181"/>
      <c r="AS337" s="181"/>
      <c r="AT337" s="181"/>
      <c r="AU337" s="181"/>
      <c r="AV337" s="181"/>
      <c r="AW337" s="181"/>
    </row>
    <row r="338" spans="1:49" s="30" customFormat="1" ht="15" hidden="1" customHeight="1" x14ac:dyDescent="0.25">
      <c r="A338" s="1407"/>
      <c r="B338" s="191"/>
      <c r="C338" s="945"/>
      <c r="D338" s="116"/>
      <c r="E338" s="466"/>
      <c r="F338" s="559" t="str">
        <f>IF('C-Design&amp;Const'!$G338="","",'C-Design&amp;Const'!$G338)</f>
        <v>N</v>
      </c>
      <c r="G338" s="457"/>
      <c r="H338" s="243" t="str">
        <f>CONCATENATE(IF(F338="N","PLACEHOLDER ROW - ",""),'C-Design&amp;Const'!Z338,IF(F338="N","",J338))</f>
        <v xml:space="preserve">PLACEHOLDER ROW - Fire Alarm Riser Diagrams and Connections </v>
      </c>
      <c r="I338" s="193"/>
      <c r="J338" s="578" t="str">
        <f>IF('C-Design&amp;Const'!AD338="","",'C-Design&amp;Const'!AD338)</f>
        <v>(Preliminary)</v>
      </c>
      <c r="K338" s="228"/>
      <c r="L338" s="1410" t="str">
        <f t="shared" si="15"/>
        <v>&lt;---PM/Planner may hide PLACEHOLDER ROW</v>
      </c>
      <c r="M338" s="1382"/>
      <c r="N338" s="1382"/>
      <c r="O338" s="1382"/>
      <c r="P338" s="1382"/>
      <c r="Q338" s="1382"/>
      <c r="R338" s="1382"/>
      <c r="S338" s="1382"/>
      <c r="T338" s="1382"/>
      <c r="U338" s="1382"/>
      <c r="V338" s="1382"/>
      <c r="W338" s="1382"/>
      <c r="X338" s="1382"/>
      <c r="Y338" s="1382"/>
      <c r="Z338" s="1382"/>
      <c r="AA338" s="1382"/>
      <c r="AB338" s="1382"/>
      <c r="AC338" s="1382"/>
      <c r="AD338" s="1382"/>
      <c r="AE338" s="1382"/>
      <c r="AF338" s="1382"/>
      <c r="AG338" s="1382"/>
      <c r="AH338" s="1382"/>
      <c r="AI338" s="1382"/>
      <c r="AJ338" s="181"/>
      <c r="AK338" s="181"/>
      <c r="AL338" s="181"/>
      <c r="AM338" s="181"/>
      <c r="AN338" s="181"/>
      <c r="AO338" s="181"/>
      <c r="AP338" s="181"/>
      <c r="AQ338" s="181"/>
      <c r="AR338" s="181"/>
      <c r="AS338" s="181"/>
      <c r="AT338" s="181"/>
      <c r="AU338" s="181"/>
      <c r="AV338" s="181"/>
      <c r="AW338" s="181"/>
    </row>
    <row r="339" spans="1:49" s="30" customFormat="1" ht="15" hidden="1" customHeight="1" x14ac:dyDescent="0.25">
      <c r="A339" s="1407"/>
      <c r="B339" s="191"/>
      <c r="C339" s="945"/>
      <c r="D339" s="116"/>
      <c r="E339" s="466"/>
      <c r="F339" s="559" t="str">
        <f>IF('C-Design&amp;Const'!$G339="","",'C-Design&amp;Const'!$G339)</f>
        <v>N</v>
      </c>
      <c r="G339" s="457"/>
      <c r="H339" s="243" t="str">
        <f>CONCATENATE(IF(F339="N","PLACEHOLDER ROW - ",""),'C-Design&amp;Const'!Z339,IF(F339="N","",J339))</f>
        <v xml:space="preserve">PLACEHOLDER ROW - Fire Alarm Details </v>
      </c>
      <c r="I339" s="193"/>
      <c r="J339" s="578" t="str">
        <f>IF('C-Design&amp;Const'!AD339="","",'C-Design&amp;Const'!AD339)</f>
        <v>(Preliminary)</v>
      </c>
      <c r="K339" s="228"/>
      <c r="L339" s="1410" t="str">
        <f t="shared" si="15"/>
        <v>&lt;---PM/Planner may hide PLACEHOLDER ROW</v>
      </c>
      <c r="M339" s="1382"/>
      <c r="N339" s="1382"/>
      <c r="O339" s="1382"/>
      <c r="P339" s="1382"/>
      <c r="Q339" s="1382"/>
      <c r="R339" s="1382"/>
      <c r="S339" s="1382"/>
      <c r="T339" s="1382"/>
      <c r="U339" s="1382"/>
      <c r="V339" s="1382"/>
      <c r="W339" s="1382"/>
      <c r="X339" s="1382"/>
      <c r="Y339" s="1382"/>
      <c r="Z339" s="1382"/>
      <c r="AA339" s="1382"/>
      <c r="AB339" s="1382"/>
      <c r="AC339" s="1382"/>
      <c r="AD339" s="1382"/>
      <c r="AE339" s="1382"/>
      <c r="AF339" s="1382"/>
      <c r="AG339" s="1382"/>
      <c r="AH339" s="1382"/>
      <c r="AI339" s="1382"/>
      <c r="AJ339" s="181"/>
      <c r="AK339" s="181"/>
      <c r="AL339" s="181"/>
      <c r="AM339" s="181"/>
      <c r="AN339" s="181"/>
      <c r="AO339" s="181"/>
      <c r="AP339" s="181"/>
      <c r="AQ339" s="181"/>
      <c r="AR339" s="181"/>
      <c r="AS339" s="181"/>
      <c r="AT339" s="181"/>
      <c r="AU339" s="181"/>
      <c r="AV339" s="181"/>
      <c r="AW339" s="181"/>
    </row>
    <row r="340" spans="1:49" s="30" customFormat="1" ht="15" hidden="1" customHeight="1" x14ac:dyDescent="0.25">
      <c r="A340" s="1407"/>
      <c r="B340" s="191"/>
      <c r="C340" s="945"/>
      <c r="D340" s="116"/>
      <c r="E340" s="559" t="str">
        <f>IF('C-Design&amp;Const'!$G340="","",'C-Design&amp;Const'!$G340)</f>
        <v>N</v>
      </c>
      <c r="F340" s="460"/>
      <c r="G340" s="457"/>
      <c r="H340" s="244" t="str">
        <f>CONCATENATE(IF(F340="N","PLACEHOLDER ROW - ",""),'C-Design&amp;Const'!Z340,IF(F340="N","",J340))</f>
        <v>Building Automation Systems Drawings (HVAC Instrumentation and Control)</v>
      </c>
      <c r="I340" s="193"/>
      <c r="J340" s="578" t="str">
        <f>IF('C-Design&amp;Const'!AD340="","",'C-Design&amp;Const'!AD340)</f>
        <v/>
      </c>
      <c r="K340" s="228"/>
      <c r="L340" s="1410" t="str">
        <f t="shared" ref="L340:L357" si="16">CONCATENATE(IF(ISNUMBER(SEARCH("Placeholder",H340))=TRUE,"&lt;---PM/Planner may hide PLACEHOLDER ROW",""))</f>
        <v/>
      </c>
      <c r="M340" s="1382"/>
      <c r="N340" s="1382"/>
      <c r="O340" s="1382"/>
      <c r="P340" s="1382"/>
      <c r="Q340" s="1382"/>
      <c r="R340" s="1382"/>
      <c r="S340" s="1382"/>
      <c r="T340" s="1382"/>
      <c r="U340" s="1382"/>
      <c r="V340" s="1382"/>
      <c r="W340" s="1382"/>
      <c r="X340" s="1382"/>
      <c r="Y340" s="1382"/>
      <c r="Z340" s="1382"/>
      <c r="AA340" s="1382"/>
      <c r="AB340" s="1382"/>
      <c r="AC340" s="1382"/>
      <c r="AD340" s="1382"/>
      <c r="AE340" s="1382"/>
      <c r="AF340" s="1382"/>
      <c r="AG340" s="1382"/>
      <c r="AH340" s="1382"/>
      <c r="AI340" s="1382"/>
      <c r="AJ340" s="181"/>
      <c r="AK340" s="181"/>
      <c r="AL340" s="181"/>
      <c r="AM340" s="181"/>
      <c r="AN340" s="181"/>
      <c r="AO340" s="181"/>
      <c r="AP340" s="181"/>
      <c r="AQ340" s="181"/>
      <c r="AR340" s="181"/>
      <c r="AS340" s="181"/>
      <c r="AT340" s="181"/>
      <c r="AU340" s="181"/>
      <c r="AV340" s="181"/>
      <c r="AW340" s="181"/>
    </row>
    <row r="341" spans="1:49" s="30" customFormat="1" ht="15" hidden="1" customHeight="1" x14ac:dyDescent="0.25">
      <c r="A341" s="1407"/>
      <c r="B341" s="191"/>
      <c r="C341" s="945"/>
      <c r="D341" s="116"/>
      <c r="E341" s="466"/>
      <c r="F341" s="559" t="str">
        <f>IF('C-Design&amp;Const'!$G341="","",'C-Design&amp;Const'!$G341)</f>
        <v>N</v>
      </c>
      <c r="G341" s="457"/>
      <c r="H341" s="469" t="str">
        <f>CONCATENATE(IF(F341="N","PLACEHOLDER ROW - ",""),'C-Design&amp;Const'!Z341,IF(F341="N","",J341))</f>
        <v>PLACEHOLDER ROW - CUSTOM - Building Automation Systems</v>
      </c>
      <c r="I341" s="193"/>
      <c r="J341" s="578" t="str">
        <f>IF('C-Design&amp;Const'!AD341="","",'C-Design&amp;Const'!AD341)</f>
        <v>(Preliminary)</v>
      </c>
      <c r="K341" s="228"/>
      <c r="L341" s="1410" t="str">
        <f t="shared" si="16"/>
        <v>&lt;---PM/Planner may hide PLACEHOLDER ROW</v>
      </c>
      <c r="M341" s="1382"/>
      <c r="N341" s="1382"/>
      <c r="O341" s="1382"/>
      <c r="P341" s="1382"/>
      <c r="Q341" s="1382"/>
      <c r="R341" s="1382"/>
      <c r="S341" s="1382"/>
      <c r="T341" s="1382"/>
      <c r="U341" s="1382"/>
      <c r="V341" s="1382"/>
      <c r="W341" s="1382"/>
      <c r="X341" s="1382"/>
      <c r="Y341" s="1382"/>
      <c r="Z341" s="1382"/>
      <c r="AA341" s="1382"/>
      <c r="AB341" s="1382"/>
      <c r="AC341" s="1382"/>
      <c r="AD341" s="1382"/>
      <c r="AE341" s="1382"/>
      <c r="AF341" s="1382"/>
      <c r="AG341" s="1382"/>
      <c r="AH341" s="1382"/>
      <c r="AI341" s="1382"/>
      <c r="AJ341" s="181"/>
      <c r="AK341" s="181"/>
      <c r="AL341" s="181"/>
      <c r="AM341" s="181"/>
      <c r="AN341" s="181"/>
      <c r="AO341" s="181"/>
      <c r="AP341" s="181"/>
      <c r="AQ341" s="181"/>
      <c r="AR341" s="181"/>
      <c r="AS341" s="181"/>
      <c r="AT341" s="181"/>
      <c r="AU341" s="181"/>
      <c r="AV341" s="181"/>
      <c r="AW341" s="181"/>
    </row>
    <row r="342" spans="1:49" s="30" customFormat="1" ht="15" hidden="1" customHeight="1" x14ac:dyDescent="0.25">
      <c r="A342" s="1407"/>
      <c r="B342" s="191"/>
      <c r="C342" s="945"/>
      <c r="D342" s="116"/>
      <c r="E342" s="466"/>
      <c r="F342" s="559" t="str">
        <f>IF('C-Design&amp;Const'!$G342="","",'C-Design&amp;Const'!$G342)</f>
        <v>N</v>
      </c>
      <c r="G342" s="457"/>
      <c r="H342" s="469" t="str">
        <f>CONCATENATE(IF(F342="N","PLACEHOLDER ROW - ",""),'C-Design&amp;Const'!Z342,IF(F342="N","",J342))</f>
        <v>PLACEHOLDER ROW - CUSTOM - Building Automation Systems</v>
      </c>
      <c r="I342" s="193"/>
      <c r="J342" s="578" t="str">
        <f>IF('C-Design&amp;Const'!AD342="","",'C-Design&amp;Const'!AD342)</f>
        <v>(Preliminary)</v>
      </c>
      <c r="K342" s="228"/>
      <c r="L342" s="1410" t="str">
        <f t="shared" si="16"/>
        <v>&lt;---PM/Planner may hide PLACEHOLDER ROW</v>
      </c>
      <c r="M342" s="1382"/>
      <c r="N342" s="1382"/>
      <c r="O342" s="1382"/>
      <c r="P342" s="1382"/>
      <c r="Q342" s="1382"/>
      <c r="R342" s="1382"/>
      <c r="S342" s="1382"/>
      <c r="T342" s="1382"/>
      <c r="U342" s="1382"/>
      <c r="V342" s="1382"/>
      <c r="W342" s="1382"/>
      <c r="X342" s="1382"/>
      <c r="Y342" s="1382"/>
      <c r="Z342" s="1382"/>
      <c r="AA342" s="1382"/>
      <c r="AB342" s="1382"/>
      <c r="AC342" s="1382"/>
      <c r="AD342" s="1382"/>
      <c r="AE342" s="1382"/>
      <c r="AF342" s="1382"/>
      <c r="AG342" s="1382"/>
      <c r="AH342" s="1382"/>
      <c r="AI342" s="1382"/>
      <c r="AJ342" s="181"/>
      <c r="AK342" s="181"/>
      <c r="AL342" s="181"/>
      <c r="AM342" s="181"/>
      <c r="AN342" s="181"/>
      <c r="AO342" s="181"/>
      <c r="AP342" s="181"/>
      <c r="AQ342" s="181"/>
      <c r="AR342" s="181"/>
      <c r="AS342" s="181"/>
      <c r="AT342" s="181"/>
      <c r="AU342" s="181"/>
      <c r="AV342" s="181"/>
      <c r="AW342" s="181"/>
    </row>
    <row r="343" spans="1:49" s="545" customFormat="1" ht="15" hidden="1" customHeight="1" x14ac:dyDescent="0.25">
      <c r="A343" s="1402"/>
      <c r="B343" s="554"/>
      <c r="C343" s="945"/>
      <c r="D343" s="116"/>
      <c r="E343" s="411"/>
      <c r="F343" s="559" t="str">
        <f>IF('C-Design&amp;Const'!$G343="","",'C-Design&amp;Const'!$G343)</f>
        <v>N</v>
      </c>
      <c r="G343" s="457"/>
      <c r="H343" s="469" t="str">
        <f>CONCATENATE(IF(F343="N","PLACEHOLDER ROW - ",""),'C-Design&amp;Const'!Z343,IF(F343="N","",J343))</f>
        <v xml:space="preserve">PLACEHOLDER ROW - Building Automation Symbols, Abbreviations, and General Notes </v>
      </c>
      <c r="I343" s="197"/>
      <c r="J343" s="578"/>
      <c r="K343" s="228"/>
      <c r="L343" s="1410" t="str">
        <f t="shared" ref="L343" si="17">CONCATENATE(IF(ISNUMBER(SEARCH("Placeholder",H343))=TRUE,"&lt;---PM/Planner may hide PLACEHOLDER ROW",""))</f>
        <v>&lt;---PM/Planner may hide PLACEHOLDER ROW</v>
      </c>
      <c r="M343" s="1382"/>
      <c r="N343" s="1382"/>
      <c r="O343" s="1382"/>
      <c r="P343" s="1382"/>
      <c r="Q343" s="1382"/>
      <c r="R343" s="1382"/>
      <c r="S343" s="1382"/>
      <c r="T343" s="1382"/>
      <c r="U343" s="1382"/>
      <c r="V343" s="1382"/>
      <c r="W343" s="1382"/>
      <c r="X343" s="1382"/>
      <c r="Y343" s="1382"/>
      <c r="Z343" s="1382"/>
      <c r="AA343" s="1382"/>
      <c r="AB343" s="1382"/>
      <c r="AC343" s="1382"/>
      <c r="AD343" s="1382"/>
      <c r="AE343" s="1382"/>
      <c r="AF343" s="1382"/>
      <c r="AG343" s="1382"/>
      <c r="AH343" s="1382"/>
      <c r="AI343" s="1382"/>
      <c r="AJ343" s="551"/>
      <c r="AK343" s="551"/>
      <c r="AL343" s="551"/>
      <c r="AM343" s="551"/>
      <c r="AN343" s="551"/>
      <c r="AO343" s="551"/>
      <c r="AP343" s="551"/>
      <c r="AQ343" s="551"/>
      <c r="AR343" s="551"/>
      <c r="AS343" s="551"/>
      <c r="AT343" s="551"/>
      <c r="AU343" s="551"/>
      <c r="AV343" s="551"/>
      <c r="AW343" s="551"/>
    </row>
    <row r="344" spans="1:49" s="545" customFormat="1" ht="15" hidden="1" customHeight="1" x14ac:dyDescent="0.25">
      <c r="A344" s="1402"/>
      <c r="B344" s="554"/>
      <c r="C344" s="945"/>
      <c r="D344" s="116"/>
      <c r="E344" s="411"/>
      <c r="F344" s="559" t="str">
        <f>IF('C-Design&amp;Const'!$G344="","",'C-Design&amp;Const'!$G344)</f>
        <v>N</v>
      </c>
      <c r="G344" s="457"/>
      <c r="H344" s="469" t="str">
        <f>CONCATENATE(IF(F344="N","PLACEHOLDER ROW - ",""),'C-Design&amp;Const'!Z344,IF(F344="N","",J344))</f>
        <v xml:space="preserve">PLACEHOLDER ROW - Building Automation Systems Demolition(s) </v>
      </c>
      <c r="I344" s="197"/>
      <c r="J344" s="578"/>
      <c r="K344" s="228"/>
      <c r="L344" s="1410" t="str">
        <f t="shared" si="16"/>
        <v>&lt;---PM/Planner may hide PLACEHOLDER ROW</v>
      </c>
      <c r="M344" s="1382"/>
      <c r="N344" s="1382"/>
      <c r="O344" s="1382"/>
      <c r="P344" s="1382"/>
      <c r="Q344" s="1382"/>
      <c r="R344" s="1382"/>
      <c r="S344" s="1382"/>
      <c r="T344" s="1382"/>
      <c r="U344" s="1382"/>
      <c r="V344" s="1382"/>
      <c r="W344" s="1382"/>
      <c r="X344" s="1382"/>
      <c r="Y344" s="1382"/>
      <c r="Z344" s="1382"/>
      <c r="AA344" s="1382"/>
      <c r="AB344" s="1382"/>
      <c r="AC344" s="1382"/>
      <c r="AD344" s="1382"/>
      <c r="AE344" s="1382"/>
      <c r="AF344" s="1382"/>
      <c r="AG344" s="1382"/>
      <c r="AH344" s="1382"/>
      <c r="AI344" s="1382"/>
      <c r="AJ344" s="551"/>
      <c r="AK344" s="551"/>
      <c r="AL344" s="551"/>
      <c r="AM344" s="551"/>
      <c r="AN344" s="551"/>
      <c r="AO344" s="551"/>
      <c r="AP344" s="551"/>
      <c r="AQ344" s="551"/>
      <c r="AR344" s="551"/>
      <c r="AS344" s="551"/>
      <c r="AT344" s="551"/>
      <c r="AU344" s="551"/>
      <c r="AV344" s="551"/>
      <c r="AW344" s="551"/>
    </row>
    <row r="345" spans="1:49" s="30" customFormat="1" ht="15" hidden="1" customHeight="1" x14ac:dyDescent="0.25">
      <c r="A345" s="1407"/>
      <c r="B345" s="191"/>
      <c r="C345" s="945"/>
      <c r="D345" s="116"/>
      <c r="E345" s="466"/>
      <c r="F345" s="559" t="str">
        <f>IF('C-Design&amp;Const'!$G345="","",'C-Design&amp;Const'!$G345)</f>
        <v>N</v>
      </c>
      <c r="G345" s="457"/>
      <c r="H345" s="469" t="str">
        <f>CONCATENATE(IF(F345="N","PLACEHOLDER ROW - ",""),'C-Design&amp;Const'!Z345,IF(F345="N","",J345))</f>
        <v xml:space="preserve">PLACEHOLDER ROW - Building Automation Floor Plans and Approximate Control Panel Locations &amp; Other Instruments or Device Locations </v>
      </c>
      <c r="I345" s="193"/>
      <c r="J345" s="578" t="str">
        <f>IF('C-Design&amp;Const'!AD345="","",'C-Design&amp;Const'!AD345)</f>
        <v>(Preliminary)</v>
      </c>
      <c r="K345" s="228"/>
      <c r="L345" s="1410" t="str">
        <f t="shared" si="16"/>
        <v>&lt;---PM/Planner may hide PLACEHOLDER ROW</v>
      </c>
      <c r="M345" s="1382"/>
      <c r="N345" s="1382"/>
      <c r="O345" s="1382"/>
      <c r="P345" s="1382"/>
      <c r="Q345" s="1382"/>
      <c r="R345" s="1382"/>
      <c r="S345" s="1382"/>
      <c r="T345" s="1382"/>
      <c r="U345" s="1382"/>
      <c r="V345" s="1382"/>
      <c r="W345" s="1382"/>
      <c r="X345" s="1382"/>
      <c r="Y345" s="1382"/>
      <c r="Z345" s="1382"/>
      <c r="AA345" s="1382"/>
      <c r="AB345" s="1382"/>
      <c r="AC345" s="1382"/>
      <c r="AD345" s="1382"/>
      <c r="AE345" s="1382"/>
      <c r="AF345" s="1382"/>
      <c r="AG345" s="1382"/>
      <c r="AH345" s="1382"/>
      <c r="AI345" s="1382"/>
      <c r="AJ345" s="181"/>
      <c r="AK345" s="181"/>
      <c r="AL345" s="181"/>
      <c r="AM345" s="181"/>
      <c r="AN345" s="181"/>
      <c r="AO345" s="181"/>
      <c r="AP345" s="181"/>
      <c r="AQ345" s="181"/>
      <c r="AR345" s="181"/>
      <c r="AS345" s="181"/>
      <c r="AT345" s="181"/>
      <c r="AU345" s="181"/>
      <c r="AV345" s="181"/>
      <c r="AW345" s="181"/>
    </row>
    <row r="346" spans="1:49" s="30" customFormat="1" ht="15" hidden="1" customHeight="1" x14ac:dyDescent="0.25">
      <c r="A346" s="1407"/>
      <c r="B346" s="191"/>
      <c r="C346" s="945"/>
      <c r="D346" s="116"/>
      <c r="E346" s="466"/>
      <c r="F346" s="559" t="str">
        <f>IF('C-Design&amp;Const'!$G346="","",'C-Design&amp;Const'!$G346)</f>
        <v>N</v>
      </c>
      <c r="G346" s="457"/>
      <c r="H346" s="469" t="str">
        <f>CONCATENATE(IF(F346="N","PLACEHOLDER ROW - ",""),'C-Design&amp;Const'!Z346,IF(F346="N","",J346))</f>
        <v xml:space="preserve">PLACEHOLDER ROW - Building Automation Systems Diagrams, Points List (Diagrammatical or Spreadsheet), Device Schedule, and Sequences of Operation </v>
      </c>
      <c r="I346" s="193"/>
      <c r="J346" s="578" t="str">
        <f>IF('C-Design&amp;Const'!AD346="","",'C-Design&amp;Const'!AD346)</f>
        <v/>
      </c>
      <c r="K346" s="228"/>
      <c r="L346" s="1410" t="str">
        <f t="shared" si="16"/>
        <v>&lt;---PM/Planner may hide PLACEHOLDER ROW</v>
      </c>
      <c r="M346" s="1382"/>
      <c r="N346" s="1382"/>
      <c r="O346" s="1382"/>
      <c r="P346" s="1382"/>
      <c r="Q346" s="1382"/>
      <c r="R346" s="1382"/>
      <c r="S346" s="1382"/>
      <c r="T346" s="1382"/>
      <c r="U346" s="1382"/>
      <c r="V346" s="1382"/>
      <c r="W346" s="1382"/>
      <c r="X346" s="1382"/>
      <c r="Y346" s="1382"/>
      <c r="Z346" s="1382"/>
      <c r="AA346" s="1382"/>
      <c r="AB346" s="1382"/>
      <c r="AC346" s="1382"/>
      <c r="AD346" s="1382"/>
      <c r="AE346" s="1382"/>
      <c r="AF346" s="1382"/>
      <c r="AG346" s="1382"/>
      <c r="AH346" s="1382"/>
      <c r="AI346" s="1382"/>
      <c r="AJ346" s="181"/>
      <c r="AK346" s="181"/>
      <c r="AL346" s="181"/>
      <c r="AM346" s="181"/>
      <c r="AN346" s="181"/>
      <c r="AO346" s="181"/>
      <c r="AP346" s="181"/>
      <c r="AQ346" s="181"/>
      <c r="AR346" s="181"/>
      <c r="AS346" s="181"/>
      <c r="AT346" s="181"/>
      <c r="AU346" s="181"/>
      <c r="AV346" s="181"/>
      <c r="AW346" s="181"/>
    </row>
    <row r="347" spans="1:49" s="30" customFormat="1" ht="15" hidden="1" customHeight="1" x14ac:dyDescent="0.25">
      <c r="A347" s="1407"/>
      <c r="B347" s="191"/>
      <c r="C347" s="945"/>
      <c r="D347" s="116"/>
      <c r="E347" s="466"/>
      <c r="F347" s="559" t="str">
        <f>IF('C-Design&amp;Const'!$G347="","",'C-Design&amp;Const'!$G347)</f>
        <v>N</v>
      </c>
      <c r="G347" s="457"/>
      <c r="H347" s="469" t="str">
        <f>CONCATENATE(IF(F347="N","PLACEHOLDER ROW - ",""),'C-Design&amp;Const'!Z347,IF(F347="N","",J347))</f>
        <v xml:space="preserve">PLACEHOLDER ROW - Building Network Connections and Integration </v>
      </c>
      <c r="I347" s="193"/>
      <c r="J347" s="578" t="str">
        <f>IF('C-Design&amp;Const'!AD347="","",'C-Design&amp;Const'!AD347)</f>
        <v>(Preliminary)</v>
      </c>
      <c r="K347" s="228"/>
      <c r="L347" s="1410" t="str">
        <f t="shared" si="16"/>
        <v>&lt;---PM/Planner may hide PLACEHOLDER ROW</v>
      </c>
      <c r="M347" s="1382"/>
      <c r="N347" s="1382"/>
      <c r="O347" s="1382"/>
      <c r="P347" s="1382"/>
      <c r="Q347" s="1382"/>
      <c r="R347" s="1382"/>
      <c r="S347" s="1382"/>
      <c r="T347" s="1382"/>
      <c r="U347" s="1382"/>
      <c r="V347" s="1382"/>
      <c r="W347" s="1382"/>
      <c r="X347" s="1382"/>
      <c r="Y347" s="1382"/>
      <c r="Z347" s="1382"/>
      <c r="AA347" s="1382"/>
      <c r="AB347" s="1382"/>
      <c r="AC347" s="1382"/>
      <c r="AD347" s="1382"/>
      <c r="AE347" s="1382"/>
      <c r="AF347" s="1382"/>
      <c r="AG347" s="1382"/>
      <c r="AH347" s="1382"/>
      <c r="AI347" s="1382"/>
      <c r="AJ347" s="181"/>
      <c r="AK347" s="181"/>
      <c r="AL347" s="181"/>
      <c r="AM347" s="181"/>
      <c r="AN347" s="181"/>
      <c r="AO347" s="181"/>
      <c r="AP347" s="181"/>
      <c r="AQ347" s="181"/>
      <c r="AR347" s="181"/>
      <c r="AS347" s="181"/>
      <c r="AT347" s="181"/>
      <c r="AU347" s="181"/>
      <c r="AV347" s="181"/>
      <c r="AW347" s="181"/>
    </row>
    <row r="348" spans="1:49" s="30" customFormat="1" ht="15" hidden="1" customHeight="1" x14ac:dyDescent="0.25">
      <c r="A348" s="1407"/>
      <c r="B348" s="191"/>
      <c r="C348" s="945"/>
      <c r="D348" s="116"/>
      <c r="E348" s="466"/>
      <c r="F348" s="559" t="str">
        <f>IF('C-Design&amp;Const'!$G348="","",'C-Design&amp;Const'!$G348)</f>
        <v>N</v>
      </c>
      <c r="G348" s="457"/>
      <c r="H348" s="469" t="str">
        <f>CONCATENATE(IF(F348="N","PLACEHOLDER ROW - ",""),'C-Design&amp;Const'!Z348,IF(F348="N","",J348))</f>
        <v xml:space="preserve">PLACEHOLDER ROW - Temperature Controls Building Automation Systems - Sequence of Operation </v>
      </c>
      <c r="I348" s="193"/>
      <c r="J348" s="578" t="str">
        <f>IF('C-Design&amp;Const'!AD348="","",'C-Design&amp;Const'!AD348)</f>
        <v>(Preliminary)</v>
      </c>
      <c r="K348" s="228"/>
      <c r="L348" s="1410" t="str">
        <f t="shared" si="16"/>
        <v>&lt;---PM/Planner may hide PLACEHOLDER ROW</v>
      </c>
      <c r="M348" s="1382"/>
      <c r="N348" s="1382"/>
      <c r="O348" s="1382"/>
      <c r="P348" s="1382"/>
      <c r="Q348" s="1382"/>
      <c r="R348" s="1382"/>
      <c r="S348" s="1382"/>
      <c r="T348" s="1382"/>
      <c r="U348" s="1382"/>
      <c r="V348" s="1382"/>
      <c r="W348" s="1382"/>
      <c r="X348" s="1382"/>
      <c r="Y348" s="1382"/>
      <c r="Z348" s="1382"/>
      <c r="AA348" s="1382"/>
      <c r="AB348" s="1382"/>
      <c r="AC348" s="1382"/>
      <c r="AD348" s="1382"/>
      <c r="AE348" s="1382"/>
      <c r="AF348" s="1382"/>
      <c r="AG348" s="1382"/>
      <c r="AH348" s="1382"/>
      <c r="AI348" s="1382"/>
      <c r="AJ348" s="181"/>
      <c r="AK348" s="181"/>
      <c r="AL348" s="181"/>
      <c r="AM348" s="181"/>
      <c r="AN348" s="181"/>
      <c r="AO348" s="181"/>
      <c r="AP348" s="181"/>
      <c r="AQ348" s="181"/>
      <c r="AR348" s="181"/>
      <c r="AS348" s="181"/>
      <c r="AT348" s="181"/>
      <c r="AU348" s="181"/>
      <c r="AV348" s="181"/>
      <c r="AW348" s="181"/>
    </row>
    <row r="349" spans="1:49" s="30" customFormat="1" ht="15" hidden="1" customHeight="1" x14ac:dyDescent="0.25">
      <c r="A349" s="1407"/>
      <c r="B349" s="191"/>
      <c r="C349" s="945"/>
      <c r="D349" s="116"/>
      <c r="E349" s="472"/>
      <c r="F349" s="559" t="str">
        <f>IF('C-Design&amp;Const'!$G349="","",'C-Design&amp;Const'!$G349)</f>
        <v>N</v>
      </c>
      <c r="G349" s="457"/>
      <c r="H349" s="469" t="str">
        <f>CONCATENATE(IF(F349="N","PLACEHOLDER ROW - ",""),'C-Design&amp;Const'!Z349,IF(F349="N","",J349))</f>
        <v xml:space="preserve">PLACEHOLDER ROW - Building Automation Systems Details </v>
      </c>
      <c r="I349" s="193"/>
      <c r="J349" s="578" t="str">
        <f>IF('C-Design&amp;Const'!AD349="","",'C-Design&amp;Const'!AD349)</f>
        <v>(Preliminary)</v>
      </c>
      <c r="K349" s="228"/>
      <c r="L349" s="1410" t="str">
        <f t="shared" si="16"/>
        <v>&lt;---PM/Planner may hide PLACEHOLDER ROW</v>
      </c>
      <c r="M349" s="1382"/>
      <c r="N349" s="1382"/>
      <c r="O349" s="1382"/>
      <c r="P349" s="1382"/>
      <c r="Q349" s="1382"/>
      <c r="R349" s="1382"/>
      <c r="S349" s="1382"/>
      <c r="T349" s="1382"/>
      <c r="U349" s="1382"/>
      <c r="V349" s="1382"/>
      <c r="W349" s="1382"/>
      <c r="X349" s="1382"/>
      <c r="Y349" s="1382"/>
      <c r="Z349" s="1382"/>
      <c r="AA349" s="1382"/>
      <c r="AB349" s="1382"/>
      <c r="AC349" s="1382"/>
      <c r="AD349" s="1382"/>
      <c r="AE349" s="1382"/>
      <c r="AF349" s="1382"/>
      <c r="AG349" s="1382"/>
      <c r="AH349" s="1382"/>
      <c r="AI349" s="1382"/>
      <c r="AJ349" s="181"/>
      <c r="AK349" s="181"/>
      <c r="AL349" s="181"/>
      <c r="AM349" s="181"/>
      <c r="AN349" s="181"/>
      <c r="AO349" s="181"/>
      <c r="AP349" s="181"/>
      <c r="AQ349" s="181"/>
      <c r="AR349" s="181"/>
      <c r="AS349" s="181"/>
      <c r="AT349" s="181"/>
      <c r="AU349" s="181"/>
      <c r="AV349" s="181"/>
      <c r="AW349" s="181"/>
    </row>
    <row r="350" spans="1:49" s="30" customFormat="1" ht="15" hidden="1" customHeight="1" x14ac:dyDescent="0.25">
      <c r="A350" s="1407"/>
      <c r="B350" s="191"/>
      <c r="C350" s="945"/>
      <c r="D350" s="116"/>
      <c r="E350" s="559" t="str">
        <f>IF('C-Design&amp;Const'!$G350="","",'C-Design&amp;Const'!$G350)</f>
        <v>N</v>
      </c>
      <c r="F350" s="559"/>
      <c r="G350" s="457"/>
      <c r="H350" s="244" t="str">
        <f>CONCATENATE(IF(F350="N","PLACEHOLDER ROW - ",""),'C-Design&amp;Const'!Z350,IF(F350="N","",J350))</f>
        <v>Access Controls Drawings</v>
      </c>
      <c r="I350" s="193"/>
      <c r="J350" s="578" t="str">
        <f>IF('C-Design&amp;Const'!AD350="","",'C-Design&amp;Const'!AD350)</f>
        <v/>
      </c>
      <c r="K350" s="228"/>
      <c r="L350" s="1410" t="str">
        <f t="shared" si="16"/>
        <v/>
      </c>
      <c r="M350" s="1382"/>
      <c r="N350" s="1382"/>
      <c r="O350" s="1382"/>
      <c r="P350" s="1382"/>
      <c r="Q350" s="1382"/>
      <c r="R350" s="1382"/>
      <c r="S350" s="1382"/>
      <c r="T350" s="1382"/>
      <c r="U350" s="1382"/>
      <c r="V350" s="1382"/>
      <c r="W350" s="1382"/>
      <c r="X350" s="1382"/>
      <c r="Y350" s="1382"/>
      <c r="Z350" s="1382"/>
      <c r="AA350" s="1382"/>
      <c r="AB350" s="1382"/>
      <c r="AC350" s="1382"/>
      <c r="AD350" s="1382"/>
      <c r="AE350" s="1382"/>
      <c r="AF350" s="1382"/>
      <c r="AG350" s="1382"/>
      <c r="AH350" s="1382"/>
      <c r="AI350" s="1382"/>
      <c r="AJ350" s="181"/>
      <c r="AK350" s="181"/>
      <c r="AL350" s="181"/>
      <c r="AM350" s="181"/>
      <c r="AN350" s="181"/>
      <c r="AO350" s="181"/>
      <c r="AP350" s="181"/>
      <c r="AQ350" s="181"/>
      <c r="AR350" s="181"/>
      <c r="AS350" s="181"/>
      <c r="AT350" s="181"/>
      <c r="AU350" s="181"/>
      <c r="AV350" s="181"/>
      <c r="AW350" s="181"/>
    </row>
    <row r="351" spans="1:49" s="30" customFormat="1" ht="15" hidden="1" customHeight="1" x14ac:dyDescent="0.25">
      <c r="A351" s="1407"/>
      <c r="B351" s="191"/>
      <c r="C351" s="945"/>
      <c r="D351" s="116"/>
      <c r="E351" s="466"/>
      <c r="F351" s="559" t="str">
        <f>IF('C-Design&amp;Const'!$G351="","",'C-Design&amp;Const'!$G351)</f>
        <v>N</v>
      </c>
      <c r="G351" s="457"/>
      <c r="H351" s="469" t="str">
        <f>CONCATENATE(IF(F351="N","PLACEHOLDER ROW - ",""),'C-Design&amp;Const'!Z351,IF(F351="N","",J351))</f>
        <v xml:space="preserve">PLACEHOLDER ROW - CUSTOM Access Controls </v>
      </c>
      <c r="I351" s="193"/>
      <c r="J351" s="578" t="str">
        <f>IF('C-Design&amp;Const'!AD351="","",'C-Design&amp;Const'!AD351)</f>
        <v>(Preliminary)</v>
      </c>
      <c r="K351" s="228"/>
      <c r="L351" s="1410" t="str">
        <f t="shared" si="16"/>
        <v>&lt;---PM/Planner may hide PLACEHOLDER ROW</v>
      </c>
      <c r="M351" s="1382"/>
      <c r="N351" s="1382"/>
      <c r="O351" s="1382"/>
      <c r="P351" s="1382"/>
      <c r="Q351" s="1382"/>
      <c r="R351" s="1382"/>
      <c r="S351" s="1382"/>
      <c r="T351" s="1382"/>
      <c r="U351" s="1382"/>
      <c r="V351" s="1382"/>
      <c r="W351" s="1382"/>
      <c r="X351" s="1382"/>
      <c r="Y351" s="1382"/>
      <c r="Z351" s="1382"/>
      <c r="AA351" s="1382"/>
      <c r="AB351" s="1382"/>
      <c r="AC351" s="1382"/>
      <c r="AD351" s="1382"/>
      <c r="AE351" s="1382"/>
      <c r="AF351" s="1382"/>
      <c r="AG351" s="1382"/>
      <c r="AH351" s="1382"/>
      <c r="AI351" s="1382"/>
      <c r="AJ351" s="181"/>
      <c r="AK351" s="181"/>
      <c r="AL351" s="181"/>
      <c r="AM351" s="181"/>
      <c r="AN351" s="181"/>
      <c r="AO351" s="181"/>
      <c r="AP351" s="181"/>
      <c r="AQ351" s="181"/>
      <c r="AR351" s="181"/>
      <c r="AS351" s="181"/>
      <c r="AT351" s="181"/>
      <c r="AU351" s="181"/>
      <c r="AV351" s="181"/>
      <c r="AW351" s="181"/>
    </row>
    <row r="352" spans="1:49" s="30" customFormat="1" ht="15" hidden="1" customHeight="1" x14ac:dyDescent="0.25">
      <c r="A352" s="1407"/>
      <c r="B352" s="191"/>
      <c r="C352" s="945"/>
      <c r="D352" s="116"/>
      <c r="E352" s="466"/>
      <c r="F352" s="559" t="str">
        <f>IF('C-Design&amp;Const'!$G352="","",'C-Design&amp;Const'!$G352)</f>
        <v>N</v>
      </c>
      <c r="G352" s="457"/>
      <c r="H352" s="469" t="str">
        <f>CONCATENATE(IF(F352="N","PLACEHOLDER ROW - ",""),'C-Design&amp;Const'!Z352,IF(F352="N","",J352))</f>
        <v xml:space="preserve">PLACEHOLDER ROW - CUSTOM Access Controls </v>
      </c>
      <c r="I352" s="193"/>
      <c r="J352" s="578" t="str">
        <f>IF('C-Design&amp;Const'!AD352="","",'C-Design&amp;Const'!AD352)</f>
        <v>(Preliminary)</v>
      </c>
      <c r="K352" s="228"/>
      <c r="L352" s="1410" t="str">
        <f t="shared" si="16"/>
        <v>&lt;---PM/Planner may hide PLACEHOLDER ROW</v>
      </c>
      <c r="M352" s="1382"/>
      <c r="N352" s="1382"/>
      <c r="O352" s="1382"/>
      <c r="P352" s="1382"/>
      <c r="Q352" s="1382"/>
      <c r="R352" s="1382"/>
      <c r="S352" s="1382"/>
      <c r="T352" s="1382"/>
      <c r="U352" s="1382"/>
      <c r="V352" s="1382"/>
      <c r="W352" s="1382"/>
      <c r="X352" s="1382"/>
      <c r="Y352" s="1382"/>
      <c r="Z352" s="1382"/>
      <c r="AA352" s="1382"/>
      <c r="AB352" s="1382"/>
      <c r="AC352" s="1382"/>
      <c r="AD352" s="1382"/>
      <c r="AE352" s="1382"/>
      <c r="AF352" s="1382"/>
      <c r="AG352" s="1382"/>
      <c r="AH352" s="1382"/>
      <c r="AI352" s="1382"/>
      <c r="AJ352" s="181"/>
      <c r="AK352" s="181"/>
      <c r="AL352" s="181"/>
      <c r="AM352" s="181"/>
      <c r="AN352" s="181"/>
      <c r="AO352" s="181"/>
      <c r="AP352" s="181"/>
      <c r="AQ352" s="181"/>
      <c r="AR352" s="181"/>
      <c r="AS352" s="181"/>
      <c r="AT352" s="181"/>
      <c r="AU352" s="181"/>
      <c r="AV352" s="181"/>
      <c r="AW352" s="181"/>
    </row>
    <row r="353" spans="1:49" s="545" customFormat="1" ht="15" hidden="1" customHeight="1" x14ac:dyDescent="0.25">
      <c r="A353" s="1402"/>
      <c r="B353" s="554"/>
      <c r="C353" s="945"/>
      <c r="D353" s="116"/>
      <c r="E353" s="411"/>
      <c r="F353" s="559" t="str">
        <f>IF('C-Design&amp;Const'!$G353="","",'C-Design&amp;Const'!$G353)</f>
        <v>N</v>
      </c>
      <c r="G353" s="457"/>
      <c r="H353" s="469" t="str">
        <f>CONCATENATE(IF(F353="N","PLACEHOLDER ROW - ",""),'C-Design&amp;Const'!Z353,IF(F353="N","",J353))</f>
        <v xml:space="preserve">PLACEHOLDER ROW - Access Control Symbols, Abbreviations, and General Notes </v>
      </c>
      <c r="I353" s="197"/>
      <c r="J353" s="578"/>
      <c r="K353" s="228"/>
      <c r="L353" s="1410" t="str">
        <f t="shared" ref="L353" si="18">CONCATENATE(IF(ISNUMBER(SEARCH("Placeholder",H353))=TRUE,"&lt;---PM/Planner may hide PLACEHOLDER ROW",""))</f>
        <v>&lt;---PM/Planner may hide PLACEHOLDER ROW</v>
      </c>
      <c r="M353" s="1382"/>
      <c r="N353" s="1382"/>
      <c r="O353" s="1382"/>
      <c r="P353" s="1382"/>
      <c r="Q353" s="1382"/>
      <c r="R353" s="1382"/>
      <c r="S353" s="1382"/>
      <c r="T353" s="1382"/>
      <c r="U353" s="1382"/>
      <c r="V353" s="1382"/>
      <c r="W353" s="1382"/>
      <c r="X353" s="1382"/>
      <c r="Y353" s="1382"/>
      <c r="Z353" s="1382"/>
      <c r="AA353" s="1382"/>
      <c r="AB353" s="1382"/>
      <c r="AC353" s="1382"/>
      <c r="AD353" s="1382"/>
      <c r="AE353" s="1382"/>
      <c r="AF353" s="1382"/>
      <c r="AG353" s="1382"/>
      <c r="AH353" s="1382"/>
      <c r="AI353" s="1382"/>
      <c r="AJ353" s="551"/>
      <c r="AK353" s="551"/>
      <c r="AL353" s="551"/>
      <c r="AM353" s="551"/>
      <c r="AN353" s="551"/>
      <c r="AO353" s="551"/>
      <c r="AP353" s="551"/>
      <c r="AQ353" s="551"/>
      <c r="AR353" s="551"/>
      <c r="AS353" s="551"/>
      <c r="AT353" s="551"/>
      <c r="AU353" s="551"/>
      <c r="AV353" s="551"/>
      <c r="AW353" s="551"/>
    </row>
    <row r="354" spans="1:49" s="545" customFormat="1" ht="15" hidden="1" customHeight="1" x14ac:dyDescent="0.25">
      <c r="A354" s="1402"/>
      <c r="B354" s="554"/>
      <c r="C354" s="945"/>
      <c r="D354" s="116"/>
      <c r="E354" s="411"/>
      <c r="F354" s="559" t="str">
        <f>IF('C-Design&amp;Const'!$G354="","",'C-Design&amp;Const'!$G354)</f>
        <v>N</v>
      </c>
      <c r="G354" s="457"/>
      <c r="H354" s="469" t="str">
        <f>CONCATENATE(IF(F354="N","PLACEHOLDER ROW - ",""),'C-Design&amp;Const'!Z354,IF(F354="N","",J354))</f>
        <v xml:space="preserve">PLACEHOLDER ROW - Access Control Demolition(s) </v>
      </c>
      <c r="I354" s="197"/>
      <c r="J354" s="578"/>
      <c r="K354" s="228"/>
      <c r="L354" s="1410" t="str">
        <f t="shared" si="16"/>
        <v>&lt;---PM/Planner may hide PLACEHOLDER ROW</v>
      </c>
      <c r="M354" s="1382"/>
      <c r="N354" s="1382"/>
      <c r="O354" s="1382"/>
      <c r="P354" s="1382"/>
      <c r="Q354" s="1382"/>
      <c r="R354" s="1382"/>
      <c r="S354" s="1382"/>
      <c r="T354" s="1382"/>
      <c r="U354" s="1382"/>
      <c r="V354" s="1382"/>
      <c r="W354" s="1382"/>
      <c r="X354" s="1382"/>
      <c r="Y354" s="1382"/>
      <c r="Z354" s="1382"/>
      <c r="AA354" s="1382"/>
      <c r="AB354" s="1382"/>
      <c r="AC354" s="1382"/>
      <c r="AD354" s="1382"/>
      <c r="AE354" s="1382"/>
      <c r="AF354" s="1382"/>
      <c r="AG354" s="1382"/>
      <c r="AH354" s="1382"/>
      <c r="AI354" s="1382"/>
      <c r="AJ354" s="551"/>
      <c r="AK354" s="551"/>
      <c r="AL354" s="551"/>
      <c r="AM354" s="551"/>
      <c r="AN354" s="551"/>
      <c r="AO354" s="551"/>
      <c r="AP354" s="551"/>
      <c r="AQ354" s="551"/>
      <c r="AR354" s="551"/>
      <c r="AS354" s="551"/>
      <c r="AT354" s="551"/>
      <c r="AU354" s="551"/>
      <c r="AV354" s="551"/>
      <c r="AW354" s="551"/>
    </row>
    <row r="355" spans="1:49" s="30" customFormat="1" ht="15" hidden="1" customHeight="1" x14ac:dyDescent="0.25">
      <c r="A355" s="1407"/>
      <c r="B355" s="191"/>
      <c r="C355" s="945"/>
      <c r="D355" s="116"/>
      <c r="E355" s="466"/>
      <c r="F355" s="559" t="str">
        <f>IF('C-Design&amp;Const'!$G355="","",'C-Design&amp;Const'!$G355)</f>
        <v>N</v>
      </c>
      <c r="G355" s="457"/>
      <c r="H355" s="469" t="str">
        <f>CONCATENATE(IF(F355="N","PLACEHOLDER ROW - ",""),'C-Design&amp;Const'!Z355,IF(F355="N","",J355))</f>
        <v xml:space="preserve">PLACEHOLDER ROW - Access Control Floor Plans </v>
      </c>
      <c r="I355" s="193"/>
      <c r="J355" s="578" t="str">
        <f>IF('C-Design&amp;Const'!AD355="","",'C-Design&amp;Const'!AD355)</f>
        <v>(Preliminary)</v>
      </c>
      <c r="K355" s="228"/>
      <c r="L355" s="1410" t="str">
        <f t="shared" si="16"/>
        <v>&lt;---PM/Planner may hide PLACEHOLDER ROW</v>
      </c>
      <c r="M355" s="1382"/>
      <c r="N355" s="1382"/>
      <c r="O355" s="1382"/>
      <c r="P355" s="1382"/>
      <c r="Q355" s="1382"/>
      <c r="R355" s="1382"/>
      <c r="S355" s="1382"/>
      <c r="T355" s="1382"/>
      <c r="U355" s="1382"/>
      <c r="V355" s="1382"/>
      <c r="W355" s="1382"/>
      <c r="X355" s="1382"/>
      <c r="Y355" s="1382"/>
      <c r="Z355" s="1382"/>
      <c r="AA355" s="1382"/>
      <c r="AB355" s="1382"/>
      <c r="AC355" s="1382"/>
      <c r="AD355" s="1382"/>
      <c r="AE355" s="1382"/>
      <c r="AF355" s="1382"/>
      <c r="AG355" s="1382"/>
      <c r="AH355" s="1382"/>
      <c r="AI355" s="1382"/>
      <c r="AJ355" s="181"/>
      <c r="AK355" s="181"/>
      <c r="AL355" s="181"/>
      <c r="AM355" s="181"/>
      <c r="AN355" s="181"/>
      <c r="AO355" s="181"/>
      <c r="AP355" s="181"/>
      <c r="AQ355" s="181"/>
      <c r="AR355" s="181"/>
      <c r="AS355" s="181"/>
      <c r="AT355" s="181"/>
      <c r="AU355" s="181"/>
      <c r="AV355" s="181"/>
      <c r="AW355" s="181"/>
    </row>
    <row r="356" spans="1:49" s="30" customFormat="1" ht="15" hidden="1" customHeight="1" x14ac:dyDescent="0.25">
      <c r="A356" s="1407"/>
      <c r="B356" s="191"/>
      <c r="C356" s="945"/>
      <c r="D356" s="116"/>
      <c r="E356" s="466"/>
      <c r="F356" s="559" t="str">
        <f>IF('C-Design&amp;Const'!$G356="","",'C-Design&amp;Const'!$G356)</f>
        <v>N</v>
      </c>
      <c r="G356" s="457"/>
      <c r="H356" s="469" t="str">
        <f>CONCATENATE(IF(F356="N","PLACEHOLDER ROW - ",""),'C-Design&amp;Const'!Z356,IF(F356="N","",J356))</f>
        <v xml:space="preserve">PLACEHOLDER ROW - Access Control Logic Diagrams, Points Lists and Device Schedule </v>
      </c>
      <c r="I356" s="193"/>
      <c r="J356" s="578" t="str">
        <f>IF('C-Design&amp;Const'!AD356="","",'C-Design&amp;Const'!AD356)</f>
        <v/>
      </c>
      <c r="K356" s="228"/>
      <c r="L356" s="1410" t="str">
        <f t="shared" si="16"/>
        <v>&lt;---PM/Planner may hide PLACEHOLDER ROW</v>
      </c>
      <c r="M356" s="1382"/>
      <c r="N356" s="1382"/>
      <c r="O356" s="1382"/>
      <c r="P356" s="1382"/>
      <c r="Q356" s="1382"/>
      <c r="R356" s="1382"/>
      <c r="S356" s="1382"/>
      <c r="T356" s="1382"/>
      <c r="U356" s="1382"/>
      <c r="V356" s="1382"/>
      <c r="W356" s="1382"/>
      <c r="X356" s="1382"/>
      <c r="Y356" s="1382"/>
      <c r="Z356" s="1382"/>
      <c r="AA356" s="1382"/>
      <c r="AB356" s="1382"/>
      <c r="AC356" s="1382"/>
      <c r="AD356" s="1382"/>
      <c r="AE356" s="1382"/>
      <c r="AF356" s="1382"/>
      <c r="AG356" s="1382"/>
      <c r="AH356" s="1382"/>
      <c r="AI356" s="1382"/>
      <c r="AJ356" s="181"/>
      <c r="AK356" s="181"/>
      <c r="AL356" s="181"/>
      <c r="AM356" s="181"/>
      <c r="AN356" s="181"/>
      <c r="AO356" s="181"/>
      <c r="AP356" s="181"/>
      <c r="AQ356" s="181"/>
      <c r="AR356" s="181"/>
      <c r="AS356" s="181"/>
      <c r="AT356" s="181"/>
      <c r="AU356" s="181"/>
      <c r="AV356" s="181"/>
      <c r="AW356" s="181"/>
    </row>
    <row r="357" spans="1:49" s="30" customFormat="1" ht="15" hidden="1" customHeight="1" x14ac:dyDescent="0.25">
      <c r="A357" s="1407"/>
      <c r="B357" s="191"/>
      <c r="C357" s="945"/>
      <c r="D357" s="116"/>
      <c r="E357" s="466"/>
      <c r="F357" s="559" t="str">
        <f>IF('C-Design&amp;Const'!$G357="","",'C-Design&amp;Const'!$G357)</f>
        <v>N</v>
      </c>
      <c r="G357" s="457"/>
      <c r="H357" s="469" t="str">
        <f>CONCATENATE(IF(F357="N","PLACEHOLDER ROW - ",""),'C-Design&amp;Const'!Z357,IF(F357="N","",J357))</f>
        <v xml:space="preserve">PLACEHOLDER ROW - Access Control Details </v>
      </c>
      <c r="I357" s="193"/>
      <c r="J357" s="578" t="str">
        <f>IF('C-Design&amp;Const'!AD357="","",'C-Design&amp;Const'!AD357)</f>
        <v>(Preliminary)</v>
      </c>
      <c r="K357" s="228"/>
      <c r="L357" s="1410" t="str">
        <f t="shared" si="16"/>
        <v>&lt;---PM/Planner may hide PLACEHOLDER ROW</v>
      </c>
      <c r="M357" s="1382"/>
      <c r="N357" s="1382"/>
      <c r="O357" s="1382"/>
      <c r="P357" s="1382"/>
      <c r="Q357" s="1382"/>
      <c r="R357" s="1382"/>
      <c r="S357" s="1382"/>
      <c r="T357" s="1382"/>
      <c r="U357" s="1382"/>
      <c r="V357" s="1382"/>
      <c r="W357" s="1382"/>
      <c r="X357" s="1382"/>
      <c r="Y357" s="1382"/>
      <c r="Z357" s="1382"/>
      <c r="AA357" s="1382"/>
      <c r="AB357" s="1382"/>
      <c r="AC357" s="1382"/>
      <c r="AD357" s="1382"/>
      <c r="AE357" s="1382"/>
      <c r="AF357" s="1382"/>
      <c r="AG357" s="1382"/>
      <c r="AH357" s="1382"/>
      <c r="AI357" s="1382"/>
      <c r="AJ357" s="181"/>
      <c r="AK357" s="181"/>
      <c r="AL357" s="181"/>
      <c r="AM357" s="181"/>
      <c r="AN357" s="181"/>
      <c r="AO357" s="181"/>
      <c r="AP357" s="181"/>
      <c r="AQ357" s="181"/>
      <c r="AR357" s="181"/>
      <c r="AS357" s="181"/>
      <c r="AT357" s="181"/>
      <c r="AU357" s="181"/>
      <c r="AV357" s="181"/>
      <c r="AW357" s="181"/>
    </row>
    <row r="358" spans="1:49" s="30" customFormat="1" ht="15" hidden="1" customHeight="1" x14ac:dyDescent="0.25">
      <c r="A358" s="1407"/>
      <c r="B358" s="191"/>
      <c r="C358" s="945"/>
      <c r="D358" s="116"/>
      <c r="E358" s="559" t="str">
        <f>IF('C-Design&amp;Const'!$G358="","",'C-Design&amp;Const'!$G358)</f>
        <v>N</v>
      </c>
      <c r="F358" s="460"/>
      <c r="G358" s="457"/>
      <c r="H358" s="244" t="str">
        <f>CONCATENATE(IF(F358="N","PLACEHOLDER ROW - ",""),'C-Design&amp;Const'!Z358,IF(F358="N","",J358))</f>
        <v>Telecom Drawings</v>
      </c>
      <c r="I358" s="193"/>
      <c r="J358" s="578" t="str">
        <f>IF('C-Design&amp;Const'!AD358="","",'C-Design&amp;Const'!AD358)</f>
        <v/>
      </c>
      <c r="K358" s="228"/>
      <c r="L358" s="1410" t="str">
        <f t="shared" si="15"/>
        <v/>
      </c>
      <c r="M358" s="1382"/>
      <c r="N358" s="1382"/>
      <c r="O358" s="1382"/>
      <c r="P358" s="1382"/>
      <c r="Q358" s="1382"/>
      <c r="R358" s="1382"/>
      <c r="S358" s="1382"/>
      <c r="T358" s="1382"/>
      <c r="U358" s="1382"/>
      <c r="V358" s="1382"/>
      <c r="W358" s="1382"/>
      <c r="X358" s="1382"/>
      <c r="Y358" s="1382"/>
      <c r="Z358" s="1382"/>
      <c r="AA358" s="1382"/>
      <c r="AB358" s="1382"/>
      <c r="AC358" s="1382"/>
      <c r="AD358" s="1382"/>
      <c r="AE358" s="1382"/>
      <c r="AF358" s="1382"/>
      <c r="AG358" s="1382"/>
      <c r="AH358" s="1382"/>
      <c r="AI358" s="1382"/>
      <c r="AJ358" s="181"/>
      <c r="AK358" s="181"/>
      <c r="AL358" s="181"/>
      <c r="AM358" s="181"/>
      <c r="AN358" s="181"/>
      <c r="AO358" s="181"/>
      <c r="AP358" s="181"/>
      <c r="AQ358" s="181"/>
      <c r="AR358" s="181"/>
      <c r="AS358" s="181"/>
      <c r="AT358" s="181"/>
      <c r="AU358" s="181"/>
      <c r="AV358" s="181"/>
      <c r="AW358" s="181"/>
    </row>
    <row r="359" spans="1:49" s="30" customFormat="1" ht="15" hidden="1" customHeight="1" x14ac:dyDescent="0.25">
      <c r="A359" s="1407"/>
      <c r="B359" s="191"/>
      <c r="C359" s="945"/>
      <c r="D359" s="116"/>
      <c r="E359" s="466"/>
      <c r="F359" s="559" t="str">
        <f>IF('C-Design&amp;Const'!$G359="","",'C-Design&amp;Const'!$G359)</f>
        <v>N</v>
      </c>
      <c r="G359" s="457"/>
      <c r="H359" s="469" t="str">
        <f>CONCATENATE(IF(F359="N","PLACEHOLDER ROW - ",""),'C-Design&amp;Const'!Z359,IF(F359="N","",J359))</f>
        <v xml:space="preserve">PLACEHOLDER ROW - CUSTOM - Telecom  </v>
      </c>
      <c r="I359" s="193"/>
      <c r="J359" s="578" t="str">
        <f>IF('C-Design&amp;Const'!AD359="","",'C-Design&amp;Const'!AD359)</f>
        <v>(Preliminary)</v>
      </c>
      <c r="K359" s="228"/>
      <c r="L359" s="1410" t="str">
        <f t="shared" si="15"/>
        <v>&lt;---PM/Planner may hide PLACEHOLDER ROW</v>
      </c>
      <c r="M359" s="1382"/>
      <c r="N359" s="1382"/>
      <c r="O359" s="1382"/>
      <c r="P359" s="1382"/>
      <c r="Q359" s="1382"/>
      <c r="R359" s="1382"/>
      <c r="S359" s="1382"/>
      <c r="T359" s="1382"/>
      <c r="U359" s="1382"/>
      <c r="V359" s="1382"/>
      <c r="W359" s="1382"/>
      <c r="X359" s="1382"/>
      <c r="Y359" s="1382"/>
      <c r="Z359" s="1382"/>
      <c r="AA359" s="1382"/>
      <c r="AB359" s="1382"/>
      <c r="AC359" s="1382"/>
      <c r="AD359" s="1382"/>
      <c r="AE359" s="1382"/>
      <c r="AF359" s="1382"/>
      <c r="AG359" s="1382"/>
      <c r="AH359" s="1382"/>
      <c r="AI359" s="1382"/>
      <c r="AJ359" s="181"/>
      <c r="AK359" s="181"/>
      <c r="AL359" s="181"/>
      <c r="AM359" s="181"/>
      <c r="AN359" s="181"/>
      <c r="AO359" s="181"/>
      <c r="AP359" s="181"/>
      <c r="AQ359" s="181"/>
      <c r="AR359" s="181"/>
      <c r="AS359" s="181"/>
      <c r="AT359" s="181"/>
      <c r="AU359" s="181"/>
      <c r="AV359" s="181"/>
      <c r="AW359" s="181"/>
    </row>
    <row r="360" spans="1:49" s="30" customFormat="1" ht="15" hidden="1" customHeight="1" x14ac:dyDescent="0.25">
      <c r="A360" s="1407"/>
      <c r="B360" s="191"/>
      <c r="C360" s="945"/>
      <c r="D360" s="116"/>
      <c r="E360" s="466"/>
      <c r="F360" s="559" t="str">
        <f>IF('C-Design&amp;Const'!$G360="","",'C-Design&amp;Const'!$G360)</f>
        <v>N</v>
      </c>
      <c r="G360" s="457"/>
      <c r="H360" s="469" t="str">
        <f>CONCATENATE(IF(F360="N","PLACEHOLDER ROW - ",""),'C-Design&amp;Const'!Z360,IF(F360="N","",J360))</f>
        <v xml:space="preserve">PLACEHOLDER ROW - CUSTOM - Telecom  </v>
      </c>
      <c r="I360" s="193"/>
      <c r="J360" s="578" t="str">
        <f>IF('C-Design&amp;Const'!AD360="","",'C-Design&amp;Const'!AD360)</f>
        <v>(Preliminary)</v>
      </c>
      <c r="K360" s="228"/>
      <c r="L360" s="1410" t="str">
        <f t="shared" si="15"/>
        <v>&lt;---PM/Planner may hide PLACEHOLDER ROW</v>
      </c>
      <c r="M360" s="1382"/>
      <c r="N360" s="1382"/>
      <c r="O360" s="1382"/>
      <c r="P360" s="1382"/>
      <c r="Q360" s="1382"/>
      <c r="R360" s="1382"/>
      <c r="S360" s="1382"/>
      <c r="T360" s="1382"/>
      <c r="U360" s="1382"/>
      <c r="V360" s="1382"/>
      <c r="W360" s="1382"/>
      <c r="X360" s="1382"/>
      <c r="Y360" s="1382"/>
      <c r="Z360" s="1382"/>
      <c r="AA360" s="1382"/>
      <c r="AB360" s="1382"/>
      <c r="AC360" s="1382"/>
      <c r="AD360" s="1382"/>
      <c r="AE360" s="1382"/>
      <c r="AF360" s="1382"/>
      <c r="AG360" s="1382"/>
      <c r="AH360" s="1382"/>
      <c r="AI360" s="1382"/>
      <c r="AJ360" s="181"/>
      <c r="AK360" s="181"/>
      <c r="AL360" s="181"/>
      <c r="AM360" s="181"/>
      <c r="AN360" s="181"/>
      <c r="AO360" s="181"/>
      <c r="AP360" s="181"/>
      <c r="AQ360" s="181"/>
      <c r="AR360" s="181"/>
      <c r="AS360" s="181"/>
      <c r="AT360" s="181"/>
      <c r="AU360" s="181"/>
      <c r="AV360" s="181"/>
      <c r="AW360" s="181"/>
    </row>
    <row r="361" spans="1:49" s="545" customFormat="1" ht="15" hidden="1" customHeight="1" x14ac:dyDescent="0.25">
      <c r="A361" s="1402"/>
      <c r="B361" s="554"/>
      <c r="C361" s="945"/>
      <c r="D361" s="116"/>
      <c r="E361" s="411"/>
      <c r="F361" s="559" t="str">
        <f>IF('C-Design&amp;Const'!$G361="","",'C-Design&amp;Const'!$G361)</f>
        <v>N</v>
      </c>
      <c r="G361" s="457"/>
      <c r="H361" s="469" t="str">
        <f>CONCATENATE(IF(F361="N","PLACEHOLDER ROW - ",""),'C-Design&amp;Const'!Z361,IF(F361="N","",J361))</f>
        <v xml:space="preserve">PLACEHOLDER ROW - Telecom Symbols, Abbreviations, and General Notes </v>
      </c>
      <c r="I361" s="197"/>
      <c r="J361" s="578"/>
      <c r="K361" s="228"/>
      <c r="L361" s="1410" t="str">
        <f t="shared" si="15"/>
        <v>&lt;---PM/Planner may hide PLACEHOLDER ROW</v>
      </c>
      <c r="M361" s="1382"/>
      <c r="N361" s="1382"/>
      <c r="O361" s="1382"/>
      <c r="P361" s="1382"/>
      <c r="Q361" s="1382"/>
      <c r="R361" s="1382"/>
      <c r="S361" s="1382"/>
      <c r="T361" s="1382"/>
      <c r="U361" s="1382"/>
      <c r="V361" s="1382"/>
      <c r="W361" s="1382"/>
      <c r="X361" s="1382"/>
      <c r="Y361" s="1382"/>
      <c r="Z361" s="1382"/>
      <c r="AA361" s="1382"/>
      <c r="AB361" s="1382"/>
      <c r="AC361" s="1382"/>
      <c r="AD361" s="1382"/>
      <c r="AE361" s="1382"/>
      <c r="AF361" s="1382"/>
      <c r="AG361" s="1382"/>
      <c r="AH361" s="1382"/>
      <c r="AI361" s="1382"/>
      <c r="AJ361" s="551"/>
      <c r="AK361" s="551"/>
      <c r="AL361" s="551"/>
      <c r="AM361" s="551"/>
      <c r="AN361" s="551"/>
      <c r="AO361" s="551"/>
      <c r="AP361" s="551"/>
      <c r="AQ361" s="551"/>
      <c r="AR361" s="551"/>
      <c r="AS361" s="551"/>
      <c r="AT361" s="551"/>
      <c r="AU361" s="551"/>
      <c r="AV361" s="551"/>
      <c r="AW361" s="551"/>
    </row>
    <row r="362" spans="1:49" s="545" customFormat="1" ht="15" hidden="1" customHeight="1" x14ac:dyDescent="0.25">
      <c r="A362" s="1402"/>
      <c r="B362" s="554"/>
      <c r="C362" s="945"/>
      <c r="D362" s="116"/>
      <c r="E362" s="411"/>
      <c r="F362" s="559" t="str">
        <f>IF('C-Design&amp;Const'!$G362="","",'C-Design&amp;Const'!$G362)</f>
        <v>N</v>
      </c>
      <c r="G362" s="457"/>
      <c r="H362" s="469" t="str">
        <f>CONCATENATE(IF(F362="N","PLACEHOLDER ROW - ",""),'C-Design&amp;Const'!Z362,IF(F362="N","",J362))</f>
        <v xml:space="preserve">PLACEHOLDER ROW - Telecom Demolition(s) </v>
      </c>
      <c r="I362" s="197"/>
      <c r="J362" s="578"/>
      <c r="K362" s="228"/>
      <c r="L362" s="1410" t="str">
        <f t="shared" si="15"/>
        <v>&lt;---PM/Planner may hide PLACEHOLDER ROW</v>
      </c>
      <c r="M362" s="1382"/>
      <c r="N362" s="1382"/>
      <c r="O362" s="1382"/>
      <c r="P362" s="1382"/>
      <c r="Q362" s="1382"/>
      <c r="R362" s="1382"/>
      <c r="S362" s="1382"/>
      <c r="T362" s="1382"/>
      <c r="U362" s="1382"/>
      <c r="V362" s="1382"/>
      <c r="W362" s="1382"/>
      <c r="X362" s="1382"/>
      <c r="Y362" s="1382"/>
      <c r="Z362" s="1382"/>
      <c r="AA362" s="1382"/>
      <c r="AB362" s="1382"/>
      <c r="AC362" s="1382"/>
      <c r="AD362" s="1382"/>
      <c r="AE362" s="1382"/>
      <c r="AF362" s="1382"/>
      <c r="AG362" s="1382"/>
      <c r="AH362" s="1382"/>
      <c r="AI362" s="1382"/>
      <c r="AJ362" s="551"/>
      <c r="AK362" s="551"/>
      <c r="AL362" s="551"/>
      <c r="AM362" s="551"/>
      <c r="AN362" s="551"/>
      <c r="AO362" s="551"/>
      <c r="AP362" s="551"/>
      <c r="AQ362" s="551"/>
      <c r="AR362" s="551"/>
      <c r="AS362" s="551"/>
      <c r="AT362" s="551"/>
      <c r="AU362" s="551"/>
      <c r="AV362" s="551"/>
      <c r="AW362" s="551"/>
    </row>
    <row r="363" spans="1:49" s="30" customFormat="1" ht="15" hidden="1" customHeight="1" x14ac:dyDescent="0.25">
      <c r="A363" s="1407"/>
      <c r="B363" s="191"/>
      <c r="C363" s="945"/>
      <c r="D363" s="116"/>
      <c r="E363" s="466"/>
      <c r="F363" s="559" t="str">
        <f>IF('C-Design&amp;Const'!$G363="","",'C-Design&amp;Const'!$G363)</f>
        <v>N</v>
      </c>
      <c r="G363" s="457"/>
      <c r="H363" s="243" t="str">
        <f>CONCATENATE(IF(F363="N","PLACEHOLDER ROW - ",""),'C-Design&amp;Const'!Z363,IF(F363="N","",J363))</f>
        <v xml:space="preserve">PLACEHOLDER ROW - Telecom/Data Floor Plans w/ Devices   </v>
      </c>
      <c r="I363" s="193"/>
      <c r="J363" s="578" t="str">
        <f>IF('C-Design&amp;Const'!AD363="","",'C-Design&amp;Const'!AD363)</f>
        <v>(Preliminary)</v>
      </c>
      <c r="K363" s="228"/>
      <c r="L363" s="1410" t="str">
        <f t="shared" si="15"/>
        <v>&lt;---PM/Planner may hide PLACEHOLDER ROW</v>
      </c>
      <c r="M363" s="1382"/>
      <c r="N363" s="1382"/>
      <c r="O363" s="1382"/>
      <c r="P363" s="1382"/>
      <c r="Q363" s="1382"/>
      <c r="R363" s="1382"/>
      <c r="S363" s="1382"/>
      <c r="T363" s="1382"/>
      <c r="U363" s="1382"/>
      <c r="V363" s="1382"/>
      <c r="W363" s="1382"/>
      <c r="X363" s="1382"/>
      <c r="Y363" s="1382"/>
      <c r="Z363" s="1382"/>
      <c r="AA363" s="1382"/>
      <c r="AB363" s="1382"/>
      <c r="AC363" s="1382"/>
      <c r="AD363" s="1382"/>
      <c r="AE363" s="1382"/>
      <c r="AF363" s="1382"/>
      <c r="AG363" s="1382"/>
      <c r="AH363" s="1382"/>
      <c r="AI363" s="1382"/>
      <c r="AJ363" s="181"/>
      <c r="AK363" s="181"/>
      <c r="AL363" s="181"/>
      <c r="AM363" s="181"/>
      <c r="AN363" s="181"/>
      <c r="AO363" s="181"/>
      <c r="AP363" s="181"/>
      <c r="AQ363" s="181"/>
      <c r="AR363" s="181"/>
      <c r="AS363" s="181"/>
      <c r="AT363" s="181"/>
      <c r="AU363" s="181"/>
      <c r="AV363" s="181"/>
      <c r="AW363" s="181"/>
    </row>
    <row r="364" spans="1:49" s="30" customFormat="1" ht="15" hidden="1" customHeight="1" x14ac:dyDescent="0.25">
      <c r="A364" s="1407"/>
      <c r="B364" s="191"/>
      <c r="C364" s="945"/>
      <c r="D364" s="116"/>
      <c r="E364" s="466"/>
      <c r="F364" s="559" t="str">
        <f>IF('C-Design&amp;Const'!$G364="","",'C-Design&amp;Const'!$G364)</f>
        <v>N</v>
      </c>
      <c r="G364" s="457"/>
      <c r="H364" s="243" t="str">
        <f>CONCATENATE(IF(F364="N","PLACEHOLDER ROW - ",""),'C-Design&amp;Const'!Z364,IF(F364="N","",J364))</f>
        <v xml:space="preserve">PLACEHOLDER ROW - Telecom/Data Raceway Distribution   </v>
      </c>
      <c r="I364" s="193"/>
      <c r="J364" s="578" t="str">
        <f>IF('C-Design&amp;Const'!AD364="","",'C-Design&amp;Const'!AD364)</f>
        <v>(Preliminary)</v>
      </c>
      <c r="K364" s="228"/>
      <c r="L364" s="1410" t="str">
        <f t="shared" si="15"/>
        <v>&lt;---PM/Planner may hide PLACEHOLDER ROW</v>
      </c>
      <c r="M364" s="1382"/>
      <c r="N364" s="1382"/>
      <c r="O364" s="1382"/>
      <c r="P364" s="1382"/>
      <c r="Q364" s="1382"/>
      <c r="R364" s="1382"/>
      <c r="S364" s="1382"/>
      <c r="T364" s="1382"/>
      <c r="U364" s="1382"/>
      <c r="V364" s="1382"/>
      <c r="W364" s="1382"/>
      <c r="X364" s="1382"/>
      <c r="Y364" s="1382"/>
      <c r="Z364" s="1382"/>
      <c r="AA364" s="1382"/>
      <c r="AB364" s="1382"/>
      <c r="AC364" s="1382"/>
      <c r="AD364" s="1382"/>
      <c r="AE364" s="1382"/>
      <c r="AF364" s="1382"/>
      <c r="AG364" s="1382"/>
      <c r="AH364" s="1382"/>
      <c r="AI364" s="1382"/>
      <c r="AJ364" s="181"/>
      <c r="AK364" s="181"/>
      <c r="AL364" s="181"/>
      <c r="AM364" s="181"/>
      <c r="AN364" s="181"/>
      <c r="AO364" s="181"/>
      <c r="AP364" s="181"/>
      <c r="AQ364" s="181"/>
      <c r="AR364" s="181"/>
      <c r="AS364" s="181"/>
      <c r="AT364" s="181"/>
      <c r="AU364" s="181"/>
      <c r="AV364" s="181"/>
      <c r="AW364" s="181"/>
    </row>
    <row r="365" spans="1:49" s="30" customFormat="1" ht="15" hidden="1" customHeight="1" x14ac:dyDescent="0.25">
      <c r="A365" s="1407"/>
      <c r="B365" s="191"/>
      <c r="C365" s="945"/>
      <c r="D365" s="116"/>
      <c r="E365" s="466"/>
      <c r="F365" s="559" t="str">
        <f>IF('C-Design&amp;Const'!$G365="","",'C-Design&amp;Const'!$G365)</f>
        <v>N</v>
      </c>
      <c r="G365" s="457"/>
      <c r="H365" s="469" t="str">
        <f>CONCATENATE(IF(F365="N","PLACEHOLDER ROW - ",""),'C-Design&amp;Const'!Z365,IF(F365="N","",J365))</f>
        <v xml:space="preserve">PLACEHOLDER ROW - Telecom/Data Riser Diagram   </v>
      </c>
      <c r="I365" s="193"/>
      <c r="J365" s="578" t="str">
        <f>IF('C-Design&amp;Const'!AD365="","",'C-Design&amp;Const'!AD365)</f>
        <v>(Preliminary)</v>
      </c>
      <c r="K365" s="228"/>
      <c r="L365" s="1410" t="str">
        <f t="shared" si="15"/>
        <v>&lt;---PM/Planner may hide PLACEHOLDER ROW</v>
      </c>
      <c r="M365" s="1382"/>
      <c r="N365" s="1382"/>
      <c r="O365" s="1382"/>
      <c r="P365" s="1382"/>
      <c r="Q365" s="1382"/>
      <c r="R365" s="1382"/>
      <c r="S365" s="1382"/>
      <c r="T365" s="1382"/>
      <c r="U365" s="1382"/>
      <c r="V365" s="1382"/>
      <c r="W365" s="1382"/>
      <c r="X365" s="1382"/>
      <c r="Y365" s="1382"/>
      <c r="Z365" s="1382"/>
      <c r="AA365" s="1382"/>
      <c r="AB365" s="1382"/>
      <c r="AC365" s="1382"/>
      <c r="AD365" s="1382"/>
      <c r="AE365" s="1382"/>
      <c r="AF365" s="1382"/>
      <c r="AG365" s="1382"/>
      <c r="AH365" s="1382"/>
      <c r="AI365" s="1382"/>
      <c r="AJ365" s="181"/>
      <c r="AK365" s="181"/>
      <c r="AL365" s="181"/>
      <c r="AM365" s="181"/>
      <c r="AN365" s="181"/>
      <c r="AO365" s="181"/>
      <c r="AP365" s="181"/>
      <c r="AQ365" s="181"/>
      <c r="AR365" s="181"/>
      <c r="AS365" s="181"/>
      <c r="AT365" s="181"/>
      <c r="AU365" s="181"/>
      <c r="AV365" s="181"/>
      <c r="AW365" s="181"/>
    </row>
    <row r="366" spans="1:49" s="30" customFormat="1" ht="15" hidden="1" customHeight="1" x14ac:dyDescent="0.25">
      <c r="A366" s="1407"/>
      <c r="B366" s="191"/>
      <c r="C366" s="945"/>
      <c r="D366" s="116"/>
      <c r="E366" s="466"/>
      <c r="F366" s="559" t="str">
        <f>IF('C-Design&amp;Const'!$G366="","",'C-Design&amp;Const'!$G366)</f>
        <v>N</v>
      </c>
      <c r="G366" s="457"/>
      <c r="H366" s="469" t="str">
        <f>CONCATENATE(IF(F366="N","PLACEHOLDER ROW - ",""),'C-Design&amp;Const'!Z366,IF(F366="N","",J366))</f>
        <v xml:space="preserve">PLACEHOLDER ROW - Telecom/Data Details and Sections </v>
      </c>
      <c r="I366" s="193"/>
      <c r="J366" s="578" t="str">
        <f>IF('C-Design&amp;Const'!AD366="","",'C-Design&amp;Const'!AD366)</f>
        <v>(Preliminary)</v>
      </c>
      <c r="K366" s="228"/>
      <c r="L366" s="1410" t="str">
        <f t="shared" si="15"/>
        <v>&lt;---PM/Planner may hide PLACEHOLDER ROW</v>
      </c>
      <c r="M366" s="1382"/>
      <c r="N366" s="1382"/>
      <c r="O366" s="1382"/>
      <c r="P366" s="1382"/>
      <c r="Q366" s="1382"/>
      <c r="R366" s="1382"/>
      <c r="S366" s="1382"/>
      <c r="T366" s="1382"/>
      <c r="U366" s="1382"/>
      <c r="V366" s="1382"/>
      <c r="W366" s="1382"/>
      <c r="X366" s="1382"/>
      <c r="Y366" s="1382"/>
      <c r="Z366" s="1382"/>
      <c r="AA366" s="1382"/>
      <c r="AB366" s="1382"/>
      <c r="AC366" s="1382"/>
      <c r="AD366" s="1382"/>
      <c r="AE366" s="1382"/>
      <c r="AF366" s="1382"/>
      <c r="AG366" s="1382"/>
      <c r="AH366" s="1382"/>
      <c r="AI366" s="1382"/>
      <c r="AJ366" s="181"/>
      <c r="AK366" s="181"/>
      <c r="AL366" s="181"/>
      <c r="AM366" s="181"/>
      <c r="AN366" s="181"/>
      <c r="AO366" s="181"/>
      <c r="AP366" s="181"/>
      <c r="AQ366" s="181"/>
      <c r="AR366" s="181"/>
      <c r="AS366" s="181"/>
      <c r="AT366" s="181"/>
      <c r="AU366" s="181"/>
      <c r="AV366" s="181"/>
      <c r="AW366" s="181"/>
    </row>
    <row r="367" spans="1:49" s="30" customFormat="1" ht="15" hidden="1" customHeight="1" x14ac:dyDescent="0.25">
      <c r="A367" s="1407"/>
      <c r="B367" s="191"/>
      <c r="C367" s="945"/>
      <c r="D367" s="116"/>
      <c r="E367" s="559" t="str">
        <f>IF('C-Design&amp;Const'!$G367="","",'C-Design&amp;Const'!$G367)</f>
        <v>N</v>
      </c>
      <c r="F367" s="460"/>
      <c r="G367" s="457"/>
      <c r="H367" s="242" t="str">
        <f>CONCATENATE(IF(F367="N","PLACEHOLDER ROW - ",""),'C-Design&amp;Const'!Z367,IF(F367="N","",J367))</f>
        <v>Audio Visual Drawings</v>
      </c>
      <c r="I367" s="193"/>
      <c r="J367" s="578" t="str">
        <f>IF('C-Design&amp;Const'!AD367="","",'C-Design&amp;Const'!AD367)</f>
        <v/>
      </c>
      <c r="K367" s="228"/>
      <c r="L367" s="1410" t="str">
        <f t="shared" si="15"/>
        <v/>
      </c>
      <c r="M367" s="1382"/>
      <c r="N367" s="1382"/>
      <c r="O367" s="1382"/>
      <c r="P367" s="1382"/>
      <c r="Q367" s="1382"/>
      <c r="R367" s="1382"/>
      <c r="S367" s="1382"/>
      <c r="T367" s="1382"/>
      <c r="U367" s="1382"/>
      <c r="V367" s="1382"/>
      <c r="W367" s="1382"/>
      <c r="X367" s="1382"/>
      <c r="Y367" s="1382"/>
      <c r="Z367" s="1382"/>
      <c r="AA367" s="1382"/>
      <c r="AB367" s="1382"/>
      <c r="AC367" s="1382"/>
      <c r="AD367" s="1382"/>
      <c r="AE367" s="1382"/>
      <c r="AF367" s="1382"/>
      <c r="AG367" s="1382"/>
      <c r="AH367" s="1382"/>
      <c r="AI367" s="1382"/>
      <c r="AJ367" s="181"/>
      <c r="AK367" s="181"/>
      <c r="AL367" s="181"/>
      <c r="AM367" s="181"/>
      <c r="AN367" s="181"/>
      <c r="AO367" s="181"/>
      <c r="AP367" s="181"/>
      <c r="AQ367" s="181"/>
      <c r="AR367" s="181"/>
      <c r="AS367" s="181"/>
      <c r="AT367" s="181"/>
      <c r="AU367" s="181"/>
      <c r="AV367" s="181"/>
      <c r="AW367" s="181"/>
    </row>
    <row r="368" spans="1:49" s="545" customFormat="1" ht="15" hidden="1" customHeight="1" x14ac:dyDescent="0.25">
      <c r="A368" s="1402"/>
      <c r="B368" s="554"/>
      <c r="C368" s="945"/>
      <c r="D368" s="116"/>
      <c r="E368" s="411"/>
      <c r="F368" s="559" t="str">
        <f>IF('C-Design&amp;Const'!$G368="","",'C-Design&amp;Const'!$G368)</f>
        <v>N</v>
      </c>
      <c r="G368" s="457"/>
      <c r="H368" s="469" t="str">
        <f>CONCATENATE(IF(F368="N","PLACEHOLDER ROW - ",""),'C-Design&amp;Const'!Z368,IF(F368="N","",J368))</f>
        <v xml:space="preserve">PLACEHOLDER ROW - Audio Visual Symbols, Abbreviations, and General Notes </v>
      </c>
      <c r="I368" s="197"/>
      <c r="J368" s="578"/>
      <c r="K368" s="228"/>
      <c r="L368" s="1410" t="str">
        <f t="shared" ref="L368" si="19">CONCATENATE(IF(ISNUMBER(SEARCH("Placeholder",H368))=TRUE,"&lt;---PM/Planner may hide PLACEHOLDER ROW",""))</f>
        <v>&lt;---PM/Planner may hide PLACEHOLDER ROW</v>
      </c>
      <c r="M368" s="1382"/>
      <c r="N368" s="1382"/>
      <c r="O368" s="1382"/>
      <c r="P368" s="1382"/>
      <c r="Q368" s="1382"/>
      <c r="R368" s="1382"/>
      <c r="S368" s="1382"/>
      <c r="T368" s="1382"/>
      <c r="U368" s="1382"/>
      <c r="V368" s="1382"/>
      <c r="W368" s="1382"/>
      <c r="X368" s="1382"/>
      <c r="Y368" s="1382"/>
      <c r="Z368" s="1382"/>
      <c r="AA368" s="1382"/>
      <c r="AB368" s="1382"/>
      <c r="AC368" s="1382"/>
      <c r="AD368" s="1382"/>
      <c r="AE368" s="1382"/>
      <c r="AF368" s="1382"/>
      <c r="AG368" s="1382"/>
      <c r="AH368" s="1382"/>
      <c r="AI368" s="1382"/>
      <c r="AJ368" s="551"/>
      <c r="AK368" s="551"/>
      <c r="AL368" s="551"/>
      <c r="AM368" s="551"/>
      <c r="AN368" s="551"/>
      <c r="AO368" s="551"/>
      <c r="AP368" s="551"/>
      <c r="AQ368" s="551"/>
      <c r="AR368" s="551"/>
      <c r="AS368" s="551"/>
      <c r="AT368" s="551"/>
      <c r="AU368" s="551"/>
      <c r="AV368" s="551"/>
      <c r="AW368" s="551"/>
    </row>
    <row r="369" spans="1:49" s="545" customFormat="1" ht="15" hidden="1" customHeight="1" x14ac:dyDescent="0.25">
      <c r="A369" s="1402"/>
      <c r="B369" s="554"/>
      <c r="C369" s="945"/>
      <c r="D369" s="116"/>
      <c r="E369" s="411"/>
      <c r="F369" s="559" t="str">
        <f>IF('C-Design&amp;Const'!$G369="","",'C-Design&amp;Const'!$G369)</f>
        <v>N</v>
      </c>
      <c r="G369" s="457"/>
      <c r="H369" s="469" t="str">
        <f>CONCATENATE(IF(F369="N","PLACEHOLDER ROW - ",""),'C-Design&amp;Const'!Z369,IF(F369="N","",J369))</f>
        <v xml:space="preserve">PLACEHOLDER ROW - A/V Demolition(s) </v>
      </c>
      <c r="I369" s="197"/>
      <c r="J369" s="578"/>
      <c r="K369" s="228"/>
      <c r="L369" s="1410" t="str">
        <f t="shared" ref="L369" si="20">CONCATENATE(IF(ISNUMBER(SEARCH("Placeholder",H369))=TRUE,"&lt;---PM/Planner may hide PLACEHOLDER ROW",""))</f>
        <v>&lt;---PM/Planner may hide PLACEHOLDER ROW</v>
      </c>
      <c r="M369" s="1382"/>
      <c r="N369" s="1382"/>
      <c r="O369" s="1382"/>
      <c r="P369" s="1382"/>
      <c r="Q369" s="1382"/>
      <c r="R369" s="1382"/>
      <c r="S369" s="1382"/>
      <c r="T369" s="1382"/>
      <c r="U369" s="1382"/>
      <c r="V369" s="1382"/>
      <c r="W369" s="1382"/>
      <c r="X369" s="1382"/>
      <c r="Y369" s="1382"/>
      <c r="Z369" s="1382"/>
      <c r="AA369" s="1382"/>
      <c r="AB369" s="1382"/>
      <c r="AC369" s="1382"/>
      <c r="AD369" s="1382"/>
      <c r="AE369" s="1382"/>
      <c r="AF369" s="1382"/>
      <c r="AG369" s="1382"/>
      <c r="AH369" s="1382"/>
      <c r="AI369" s="1382"/>
      <c r="AJ369" s="551"/>
      <c r="AK369" s="551"/>
      <c r="AL369" s="551"/>
      <c r="AM369" s="551"/>
      <c r="AN369" s="551"/>
      <c r="AO369" s="551"/>
      <c r="AP369" s="551"/>
      <c r="AQ369" s="551"/>
      <c r="AR369" s="551"/>
      <c r="AS369" s="551"/>
      <c r="AT369" s="551"/>
      <c r="AU369" s="551"/>
      <c r="AV369" s="551"/>
      <c r="AW369" s="551"/>
    </row>
    <row r="370" spans="1:49" s="30" customFormat="1" ht="15" hidden="1" customHeight="1" x14ac:dyDescent="0.25">
      <c r="A370" s="1407"/>
      <c r="B370" s="191"/>
      <c r="C370" s="945"/>
      <c r="D370" s="116"/>
      <c r="E370" s="466"/>
      <c r="F370" s="559" t="str">
        <f>IF('C-Design&amp;Const'!$G370="","",'C-Design&amp;Const'!$G370)</f>
        <v>N</v>
      </c>
      <c r="G370" s="457"/>
      <c r="H370" s="469" t="str">
        <f>CONCATENATE(IF(F370="N","PLACEHOLDER ROW - ",""),'C-Design&amp;Const'!Z370,IF(F370="N","",J370))</f>
        <v xml:space="preserve">PLACEHOLDER ROW - AV System Floor Plans.  Equipment identified, Equipment Clearance &amp; Throw Distances Dimensioned, Power, Conduit &amp; Backbox Layouts Shown.  Cables shown separated by type/signal level; all Cables Leaving Room Clearly Shown. </v>
      </c>
      <c r="I370" s="193"/>
      <c r="J370" s="578" t="str">
        <f>IF('C-Design&amp;Const'!AD370="","",'C-Design&amp;Const'!AD370)</f>
        <v/>
      </c>
      <c r="K370" s="228"/>
      <c r="L370" s="1410" t="str">
        <f t="shared" si="15"/>
        <v>&lt;---PM/Planner may hide PLACEHOLDER ROW</v>
      </c>
      <c r="M370" s="1382"/>
      <c r="N370" s="1382"/>
      <c r="O370" s="1382"/>
      <c r="P370" s="1382"/>
      <c r="Q370" s="1382"/>
      <c r="R370" s="1382"/>
      <c r="S370" s="1382"/>
      <c r="T370" s="1382"/>
      <c r="U370" s="1382"/>
      <c r="V370" s="1382"/>
      <c r="W370" s="1382"/>
      <c r="X370" s="1382"/>
      <c r="Y370" s="1382"/>
      <c r="Z370" s="1382"/>
      <c r="AA370" s="1382"/>
      <c r="AB370" s="1382"/>
      <c r="AC370" s="1382"/>
      <c r="AD370" s="1382"/>
      <c r="AE370" s="1382"/>
      <c r="AF370" s="1382"/>
      <c r="AG370" s="1382"/>
      <c r="AH370" s="1382"/>
      <c r="AI370" s="1382"/>
      <c r="AJ370" s="181"/>
      <c r="AK370" s="181"/>
      <c r="AL370" s="181"/>
      <c r="AM370" s="181"/>
      <c r="AN370" s="181"/>
      <c r="AO370" s="181"/>
      <c r="AP370" s="181"/>
      <c r="AQ370" s="181"/>
      <c r="AR370" s="181"/>
      <c r="AS370" s="181"/>
      <c r="AT370" s="181"/>
      <c r="AU370" s="181"/>
      <c r="AV370" s="181"/>
      <c r="AW370" s="181"/>
    </row>
    <row r="371" spans="1:49" s="30" customFormat="1" ht="15" hidden="1" customHeight="1" x14ac:dyDescent="0.25">
      <c r="A371" s="1407"/>
      <c r="B371" s="191"/>
      <c r="C371" s="945"/>
      <c r="D371" s="116"/>
      <c r="E371" s="466"/>
      <c r="F371" s="559" t="str">
        <f>IF('C-Design&amp;Const'!$G371="","",'C-Design&amp;Const'!$G371)</f>
        <v>N</v>
      </c>
      <c r="G371" s="457"/>
      <c r="H371" s="469" t="str">
        <f>CONCATENATE(IF(F371="N","PLACEHOLDER ROW - ",""),'C-Design&amp;Const'!Z371,IF(F371="N","",J371))</f>
        <v xml:space="preserve">PLACEHOLDER ROW - AV System Details:  Equipment Installation Details, AV Rack Elevations for each Rack, Major Equipment Components Located in the Rack, Custom Plate Details, and Plates Associated with Equipment Plans and System Line Diagrams.  Equipment Mounting Details which Support More than 40 Pounds shall be stamped by a Licensed Structural Engineer. </v>
      </c>
      <c r="I371" s="193"/>
      <c r="J371" s="578" t="str">
        <f>IF('C-Design&amp;Const'!AD371="","",'C-Design&amp;Const'!AD371)</f>
        <v/>
      </c>
      <c r="K371" s="228"/>
      <c r="L371" s="1410" t="str">
        <f t="shared" si="15"/>
        <v>&lt;---PM/Planner may hide PLACEHOLDER ROW</v>
      </c>
      <c r="M371" s="1382"/>
      <c r="N371" s="1382"/>
      <c r="O371" s="1382"/>
      <c r="P371" s="1382"/>
      <c r="Q371" s="1382"/>
      <c r="R371" s="1382"/>
      <c r="S371" s="1382"/>
      <c r="T371" s="1382"/>
      <c r="U371" s="1382"/>
      <c r="V371" s="1382"/>
      <c r="W371" s="1382"/>
      <c r="X371" s="1382"/>
      <c r="Y371" s="1382"/>
      <c r="Z371" s="1382"/>
      <c r="AA371" s="1382"/>
      <c r="AB371" s="1382"/>
      <c r="AC371" s="1382"/>
      <c r="AD371" s="1382"/>
      <c r="AE371" s="1382"/>
      <c r="AF371" s="1382"/>
      <c r="AG371" s="1382"/>
      <c r="AH371" s="1382"/>
      <c r="AI371" s="1382"/>
      <c r="AJ371" s="181"/>
      <c r="AK371" s="181"/>
      <c r="AL371" s="181"/>
      <c r="AM371" s="181"/>
      <c r="AN371" s="181"/>
      <c r="AO371" s="181"/>
      <c r="AP371" s="181"/>
      <c r="AQ371" s="181"/>
      <c r="AR371" s="181"/>
      <c r="AS371" s="181"/>
      <c r="AT371" s="181"/>
      <c r="AU371" s="181"/>
      <c r="AV371" s="181"/>
      <c r="AW371" s="181"/>
    </row>
    <row r="372" spans="1:49" s="30" customFormat="1" ht="15" hidden="1" customHeight="1" x14ac:dyDescent="0.25">
      <c r="A372" s="1407"/>
      <c r="B372" s="191"/>
      <c r="C372" s="945"/>
      <c r="D372" s="116"/>
      <c r="E372" s="466"/>
      <c r="F372" s="559" t="str">
        <f>IF('C-Design&amp;Const'!$G372="","",'C-Design&amp;Const'!$G372)</f>
        <v>N</v>
      </c>
      <c r="G372" s="457"/>
      <c r="H372" s="469" t="str">
        <f>CONCATENATE(IF(F372="N","PLACEHOLDER ROW - ",""),'C-Design&amp;Const'!Z372,IF(F372="N","",J372))</f>
        <v xml:space="preserve">PLACEHOLDER ROW - AV System Line Diagrams, showing: </v>
      </c>
      <c r="I372" s="193"/>
      <c r="J372" s="578" t="str">
        <f>IF('C-Design&amp;Const'!AD372="","",'C-Design&amp;Const'!AD372)</f>
        <v/>
      </c>
      <c r="K372" s="228"/>
      <c r="L372" s="1410" t="str">
        <f t="shared" si="15"/>
        <v>&lt;---PM/Planner may hide PLACEHOLDER ROW</v>
      </c>
      <c r="M372" s="1382"/>
      <c r="N372" s="1382"/>
      <c r="O372" s="1382"/>
      <c r="P372" s="1382"/>
      <c r="Q372" s="1382"/>
      <c r="R372" s="1382"/>
      <c r="S372" s="1382"/>
      <c r="T372" s="1382"/>
      <c r="U372" s="1382"/>
      <c r="V372" s="1382"/>
      <c r="W372" s="1382"/>
      <c r="X372" s="1382"/>
      <c r="Y372" s="1382"/>
      <c r="Z372" s="1382"/>
      <c r="AA372" s="1382"/>
      <c r="AB372" s="1382"/>
      <c r="AC372" s="1382"/>
      <c r="AD372" s="1382"/>
      <c r="AE372" s="1382"/>
      <c r="AF372" s="1382"/>
      <c r="AG372" s="1382"/>
      <c r="AH372" s="1382"/>
      <c r="AI372" s="1382"/>
      <c r="AJ372" s="181"/>
      <c r="AK372" s="181"/>
      <c r="AL372" s="181"/>
      <c r="AM372" s="181"/>
      <c r="AN372" s="181"/>
      <c r="AO372" s="181"/>
      <c r="AP372" s="181"/>
      <c r="AQ372" s="181"/>
      <c r="AR372" s="181"/>
      <c r="AS372" s="181"/>
      <c r="AT372" s="181"/>
      <c r="AU372" s="181"/>
      <c r="AV372" s="181"/>
      <c r="AW372" s="181"/>
    </row>
    <row r="373" spans="1:49" s="30" customFormat="1" ht="15" hidden="1" customHeight="1" x14ac:dyDescent="0.25">
      <c r="A373" s="1407"/>
      <c r="B373" s="191"/>
      <c r="C373" s="945"/>
      <c r="D373" s="116"/>
      <c r="E373" s="466"/>
      <c r="F373" s="559" t="str">
        <f>IF('C-Design&amp;Const'!$G373="","",'C-Design&amp;Const'!$G373)</f>
        <v>N</v>
      </c>
      <c r="G373" s="457"/>
      <c r="H373" s="469" t="str">
        <f>CONCATENATE(IF(F373="N","PLACEHOLDER ROW - ",""),'C-Design&amp;Const'!Z373,IF(F373="N","",J373))</f>
        <v xml:space="preserve">PLACEHOLDER ROW - Signal flow from input to output, left to right </v>
      </c>
      <c r="I373" s="193"/>
      <c r="J373" s="578" t="str">
        <f>IF('C-Design&amp;Const'!AD373="","",'C-Design&amp;Const'!AD373)</f>
        <v/>
      </c>
      <c r="K373" s="228"/>
      <c r="L373" s="1410" t="str">
        <f t="shared" si="15"/>
        <v>&lt;---PM/Planner may hide PLACEHOLDER ROW</v>
      </c>
      <c r="M373" s="1382"/>
      <c r="N373" s="1382"/>
      <c r="O373" s="1382"/>
      <c r="P373" s="1382"/>
      <c r="Q373" s="1382"/>
      <c r="R373" s="1382"/>
      <c r="S373" s="1382"/>
      <c r="T373" s="1382"/>
      <c r="U373" s="1382"/>
      <c r="V373" s="1382"/>
      <c r="W373" s="1382"/>
      <c r="X373" s="1382"/>
      <c r="Y373" s="1382"/>
      <c r="Z373" s="1382"/>
      <c r="AA373" s="1382"/>
      <c r="AB373" s="1382"/>
      <c r="AC373" s="1382"/>
      <c r="AD373" s="1382"/>
      <c r="AE373" s="1382"/>
      <c r="AF373" s="1382"/>
      <c r="AG373" s="1382"/>
      <c r="AH373" s="1382"/>
      <c r="AI373" s="1382"/>
      <c r="AJ373" s="181"/>
      <c r="AK373" s="181"/>
      <c r="AL373" s="181"/>
      <c r="AM373" s="181"/>
      <c r="AN373" s="181"/>
      <c r="AO373" s="181"/>
      <c r="AP373" s="181"/>
      <c r="AQ373" s="181"/>
      <c r="AR373" s="181"/>
      <c r="AS373" s="181"/>
      <c r="AT373" s="181"/>
      <c r="AU373" s="181"/>
      <c r="AV373" s="181"/>
      <c r="AW373" s="181"/>
    </row>
    <row r="374" spans="1:49" s="30" customFormat="1" ht="15" hidden="1" customHeight="1" x14ac:dyDescent="0.25">
      <c r="A374" s="1407"/>
      <c r="B374" s="191"/>
      <c r="C374" s="945"/>
      <c r="D374" s="116"/>
      <c r="E374" s="466"/>
      <c r="F374" s="559" t="str">
        <f>IF('C-Design&amp;Const'!$G374="","",'C-Design&amp;Const'!$G374)</f>
        <v>N</v>
      </c>
      <c r="G374" s="457"/>
      <c r="H374" s="469" t="str">
        <f>CONCATENATE(IF(F374="N","PLACEHOLDER ROW - ",""),'C-Design&amp;Const'!Z374,IF(F374="N","",J374))</f>
        <v xml:space="preserve">PLACEHOLDER ROW - Major pieces of equipment identified by manufacturer, model number &amp; description </v>
      </c>
      <c r="I374" s="193"/>
      <c r="J374" s="578" t="str">
        <f>IF('C-Design&amp;Const'!AD374="","",'C-Design&amp;Const'!AD374)</f>
        <v/>
      </c>
      <c r="K374" s="228"/>
      <c r="L374" s="1410" t="str">
        <f t="shared" si="15"/>
        <v>&lt;---PM/Planner may hide PLACEHOLDER ROW</v>
      </c>
      <c r="M374" s="1382"/>
      <c r="N374" s="1382"/>
      <c r="O374" s="1382"/>
      <c r="P374" s="1382"/>
      <c r="Q374" s="1382"/>
      <c r="R374" s="1382"/>
      <c r="S374" s="1382"/>
      <c r="T374" s="1382"/>
      <c r="U374" s="1382"/>
      <c r="V374" s="1382"/>
      <c r="W374" s="1382"/>
      <c r="X374" s="1382"/>
      <c r="Y374" s="1382"/>
      <c r="Z374" s="1382"/>
      <c r="AA374" s="1382"/>
      <c r="AB374" s="1382"/>
      <c r="AC374" s="1382"/>
      <c r="AD374" s="1382"/>
      <c r="AE374" s="1382"/>
      <c r="AF374" s="1382"/>
      <c r="AG374" s="1382"/>
      <c r="AH374" s="1382"/>
      <c r="AI374" s="1382"/>
      <c r="AJ374" s="181"/>
      <c r="AK374" s="181"/>
      <c r="AL374" s="181"/>
      <c r="AM374" s="181"/>
      <c r="AN374" s="181"/>
      <c r="AO374" s="181"/>
      <c r="AP374" s="181"/>
      <c r="AQ374" s="181"/>
      <c r="AR374" s="181"/>
      <c r="AS374" s="181"/>
      <c r="AT374" s="181"/>
      <c r="AU374" s="181"/>
      <c r="AV374" s="181"/>
      <c r="AW374" s="181"/>
    </row>
    <row r="375" spans="1:49" s="30" customFormat="1" ht="15" hidden="1" customHeight="1" x14ac:dyDescent="0.25">
      <c r="A375" s="1407"/>
      <c r="B375" s="191"/>
      <c r="C375" s="945"/>
      <c r="D375" s="116"/>
      <c r="E375" s="466"/>
      <c r="F375" s="559" t="str">
        <f>IF('C-Design&amp;Const'!$G375="","",'C-Design&amp;Const'!$G375)</f>
        <v>N</v>
      </c>
      <c r="G375" s="457"/>
      <c r="H375" s="469" t="str">
        <f>CONCATENATE(IF(F375="N","PLACEHOLDER ROW - ",""),'C-Design&amp;Const'!Z375,IF(F375="N","",J375))</f>
        <v xml:space="preserve">PLACEHOLDER ROW - Equipment associated with plans and details </v>
      </c>
      <c r="I375" s="193"/>
      <c r="J375" s="578" t="str">
        <f>IF('C-Design&amp;Const'!AD375="","",'C-Design&amp;Const'!AD375)</f>
        <v/>
      </c>
      <c r="K375" s="228"/>
      <c r="L375" s="1410" t="str">
        <f t="shared" si="15"/>
        <v>&lt;---PM/Planner may hide PLACEHOLDER ROW</v>
      </c>
      <c r="M375" s="1382"/>
      <c r="N375" s="1382"/>
      <c r="O375" s="1382"/>
      <c r="P375" s="1382"/>
      <c r="Q375" s="1382"/>
      <c r="R375" s="1382"/>
      <c r="S375" s="1382"/>
      <c r="T375" s="1382"/>
      <c r="U375" s="1382"/>
      <c r="V375" s="1382"/>
      <c r="W375" s="1382"/>
      <c r="X375" s="1382"/>
      <c r="Y375" s="1382"/>
      <c r="Z375" s="1382"/>
      <c r="AA375" s="1382"/>
      <c r="AB375" s="1382"/>
      <c r="AC375" s="1382"/>
      <c r="AD375" s="1382"/>
      <c r="AE375" s="1382"/>
      <c r="AF375" s="1382"/>
      <c r="AG375" s="1382"/>
      <c r="AH375" s="1382"/>
      <c r="AI375" s="1382"/>
      <c r="AJ375" s="181"/>
      <c r="AK375" s="181"/>
      <c r="AL375" s="181"/>
      <c r="AM375" s="181"/>
      <c r="AN375" s="181"/>
      <c r="AO375" s="181"/>
      <c r="AP375" s="181"/>
      <c r="AQ375" s="181"/>
      <c r="AR375" s="181"/>
      <c r="AS375" s="181"/>
      <c r="AT375" s="181"/>
      <c r="AU375" s="181"/>
      <c r="AV375" s="181"/>
      <c r="AW375" s="181"/>
    </row>
    <row r="376" spans="1:49" s="30" customFormat="1" ht="15" hidden="1" customHeight="1" x14ac:dyDescent="0.25">
      <c r="A376" s="1407"/>
      <c r="B376" s="191"/>
      <c r="C376" s="945"/>
      <c r="D376" s="116"/>
      <c r="E376" s="466"/>
      <c r="F376" s="559" t="str">
        <f>IF('C-Design&amp;Const'!$G376="","",'C-Design&amp;Const'!$G376)</f>
        <v>N</v>
      </c>
      <c r="G376" s="457"/>
      <c r="H376" s="469" t="str">
        <f>CONCATENATE(IF(F376="N","PLACEHOLDER ROW - ",""),'C-Design&amp;Const'!Z376,IF(F376="N","",J376))</f>
        <v xml:space="preserve">PLACEHOLDER ROW - All field and rack cabling and signal type </v>
      </c>
      <c r="I376" s="193"/>
      <c r="J376" s="578" t="str">
        <f>IF('C-Design&amp;Const'!AD376="","",'C-Design&amp;Const'!AD376)</f>
        <v/>
      </c>
      <c r="K376" s="228"/>
      <c r="L376" s="1410" t="str">
        <f t="shared" si="15"/>
        <v>&lt;---PM/Planner may hide PLACEHOLDER ROW</v>
      </c>
      <c r="M376" s="1382"/>
      <c r="N376" s="1382"/>
      <c r="O376" s="1382"/>
      <c r="P376" s="1382"/>
      <c r="Q376" s="1382"/>
      <c r="R376" s="1382"/>
      <c r="S376" s="1382"/>
      <c r="T376" s="1382"/>
      <c r="U376" s="1382"/>
      <c r="V376" s="1382"/>
      <c r="W376" s="1382"/>
      <c r="X376" s="1382"/>
      <c r="Y376" s="1382"/>
      <c r="Z376" s="1382"/>
      <c r="AA376" s="1382"/>
      <c r="AB376" s="1382"/>
      <c r="AC376" s="1382"/>
      <c r="AD376" s="1382"/>
      <c r="AE376" s="1382"/>
      <c r="AF376" s="1382"/>
      <c r="AG376" s="1382"/>
      <c r="AH376" s="1382"/>
      <c r="AI376" s="1382"/>
      <c r="AJ376" s="181"/>
      <c r="AK376" s="181"/>
      <c r="AL376" s="181"/>
      <c r="AM376" s="181"/>
      <c r="AN376" s="181"/>
      <c r="AO376" s="181"/>
      <c r="AP376" s="181"/>
      <c r="AQ376" s="181"/>
      <c r="AR376" s="181"/>
      <c r="AS376" s="181"/>
      <c r="AT376" s="181"/>
      <c r="AU376" s="181"/>
      <c r="AV376" s="181"/>
      <c r="AW376" s="181"/>
    </row>
    <row r="377" spans="1:49" s="30" customFormat="1" ht="15" hidden="1" customHeight="1" x14ac:dyDescent="0.25">
      <c r="A377" s="1407"/>
      <c r="B377" s="191"/>
      <c r="C377" s="945"/>
      <c r="D377" s="116"/>
      <c r="E377" s="466"/>
      <c r="F377" s="559" t="str">
        <f>IF('C-Design&amp;Const'!$G377="","",'C-Design&amp;Const'!$G377)</f>
        <v>N</v>
      </c>
      <c r="G377" s="457"/>
      <c r="H377" s="469" t="str">
        <f>CONCATENATE(IF(F377="N","PLACEHOLDER ROW - ",""),'C-Design&amp;Const'!Z377,IF(F377="N","",J377))</f>
        <v xml:space="preserve">PLACEHOLDER ROW - Video signal resolutions </v>
      </c>
      <c r="I377" s="193"/>
      <c r="J377" s="578" t="str">
        <f>IF('C-Design&amp;Const'!AD377="","",'C-Design&amp;Const'!AD377)</f>
        <v/>
      </c>
      <c r="K377" s="228"/>
      <c r="L377" s="1410" t="str">
        <f t="shared" si="15"/>
        <v>&lt;---PM/Planner may hide PLACEHOLDER ROW</v>
      </c>
      <c r="M377" s="1382"/>
      <c r="N377" s="1382"/>
      <c r="O377" s="1382"/>
      <c r="P377" s="1382"/>
      <c r="Q377" s="1382"/>
      <c r="R377" s="1382"/>
      <c r="S377" s="1382"/>
      <c r="T377" s="1382"/>
      <c r="U377" s="1382"/>
      <c r="V377" s="1382"/>
      <c r="W377" s="1382"/>
      <c r="X377" s="1382"/>
      <c r="Y377" s="1382"/>
      <c r="Z377" s="1382"/>
      <c r="AA377" s="1382"/>
      <c r="AB377" s="1382"/>
      <c r="AC377" s="1382"/>
      <c r="AD377" s="1382"/>
      <c r="AE377" s="1382"/>
      <c r="AF377" s="1382"/>
      <c r="AG377" s="1382"/>
      <c r="AH377" s="1382"/>
      <c r="AI377" s="1382"/>
      <c r="AJ377" s="181"/>
      <c r="AK377" s="181"/>
      <c r="AL377" s="181"/>
      <c r="AM377" s="181"/>
      <c r="AN377" s="181"/>
      <c r="AO377" s="181"/>
      <c r="AP377" s="181"/>
      <c r="AQ377" s="181"/>
      <c r="AR377" s="181"/>
      <c r="AS377" s="181"/>
      <c r="AT377" s="181"/>
      <c r="AU377" s="181"/>
      <c r="AV377" s="181"/>
      <c r="AW377" s="181"/>
    </row>
    <row r="378" spans="1:49" s="30" customFormat="1" ht="15" hidden="1" customHeight="1" x14ac:dyDescent="0.25">
      <c r="A378" s="1407"/>
      <c r="B378" s="191"/>
      <c r="C378" s="945"/>
      <c r="D378" s="116"/>
      <c r="E378" s="466"/>
      <c r="F378" s="559" t="str">
        <f>IF('C-Design&amp;Const'!$G378="","",'C-Design&amp;Const'!$G378)</f>
        <v>N</v>
      </c>
      <c r="G378" s="457"/>
      <c r="H378" s="469" t="str">
        <f>CONCATENATE(IF(F378="N","PLACEHOLDER ROW - ",""),'C-Design&amp;Const'!Z378,IF(F378="N","",J378))</f>
        <v xml:space="preserve">PLACEHOLDER ROW - Manufacturer &amp; model number of all premade cables  </v>
      </c>
      <c r="I378" s="193"/>
      <c r="J378" s="578" t="str">
        <f>IF('C-Design&amp;Const'!AD378="","",'C-Design&amp;Const'!AD378)</f>
        <v/>
      </c>
      <c r="K378" s="228"/>
      <c r="L378" s="1410" t="str">
        <f t="shared" si="15"/>
        <v>&lt;---PM/Planner may hide PLACEHOLDER ROW</v>
      </c>
      <c r="M378" s="1382"/>
      <c r="N378" s="1382"/>
      <c r="O378" s="1382"/>
      <c r="P378" s="1382"/>
      <c r="Q378" s="1382"/>
      <c r="R378" s="1382"/>
      <c r="S378" s="1382"/>
      <c r="T378" s="1382"/>
      <c r="U378" s="1382"/>
      <c r="V378" s="1382"/>
      <c r="W378" s="1382"/>
      <c r="X378" s="1382"/>
      <c r="Y378" s="1382"/>
      <c r="Z378" s="1382"/>
      <c r="AA378" s="1382"/>
      <c r="AB378" s="1382"/>
      <c r="AC378" s="1382"/>
      <c r="AD378" s="1382"/>
      <c r="AE378" s="1382"/>
      <c r="AF378" s="1382"/>
      <c r="AG378" s="1382"/>
      <c r="AH378" s="1382"/>
      <c r="AI378" s="1382"/>
      <c r="AJ378" s="181"/>
      <c r="AK378" s="181"/>
      <c r="AL378" s="181"/>
      <c r="AM378" s="181"/>
      <c r="AN378" s="181"/>
      <c r="AO378" s="181"/>
      <c r="AP378" s="181"/>
      <c r="AQ378" s="181"/>
      <c r="AR378" s="181"/>
      <c r="AS378" s="181"/>
      <c r="AT378" s="181"/>
      <c r="AU378" s="181"/>
      <c r="AV378" s="181"/>
      <c r="AW378" s="181"/>
    </row>
    <row r="379" spans="1:49" s="30" customFormat="1" ht="15" hidden="1" customHeight="1" x14ac:dyDescent="0.25">
      <c r="A379" s="1407"/>
      <c r="B379" s="191"/>
      <c r="C379" s="945"/>
      <c r="D379" s="116"/>
      <c r="E379" s="466"/>
      <c r="F379" s="559" t="str">
        <f>IF('C-Design&amp;Const'!$G379="","",'C-Design&amp;Const'!$G379)</f>
        <v>N</v>
      </c>
      <c r="G379" s="457"/>
      <c r="H379" s="469" t="str">
        <f>CONCATENATE(IF(F379="N","PLACEHOLDER ROW - ",""),'C-Design&amp;Const'!Z379,IF(F379="N","",J379))</f>
        <v xml:space="preserve">PLACEHOLDER ROW - Typical pin out details </v>
      </c>
      <c r="I379" s="193"/>
      <c r="J379" s="578" t="str">
        <f>IF('C-Design&amp;Const'!AD379="","",'C-Design&amp;Const'!AD379)</f>
        <v/>
      </c>
      <c r="K379" s="228"/>
      <c r="L379" s="1410" t="str">
        <f t="shared" si="15"/>
        <v>&lt;---PM/Planner may hide PLACEHOLDER ROW</v>
      </c>
      <c r="M379" s="1382"/>
      <c r="N379" s="1382"/>
      <c r="O379" s="1382"/>
      <c r="P379" s="1382"/>
      <c r="Q379" s="1382"/>
      <c r="R379" s="1382"/>
      <c r="S379" s="1382"/>
      <c r="T379" s="1382"/>
      <c r="U379" s="1382"/>
      <c r="V379" s="1382"/>
      <c r="W379" s="1382"/>
      <c r="X379" s="1382"/>
      <c r="Y379" s="1382"/>
      <c r="Z379" s="1382"/>
      <c r="AA379" s="1382"/>
      <c r="AB379" s="1382"/>
      <c r="AC379" s="1382"/>
      <c r="AD379" s="1382"/>
      <c r="AE379" s="1382"/>
      <c r="AF379" s="1382"/>
      <c r="AG379" s="1382"/>
      <c r="AH379" s="1382"/>
      <c r="AI379" s="1382"/>
      <c r="AJ379" s="181"/>
      <c r="AK379" s="181"/>
      <c r="AL379" s="181"/>
      <c r="AM379" s="181"/>
      <c r="AN379" s="181"/>
      <c r="AO379" s="181"/>
      <c r="AP379" s="181"/>
      <c r="AQ379" s="181"/>
      <c r="AR379" s="181"/>
      <c r="AS379" s="181"/>
      <c r="AT379" s="181"/>
      <c r="AU379" s="181"/>
      <c r="AV379" s="181"/>
      <c r="AW379" s="181"/>
    </row>
    <row r="380" spans="1:49" s="30" customFormat="1" ht="15" hidden="1" customHeight="1" x14ac:dyDescent="0.25">
      <c r="A380" s="1407"/>
      <c r="B380" s="191"/>
      <c r="C380" s="945"/>
      <c r="D380" s="116"/>
      <c r="E380" s="466"/>
      <c r="F380" s="559" t="str">
        <f>IF('C-Design&amp;Const'!$G380="","",'C-Design&amp;Const'!$G380)</f>
        <v>N</v>
      </c>
      <c r="G380" s="457"/>
      <c r="H380" s="469" t="str">
        <f>CONCATENATE(IF(F380="N","PLACEHOLDER ROW - ",""),'C-Design&amp;Const'!Z380,IF(F380="N","",J380))</f>
        <v xml:space="preserve">PLACEHOLDER ROW - Video Security System – Approved Camera Locations </v>
      </c>
      <c r="I380" s="193"/>
      <c r="J380" s="578" t="str">
        <f>IF('C-Design&amp;Const'!AD380="","",'C-Design&amp;Const'!AD380)</f>
        <v/>
      </c>
      <c r="K380" s="228"/>
      <c r="L380" s="1410" t="str">
        <f t="shared" si="15"/>
        <v>&lt;---PM/Planner may hide PLACEHOLDER ROW</v>
      </c>
      <c r="M380" s="1382"/>
      <c r="N380" s="1382"/>
      <c r="O380" s="1382"/>
      <c r="P380" s="1382"/>
      <c r="Q380" s="1382"/>
      <c r="R380" s="1382"/>
      <c r="S380" s="1382"/>
      <c r="T380" s="1382"/>
      <c r="U380" s="1382"/>
      <c r="V380" s="1382"/>
      <c r="W380" s="1382"/>
      <c r="X380" s="1382"/>
      <c r="Y380" s="1382"/>
      <c r="Z380" s="1382"/>
      <c r="AA380" s="1382"/>
      <c r="AB380" s="1382"/>
      <c r="AC380" s="1382"/>
      <c r="AD380" s="1382"/>
      <c r="AE380" s="1382"/>
      <c r="AF380" s="1382"/>
      <c r="AG380" s="1382"/>
      <c r="AH380" s="1382"/>
      <c r="AI380" s="1382"/>
      <c r="AJ380" s="181"/>
      <c r="AK380" s="181"/>
      <c r="AL380" s="181"/>
      <c r="AM380" s="181"/>
      <c r="AN380" s="181"/>
      <c r="AO380" s="181"/>
      <c r="AP380" s="181"/>
      <c r="AQ380" s="181"/>
      <c r="AR380" s="181"/>
      <c r="AS380" s="181"/>
      <c r="AT380" s="181"/>
      <c r="AU380" s="181"/>
      <c r="AV380" s="181"/>
      <c r="AW380" s="181"/>
    </row>
    <row r="381" spans="1:49" s="30" customFormat="1" ht="18.75" x14ac:dyDescent="0.25">
      <c r="A381" s="1407"/>
      <c r="B381" s="191"/>
      <c r="C381" s="945"/>
      <c r="D381" s="116" t="str">
        <f>IF('C-Design&amp;Const'!G381="","",'C-Design&amp;Const'!G381)</f>
        <v/>
      </c>
      <c r="E381" s="411"/>
      <c r="F381" s="411"/>
      <c r="G381" s="208"/>
      <c r="H381" s="411"/>
      <c r="I381" s="186"/>
      <c r="J381" s="578" t="str">
        <f>IF('C-Design&amp;Const'!AD381="","",'C-Design&amp;Const'!AD381)</f>
        <v/>
      </c>
      <c r="K381" s="228"/>
      <c r="L381" s="1410" t="str">
        <f t="shared" si="15"/>
        <v/>
      </c>
      <c r="M381" s="1382"/>
      <c r="N381" s="1382"/>
      <c r="O381" s="1382"/>
      <c r="P381" s="1382"/>
      <c r="Q381" s="1382"/>
      <c r="R381" s="1382"/>
      <c r="S381" s="1382"/>
      <c r="T381" s="1382"/>
      <c r="U381" s="1382"/>
      <c r="V381" s="1382"/>
      <c r="W381" s="1382"/>
      <c r="X381" s="1382"/>
      <c r="Y381" s="1382"/>
      <c r="Z381" s="1382"/>
      <c r="AA381" s="1382"/>
      <c r="AB381" s="1382"/>
      <c r="AC381" s="1382"/>
      <c r="AD381" s="1382"/>
      <c r="AE381" s="1382"/>
      <c r="AF381" s="1382"/>
      <c r="AG381" s="1382"/>
      <c r="AH381" s="1382"/>
      <c r="AI381" s="1382"/>
      <c r="AJ381" s="181"/>
      <c r="AK381" s="181"/>
      <c r="AL381" s="181"/>
      <c r="AM381" s="181"/>
      <c r="AN381" s="181"/>
      <c r="AO381" s="181"/>
      <c r="AP381" s="181"/>
      <c r="AQ381" s="181"/>
      <c r="AR381" s="181"/>
      <c r="AS381" s="181"/>
      <c r="AT381" s="181"/>
      <c r="AU381" s="181"/>
      <c r="AV381" s="181"/>
      <c r="AW381" s="181"/>
    </row>
    <row r="382" spans="1:49" s="30" customFormat="1" ht="18.75" customHeight="1" x14ac:dyDescent="0.25">
      <c r="A382" s="1407"/>
      <c r="B382" s="191"/>
      <c r="C382" s="928"/>
      <c r="D382" s="52" t="str">
        <f>IF('C-Design&amp;Const'!$G382="","",'C-Design&amp;Const'!$G382)</f>
        <v>N</v>
      </c>
      <c r="E382" s="234"/>
      <c r="F382" s="235"/>
      <c r="G382" s="291" t="str">
        <f>IF('C-Design&amp;Const'!Y382="","",'C-Design&amp;Const'!Y382)</f>
        <v>07b.</v>
      </c>
      <c r="H382" s="290" t="str">
        <f>(CONCATENATE('C-Design&amp;Const'!Z382,IF(D382="N"," Not Used In This Design Phase",J382)))</f>
        <v>Building Information Model (BIM) Not Used In This Design Phase</v>
      </c>
      <c r="I382" s="184"/>
      <c r="J382" s="578" t="str">
        <f>IF('C-Design&amp;Const'!AD382="","",'C-Design&amp;Const'!AD382)</f>
        <v/>
      </c>
      <c r="K382" s="228"/>
      <c r="L382" s="1410" t="str">
        <f t="shared" si="15"/>
        <v/>
      </c>
      <c r="M382" s="1382"/>
      <c r="N382" s="1382"/>
      <c r="O382" s="1382"/>
      <c r="P382" s="1382"/>
      <c r="Q382" s="1382"/>
      <c r="R382" s="1382"/>
      <c r="S382" s="1382"/>
      <c r="T382" s="1382"/>
      <c r="U382" s="1382"/>
      <c r="V382" s="1382"/>
      <c r="W382" s="1382"/>
      <c r="X382" s="1382"/>
      <c r="Y382" s="1382"/>
      <c r="Z382" s="1382"/>
      <c r="AA382" s="1382"/>
      <c r="AB382" s="1382"/>
      <c r="AC382" s="1382"/>
      <c r="AD382" s="1382"/>
      <c r="AE382" s="1382"/>
      <c r="AF382" s="1382"/>
      <c r="AG382" s="1382"/>
      <c r="AH382" s="1382"/>
      <c r="AI382" s="1382"/>
      <c r="AJ382" s="181"/>
      <c r="AK382" s="181"/>
      <c r="AL382" s="181"/>
      <c r="AM382" s="181"/>
      <c r="AN382" s="181"/>
      <c r="AO382" s="181"/>
      <c r="AP382" s="181"/>
      <c r="AQ382" s="181"/>
      <c r="AR382" s="181"/>
      <c r="AS382" s="181"/>
      <c r="AT382" s="181"/>
      <c r="AU382" s="181"/>
      <c r="AV382" s="181"/>
      <c r="AW382" s="181"/>
    </row>
    <row r="383" spans="1:49" s="30" customFormat="1" ht="18.75" x14ac:dyDescent="0.25">
      <c r="A383" s="1407"/>
      <c r="B383" s="191"/>
      <c r="C383" s="945"/>
      <c r="D383" s="116"/>
      <c r="E383" s="411"/>
      <c r="F383" s="411"/>
      <c r="G383" s="208"/>
      <c r="H383" s="411"/>
      <c r="I383" s="186"/>
      <c r="J383" s="578" t="str">
        <f>IF('C-Design&amp;Const'!AD383="","",'C-Design&amp;Const'!AD383)</f>
        <v/>
      </c>
      <c r="K383" s="228"/>
      <c r="L383" s="1410" t="str">
        <f t="shared" si="15"/>
        <v/>
      </c>
      <c r="M383" s="1382"/>
      <c r="N383" s="1382"/>
      <c r="O383" s="1382"/>
      <c r="P383" s="1382"/>
      <c r="Q383" s="1382"/>
      <c r="R383" s="1382"/>
      <c r="S383" s="1382"/>
      <c r="T383" s="1382"/>
      <c r="U383" s="1382"/>
      <c r="V383" s="1382"/>
      <c r="W383" s="1382"/>
      <c r="X383" s="1382"/>
      <c r="Y383" s="1382"/>
      <c r="Z383" s="1382"/>
      <c r="AA383" s="1382"/>
      <c r="AB383" s="1382"/>
      <c r="AC383" s="1382"/>
      <c r="AD383" s="1382"/>
      <c r="AE383" s="1382"/>
      <c r="AF383" s="1382"/>
      <c r="AG383" s="1382"/>
      <c r="AH383" s="1382"/>
      <c r="AI383" s="1382"/>
      <c r="AJ383" s="181"/>
      <c r="AK383" s="181"/>
      <c r="AL383" s="181"/>
      <c r="AM383" s="181"/>
      <c r="AN383" s="181"/>
      <c r="AO383" s="181"/>
      <c r="AP383" s="181"/>
      <c r="AQ383" s="181"/>
      <c r="AR383" s="181"/>
      <c r="AS383" s="181"/>
      <c r="AT383" s="181"/>
      <c r="AU383" s="181"/>
      <c r="AV383" s="181"/>
      <c r="AW383" s="181"/>
    </row>
    <row r="384" spans="1:49" s="30" customFormat="1" ht="18.75" hidden="1" x14ac:dyDescent="0.25">
      <c r="A384" s="1407"/>
      <c r="B384" s="191"/>
      <c r="C384" s="945"/>
      <c r="D384" s="116"/>
      <c r="E384" s="411"/>
      <c r="F384" s="411"/>
      <c r="G384" s="208"/>
      <c r="H384" s="411"/>
      <c r="I384" s="186"/>
      <c r="J384" s="578" t="str">
        <f>IF('C-Design&amp;Const'!AD384="","",'C-Design&amp;Const'!AD384)</f>
        <v/>
      </c>
      <c r="K384" s="228"/>
      <c r="L384" s="1410" t="str">
        <f t="shared" si="15"/>
        <v/>
      </c>
      <c r="M384" s="1382"/>
      <c r="N384" s="1382"/>
      <c r="O384" s="1382"/>
      <c r="P384" s="1382"/>
      <c r="Q384" s="1382"/>
      <c r="R384" s="1382"/>
      <c r="S384" s="1382"/>
      <c r="T384" s="1382"/>
      <c r="U384" s="1382"/>
      <c r="V384" s="1382"/>
      <c r="W384" s="1382"/>
      <c r="X384" s="1382"/>
      <c r="Y384" s="1382"/>
      <c r="Z384" s="1382"/>
      <c r="AA384" s="1382"/>
      <c r="AB384" s="1382"/>
      <c r="AC384" s="1382"/>
      <c r="AD384" s="1382"/>
      <c r="AE384" s="1382"/>
      <c r="AF384" s="1382"/>
      <c r="AG384" s="1382"/>
      <c r="AH384" s="1382"/>
      <c r="AI384" s="1382"/>
      <c r="AJ384" s="181"/>
      <c r="AK384" s="181"/>
      <c r="AL384" s="181"/>
      <c r="AM384" s="181"/>
      <c r="AN384" s="181"/>
      <c r="AO384" s="181"/>
      <c r="AP384" s="181"/>
      <c r="AQ384" s="181"/>
      <c r="AR384" s="181"/>
      <c r="AS384" s="181"/>
      <c r="AT384" s="181"/>
      <c r="AU384" s="181"/>
      <c r="AV384" s="181"/>
      <c r="AW384" s="181"/>
    </row>
    <row r="385" spans="1:49" s="30" customFormat="1" ht="18.75" x14ac:dyDescent="0.25">
      <c r="A385" s="1407"/>
      <c r="B385" s="191"/>
      <c r="C385" s="928"/>
      <c r="D385" s="52" t="str">
        <f>IF('C-Design&amp;Const'!G385="","",'C-Design&amp;Const'!G385)</f>
        <v>N</v>
      </c>
      <c r="E385" s="234"/>
      <c r="F385" s="235"/>
      <c r="G385" s="291" t="str">
        <f>IF('C-Design&amp;Const'!Y385="","",'C-Design&amp;Const'!Y385)</f>
        <v>08a.</v>
      </c>
      <c r="H385" s="290" t="str">
        <f>(CONCATENATE('C-Design&amp;Const'!Z385,IF(D385="N"," Not Used In This Design Phase",J385)))</f>
        <v>Design Presentation Not Used In This Design Phase</v>
      </c>
      <c r="I385" s="209"/>
      <c r="J385" s="578" t="str">
        <f>IF('C-Design&amp;Const'!AD385="","",'C-Design&amp;Const'!AD385)</f>
        <v xml:space="preserve"> of Draft Report to Client &amp; Capital Programs</v>
      </c>
      <c r="K385" s="228"/>
      <c r="L385" s="1410" t="str">
        <f t="shared" si="15"/>
        <v/>
      </c>
      <c r="M385" s="1382"/>
      <c r="N385" s="1382"/>
      <c r="O385" s="1382"/>
      <c r="P385" s="1382"/>
      <c r="Q385" s="1382"/>
      <c r="R385" s="1382"/>
      <c r="S385" s="1382"/>
      <c r="T385" s="1382"/>
      <c r="U385" s="1382"/>
      <c r="V385" s="1382"/>
      <c r="W385" s="1382"/>
      <c r="X385" s="1382"/>
      <c r="Y385" s="1382"/>
      <c r="Z385" s="1382"/>
      <c r="AA385" s="1382"/>
      <c r="AB385" s="1382"/>
      <c r="AC385" s="1382"/>
      <c r="AD385" s="1382"/>
      <c r="AE385" s="1382"/>
      <c r="AF385" s="1382"/>
      <c r="AG385" s="1382"/>
      <c r="AH385" s="1382"/>
      <c r="AI385" s="1382"/>
      <c r="AJ385" s="181"/>
      <c r="AK385" s="181"/>
      <c r="AL385" s="181"/>
      <c r="AM385" s="181"/>
      <c r="AN385" s="181"/>
      <c r="AO385" s="181"/>
      <c r="AP385" s="181"/>
      <c r="AQ385" s="181"/>
      <c r="AR385" s="181"/>
      <c r="AS385" s="181"/>
      <c r="AT385" s="181"/>
      <c r="AU385" s="181"/>
      <c r="AV385" s="181"/>
      <c r="AW385" s="181"/>
    </row>
    <row r="386" spans="1:49" s="30" customFormat="1" ht="15" customHeight="1" x14ac:dyDescent="0.25">
      <c r="A386" s="1407"/>
      <c r="B386" s="191"/>
      <c r="C386" s="945"/>
      <c r="D386" s="116"/>
      <c r="E386" s="559" t="str">
        <f>IF('C-Design&amp;Const'!$G386="","",'C-Design&amp;Const'!$G386)</f>
        <v>N</v>
      </c>
      <c r="F386" s="456"/>
      <c r="G386" s="457"/>
      <c r="H386" s="362" t="str">
        <f>CONCATENATE(IF(ISNUMBER(SEARCH("Placeholder",'C-Design&amp;Const'!Z386))=TRUE,"",IF(E386="N","PLACEHOLDER ROW - ","")),'C-Design&amp;Const'!Z386,IF(E386="N","",J386))</f>
        <v xml:space="preserve">PLACEHOLDER ROW - Overall Campus Map next to zoomed in aerial image map </v>
      </c>
      <c r="I386" s="193"/>
      <c r="J386" s="578" t="str">
        <f>IF('C-Design&amp;Const'!AD386="","",'C-Design&amp;Const'!AD386)</f>
        <v/>
      </c>
      <c r="K386" s="228"/>
      <c r="L386" s="1410" t="str">
        <f t="shared" si="15"/>
        <v>&lt;---PM/Planner may hide PLACEHOLDER ROW</v>
      </c>
      <c r="M386" s="1382"/>
      <c r="N386" s="1382"/>
      <c r="O386" s="1382"/>
      <c r="P386" s="1382"/>
      <c r="Q386" s="1382"/>
      <c r="R386" s="1382"/>
      <c r="S386" s="1382"/>
      <c r="T386" s="1382"/>
      <c r="U386" s="1382"/>
      <c r="V386" s="1382"/>
      <c r="W386" s="1382"/>
      <c r="X386" s="1382"/>
      <c r="Y386" s="1382"/>
      <c r="Z386" s="1382"/>
      <c r="AA386" s="1382"/>
      <c r="AB386" s="1382"/>
      <c r="AC386" s="1382"/>
      <c r="AD386" s="1382"/>
      <c r="AE386" s="1382"/>
      <c r="AF386" s="1382"/>
      <c r="AG386" s="1382"/>
      <c r="AH386" s="1382"/>
      <c r="AI386" s="1382"/>
      <c r="AJ386" s="181"/>
      <c r="AK386" s="181"/>
      <c r="AL386" s="181"/>
      <c r="AM386" s="181"/>
      <c r="AN386" s="181"/>
      <c r="AO386" s="181"/>
      <c r="AP386" s="181"/>
      <c r="AQ386" s="181"/>
      <c r="AR386" s="181"/>
      <c r="AS386" s="181"/>
      <c r="AT386" s="181"/>
      <c r="AU386" s="181"/>
      <c r="AV386" s="181"/>
      <c r="AW386" s="181"/>
    </row>
    <row r="387" spans="1:49" s="30" customFormat="1" ht="15" customHeight="1" x14ac:dyDescent="0.25">
      <c r="A387" s="1407"/>
      <c r="B387" s="191"/>
      <c r="C387" s="945"/>
      <c r="D387" s="116"/>
      <c r="E387" s="559" t="str">
        <f>IF('C-Design&amp;Const'!$G387="","",'C-Design&amp;Const'!$G387)</f>
        <v>N</v>
      </c>
      <c r="F387" s="460"/>
      <c r="G387" s="457"/>
      <c r="H387" s="362" t="str">
        <f>CONCATENATE(IF(ISNUMBER(SEARCH("Placeholder",'C-Design&amp;Const'!Z387))=TRUE,"",IF(E387="N","PLACEHOLDER ROW - ","")),'C-Design&amp;Const'!Z387,IF(E387="N","",J387))</f>
        <v>PLACEHOLDER ROW - Building Footprint on Master Plan</v>
      </c>
      <c r="I387" s="193"/>
      <c r="J387" s="578" t="str">
        <f>IF('C-Design&amp;Const'!AD387="","",'C-Design&amp;Const'!AD387)</f>
        <v/>
      </c>
      <c r="K387" s="228"/>
      <c r="L387" s="1410" t="str">
        <f t="shared" si="15"/>
        <v>&lt;---PM/Planner may hide PLACEHOLDER ROW</v>
      </c>
      <c r="M387" s="1382"/>
      <c r="N387" s="1382"/>
      <c r="O387" s="1382"/>
      <c r="P387" s="1382"/>
      <c r="Q387" s="1382"/>
      <c r="R387" s="1382"/>
      <c r="S387" s="1382"/>
      <c r="T387" s="1382"/>
      <c r="U387" s="1382"/>
      <c r="V387" s="1382"/>
      <c r="W387" s="1382"/>
      <c r="X387" s="1382"/>
      <c r="Y387" s="1382"/>
      <c r="Z387" s="1382"/>
      <c r="AA387" s="1382"/>
      <c r="AB387" s="1382"/>
      <c r="AC387" s="1382"/>
      <c r="AD387" s="1382"/>
      <c r="AE387" s="1382"/>
      <c r="AF387" s="1382"/>
      <c r="AG387" s="1382"/>
      <c r="AH387" s="1382"/>
      <c r="AI387" s="1382"/>
      <c r="AJ387" s="181"/>
      <c r="AK387" s="181"/>
      <c r="AL387" s="181"/>
      <c r="AM387" s="181"/>
      <c r="AN387" s="181"/>
      <c r="AO387" s="181"/>
      <c r="AP387" s="181"/>
      <c r="AQ387" s="181"/>
      <c r="AR387" s="181"/>
      <c r="AS387" s="181"/>
      <c r="AT387" s="181"/>
      <c r="AU387" s="181"/>
      <c r="AV387" s="181"/>
      <c r="AW387" s="181"/>
    </row>
    <row r="388" spans="1:49" s="30" customFormat="1" ht="15" customHeight="1" x14ac:dyDescent="0.25">
      <c r="A388" s="1407"/>
      <c r="B388" s="191"/>
      <c r="C388" s="945"/>
      <c r="D388" s="116"/>
      <c r="E388" s="559" t="str">
        <f>IF('C-Design&amp;Const'!$G388="","",'C-Design&amp;Const'!$G388)</f>
        <v>N</v>
      </c>
      <c r="F388" s="460"/>
      <c r="G388" s="457"/>
      <c r="H388" s="362" t="str">
        <f>CONCATENATE(IF(ISNUMBER(SEARCH("Placeholder",'C-Design&amp;Const'!Z388))=TRUE,"",IF(E388="N","PLACEHOLDER ROW - ","")),'C-Design&amp;Const'!Z388,IF(E388="N","",J388))</f>
        <v>PLACEHOLDER ROW - **Bullet Points of Major Project Goals &amp; Objectives, New GSF, Renovated GSF, Demolished GSF</v>
      </c>
      <c r="I388" s="193"/>
      <c r="J388" s="578" t="str">
        <f>IF('C-Design&amp;Const'!AD388="","",'C-Design&amp;Const'!AD388)</f>
        <v/>
      </c>
      <c r="K388" s="228"/>
      <c r="L388" s="1410" t="str">
        <f t="shared" si="15"/>
        <v>&lt;---PM/Planner may hide PLACEHOLDER ROW</v>
      </c>
      <c r="M388" s="1382"/>
      <c r="N388" s="1382"/>
      <c r="O388" s="1382"/>
      <c r="P388" s="1382"/>
      <c r="Q388" s="1382"/>
      <c r="R388" s="1382"/>
      <c r="S388" s="1382"/>
      <c r="T388" s="1382"/>
      <c r="U388" s="1382"/>
      <c r="V388" s="1382"/>
      <c r="W388" s="1382"/>
      <c r="X388" s="1382"/>
      <c r="Y388" s="1382"/>
      <c r="Z388" s="1382"/>
      <c r="AA388" s="1382"/>
      <c r="AB388" s="1382"/>
      <c r="AC388" s="1382"/>
      <c r="AD388" s="1382"/>
      <c r="AE388" s="1382"/>
      <c r="AF388" s="1382"/>
      <c r="AG388" s="1382"/>
      <c r="AH388" s="1382"/>
      <c r="AI388" s="1382"/>
      <c r="AJ388" s="181"/>
      <c r="AK388" s="181"/>
      <c r="AL388" s="181"/>
      <c r="AM388" s="181"/>
      <c r="AN388" s="181"/>
      <c r="AO388" s="181"/>
      <c r="AP388" s="181"/>
      <c r="AQ388" s="181"/>
      <c r="AR388" s="181"/>
      <c r="AS388" s="181"/>
      <c r="AT388" s="181"/>
      <c r="AU388" s="181"/>
      <c r="AV388" s="181"/>
      <c r="AW388" s="181"/>
    </row>
    <row r="389" spans="1:49" s="30" customFormat="1" ht="15" customHeight="1" x14ac:dyDescent="0.25">
      <c r="A389" s="1407"/>
      <c r="B389" s="191"/>
      <c r="C389" s="945"/>
      <c r="D389" s="116"/>
      <c r="E389" s="559" t="str">
        <f>IF('C-Design&amp;Const'!$G389="","",'C-Design&amp;Const'!$G389)</f>
        <v>N</v>
      </c>
      <c r="F389" s="460"/>
      <c r="G389" s="457"/>
      <c r="H389" s="362" t="str">
        <f>CONCATENATE(IF(ISNUMBER(SEARCH("Placeholder",'C-Design&amp;Const'!Z389))=TRUE,"",IF(E389="N","PLACEHOLDER ROW - ","")),'C-Design&amp;Const'!Z389,IF(E389="N","",J389))</f>
        <v>PLACEHOLDER ROW - **Overall Construction Budget, Construction Begin &amp; End</v>
      </c>
      <c r="I389" s="193"/>
      <c r="J389" s="578" t="str">
        <f>IF('C-Design&amp;Const'!AD389="","",'C-Design&amp;Const'!AD389)</f>
        <v/>
      </c>
      <c r="K389" s="228"/>
      <c r="L389" s="1410" t="str">
        <f t="shared" si="15"/>
        <v>&lt;---PM/Planner may hide PLACEHOLDER ROW</v>
      </c>
      <c r="M389" s="1382"/>
      <c r="N389" s="1382"/>
      <c r="O389" s="1382"/>
      <c r="P389" s="1382"/>
      <c r="Q389" s="1382"/>
      <c r="R389" s="1382"/>
      <c r="S389" s="1382"/>
      <c r="T389" s="1382"/>
      <c r="U389" s="1382"/>
      <c r="V389" s="1382"/>
      <c r="W389" s="1382"/>
      <c r="X389" s="1382"/>
      <c r="Y389" s="1382"/>
      <c r="Z389" s="1382"/>
      <c r="AA389" s="1382"/>
      <c r="AB389" s="1382"/>
      <c r="AC389" s="1382"/>
      <c r="AD389" s="1382"/>
      <c r="AE389" s="1382"/>
      <c r="AF389" s="1382"/>
      <c r="AG389" s="1382"/>
      <c r="AH389" s="1382"/>
      <c r="AI389" s="1382"/>
      <c r="AJ389" s="181"/>
      <c r="AK389" s="181"/>
      <c r="AL389" s="181"/>
      <c r="AM389" s="181"/>
      <c r="AN389" s="181"/>
      <c r="AO389" s="181"/>
      <c r="AP389" s="181"/>
      <c r="AQ389" s="181"/>
      <c r="AR389" s="181"/>
      <c r="AS389" s="181"/>
      <c r="AT389" s="181"/>
      <c r="AU389" s="181"/>
      <c r="AV389" s="181"/>
      <c r="AW389" s="181"/>
    </row>
    <row r="390" spans="1:49" s="30" customFormat="1" ht="15" customHeight="1" x14ac:dyDescent="0.25">
      <c r="A390" s="1407"/>
      <c r="B390" s="191"/>
      <c r="C390" s="945"/>
      <c r="D390" s="116"/>
      <c r="E390" s="559" t="str">
        <f>IF('C-Design&amp;Const'!$G390="","",'C-Design&amp;Const'!$G390)</f>
        <v>N</v>
      </c>
      <c r="F390" s="460"/>
      <c r="G390" s="457"/>
      <c r="H390" s="362" t="str">
        <f>CONCATENATE(IF(ISNUMBER(SEARCH("Placeholder",'C-Design&amp;Const'!Z390))=TRUE,"",IF(E390="N","PLACEHOLDER ROW - ","")),'C-Design&amp;Const'!Z390,IF(E390="N","",J390))</f>
        <v>PLACEHOLDER ROW - **LEED Goal (and LEED Project Checklist - for client presentations only)</v>
      </c>
      <c r="I390" s="193"/>
      <c r="J390" s="578" t="str">
        <f>IF('C-Design&amp;Const'!AD390="","",'C-Design&amp;Const'!AD390)</f>
        <v/>
      </c>
      <c r="K390" s="228"/>
      <c r="L390" s="1410" t="str">
        <f t="shared" si="15"/>
        <v>&lt;---PM/Planner may hide PLACEHOLDER ROW</v>
      </c>
      <c r="M390" s="1382"/>
      <c r="N390" s="1382"/>
      <c r="O390" s="1382"/>
      <c r="P390" s="1382"/>
      <c r="Q390" s="1382"/>
      <c r="R390" s="1382"/>
      <c r="S390" s="1382"/>
      <c r="T390" s="1382"/>
      <c r="U390" s="1382"/>
      <c r="V390" s="1382"/>
      <c r="W390" s="1382"/>
      <c r="X390" s="1382"/>
      <c r="Y390" s="1382"/>
      <c r="Z390" s="1382"/>
      <c r="AA390" s="1382"/>
      <c r="AB390" s="1382"/>
      <c r="AC390" s="1382"/>
      <c r="AD390" s="1382"/>
      <c r="AE390" s="1382"/>
      <c r="AF390" s="1382"/>
      <c r="AG390" s="1382"/>
      <c r="AH390" s="1382"/>
      <c r="AI390" s="1382"/>
      <c r="AJ390" s="181"/>
      <c r="AK390" s="181"/>
      <c r="AL390" s="181"/>
      <c r="AM390" s="181"/>
      <c r="AN390" s="181"/>
      <c r="AO390" s="181"/>
      <c r="AP390" s="181"/>
      <c r="AQ390" s="181"/>
      <c r="AR390" s="181"/>
      <c r="AS390" s="181"/>
      <c r="AT390" s="181"/>
      <c r="AU390" s="181"/>
      <c r="AV390" s="181"/>
      <c r="AW390" s="181"/>
    </row>
    <row r="391" spans="1:49" s="30" customFormat="1" ht="15" customHeight="1" x14ac:dyDescent="0.25">
      <c r="A391" s="1407"/>
      <c r="B391" s="191"/>
      <c r="C391" s="945"/>
      <c r="D391" s="116"/>
      <c r="E391" s="559" t="str">
        <f>IF('C-Design&amp;Const'!$G391="","",'C-Design&amp;Const'!$G391)</f>
        <v>N</v>
      </c>
      <c r="F391" s="460"/>
      <c r="G391" s="457"/>
      <c r="H391" s="362" t="str">
        <f>CONCATENATE(IF(ISNUMBER(SEARCH("Placeholder",'C-Design&amp;Const'!Z391))=TRUE,"",IF(E391="N","PLACEHOLDER ROW - ","")),'C-Design&amp;Const'!Z391,IF(E391="N","",J391))</f>
        <v>PLACEHOLDER ROW - Proposed combined Site / Landscape Plan</v>
      </c>
      <c r="I391" s="193"/>
      <c r="J391" s="578" t="str">
        <f>IF('C-Design&amp;Const'!AD391="","",'C-Design&amp;Const'!AD391)</f>
        <v/>
      </c>
      <c r="K391" s="228"/>
      <c r="L391" s="1410" t="str">
        <f t="shared" si="15"/>
        <v>&lt;---PM/Planner may hide PLACEHOLDER ROW</v>
      </c>
      <c r="M391" s="1382"/>
      <c r="N391" s="1382"/>
      <c r="O391" s="1382"/>
      <c r="P391" s="1382"/>
      <c r="Q391" s="1382"/>
      <c r="R391" s="1382"/>
      <c r="S391" s="1382"/>
      <c r="T391" s="1382"/>
      <c r="U391" s="1382"/>
      <c r="V391" s="1382"/>
      <c r="W391" s="1382"/>
      <c r="X391" s="1382"/>
      <c r="Y391" s="1382"/>
      <c r="Z391" s="1382"/>
      <c r="AA391" s="1382"/>
      <c r="AB391" s="1382"/>
      <c r="AC391" s="1382"/>
      <c r="AD391" s="1382"/>
      <c r="AE391" s="1382"/>
      <c r="AF391" s="1382"/>
      <c r="AG391" s="1382"/>
      <c r="AH391" s="1382"/>
      <c r="AI391" s="1382"/>
      <c r="AJ391" s="181"/>
      <c r="AK391" s="181"/>
      <c r="AL391" s="181"/>
      <c r="AM391" s="181"/>
      <c r="AN391" s="181"/>
      <c r="AO391" s="181"/>
      <c r="AP391" s="181"/>
      <c r="AQ391" s="181"/>
      <c r="AR391" s="181"/>
      <c r="AS391" s="181"/>
      <c r="AT391" s="181"/>
      <c r="AU391" s="181"/>
      <c r="AV391" s="181"/>
      <c r="AW391" s="181"/>
    </row>
    <row r="392" spans="1:49" s="30" customFormat="1" ht="15" customHeight="1" x14ac:dyDescent="0.25">
      <c r="A392" s="1407"/>
      <c r="B392" s="191"/>
      <c r="C392" s="945"/>
      <c r="D392" s="116"/>
      <c r="E392" s="559" t="str">
        <f>IF('C-Design&amp;Const'!$G392="","",'C-Design&amp;Const'!$G392)</f>
        <v>N</v>
      </c>
      <c r="F392" s="460"/>
      <c r="G392" s="457"/>
      <c r="H392" s="362" t="str">
        <f>CONCATENATE(IF(ISNUMBER(SEARCH("Placeholder",'C-Design&amp;Const'!Z392))=TRUE,"",IF(E392="N","PLACEHOLDER ROW - ","")),'C-Design&amp;Const'!Z392,IF(E392="N","",J392))</f>
        <v xml:space="preserve">PLACEHOLDER ROW - Massing or Renderings of </v>
      </c>
      <c r="I392" s="193"/>
      <c r="J392" s="578" t="str">
        <f>IF('C-Design&amp;Const'!AD392="","",'C-Design&amp;Const'!AD392)</f>
        <v/>
      </c>
      <c r="K392" s="228"/>
      <c r="L392" s="1410" t="str">
        <f>CONCATENATE(IF(ISNUMBER(SEARCH("Placeholder",H392))=TRUE,"&lt;---PM/Planner may hide PLACEHOLDER ROW",""))</f>
        <v>&lt;---PM/Planner may hide PLACEHOLDER ROW</v>
      </c>
      <c r="M392" s="1382"/>
      <c r="N392" s="1382"/>
      <c r="O392" s="1382"/>
      <c r="P392" s="1382"/>
      <c r="Q392" s="1382"/>
      <c r="R392" s="1382"/>
      <c r="S392" s="1382"/>
      <c r="T392" s="1382"/>
      <c r="U392" s="1382"/>
      <c r="V392" s="1382"/>
      <c r="W392" s="1382"/>
      <c r="X392" s="1382"/>
      <c r="Y392" s="1382"/>
      <c r="Z392" s="1382"/>
      <c r="AA392" s="1382"/>
      <c r="AB392" s="1382"/>
      <c r="AC392" s="1382"/>
      <c r="AD392" s="1382"/>
      <c r="AE392" s="1382"/>
      <c r="AF392" s="1382"/>
      <c r="AG392" s="1382"/>
      <c r="AH392" s="1382"/>
      <c r="AI392" s="1382"/>
      <c r="AJ392" s="181"/>
      <c r="AK392" s="181"/>
      <c r="AL392" s="181"/>
      <c r="AM392" s="181"/>
      <c r="AN392" s="181"/>
      <c r="AO392" s="181"/>
      <c r="AP392" s="181"/>
      <c r="AQ392" s="181"/>
      <c r="AR392" s="181"/>
      <c r="AS392" s="181"/>
      <c r="AT392" s="181"/>
      <c r="AU392" s="181"/>
      <c r="AV392" s="181"/>
      <c r="AW392" s="181"/>
    </row>
    <row r="393" spans="1:49" s="30" customFormat="1" ht="15" customHeight="1" x14ac:dyDescent="0.25">
      <c r="A393" s="1407"/>
      <c r="B393" s="191"/>
      <c r="C393" s="945"/>
      <c r="D393" s="116"/>
      <c r="E393" s="473"/>
      <c r="F393" s="460" t="str">
        <f>IF('C-Design&amp;Const'!$G393="","",'C-Design&amp;Const'!$G393)</f>
        <v>N</v>
      </c>
      <c r="G393" s="457"/>
      <c r="H393" s="414" t="str">
        <f>CONCATENATE(IF(E393="N","PLACEHOLDER ROW - ",""),'C-Design&amp;Const'!Z393,IF(E393="N","",J393))</f>
        <v>All Exterior Elevations with materials identified</v>
      </c>
      <c r="I393" s="193"/>
      <c r="J393" s="578" t="str">
        <f>IF('C-Design&amp;Const'!AD393="","",'C-Design&amp;Const'!AD393)</f>
        <v/>
      </c>
      <c r="K393" s="228"/>
      <c r="L393" s="1410" t="str">
        <f>CONCATENATE(IF(ISNUMBER(SEARCH("Placeholder",H393))=TRUE,"&lt;---PM/Planner may hide PLACEHOLDER ROW",""))</f>
        <v/>
      </c>
      <c r="M393" s="1382"/>
      <c r="N393" s="1382"/>
      <c r="O393" s="1382"/>
      <c r="P393" s="1382"/>
      <c r="Q393" s="1382"/>
      <c r="R393" s="1382"/>
      <c r="S393" s="1382"/>
      <c r="T393" s="1382"/>
      <c r="U393" s="1382"/>
      <c r="V393" s="1382"/>
      <c r="W393" s="1382"/>
      <c r="X393" s="1382"/>
      <c r="Y393" s="1382"/>
      <c r="Z393" s="1382"/>
      <c r="AA393" s="1382"/>
      <c r="AB393" s="1382"/>
      <c r="AC393" s="1382"/>
      <c r="AD393" s="1382"/>
      <c r="AE393" s="1382"/>
      <c r="AF393" s="1382"/>
      <c r="AG393" s="1382"/>
      <c r="AH393" s="1382"/>
      <c r="AI393" s="1382"/>
      <c r="AJ393" s="181"/>
      <c r="AK393" s="181"/>
      <c r="AL393" s="181"/>
      <c r="AM393" s="181"/>
      <c r="AN393" s="181"/>
      <c r="AO393" s="181"/>
      <c r="AP393" s="181"/>
      <c r="AQ393" s="181"/>
      <c r="AR393" s="181"/>
      <c r="AS393" s="181"/>
      <c r="AT393" s="181"/>
      <c r="AU393" s="181"/>
      <c r="AV393" s="181"/>
      <c r="AW393" s="181"/>
    </row>
    <row r="394" spans="1:49" s="30" customFormat="1" ht="24" customHeight="1" x14ac:dyDescent="0.25">
      <c r="A394" s="1407"/>
      <c r="B394" s="191"/>
      <c r="C394" s="945"/>
      <c r="D394" s="116"/>
      <c r="E394" s="472"/>
      <c r="F394" s="460" t="str">
        <f>IF('C-Design&amp;Const'!$G394="","",'C-Design&amp;Const'!$G394)</f>
        <v>N</v>
      </c>
      <c r="G394" s="457"/>
      <c r="H394" s="414" t="str">
        <f>CONCATENATE(IF(E394="N","PLACEHOLDER ROW - ",""),'C-Design&amp;Const'!Z394,IF(E394="N","",J394))</f>
        <v>All major public spaces (entrances, galleries, auditoriums, lecture halls, etc…) with materials identified</v>
      </c>
      <c r="I394" s="193"/>
      <c r="J394" s="578" t="str">
        <f>IF('C-Design&amp;Const'!AD394="","",'C-Design&amp;Const'!AD394)</f>
        <v/>
      </c>
      <c r="K394" s="228"/>
      <c r="L394" s="1410" t="str">
        <f>CONCATENATE(IF(ISNUMBER(SEARCH("Placeholder",H394))=TRUE,"&lt;---PM/Planner may hide PLACEHOLDER ROW",""))</f>
        <v/>
      </c>
      <c r="M394" s="1382"/>
      <c r="N394" s="1382"/>
      <c r="O394" s="1382"/>
      <c r="P394" s="1382"/>
      <c r="Q394" s="1382"/>
      <c r="R394" s="1382"/>
      <c r="S394" s="1382"/>
      <c r="T394" s="1382"/>
      <c r="U394" s="1382"/>
      <c r="V394" s="1382"/>
      <c r="W394" s="1382"/>
      <c r="X394" s="1382"/>
      <c r="Y394" s="1382"/>
      <c r="Z394" s="1382"/>
      <c r="AA394" s="1382"/>
      <c r="AB394" s="1382"/>
      <c r="AC394" s="1382"/>
      <c r="AD394" s="1382"/>
      <c r="AE394" s="1382"/>
      <c r="AF394" s="1382"/>
      <c r="AG394" s="1382"/>
      <c r="AH394" s="1382"/>
      <c r="AI394" s="1382"/>
      <c r="AJ394" s="181"/>
      <c r="AK394" s="181"/>
      <c r="AL394" s="181"/>
      <c r="AM394" s="181"/>
      <c r="AN394" s="181"/>
      <c r="AO394" s="181"/>
      <c r="AP394" s="181"/>
      <c r="AQ394" s="181"/>
      <c r="AR394" s="181"/>
      <c r="AS394" s="181"/>
      <c r="AT394" s="181"/>
      <c r="AU394" s="181"/>
      <c r="AV394" s="181"/>
      <c r="AW394" s="181"/>
    </row>
    <row r="395" spans="1:49" s="30" customFormat="1" ht="15" customHeight="1" x14ac:dyDescent="0.25">
      <c r="A395" s="1407"/>
      <c r="B395" s="191"/>
      <c r="C395" s="945"/>
      <c r="D395" s="116"/>
      <c r="E395" s="559" t="str">
        <f>IF('C-Design&amp;Const'!$G395="","",'C-Design&amp;Const'!$G395)</f>
        <v>N</v>
      </c>
      <c r="F395" s="460"/>
      <c r="G395" s="457"/>
      <c r="H395" s="362" t="str">
        <f>CONCATENATE(IF(ISNUMBER(SEARCH("Placeholder",'C-Design&amp;Const'!Z395))=TRUE,"",IF(E395="N","PLACEHOLDER ROW - ","")),'C-Design&amp;Const'!Z395,IF(E395="N","",J395))</f>
        <v>PLACEHOLDER ROW - Stacked Floor Plans with space types show by color (include key)</v>
      </c>
      <c r="I395" s="193"/>
      <c r="J395" s="578" t="str">
        <f>IF('C-Design&amp;Const'!AD395="","",'C-Design&amp;Const'!AD395)</f>
        <v/>
      </c>
      <c r="K395" s="228"/>
      <c r="L395" s="1410" t="str">
        <f t="shared" si="15"/>
        <v>&lt;---PM/Planner may hide PLACEHOLDER ROW</v>
      </c>
      <c r="M395" s="1382"/>
      <c r="N395" s="1382"/>
      <c r="O395" s="1382"/>
      <c r="P395" s="1382"/>
      <c r="Q395" s="1382"/>
      <c r="R395" s="1382"/>
      <c r="S395" s="1382"/>
      <c r="T395" s="1382"/>
      <c r="U395" s="1382"/>
      <c r="V395" s="1382"/>
      <c r="W395" s="1382"/>
      <c r="X395" s="1382"/>
      <c r="Y395" s="1382"/>
      <c r="Z395" s="1382"/>
      <c r="AA395" s="1382"/>
      <c r="AB395" s="1382"/>
      <c r="AC395" s="1382"/>
      <c r="AD395" s="1382"/>
      <c r="AE395" s="1382"/>
      <c r="AF395" s="1382"/>
      <c r="AG395" s="1382"/>
      <c r="AH395" s="1382"/>
      <c r="AI395" s="1382"/>
      <c r="AJ395" s="181"/>
      <c r="AK395" s="181"/>
      <c r="AL395" s="181"/>
      <c r="AM395" s="181"/>
      <c r="AN395" s="181"/>
      <c r="AO395" s="181"/>
      <c r="AP395" s="181"/>
      <c r="AQ395" s="181"/>
      <c r="AR395" s="181"/>
      <c r="AS395" s="181"/>
      <c r="AT395" s="181"/>
      <c r="AU395" s="181"/>
      <c r="AV395" s="181"/>
      <c r="AW395" s="181"/>
    </row>
    <row r="396" spans="1:49" s="30" customFormat="1" ht="15" customHeight="1" x14ac:dyDescent="0.25">
      <c r="A396" s="1407"/>
      <c r="B396" s="191"/>
      <c r="C396" s="945"/>
      <c r="D396" s="116"/>
      <c r="E396" s="559" t="str">
        <f>IF('C-Design&amp;Const'!$G396="","",'C-Design&amp;Const'!$G396)</f>
        <v>N</v>
      </c>
      <c r="F396" s="460"/>
      <c r="G396" s="457"/>
      <c r="H396" s="362" t="str">
        <f>CONCATENATE(IF(ISNUMBER(SEARCH("Placeholder",'C-Design&amp;Const'!Z396))=TRUE,"",IF(E396="N","PLACEHOLDER ROW - ","")),'C-Design&amp;Const'!Z396,IF(E396="N","",J396))</f>
        <v>PLACEHOLDER ROW - Simple full building sections showing relative spaces and framing from floor to floor.</v>
      </c>
      <c r="I396" s="193"/>
      <c r="J396" s="578" t="str">
        <f>IF('C-Design&amp;Const'!AD396="","",'C-Design&amp;Const'!AD396)</f>
        <v/>
      </c>
      <c r="K396" s="228"/>
      <c r="L396" s="1410" t="str">
        <f t="shared" si="15"/>
        <v>&lt;---PM/Planner may hide PLACEHOLDER ROW</v>
      </c>
      <c r="M396" s="1382"/>
      <c r="N396" s="1382"/>
      <c r="O396" s="1382"/>
      <c r="P396" s="1382"/>
      <c r="Q396" s="1382"/>
      <c r="R396" s="1382"/>
      <c r="S396" s="1382"/>
      <c r="T396" s="1382"/>
      <c r="U396" s="1382"/>
      <c r="V396" s="1382"/>
      <c r="W396" s="1382"/>
      <c r="X396" s="1382"/>
      <c r="Y396" s="1382"/>
      <c r="Z396" s="1382"/>
      <c r="AA396" s="1382"/>
      <c r="AB396" s="1382"/>
      <c r="AC396" s="1382"/>
      <c r="AD396" s="1382"/>
      <c r="AE396" s="1382"/>
      <c r="AF396" s="1382"/>
      <c r="AG396" s="1382"/>
      <c r="AH396" s="1382"/>
      <c r="AI396" s="1382"/>
      <c r="AJ396" s="181"/>
      <c r="AK396" s="181"/>
      <c r="AL396" s="181"/>
      <c r="AM396" s="181"/>
      <c r="AN396" s="181"/>
      <c r="AO396" s="181"/>
      <c r="AP396" s="181"/>
      <c r="AQ396" s="181"/>
      <c r="AR396" s="181"/>
      <c r="AS396" s="181"/>
      <c r="AT396" s="181"/>
      <c r="AU396" s="181"/>
      <c r="AV396" s="181"/>
      <c r="AW396" s="181"/>
    </row>
    <row r="397" spans="1:49" s="30" customFormat="1" ht="15" customHeight="1" x14ac:dyDescent="0.25">
      <c r="A397" s="1407"/>
      <c r="B397" s="191"/>
      <c r="C397" s="945"/>
      <c r="D397" s="116"/>
      <c r="E397" s="559" t="str">
        <f>IF('C-Design&amp;Const'!$G397="","",'C-Design&amp;Const'!$G397)</f>
        <v>N</v>
      </c>
      <c r="F397" s="460"/>
      <c r="G397" s="457"/>
      <c r="H397" s="362" t="str">
        <f>CONCATENATE(IF(ISNUMBER(SEARCH("Placeholder",'C-Design&amp;Const'!Z397))=TRUE,"",IF(E397="N","PLACEHOLDER ROW - ","")),'C-Design&amp;Const'!Z397,IF(E397="N","",J397))</f>
        <v>PLACEHOLDER ROW - General Air Handling Unit Fan Maps (verify with PM if necessary)</v>
      </c>
      <c r="I397" s="193"/>
      <c r="J397" s="578" t="str">
        <f>IF('C-Design&amp;Const'!AD397="","",'C-Design&amp;Const'!AD397)</f>
        <v/>
      </c>
      <c r="K397" s="228"/>
      <c r="L397" s="1410" t="str">
        <f t="shared" si="15"/>
        <v>&lt;---PM/Planner may hide PLACEHOLDER ROW</v>
      </c>
      <c r="M397" s="1382"/>
      <c r="N397" s="1382"/>
      <c r="O397" s="1382"/>
      <c r="P397" s="1382"/>
      <c r="Q397" s="1382"/>
      <c r="R397" s="1382"/>
      <c r="S397" s="1382"/>
      <c r="T397" s="1382"/>
      <c r="U397" s="1382"/>
      <c r="V397" s="1382"/>
      <c r="W397" s="1382"/>
      <c r="X397" s="1382"/>
      <c r="Y397" s="1382"/>
      <c r="Z397" s="1382"/>
      <c r="AA397" s="1382"/>
      <c r="AB397" s="1382"/>
      <c r="AC397" s="1382"/>
      <c r="AD397" s="1382"/>
      <c r="AE397" s="1382"/>
      <c r="AF397" s="1382"/>
      <c r="AG397" s="1382"/>
      <c r="AH397" s="1382"/>
      <c r="AI397" s="1382"/>
      <c r="AJ397" s="181"/>
      <c r="AK397" s="181"/>
      <c r="AL397" s="181"/>
      <c r="AM397" s="181"/>
      <c r="AN397" s="181"/>
      <c r="AO397" s="181"/>
      <c r="AP397" s="181"/>
      <c r="AQ397" s="181"/>
      <c r="AR397" s="181"/>
      <c r="AS397" s="181"/>
      <c r="AT397" s="181"/>
      <c r="AU397" s="181"/>
      <c r="AV397" s="181"/>
      <c r="AW397" s="181"/>
    </row>
    <row r="398" spans="1:49" s="30" customFormat="1" ht="15" customHeight="1" x14ac:dyDescent="0.25">
      <c r="A398" s="1407"/>
      <c r="B398" s="191"/>
      <c r="C398" s="945"/>
      <c r="D398" s="116"/>
      <c r="E398" s="559" t="str">
        <f>IF('C-Design&amp;Const'!$G398="","",'C-Design&amp;Const'!$G398)</f>
        <v>N</v>
      </c>
      <c r="F398" s="460"/>
      <c r="G398" s="457"/>
      <c r="H398" s="362" t="str">
        <f>CONCATENATE(IF(ISNUMBER(SEARCH("Placeholder",'C-Design&amp;Const'!Z398))=TRUE,"",IF(E398="N","PLACEHOLDER ROW - ","")),'C-Design&amp;Const'!Z398,IF(E398="N","",J398))</f>
        <v>PLACEHOLDER ROW - Design Concept(s) Considered and Design Concept(s) Selected w/ Construction Budget</v>
      </c>
      <c r="I398" s="193"/>
      <c r="J398" s="578" t="str">
        <f>IF('C-Design&amp;Const'!AD398="","",'C-Design&amp;Const'!AD398)</f>
        <v/>
      </c>
      <c r="K398" s="228"/>
      <c r="L398" s="1410" t="str">
        <f t="shared" si="15"/>
        <v>&lt;---PM/Planner may hide PLACEHOLDER ROW</v>
      </c>
      <c r="M398" s="1382"/>
      <c r="N398" s="1382"/>
      <c r="O398" s="1382"/>
      <c r="P398" s="1382"/>
      <c r="Q398" s="1382"/>
      <c r="R398" s="1382"/>
      <c r="S398" s="1382"/>
      <c r="T398" s="1382"/>
      <c r="U398" s="1382"/>
      <c r="V398" s="1382"/>
      <c r="W398" s="1382"/>
      <c r="X398" s="1382"/>
      <c r="Y398" s="1382"/>
      <c r="Z398" s="1382"/>
      <c r="AA398" s="1382"/>
      <c r="AB398" s="1382"/>
      <c r="AC398" s="1382"/>
      <c r="AD398" s="1382"/>
      <c r="AE398" s="1382"/>
      <c r="AF398" s="1382"/>
      <c r="AG398" s="1382"/>
      <c r="AH398" s="1382"/>
      <c r="AI398" s="1382"/>
      <c r="AJ398" s="181"/>
      <c r="AK398" s="181"/>
      <c r="AL398" s="181"/>
      <c r="AM398" s="181"/>
      <c r="AN398" s="181"/>
      <c r="AO398" s="181"/>
      <c r="AP398" s="181"/>
      <c r="AQ398" s="181"/>
      <c r="AR398" s="181"/>
      <c r="AS398" s="181"/>
      <c r="AT398" s="181"/>
      <c r="AU398" s="181"/>
      <c r="AV398" s="181"/>
      <c r="AW398" s="181"/>
    </row>
    <row r="399" spans="1:49" s="30" customFormat="1" ht="15" customHeight="1" x14ac:dyDescent="0.25">
      <c r="A399" s="1407"/>
      <c r="B399" s="191"/>
      <c r="C399" s="945"/>
      <c r="D399" s="116"/>
      <c r="E399" s="559" t="str">
        <f>IF('C-Design&amp;Const'!$G399="","",'C-Design&amp;Const'!$G399)</f>
        <v>N</v>
      </c>
      <c r="F399" s="460"/>
      <c r="G399" s="457"/>
      <c r="H399" s="362" t="str">
        <f>CONCATENATE(IF(ISNUMBER(SEARCH("Placeholder",'C-Design&amp;Const'!Z399))=TRUE,"",IF(E399="N","PLACEHOLDER ROW - ","")),'C-Design&amp;Const'!Z399,IF(E399="N","",J399))</f>
        <v>PLACEHOLDER ROW - CUSTOM ROW - OPTIONAL CLIENT ITEM</v>
      </c>
      <c r="I399" s="193"/>
      <c r="J399" s="578" t="str">
        <f>IF('C-Design&amp;Const'!AD399="","",'C-Design&amp;Const'!AD399)</f>
        <v/>
      </c>
      <c r="K399" s="228"/>
      <c r="L399" s="1410" t="str">
        <f t="shared" si="15"/>
        <v>&lt;---PM/Planner may hide PLACEHOLDER ROW</v>
      </c>
      <c r="M399" s="1382"/>
      <c r="N399" s="1382"/>
      <c r="O399" s="1382"/>
      <c r="P399" s="1382"/>
      <c r="Q399" s="1382"/>
      <c r="R399" s="1382"/>
      <c r="S399" s="1382"/>
      <c r="T399" s="1382"/>
      <c r="U399" s="1382"/>
      <c r="V399" s="1382"/>
      <c r="W399" s="1382"/>
      <c r="X399" s="1382"/>
      <c r="Y399" s="1382"/>
      <c r="Z399" s="1382"/>
      <c r="AA399" s="1382"/>
      <c r="AB399" s="1382"/>
      <c r="AC399" s="1382"/>
      <c r="AD399" s="1382"/>
      <c r="AE399" s="1382"/>
      <c r="AF399" s="1382"/>
      <c r="AG399" s="1382"/>
      <c r="AH399" s="1382"/>
      <c r="AI399" s="1382"/>
      <c r="AJ399" s="181"/>
      <c r="AK399" s="181"/>
      <c r="AL399" s="181"/>
      <c r="AM399" s="181"/>
      <c r="AN399" s="181"/>
      <c r="AO399" s="181"/>
      <c r="AP399" s="181"/>
      <c r="AQ399" s="181"/>
      <c r="AR399" s="181"/>
      <c r="AS399" s="181"/>
      <c r="AT399" s="181"/>
      <c r="AU399" s="181"/>
      <c r="AV399" s="181"/>
      <c r="AW399" s="181"/>
    </row>
    <row r="400" spans="1:49" s="30" customFormat="1" ht="15" customHeight="1" x14ac:dyDescent="0.25">
      <c r="A400" s="1407"/>
      <c r="B400" s="191"/>
      <c r="C400" s="945"/>
      <c r="D400" s="116"/>
      <c r="E400" s="559" t="str">
        <f>IF('C-Design&amp;Const'!$G400="","",'C-Design&amp;Const'!$G400)</f>
        <v>N</v>
      </c>
      <c r="F400" s="460"/>
      <c r="G400" s="457"/>
      <c r="H400" s="362" t="str">
        <f>CONCATENATE(IF(ISNUMBER(SEARCH("Placeholder",'C-Design&amp;Const'!Z400))=TRUE,"",IF(E400="N","PLACEHOLDER ROW - ","")),'C-Design&amp;Const'!Z400,IF(E400="N","",J400))</f>
        <v>PLACEHOLDER ROW - CUSTOM ROW - OPTIONAL CLIENT ITEM</v>
      </c>
      <c r="I400" s="193"/>
      <c r="J400" s="578" t="str">
        <f>IF('C-Design&amp;Const'!AD400="","",'C-Design&amp;Const'!AD400)</f>
        <v/>
      </c>
      <c r="K400" s="228"/>
      <c r="L400" s="1410" t="str">
        <f t="shared" si="15"/>
        <v>&lt;---PM/Planner may hide PLACEHOLDER ROW</v>
      </c>
      <c r="M400" s="1382"/>
      <c r="N400" s="1382"/>
      <c r="O400" s="1382"/>
      <c r="P400" s="1382"/>
      <c r="Q400" s="1382"/>
      <c r="R400" s="1382"/>
      <c r="S400" s="1382"/>
      <c r="T400" s="1382"/>
      <c r="U400" s="1382"/>
      <c r="V400" s="1382"/>
      <c r="W400" s="1382"/>
      <c r="X400" s="1382"/>
      <c r="Y400" s="1382"/>
      <c r="Z400" s="1382"/>
      <c r="AA400" s="1382"/>
      <c r="AB400" s="1382"/>
      <c r="AC400" s="1382"/>
      <c r="AD400" s="1382"/>
      <c r="AE400" s="1382"/>
      <c r="AF400" s="1382"/>
      <c r="AG400" s="1382"/>
      <c r="AH400" s="1382"/>
      <c r="AI400" s="1382"/>
      <c r="AJ400" s="181"/>
      <c r="AK400" s="181"/>
      <c r="AL400" s="181"/>
      <c r="AM400" s="181"/>
      <c r="AN400" s="181"/>
      <c r="AO400" s="181"/>
      <c r="AP400" s="181"/>
      <c r="AQ400" s="181"/>
      <c r="AR400" s="181"/>
      <c r="AS400" s="181"/>
      <c r="AT400" s="181"/>
      <c r="AU400" s="181"/>
      <c r="AV400" s="181"/>
      <c r="AW400" s="181"/>
    </row>
    <row r="401" spans="1:49" s="30" customFormat="1" ht="15" customHeight="1" x14ac:dyDescent="0.25">
      <c r="A401" s="1407"/>
      <c r="B401" s="191"/>
      <c r="C401" s="945"/>
      <c r="D401" s="116"/>
      <c r="E401" s="559" t="str">
        <f>IF('C-Design&amp;Const'!$G401="","",'C-Design&amp;Const'!$G401)</f>
        <v>N</v>
      </c>
      <c r="F401" s="460"/>
      <c r="G401" s="457"/>
      <c r="H401" s="362" t="str">
        <f>CONCATENATE(IF(ISNUMBER(SEARCH("Placeholder",'C-Design&amp;Const'!Z401))=TRUE,"",IF(E401="N","PLACEHOLDER ROW - ","")),'C-Design&amp;Const'!Z401,IF(E401="N","",J401))</f>
        <v>PLACEHOLDER ROW - CUSTOM ROW - OPTIONAL CLIENT ITEM</v>
      </c>
      <c r="I401" s="193"/>
      <c r="J401" s="578" t="str">
        <f>IF('C-Design&amp;Const'!AD401="","",'C-Design&amp;Const'!AD401)</f>
        <v/>
      </c>
      <c r="K401" s="228"/>
      <c r="L401" s="1410" t="str">
        <f t="shared" ref="L401:L455" si="21">CONCATENATE(IF(ISNUMBER(SEARCH("Placeholder",H401))=TRUE,"&lt;---PM/Planner may hide PLACEHOLDER ROW",""))</f>
        <v>&lt;---PM/Planner may hide PLACEHOLDER ROW</v>
      </c>
      <c r="M401" s="1382"/>
      <c r="N401" s="1382"/>
      <c r="O401" s="1382"/>
      <c r="P401" s="1382"/>
      <c r="Q401" s="1382"/>
      <c r="R401" s="1382"/>
      <c r="S401" s="1382"/>
      <c r="T401" s="1382"/>
      <c r="U401" s="1382"/>
      <c r="V401" s="1382"/>
      <c r="W401" s="1382"/>
      <c r="X401" s="1382"/>
      <c r="Y401" s="1382"/>
      <c r="Z401" s="1382"/>
      <c r="AA401" s="1382"/>
      <c r="AB401" s="1382"/>
      <c r="AC401" s="1382"/>
      <c r="AD401" s="1382"/>
      <c r="AE401" s="1382"/>
      <c r="AF401" s="1382"/>
      <c r="AG401" s="1382"/>
      <c r="AH401" s="1382"/>
      <c r="AI401" s="1382"/>
      <c r="AJ401" s="181"/>
      <c r="AK401" s="181"/>
      <c r="AL401" s="181"/>
      <c r="AM401" s="181"/>
      <c r="AN401" s="181"/>
      <c r="AO401" s="181"/>
      <c r="AP401" s="181"/>
      <c r="AQ401" s="181"/>
      <c r="AR401" s="181"/>
      <c r="AS401" s="181"/>
      <c r="AT401" s="181"/>
      <c r="AU401" s="181"/>
      <c r="AV401" s="181"/>
      <c r="AW401" s="181"/>
    </row>
    <row r="402" spans="1:49" s="30" customFormat="1" ht="15" hidden="1" customHeight="1" x14ac:dyDescent="0.25">
      <c r="A402" s="1407"/>
      <c r="B402" s="191"/>
      <c r="C402" s="921"/>
      <c r="D402" s="32"/>
      <c r="E402" s="415" t="str">
        <f>IF('C-Design&amp;Const'!$G402="","",'C-Design&amp;Const'!$G402)</f>
        <v/>
      </c>
      <c r="F402" s="460"/>
      <c r="G402" s="457"/>
      <c r="H402" s="362" t="str">
        <f>CONCATENATE(IF(ISNUMBER(SEARCH("Placeholder",'C-Design&amp;Const'!Z402))=TRUE,"",IF(E402="N","PLACEHOLDER ROW - ","")),'C-Design&amp;Const'!Z402,IF(E402="N","",J402))</f>
        <v>**  - For ARC, combine these items on to 1 or 2 total slides.</v>
      </c>
      <c r="I402" s="193"/>
      <c r="J402" s="578" t="str">
        <f>IF('C-Design&amp;Const'!AD402="","",'C-Design&amp;Const'!AD402)</f>
        <v/>
      </c>
      <c r="K402" s="228"/>
      <c r="L402" s="1410" t="str">
        <f t="shared" si="21"/>
        <v/>
      </c>
      <c r="M402" s="1382"/>
      <c r="N402" s="1382"/>
      <c r="O402" s="1382"/>
      <c r="P402" s="1382"/>
      <c r="Q402" s="1382"/>
      <c r="R402" s="1382"/>
      <c r="S402" s="1382"/>
      <c r="T402" s="1382"/>
      <c r="U402" s="1382"/>
      <c r="V402" s="1382"/>
      <c r="W402" s="1382"/>
      <c r="X402" s="1382"/>
      <c r="Y402" s="1382"/>
      <c r="Z402" s="1382"/>
      <c r="AA402" s="1382"/>
      <c r="AB402" s="1382"/>
      <c r="AC402" s="1382"/>
      <c r="AD402" s="1382"/>
      <c r="AE402" s="1382"/>
      <c r="AF402" s="1382"/>
      <c r="AG402" s="1382"/>
      <c r="AH402" s="1382"/>
      <c r="AI402" s="1382"/>
      <c r="AJ402" s="181"/>
      <c r="AK402" s="181"/>
      <c r="AL402" s="181"/>
      <c r="AM402" s="181"/>
      <c r="AN402" s="181"/>
      <c r="AO402" s="181"/>
      <c r="AP402" s="181"/>
      <c r="AQ402" s="181"/>
      <c r="AR402" s="181"/>
      <c r="AS402" s="181"/>
      <c r="AT402" s="181"/>
      <c r="AU402" s="181"/>
      <c r="AV402" s="181"/>
      <c r="AW402" s="181"/>
    </row>
    <row r="403" spans="1:49" s="30" customFormat="1" ht="15" hidden="1" customHeight="1" x14ac:dyDescent="0.25">
      <c r="A403" s="1407"/>
      <c r="B403" s="191"/>
      <c r="C403" s="921"/>
      <c r="D403" s="32"/>
      <c r="E403" s="415" t="str">
        <f>IF('C-Design&amp;Const'!$G403="","",'C-Design&amp;Const'!$G403)</f>
        <v>N</v>
      </c>
      <c r="F403" s="460"/>
      <c r="G403" s="457"/>
      <c r="H403" s="362" t="str">
        <f>CONCATENATE(IF(ISNUMBER(SEARCH("Placeholder",'C-Design&amp;Const'!Z403))=TRUE,"",IF(E403="N","PLACEHOLDER ROW - ","")),'C-Design&amp;Const'!Z403,IF(E403="N","",J403))</f>
        <v>PLACEHOLDER ROW - Design Presentation - Chancellor's Design Advisory Committee (CDAC)</v>
      </c>
      <c r="I403" s="193"/>
      <c r="J403" s="578" t="str">
        <f>IF('C-Design&amp;Const'!AD403="","",'C-Design&amp;Const'!AD403)</f>
        <v/>
      </c>
      <c r="K403" s="228"/>
      <c r="L403" s="1410" t="str">
        <f t="shared" si="21"/>
        <v>&lt;---PM/Planner may hide PLACEHOLDER ROW</v>
      </c>
      <c r="M403" s="1382"/>
      <c r="N403" s="1382"/>
      <c r="O403" s="1382"/>
      <c r="P403" s="1382"/>
      <c r="Q403" s="1382"/>
      <c r="R403" s="1382"/>
      <c r="S403" s="1382"/>
      <c r="T403" s="1382"/>
      <c r="U403" s="1382"/>
      <c r="V403" s="1382"/>
      <c r="W403" s="1382"/>
      <c r="X403" s="1382"/>
      <c r="Y403" s="1382"/>
      <c r="Z403" s="1382"/>
      <c r="AA403" s="1382"/>
      <c r="AB403" s="1382"/>
      <c r="AC403" s="1382"/>
      <c r="AD403" s="1382"/>
      <c r="AE403" s="1382"/>
      <c r="AF403" s="1382"/>
      <c r="AG403" s="1382"/>
      <c r="AH403" s="1382"/>
      <c r="AI403" s="1382"/>
      <c r="AJ403" s="181"/>
      <c r="AK403" s="181"/>
      <c r="AL403" s="181"/>
      <c r="AM403" s="181"/>
      <c r="AN403" s="181"/>
      <c r="AO403" s="181"/>
      <c r="AP403" s="181"/>
      <c r="AQ403" s="181"/>
      <c r="AR403" s="181"/>
      <c r="AS403" s="181"/>
      <c r="AT403" s="181"/>
      <c r="AU403" s="181"/>
      <c r="AV403" s="181"/>
      <c r="AW403" s="181"/>
    </row>
    <row r="404" spans="1:49" s="30" customFormat="1" ht="15" hidden="1" customHeight="1" x14ac:dyDescent="0.25">
      <c r="A404" s="1407"/>
      <c r="B404" s="191"/>
      <c r="C404" s="921"/>
      <c r="D404" s="32"/>
      <c r="E404" s="415" t="str">
        <f>IF('C-Design&amp;Const'!$G404="","",'C-Design&amp;Const'!$G404)</f>
        <v>N</v>
      </c>
      <c r="F404" s="460"/>
      <c r="G404" s="457"/>
      <c r="H404" s="362" t="s">
        <v>305</v>
      </c>
      <c r="I404" s="193"/>
      <c r="J404" s="578" t="str">
        <f>IF('C-Design&amp;Const'!AD404="","",'C-Design&amp;Const'!AD404)</f>
        <v/>
      </c>
      <c r="K404" s="228"/>
      <c r="L404" s="1410" t="str">
        <f t="shared" si="21"/>
        <v>&lt;---PM/Planner may hide PLACEHOLDER ROW</v>
      </c>
      <c r="M404" s="1382"/>
      <c r="N404" s="1382"/>
      <c r="O404" s="1382"/>
      <c r="P404" s="1382"/>
      <c r="Q404" s="1382"/>
      <c r="R404" s="1382"/>
      <c r="S404" s="1382"/>
      <c r="T404" s="1382"/>
      <c r="U404" s="1382"/>
      <c r="V404" s="1382"/>
      <c r="W404" s="1382"/>
      <c r="X404" s="1382"/>
      <c r="Y404" s="1382"/>
      <c r="Z404" s="1382"/>
      <c r="AA404" s="1382"/>
      <c r="AB404" s="1382"/>
      <c r="AC404" s="1382"/>
      <c r="AD404" s="1382"/>
      <c r="AE404" s="1382"/>
      <c r="AF404" s="1382"/>
      <c r="AG404" s="1382"/>
      <c r="AH404" s="1382"/>
      <c r="AI404" s="1382"/>
      <c r="AJ404" s="181"/>
      <c r="AK404" s="181"/>
      <c r="AL404" s="181"/>
      <c r="AM404" s="181"/>
      <c r="AN404" s="181"/>
      <c r="AO404" s="181"/>
      <c r="AP404" s="181"/>
      <c r="AQ404" s="181"/>
      <c r="AR404" s="181"/>
      <c r="AS404" s="181"/>
      <c r="AT404" s="181"/>
      <c r="AU404" s="181"/>
      <c r="AV404" s="181"/>
      <c r="AW404" s="181"/>
    </row>
    <row r="405" spans="1:49" s="30" customFormat="1" ht="15" hidden="1" customHeight="1" x14ac:dyDescent="0.25">
      <c r="A405" s="1407"/>
      <c r="B405" s="191"/>
      <c r="C405" s="921"/>
      <c r="D405" s="32"/>
      <c r="E405" s="415" t="str">
        <f>IF('C-Design&amp;Const'!$G405="","",'C-Design&amp;Const'!$G405)</f>
        <v>N</v>
      </c>
      <c r="F405" s="460"/>
      <c r="G405" s="457"/>
      <c r="H405" s="362" t="s">
        <v>305</v>
      </c>
      <c r="I405" s="193"/>
      <c r="J405" s="578" t="str">
        <f>IF('C-Design&amp;Const'!AD405="","",'C-Design&amp;Const'!AD405)</f>
        <v/>
      </c>
      <c r="K405" s="228"/>
      <c r="L405" s="1410" t="str">
        <f t="shared" si="21"/>
        <v>&lt;---PM/Planner may hide PLACEHOLDER ROW</v>
      </c>
      <c r="M405" s="1382"/>
      <c r="N405" s="1382"/>
      <c r="O405" s="1382"/>
      <c r="P405" s="1382"/>
      <c r="Q405" s="1382"/>
      <c r="R405" s="1382"/>
      <c r="S405" s="1382"/>
      <c r="T405" s="1382"/>
      <c r="U405" s="1382"/>
      <c r="V405" s="1382"/>
      <c r="W405" s="1382"/>
      <c r="X405" s="1382"/>
      <c r="Y405" s="1382"/>
      <c r="Z405" s="1382"/>
      <c r="AA405" s="1382"/>
      <c r="AB405" s="1382"/>
      <c r="AC405" s="1382"/>
      <c r="AD405" s="1382"/>
      <c r="AE405" s="1382"/>
      <c r="AF405" s="1382"/>
      <c r="AG405" s="1382"/>
      <c r="AH405" s="1382"/>
      <c r="AI405" s="1382"/>
      <c r="AJ405" s="181"/>
      <c r="AK405" s="181"/>
      <c r="AL405" s="181"/>
      <c r="AM405" s="181"/>
      <c r="AN405" s="181"/>
      <c r="AO405" s="181"/>
      <c r="AP405" s="181"/>
      <c r="AQ405" s="181"/>
      <c r="AR405" s="181"/>
      <c r="AS405" s="181"/>
      <c r="AT405" s="181"/>
      <c r="AU405" s="181"/>
      <c r="AV405" s="181"/>
      <c r="AW405" s="181"/>
    </row>
    <row r="406" spans="1:49" s="30" customFormat="1" ht="15" hidden="1" customHeight="1" x14ac:dyDescent="0.25">
      <c r="A406" s="1407"/>
      <c r="B406" s="191"/>
      <c r="C406" s="921"/>
      <c r="D406" s="32"/>
      <c r="E406" s="415" t="str">
        <f>IF('C-Design&amp;Const'!$G406="","",'C-Design&amp;Const'!$G406)</f>
        <v>N</v>
      </c>
      <c r="F406" s="460"/>
      <c r="G406" s="457"/>
      <c r="H406" s="362" t="s">
        <v>305</v>
      </c>
      <c r="I406" s="193"/>
      <c r="J406" s="578" t="str">
        <f>IF('C-Design&amp;Const'!AD406="","",'C-Design&amp;Const'!AD406)</f>
        <v/>
      </c>
      <c r="K406" s="228"/>
      <c r="L406" s="1410" t="str">
        <f t="shared" si="21"/>
        <v>&lt;---PM/Planner may hide PLACEHOLDER ROW</v>
      </c>
      <c r="M406" s="1382"/>
      <c r="N406" s="1382"/>
      <c r="O406" s="1382"/>
      <c r="P406" s="1382"/>
      <c r="Q406" s="1382"/>
      <c r="R406" s="1382"/>
      <c r="S406" s="1382"/>
      <c r="T406" s="1382"/>
      <c r="U406" s="1382"/>
      <c r="V406" s="1382"/>
      <c r="W406" s="1382"/>
      <c r="X406" s="1382"/>
      <c r="Y406" s="1382"/>
      <c r="Z406" s="1382"/>
      <c r="AA406" s="1382"/>
      <c r="AB406" s="1382"/>
      <c r="AC406" s="1382"/>
      <c r="AD406" s="1382"/>
      <c r="AE406" s="1382"/>
      <c r="AF406" s="1382"/>
      <c r="AG406" s="1382"/>
      <c r="AH406" s="1382"/>
      <c r="AI406" s="1382"/>
      <c r="AJ406" s="181"/>
      <c r="AK406" s="181"/>
      <c r="AL406" s="181"/>
      <c r="AM406" s="181"/>
      <c r="AN406" s="181"/>
      <c r="AO406" s="181"/>
      <c r="AP406" s="181"/>
      <c r="AQ406" s="181"/>
      <c r="AR406" s="181"/>
      <c r="AS406" s="181"/>
      <c r="AT406" s="181"/>
      <c r="AU406" s="181"/>
      <c r="AV406" s="181"/>
      <c r="AW406" s="181"/>
    </row>
    <row r="407" spans="1:49" s="30" customFormat="1" ht="15" hidden="1" customHeight="1" x14ac:dyDescent="0.25">
      <c r="A407" s="1407"/>
      <c r="B407" s="191"/>
      <c r="C407" s="921"/>
      <c r="D407" s="32"/>
      <c r="E407" s="415" t="str">
        <f>IF('C-Design&amp;Const'!$G407="","",'C-Design&amp;Const'!$G407)</f>
        <v>N</v>
      </c>
      <c r="F407" s="460"/>
      <c r="G407" s="457"/>
      <c r="H407" s="362" t="s">
        <v>305</v>
      </c>
      <c r="I407" s="193"/>
      <c r="J407" s="578" t="str">
        <f>IF('C-Design&amp;Const'!AD407="","",'C-Design&amp;Const'!AD407)</f>
        <v/>
      </c>
      <c r="K407" s="228"/>
      <c r="L407" s="1410" t="str">
        <f t="shared" si="21"/>
        <v>&lt;---PM/Planner may hide PLACEHOLDER ROW</v>
      </c>
      <c r="M407" s="1382"/>
      <c r="N407" s="1382"/>
      <c r="O407" s="1382"/>
      <c r="P407" s="1382"/>
      <c r="Q407" s="1382"/>
      <c r="R407" s="1382"/>
      <c r="S407" s="1382"/>
      <c r="T407" s="1382"/>
      <c r="U407" s="1382"/>
      <c r="V407" s="1382"/>
      <c r="W407" s="1382"/>
      <c r="X407" s="1382"/>
      <c r="Y407" s="1382"/>
      <c r="Z407" s="1382"/>
      <c r="AA407" s="1382"/>
      <c r="AB407" s="1382"/>
      <c r="AC407" s="1382"/>
      <c r="AD407" s="1382"/>
      <c r="AE407" s="1382"/>
      <c r="AF407" s="1382"/>
      <c r="AG407" s="1382"/>
      <c r="AH407" s="1382"/>
      <c r="AI407" s="1382"/>
      <c r="AJ407" s="181"/>
      <c r="AK407" s="181"/>
      <c r="AL407" s="181"/>
      <c r="AM407" s="181"/>
      <c r="AN407" s="181"/>
      <c r="AO407" s="181"/>
      <c r="AP407" s="181"/>
      <c r="AQ407" s="181"/>
      <c r="AR407" s="181"/>
      <c r="AS407" s="181"/>
      <c r="AT407" s="181"/>
      <c r="AU407" s="181"/>
      <c r="AV407" s="181"/>
      <c r="AW407" s="181"/>
    </row>
    <row r="408" spans="1:49" s="30" customFormat="1" ht="15" hidden="1" customHeight="1" x14ac:dyDescent="0.25">
      <c r="A408" s="1407"/>
      <c r="B408" s="191"/>
      <c r="C408" s="921"/>
      <c r="D408" s="32"/>
      <c r="E408" s="415" t="str">
        <f>IF('C-Design&amp;Const'!$G408="","",'C-Design&amp;Const'!$G408)</f>
        <v>N</v>
      </c>
      <c r="F408" s="460"/>
      <c r="G408" s="457"/>
      <c r="H408" s="362" t="s">
        <v>305</v>
      </c>
      <c r="I408" s="193"/>
      <c r="J408" s="578" t="str">
        <f>IF('C-Design&amp;Const'!AD408="","",'C-Design&amp;Const'!AD408)</f>
        <v/>
      </c>
      <c r="K408" s="228"/>
      <c r="L408" s="1410" t="str">
        <f t="shared" si="21"/>
        <v>&lt;---PM/Planner may hide PLACEHOLDER ROW</v>
      </c>
      <c r="M408" s="1382"/>
      <c r="N408" s="1382"/>
      <c r="O408" s="1382"/>
      <c r="P408" s="1382"/>
      <c r="Q408" s="1382"/>
      <c r="R408" s="1382"/>
      <c r="S408" s="1382"/>
      <c r="T408" s="1382"/>
      <c r="U408" s="1382"/>
      <c r="V408" s="1382"/>
      <c r="W408" s="1382"/>
      <c r="X408" s="1382"/>
      <c r="Y408" s="1382"/>
      <c r="Z408" s="1382"/>
      <c r="AA408" s="1382"/>
      <c r="AB408" s="1382"/>
      <c r="AC408" s="1382"/>
      <c r="AD408" s="1382"/>
      <c r="AE408" s="1382"/>
      <c r="AF408" s="1382"/>
      <c r="AG408" s="1382"/>
      <c r="AH408" s="1382"/>
      <c r="AI408" s="1382"/>
      <c r="AJ408" s="181"/>
      <c r="AK408" s="181"/>
      <c r="AL408" s="181"/>
      <c r="AM408" s="181"/>
      <c r="AN408" s="181"/>
      <c r="AO408" s="181"/>
      <c r="AP408" s="181"/>
      <c r="AQ408" s="181"/>
      <c r="AR408" s="181"/>
      <c r="AS408" s="181"/>
      <c r="AT408" s="181"/>
      <c r="AU408" s="181"/>
      <c r="AV408" s="181"/>
      <c r="AW408" s="181"/>
    </row>
    <row r="409" spans="1:49" s="30" customFormat="1" ht="15" hidden="1" customHeight="1" x14ac:dyDescent="0.25">
      <c r="A409" s="1407"/>
      <c r="B409" s="191"/>
      <c r="C409" s="921"/>
      <c r="D409" s="32"/>
      <c r="E409" s="415" t="str">
        <f>IF('C-Design&amp;Const'!$G409="","",'C-Design&amp;Const'!$G409)</f>
        <v>N</v>
      </c>
      <c r="F409" s="460"/>
      <c r="G409" s="457"/>
      <c r="H409" s="362" t="s">
        <v>305</v>
      </c>
      <c r="I409" s="193"/>
      <c r="J409" s="578" t="str">
        <f>IF('C-Design&amp;Const'!AD409="","",'C-Design&amp;Const'!AD409)</f>
        <v/>
      </c>
      <c r="K409" s="228"/>
      <c r="L409" s="1410" t="str">
        <f t="shared" si="21"/>
        <v>&lt;---PM/Planner may hide PLACEHOLDER ROW</v>
      </c>
      <c r="M409" s="1382"/>
      <c r="N409" s="1382"/>
      <c r="O409" s="1382"/>
      <c r="P409" s="1382"/>
      <c r="Q409" s="1382"/>
      <c r="R409" s="1382"/>
      <c r="S409" s="1382"/>
      <c r="T409" s="1382"/>
      <c r="U409" s="1382"/>
      <c r="V409" s="1382"/>
      <c r="W409" s="1382"/>
      <c r="X409" s="1382"/>
      <c r="Y409" s="1382"/>
      <c r="Z409" s="1382"/>
      <c r="AA409" s="1382"/>
      <c r="AB409" s="1382"/>
      <c r="AC409" s="1382"/>
      <c r="AD409" s="1382"/>
      <c r="AE409" s="1382"/>
      <c r="AF409" s="1382"/>
      <c r="AG409" s="1382"/>
      <c r="AH409" s="1382"/>
      <c r="AI409" s="1382"/>
      <c r="AJ409" s="181"/>
      <c r="AK409" s="181"/>
      <c r="AL409" s="181"/>
      <c r="AM409" s="181"/>
      <c r="AN409" s="181"/>
      <c r="AO409" s="181"/>
      <c r="AP409" s="181"/>
      <c r="AQ409" s="181"/>
      <c r="AR409" s="181"/>
      <c r="AS409" s="181"/>
      <c r="AT409" s="181"/>
      <c r="AU409" s="181"/>
      <c r="AV409" s="181"/>
      <c r="AW409" s="181"/>
    </row>
    <row r="410" spans="1:49" s="30" customFormat="1" ht="15" hidden="1" customHeight="1" x14ac:dyDescent="0.25">
      <c r="A410" s="1407"/>
      <c r="B410" s="191"/>
      <c r="C410" s="921"/>
      <c r="D410" s="32"/>
      <c r="E410" s="415" t="str">
        <f>IF('C-Design&amp;Const'!$G413="","",'C-Design&amp;Const'!$G413)</f>
        <v>N</v>
      </c>
      <c r="F410" s="460"/>
      <c r="G410" s="457"/>
      <c r="H410" s="362" t="s">
        <v>305</v>
      </c>
      <c r="I410" s="193"/>
      <c r="J410" s="578" t="str">
        <f>IF('C-Design&amp;Const'!AD413="","",'C-Design&amp;Const'!AD413)</f>
        <v/>
      </c>
      <c r="K410" s="228"/>
      <c r="L410" s="1410" t="str">
        <f t="shared" si="21"/>
        <v>&lt;---PM/Planner may hide PLACEHOLDER ROW</v>
      </c>
      <c r="M410" s="1382"/>
      <c r="N410" s="1382"/>
      <c r="O410" s="1382"/>
      <c r="P410" s="1382"/>
      <c r="Q410" s="1382"/>
      <c r="R410" s="1382"/>
      <c r="S410" s="1382"/>
      <c r="T410" s="1382"/>
      <c r="U410" s="1382"/>
      <c r="V410" s="1382"/>
      <c r="W410" s="1382"/>
      <c r="X410" s="1382"/>
      <c r="Y410" s="1382"/>
      <c r="Z410" s="1382"/>
      <c r="AA410" s="1382"/>
      <c r="AB410" s="1382"/>
      <c r="AC410" s="1382"/>
      <c r="AD410" s="1382"/>
      <c r="AE410" s="1382"/>
      <c r="AF410" s="1382"/>
      <c r="AG410" s="1382"/>
      <c r="AH410" s="1382"/>
      <c r="AI410" s="1382"/>
      <c r="AJ410" s="181"/>
      <c r="AK410" s="181"/>
      <c r="AL410" s="181"/>
      <c r="AM410" s="181"/>
      <c r="AN410" s="181"/>
      <c r="AO410" s="181"/>
      <c r="AP410" s="181"/>
      <c r="AQ410" s="181"/>
      <c r="AR410" s="181"/>
      <c r="AS410" s="181"/>
      <c r="AT410" s="181"/>
      <c r="AU410" s="181"/>
      <c r="AV410" s="181"/>
      <c r="AW410" s="181"/>
    </row>
    <row r="411" spans="1:49" s="30" customFormat="1" ht="15" hidden="1" customHeight="1" x14ac:dyDescent="0.25">
      <c r="A411" s="1407"/>
      <c r="B411" s="191"/>
      <c r="C411" s="921"/>
      <c r="D411" s="32"/>
      <c r="E411" s="415" t="str">
        <f>IF('C-Design&amp;Const'!$G410="","",'C-Design&amp;Const'!$G410)</f>
        <v>N</v>
      </c>
      <c r="F411" s="460"/>
      <c r="G411" s="457"/>
      <c r="H411" s="362" t="s">
        <v>305</v>
      </c>
      <c r="I411" s="193"/>
      <c r="J411" s="578" t="str">
        <f>IF('C-Design&amp;Const'!AD410="","",'C-Design&amp;Const'!AD410)</f>
        <v/>
      </c>
      <c r="K411" s="228"/>
      <c r="L411" s="1410" t="str">
        <f t="shared" si="21"/>
        <v>&lt;---PM/Planner may hide PLACEHOLDER ROW</v>
      </c>
      <c r="M411" s="1382"/>
      <c r="N411" s="1382"/>
      <c r="O411" s="1382"/>
      <c r="P411" s="1382"/>
      <c r="Q411" s="1382"/>
      <c r="R411" s="1382"/>
      <c r="S411" s="1382"/>
      <c r="T411" s="1382"/>
      <c r="U411" s="1382"/>
      <c r="V411" s="1382"/>
      <c r="W411" s="1382"/>
      <c r="X411" s="1382"/>
      <c r="Y411" s="1382"/>
      <c r="Z411" s="1382"/>
      <c r="AA411" s="1382"/>
      <c r="AB411" s="1382"/>
      <c r="AC411" s="1382"/>
      <c r="AD411" s="1382"/>
      <c r="AE411" s="1382"/>
      <c r="AF411" s="1382"/>
      <c r="AG411" s="1382"/>
      <c r="AH411" s="1382"/>
      <c r="AI411" s="1382"/>
      <c r="AJ411" s="181"/>
      <c r="AK411" s="181"/>
      <c r="AL411" s="181"/>
      <c r="AM411" s="181"/>
      <c r="AN411" s="181"/>
      <c r="AO411" s="181"/>
      <c r="AP411" s="181"/>
      <c r="AQ411" s="181"/>
      <c r="AR411" s="181"/>
      <c r="AS411" s="181"/>
      <c r="AT411" s="181"/>
      <c r="AU411" s="181"/>
      <c r="AV411" s="181"/>
      <c r="AW411" s="181"/>
    </row>
    <row r="412" spans="1:49" s="30" customFormat="1" ht="15" hidden="1" customHeight="1" x14ac:dyDescent="0.25">
      <c r="A412" s="1407"/>
      <c r="B412" s="191"/>
      <c r="C412" s="921"/>
      <c r="D412" s="32"/>
      <c r="E412" s="415" t="str">
        <f>IF('C-Design&amp;Const'!$G411="","",'C-Design&amp;Const'!$G411)</f>
        <v>N</v>
      </c>
      <c r="F412" s="460"/>
      <c r="G412" s="457"/>
      <c r="H412" s="362" t="s">
        <v>305</v>
      </c>
      <c r="I412" s="193"/>
      <c r="J412" s="578" t="str">
        <f>IF('C-Design&amp;Const'!AD411="","",'C-Design&amp;Const'!AD411)</f>
        <v/>
      </c>
      <c r="K412" s="228"/>
      <c r="L412" s="1410" t="str">
        <f t="shared" si="21"/>
        <v>&lt;---PM/Planner may hide PLACEHOLDER ROW</v>
      </c>
      <c r="M412" s="1382"/>
      <c r="N412" s="1382"/>
      <c r="O412" s="1382"/>
      <c r="P412" s="1382"/>
      <c r="Q412" s="1382"/>
      <c r="R412" s="1382"/>
      <c r="S412" s="1382"/>
      <c r="T412" s="1382"/>
      <c r="U412" s="1382"/>
      <c r="V412" s="1382"/>
      <c r="W412" s="1382"/>
      <c r="X412" s="1382"/>
      <c r="Y412" s="1382"/>
      <c r="Z412" s="1382"/>
      <c r="AA412" s="1382"/>
      <c r="AB412" s="1382"/>
      <c r="AC412" s="1382"/>
      <c r="AD412" s="1382"/>
      <c r="AE412" s="1382"/>
      <c r="AF412" s="1382"/>
      <c r="AG412" s="1382"/>
      <c r="AH412" s="1382"/>
      <c r="AI412" s="1382"/>
      <c r="AJ412" s="181"/>
      <c r="AK412" s="181"/>
      <c r="AL412" s="181"/>
      <c r="AM412" s="181"/>
      <c r="AN412" s="181"/>
      <c r="AO412" s="181"/>
      <c r="AP412" s="181"/>
      <c r="AQ412" s="181"/>
      <c r="AR412" s="181"/>
      <c r="AS412" s="181"/>
      <c r="AT412" s="181"/>
      <c r="AU412" s="181"/>
      <c r="AV412" s="181"/>
      <c r="AW412" s="181"/>
    </row>
    <row r="413" spans="1:49" s="30" customFormat="1" ht="15" hidden="1" customHeight="1" x14ac:dyDescent="0.25">
      <c r="A413" s="1407"/>
      <c r="B413" s="191"/>
      <c r="C413" s="921"/>
      <c r="D413" s="32"/>
      <c r="E413" s="415" t="str">
        <f>IF('C-Design&amp;Const'!$G412="","",'C-Design&amp;Const'!$G412)</f>
        <v>N</v>
      </c>
      <c r="F413" s="460"/>
      <c r="G413" s="457"/>
      <c r="H413" s="362" t="s">
        <v>305</v>
      </c>
      <c r="I413" s="193"/>
      <c r="J413" s="578" t="str">
        <f>IF('C-Design&amp;Const'!AD412="","",'C-Design&amp;Const'!AD412)</f>
        <v/>
      </c>
      <c r="K413" s="228"/>
      <c r="L413" s="1410" t="str">
        <f t="shared" si="21"/>
        <v>&lt;---PM/Planner may hide PLACEHOLDER ROW</v>
      </c>
      <c r="M413" s="1382"/>
      <c r="N413" s="1382"/>
      <c r="O413" s="1382"/>
      <c r="P413" s="1382"/>
      <c r="Q413" s="1382"/>
      <c r="R413" s="1382"/>
      <c r="S413" s="1382"/>
      <c r="T413" s="1382"/>
      <c r="U413" s="1382"/>
      <c r="V413" s="1382"/>
      <c r="W413" s="1382"/>
      <c r="X413" s="1382"/>
      <c r="Y413" s="1382"/>
      <c r="Z413" s="1382"/>
      <c r="AA413" s="1382"/>
      <c r="AB413" s="1382"/>
      <c r="AC413" s="1382"/>
      <c r="AD413" s="1382"/>
      <c r="AE413" s="1382"/>
      <c r="AF413" s="1382"/>
      <c r="AG413" s="1382"/>
      <c r="AH413" s="1382"/>
      <c r="AI413" s="1382"/>
      <c r="AJ413" s="181"/>
      <c r="AK413" s="181"/>
      <c r="AL413" s="181"/>
      <c r="AM413" s="181"/>
      <c r="AN413" s="181"/>
      <c r="AO413" s="181"/>
      <c r="AP413" s="181"/>
      <c r="AQ413" s="181"/>
      <c r="AR413" s="181"/>
      <c r="AS413" s="181"/>
      <c r="AT413" s="181"/>
      <c r="AU413" s="181"/>
      <c r="AV413" s="181"/>
      <c r="AW413" s="181"/>
    </row>
    <row r="414" spans="1:49" s="30" customFormat="1" ht="15" hidden="1" customHeight="1" x14ac:dyDescent="0.25">
      <c r="A414" s="1407"/>
      <c r="B414" s="191"/>
      <c r="C414" s="921"/>
      <c r="D414" s="32"/>
      <c r="E414" s="415" t="str">
        <f>IF('C-Design&amp;Const'!$G414="","",'C-Design&amp;Const'!$G414)</f>
        <v>N</v>
      </c>
      <c r="F414" s="460"/>
      <c r="G414" s="457"/>
      <c r="H414" s="362" t="s">
        <v>305</v>
      </c>
      <c r="I414" s="193"/>
      <c r="J414" s="578" t="str">
        <f>IF('C-Design&amp;Const'!AD414="","",'C-Design&amp;Const'!AD414)</f>
        <v/>
      </c>
      <c r="K414" s="228"/>
      <c r="L414" s="1410" t="str">
        <f t="shared" si="21"/>
        <v>&lt;---PM/Planner may hide PLACEHOLDER ROW</v>
      </c>
      <c r="M414" s="1382"/>
      <c r="N414" s="1382"/>
      <c r="O414" s="1382"/>
      <c r="P414" s="1382"/>
      <c r="Q414" s="1382"/>
      <c r="R414" s="1382"/>
      <c r="S414" s="1382"/>
      <c r="T414" s="1382"/>
      <c r="U414" s="1382"/>
      <c r="V414" s="1382"/>
      <c r="W414" s="1382"/>
      <c r="X414" s="1382"/>
      <c r="Y414" s="1382"/>
      <c r="Z414" s="1382"/>
      <c r="AA414" s="1382"/>
      <c r="AB414" s="1382"/>
      <c r="AC414" s="1382"/>
      <c r="AD414" s="1382"/>
      <c r="AE414" s="1382"/>
      <c r="AF414" s="1382"/>
      <c r="AG414" s="1382"/>
      <c r="AH414" s="1382"/>
      <c r="AI414" s="1382"/>
      <c r="AJ414" s="181"/>
      <c r="AK414" s="181"/>
      <c r="AL414" s="181"/>
      <c r="AM414" s="181"/>
      <c r="AN414" s="181"/>
      <c r="AO414" s="181"/>
      <c r="AP414" s="181"/>
      <c r="AQ414" s="181"/>
      <c r="AR414" s="181"/>
      <c r="AS414" s="181"/>
      <c r="AT414" s="181"/>
      <c r="AU414" s="181"/>
      <c r="AV414" s="181"/>
      <c r="AW414" s="181"/>
    </row>
    <row r="415" spans="1:49" s="30" customFormat="1" ht="15" hidden="1" customHeight="1" x14ac:dyDescent="0.25">
      <c r="A415" s="1407"/>
      <c r="B415" s="191"/>
      <c r="C415" s="921"/>
      <c r="D415" s="32"/>
      <c r="E415" s="415" t="str">
        <f>IF('C-Design&amp;Const'!$G415="","",'C-Design&amp;Const'!$G415)</f>
        <v>N</v>
      </c>
      <c r="F415" s="460"/>
      <c r="G415" s="457"/>
      <c r="H415" s="362" t="s">
        <v>305</v>
      </c>
      <c r="I415" s="193"/>
      <c r="J415" s="578" t="str">
        <f>IF('C-Design&amp;Const'!AD415="","",'C-Design&amp;Const'!AD415)</f>
        <v/>
      </c>
      <c r="K415" s="228"/>
      <c r="L415" s="1410" t="str">
        <f t="shared" si="21"/>
        <v>&lt;---PM/Planner may hide PLACEHOLDER ROW</v>
      </c>
      <c r="M415" s="1382"/>
      <c r="N415" s="1382"/>
      <c r="O415" s="1382"/>
      <c r="P415" s="1382"/>
      <c r="Q415" s="1382"/>
      <c r="R415" s="1382"/>
      <c r="S415" s="1382"/>
      <c r="T415" s="1382"/>
      <c r="U415" s="1382"/>
      <c r="V415" s="1382"/>
      <c r="W415" s="1382"/>
      <c r="X415" s="1382"/>
      <c r="Y415" s="1382"/>
      <c r="Z415" s="1382"/>
      <c r="AA415" s="1382"/>
      <c r="AB415" s="1382"/>
      <c r="AC415" s="1382"/>
      <c r="AD415" s="1382"/>
      <c r="AE415" s="1382"/>
      <c r="AF415" s="1382"/>
      <c r="AG415" s="1382"/>
      <c r="AH415" s="1382"/>
      <c r="AI415" s="1382"/>
      <c r="AJ415" s="181"/>
      <c r="AK415" s="181"/>
      <c r="AL415" s="181"/>
      <c r="AM415" s="181"/>
      <c r="AN415" s="181"/>
      <c r="AO415" s="181"/>
      <c r="AP415" s="181"/>
      <c r="AQ415" s="181"/>
      <c r="AR415" s="181"/>
      <c r="AS415" s="181"/>
      <c r="AT415" s="181"/>
      <c r="AU415" s="181"/>
      <c r="AV415" s="181"/>
      <c r="AW415" s="181"/>
    </row>
    <row r="416" spans="1:49" s="30" customFormat="1" ht="15" hidden="1" customHeight="1" x14ac:dyDescent="0.25">
      <c r="A416" s="1407"/>
      <c r="B416" s="191"/>
      <c r="C416" s="921"/>
      <c r="D416" s="32"/>
      <c r="E416" s="415" t="str">
        <f>IF('C-Design&amp;Const'!$G416="","",'C-Design&amp;Const'!$G416)</f>
        <v>N</v>
      </c>
      <c r="F416" s="460"/>
      <c r="G416" s="457"/>
      <c r="H416" s="362" t="s">
        <v>305</v>
      </c>
      <c r="I416" s="193"/>
      <c r="J416" s="578" t="str">
        <f>IF('C-Design&amp;Const'!AD416="","",'C-Design&amp;Const'!AD416)</f>
        <v/>
      </c>
      <c r="K416" s="228"/>
      <c r="L416" s="1410" t="str">
        <f t="shared" si="21"/>
        <v>&lt;---PM/Planner may hide PLACEHOLDER ROW</v>
      </c>
      <c r="M416" s="1382"/>
      <c r="N416" s="1382"/>
      <c r="O416" s="1382"/>
      <c r="P416" s="1382"/>
      <c r="Q416" s="1382"/>
      <c r="R416" s="1382"/>
      <c r="S416" s="1382"/>
      <c r="T416" s="1382"/>
      <c r="U416" s="1382"/>
      <c r="V416" s="1382"/>
      <c r="W416" s="1382"/>
      <c r="X416" s="1382"/>
      <c r="Y416" s="1382"/>
      <c r="Z416" s="1382"/>
      <c r="AA416" s="1382"/>
      <c r="AB416" s="1382"/>
      <c r="AC416" s="1382"/>
      <c r="AD416" s="1382"/>
      <c r="AE416" s="1382"/>
      <c r="AF416" s="1382"/>
      <c r="AG416" s="1382"/>
      <c r="AH416" s="1382"/>
      <c r="AI416" s="1382"/>
      <c r="AJ416" s="181"/>
      <c r="AK416" s="181"/>
      <c r="AL416" s="181"/>
      <c r="AM416" s="181"/>
      <c r="AN416" s="181"/>
      <c r="AO416" s="181"/>
      <c r="AP416" s="181"/>
      <c r="AQ416" s="181"/>
      <c r="AR416" s="181"/>
      <c r="AS416" s="181"/>
      <c r="AT416" s="181"/>
      <c r="AU416" s="181"/>
      <c r="AV416" s="181"/>
      <c r="AW416" s="181"/>
    </row>
    <row r="417" spans="1:49" s="30" customFormat="1" ht="15" hidden="1" customHeight="1" x14ac:dyDescent="0.25">
      <c r="A417" s="1407"/>
      <c r="B417" s="191"/>
      <c r="C417" s="921"/>
      <c r="D417" s="32"/>
      <c r="E417" s="415" t="str">
        <f>IF('C-Design&amp;Const'!$G417="","",'C-Design&amp;Const'!$G417)</f>
        <v>N</v>
      </c>
      <c r="F417" s="460"/>
      <c r="G417" s="457"/>
      <c r="H417" s="362" t="s">
        <v>305</v>
      </c>
      <c r="I417" s="193"/>
      <c r="J417" s="578" t="str">
        <f>IF('C-Design&amp;Const'!AD417="","",'C-Design&amp;Const'!AD417)</f>
        <v/>
      </c>
      <c r="K417" s="228"/>
      <c r="L417" s="1410" t="str">
        <f t="shared" si="21"/>
        <v>&lt;---PM/Planner may hide PLACEHOLDER ROW</v>
      </c>
      <c r="M417" s="1382"/>
      <c r="N417" s="1382"/>
      <c r="O417" s="1382"/>
      <c r="P417" s="1382"/>
      <c r="Q417" s="1382"/>
      <c r="R417" s="1382"/>
      <c r="S417" s="1382"/>
      <c r="T417" s="1382"/>
      <c r="U417" s="1382"/>
      <c r="V417" s="1382"/>
      <c r="W417" s="1382"/>
      <c r="X417" s="1382"/>
      <c r="Y417" s="1382"/>
      <c r="Z417" s="1382"/>
      <c r="AA417" s="1382"/>
      <c r="AB417" s="1382"/>
      <c r="AC417" s="1382"/>
      <c r="AD417" s="1382"/>
      <c r="AE417" s="1382"/>
      <c r="AF417" s="1382"/>
      <c r="AG417" s="1382"/>
      <c r="AH417" s="1382"/>
      <c r="AI417" s="1382"/>
      <c r="AJ417" s="181"/>
      <c r="AK417" s="181"/>
      <c r="AL417" s="181"/>
      <c r="AM417" s="181"/>
      <c r="AN417" s="181"/>
      <c r="AO417" s="181"/>
      <c r="AP417" s="181"/>
      <c r="AQ417" s="181"/>
      <c r="AR417" s="181"/>
      <c r="AS417" s="181"/>
      <c r="AT417" s="181"/>
      <c r="AU417" s="181"/>
      <c r="AV417" s="181"/>
      <c r="AW417" s="181"/>
    </row>
    <row r="418" spans="1:49" s="30" customFormat="1" ht="15" hidden="1" customHeight="1" x14ac:dyDescent="0.25">
      <c r="A418" s="1407"/>
      <c r="B418" s="191"/>
      <c r="C418" s="921"/>
      <c r="D418" s="32"/>
      <c r="E418" s="415" t="str">
        <f>IF('C-Design&amp;Const'!$G418="","",'C-Design&amp;Const'!$G418)</f>
        <v>N</v>
      </c>
      <c r="F418" s="460"/>
      <c r="G418" s="457"/>
      <c r="H418" s="362" t="s">
        <v>305</v>
      </c>
      <c r="I418" s="193"/>
      <c r="J418" s="578" t="str">
        <f>IF('C-Design&amp;Const'!AD418="","",'C-Design&amp;Const'!AD418)</f>
        <v/>
      </c>
      <c r="K418" s="228"/>
      <c r="L418" s="1410" t="str">
        <f t="shared" si="21"/>
        <v>&lt;---PM/Planner may hide PLACEHOLDER ROW</v>
      </c>
      <c r="M418" s="1382"/>
      <c r="N418" s="1382"/>
      <c r="O418" s="1382"/>
      <c r="P418" s="1382"/>
      <c r="Q418" s="1382"/>
      <c r="R418" s="1382"/>
      <c r="S418" s="1382"/>
      <c r="T418" s="1382"/>
      <c r="U418" s="1382"/>
      <c r="V418" s="1382"/>
      <c r="W418" s="1382"/>
      <c r="X418" s="1382"/>
      <c r="Y418" s="1382"/>
      <c r="Z418" s="1382"/>
      <c r="AA418" s="1382"/>
      <c r="AB418" s="1382"/>
      <c r="AC418" s="1382"/>
      <c r="AD418" s="1382"/>
      <c r="AE418" s="1382"/>
      <c r="AF418" s="1382"/>
      <c r="AG418" s="1382"/>
      <c r="AH418" s="1382"/>
      <c r="AI418" s="1382"/>
      <c r="AJ418" s="181"/>
      <c r="AK418" s="181"/>
      <c r="AL418" s="181"/>
      <c r="AM418" s="181"/>
      <c r="AN418" s="181"/>
      <c r="AO418" s="181"/>
      <c r="AP418" s="181"/>
      <c r="AQ418" s="181"/>
      <c r="AR418" s="181"/>
      <c r="AS418" s="181"/>
      <c r="AT418" s="181"/>
      <c r="AU418" s="181"/>
      <c r="AV418" s="181"/>
      <c r="AW418" s="181"/>
    </row>
    <row r="419" spans="1:49" s="30" customFormat="1" ht="15" hidden="1" customHeight="1" x14ac:dyDescent="0.25">
      <c r="A419" s="1407"/>
      <c r="B419" s="191"/>
      <c r="C419" s="921"/>
      <c r="D419" s="32"/>
      <c r="E419" s="415" t="str">
        <f>IF('C-Design&amp;Const'!$G419="","",'C-Design&amp;Const'!$G419)</f>
        <v>N</v>
      </c>
      <c r="F419" s="460"/>
      <c r="G419" s="457"/>
      <c r="H419" s="362" t="s">
        <v>305</v>
      </c>
      <c r="I419" s="193"/>
      <c r="J419" s="578" t="str">
        <f>IF('C-Design&amp;Const'!AD419="","",'C-Design&amp;Const'!AD419)</f>
        <v/>
      </c>
      <c r="K419" s="228"/>
      <c r="L419" s="1410" t="str">
        <f t="shared" si="21"/>
        <v>&lt;---PM/Planner may hide PLACEHOLDER ROW</v>
      </c>
      <c r="M419" s="1382"/>
      <c r="N419" s="1382"/>
      <c r="O419" s="1382"/>
      <c r="P419" s="1382"/>
      <c r="Q419" s="1382"/>
      <c r="R419" s="1382"/>
      <c r="S419" s="1382"/>
      <c r="T419" s="1382"/>
      <c r="U419" s="1382"/>
      <c r="V419" s="1382"/>
      <c r="W419" s="1382"/>
      <c r="X419" s="1382"/>
      <c r="Y419" s="1382"/>
      <c r="Z419" s="1382"/>
      <c r="AA419" s="1382"/>
      <c r="AB419" s="1382"/>
      <c r="AC419" s="1382"/>
      <c r="AD419" s="1382"/>
      <c r="AE419" s="1382"/>
      <c r="AF419" s="1382"/>
      <c r="AG419" s="1382"/>
      <c r="AH419" s="1382"/>
      <c r="AI419" s="1382"/>
      <c r="AJ419" s="181"/>
      <c r="AK419" s="181"/>
      <c r="AL419" s="181"/>
      <c r="AM419" s="181"/>
      <c r="AN419" s="181"/>
      <c r="AO419" s="181"/>
      <c r="AP419" s="181"/>
      <c r="AQ419" s="181"/>
      <c r="AR419" s="181"/>
      <c r="AS419" s="181"/>
      <c r="AT419" s="181"/>
      <c r="AU419" s="181"/>
      <c r="AV419" s="181"/>
      <c r="AW419" s="181"/>
    </row>
    <row r="420" spans="1:49" s="30" customFormat="1" ht="15" hidden="1" customHeight="1" x14ac:dyDescent="0.25">
      <c r="A420" s="1407"/>
      <c r="B420" s="191"/>
      <c r="C420" s="921"/>
      <c r="D420" s="32"/>
      <c r="E420" s="415" t="str">
        <f>IF('C-Design&amp;Const'!$G420="","",'C-Design&amp;Const'!$G420)</f>
        <v>N</v>
      </c>
      <c r="F420" s="460"/>
      <c r="G420" s="457"/>
      <c r="H420" s="362" t="s">
        <v>305</v>
      </c>
      <c r="I420" s="193"/>
      <c r="J420" s="578" t="str">
        <f>IF('C-Design&amp;Const'!AD420="","",'C-Design&amp;Const'!AD420)</f>
        <v/>
      </c>
      <c r="K420" s="228"/>
      <c r="L420" s="1410" t="str">
        <f t="shared" si="21"/>
        <v>&lt;---PM/Planner may hide PLACEHOLDER ROW</v>
      </c>
      <c r="M420" s="1382"/>
      <c r="N420" s="1382"/>
      <c r="O420" s="1382"/>
      <c r="P420" s="1382"/>
      <c r="Q420" s="1382"/>
      <c r="R420" s="1382"/>
      <c r="S420" s="1382"/>
      <c r="T420" s="1382"/>
      <c r="U420" s="1382"/>
      <c r="V420" s="1382"/>
      <c r="W420" s="1382"/>
      <c r="X420" s="1382"/>
      <c r="Y420" s="1382"/>
      <c r="Z420" s="1382"/>
      <c r="AA420" s="1382"/>
      <c r="AB420" s="1382"/>
      <c r="AC420" s="1382"/>
      <c r="AD420" s="1382"/>
      <c r="AE420" s="1382"/>
      <c r="AF420" s="1382"/>
      <c r="AG420" s="1382"/>
      <c r="AH420" s="1382"/>
      <c r="AI420" s="1382"/>
      <c r="AJ420" s="181"/>
      <c r="AK420" s="181"/>
      <c r="AL420" s="181"/>
      <c r="AM420" s="181"/>
      <c r="AN420" s="181"/>
      <c r="AO420" s="181"/>
      <c r="AP420" s="181"/>
      <c r="AQ420" s="181"/>
      <c r="AR420" s="181"/>
      <c r="AS420" s="181"/>
      <c r="AT420" s="181"/>
      <c r="AU420" s="181"/>
      <c r="AV420" s="181"/>
      <c r="AW420" s="181"/>
    </row>
    <row r="421" spans="1:49" s="30" customFormat="1" ht="15" hidden="1" customHeight="1" x14ac:dyDescent="0.25">
      <c r="A421" s="1407"/>
      <c r="B421" s="191"/>
      <c r="C421" s="921"/>
      <c r="D421" s="32"/>
      <c r="E421" s="415" t="str">
        <f>IF('C-Design&amp;Const'!$G421="","",'C-Design&amp;Const'!$G421)</f>
        <v/>
      </c>
      <c r="F421" s="460"/>
      <c r="G421" s="457"/>
      <c r="H421" s="362" t="s">
        <v>305</v>
      </c>
      <c r="I421" s="193"/>
      <c r="J421" s="578" t="str">
        <f>IF('C-Design&amp;Const'!AD421="","",'C-Design&amp;Const'!AD421)</f>
        <v/>
      </c>
      <c r="K421" s="228"/>
      <c r="L421" s="1410" t="str">
        <f t="shared" si="21"/>
        <v>&lt;---PM/Planner may hide PLACEHOLDER ROW</v>
      </c>
      <c r="M421" s="1382"/>
      <c r="N421" s="1382"/>
      <c r="O421" s="1382"/>
      <c r="P421" s="1382"/>
      <c r="Q421" s="1382"/>
      <c r="R421" s="1382"/>
      <c r="S421" s="1382"/>
      <c r="T421" s="1382"/>
      <c r="U421" s="1382"/>
      <c r="V421" s="1382"/>
      <c r="W421" s="1382"/>
      <c r="X421" s="1382"/>
      <c r="Y421" s="1382"/>
      <c r="Z421" s="1382"/>
      <c r="AA421" s="1382"/>
      <c r="AB421" s="1382"/>
      <c r="AC421" s="1382"/>
      <c r="AD421" s="1382"/>
      <c r="AE421" s="1382"/>
      <c r="AF421" s="1382"/>
      <c r="AG421" s="1382"/>
      <c r="AH421" s="1382"/>
      <c r="AI421" s="1382"/>
      <c r="AJ421" s="181"/>
      <c r="AK421" s="181"/>
      <c r="AL421" s="181"/>
      <c r="AM421" s="181"/>
      <c r="AN421" s="181"/>
      <c r="AO421" s="181"/>
      <c r="AP421" s="181"/>
      <c r="AQ421" s="181"/>
      <c r="AR421" s="181"/>
      <c r="AS421" s="181"/>
      <c r="AT421" s="181"/>
      <c r="AU421" s="181"/>
      <c r="AV421" s="181"/>
      <c r="AW421" s="181"/>
    </row>
    <row r="422" spans="1:49" s="30" customFormat="1" ht="15" hidden="1" customHeight="1" x14ac:dyDescent="0.25">
      <c r="A422" s="1407"/>
      <c r="B422" s="191"/>
      <c r="C422" s="921"/>
      <c r="D422" s="32"/>
      <c r="E422" s="415" t="str">
        <f>IF('C-Design&amp;Const'!$G422="","",'C-Design&amp;Const'!$G422)</f>
        <v>N</v>
      </c>
      <c r="F422" s="456"/>
      <c r="G422" s="457"/>
      <c r="H422" s="362" t="s">
        <v>305</v>
      </c>
      <c r="I422" s="193"/>
      <c r="J422" s="578" t="str">
        <f>IF('C-Design&amp;Const'!AD422="","",'C-Design&amp;Const'!AD422)</f>
        <v/>
      </c>
      <c r="K422" s="228"/>
      <c r="L422" s="1410" t="str">
        <f t="shared" si="21"/>
        <v>&lt;---PM/Planner may hide PLACEHOLDER ROW</v>
      </c>
      <c r="M422" s="1382"/>
      <c r="N422" s="1382"/>
      <c r="O422" s="1382"/>
      <c r="P422" s="1382"/>
      <c r="Q422" s="1382"/>
      <c r="R422" s="1382"/>
      <c r="S422" s="1382"/>
      <c r="T422" s="1382"/>
      <c r="U422" s="1382"/>
      <c r="V422" s="1382"/>
      <c r="W422" s="1382"/>
      <c r="X422" s="1382"/>
      <c r="Y422" s="1382"/>
      <c r="Z422" s="1382"/>
      <c r="AA422" s="1382"/>
      <c r="AB422" s="1382"/>
      <c r="AC422" s="1382"/>
      <c r="AD422" s="1382"/>
      <c r="AE422" s="1382"/>
      <c r="AF422" s="1382"/>
      <c r="AG422" s="1382"/>
      <c r="AH422" s="1382"/>
      <c r="AI422" s="1382"/>
      <c r="AJ422" s="181"/>
      <c r="AK422" s="181"/>
      <c r="AL422" s="181"/>
      <c r="AM422" s="181"/>
      <c r="AN422" s="181"/>
      <c r="AO422" s="181"/>
      <c r="AP422" s="181"/>
      <c r="AQ422" s="181"/>
      <c r="AR422" s="181"/>
      <c r="AS422" s="181"/>
      <c r="AT422" s="181"/>
      <c r="AU422" s="181"/>
      <c r="AV422" s="181"/>
      <c r="AW422" s="181"/>
    </row>
    <row r="423" spans="1:49" s="30" customFormat="1" ht="15" hidden="1" customHeight="1" x14ac:dyDescent="0.25">
      <c r="A423" s="1407"/>
      <c r="B423" s="191"/>
      <c r="C423" s="921"/>
      <c r="D423" s="32"/>
      <c r="E423" s="415" t="str">
        <f>IF('C-Design&amp;Const'!$G423="","",'C-Design&amp;Const'!$G423)</f>
        <v/>
      </c>
      <c r="F423" s="456"/>
      <c r="G423" s="457"/>
      <c r="H423" s="362" t="s">
        <v>305</v>
      </c>
      <c r="I423" s="193"/>
      <c r="J423" s="578" t="str">
        <f>IF('C-Design&amp;Const'!AD423="","",'C-Design&amp;Const'!AD423)</f>
        <v/>
      </c>
      <c r="K423" s="228"/>
      <c r="L423" s="1410" t="str">
        <f t="shared" si="21"/>
        <v>&lt;---PM/Planner may hide PLACEHOLDER ROW</v>
      </c>
      <c r="M423" s="1382"/>
      <c r="N423" s="1382"/>
      <c r="O423" s="1382"/>
      <c r="P423" s="1382"/>
      <c r="Q423" s="1382"/>
      <c r="R423" s="1382"/>
      <c r="S423" s="1382"/>
      <c r="T423" s="1382"/>
      <c r="U423" s="1382"/>
      <c r="V423" s="1382"/>
      <c r="W423" s="1382"/>
      <c r="X423" s="1382"/>
      <c r="Y423" s="1382"/>
      <c r="Z423" s="1382"/>
      <c r="AA423" s="1382"/>
      <c r="AB423" s="1382"/>
      <c r="AC423" s="1382"/>
      <c r="AD423" s="1382"/>
      <c r="AE423" s="1382"/>
      <c r="AF423" s="1382"/>
      <c r="AG423" s="1382"/>
      <c r="AH423" s="1382"/>
      <c r="AI423" s="1382"/>
      <c r="AJ423" s="181"/>
      <c r="AK423" s="181"/>
      <c r="AL423" s="181"/>
      <c r="AM423" s="181"/>
      <c r="AN423" s="181"/>
      <c r="AO423" s="181"/>
      <c r="AP423" s="181"/>
      <c r="AQ423" s="181"/>
      <c r="AR423" s="181"/>
      <c r="AS423" s="181"/>
      <c r="AT423" s="181"/>
      <c r="AU423" s="181"/>
      <c r="AV423" s="181"/>
      <c r="AW423" s="181"/>
    </row>
    <row r="424" spans="1:49" s="30" customFormat="1" ht="15" hidden="1" customHeight="1" x14ac:dyDescent="0.25">
      <c r="A424" s="1407"/>
      <c r="B424" s="191"/>
      <c r="C424" s="921"/>
      <c r="D424" s="32"/>
      <c r="E424" s="415" t="str">
        <f>IF('C-Design&amp;Const'!$G424="","",'C-Design&amp;Const'!$G424)</f>
        <v/>
      </c>
      <c r="F424" s="456"/>
      <c r="G424" s="457"/>
      <c r="H424" s="362" t="s">
        <v>305</v>
      </c>
      <c r="I424" s="193"/>
      <c r="J424" s="578" t="str">
        <f>IF('C-Design&amp;Const'!AD424="","",'C-Design&amp;Const'!AD424)</f>
        <v/>
      </c>
      <c r="K424" s="228"/>
      <c r="L424" s="1410" t="str">
        <f t="shared" si="21"/>
        <v>&lt;---PM/Planner may hide PLACEHOLDER ROW</v>
      </c>
      <c r="M424" s="1382"/>
      <c r="N424" s="1382"/>
      <c r="O424" s="1382"/>
      <c r="P424" s="1382"/>
      <c r="Q424" s="1382"/>
      <c r="R424" s="1382"/>
      <c r="S424" s="1382"/>
      <c r="T424" s="1382"/>
      <c r="U424" s="1382"/>
      <c r="V424" s="1382"/>
      <c r="W424" s="1382"/>
      <c r="X424" s="1382"/>
      <c r="Y424" s="1382"/>
      <c r="Z424" s="1382"/>
      <c r="AA424" s="1382"/>
      <c r="AB424" s="1382"/>
      <c r="AC424" s="1382"/>
      <c r="AD424" s="1382"/>
      <c r="AE424" s="1382"/>
      <c r="AF424" s="1382"/>
      <c r="AG424" s="1382"/>
      <c r="AH424" s="1382"/>
      <c r="AI424" s="1382"/>
      <c r="AJ424" s="181"/>
      <c r="AK424" s="181"/>
      <c r="AL424" s="181"/>
      <c r="AM424" s="181"/>
      <c r="AN424" s="181"/>
      <c r="AO424" s="181"/>
      <c r="AP424" s="181"/>
      <c r="AQ424" s="181"/>
      <c r="AR424" s="181"/>
      <c r="AS424" s="181"/>
      <c r="AT424" s="181"/>
      <c r="AU424" s="181"/>
      <c r="AV424" s="181"/>
      <c r="AW424" s="181"/>
    </row>
    <row r="425" spans="1:49" s="30" customFormat="1" ht="15" hidden="1" customHeight="1" x14ac:dyDescent="0.25">
      <c r="A425" s="1407"/>
      <c r="B425" s="191"/>
      <c r="C425" s="921"/>
      <c r="D425" s="32"/>
      <c r="E425" s="415" t="str">
        <f>IF('C-Design&amp;Const'!$G425="","",'C-Design&amp;Const'!$G425)</f>
        <v>N</v>
      </c>
      <c r="F425" s="456"/>
      <c r="G425" s="457"/>
      <c r="H425" s="362" t="s">
        <v>305</v>
      </c>
      <c r="I425" s="193"/>
      <c r="J425" s="578" t="str">
        <f>IF('C-Design&amp;Const'!AD425="","",'C-Design&amp;Const'!AD425)</f>
        <v/>
      </c>
      <c r="K425" s="228"/>
      <c r="L425" s="1410" t="str">
        <f t="shared" si="21"/>
        <v>&lt;---PM/Planner may hide PLACEHOLDER ROW</v>
      </c>
      <c r="M425" s="1382"/>
      <c r="N425" s="1382"/>
      <c r="O425" s="1382"/>
      <c r="P425" s="1382"/>
      <c r="Q425" s="1382"/>
      <c r="R425" s="1382"/>
      <c r="S425" s="1382"/>
      <c r="T425" s="1382"/>
      <c r="U425" s="1382"/>
      <c r="V425" s="1382"/>
      <c r="W425" s="1382"/>
      <c r="X425" s="1382"/>
      <c r="Y425" s="1382"/>
      <c r="Z425" s="1382"/>
      <c r="AA425" s="1382"/>
      <c r="AB425" s="1382"/>
      <c r="AC425" s="1382"/>
      <c r="AD425" s="1382"/>
      <c r="AE425" s="1382"/>
      <c r="AF425" s="1382"/>
      <c r="AG425" s="1382"/>
      <c r="AH425" s="1382"/>
      <c r="AI425" s="1382"/>
      <c r="AJ425" s="181"/>
      <c r="AK425" s="181"/>
      <c r="AL425" s="181"/>
      <c r="AM425" s="181"/>
      <c r="AN425" s="181"/>
      <c r="AO425" s="181"/>
      <c r="AP425" s="181"/>
      <c r="AQ425" s="181"/>
      <c r="AR425" s="181"/>
      <c r="AS425" s="181"/>
      <c r="AT425" s="181"/>
      <c r="AU425" s="181"/>
      <c r="AV425" s="181"/>
      <c r="AW425" s="181"/>
    </row>
    <row r="426" spans="1:49" s="30" customFormat="1" ht="15" hidden="1" customHeight="1" x14ac:dyDescent="0.25">
      <c r="A426" s="1407"/>
      <c r="B426" s="191"/>
      <c r="C426" s="921"/>
      <c r="D426" s="32"/>
      <c r="E426" s="415" t="str">
        <f>IF('C-Design&amp;Const'!$G426="","",'C-Design&amp;Const'!$G426)</f>
        <v>N</v>
      </c>
      <c r="F426" s="456"/>
      <c r="G426" s="457"/>
      <c r="H426" s="362" t="s">
        <v>305</v>
      </c>
      <c r="I426" s="193"/>
      <c r="J426" s="578" t="str">
        <f>IF('C-Design&amp;Const'!AD426="","",'C-Design&amp;Const'!AD426)</f>
        <v/>
      </c>
      <c r="K426" s="228"/>
      <c r="L426" s="1410" t="str">
        <f t="shared" si="21"/>
        <v>&lt;---PM/Planner may hide PLACEHOLDER ROW</v>
      </c>
      <c r="M426" s="1382"/>
      <c r="N426" s="1382"/>
      <c r="O426" s="1382"/>
      <c r="P426" s="1382"/>
      <c r="Q426" s="1382"/>
      <c r="R426" s="1382"/>
      <c r="S426" s="1382"/>
      <c r="T426" s="1382"/>
      <c r="U426" s="1382"/>
      <c r="V426" s="1382"/>
      <c r="W426" s="1382"/>
      <c r="X426" s="1382"/>
      <c r="Y426" s="1382"/>
      <c r="Z426" s="1382"/>
      <c r="AA426" s="1382"/>
      <c r="AB426" s="1382"/>
      <c r="AC426" s="1382"/>
      <c r="AD426" s="1382"/>
      <c r="AE426" s="1382"/>
      <c r="AF426" s="1382"/>
      <c r="AG426" s="1382"/>
      <c r="AH426" s="1382"/>
      <c r="AI426" s="1382"/>
      <c r="AJ426" s="181"/>
      <c r="AK426" s="181"/>
      <c r="AL426" s="181"/>
      <c r="AM426" s="181"/>
      <c r="AN426" s="181"/>
      <c r="AO426" s="181"/>
      <c r="AP426" s="181"/>
      <c r="AQ426" s="181"/>
      <c r="AR426" s="181"/>
      <c r="AS426" s="181"/>
      <c r="AT426" s="181"/>
      <c r="AU426" s="181"/>
      <c r="AV426" s="181"/>
      <c r="AW426" s="181"/>
    </row>
    <row r="427" spans="1:49" s="30" customFormat="1" ht="15" hidden="1" customHeight="1" x14ac:dyDescent="0.25">
      <c r="A427" s="1407"/>
      <c r="B427" s="191"/>
      <c r="C427" s="921"/>
      <c r="D427" s="32"/>
      <c r="E427" s="415" t="str">
        <f>IF('C-Design&amp;Const'!$G427="","",'C-Design&amp;Const'!$G427)</f>
        <v>N</v>
      </c>
      <c r="F427" s="456"/>
      <c r="G427" s="457"/>
      <c r="H427" s="362" t="s">
        <v>305</v>
      </c>
      <c r="I427" s="193"/>
      <c r="J427" s="578" t="str">
        <f>IF('C-Design&amp;Const'!AD427="","",'C-Design&amp;Const'!AD427)</f>
        <v/>
      </c>
      <c r="K427" s="228"/>
      <c r="L427" s="1410" t="str">
        <f t="shared" si="21"/>
        <v>&lt;---PM/Planner may hide PLACEHOLDER ROW</v>
      </c>
      <c r="M427" s="1382"/>
      <c r="N427" s="1382"/>
      <c r="O427" s="1382"/>
      <c r="P427" s="1382"/>
      <c r="Q427" s="1382"/>
      <c r="R427" s="1382"/>
      <c r="S427" s="1382"/>
      <c r="T427" s="1382"/>
      <c r="U427" s="1382"/>
      <c r="V427" s="1382"/>
      <c r="W427" s="1382"/>
      <c r="X427" s="1382"/>
      <c r="Y427" s="1382"/>
      <c r="Z427" s="1382"/>
      <c r="AA427" s="1382"/>
      <c r="AB427" s="1382"/>
      <c r="AC427" s="1382"/>
      <c r="AD427" s="1382"/>
      <c r="AE427" s="1382"/>
      <c r="AF427" s="1382"/>
      <c r="AG427" s="1382"/>
      <c r="AH427" s="1382"/>
      <c r="AI427" s="1382"/>
      <c r="AJ427" s="181"/>
      <c r="AK427" s="181"/>
      <c r="AL427" s="181"/>
      <c r="AM427" s="181"/>
      <c r="AN427" s="181"/>
      <c r="AO427" s="181"/>
      <c r="AP427" s="181"/>
      <c r="AQ427" s="181"/>
      <c r="AR427" s="181"/>
      <c r="AS427" s="181"/>
      <c r="AT427" s="181"/>
      <c r="AU427" s="181"/>
      <c r="AV427" s="181"/>
      <c r="AW427" s="181"/>
    </row>
    <row r="428" spans="1:49" s="30" customFormat="1" ht="15" hidden="1" customHeight="1" x14ac:dyDescent="0.25">
      <c r="A428" s="1407"/>
      <c r="B428" s="191"/>
      <c r="C428" s="921"/>
      <c r="D428" s="32"/>
      <c r="E428" s="415" t="str">
        <f>IF('C-Design&amp;Const'!$G428="","",'C-Design&amp;Const'!$G428)</f>
        <v>N</v>
      </c>
      <c r="F428" s="456"/>
      <c r="G428" s="457"/>
      <c r="H428" s="362" t="s">
        <v>305</v>
      </c>
      <c r="I428" s="193"/>
      <c r="J428" s="578" t="str">
        <f>IF('C-Design&amp;Const'!AD428="","",'C-Design&amp;Const'!AD428)</f>
        <v/>
      </c>
      <c r="K428" s="228"/>
      <c r="L428" s="1410" t="str">
        <f t="shared" si="21"/>
        <v>&lt;---PM/Planner may hide PLACEHOLDER ROW</v>
      </c>
      <c r="M428" s="1382"/>
      <c r="N428" s="1382"/>
      <c r="O428" s="1382"/>
      <c r="P428" s="1382"/>
      <c r="Q428" s="1382"/>
      <c r="R428" s="1382"/>
      <c r="S428" s="1382"/>
      <c r="T428" s="1382"/>
      <c r="U428" s="1382"/>
      <c r="V428" s="1382"/>
      <c r="W428" s="1382"/>
      <c r="X428" s="1382"/>
      <c r="Y428" s="1382"/>
      <c r="Z428" s="1382"/>
      <c r="AA428" s="1382"/>
      <c r="AB428" s="1382"/>
      <c r="AC428" s="1382"/>
      <c r="AD428" s="1382"/>
      <c r="AE428" s="1382"/>
      <c r="AF428" s="1382"/>
      <c r="AG428" s="1382"/>
      <c r="AH428" s="1382"/>
      <c r="AI428" s="1382"/>
      <c r="AJ428" s="181"/>
      <c r="AK428" s="181"/>
      <c r="AL428" s="181"/>
      <c r="AM428" s="181"/>
      <c r="AN428" s="181"/>
      <c r="AO428" s="181"/>
      <c r="AP428" s="181"/>
      <c r="AQ428" s="181"/>
      <c r="AR428" s="181"/>
      <c r="AS428" s="181"/>
      <c r="AT428" s="181"/>
      <c r="AU428" s="181"/>
      <c r="AV428" s="181"/>
      <c r="AW428" s="181"/>
    </row>
    <row r="429" spans="1:49" s="30" customFormat="1" ht="15" hidden="1" customHeight="1" x14ac:dyDescent="0.25">
      <c r="A429" s="1407"/>
      <c r="B429" s="191"/>
      <c r="C429" s="921"/>
      <c r="D429" s="32"/>
      <c r="E429" s="415" t="str">
        <f>IF('C-Design&amp;Const'!$G429="","",'C-Design&amp;Const'!$G429)</f>
        <v>N</v>
      </c>
      <c r="F429" s="456"/>
      <c r="G429" s="457"/>
      <c r="H429" s="362" t="s">
        <v>305</v>
      </c>
      <c r="I429" s="193"/>
      <c r="J429" s="578" t="str">
        <f>IF('C-Design&amp;Const'!AD429="","",'C-Design&amp;Const'!AD429)</f>
        <v/>
      </c>
      <c r="K429" s="228"/>
      <c r="L429" s="1410" t="str">
        <f t="shared" si="21"/>
        <v>&lt;---PM/Planner may hide PLACEHOLDER ROW</v>
      </c>
      <c r="M429" s="1382"/>
      <c r="N429" s="1382"/>
      <c r="O429" s="1382"/>
      <c r="P429" s="1382"/>
      <c r="Q429" s="1382"/>
      <c r="R429" s="1382"/>
      <c r="S429" s="1382"/>
      <c r="T429" s="1382"/>
      <c r="U429" s="1382"/>
      <c r="V429" s="1382"/>
      <c r="W429" s="1382"/>
      <c r="X429" s="1382"/>
      <c r="Y429" s="1382"/>
      <c r="Z429" s="1382"/>
      <c r="AA429" s="1382"/>
      <c r="AB429" s="1382"/>
      <c r="AC429" s="1382"/>
      <c r="AD429" s="1382"/>
      <c r="AE429" s="1382"/>
      <c r="AF429" s="1382"/>
      <c r="AG429" s="1382"/>
      <c r="AH429" s="1382"/>
      <c r="AI429" s="1382"/>
      <c r="AJ429" s="181"/>
      <c r="AK429" s="181"/>
      <c r="AL429" s="181"/>
      <c r="AM429" s="181"/>
      <c r="AN429" s="181"/>
      <c r="AO429" s="181"/>
      <c r="AP429" s="181"/>
      <c r="AQ429" s="181"/>
      <c r="AR429" s="181"/>
      <c r="AS429" s="181"/>
      <c r="AT429" s="181"/>
      <c r="AU429" s="181"/>
      <c r="AV429" s="181"/>
      <c r="AW429" s="181"/>
    </row>
    <row r="430" spans="1:49" s="30" customFormat="1" ht="15" hidden="1" customHeight="1" x14ac:dyDescent="0.25">
      <c r="A430" s="1407"/>
      <c r="B430" s="191"/>
      <c r="C430" s="921"/>
      <c r="D430" s="32"/>
      <c r="E430" s="415" t="str">
        <f>IF('C-Design&amp;Const'!$G430="","",'C-Design&amp;Const'!$G430)</f>
        <v>N</v>
      </c>
      <c r="F430" s="456"/>
      <c r="G430" s="457"/>
      <c r="H430" s="362" t="s">
        <v>305</v>
      </c>
      <c r="I430" s="193"/>
      <c r="J430" s="578" t="str">
        <f>IF('C-Design&amp;Const'!AD430="","",'C-Design&amp;Const'!AD430)</f>
        <v/>
      </c>
      <c r="K430" s="228"/>
      <c r="L430" s="1410" t="str">
        <f t="shared" si="21"/>
        <v>&lt;---PM/Planner may hide PLACEHOLDER ROW</v>
      </c>
      <c r="M430" s="1382"/>
      <c r="N430" s="1382"/>
      <c r="O430" s="1382"/>
      <c r="P430" s="1382"/>
      <c r="Q430" s="1382"/>
      <c r="R430" s="1382"/>
      <c r="S430" s="1382"/>
      <c r="T430" s="1382"/>
      <c r="U430" s="1382"/>
      <c r="V430" s="1382"/>
      <c r="W430" s="1382"/>
      <c r="X430" s="1382"/>
      <c r="Y430" s="1382"/>
      <c r="Z430" s="1382"/>
      <c r="AA430" s="1382"/>
      <c r="AB430" s="1382"/>
      <c r="AC430" s="1382"/>
      <c r="AD430" s="1382"/>
      <c r="AE430" s="1382"/>
      <c r="AF430" s="1382"/>
      <c r="AG430" s="1382"/>
      <c r="AH430" s="1382"/>
      <c r="AI430" s="1382"/>
      <c r="AJ430" s="181"/>
      <c r="AK430" s="181"/>
      <c r="AL430" s="181"/>
      <c r="AM430" s="181"/>
      <c r="AN430" s="181"/>
      <c r="AO430" s="181"/>
      <c r="AP430" s="181"/>
      <c r="AQ430" s="181"/>
      <c r="AR430" s="181"/>
      <c r="AS430" s="181"/>
      <c r="AT430" s="181"/>
      <c r="AU430" s="181"/>
      <c r="AV430" s="181"/>
      <c r="AW430" s="181"/>
    </row>
    <row r="431" spans="1:49" s="30" customFormat="1" ht="15" hidden="1" customHeight="1" x14ac:dyDescent="0.25">
      <c r="A431" s="1407"/>
      <c r="B431" s="191"/>
      <c r="C431" s="921"/>
      <c r="D431" s="32"/>
      <c r="E431" s="415" t="str">
        <f>IF('C-Design&amp;Const'!$G434="","",'C-Design&amp;Const'!$G434)</f>
        <v>N</v>
      </c>
      <c r="F431" s="456"/>
      <c r="G431" s="457"/>
      <c r="H431" s="362" t="s">
        <v>305</v>
      </c>
      <c r="I431" s="193"/>
      <c r="J431" s="578" t="str">
        <f>IF('C-Design&amp;Const'!AD434="","",'C-Design&amp;Const'!AD434)</f>
        <v/>
      </c>
      <c r="K431" s="228"/>
      <c r="L431" s="1410" t="str">
        <f t="shared" si="21"/>
        <v>&lt;---PM/Planner may hide PLACEHOLDER ROW</v>
      </c>
      <c r="M431" s="1382"/>
      <c r="N431" s="1382"/>
      <c r="O431" s="1382"/>
      <c r="P431" s="1382"/>
      <c r="Q431" s="1382"/>
      <c r="R431" s="1382"/>
      <c r="S431" s="1382"/>
      <c r="T431" s="1382"/>
      <c r="U431" s="1382"/>
      <c r="V431" s="1382"/>
      <c r="W431" s="1382"/>
      <c r="X431" s="1382"/>
      <c r="Y431" s="1382"/>
      <c r="Z431" s="1382"/>
      <c r="AA431" s="1382"/>
      <c r="AB431" s="1382"/>
      <c r="AC431" s="1382"/>
      <c r="AD431" s="1382"/>
      <c r="AE431" s="1382"/>
      <c r="AF431" s="1382"/>
      <c r="AG431" s="1382"/>
      <c r="AH431" s="1382"/>
      <c r="AI431" s="1382"/>
      <c r="AJ431" s="181"/>
      <c r="AK431" s="181"/>
      <c r="AL431" s="181"/>
      <c r="AM431" s="181"/>
      <c r="AN431" s="181"/>
      <c r="AO431" s="181"/>
      <c r="AP431" s="181"/>
      <c r="AQ431" s="181"/>
      <c r="AR431" s="181"/>
      <c r="AS431" s="181"/>
      <c r="AT431" s="181"/>
      <c r="AU431" s="181"/>
      <c r="AV431" s="181"/>
      <c r="AW431" s="181"/>
    </row>
    <row r="432" spans="1:49" s="30" customFormat="1" ht="15" hidden="1" customHeight="1" x14ac:dyDescent="0.25">
      <c r="A432" s="1407"/>
      <c r="B432" s="191"/>
      <c r="C432" s="921"/>
      <c r="D432" s="32"/>
      <c r="E432" s="415" t="str">
        <f>IF('C-Design&amp;Const'!$G431="","",'C-Design&amp;Const'!$G431)</f>
        <v>N</v>
      </c>
      <c r="F432" s="456"/>
      <c r="G432" s="457"/>
      <c r="H432" s="362" t="s">
        <v>305</v>
      </c>
      <c r="I432" s="193"/>
      <c r="J432" s="578" t="str">
        <f>IF('C-Design&amp;Const'!AD431="","",'C-Design&amp;Const'!AD431)</f>
        <v/>
      </c>
      <c r="K432" s="228"/>
      <c r="L432" s="1410" t="str">
        <f t="shared" si="21"/>
        <v>&lt;---PM/Planner may hide PLACEHOLDER ROW</v>
      </c>
      <c r="M432" s="1382"/>
      <c r="N432" s="1382"/>
      <c r="O432" s="1382"/>
      <c r="P432" s="1382"/>
      <c r="Q432" s="1382"/>
      <c r="R432" s="1382"/>
      <c r="S432" s="1382"/>
      <c r="T432" s="1382"/>
      <c r="U432" s="1382"/>
      <c r="V432" s="1382"/>
      <c r="W432" s="1382"/>
      <c r="X432" s="1382"/>
      <c r="Y432" s="1382"/>
      <c r="Z432" s="1382"/>
      <c r="AA432" s="1382"/>
      <c r="AB432" s="1382"/>
      <c r="AC432" s="1382"/>
      <c r="AD432" s="1382"/>
      <c r="AE432" s="1382"/>
      <c r="AF432" s="1382"/>
      <c r="AG432" s="1382"/>
      <c r="AH432" s="1382"/>
      <c r="AI432" s="1382"/>
      <c r="AJ432" s="181"/>
      <c r="AK432" s="181"/>
      <c r="AL432" s="181"/>
      <c r="AM432" s="181"/>
      <c r="AN432" s="181"/>
      <c r="AO432" s="181"/>
      <c r="AP432" s="181"/>
      <c r="AQ432" s="181"/>
      <c r="AR432" s="181"/>
      <c r="AS432" s="181"/>
      <c r="AT432" s="181"/>
      <c r="AU432" s="181"/>
      <c r="AV432" s="181"/>
      <c r="AW432" s="181"/>
    </row>
    <row r="433" spans="1:49" s="30" customFormat="1" ht="15" hidden="1" customHeight="1" x14ac:dyDescent="0.25">
      <c r="A433" s="1407"/>
      <c r="B433" s="191"/>
      <c r="C433" s="921"/>
      <c r="D433" s="32"/>
      <c r="E433" s="415" t="str">
        <f>IF('C-Design&amp;Const'!$G432="","",'C-Design&amp;Const'!$G432)</f>
        <v>N</v>
      </c>
      <c r="F433" s="456"/>
      <c r="G433" s="457"/>
      <c r="H433" s="362" t="s">
        <v>305</v>
      </c>
      <c r="I433" s="193"/>
      <c r="J433" s="578" t="str">
        <f>IF('C-Design&amp;Const'!AD432="","",'C-Design&amp;Const'!AD432)</f>
        <v/>
      </c>
      <c r="K433" s="228"/>
      <c r="L433" s="1410" t="str">
        <f t="shared" si="21"/>
        <v>&lt;---PM/Planner may hide PLACEHOLDER ROW</v>
      </c>
      <c r="M433" s="1382"/>
      <c r="N433" s="1382"/>
      <c r="O433" s="1382"/>
      <c r="P433" s="1382"/>
      <c r="Q433" s="1382"/>
      <c r="R433" s="1382"/>
      <c r="S433" s="1382"/>
      <c r="T433" s="1382"/>
      <c r="U433" s="1382"/>
      <c r="V433" s="1382"/>
      <c r="W433" s="1382"/>
      <c r="X433" s="1382"/>
      <c r="Y433" s="1382"/>
      <c r="Z433" s="1382"/>
      <c r="AA433" s="1382"/>
      <c r="AB433" s="1382"/>
      <c r="AC433" s="1382"/>
      <c r="AD433" s="1382"/>
      <c r="AE433" s="1382"/>
      <c r="AF433" s="1382"/>
      <c r="AG433" s="1382"/>
      <c r="AH433" s="1382"/>
      <c r="AI433" s="1382"/>
      <c r="AJ433" s="181"/>
      <c r="AK433" s="181"/>
      <c r="AL433" s="181"/>
      <c r="AM433" s="181"/>
      <c r="AN433" s="181"/>
      <c r="AO433" s="181"/>
      <c r="AP433" s="181"/>
      <c r="AQ433" s="181"/>
      <c r="AR433" s="181"/>
      <c r="AS433" s="181"/>
      <c r="AT433" s="181"/>
      <c r="AU433" s="181"/>
      <c r="AV433" s="181"/>
      <c r="AW433" s="181"/>
    </row>
    <row r="434" spans="1:49" s="30" customFormat="1" ht="15" hidden="1" customHeight="1" x14ac:dyDescent="0.25">
      <c r="A434" s="1407"/>
      <c r="B434" s="191"/>
      <c r="C434" s="921"/>
      <c r="D434" s="32"/>
      <c r="E434" s="415" t="str">
        <f>IF('C-Design&amp;Const'!$G433="","",'C-Design&amp;Const'!$G433)</f>
        <v>N</v>
      </c>
      <c r="F434" s="456"/>
      <c r="G434" s="457"/>
      <c r="H434" s="362" t="s">
        <v>305</v>
      </c>
      <c r="I434" s="193"/>
      <c r="J434" s="578" t="str">
        <f>IF('C-Design&amp;Const'!AD433="","",'C-Design&amp;Const'!AD433)</f>
        <v/>
      </c>
      <c r="K434" s="228"/>
      <c r="L434" s="1410" t="str">
        <f t="shared" si="21"/>
        <v>&lt;---PM/Planner may hide PLACEHOLDER ROW</v>
      </c>
      <c r="M434" s="1382"/>
      <c r="N434" s="1382"/>
      <c r="O434" s="1382"/>
      <c r="P434" s="1382"/>
      <c r="Q434" s="1382"/>
      <c r="R434" s="1382"/>
      <c r="S434" s="1382"/>
      <c r="T434" s="1382"/>
      <c r="U434" s="1382"/>
      <c r="V434" s="1382"/>
      <c r="W434" s="1382"/>
      <c r="X434" s="1382"/>
      <c r="Y434" s="1382"/>
      <c r="Z434" s="1382"/>
      <c r="AA434" s="1382"/>
      <c r="AB434" s="1382"/>
      <c r="AC434" s="1382"/>
      <c r="AD434" s="1382"/>
      <c r="AE434" s="1382"/>
      <c r="AF434" s="1382"/>
      <c r="AG434" s="1382"/>
      <c r="AH434" s="1382"/>
      <c r="AI434" s="1382"/>
      <c r="AJ434" s="181"/>
      <c r="AK434" s="181"/>
      <c r="AL434" s="181"/>
      <c r="AM434" s="181"/>
      <c r="AN434" s="181"/>
      <c r="AO434" s="181"/>
      <c r="AP434" s="181"/>
      <c r="AQ434" s="181"/>
      <c r="AR434" s="181"/>
      <c r="AS434" s="181"/>
      <c r="AT434" s="181"/>
      <c r="AU434" s="181"/>
      <c r="AV434" s="181"/>
      <c r="AW434" s="181"/>
    </row>
    <row r="435" spans="1:49" s="30" customFormat="1" ht="15" hidden="1" customHeight="1" x14ac:dyDescent="0.25">
      <c r="A435" s="1407"/>
      <c r="B435" s="191"/>
      <c r="C435" s="921"/>
      <c r="D435" s="32"/>
      <c r="E435" s="415" t="str">
        <f>IF('C-Design&amp;Const'!$G435="","",'C-Design&amp;Const'!$G435)</f>
        <v>N</v>
      </c>
      <c r="F435" s="456"/>
      <c r="G435" s="457"/>
      <c r="H435" s="362" t="s">
        <v>305</v>
      </c>
      <c r="I435" s="193"/>
      <c r="J435" s="578" t="str">
        <f>IF('C-Design&amp;Const'!AD435="","",'C-Design&amp;Const'!AD435)</f>
        <v/>
      </c>
      <c r="K435" s="228"/>
      <c r="L435" s="1410" t="str">
        <f t="shared" si="21"/>
        <v>&lt;---PM/Planner may hide PLACEHOLDER ROW</v>
      </c>
      <c r="M435" s="1382"/>
      <c r="N435" s="1382"/>
      <c r="O435" s="1382"/>
      <c r="P435" s="1382"/>
      <c r="Q435" s="1382"/>
      <c r="R435" s="1382"/>
      <c r="S435" s="1382"/>
      <c r="T435" s="1382"/>
      <c r="U435" s="1382"/>
      <c r="V435" s="1382"/>
      <c r="W435" s="1382"/>
      <c r="X435" s="1382"/>
      <c r="Y435" s="1382"/>
      <c r="Z435" s="1382"/>
      <c r="AA435" s="1382"/>
      <c r="AB435" s="1382"/>
      <c r="AC435" s="1382"/>
      <c r="AD435" s="1382"/>
      <c r="AE435" s="1382"/>
      <c r="AF435" s="1382"/>
      <c r="AG435" s="1382"/>
      <c r="AH435" s="1382"/>
      <c r="AI435" s="1382"/>
      <c r="AJ435" s="181"/>
      <c r="AK435" s="181"/>
      <c r="AL435" s="181"/>
      <c r="AM435" s="181"/>
      <c r="AN435" s="181"/>
      <c r="AO435" s="181"/>
      <c r="AP435" s="181"/>
      <c r="AQ435" s="181"/>
      <c r="AR435" s="181"/>
      <c r="AS435" s="181"/>
      <c r="AT435" s="181"/>
      <c r="AU435" s="181"/>
      <c r="AV435" s="181"/>
      <c r="AW435" s="181"/>
    </row>
    <row r="436" spans="1:49" s="30" customFormat="1" ht="15" hidden="1" customHeight="1" x14ac:dyDescent="0.25">
      <c r="A436" s="1407"/>
      <c r="B436" s="191"/>
      <c r="C436" s="921"/>
      <c r="D436" s="32"/>
      <c r="E436" s="415" t="str">
        <f>IF('C-Design&amp;Const'!$G436="","",'C-Design&amp;Const'!$G436)</f>
        <v>N</v>
      </c>
      <c r="F436" s="456"/>
      <c r="G436" s="457"/>
      <c r="H436" s="362" t="s">
        <v>305</v>
      </c>
      <c r="I436" s="193"/>
      <c r="J436" s="578" t="str">
        <f>IF('C-Design&amp;Const'!AD436="","",'C-Design&amp;Const'!AD436)</f>
        <v/>
      </c>
      <c r="K436" s="228"/>
      <c r="L436" s="1410" t="str">
        <f t="shared" si="21"/>
        <v>&lt;---PM/Planner may hide PLACEHOLDER ROW</v>
      </c>
      <c r="M436" s="1382"/>
      <c r="N436" s="1382"/>
      <c r="O436" s="1382"/>
      <c r="P436" s="1382"/>
      <c r="Q436" s="1382"/>
      <c r="R436" s="1382"/>
      <c r="S436" s="1382"/>
      <c r="T436" s="1382"/>
      <c r="U436" s="1382"/>
      <c r="V436" s="1382"/>
      <c r="W436" s="1382"/>
      <c r="X436" s="1382"/>
      <c r="Y436" s="1382"/>
      <c r="Z436" s="1382"/>
      <c r="AA436" s="1382"/>
      <c r="AB436" s="1382"/>
      <c r="AC436" s="1382"/>
      <c r="AD436" s="1382"/>
      <c r="AE436" s="1382"/>
      <c r="AF436" s="1382"/>
      <c r="AG436" s="1382"/>
      <c r="AH436" s="1382"/>
      <c r="AI436" s="1382"/>
      <c r="AJ436" s="181"/>
      <c r="AK436" s="181"/>
      <c r="AL436" s="181"/>
      <c r="AM436" s="181"/>
      <c r="AN436" s="181"/>
      <c r="AO436" s="181"/>
      <c r="AP436" s="181"/>
      <c r="AQ436" s="181"/>
      <c r="AR436" s="181"/>
      <c r="AS436" s="181"/>
      <c r="AT436" s="181"/>
      <c r="AU436" s="181"/>
      <c r="AV436" s="181"/>
      <c r="AW436" s="181"/>
    </row>
    <row r="437" spans="1:49" s="30" customFormat="1" ht="15" hidden="1" customHeight="1" x14ac:dyDescent="0.25">
      <c r="A437" s="1407"/>
      <c r="B437" s="191"/>
      <c r="C437" s="921"/>
      <c r="D437" s="32"/>
      <c r="E437" s="415" t="str">
        <f>IF('C-Design&amp;Const'!$G437="","",'C-Design&amp;Const'!$G437)</f>
        <v>N</v>
      </c>
      <c r="F437" s="456"/>
      <c r="G437" s="457"/>
      <c r="H437" s="362" t="s">
        <v>305</v>
      </c>
      <c r="I437" s="193"/>
      <c r="J437" s="578" t="str">
        <f>IF('C-Design&amp;Const'!AD437="","",'C-Design&amp;Const'!AD437)</f>
        <v/>
      </c>
      <c r="K437" s="228"/>
      <c r="L437" s="1410" t="str">
        <f t="shared" si="21"/>
        <v>&lt;---PM/Planner may hide PLACEHOLDER ROW</v>
      </c>
      <c r="M437" s="1382"/>
      <c r="N437" s="1382"/>
      <c r="O437" s="1382"/>
      <c r="P437" s="1382"/>
      <c r="Q437" s="1382"/>
      <c r="R437" s="1382"/>
      <c r="S437" s="1382"/>
      <c r="T437" s="1382"/>
      <c r="U437" s="1382"/>
      <c r="V437" s="1382"/>
      <c r="W437" s="1382"/>
      <c r="X437" s="1382"/>
      <c r="Y437" s="1382"/>
      <c r="Z437" s="1382"/>
      <c r="AA437" s="1382"/>
      <c r="AB437" s="1382"/>
      <c r="AC437" s="1382"/>
      <c r="AD437" s="1382"/>
      <c r="AE437" s="1382"/>
      <c r="AF437" s="1382"/>
      <c r="AG437" s="1382"/>
      <c r="AH437" s="1382"/>
      <c r="AI437" s="1382"/>
      <c r="AJ437" s="181"/>
      <c r="AK437" s="181"/>
      <c r="AL437" s="181"/>
      <c r="AM437" s="181"/>
      <c r="AN437" s="181"/>
      <c r="AO437" s="181"/>
      <c r="AP437" s="181"/>
      <c r="AQ437" s="181"/>
      <c r="AR437" s="181"/>
      <c r="AS437" s="181"/>
      <c r="AT437" s="181"/>
      <c r="AU437" s="181"/>
      <c r="AV437" s="181"/>
      <c r="AW437" s="181"/>
    </row>
    <row r="438" spans="1:49" s="30" customFormat="1" ht="15" hidden="1" customHeight="1" x14ac:dyDescent="0.25">
      <c r="A438" s="1407"/>
      <c r="B438" s="191"/>
      <c r="C438" s="921"/>
      <c r="D438" s="32"/>
      <c r="E438" s="415" t="str">
        <f>IF('C-Design&amp;Const'!$G438="","",'C-Design&amp;Const'!$G438)</f>
        <v>N</v>
      </c>
      <c r="F438" s="456"/>
      <c r="G438" s="457"/>
      <c r="H438" s="362" t="s">
        <v>305</v>
      </c>
      <c r="I438" s="193"/>
      <c r="J438" s="578" t="str">
        <f>IF('C-Design&amp;Const'!AD438="","",'C-Design&amp;Const'!AD438)</f>
        <v/>
      </c>
      <c r="K438" s="228"/>
      <c r="L438" s="1410" t="str">
        <f t="shared" si="21"/>
        <v>&lt;---PM/Planner may hide PLACEHOLDER ROW</v>
      </c>
      <c r="M438" s="1382"/>
      <c r="N438" s="1382"/>
      <c r="O438" s="1382"/>
      <c r="P438" s="1382"/>
      <c r="Q438" s="1382"/>
      <c r="R438" s="1382"/>
      <c r="S438" s="1382"/>
      <c r="T438" s="1382"/>
      <c r="U438" s="1382"/>
      <c r="V438" s="1382"/>
      <c r="W438" s="1382"/>
      <c r="X438" s="1382"/>
      <c r="Y438" s="1382"/>
      <c r="Z438" s="1382"/>
      <c r="AA438" s="1382"/>
      <c r="AB438" s="1382"/>
      <c r="AC438" s="1382"/>
      <c r="AD438" s="1382"/>
      <c r="AE438" s="1382"/>
      <c r="AF438" s="1382"/>
      <c r="AG438" s="1382"/>
      <c r="AH438" s="1382"/>
      <c r="AI438" s="1382"/>
      <c r="AJ438" s="181"/>
      <c r="AK438" s="181"/>
      <c r="AL438" s="181"/>
      <c r="AM438" s="181"/>
      <c r="AN438" s="181"/>
      <c r="AO438" s="181"/>
      <c r="AP438" s="181"/>
      <c r="AQ438" s="181"/>
      <c r="AR438" s="181"/>
      <c r="AS438" s="181"/>
      <c r="AT438" s="181"/>
      <c r="AU438" s="181"/>
      <c r="AV438" s="181"/>
      <c r="AW438" s="181"/>
    </row>
    <row r="439" spans="1:49" s="30" customFormat="1" ht="15" hidden="1" customHeight="1" x14ac:dyDescent="0.25">
      <c r="A439" s="1407"/>
      <c r="B439" s="191"/>
      <c r="C439" s="921"/>
      <c r="D439" s="32"/>
      <c r="E439" s="415" t="str">
        <f>IF('C-Design&amp;Const'!$G439="","",'C-Design&amp;Const'!$G439)</f>
        <v>N</v>
      </c>
      <c r="F439" s="456"/>
      <c r="G439" s="457"/>
      <c r="H439" s="362" t="s">
        <v>305</v>
      </c>
      <c r="I439" s="193"/>
      <c r="J439" s="578" t="str">
        <f>IF('C-Design&amp;Const'!AD439="","",'C-Design&amp;Const'!AD439)</f>
        <v/>
      </c>
      <c r="K439" s="228"/>
      <c r="L439" s="1410" t="str">
        <f t="shared" si="21"/>
        <v>&lt;---PM/Planner may hide PLACEHOLDER ROW</v>
      </c>
      <c r="M439" s="1382"/>
      <c r="N439" s="1382"/>
      <c r="O439" s="1382"/>
      <c r="P439" s="1382"/>
      <c r="Q439" s="1382"/>
      <c r="R439" s="1382"/>
      <c r="S439" s="1382"/>
      <c r="T439" s="1382"/>
      <c r="U439" s="1382"/>
      <c r="V439" s="1382"/>
      <c r="W439" s="1382"/>
      <c r="X439" s="1382"/>
      <c r="Y439" s="1382"/>
      <c r="Z439" s="1382"/>
      <c r="AA439" s="1382"/>
      <c r="AB439" s="1382"/>
      <c r="AC439" s="1382"/>
      <c r="AD439" s="1382"/>
      <c r="AE439" s="1382"/>
      <c r="AF439" s="1382"/>
      <c r="AG439" s="1382"/>
      <c r="AH439" s="1382"/>
      <c r="AI439" s="1382"/>
      <c r="AJ439" s="181"/>
      <c r="AK439" s="181"/>
      <c r="AL439" s="181"/>
      <c r="AM439" s="181"/>
      <c r="AN439" s="181"/>
      <c r="AO439" s="181"/>
      <c r="AP439" s="181"/>
      <c r="AQ439" s="181"/>
      <c r="AR439" s="181"/>
      <c r="AS439" s="181"/>
      <c r="AT439" s="181"/>
      <c r="AU439" s="181"/>
      <c r="AV439" s="181"/>
      <c r="AW439" s="181"/>
    </row>
    <row r="440" spans="1:49" s="30" customFormat="1" ht="15" hidden="1" customHeight="1" x14ac:dyDescent="0.25">
      <c r="A440" s="1407"/>
      <c r="B440" s="191"/>
      <c r="C440" s="921"/>
      <c r="D440" s="32"/>
      <c r="E440" s="415" t="str">
        <f>IF('C-Design&amp;Const'!$G440="","",'C-Design&amp;Const'!$G440)</f>
        <v>N</v>
      </c>
      <c r="F440" s="456"/>
      <c r="G440" s="457"/>
      <c r="H440" s="362" t="s">
        <v>305</v>
      </c>
      <c r="I440" s="193"/>
      <c r="J440" s="578" t="str">
        <f>IF('C-Design&amp;Const'!AD440="","",'C-Design&amp;Const'!AD440)</f>
        <v/>
      </c>
      <c r="K440" s="228"/>
      <c r="L440" s="1410" t="str">
        <f t="shared" si="21"/>
        <v>&lt;---PM/Planner may hide PLACEHOLDER ROW</v>
      </c>
      <c r="M440" s="1382"/>
      <c r="N440" s="1382"/>
      <c r="O440" s="1382"/>
      <c r="P440" s="1382"/>
      <c r="Q440" s="1382"/>
      <c r="R440" s="1382"/>
      <c r="S440" s="1382"/>
      <c r="T440" s="1382"/>
      <c r="U440" s="1382"/>
      <c r="V440" s="1382"/>
      <c r="W440" s="1382"/>
      <c r="X440" s="1382"/>
      <c r="Y440" s="1382"/>
      <c r="Z440" s="1382"/>
      <c r="AA440" s="1382"/>
      <c r="AB440" s="1382"/>
      <c r="AC440" s="1382"/>
      <c r="AD440" s="1382"/>
      <c r="AE440" s="1382"/>
      <c r="AF440" s="1382"/>
      <c r="AG440" s="1382"/>
      <c r="AH440" s="1382"/>
      <c r="AI440" s="1382"/>
      <c r="AJ440" s="181"/>
      <c r="AK440" s="181"/>
      <c r="AL440" s="181"/>
      <c r="AM440" s="181"/>
      <c r="AN440" s="181"/>
      <c r="AO440" s="181"/>
      <c r="AP440" s="181"/>
      <c r="AQ440" s="181"/>
      <c r="AR440" s="181"/>
      <c r="AS440" s="181"/>
      <c r="AT440" s="181"/>
      <c r="AU440" s="181"/>
      <c r="AV440" s="181"/>
      <c r="AW440" s="181"/>
    </row>
    <row r="441" spans="1:49" s="30" customFormat="1" ht="15" hidden="1" customHeight="1" x14ac:dyDescent="0.25">
      <c r="A441" s="1407"/>
      <c r="B441" s="191"/>
      <c r="C441" s="921"/>
      <c r="D441" s="32"/>
      <c r="E441" s="415" t="str">
        <f>IF('C-Design&amp;Const'!$G441="","",'C-Design&amp;Const'!$G441)</f>
        <v>N</v>
      </c>
      <c r="F441" s="474"/>
      <c r="G441" s="1009"/>
      <c r="H441" s="1010" t="s">
        <v>305</v>
      </c>
      <c r="I441" s="186"/>
      <c r="J441" s="578" t="str">
        <f>IF('C-Design&amp;Const'!AD441="","",'C-Design&amp;Const'!AD441)</f>
        <v/>
      </c>
      <c r="K441" s="228"/>
      <c r="L441" s="1410" t="str">
        <f t="shared" si="21"/>
        <v>&lt;---PM/Planner may hide PLACEHOLDER ROW</v>
      </c>
      <c r="M441" s="1382"/>
      <c r="N441" s="1382"/>
      <c r="O441" s="1382"/>
      <c r="P441" s="1382"/>
      <c r="Q441" s="1382"/>
      <c r="R441" s="1382"/>
      <c r="S441" s="1382"/>
      <c r="T441" s="1382"/>
      <c r="U441" s="1382"/>
      <c r="V441" s="1382"/>
      <c r="W441" s="1382"/>
      <c r="X441" s="1382"/>
      <c r="Y441" s="1382"/>
      <c r="Z441" s="1382"/>
      <c r="AA441" s="1382"/>
      <c r="AB441" s="1382"/>
      <c r="AC441" s="1382"/>
      <c r="AD441" s="1382"/>
      <c r="AE441" s="1382"/>
      <c r="AF441" s="1382"/>
      <c r="AG441" s="1382"/>
      <c r="AH441" s="1382"/>
      <c r="AI441" s="1382"/>
      <c r="AJ441" s="181"/>
      <c r="AK441" s="181"/>
      <c r="AL441" s="181"/>
      <c r="AM441" s="181"/>
      <c r="AN441" s="181"/>
      <c r="AO441" s="181"/>
      <c r="AP441" s="181"/>
      <c r="AQ441" s="181"/>
      <c r="AR441" s="181"/>
      <c r="AS441" s="181"/>
      <c r="AT441" s="181"/>
      <c r="AU441" s="181"/>
      <c r="AV441" s="181"/>
      <c r="AW441" s="181"/>
    </row>
    <row r="442" spans="1:49" s="30" customFormat="1" ht="14.25" customHeight="1" x14ac:dyDescent="0.25">
      <c r="A442" s="1420"/>
      <c r="B442" s="191"/>
      <c r="C442" s="921"/>
      <c r="D442" s="32"/>
      <c r="E442" s="411"/>
      <c r="F442" s="411"/>
      <c r="G442" s="208"/>
      <c r="H442" s="411"/>
      <c r="I442" s="186"/>
      <c r="J442" s="578" t="str">
        <f>IF('C-Design&amp;Const'!AD442="","",'C-Design&amp;Const'!AD442)</f>
        <v/>
      </c>
      <c r="K442" s="228"/>
      <c r="L442" s="1410" t="str">
        <f t="shared" si="21"/>
        <v/>
      </c>
      <c r="M442" s="1382"/>
      <c r="N442" s="1382"/>
      <c r="O442" s="1382"/>
      <c r="P442" s="1382"/>
      <c r="Q442" s="1382"/>
      <c r="R442" s="1382"/>
      <c r="S442" s="1382"/>
      <c r="T442" s="1382"/>
      <c r="U442" s="1382"/>
      <c r="V442" s="1382"/>
      <c r="W442" s="1382"/>
      <c r="X442" s="1382"/>
      <c r="Y442" s="1382"/>
      <c r="Z442" s="1382"/>
      <c r="AA442" s="1382"/>
      <c r="AB442" s="1382"/>
      <c r="AC442" s="1382"/>
      <c r="AD442" s="1382"/>
      <c r="AE442" s="1382"/>
      <c r="AF442" s="1382"/>
      <c r="AG442" s="1382"/>
      <c r="AH442" s="1382"/>
      <c r="AI442" s="1382"/>
      <c r="AJ442" s="181"/>
      <c r="AK442" s="181"/>
      <c r="AL442" s="181"/>
      <c r="AM442" s="181"/>
      <c r="AN442" s="181"/>
      <c r="AO442" s="181"/>
      <c r="AP442" s="181"/>
      <c r="AQ442" s="181"/>
      <c r="AR442" s="181"/>
      <c r="AS442" s="181"/>
      <c r="AT442" s="181"/>
      <c r="AU442" s="181"/>
      <c r="AV442" s="181"/>
      <c r="AW442" s="181"/>
    </row>
    <row r="443" spans="1:49" s="30" customFormat="1" ht="37.5" x14ac:dyDescent="0.25">
      <c r="A443" s="1407"/>
      <c r="B443" s="191"/>
      <c r="C443" s="915"/>
      <c r="D443" s="52" t="str">
        <f>IF('C-Design&amp;Const'!G443="","",'C-Design&amp;Const'!G443)</f>
        <v>N</v>
      </c>
      <c r="E443" s="234"/>
      <c r="F443" s="235"/>
      <c r="G443" s="291" t="str">
        <f>IF('C-Design&amp;Const'!Y443="","",'C-Design&amp;Const'!Y443)</f>
        <v>09.</v>
      </c>
      <c r="H443" s="236" t="str">
        <f>CONCATENATE('C-Design&amp;Const'!Z443,IF(Applies_ISHPO_Concept="N"," Not Used In This Design Phase",""))</f>
        <v>Illinois State Historic Preservation Office (ISHPO) Not Used In This Design Phase</v>
      </c>
      <c r="I443" s="209"/>
      <c r="J443" s="578" t="str">
        <f>IF('C-Design&amp;Const'!AD443="","",'C-Design&amp;Const'!AD443)</f>
        <v/>
      </c>
      <c r="K443" s="228"/>
      <c r="L443" s="1410" t="str">
        <f t="shared" si="21"/>
        <v/>
      </c>
      <c r="M443" s="1382"/>
      <c r="N443" s="1382"/>
      <c r="O443" s="1382"/>
      <c r="P443" s="1382"/>
      <c r="Q443" s="1382"/>
      <c r="R443" s="1382"/>
      <c r="S443" s="1382"/>
      <c r="T443" s="1382"/>
      <c r="U443" s="1382"/>
      <c r="V443" s="1382"/>
      <c r="W443" s="1382"/>
      <c r="X443" s="1382"/>
      <c r="Y443" s="1382"/>
      <c r="Z443" s="1382"/>
      <c r="AA443" s="1382"/>
      <c r="AB443" s="1382"/>
      <c r="AC443" s="1382"/>
      <c r="AD443" s="1382"/>
      <c r="AE443" s="1382"/>
      <c r="AF443" s="1382"/>
      <c r="AG443" s="1382"/>
      <c r="AH443" s="1382"/>
      <c r="AI443" s="1382"/>
      <c r="AJ443" s="181"/>
      <c r="AK443" s="181"/>
      <c r="AL443" s="181"/>
      <c r="AM443" s="181"/>
      <c r="AN443" s="181"/>
      <c r="AO443" s="181"/>
      <c r="AP443" s="181"/>
      <c r="AQ443" s="181"/>
      <c r="AR443" s="181"/>
      <c r="AS443" s="181"/>
      <c r="AT443" s="181"/>
      <c r="AU443" s="181"/>
      <c r="AV443" s="181"/>
      <c r="AW443" s="181"/>
    </row>
    <row r="444" spans="1:49" ht="15.75" customHeight="1" x14ac:dyDescent="0.25">
      <c r="A444" s="1407"/>
      <c r="B444" s="191"/>
      <c r="C444" s="942"/>
      <c r="D444" s="1"/>
      <c r="E444" s="489" t="str">
        <f>IF('C-Design&amp;Const'!$G444="","",'C-Design&amp;Const'!$G444)</f>
        <v>N</v>
      </c>
      <c r="F444" s="324"/>
      <c r="G444" s="1011"/>
      <c r="H444" s="801" t="str">
        <f>CONCATENATE(IF(ISNUMBER(SEARCH("Placeholder",'C-Design&amp;Const'!Z444))=TRUE,"",IF(E444="N","PLACEHOLDER ROW - ","")),'C-Design&amp;Const'!Z444,IF(E444="N","",J444))</f>
        <v>PLACEHOLDER ROW - Meeting notes from walk through with ISHPO</v>
      </c>
      <c r="I444" s="209"/>
      <c r="J444" s="578" t="str">
        <f>IF('C-Design&amp;Const'!AD444="","",'C-Design&amp;Const'!AD444)</f>
        <v/>
      </c>
      <c r="K444" s="228"/>
      <c r="L444" s="1410" t="str">
        <f t="shared" si="21"/>
        <v>&lt;---PM/Planner may hide PLACEHOLDER ROW</v>
      </c>
      <c r="M444" s="1333"/>
      <c r="N444" s="1333"/>
      <c r="O444" s="1333"/>
      <c r="P444" s="1333"/>
      <c r="Q444" s="1333"/>
      <c r="R444" s="1333"/>
      <c r="S444" s="1333"/>
      <c r="T444" s="1333"/>
      <c r="U444" s="1333"/>
      <c r="V444" s="1333"/>
      <c r="W444" s="1333"/>
      <c r="X444" s="1333"/>
      <c r="Y444" s="1333"/>
      <c r="Z444" s="1333"/>
      <c r="AA444" s="1333"/>
      <c r="AB444" s="1333"/>
      <c r="AC444" s="1333"/>
      <c r="AD444" s="1333"/>
      <c r="AE444" s="1333"/>
      <c r="AF444" s="1333"/>
      <c r="AG444" s="1333"/>
      <c r="AH444" s="1333"/>
      <c r="AI444" s="1333"/>
    </row>
    <row r="445" spans="1:49" ht="15.75" customHeight="1" x14ac:dyDescent="0.25">
      <c r="A445" s="1407"/>
      <c r="B445" s="191"/>
      <c r="C445" s="942"/>
      <c r="D445" s="1"/>
      <c r="E445" s="489" t="str">
        <f>IF('C-Design&amp;Const'!$G445="","",'C-Design&amp;Const'!$G445)</f>
        <v>N</v>
      </c>
      <c r="F445" s="324"/>
      <c r="G445" s="1011"/>
      <c r="H445" s="801" t="str">
        <f>CONCATENATE(IF(ISNUMBER(SEARCH("Placeholder",'C-Design&amp;Const'!Z445))=TRUE,"",IF(E445="N","PLACEHOLDER ROW - ","")),'C-Design&amp;Const'!Z445,IF(E445="N","",J445))</f>
        <v>PLACEHOLDER ROW - Narrative on building and historical significance</v>
      </c>
      <c r="I445" s="209"/>
      <c r="J445" s="578" t="str">
        <f>IF('C-Design&amp;Const'!AD445="","",'C-Design&amp;Const'!AD445)</f>
        <v/>
      </c>
      <c r="K445" s="228"/>
      <c r="L445" s="1410" t="str">
        <f t="shared" si="21"/>
        <v>&lt;---PM/Planner may hide PLACEHOLDER ROW</v>
      </c>
      <c r="M445" s="1333"/>
      <c r="N445" s="1333"/>
      <c r="O445" s="1333"/>
      <c r="P445" s="1333"/>
      <c r="Q445" s="1333"/>
      <c r="R445" s="1333"/>
      <c r="S445" s="1333"/>
      <c r="T445" s="1333"/>
      <c r="U445" s="1333"/>
      <c r="V445" s="1333"/>
      <c r="W445" s="1333"/>
      <c r="X445" s="1333"/>
      <c r="Y445" s="1333"/>
      <c r="Z445" s="1333"/>
      <c r="AA445" s="1333"/>
      <c r="AB445" s="1333"/>
      <c r="AC445" s="1333"/>
      <c r="AD445" s="1333"/>
      <c r="AE445" s="1333"/>
      <c r="AF445" s="1333"/>
      <c r="AG445" s="1333"/>
      <c r="AH445" s="1333"/>
      <c r="AI445" s="1333"/>
    </row>
    <row r="446" spans="1:49" ht="15.75" customHeight="1" x14ac:dyDescent="0.25">
      <c r="A446" s="1407"/>
      <c r="B446" s="191"/>
      <c r="C446" s="942"/>
      <c r="D446" s="1"/>
      <c r="E446" s="489" t="str">
        <f>IF('C-Design&amp;Const'!$G446="","",'C-Design&amp;Const'!$G446)</f>
        <v>N</v>
      </c>
      <c r="F446" s="544"/>
      <c r="G446" s="1011"/>
      <c r="H446" s="801" t="str">
        <f>CONCATENATE(IF(ISNUMBER(SEARCH("Placeholder",'C-Design&amp;Const'!Z446))=TRUE,"",IF(E446="N","PLACEHOLDER ROW - ","")),'C-Design&amp;Const'!Z446,IF(E446="N","",J446))</f>
        <v>PLACEHOLDER ROW - Exterior Photographic Documentation</v>
      </c>
      <c r="I446" s="209"/>
      <c r="J446" s="578" t="str">
        <f>IF('C-Design&amp;Const'!AD446="","",'C-Design&amp;Const'!AD446)</f>
        <v/>
      </c>
      <c r="K446" s="228"/>
      <c r="L446" s="1410" t="str">
        <f t="shared" si="21"/>
        <v>&lt;---PM/Planner may hide PLACEHOLDER ROW</v>
      </c>
      <c r="M446" s="1333"/>
      <c r="N446" s="1333"/>
      <c r="O446" s="1333"/>
      <c r="P446" s="1333"/>
      <c r="Q446" s="1333"/>
      <c r="R446" s="1333"/>
      <c r="S446" s="1333"/>
      <c r="T446" s="1333"/>
      <c r="U446" s="1333"/>
      <c r="V446" s="1333"/>
      <c r="W446" s="1333"/>
      <c r="X446" s="1333"/>
      <c r="Y446" s="1333"/>
      <c r="Z446" s="1333"/>
      <c r="AA446" s="1333"/>
      <c r="AB446" s="1333"/>
      <c r="AC446" s="1333"/>
      <c r="AD446" s="1333"/>
      <c r="AE446" s="1333"/>
      <c r="AF446" s="1333"/>
      <c r="AG446" s="1333"/>
      <c r="AH446" s="1333"/>
      <c r="AI446" s="1333"/>
    </row>
    <row r="447" spans="1:49" ht="15.75" customHeight="1" x14ac:dyDescent="0.25">
      <c r="A447" s="1407"/>
      <c r="B447" s="191"/>
      <c r="C447" s="942"/>
      <c r="D447" s="1"/>
      <c r="E447" s="489" t="str">
        <f>IF('C-Design&amp;Const'!$G447="","",'C-Design&amp;Const'!$G447)</f>
        <v>N</v>
      </c>
      <c r="F447" s="544"/>
      <c r="G447" s="1011"/>
      <c r="H447" s="801" t="str">
        <f>CONCATENATE(IF(ISNUMBER(SEARCH("Placeholder",'C-Design&amp;Const'!Z447))=TRUE,"",IF(E447="N","PLACEHOLDER ROW - ","")),'C-Design&amp;Const'!Z447,IF(E447="N","",J447))</f>
        <v>PLACEHOLDER ROW - Exterior preservation drawings</v>
      </c>
      <c r="I447" s="209"/>
      <c r="J447" s="578" t="str">
        <f>IF('C-Design&amp;Const'!AD447="","",'C-Design&amp;Const'!AD447)</f>
        <v/>
      </c>
      <c r="K447" s="228"/>
      <c r="L447" s="1410" t="str">
        <f t="shared" si="21"/>
        <v>&lt;---PM/Planner may hide PLACEHOLDER ROW</v>
      </c>
      <c r="M447" s="1333"/>
      <c r="N447" s="1333"/>
      <c r="O447" s="1333"/>
      <c r="P447" s="1333"/>
      <c r="Q447" s="1333"/>
      <c r="R447" s="1333"/>
      <c r="S447" s="1333"/>
      <c r="T447" s="1333"/>
      <c r="U447" s="1333"/>
      <c r="V447" s="1333"/>
      <c r="W447" s="1333"/>
      <c r="X447" s="1333"/>
      <c r="Y447" s="1333"/>
      <c r="Z447" s="1333"/>
      <c r="AA447" s="1333"/>
      <c r="AB447" s="1333"/>
      <c r="AC447" s="1333"/>
      <c r="AD447" s="1333"/>
      <c r="AE447" s="1333"/>
      <c r="AF447" s="1333"/>
      <c r="AG447" s="1333"/>
      <c r="AH447" s="1333"/>
      <c r="AI447" s="1333"/>
    </row>
    <row r="448" spans="1:49" s="30" customFormat="1" ht="15.75" customHeight="1" x14ac:dyDescent="0.25">
      <c r="A448" s="1407"/>
      <c r="B448" s="191"/>
      <c r="C448" s="921"/>
      <c r="D448" s="154"/>
      <c r="E448" s="500" t="str">
        <f>IF('C-Design&amp;Const'!$G448="","",'C-Design&amp;Const'!$G448)</f>
        <v>N</v>
      </c>
      <c r="F448" s="746"/>
      <c r="G448" s="465"/>
      <c r="H448" s="1012" t="str">
        <f>CONCATENATE(IF(ISNUMBER(SEARCH("Placeholder",'C-Design&amp;Const'!Z448))=TRUE,"",IF(E448="N","PLACEHOLDER ROW - ","")),'C-Design&amp;Const'!Z448,IF(E448="N","",J448))</f>
        <v>PLACEHOLDER ROW - Interior Photographic Documentation</v>
      </c>
      <c r="I448" s="209"/>
      <c r="J448" s="578" t="str">
        <f>IF('C-Design&amp;Const'!AD448="","",'C-Design&amp;Const'!AD448)</f>
        <v/>
      </c>
      <c r="K448" s="228"/>
      <c r="L448" s="1410" t="str">
        <f t="shared" si="21"/>
        <v>&lt;---PM/Planner may hide PLACEHOLDER ROW</v>
      </c>
      <c r="M448" s="1382"/>
      <c r="N448" s="1382"/>
      <c r="O448" s="1382"/>
      <c r="P448" s="1382"/>
      <c r="Q448" s="1382"/>
      <c r="R448" s="1382"/>
      <c r="S448" s="1382"/>
      <c r="T448" s="1382"/>
      <c r="U448" s="1382"/>
      <c r="V448" s="1382"/>
      <c r="W448" s="1382"/>
      <c r="X448" s="1382"/>
      <c r="Y448" s="1382"/>
      <c r="Z448" s="1382"/>
      <c r="AA448" s="1382"/>
      <c r="AB448" s="1382"/>
      <c r="AC448" s="1382"/>
      <c r="AD448" s="1382"/>
      <c r="AE448" s="1382"/>
      <c r="AF448" s="1382"/>
      <c r="AG448" s="1382"/>
      <c r="AH448" s="1382"/>
      <c r="AI448" s="1382"/>
      <c r="AJ448" s="181"/>
      <c r="AK448" s="181"/>
      <c r="AL448" s="181"/>
      <c r="AM448" s="181"/>
      <c r="AN448" s="181"/>
      <c r="AO448" s="181"/>
      <c r="AP448" s="181"/>
      <c r="AQ448" s="181"/>
      <c r="AR448" s="181"/>
      <c r="AS448" s="181"/>
      <c r="AT448" s="181"/>
      <c r="AU448" s="181"/>
      <c r="AV448" s="181"/>
      <c r="AW448" s="181"/>
    </row>
    <row r="449" spans="1:49" s="30" customFormat="1" ht="16.5" customHeight="1" x14ac:dyDescent="0.25">
      <c r="A449" s="1407"/>
      <c r="B449" s="191"/>
      <c r="C449" s="942"/>
      <c r="D449" s="1"/>
      <c r="E449" s="489" t="str">
        <f>IF('C-Design&amp;Const'!$G449="","",'C-Design&amp;Const'!$G449)</f>
        <v>N</v>
      </c>
      <c r="F449" s="544"/>
      <c r="G449" s="1011"/>
      <c r="H449" s="1013" t="str">
        <f>CONCATENATE(IF(ISNUMBER(SEARCH("Placeholder",'C-Design&amp;Const'!Z449))=TRUE,"",IF(E449="N","PLACEHOLDER ROW - ","")),'C-Design&amp;Const'!Z449,IF(E449="N","",J449))</f>
        <v>PLACEHOLDER ROW - Interior preservation drawings</v>
      </c>
      <c r="I449" s="184"/>
      <c r="J449" s="181"/>
      <c r="K449" s="228"/>
      <c r="L449" s="1410" t="str">
        <f t="shared" si="21"/>
        <v>&lt;---PM/Planner may hide PLACEHOLDER ROW</v>
      </c>
      <c r="M449" s="1382"/>
      <c r="N449" s="1382"/>
      <c r="O449" s="1382"/>
      <c r="P449" s="1382"/>
      <c r="Q449" s="1382"/>
      <c r="R449" s="1382"/>
      <c r="S449" s="1382"/>
      <c r="T449" s="1382"/>
      <c r="U449" s="1382"/>
      <c r="V449" s="1382"/>
      <c r="W449" s="1382"/>
      <c r="X449" s="1382"/>
      <c r="Y449" s="1382"/>
      <c r="Z449" s="1382"/>
      <c r="AA449" s="1382"/>
      <c r="AB449" s="1382"/>
      <c r="AC449" s="1382"/>
      <c r="AD449" s="1382"/>
      <c r="AE449" s="1382"/>
      <c r="AF449" s="1382"/>
      <c r="AG449" s="1382"/>
      <c r="AH449" s="1382"/>
      <c r="AI449" s="1382"/>
      <c r="AJ449" s="181"/>
      <c r="AK449" s="181"/>
      <c r="AL449" s="181"/>
      <c r="AM449" s="181"/>
      <c r="AN449" s="181"/>
      <c r="AO449" s="181"/>
      <c r="AP449" s="181"/>
      <c r="AQ449" s="181"/>
      <c r="AR449" s="181"/>
      <c r="AS449" s="181"/>
      <c r="AT449" s="181"/>
      <c r="AU449" s="181"/>
      <c r="AV449" s="181"/>
      <c r="AW449" s="181"/>
    </row>
    <row r="450" spans="1:49" s="30" customFormat="1" ht="15" customHeight="1" x14ac:dyDescent="0.25">
      <c r="A450" s="1407"/>
      <c r="B450" s="191"/>
      <c r="C450" s="942"/>
      <c r="D450" s="1"/>
      <c r="E450" s="172"/>
      <c r="F450" s="16"/>
      <c r="G450" s="1014"/>
      <c r="H450" s="804"/>
      <c r="I450" s="184"/>
      <c r="J450" s="181"/>
      <c r="K450" s="228"/>
      <c r="L450" s="1410" t="str">
        <f t="shared" ref="L450" si="22">CONCATENATE(IF(ISNUMBER(SEARCH("Placeholder",H450))=TRUE,"&lt;---PM/Planner may hide PLACEHOLDER ROW",""))</f>
        <v/>
      </c>
      <c r="M450" s="1382"/>
      <c r="N450" s="1382"/>
      <c r="O450" s="1382"/>
      <c r="P450" s="1382"/>
      <c r="Q450" s="1382"/>
      <c r="R450" s="1382"/>
      <c r="S450" s="1382"/>
      <c r="T450" s="1382"/>
      <c r="U450" s="1382"/>
      <c r="V450" s="1382"/>
      <c r="W450" s="1382"/>
      <c r="X450" s="1382"/>
      <c r="Y450" s="1382"/>
      <c r="Z450" s="1382"/>
      <c r="AA450" s="1382"/>
      <c r="AB450" s="1382"/>
      <c r="AC450" s="1382"/>
      <c r="AD450" s="1382"/>
      <c r="AE450" s="1382"/>
      <c r="AF450" s="1382"/>
      <c r="AG450" s="1382"/>
      <c r="AH450" s="1382"/>
      <c r="AI450" s="1382"/>
      <c r="AJ450" s="181"/>
      <c r="AK450" s="181"/>
      <c r="AL450" s="181"/>
      <c r="AM450" s="181"/>
      <c r="AN450" s="181"/>
      <c r="AO450" s="181"/>
      <c r="AP450" s="181"/>
      <c r="AQ450" s="181"/>
      <c r="AR450" s="181"/>
      <c r="AS450" s="181"/>
      <c r="AT450" s="181"/>
      <c r="AU450" s="181"/>
      <c r="AV450" s="181"/>
      <c r="AW450" s="181"/>
    </row>
    <row r="451" spans="1:49" s="30" customFormat="1" ht="15" customHeight="1" x14ac:dyDescent="0.25">
      <c r="A451" s="1407"/>
      <c r="B451" s="191"/>
      <c r="C451" s="171"/>
      <c r="D451" s="1"/>
      <c r="E451" s="172"/>
      <c r="F451" s="16"/>
      <c r="G451" s="171"/>
      <c r="H451" s="1"/>
      <c r="I451" s="184"/>
      <c r="J451" s="551"/>
      <c r="K451" s="551"/>
      <c r="L451" s="1382"/>
      <c r="M451" s="1382"/>
      <c r="N451" s="1382"/>
      <c r="O451" s="1382"/>
      <c r="P451" s="1382"/>
      <c r="Q451" s="1382"/>
      <c r="R451" s="1382"/>
      <c r="S451" s="1382"/>
      <c r="T451" s="1382"/>
      <c r="U451" s="1382"/>
      <c r="V451" s="1382"/>
      <c r="W451" s="1382"/>
      <c r="X451" s="1382"/>
      <c r="Y451" s="1382"/>
      <c r="Z451" s="1382"/>
      <c r="AA451" s="1382"/>
      <c r="AB451" s="1382"/>
      <c r="AC451" s="1382"/>
      <c r="AD451" s="1382"/>
      <c r="AE451" s="1382"/>
      <c r="AF451" s="1382"/>
      <c r="AG451" s="1382"/>
      <c r="AH451" s="1382"/>
      <c r="AI451" s="1382"/>
      <c r="AJ451" s="181"/>
      <c r="AK451" s="181"/>
      <c r="AL451" s="181"/>
      <c r="AM451" s="181"/>
      <c r="AN451" s="181"/>
      <c r="AO451" s="181"/>
      <c r="AP451" s="181"/>
      <c r="AQ451" s="181"/>
      <c r="AR451" s="181"/>
      <c r="AS451" s="181"/>
      <c r="AT451" s="181"/>
      <c r="AU451" s="181"/>
      <c r="AV451" s="181"/>
      <c r="AW451" s="181"/>
    </row>
    <row r="452" spans="1:49" s="30" customFormat="1" ht="4.5" customHeight="1" x14ac:dyDescent="0.25">
      <c r="A452" s="1407"/>
      <c r="B452" s="211"/>
      <c r="C452" s="212"/>
      <c r="D452" s="212"/>
      <c r="E452" s="212"/>
      <c r="F452" s="212"/>
      <c r="G452" s="213"/>
      <c r="H452" s="214"/>
      <c r="I452" s="215"/>
      <c r="J452" s="551"/>
      <c r="K452" s="551"/>
      <c r="L452" s="1382"/>
      <c r="M452" s="1382"/>
      <c r="N452" s="1382"/>
      <c r="O452" s="1382"/>
      <c r="P452" s="1382"/>
      <c r="Q452" s="1382"/>
      <c r="R452" s="1382"/>
      <c r="S452" s="1382"/>
      <c r="T452" s="1382"/>
      <c r="U452" s="1382"/>
      <c r="V452" s="1382"/>
      <c r="W452" s="1382"/>
      <c r="X452" s="1382"/>
      <c r="Y452" s="1382"/>
      <c r="Z452" s="1382"/>
      <c r="AA452" s="1382"/>
      <c r="AB452" s="1382"/>
      <c r="AC452" s="1382"/>
      <c r="AD452" s="1382"/>
      <c r="AE452" s="1382"/>
      <c r="AF452" s="1382"/>
      <c r="AG452" s="1382"/>
      <c r="AH452" s="1382"/>
      <c r="AI452" s="1382"/>
      <c r="AJ452" s="181"/>
      <c r="AK452" s="181"/>
      <c r="AL452" s="181"/>
      <c r="AM452" s="181"/>
      <c r="AN452" s="181"/>
      <c r="AO452" s="181"/>
      <c r="AP452" s="181"/>
      <c r="AQ452" s="181"/>
      <c r="AR452" s="181"/>
      <c r="AS452" s="181"/>
      <c r="AT452" s="181"/>
      <c r="AU452" s="181"/>
      <c r="AV452" s="181"/>
      <c r="AW452" s="181"/>
    </row>
    <row r="453" spans="1:49" s="30" customFormat="1" ht="18.75" x14ac:dyDescent="0.25">
      <c r="A453" s="1414"/>
      <c r="B453" s="1415"/>
      <c r="C453" s="1274"/>
      <c r="D453" s="1274"/>
      <c r="E453" s="1274"/>
      <c r="F453" s="1274"/>
      <c r="G453" s="1416"/>
      <c r="H453" s="1382"/>
      <c r="I453" s="1417"/>
      <c r="J453" s="1392"/>
      <c r="K453" s="1411"/>
      <c r="L453" s="1411"/>
      <c r="M453" s="1411"/>
      <c r="N453" s="1382"/>
      <c r="O453" s="1382"/>
      <c r="P453" s="1382"/>
      <c r="Q453" s="1382"/>
      <c r="R453" s="1382"/>
      <c r="S453" s="1382"/>
      <c r="T453" s="1382"/>
      <c r="U453" s="1382"/>
      <c r="V453" s="1382"/>
      <c r="W453" s="1382"/>
      <c r="X453" s="1382"/>
      <c r="Y453" s="1382"/>
      <c r="Z453" s="1382"/>
      <c r="AA453" s="1382"/>
      <c r="AB453" s="1382"/>
      <c r="AC453" s="1382"/>
      <c r="AD453" s="1382"/>
      <c r="AE453" s="1382"/>
      <c r="AF453" s="1382"/>
      <c r="AG453" s="1382"/>
      <c r="AH453" s="1382"/>
      <c r="AI453" s="1382"/>
      <c r="AJ453" s="181"/>
      <c r="AK453" s="181"/>
      <c r="AL453" s="181"/>
      <c r="AM453" s="181"/>
      <c r="AN453" s="181"/>
      <c r="AO453" s="181"/>
      <c r="AP453" s="181"/>
      <c r="AQ453" s="181"/>
      <c r="AR453" s="181"/>
      <c r="AS453" s="181"/>
      <c r="AT453" s="181"/>
      <c r="AU453" s="181"/>
      <c r="AV453" s="181"/>
      <c r="AW453" s="181"/>
    </row>
    <row r="454" spans="1:49" ht="18.75" x14ac:dyDescent="0.25">
      <c r="A454" s="1342"/>
      <c r="B454" s="1285"/>
      <c r="C454" s="1287" t="str">
        <f ca="1">CONCATENATE("UIUC Template Change Log hidden for TAB [",MID(CELL("filename",C7),FIND("]",CELL("filename",C7))+1,255),"] :")</f>
        <v>UIUC Template Change Log hidden for TAB [00 - Concept.] :</v>
      </c>
      <c r="D454" s="1364"/>
      <c r="E454" s="1364"/>
      <c r="F454" s="1364"/>
      <c r="G454" s="1365"/>
      <c r="H454" s="1333"/>
      <c r="I454" s="1417"/>
      <c r="J454" s="1358"/>
      <c r="K454" s="1417"/>
      <c r="L454" s="1410" t="str">
        <f t="shared" si="21"/>
        <v/>
      </c>
      <c r="M454" s="1351"/>
      <c r="N454" s="1412"/>
      <c r="O454" s="1333"/>
      <c r="P454" s="1333"/>
      <c r="Q454" s="1333"/>
      <c r="R454" s="1333"/>
      <c r="S454" s="1333"/>
      <c r="T454" s="1333"/>
      <c r="U454" s="1333"/>
      <c r="V454" s="1333"/>
      <c r="W454" s="1333"/>
      <c r="X454" s="1333"/>
      <c r="Y454" s="1333"/>
      <c r="Z454" s="1333"/>
      <c r="AA454" s="1333"/>
      <c r="AB454" s="1333"/>
      <c r="AC454" s="1333"/>
      <c r="AD454" s="1333"/>
      <c r="AE454" s="1333"/>
      <c r="AF454" s="1333"/>
      <c r="AG454" s="1333"/>
      <c r="AH454" s="1333"/>
      <c r="AI454" s="1333"/>
    </row>
    <row r="455" spans="1:49" ht="18.75" x14ac:dyDescent="0.25">
      <c r="A455" s="1342"/>
      <c r="B455" s="1285"/>
      <c r="C455" s="1284"/>
      <c r="D455" s="1364"/>
      <c r="E455" s="1364"/>
      <c r="F455" s="1364"/>
      <c r="G455" s="1365"/>
      <c r="H455" s="1333"/>
      <c r="I455" s="1417"/>
      <c r="J455" s="1358"/>
      <c r="K455" s="1417"/>
      <c r="L455" s="1410" t="str">
        <f t="shared" si="21"/>
        <v/>
      </c>
      <c r="M455" s="1351"/>
      <c r="N455" s="1333"/>
      <c r="O455" s="1413"/>
      <c r="P455" s="1333"/>
      <c r="Q455" s="1333"/>
      <c r="R455" s="1333"/>
      <c r="S455" s="1333"/>
      <c r="T455" s="1333"/>
      <c r="U455" s="1333"/>
      <c r="V455" s="1333"/>
      <c r="W455" s="1333"/>
      <c r="X455" s="1333"/>
      <c r="Y455" s="1333"/>
      <c r="Z455" s="1333"/>
      <c r="AA455" s="1333"/>
      <c r="AB455" s="1333"/>
      <c r="AC455" s="1333"/>
      <c r="AD455" s="1333"/>
      <c r="AE455" s="1333"/>
      <c r="AF455" s="1333"/>
      <c r="AG455" s="1333"/>
      <c r="AH455" s="1333"/>
      <c r="AI455" s="1333"/>
    </row>
    <row r="456" spans="1:49" ht="15" hidden="1" customHeight="1" x14ac:dyDescent="0.25">
      <c r="A456" s="1342"/>
      <c r="B456" s="1285"/>
      <c r="C456" s="2062">
        <v>42486</v>
      </c>
      <c r="D456" s="2062"/>
      <c r="E456" s="2062"/>
      <c r="F456" s="1297"/>
      <c r="G456" s="1297" t="s">
        <v>639</v>
      </c>
      <c r="H456" s="1333"/>
      <c r="I456" s="1417"/>
      <c r="J456" s="1358"/>
      <c r="K456" s="1333"/>
      <c r="L456" s="1333"/>
      <c r="M456" s="1333"/>
      <c r="N456" s="1333"/>
      <c r="O456" s="1413"/>
      <c r="P456" s="1333"/>
      <c r="Q456" s="1333"/>
      <c r="R456" s="1333"/>
      <c r="S456" s="1333"/>
      <c r="T456" s="1333"/>
      <c r="U456" s="1333"/>
      <c r="V456" s="1333"/>
      <c r="W456" s="1333"/>
      <c r="X456" s="1333"/>
      <c r="Y456" s="1333"/>
      <c r="Z456" s="1333"/>
      <c r="AA456" s="1333"/>
      <c r="AB456" s="1333"/>
      <c r="AC456" s="1333"/>
      <c r="AD456" s="1333"/>
      <c r="AE456" s="1333"/>
      <c r="AF456" s="1333"/>
      <c r="AG456" s="1333"/>
      <c r="AH456" s="1333"/>
      <c r="AI456" s="1333"/>
    </row>
    <row r="457" spans="1:49" ht="15" hidden="1" customHeight="1" x14ac:dyDescent="0.25">
      <c r="A457" s="1331"/>
      <c r="B457" s="1284"/>
      <c r="C457" s="2062"/>
      <c r="D457" s="2062"/>
      <c r="E457" s="2062"/>
      <c r="F457" s="1297"/>
      <c r="G457" s="1297" t="s">
        <v>675</v>
      </c>
      <c r="H457" s="1333"/>
      <c r="I457" s="1351"/>
      <c r="J457" s="1333"/>
      <c r="K457" s="1333"/>
      <c r="L457" s="1333"/>
      <c r="M457" s="1333"/>
      <c r="N457" s="1333"/>
      <c r="O457" s="1413"/>
      <c r="P457" s="1333"/>
      <c r="Q457" s="1333"/>
      <c r="R457" s="1333"/>
      <c r="S457" s="1333"/>
      <c r="T457" s="1333"/>
      <c r="U457" s="1333"/>
      <c r="V457" s="1333"/>
      <c r="W457" s="1333"/>
      <c r="X457" s="1333"/>
      <c r="Y457" s="1333"/>
      <c r="Z457" s="1333"/>
      <c r="AA457" s="1333"/>
      <c r="AB457" s="1333"/>
      <c r="AC457" s="1333"/>
      <c r="AD457" s="1333"/>
      <c r="AE457" s="1333"/>
      <c r="AF457" s="1333"/>
      <c r="AG457" s="1333"/>
      <c r="AH457" s="1333"/>
      <c r="AI457" s="1333"/>
    </row>
    <row r="458" spans="1:49" ht="15" hidden="1" customHeight="1" x14ac:dyDescent="0.25">
      <c r="A458" s="1331"/>
      <c r="B458" s="1284"/>
      <c r="C458" s="2062"/>
      <c r="D458" s="2062"/>
      <c r="E458" s="2062"/>
      <c r="F458" s="1297"/>
      <c r="G458" s="1297" t="s">
        <v>680</v>
      </c>
      <c r="H458" s="1284"/>
      <c r="I458" s="1333"/>
      <c r="J458" s="1413"/>
      <c r="K458" s="1417"/>
      <c r="L458" s="1333"/>
      <c r="M458" s="1333"/>
      <c r="N458" s="1333"/>
      <c r="O458" s="1333"/>
      <c r="P458" s="1333"/>
      <c r="Q458" s="1333"/>
      <c r="R458" s="1333"/>
      <c r="S458" s="1333"/>
      <c r="T458" s="1333"/>
      <c r="U458" s="1333"/>
      <c r="V458" s="1333"/>
      <c r="W458" s="1333"/>
      <c r="X458" s="1333"/>
      <c r="Y458" s="1333"/>
      <c r="Z458" s="1333"/>
      <c r="AA458" s="1333"/>
      <c r="AB458" s="1333"/>
      <c r="AC458" s="1333"/>
      <c r="AD458" s="1333"/>
      <c r="AE458" s="1333"/>
      <c r="AF458" s="1333"/>
      <c r="AG458" s="1333"/>
      <c r="AH458" s="1333"/>
      <c r="AI458" s="1333"/>
    </row>
    <row r="459" spans="1:49" ht="15" hidden="1" customHeight="1" x14ac:dyDescent="0.25">
      <c r="A459" s="1331"/>
      <c r="B459" s="1284"/>
      <c r="C459" s="2062"/>
      <c r="D459" s="2062"/>
      <c r="E459" s="2062"/>
      <c r="F459" s="1297"/>
      <c r="G459" s="1297"/>
      <c r="H459" s="1284"/>
      <c r="I459" s="1333"/>
      <c r="J459" s="1333"/>
      <c r="K459" s="1417"/>
      <c r="L459" s="1333"/>
      <c r="M459" s="1333"/>
      <c r="N459" s="1333"/>
      <c r="O459" s="1333"/>
      <c r="P459" s="1333"/>
      <c r="Q459" s="1333"/>
      <c r="R459" s="1333"/>
      <c r="S459" s="1333"/>
      <c r="T459" s="1333"/>
      <c r="U459" s="1333"/>
      <c r="V459" s="1333"/>
      <c r="W459" s="1333"/>
      <c r="X459" s="1333"/>
      <c r="Y459" s="1333"/>
      <c r="Z459" s="1333"/>
      <c r="AA459" s="1333"/>
      <c r="AB459" s="1333"/>
      <c r="AC459" s="1333"/>
      <c r="AD459" s="1333"/>
      <c r="AE459" s="1333"/>
      <c r="AF459" s="1333"/>
      <c r="AG459" s="1333"/>
      <c r="AH459" s="1333"/>
      <c r="AI459" s="1333"/>
    </row>
    <row r="460" spans="1:49" ht="15" hidden="1" customHeight="1" x14ac:dyDescent="0.25">
      <c r="A460" s="1331"/>
      <c r="B460" s="1284"/>
      <c r="C460" s="2062">
        <v>42490</v>
      </c>
      <c r="D460" s="2062"/>
      <c r="E460" s="2062"/>
      <c r="F460" s="1297"/>
      <c r="G460" s="1297" t="s">
        <v>684</v>
      </c>
      <c r="H460" s="1284"/>
      <c r="I460" s="1333"/>
      <c r="J460" s="1333"/>
      <c r="K460" s="1417"/>
      <c r="L460" s="1333"/>
      <c r="M460" s="1333"/>
      <c r="N460" s="1333"/>
      <c r="O460" s="1333"/>
      <c r="P460" s="1333"/>
      <c r="Q460" s="1333"/>
      <c r="R460" s="1333"/>
      <c r="S460" s="1333"/>
      <c r="T460" s="1333"/>
      <c r="U460" s="1333"/>
      <c r="V460" s="1333"/>
      <c r="W460" s="1333"/>
      <c r="X460" s="1333"/>
      <c r="Y460" s="1333"/>
      <c r="Z460" s="1333"/>
      <c r="AA460" s="1333"/>
      <c r="AB460" s="1333"/>
      <c r="AC460" s="1333"/>
      <c r="AD460" s="1333"/>
      <c r="AE460" s="1333"/>
      <c r="AF460" s="1333"/>
      <c r="AG460" s="1333"/>
      <c r="AH460" s="1333"/>
      <c r="AI460" s="1333"/>
    </row>
    <row r="461" spans="1:49" ht="15" hidden="1" customHeight="1" x14ac:dyDescent="0.25">
      <c r="A461" s="1331"/>
      <c r="B461" s="1284"/>
      <c r="C461" s="1291"/>
      <c r="D461" s="1284"/>
      <c r="E461" s="1303"/>
      <c r="F461" s="1364"/>
      <c r="G461" s="1291" t="s">
        <v>688</v>
      </c>
      <c r="H461" s="1284"/>
      <c r="I461" s="1333"/>
      <c r="J461" s="1333"/>
      <c r="K461" s="1417"/>
      <c r="L461" s="1333"/>
      <c r="M461" s="1333"/>
      <c r="N461" s="1333"/>
      <c r="O461" s="1333"/>
      <c r="P461" s="1333"/>
      <c r="Q461" s="1333"/>
      <c r="R461" s="1333"/>
      <c r="S461" s="1333"/>
      <c r="T461" s="1333"/>
      <c r="U461" s="1333"/>
      <c r="V461" s="1333"/>
      <c r="W461" s="1333"/>
      <c r="X461" s="1333"/>
      <c r="Y461" s="1333"/>
      <c r="Z461" s="1333"/>
      <c r="AA461" s="1333"/>
      <c r="AB461" s="1333"/>
      <c r="AC461" s="1333"/>
      <c r="AD461" s="1333"/>
      <c r="AE461" s="1333"/>
      <c r="AF461" s="1333"/>
      <c r="AG461" s="1333"/>
      <c r="AH461" s="1333"/>
      <c r="AI461" s="1333"/>
    </row>
    <row r="462" spans="1:49" ht="15" hidden="1" customHeight="1" x14ac:dyDescent="0.25">
      <c r="A462" s="1331"/>
      <c r="B462" s="1284"/>
      <c r="C462" s="1291"/>
      <c r="D462" s="1284"/>
      <c r="E462" s="1303"/>
      <c r="F462" s="1364"/>
      <c r="G462" s="1291" t="s">
        <v>689</v>
      </c>
      <c r="H462" s="1284"/>
      <c r="I462" s="1333"/>
      <c r="J462" s="1333"/>
      <c r="K462" s="1417"/>
      <c r="L462" s="1333"/>
      <c r="M462" s="1333"/>
      <c r="N462" s="1333"/>
      <c r="O462" s="1333"/>
      <c r="P462" s="1333"/>
      <c r="Q462" s="1333"/>
      <c r="R462" s="1333"/>
      <c r="S462" s="1333"/>
      <c r="T462" s="1333"/>
      <c r="U462" s="1333"/>
      <c r="V462" s="1333"/>
      <c r="W462" s="1333"/>
      <c r="X462" s="1333"/>
      <c r="Y462" s="1333"/>
      <c r="Z462" s="1333"/>
      <c r="AA462" s="1333"/>
      <c r="AB462" s="1333"/>
      <c r="AC462" s="1333"/>
      <c r="AD462" s="1333"/>
      <c r="AE462" s="1333"/>
      <c r="AF462" s="1333"/>
      <c r="AG462" s="1333"/>
      <c r="AH462" s="1333"/>
      <c r="AI462" s="1333"/>
    </row>
    <row r="463" spans="1:49" ht="15" hidden="1" customHeight="1" x14ac:dyDescent="0.25">
      <c r="A463" s="1331"/>
      <c r="B463" s="1284"/>
      <c r="C463" s="1291"/>
      <c r="D463" s="1284"/>
      <c r="E463" s="1303"/>
      <c r="F463" s="1364"/>
      <c r="G463" s="1291"/>
      <c r="H463" s="1284"/>
      <c r="I463" s="1333"/>
      <c r="J463" s="1333"/>
      <c r="K463" s="1417"/>
      <c r="L463" s="1333"/>
      <c r="M463" s="1333"/>
      <c r="N463" s="1333"/>
      <c r="O463" s="1333"/>
      <c r="P463" s="1333"/>
      <c r="Q463" s="1333"/>
      <c r="R463" s="1333"/>
      <c r="S463" s="1333"/>
      <c r="T463" s="1333"/>
      <c r="U463" s="1333"/>
      <c r="V463" s="1333"/>
      <c r="W463" s="1333"/>
      <c r="X463" s="1333"/>
      <c r="Y463" s="1333"/>
      <c r="Z463" s="1333"/>
      <c r="AA463" s="1333"/>
      <c r="AB463" s="1333"/>
      <c r="AC463" s="1333"/>
      <c r="AD463" s="1333"/>
      <c r="AE463" s="1333"/>
      <c r="AF463" s="1333"/>
      <c r="AG463" s="1333"/>
      <c r="AH463" s="1333"/>
      <c r="AI463" s="1333"/>
    </row>
    <row r="464" spans="1:49" ht="15" hidden="1" customHeight="1" x14ac:dyDescent="0.25">
      <c r="A464" s="1331"/>
      <c r="B464" s="1284"/>
      <c r="C464" s="2062">
        <v>42492</v>
      </c>
      <c r="D464" s="2062"/>
      <c r="E464" s="2062"/>
      <c r="F464" s="1297"/>
      <c r="G464" s="1297" t="s">
        <v>695</v>
      </c>
      <c r="H464" s="1284"/>
      <c r="I464" s="1333"/>
      <c r="J464" s="1333"/>
      <c r="K464" s="1417"/>
      <c r="L464" s="1333"/>
      <c r="M464" s="1333"/>
      <c r="N464" s="1333"/>
      <c r="O464" s="1333"/>
      <c r="P464" s="1333"/>
      <c r="Q464" s="1333"/>
      <c r="R464" s="1333"/>
      <c r="S464" s="1333"/>
      <c r="T464" s="1333"/>
      <c r="U464" s="1333"/>
      <c r="V464" s="1333"/>
      <c r="W464" s="1333"/>
      <c r="X464" s="1333"/>
      <c r="Y464" s="1333"/>
      <c r="Z464" s="1333"/>
      <c r="AA464" s="1333"/>
      <c r="AB464" s="1333"/>
      <c r="AC464" s="1333"/>
      <c r="AD464" s="1333"/>
      <c r="AE464" s="1333"/>
      <c r="AF464" s="1333"/>
      <c r="AG464" s="1333"/>
      <c r="AH464" s="1333"/>
      <c r="AI464" s="1333"/>
    </row>
    <row r="465" spans="1:35" ht="15" hidden="1" customHeight="1" x14ac:dyDescent="0.25">
      <c r="A465" s="1331"/>
      <c r="B465" s="1284"/>
      <c r="C465" s="1291"/>
      <c r="D465" s="1284"/>
      <c r="E465" s="1291"/>
      <c r="F465" s="1284"/>
      <c r="G465" s="1291"/>
      <c r="H465" s="1284"/>
      <c r="I465" s="1333"/>
      <c r="J465" s="1333"/>
      <c r="K465" s="1417"/>
      <c r="L465" s="1333"/>
      <c r="M465" s="1333"/>
      <c r="N465" s="1333"/>
      <c r="O465" s="1333"/>
      <c r="P465" s="1333"/>
      <c r="Q465" s="1333"/>
      <c r="R465" s="1333"/>
      <c r="S465" s="1333"/>
      <c r="T465" s="1333"/>
      <c r="U465" s="1333"/>
      <c r="V465" s="1333"/>
      <c r="W465" s="1333"/>
      <c r="X465" s="1333"/>
      <c r="Y465" s="1333"/>
      <c r="Z465" s="1333"/>
      <c r="AA465" s="1333"/>
      <c r="AB465" s="1333"/>
      <c r="AC465" s="1333"/>
      <c r="AD465" s="1333"/>
      <c r="AE465" s="1333"/>
      <c r="AF465" s="1333"/>
      <c r="AG465" s="1333"/>
      <c r="AH465" s="1333"/>
      <c r="AI465" s="1333"/>
    </row>
    <row r="466" spans="1:35" ht="15" hidden="1" customHeight="1" x14ac:dyDescent="0.25">
      <c r="A466" s="1331"/>
      <c r="B466" s="1284"/>
      <c r="C466" s="2062">
        <v>42496</v>
      </c>
      <c r="D466" s="2062"/>
      <c r="E466" s="2062"/>
      <c r="F466" s="1297"/>
      <c r="G466" s="1297" t="s">
        <v>714</v>
      </c>
      <c r="H466" s="1284"/>
      <c r="I466" s="1333"/>
      <c r="J466" s="1333"/>
      <c r="K466" s="1417"/>
      <c r="L466" s="1333"/>
      <c r="M466" s="1333"/>
      <c r="N466" s="1333"/>
      <c r="O466" s="1333"/>
      <c r="P466" s="1333"/>
      <c r="Q466" s="1333"/>
      <c r="R466" s="1333"/>
      <c r="S466" s="1333"/>
      <c r="T466" s="1333"/>
      <c r="U466" s="1333"/>
      <c r="V466" s="1333"/>
      <c r="W466" s="1333"/>
      <c r="X466" s="1333"/>
      <c r="Y466" s="1333"/>
      <c r="Z466" s="1333"/>
      <c r="AA466" s="1333"/>
      <c r="AB466" s="1333"/>
      <c r="AC466" s="1333"/>
      <c r="AD466" s="1333"/>
      <c r="AE466" s="1333"/>
      <c r="AF466" s="1333"/>
      <c r="AG466" s="1333"/>
      <c r="AH466" s="1333"/>
      <c r="AI466" s="1333"/>
    </row>
    <row r="467" spans="1:35" ht="15" hidden="1" customHeight="1" x14ac:dyDescent="0.25">
      <c r="A467" s="1331"/>
      <c r="B467" s="1284"/>
      <c r="C467" s="1291"/>
      <c r="D467" s="1284"/>
      <c r="E467" s="1291"/>
      <c r="F467" s="1284"/>
      <c r="G467" s="1291"/>
      <c r="H467" s="1284"/>
      <c r="I467" s="1333"/>
      <c r="J467" s="1333"/>
      <c r="K467" s="1417"/>
      <c r="L467" s="1333"/>
      <c r="M467" s="1333"/>
      <c r="N467" s="1333"/>
      <c r="O467" s="1333"/>
      <c r="P467" s="1333"/>
      <c r="Q467" s="1333"/>
      <c r="R467" s="1333"/>
      <c r="S467" s="1333"/>
      <c r="T467" s="1333"/>
      <c r="U467" s="1333"/>
      <c r="V467" s="1333"/>
      <c r="W467" s="1333"/>
      <c r="X467" s="1333"/>
      <c r="Y467" s="1333"/>
      <c r="Z467" s="1333"/>
      <c r="AA467" s="1333"/>
      <c r="AB467" s="1333"/>
      <c r="AC467" s="1333"/>
      <c r="AD467" s="1333"/>
      <c r="AE467" s="1333"/>
      <c r="AF467" s="1333"/>
      <c r="AG467" s="1333"/>
      <c r="AH467" s="1333"/>
      <c r="AI467" s="1333"/>
    </row>
    <row r="468" spans="1:35" ht="15" hidden="1" customHeight="1" x14ac:dyDescent="0.25">
      <c r="A468" s="1331"/>
      <c r="B468" s="1284"/>
      <c r="C468" s="2062">
        <v>42635</v>
      </c>
      <c r="D468" s="2062"/>
      <c r="E468" s="2062"/>
      <c r="F468" s="1297"/>
      <c r="G468" s="1297" t="s">
        <v>838</v>
      </c>
      <c r="H468" s="1284"/>
      <c r="I468" s="1333"/>
      <c r="J468" s="1333"/>
      <c r="K468" s="1417"/>
      <c r="L468" s="1333"/>
      <c r="M468" s="1333"/>
      <c r="N468" s="1333"/>
      <c r="O468" s="1333"/>
      <c r="P468" s="1333"/>
      <c r="Q468" s="1333"/>
      <c r="R468" s="1333"/>
      <c r="S468" s="1333"/>
      <c r="T468" s="1333"/>
      <c r="U468" s="1333"/>
      <c r="V468" s="1333"/>
      <c r="W468" s="1333"/>
      <c r="X468" s="1333"/>
      <c r="Y468" s="1333"/>
      <c r="Z468" s="1333"/>
      <c r="AA468" s="1333"/>
      <c r="AB468" s="1333"/>
      <c r="AC468" s="1333"/>
      <c r="AD468" s="1333"/>
      <c r="AE468" s="1333"/>
      <c r="AF468" s="1333"/>
      <c r="AG468" s="1333"/>
      <c r="AH468" s="1333"/>
      <c r="AI468" s="1333"/>
    </row>
    <row r="469" spans="1:35" ht="15" hidden="1" customHeight="1" x14ac:dyDescent="0.25">
      <c r="A469" s="1331"/>
      <c r="B469" s="1284"/>
      <c r="C469" s="2062"/>
      <c r="D469" s="2062"/>
      <c r="E469" s="2062"/>
      <c r="F469" s="1297"/>
      <c r="G469" s="1297" t="s">
        <v>837</v>
      </c>
      <c r="H469" s="1284"/>
      <c r="I469" s="1333"/>
      <c r="J469" s="1333"/>
      <c r="K469" s="1417"/>
      <c r="L469" s="1333"/>
      <c r="M469" s="1333"/>
      <c r="N469" s="1333"/>
      <c r="O469" s="1333"/>
      <c r="P469" s="1333"/>
      <c r="Q469" s="1333"/>
      <c r="R469" s="1333"/>
      <c r="S469" s="1333"/>
      <c r="T469" s="1333"/>
      <c r="U469" s="1333"/>
      <c r="V469" s="1333"/>
      <c r="W469" s="1333"/>
      <c r="X469" s="1333"/>
      <c r="Y469" s="1333"/>
      <c r="Z469" s="1333"/>
      <c r="AA469" s="1333"/>
      <c r="AB469" s="1333"/>
      <c r="AC469" s="1333"/>
      <c r="AD469" s="1333"/>
      <c r="AE469" s="1333"/>
      <c r="AF469" s="1333"/>
      <c r="AG469" s="1333"/>
      <c r="AH469" s="1333"/>
      <c r="AI469" s="1333"/>
    </row>
    <row r="470" spans="1:35" ht="15" hidden="1" customHeight="1" x14ac:dyDescent="0.25">
      <c r="A470" s="1331"/>
      <c r="B470" s="1284"/>
      <c r="C470" s="1291"/>
      <c r="D470" s="1284"/>
      <c r="E470" s="1291"/>
      <c r="F470" s="1284"/>
      <c r="G470" s="1291"/>
      <c r="H470" s="1284"/>
      <c r="I470" s="1333"/>
      <c r="J470" s="1333"/>
      <c r="K470" s="1417"/>
      <c r="L470" s="1333"/>
      <c r="M470" s="1333"/>
      <c r="N470" s="1333"/>
      <c r="O470" s="1333"/>
      <c r="P470" s="1333"/>
      <c r="Q470" s="1333"/>
      <c r="R470" s="1333"/>
      <c r="S470" s="1333"/>
      <c r="T470" s="1333"/>
      <c r="U470" s="1333"/>
      <c r="V470" s="1333"/>
      <c r="W470" s="1333"/>
      <c r="X470" s="1333"/>
      <c r="Y470" s="1333"/>
      <c r="Z470" s="1333"/>
      <c r="AA470" s="1333"/>
      <c r="AB470" s="1333"/>
      <c r="AC470" s="1333"/>
      <c r="AD470" s="1333"/>
      <c r="AE470" s="1333"/>
      <c r="AF470" s="1333"/>
      <c r="AG470" s="1333"/>
      <c r="AH470" s="1333"/>
      <c r="AI470" s="1333"/>
    </row>
    <row r="471" spans="1:35" ht="15" hidden="1" customHeight="1" x14ac:dyDescent="0.25">
      <c r="A471" s="1331"/>
      <c r="B471" s="1284"/>
      <c r="C471" s="2062">
        <v>42653</v>
      </c>
      <c r="D471" s="2062"/>
      <c r="E471" s="2062"/>
      <c r="F471" s="1297"/>
      <c r="G471" s="1297" t="s">
        <v>867</v>
      </c>
      <c r="H471" s="1284"/>
      <c r="I471" s="1333"/>
      <c r="J471" s="1333"/>
      <c r="K471" s="1417"/>
      <c r="L471" s="1333"/>
      <c r="M471" s="1333"/>
      <c r="N471" s="1333"/>
      <c r="O471" s="1333"/>
      <c r="P471" s="1333"/>
      <c r="Q471" s="1333"/>
      <c r="R471" s="1333"/>
      <c r="S471" s="1333"/>
      <c r="T471" s="1333"/>
      <c r="U471" s="1333"/>
      <c r="V471" s="1333"/>
      <c r="W471" s="1333"/>
      <c r="X471" s="1333"/>
      <c r="Y471" s="1333"/>
      <c r="Z471" s="1333"/>
      <c r="AA471" s="1333"/>
      <c r="AB471" s="1333"/>
      <c r="AC471" s="1333"/>
      <c r="AD471" s="1333"/>
      <c r="AE471" s="1333"/>
      <c r="AF471" s="1333"/>
      <c r="AG471" s="1333"/>
      <c r="AH471" s="1333"/>
      <c r="AI471" s="1333"/>
    </row>
    <row r="472" spans="1:35" ht="15" hidden="1" customHeight="1" x14ac:dyDescent="0.25">
      <c r="A472" s="1331"/>
      <c r="B472" s="1284"/>
      <c r="C472" s="1291"/>
      <c r="D472" s="1284"/>
      <c r="E472" s="1303"/>
      <c r="F472" s="1364"/>
      <c r="G472" s="1291"/>
      <c r="H472" s="1284"/>
      <c r="I472" s="1333"/>
      <c r="J472" s="1333"/>
      <c r="K472" s="1417"/>
      <c r="L472" s="1333"/>
      <c r="M472" s="1333"/>
      <c r="N472" s="1333"/>
      <c r="O472" s="1333"/>
      <c r="P472" s="1333"/>
      <c r="Q472" s="1333"/>
      <c r="R472" s="1333"/>
      <c r="S472" s="1333"/>
      <c r="T472" s="1333"/>
      <c r="U472" s="1333"/>
      <c r="V472" s="1333"/>
      <c r="W472" s="1333"/>
      <c r="X472" s="1333"/>
      <c r="Y472" s="1333"/>
      <c r="Z472" s="1333"/>
      <c r="AA472" s="1333"/>
      <c r="AB472" s="1333"/>
      <c r="AC472" s="1333"/>
      <c r="AD472" s="1333"/>
      <c r="AE472" s="1333"/>
      <c r="AF472" s="1333"/>
      <c r="AG472" s="1333"/>
      <c r="AH472" s="1333"/>
      <c r="AI472" s="1333"/>
    </row>
    <row r="473" spans="1:35" ht="15" hidden="1" customHeight="1" x14ac:dyDescent="0.25">
      <c r="A473" s="1331"/>
      <c r="B473" s="1284"/>
      <c r="C473" s="2062">
        <v>42696</v>
      </c>
      <c r="D473" s="2062"/>
      <c r="E473" s="2062"/>
      <c r="F473" s="1297"/>
      <c r="G473" s="1418" t="s">
        <v>890</v>
      </c>
      <c r="H473" s="1333"/>
      <c r="I473" s="1333"/>
      <c r="J473" s="1333"/>
      <c r="K473" s="1417"/>
      <c r="L473" s="1333"/>
      <c r="M473" s="1333"/>
      <c r="N473" s="1333"/>
      <c r="O473" s="1333"/>
      <c r="P473" s="1333"/>
      <c r="Q473" s="1333"/>
      <c r="R473" s="1333"/>
      <c r="S473" s="1333"/>
      <c r="T473" s="1333"/>
      <c r="U473" s="1333"/>
      <c r="V473" s="1333"/>
      <c r="W473" s="1333"/>
      <c r="X473" s="1333"/>
      <c r="Y473" s="1333"/>
      <c r="Z473" s="1333"/>
      <c r="AA473" s="1333"/>
      <c r="AB473" s="1333"/>
      <c r="AC473" s="1333"/>
      <c r="AD473" s="1333"/>
      <c r="AE473" s="1333"/>
      <c r="AF473" s="1333"/>
      <c r="AG473" s="1333"/>
      <c r="AH473" s="1333"/>
      <c r="AI473" s="1333"/>
    </row>
    <row r="474" spans="1:35" ht="15" hidden="1" customHeight="1" x14ac:dyDescent="0.25">
      <c r="A474" s="1331"/>
      <c r="B474" s="1284"/>
      <c r="C474" s="2062"/>
      <c r="D474" s="2062"/>
      <c r="E474" s="2062"/>
      <c r="F474" s="1297"/>
      <c r="G474" s="1418"/>
      <c r="H474" s="1284"/>
      <c r="I474" s="1333"/>
      <c r="J474" s="1333"/>
      <c r="K474" s="1417"/>
      <c r="L474" s="1333"/>
      <c r="M474" s="1333"/>
      <c r="N474" s="1333"/>
      <c r="O474" s="1333"/>
      <c r="P474" s="1333"/>
      <c r="Q474" s="1333"/>
      <c r="R474" s="1333"/>
      <c r="S474" s="1333"/>
      <c r="T474" s="1333"/>
      <c r="U474" s="1333"/>
      <c r="V474" s="1333"/>
      <c r="W474" s="1333"/>
      <c r="X474" s="1333"/>
      <c r="Y474" s="1333"/>
      <c r="Z474" s="1333"/>
      <c r="AA474" s="1333"/>
      <c r="AB474" s="1333"/>
      <c r="AC474" s="1333"/>
      <c r="AD474" s="1333"/>
      <c r="AE474" s="1333"/>
      <c r="AF474" s="1333"/>
      <c r="AG474" s="1333"/>
      <c r="AH474" s="1333"/>
      <c r="AI474" s="1333"/>
    </row>
    <row r="475" spans="1:35" ht="15" hidden="1" customHeight="1" x14ac:dyDescent="0.25">
      <c r="A475" s="1331"/>
      <c r="B475" s="1284"/>
      <c r="C475" s="2062">
        <v>42702</v>
      </c>
      <c r="D475" s="2062"/>
      <c r="E475" s="2062"/>
      <c r="F475" s="1297"/>
      <c r="G475" s="1418" t="s">
        <v>896</v>
      </c>
      <c r="H475" s="1284"/>
      <c r="I475" s="1333"/>
      <c r="J475" s="1333"/>
      <c r="K475" s="1417"/>
      <c r="L475" s="1333"/>
      <c r="M475" s="1333"/>
      <c r="N475" s="1333"/>
      <c r="O475" s="1333"/>
      <c r="P475" s="1333"/>
      <c r="Q475" s="1333"/>
      <c r="R475" s="1333"/>
      <c r="S475" s="1333"/>
      <c r="T475" s="1333"/>
      <c r="U475" s="1333"/>
      <c r="V475" s="1333"/>
      <c r="W475" s="1333"/>
      <c r="X475" s="1333"/>
      <c r="Y475" s="1333"/>
      <c r="Z475" s="1333"/>
      <c r="AA475" s="1333"/>
      <c r="AB475" s="1333"/>
      <c r="AC475" s="1333"/>
      <c r="AD475" s="1333"/>
      <c r="AE475" s="1333"/>
      <c r="AF475" s="1333"/>
      <c r="AG475" s="1333"/>
      <c r="AH475" s="1333"/>
      <c r="AI475" s="1333"/>
    </row>
    <row r="476" spans="1:35" ht="15" hidden="1" customHeight="1" x14ac:dyDescent="0.25">
      <c r="A476" s="1331"/>
      <c r="B476" s="1284"/>
      <c r="C476" s="2062"/>
      <c r="D476" s="2062"/>
      <c r="E476" s="2062"/>
      <c r="F476" s="1297"/>
      <c r="G476" s="1418" t="s">
        <v>899</v>
      </c>
      <c r="H476" s="1284"/>
      <c r="I476" s="1333"/>
      <c r="J476" s="1333"/>
      <c r="K476" s="1417"/>
      <c r="L476" s="1333"/>
      <c r="M476" s="1333"/>
      <c r="N476" s="1333"/>
      <c r="O476" s="1333"/>
      <c r="P476" s="1333"/>
      <c r="Q476" s="1333"/>
      <c r="R476" s="1333"/>
      <c r="S476" s="1333"/>
      <c r="T476" s="1333"/>
      <c r="U476" s="1333"/>
      <c r="V476" s="1333"/>
      <c r="W476" s="1333"/>
      <c r="X476" s="1333"/>
      <c r="Y476" s="1333"/>
      <c r="Z476" s="1333"/>
      <c r="AA476" s="1333"/>
      <c r="AB476" s="1333"/>
      <c r="AC476" s="1333"/>
      <c r="AD476" s="1333"/>
      <c r="AE476" s="1333"/>
      <c r="AF476" s="1333"/>
      <c r="AG476" s="1333"/>
      <c r="AH476" s="1333"/>
      <c r="AI476" s="1333"/>
    </row>
    <row r="477" spans="1:35" ht="15" hidden="1" customHeight="1" x14ac:dyDescent="0.25">
      <c r="A477" s="1331"/>
      <c r="B477" s="1284"/>
      <c r="C477" s="2062"/>
      <c r="D477" s="2062"/>
      <c r="E477" s="2062"/>
      <c r="F477" s="1297"/>
      <c r="G477" s="1418"/>
      <c r="H477" s="1284"/>
      <c r="I477" s="1333"/>
      <c r="J477" s="1333"/>
      <c r="K477" s="1417"/>
      <c r="L477" s="1333"/>
      <c r="M477" s="1333"/>
      <c r="N477" s="1333"/>
      <c r="O477" s="1333"/>
      <c r="P477" s="1333"/>
      <c r="Q477" s="1333"/>
      <c r="R477" s="1333"/>
      <c r="S477" s="1333"/>
      <c r="T477" s="1333"/>
      <c r="U477" s="1333"/>
      <c r="V477" s="1333"/>
      <c r="W477" s="1333"/>
      <c r="X477" s="1333"/>
      <c r="Y477" s="1333"/>
      <c r="Z477" s="1333"/>
      <c r="AA477" s="1333"/>
      <c r="AB477" s="1333"/>
      <c r="AC477" s="1333"/>
      <c r="AD477" s="1333"/>
      <c r="AE477" s="1333"/>
      <c r="AF477" s="1333"/>
      <c r="AG477" s="1333"/>
      <c r="AH477" s="1333"/>
      <c r="AI477" s="1333"/>
    </row>
    <row r="478" spans="1:35" ht="15" hidden="1" customHeight="1" x14ac:dyDescent="0.25">
      <c r="A478" s="1331"/>
      <c r="B478" s="1284"/>
      <c r="C478" s="2062">
        <v>42947</v>
      </c>
      <c r="D478" s="2062"/>
      <c r="E478" s="2062"/>
      <c r="F478" s="1297"/>
      <c r="G478" s="1297" t="s">
        <v>962</v>
      </c>
      <c r="H478" s="1284"/>
      <c r="I478" s="1333"/>
      <c r="J478" s="1333"/>
      <c r="K478" s="1417"/>
      <c r="L478" s="1333"/>
      <c r="M478" s="1333"/>
      <c r="N478" s="1333"/>
      <c r="O478" s="1333"/>
      <c r="P478" s="1333"/>
      <c r="Q478" s="1333"/>
      <c r="R478" s="1333"/>
      <c r="S478" s="1333"/>
      <c r="T478" s="1333"/>
      <c r="U478" s="1333"/>
      <c r="V478" s="1333"/>
      <c r="W478" s="1333"/>
      <c r="X478" s="1333"/>
      <c r="Y478" s="1333"/>
      <c r="Z478" s="1333"/>
      <c r="AA478" s="1333"/>
      <c r="AB478" s="1333"/>
      <c r="AC478" s="1333"/>
      <c r="AD478" s="1333"/>
      <c r="AE478" s="1333"/>
      <c r="AF478" s="1333"/>
      <c r="AG478" s="1333"/>
      <c r="AH478" s="1333"/>
      <c r="AI478" s="1333"/>
    </row>
    <row r="479" spans="1:35" ht="15" hidden="1" customHeight="1" x14ac:dyDescent="0.25">
      <c r="A479" s="1331"/>
      <c r="B479" s="1284"/>
      <c r="C479" s="2062"/>
      <c r="D479" s="2062"/>
      <c r="E479" s="2062"/>
      <c r="F479" s="1297"/>
      <c r="G479" s="1297" t="s">
        <v>1018</v>
      </c>
      <c r="H479" s="1284"/>
      <c r="I479" s="1333"/>
      <c r="J479" s="1333"/>
      <c r="K479" s="1419"/>
      <c r="L479" s="1333"/>
      <c r="M479" s="1333"/>
      <c r="N479" s="1333"/>
      <c r="O479" s="1333"/>
      <c r="P479" s="1333"/>
      <c r="Q479" s="1333"/>
      <c r="R479" s="1333"/>
      <c r="S479" s="1333"/>
      <c r="T479" s="1333"/>
      <c r="U479" s="1333"/>
      <c r="V479" s="1333"/>
      <c r="W479" s="1333"/>
      <c r="X479" s="1333"/>
      <c r="Y479" s="1333"/>
      <c r="Z479" s="1333"/>
      <c r="AA479" s="1333"/>
      <c r="AB479" s="1333"/>
      <c r="AC479" s="1333"/>
      <c r="AD479" s="1333"/>
      <c r="AE479" s="1333"/>
      <c r="AF479" s="1333"/>
      <c r="AG479" s="1333"/>
      <c r="AH479" s="1333"/>
      <c r="AI479" s="1333"/>
    </row>
    <row r="480" spans="1:35" ht="15" hidden="1" customHeight="1" x14ac:dyDescent="0.25">
      <c r="A480" s="1331"/>
      <c r="B480" s="1284"/>
      <c r="C480" s="2062"/>
      <c r="D480" s="2062"/>
      <c r="E480" s="2062"/>
      <c r="F480" s="1297"/>
      <c r="G480" s="1418" t="s">
        <v>1015</v>
      </c>
      <c r="H480" s="1284"/>
      <c r="I480" s="1333"/>
      <c r="J480" s="1333"/>
      <c r="K480" s="1419"/>
      <c r="L480" s="1333"/>
      <c r="M480" s="1333"/>
      <c r="N480" s="1333"/>
      <c r="O480" s="1333"/>
      <c r="P480" s="1333"/>
      <c r="Q480" s="1333"/>
      <c r="R480" s="1333"/>
      <c r="S480" s="1333"/>
      <c r="T480" s="1333"/>
      <c r="U480" s="1333"/>
      <c r="V480" s="1333"/>
      <c r="W480" s="1333"/>
      <c r="X480" s="1333"/>
      <c r="Y480" s="1333"/>
      <c r="Z480" s="1333"/>
      <c r="AA480" s="1333"/>
      <c r="AB480" s="1333"/>
      <c r="AC480" s="1333"/>
      <c r="AD480" s="1333"/>
      <c r="AE480" s="1333"/>
      <c r="AF480" s="1333"/>
      <c r="AG480" s="1333"/>
      <c r="AH480" s="1333"/>
      <c r="AI480" s="1333"/>
    </row>
    <row r="481" spans="1:35" ht="15" hidden="1" customHeight="1" x14ac:dyDescent="0.25">
      <c r="A481" s="1331"/>
      <c r="B481" s="1284"/>
      <c r="C481" s="2062"/>
      <c r="D481" s="2062"/>
      <c r="E481" s="2062"/>
      <c r="F481" s="1297"/>
      <c r="G481" s="1418" t="s">
        <v>1012</v>
      </c>
      <c r="H481" s="1284"/>
      <c r="I481" s="1333"/>
      <c r="J481" s="1333"/>
      <c r="K481" s="1419"/>
      <c r="L481" s="1333"/>
      <c r="M481" s="1333"/>
      <c r="N481" s="1333"/>
      <c r="O481" s="1333"/>
      <c r="P481" s="1333"/>
      <c r="Q481" s="1333"/>
      <c r="R481" s="1333"/>
      <c r="S481" s="1333"/>
      <c r="T481" s="1333"/>
      <c r="U481" s="1333"/>
      <c r="V481" s="1333"/>
      <c r="W481" s="1333"/>
      <c r="X481" s="1333"/>
      <c r="Y481" s="1333"/>
      <c r="Z481" s="1333"/>
      <c r="AA481" s="1333"/>
      <c r="AB481" s="1333"/>
      <c r="AC481" s="1333"/>
      <c r="AD481" s="1333"/>
      <c r="AE481" s="1333"/>
      <c r="AF481" s="1333"/>
      <c r="AG481" s="1333"/>
      <c r="AH481" s="1333"/>
      <c r="AI481" s="1333"/>
    </row>
    <row r="482" spans="1:35" ht="15" hidden="1" customHeight="1" x14ac:dyDescent="0.25">
      <c r="A482" s="1331"/>
      <c r="B482" s="1284"/>
      <c r="C482" s="2062"/>
      <c r="D482" s="2062"/>
      <c r="E482" s="2062"/>
      <c r="F482" s="1297"/>
      <c r="G482" s="1660" t="s">
        <v>1013</v>
      </c>
      <c r="H482" s="1284"/>
      <c r="I482" s="1333"/>
      <c r="J482" s="1333"/>
      <c r="K482" s="1419"/>
      <c r="L482" s="1333"/>
      <c r="M482" s="1333"/>
      <c r="N482" s="1333"/>
      <c r="O482" s="1333"/>
      <c r="P482" s="1333"/>
      <c r="Q482" s="1333"/>
      <c r="R482" s="1333"/>
      <c r="S482" s="1333"/>
      <c r="T482" s="1333"/>
      <c r="U482" s="1333"/>
      <c r="V482" s="1333"/>
      <c r="W482" s="1333"/>
      <c r="X482" s="1333"/>
      <c r="Y482" s="1333"/>
      <c r="Z482" s="1333"/>
      <c r="AA482" s="1333"/>
      <c r="AB482" s="1333"/>
      <c r="AC482" s="1333"/>
      <c r="AD482" s="1333"/>
      <c r="AE482" s="1333"/>
      <c r="AF482" s="1333"/>
      <c r="AG482" s="1333"/>
      <c r="AH482" s="1333"/>
      <c r="AI482" s="1333"/>
    </row>
    <row r="483" spans="1:35" ht="15" hidden="1" customHeight="1" x14ac:dyDescent="0.25">
      <c r="A483" s="1331"/>
      <c r="B483" s="1284"/>
      <c r="C483" s="2062"/>
      <c r="D483" s="2062"/>
      <c r="E483" s="2062"/>
      <c r="F483" s="1297"/>
      <c r="G483" s="1660" t="s">
        <v>1014</v>
      </c>
      <c r="H483" s="1284"/>
      <c r="I483" s="1333"/>
      <c r="J483" s="1333"/>
      <c r="K483" s="1419"/>
      <c r="L483" s="1333"/>
      <c r="M483" s="1333"/>
      <c r="N483" s="1333"/>
      <c r="O483" s="1333"/>
      <c r="P483" s="1333"/>
      <c r="Q483" s="1333"/>
      <c r="R483" s="1333"/>
      <c r="S483" s="1333"/>
      <c r="T483" s="1333"/>
      <c r="U483" s="1333"/>
      <c r="V483" s="1333"/>
      <c r="W483" s="1333"/>
      <c r="X483" s="1333"/>
      <c r="Y483" s="1333"/>
      <c r="Z483" s="1333"/>
      <c r="AA483" s="1333"/>
      <c r="AB483" s="1333"/>
      <c r="AC483" s="1333"/>
      <c r="AD483" s="1333"/>
      <c r="AE483" s="1333"/>
      <c r="AF483" s="1333"/>
      <c r="AG483" s="1333"/>
      <c r="AH483" s="1333"/>
      <c r="AI483" s="1333"/>
    </row>
    <row r="484" spans="1:35" ht="15" hidden="1" customHeight="1" x14ac:dyDescent="0.25">
      <c r="A484" s="1331"/>
      <c r="B484" s="1284"/>
      <c r="C484" s="2062"/>
      <c r="D484" s="2062"/>
      <c r="E484" s="2062"/>
      <c r="F484" s="1297"/>
      <c r="G484" s="1418"/>
      <c r="H484" s="1284"/>
      <c r="I484" s="1333"/>
      <c r="J484" s="1333"/>
      <c r="K484" s="1419"/>
      <c r="L484" s="1333"/>
      <c r="M484" s="1333"/>
      <c r="N484" s="1333"/>
      <c r="O484" s="1333"/>
      <c r="P484" s="1333"/>
      <c r="Q484" s="1333"/>
      <c r="R484" s="1333"/>
      <c r="S484" s="1333"/>
      <c r="T484" s="1333"/>
      <c r="U484" s="1333"/>
      <c r="V484" s="1333"/>
      <c r="W484" s="1333"/>
      <c r="X484" s="1333"/>
      <c r="Y484" s="1333"/>
      <c r="Z484" s="1333"/>
      <c r="AA484" s="1333"/>
      <c r="AB484" s="1333"/>
      <c r="AC484" s="1333"/>
      <c r="AD484" s="1333"/>
      <c r="AE484" s="1333"/>
      <c r="AF484" s="1333"/>
      <c r="AG484" s="1333"/>
      <c r="AH484" s="1333"/>
      <c r="AI484" s="1333"/>
    </row>
    <row r="485" spans="1:35" ht="15" hidden="1" customHeight="1" x14ac:dyDescent="0.25">
      <c r="A485" s="1331"/>
      <c r="B485" s="1284"/>
      <c r="C485" s="2062">
        <v>42993</v>
      </c>
      <c r="D485" s="2062"/>
      <c r="E485" s="2062"/>
      <c r="F485" s="1297"/>
      <c r="G485" s="1297" t="s">
        <v>1084</v>
      </c>
      <c r="H485" s="1284"/>
      <c r="I485" s="1333"/>
      <c r="J485" s="1333"/>
      <c r="K485" s="1419"/>
      <c r="L485" s="1333"/>
      <c r="M485" s="1333"/>
      <c r="N485" s="1333"/>
      <c r="O485" s="1333"/>
      <c r="P485" s="1333"/>
      <c r="Q485" s="1333"/>
      <c r="R485" s="1333"/>
      <c r="S485" s="1333"/>
      <c r="T485" s="1333"/>
      <c r="U485" s="1333"/>
      <c r="V485" s="1333"/>
      <c r="W485" s="1333"/>
      <c r="X485" s="1333"/>
      <c r="Y485" s="1333"/>
      <c r="Z485" s="1333"/>
      <c r="AA485" s="1333"/>
      <c r="AB485" s="1333"/>
      <c r="AC485" s="1333"/>
      <c r="AD485" s="1333"/>
      <c r="AE485" s="1333"/>
      <c r="AF485" s="1333"/>
      <c r="AG485" s="1333"/>
      <c r="AH485" s="1333"/>
      <c r="AI485" s="1333"/>
    </row>
    <row r="486" spans="1:35" ht="15" hidden="1" customHeight="1" x14ac:dyDescent="0.25">
      <c r="A486" s="1331"/>
      <c r="B486" s="1284"/>
      <c r="C486" s="2062"/>
      <c r="D486" s="2062"/>
      <c r="E486" s="2062"/>
      <c r="F486" s="1297"/>
      <c r="G486" s="1418"/>
      <c r="H486" s="1284"/>
      <c r="I486" s="1333"/>
      <c r="J486" s="1333"/>
      <c r="K486" s="1419"/>
      <c r="L486" s="1333"/>
      <c r="M486" s="1333"/>
      <c r="N486" s="1333"/>
      <c r="O486" s="1333"/>
      <c r="P486" s="1333"/>
      <c r="Q486" s="1333"/>
      <c r="R486" s="1333"/>
      <c r="S486" s="1333"/>
      <c r="T486" s="1333"/>
      <c r="U486" s="1333"/>
      <c r="V486" s="1333"/>
      <c r="W486" s="1333"/>
      <c r="X486" s="1333"/>
      <c r="Y486" s="1333"/>
      <c r="Z486" s="1333"/>
      <c r="AA486" s="1333"/>
      <c r="AB486" s="1333"/>
      <c r="AC486" s="1333"/>
      <c r="AD486" s="1333"/>
      <c r="AE486" s="1333"/>
      <c r="AF486" s="1333"/>
      <c r="AG486" s="1333"/>
      <c r="AH486" s="1333"/>
      <c r="AI486" s="1333"/>
    </row>
    <row r="487" spans="1:35" ht="15" hidden="1" customHeight="1" x14ac:dyDescent="0.25">
      <c r="A487" s="1331"/>
      <c r="B487" s="1284"/>
      <c r="C487" s="2062"/>
      <c r="D487" s="2062"/>
      <c r="E487" s="2062"/>
      <c r="F487" s="1297"/>
      <c r="G487" s="1418"/>
      <c r="H487" s="1284"/>
      <c r="I487" s="1333"/>
      <c r="J487" s="1333"/>
      <c r="K487" s="1419"/>
      <c r="L487" s="1333"/>
      <c r="M487" s="1333"/>
      <c r="N487" s="1333"/>
      <c r="O487" s="1333"/>
      <c r="P487" s="1333"/>
      <c r="Q487" s="1333"/>
      <c r="R487" s="1333"/>
      <c r="S487" s="1333"/>
      <c r="T487" s="1333"/>
      <c r="U487" s="1333"/>
      <c r="V487" s="1333"/>
      <c r="W487" s="1333"/>
      <c r="X487" s="1333"/>
      <c r="Y487" s="1333"/>
      <c r="Z487" s="1333"/>
      <c r="AA487" s="1333"/>
      <c r="AB487" s="1333"/>
      <c r="AC487" s="1333"/>
      <c r="AD487" s="1333"/>
      <c r="AE487" s="1333"/>
      <c r="AF487" s="1333"/>
      <c r="AG487" s="1333"/>
      <c r="AH487" s="1333"/>
      <c r="AI487" s="1333"/>
    </row>
    <row r="488" spans="1:35" ht="15" hidden="1" customHeight="1" x14ac:dyDescent="0.25">
      <c r="A488" s="1331"/>
      <c r="B488" s="1284"/>
      <c r="C488" s="2062">
        <v>43084</v>
      </c>
      <c r="D488" s="2062"/>
      <c r="E488" s="2062"/>
      <c r="F488" s="1297"/>
      <c r="G488" s="1418" t="s">
        <v>1127</v>
      </c>
      <c r="H488" s="1284"/>
      <c r="I488" s="1333"/>
      <c r="J488" s="1333"/>
      <c r="K488" s="1419"/>
      <c r="L488" s="1333"/>
      <c r="M488" s="1333"/>
      <c r="N488" s="1333"/>
      <c r="O488" s="1333"/>
      <c r="P488" s="1333"/>
      <c r="Q488" s="1333"/>
      <c r="R488" s="1333"/>
      <c r="S488" s="1333"/>
      <c r="T488" s="1333"/>
      <c r="U488" s="1333"/>
      <c r="V488" s="1333"/>
      <c r="W488" s="1333"/>
      <c r="X488" s="1333"/>
      <c r="Y488" s="1333"/>
      <c r="Z488" s="1333"/>
      <c r="AA488" s="1333"/>
      <c r="AB488" s="1333"/>
      <c r="AC488" s="1333"/>
      <c r="AD488" s="1333"/>
      <c r="AE488" s="1333"/>
      <c r="AF488" s="1333"/>
      <c r="AG488" s="1333"/>
      <c r="AH488" s="1333"/>
      <c r="AI488" s="1333"/>
    </row>
    <row r="489" spans="1:35" ht="15" hidden="1" customHeight="1" x14ac:dyDescent="0.25">
      <c r="A489" s="1331"/>
      <c r="B489" s="1284"/>
      <c r="C489" s="2062"/>
      <c r="D489" s="2062"/>
      <c r="E489" s="2062"/>
      <c r="F489" s="1297"/>
      <c r="G489" s="1418"/>
      <c r="H489" s="1284"/>
      <c r="I489" s="1333"/>
      <c r="J489" s="1333"/>
      <c r="K489" s="1419"/>
      <c r="L489" s="1333"/>
      <c r="M489" s="1333"/>
      <c r="N489" s="1333"/>
      <c r="O489" s="1333"/>
      <c r="P489" s="1333"/>
      <c r="Q489" s="1333"/>
      <c r="R489" s="1333"/>
      <c r="S489" s="1333"/>
      <c r="T489" s="1333"/>
      <c r="U489" s="1333"/>
      <c r="V489" s="1333"/>
      <c r="W489" s="1333"/>
      <c r="X489" s="1333"/>
      <c r="Y489" s="1333"/>
      <c r="Z489" s="1333"/>
      <c r="AA489" s="1333"/>
      <c r="AB489" s="1333"/>
      <c r="AC489" s="1333"/>
      <c r="AD489" s="1333"/>
      <c r="AE489" s="1333"/>
      <c r="AF489" s="1333"/>
      <c r="AG489" s="1333"/>
      <c r="AH489" s="1333"/>
      <c r="AI489" s="1333"/>
    </row>
    <row r="490" spans="1:35" ht="15" customHeight="1" x14ac:dyDescent="0.25">
      <c r="A490" s="1331"/>
      <c r="B490" s="1284"/>
      <c r="C490" s="2062"/>
      <c r="D490" s="2062"/>
      <c r="E490" s="2062"/>
      <c r="F490" s="1297"/>
      <c r="G490" s="1418"/>
      <c r="H490" s="1284"/>
      <c r="I490" s="1333"/>
      <c r="J490" s="1333"/>
      <c r="K490" s="1419"/>
      <c r="L490" s="1333"/>
      <c r="M490" s="1333"/>
      <c r="N490" s="1333"/>
      <c r="O490" s="1333"/>
      <c r="P490" s="1333"/>
      <c r="Q490" s="1333"/>
      <c r="R490" s="1333"/>
      <c r="S490" s="1333"/>
      <c r="T490" s="1333"/>
      <c r="U490" s="1333"/>
      <c r="V490" s="1333"/>
      <c r="W490" s="1333"/>
      <c r="X490" s="1333"/>
      <c r="Y490" s="1333"/>
      <c r="Z490" s="1333"/>
      <c r="AA490" s="1333"/>
      <c r="AB490" s="1333"/>
      <c r="AC490" s="1333"/>
      <c r="AD490" s="1333"/>
      <c r="AE490" s="1333"/>
      <c r="AF490" s="1333"/>
      <c r="AG490" s="1333"/>
      <c r="AH490" s="1333"/>
      <c r="AI490" s="1333"/>
    </row>
    <row r="491" spans="1:35" ht="15" customHeight="1" x14ac:dyDescent="0.25">
      <c r="A491" s="1331"/>
      <c r="B491" s="1284"/>
      <c r="C491" s="2062"/>
      <c r="D491" s="2062"/>
      <c r="E491" s="2062"/>
      <c r="F491" s="1297"/>
      <c r="G491" s="1418"/>
      <c r="H491" s="1284"/>
      <c r="I491" s="1333"/>
      <c r="J491" s="1333"/>
      <c r="K491" s="1419"/>
      <c r="L491" s="1333"/>
      <c r="M491" s="1333"/>
      <c r="N491" s="1333"/>
      <c r="O491" s="1333"/>
      <c r="P491" s="1333"/>
      <c r="Q491" s="1333"/>
      <c r="R491" s="1333"/>
      <c r="S491" s="1333"/>
      <c r="T491" s="1333"/>
      <c r="U491" s="1333"/>
      <c r="V491" s="1333"/>
      <c r="W491" s="1333"/>
      <c r="X491" s="1333"/>
      <c r="Y491" s="1333"/>
      <c r="Z491" s="1333"/>
      <c r="AA491" s="1333"/>
      <c r="AB491" s="1333"/>
      <c r="AC491" s="1333"/>
      <c r="AD491" s="1333"/>
      <c r="AE491" s="1333"/>
      <c r="AF491" s="1333"/>
      <c r="AG491" s="1333"/>
      <c r="AH491" s="1333"/>
      <c r="AI491" s="1333"/>
    </row>
    <row r="492" spans="1:35" ht="15" customHeight="1" x14ac:dyDescent="0.25">
      <c r="A492" s="1331"/>
      <c r="B492" s="1284"/>
      <c r="C492" s="2062"/>
      <c r="D492" s="2062"/>
      <c r="E492" s="2062"/>
      <c r="F492" s="1297"/>
      <c r="G492" s="1418"/>
      <c r="H492" s="1284"/>
      <c r="I492" s="1333"/>
      <c r="J492" s="1333"/>
      <c r="K492" s="1419"/>
      <c r="L492" s="1333"/>
      <c r="M492" s="1333"/>
      <c r="N492" s="1333"/>
      <c r="O492" s="1333"/>
      <c r="P492" s="1333"/>
      <c r="Q492" s="1333"/>
      <c r="R492" s="1333"/>
      <c r="S492" s="1333"/>
      <c r="T492" s="1333"/>
      <c r="U492" s="1333"/>
      <c r="V492" s="1333"/>
      <c r="W492" s="1333"/>
      <c r="X492" s="1333"/>
      <c r="Y492" s="1333"/>
      <c r="Z492" s="1333"/>
      <c r="AA492" s="1333"/>
      <c r="AB492" s="1333"/>
      <c r="AC492" s="1333"/>
      <c r="AD492" s="1333"/>
      <c r="AE492" s="1333"/>
      <c r="AF492" s="1333"/>
      <c r="AG492" s="1333"/>
      <c r="AH492" s="1333"/>
      <c r="AI492" s="1333"/>
    </row>
    <row r="493" spans="1:35" ht="15" customHeight="1" x14ac:dyDescent="0.25">
      <c r="A493" s="1331"/>
      <c r="B493" s="1284"/>
      <c r="C493" s="2062"/>
      <c r="D493" s="2062"/>
      <c r="E493" s="2062"/>
      <c r="F493" s="1297"/>
      <c r="G493" s="1418"/>
      <c r="H493" s="1284"/>
      <c r="I493" s="1333"/>
      <c r="J493" s="1333"/>
      <c r="K493" s="1419"/>
      <c r="L493" s="1333"/>
      <c r="M493" s="1333"/>
      <c r="N493" s="1333"/>
      <c r="O493" s="1333"/>
      <c r="P493" s="1333"/>
      <c r="Q493" s="1333"/>
      <c r="R493" s="1333"/>
      <c r="S493" s="1333"/>
      <c r="T493" s="1333"/>
      <c r="U493" s="1333"/>
      <c r="V493" s="1333"/>
      <c r="W493" s="1333"/>
      <c r="X493" s="1333"/>
      <c r="Y493" s="1333"/>
      <c r="Z493" s="1333"/>
      <c r="AA493" s="1333"/>
      <c r="AB493" s="1333"/>
      <c r="AC493" s="1333"/>
      <c r="AD493" s="1333"/>
      <c r="AE493" s="1333"/>
      <c r="AF493" s="1333"/>
      <c r="AG493" s="1333"/>
      <c r="AH493" s="1333"/>
      <c r="AI493" s="1333"/>
    </row>
    <row r="494" spans="1:35" ht="15" customHeight="1" x14ac:dyDescent="0.25">
      <c r="A494" s="1331"/>
      <c r="B494" s="1284"/>
      <c r="C494" s="2062"/>
      <c r="D494" s="2062"/>
      <c r="E494" s="2062"/>
      <c r="F494" s="1297"/>
      <c r="G494" s="1418"/>
      <c r="H494" s="1284"/>
      <c r="I494" s="1333"/>
      <c r="J494" s="1333"/>
      <c r="K494" s="1419"/>
      <c r="L494" s="1333"/>
      <c r="M494" s="1333"/>
      <c r="N494" s="1333"/>
      <c r="O494" s="1333"/>
      <c r="P494" s="1333"/>
      <c r="Q494" s="1333"/>
      <c r="R494" s="1333"/>
      <c r="S494" s="1333"/>
      <c r="T494" s="1333"/>
      <c r="U494" s="1333"/>
      <c r="V494" s="1333"/>
      <c r="W494" s="1333"/>
      <c r="X494" s="1333"/>
      <c r="Y494" s="1333"/>
      <c r="Z494" s="1333"/>
      <c r="AA494" s="1333"/>
      <c r="AB494" s="1333"/>
      <c r="AC494" s="1333"/>
      <c r="AD494" s="1333"/>
      <c r="AE494" s="1333"/>
      <c r="AF494" s="1333"/>
      <c r="AG494" s="1333"/>
      <c r="AH494" s="1333"/>
      <c r="AI494" s="1333"/>
    </row>
    <row r="495" spans="1:35" ht="15" customHeight="1" x14ac:dyDescent="0.25">
      <c r="A495" s="1331"/>
      <c r="B495" s="1284"/>
      <c r="C495" s="2062"/>
      <c r="D495" s="2062"/>
      <c r="E495" s="2062"/>
      <c r="F495" s="1297"/>
      <c r="G495" s="1418"/>
      <c r="H495" s="1284"/>
      <c r="I495" s="1333"/>
      <c r="J495" s="1333"/>
      <c r="K495" s="1419"/>
      <c r="L495" s="1333"/>
      <c r="M495" s="1333"/>
      <c r="N495" s="1333"/>
      <c r="O495" s="1333"/>
      <c r="P495" s="1333"/>
      <c r="Q495" s="1333"/>
      <c r="R495" s="1333"/>
      <c r="S495" s="1333"/>
      <c r="T495" s="1333"/>
      <c r="U495" s="1333"/>
      <c r="V495" s="1333"/>
      <c r="W495" s="1333"/>
      <c r="X495" s="1333"/>
      <c r="Y495" s="1333"/>
      <c r="Z495" s="1333"/>
      <c r="AA495" s="1333"/>
      <c r="AB495" s="1333"/>
      <c r="AC495" s="1333"/>
      <c r="AD495" s="1333"/>
      <c r="AE495" s="1333"/>
      <c r="AF495" s="1333"/>
      <c r="AG495" s="1333"/>
      <c r="AH495" s="1333"/>
      <c r="AI495" s="1333"/>
    </row>
    <row r="496" spans="1:35" ht="15" customHeight="1" x14ac:dyDescent="0.25">
      <c r="A496" s="1331"/>
      <c r="B496" s="1284"/>
      <c r="C496" s="2062"/>
      <c r="D496" s="2062"/>
      <c r="E496" s="2062"/>
      <c r="F496" s="1297"/>
      <c r="G496" s="1418"/>
      <c r="H496" s="1284"/>
      <c r="I496" s="1333"/>
      <c r="J496" s="1333"/>
      <c r="K496" s="1419"/>
      <c r="L496" s="1333"/>
      <c r="M496" s="1333"/>
      <c r="N496" s="1333"/>
      <c r="O496" s="1333"/>
      <c r="P496" s="1333"/>
      <c r="Q496" s="1333"/>
      <c r="R496" s="1333"/>
      <c r="S496" s="1333"/>
      <c r="T496" s="1333"/>
      <c r="U496" s="1333"/>
      <c r="V496" s="1333"/>
      <c r="W496" s="1333"/>
      <c r="X496" s="1333"/>
      <c r="Y496" s="1333"/>
      <c r="Z496" s="1333"/>
      <c r="AA496" s="1333"/>
      <c r="AB496" s="1333"/>
      <c r="AC496" s="1333"/>
      <c r="AD496" s="1333"/>
      <c r="AE496" s="1333"/>
      <c r="AF496" s="1333"/>
      <c r="AG496" s="1333"/>
      <c r="AH496" s="1333"/>
      <c r="AI496" s="1333"/>
    </row>
    <row r="497" spans="1:35" ht="15" customHeight="1" x14ac:dyDescent="0.25">
      <c r="A497" s="1331"/>
      <c r="B497" s="1284"/>
      <c r="C497" s="2062"/>
      <c r="D497" s="2062"/>
      <c r="E497" s="2062"/>
      <c r="F497" s="1297"/>
      <c r="G497" s="1418"/>
      <c r="H497" s="1284"/>
      <c r="I497" s="1333"/>
      <c r="J497" s="1333"/>
      <c r="K497" s="1419"/>
      <c r="L497" s="1333"/>
      <c r="M497" s="1333"/>
      <c r="N497" s="1333"/>
      <c r="O497" s="1333"/>
      <c r="P497" s="1333"/>
      <c r="Q497" s="1333"/>
      <c r="R497" s="1333"/>
      <c r="S497" s="1333"/>
      <c r="T497" s="1333"/>
      <c r="U497" s="1333"/>
      <c r="V497" s="1333"/>
      <c r="W497" s="1333"/>
      <c r="X497" s="1333"/>
      <c r="Y497" s="1333"/>
      <c r="Z497" s="1333"/>
      <c r="AA497" s="1333"/>
      <c r="AB497" s="1333"/>
      <c r="AC497" s="1333"/>
      <c r="AD497" s="1333"/>
      <c r="AE497" s="1333"/>
      <c r="AF497" s="1333"/>
      <c r="AG497" s="1333"/>
      <c r="AH497" s="1333"/>
      <c r="AI497" s="1333"/>
    </row>
    <row r="498" spans="1:35" ht="15" customHeight="1" x14ac:dyDescent="0.25">
      <c r="A498" s="1331"/>
      <c r="B498" s="1284"/>
      <c r="C498" s="2062"/>
      <c r="D498" s="2062"/>
      <c r="E498" s="2062"/>
      <c r="F498" s="1297"/>
      <c r="G498" s="1418"/>
      <c r="H498" s="1284"/>
      <c r="I498" s="1333"/>
      <c r="J498" s="1333"/>
      <c r="K498" s="1419"/>
      <c r="L498" s="1333"/>
      <c r="M498" s="1333"/>
      <c r="N498" s="1333"/>
      <c r="O498" s="1333"/>
      <c r="P498" s="1333"/>
      <c r="Q498" s="1333"/>
      <c r="R498" s="1333"/>
      <c r="S498" s="1333"/>
      <c r="T498" s="1333"/>
      <c r="U498" s="1333"/>
      <c r="V498" s="1333"/>
      <c r="W498" s="1333"/>
      <c r="X498" s="1333"/>
      <c r="Y498" s="1333"/>
      <c r="Z498" s="1333"/>
      <c r="AA498" s="1333"/>
      <c r="AB498" s="1333"/>
      <c r="AC498" s="1333"/>
      <c r="AD498" s="1333"/>
      <c r="AE498" s="1333"/>
      <c r="AF498" s="1333"/>
      <c r="AG498" s="1333"/>
      <c r="AH498" s="1333"/>
      <c r="AI498" s="1333"/>
    </row>
    <row r="499" spans="1:35" ht="15" customHeight="1" x14ac:dyDescent="0.25">
      <c r="A499" s="1331"/>
      <c r="B499" s="1284"/>
      <c r="C499" s="2062"/>
      <c r="D499" s="2062"/>
      <c r="E499" s="2062"/>
      <c r="F499" s="1297"/>
      <c r="G499" s="1418"/>
      <c r="H499" s="1284"/>
      <c r="I499" s="1333"/>
      <c r="J499" s="1333"/>
      <c r="K499" s="1419"/>
      <c r="L499" s="1333"/>
      <c r="M499" s="1333"/>
      <c r="N499" s="1333"/>
      <c r="O499" s="1333"/>
      <c r="P499" s="1333"/>
      <c r="Q499" s="1333"/>
      <c r="R499" s="1333"/>
      <c r="S499" s="1333"/>
      <c r="T499" s="1333"/>
      <c r="U499" s="1333"/>
      <c r="V499" s="1333"/>
      <c r="W499" s="1333"/>
      <c r="X499" s="1333"/>
      <c r="Y499" s="1333"/>
      <c r="Z499" s="1333"/>
      <c r="AA499" s="1333"/>
      <c r="AB499" s="1333"/>
      <c r="AC499" s="1333"/>
      <c r="AD499" s="1333"/>
      <c r="AE499" s="1333"/>
      <c r="AF499" s="1333"/>
      <c r="AG499" s="1333"/>
      <c r="AH499" s="1333"/>
      <c r="AI499" s="1333"/>
    </row>
    <row r="500" spans="1:35" ht="15" customHeight="1" x14ac:dyDescent="0.25">
      <c r="A500" s="1331"/>
      <c r="B500" s="1284"/>
      <c r="C500" s="2062"/>
      <c r="D500" s="2062"/>
      <c r="E500" s="2062"/>
      <c r="F500" s="1297"/>
      <c r="G500" s="1418"/>
      <c r="H500" s="1284"/>
      <c r="I500" s="1333"/>
      <c r="J500" s="1333"/>
      <c r="K500" s="1419"/>
      <c r="L500" s="1333"/>
      <c r="M500" s="1333"/>
      <c r="N500" s="1333"/>
      <c r="O500" s="1333"/>
      <c r="P500" s="1333"/>
      <c r="Q500" s="1333"/>
      <c r="R500" s="1333"/>
      <c r="S500" s="1333"/>
      <c r="T500" s="1333"/>
      <c r="U500" s="1333"/>
      <c r="V500" s="1333"/>
      <c r="W500" s="1333"/>
      <c r="X500" s="1333"/>
      <c r="Y500" s="1333"/>
      <c r="Z500" s="1333"/>
      <c r="AA500" s="1333"/>
      <c r="AB500" s="1333"/>
      <c r="AC500" s="1333"/>
      <c r="AD500" s="1333"/>
      <c r="AE500" s="1333"/>
      <c r="AF500" s="1333"/>
      <c r="AG500" s="1333"/>
      <c r="AH500" s="1333"/>
      <c r="AI500" s="1333"/>
    </row>
    <row r="501" spans="1:35" ht="15" customHeight="1" x14ac:dyDescent="0.25">
      <c r="A501" s="1331"/>
      <c r="B501" s="1284"/>
      <c r="C501" s="2062"/>
      <c r="D501" s="2062"/>
      <c r="E501" s="2062"/>
      <c r="F501" s="1297"/>
      <c r="G501" s="1418"/>
      <c r="H501" s="1284"/>
      <c r="I501" s="1333"/>
      <c r="J501" s="1333"/>
      <c r="K501" s="1419"/>
      <c r="L501" s="1333"/>
      <c r="M501" s="1333"/>
      <c r="N501" s="1333"/>
      <c r="O501" s="1333"/>
      <c r="P501" s="1333"/>
      <c r="Q501" s="1333"/>
      <c r="R501" s="1333"/>
      <c r="S501" s="1333"/>
      <c r="T501" s="1333"/>
      <c r="U501" s="1333"/>
      <c r="V501" s="1333"/>
      <c r="W501" s="1333"/>
      <c r="X501" s="1333"/>
      <c r="Y501" s="1333"/>
      <c r="Z501" s="1333"/>
      <c r="AA501" s="1333"/>
      <c r="AB501" s="1333"/>
      <c r="AC501" s="1333"/>
      <c r="AD501" s="1333"/>
      <c r="AE501" s="1333"/>
      <c r="AF501" s="1333"/>
      <c r="AG501" s="1333"/>
      <c r="AH501" s="1333"/>
      <c r="AI501" s="1333"/>
    </row>
    <row r="502" spans="1:35" ht="15" customHeight="1" x14ac:dyDescent="0.25">
      <c r="A502" s="1331"/>
      <c r="B502" s="1284"/>
      <c r="C502" s="2062"/>
      <c r="D502" s="2062"/>
      <c r="E502" s="2062"/>
      <c r="F502" s="1297"/>
      <c r="G502" s="1418"/>
      <c r="H502" s="1284"/>
      <c r="I502" s="1333"/>
      <c r="J502" s="1333"/>
      <c r="K502" s="1419"/>
      <c r="L502" s="1333"/>
      <c r="M502" s="1333"/>
      <c r="N502" s="1333"/>
      <c r="O502" s="1333"/>
      <c r="P502" s="1333"/>
      <c r="Q502" s="1333"/>
      <c r="R502" s="1333"/>
      <c r="S502" s="1333"/>
      <c r="T502" s="1333"/>
      <c r="U502" s="1333"/>
      <c r="V502" s="1333"/>
      <c r="W502" s="1333"/>
      <c r="X502" s="1333"/>
      <c r="Y502" s="1333"/>
      <c r="Z502" s="1333"/>
      <c r="AA502" s="1333"/>
      <c r="AB502" s="1333"/>
      <c r="AC502" s="1333"/>
      <c r="AD502" s="1333"/>
      <c r="AE502" s="1333"/>
      <c r="AF502" s="1333"/>
      <c r="AG502" s="1333"/>
      <c r="AH502" s="1333"/>
      <c r="AI502" s="1333"/>
    </row>
    <row r="503" spans="1:35" ht="15" customHeight="1" x14ac:dyDescent="0.25">
      <c r="A503" s="1331"/>
      <c r="B503" s="1284"/>
      <c r="C503" s="2062"/>
      <c r="D503" s="2062"/>
      <c r="E503" s="2062"/>
      <c r="F503" s="1297"/>
      <c r="G503" s="1418"/>
      <c r="H503" s="1284"/>
      <c r="I503" s="1333"/>
      <c r="J503" s="1333"/>
      <c r="K503" s="1419"/>
      <c r="L503" s="1333"/>
      <c r="M503" s="1333"/>
      <c r="N503" s="1333"/>
      <c r="O503" s="1333"/>
      <c r="P503" s="1333"/>
      <c r="Q503" s="1333"/>
      <c r="R503" s="1333"/>
      <c r="S503" s="1333"/>
      <c r="T503" s="1333"/>
      <c r="U503" s="1333"/>
      <c r="V503" s="1333"/>
      <c r="W503" s="1333"/>
      <c r="X503" s="1333"/>
      <c r="Y503" s="1333"/>
      <c r="Z503" s="1333"/>
      <c r="AA503" s="1333"/>
      <c r="AB503" s="1333"/>
      <c r="AC503" s="1333"/>
      <c r="AD503" s="1333"/>
      <c r="AE503" s="1333"/>
      <c r="AF503" s="1333"/>
      <c r="AG503" s="1333"/>
      <c r="AH503" s="1333"/>
      <c r="AI503" s="1333"/>
    </row>
    <row r="504" spans="1:35" ht="15" customHeight="1" x14ac:dyDescent="0.25">
      <c r="A504" s="1331"/>
      <c r="B504" s="1284"/>
      <c r="C504" s="2062"/>
      <c r="D504" s="2062"/>
      <c r="E504" s="2062"/>
      <c r="F504" s="1297"/>
      <c r="G504" s="1418"/>
      <c r="H504" s="1284"/>
      <c r="I504" s="1333"/>
      <c r="J504" s="1333"/>
      <c r="K504" s="1419"/>
      <c r="L504" s="1333"/>
      <c r="M504" s="1333"/>
      <c r="N504" s="1333"/>
      <c r="O504" s="1333"/>
      <c r="P504" s="1333"/>
      <c r="Q504" s="1333"/>
      <c r="R504" s="1333"/>
      <c r="S504" s="1333"/>
      <c r="T504" s="1333"/>
      <c r="U504" s="1333"/>
      <c r="V504" s="1333"/>
      <c r="W504" s="1333"/>
      <c r="X504" s="1333"/>
      <c r="Y504" s="1333"/>
      <c r="Z504" s="1333"/>
      <c r="AA504" s="1333"/>
      <c r="AB504" s="1333"/>
      <c r="AC504" s="1333"/>
      <c r="AD504" s="1333"/>
      <c r="AE504" s="1333"/>
      <c r="AF504" s="1333"/>
      <c r="AG504" s="1333"/>
      <c r="AH504" s="1333"/>
      <c r="AI504" s="1333"/>
    </row>
    <row r="505" spans="1:35" ht="15" customHeight="1" x14ac:dyDescent="0.25">
      <c r="A505" s="1331"/>
      <c r="B505" s="1284"/>
      <c r="C505" s="2062"/>
      <c r="D505" s="2062"/>
      <c r="E505" s="2062"/>
      <c r="F505" s="1297"/>
      <c r="G505" s="1418"/>
      <c r="H505" s="1284"/>
      <c r="I505" s="1333"/>
      <c r="J505" s="1333"/>
      <c r="K505" s="1419"/>
      <c r="L505" s="1333"/>
      <c r="M505" s="1333"/>
      <c r="N505" s="1333"/>
      <c r="O505" s="1333"/>
      <c r="P505" s="1333"/>
      <c r="Q505" s="1333"/>
      <c r="R505" s="1333"/>
      <c r="S505" s="1333"/>
      <c r="T505" s="1333"/>
      <c r="U505" s="1333"/>
      <c r="V505" s="1333"/>
      <c r="W505" s="1333"/>
      <c r="X505" s="1333"/>
      <c r="Y505" s="1333"/>
      <c r="Z505" s="1333"/>
      <c r="AA505" s="1333"/>
      <c r="AB505" s="1333"/>
      <c r="AC505" s="1333"/>
      <c r="AD505" s="1333"/>
      <c r="AE505" s="1333"/>
      <c r="AF505" s="1333"/>
      <c r="AG505" s="1333"/>
      <c r="AH505" s="1333"/>
      <c r="AI505" s="1333"/>
    </row>
    <row r="506" spans="1:35" ht="15" customHeight="1" x14ac:dyDescent="0.25">
      <c r="A506" s="1331"/>
      <c r="B506" s="1284"/>
      <c r="C506" s="2062"/>
      <c r="D506" s="2062"/>
      <c r="E506" s="2062"/>
      <c r="F506" s="1297"/>
      <c r="G506" s="1418"/>
      <c r="H506" s="1284"/>
      <c r="I506" s="1333"/>
      <c r="J506" s="1333"/>
      <c r="K506" s="1419"/>
      <c r="L506" s="1333"/>
      <c r="M506" s="1333"/>
      <c r="N506" s="1333"/>
      <c r="O506" s="1333"/>
      <c r="P506" s="1333"/>
      <c r="Q506" s="1333"/>
      <c r="R506" s="1333"/>
      <c r="S506" s="1333"/>
      <c r="T506" s="1333"/>
      <c r="U506" s="1333"/>
      <c r="V506" s="1333"/>
      <c r="W506" s="1333"/>
      <c r="X506" s="1333"/>
      <c r="Y506" s="1333"/>
      <c r="Z506" s="1333"/>
      <c r="AA506" s="1333"/>
      <c r="AB506" s="1333"/>
      <c r="AC506" s="1333"/>
      <c r="AD506" s="1333"/>
      <c r="AE506" s="1333"/>
      <c r="AF506" s="1333"/>
      <c r="AG506" s="1333"/>
      <c r="AH506" s="1333"/>
      <c r="AI506" s="1333"/>
    </row>
    <row r="507" spans="1:35" ht="15" customHeight="1" x14ac:dyDescent="0.25">
      <c r="A507" s="1331"/>
      <c r="B507" s="1284"/>
      <c r="C507" s="2062"/>
      <c r="D507" s="2062"/>
      <c r="E507" s="2062"/>
      <c r="F507" s="1297"/>
      <c r="G507" s="1418"/>
      <c r="H507" s="1284"/>
      <c r="I507" s="1333"/>
      <c r="J507" s="1333"/>
      <c r="K507" s="1419"/>
      <c r="L507" s="1333"/>
      <c r="M507" s="1333"/>
      <c r="N507" s="1333"/>
      <c r="O507" s="1333"/>
      <c r="P507" s="1333"/>
      <c r="Q507" s="1333"/>
      <c r="R507" s="1333"/>
      <c r="S507" s="1333"/>
      <c r="T507" s="1333"/>
      <c r="U507" s="1333"/>
      <c r="V507" s="1333"/>
      <c r="W507" s="1333"/>
      <c r="X507" s="1333"/>
      <c r="Y507" s="1333"/>
      <c r="Z507" s="1333"/>
      <c r="AA507" s="1333"/>
      <c r="AB507" s="1333"/>
      <c r="AC507" s="1333"/>
      <c r="AD507" s="1333"/>
      <c r="AE507" s="1333"/>
      <c r="AF507" s="1333"/>
      <c r="AG507" s="1333"/>
      <c r="AH507" s="1333"/>
      <c r="AI507" s="1333"/>
    </row>
    <row r="508" spans="1:35" ht="15" customHeight="1" x14ac:dyDescent="0.25">
      <c r="A508" s="1331"/>
      <c r="B508" s="1284"/>
      <c r="C508" s="2062"/>
      <c r="D508" s="2062"/>
      <c r="E508" s="2062"/>
      <c r="F508" s="1297"/>
      <c r="G508" s="1418"/>
      <c r="H508" s="1284"/>
      <c r="I508" s="1333"/>
      <c r="J508" s="1333"/>
      <c r="K508" s="1419"/>
      <c r="L508" s="1333"/>
      <c r="M508" s="1333"/>
      <c r="N508" s="1333"/>
      <c r="O508" s="1333"/>
      <c r="P508" s="1333"/>
      <c r="Q508" s="1333"/>
      <c r="R508" s="1333"/>
      <c r="S508" s="1333"/>
      <c r="T508" s="1333"/>
      <c r="U508" s="1333"/>
      <c r="V508" s="1333"/>
      <c r="W508" s="1333"/>
      <c r="X508" s="1333"/>
      <c r="Y508" s="1333"/>
      <c r="Z508" s="1333"/>
      <c r="AA508" s="1333"/>
      <c r="AB508" s="1333"/>
      <c r="AC508" s="1333"/>
      <c r="AD508" s="1333"/>
      <c r="AE508" s="1333"/>
      <c r="AF508" s="1333"/>
      <c r="AG508" s="1333"/>
      <c r="AH508" s="1333"/>
      <c r="AI508" s="1333"/>
    </row>
    <row r="509" spans="1:35" ht="15" customHeight="1" x14ac:dyDescent="0.25">
      <c r="A509" s="1331"/>
      <c r="B509" s="1284"/>
      <c r="C509" s="2062"/>
      <c r="D509" s="2062"/>
      <c r="E509" s="2062"/>
      <c r="F509" s="1297"/>
      <c r="G509" s="1418"/>
      <c r="H509" s="1284"/>
      <c r="I509" s="1333"/>
      <c r="J509" s="1333"/>
      <c r="K509" s="1419"/>
      <c r="L509" s="1333"/>
      <c r="M509" s="1333"/>
      <c r="N509" s="1333"/>
      <c r="O509" s="1333"/>
      <c r="P509" s="1333"/>
      <c r="Q509" s="1333"/>
      <c r="R509" s="1333"/>
      <c r="S509" s="1333"/>
      <c r="T509" s="1333"/>
      <c r="U509" s="1333"/>
      <c r="V509" s="1333"/>
      <c r="W509" s="1333"/>
      <c r="X509" s="1333"/>
      <c r="Y509" s="1333"/>
      <c r="Z509" s="1333"/>
      <c r="AA509" s="1333"/>
      <c r="AB509" s="1333"/>
      <c r="AC509" s="1333"/>
      <c r="AD509" s="1333"/>
      <c r="AE509" s="1333"/>
      <c r="AF509" s="1333"/>
      <c r="AG509" s="1333"/>
      <c r="AH509" s="1333"/>
      <c r="AI509" s="1333"/>
    </row>
    <row r="510" spans="1:35" ht="15" customHeight="1" x14ac:dyDescent="0.25">
      <c r="A510" s="1331"/>
      <c r="B510" s="1284"/>
      <c r="C510" s="2062"/>
      <c r="D510" s="2062"/>
      <c r="E510" s="2062"/>
      <c r="F510" s="1297"/>
      <c r="G510" s="1418"/>
      <c r="H510" s="1284"/>
      <c r="I510" s="1333"/>
      <c r="J510" s="1333"/>
      <c r="K510" s="1419"/>
      <c r="L510" s="1333"/>
      <c r="M510" s="1333"/>
      <c r="N510" s="1333"/>
      <c r="O510" s="1333"/>
      <c r="P510" s="1333"/>
      <c r="Q510" s="1333"/>
      <c r="R510" s="1333"/>
      <c r="S510" s="1333"/>
      <c r="T510" s="1333"/>
      <c r="U510" s="1333"/>
      <c r="V510" s="1333"/>
      <c r="W510" s="1333"/>
      <c r="X510" s="1333"/>
      <c r="Y510" s="1333"/>
      <c r="Z510" s="1333"/>
      <c r="AA510" s="1333"/>
      <c r="AB510" s="1333"/>
      <c r="AC510" s="1333"/>
      <c r="AD510" s="1333"/>
      <c r="AE510" s="1333"/>
      <c r="AF510" s="1333"/>
      <c r="AG510" s="1333"/>
      <c r="AH510" s="1333"/>
      <c r="AI510" s="1333"/>
    </row>
    <row r="511" spans="1:35" ht="15" customHeight="1" x14ac:dyDescent="0.25">
      <c r="A511" s="1331"/>
      <c r="B511" s="1284"/>
      <c r="C511" s="2062"/>
      <c r="D511" s="2062"/>
      <c r="E511" s="2062"/>
      <c r="F511" s="1297"/>
      <c r="G511" s="1418"/>
      <c r="H511" s="1284"/>
      <c r="I511" s="1333"/>
      <c r="J511" s="1333"/>
      <c r="K511" s="1419"/>
      <c r="L511" s="1333"/>
      <c r="M511" s="1333"/>
      <c r="N511" s="1333"/>
      <c r="O511" s="1333"/>
      <c r="P511" s="1333"/>
      <c r="Q511" s="1333"/>
      <c r="R511" s="1333"/>
      <c r="S511" s="1333"/>
      <c r="T511" s="1333"/>
      <c r="U511" s="1333"/>
      <c r="V511" s="1333"/>
      <c r="W511" s="1333"/>
      <c r="X511" s="1333"/>
      <c r="Y511" s="1333"/>
      <c r="Z511" s="1333"/>
      <c r="AA511" s="1333"/>
      <c r="AB511" s="1333"/>
      <c r="AC511" s="1333"/>
      <c r="AD511" s="1333"/>
      <c r="AE511" s="1333"/>
      <c r="AF511" s="1333"/>
      <c r="AG511" s="1333"/>
      <c r="AH511" s="1333"/>
      <c r="AI511" s="1333"/>
    </row>
    <row r="512" spans="1:35" ht="15" customHeight="1" x14ac:dyDescent="0.25">
      <c r="A512" s="1331"/>
      <c r="B512" s="1284"/>
      <c r="C512" s="2062"/>
      <c r="D512" s="2062"/>
      <c r="E512" s="2062"/>
      <c r="F512" s="1297"/>
      <c r="G512" s="1418"/>
      <c r="H512" s="1284"/>
      <c r="I512" s="1333"/>
      <c r="J512" s="1333"/>
      <c r="K512" s="1419"/>
      <c r="L512" s="1333"/>
      <c r="M512" s="1333"/>
      <c r="N512" s="1333"/>
      <c r="O512" s="1333"/>
      <c r="P512" s="1333"/>
      <c r="Q512" s="1333"/>
      <c r="R512" s="1333"/>
      <c r="S512" s="1333"/>
      <c r="T512" s="1333"/>
      <c r="U512" s="1333"/>
      <c r="V512" s="1333"/>
      <c r="W512" s="1333"/>
      <c r="X512" s="1333"/>
      <c r="Y512" s="1333"/>
      <c r="Z512" s="1333"/>
      <c r="AA512" s="1333"/>
      <c r="AB512" s="1333"/>
      <c r="AC512" s="1333"/>
      <c r="AD512" s="1333"/>
      <c r="AE512" s="1333"/>
      <c r="AF512" s="1333"/>
      <c r="AG512" s="1333"/>
      <c r="AH512" s="1333"/>
      <c r="AI512" s="1333"/>
    </row>
    <row r="513" spans="1:35" ht="15" customHeight="1" x14ac:dyDescent="0.25">
      <c r="A513" s="1331"/>
      <c r="B513" s="1284"/>
      <c r="C513" s="2062"/>
      <c r="D513" s="2062"/>
      <c r="E513" s="2062"/>
      <c r="F513" s="1297"/>
      <c r="G513" s="1418"/>
      <c r="H513" s="1284"/>
      <c r="I513" s="1333"/>
      <c r="J513" s="1333"/>
      <c r="K513" s="1419"/>
      <c r="L513" s="1333"/>
      <c r="M513" s="1333"/>
      <c r="N513" s="1333"/>
      <c r="O513" s="1333"/>
      <c r="P513" s="1333"/>
      <c r="Q513" s="1333"/>
      <c r="R513" s="1333"/>
      <c r="S513" s="1333"/>
      <c r="T513" s="1333"/>
      <c r="U513" s="1333"/>
      <c r="V513" s="1333"/>
      <c r="W513" s="1333"/>
      <c r="X513" s="1333"/>
      <c r="Y513" s="1333"/>
      <c r="Z513" s="1333"/>
      <c r="AA513" s="1333"/>
      <c r="AB513" s="1333"/>
      <c r="AC513" s="1333"/>
      <c r="AD513" s="1333"/>
      <c r="AE513" s="1333"/>
      <c r="AF513" s="1333"/>
      <c r="AG513" s="1333"/>
      <c r="AH513" s="1333"/>
      <c r="AI513" s="1333"/>
    </row>
    <row r="514" spans="1:35" ht="15" customHeight="1" x14ac:dyDescent="0.25">
      <c r="A514" s="1331"/>
      <c r="B514" s="1284"/>
      <c r="C514" s="2062"/>
      <c r="D514" s="2062"/>
      <c r="E514" s="2062"/>
      <c r="F514" s="1297"/>
      <c r="G514" s="1418"/>
      <c r="H514" s="1284"/>
      <c r="I514" s="1333"/>
      <c r="J514" s="1333"/>
      <c r="K514" s="1419"/>
      <c r="L514" s="1333"/>
      <c r="M514" s="1333"/>
      <c r="N514" s="1333"/>
      <c r="O514" s="1333"/>
      <c r="P514" s="1333"/>
      <c r="Q514" s="1333"/>
      <c r="R514" s="1333"/>
      <c r="S514" s="1333"/>
      <c r="T514" s="1333"/>
      <c r="U514" s="1333"/>
      <c r="V514" s="1333"/>
      <c r="W514" s="1333"/>
      <c r="X514" s="1333"/>
      <c r="Y514" s="1333"/>
      <c r="Z514" s="1333"/>
      <c r="AA514" s="1333"/>
      <c r="AB514" s="1333"/>
      <c r="AC514" s="1333"/>
      <c r="AD514" s="1333"/>
      <c r="AE514" s="1333"/>
      <c r="AF514" s="1333"/>
      <c r="AG514" s="1333"/>
      <c r="AH514" s="1333"/>
      <c r="AI514" s="1333"/>
    </row>
    <row r="515" spans="1:35" ht="15" customHeight="1" x14ac:dyDescent="0.25">
      <c r="A515" s="1331"/>
      <c r="B515" s="1284"/>
      <c r="C515" s="2062"/>
      <c r="D515" s="2062"/>
      <c r="E515" s="2062"/>
      <c r="F515" s="1297"/>
      <c r="G515" s="1418"/>
      <c r="H515" s="1284"/>
      <c r="I515" s="1333"/>
      <c r="J515" s="1333"/>
      <c r="K515" s="1419"/>
      <c r="L515" s="1333"/>
      <c r="M515" s="1333"/>
      <c r="N515" s="1333"/>
      <c r="O515" s="1333"/>
      <c r="P515" s="1333"/>
      <c r="Q515" s="1333"/>
      <c r="R515" s="1333"/>
      <c r="S515" s="1333"/>
      <c r="T515" s="1333"/>
      <c r="U515" s="1333"/>
      <c r="V515" s="1333"/>
      <c r="W515" s="1333"/>
      <c r="X515" s="1333"/>
      <c r="Y515" s="1333"/>
      <c r="Z515" s="1333"/>
      <c r="AA515" s="1333"/>
      <c r="AB515" s="1333"/>
      <c r="AC515" s="1333"/>
      <c r="AD515" s="1333"/>
      <c r="AE515" s="1333"/>
      <c r="AF515" s="1333"/>
      <c r="AG515" s="1333"/>
      <c r="AH515" s="1333"/>
      <c r="AI515" s="1333"/>
    </row>
    <row r="516" spans="1:35" ht="15" customHeight="1" x14ac:dyDescent="0.25">
      <c r="A516" s="1331"/>
      <c r="B516" s="1284"/>
      <c r="C516" s="2062"/>
      <c r="D516" s="2062"/>
      <c r="E516" s="2062"/>
      <c r="F516" s="1297"/>
      <c r="G516" s="1418"/>
      <c r="H516" s="1284"/>
      <c r="I516" s="1333"/>
      <c r="J516" s="1333"/>
      <c r="K516" s="1419"/>
      <c r="L516" s="1333"/>
      <c r="M516" s="1333"/>
      <c r="N516" s="1333"/>
      <c r="O516" s="1333"/>
      <c r="P516" s="1333"/>
      <c r="Q516" s="1333"/>
      <c r="R516" s="1333"/>
      <c r="S516" s="1333"/>
      <c r="T516" s="1333"/>
      <c r="U516" s="1333"/>
      <c r="V516" s="1333"/>
      <c r="W516" s="1333"/>
      <c r="X516" s="1333"/>
      <c r="Y516" s="1333"/>
      <c r="Z516" s="1333"/>
      <c r="AA516" s="1333"/>
      <c r="AB516" s="1333"/>
      <c r="AC516" s="1333"/>
      <c r="AD516" s="1333"/>
      <c r="AE516" s="1333"/>
      <c r="AF516" s="1333"/>
      <c r="AG516" s="1333"/>
      <c r="AH516" s="1333"/>
      <c r="AI516" s="1333"/>
    </row>
    <row r="517" spans="1:35" ht="15" customHeight="1" x14ac:dyDescent="0.25">
      <c r="A517" s="1331"/>
      <c r="B517" s="1284"/>
      <c r="C517" s="2062"/>
      <c r="D517" s="2062"/>
      <c r="E517" s="2062"/>
      <c r="F517" s="1297"/>
      <c r="G517" s="1418"/>
      <c r="H517" s="1284"/>
      <c r="I517" s="1333"/>
      <c r="J517" s="1333"/>
      <c r="K517" s="1419"/>
      <c r="L517" s="1333"/>
      <c r="M517" s="1333"/>
      <c r="N517" s="1333"/>
      <c r="O517" s="1333"/>
      <c r="P517" s="1333"/>
      <c r="Q517" s="1333"/>
      <c r="R517" s="1333"/>
      <c r="S517" s="1333"/>
      <c r="T517" s="1333"/>
      <c r="U517" s="1333"/>
      <c r="V517" s="1333"/>
      <c r="W517" s="1333"/>
      <c r="X517" s="1333"/>
      <c r="Y517" s="1333"/>
      <c r="Z517" s="1333"/>
      <c r="AA517" s="1333"/>
      <c r="AB517" s="1333"/>
      <c r="AC517" s="1333"/>
      <c r="AD517" s="1333"/>
      <c r="AE517" s="1333"/>
      <c r="AF517" s="1333"/>
      <c r="AG517" s="1333"/>
      <c r="AH517" s="1333"/>
      <c r="AI517" s="1333"/>
    </row>
    <row r="518" spans="1:35" ht="15" customHeight="1" x14ac:dyDescent="0.25">
      <c r="A518" s="1331"/>
      <c r="B518" s="1284"/>
      <c r="C518" s="2062"/>
      <c r="D518" s="2062"/>
      <c r="E518" s="2062"/>
      <c r="F518" s="1297"/>
      <c r="G518" s="1418"/>
      <c r="H518" s="1284"/>
      <c r="I518" s="1333"/>
      <c r="J518" s="1333"/>
      <c r="K518" s="1419"/>
      <c r="L518" s="1333"/>
      <c r="M518" s="1333"/>
      <c r="N518" s="1333"/>
      <c r="O518" s="1333"/>
      <c r="P518" s="1333"/>
      <c r="Q518" s="1333"/>
      <c r="R518" s="1333"/>
      <c r="S518" s="1333"/>
      <c r="T518" s="1333"/>
      <c r="U518" s="1333"/>
      <c r="V518" s="1333"/>
      <c r="W518" s="1333"/>
      <c r="X518" s="1333"/>
      <c r="Y518" s="1333"/>
      <c r="Z518" s="1333"/>
      <c r="AA518" s="1333"/>
      <c r="AB518" s="1333"/>
      <c r="AC518" s="1333"/>
      <c r="AD518" s="1333"/>
      <c r="AE518" s="1333"/>
      <c r="AF518" s="1333"/>
      <c r="AG518" s="1333"/>
      <c r="AH518" s="1333"/>
      <c r="AI518" s="1333"/>
    </row>
    <row r="519" spans="1:35" ht="15" customHeight="1" x14ac:dyDescent="0.25">
      <c r="A519" s="1331"/>
      <c r="B519" s="1284"/>
      <c r="C519" s="2062"/>
      <c r="D519" s="2062"/>
      <c r="E519" s="2062"/>
      <c r="F519" s="1297"/>
      <c r="G519" s="1418"/>
      <c r="H519" s="1284"/>
      <c r="I519" s="1333"/>
      <c r="J519" s="1333"/>
      <c r="K519" s="1419"/>
      <c r="L519" s="1333"/>
      <c r="M519" s="1333"/>
      <c r="N519" s="1333"/>
      <c r="O519" s="1333"/>
      <c r="P519" s="1333"/>
      <c r="Q519" s="1333"/>
      <c r="R519" s="1333"/>
      <c r="S519" s="1333"/>
      <c r="T519" s="1333"/>
      <c r="U519" s="1333"/>
      <c r="V519" s="1333"/>
      <c r="W519" s="1333"/>
      <c r="X519" s="1333"/>
      <c r="Y519" s="1333"/>
      <c r="Z519" s="1333"/>
      <c r="AA519" s="1333"/>
      <c r="AB519" s="1333"/>
      <c r="AC519" s="1333"/>
      <c r="AD519" s="1333"/>
      <c r="AE519" s="1333"/>
      <c r="AF519" s="1333"/>
      <c r="AG519" s="1333"/>
      <c r="AH519" s="1333"/>
      <c r="AI519" s="1333"/>
    </row>
    <row r="520" spans="1:35" ht="15" customHeight="1" x14ac:dyDescent="0.25">
      <c r="A520" s="1331"/>
      <c r="B520" s="1284"/>
      <c r="C520" s="2062"/>
      <c r="D520" s="2062"/>
      <c r="E520" s="2062"/>
      <c r="F520" s="1297"/>
      <c r="G520" s="1418"/>
      <c r="H520" s="1284"/>
      <c r="I520" s="1333"/>
      <c r="J520" s="1333"/>
      <c r="K520" s="1419"/>
      <c r="L520" s="1333"/>
      <c r="M520" s="1333"/>
      <c r="N520" s="1333"/>
      <c r="O520" s="1333"/>
      <c r="P520" s="1333"/>
      <c r="Q520" s="1333"/>
      <c r="R520" s="1333"/>
      <c r="S520" s="1333"/>
      <c r="T520" s="1333"/>
      <c r="U520" s="1333"/>
      <c r="V520" s="1333"/>
      <c r="W520" s="1333"/>
      <c r="X520" s="1333"/>
      <c r="Y520" s="1333"/>
      <c r="Z520" s="1333"/>
      <c r="AA520" s="1333"/>
      <c r="AB520" s="1333"/>
      <c r="AC520" s="1333"/>
      <c r="AD520" s="1333"/>
      <c r="AE520" s="1333"/>
      <c r="AF520" s="1333"/>
      <c r="AG520" s="1333"/>
      <c r="AH520" s="1333"/>
      <c r="AI520" s="1333"/>
    </row>
    <row r="521" spans="1:35" ht="15" customHeight="1" x14ac:dyDescent="0.25">
      <c r="A521" s="1331"/>
      <c r="B521" s="1284"/>
      <c r="C521" s="2062"/>
      <c r="D521" s="2062"/>
      <c r="E521" s="2062"/>
      <c r="F521" s="1297"/>
      <c r="G521" s="1418"/>
      <c r="H521" s="1284"/>
      <c r="I521" s="1333"/>
      <c r="J521" s="1333"/>
      <c r="K521" s="1419"/>
      <c r="L521" s="1333"/>
      <c r="M521" s="1333"/>
      <c r="N521" s="1333"/>
      <c r="O521" s="1333"/>
      <c r="P521" s="1333"/>
      <c r="Q521" s="1333"/>
      <c r="R521" s="1333"/>
      <c r="S521" s="1333"/>
      <c r="T521" s="1333"/>
      <c r="U521" s="1333"/>
      <c r="V521" s="1333"/>
      <c r="W521" s="1333"/>
      <c r="X521" s="1333"/>
      <c r="Y521" s="1333"/>
      <c r="Z521" s="1333"/>
      <c r="AA521" s="1333"/>
      <c r="AB521" s="1333"/>
      <c r="AC521" s="1333"/>
      <c r="AD521" s="1333"/>
      <c r="AE521" s="1333"/>
      <c r="AF521" s="1333"/>
      <c r="AG521" s="1333"/>
      <c r="AH521" s="1333"/>
      <c r="AI521" s="1333"/>
    </row>
    <row r="522" spans="1:35" ht="15" customHeight="1" x14ac:dyDescent="0.25">
      <c r="A522" s="1331"/>
      <c r="B522" s="1284"/>
      <c r="C522" s="2062"/>
      <c r="D522" s="2062"/>
      <c r="E522" s="2062"/>
      <c r="F522" s="1297"/>
      <c r="G522" s="1418"/>
      <c r="H522" s="1284"/>
      <c r="I522" s="1333"/>
      <c r="J522" s="1333"/>
      <c r="K522" s="1419"/>
      <c r="L522" s="1333"/>
      <c r="M522" s="1333"/>
      <c r="N522" s="1333"/>
      <c r="O522" s="1333"/>
      <c r="P522" s="1333"/>
      <c r="Q522" s="1333"/>
      <c r="R522" s="1333"/>
      <c r="S522" s="1333"/>
      <c r="T522" s="1333"/>
      <c r="U522" s="1333"/>
      <c r="V522" s="1333"/>
      <c r="W522" s="1333"/>
      <c r="X522" s="1333"/>
      <c r="Y522" s="1333"/>
      <c r="Z522" s="1333"/>
      <c r="AA522" s="1333"/>
      <c r="AB522" s="1333"/>
      <c r="AC522" s="1333"/>
      <c r="AD522" s="1333"/>
      <c r="AE522" s="1333"/>
      <c r="AF522" s="1333"/>
      <c r="AG522" s="1333"/>
      <c r="AH522" s="1333"/>
      <c r="AI522" s="1333"/>
    </row>
    <row r="523" spans="1:35" ht="15" customHeight="1" x14ac:dyDescent="0.25">
      <c r="A523" s="1331"/>
      <c r="B523" s="1284"/>
      <c r="C523" s="2062"/>
      <c r="D523" s="2062"/>
      <c r="E523" s="2062"/>
      <c r="F523" s="1297"/>
      <c r="G523" s="1418"/>
      <c r="H523" s="1284"/>
      <c r="I523" s="1333"/>
      <c r="J523" s="1333"/>
      <c r="K523" s="1419"/>
      <c r="L523" s="1333"/>
      <c r="M523" s="1333"/>
      <c r="N523" s="1333"/>
      <c r="O523" s="1333"/>
      <c r="P523" s="1333"/>
      <c r="Q523" s="1333"/>
      <c r="R523" s="1333"/>
      <c r="S523" s="1333"/>
      <c r="T523" s="1333"/>
      <c r="U523" s="1333"/>
      <c r="V523" s="1333"/>
      <c r="W523" s="1333"/>
      <c r="X523" s="1333"/>
      <c r="Y523" s="1333"/>
      <c r="Z523" s="1333"/>
      <c r="AA523" s="1333"/>
      <c r="AB523" s="1333"/>
      <c r="AC523" s="1333"/>
      <c r="AD523" s="1333"/>
      <c r="AE523" s="1333"/>
      <c r="AF523" s="1333"/>
      <c r="AG523" s="1333"/>
      <c r="AH523" s="1333"/>
      <c r="AI523" s="1333"/>
    </row>
    <row r="524" spans="1:35" ht="15" customHeight="1" x14ac:dyDescent="0.25">
      <c r="A524" s="1331"/>
      <c r="B524" s="1284"/>
      <c r="C524" s="2062"/>
      <c r="D524" s="2062"/>
      <c r="E524" s="2062"/>
      <c r="F524" s="1297"/>
      <c r="G524" s="1418"/>
      <c r="H524" s="1284"/>
      <c r="I524" s="1333"/>
      <c r="J524" s="1333"/>
      <c r="K524" s="1419"/>
      <c r="L524" s="1333"/>
      <c r="M524" s="1333"/>
      <c r="N524" s="1333"/>
      <c r="O524" s="1333"/>
      <c r="P524" s="1333"/>
      <c r="Q524" s="1333"/>
      <c r="R524" s="1333"/>
      <c r="S524" s="1333"/>
      <c r="T524" s="1333"/>
      <c r="U524" s="1333"/>
      <c r="V524" s="1333"/>
      <c r="W524" s="1333"/>
      <c r="X524" s="1333"/>
      <c r="Y524" s="1333"/>
      <c r="Z524" s="1333"/>
      <c r="AA524" s="1333"/>
      <c r="AB524" s="1333"/>
      <c r="AC524" s="1333"/>
      <c r="AD524" s="1333"/>
      <c r="AE524" s="1333"/>
      <c r="AF524" s="1333"/>
      <c r="AG524" s="1333"/>
      <c r="AH524" s="1333"/>
      <c r="AI524" s="1333"/>
    </row>
    <row r="525" spans="1:35" ht="15" customHeight="1" x14ac:dyDescent="0.25">
      <c r="A525" s="1331"/>
      <c r="B525" s="1284"/>
      <c r="C525" s="2062"/>
      <c r="D525" s="2062"/>
      <c r="E525" s="2062"/>
      <c r="F525" s="1297"/>
      <c r="G525" s="1418"/>
      <c r="H525" s="1284"/>
      <c r="I525" s="1333"/>
      <c r="J525" s="1333"/>
      <c r="K525" s="1419"/>
      <c r="L525" s="1333"/>
      <c r="M525" s="1333"/>
      <c r="N525" s="1333"/>
      <c r="O525" s="1333"/>
      <c r="P525" s="1333"/>
      <c r="Q525" s="1333"/>
      <c r="R525" s="1333"/>
      <c r="S525" s="1333"/>
      <c r="T525" s="1333"/>
      <c r="U525" s="1333"/>
      <c r="V525" s="1333"/>
      <c r="W525" s="1333"/>
      <c r="X525" s="1333"/>
      <c r="Y525" s="1333"/>
      <c r="Z525" s="1333"/>
      <c r="AA525" s="1333"/>
      <c r="AB525" s="1333"/>
      <c r="AC525" s="1333"/>
      <c r="AD525" s="1333"/>
      <c r="AE525" s="1333"/>
      <c r="AF525" s="1333"/>
      <c r="AG525" s="1333"/>
      <c r="AH525" s="1333"/>
      <c r="AI525" s="1333"/>
    </row>
    <row r="526" spans="1:35" ht="15" customHeight="1" x14ac:dyDescent="0.25">
      <c r="A526" s="1331"/>
      <c r="B526" s="1284"/>
      <c r="C526" s="2062"/>
      <c r="D526" s="2062"/>
      <c r="E526" s="2062"/>
      <c r="F526" s="1297"/>
      <c r="G526" s="1418"/>
      <c r="H526" s="1284"/>
      <c r="I526" s="1333"/>
      <c r="J526" s="1333"/>
      <c r="K526" s="1419"/>
      <c r="L526" s="1333"/>
      <c r="M526" s="1333"/>
      <c r="N526" s="1333"/>
      <c r="O526" s="1333"/>
      <c r="P526" s="1333"/>
      <c r="Q526" s="1333"/>
      <c r="R526" s="1333"/>
      <c r="S526" s="1333"/>
      <c r="T526" s="1333"/>
      <c r="U526" s="1333"/>
      <c r="V526" s="1333"/>
      <c r="W526" s="1333"/>
      <c r="X526" s="1333"/>
      <c r="Y526" s="1333"/>
      <c r="Z526" s="1333"/>
      <c r="AA526" s="1333"/>
      <c r="AB526" s="1333"/>
      <c r="AC526" s="1333"/>
      <c r="AD526" s="1333"/>
      <c r="AE526" s="1333"/>
      <c r="AF526" s="1333"/>
      <c r="AG526" s="1333"/>
      <c r="AH526" s="1333"/>
      <c r="AI526" s="1333"/>
    </row>
    <row r="527" spans="1:35" ht="15" customHeight="1" x14ac:dyDescent="0.25">
      <c r="A527" s="1331"/>
      <c r="B527" s="1284"/>
      <c r="C527" s="2062"/>
      <c r="D527" s="2062"/>
      <c r="E527" s="2062"/>
      <c r="F527" s="1297"/>
      <c r="G527" s="1418"/>
      <c r="H527" s="1284"/>
      <c r="I527" s="1333"/>
      <c r="J527" s="1333"/>
      <c r="K527" s="1419"/>
      <c r="L527" s="1333"/>
      <c r="M527" s="1333"/>
      <c r="N527" s="1333"/>
      <c r="O527" s="1333"/>
      <c r="P527" s="1333"/>
      <c r="Q527" s="1333"/>
      <c r="R527" s="1333"/>
      <c r="S527" s="1333"/>
      <c r="T527" s="1333"/>
      <c r="U527" s="1333"/>
      <c r="V527" s="1333"/>
      <c r="W527" s="1333"/>
      <c r="X527" s="1333"/>
      <c r="Y527" s="1333"/>
      <c r="Z527" s="1333"/>
      <c r="AA527" s="1333"/>
      <c r="AB527" s="1333"/>
      <c r="AC527" s="1333"/>
      <c r="AD527" s="1333"/>
      <c r="AE527" s="1333"/>
      <c r="AF527" s="1333"/>
      <c r="AG527" s="1333"/>
      <c r="AH527" s="1333"/>
      <c r="AI527" s="1333"/>
    </row>
    <row r="528" spans="1:35" x14ac:dyDescent="0.25">
      <c r="A528" s="1331"/>
      <c r="B528" s="1284"/>
      <c r="C528" s="2062"/>
      <c r="D528" s="2062"/>
      <c r="E528" s="2062"/>
      <c r="F528" s="1297"/>
      <c r="G528" s="1418"/>
      <c r="H528" s="1284"/>
      <c r="I528" s="1333"/>
      <c r="J528" s="1333"/>
      <c r="K528" s="1419"/>
      <c r="L528" s="1333"/>
      <c r="M528" s="1333"/>
      <c r="N528" s="1333"/>
      <c r="O528" s="1333"/>
      <c r="P528" s="1333"/>
      <c r="Q528" s="1333"/>
      <c r="R528" s="1333"/>
      <c r="S528" s="1333"/>
      <c r="T528" s="1333"/>
      <c r="U528" s="1333"/>
      <c r="V528" s="1333"/>
      <c r="W528" s="1333"/>
      <c r="X528" s="1333"/>
      <c r="Y528" s="1333"/>
      <c r="Z528" s="1333"/>
      <c r="AA528" s="1333"/>
      <c r="AB528" s="1333"/>
      <c r="AC528" s="1333"/>
      <c r="AD528" s="1333"/>
      <c r="AE528" s="1333"/>
      <c r="AF528" s="1333"/>
      <c r="AG528" s="1333"/>
      <c r="AH528" s="1333"/>
      <c r="AI528" s="1333"/>
    </row>
    <row r="529" spans="1:35" x14ac:dyDescent="0.25">
      <c r="A529" s="1331"/>
      <c r="B529" s="1284"/>
      <c r="C529" s="2062"/>
      <c r="D529" s="2062"/>
      <c r="E529" s="2062"/>
      <c r="F529" s="1297"/>
      <c r="G529" s="1418"/>
      <c r="H529" s="1284"/>
      <c r="I529" s="1333"/>
      <c r="J529" s="1333"/>
      <c r="K529" s="1419"/>
      <c r="L529" s="1333"/>
      <c r="M529" s="1333"/>
      <c r="N529" s="1333"/>
      <c r="O529" s="1333"/>
      <c r="P529" s="1333"/>
      <c r="Q529" s="1333"/>
      <c r="R529" s="1333"/>
      <c r="S529" s="1333"/>
      <c r="T529" s="1333"/>
      <c r="U529" s="1333"/>
      <c r="V529" s="1333"/>
      <c r="W529" s="1333"/>
      <c r="X529" s="1333"/>
      <c r="Y529" s="1333"/>
      <c r="Z529" s="1333"/>
      <c r="AA529" s="1333"/>
      <c r="AB529" s="1333"/>
      <c r="AC529" s="1333"/>
      <c r="AD529" s="1333"/>
      <c r="AE529" s="1333"/>
      <c r="AF529" s="1333"/>
      <c r="AG529" s="1333"/>
      <c r="AH529" s="1333"/>
      <c r="AI529" s="1333"/>
    </row>
    <row r="530" spans="1:35" x14ac:dyDescent="0.25">
      <c r="A530" s="1331"/>
      <c r="B530" s="1284"/>
      <c r="C530" s="2062"/>
      <c r="D530" s="2062"/>
      <c r="E530" s="2062"/>
      <c r="F530" s="1297"/>
      <c r="G530" s="1418"/>
      <c r="H530" s="1284"/>
      <c r="I530" s="1333"/>
      <c r="J530" s="1333"/>
      <c r="K530" s="1419"/>
      <c r="L530" s="1333"/>
      <c r="M530" s="1333"/>
      <c r="N530" s="1333"/>
      <c r="O530" s="1333"/>
      <c r="P530" s="1333"/>
      <c r="Q530" s="1333"/>
      <c r="R530" s="1333"/>
      <c r="S530" s="1333"/>
      <c r="T530" s="1333"/>
      <c r="U530" s="1333"/>
      <c r="V530" s="1333"/>
      <c r="W530" s="1333"/>
      <c r="X530" s="1333"/>
      <c r="Y530" s="1333"/>
      <c r="Z530" s="1333"/>
      <c r="AA530" s="1333"/>
      <c r="AB530" s="1333"/>
      <c r="AC530" s="1333"/>
      <c r="AD530" s="1333"/>
      <c r="AE530" s="1333"/>
      <c r="AF530" s="1333"/>
      <c r="AG530" s="1333"/>
      <c r="AH530" s="1333"/>
      <c r="AI530" s="1333"/>
    </row>
    <row r="531" spans="1:35" x14ac:dyDescent="0.25">
      <c r="A531" s="1331"/>
      <c r="B531" s="1284"/>
      <c r="C531" s="2062"/>
      <c r="D531" s="2062"/>
      <c r="E531" s="2062"/>
      <c r="F531" s="1297"/>
      <c r="G531" s="1418"/>
      <c r="H531" s="1284"/>
      <c r="I531" s="1333"/>
      <c r="J531" s="1333"/>
      <c r="K531" s="1419"/>
      <c r="L531" s="1333"/>
      <c r="M531" s="1333"/>
      <c r="N531" s="1333"/>
      <c r="O531" s="1333"/>
      <c r="P531" s="1333"/>
      <c r="Q531" s="1333"/>
      <c r="R531" s="1333"/>
      <c r="S531" s="1333"/>
      <c r="T531" s="1333"/>
      <c r="U531" s="1333"/>
      <c r="V531" s="1333"/>
      <c r="W531" s="1333"/>
      <c r="X531" s="1333"/>
      <c r="Y531" s="1333"/>
      <c r="Z531" s="1333"/>
      <c r="AA531" s="1333"/>
      <c r="AB531" s="1333"/>
      <c r="AC531" s="1333"/>
      <c r="AD531" s="1333"/>
      <c r="AE531" s="1333"/>
      <c r="AF531" s="1333"/>
      <c r="AG531" s="1333"/>
      <c r="AH531" s="1333"/>
      <c r="AI531" s="1333"/>
    </row>
    <row r="532" spans="1:35" x14ac:dyDescent="0.25">
      <c r="A532" s="1331"/>
      <c r="B532" s="1284"/>
      <c r="C532" s="2062"/>
      <c r="D532" s="2062"/>
      <c r="E532" s="2062"/>
      <c r="F532" s="1297"/>
      <c r="G532" s="1418"/>
      <c r="H532" s="1284"/>
      <c r="I532" s="1333"/>
      <c r="J532" s="1333"/>
      <c r="K532" s="1419"/>
      <c r="L532" s="1333"/>
      <c r="M532" s="1333"/>
      <c r="N532" s="1333"/>
      <c r="O532" s="1333"/>
      <c r="P532" s="1333"/>
      <c r="Q532" s="1333"/>
      <c r="R532" s="1333"/>
      <c r="S532" s="1333"/>
      <c r="T532" s="1333"/>
      <c r="U532" s="1333"/>
      <c r="V532" s="1333"/>
      <c r="W532" s="1333"/>
      <c r="X532" s="1333"/>
      <c r="Y532" s="1333"/>
      <c r="Z532" s="1333"/>
      <c r="AA532" s="1333"/>
      <c r="AB532" s="1333"/>
      <c r="AC532" s="1333"/>
      <c r="AD532" s="1333"/>
      <c r="AE532" s="1333"/>
      <c r="AF532" s="1333"/>
      <c r="AG532" s="1333"/>
      <c r="AH532" s="1333"/>
      <c r="AI532" s="1333"/>
    </row>
    <row r="533" spans="1:35" x14ac:dyDescent="0.25">
      <c r="A533" s="1331"/>
      <c r="B533" s="1284"/>
      <c r="C533" s="2062"/>
      <c r="D533" s="2062"/>
      <c r="E533" s="2062"/>
      <c r="F533" s="1297"/>
      <c r="G533" s="1418"/>
      <c r="H533" s="1284"/>
      <c r="I533" s="1333"/>
      <c r="J533" s="1333"/>
      <c r="K533" s="1419"/>
      <c r="L533" s="1333"/>
      <c r="M533" s="1333"/>
      <c r="N533" s="1333"/>
      <c r="O533" s="1333"/>
      <c r="P533" s="1333"/>
      <c r="Q533" s="1333"/>
      <c r="R533" s="1333"/>
      <c r="S533" s="1333"/>
      <c r="T533" s="1333"/>
      <c r="U533" s="1333"/>
      <c r="V533" s="1333"/>
      <c r="W533" s="1333"/>
      <c r="X533" s="1333"/>
      <c r="Y533" s="1333"/>
      <c r="Z533" s="1333"/>
      <c r="AA533" s="1333"/>
      <c r="AB533" s="1333"/>
      <c r="AC533" s="1333"/>
      <c r="AD533" s="1333"/>
      <c r="AE533" s="1333"/>
      <c r="AF533" s="1333"/>
      <c r="AG533" s="1333"/>
      <c r="AH533" s="1333"/>
      <c r="AI533" s="1333"/>
    </row>
    <row r="534" spans="1:35" x14ac:dyDescent="0.25">
      <c r="A534" s="1331"/>
      <c r="B534" s="1284"/>
      <c r="C534" s="2062"/>
      <c r="D534" s="2062"/>
      <c r="E534" s="2062"/>
      <c r="F534" s="1297"/>
      <c r="G534" s="1418"/>
      <c r="H534" s="1284"/>
      <c r="I534" s="1333"/>
      <c r="J534" s="1333"/>
      <c r="K534" s="1419"/>
      <c r="L534" s="1333"/>
      <c r="M534" s="1333"/>
      <c r="N534" s="1333"/>
      <c r="O534" s="1333"/>
      <c r="P534" s="1333"/>
      <c r="Q534" s="1333"/>
      <c r="R534" s="1333"/>
      <c r="S534" s="1333"/>
      <c r="T534" s="1333"/>
      <c r="U534" s="1333"/>
      <c r="V534" s="1333"/>
      <c r="W534" s="1333"/>
      <c r="X534" s="1333"/>
      <c r="Y534" s="1333"/>
      <c r="Z534" s="1333"/>
      <c r="AA534" s="1333"/>
      <c r="AB534" s="1333"/>
      <c r="AC534" s="1333"/>
      <c r="AD534" s="1333"/>
      <c r="AE534" s="1333"/>
      <c r="AF534" s="1333"/>
      <c r="AG534" s="1333"/>
      <c r="AH534" s="1333"/>
      <c r="AI534" s="1333"/>
    </row>
    <row r="535" spans="1:35" x14ac:dyDescent="0.25">
      <c r="A535" s="1331"/>
      <c r="B535" s="1284"/>
      <c r="C535" s="2062"/>
      <c r="D535" s="2062"/>
      <c r="E535" s="2062"/>
      <c r="F535" s="1297"/>
      <c r="G535" s="1418"/>
      <c r="H535" s="1284"/>
      <c r="I535" s="1333"/>
      <c r="J535" s="1333"/>
      <c r="K535" s="1419"/>
      <c r="L535" s="1333"/>
      <c r="M535" s="1333"/>
      <c r="N535" s="1333"/>
      <c r="O535" s="1333"/>
      <c r="P535" s="1333"/>
      <c r="Q535" s="1333"/>
      <c r="R535" s="1333"/>
      <c r="S535" s="1333"/>
      <c r="T535" s="1333"/>
      <c r="U535" s="1333"/>
      <c r="V535" s="1333"/>
      <c r="W535" s="1333"/>
      <c r="X535" s="1333"/>
      <c r="Y535" s="1333"/>
      <c r="Z535" s="1333"/>
      <c r="AA535" s="1333"/>
      <c r="AB535" s="1333"/>
      <c r="AC535" s="1333"/>
      <c r="AD535" s="1333"/>
      <c r="AE535" s="1333"/>
      <c r="AF535" s="1333"/>
      <c r="AG535" s="1333"/>
      <c r="AH535" s="1333"/>
      <c r="AI535" s="1333"/>
    </row>
    <row r="536" spans="1:35" x14ac:dyDescent="0.25">
      <c r="A536" s="1331"/>
      <c r="B536" s="1284"/>
      <c r="C536" s="2062"/>
      <c r="D536" s="2062"/>
      <c r="E536" s="2062"/>
      <c r="F536" s="1297"/>
      <c r="G536" s="1418"/>
      <c r="H536" s="1284"/>
      <c r="I536" s="1333"/>
      <c r="J536" s="1333"/>
      <c r="K536" s="1419"/>
      <c r="L536" s="1333"/>
      <c r="M536" s="1333"/>
      <c r="N536" s="1333"/>
      <c r="O536" s="1333"/>
      <c r="P536" s="1333"/>
      <c r="Q536" s="1333"/>
      <c r="R536" s="1333"/>
      <c r="S536" s="1333"/>
      <c r="T536" s="1333"/>
      <c r="U536" s="1333"/>
      <c r="V536" s="1333"/>
      <c r="W536" s="1333"/>
      <c r="X536" s="1333"/>
      <c r="Y536" s="1333"/>
      <c r="Z536" s="1333"/>
      <c r="AA536" s="1333"/>
      <c r="AB536" s="1333"/>
      <c r="AC536" s="1333"/>
      <c r="AD536" s="1333"/>
      <c r="AE536" s="1333"/>
      <c r="AF536" s="1333"/>
      <c r="AG536" s="1333"/>
      <c r="AH536" s="1333"/>
      <c r="AI536" s="1333"/>
    </row>
    <row r="537" spans="1:35" x14ac:dyDescent="0.25">
      <c r="A537" s="1331"/>
      <c r="B537" s="1284"/>
      <c r="C537" s="1291"/>
      <c r="D537" s="1284"/>
      <c r="E537" s="1303"/>
      <c r="F537" s="1364"/>
      <c r="G537" s="1291"/>
      <c r="H537" s="1284"/>
      <c r="I537" s="1333"/>
      <c r="J537" s="1333"/>
      <c r="K537" s="1419"/>
      <c r="L537" s="1333"/>
      <c r="M537" s="1333"/>
      <c r="N537" s="1333"/>
      <c r="O537" s="1333"/>
      <c r="P537" s="1333"/>
      <c r="Q537" s="1333"/>
      <c r="R537" s="1333"/>
      <c r="S537" s="1333"/>
      <c r="T537" s="1333"/>
      <c r="U537" s="1333"/>
      <c r="V537" s="1333"/>
      <c r="W537" s="1333"/>
      <c r="X537" s="1333"/>
      <c r="Y537" s="1333"/>
      <c r="Z537" s="1333"/>
      <c r="AA537" s="1333"/>
      <c r="AB537" s="1333"/>
      <c r="AC537" s="1333"/>
      <c r="AD537" s="1333"/>
      <c r="AE537" s="1333"/>
      <c r="AF537" s="1333"/>
      <c r="AG537" s="1333"/>
      <c r="AH537" s="1333"/>
      <c r="AI537" s="1333"/>
    </row>
    <row r="538" spans="1:35" x14ac:dyDescent="0.25">
      <c r="A538" s="1331"/>
      <c r="B538" s="1284"/>
      <c r="C538" s="1291"/>
      <c r="D538" s="1284"/>
      <c r="E538" s="1303"/>
      <c r="F538" s="1364"/>
      <c r="G538" s="1291"/>
      <c r="H538" s="1284"/>
      <c r="I538" s="1333"/>
      <c r="J538" s="1333"/>
      <c r="K538" s="1419"/>
      <c r="L538" s="1333"/>
      <c r="M538" s="1333"/>
      <c r="N538" s="1333"/>
      <c r="O538" s="1333"/>
      <c r="P538" s="1333"/>
      <c r="Q538" s="1333"/>
      <c r="R538" s="1333"/>
      <c r="S538" s="1333"/>
      <c r="T538" s="1333"/>
      <c r="U538" s="1333"/>
      <c r="V538" s="1333"/>
      <c r="W538" s="1333"/>
      <c r="X538" s="1333"/>
      <c r="Y538" s="1333"/>
      <c r="Z538" s="1333"/>
      <c r="AA538" s="1333"/>
      <c r="AB538" s="1333"/>
      <c r="AC538" s="1333"/>
      <c r="AD538" s="1333"/>
      <c r="AE538" s="1333"/>
      <c r="AF538" s="1333"/>
      <c r="AG538" s="1333"/>
      <c r="AH538" s="1333"/>
      <c r="AI538" s="1333"/>
    </row>
    <row r="539" spans="1:35" x14ac:dyDescent="0.25">
      <c r="A539" s="1331"/>
      <c r="B539" s="1284"/>
      <c r="C539" s="1291"/>
      <c r="D539" s="1284"/>
      <c r="E539" s="1303"/>
      <c r="F539" s="1364"/>
      <c r="G539" s="1291"/>
      <c r="H539" s="1284"/>
      <c r="I539" s="1333"/>
      <c r="J539" s="1333"/>
      <c r="K539" s="1419"/>
      <c r="L539" s="1333"/>
      <c r="M539" s="1333"/>
      <c r="N539" s="1333"/>
      <c r="O539" s="1333"/>
      <c r="P539" s="1333"/>
      <c r="Q539" s="1333"/>
      <c r="R539" s="1333"/>
      <c r="S539" s="1333"/>
      <c r="T539" s="1333"/>
      <c r="U539" s="1333"/>
      <c r="V539" s="1333"/>
      <c r="W539" s="1333"/>
      <c r="X539" s="1333"/>
      <c r="Y539" s="1333"/>
      <c r="Z539" s="1333"/>
      <c r="AA539" s="1333"/>
      <c r="AB539" s="1333"/>
      <c r="AC539" s="1333"/>
      <c r="AD539" s="1333"/>
      <c r="AE539" s="1333"/>
      <c r="AF539" s="1333"/>
      <c r="AG539" s="1333"/>
      <c r="AH539" s="1333"/>
      <c r="AI539" s="1333"/>
    </row>
    <row r="540" spans="1:35" x14ac:dyDescent="0.25">
      <c r="A540" s="1331"/>
      <c r="B540" s="1284"/>
      <c r="C540" s="1291"/>
      <c r="D540" s="1284"/>
      <c r="E540" s="1303"/>
      <c r="F540" s="1364"/>
      <c r="G540" s="1291"/>
      <c r="H540" s="1284"/>
      <c r="I540" s="1333"/>
      <c r="J540" s="1333"/>
      <c r="K540" s="1419"/>
      <c r="L540" s="1333"/>
      <c r="M540" s="1333"/>
      <c r="N540" s="1333"/>
      <c r="O540" s="1333"/>
      <c r="P540" s="1333"/>
      <c r="Q540" s="1333"/>
      <c r="R540" s="1333"/>
      <c r="S540" s="1333"/>
      <c r="T540" s="1333"/>
      <c r="U540" s="1333"/>
      <c r="V540" s="1333"/>
      <c r="W540" s="1333"/>
      <c r="X540" s="1333"/>
      <c r="Y540" s="1333"/>
      <c r="Z540" s="1333"/>
      <c r="AA540" s="1333"/>
      <c r="AB540" s="1333"/>
      <c r="AC540" s="1333"/>
      <c r="AD540" s="1333"/>
      <c r="AE540" s="1333"/>
      <c r="AF540" s="1333"/>
      <c r="AG540" s="1333"/>
      <c r="AH540" s="1333"/>
      <c r="AI540" s="1333"/>
    </row>
    <row r="541" spans="1:35" x14ac:dyDescent="0.25">
      <c r="A541" s="1331"/>
      <c r="B541" s="1284"/>
      <c r="C541" s="1291"/>
      <c r="D541" s="1284"/>
      <c r="E541" s="1303"/>
      <c r="F541" s="1364"/>
      <c r="G541" s="1291"/>
      <c r="H541" s="1284"/>
      <c r="I541" s="1333"/>
      <c r="J541" s="1333"/>
      <c r="K541" s="1419"/>
      <c r="L541" s="1333"/>
      <c r="M541" s="1333"/>
      <c r="N541" s="1333"/>
      <c r="O541" s="1333"/>
      <c r="P541" s="1333"/>
      <c r="Q541" s="1333"/>
      <c r="R541" s="1333"/>
      <c r="S541" s="1333"/>
      <c r="T541" s="1333"/>
      <c r="U541" s="1333"/>
      <c r="V541" s="1333"/>
      <c r="W541" s="1333"/>
      <c r="X541" s="1333"/>
      <c r="Y541" s="1333"/>
      <c r="Z541" s="1333"/>
      <c r="AA541" s="1333"/>
      <c r="AB541" s="1333"/>
      <c r="AC541" s="1333"/>
      <c r="AD541" s="1333"/>
      <c r="AE541" s="1333"/>
      <c r="AF541" s="1333"/>
      <c r="AG541" s="1333"/>
      <c r="AH541" s="1333"/>
      <c r="AI541" s="1333"/>
    </row>
    <row r="542" spans="1:35" x14ac:dyDescent="0.25">
      <c r="A542" s="1331"/>
      <c r="B542" s="1284"/>
      <c r="C542" s="1291"/>
      <c r="D542" s="1284"/>
      <c r="E542" s="1303"/>
      <c r="F542" s="1364"/>
      <c r="G542" s="1291"/>
      <c r="H542" s="1284"/>
      <c r="I542" s="1333"/>
      <c r="J542" s="1333"/>
      <c r="K542" s="1419"/>
      <c r="L542" s="1333"/>
      <c r="M542" s="1333"/>
      <c r="N542" s="1333"/>
      <c r="O542" s="1333"/>
      <c r="P542" s="1333"/>
      <c r="Q542" s="1333"/>
      <c r="R542" s="1333"/>
      <c r="S542" s="1333"/>
      <c r="T542" s="1333"/>
      <c r="U542" s="1333"/>
      <c r="V542" s="1333"/>
      <c r="W542" s="1333"/>
      <c r="X542" s="1333"/>
      <c r="Y542" s="1333"/>
      <c r="Z542" s="1333"/>
      <c r="AA542" s="1333"/>
      <c r="AB542" s="1333"/>
      <c r="AC542" s="1333"/>
      <c r="AD542" s="1333"/>
      <c r="AE542" s="1333"/>
      <c r="AF542" s="1333"/>
      <c r="AG542" s="1333"/>
      <c r="AH542" s="1333"/>
      <c r="AI542" s="1333"/>
    </row>
    <row r="543" spans="1:35" x14ac:dyDescent="0.25">
      <c r="A543" s="1331"/>
      <c r="B543" s="1284"/>
      <c r="C543" s="1291"/>
      <c r="D543" s="1284"/>
      <c r="E543" s="1303"/>
      <c r="F543" s="1364"/>
      <c r="G543" s="1291"/>
      <c r="H543" s="1284"/>
      <c r="I543" s="1333"/>
      <c r="J543" s="1333"/>
      <c r="K543" s="1419"/>
      <c r="L543" s="1333"/>
      <c r="M543" s="1333"/>
      <c r="N543" s="1333"/>
      <c r="O543" s="1333"/>
      <c r="P543" s="1333"/>
      <c r="Q543" s="1333"/>
      <c r="R543" s="1333"/>
      <c r="S543" s="1333"/>
      <c r="T543" s="1333"/>
      <c r="U543" s="1333"/>
      <c r="V543" s="1333"/>
      <c r="W543" s="1333"/>
      <c r="X543" s="1333"/>
      <c r="Y543" s="1333"/>
      <c r="Z543" s="1333"/>
      <c r="AA543" s="1333"/>
      <c r="AB543" s="1333"/>
      <c r="AC543" s="1333"/>
      <c r="AD543" s="1333"/>
      <c r="AE543" s="1333"/>
      <c r="AF543" s="1333"/>
      <c r="AG543" s="1333"/>
      <c r="AH543" s="1333"/>
      <c r="AI543" s="1333"/>
    </row>
    <row r="544" spans="1:35" x14ac:dyDescent="0.25">
      <c r="A544" s="1331"/>
      <c r="B544" s="1284"/>
      <c r="C544" s="1291"/>
      <c r="D544" s="1284"/>
      <c r="E544" s="1303"/>
      <c r="F544" s="1364"/>
      <c r="G544" s="1291"/>
      <c r="H544" s="1284"/>
      <c r="I544" s="1333"/>
      <c r="J544" s="1333"/>
      <c r="K544" s="1419"/>
      <c r="L544" s="1333"/>
      <c r="M544" s="1333"/>
      <c r="N544" s="1333"/>
      <c r="O544" s="1333"/>
      <c r="P544" s="1333"/>
      <c r="Q544" s="1333"/>
      <c r="R544" s="1333"/>
      <c r="S544" s="1333"/>
      <c r="T544" s="1333"/>
      <c r="U544" s="1333"/>
      <c r="V544" s="1333"/>
      <c r="W544" s="1333"/>
      <c r="X544" s="1333"/>
      <c r="Y544" s="1333"/>
      <c r="Z544" s="1333"/>
      <c r="AA544" s="1333"/>
      <c r="AB544" s="1333"/>
      <c r="AC544" s="1333"/>
      <c r="AD544" s="1333"/>
      <c r="AE544" s="1333"/>
      <c r="AF544" s="1333"/>
      <c r="AG544" s="1333"/>
      <c r="AH544" s="1333"/>
      <c r="AI544" s="1333"/>
    </row>
    <row r="545" spans="1:35" x14ac:dyDescent="0.25">
      <c r="A545" s="1331"/>
      <c r="B545" s="1284"/>
      <c r="C545" s="1291"/>
      <c r="D545" s="1284"/>
      <c r="E545" s="1303"/>
      <c r="F545" s="1364"/>
      <c r="G545" s="1291"/>
      <c r="H545" s="1284"/>
      <c r="I545" s="1333"/>
      <c r="J545" s="1333"/>
      <c r="K545" s="1419"/>
      <c r="L545" s="1333"/>
      <c r="M545" s="1333"/>
      <c r="N545" s="1333"/>
      <c r="O545" s="1333"/>
      <c r="P545" s="1333"/>
      <c r="Q545" s="1333"/>
      <c r="R545" s="1333"/>
      <c r="S545" s="1333"/>
      <c r="T545" s="1333"/>
      <c r="U545" s="1333"/>
      <c r="V545" s="1333"/>
      <c r="W545" s="1333"/>
      <c r="X545" s="1333"/>
      <c r="Y545" s="1333"/>
      <c r="Z545" s="1333"/>
      <c r="AA545" s="1333"/>
      <c r="AB545" s="1333"/>
      <c r="AC545" s="1333"/>
      <c r="AD545" s="1333"/>
      <c r="AE545" s="1333"/>
      <c r="AF545" s="1333"/>
      <c r="AG545" s="1333"/>
      <c r="AH545" s="1333"/>
      <c r="AI545" s="1333"/>
    </row>
    <row r="546" spans="1:35" x14ac:dyDescent="0.25">
      <c r="A546" s="1331"/>
      <c r="B546" s="1284"/>
      <c r="C546" s="1291"/>
      <c r="D546" s="1284"/>
      <c r="E546" s="1303"/>
      <c r="F546" s="1364"/>
      <c r="G546" s="1291"/>
      <c r="H546" s="1284"/>
      <c r="I546" s="1333"/>
      <c r="J546" s="1333"/>
      <c r="K546" s="1419"/>
      <c r="L546" s="1333"/>
      <c r="M546" s="1333"/>
      <c r="N546" s="1333"/>
      <c r="O546" s="1333"/>
      <c r="P546" s="1333"/>
      <c r="Q546" s="1333"/>
      <c r="R546" s="1333"/>
      <c r="S546" s="1333"/>
      <c r="T546" s="1333"/>
      <c r="U546" s="1333"/>
      <c r="V546" s="1333"/>
      <c r="W546" s="1333"/>
      <c r="X546" s="1333"/>
      <c r="Y546" s="1333"/>
      <c r="Z546" s="1333"/>
      <c r="AA546" s="1333"/>
      <c r="AB546" s="1333"/>
      <c r="AC546" s="1333"/>
      <c r="AD546" s="1333"/>
      <c r="AE546" s="1333"/>
      <c r="AF546" s="1333"/>
      <c r="AG546" s="1333"/>
      <c r="AH546" s="1333"/>
      <c r="AI546" s="1333"/>
    </row>
    <row r="547" spans="1:35" x14ac:dyDescent="0.25">
      <c r="A547" s="1331"/>
      <c r="B547" s="1284"/>
      <c r="C547" s="1291"/>
      <c r="D547" s="1284"/>
      <c r="E547" s="1303"/>
      <c r="F547" s="1364"/>
      <c r="G547" s="1291"/>
      <c r="H547" s="1284"/>
      <c r="I547" s="1333"/>
      <c r="J547" s="1333"/>
      <c r="K547" s="1419"/>
      <c r="L547" s="1333"/>
      <c r="M547" s="1333"/>
      <c r="N547" s="1333"/>
      <c r="O547" s="1333"/>
      <c r="P547" s="1333"/>
      <c r="Q547" s="1333"/>
      <c r="R547" s="1333"/>
      <c r="S547" s="1333"/>
      <c r="T547" s="1333"/>
      <c r="U547" s="1333"/>
      <c r="V547" s="1333"/>
      <c r="W547" s="1333"/>
      <c r="X547" s="1333"/>
      <c r="Y547" s="1333"/>
      <c r="Z547" s="1333"/>
      <c r="AA547" s="1333"/>
      <c r="AB547" s="1333"/>
      <c r="AC547" s="1333"/>
      <c r="AD547" s="1333"/>
      <c r="AE547" s="1333"/>
      <c r="AF547" s="1333"/>
      <c r="AG547" s="1333"/>
      <c r="AH547" s="1333"/>
      <c r="AI547" s="1333"/>
    </row>
    <row r="548" spans="1:35" x14ac:dyDescent="0.25">
      <c r="A548" s="1331"/>
      <c r="B548" s="1284"/>
      <c r="C548" s="1291"/>
      <c r="D548" s="1284"/>
      <c r="E548" s="1303"/>
      <c r="F548" s="1364"/>
      <c r="G548" s="1291"/>
      <c r="H548" s="1284"/>
      <c r="I548" s="1333"/>
      <c r="J548" s="1333"/>
      <c r="K548" s="1419"/>
      <c r="L548" s="1333"/>
      <c r="M548" s="1333"/>
      <c r="N548" s="1333"/>
      <c r="O548" s="1333"/>
      <c r="P548" s="1333"/>
      <c r="Q548" s="1333"/>
      <c r="R548" s="1333"/>
      <c r="S548" s="1333"/>
      <c r="T548" s="1333"/>
      <c r="U548" s="1333"/>
      <c r="V548" s="1333"/>
      <c r="W548" s="1333"/>
      <c r="X548" s="1333"/>
      <c r="Y548" s="1333"/>
      <c r="Z548" s="1333"/>
      <c r="AA548" s="1333"/>
      <c r="AB548" s="1333"/>
      <c r="AC548" s="1333"/>
      <c r="AD548" s="1333"/>
      <c r="AE548" s="1333"/>
      <c r="AF548" s="1333"/>
      <c r="AG548" s="1333"/>
      <c r="AH548" s="1333"/>
      <c r="AI548" s="1333"/>
    </row>
    <row r="549" spans="1:35" x14ac:dyDescent="0.25">
      <c r="A549" s="1331"/>
      <c r="B549" s="1284"/>
      <c r="C549" s="1291"/>
      <c r="D549" s="1284"/>
      <c r="E549" s="1303"/>
      <c r="F549" s="1364"/>
      <c r="G549" s="1291"/>
      <c r="H549" s="1284"/>
      <c r="I549" s="1333"/>
      <c r="J549" s="1333"/>
      <c r="K549" s="1419"/>
      <c r="L549" s="1333"/>
      <c r="M549" s="1333"/>
      <c r="N549" s="1333"/>
      <c r="O549" s="1333"/>
      <c r="P549" s="1333"/>
      <c r="Q549" s="1333"/>
      <c r="R549" s="1333"/>
      <c r="S549" s="1333"/>
      <c r="T549" s="1333"/>
      <c r="U549" s="1333"/>
      <c r="V549" s="1333"/>
      <c r="W549" s="1333"/>
      <c r="X549" s="1333"/>
      <c r="Y549" s="1333"/>
      <c r="Z549" s="1333"/>
      <c r="AA549" s="1333"/>
      <c r="AB549" s="1333"/>
      <c r="AC549" s="1333"/>
      <c r="AD549" s="1333"/>
      <c r="AE549" s="1333"/>
      <c r="AF549" s="1333"/>
      <c r="AG549" s="1333"/>
      <c r="AH549" s="1333"/>
      <c r="AI549" s="1333"/>
    </row>
    <row r="550" spans="1:35" x14ac:dyDescent="0.25">
      <c r="A550" s="1331"/>
      <c r="B550" s="1284"/>
      <c r="C550" s="1291"/>
      <c r="D550" s="1284"/>
      <c r="E550" s="1303"/>
      <c r="F550" s="1364"/>
      <c r="G550" s="1291"/>
      <c r="H550" s="1284"/>
      <c r="I550" s="1333"/>
      <c r="J550" s="1333"/>
      <c r="K550" s="1419"/>
      <c r="L550" s="1333"/>
      <c r="M550" s="1333"/>
      <c r="N550" s="1333"/>
      <c r="O550" s="1333"/>
      <c r="P550" s="1333"/>
      <c r="Q550" s="1333"/>
      <c r="R550" s="1333"/>
      <c r="S550" s="1333"/>
      <c r="T550" s="1333"/>
      <c r="U550" s="1333"/>
      <c r="V550" s="1333"/>
      <c r="W550" s="1333"/>
      <c r="X550" s="1333"/>
      <c r="Y550" s="1333"/>
      <c r="Z550" s="1333"/>
      <c r="AA550" s="1333"/>
      <c r="AB550" s="1333"/>
      <c r="AC550" s="1333"/>
      <c r="AD550" s="1333"/>
      <c r="AE550" s="1333"/>
      <c r="AF550" s="1333"/>
      <c r="AG550" s="1333"/>
      <c r="AH550" s="1333"/>
      <c r="AI550" s="1333"/>
    </row>
    <row r="551" spans="1:35" x14ac:dyDescent="0.25">
      <c r="A551" s="1331"/>
      <c r="B551" s="1284"/>
      <c r="C551" s="1291"/>
      <c r="D551" s="1284"/>
      <c r="E551" s="1303"/>
      <c r="F551" s="1364"/>
      <c r="G551" s="1291"/>
      <c r="H551" s="1284"/>
      <c r="I551" s="1333"/>
      <c r="J551" s="1333"/>
      <c r="K551" s="1419"/>
      <c r="L551" s="1333"/>
      <c r="M551" s="1333"/>
      <c r="N551" s="1333"/>
      <c r="O551" s="1333"/>
      <c r="P551" s="1333"/>
      <c r="Q551" s="1333"/>
      <c r="R551" s="1333"/>
      <c r="S551" s="1333"/>
      <c r="T551" s="1333"/>
      <c r="U551" s="1333"/>
      <c r="V551" s="1333"/>
      <c r="W551" s="1333"/>
      <c r="X551" s="1333"/>
      <c r="Y551" s="1333"/>
      <c r="Z551" s="1333"/>
      <c r="AA551" s="1333"/>
      <c r="AB551" s="1333"/>
      <c r="AC551" s="1333"/>
      <c r="AD551" s="1333"/>
      <c r="AE551" s="1333"/>
      <c r="AF551" s="1333"/>
      <c r="AG551" s="1333"/>
      <c r="AH551" s="1333"/>
      <c r="AI551" s="1333"/>
    </row>
    <row r="552" spans="1:35" x14ac:dyDescent="0.25">
      <c r="A552" s="1331"/>
      <c r="B552" s="1284"/>
      <c r="C552" s="1291"/>
      <c r="D552" s="1284"/>
      <c r="E552" s="1303"/>
      <c r="F552" s="1364"/>
      <c r="G552" s="1291"/>
      <c r="H552" s="1284"/>
      <c r="I552" s="1333"/>
      <c r="J552" s="1333"/>
      <c r="K552" s="1419"/>
      <c r="L552" s="1333"/>
      <c r="M552" s="1333"/>
      <c r="N552" s="1333"/>
      <c r="O552" s="1333"/>
      <c r="P552" s="1333"/>
      <c r="Q552" s="1333"/>
      <c r="R552" s="1333"/>
      <c r="S552" s="1333"/>
      <c r="T552" s="1333"/>
      <c r="U552" s="1333"/>
      <c r="V552" s="1333"/>
      <c r="W552" s="1333"/>
      <c r="X552" s="1333"/>
      <c r="Y552" s="1333"/>
      <c r="Z552" s="1333"/>
      <c r="AA552" s="1333"/>
      <c r="AB552" s="1333"/>
      <c r="AC552" s="1333"/>
      <c r="AD552" s="1333"/>
      <c r="AE552" s="1333"/>
      <c r="AF552" s="1333"/>
      <c r="AG552" s="1333"/>
      <c r="AH552" s="1333"/>
      <c r="AI552" s="1333"/>
    </row>
    <row r="553" spans="1:35" x14ac:dyDescent="0.25">
      <c r="A553" s="1331"/>
      <c r="B553" s="1284"/>
      <c r="C553" s="1291"/>
      <c r="D553" s="1284"/>
      <c r="E553" s="1303"/>
      <c r="F553" s="1364"/>
      <c r="G553" s="1291"/>
      <c r="H553" s="1284"/>
      <c r="I553" s="1333"/>
      <c r="J553" s="1333"/>
      <c r="K553" s="1419"/>
      <c r="L553" s="1333"/>
      <c r="M553" s="1333"/>
      <c r="N553" s="1333"/>
      <c r="O553" s="1333"/>
      <c r="P553" s="1333"/>
      <c r="Q553" s="1333"/>
      <c r="R553" s="1333"/>
      <c r="S553" s="1333"/>
      <c r="T553" s="1333"/>
      <c r="U553" s="1333"/>
      <c r="V553" s="1333"/>
      <c r="W553" s="1333"/>
      <c r="X553" s="1333"/>
      <c r="Y553" s="1333"/>
      <c r="Z553" s="1333"/>
      <c r="AA553" s="1333"/>
      <c r="AB553" s="1333"/>
      <c r="AC553" s="1333"/>
      <c r="AD553" s="1333"/>
      <c r="AE553" s="1333"/>
      <c r="AF553" s="1333"/>
      <c r="AG553" s="1333"/>
      <c r="AH553" s="1333"/>
      <c r="AI553" s="1333"/>
    </row>
    <row r="554" spans="1:35" x14ac:dyDescent="0.25">
      <c r="A554" s="1331"/>
      <c r="B554" s="1284"/>
      <c r="C554" s="1291"/>
      <c r="D554" s="1284"/>
      <c r="E554" s="1303"/>
      <c r="F554" s="1364"/>
      <c r="G554" s="1291"/>
      <c r="H554" s="1284"/>
      <c r="I554" s="1333"/>
      <c r="J554" s="1333"/>
      <c r="K554" s="1419"/>
      <c r="L554" s="1333"/>
      <c r="M554" s="1333"/>
      <c r="N554" s="1333"/>
      <c r="O554" s="1333"/>
      <c r="P554" s="1333"/>
      <c r="Q554" s="1333"/>
      <c r="R554" s="1333"/>
      <c r="S554" s="1333"/>
      <c r="T554" s="1333"/>
      <c r="U554" s="1333"/>
      <c r="V554" s="1333"/>
      <c r="W554" s="1333"/>
      <c r="X554" s="1333"/>
      <c r="Y554" s="1333"/>
      <c r="Z554" s="1333"/>
      <c r="AA554" s="1333"/>
      <c r="AB554" s="1333"/>
      <c r="AC554" s="1333"/>
      <c r="AD554" s="1333"/>
      <c r="AE554" s="1333"/>
      <c r="AF554" s="1333"/>
      <c r="AG554" s="1333"/>
      <c r="AH554" s="1333"/>
      <c r="AI554" s="1333"/>
    </row>
    <row r="555" spans="1:35" x14ac:dyDescent="0.25">
      <c r="A555" s="1331"/>
      <c r="B555" s="1284"/>
      <c r="C555" s="1291"/>
      <c r="D555" s="1284"/>
      <c r="E555" s="1303"/>
      <c r="F555" s="1364"/>
      <c r="G555" s="1291"/>
      <c r="H555" s="1284"/>
      <c r="I555" s="1333"/>
      <c r="J555" s="1333"/>
      <c r="K555" s="1419"/>
      <c r="L555" s="1333"/>
      <c r="M555" s="1333"/>
      <c r="N555" s="1333"/>
      <c r="O555" s="1333"/>
      <c r="P555" s="1333"/>
      <c r="Q555" s="1333"/>
      <c r="R555" s="1333"/>
      <c r="S555" s="1333"/>
      <c r="T555" s="1333"/>
      <c r="U555" s="1333"/>
      <c r="V555" s="1333"/>
      <c r="W555" s="1333"/>
      <c r="X555" s="1333"/>
      <c r="Y555" s="1333"/>
      <c r="Z555" s="1333"/>
      <c r="AA555" s="1333"/>
      <c r="AB555" s="1333"/>
      <c r="AC555" s="1333"/>
      <c r="AD555" s="1333"/>
      <c r="AE555" s="1333"/>
      <c r="AF555" s="1333"/>
      <c r="AG555" s="1333"/>
      <c r="AH555" s="1333"/>
      <c r="AI555" s="1333"/>
    </row>
    <row r="556" spans="1:35" x14ac:dyDescent="0.25">
      <c r="A556" s="1331"/>
      <c r="B556" s="1284"/>
      <c r="C556" s="1291"/>
      <c r="D556" s="1284"/>
      <c r="E556" s="1303"/>
      <c r="F556" s="1364"/>
      <c r="G556" s="1291"/>
      <c r="H556" s="1284"/>
      <c r="I556" s="1333"/>
      <c r="J556" s="1333"/>
      <c r="K556" s="1419"/>
      <c r="L556" s="1333"/>
      <c r="M556" s="1333"/>
      <c r="N556" s="1333"/>
      <c r="O556" s="1333"/>
      <c r="P556" s="1333"/>
      <c r="Q556" s="1333"/>
      <c r="R556" s="1333"/>
      <c r="S556" s="1333"/>
      <c r="T556" s="1333"/>
      <c r="U556" s="1333"/>
      <c r="V556" s="1333"/>
      <c r="W556" s="1333"/>
      <c r="X556" s="1333"/>
      <c r="Y556" s="1333"/>
      <c r="Z556" s="1333"/>
      <c r="AA556" s="1333"/>
      <c r="AB556" s="1333"/>
      <c r="AC556" s="1333"/>
      <c r="AD556" s="1333"/>
      <c r="AE556" s="1333"/>
      <c r="AF556" s="1333"/>
      <c r="AG556" s="1333"/>
      <c r="AH556" s="1333"/>
      <c r="AI556" s="1333"/>
    </row>
    <row r="557" spans="1:35" x14ac:dyDescent="0.25">
      <c r="A557" s="1331"/>
      <c r="B557" s="1284"/>
      <c r="C557" s="1291"/>
      <c r="D557" s="1284"/>
      <c r="E557" s="1303"/>
      <c r="F557" s="1364"/>
      <c r="G557" s="1291"/>
      <c r="H557" s="1284"/>
      <c r="I557" s="1333"/>
      <c r="J557" s="1333"/>
      <c r="K557" s="1419"/>
      <c r="L557" s="1333"/>
      <c r="M557" s="1333"/>
      <c r="N557" s="1333"/>
      <c r="O557" s="1333"/>
      <c r="P557" s="1333"/>
      <c r="Q557" s="1333"/>
      <c r="R557" s="1333"/>
      <c r="S557" s="1333"/>
      <c r="T557" s="1333"/>
      <c r="U557" s="1333"/>
      <c r="V557" s="1333"/>
      <c r="W557" s="1333"/>
      <c r="X557" s="1333"/>
      <c r="Y557" s="1333"/>
      <c r="Z557" s="1333"/>
      <c r="AA557" s="1333"/>
      <c r="AB557" s="1333"/>
      <c r="AC557" s="1333"/>
      <c r="AD557" s="1333"/>
      <c r="AE557" s="1333"/>
      <c r="AF557" s="1333"/>
      <c r="AG557" s="1333"/>
      <c r="AH557" s="1333"/>
      <c r="AI557" s="1333"/>
    </row>
    <row r="558" spans="1:35" x14ac:dyDescent="0.25">
      <c r="A558" s="1331"/>
      <c r="B558" s="1284"/>
      <c r="C558" s="1291"/>
      <c r="D558" s="1284"/>
      <c r="E558" s="1303"/>
      <c r="F558" s="1364"/>
      <c r="G558" s="1291"/>
      <c r="H558" s="1284"/>
      <c r="I558" s="1333"/>
      <c r="J558" s="1333"/>
      <c r="K558" s="1419"/>
      <c r="L558" s="1333"/>
      <c r="M558" s="1333"/>
      <c r="N558" s="1333"/>
      <c r="O558" s="1333"/>
      <c r="P558" s="1333"/>
      <c r="Q558" s="1333"/>
      <c r="R558" s="1333"/>
      <c r="S558" s="1333"/>
      <c r="T558" s="1333"/>
      <c r="U558" s="1333"/>
      <c r="V558" s="1333"/>
      <c r="W558" s="1333"/>
      <c r="X558" s="1333"/>
      <c r="Y558" s="1333"/>
      <c r="Z558" s="1333"/>
      <c r="AA558" s="1333"/>
      <c r="AB558" s="1333"/>
      <c r="AC558" s="1333"/>
      <c r="AD558" s="1333"/>
      <c r="AE558" s="1333"/>
      <c r="AF558" s="1333"/>
      <c r="AG558" s="1333"/>
      <c r="AH558" s="1333"/>
      <c r="AI558" s="1333"/>
    </row>
    <row r="559" spans="1:35" x14ac:dyDescent="0.25">
      <c r="A559" s="1331"/>
      <c r="B559" s="1284"/>
      <c r="C559" s="1291"/>
      <c r="D559" s="1284"/>
      <c r="E559" s="1303"/>
      <c r="F559" s="1364"/>
      <c r="G559" s="1291"/>
      <c r="H559" s="1284"/>
      <c r="I559" s="1333"/>
      <c r="J559" s="1333"/>
      <c r="K559" s="1419"/>
      <c r="L559" s="1333"/>
      <c r="M559" s="1333"/>
      <c r="N559" s="1333"/>
      <c r="O559" s="1333"/>
      <c r="P559" s="1333"/>
      <c r="Q559" s="1333"/>
      <c r="R559" s="1333"/>
      <c r="S559" s="1333"/>
      <c r="T559" s="1333"/>
      <c r="U559" s="1333"/>
      <c r="V559" s="1333"/>
      <c r="W559" s="1333"/>
      <c r="X559" s="1333"/>
      <c r="Y559" s="1333"/>
      <c r="Z559" s="1333"/>
      <c r="AA559" s="1333"/>
      <c r="AB559" s="1333"/>
      <c r="AC559" s="1333"/>
      <c r="AD559" s="1333"/>
      <c r="AE559" s="1333"/>
      <c r="AF559" s="1333"/>
      <c r="AG559" s="1333"/>
      <c r="AH559" s="1333"/>
      <c r="AI559" s="1333"/>
    </row>
    <row r="560" spans="1:35" x14ac:dyDescent="0.25">
      <c r="A560" s="1331"/>
      <c r="B560" s="1284"/>
      <c r="C560" s="1291"/>
      <c r="D560" s="1284"/>
      <c r="E560" s="1303"/>
      <c r="F560" s="1364"/>
      <c r="G560" s="1291"/>
      <c r="H560" s="1284"/>
      <c r="I560" s="1333"/>
      <c r="J560" s="1333"/>
      <c r="K560" s="1419"/>
      <c r="L560" s="1333"/>
      <c r="M560" s="1333"/>
      <c r="N560" s="1333"/>
      <c r="O560" s="1333"/>
      <c r="P560" s="1333"/>
      <c r="Q560" s="1333"/>
      <c r="R560" s="1333"/>
      <c r="S560" s="1333"/>
      <c r="T560" s="1333"/>
      <c r="U560" s="1333"/>
      <c r="V560" s="1333"/>
      <c r="W560" s="1333"/>
      <c r="X560" s="1333"/>
      <c r="Y560" s="1333"/>
      <c r="Z560" s="1333"/>
      <c r="AA560" s="1333"/>
      <c r="AB560" s="1333"/>
      <c r="AC560" s="1333"/>
      <c r="AD560" s="1333"/>
      <c r="AE560" s="1333"/>
      <c r="AF560" s="1333"/>
      <c r="AG560" s="1333"/>
      <c r="AH560" s="1333"/>
      <c r="AI560" s="1333"/>
    </row>
    <row r="561" spans="1:35" x14ac:dyDescent="0.25">
      <c r="A561" s="1331"/>
      <c r="B561" s="1284"/>
      <c r="C561" s="1291"/>
      <c r="D561" s="1284"/>
      <c r="E561" s="1303"/>
      <c r="F561" s="1364"/>
      <c r="G561" s="1291"/>
      <c r="H561" s="1284"/>
      <c r="I561" s="1333"/>
      <c r="J561" s="1333"/>
      <c r="K561" s="1419"/>
      <c r="L561" s="1333"/>
      <c r="M561" s="1333"/>
      <c r="N561" s="1333"/>
      <c r="O561" s="1333"/>
      <c r="P561" s="1333"/>
      <c r="Q561" s="1333"/>
      <c r="R561" s="1333"/>
      <c r="S561" s="1333"/>
      <c r="T561" s="1333"/>
      <c r="U561" s="1333"/>
      <c r="V561" s="1333"/>
      <c r="W561" s="1333"/>
      <c r="X561" s="1333"/>
      <c r="Y561" s="1333"/>
      <c r="Z561" s="1333"/>
      <c r="AA561" s="1333"/>
      <c r="AB561" s="1333"/>
      <c r="AC561" s="1333"/>
      <c r="AD561" s="1333"/>
      <c r="AE561" s="1333"/>
      <c r="AF561" s="1333"/>
      <c r="AG561" s="1333"/>
      <c r="AH561" s="1333"/>
      <c r="AI561" s="1333"/>
    </row>
    <row r="562" spans="1:35" x14ac:dyDescent="0.25">
      <c r="A562" s="1331"/>
      <c r="B562" s="1284"/>
      <c r="C562" s="1291"/>
      <c r="D562" s="1284"/>
      <c r="E562" s="1303"/>
      <c r="F562" s="1364"/>
      <c r="G562" s="1291"/>
      <c r="H562" s="1284"/>
      <c r="I562" s="1333"/>
      <c r="J562" s="1333"/>
      <c r="K562" s="1419"/>
      <c r="L562" s="1333"/>
      <c r="M562" s="1333"/>
      <c r="N562" s="1333"/>
      <c r="O562" s="1333"/>
      <c r="P562" s="1333"/>
      <c r="Q562" s="1333"/>
      <c r="R562" s="1333"/>
      <c r="S562" s="1333"/>
      <c r="T562" s="1333"/>
      <c r="U562" s="1333"/>
      <c r="V562" s="1333"/>
      <c r="W562" s="1333"/>
      <c r="X562" s="1333"/>
      <c r="Y562" s="1333"/>
      <c r="Z562" s="1333"/>
      <c r="AA562" s="1333"/>
      <c r="AB562" s="1333"/>
      <c r="AC562" s="1333"/>
      <c r="AD562" s="1333"/>
      <c r="AE562" s="1333"/>
      <c r="AF562" s="1333"/>
      <c r="AG562" s="1333"/>
      <c r="AH562" s="1333"/>
      <c r="AI562" s="1333"/>
    </row>
    <row r="563" spans="1:35" x14ac:dyDescent="0.25">
      <c r="A563" s="1331"/>
      <c r="B563" s="1284"/>
      <c r="C563" s="1291"/>
      <c r="D563" s="1284"/>
      <c r="E563" s="1303"/>
      <c r="F563" s="1364"/>
      <c r="G563" s="1291"/>
      <c r="H563" s="1284"/>
      <c r="I563" s="1333"/>
      <c r="J563" s="1333"/>
      <c r="K563" s="1419"/>
      <c r="L563" s="1333"/>
      <c r="M563" s="1333"/>
      <c r="N563" s="1333"/>
      <c r="O563" s="1333"/>
      <c r="P563" s="1333"/>
      <c r="Q563" s="1333"/>
      <c r="R563" s="1333"/>
      <c r="S563" s="1333"/>
      <c r="T563" s="1333"/>
      <c r="U563" s="1333"/>
      <c r="V563" s="1333"/>
      <c r="W563" s="1333"/>
      <c r="X563" s="1333"/>
      <c r="Y563" s="1333"/>
      <c r="Z563" s="1333"/>
      <c r="AA563" s="1333"/>
      <c r="AB563" s="1333"/>
      <c r="AC563" s="1333"/>
      <c r="AD563" s="1333"/>
      <c r="AE563" s="1333"/>
      <c r="AF563" s="1333"/>
      <c r="AG563" s="1333"/>
      <c r="AH563" s="1333"/>
      <c r="AI563" s="1333"/>
    </row>
    <row r="564" spans="1:35" x14ac:dyDescent="0.25">
      <c r="A564" s="1331"/>
      <c r="B564" s="1284"/>
      <c r="C564" s="1291"/>
      <c r="D564" s="1284"/>
      <c r="E564" s="1303"/>
      <c r="F564" s="1364"/>
      <c r="G564" s="1291"/>
      <c r="H564" s="1284"/>
      <c r="I564" s="1333"/>
      <c r="J564" s="1333"/>
      <c r="K564" s="1419"/>
      <c r="L564" s="1333"/>
      <c r="M564" s="1333"/>
      <c r="N564" s="1333"/>
      <c r="O564" s="1333"/>
      <c r="P564" s="1333"/>
      <c r="Q564" s="1333"/>
      <c r="R564" s="1333"/>
      <c r="S564" s="1333"/>
      <c r="T564" s="1333"/>
      <c r="U564" s="1333"/>
      <c r="V564" s="1333"/>
      <c r="W564" s="1333"/>
      <c r="X564" s="1333"/>
      <c r="Y564" s="1333"/>
      <c r="Z564" s="1333"/>
      <c r="AA564" s="1333"/>
      <c r="AB564" s="1333"/>
      <c r="AC564" s="1333"/>
      <c r="AD564" s="1333"/>
      <c r="AE564" s="1333"/>
      <c r="AF564" s="1333"/>
      <c r="AG564" s="1333"/>
      <c r="AH564" s="1333"/>
      <c r="AI564" s="1333"/>
    </row>
    <row r="565" spans="1:35" x14ac:dyDescent="0.25">
      <c r="A565" s="1331"/>
      <c r="B565" s="1284"/>
      <c r="C565" s="1291"/>
      <c r="D565" s="1284"/>
      <c r="E565" s="1303"/>
      <c r="F565" s="1364"/>
      <c r="G565" s="1291"/>
      <c r="H565" s="1284"/>
      <c r="I565" s="1333"/>
      <c r="J565" s="1333"/>
      <c r="K565" s="1419"/>
      <c r="L565" s="1333"/>
      <c r="M565" s="1333"/>
      <c r="N565" s="1333"/>
      <c r="O565" s="1333"/>
      <c r="P565" s="1333"/>
      <c r="Q565" s="1333"/>
      <c r="R565" s="1333"/>
      <c r="S565" s="1333"/>
      <c r="T565" s="1333"/>
      <c r="U565" s="1333"/>
      <c r="V565" s="1333"/>
      <c r="W565" s="1333"/>
      <c r="X565" s="1333"/>
      <c r="Y565" s="1333"/>
      <c r="Z565" s="1333"/>
      <c r="AA565" s="1333"/>
      <c r="AB565" s="1333"/>
      <c r="AC565" s="1333"/>
      <c r="AD565" s="1333"/>
      <c r="AE565" s="1333"/>
      <c r="AF565" s="1333"/>
      <c r="AG565" s="1333"/>
      <c r="AH565" s="1333"/>
      <c r="AI565" s="1333"/>
    </row>
    <row r="566" spans="1:35" x14ac:dyDescent="0.25">
      <c r="A566" s="1331"/>
      <c r="B566" s="1284"/>
      <c r="C566" s="1291"/>
      <c r="D566" s="1284"/>
      <c r="E566" s="1303"/>
      <c r="F566" s="1364"/>
      <c r="G566" s="1291"/>
      <c r="H566" s="1284"/>
      <c r="I566" s="1333"/>
      <c r="J566" s="1333"/>
      <c r="K566" s="1419"/>
      <c r="L566" s="1333"/>
      <c r="M566" s="1333"/>
      <c r="N566" s="1333"/>
      <c r="O566" s="1333"/>
      <c r="P566" s="1333"/>
      <c r="Q566" s="1333"/>
      <c r="R566" s="1333"/>
      <c r="S566" s="1333"/>
      <c r="T566" s="1333"/>
      <c r="U566" s="1333"/>
      <c r="V566" s="1333"/>
      <c r="W566" s="1333"/>
      <c r="X566" s="1333"/>
      <c r="Y566" s="1333"/>
      <c r="Z566" s="1333"/>
      <c r="AA566" s="1333"/>
      <c r="AB566" s="1333"/>
      <c r="AC566" s="1333"/>
      <c r="AD566" s="1333"/>
      <c r="AE566" s="1333"/>
      <c r="AF566" s="1333"/>
      <c r="AG566" s="1333"/>
      <c r="AH566" s="1333"/>
      <c r="AI566" s="1333"/>
    </row>
    <row r="567" spans="1:35" x14ac:dyDescent="0.25">
      <c r="A567" s="1331"/>
      <c r="B567" s="1284"/>
      <c r="C567" s="1291"/>
      <c r="D567" s="1284"/>
      <c r="E567" s="1303"/>
      <c r="F567" s="1364"/>
      <c r="G567" s="1291"/>
      <c r="H567" s="1284"/>
      <c r="I567" s="1333"/>
      <c r="J567" s="1333"/>
      <c r="K567" s="1419"/>
      <c r="L567" s="1333"/>
      <c r="M567" s="1333"/>
      <c r="N567" s="1333"/>
      <c r="O567" s="1333"/>
      <c r="P567" s="1333"/>
      <c r="Q567" s="1333"/>
      <c r="R567" s="1333"/>
      <c r="S567" s="1333"/>
      <c r="T567" s="1333"/>
      <c r="U567" s="1333"/>
      <c r="V567" s="1333"/>
      <c r="W567" s="1333"/>
      <c r="X567" s="1333"/>
      <c r="Y567" s="1333"/>
      <c r="Z567" s="1333"/>
      <c r="AA567" s="1333"/>
      <c r="AB567" s="1333"/>
      <c r="AC567" s="1333"/>
      <c r="AD567" s="1333"/>
      <c r="AE567" s="1333"/>
      <c r="AF567" s="1333"/>
      <c r="AG567" s="1333"/>
      <c r="AH567" s="1333"/>
      <c r="AI567" s="1333"/>
    </row>
    <row r="568" spans="1:35" x14ac:dyDescent="0.25">
      <c r="A568" s="1331"/>
      <c r="B568" s="1284"/>
      <c r="C568" s="1291"/>
      <c r="D568" s="1284"/>
      <c r="E568" s="1303"/>
      <c r="F568" s="1364"/>
      <c r="G568" s="1291"/>
      <c r="H568" s="1284"/>
      <c r="I568" s="1333"/>
      <c r="J568" s="1333"/>
      <c r="K568" s="1419"/>
      <c r="L568" s="1333"/>
      <c r="M568" s="1333"/>
      <c r="N568" s="1333"/>
      <c r="O568" s="1333"/>
      <c r="P568" s="1333"/>
      <c r="Q568" s="1333"/>
      <c r="R568" s="1333"/>
      <c r="S568" s="1333"/>
      <c r="T568" s="1333"/>
      <c r="U568" s="1333"/>
      <c r="V568" s="1333"/>
      <c r="W568" s="1333"/>
      <c r="X568" s="1333"/>
      <c r="Y568" s="1333"/>
      <c r="Z568" s="1333"/>
      <c r="AA568" s="1333"/>
      <c r="AB568" s="1333"/>
      <c r="AC568" s="1333"/>
      <c r="AD568" s="1333"/>
      <c r="AE568" s="1333"/>
      <c r="AF568" s="1333"/>
      <c r="AG568" s="1333"/>
      <c r="AH568" s="1333"/>
      <c r="AI568" s="1333"/>
    </row>
    <row r="569" spans="1:35" x14ac:dyDescent="0.25">
      <c r="A569" s="1331"/>
      <c r="B569" s="1284"/>
      <c r="C569" s="1291"/>
      <c r="D569" s="1284"/>
      <c r="E569" s="1303"/>
      <c r="F569" s="1364"/>
      <c r="G569" s="1291"/>
      <c r="H569" s="1284"/>
      <c r="I569" s="1333"/>
      <c r="J569" s="1333"/>
      <c r="K569" s="1419"/>
      <c r="L569" s="1333"/>
      <c r="M569" s="1333"/>
      <c r="N569" s="1333"/>
      <c r="O569" s="1333"/>
      <c r="P569" s="1333"/>
      <c r="Q569" s="1333"/>
      <c r="R569" s="1333"/>
      <c r="S569" s="1333"/>
      <c r="T569" s="1333"/>
      <c r="U569" s="1333"/>
      <c r="V569" s="1333"/>
      <c r="W569" s="1333"/>
      <c r="X569" s="1333"/>
      <c r="Y569" s="1333"/>
      <c r="Z569" s="1333"/>
      <c r="AA569" s="1333"/>
      <c r="AB569" s="1333"/>
      <c r="AC569" s="1333"/>
      <c r="AD569" s="1333"/>
      <c r="AE569" s="1333"/>
      <c r="AF569" s="1333"/>
      <c r="AG569" s="1333"/>
      <c r="AH569" s="1333"/>
      <c r="AI569" s="1333"/>
    </row>
    <row r="570" spans="1:35" x14ac:dyDescent="0.25">
      <c r="A570" s="1331"/>
      <c r="B570" s="1284"/>
      <c r="C570" s="1291"/>
      <c r="D570" s="1284"/>
      <c r="E570" s="1303"/>
      <c r="F570" s="1364"/>
      <c r="G570" s="1291"/>
      <c r="H570" s="1284"/>
      <c r="I570" s="1333"/>
      <c r="J570" s="1333"/>
      <c r="K570" s="1419"/>
      <c r="L570" s="1333"/>
      <c r="M570" s="1333"/>
      <c r="N570" s="1333"/>
      <c r="O570" s="1333"/>
      <c r="P570" s="1333"/>
      <c r="Q570" s="1333"/>
      <c r="R570" s="1333"/>
      <c r="S570" s="1333"/>
      <c r="T570" s="1333"/>
      <c r="U570" s="1333"/>
      <c r="V570" s="1333"/>
      <c r="W570" s="1333"/>
      <c r="X570" s="1333"/>
      <c r="Y570" s="1333"/>
      <c r="Z570" s="1333"/>
      <c r="AA570" s="1333"/>
      <c r="AB570" s="1333"/>
      <c r="AC570" s="1333"/>
      <c r="AD570" s="1333"/>
      <c r="AE570" s="1333"/>
      <c r="AF570" s="1333"/>
      <c r="AG570" s="1333"/>
      <c r="AH570" s="1333"/>
      <c r="AI570" s="1333"/>
    </row>
    <row r="571" spans="1:35" x14ac:dyDescent="0.25">
      <c r="A571" s="1331"/>
      <c r="B571" s="1284"/>
      <c r="C571" s="1291"/>
      <c r="D571" s="1284"/>
      <c r="E571" s="1303"/>
      <c r="F571" s="1364"/>
      <c r="G571" s="1291"/>
      <c r="H571" s="1284"/>
      <c r="I571" s="1333"/>
      <c r="J571" s="1333"/>
      <c r="K571" s="1419"/>
      <c r="L571" s="1333"/>
      <c r="M571" s="1333"/>
      <c r="N571" s="1333"/>
      <c r="O571" s="1333"/>
      <c r="P571" s="1333"/>
      <c r="Q571" s="1333"/>
      <c r="R571" s="1333"/>
      <c r="S571" s="1333"/>
      <c r="T571" s="1333"/>
      <c r="U571" s="1333"/>
      <c r="V571" s="1333"/>
      <c r="W571" s="1333"/>
      <c r="X571" s="1333"/>
      <c r="Y571" s="1333"/>
      <c r="Z571" s="1333"/>
      <c r="AA571" s="1333"/>
      <c r="AB571" s="1333"/>
      <c r="AC571" s="1333"/>
      <c r="AD571" s="1333"/>
      <c r="AE571" s="1333"/>
      <c r="AF571" s="1333"/>
      <c r="AG571" s="1333"/>
      <c r="AH571" s="1333"/>
      <c r="AI571" s="1333"/>
    </row>
    <row r="572" spans="1:35" x14ac:dyDescent="0.25">
      <c r="A572" s="1331"/>
      <c r="B572" s="1284"/>
      <c r="C572" s="1291"/>
      <c r="D572" s="1284"/>
      <c r="E572" s="1303"/>
      <c r="F572" s="1364"/>
      <c r="G572" s="1291"/>
      <c r="H572" s="1284"/>
      <c r="I572" s="1333"/>
      <c r="J572" s="1333"/>
      <c r="K572" s="1419"/>
      <c r="L572" s="1333"/>
      <c r="M572" s="1333"/>
      <c r="N572" s="1333"/>
      <c r="O572" s="1333"/>
      <c r="P572" s="1333"/>
      <c r="Q572" s="1333"/>
      <c r="R572" s="1333"/>
      <c r="S572" s="1333"/>
      <c r="T572" s="1333"/>
      <c r="U572" s="1333"/>
      <c r="V572" s="1333"/>
      <c r="W572" s="1333"/>
      <c r="X572" s="1333"/>
      <c r="Y572" s="1333"/>
      <c r="Z572" s="1333"/>
      <c r="AA572" s="1333"/>
      <c r="AB572" s="1333"/>
      <c r="AC572" s="1333"/>
      <c r="AD572" s="1333"/>
      <c r="AE572" s="1333"/>
      <c r="AF572" s="1333"/>
      <c r="AG572" s="1333"/>
      <c r="AH572" s="1333"/>
      <c r="AI572" s="1333"/>
    </row>
    <row r="573" spans="1:35" x14ac:dyDescent="0.25">
      <c r="A573" s="1331"/>
      <c r="B573" s="1284"/>
      <c r="C573" s="1291"/>
      <c r="D573" s="1284"/>
      <c r="E573" s="1303"/>
      <c r="F573" s="1364"/>
      <c r="G573" s="1291"/>
      <c r="H573" s="1284"/>
      <c r="I573" s="1333"/>
      <c r="J573" s="1333"/>
      <c r="K573" s="1419"/>
      <c r="L573" s="1333"/>
      <c r="M573" s="1333"/>
      <c r="N573" s="1333"/>
      <c r="O573" s="1333"/>
      <c r="P573" s="1333"/>
      <c r="Q573" s="1333"/>
      <c r="R573" s="1333"/>
      <c r="S573" s="1333"/>
      <c r="T573" s="1333"/>
      <c r="U573" s="1333"/>
      <c r="V573" s="1333"/>
      <c r="W573" s="1333"/>
      <c r="X573" s="1333"/>
      <c r="Y573" s="1333"/>
      <c r="Z573" s="1333"/>
      <c r="AA573" s="1333"/>
      <c r="AB573" s="1333"/>
      <c r="AC573" s="1333"/>
      <c r="AD573" s="1333"/>
      <c r="AE573" s="1333"/>
      <c r="AF573" s="1333"/>
      <c r="AG573" s="1333"/>
      <c r="AH573" s="1333"/>
      <c r="AI573" s="1333"/>
    </row>
    <row r="574" spans="1:35" x14ac:dyDescent="0.25">
      <c r="A574" s="1331"/>
      <c r="B574" s="1284"/>
      <c r="C574" s="1291"/>
      <c r="D574" s="1284"/>
      <c r="E574" s="1303"/>
      <c r="F574" s="1364"/>
      <c r="G574" s="1291"/>
      <c r="H574" s="1284"/>
      <c r="I574" s="1333"/>
      <c r="J574" s="1333"/>
      <c r="K574" s="1419"/>
      <c r="L574" s="1333"/>
      <c r="M574" s="1333"/>
      <c r="N574" s="1333"/>
      <c r="O574" s="1333"/>
      <c r="P574" s="1333"/>
      <c r="Q574" s="1333"/>
      <c r="R574" s="1333"/>
      <c r="S574" s="1333"/>
      <c r="T574" s="1333"/>
      <c r="U574" s="1333"/>
      <c r="V574" s="1333"/>
      <c r="W574" s="1333"/>
      <c r="X574" s="1333"/>
      <c r="Y574" s="1333"/>
      <c r="Z574" s="1333"/>
      <c r="AA574" s="1333"/>
      <c r="AB574" s="1333"/>
      <c r="AC574" s="1333"/>
      <c r="AD574" s="1333"/>
      <c r="AE574" s="1333"/>
      <c r="AF574" s="1333"/>
      <c r="AG574" s="1333"/>
      <c r="AH574" s="1333"/>
      <c r="AI574" s="1333"/>
    </row>
    <row r="575" spans="1:35" x14ac:dyDescent="0.25">
      <c r="A575" s="1331"/>
      <c r="B575" s="1284"/>
      <c r="C575" s="1291"/>
      <c r="D575" s="1284"/>
      <c r="E575" s="1303"/>
      <c r="F575" s="1364"/>
      <c r="G575" s="1291"/>
      <c r="H575" s="1284"/>
      <c r="I575" s="1333"/>
      <c r="J575" s="1333"/>
      <c r="K575" s="1419"/>
      <c r="L575" s="1333"/>
      <c r="M575" s="1333"/>
      <c r="N575" s="1333"/>
      <c r="O575" s="1333"/>
      <c r="P575" s="1333"/>
      <c r="Q575" s="1333"/>
      <c r="R575" s="1333"/>
      <c r="S575" s="1333"/>
      <c r="T575" s="1333"/>
      <c r="U575" s="1333"/>
      <c r="V575" s="1333"/>
      <c r="W575" s="1333"/>
      <c r="X575" s="1333"/>
      <c r="Y575" s="1333"/>
      <c r="Z575" s="1333"/>
      <c r="AA575" s="1333"/>
      <c r="AB575" s="1333"/>
      <c r="AC575" s="1333"/>
      <c r="AD575" s="1333"/>
      <c r="AE575" s="1333"/>
      <c r="AF575" s="1333"/>
      <c r="AG575" s="1333"/>
      <c r="AH575" s="1333"/>
      <c r="AI575" s="1333"/>
    </row>
    <row r="576" spans="1:35" x14ac:dyDescent="0.25">
      <c r="A576" s="1331"/>
      <c r="B576" s="1284"/>
      <c r="C576" s="1291"/>
      <c r="D576" s="1284"/>
      <c r="E576" s="1303"/>
      <c r="F576" s="1364"/>
      <c r="G576" s="1291"/>
      <c r="H576" s="1284"/>
      <c r="I576" s="1333"/>
      <c r="J576" s="1333"/>
      <c r="K576" s="1419"/>
      <c r="L576" s="1333"/>
      <c r="M576" s="1333"/>
      <c r="N576" s="1333"/>
      <c r="O576" s="1333"/>
      <c r="P576" s="1333"/>
      <c r="Q576" s="1333"/>
      <c r="R576" s="1333"/>
      <c r="S576" s="1333"/>
      <c r="T576" s="1333"/>
      <c r="U576" s="1333"/>
      <c r="V576" s="1333"/>
      <c r="W576" s="1333"/>
      <c r="X576" s="1333"/>
      <c r="Y576" s="1333"/>
      <c r="Z576" s="1333"/>
      <c r="AA576" s="1333"/>
      <c r="AB576" s="1333"/>
      <c r="AC576" s="1333"/>
      <c r="AD576" s="1333"/>
      <c r="AE576" s="1333"/>
      <c r="AF576" s="1333"/>
      <c r="AG576" s="1333"/>
      <c r="AH576" s="1333"/>
      <c r="AI576" s="1333"/>
    </row>
    <row r="577" spans="1:35" x14ac:dyDescent="0.25">
      <c r="A577" s="1331"/>
      <c r="B577" s="1284"/>
      <c r="C577" s="1291"/>
      <c r="D577" s="1284"/>
      <c r="E577" s="1303"/>
      <c r="F577" s="1364"/>
      <c r="G577" s="1291"/>
      <c r="H577" s="1284"/>
      <c r="I577" s="1333"/>
      <c r="J577" s="1333"/>
      <c r="K577" s="1419"/>
      <c r="L577" s="1333"/>
      <c r="M577" s="1333"/>
      <c r="N577" s="1333"/>
      <c r="O577" s="1333"/>
      <c r="P577" s="1333"/>
      <c r="Q577" s="1333"/>
      <c r="R577" s="1333"/>
      <c r="S577" s="1333"/>
      <c r="T577" s="1333"/>
      <c r="U577" s="1333"/>
      <c r="V577" s="1333"/>
      <c r="W577" s="1333"/>
      <c r="X577" s="1333"/>
      <c r="Y577" s="1333"/>
      <c r="Z577" s="1333"/>
      <c r="AA577" s="1333"/>
      <c r="AB577" s="1333"/>
      <c r="AC577" s="1333"/>
      <c r="AD577" s="1333"/>
      <c r="AE577" s="1333"/>
      <c r="AF577" s="1333"/>
      <c r="AG577" s="1333"/>
      <c r="AH577" s="1333"/>
      <c r="AI577" s="1333"/>
    </row>
    <row r="578" spans="1:35" x14ac:dyDescent="0.25">
      <c r="A578" s="1331"/>
      <c r="B578" s="1284"/>
      <c r="C578" s="1291"/>
      <c r="D578" s="1284"/>
      <c r="E578" s="1303"/>
      <c r="F578" s="1364"/>
      <c r="G578" s="1291"/>
      <c r="H578" s="1284"/>
      <c r="I578" s="1333"/>
      <c r="J578" s="1333"/>
      <c r="K578" s="1419"/>
      <c r="L578" s="1333"/>
      <c r="M578" s="1333"/>
      <c r="N578" s="1333"/>
      <c r="O578" s="1333"/>
      <c r="P578" s="1333"/>
      <c r="Q578" s="1333"/>
      <c r="R578" s="1333"/>
      <c r="S578" s="1333"/>
      <c r="T578" s="1333"/>
      <c r="U578" s="1333"/>
      <c r="V578" s="1333"/>
      <c r="W578" s="1333"/>
      <c r="X578" s="1333"/>
      <c r="Y578" s="1333"/>
      <c r="Z578" s="1333"/>
      <c r="AA578" s="1333"/>
      <c r="AB578" s="1333"/>
      <c r="AC578" s="1333"/>
      <c r="AD578" s="1333"/>
      <c r="AE578" s="1333"/>
      <c r="AF578" s="1333"/>
      <c r="AG578" s="1333"/>
      <c r="AH578" s="1333"/>
      <c r="AI578" s="1333"/>
    </row>
    <row r="579" spans="1:35" x14ac:dyDescent="0.25">
      <c r="A579" s="1331"/>
      <c r="B579" s="1284"/>
      <c r="C579" s="1291"/>
      <c r="D579" s="1284"/>
      <c r="E579" s="1303"/>
      <c r="F579" s="1364"/>
      <c r="G579" s="1291"/>
      <c r="H579" s="1284"/>
      <c r="I579" s="1333"/>
      <c r="J579" s="1333"/>
      <c r="K579" s="1419"/>
      <c r="L579" s="1333"/>
      <c r="M579" s="1333"/>
      <c r="N579" s="1333"/>
      <c r="O579" s="1333"/>
      <c r="P579" s="1333"/>
      <c r="Q579" s="1333"/>
      <c r="R579" s="1333"/>
      <c r="S579" s="1333"/>
      <c r="T579" s="1333"/>
      <c r="U579" s="1333"/>
      <c r="V579" s="1333"/>
      <c r="W579" s="1333"/>
      <c r="X579" s="1333"/>
      <c r="Y579" s="1333"/>
      <c r="Z579" s="1333"/>
      <c r="AA579" s="1333"/>
      <c r="AB579" s="1333"/>
      <c r="AC579" s="1333"/>
      <c r="AD579" s="1333"/>
      <c r="AE579" s="1333"/>
      <c r="AF579" s="1333"/>
      <c r="AG579" s="1333"/>
      <c r="AH579" s="1333"/>
      <c r="AI579" s="1333"/>
    </row>
    <row r="580" spans="1:35" x14ac:dyDescent="0.25">
      <c r="A580" s="1331"/>
      <c r="B580" s="1284"/>
      <c r="C580" s="1291"/>
      <c r="D580" s="1284"/>
      <c r="E580" s="1303"/>
      <c r="F580" s="1364"/>
      <c r="G580" s="1291"/>
      <c r="H580" s="1284"/>
      <c r="I580" s="1333"/>
      <c r="J580" s="1333"/>
      <c r="K580" s="1419"/>
      <c r="L580" s="1333"/>
      <c r="M580" s="1333"/>
      <c r="N580" s="1333"/>
      <c r="O580" s="1333"/>
      <c r="P580" s="1333"/>
      <c r="Q580" s="1333"/>
      <c r="R580" s="1333"/>
      <c r="S580" s="1333"/>
      <c r="T580" s="1333"/>
      <c r="U580" s="1333"/>
      <c r="V580" s="1333"/>
      <c r="W580" s="1333"/>
      <c r="X580" s="1333"/>
      <c r="Y580" s="1333"/>
      <c r="Z580" s="1333"/>
      <c r="AA580" s="1333"/>
      <c r="AB580" s="1333"/>
      <c r="AC580" s="1333"/>
      <c r="AD580" s="1333"/>
      <c r="AE580" s="1333"/>
      <c r="AF580" s="1333"/>
      <c r="AG580" s="1333"/>
      <c r="AH580" s="1333"/>
      <c r="AI580" s="1333"/>
    </row>
    <row r="581" spans="1:35" x14ac:dyDescent="0.25">
      <c r="A581" s="1331"/>
      <c r="B581" s="1284"/>
      <c r="C581" s="1291"/>
      <c r="D581" s="1284"/>
      <c r="E581" s="1303"/>
      <c r="F581" s="1364"/>
      <c r="G581" s="1291"/>
      <c r="H581" s="1284"/>
      <c r="I581" s="1333"/>
      <c r="J581" s="1333"/>
      <c r="K581" s="1419"/>
      <c r="L581" s="1333"/>
      <c r="M581" s="1333"/>
      <c r="N581" s="1333"/>
      <c r="O581" s="1333"/>
      <c r="P581" s="1333"/>
      <c r="Q581" s="1333"/>
      <c r="R581" s="1333"/>
      <c r="S581" s="1333"/>
      <c r="T581" s="1333"/>
      <c r="U581" s="1333"/>
      <c r="V581" s="1333"/>
      <c r="W581" s="1333"/>
      <c r="X581" s="1333"/>
      <c r="Y581" s="1333"/>
      <c r="Z581" s="1333"/>
      <c r="AA581" s="1333"/>
      <c r="AB581" s="1333"/>
      <c r="AC581" s="1333"/>
      <c r="AD581" s="1333"/>
      <c r="AE581" s="1333"/>
      <c r="AF581" s="1333"/>
      <c r="AG581" s="1333"/>
      <c r="AH581" s="1333"/>
      <c r="AI581" s="1333"/>
    </row>
    <row r="582" spans="1:35" x14ac:dyDescent="0.25">
      <c r="A582" s="1331"/>
      <c r="B582" s="1284"/>
      <c r="C582" s="1291"/>
      <c r="D582" s="1284"/>
      <c r="E582" s="1303"/>
      <c r="F582" s="1364"/>
      <c r="G582" s="1291"/>
      <c r="H582" s="1284"/>
      <c r="I582" s="1333"/>
      <c r="J582" s="1333"/>
      <c r="K582" s="1419"/>
      <c r="L582" s="1333"/>
      <c r="M582" s="1333"/>
      <c r="N582" s="1333"/>
      <c r="O582" s="1333"/>
      <c r="P582" s="1333"/>
      <c r="Q582" s="1333"/>
      <c r="R582" s="1333"/>
      <c r="S582" s="1333"/>
      <c r="T582" s="1333"/>
      <c r="U582" s="1333"/>
      <c r="V582" s="1333"/>
      <c r="W582" s="1333"/>
      <c r="X582" s="1333"/>
      <c r="Y582" s="1333"/>
      <c r="Z582" s="1333"/>
      <c r="AA582" s="1333"/>
      <c r="AB582" s="1333"/>
      <c r="AC582" s="1333"/>
      <c r="AD582" s="1333"/>
      <c r="AE582" s="1333"/>
      <c r="AF582" s="1333"/>
      <c r="AG582" s="1333"/>
      <c r="AH582" s="1333"/>
      <c r="AI582" s="1333"/>
    </row>
    <row r="583" spans="1:35" x14ac:dyDescent="0.25">
      <c r="A583" s="1331"/>
      <c r="B583" s="1284"/>
      <c r="C583" s="1291"/>
      <c r="D583" s="1284"/>
      <c r="E583" s="1303"/>
      <c r="F583" s="1364"/>
      <c r="G583" s="1291"/>
      <c r="H583" s="1284"/>
      <c r="I583" s="1333"/>
      <c r="J583" s="1333"/>
      <c r="K583" s="1419"/>
      <c r="L583" s="1333"/>
      <c r="M583" s="1333"/>
      <c r="N583" s="1333"/>
      <c r="O583" s="1333"/>
      <c r="P583" s="1333"/>
      <c r="Q583" s="1333"/>
      <c r="R583" s="1333"/>
      <c r="S583" s="1333"/>
      <c r="T583" s="1333"/>
      <c r="U583" s="1333"/>
      <c r="V583" s="1333"/>
      <c r="W583" s="1333"/>
      <c r="X583" s="1333"/>
      <c r="Y583" s="1333"/>
      <c r="Z583" s="1333"/>
      <c r="AA583" s="1333"/>
      <c r="AB583" s="1333"/>
      <c r="AC583" s="1333"/>
      <c r="AD583" s="1333"/>
      <c r="AE583" s="1333"/>
      <c r="AF583" s="1333"/>
      <c r="AG583" s="1333"/>
      <c r="AH583" s="1333"/>
      <c r="AI583" s="1333"/>
    </row>
    <row r="584" spans="1:35" x14ac:dyDescent="0.25">
      <c r="A584" s="1331"/>
      <c r="B584" s="1284"/>
      <c r="C584" s="1291"/>
      <c r="D584" s="1284"/>
      <c r="E584" s="1303"/>
      <c r="F584" s="1364"/>
      <c r="G584" s="1291"/>
      <c r="H584" s="1284"/>
      <c r="I584" s="1333"/>
      <c r="J584" s="1333"/>
      <c r="K584" s="1419"/>
      <c r="L584" s="1333"/>
      <c r="M584" s="1333"/>
      <c r="N584" s="1333"/>
      <c r="O584" s="1333"/>
      <c r="P584" s="1333"/>
      <c r="Q584" s="1333"/>
      <c r="R584" s="1333"/>
      <c r="S584" s="1333"/>
      <c r="T584" s="1333"/>
      <c r="U584" s="1333"/>
      <c r="V584" s="1333"/>
      <c r="W584" s="1333"/>
      <c r="X584" s="1333"/>
      <c r="Y584" s="1333"/>
      <c r="Z584" s="1333"/>
      <c r="AA584" s="1333"/>
      <c r="AB584" s="1333"/>
      <c r="AC584" s="1333"/>
      <c r="AD584" s="1333"/>
      <c r="AE584" s="1333"/>
      <c r="AF584" s="1333"/>
      <c r="AG584" s="1333"/>
      <c r="AH584" s="1333"/>
      <c r="AI584" s="1333"/>
    </row>
    <row r="585" spans="1:35" x14ac:dyDescent="0.25">
      <c r="A585" s="1331"/>
      <c r="B585" s="1284"/>
      <c r="C585" s="1291"/>
      <c r="D585" s="1284"/>
      <c r="E585" s="1303"/>
      <c r="F585" s="1364"/>
      <c r="G585" s="1291"/>
      <c r="H585" s="1284"/>
      <c r="I585" s="1333"/>
      <c r="J585" s="1333"/>
      <c r="K585" s="1419"/>
      <c r="L585" s="1333"/>
      <c r="M585" s="1333"/>
      <c r="N585" s="1333"/>
      <c r="O585" s="1333"/>
      <c r="P585" s="1333"/>
      <c r="Q585" s="1333"/>
      <c r="R585" s="1333"/>
      <c r="S585" s="1333"/>
      <c r="T585" s="1333"/>
      <c r="U585" s="1333"/>
      <c r="V585" s="1333"/>
      <c r="W585" s="1333"/>
      <c r="X585" s="1333"/>
      <c r="Y585" s="1333"/>
      <c r="Z585" s="1333"/>
      <c r="AA585" s="1333"/>
      <c r="AB585" s="1333"/>
      <c r="AC585" s="1333"/>
      <c r="AD585" s="1333"/>
      <c r="AE585" s="1333"/>
      <c r="AF585" s="1333"/>
      <c r="AG585" s="1333"/>
      <c r="AH585" s="1333"/>
      <c r="AI585" s="1333"/>
    </row>
    <row r="586" spans="1:35" x14ac:dyDescent="0.25">
      <c r="A586" s="1331"/>
      <c r="B586" s="1284"/>
      <c r="C586" s="1291"/>
      <c r="D586" s="1284"/>
      <c r="E586" s="1303"/>
      <c r="F586" s="1364"/>
      <c r="G586" s="1291"/>
      <c r="H586" s="1284"/>
      <c r="I586" s="1333"/>
      <c r="J586" s="1333"/>
      <c r="K586" s="1419"/>
      <c r="L586" s="1333"/>
      <c r="M586" s="1333"/>
      <c r="N586" s="1333"/>
      <c r="O586" s="1333"/>
      <c r="P586" s="1333"/>
      <c r="Q586" s="1333"/>
      <c r="R586" s="1333"/>
      <c r="S586" s="1333"/>
      <c r="T586" s="1333"/>
      <c r="U586" s="1333"/>
      <c r="V586" s="1333"/>
      <c r="W586" s="1333"/>
      <c r="X586" s="1333"/>
      <c r="Y586" s="1333"/>
      <c r="Z586" s="1333"/>
      <c r="AA586" s="1333"/>
      <c r="AB586" s="1333"/>
      <c r="AC586" s="1333"/>
      <c r="AD586" s="1333"/>
      <c r="AE586" s="1333"/>
      <c r="AF586" s="1333"/>
      <c r="AG586" s="1333"/>
      <c r="AH586" s="1333"/>
      <c r="AI586" s="1333"/>
    </row>
    <row r="587" spans="1:35" x14ac:dyDescent="0.25">
      <c r="A587" s="1331"/>
      <c r="B587" s="1284"/>
      <c r="C587" s="1291"/>
      <c r="D587" s="1284"/>
      <c r="E587" s="1303"/>
      <c r="F587" s="1364"/>
      <c r="G587" s="1291"/>
      <c r="H587" s="1284"/>
      <c r="I587" s="1333"/>
      <c r="J587" s="1333"/>
      <c r="K587" s="1419"/>
      <c r="L587" s="1333"/>
      <c r="M587" s="1333"/>
      <c r="N587" s="1333"/>
      <c r="O587" s="1333"/>
      <c r="P587" s="1333"/>
      <c r="Q587" s="1333"/>
      <c r="R587" s="1333"/>
      <c r="S587" s="1333"/>
      <c r="T587" s="1333"/>
      <c r="U587" s="1333"/>
      <c r="V587" s="1333"/>
      <c r="W587" s="1333"/>
      <c r="X587" s="1333"/>
      <c r="Y587" s="1333"/>
      <c r="Z587" s="1333"/>
      <c r="AA587" s="1333"/>
      <c r="AB587" s="1333"/>
      <c r="AC587" s="1333"/>
      <c r="AD587" s="1333"/>
      <c r="AE587" s="1333"/>
      <c r="AF587" s="1333"/>
      <c r="AG587" s="1333"/>
      <c r="AH587" s="1333"/>
      <c r="AI587" s="1333"/>
    </row>
    <row r="588" spans="1:35" x14ac:dyDescent="0.25">
      <c r="A588" s="1331"/>
      <c r="B588" s="1284"/>
      <c r="C588" s="1291"/>
      <c r="D588" s="1284"/>
      <c r="E588" s="1303"/>
      <c r="F588" s="1364"/>
      <c r="G588" s="1291"/>
      <c r="H588" s="1284"/>
      <c r="I588" s="1333"/>
      <c r="J588" s="1333"/>
      <c r="K588" s="1419"/>
      <c r="L588" s="1333"/>
      <c r="M588" s="1333"/>
      <c r="N588" s="1333"/>
      <c r="O588" s="1333"/>
      <c r="P588" s="1333"/>
      <c r="Q588" s="1333"/>
      <c r="R588" s="1333"/>
      <c r="S588" s="1333"/>
      <c r="T588" s="1333"/>
      <c r="U588" s="1333"/>
      <c r="V588" s="1333"/>
      <c r="W588" s="1333"/>
      <c r="X588" s="1333"/>
      <c r="Y588" s="1333"/>
      <c r="Z588" s="1333"/>
      <c r="AA588" s="1333"/>
      <c r="AB588" s="1333"/>
      <c r="AC588" s="1333"/>
      <c r="AD588" s="1333"/>
      <c r="AE588" s="1333"/>
      <c r="AF588" s="1333"/>
      <c r="AG588" s="1333"/>
      <c r="AH588" s="1333"/>
      <c r="AI588" s="1333"/>
    </row>
    <row r="589" spans="1:35" x14ac:dyDescent="0.25">
      <c r="A589" s="1331"/>
      <c r="B589" s="1284"/>
      <c r="C589" s="1291"/>
      <c r="D589" s="1284"/>
      <c r="E589" s="1303"/>
      <c r="F589" s="1364"/>
      <c r="G589" s="1291"/>
      <c r="H589" s="1284"/>
      <c r="I589" s="1333"/>
      <c r="J589" s="1333"/>
      <c r="K589" s="1419"/>
      <c r="L589" s="1333"/>
      <c r="M589" s="1333"/>
      <c r="N589" s="1333"/>
      <c r="O589" s="1333"/>
      <c r="P589" s="1333"/>
      <c r="Q589" s="1333"/>
      <c r="R589" s="1333"/>
      <c r="S589" s="1333"/>
      <c r="T589" s="1333"/>
      <c r="U589" s="1333"/>
      <c r="V589" s="1333"/>
      <c r="W589" s="1333"/>
      <c r="X589" s="1333"/>
      <c r="Y589" s="1333"/>
      <c r="Z589" s="1333"/>
      <c r="AA589" s="1333"/>
      <c r="AB589" s="1333"/>
      <c r="AC589" s="1333"/>
      <c r="AD589" s="1333"/>
      <c r="AE589" s="1333"/>
      <c r="AF589" s="1333"/>
      <c r="AG589" s="1333"/>
      <c r="AH589" s="1333"/>
      <c r="AI589" s="1333"/>
    </row>
    <row r="590" spans="1:35" x14ac:dyDescent="0.25">
      <c r="A590" s="1331"/>
      <c r="B590" s="1284"/>
      <c r="C590" s="1291"/>
      <c r="D590" s="1284"/>
      <c r="E590" s="1303"/>
      <c r="F590" s="1364"/>
      <c r="G590" s="1291"/>
      <c r="H590" s="1284"/>
      <c r="I590" s="1333"/>
      <c r="J590" s="1333"/>
      <c r="K590" s="1419"/>
      <c r="L590" s="1333"/>
      <c r="M590" s="1333"/>
      <c r="N590" s="1333"/>
      <c r="O590" s="1333"/>
      <c r="P590" s="1333"/>
      <c r="Q590" s="1333"/>
      <c r="R590" s="1333"/>
      <c r="S590" s="1333"/>
      <c r="T590" s="1333"/>
      <c r="U590" s="1333"/>
      <c r="V590" s="1333"/>
      <c r="W590" s="1333"/>
      <c r="X590" s="1333"/>
      <c r="Y590" s="1333"/>
      <c r="Z590" s="1333"/>
      <c r="AA590" s="1333"/>
      <c r="AB590" s="1333"/>
      <c r="AC590" s="1333"/>
      <c r="AD590" s="1333"/>
      <c r="AE590" s="1333"/>
      <c r="AF590" s="1333"/>
      <c r="AG590" s="1333"/>
      <c r="AH590" s="1333"/>
      <c r="AI590" s="1333"/>
    </row>
    <row r="591" spans="1:35" x14ac:dyDescent="0.25">
      <c r="A591" s="1331"/>
      <c r="B591" s="1284"/>
      <c r="C591" s="1291"/>
      <c r="D591" s="1284"/>
      <c r="E591" s="1303"/>
      <c r="F591" s="1364"/>
      <c r="G591" s="1291"/>
      <c r="H591" s="1284"/>
      <c r="I591" s="1333"/>
      <c r="J591" s="1333"/>
      <c r="K591" s="1419"/>
      <c r="L591" s="1333"/>
      <c r="M591" s="1333"/>
      <c r="N591" s="1333"/>
      <c r="O591" s="1333"/>
      <c r="P591" s="1333"/>
      <c r="Q591" s="1333"/>
      <c r="R591" s="1333"/>
      <c r="S591" s="1333"/>
      <c r="T591" s="1333"/>
      <c r="U591" s="1333"/>
      <c r="V591" s="1333"/>
      <c r="W591" s="1333"/>
      <c r="X591" s="1333"/>
      <c r="Y591" s="1333"/>
      <c r="Z591" s="1333"/>
      <c r="AA591" s="1333"/>
      <c r="AB591" s="1333"/>
      <c r="AC591" s="1333"/>
      <c r="AD591" s="1333"/>
      <c r="AE591" s="1333"/>
      <c r="AF591" s="1333"/>
      <c r="AG591" s="1333"/>
      <c r="AH591" s="1333"/>
      <c r="AI591" s="1333"/>
    </row>
    <row r="592" spans="1:35" x14ac:dyDescent="0.25">
      <c r="A592" s="1331"/>
      <c r="B592" s="1284"/>
      <c r="C592" s="1291"/>
      <c r="D592" s="1284"/>
      <c r="E592" s="1303"/>
      <c r="F592" s="1364"/>
      <c r="G592" s="1291"/>
      <c r="H592" s="1284"/>
      <c r="I592" s="1333"/>
      <c r="J592" s="1333"/>
      <c r="K592" s="1419"/>
      <c r="L592" s="1333"/>
      <c r="M592" s="1333"/>
      <c r="N592" s="1333"/>
      <c r="O592" s="1333"/>
      <c r="P592" s="1333"/>
      <c r="Q592" s="1333"/>
      <c r="R592" s="1333"/>
      <c r="S592" s="1333"/>
      <c r="T592" s="1333"/>
      <c r="U592" s="1333"/>
      <c r="V592" s="1333"/>
      <c r="W592" s="1333"/>
      <c r="X592" s="1333"/>
      <c r="Y592" s="1333"/>
      <c r="Z592" s="1333"/>
      <c r="AA592" s="1333"/>
      <c r="AB592" s="1333"/>
      <c r="AC592" s="1333"/>
      <c r="AD592" s="1333"/>
      <c r="AE592" s="1333"/>
      <c r="AF592" s="1333"/>
      <c r="AG592" s="1333"/>
      <c r="AH592" s="1333"/>
      <c r="AI592" s="1333"/>
    </row>
    <row r="593" spans="1:35" x14ac:dyDescent="0.25">
      <c r="A593" s="1331"/>
      <c r="B593" s="1284"/>
      <c r="C593" s="1291"/>
      <c r="D593" s="1284"/>
      <c r="E593" s="1303"/>
      <c r="F593" s="1364"/>
      <c r="G593" s="1291"/>
      <c r="H593" s="1284"/>
      <c r="I593" s="1333"/>
      <c r="J593" s="1333"/>
      <c r="K593" s="1419"/>
      <c r="L593" s="1333"/>
      <c r="M593" s="1333"/>
      <c r="N593" s="1333"/>
      <c r="O593" s="1333"/>
      <c r="P593" s="1333"/>
      <c r="Q593" s="1333"/>
      <c r="R593" s="1333"/>
      <c r="S593" s="1333"/>
      <c r="T593" s="1333"/>
      <c r="U593" s="1333"/>
      <c r="V593" s="1333"/>
      <c r="W593" s="1333"/>
      <c r="X593" s="1333"/>
      <c r="Y593" s="1333"/>
      <c r="Z593" s="1333"/>
      <c r="AA593" s="1333"/>
      <c r="AB593" s="1333"/>
      <c r="AC593" s="1333"/>
      <c r="AD593" s="1333"/>
      <c r="AE593" s="1333"/>
      <c r="AF593" s="1333"/>
      <c r="AG593" s="1333"/>
      <c r="AH593" s="1333"/>
      <c r="AI593" s="1333"/>
    </row>
    <row r="594" spans="1:35" x14ac:dyDescent="0.25">
      <c r="A594" s="1331"/>
      <c r="B594" s="1284"/>
      <c r="C594" s="1291"/>
      <c r="D594" s="1284"/>
      <c r="E594" s="1303"/>
      <c r="F594" s="1364"/>
      <c r="G594" s="1291"/>
      <c r="H594" s="1284"/>
      <c r="I594" s="1333"/>
      <c r="J594" s="1333"/>
      <c r="K594" s="1419"/>
      <c r="L594" s="1333"/>
      <c r="M594" s="1333"/>
      <c r="N594" s="1333"/>
      <c r="O594" s="1333"/>
      <c r="P594" s="1333"/>
      <c r="Q594" s="1333"/>
      <c r="R594" s="1333"/>
      <c r="S594" s="1333"/>
      <c r="T594" s="1333"/>
      <c r="U594" s="1333"/>
      <c r="V594" s="1333"/>
      <c r="W594" s="1333"/>
      <c r="X594" s="1333"/>
      <c r="Y594" s="1333"/>
      <c r="Z594" s="1333"/>
      <c r="AA594" s="1333"/>
      <c r="AB594" s="1333"/>
      <c r="AC594" s="1333"/>
      <c r="AD594" s="1333"/>
      <c r="AE594" s="1333"/>
      <c r="AF594" s="1333"/>
      <c r="AG594" s="1333"/>
      <c r="AH594" s="1333"/>
      <c r="AI594" s="1333"/>
    </row>
    <row r="595" spans="1:35" x14ac:dyDescent="0.25">
      <c r="A595" s="1331"/>
      <c r="B595" s="1284"/>
      <c r="C595" s="1291"/>
      <c r="D595" s="1284"/>
      <c r="E595" s="1303"/>
      <c r="F595" s="1364"/>
      <c r="G595" s="1291"/>
      <c r="H595" s="1284"/>
      <c r="I595" s="1333"/>
      <c r="J595" s="1333"/>
      <c r="K595" s="1419"/>
      <c r="L595" s="1333"/>
      <c r="M595" s="1333"/>
      <c r="N595" s="1333"/>
      <c r="O595" s="1333"/>
      <c r="P595" s="1333"/>
      <c r="Q595" s="1333"/>
      <c r="R595" s="1333"/>
      <c r="S595" s="1333"/>
      <c r="T595" s="1333"/>
      <c r="U595" s="1333"/>
      <c r="V595" s="1333"/>
      <c r="W595" s="1333"/>
      <c r="X595" s="1333"/>
      <c r="Y595" s="1333"/>
      <c r="Z595" s="1333"/>
      <c r="AA595" s="1333"/>
      <c r="AB595" s="1333"/>
      <c r="AC595" s="1333"/>
      <c r="AD595" s="1333"/>
      <c r="AE595" s="1333"/>
      <c r="AF595" s="1333"/>
      <c r="AG595" s="1333"/>
      <c r="AH595" s="1333"/>
      <c r="AI595" s="1333"/>
    </row>
    <row r="596" spans="1:35" x14ac:dyDescent="0.25">
      <c r="A596" s="1331"/>
      <c r="B596" s="1284"/>
      <c r="C596" s="1291"/>
      <c r="D596" s="1284"/>
      <c r="E596" s="1303"/>
      <c r="F596" s="1364"/>
      <c r="G596" s="1291"/>
      <c r="H596" s="1284"/>
      <c r="I596" s="1333"/>
      <c r="J596" s="1333"/>
      <c r="K596" s="1419"/>
      <c r="L596" s="1333"/>
      <c r="M596" s="1333"/>
      <c r="N596" s="1333"/>
      <c r="O596" s="1333"/>
      <c r="P596" s="1333"/>
      <c r="Q596" s="1333"/>
      <c r="R596" s="1333"/>
      <c r="S596" s="1333"/>
      <c r="T596" s="1333"/>
      <c r="U596" s="1333"/>
      <c r="V596" s="1333"/>
      <c r="W596" s="1333"/>
      <c r="X596" s="1333"/>
      <c r="Y596" s="1333"/>
      <c r="Z596" s="1333"/>
      <c r="AA596" s="1333"/>
      <c r="AB596" s="1333"/>
      <c r="AC596" s="1333"/>
      <c r="AD596" s="1333"/>
      <c r="AE596" s="1333"/>
      <c r="AF596" s="1333"/>
      <c r="AG596" s="1333"/>
      <c r="AH596" s="1333"/>
      <c r="AI596" s="1333"/>
    </row>
    <row r="597" spans="1:35" x14ac:dyDescent="0.25">
      <c r="A597" s="1331"/>
      <c r="B597" s="1284"/>
      <c r="C597" s="1291"/>
      <c r="D597" s="1284"/>
      <c r="E597" s="1303"/>
      <c r="F597" s="1364"/>
      <c r="G597" s="1291"/>
      <c r="H597" s="1284"/>
      <c r="I597" s="1333"/>
      <c r="J597" s="1333"/>
      <c r="K597" s="1419"/>
      <c r="L597" s="1333"/>
      <c r="M597" s="1333"/>
      <c r="N597" s="1333"/>
      <c r="O597" s="1333"/>
      <c r="P597" s="1333"/>
      <c r="Q597" s="1333"/>
      <c r="R597" s="1333"/>
      <c r="S597" s="1333"/>
      <c r="T597" s="1333"/>
      <c r="U597" s="1333"/>
      <c r="V597" s="1333"/>
      <c r="W597" s="1333"/>
      <c r="X597" s="1333"/>
      <c r="Y597" s="1333"/>
      <c r="Z597" s="1333"/>
      <c r="AA597" s="1333"/>
      <c r="AB597" s="1333"/>
      <c r="AC597" s="1333"/>
      <c r="AD597" s="1333"/>
      <c r="AE597" s="1333"/>
      <c r="AF597" s="1333"/>
      <c r="AG597" s="1333"/>
      <c r="AH597" s="1333"/>
      <c r="AI597" s="1333"/>
    </row>
    <row r="598" spans="1:35" x14ac:dyDescent="0.25">
      <c r="A598" s="1331"/>
      <c r="B598" s="1284"/>
      <c r="C598" s="1291"/>
      <c r="D598" s="1284"/>
      <c r="E598" s="1303"/>
      <c r="F598" s="1364"/>
      <c r="G598" s="1291"/>
      <c r="H598" s="1284"/>
      <c r="I598" s="1333"/>
      <c r="J598" s="1333"/>
      <c r="K598" s="1419"/>
      <c r="L598" s="1333"/>
      <c r="M598" s="1333"/>
      <c r="N598" s="1333"/>
      <c r="O598" s="1333"/>
      <c r="P598" s="1333"/>
      <c r="Q598" s="1333"/>
      <c r="R598" s="1333"/>
      <c r="S598" s="1333"/>
      <c r="T598" s="1333"/>
      <c r="U598" s="1333"/>
      <c r="V598" s="1333"/>
      <c r="W598" s="1333"/>
      <c r="X598" s="1333"/>
      <c r="Y598" s="1333"/>
      <c r="Z598" s="1333"/>
      <c r="AA598" s="1333"/>
      <c r="AB598" s="1333"/>
      <c r="AC598" s="1333"/>
      <c r="AD598" s="1333"/>
      <c r="AE598" s="1333"/>
      <c r="AF598" s="1333"/>
      <c r="AG598" s="1333"/>
      <c r="AH598" s="1333"/>
      <c r="AI598" s="1333"/>
    </row>
    <row r="599" spans="1:35" x14ac:dyDescent="0.25">
      <c r="A599" s="1331"/>
      <c r="B599" s="1284"/>
      <c r="C599" s="1291"/>
      <c r="D599" s="1284"/>
      <c r="E599" s="1303"/>
      <c r="F599" s="1364"/>
      <c r="G599" s="1291"/>
      <c r="H599" s="1284"/>
      <c r="I599" s="1333"/>
      <c r="J599" s="1333"/>
      <c r="K599" s="1419"/>
      <c r="L599" s="1333"/>
      <c r="M599" s="1333"/>
      <c r="N599" s="1333"/>
      <c r="O599" s="1333"/>
      <c r="P599" s="1333"/>
      <c r="Q599" s="1333"/>
      <c r="R599" s="1333"/>
      <c r="S599" s="1333"/>
      <c r="T599" s="1333"/>
      <c r="U599" s="1333"/>
      <c r="V599" s="1333"/>
      <c r="W599" s="1333"/>
      <c r="X599" s="1333"/>
      <c r="Y599" s="1333"/>
      <c r="Z599" s="1333"/>
      <c r="AA599" s="1333"/>
      <c r="AB599" s="1333"/>
      <c r="AC599" s="1333"/>
      <c r="AD599" s="1333"/>
      <c r="AE599" s="1333"/>
      <c r="AF599" s="1333"/>
      <c r="AG599" s="1333"/>
      <c r="AH599" s="1333"/>
      <c r="AI599" s="1333"/>
    </row>
    <row r="600" spans="1:35" x14ac:dyDescent="0.25">
      <c r="A600" s="1331"/>
      <c r="B600" s="1284"/>
      <c r="C600" s="1291"/>
      <c r="D600" s="1284"/>
      <c r="E600" s="1303"/>
      <c r="F600" s="1364"/>
      <c r="G600" s="1291"/>
      <c r="H600" s="1284"/>
      <c r="I600" s="1333"/>
      <c r="J600" s="1333"/>
      <c r="K600" s="1419"/>
      <c r="L600" s="1333"/>
      <c r="M600" s="1333"/>
      <c r="N600" s="1333"/>
      <c r="O600" s="1333"/>
      <c r="P600" s="1333"/>
      <c r="Q600" s="1333"/>
      <c r="R600" s="1333"/>
      <c r="S600" s="1333"/>
      <c r="T600" s="1333"/>
      <c r="U600" s="1333"/>
      <c r="V600" s="1333"/>
      <c r="W600" s="1333"/>
      <c r="X600" s="1333"/>
      <c r="Y600" s="1333"/>
      <c r="Z600" s="1333"/>
      <c r="AA600" s="1333"/>
      <c r="AB600" s="1333"/>
      <c r="AC600" s="1333"/>
      <c r="AD600" s="1333"/>
      <c r="AE600" s="1333"/>
      <c r="AF600" s="1333"/>
      <c r="AG600" s="1333"/>
      <c r="AH600" s="1333"/>
      <c r="AI600" s="1333"/>
    </row>
    <row r="601" spans="1:35" x14ac:dyDescent="0.25">
      <c r="A601" s="1331"/>
      <c r="B601" s="1284"/>
      <c r="C601" s="1291"/>
      <c r="D601" s="1284"/>
      <c r="E601" s="1303"/>
      <c r="F601" s="1364"/>
      <c r="G601" s="1291"/>
      <c r="H601" s="1284"/>
      <c r="I601" s="1333"/>
      <c r="J601" s="1333"/>
      <c r="K601" s="1419"/>
      <c r="L601" s="1333"/>
      <c r="M601" s="1333"/>
      <c r="N601" s="1333"/>
      <c r="O601" s="1333"/>
      <c r="P601" s="1333"/>
      <c r="Q601" s="1333"/>
      <c r="R601" s="1333"/>
      <c r="S601" s="1333"/>
      <c r="T601" s="1333"/>
      <c r="U601" s="1333"/>
      <c r="V601" s="1333"/>
      <c r="W601" s="1333"/>
      <c r="X601" s="1333"/>
      <c r="Y601" s="1333"/>
      <c r="Z601" s="1333"/>
      <c r="AA601" s="1333"/>
      <c r="AB601" s="1333"/>
      <c r="AC601" s="1333"/>
      <c r="AD601" s="1333"/>
      <c r="AE601" s="1333"/>
      <c r="AF601" s="1333"/>
      <c r="AG601" s="1333"/>
      <c r="AH601" s="1333"/>
      <c r="AI601" s="1333"/>
    </row>
    <row r="602" spans="1:35" x14ac:dyDescent="0.25">
      <c r="A602" s="1331"/>
      <c r="B602" s="1284"/>
      <c r="C602" s="1291"/>
      <c r="D602" s="1284"/>
      <c r="E602" s="1303"/>
      <c r="F602" s="1364"/>
      <c r="G602" s="1291"/>
      <c r="H602" s="1284"/>
      <c r="I602" s="1333"/>
      <c r="J602" s="1333"/>
      <c r="K602" s="1419"/>
      <c r="L602" s="1333"/>
      <c r="M602" s="1333"/>
      <c r="N602" s="1333"/>
      <c r="O602" s="1333"/>
      <c r="P602" s="1333"/>
      <c r="Q602" s="1333"/>
      <c r="R602" s="1333"/>
      <c r="S602" s="1333"/>
      <c r="T602" s="1333"/>
      <c r="U602" s="1333"/>
      <c r="V602" s="1333"/>
      <c r="W602" s="1333"/>
      <c r="X602" s="1333"/>
      <c r="Y602" s="1333"/>
      <c r="Z602" s="1333"/>
      <c r="AA602" s="1333"/>
      <c r="AB602" s="1333"/>
      <c r="AC602" s="1333"/>
      <c r="AD602" s="1333"/>
      <c r="AE602" s="1333"/>
      <c r="AF602" s="1333"/>
      <c r="AG602" s="1333"/>
      <c r="AH602" s="1333"/>
      <c r="AI602" s="1333"/>
    </row>
    <row r="603" spans="1:35" x14ac:dyDescent="0.25">
      <c r="A603" s="1331"/>
      <c r="B603" s="1284"/>
      <c r="C603" s="1291"/>
      <c r="D603" s="1284"/>
      <c r="E603" s="1303"/>
      <c r="F603" s="1364"/>
      <c r="G603" s="1291"/>
      <c r="H603" s="1284"/>
      <c r="I603" s="1333"/>
      <c r="J603" s="1333"/>
      <c r="K603" s="1419"/>
      <c r="L603" s="1333"/>
      <c r="M603" s="1333"/>
      <c r="N603" s="1333"/>
      <c r="O603" s="1333"/>
      <c r="P603" s="1333"/>
      <c r="Q603" s="1333"/>
      <c r="R603" s="1333"/>
      <c r="S603" s="1333"/>
      <c r="T603" s="1333"/>
      <c r="U603" s="1333"/>
      <c r="V603" s="1333"/>
      <c r="W603" s="1333"/>
      <c r="X603" s="1333"/>
      <c r="Y603" s="1333"/>
      <c r="Z603" s="1333"/>
      <c r="AA603" s="1333"/>
      <c r="AB603" s="1333"/>
      <c r="AC603" s="1333"/>
      <c r="AD603" s="1333"/>
      <c r="AE603" s="1333"/>
      <c r="AF603" s="1333"/>
      <c r="AG603" s="1333"/>
      <c r="AH603" s="1333"/>
      <c r="AI603" s="1333"/>
    </row>
    <row r="604" spans="1:35" x14ac:dyDescent="0.25">
      <c r="A604" s="1331"/>
      <c r="B604" s="1284"/>
      <c r="C604" s="1291"/>
      <c r="D604" s="1284"/>
      <c r="E604" s="1303"/>
      <c r="F604" s="1364"/>
      <c r="G604" s="1291"/>
      <c r="H604" s="1284"/>
      <c r="I604" s="1333"/>
      <c r="J604" s="1333"/>
      <c r="K604" s="1419"/>
      <c r="L604" s="1333"/>
      <c r="M604" s="1333"/>
      <c r="N604" s="1333"/>
      <c r="O604" s="1333"/>
      <c r="P604" s="1333"/>
      <c r="Q604" s="1333"/>
      <c r="R604" s="1333"/>
      <c r="S604" s="1333"/>
      <c r="T604" s="1333"/>
      <c r="U604" s="1333"/>
      <c r="V604" s="1333"/>
      <c r="W604" s="1333"/>
      <c r="X604" s="1333"/>
      <c r="Y604" s="1333"/>
      <c r="Z604" s="1333"/>
      <c r="AA604" s="1333"/>
      <c r="AB604" s="1333"/>
      <c r="AC604" s="1333"/>
      <c r="AD604" s="1333"/>
      <c r="AE604" s="1333"/>
      <c r="AF604" s="1333"/>
      <c r="AG604" s="1333"/>
      <c r="AH604" s="1333"/>
      <c r="AI604" s="1333"/>
    </row>
    <row r="605" spans="1:35" x14ac:dyDescent="0.25">
      <c r="A605" s="1331"/>
      <c r="B605" s="1284"/>
      <c r="C605" s="1291"/>
      <c r="D605" s="1284"/>
      <c r="E605" s="1303"/>
      <c r="F605" s="1364"/>
      <c r="G605" s="1291"/>
      <c r="H605" s="1284"/>
      <c r="I605" s="1333"/>
      <c r="J605" s="1333"/>
      <c r="K605" s="1419"/>
      <c r="L605" s="1333"/>
      <c r="M605" s="1333"/>
      <c r="N605" s="1333"/>
      <c r="O605" s="1333"/>
      <c r="P605" s="1333"/>
      <c r="Q605" s="1333"/>
      <c r="R605" s="1333"/>
      <c r="S605" s="1333"/>
      <c r="T605" s="1333"/>
      <c r="U605" s="1333"/>
      <c r="V605" s="1333"/>
      <c r="W605" s="1333"/>
      <c r="X605" s="1333"/>
      <c r="Y605" s="1333"/>
      <c r="Z605" s="1333"/>
      <c r="AA605" s="1333"/>
      <c r="AB605" s="1333"/>
      <c r="AC605" s="1333"/>
      <c r="AD605" s="1333"/>
      <c r="AE605" s="1333"/>
      <c r="AF605" s="1333"/>
      <c r="AG605" s="1333"/>
      <c r="AH605" s="1333"/>
      <c r="AI605" s="1333"/>
    </row>
    <row r="606" spans="1:35" x14ac:dyDescent="0.25">
      <c r="A606" s="1331"/>
      <c r="B606" s="1284"/>
      <c r="C606" s="1291"/>
      <c r="D606" s="1284"/>
      <c r="E606" s="1303"/>
      <c r="F606" s="1364"/>
      <c r="G606" s="1291"/>
      <c r="H606" s="1284"/>
      <c r="I606" s="1333"/>
      <c r="J606" s="1333"/>
      <c r="K606" s="1419"/>
      <c r="L606" s="1333"/>
      <c r="M606" s="1333"/>
      <c r="N606" s="1333"/>
      <c r="O606" s="1333"/>
      <c r="P606" s="1333"/>
      <c r="Q606" s="1333"/>
      <c r="R606" s="1333"/>
      <c r="S606" s="1333"/>
      <c r="T606" s="1333"/>
      <c r="U606" s="1333"/>
      <c r="V606" s="1333"/>
      <c r="W606" s="1333"/>
      <c r="X606" s="1333"/>
      <c r="Y606" s="1333"/>
      <c r="Z606" s="1333"/>
      <c r="AA606" s="1333"/>
      <c r="AB606" s="1333"/>
      <c r="AC606" s="1333"/>
      <c r="AD606" s="1333"/>
      <c r="AE606" s="1333"/>
      <c r="AF606" s="1333"/>
      <c r="AG606" s="1333"/>
      <c r="AH606" s="1333"/>
      <c r="AI606" s="1333"/>
    </row>
    <row r="607" spans="1:35" x14ac:dyDescent="0.25">
      <c r="A607" s="1331"/>
      <c r="B607" s="1284"/>
      <c r="C607" s="1291"/>
      <c r="D607" s="1284"/>
      <c r="E607" s="1303"/>
      <c r="F607" s="1364"/>
      <c r="G607" s="1291"/>
      <c r="H607" s="1284"/>
      <c r="I607" s="1333"/>
      <c r="J607" s="1333"/>
      <c r="K607" s="1419"/>
      <c r="L607" s="1333"/>
      <c r="M607" s="1333"/>
      <c r="N607" s="1333"/>
      <c r="O607" s="1333"/>
      <c r="P607" s="1333"/>
      <c r="Q607" s="1333"/>
      <c r="R607" s="1333"/>
      <c r="S607" s="1333"/>
      <c r="T607" s="1333"/>
      <c r="U607" s="1333"/>
      <c r="V607" s="1333"/>
      <c r="W607" s="1333"/>
      <c r="X607" s="1333"/>
      <c r="Y607" s="1333"/>
      <c r="Z607" s="1333"/>
      <c r="AA607" s="1333"/>
      <c r="AB607" s="1333"/>
      <c r="AC607" s="1333"/>
      <c r="AD607" s="1333"/>
      <c r="AE607" s="1333"/>
      <c r="AF607" s="1333"/>
      <c r="AG607" s="1333"/>
      <c r="AH607" s="1333"/>
      <c r="AI607" s="1333"/>
    </row>
    <row r="608" spans="1:35" x14ac:dyDescent="0.25">
      <c r="A608" s="1331"/>
      <c r="B608" s="1284"/>
      <c r="C608" s="1291"/>
      <c r="D608" s="1284"/>
      <c r="E608" s="1303"/>
      <c r="F608" s="1364"/>
      <c r="G608" s="1291"/>
      <c r="H608" s="1284"/>
      <c r="I608" s="1333"/>
      <c r="J608" s="1333"/>
      <c r="K608" s="1419"/>
      <c r="L608" s="1333"/>
      <c r="M608" s="1333"/>
      <c r="N608" s="1333"/>
      <c r="O608" s="1333"/>
      <c r="P608" s="1333"/>
      <c r="Q608" s="1333"/>
      <c r="R608" s="1333"/>
      <c r="S608" s="1333"/>
      <c r="T608" s="1333"/>
      <c r="U608" s="1333"/>
      <c r="V608" s="1333"/>
      <c r="W608" s="1333"/>
      <c r="X608" s="1333"/>
      <c r="Y608" s="1333"/>
      <c r="Z608" s="1333"/>
      <c r="AA608" s="1333"/>
      <c r="AB608" s="1333"/>
      <c r="AC608" s="1333"/>
      <c r="AD608" s="1333"/>
      <c r="AE608" s="1333"/>
      <c r="AF608" s="1333"/>
      <c r="AG608" s="1333"/>
      <c r="AH608" s="1333"/>
      <c r="AI608" s="1333"/>
    </row>
    <row r="609" spans="1:35" x14ac:dyDescent="0.25">
      <c r="A609" s="1331"/>
      <c r="B609" s="1284"/>
      <c r="C609" s="1291"/>
      <c r="D609" s="1284"/>
      <c r="E609" s="1303"/>
      <c r="F609" s="1364"/>
      <c r="G609" s="1291"/>
      <c r="H609" s="1284"/>
      <c r="I609" s="1333"/>
      <c r="J609" s="1333"/>
      <c r="K609" s="1419"/>
      <c r="L609" s="1333"/>
      <c r="M609" s="1333"/>
      <c r="N609" s="1333"/>
      <c r="O609" s="1333"/>
      <c r="P609" s="1333"/>
      <c r="Q609" s="1333"/>
      <c r="R609" s="1333"/>
      <c r="S609" s="1333"/>
      <c r="T609" s="1333"/>
      <c r="U609" s="1333"/>
      <c r="V609" s="1333"/>
      <c r="W609" s="1333"/>
      <c r="X609" s="1333"/>
      <c r="Y609" s="1333"/>
      <c r="Z609" s="1333"/>
      <c r="AA609" s="1333"/>
      <c r="AB609" s="1333"/>
      <c r="AC609" s="1333"/>
      <c r="AD609" s="1333"/>
      <c r="AE609" s="1333"/>
      <c r="AF609" s="1333"/>
      <c r="AG609" s="1333"/>
      <c r="AH609" s="1333"/>
      <c r="AI609" s="1333"/>
    </row>
    <row r="610" spans="1:35" x14ac:dyDescent="0.25">
      <c r="A610" s="1331"/>
      <c r="B610" s="1284"/>
      <c r="C610" s="1291"/>
      <c r="D610" s="1284"/>
      <c r="E610" s="1303"/>
      <c r="F610" s="1364"/>
      <c r="G610" s="1291"/>
      <c r="H610" s="1284"/>
      <c r="I610" s="1333"/>
      <c r="J610" s="1333"/>
      <c r="K610" s="1419"/>
      <c r="L610" s="1333"/>
      <c r="M610" s="1333"/>
      <c r="N610" s="1333"/>
      <c r="O610" s="1333"/>
      <c r="P610" s="1333"/>
      <c r="Q610" s="1333"/>
      <c r="R610" s="1333"/>
      <c r="S610" s="1333"/>
      <c r="T610" s="1333"/>
      <c r="U610" s="1333"/>
      <c r="V610" s="1333"/>
      <c r="W610" s="1333"/>
      <c r="X610" s="1333"/>
      <c r="Y610" s="1333"/>
      <c r="Z610" s="1333"/>
      <c r="AA610" s="1333"/>
      <c r="AB610" s="1333"/>
      <c r="AC610" s="1333"/>
      <c r="AD610" s="1333"/>
      <c r="AE610" s="1333"/>
      <c r="AF610" s="1333"/>
      <c r="AG610" s="1333"/>
      <c r="AH610" s="1333"/>
      <c r="AI610" s="1333"/>
    </row>
    <row r="611" spans="1:35" x14ac:dyDescent="0.25">
      <c r="A611" s="1331"/>
      <c r="B611" s="1284"/>
      <c r="C611" s="1291"/>
      <c r="D611" s="1284"/>
      <c r="E611" s="1303"/>
      <c r="F611" s="1364"/>
      <c r="G611" s="1291"/>
      <c r="H611" s="1284"/>
      <c r="I611" s="1333"/>
      <c r="J611" s="1333"/>
      <c r="K611" s="1419"/>
      <c r="L611" s="1333"/>
      <c r="M611" s="1333"/>
      <c r="N611" s="1333"/>
      <c r="O611" s="1333"/>
      <c r="P611" s="1333"/>
      <c r="Q611" s="1333"/>
      <c r="R611" s="1333"/>
      <c r="S611" s="1333"/>
      <c r="T611" s="1333"/>
      <c r="U611" s="1333"/>
      <c r="V611" s="1333"/>
      <c r="W611" s="1333"/>
      <c r="X611" s="1333"/>
      <c r="Y611" s="1333"/>
      <c r="Z611" s="1333"/>
      <c r="AA611" s="1333"/>
      <c r="AB611" s="1333"/>
      <c r="AC611" s="1333"/>
      <c r="AD611" s="1333"/>
      <c r="AE611" s="1333"/>
      <c r="AF611" s="1333"/>
      <c r="AG611" s="1333"/>
      <c r="AH611" s="1333"/>
      <c r="AI611" s="1333"/>
    </row>
    <row r="612" spans="1:35" x14ac:dyDescent="0.25">
      <c r="A612" s="1331"/>
      <c r="B612" s="1284"/>
      <c r="C612" s="1291"/>
      <c r="D612" s="1284"/>
      <c r="E612" s="1303"/>
      <c r="F612" s="1364"/>
      <c r="G612" s="1291"/>
      <c r="H612" s="1284"/>
      <c r="I612" s="1333"/>
      <c r="J612" s="1333"/>
      <c r="K612" s="1419"/>
      <c r="L612" s="1333"/>
      <c r="M612" s="1333"/>
      <c r="N612" s="1333"/>
      <c r="O612" s="1333"/>
      <c r="P612" s="1333"/>
      <c r="Q612" s="1333"/>
      <c r="R612" s="1333"/>
      <c r="S612" s="1333"/>
      <c r="T612" s="1333"/>
      <c r="U612" s="1333"/>
      <c r="V612" s="1333"/>
      <c r="W612" s="1333"/>
      <c r="X612" s="1333"/>
      <c r="Y612" s="1333"/>
      <c r="Z612" s="1333"/>
      <c r="AA612" s="1333"/>
      <c r="AB612" s="1333"/>
      <c r="AC612" s="1333"/>
      <c r="AD612" s="1333"/>
      <c r="AE612" s="1333"/>
      <c r="AF612" s="1333"/>
      <c r="AG612" s="1333"/>
      <c r="AH612" s="1333"/>
      <c r="AI612" s="1333"/>
    </row>
    <row r="613" spans="1:35" x14ac:dyDescent="0.25">
      <c r="A613" s="1331"/>
      <c r="B613" s="1284"/>
      <c r="C613" s="1291"/>
      <c r="D613" s="1284"/>
      <c r="E613" s="1303"/>
      <c r="F613" s="1364"/>
      <c r="G613" s="1291"/>
      <c r="H613" s="1284"/>
      <c r="I613" s="1333"/>
      <c r="J613" s="1333"/>
      <c r="K613" s="1419"/>
      <c r="L613" s="1333"/>
      <c r="M613" s="1333"/>
      <c r="N613" s="1333"/>
      <c r="O613" s="1333"/>
      <c r="P613" s="1333"/>
      <c r="Q613" s="1333"/>
      <c r="R613" s="1333"/>
      <c r="S613" s="1333"/>
      <c r="T613" s="1333"/>
      <c r="U613" s="1333"/>
      <c r="V613" s="1333"/>
      <c r="W613" s="1333"/>
      <c r="X613" s="1333"/>
      <c r="Y613" s="1333"/>
      <c r="Z613" s="1333"/>
      <c r="AA613" s="1333"/>
      <c r="AB613" s="1333"/>
      <c r="AC613" s="1333"/>
      <c r="AD613" s="1333"/>
      <c r="AE613" s="1333"/>
      <c r="AF613" s="1333"/>
      <c r="AG613" s="1333"/>
      <c r="AH613" s="1333"/>
      <c r="AI613" s="1333"/>
    </row>
    <row r="614" spans="1:35" x14ac:dyDescent="0.25">
      <c r="A614" s="1331"/>
      <c r="B614" s="1284"/>
      <c r="C614" s="1291"/>
      <c r="D614" s="1284"/>
      <c r="E614" s="1303"/>
      <c r="F614" s="1364"/>
      <c r="G614" s="1291"/>
      <c r="H614" s="1284"/>
      <c r="I614" s="1333"/>
      <c r="J614" s="1333"/>
      <c r="K614" s="1419"/>
      <c r="L614" s="1333"/>
      <c r="M614" s="1333"/>
      <c r="N614" s="1333"/>
      <c r="O614" s="1333"/>
      <c r="P614" s="1333"/>
      <c r="Q614" s="1333"/>
      <c r="R614" s="1333"/>
      <c r="S614" s="1333"/>
      <c r="T614" s="1333"/>
      <c r="U614" s="1333"/>
      <c r="V614" s="1333"/>
      <c r="W614" s="1333"/>
      <c r="X614" s="1333"/>
      <c r="Y614" s="1333"/>
      <c r="Z614" s="1333"/>
      <c r="AA614" s="1333"/>
      <c r="AB614" s="1333"/>
      <c r="AC614" s="1333"/>
      <c r="AD614" s="1333"/>
      <c r="AE614" s="1333"/>
      <c r="AF614" s="1333"/>
      <c r="AG614" s="1333"/>
      <c r="AH614" s="1333"/>
      <c r="AI614" s="1333"/>
    </row>
    <row r="615" spans="1:35" x14ac:dyDescent="0.25">
      <c r="A615" s="1331"/>
      <c r="B615" s="1284"/>
      <c r="C615" s="1291"/>
      <c r="D615" s="1284"/>
      <c r="E615" s="1303"/>
      <c r="F615" s="1364"/>
      <c r="G615" s="1291"/>
      <c r="H615" s="1284"/>
      <c r="I615" s="1333"/>
      <c r="J615" s="1333"/>
      <c r="K615" s="1419"/>
      <c r="L615" s="1333"/>
      <c r="M615" s="1333"/>
      <c r="N615" s="1333"/>
      <c r="O615" s="1333"/>
      <c r="P615" s="1333"/>
      <c r="Q615" s="1333"/>
      <c r="R615" s="1333"/>
      <c r="S615" s="1333"/>
      <c r="T615" s="1333"/>
      <c r="U615" s="1333"/>
      <c r="V615" s="1333"/>
      <c r="W615" s="1333"/>
      <c r="X615" s="1333"/>
      <c r="Y615" s="1333"/>
      <c r="Z615" s="1333"/>
      <c r="AA615" s="1333"/>
      <c r="AB615" s="1333"/>
      <c r="AC615" s="1333"/>
      <c r="AD615" s="1333"/>
      <c r="AE615" s="1333"/>
      <c r="AF615" s="1333"/>
      <c r="AG615" s="1333"/>
      <c r="AH615" s="1333"/>
      <c r="AI615" s="1333"/>
    </row>
    <row r="616" spans="1:35" x14ac:dyDescent="0.25">
      <c r="A616" s="1331"/>
      <c r="B616" s="1284"/>
      <c r="C616" s="1291"/>
      <c r="D616" s="1284"/>
      <c r="E616" s="1303"/>
      <c r="F616" s="1364"/>
      <c r="G616" s="1291"/>
      <c r="H616" s="1284"/>
      <c r="I616" s="1333"/>
      <c r="J616" s="1333"/>
      <c r="K616" s="1419"/>
      <c r="L616" s="1333"/>
      <c r="M616" s="1333"/>
      <c r="N616" s="1333"/>
      <c r="O616" s="1333"/>
      <c r="P616" s="1333"/>
      <c r="Q616" s="1333"/>
      <c r="R616" s="1333"/>
      <c r="S616" s="1333"/>
      <c r="T616" s="1333"/>
      <c r="U616" s="1333"/>
      <c r="V616" s="1333"/>
      <c r="W616" s="1333"/>
      <c r="X616" s="1333"/>
      <c r="Y616" s="1333"/>
      <c r="Z616" s="1333"/>
      <c r="AA616" s="1333"/>
      <c r="AB616" s="1333"/>
      <c r="AC616" s="1333"/>
      <c r="AD616" s="1333"/>
      <c r="AE616" s="1333"/>
      <c r="AF616" s="1333"/>
      <c r="AG616" s="1333"/>
      <c r="AH616" s="1333"/>
      <c r="AI616" s="1333"/>
    </row>
    <row r="617" spans="1:35" x14ac:dyDescent="0.25">
      <c r="A617" s="1331"/>
      <c r="B617" s="1284"/>
      <c r="C617" s="1291"/>
      <c r="D617" s="1284"/>
      <c r="E617" s="1303"/>
      <c r="F617" s="1364"/>
      <c r="G617" s="1291"/>
      <c r="H617" s="1284"/>
      <c r="I617" s="1333"/>
      <c r="J617" s="1333"/>
      <c r="K617" s="1419"/>
      <c r="L617" s="1333"/>
      <c r="M617" s="1333"/>
      <c r="N617" s="1333"/>
      <c r="O617" s="1333"/>
      <c r="P617" s="1333"/>
      <c r="Q617" s="1333"/>
      <c r="R617" s="1333"/>
      <c r="S617" s="1333"/>
      <c r="T617" s="1333"/>
      <c r="U617" s="1333"/>
      <c r="V617" s="1333"/>
      <c r="W617" s="1333"/>
      <c r="X617" s="1333"/>
      <c r="Y617" s="1333"/>
      <c r="Z617" s="1333"/>
      <c r="AA617" s="1333"/>
      <c r="AB617" s="1333"/>
      <c r="AC617" s="1333"/>
      <c r="AD617" s="1333"/>
      <c r="AE617" s="1333"/>
      <c r="AF617" s="1333"/>
      <c r="AG617" s="1333"/>
      <c r="AH617" s="1333"/>
      <c r="AI617" s="1333"/>
    </row>
    <row r="618" spans="1:35" x14ac:dyDescent="0.25">
      <c r="A618" s="1331"/>
      <c r="B618" s="1284"/>
      <c r="C618" s="1291"/>
      <c r="D618" s="1284"/>
      <c r="E618" s="1303"/>
      <c r="F618" s="1364"/>
      <c r="G618" s="1291"/>
      <c r="H618" s="1284"/>
      <c r="I618" s="1333"/>
      <c r="J618" s="1333"/>
      <c r="K618" s="1419"/>
      <c r="L618" s="1333"/>
      <c r="M618" s="1333"/>
      <c r="N618" s="1333"/>
      <c r="O618" s="1333"/>
      <c r="P618" s="1333"/>
      <c r="Q618" s="1333"/>
      <c r="R618" s="1333"/>
      <c r="S618" s="1333"/>
      <c r="T618" s="1333"/>
      <c r="U618" s="1333"/>
      <c r="V618" s="1333"/>
      <c r="W618" s="1333"/>
      <c r="X618" s="1333"/>
      <c r="Y618" s="1333"/>
      <c r="Z618" s="1333"/>
      <c r="AA618" s="1333"/>
      <c r="AB618" s="1333"/>
      <c r="AC618" s="1333"/>
      <c r="AD618" s="1333"/>
      <c r="AE618" s="1333"/>
      <c r="AF618" s="1333"/>
      <c r="AG618" s="1333"/>
      <c r="AH618" s="1333"/>
      <c r="AI618" s="1333"/>
    </row>
    <row r="619" spans="1:35" x14ac:dyDescent="0.25">
      <c r="A619" s="1331"/>
      <c r="B619" s="1284"/>
      <c r="C619" s="1291"/>
      <c r="D619" s="1284"/>
      <c r="E619" s="1303"/>
      <c r="F619" s="1364"/>
      <c r="G619" s="1291"/>
      <c r="H619" s="1284"/>
      <c r="I619" s="1333"/>
      <c r="J619" s="1333"/>
      <c r="K619" s="1419"/>
      <c r="L619" s="1333"/>
      <c r="M619" s="1333"/>
      <c r="N619" s="1333"/>
      <c r="O619" s="1333"/>
      <c r="P619" s="1333"/>
      <c r="Q619" s="1333"/>
      <c r="R619" s="1333"/>
      <c r="S619" s="1333"/>
      <c r="T619" s="1333"/>
      <c r="U619" s="1333"/>
      <c r="V619" s="1333"/>
      <c r="W619" s="1333"/>
      <c r="X619" s="1333"/>
      <c r="Y619" s="1333"/>
      <c r="Z619" s="1333"/>
      <c r="AA619" s="1333"/>
      <c r="AB619" s="1333"/>
      <c r="AC619" s="1333"/>
      <c r="AD619" s="1333"/>
      <c r="AE619" s="1333"/>
      <c r="AF619" s="1333"/>
      <c r="AG619" s="1333"/>
      <c r="AH619" s="1333"/>
      <c r="AI619" s="1333"/>
    </row>
    <row r="620" spans="1:35" x14ac:dyDescent="0.25">
      <c r="A620" s="1331"/>
      <c r="B620" s="1284"/>
      <c r="C620" s="1291"/>
      <c r="D620" s="1284"/>
      <c r="E620" s="1303"/>
      <c r="F620" s="1364"/>
      <c r="G620" s="1291"/>
      <c r="H620" s="1284"/>
      <c r="I620" s="1333"/>
      <c r="J620" s="1333"/>
      <c r="K620" s="1419"/>
      <c r="L620" s="1333"/>
      <c r="M620" s="1333"/>
      <c r="N620" s="1333"/>
      <c r="O620" s="1333"/>
      <c r="P620" s="1333"/>
      <c r="Q620" s="1333"/>
      <c r="R620" s="1333"/>
      <c r="S620" s="1333"/>
      <c r="T620" s="1333"/>
      <c r="U620" s="1333"/>
      <c r="V620" s="1333"/>
      <c r="W620" s="1333"/>
      <c r="X620" s="1333"/>
      <c r="Y620" s="1333"/>
      <c r="Z620" s="1333"/>
      <c r="AA620" s="1333"/>
      <c r="AB620" s="1333"/>
      <c r="AC620" s="1333"/>
      <c r="AD620" s="1333"/>
      <c r="AE620" s="1333"/>
      <c r="AF620" s="1333"/>
      <c r="AG620" s="1333"/>
      <c r="AH620" s="1333"/>
      <c r="AI620" s="1333"/>
    </row>
    <row r="621" spans="1:35" x14ac:dyDescent="0.25">
      <c r="A621" s="1331"/>
      <c r="B621" s="1284"/>
      <c r="C621" s="1291"/>
      <c r="D621" s="1284"/>
      <c r="E621" s="1303"/>
      <c r="F621" s="1364"/>
      <c r="G621" s="1291"/>
      <c r="H621" s="1284"/>
      <c r="I621" s="1333"/>
      <c r="J621" s="1333"/>
      <c r="K621" s="1419"/>
      <c r="L621" s="1333"/>
      <c r="M621" s="1333"/>
      <c r="N621" s="1333"/>
      <c r="O621" s="1333"/>
      <c r="P621" s="1333"/>
      <c r="Q621" s="1333"/>
      <c r="R621" s="1333"/>
      <c r="S621" s="1333"/>
      <c r="T621" s="1333"/>
      <c r="U621" s="1333"/>
      <c r="V621" s="1333"/>
      <c r="W621" s="1333"/>
      <c r="X621" s="1333"/>
      <c r="Y621" s="1333"/>
      <c r="Z621" s="1333"/>
      <c r="AA621" s="1333"/>
      <c r="AB621" s="1333"/>
      <c r="AC621" s="1333"/>
      <c r="AD621" s="1333"/>
      <c r="AE621" s="1333"/>
      <c r="AF621" s="1333"/>
      <c r="AG621" s="1333"/>
      <c r="AH621" s="1333"/>
      <c r="AI621" s="1333"/>
    </row>
    <row r="622" spans="1:35" x14ac:dyDescent="0.25">
      <c r="A622" s="1331"/>
      <c r="B622" s="1284"/>
      <c r="C622" s="1291"/>
      <c r="D622" s="1284"/>
      <c r="E622" s="1303"/>
      <c r="F622" s="1364"/>
      <c r="G622" s="1291"/>
      <c r="H622" s="1284"/>
      <c r="I622" s="1333"/>
      <c r="J622" s="1333"/>
      <c r="K622" s="1333"/>
      <c r="L622" s="1333"/>
      <c r="M622" s="1333"/>
      <c r="N622" s="1333"/>
      <c r="O622" s="1333"/>
      <c r="P622" s="1333"/>
      <c r="Q622" s="1333"/>
      <c r="R622" s="1333"/>
      <c r="S622" s="1333"/>
      <c r="T622" s="1333"/>
      <c r="U622" s="1333"/>
      <c r="V622" s="1333"/>
      <c r="W622" s="1333"/>
      <c r="X622" s="1333"/>
      <c r="Y622" s="1333"/>
      <c r="Z622" s="1333"/>
      <c r="AA622" s="1333"/>
      <c r="AB622" s="1333"/>
      <c r="AC622" s="1333"/>
      <c r="AD622" s="1333"/>
      <c r="AE622" s="1333"/>
      <c r="AF622" s="1333"/>
      <c r="AG622" s="1333"/>
      <c r="AH622" s="1333"/>
      <c r="AI622" s="1333"/>
    </row>
    <row r="623" spans="1:35" x14ac:dyDescent="0.25">
      <c r="A623" s="1331"/>
      <c r="B623" s="1284"/>
      <c r="C623" s="1291"/>
      <c r="D623" s="1284"/>
      <c r="E623" s="1303"/>
      <c r="F623" s="1364"/>
      <c r="G623" s="1291"/>
      <c r="H623" s="1284"/>
      <c r="I623" s="1333"/>
      <c r="J623" s="1333"/>
      <c r="K623" s="1333"/>
      <c r="L623" s="1333"/>
      <c r="M623" s="1333"/>
      <c r="N623" s="1333"/>
      <c r="O623" s="1333"/>
      <c r="P623" s="1333"/>
      <c r="Q623" s="1333"/>
      <c r="R623" s="1333"/>
      <c r="S623" s="1333"/>
      <c r="T623" s="1333"/>
      <c r="U623" s="1333"/>
      <c r="V623" s="1333"/>
      <c r="W623" s="1333"/>
      <c r="X623" s="1333"/>
      <c r="Y623" s="1333"/>
      <c r="Z623" s="1333"/>
      <c r="AA623" s="1333"/>
      <c r="AB623" s="1333"/>
      <c r="AC623" s="1333"/>
      <c r="AD623" s="1333"/>
      <c r="AE623" s="1333"/>
      <c r="AF623" s="1333"/>
      <c r="AG623" s="1333"/>
      <c r="AH623" s="1333"/>
      <c r="AI623" s="1333"/>
    </row>
    <row r="624" spans="1:35" x14ac:dyDescent="0.25">
      <c r="A624" s="1331"/>
      <c r="B624" s="1284"/>
      <c r="C624" s="1291"/>
      <c r="D624" s="1284"/>
      <c r="E624" s="1303"/>
      <c r="F624" s="1364"/>
      <c r="G624" s="1291"/>
      <c r="H624" s="1284"/>
      <c r="I624" s="1333"/>
      <c r="J624" s="1333"/>
      <c r="K624" s="1333"/>
      <c r="L624" s="1333"/>
      <c r="M624" s="1333"/>
      <c r="N624" s="1333"/>
      <c r="O624" s="1333"/>
      <c r="P624" s="1333"/>
      <c r="Q624" s="1333"/>
      <c r="R624" s="1333"/>
      <c r="S624" s="1333"/>
      <c r="T624" s="1333"/>
      <c r="U624" s="1333"/>
      <c r="V624" s="1333"/>
      <c r="W624" s="1333"/>
      <c r="X624" s="1333"/>
      <c r="Y624" s="1333"/>
      <c r="Z624" s="1333"/>
      <c r="AA624" s="1333"/>
      <c r="AB624" s="1333"/>
      <c r="AC624" s="1333"/>
      <c r="AD624" s="1333"/>
      <c r="AE624" s="1333"/>
      <c r="AF624" s="1333"/>
      <c r="AG624" s="1333"/>
      <c r="AH624" s="1333"/>
      <c r="AI624" s="1333"/>
    </row>
    <row r="625" spans="1:35" x14ac:dyDescent="0.25">
      <c r="A625" s="1331"/>
      <c r="B625" s="1284"/>
      <c r="C625" s="1291"/>
      <c r="D625" s="1284"/>
      <c r="E625" s="1303"/>
      <c r="F625" s="1364"/>
      <c r="G625" s="1291"/>
      <c r="H625" s="1284"/>
      <c r="I625" s="1333"/>
      <c r="J625" s="1333"/>
      <c r="K625" s="1333"/>
      <c r="L625" s="1333"/>
      <c r="M625" s="1333"/>
      <c r="N625" s="1333"/>
      <c r="O625" s="1333"/>
      <c r="P625" s="1333"/>
      <c r="Q625" s="1333"/>
      <c r="R625" s="1333"/>
      <c r="S625" s="1333"/>
      <c r="T625" s="1333"/>
      <c r="U625" s="1333"/>
      <c r="V625" s="1333"/>
      <c r="W625" s="1333"/>
      <c r="X625" s="1333"/>
      <c r="Y625" s="1333"/>
      <c r="Z625" s="1333"/>
      <c r="AA625" s="1333"/>
      <c r="AB625" s="1333"/>
      <c r="AC625" s="1333"/>
      <c r="AD625" s="1333"/>
      <c r="AE625" s="1333"/>
      <c r="AF625" s="1333"/>
      <c r="AG625" s="1333"/>
      <c r="AH625" s="1333"/>
      <c r="AI625" s="1333"/>
    </row>
    <row r="626" spans="1:35" x14ac:dyDescent="0.25">
      <c r="A626" s="1331"/>
      <c r="B626" s="1284"/>
      <c r="C626" s="1291"/>
      <c r="D626" s="1284"/>
      <c r="E626" s="1303"/>
      <c r="F626" s="1364"/>
      <c r="G626" s="1291"/>
      <c r="H626" s="1284"/>
      <c r="I626" s="1333"/>
      <c r="J626" s="1333"/>
      <c r="K626" s="1333"/>
      <c r="L626" s="1333"/>
      <c r="M626" s="1333"/>
      <c r="N626" s="1333"/>
      <c r="O626" s="1333"/>
      <c r="P626" s="1333"/>
      <c r="Q626" s="1333"/>
      <c r="R626" s="1333"/>
      <c r="S626" s="1333"/>
      <c r="T626" s="1333"/>
      <c r="U626" s="1333"/>
      <c r="V626" s="1333"/>
      <c r="W626" s="1333"/>
      <c r="X626" s="1333"/>
      <c r="Y626" s="1333"/>
      <c r="Z626" s="1333"/>
      <c r="AA626" s="1333"/>
      <c r="AB626" s="1333"/>
      <c r="AC626" s="1333"/>
      <c r="AD626" s="1333"/>
      <c r="AE626" s="1333"/>
      <c r="AF626" s="1333"/>
      <c r="AG626" s="1333"/>
      <c r="AH626" s="1333"/>
      <c r="AI626" s="1333"/>
    </row>
    <row r="627" spans="1:35" x14ac:dyDescent="0.25">
      <c r="A627" s="1331"/>
      <c r="B627" s="1284"/>
      <c r="C627" s="1291"/>
      <c r="D627" s="1284"/>
      <c r="E627" s="1303"/>
      <c r="F627" s="1364"/>
      <c r="G627" s="1291"/>
      <c r="H627" s="1284"/>
      <c r="I627" s="1333"/>
      <c r="J627" s="1333"/>
      <c r="K627" s="1333"/>
      <c r="L627" s="1333"/>
      <c r="M627" s="1333"/>
      <c r="N627" s="1333"/>
      <c r="O627" s="1333"/>
      <c r="P627" s="1333"/>
      <c r="Q627" s="1333"/>
      <c r="R627" s="1333"/>
      <c r="S627" s="1333"/>
      <c r="T627" s="1333"/>
      <c r="U627" s="1333"/>
      <c r="V627" s="1333"/>
      <c r="W627" s="1333"/>
      <c r="X627" s="1333"/>
      <c r="Y627" s="1333"/>
      <c r="Z627" s="1333"/>
      <c r="AA627" s="1333"/>
      <c r="AB627" s="1333"/>
      <c r="AC627" s="1333"/>
      <c r="AD627" s="1333"/>
      <c r="AE627" s="1333"/>
      <c r="AF627" s="1333"/>
      <c r="AG627" s="1333"/>
      <c r="AH627" s="1333"/>
      <c r="AI627" s="1333"/>
    </row>
    <row r="628" spans="1:35" x14ac:dyDescent="0.25">
      <c r="A628" s="1331"/>
      <c r="B628" s="1284"/>
      <c r="C628" s="1291"/>
      <c r="D628" s="1284"/>
      <c r="E628" s="1303"/>
      <c r="F628" s="1364"/>
      <c r="G628" s="1291"/>
      <c r="H628" s="1284"/>
      <c r="I628" s="1333"/>
      <c r="J628" s="1333"/>
      <c r="K628" s="1333"/>
      <c r="L628" s="1333"/>
      <c r="M628" s="1333"/>
      <c r="N628" s="1333"/>
      <c r="O628" s="1333"/>
      <c r="P628" s="1333"/>
      <c r="Q628" s="1333"/>
      <c r="R628" s="1333"/>
      <c r="S628" s="1333"/>
      <c r="T628" s="1333"/>
      <c r="U628" s="1333"/>
      <c r="V628" s="1333"/>
      <c r="W628" s="1333"/>
      <c r="X628" s="1333"/>
      <c r="Y628" s="1333"/>
      <c r="Z628" s="1333"/>
      <c r="AA628" s="1333"/>
      <c r="AB628" s="1333"/>
      <c r="AC628" s="1333"/>
      <c r="AD628" s="1333"/>
      <c r="AE628" s="1333"/>
      <c r="AF628" s="1333"/>
      <c r="AG628" s="1333"/>
      <c r="AH628" s="1333"/>
      <c r="AI628" s="1333"/>
    </row>
    <row r="629" spans="1:35" x14ac:dyDescent="0.25">
      <c r="A629" s="1331"/>
      <c r="B629" s="1284"/>
      <c r="C629" s="1291"/>
      <c r="D629" s="1284"/>
      <c r="E629" s="1303"/>
      <c r="F629" s="1364"/>
      <c r="G629" s="1291"/>
      <c r="H629" s="1284"/>
      <c r="I629" s="1333"/>
      <c r="J629" s="1333"/>
      <c r="K629" s="1333"/>
      <c r="L629" s="1333"/>
      <c r="M629" s="1333"/>
      <c r="N629" s="1333"/>
      <c r="O629" s="1333"/>
      <c r="P629" s="1333"/>
      <c r="Q629" s="1333"/>
      <c r="R629" s="1333"/>
      <c r="S629" s="1333"/>
      <c r="T629" s="1333"/>
      <c r="U629" s="1333"/>
      <c r="V629" s="1333"/>
      <c r="W629" s="1333"/>
      <c r="X629" s="1333"/>
      <c r="Y629" s="1333"/>
      <c r="Z629" s="1333"/>
      <c r="AA629" s="1333"/>
      <c r="AB629" s="1333"/>
      <c r="AC629" s="1333"/>
      <c r="AD629" s="1333"/>
      <c r="AE629" s="1333"/>
      <c r="AF629" s="1333"/>
      <c r="AG629" s="1333"/>
      <c r="AH629" s="1333"/>
      <c r="AI629" s="1333"/>
    </row>
    <row r="630" spans="1:35" x14ac:dyDescent="0.25">
      <c r="A630" s="1331"/>
      <c r="B630" s="1284"/>
      <c r="C630" s="1284"/>
      <c r="D630" s="1364"/>
      <c r="E630" s="1364"/>
      <c r="F630" s="1364"/>
      <c r="G630" s="1365"/>
      <c r="H630" s="1333"/>
      <c r="I630" s="1333"/>
      <c r="J630" s="1333"/>
      <c r="K630" s="1333"/>
      <c r="L630" s="1333"/>
      <c r="M630" s="1333"/>
      <c r="N630" s="1333"/>
      <c r="O630" s="1333"/>
      <c r="P630" s="1333"/>
      <c r="Q630" s="1333"/>
      <c r="R630" s="1333"/>
      <c r="S630" s="1333"/>
      <c r="T630" s="1333"/>
      <c r="U630" s="1333"/>
      <c r="V630" s="1333"/>
      <c r="W630" s="1333"/>
      <c r="X630" s="1333"/>
      <c r="Y630" s="1333"/>
      <c r="Z630" s="1333"/>
      <c r="AA630" s="1333"/>
      <c r="AB630" s="1333"/>
      <c r="AC630" s="1333"/>
      <c r="AD630" s="1333"/>
      <c r="AE630" s="1333"/>
      <c r="AF630" s="1333"/>
      <c r="AG630" s="1333"/>
      <c r="AH630" s="1333"/>
      <c r="AI630" s="1333"/>
    </row>
    <row r="631" spans="1:35" x14ac:dyDescent="0.25">
      <c r="A631" s="1331"/>
      <c r="B631" s="1284"/>
      <c r="C631" s="1284"/>
      <c r="D631" s="1364"/>
      <c r="E631" s="1364"/>
      <c r="F631" s="1364"/>
      <c r="G631" s="1365"/>
      <c r="H631" s="1333"/>
      <c r="I631" s="1333"/>
      <c r="J631" s="1333"/>
      <c r="K631" s="1333"/>
      <c r="L631" s="1333"/>
      <c r="M631" s="1333"/>
      <c r="N631" s="1333"/>
      <c r="O631" s="1333"/>
      <c r="P631" s="1333"/>
      <c r="Q631" s="1333"/>
      <c r="R631" s="1333"/>
      <c r="S631" s="1333"/>
      <c r="T631" s="1333"/>
      <c r="U631" s="1333"/>
      <c r="V631" s="1333"/>
      <c r="W631" s="1333"/>
      <c r="X631" s="1333"/>
      <c r="Y631" s="1333"/>
      <c r="Z631" s="1333"/>
      <c r="AA631" s="1333"/>
      <c r="AB631" s="1333"/>
      <c r="AC631" s="1333"/>
      <c r="AD631" s="1333"/>
      <c r="AE631" s="1333"/>
      <c r="AF631" s="1333"/>
      <c r="AG631" s="1333"/>
      <c r="AH631" s="1333"/>
      <c r="AI631" s="1333"/>
    </row>
    <row r="632" spans="1:35" x14ac:dyDescent="0.25">
      <c r="A632" s="1331"/>
      <c r="B632" s="1284"/>
      <c r="C632" s="1284"/>
      <c r="D632" s="1364"/>
      <c r="E632" s="1364"/>
      <c r="F632" s="1364"/>
      <c r="G632" s="1365"/>
      <c r="H632" s="1333"/>
      <c r="I632" s="1333"/>
      <c r="J632" s="1333"/>
      <c r="K632" s="1333"/>
      <c r="L632" s="1333"/>
      <c r="M632" s="1333"/>
      <c r="N632" s="1333"/>
      <c r="O632" s="1333"/>
      <c r="P632" s="1333"/>
      <c r="Q632" s="1333"/>
      <c r="R632" s="1333"/>
      <c r="S632" s="1333"/>
      <c r="T632" s="1333"/>
      <c r="U632" s="1333"/>
      <c r="V632" s="1333"/>
      <c r="W632" s="1333"/>
      <c r="X632" s="1333"/>
      <c r="Y632" s="1333"/>
      <c r="Z632" s="1333"/>
      <c r="AA632" s="1333"/>
      <c r="AB632" s="1333"/>
      <c r="AC632" s="1333"/>
      <c r="AD632" s="1333"/>
      <c r="AE632" s="1333"/>
      <c r="AF632" s="1333"/>
      <c r="AG632" s="1333"/>
      <c r="AH632" s="1333"/>
      <c r="AI632" s="1333"/>
    </row>
    <row r="633" spans="1:35" x14ac:dyDescent="0.25">
      <c r="A633" s="1331"/>
      <c r="B633" s="1284"/>
      <c r="C633" s="1284"/>
      <c r="D633" s="1364"/>
      <c r="E633" s="1364"/>
      <c r="F633" s="1364"/>
      <c r="G633" s="1365"/>
      <c r="H633" s="1333"/>
      <c r="I633" s="1333"/>
      <c r="J633" s="1333"/>
      <c r="K633" s="1333"/>
      <c r="L633" s="1333"/>
      <c r="M633" s="1333"/>
      <c r="N633" s="1333"/>
      <c r="O633" s="1333"/>
      <c r="P633" s="1333"/>
      <c r="Q633" s="1333"/>
      <c r="R633" s="1333"/>
      <c r="S633" s="1333"/>
      <c r="T633" s="1333"/>
      <c r="U633" s="1333"/>
      <c r="V633" s="1333"/>
      <c r="W633" s="1333"/>
      <c r="X633" s="1333"/>
      <c r="Y633" s="1333"/>
      <c r="Z633" s="1333"/>
      <c r="AA633" s="1333"/>
      <c r="AB633" s="1333"/>
      <c r="AC633" s="1333"/>
      <c r="AD633" s="1333"/>
      <c r="AE633" s="1333"/>
      <c r="AF633" s="1333"/>
      <c r="AG633" s="1333"/>
      <c r="AH633" s="1333"/>
      <c r="AI633" s="1333"/>
    </row>
    <row r="634" spans="1:35" x14ac:dyDescent="0.25">
      <c r="A634" s="1331"/>
      <c r="B634" s="1284"/>
      <c r="C634" s="1284"/>
      <c r="D634" s="1364"/>
      <c r="E634" s="1364"/>
      <c r="F634" s="1364"/>
      <c r="G634" s="1365"/>
      <c r="H634" s="1333"/>
      <c r="I634" s="1333"/>
      <c r="J634" s="1333"/>
      <c r="K634" s="1333"/>
      <c r="L634" s="1333"/>
      <c r="M634" s="1333"/>
      <c r="N634" s="1333"/>
      <c r="O634" s="1333"/>
      <c r="P634" s="1333"/>
      <c r="Q634" s="1333"/>
      <c r="R634" s="1333"/>
      <c r="S634" s="1333"/>
      <c r="T634" s="1333"/>
      <c r="U634" s="1333"/>
      <c r="V634" s="1333"/>
      <c r="W634" s="1333"/>
      <c r="X634" s="1333"/>
      <c r="Y634" s="1333"/>
      <c r="Z634" s="1333"/>
      <c r="AA634" s="1333"/>
      <c r="AB634" s="1333"/>
      <c r="AC634" s="1333"/>
      <c r="AD634" s="1333"/>
      <c r="AE634" s="1333"/>
      <c r="AF634" s="1333"/>
      <c r="AG634" s="1333"/>
      <c r="AH634" s="1333"/>
      <c r="AI634" s="1333"/>
    </row>
    <row r="635" spans="1:35" x14ac:dyDescent="0.25">
      <c r="A635" s="1331"/>
      <c r="B635" s="1284"/>
      <c r="C635" s="1284"/>
      <c r="D635" s="1364"/>
      <c r="E635" s="1364"/>
      <c r="F635" s="1364"/>
      <c r="G635" s="1365"/>
      <c r="H635" s="1333"/>
      <c r="I635" s="1333"/>
      <c r="J635" s="1333"/>
      <c r="K635" s="1333"/>
      <c r="L635" s="1333"/>
      <c r="M635" s="1333"/>
      <c r="N635" s="1333"/>
      <c r="O635" s="1333"/>
      <c r="P635" s="1333"/>
      <c r="Q635" s="1333"/>
      <c r="R635" s="1333"/>
      <c r="S635" s="1333"/>
      <c r="T635" s="1333"/>
      <c r="U635" s="1333"/>
      <c r="V635" s="1333"/>
      <c r="W635" s="1333"/>
      <c r="X635" s="1333"/>
      <c r="Y635" s="1333"/>
      <c r="Z635" s="1333"/>
      <c r="AA635" s="1333"/>
      <c r="AB635" s="1333"/>
      <c r="AC635" s="1333"/>
      <c r="AD635" s="1333"/>
      <c r="AE635" s="1333"/>
      <c r="AF635" s="1333"/>
      <c r="AG635" s="1333"/>
      <c r="AH635" s="1333"/>
      <c r="AI635" s="1333"/>
    </row>
    <row r="636" spans="1:35" x14ac:dyDescent="0.25">
      <c r="A636" s="1331"/>
      <c r="B636" s="1284"/>
      <c r="C636" s="1284"/>
      <c r="D636" s="1364"/>
      <c r="E636" s="1364"/>
      <c r="F636" s="1364"/>
      <c r="G636" s="1365"/>
      <c r="H636" s="1333"/>
      <c r="I636" s="1333"/>
      <c r="J636" s="1333"/>
      <c r="K636" s="1333"/>
      <c r="L636" s="1333"/>
      <c r="M636" s="1333"/>
      <c r="N636" s="1333"/>
      <c r="O636" s="1333"/>
      <c r="P636" s="1333"/>
      <c r="Q636" s="1333"/>
      <c r="R636" s="1333"/>
      <c r="S636" s="1333"/>
      <c r="T636" s="1333"/>
      <c r="U636" s="1333"/>
      <c r="V636" s="1333"/>
      <c r="W636" s="1333"/>
      <c r="X636" s="1333"/>
      <c r="Y636" s="1333"/>
      <c r="Z636" s="1333"/>
      <c r="AA636" s="1333"/>
      <c r="AB636" s="1333"/>
      <c r="AC636" s="1333"/>
      <c r="AD636" s="1333"/>
      <c r="AE636" s="1333"/>
      <c r="AF636" s="1333"/>
      <c r="AG636" s="1333"/>
      <c r="AH636" s="1333"/>
      <c r="AI636" s="1333"/>
    </row>
    <row r="637" spans="1:35" x14ac:dyDescent="0.25">
      <c r="A637" s="1331"/>
      <c r="B637" s="1284"/>
      <c r="C637" s="1284"/>
      <c r="D637" s="1364"/>
      <c r="E637" s="1364"/>
      <c r="F637" s="1364"/>
      <c r="G637" s="1365"/>
      <c r="H637" s="1333"/>
      <c r="I637" s="1333"/>
      <c r="J637" s="1333"/>
      <c r="K637" s="1333"/>
      <c r="L637" s="1333"/>
      <c r="M637" s="1333"/>
      <c r="N637" s="1333"/>
      <c r="O637" s="1333"/>
      <c r="P637" s="1333"/>
      <c r="Q637" s="1333"/>
      <c r="R637" s="1333"/>
      <c r="S637" s="1333"/>
      <c r="T637" s="1333"/>
      <c r="U637" s="1333"/>
      <c r="V637" s="1333"/>
      <c r="W637" s="1333"/>
      <c r="X637" s="1333"/>
      <c r="Y637" s="1333"/>
      <c r="Z637" s="1333"/>
      <c r="AA637" s="1333"/>
      <c r="AB637" s="1333"/>
      <c r="AC637" s="1333"/>
      <c r="AD637" s="1333"/>
      <c r="AE637" s="1333"/>
      <c r="AF637" s="1333"/>
      <c r="AG637" s="1333"/>
      <c r="AH637" s="1333"/>
      <c r="AI637" s="1333"/>
    </row>
    <row r="638" spans="1:35" x14ac:dyDescent="0.25">
      <c r="A638" s="1331"/>
      <c r="B638" s="1284"/>
      <c r="C638" s="1284"/>
      <c r="D638" s="1364"/>
      <c r="E638" s="1364"/>
      <c r="F638" s="1364"/>
      <c r="G638" s="1365"/>
      <c r="H638" s="1333"/>
      <c r="I638" s="1333"/>
      <c r="J638" s="1333"/>
      <c r="K638" s="1333"/>
      <c r="L638" s="1333"/>
      <c r="M638" s="1333"/>
      <c r="N638" s="1333"/>
      <c r="O638" s="1333"/>
      <c r="P638" s="1333"/>
      <c r="Q638" s="1333"/>
      <c r="R638" s="1333"/>
      <c r="S638" s="1333"/>
      <c r="T638" s="1333"/>
      <c r="U638" s="1333"/>
      <c r="V638" s="1333"/>
      <c r="W638" s="1333"/>
      <c r="X638" s="1333"/>
      <c r="Y638" s="1333"/>
      <c r="Z638" s="1333"/>
      <c r="AA638" s="1333"/>
      <c r="AB638" s="1333"/>
      <c r="AC638" s="1333"/>
      <c r="AD638" s="1333"/>
      <c r="AE638" s="1333"/>
      <c r="AF638" s="1333"/>
      <c r="AG638" s="1333"/>
      <c r="AH638" s="1333"/>
      <c r="AI638" s="1333"/>
    </row>
    <row r="639" spans="1:35" x14ac:dyDescent="0.25">
      <c r="A639" s="1331"/>
      <c r="B639" s="1284"/>
      <c r="C639" s="1284"/>
      <c r="D639" s="1364"/>
      <c r="E639" s="1364"/>
      <c r="F639" s="1364"/>
      <c r="G639" s="1365"/>
      <c r="H639" s="1333"/>
      <c r="I639" s="1333"/>
      <c r="J639" s="1333"/>
      <c r="K639" s="1333"/>
      <c r="L639" s="1333"/>
      <c r="M639" s="1333"/>
      <c r="N639" s="1333"/>
      <c r="O639" s="1333"/>
      <c r="P639" s="1333"/>
      <c r="Q639" s="1333"/>
      <c r="R639" s="1333"/>
      <c r="S639" s="1333"/>
      <c r="T639" s="1333"/>
      <c r="U639" s="1333"/>
      <c r="V639" s="1333"/>
      <c r="W639" s="1333"/>
      <c r="X639" s="1333"/>
      <c r="Y639" s="1333"/>
      <c r="Z639" s="1333"/>
      <c r="AA639" s="1333"/>
      <c r="AB639" s="1333"/>
      <c r="AC639" s="1333"/>
      <c r="AD639" s="1333"/>
      <c r="AE639" s="1333"/>
      <c r="AF639" s="1333"/>
      <c r="AG639" s="1333"/>
      <c r="AH639" s="1333"/>
      <c r="AI639" s="1333"/>
    </row>
    <row r="640" spans="1:35" x14ac:dyDescent="0.25">
      <c r="A640" s="1331"/>
      <c r="B640" s="1284"/>
      <c r="C640" s="1284"/>
      <c r="D640" s="1364"/>
      <c r="E640" s="1364"/>
      <c r="F640" s="1364"/>
      <c r="G640" s="1365"/>
      <c r="H640" s="1333"/>
      <c r="I640" s="1333"/>
      <c r="J640" s="1333"/>
      <c r="K640" s="1333"/>
      <c r="L640" s="1333"/>
      <c r="M640" s="1333"/>
      <c r="N640" s="1333"/>
      <c r="O640" s="1333"/>
      <c r="P640" s="1333"/>
      <c r="Q640" s="1333"/>
      <c r="R640" s="1333"/>
      <c r="S640" s="1333"/>
      <c r="T640" s="1333"/>
      <c r="U640" s="1333"/>
      <c r="V640" s="1333"/>
      <c r="W640" s="1333"/>
      <c r="X640" s="1333"/>
      <c r="Y640" s="1333"/>
      <c r="Z640" s="1333"/>
      <c r="AA640" s="1333"/>
      <c r="AB640" s="1333"/>
      <c r="AC640" s="1333"/>
      <c r="AD640" s="1333"/>
      <c r="AE640" s="1333"/>
      <c r="AF640" s="1333"/>
      <c r="AG640" s="1333"/>
      <c r="AH640" s="1333"/>
      <c r="AI640" s="1333"/>
    </row>
    <row r="641" spans="1:35" x14ac:dyDescent="0.25">
      <c r="A641" s="1331"/>
      <c r="B641" s="1284"/>
      <c r="C641" s="1284"/>
      <c r="D641" s="1364"/>
      <c r="E641" s="1364"/>
      <c r="F641" s="1364"/>
      <c r="G641" s="1365"/>
      <c r="H641" s="1333"/>
      <c r="I641" s="1333"/>
      <c r="J641" s="1333"/>
      <c r="K641" s="1333"/>
      <c r="L641" s="1333"/>
      <c r="M641" s="1333"/>
      <c r="N641" s="1333"/>
      <c r="O641" s="1333"/>
      <c r="P641" s="1333"/>
      <c r="Q641" s="1333"/>
      <c r="R641" s="1333"/>
      <c r="S641" s="1333"/>
      <c r="T641" s="1333"/>
      <c r="U641" s="1333"/>
      <c r="V641" s="1333"/>
      <c r="W641" s="1333"/>
      <c r="X641" s="1333"/>
      <c r="Y641" s="1333"/>
      <c r="Z641" s="1333"/>
      <c r="AA641" s="1333"/>
      <c r="AB641" s="1333"/>
      <c r="AC641" s="1333"/>
      <c r="AD641" s="1333"/>
      <c r="AE641" s="1333"/>
      <c r="AF641" s="1333"/>
      <c r="AG641" s="1333"/>
      <c r="AH641" s="1333"/>
      <c r="AI641" s="1333"/>
    </row>
    <row r="642" spans="1:35" x14ac:dyDescent="0.25">
      <c r="A642" s="1331"/>
      <c r="B642" s="1284"/>
      <c r="C642" s="1284"/>
      <c r="D642" s="1364"/>
      <c r="E642" s="1364"/>
      <c r="F642" s="1364"/>
      <c r="G642" s="1365"/>
      <c r="H642" s="1333"/>
      <c r="I642" s="1333"/>
      <c r="J642" s="1333"/>
      <c r="K642" s="1333"/>
      <c r="L642" s="1333"/>
      <c r="M642" s="1333"/>
      <c r="N642" s="1333"/>
      <c r="O642" s="1333"/>
      <c r="P642" s="1333"/>
      <c r="Q642" s="1333"/>
      <c r="R642" s="1333"/>
      <c r="S642" s="1333"/>
      <c r="T642" s="1333"/>
      <c r="U642" s="1333"/>
      <c r="V642" s="1333"/>
      <c r="W642" s="1333"/>
      <c r="X642" s="1333"/>
      <c r="Y642" s="1333"/>
      <c r="Z642" s="1333"/>
      <c r="AA642" s="1333"/>
      <c r="AB642" s="1333"/>
      <c r="AC642" s="1333"/>
      <c r="AD642" s="1333"/>
      <c r="AE642" s="1333"/>
      <c r="AF642" s="1333"/>
      <c r="AG642" s="1333"/>
      <c r="AH642" s="1333"/>
      <c r="AI642" s="1333"/>
    </row>
    <row r="643" spans="1:35" x14ac:dyDescent="0.25">
      <c r="A643" s="1331"/>
      <c r="B643" s="1284"/>
      <c r="C643" s="1284"/>
      <c r="D643" s="1364"/>
      <c r="E643" s="1364"/>
      <c r="F643" s="1364"/>
      <c r="G643" s="1365"/>
      <c r="H643" s="1333"/>
      <c r="I643" s="1333"/>
      <c r="J643" s="1333"/>
      <c r="K643" s="1333"/>
      <c r="L643" s="1333"/>
      <c r="M643" s="1333"/>
      <c r="N643" s="1333"/>
      <c r="O643" s="1333"/>
      <c r="P643" s="1333"/>
      <c r="Q643" s="1333"/>
      <c r="R643" s="1333"/>
      <c r="S643" s="1333"/>
      <c r="T643" s="1333"/>
      <c r="U643" s="1333"/>
      <c r="V643" s="1333"/>
      <c r="W643" s="1333"/>
      <c r="X643" s="1333"/>
      <c r="Y643" s="1333"/>
      <c r="Z643" s="1333"/>
      <c r="AA643" s="1333"/>
      <c r="AB643" s="1333"/>
      <c r="AC643" s="1333"/>
      <c r="AD643" s="1333"/>
      <c r="AE643" s="1333"/>
      <c r="AF643" s="1333"/>
      <c r="AG643" s="1333"/>
      <c r="AH643" s="1333"/>
      <c r="AI643" s="1333"/>
    </row>
    <row r="644" spans="1:35" x14ac:dyDescent="0.25">
      <c r="A644" s="1331"/>
      <c r="B644" s="1284"/>
      <c r="C644" s="1284"/>
      <c r="D644" s="1364"/>
      <c r="E644" s="1364"/>
      <c r="F644" s="1364"/>
      <c r="G644" s="1365"/>
      <c r="H644" s="1333"/>
      <c r="I644" s="1333"/>
      <c r="J644" s="1333"/>
      <c r="K644" s="1333"/>
      <c r="L644" s="1333"/>
      <c r="M644" s="1333"/>
      <c r="N644" s="1333"/>
      <c r="O644" s="1333"/>
      <c r="P644" s="1333"/>
      <c r="Q644" s="1333"/>
      <c r="R644" s="1333"/>
      <c r="S644" s="1333"/>
      <c r="T644" s="1333"/>
      <c r="U644" s="1333"/>
      <c r="V644" s="1333"/>
      <c r="W644" s="1333"/>
      <c r="X644" s="1333"/>
      <c r="Y644" s="1333"/>
      <c r="Z644" s="1333"/>
      <c r="AA644" s="1333"/>
      <c r="AB644" s="1333"/>
      <c r="AC644" s="1333"/>
      <c r="AD644" s="1333"/>
      <c r="AE644" s="1333"/>
      <c r="AF644" s="1333"/>
      <c r="AG644" s="1333"/>
      <c r="AH644" s="1333"/>
      <c r="AI644" s="1333"/>
    </row>
    <row r="645" spans="1:35" x14ac:dyDescent="0.25">
      <c r="A645" s="1331"/>
      <c r="B645" s="1284"/>
      <c r="C645" s="1284"/>
      <c r="D645" s="1364"/>
      <c r="E645" s="1364"/>
      <c r="F645" s="1364"/>
      <c r="G645" s="1365"/>
      <c r="H645" s="1333"/>
      <c r="I645" s="1333"/>
      <c r="J645" s="1333"/>
      <c r="K645" s="1333"/>
      <c r="L645" s="1333"/>
      <c r="M645" s="1333"/>
      <c r="N645" s="1333"/>
      <c r="O645" s="1333"/>
      <c r="P645" s="1333"/>
      <c r="Q645" s="1333"/>
      <c r="R645" s="1333"/>
      <c r="S645" s="1333"/>
      <c r="T645" s="1333"/>
      <c r="U645" s="1333"/>
      <c r="V645" s="1333"/>
      <c r="W645" s="1333"/>
      <c r="X645" s="1333"/>
      <c r="Y645" s="1333"/>
      <c r="Z645" s="1333"/>
      <c r="AA645" s="1333"/>
      <c r="AB645" s="1333"/>
      <c r="AC645" s="1333"/>
      <c r="AD645" s="1333"/>
      <c r="AE645" s="1333"/>
      <c r="AF645" s="1333"/>
      <c r="AG645" s="1333"/>
      <c r="AH645" s="1333"/>
      <c r="AI645" s="1333"/>
    </row>
    <row r="646" spans="1:35" x14ac:dyDescent="0.25">
      <c r="A646" s="1331"/>
      <c r="B646" s="1284"/>
      <c r="C646" s="1284"/>
      <c r="D646" s="1364"/>
      <c r="E646" s="1364"/>
      <c r="F646" s="1364"/>
      <c r="G646" s="1365"/>
      <c r="H646" s="1333"/>
      <c r="I646" s="1333"/>
      <c r="J646" s="1333"/>
      <c r="K646" s="1333"/>
      <c r="L646" s="1333"/>
      <c r="M646" s="1333"/>
      <c r="N646" s="1333"/>
      <c r="O646" s="1333"/>
      <c r="P646" s="1333"/>
      <c r="Q646" s="1333"/>
      <c r="R646" s="1333"/>
      <c r="S646" s="1333"/>
      <c r="T646" s="1333"/>
      <c r="U646" s="1333"/>
      <c r="V646" s="1333"/>
      <c r="W646" s="1333"/>
      <c r="X646" s="1333"/>
      <c r="Y646" s="1333"/>
      <c r="Z646" s="1333"/>
      <c r="AA646" s="1333"/>
      <c r="AB646" s="1333"/>
      <c r="AC646" s="1333"/>
      <c r="AD646" s="1333"/>
      <c r="AE646" s="1333"/>
      <c r="AF646" s="1333"/>
      <c r="AG646" s="1333"/>
      <c r="AH646" s="1333"/>
      <c r="AI646" s="1333"/>
    </row>
    <row r="647" spans="1:35" x14ac:dyDescent="0.25">
      <c r="A647" s="1331"/>
      <c r="B647" s="1284"/>
      <c r="C647" s="1284"/>
      <c r="D647" s="1364"/>
      <c r="E647" s="1364"/>
      <c r="F647" s="1364"/>
      <c r="G647" s="1365"/>
      <c r="H647" s="1333"/>
      <c r="I647" s="1333"/>
      <c r="J647" s="1333"/>
      <c r="K647" s="1333"/>
      <c r="L647" s="1333"/>
      <c r="M647" s="1333"/>
      <c r="N647" s="1333"/>
      <c r="O647" s="1333"/>
      <c r="P647" s="1333"/>
      <c r="Q647" s="1333"/>
      <c r="R647" s="1333"/>
      <c r="S647" s="1333"/>
      <c r="T647" s="1333"/>
      <c r="U647" s="1333"/>
      <c r="V647" s="1333"/>
      <c r="W647" s="1333"/>
      <c r="X647" s="1333"/>
      <c r="Y647" s="1333"/>
      <c r="Z647" s="1333"/>
      <c r="AA647" s="1333"/>
      <c r="AB647" s="1333"/>
      <c r="AC647" s="1333"/>
      <c r="AD647" s="1333"/>
      <c r="AE647" s="1333"/>
      <c r="AF647" s="1333"/>
      <c r="AG647" s="1333"/>
      <c r="AH647" s="1333"/>
      <c r="AI647" s="1333"/>
    </row>
    <row r="648" spans="1:35" x14ac:dyDescent="0.25">
      <c r="A648" s="1331"/>
      <c r="B648" s="1284"/>
      <c r="C648" s="1284"/>
      <c r="D648" s="1364"/>
      <c r="E648" s="1364"/>
      <c r="F648" s="1364"/>
      <c r="G648" s="1365"/>
      <c r="H648" s="1333"/>
      <c r="I648" s="1333"/>
      <c r="J648" s="1333"/>
      <c r="K648" s="1333"/>
      <c r="L648" s="1333"/>
      <c r="M648" s="1333"/>
      <c r="N648" s="1333"/>
      <c r="O648" s="1333"/>
      <c r="P648" s="1333"/>
      <c r="Q648" s="1333"/>
      <c r="R648" s="1333"/>
      <c r="S648" s="1333"/>
      <c r="T648" s="1333"/>
      <c r="U648" s="1333"/>
      <c r="V648" s="1333"/>
      <c r="W648" s="1333"/>
      <c r="X648" s="1333"/>
      <c r="Y648" s="1333"/>
      <c r="Z648" s="1333"/>
      <c r="AA648" s="1333"/>
      <c r="AB648" s="1333"/>
      <c r="AC648" s="1333"/>
      <c r="AD648" s="1333"/>
      <c r="AE648" s="1333"/>
      <c r="AF648" s="1333"/>
      <c r="AG648" s="1333"/>
      <c r="AH648" s="1333"/>
      <c r="AI648" s="1333"/>
    </row>
    <row r="649" spans="1:35" x14ac:dyDescent="0.25">
      <c r="A649" s="1331"/>
      <c r="B649" s="1284"/>
      <c r="C649" s="1284"/>
      <c r="D649" s="1364"/>
      <c r="E649" s="1364"/>
      <c r="F649" s="1364"/>
      <c r="G649" s="1365"/>
      <c r="H649" s="1333"/>
      <c r="I649" s="1333"/>
      <c r="J649" s="1333"/>
      <c r="K649" s="1333"/>
      <c r="L649" s="1333"/>
      <c r="M649" s="1333"/>
      <c r="N649" s="1333"/>
      <c r="O649" s="1333"/>
      <c r="P649" s="1333"/>
      <c r="Q649" s="1333"/>
      <c r="R649" s="1333"/>
      <c r="S649" s="1333"/>
      <c r="T649" s="1333"/>
      <c r="U649" s="1333"/>
      <c r="V649" s="1333"/>
      <c r="W649" s="1333"/>
      <c r="X649" s="1333"/>
      <c r="Y649" s="1333"/>
      <c r="Z649" s="1333"/>
      <c r="AA649" s="1333"/>
      <c r="AB649" s="1333"/>
      <c r="AC649" s="1333"/>
      <c r="AD649" s="1333"/>
      <c r="AE649" s="1333"/>
      <c r="AF649" s="1333"/>
      <c r="AG649" s="1333"/>
      <c r="AH649" s="1333"/>
      <c r="AI649" s="1333"/>
    </row>
    <row r="650" spans="1:35" x14ac:dyDescent="0.25">
      <c r="A650" s="1331"/>
      <c r="B650" s="1284"/>
      <c r="C650" s="1284"/>
      <c r="D650" s="1364"/>
      <c r="E650" s="1364"/>
      <c r="F650" s="1364"/>
      <c r="G650" s="1365"/>
      <c r="H650" s="1333"/>
      <c r="I650" s="1333"/>
      <c r="J650" s="1333"/>
      <c r="K650" s="1333"/>
      <c r="L650" s="1333"/>
      <c r="M650" s="1333"/>
      <c r="N650" s="1333"/>
      <c r="O650" s="1333"/>
      <c r="P650" s="1333"/>
      <c r="Q650" s="1333"/>
      <c r="R650" s="1333"/>
      <c r="S650" s="1333"/>
      <c r="T650" s="1333"/>
      <c r="U650" s="1333"/>
      <c r="V650" s="1333"/>
      <c r="W650" s="1333"/>
      <c r="X650" s="1333"/>
      <c r="Y650" s="1333"/>
      <c r="Z650" s="1333"/>
      <c r="AA650" s="1333"/>
      <c r="AB650" s="1333"/>
      <c r="AC650" s="1333"/>
      <c r="AD650" s="1333"/>
      <c r="AE650" s="1333"/>
      <c r="AF650" s="1333"/>
      <c r="AG650" s="1333"/>
      <c r="AH650" s="1333"/>
      <c r="AI650" s="1333"/>
    </row>
    <row r="651" spans="1:35" x14ac:dyDescent="0.25">
      <c r="A651" s="1331"/>
      <c r="B651" s="1284"/>
      <c r="C651" s="1284"/>
      <c r="D651" s="1364"/>
      <c r="E651" s="1364"/>
      <c r="F651" s="1364"/>
      <c r="G651" s="1365"/>
      <c r="H651" s="1333"/>
      <c r="I651" s="1333"/>
      <c r="J651" s="1333"/>
      <c r="K651" s="1333"/>
      <c r="L651" s="1333"/>
      <c r="M651" s="1333"/>
      <c r="N651" s="1333"/>
      <c r="O651" s="1333"/>
      <c r="P651" s="1333"/>
      <c r="Q651" s="1333"/>
      <c r="R651" s="1333"/>
      <c r="S651" s="1333"/>
      <c r="T651" s="1333"/>
      <c r="U651" s="1333"/>
      <c r="V651" s="1333"/>
      <c r="W651" s="1333"/>
      <c r="X651" s="1333"/>
      <c r="Y651" s="1333"/>
      <c r="Z651" s="1333"/>
      <c r="AA651" s="1333"/>
      <c r="AB651" s="1333"/>
      <c r="AC651" s="1333"/>
      <c r="AD651" s="1333"/>
      <c r="AE651" s="1333"/>
      <c r="AF651" s="1333"/>
      <c r="AG651" s="1333"/>
      <c r="AH651" s="1333"/>
      <c r="AI651" s="1333"/>
    </row>
    <row r="652" spans="1:35" x14ac:dyDescent="0.25">
      <c r="A652" s="1331"/>
      <c r="B652" s="1284"/>
      <c r="C652" s="1284"/>
      <c r="D652" s="1364"/>
      <c r="E652" s="1364"/>
      <c r="F652" s="1364"/>
      <c r="G652" s="1365"/>
      <c r="H652" s="1333"/>
      <c r="I652" s="1333"/>
      <c r="J652" s="1333"/>
      <c r="K652" s="1333"/>
      <c r="L652" s="1333"/>
      <c r="M652" s="1333"/>
      <c r="N652" s="1333"/>
      <c r="O652" s="1333"/>
      <c r="P652" s="1333"/>
      <c r="Q652" s="1333"/>
      <c r="R652" s="1333"/>
      <c r="S652" s="1333"/>
      <c r="T652" s="1333"/>
      <c r="U652" s="1333"/>
      <c r="V652" s="1333"/>
      <c r="W652" s="1333"/>
      <c r="X652" s="1333"/>
      <c r="Y652" s="1333"/>
      <c r="Z652" s="1333"/>
      <c r="AA652" s="1333"/>
      <c r="AB652" s="1333"/>
      <c r="AC652" s="1333"/>
      <c r="AD652" s="1333"/>
      <c r="AE652" s="1333"/>
      <c r="AF652" s="1333"/>
      <c r="AG652" s="1333"/>
      <c r="AH652" s="1333"/>
      <c r="AI652" s="1333"/>
    </row>
    <row r="653" spans="1:35" x14ac:dyDescent="0.25">
      <c r="A653" s="1331"/>
      <c r="B653" s="1284"/>
      <c r="C653" s="1284"/>
      <c r="D653" s="1364"/>
      <c r="E653" s="1364"/>
      <c r="F653" s="1364"/>
      <c r="G653" s="1365"/>
      <c r="H653" s="1333"/>
      <c r="I653" s="1333"/>
      <c r="J653" s="1333"/>
      <c r="K653" s="1333"/>
      <c r="L653" s="1333"/>
      <c r="M653" s="1333"/>
      <c r="N653" s="1333"/>
      <c r="O653" s="1333"/>
      <c r="P653" s="1333"/>
      <c r="Q653" s="1333"/>
      <c r="R653" s="1333"/>
      <c r="S653" s="1333"/>
      <c r="T653" s="1333"/>
      <c r="U653" s="1333"/>
      <c r="V653" s="1333"/>
      <c r="W653" s="1333"/>
      <c r="X653" s="1333"/>
      <c r="Y653" s="1333"/>
      <c r="Z653" s="1333"/>
      <c r="AA653" s="1333"/>
      <c r="AB653" s="1333"/>
      <c r="AC653" s="1333"/>
      <c r="AD653" s="1333"/>
      <c r="AE653" s="1333"/>
      <c r="AF653" s="1333"/>
      <c r="AG653" s="1333"/>
      <c r="AH653" s="1333"/>
      <c r="AI653" s="1333"/>
    </row>
    <row r="654" spans="1:35" x14ac:dyDescent="0.25">
      <c r="A654" s="1331"/>
      <c r="B654" s="1284"/>
      <c r="C654" s="1284"/>
      <c r="D654" s="1364"/>
      <c r="E654" s="1364"/>
      <c r="F654" s="1364"/>
      <c r="G654" s="1365"/>
      <c r="H654" s="1333"/>
      <c r="I654" s="1333"/>
      <c r="J654" s="1333"/>
      <c r="K654" s="1333"/>
      <c r="L654" s="1333"/>
      <c r="M654" s="1333"/>
      <c r="N654" s="1333"/>
      <c r="O654" s="1333"/>
      <c r="P654" s="1333"/>
      <c r="Q654" s="1333"/>
      <c r="R654" s="1333"/>
      <c r="S654" s="1333"/>
      <c r="T654" s="1333"/>
      <c r="U654" s="1333"/>
      <c r="V654" s="1333"/>
      <c r="W654" s="1333"/>
      <c r="X654" s="1333"/>
      <c r="Y654" s="1333"/>
      <c r="Z654" s="1333"/>
      <c r="AA654" s="1333"/>
      <c r="AB654" s="1333"/>
      <c r="AC654" s="1333"/>
      <c r="AD654" s="1333"/>
      <c r="AE654" s="1333"/>
      <c r="AF654" s="1333"/>
      <c r="AG654" s="1333"/>
      <c r="AH654" s="1333"/>
      <c r="AI654" s="1333"/>
    </row>
    <row r="655" spans="1:35" x14ac:dyDescent="0.25">
      <c r="A655" s="1331"/>
      <c r="B655" s="1284"/>
      <c r="C655" s="1284"/>
      <c r="D655" s="1364"/>
      <c r="E655" s="1364"/>
      <c r="F655" s="1364"/>
      <c r="G655" s="1365"/>
      <c r="H655" s="1333"/>
      <c r="I655" s="1333"/>
      <c r="J655" s="1333"/>
      <c r="K655" s="1333"/>
      <c r="L655" s="1333"/>
      <c r="M655" s="1333"/>
      <c r="N655" s="1333"/>
      <c r="O655" s="1333"/>
      <c r="P655" s="1333"/>
      <c r="Q655" s="1333"/>
      <c r="R655" s="1333"/>
      <c r="S655" s="1333"/>
      <c r="T655" s="1333"/>
      <c r="U655" s="1333"/>
      <c r="V655" s="1333"/>
      <c r="W655" s="1333"/>
      <c r="X655" s="1333"/>
      <c r="Y655" s="1333"/>
      <c r="Z655" s="1333"/>
      <c r="AA655" s="1333"/>
      <c r="AB655" s="1333"/>
      <c r="AC655" s="1333"/>
      <c r="AD655" s="1333"/>
      <c r="AE655" s="1333"/>
      <c r="AF655" s="1333"/>
      <c r="AG655" s="1333"/>
      <c r="AH655" s="1333"/>
      <c r="AI655" s="1333"/>
    </row>
    <row r="656" spans="1:35" x14ac:dyDescent="0.25">
      <c r="A656" s="1331"/>
      <c r="B656" s="1284"/>
      <c r="C656" s="1284"/>
      <c r="D656" s="1364"/>
      <c r="E656" s="1364"/>
      <c r="F656" s="1364"/>
      <c r="G656" s="1365"/>
      <c r="H656" s="1333"/>
      <c r="I656" s="1333"/>
      <c r="J656" s="1333"/>
      <c r="K656" s="1333"/>
      <c r="L656" s="1333"/>
      <c r="M656" s="1333"/>
      <c r="N656" s="1333"/>
      <c r="O656" s="1333"/>
      <c r="P656" s="1333"/>
      <c r="Q656" s="1333"/>
      <c r="R656" s="1333"/>
      <c r="S656" s="1333"/>
      <c r="T656" s="1333"/>
      <c r="U656" s="1333"/>
      <c r="V656" s="1333"/>
      <c r="W656" s="1333"/>
      <c r="X656" s="1333"/>
      <c r="Y656" s="1333"/>
      <c r="Z656" s="1333"/>
      <c r="AA656" s="1333"/>
      <c r="AB656" s="1333"/>
      <c r="AC656" s="1333"/>
      <c r="AD656" s="1333"/>
      <c r="AE656" s="1333"/>
      <c r="AF656" s="1333"/>
      <c r="AG656" s="1333"/>
      <c r="AH656" s="1333"/>
      <c r="AI656" s="1333"/>
    </row>
    <row r="657" spans="1:35" x14ac:dyDescent="0.25">
      <c r="A657" s="1331"/>
      <c r="B657" s="1284"/>
      <c r="C657" s="1284"/>
      <c r="D657" s="1364"/>
      <c r="E657" s="1364"/>
      <c r="F657" s="1364"/>
      <c r="G657" s="1365"/>
      <c r="H657" s="1333"/>
      <c r="I657" s="1333"/>
      <c r="J657" s="1333"/>
      <c r="K657" s="1333"/>
      <c r="L657" s="1333"/>
      <c r="M657" s="1333"/>
      <c r="N657" s="1333"/>
      <c r="O657" s="1333"/>
      <c r="P657" s="1333"/>
      <c r="Q657" s="1333"/>
      <c r="R657" s="1333"/>
      <c r="S657" s="1333"/>
      <c r="T657" s="1333"/>
      <c r="U657" s="1333"/>
      <c r="V657" s="1333"/>
      <c r="W657" s="1333"/>
      <c r="X657" s="1333"/>
      <c r="Y657" s="1333"/>
      <c r="Z657" s="1333"/>
      <c r="AA657" s="1333"/>
      <c r="AB657" s="1333"/>
      <c r="AC657" s="1333"/>
      <c r="AD657" s="1333"/>
      <c r="AE657" s="1333"/>
      <c r="AF657" s="1333"/>
      <c r="AG657" s="1333"/>
      <c r="AH657" s="1333"/>
      <c r="AI657" s="1333"/>
    </row>
    <row r="658" spans="1:35" x14ac:dyDescent="0.25">
      <c r="A658" s="1331"/>
      <c r="B658" s="1284"/>
      <c r="C658" s="1284"/>
      <c r="D658" s="1364"/>
      <c r="E658" s="1364"/>
      <c r="F658" s="1364"/>
      <c r="G658" s="1365"/>
      <c r="H658" s="1333"/>
      <c r="I658" s="1333"/>
      <c r="J658" s="1333"/>
      <c r="K658" s="1333"/>
      <c r="L658" s="1333"/>
      <c r="M658" s="1333"/>
      <c r="N658" s="1333"/>
      <c r="O658" s="1333"/>
      <c r="P658" s="1333"/>
      <c r="Q658" s="1333"/>
      <c r="R658" s="1333"/>
      <c r="S658" s="1333"/>
      <c r="T658" s="1333"/>
      <c r="U658" s="1333"/>
      <c r="V658" s="1333"/>
      <c r="W658" s="1333"/>
      <c r="X658" s="1333"/>
      <c r="Y658" s="1333"/>
      <c r="Z658" s="1333"/>
      <c r="AA658" s="1333"/>
      <c r="AB658" s="1333"/>
      <c r="AC658" s="1333"/>
      <c r="AD658" s="1333"/>
      <c r="AE658" s="1333"/>
      <c r="AF658" s="1333"/>
      <c r="AG658" s="1333"/>
      <c r="AH658" s="1333"/>
      <c r="AI658" s="1333"/>
    </row>
    <row r="659" spans="1:35" x14ac:dyDescent="0.25">
      <c r="A659" s="1331"/>
      <c r="B659" s="1284"/>
      <c r="C659" s="1284"/>
      <c r="D659" s="1364"/>
      <c r="E659" s="1364"/>
      <c r="F659" s="1364"/>
      <c r="G659" s="1365"/>
      <c r="H659" s="1333"/>
      <c r="I659" s="1333"/>
      <c r="J659" s="1333"/>
      <c r="K659" s="1333"/>
      <c r="L659" s="1333"/>
      <c r="M659" s="1333"/>
      <c r="N659" s="1333"/>
      <c r="O659" s="1333"/>
      <c r="P659" s="1333"/>
      <c r="Q659" s="1333"/>
      <c r="R659" s="1333"/>
      <c r="S659" s="1333"/>
      <c r="T659" s="1333"/>
      <c r="U659" s="1333"/>
      <c r="V659" s="1333"/>
      <c r="W659" s="1333"/>
      <c r="X659" s="1333"/>
      <c r="Y659" s="1333"/>
      <c r="Z659" s="1333"/>
      <c r="AA659" s="1333"/>
      <c r="AB659" s="1333"/>
      <c r="AC659" s="1333"/>
      <c r="AD659" s="1333"/>
      <c r="AE659" s="1333"/>
      <c r="AF659" s="1333"/>
      <c r="AG659" s="1333"/>
      <c r="AH659" s="1333"/>
      <c r="AI659" s="1333"/>
    </row>
    <row r="660" spans="1:35" x14ac:dyDescent="0.25">
      <c r="A660" s="1331"/>
      <c r="B660" s="1284"/>
      <c r="C660" s="1284"/>
      <c r="D660" s="1364"/>
      <c r="E660" s="1364"/>
      <c r="F660" s="1364"/>
      <c r="G660" s="1365"/>
      <c r="H660" s="1333"/>
      <c r="I660" s="1333"/>
      <c r="J660" s="1333"/>
      <c r="K660" s="1333"/>
      <c r="L660" s="1333"/>
      <c r="M660" s="1333"/>
      <c r="N660" s="1333"/>
      <c r="O660" s="1333"/>
      <c r="P660" s="1333"/>
      <c r="Q660" s="1333"/>
      <c r="R660" s="1333"/>
      <c r="S660" s="1333"/>
      <c r="T660" s="1333"/>
      <c r="U660" s="1333"/>
      <c r="V660" s="1333"/>
      <c r="W660" s="1333"/>
      <c r="X660" s="1333"/>
      <c r="Y660" s="1333"/>
      <c r="Z660" s="1333"/>
      <c r="AA660" s="1333"/>
      <c r="AB660" s="1333"/>
      <c r="AC660" s="1333"/>
      <c r="AD660" s="1333"/>
      <c r="AE660" s="1333"/>
      <c r="AF660" s="1333"/>
      <c r="AG660" s="1333"/>
      <c r="AH660" s="1333"/>
      <c r="AI660" s="1333"/>
    </row>
    <row r="661" spans="1:35" x14ac:dyDescent="0.25">
      <c r="A661" s="1331"/>
      <c r="B661" s="1284"/>
      <c r="C661" s="1284"/>
      <c r="D661" s="1364"/>
      <c r="E661" s="1364"/>
      <c r="F661" s="1364"/>
      <c r="G661" s="1365"/>
      <c r="H661" s="1333"/>
      <c r="I661" s="1333"/>
      <c r="J661" s="1333"/>
      <c r="K661" s="1333"/>
      <c r="L661" s="1333"/>
      <c r="M661" s="1333"/>
      <c r="N661" s="1333"/>
      <c r="O661" s="1333"/>
      <c r="P661" s="1333"/>
      <c r="Q661" s="1333"/>
      <c r="R661" s="1333"/>
      <c r="S661" s="1333"/>
      <c r="T661" s="1333"/>
      <c r="U661" s="1333"/>
      <c r="V661" s="1333"/>
      <c r="W661" s="1333"/>
      <c r="X661" s="1333"/>
      <c r="Y661" s="1333"/>
      <c r="Z661" s="1333"/>
      <c r="AA661" s="1333"/>
      <c r="AB661" s="1333"/>
      <c r="AC661" s="1333"/>
      <c r="AD661" s="1333"/>
      <c r="AE661" s="1333"/>
      <c r="AF661" s="1333"/>
      <c r="AG661" s="1333"/>
      <c r="AH661" s="1333"/>
      <c r="AI661" s="1333"/>
    </row>
    <row r="662" spans="1:35" x14ac:dyDescent="0.25">
      <c r="A662" s="1331"/>
      <c r="B662" s="1284"/>
      <c r="C662" s="1284"/>
      <c r="D662" s="1364"/>
      <c r="E662" s="1364"/>
      <c r="F662" s="1364"/>
      <c r="G662" s="1365"/>
      <c r="H662" s="1333"/>
      <c r="I662" s="1333"/>
      <c r="J662" s="1333"/>
      <c r="K662" s="1333"/>
      <c r="L662" s="1333"/>
      <c r="M662" s="1333"/>
      <c r="N662" s="1333"/>
      <c r="O662" s="1333"/>
      <c r="P662" s="1333"/>
      <c r="Q662" s="1333"/>
      <c r="R662" s="1333"/>
      <c r="S662" s="1333"/>
      <c r="T662" s="1333"/>
      <c r="U662" s="1333"/>
      <c r="V662" s="1333"/>
      <c r="W662" s="1333"/>
      <c r="X662" s="1333"/>
      <c r="Y662" s="1333"/>
      <c r="Z662" s="1333"/>
      <c r="AA662" s="1333"/>
      <c r="AB662" s="1333"/>
      <c r="AC662" s="1333"/>
      <c r="AD662" s="1333"/>
      <c r="AE662" s="1333"/>
      <c r="AF662" s="1333"/>
      <c r="AG662" s="1333"/>
      <c r="AH662" s="1333"/>
      <c r="AI662" s="1333"/>
    </row>
    <row r="663" spans="1:35" x14ac:dyDescent="0.25">
      <c r="A663" s="1331"/>
      <c r="B663" s="1284"/>
      <c r="C663" s="1284"/>
      <c r="D663" s="1364"/>
      <c r="E663" s="1364"/>
      <c r="F663" s="1364"/>
      <c r="G663" s="1365"/>
      <c r="H663" s="1333"/>
      <c r="I663" s="1333"/>
      <c r="J663" s="1333"/>
      <c r="K663" s="1333"/>
      <c r="L663" s="1333"/>
      <c r="M663" s="1333"/>
      <c r="N663" s="1333"/>
      <c r="O663" s="1333"/>
      <c r="P663" s="1333"/>
      <c r="Q663" s="1333"/>
      <c r="R663" s="1333"/>
      <c r="S663" s="1333"/>
      <c r="T663" s="1333"/>
      <c r="U663" s="1333"/>
      <c r="V663" s="1333"/>
      <c r="W663" s="1333"/>
      <c r="X663" s="1333"/>
      <c r="Y663" s="1333"/>
      <c r="Z663" s="1333"/>
      <c r="AA663" s="1333"/>
      <c r="AB663" s="1333"/>
      <c r="AC663" s="1333"/>
      <c r="AD663" s="1333"/>
      <c r="AE663" s="1333"/>
      <c r="AF663" s="1333"/>
      <c r="AG663" s="1333"/>
      <c r="AH663" s="1333"/>
      <c r="AI663" s="1333"/>
    </row>
    <row r="664" spans="1:35" x14ac:dyDescent="0.25">
      <c r="A664" s="1331"/>
      <c r="B664" s="1284"/>
      <c r="C664" s="1284"/>
      <c r="D664" s="1364"/>
      <c r="E664" s="1364"/>
      <c r="F664" s="1364"/>
      <c r="G664" s="1365"/>
      <c r="H664" s="1333"/>
      <c r="I664" s="1333"/>
      <c r="J664" s="1333"/>
      <c r="K664" s="1333"/>
      <c r="L664" s="1333"/>
      <c r="M664" s="1333"/>
      <c r="N664" s="1333"/>
      <c r="O664" s="1333"/>
      <c r="P664" s="1333"/>
      <c r="Q664" s="1333"/>
      <c r="R664" s="1333"/>
      <c r="S664" s="1333"/>
      <c r="T664" s="1333"/>
      <c r="U664" s="1333"/>
      <c r="V664" s="1333"/>
      <c r="W664" s="1333"/>
      <c r="X664" s="1333"/>
      <c r="Y664" s="1333"/>
      <c r="Z664" s="1333"/>
      <c r="AA664" s="1333"/>
      <c r="AB664" s="1333"/>
      <c r="AC664" s="1333"/>
      <c r="AD664" s="1333"/>
      <c r="AE664" s="1333"/>
      <c r="AF664" s="1333"/>
      <c r="AG664" s="1333"/>
      <c r="AH664" s="1333"/>
      <c r="AI664" s="1333"/>
    </row>
    <row r="665" spans="1:35" x14ac:dyDescent="0.25">
      <c r="A665" s="1331"/>
      <c r="B665" s="1284"/>
      <c r="C665" s="1284"/>
      <c r="D665" s="1364"/>
      <c r="E665" s="1364"/>
      <c r="F665" s="1364"/>
      <c r="G665" s="1365"/>
      <c r="H665" s="1333"/>
      <c r="I665" s="1333"/>
      <c r="J665" s="1333"/>
      <c r="K665" s="1333"/>
      <c r="L665" s="1333"/>
      <c r="M665" s="1333"/>
      <c r="N665" s="1333"/>
      <c r="O665" s="1333"/>
      <c r="P665" s="1333"/>
      <c r="Q665" s="1333"/>
      <c r="R665" s="1333"/>
      <c r="S665" s="1333"/>
      <c r="T665" s="1333"/>
      <c r="U665" s="1333"/>
      <c r="V665" s="1333"/>
      <c r="W665" s="1333"/>
      <c r="X665" s="1333"/>
      <c r="Y665" s="1333"/>
      <c r="Z665" s="1333"/>
      <c r="AA665" s="1333"/>
      <c r="AB665" s="1333"/>
      <c r="AC665" s="1333"/>
      <c r="AD665" s="1333"/>
      <c r="AE665" s="1333"/>
      <c r="AF665" s="1333"/>
      <c r="AG665" s="1333"/>
      <c r="AH665" s="1333"/>
      <c r="AI665" s="1333"/>
    </row>
    <row r="666" spans="1:35" x14ac:dyDescent="0.25">
      <c r="A666" s="1331"/>
      <c r="B666" s="1284"/>
      <c r="C666" s="1284"/>
      <c r="D666" s="1364"/>
      <c r="E666" s="1364"/>
      <c r="F666" s="1364"/>
      <c r="G666" s="1365"/>
      <c r="H666" s="1333"/>
      <c r="I666" s="1333"/>
      <c r="J666" s="1333"/>
      <c r="K666" s="1333"/>
      <c r="L666" s="1333"/>
      <c r="M666" s="1333"/>
      <c r="N666" s="1333"/>
      <c r="O666" s="1333"/>
      <c r="P666" s="1333"/>
      <c r="Q666" s="1333"/>
      <c r="R666" s="1333"/>
      <c r="S666" s="1333"/>
      <c r="T666" s="1333"/>
      <c r="U666" s="1333"/>
      <c r="V666" s="1333"/>
      <c r="W666" s="1333"/>
      <c r="X666" s="1333"/>
      <c r="Y666" s="1333"/>
      <c r="Z666" s="1333"/>
      <c r="AA666" s="1333"/>
      <c r="AB666" s="1333"/>
      <c r="AC666" s="1333"/>
      <c r="AD666" s="1333"/>
      <c r="AE666" s="1333"/>
      <c r="AF666" s="1333"/>
      <c r="AG666" s="1333"/>
      <c r="AH666" s="1333"/>
      <c r="AI666" s="1333"/>
    </row>
    <row r="667" spans="1:35" x14ac:dyDescent="0.25">
      <c r="A667" s="1331"/>
      <c r="B667" s="1284"/>
      <c r="C667" s="1284"/>
      <c r="D667" s="1364"/>
      <c r="E667" s="1364"/>
      <c r="F667" s="1364"/>
      <c r="G667" s="1365"/>
      <c r="H667" s="1333"/>
      <c r="I667" s="1333"/>
      <c r="J667" s="1333"/>
      <c r="K667" s="1333"/>
      <c r="L667" s="1333"/>
      <c r="M667" s="1333"/>
      <c r="N667" s="1333"/>
      <c r="O667" s="1333"/>
      <c r="P667" s="1333"/>
      <c r="Q667" s="1333"/>
      <c r="R667" s="1333"/>
      <c r="S667" s="1333"/>
      <c r="T667" s="1333"/>
      <c r="U667" s="1333"/>
      <c r="V667" s="1333"/>
      <c r="W667" s="1333"/>
      <c r="X667" s="1333"/>
      <c r="Y667" s="1333"/>
      <c r="Z667" s="1333"/>
      <c r="AA667" s="1333"/>
      <c r="AB667" s="1333"/>
      <c r="AC667" s="1333"/>
      <c r="AD667" s="1333"/>
      <c r="AE667" s="1333"/>
      <c r="AF667" s="1333"/>
      <c r="AG667" s="1333"/>
      <c r="AH667" s="1333"/>
      <c r="AI667" s="1333"/>
    </row>
    <row r="668" spans="1:35" x14ac:dyDescent="0.25">
      <c r="A668" s="1331"/>
      <c r="B668" s="1284"/>
      <c r="C668" s="1284"/>
      <c r="D668" s="1364"/>
      <c r="E668" s="1364"/>
      <c r="F668" s="1364"/>
      <c r="G668" s="1365"/>
      <c r="H668" s="1333"/>
      <c r="I668" s="1333"/>
      <c r="J668" s="1333"/>
      <c r="K668" s="1333"/>
      <c r="L668" s="1333"/>
      <c r="M668" s="1333"/>
      <c r="N668" s="1333"/>
      <c r="O668" s="1333"/>
      <c r="P668" s="1333"/>
      <c r="Q668" s="1333"/>
      <c r="R668" s="1333"/>
      <c r="S668" s="1333"/>
      <c r="T668" s="1333"/>
      <c r="U668" s="1333"/>
      <c r="V668" s="1333"/>
      <c r="W668" s="1333"/>
      <c r="X668" s="1333"/>
      <c r="Y668" s="1333"/>
      <c r="Z668" s="1333"/>
      <c r="AA668" s="1333"/>
      <c r="AB668" s="1333"/>
      <c r="AC668" s="1333"/>
      <c r="AD668" s="1333"/>
      <c r="AE668" s="1333"/>
      <c r="AF668" s="1333"/>
      <c r="AG668" s="1333"/>
      <c r="AH668" s="1333"/>
      <c r="AI668" s="1333"/>
    </row>
    <row r="669" spans="1:35" x14ac:dyDescent="0.25">
      <c r="A669" s="1331"/>
      <c r="B669" s="1284"/>
      <c r="C669" s="1284"/>
      <c r="D669" s="1364"/>
      <c r="E669" s="1364"/>
      <c r="F669" s="1364"/>
      <c r="G669" s="1365"/>
      <c r="H669" s="1333"/>
      <c r="I669" s="1333"/>
      <c r="J669" s="1333"/>
      <c r="K669" s="1333"/>
      <c r="L669" s="1333"/>
      <c r="M669" s="1333"/>
      <c r="N669" s="1333"/>
      <c r="O669" s="1333"/>
      <c r="P669" s="1333"/>
      <c r="Q669" s="1333"/>
      <c r="R669" s="1333"/>
      <c r="S669" s="1333"/>
      <c r="T669" s="1333"/>
      <c r="U669" s="1333"/>
      <c r="V669" s="1333"/>
      <c r="W669" s="1333"/>
      <c r="X669" s="1333"/>
      <c r="Y669" s="1333"/>
      <c r="Z669" s="1333"/>
      <c r="AA669" s="1333"/>
      <c r="AB669" s="1333"/>
      <c r="AC669" s="1333"/>
      <c r="AD669" s="1333"/>
      <c r="AE669" s="1333"/>
      <c r="AF669" s="1333"/>
      <c r="AG669" s="1333"/>
      <c r="AH669" s="1333"/>
      <c r="AI669" s="1333"/>
    </row>
    <row r="670" spans="1:35" x14ac:dyDescent="0.25">
      <c r="A670" s="1331"/>
      <c r="B670" s="1284"/>
      <c r="C670" s="1284"/>
      <c r="D670" s="1364"/>
      <c r="E670" s="1364"/>
      <c r="F670" s="1364"/>
      <c r="G670" s="1365"/>
      <c r="H670" s="1333"/>
      <c r="I670" s="1333"/>
      <c r="J670" s="1333"/>
      <c r="K670" s="1333"/>
      <c r="L670" s="1333"/>
      <c r="M670" s="1333"/>
      <c r="N670" s="1333"/>
      <c r="O670" s="1333"/>
      <c r="P670" s="1333"/>
      <c r="Q670" s="1333"/>
      <c r="R670" s="1333"/>
      <c r="S670" s="1333"/>
      <c r="T670" s="1333"/>
      <c r="U670" s="1333"/>
      <c r="V670" s="1333"/>
      <c r="W670" s="1333"/>
      <c r="X670" s="1333"/>
      <c r="Y670" s="1333"/>
      <c r="Z670" s="1333"/>
      <c r="AA670" s="1333"/>
      <c r="AB670" s="1333"/>
      <c r="AC670" s="1333"/>
      <c r="AD670" s="1333"/>
      <c r="AE670" s="1333"/>
      <c r="AF670" s="1333"/>
      <c r="AG670" s="1333"/>
      <c r="AH670" s="1333"/>
      <c r="AI670" s="1333"/>
    </row>
    <row r="671" spans="1:35" x14ac:dyDescent="0.25">
      <c r="A671" s="1331"/>
      <c r="B671" s="1284"/>
      <c r="C671" s="1284"/>
      <c r="D671" s="1364"/>
      <c r="E671" s="1364"/>
      <c r="F671" s="1364"/>
      <c r="G671" s="1365"/>
      <c r="H671" s="1333"/>
      <c r="I671" s="1333"/>
      <c r="J671" s="1333"/>
      <c r="K671" s="1333"/>
      <c r="L671" s="1333"/>
      <c r="M671" s="1333"/>
      <c r="N671" s="1333"/>
      <c r="O671" s="1333"/>
      <c r="P671" s="1333"/>
      <c r="Q671" s="1333"/>
      <c r="R671" s="1333"/>
      <c r="S671" s="1333"/>
      <c r="T671" s="1333"/>
      <c r="U671" s="1333"/>
      <c r="V671" s="1333"/>
      <c r="W671" s="1333"/>
      <c r="X671" s="1333"/>
      <c r="Y671" s="1333"/>
      <c r="Z671" s="1333"/>
      <c r="AA671" s="1333"/>
      <c r="AB671" s="1333"/>
      <c r="AC671" s="1333"/>
      <c r="AD671" s="1333"/>
      <c r="AE671" s="1333"/>
      <c r="AF671" s="1333"/>
      <c r="AG671" s="1333"/>
      <c r="AH671" s="1333"/>
      <c r="AI671" s="1333"/>
    </row>
    <row r="672" spans="1:35" x14ac:dyDescent="0.25">
      <c r="A672" s="1331"/>
      <c r="B672" s="1284"/>
      <c r="C672" s="1284"/>
      <c r="D672" s="1364"/>
      <c r="E672" s="1364"/>
      <c r="F672" s="1364"/>
      <c r="G672" s="1365"/>
      <c r="H672" s="1333"/>
      <c r="I672" s="1333"/>
      <c r="J672" s="1333"/>
      <c r="K672" s="1333"/>
      <c r="L672" s="1333"/>
      <c r="M672" s="1333"/>
      <c r="N672" s="1333"/>
      <c r="O672" s="1333"/>
      <c r="P672" s="1333"/>
      <c r="Q672" s="1333"/>
      <c r="R672" s="1333"/>
      <c r="S672" s="1333"/>
      <c r="T672" s="1333"/>
      <c r="U672" s="1333"/>
      <c r="V672" s="1333"/>
      <c r="W672" s="1333"/>
      <c r="X672" s="1333"/>
      <c r="Y672" s="1333"/>
      <c r="Z672" s="1333"/>
      <c r="AA672" s="1333"/>
      <c r="AB672" s="1333"/>
      <c r="AC672" s="1333"/>
      <c r="AD672" s="1333"/>
      <c r="AE672" s="1333"/>
      <c r="AF672" s="1333"/>
      <c r="AG672" s="1333"/>
      <c r="AH672" s="1333"/>
      <c r="AI672" s="1333"/>
    </row>
    <row r="673" spans="1:35" x14ac:dyDescent="0.25">
      <c r="A673" s="1331"/>
      <c r="B673" s="1284"/>
      <c r="C673" s="1284"/>
      <c r="D673" s="1364"/>
      <c r="E673" s="1364"/>
      <c r="F673" s="1364"/>
      <c r="G673" s="1365"/>
      <c r="H673" s="1333"/>
      <c r="I673" s="1333"/>
      <c r="J673" s="1333"/>
      <c r="K673" s="1333"/>
      <c r="L673" s="1333"/>
      <c r="M673" s="1333"/>
      <c r="N673" s="1333"/>
      <c r="O673" s="1333"/>
      <c r="P673" s="1333"/>
      <c r="Q673" s="1333"/>
      <c r="R673" s="1333"/>
      <c r="S673" s="1333"/>
      <c r="T673" s="1333"/>
      <c r="U673" s="1333"/>
      <c r="V673" s="1333"/>
      <c r="W673" s="1333"/>
      <c r="X673" s="1333"/>
      <c r="Y673" s="1333"/>
      <c r="Z673" s="1333"/>
      <c r="AA673" s="1333"/>
      <c r="AB673" s="1333"/>
      <c r="AC673" s="1333"/>
      <c r="AD673" s="1333"/>
      <c r="AE673" s="1333"/>
      <c r="AF673" s="1333"/>
      <c r="AG673" s="1333"/>
      <c r="AH673" s="1333"/>
      <c r="AI673" s="1333"/>
    </row>
    <row r="674" spans="1:35" x14ac:dyDescent="0.25">
      <c r="A674" s="1331"/>
      <c r="B674" s="1284"/>
      <c r="C674" s="1284"/>
      <c r="D674" s="1364"/>
      <c r="E674" s="1364"/>
      <c r="F674" s="1364"/>
      <c r="G674" s="1365"/>
      <c r="H674" s="1333"/>
      <c r="I674" s="1333"/>
      <c r="J674" s="1333"/>
      <c r="K674" s="1333"/>
      <c r="L674" s="1333"/>
      <c r="M674" s="1333"/>
      <c r="N674" s="1333"/>
      <c r="O674" s="1333"/>
      <c r="P674" s="1333"/>
      <c r="Q674" s="1333"/>
      <c r="R674" s="1333"/>
      <c r="S674" s="1333"/>
      <c r="T674" s="1333"/>
      <c r="U674" s="1333"/>
      <c r="V674" s="1333"/>
      <c r="W674" s="1333"/>
      <c r="X674" s="1333"/>
      <c r="Y674" s="1333"/>
      <c r="Z674" s="1333"/>
      <c r="AA674" s="1333"/>
      <c r="AB674" s="1333"/>
      <c r="AC674" s="1333"/>
      <c r="AD674" s="1333"/>
      <c r="AE674" s="1333"/>
      <c r="AF674" s="1333"/>
      <c r="AG674" s="1333"/>
      <c r="AH674" s="1333"/>
      <c r="AI674" s="1333"/>
    </row>
    <row r="675" spans="1:35" x14ac:dyDescent="0.25">
      <c r="A675" s="1331"/>
      <c r="B675" s="1284"/>
      <c r="C675" s="1284"/>
      <c r="D675" s="1364"/>
      <c r="E675" s="1364"/>
      <c r="F675" s="1364"/>
      <c r="G675" s="1365"/>
      <c r="H675" s="1333"/>
      <c r="I675" s="1333"/>
      <c r="J675" s="1333"/>
      <c r="K675" s="1333"/>
      <c r="L675" s="1333"/>
      <c r="M675" s="1333"/>
      <c r="N675" s="1333"/>
      <c r="O675" s="1333"/>
      <c r="P675" s="1333"/>
      <c r="Q675" s="1333"/>
      <c r="R675" s="1333"/>
      <c r="S675" s="1333"/>
      <c r="T675" s="1333"/>
      <c r="U675" s="1333"/>
      <c r="V675" s="1333"/>
      <c r="W675" s="1333"/>
      <c r="X675" s="1333"/>
      <c r="Y675" s="1333"/>
      <c r="Z675" s="1333"/>
      <c r="AA675" s="1333"/>
      <c r="AB675" s="1333"/>
      <c r="AC675" s="1333"/>
      <c r="AD675" s="1333"/>
      <c r="AE675" s="1333"/>
      <c r="AF675" s="1333"/>
      <c r="AG675" s="1333"/>
      <c r="AH675" s="1333"/>
      <c r="AI675" s="1333"/>
    </row>
    <row r="676" spans="1:35" x14ac:dyDescent="0.25">
      <c r="A676" s="1331"/>
      <c r="B676" s="1284"/>
      <c r="C676" s="1284"/>
      <c r="D676" s="1364"/>
      <c r="E676" s="1364"/>
      <c r="F676" s="1364"/>
      <c r="G676" s="1365"/>
      <c r="H676" s="1333"/>
      <c r="I676" s="1333"/>
      <c r="J676" s="1333"/>
      <c r="K676" s="1333"/>
      <c r="L676" s="1333"/>
      <c r="M676" s="1333"/>
      <c r="N676" s="1333"/>
      <c r="O676" s="1333"/>
      <c r="P676" s="1333"/>
      <c r="Q676" s="1333"/>
      <c r="R676" s="1333"/>
      <c r="S676" s="1333"/>
      <c r="T676" s="1333"/>
      <c r="U676" s="1333"/>
      <c r="V676" s="1333"/>
      <c r="W676" s="1333"/>
      <c r="X676" s="1333"/>
      <c r="Y676" s="1333"/>
      <c r="Z676" s="1333"/>
      <c r="AA676" s="1333"/>
      <c r="AB676" s="1333"/>
      <c r="AC676" s="1333"/>
      <c r="AD676" s="1333"/>
      <c r="AE676" s="1333"/>
      <c r="AF676" s="1333"/>
      <c r="AG676" s="1333"/>
      <c r="AH676" s="1333"/>
      <c r="AI676" s="1333"/>
    </row>
    <row r="677" spans="1:35" x14ac:dyDescent="0.25">
      <c r="A677" s="1331"/>
      <c r="B677" s="1284"/>
      <c r="C677" s="1284"/>
      <c r="D677" s="1364"/>
      <c r="E677" s="1364"/>
      <c r="F677" s="1364"/>
      <c r="G677" s="1365"/>
      <c r="H677" s="1333"/>
      <c r="I677" s="1333"/>
      <c r="J677" s="1333"/>
      <c r="K677" s="1333"/>
      <c r="L677" s="1333"/>
      <c r="M677" s="1333"/>
      <c r="N677" s="1333"/>
      <c r="O677" s="1333"/>
      <c r="P677" s="1333"/>
      <c r="Q677" s="1333"/>
      <c r="R677" s="1333"/>
      <c r="S677" s="1333"/>
      <c r="T677" s="1333"/>
      <c r="U677" s="1333"/>
      <c r="V677" s="1333"/>
      <c r="W677" s="1333"/>
      <c r="X677" s="1333"/>
      <c r="Y677" s="1333"/>
      <c r="Z677" s="1333"/>
      <c r="AA677" s="1333"/>
      <c r="AB677" s="1333"/>
      <c r="AC677" s="1333"/>
      <c r="AD677" s="1333"/>
      <c r="AE677" s="1333"/>
      <c r="AF677" s="1333"/>
      <c r="AG677" s="1333"/>
      <c r="AH677" s="1333"/>
      <c r="AI677" s="1333"/>
    </row>
    <row r="678" spans="1:35" x14ac:dyDescent="0.25">
      <c r="A678" s="1331"/>
      <c r="B678" s="1284"/>
      <c r="C678" s="1284"/>
      <c r="D678" s="1364"/>
      <c r="E678" s="1364"/>
      <c r="F678" s="1364"/>
      <c r="G678" s="1365"/>
      <c r="H678" s="1333"/>
      <c r="I678" s="1333"/>
      <c r="J678" s="1333"/>
      <c r="K678" s="1333"/>
      <c r="L678" s="1333"/>
      <c r="M678" s="1333"/>
      <c r="N678" s="1333"/>
      <c r="O678" s="1333"/>
      <c r="P678" s="1333"/>
      <c r="Q678" s="1333"/>
      <c r="R678" s="1333"/>
      <c r="S678" s="1333"/>
      <c r="T678" s="1333"/>
      <c r="U678" s="1333"/>
      <c r="V678" s="1333"/>
      <c r="W678" s="1333"/>
      <c r="X678" s="1333"/>
      <c r="Y678" s="1333"/>
      <c r="Z678" s="1333"/>
      <c r="AA678" s="1333"/>
      <c r="AB678" s="1333"/>
      <c r="AC678" s="1333"/>
      <c r="AD678" s="1333"/>
      <c r="AE678" s="1333"/>
      <c r="AF678" s="1333"/>
      <c r="AG678" s="1333"/>
      <c r="AH678" s="1333"/>
      <c r="AI678" s="1333"/>
    </row>
    <row r="679" spans="1:35" x14ac:dyDescent="0.25">
      <c r="A679" s="1331"/>
      <c r="B679" s="1284"/>
      <c r="C679" s="1284"/>
      <c r="D679" s="1364"/>
      <c r="E679" s="1364"/>
      <c r="F679" s="1364"/>
      <c r="G679" s="1365"/>
      <c r="H679" s="1333"/>
      <c r="I679" s="1333"/>
      <c r="J679" s="1333"/>
      <c r="K679" s="1333"/>
      <c r="L679" s="1333"/>
      <c r="M679" s="1333"/>
      <c r="N679" s="1333"/>
      <c r="O679" s="1333"/>
      <c r="P679" s="1333"/>
      <c r="Q679" s="1333"/>
      <c r="R679" s="1333"/>
      <c r="S679" s="1333"/>
      <c r="T679" s="1333"/>
      <c r="U679" s="1333"/>
      <c r="V679" s="1333"/>
      <c r="W679" s="1333"/>
      <c r="X679" s="1333"/>
      <c r="Y679" s="1333"/>
      <c r="Z679" s="1333"/>
      <c r="AA679" s="1333"/>
      <c r="AB679" s="1333"/>
      <c r="AC679" s="1333"/>
      <c r="AD679" s="1333"/>
      <c r="AE679" s="1333"/>
      <c r="AF679" s="1333"/>
      <c r="AG679" s="1333"/>
      <c r="AH679" s="1333"/>
      <c r="AI679" s="1333"/>
    </row>
    <row r="680" spans="1:35" x14ac:dyDescent="0.25">
      <c r="A680" s="1331"/>
      <c r="B680" s="1284"/>
      <c r="C680" s="1284"/>
      <c r="D680" s="1364"/>
      <c r="E680" s="1364"/>
      <c r="F680" s="1364"/>
      <c r="G680" s="1365"/>
      <c r="H680" s="1333"/>
      <c r="I680" s="1333"/>
      <c r="J680" s="1333"/>
      <c r="K680" s="1333"/>
      <c r="L680" s="1333"/>
      <c r="M680" s="1333"/>
      <c r="N680" s="1333"/>
      <c r="O680" s="1333"/>
      <c r="P680" s="1333"/>
      <c r="Q680" s="1333"/>
      <c r="R680" s="1333"/>
      <c r="S680" s="1333"/>
      <c r="T680" s="1333"/>
      <c r="U680" s="1333"/>
      <c r="V680" s="1333"/>
      <c r="W680" s="1333"/>
      <c r="X680" s="1333"/>
      <c r="Y680" s="1333"/>
      <c r="Z680" s="1333"/>
      <c r="AA680" s="1333"/>
      <c r="AB680" s="1333"/>
      <c r="AC680" s="1333"/>
      <c r="AD680" s="1333"/>
      <c r="AE680" s="1333"/>
      <c r="AF680" s="1333"/>
      <c r="AG680" s="1333"/>
      <c r="AH680" s="1333"/>
      <c r="AI680" s="1333"/>
    </row>
    <row r="681" spans="1:35" x14ac:dyDescent="0.25">
      <c r="A681" s="1331"/>
      <c r="B681" s="1284"/>
      <c r="C681" s="1284"/>
      <c r="D681" s="1364"/>
      <c r="E681" s="1364"/>
      <c r="F681" s="1364"/>
      <c r="G681" s="1365"/>
      <c r="H681" s="1333"/>
      <c r="I681" s="1333"/>
      <c r="J681" s="1333"/>
      <c r="K681" s="1333"/>
      <c r="L681" s="1333"/>
      <c r="M681" s="1333"/>
      <c r="N681" s="1333"/>
      <c r="O681" s="1333"/>
      <c r="P681" s="1333"/>
      <c r="Q681" s="1333"/>
      <c r="R681" s="1333"/>
      <c r="S681" s="1333"/>
      <c r="T681" s="1333"/>
      <c r="U681" s="1333"/>
      <c r="V681" s="1333"/>
      <c r="W681" s="1333"/>
      <c r="X681" s="1333"/>
      <c r="Y681" s="1333"/>
      <c r="Z681" s="1333"/>
      <c r="AA681" s="1333"/>
      <c r="AB681" s="1333"/>
      <c r="AC681" s="1333"/>
      <c r="AD681" s="1333"/>
      <c r="AE681" s="1333"/>
      <c r="AF681" s="1333"/>
      <c r="AG681" s="1333"/>
      <c r="AH681" s="1333"/>
      <c r="AI681" s="1333"/>
    </row>
    <row r="682" spans="1:35" x14ac:dyDescent="0.25">
      <c r="A682" s="1331"/>
      <c r="B682" s="1284"/>
      <c r="C682" s="1284"/>
      <c r="D682" s="1364"/>
      <c r="E682" s="1364"/>
      <c r="F682" s="1364"/>
      <c r="G682" s="1365"/>
      <c r="H682" s="1333"/>
      <c r="I682" s="1333"/>
      <c r="J682" s="1333"/>
      <c r="K682" s="1333"/>
      <c r="L682" s="1333"/>
      <c r="M682" s="1333"/>
      <c r="N682" s="1333"/>
      <c r="O682" s="1333"/>
      <c r="P682" s="1333"/>
      <c r="Q682" s="1333"/>
      <c r="R682" s="1333"/>
      <c r="S682" s="1333"/>
      <c r="T682" s="1333"/>
      <c r="U682" s="1333"/>
      <c r="V682" s="1333"/>
      <c r="W682" s="1333"/>
      <c r="X682" s="1333"/>
      <c r="Y682" s="1333"/>
      <c r="Z682" s="1333"/>
      <c r="AA682" s="1333"/>
      <c r="AB682" s="1333"/>
      <c r="AC682" s="1333"/>
      <c r="AD682" s="1333"/>
      <c r="AE682" s="1333"/>
      <c r="AF682" s="1333"/>
      <c r="AG682" s="1333"/>
      <c r="AH682" s="1333"/>
      <c r="AI682" s="1333"/>
    </row>
    <row r="683" spans="1:35" x14ac:dyDescent="0.25">
      <c r="A683" s="1331"/>
      <c r="B683" s="1284"/>
      <c r="C683" s="1284"/>
      <c r="D683" s="1364"/>
      <c r="E683" s="1364"/>
      <c r="F683" s="1364"/>
      <c r="G683" s="1365"/>
      <c r="H683" s="1333"/>
      <c r="I683" s="1333"/>
      <c r="J683" s="1333"/>
      <c r="K683" s="1333"/>
      <c r="L683" s="1333"/>
      <c r="M683" s="1333"/>
      <c r="N683" s="1333"/>
      <c r="O683" s="1333"/>
      <c r="P683" s="1333"/>
      <c r="Q683" s="1333"/>
      <c r="R683" s="1333"/>
      <c r="S683" s="1333"/>
      <c r="T683" s="1333"/>
      <c r="U683" s="1333"/>
      <c r="V683" s="1333"/>
      <c r="W683" s="1333"/>
      <c r="X683" s="1333"/>
      <c r="Y683" s="1333"/>
      <c r="Z683" s="1333"/>
      <c r="AA683" s="1333"/>
      <c r="AB683" s="1333"/>
      <c r="AC683" s="1333"/>
      <c r="AD683" s="1333"/>
      <c r="AE683" s="1333"/>
      <c r="AF683" s="1333"/>
      <c r="AG683" s="1333"/>
      <c r="AH683" s="1333"/>
      <c r="AI683" s="1333"/>
    </row>
    <row r="684" spans="1:35" x14ac:dyDescent="0.25">
      <c r="A684" s="1331"/>
      <c r="B684" s="1284"/>
      <c r="C684" s="1284"/>
      <c r="D684" s="1364"/>
      <c r="E684" s="1364"/>
      <c r="F684" s="1364"/>
      <c r="G684" s="1365"/>
      <c r="H684" s="1333"/>
      <c r="I684" s="1333"/>
      <c r="J684" s="1333"/>
      <c r="K684" s="1333"/>
      <c r="L684" s="1333"/>
      <c r="M684" s="1333"/>
      <c r="N684" s="1333"/>
      <c r="O684" s="1333"/>
      <c r="P684" s="1333"/>
      <c r="Q684" s="1333"/>
      <c r="R684" s="1333"/>
      <c r="S684" s="1333"/>
      <c r="T684" s="1333"/>
      <c r="U684" s="1333"/>
      <c r="V684" s="1333"/>
      <c r="W684" s="1333"/>
      <c r="X684" s="1333"/>
      <c r="Y684" s="1333"/>
      <c r="Z684" s="1333"/>
      <c r="AA684" s="1333"/>
      <c r="AB684" s="1333"/>
      <c r="AC684" s="1333"/>
      <c r="AD684" s="1333"/>
      <c r="AE684" s="1333"/>
      <c r="AF684" s="1333"/>
      <c r="AG684" s="1333"/>
      <c r="AH684" s="1333"/>
      <c r="AI684" s="1333"/>
    </row>
    <row r="685" spans="1:35" x14ac:dyDescent="0.25">
      <c r="A685" s="1331"/>
      <c r="B685" s="1284"/>
      <c r="C685" s="1284"/>
      <c r="D685" s="1364"/>
      <c r="E685" s="1364"/>
      <c r="F685" s="1364"/>
      <c r="G685" s="1365"/>
      <c r="H685" s="1333"/>
      <c r="I685" s="1333"/>
      <c r="J685" s="1333"/>
      <c r="K685" s="1333"/>
      <c r="L685" s="1333"/>
      <c r="M685" s="1333"/>
      <c r="N685" s="1333"/>
      <c r="O685" s="1333"/>
      <c r="P685" s="1333"/>
      <c r="Q685" s="1333"/>
      <c r="R685" s="1333"/>
      <c r="S685" s="1333"/>
      <c r="T685" s="1333"/>
      <c r="U685" s="1333"/>
      <c r="V685" s="1333"/>
      <c r="W685" s="1333"/>
      <c r="X685" s="1333"/>
      <c r="Y685" s="1333"/>
      <c r="Z685" s="1333"/>
      <c r="AA685" s="1333"/>
      <c r="AB685" s="1333"/>
      <c r="AC685" s="1333"/>
      <c r="AD685" s="1333"/>
      <c r="AE685" s="1333"/>
      <c r="AF685" s="1333"/>
      <c r="AG685" s="1333"/>
      <c r="AH685" s="1333"/>
      <c r="AI685" s="1333"/>
    </row>
    <row r="686" spans="1:35" x14ac:dyDescent="0.25">
      <c r="A686" s="1331"/>
      <c r="B686" s="1284"/>
      <c r="C686" s="1284"/>
      <c r="D686" s="1364"/>
      <c r="E686" s="1364"/>
      <c r="F686" s="1364"/>
      <c r="G686" s="1365"/>
      <c r="H686" s="1333"/>
      <c r="I686" s="1333"/>
      <c r="J686" s="1333"/>
      <c r="K686" s="1333"/>
      <c r="L686" s="1333"/>
      <c r="M686" s="1333"/>
      <c r="N686" s="1333"/>
      <c r="O686" s="1333"/>
      <c r="P686" s="1333"/>
      <c r="Q686" s="1333"/>
      <c r="R686" s="1333"/>
      <c r="S686" s="1333"/>
      <c r="T686" s="1333"/>
      <c r="U686" s="1333"/>
      <c r="V686" s="1333"/>
      <c r="W686" s="1333"/>
      <c r="X686" s="1333"/>
      <c r="Y686" s="1333"/>
      <c r="Z686" s="1333"/>
      <c r="AA686" s="1333"/>
      <c r="AB686" s="1333"/>
      <c r="AC686" s="1333"/>
      <c r="AD686" s="1333"/>
      <c r="AE686" s="1333"/>
      <c r="AF686" s="1333"/>
      <c r="AG686" s="1333"/>
      <c r="AH686" s="1333"/>
      <c r="AI686" s="1333"/>
    </row>
    <row r="687" spans="1:35" x14ac:dyDescent="0.25">
      <c r="A687" s="1331"/>
      <c r="B687" s="1284"/>
      <c r="C687" s="1284"/>
      <c r="D687" s="1364"/>
      <c r="E687" s="1364"/>
      <c r="F687" s="1364"/>
      <c r="G687" s="1365"/>
      <c r="H687" s="1333"/>
      <c r="I687" s="1333"/>
      <c r="J687" s="1333"/>
      <c r="K687" s="1333"/>
      <c r="L687" s="1333"/>
      <c r="M687" s="1333"/>
      <c r="N687" s="1333"/>
      <c r="O687" s="1333"/>
      <c r="P687" s="1333"/>
      <c r="Q687" s="1333"/>
      <c r="R687" s="1333"/>
      <c r="S687" s="1333"/>
      <c r="T687" s="1333"/>
      <c r="U687" s="1333"/>
      <c r="V687" s="1333"/>
      <c r="W687" s="1333"/>
      <c r="X687" s="1333"/>
      <c r="Y687" s="1333"/>
      <c r="Z687" s="1333"/>
      <c r="AA687" s="1333"/>
      <c r="AB687" s="1333"/>
      <c r="AC687" s="1333"/>
      <c r="AD687" s="1333"/>
      <c r="AE687" s="1333"/>
      <c r="AF687" s="1333"/>
      <c r="AG687" s="1333"/>
      <c r="AH687" s="1333"/>
      <c r="AI687" s="1333"/>
    </row>
    <row r="688" spans="1:35" x14ac:dyDescent="0.25">
      <c r="A688" s="1331"/>
      <c r="B688" s="1284"/>
      <c r="C688" s="1284"/>
      <c r="D688" s="1364"/>
      <c r="E688" s="1364"/>
      <c r="F688" s="1364"/>
      <c r="G688" s="1365"/>
      <c r="H688" s="1333"/>
      <c r="I688" s="1333"/>
      <c r="J688" s="1333"/>
      <c r="K688" s="1333"/>
      <c r="L688" s="1333"/>
      <c r="M688" s="1333"/>
      <c r="N688" s="1333"/>
      <c r="O688" s="1333"/>
      <c r="P688" s="1333"/>
      <c r="Q688" s="1333"/>
      <c r="R688" s="1333"/>
      <c r="S688" s="1333"/>
      <c r="T688" s="1333"/>
      <c r="U688" s="1333"/>
      <c r="V688" s="1333"/>
      <c r="W688" s="1333"/>
      <c r="X688" s="1333"/>
      <c r="Y688" s="1333"/>
      <c r="Z688" s="1333"/>
      <c r="AA688" s="1333"/>
      <c r="AB688" s="1333"/>
      <c r="AC688" s="1333"/>
      <c r="AD688" s="1333"/>
      <c r="AE688" s="1333"/>
      <c r="AF688" s="1333"/>
      <c r="AG688" s="1333"/>
      <c r="AH688" s="1333"/>
      <c r="AI688" s="1333"/>
    </row>
    <row r="689" spans="1:35" x14ac:dyDescent="0.25">
      <c r="A689" s="1331"/>
      <c r="B689" s="1284"/>
      <c r="C689" s="1284"/>
      <c r="D689" s="1364"/>
      <c r="E689" s="1364"/>
      <c r="F689" s="1364"/>
      <c r="G689" s="1365"/>
      <c r="H689" s="1333"/>
      <c r="I689" s="1333"/>
      <c r="J689" s="1333"/>
      <c r="K689" s="1333"/>
      <c r="L689" s="1333"/>
      <c r="M689" s="1333"/>
      <c r="N689" s="1333"/>
      <c r="O689" s="1333"/>
      <c r="P689" s="1333"/>
      <c r="Q689" s="1333"/>
      <c r="R689" s="1333"/>
      <c r="S689" s="1333"/>
      <c r="T689" s="1333"/>
      <c r="U689" s="1333"/>
      <c r="V689" s="1333"/>
      <c r="W689" s="1333"/>
      <c r="X689" s="1333"/>
      <c r="Y689" s="1333"/>
      <c r="Z689" s="1333"/>
      <c r="AA689" s="1333"/>
      <c r="AB689" s="1333"/>
      <c r="AC689" s="1333"/>
      <c r="AD689" s="1333"/>
      <c r="AE689" s="1333"/>
      <c r="AF689" s="1333"/>
      <c r="AG689" s="1333"/>
      <c r="AH689" s="1333"/>
      <c r="AI689" s="1333"/>
    </row>
    <row r="690" spans="1:35" x14ac:dyDescent="0.25">
      <c r="A690" s="1331"/>
      <c r="B690" s="1284"/>
      <c r="C690" s="1284"/>
      <c r="D690" s="1364"/>
      <c r="E690" s="1364"/>
      <c r="F690" s="1364"/>
      <c r="G690" s="1365"/>
      <c r="H690" s="1333"/>
      <c r="I690" s="1333"/>
      <c r="J690" s="1333"/>
      <c r="K690" s="1333"/>
      <c r="L690" s="1333"/>
      <c r="M690" s="1333"/>
      <c r="N690" s="1333"/>
      <c r="O690" s="1333"/>
      <c r="P690" s="1333"/>
      <c r="Q690" s="1333"/>
      <c r="R690" s="1333"/>
      <c r="S690" s="1333"/>
      <c r="T690" s="1333"/>
      <c r="U690" s="1333"/>
      <c r="V690" s="1333"/>
      <c r="W690" s="1333"/>
      <c r="X690" s="1333"/>
      <c r="Y690" s="1333"/>
      <c r="Z690" s="1333"/>
      <c r="AA690" s="1333"/>
      <c r="AB690" s="1333"/>
      <c r="AC690" s="1333"/>
      <c r="AD690" s="1333"/>
      <c r="AE690" s="1333"/>
      <c r="AF690" s="1333"/>
      <c r="AG690" s="1333"/>
      <c r="AH690" s="1333"/>
      <c r="AI690" s="1333"/>
    </row>
    <row r="691" spans="1:35" x14ac:dyDescent="0.25">
      <c r="A691" s="1331"/>
      <c r="B691" s="1284"/>
      <c r="C691" s="1284"/>
      <c r="D691" s="1364"/>
      <c r="E691" s="1364"/>
      <c r="F691" s="1364"/>
      <c r="G691" s="1365"/>
      <c r="H691" s="1333"/>
      <c r="I691" s="1333"/>
      <c r="J691" s="1333"/>
      <c r="K691" s="1333"/>
      <c r="L691" s="1333"/>
      <c r="M691" s="1333"/>
      <c r="N691" s="1333"/>
      <c r="O691" s="1333"/>
      <c r="P691" s="1333"/>
      <c r="Q691" s="1333"/>
      <c r="R691" s="1333"/>
      <c r="S691" s="1333"/>
      <c r="T691" s="1333"/>
      <c r="U691" s="1333"/>
      <c r="V691" s="1333"/>
      <c r="W691" s="1333"/>
      <c r="X691" s="1333"/>
      <c r="Y691" s="1333"/>
      <c r="Z691" s="1333"/>
      <c r="AA691" s="1333"/>
      <c r="AB691" s="1333"/>
      <c r="AC691" s="1333"/>
      <c r="AD691" s="1333"/>
      <c r="AE691" s="1333"/>
      <c r="AF691" s="1333"/>
      <c r="AG691" s="1333"/>
      <c r="AH691" s="1333"/>
      <c r="AI691" s="1333"/>
    </row>
    <row r="692" spans="1:35" x14ac:dyDescent="0.25">
      <c r="A692" s="1331"/>
      <c r="B692" s="1284"/>
      <c r="C692" s="1284"/>
      <c r="D692" s="1364"/>
      <c r="E692" s="1364"/>
      <c r="F692" s="1364"/>
      <c r="G692" s="1365"/>
      <c r="H692" s="1333"/>
      <c r="I692" s="1333"/>
      <c r="J692" s="1333"/>
      <c r="K692" s="1333"/>
      <c r="L692" s="1333"/>
      <c r="M692" s="1333"/>
      <c r="N692" s="1333"/>
      <c r="O692" s="1333"/>
      <c r="P692" s="1333"/>
      <c r="Q692" s="1333"/>
      <c r="R692" s="1333"/>
      <c r="S692" s="1333"/>
      <c r="T692" s="1333"/>
      <c r="U692" s="1333"/>
      <c r="V692" s="1333"/>
      <c r="W692" s="1333"/>
      <c r="X692" s="1333"/>
      <c r="Y692" s="1333"/>
      <c r="Z692" s="1333"/>
      <c r="AA692" s="1333"/>
      <c r="AB692" s="1333"/>
      <c r="AC692" s="1333"/>
      <c r="AD692" s="1333"/>
      <c r="AE692" s="1333"/>
      <c r="AF692" s="1333"/>
      <c r="AG692" s="1333"/>
      <c r="AH692" s="1333"/>
      <c r="AI692" s="1333"/>
    </row>
    <row r="693" spans="1:35" x14ac:dyDescent="0.25">
      <c r="A693" s="1331"/>
      <c r="B693" s="1284"/>
      <c r="C693" s="1284"/>
      <c r="D693" s="1364"/>
      <c r="E693" s="1364"/>
      <c r="F693" s="1364"/>
      <c r="G693" s="1365"/>
      <c r="H693" s="1333"/>
      <c r="I693" s="1333"/>
      <c r="J693" s="1333"/>
      <c r="K693" s="1333"/>
      <c r="L693" s="1333"/>
      <c r="M693" s="1333"/>
      <c r="N693" s="1333"/>
      <c r="O693" s="1333"/>
      <c r="P693" s="1333"/>
      <c r="Q693" s="1333"/>
      <c r="R693" s="1333"/>
      <c r="S693" s="1333"/>
      <c r="T693" s="1333"/>
      <c r="U693" s="1333"/>
      <c r="V693" s="1333"/>
      <c r="W693" s="1333"/>
      <c r="X693" s="1333"/>
      <c r="Y693" s="1333"/>
      <c r="Z693" s="1333"/>
      <c r="AA693" s="1333"/>
      <c r="AB693" s="1333"/>
      <c r="AC693" s="1333"/>
      <c r="AD693" s="1333"/>
      <c r="AE693" s="1333"/>
      <c r="AF693" s="1333"/>
      <c r="AG693" s="1333"/>
      <c r="AH693" s="1333"/>
      <c r="AI693" s="1333"/>
    </row>
    <row r="694" spans="1:35" x14ac:dyDescent="0.25">
      <c r="A694" s="1331"/>
      <c r="B694" s="1284"/>
      <c r="C694" s="1284"/>
      <c r="D694" s="1364"/>
      <c r="E694" s="1364"/>
      <c r="F694" s="1364"/>
      <c r="G694" s="1365"/>
      <c r="H694" s="1333"/>
      <c r="I694" s="1333"/>
      <c r="J694" s="1333"/>
      <c r="K694" s="1333"/>
      <c r="L694" s="1333"/>
      <c r="M694" s="1333"/>
      <c r="N694" s="1333"/>
      <c r="O694" s="1333"/>
      <c r="P694" s="1333"/>
      <c r="Q694" s="1333"/>
      <c r="R694" s="1333"/>
      <c r="S694" s="1333"/>
      <c r="T694" s="1333"/>
      <c r="U694" s="1333"/>
      <c r="V694" s="1333"/>
      <c r="W694" s="1333"/>
      <c r="X694" s="1333"/>
      <c r="Y694" s="1333"/>
      <c r="Z694" s="1333"/>
      <c r="AA694" s="1333"/>
      <c r="AB694" s="1333"/>
      <c r="AC694" s="1333"/>
      <c r="AD694" s="1333"/>
      <c r="AE694" s="1333"/>
      <c r="AF694" s="1333"/>
      <c r="AG694" s="1333"/>
      <c r="AH694" s="1333"/>
      <c r="AI694" s="1333"/>
    </row>
    <row r="695" spans="1:35" x14ac:dyDescent="0.25">
      <c r="A695" s="1331"/>
      <c r="B695" s="1284"/>
      <c r="C695" s="1284"/>
      <c r="D695" s="1364"/>
      <c r="E695" s="1364"/>
      <c r="F695" s="1364"/>
      <c r="G695" s="1365"/>
      <c r="H695" s="1333"/>
      <c r="I695" s="1333"/>
      <c r="J695" s="1333"/>
      <c r="K695" s="1333"/>
      <c r="L695" s="1333"/>
      <c r="M695" s="1333"/>
      <c r="N695" s="1333"/>
      <c r="O695" s="1333"/>
      <c r="P695" s="1333"/>
      <c r="Q695" s="1333"/>
      <c r="R695" s="1333"/>
      <c r="S695" s="1333"/>
      <c r="T695" s="1333"/>
      <c r="U695" s="1333"/>
      <c r="V695" s="1333"/>
      <c r="W695" s="1333"/>
      <c r="X695" s="1333"/>
      <c r="Y695" s="1333"/>
      <c r="Z695" s="1333"/>
      <c r="AA695" s="1333"/>
      <c r="AB695" s="1333"/>
      <c r="AC695" s="1333"/>
      <c r="AD695" s="1333"/>
      <c r="AE695" s="1333"/>
      <c r="AF695" s="1333"/>
      <c r="AG695" s="1333"/>
      <c r="AH695" s="1333"/>
      <c r="AI695" s="1333"/>
    </row>
    <row r="696" spans="1:35" x14ac:dyDescent="0.25">
      <c r="A696" s="1331"/>
      <c r="B696" s="1284"/>
      <c r="C696" s="1284"/>
      <c r="D696" s="1364"/>
      <c r="E696" s="1364"/>
      <c r="F696" s="1364"/>
      <c r="G696" s="1365"/>
      <c r="H696" s="1333"/>
      <c r="I696" s="1333"/>
      <c r="J696" s="1333"/>
      <c r="K696" s="1333"/>
      <c r="L696" s="1333"/>
      <c r="M696" s="1333"/>
      <c r="N696" s="1333"/>
      <c r="O696" s="1333"/>
      <c r="P696" s="1333"/>
      <c r="Q696" s="1333"/>
      <c r="R696" s="1333"/>
      <c r="S696" s="1333"/>
      <c r="T696" s="1333"/>
      <c r="U696" s="1333"/>
      <c r="V696" s="1333"/>
      <c r="W696" s="1333"/>
      <c r="X696" s="1333"/>
      <c r="Y696" s="1333"/>
      <c r="Z696" s="1333"/>
      <c r="AA696" s="1333"/>
      <c r="AB696" s="1333"/>
      <c r="AC696" s="1333"/>
      <c r="AD696" s="1333"/>
      <c r="AE696" s="1333"/>
      <c r="AF696" s="1333"/>
      <c r="AG696" s="1333"/>
      <c r="AH696" s="1333"/>
      <c r="AI696" s="1333"/>
    </row>
    <row r="697" spans="1:35" x14ac:dyDescent="0.25">
      <c r="A697" s="1331"/>
      <c r="B697" s="1284"/>
      <c r="C697" s="1284"/>
      <c r="D697" s="1364"/>
      <c r="E697" s="1364"/>
      <c r="F697" s="1364"/>
      <c r="G697" s="1365"/>
      <c r="H697" s="1333"/>
      <c r="I697" s="1333"/>
      <c r="J697" s="1333"/>
      <c r="K697" s="1333"/>
      <c r="L697" s="1333"/>
      <c r="M697" s="1333"/>
      <c r="N697" s="1333"/>
      <c r="O697" s="1333"/>
      <c r="P697" s="1333"/>
      <c r="Q697" s="1333"/>
      <c r="R697" s="1333"/>
      <c r="S697" s="1333"/>
      <c r="T697" s="1333"/>
      <c r="U697" s="1333"/>
      <c r="V697" s="1333"/>
      <c r="W697" s="1333"/>
      <c r="X697" s="1333"/>
      <c r="Y697" s="1333"/>
      <c r="Z697" s="1333"/>
      <c r="AA697" s="1333"/>
      <c r="AB697" s="1333"/>
      <c r="AC697" s="1333"/>
      <c r="AD697" s="1333"/>
      <c r="AE697" s="1333"/>
      <c r="AF697" s="1333"/>
      <c r="AG697" s="1333"/>
      <c r="AH697" s="1333"/>
      <c r="AI697" s="1333"/>
    </row>
    <row r="698" spans="1:35" x14ac:dyDescent="0.25">
      <c r="A698" s="1331"/>
      <c r="B698" s="1284"/>
      <c r="C698" s="1284"/>
      <c r="D698" s="1364"/>
      <c r="E698" s="1364"/>
      <c r="F698" s="1364"/>
      <c r="G698" s="1365"/>
      <c r="H698" s="1333"/>
      <c r="I698" s="1333"/>
      <c r="J698" s="1333"/>
      <c r="K698" s="1333"/>
      <c r="L698" s="1333"/>
      <c r="M698" s="1333"/>
      <c r="N698" s="1333"/>
      <c r="O698" s="1333"/>
      <c r="P698" s="1333"/>
      <c r="Q698" s="1333"/>
      <c r="R698" s="1333"/>
      <c r="S698" s="1333"/>
      <c r="T698" s="1333"/>
      <c r="U698" s="1333"/>
      <c r="V698" s="1333"/>
      <c r="W698" s="1333"/>
      <c r="X698" s="1333"/>
      <c r="Y698" s="1333"/>
      <c r="Z698" s="1333"/>
      <c r="AA698" s="1333"/>
      <c r="AB698" s="1333"/>
      <c r="AC698" s="1333"/>
      <c r="AD698" s="1333"/>
      <c r="AE698" s="1333"/>
      <c r="AF698" s="1333"/>
      <c r="AG698" s="1333"/>
      <c r="AH698" s="1333"/>
      <c r="AI698" s="1333"/>
    </row>
    <row r="699" spans="1:35" x14ac:dyDescent="0.25">
      <c r="A699" s="1331"/>
      <c r="B699" s="1284"/>
      <c r="C699" s="1284"/>
      <c r="D699" s="1364"/>
      <c r="E699" s="1364"/>
      <c r="F699" s="1364"/>
      <c r="G699" s="1365"/>
      <c r="H699" s="1333"/>
      <c r="I699" s="1333"/>
      <c r="J699" s="1333"/>
      <c r="K699" s="1333"/>
      <c r="L699" s="1333"/>
      <c r="M699" s="1333"/>
      <c r="N699" s="1333"/>
      <c r="O699" s="1333"/>
      <c r="P699" s="1333"/>
      <c r="Q699" s="1333"/>
      <c r="R699" s="1333"/>
      <c r="S699" s="1333"/>
      <c r="T699" s="1333"/>
      <c r="U699" s="1333"/>
      <c r="V699" s="1333"/>
      <c r="W699" s="1333"/>
      <c r="X699" s="1333"/>
      <c r="Y699" s="1333"/>
      <c r="Z699" s="1333"/>
      <c r="AA699" s="1333"/>
      <c r="AB699" s="1333"/>
      <c r="AC699" s="1333"/>
      <c r="AD699" s="1333"/>
      <c r="AE699" s="1333"/>
      <c r="AF699" s="1333"/>
      <c r="AG699" s="1333"/>
      <c r="AH699" s="1333"/>
      <c r="AI699" s="1333"/>
    </row>
    <row r="700" spans="1:35" x14ac:dyDescent="0.25">
      <c r="A700" s="1331"/>
      <c r="B700" s="1284"/>
      <c r="C700" s="1284"/>
      <c r="D700" s="1364"/>
      <c r="E700" s="1364"/>
      <c r="F700" s="1364"/>
      <c r="G700" s="1365"/>
      <c r="H700" s="1333"/>
      <c r="I700" s="1333"/>
      <c r="J700" s="1333"/>
      <c r="K700" s="1333"/>
      <c r="L700" s="1333"/>
      <c r="M700" s="1333"/>
      <c r="N700" s="1333"/>
      <c r="O700" s="1333"/>
      <c r="P700" s="1333"/>
      <c r="Q700" s="1333"/>
      <c r="R700" s="1333"/>
      <c r="S700" s="1333"/>
      <c r="T700" s="1333"/>
      <c r="U700" s="1333"/>
      <c r="V700" s="1333"/>
      <c r="W700" s="1333"/>
      <c r="X700" s="1333"/>
      <c r="Y700" s="1333"/>
      <c r="Z700" s="1333"/>
      <c r="AA700" s="1333"/>
      <c r="AB700" s="1333"/>
      <c r="AC700" s="1333"/>
      <c r="AD700" s="1333"/>
      <c r="AE700" s="1333"/>
      <c r="AF700" s="1333"/>
      <c r="AG700" s="1333"/>
      <c r="AH700" s="1333"/>
      <c r="AI700" s="1333"/>
    </row>
    <row r="701" spans="1:35" x14ac:dyDescent="0.25">
      <c r="A701" s="1331"/>
      <c r="B701" s="1284"/>
      <c r="C701" s="1284"/>
      <c r="D701" s="1364"/>
      <c r="E701" s="1364"/>
      <c r="F701" s="1364"/>
      <c r="G701" s="1365"/>
      <c r="H701" s="1333"/>
      <c r="I701" s="1333"/>
      <c r="J701" s="1333"/>
      <c r="K701" s="1333"/>
      <c r="L701" s="1333"/>
      <c r="M701" s="1333"/>
      <c r="N701" s="1333"/>
      <c r="O701" s="1333"/>
      <c r="P701" s="1333"/>
      <c r="Q701" s="1333"/>
      <c r="R701" s="1333"/>
      <c r="S701" s="1333"/>
      <c r="T701" s="1333"/>
      <c r="U701" s="1333"/>
      <c r="V701" s="1333"/>
      <c r="W701" s="1333"/>
      <c r="X701" s="1333"/>
      <c r="Y701" s="1333"/>
      <c r="Z701" s="1333"/>
      <c r="AA701" s="1333"/>
      <c r="AB701" s="1333"/>
      <c r="AC701" s="1333"/>
      <c r="AD701" s="1333"/>
      <c r="AE701" s="1333"/>
      <c r="AF701" s="1333"/>
      <c r="AG701" s="1333"/>
      <c r="AH701" s="1333"/>
      <c r="AI701" s="1333"/>
    </row>
    <row r="702" spans="1:35" x14ac:dyDescent="0.25">
      <c r="A702" s="1331"/>
      <c r="B702" s="1284"/>
      <c r="C702" s="1284"/>
      <c r="D702" s="1364"/>
      <c r="E702" s="1364"/>
      <c r="F702" s="1364"/>
      <c r="G702" s="1365"/>
      <c r="H702" s="1333"/>
      <c r="I702" s="1333"/>
      <c r="J702" s="1333"/>
      <c r="K702" s="1333"/>
      <c r="L702" s="1333"/>
      <c r="M702" s="1333"/>
      <c r="N702" s="1333"/>
      <c r="O702" s="1333"/>
      <c r="P702" s="1333"/>
      <c r="Q702" s="1333"/>
      <c r="R702" s="1333"/>
      <c r="S702" s="1333"/>
      <c r="T702" s="1333"/>
      <c r="U702" s="1333"/>
      <c r="V702" s="1333"/>
      <c r="W702" s="1333"/>
      <c r="X702" s="1333"/>
      <c r="Y702" s="1333"/>
      <c r="Z702" s="1333"/>
      <c r="AA702" s="1333"/>
      <c r="AB702" s="1333"/>
      <c r="AC702" s="1333"/>
      <c r="AD702" s="1333"/>
      <c r="AE702" s="1333"/>
      <c r="AF702" s="1333"/>
      <c r="AG702" s="1333"/>
      <c r="AH702" s="1333"/>
      <c r="AI702" s="1333"/>
    </row>
    <row r="703" spans="1:35" x14ac:dyDescent="0.25">
      <c r="A703" s="1331"/>
      <c r="B703" s="1284"/>
      <c r="C703" s="1284"/>
      <c r="D703" s="1364"/>
      <c r="E703" s="1364"/>
      <c r="F703" s="1364"/>
      <c r="G703" s="1365"/>
      <c r="H703" s="1333"/>
      <c r="I703" s="1333"/>
      <c r="J703" s="1333"/>
      <c r="K703" s="1333"/>
      <c r="L703" s="1333"/>
      <c r="M703" s="1333"/>
      <c r="N703" s="1333"/>
      <c r="O703" s="1333"/>
      <c r="P703" s="1333"/>
      <c r="Q703" s="1333"/>
      <c r="R703" s="1333"/>
      <c r="S703" s="1333"/>
      <c r="T703" s="1333"/>
      <c r="U703" s="1333"/>
      <c r="V703" s="1333"/>
      <c r="W703" s="1333"/>
      <c r="X703" s="1333"/>
      <c r="Y703" s="1333"/>
      <c r="Z703" s="1333"/>
      <c r="AA703" s="1333"/>
      <c r="AB703" s="1333"/>
      <c r="AC703" s="1333"/>
      <c r="AD703" s="1333"/>
      <c r="AE703" s="1333"/>
      <c r="AF703" s="1333"/>
      <c r="AG703" s="1333"/>
      <c r="AH703" s="1333"/>
      <c r="AI703" s="1333"/>
    </row>
    <row r="704" spans="1:35" x14ac:dyDescent="0.25">
      <c r="A704" s="1331"/>
      <c r="B704" s="1284"/>
      <c r="C704" s="1284"/>
      <c r="D704" s="1364"/>
      <c r="E704" s="1364"/>
      <c r="F704" s="1364"/>
      <c r="G704" s="1365"/>
      <c r="H704" s="1333"/>
      <c r="I704" s="1333"/>
      <c r="J704" s="1333"/>
      <c r="K704" s="1333"/>
      <c r="L704" s="1333"/>
      <c r="M704" s="1333"/>
      <c r="N704" s="1333"/>
      <c r="O704" s="1333"/>
      <c r="P704" s="1333"/>
      <c r="Q704" s="1333"/>
      <c r="R704" s="1333"/>
      <c r="S704" s="1333"/>
      <c r="T704" s="1333"/>
      <c r="U704" s="1333"/>
      <c r="V704" s="1333"/>
      <c r="W704" s="1333"/>
      <c r="X704" s="1333"/>
      <c r="Y704" s="1333"/>
      <c r="Z704" s="1333"/>
      <c r="AA704" s="1333"/>
      <c r="AB704" s="1333"/>
      <c r="AC704" s="1333"/>
      <c r="AD704" s="1333"/>
      <c r="AE704" s="1333"/>
      <c r="AF704" s="1333"/>
      <c r="AG704" s="1333"/>
      <c r="AH704" s="1333"/>
      <c r="AI704" s="1333"/>
    </row>
    <row r="705" spans="1:35" x14ac:dyDescent="0.25">
      <c r="A705" s="1331"/>
      <c r="B705" s="1284"/>
      <c r="C705" s="1284"/>
      <c r="D705" s="1364"/>
      <c r="E705" s="1364"/>
      <c r="F705" s="1364"/>
      <c r="G705" s="1365"/>
      <c r="H705" s="1333"/>
      <c r="I705" s="1333"/>
      <c r="J705" s="1333"/>
      <c r="K705" s="1333"/>
      <c r="L705" s="1333"/>
      <c r="M705" s="1333"/>
      <c r="N705" s="1333"/>
      <c r="O705" s="1333"/>
      <c r="P705" s="1333"/>
      <c r="Q705" s="1333"/>
      <c r="R705" s="1333"/>
      <c r="S705" s="1333"/>
      <c r="T705" s="1333"/>
      <c r="U705" s="1333"/>
      <c r="V705" s="1333"/>
      <c r="W705" s="1333"/>
      <c r="X705" s="1333"/>
      <c r="Y705" s="1333"/>
      <c r="Z705" s="1333"/>
      <c r="AA705" s="1333"/>
      <c r="AB705" s="1333"/>
      <c r="AC705" s="1333"/>
      <c r="AD705" s="1333"/>
      <c r="AE705" s="1333"/>
      <c r="AF705" s="1333"/>
      <c r="AG705" s="1333"/>
      <c r="AH705" s="1333"/>
      <c r="AI705" s="1333"/>
    </row>
    <row r="706" spans="1:35" x14ac:dyDescent="0.25">
      <c r="A706" s="1331"/>
      <c r="B706" s="1284"/>
      <c r="C706" s="1284"/>
      <c r="D706" s="1364"/>
      <c r="E706" s="1364"/>
      <c r="F706" s="1364"/>
      <c r="G706" s="1365"/>
      <c r="H706" s="1333"/>
      <c r="I706" s="1333"/>
      <c r="J706" s="1333"/>
      <c r="K706" s="1333"/>
      <c r="L706" s="1333"/>
      <c r="M706" s="1333"/>
      <c r="N706" s="1333"/>
      <c r="O706" s="1333"/>
      <c r="P706" s="1333"/>
      <c r="Q706" s="1333"/>
      <c r="R706" s="1333"/>
      <c r="S706" s="1333"/>
      <c r="T706" s="1333"/>
      <c r="U706" s="1333"/>
      <c r="V706" s="1333"/>
      <c r="W706" s="1333"/>
      <c r="X706" s="1333"/>
      <c r="Y706" s="1333"/>
      <c r="Z706" s="1333"/>
      <c r="AA706" s="1333"/>
      <c r="AB706" s="1333"/>
      <c r="AC706" s="1333"/>
      <c r="AD706" s="1333"/>
      <c r="AE706" s="1333"/>
      <c r="AF706" s="1333"/>
      <c r="AG706" s="1333"/>
      <c r="AH706" s="1333"/>
      <c r="AI706" s="1333"/>
    </row>
    <row r="707" spans="1:35" x14ac:dyDescent="0.25">
      <c r="A707" s="1331"/>
      <c r="B707" s="1284"/>
      <c r="C707" s="1284"/>
      <c r="D707" s="1364"/>
      <c r="E707" s="1364"/>
      <c r="F707" s="1364"/>
      <c r="G707" s="1365"/>
      <c r="H707" s="1333"/>
      <c r="I707" s="1333"/>
      <c r="J707" s="1333"/>
      <c r="K707" s="1333"/>
      <c r="L707" s="1333"/>
      <c r="M707" s="1333"/>
      <c r="N707" s="1333"/>
      <c r="O707" s="1333"/>
      <c r="P707" s="1333"/>
      <c r="Q707" s="1333"/>
      <c r="R707" s="1333"/>
      <c r="S707" s="1333"/>
      <c r="T707" s="1333"/>
      <c r="U707" s="1333"/>
      <c r="V707" s="1333"/>
      <c r="W707" s="1333"/>
      <c r="X707" s="1333"/>
      <c r="Y707" s="1333"/>
      <c r="Z707" s="1333"/>
      <c r="AA707" s="1333"/>
      <c r="AB707" s="1333"/>
      <c r="AC707" s="1333"/>
      <c r="AD707" s="1333"/>
      <c r="AE707" s="1333"/>
      <c r="AF707" s="1333"/>
      <c r="AG707" s="1333"/>
      <c r="AH707" s="1333"/>
      <c r="AI707" s="1333"/>
    </row>
    <row r="708" spans="1:35" x14ac:dyDescent="0.25">
      <c r="A708" s="1331"/>
      <c r="B708" s="1284"/>
      <c r="C708" s="1284"/>
      <c r="D708" s="1364"/>
      <c r="E708" s="1364"/>
      <c r="F708" s="1364"/>
      <c r="G708" s="1365"/>
      <c r="H708" s="1333"/>
      <c r="I708" s="1333"/>
      <c r="J708" s="1333"/>
      <c r="K708" s="1333"/>
      <c r="L708" s="1333"/>
      <c r="M708" s="1333"/>
      <c r="N708" s="1333"/>
      <c r="O708" s="1333"/>
      <c r="P708" s="1333"/>
      <c r="Q708" s="1333"/>
      <c r="R708" s="1333"/>
      <c r="S708" s="1333"/>
      <c r="T708" s="1333"/>
      <c r="U708" s="1333"/>
      <c r="V708" s="1333"/>
      <c r="W708" s="1333"/>
      <c r="X708" s="1333"/>
      <c r="Y708" s="1333"/>
      <c r="Z708" s="1333"/>
      <c r="AA708" s="1333"/>
      <c r="AB708" s="1333"/>
      <c r="AC708" s="1333"/>
      <c r="AD708" s="1333"/>
      <c r="AE708" s="1333"/>
      <c r="AF708" s="1333"/>
      <c r="AG708" s="1333"/>
      <c r="AH708" s="1333"/>
      <c r="AI708" s="1333"/>
    </row>
    <row r="709" spans="1:35" x14ac:dyDescent="0.25">
      <c r="A709" s="1331"/>
      <c r="B709" s="1284"/>
      <c r="C709" s="1284"/>
      <c r="D709" s="1364"/>
      <c r="E709" s="1364"/>
      <c r="F709" s="1364"/>
      <c r="G709" s="1365"/>
      <c r="H709" s="1333"/>
      <c r="I709" s="1333"/>
      <c r="J709" s="1333"/>
      <c r="K709" s="1333"/>
      <c r="L709" s="1333"/>
      <c r="M709" s="1333"/>
      <c r="N709" s="1333"/>
      <c r="O709" s="1333"/>
      <c r="P709" s="1333"/>
      <c r="Q709" s="1333"/>
      <c r="R709" s="1333"/>
      <c r="S709" s="1333"/>
      <c r="T709" s="1333"/>
      <c r="U709" s="1333"/>
      <c r="V709" s="1333"/>
      <c r="W709" s="1333"/>
      <c r="X709" s="1333"/>
      <c r="Y709" s="1333"/>
      <c r="Z709" s="1333"/>
      <c r="AA709" s="1333"/>
      <c r="AB709" s="1333"/>
      <c r="AC709" s="1333"/>
      <c r="AD709" s="1333"/>
      <c r="AE709" s="1333"/>
      <c r="AF709" s="1333"/>
      <c r="AG709" s="1333"/>
      <c r="AH709" s="1333"/>
      <c r="AI709" s="1333"/>
    </row>
    <row r="710" spans="1:35" x14ac:dyDescent="0.25">
      <c r="A710" s="1331"/>
      <c r="B710" s="1284"/>
      <c r="C710" s="1284"/>
      <c r="D710" s="1364"/>
      <c r="E710" s="1364"/>
      <c r="F710" s="1364"/>
      <c r="G710" s="1365"/>
      <c r="H710" s="1333"/>
      <c r="I710" s="1333"/>
      <c r="J710" s="1333"/>
      <c r="K710" s="1333"/>
      <c r="L710" s="1333"/>
      <c r="M710" s="1333"/>
      <c r="N710" s="1333"/>
      <c r="O710" s="1333"/>
      <c r="P710" s="1333"/>
      <c r="Q710" s="1333"/>
      <c r="R710" s="1333"/>
      <c r="S710" s="1333"/>
      <c r="T710" s="1333"/>
      <c r="U710" s="1333"/>
      <c r="V710" s="1333"/>
      <c r="W710" s="1333"/>
      <c r="X710" s="1333"/>
      <c r="Y710" s="1333"/>
      <c r="Z710" s="1333"/>
      <c r="AA710" s="1333"/>
      <c r="AB710" s="1333"/>
      <c r="AC710" s="1333"/>
      <c r="AD710" s="1333"/>
      <c r="AE710" s="1333"/>
      <c r="AF710" s="1333"/>
      <c r="AG710" s="1333"/>
      <c r="AH710" s="1333"/>
      <c r="AI710" s="1333"/>
    </row>
    <row r="711" spans="1:35" x14ac:dyDescent="0.25">
      <c r="A711" s="1331"/>
      <c r="B711" s="1284"/>
      <c r="C711" s="1284"/>
      <c r="D711" s="1364"/>
      <c r="E711" s="1364"/>
      <c r="F711" s="1364"/>
      <c r="G711" s="1365"/>
      <c r="H711" s="1333"/>
      <c r="I711" s="1333"/>
      <c r="J711" s="1333"/>
      <c r="K711" s="1333"/>
      <c r="L711" s="1333"/>
      <c r="M711" s="1333"/>
      <c r="N711" s="1333"/>
      <c r="O711" s="1333"/>
      <c r="P711" s="1333"/>
      <c r="Q711" s="1333"/>
      <c r="R711" s="1333"/>
      <c r="S711" s="1333"/>
      <c r="T711" s="1333"/>
      <c r="U711" s="1333"/>
      <c r="V711" s="1333"/>
      <c r="W711" s="1333"/>
      <c r="X711" s="1333"/>
      <c r="Y711" s="1333"/>
      <c r="Z711" s="1333"/>
      <c r="AA711" s="1333"/>
      <c r="AB711" s="1333"/>
      <c r="AC711" s="1333"/>
      <c r="AD711" s="1333"/>
      <c r="AE711" s="1333"/>
      <c r="AF711" s="1333"/>
      <c r="AG711" s="1333"/>
      <c r="AH711" s="1333"/>
      <c r="AI711" s="1333"/>
    </row>
    <row r="712" spans="1:35" x14ac:dyDescent="0.25">
      <c r="A712" s="1331"/>
      <c r="B712" s="1284"/>
      <c r="C712" s="1284"/>
      <c r="D712" s="1364"/>
      <c r="E712" s="1364"/>
      <c r="F712" s="1364"/>
      <c r="G712" s="1365"/>
      <c r="H712" s="1333"/>
      <c r="I712" s="1333"/>
      <c r="J712" s="1333"/>
      <c r="K712" s="1333"/>
      <c r="L712" s="1333"/>
      <c r="M712" s="1333"/>
      <c r="N712" s="1333"/>
      <c r="O712" s="1333"/>
      <c r="P712" s="1333"/>
      <c r="Q712" s="1333"/>
      <c r="R712" s="1333"/>
      <c r="S712" s="1333"/>
      <c r="T712" s="1333"/>
      <c r="U712" s="1333"/>
      <c r="V712" s="1333"/>
      <c r="W712" s="1333"/>
      <c r="X712" s="1333"/>
      <c r="Y712" s="1333"/>
      <c r="Z712" s="1333"/>
      <c r="AA712" s="1333"/>
      <c r="AB712" s="1333"/>
      <c r="AC712" s="1333"/>
      <c r="AD712" s="1333"/>
      <c r="AE712" s="1333"/>
      <c r="AF712" s="1333"/>
      <c r="AG712" s="1333"/>
      <c r="AH712" s="1333"/>
      <c r="AI712" s="1333"/>
    </row>
    <row r="713" spans="1:35" x14ac:dyDescent="0.25">
      <c r="A713" s="1331"/>
      <c r="B713" s="1284"/>
      <c r="C713" s="1284"/>
      <c r="D713" s="1364"/>
      <c r="E713" s="1364"/>
      <c r="F713" s="1364"/>
      <c r="G713" s="1365"/>
      <c r="H713" s="1333"/>
      <c r="I713" s="1333"/>
      <c r="J713" s="1333"/>
      <c r="K713" s="1333"/>
      <c r="L713" s="1333"/>
      <c r="M713" s="1333"/>
      <c r="N713" s="1333"/>
      <c r="O713" s="1333"/>
      <c r="P713" s="1333"/>
      <c r="Q713" s="1333"/>
      <c r="R713" s="1333"/>
      <c r="S713" s="1333"/>
      <c r="T713" s="1333"/>
      <c r="U713" s="1333"/>
      <c r="V713" s="1333"/>
      <c r="W713" s="1333"/>
      <c r="X713" s="1333"/>
      <c r="Y713" s="1333"/>
      <c r="Z713" s="1333"/>
      <c r="AA713" s="1333"/>
      <c r="AB713" s="1333"/>
      <c r="AC713" s="1333"/>
      <c r="AD713" s="1333"/>
      <c r="AE713" s="1333"/>
      <c r="AF713" s="1333"/>
      <c r="AG713" s="1333"/>
      <c r="AH713" s="1333"/>
      <c r="AI713" s="1333"/>
    </row>
    <row r="714" spans="1:35" x14ac:dyDescent="0.25">
      <c r="A714" s="1331"/>
      <c r="B714" s="1284"/>
      <c r="C714" s="1284"/>
      <c r="D714" s="1364"/>
      <c r="E714" s="1364"/>
      <c r="F714" s="1364"/>
      <c r="G714" s="1365"/>
      <c r="H714" s="1333"/>
      <c r="I714" s="1333"/>
      <c r="J714" s="1333"/>
      <c r="K714" s="1333"/>
      <c r="L714" s="1333"/>
      <c r="M714" s="1333"/>
      <c r="N714" s="1333"/>
      <c r="O714" s="1333"/>
      <c r="P714" s="1333"/>
      <c r="Q714" s="1333"/>
      <c r="R714" s="1333"/>
      <c r="S714" s="1333"/>
      <c r="T714" s="1333"/>
      <c r="U714" s="1333"/>
      <c r="V714" s="1333"/>
      <c r="W714" s="1333"/>
      <c r="X714" s="1333"/>
      <c r="Y714" s="1333"/>
      <c r="Z714" s="1333"/>
      <c r="AA714" s="1333"/>
      <c r="AB714" s="1333"/>
      <c r="AC714" s="1333"/>
      <c r="AD714" s="1333"/>
      <c r="AE714" s="1333"/>
      <c r="AF714" s="1333"/>
      <c r="AG714" s="1333"/>
      <c r="AH714" s="1333"/>
      <c r="AI714" s="1333"/>
    </row>
    <row r="715" spans="1:35" x14ac:dyDescent="0.25">
      <c r="A715" s="1331"/>
      <c r="B715" s="1284"/>
      <c r="C715" s="1284"/>
      <c r="D715" s="1364"/>
      <c r="E715" s="1364"/>
      <c r="F715" s="1364"/>
      <c r="G715" s="1365"/>
      <c r="H715" s="1333"/>
      <c r="I715" s="1333"/>
      <c r="J715" s="1333"/>
      <c r="K715" s="1333"/>
      <c r="L715" s="1333"/>
      <c r="M715" s="1333"/>
      <c r="N715" s="1333"/>
      <c r="O715" s="1333"/>
      <c r="P715" s="1333"/>
      <c r="Q715" s="1333"/>
      <c r="R715" s="1333"/>
      <c r="S715" s="1333"/>
      <c r="T715" s="1333"/>
      <c r="U715" s="1333"/>
      <c r="V715" s="1333"/>
      <c r="W715" s="1333"/>
      <c r="X715" s="1333"/>
      <c r="Y715" s="1333"/>
      <c r="Z715" s="1333"/>
      <c r="AA715" s="1333"/>
      <c r="AB715" s="1333"/>
      <c r="AC715" s="1333"/>
      <c r="AD715" s="1333"/>
      <c r="AE715" s="1333"/>
      <c r="AF715" s="1333"/>
      <c r="AG715" s="1333"/>
      <c r="AH715" s="1333"/>
      <c r="AI715" s="1333"/>
    </row>
    <row r="716" spans="1:35" x14ac:dyDescent="0.25">
      <c r="A716" s="1331"/>
      <c r="B716" s="1284"/>
      <c r="C716" s="1284"/>
      <c r="D716" s="1364"/>
      <c r="E716" s="1364"/>
      <c r="F716" s="1364"/>
      <c r="G716" s="1365"/>
      <c r="H716" s="1333"/>
      <c r="I716" s="1333"/>
      <c r="J716" s="1333"/>
      <c r="K716" s="1333"/>
      <c r="L716" s="1333"/>
      <c r="M716" s="1333"/>
      <c r="N716" s="1333"/>
      <c r="O716" s="1333"/>
      <c r="P716" s="1333"/>
      <c r="Q716" s="1333"/>
      <c r="R716" s="1333"/>
      <c r="S716" s="1333"/>
      <c r="T716" s="1333"/>
      <c r="U716" s="1333"/>
      <c r="V716" s="1333"/>
      <c r="W716" s="1333"/>
      <c r="X716" s="1333"/>
      <c r="Y716" s="1333"/>
      <c r="Z716" s="1333"/>
      <c r="AA716" s="1333"/>
      <c r="AB716" s="1333"/>
      <c r="AC716" s="1333"/>
      <c r="AD716" s="1333"/>
      <c r="AE716" s="1333"/>
      <c r="AF716" s="1333"/>
      <c r="AG716" s="1333"/>
      <c r="AH716" s="1333"/>
      <c r="AI716" s="1333"/>
    </row>
    <row r="717" spans="1:35" x14ac:dyDescent="0.25">
      <c r="A717" s="1331"/>
      <c r="B717" s="1284"/>
      <c r="C717" s="1284"/>
      <c r="D717" s="1364"/>
      <c r="E717" s="1364"/>
      <c r="F717" s="1364"/>
      <c r="G717" s="1365"/>
      <c r="H717" s="1333"/>
      <c r="I717" s="1333"/>
      <c r="J717" s="1333"/>
      <c r="K717" s="1333"/>
      <c r="L717" s="1333"/>
      <c r="M717" s="1333"/>
      <c r="N717" s="1333"/>
      <c r="O717" s="1333"/>
      <c r="P717" s="1333"/>
      <c r="Q717" s="1333"/>
      <c r="R717" s="1333"/>
      <c r="S717" s="1333"/>
      <c r="T717" s="1333"/>
      <c r="U717" s="1333"/>
      <c r="V717" s="1333"/>
      <c r="W717" s="1333"/>
      <c r="X717" s="1333"/>
      <c r="Y717" s="1333"/>
      <c r="Z717" s="1333"/>
      <c r="AA717" s="1333"/>
      <c r="AB717" s="1333"/>
      <c r="AC717" s="1333"/>
      <c r="AD717" s="1333"/>
      <c r="AE717" s="1333"/>
      <c r="AF717" s="1333"/>
      <c r="AG717" s="1333"/>
      <c r="AH717" s="1333"/>
      <c r="AI717" s="1333"/>
    </row>
    <row r="718" spans="1:35" x14ac:dyDescent="0.25">
      <c r="A718" s="1331"/>
      <c r="B718" s="1284"/>
      <c r="C718" s="1284"/>
      <c r="D718" s="1364"/>
      <c r="E718" s="1364"/>
      <c r="F718" s="1364"/>
      <c r="G718" s="1365"/>
      <c r="H718" s="1333"/>
      <c r="I718" s="1333"/>
      <c r="J718" s="1333"/>
      <c r="K718" s="1333"/>
      <c r="L718" s="1333"/>
      <c r="M718" s="1333"/>
      <c r="N718" s="1333"/>
      <c r="O718" s="1333"/>
      <c r="P718" s="1333"/>
      <c r="Q718" s="1333"/>
      <c r="R718" s="1333"/>
      <c r="S718" s="1333"/>
      <c r="T718" s="1333"/>
      <c r="U718" s="1333"/>
      <c r="V718" s="1333"/>
      <c r="W718" s="1333"/>
      <c r="X718" s="1333"/>
      <c r="Y718" s="1333"/>
      <c r="Z718" s="1333"/>
      <c r="AA718" s="1333"/>
      <c r="AB718" s="1333"/>
      <c r="AC718" s="1333"/>
      <c r="AD718" s="1333"/>
      <c r="AE718" s="1333"/>
      <c r="AF718" s="1333"/>
      <c r="AG718" s="1333"/>
      <c r="AH718" s="1333"/>
      <c r="AI718" s="1333"/>
    </row>
    <row r="719" spans="1:35" x14ac:dyDescent="0.25">
      <c r="A719" s="1331"/>
      <c r="B719" s="1284"/>
      <c r="C719" s="1284"/>
      <c r="D719" s="1364"/>
      <c r="E719" s="1364"/>
      <c r="F719" s="1364"/>
      <c r="G719" s="1365"/>
      <c r="H719" s="1333"/>
      <c r="I719" s="1333"/>
      <c r="J719" s="1333"/>
      <c r="K719" s="1333"/>
      <c r="L719" s="1333"/>
      <c r="M719" s="1333"/>
      <c r="N719" s="1333"/>
      <c r="O719" s="1333"/>
      <c r="P719" s="1333"/>
      <c r="Q719" s="1333"/>
      <c r="R719" s="1333"/>
      <c r="S719" s="1333"/>
      <c r="T719" s="1333"/>
      <c r="U719" s="1333"/>
      <c r="V719" s="1333"/>
      <c r="W719" s="1333"/>
      <c r="X719" s="1333"/>
      <c r="Y719" s="1333"/>
      <c r="Z719" s="1333"/>
      <c r="AA719" s="1333"/>
      <c r="AB719" s="1333"/>
      <c r="AC719" s="1333"/>
      <c r="AD719" s="1333"/>
      <c r="AE719" s="1333"/>
      <c r="AF719" s="1333"/>
      <c r="AG719" s="1333"/>
      <c r="AH719" s="1333"/>
      <c r="AI719" s="1333"/>
    </row>
    <row r="720" spans="1:35" x14ac:dyDescent="0.25">
      <c r="A720" s="1331"/>
      <c r="B720" s="1284"/>
      <c r="C720" s="1284"/>
      <c r="D720" s="1364"/>
      <c r="E720" s="1364"/>
      <c r="F720" s="1364"/>
      <c r="G720" s="1365"/>
      <c r="H720" s="1333"/>
      <c r="I720" s="1333"/>
      <c r="J720" s="1333"/>
      <c r="K720" s="1333"/>
      <c r="L720" s="1333"/>
      <c r="M720" s="1333"/>
      <c r="N720" s="1333"/>
      <c r="O720" s="1333"/>
      <c r="P720" s="1333"/>
      <c r="Q720" s="1333"/>
      <c r="R720" s="1333"/>
      <c r="S720" s="1333"/>
      <c r="T720" s="1333"/>
      <c r="U720" s="1333"/>
      <c r="V720" s="1333"/>
      <c r="W720" s="1333"/>
      <c r="X720" s="1333"/>
      <c r="Y720" s="1333"/>
      <c r="Z720" s="1333"/>
      <c r="AA720" s="1333"/>
      <c r="AB720" s="1333"/>
      <c r="AC720" s="1333"/>
      <c r="AD720" s="1333"/>
      <c r="AE720" s="1333"/>
      <c r="AF720" s="1333"/>
      <c r="AG720" s="1333"/>
      <c r="AH720" s="1333"/>
      <c r="AI720" s="1333"/>
    </row>
    <row r="721" spans="1:35" x14ac:dyDescent="0.25">
      <c r="A721" s="1331"/>
      <c r="B721" s="1284"/>
      <c r="C721" s="1284"/>
      <c r="D721" s="1364"/>
      <c r="E721" s="1364"/>
      <c r="F721" s="1364"/>
      <c r="G721" s="1365"/>
      <c r="H721" s="1333"/>
      <c r="I721" s="1333"/>
      <c r="J721" s="1333"/>
      <c r="K721" s="1333"/>
      <c r="L721" s="1333"/>
      <c r="M721" s="1333"/>
      <c r="N721" s="1333"/>
      <c r="O721" s="1333"/>
      <c r="P721" s="1333"/>
      <c r="Q721" s="1333"/>
      <c r="R721" s="1333"/>
      <c r="S721" s="1333"/>
      <c r="T721" s="1333"/>
      <c r="U721" s="1333"/>
      <c r="V721" s="1333"/>
      <c r="W721" s="1333"/>
      <c r="X721" s="1333"/>
      <c r="Y721" s="1333"/>
      <c r="Z721" s="1333"/>
      <c r="AA721" s="1333"/>
      <c r="AB721" s="1333"/>
      <c r="AC721" s="1333"/>
      <c r="AD721" s="1333"/>
      <c r="AE721" s="1333"/>
      <c r="AF721" s="1333"/>
      <c r="AG721" s="1333"/>
      <c r="AH721" s="1333"/>
      <c r="AI721" s="1333"/>
    </row>
    <row r="722" spans="1:35" x14ac:dyDescent="0.25">
      <c r="A722" s="1331"/>
      <c r="B722" s="1284"/>
      <c r="C722" s="1284"/>
      <c r="D722" s="1364"/>
      <c r="E722" s="1364"/>
      <c r="F722" s="1364"/>
      <c r="G722" s="1365"/>
      <c r="H722" s="1333"/>
      <c r="I722" s="1333"/>
      <c r="J722" s="1333"/>
      <c r="K722" s="1333"/>
      <c r="L722" s="1333"/>
      <c r="M722" s="1333"/>
      <c r="N722" s="1333"/>
      <c r="O722" s="1333"/>
      <c r="P722" s="1333"/>
      <c r="Q722" s="1333"/>
      <c r="R722" s="1333"/>
      <c r="S722" s="1333"/>
      <c r="T722" s="1333"/>
      <c r="U722" s="1333"/>
      <c r="V722" s="1333"/>
      <c r="W722" s="1333"/>
      <c r="X722" s="1333"/>
      <c r="Y722" s="1333"/>
      <c r="Z722" s="1333"/>
      <c r="AA722" s="1333"/>
      <c r="AB722" s="1333"/>
      <c r="AC722" s="1333"/>
      <c r="AD722" s="1333"/>
      <c r="AE722" s="1333"/>
      <c r="AF722" s="1333"/>
      <c r="AG722" s="1333"/>
      <c r="AH722" s="1333"/>
      <c r="AI722" s="1333"/>
    </row>
    <row r="723" spans="1:35" x14ac:dyDescent="0.25">
      <c r="A723" s="1331"/>
      <c r="B723" s="1284"/>
      <c r="C723" s="1284"/>
      <c r="D723" s="1364"/>
      <c r="E723" s="1364"/>
      <c r="F723" s="1364"/>
      <c r="G723" s="1365"/>
      <c r="H723" s="1333"/>
      <c r="I723" s="1333"/>
      <c r="J723" s="1333"/>
      <c r="K723" s="1333"/>
      <c r="L723" s="1333"/>
      <c r="M723" s="1333"/>
      <c r="N723" s="1333"/>
      <c r="O723" s="1333"/>
      <c r="P723" s="1333"/>
      <c r="Q723" s="1333"/>
      <c r="R723" s="1333"/>
      <c r="S723" s="1333"/>
      <c r="T723" s="1333"/>
      <c r="U723" s="1333"/>
      <c r="V723" s="1333"/>
      <c r="W723" s="1333"/>
      <c r="X723" s="1333"/>
      <c r="Y723" s="1333"/>
      <c r="Z723" s="1333"/>
      <c r="AA723" s="1333"/>
      <c r="AB723" s="1333"/>
      <c r="AC723" s="1333"/>
      <c r="AD723" s="1333"/>
      <c r="AE723" s="1333"/>
      <c r="AF723" s="1333"/>
      <c r="AG723" s="1333"/>
      <c r="AH723" s="1333"/>
      <c r="AI723" s="1333"/>
    </row>
    <row r="724" spans="1:35" x14ac:dyDescent="0.25">
      <c r="A724" s="1331"/>
      <c r="B724" s="1284"/>
      <c r="C724" s="1284"/>
      <c r="D724" s="1364"/>
      <c r="E724" s="1364"/>
      <c r="F724" s="1364"/>
      <c r="G724" s="1365"/>
      <c r="H724" s="1333"/>
      <c r="I724" s="1333"/>
      <c r="J724" s="1333"/>
      <c r="K724" s="1333"/>
      <c r="L724" s="1333"/>
      <c r="M724" s="1333"/>
      <c r="N724" s="1333"/>
      <c r="O724" s="1333"/>
      <c r="P724" s="1333"/>
      <c r="Q724" s="1333"/>
      <c r="R724" s="1333"/>
      <c r="S724" s="1333"/>
      <c r="T724" s="1333"/>
      <c r="U724" s="1333"/>
      <c r="V724" s="1333"/>
      <c r="W724" s="1333"/>
      <c r="X724" s="1333"/>
      <c r="Y724" s="1333"/>
      <c r="Z724" s="1333"/>
      <c r="AA724" s="1333"/>
      <c r="AB724" s="1333"/>
      <c r="AC724" s="1333"/>
      <c r="AD724" s="1333"/>
      <c r="AE724" s="1333"/>
      <c r="AF724" s="1333"/>
      <c r="AG724" s="1333"/>
      <c r="AH724" s="1333"/>
      <c r="AI724" s="1333"/>
    </row>
    <row r="725" spans="1:35" x14ac:dyDescent="0.25">
      <c r="A725" s="1331"/>
      <c r="B725" s="1284"/>
      <c r="C725" s="1284"/>
      <c r="D725" s="1364"/>
      <c r="E725" s="1364"/>
      <c r="F725" s="1364"/>
      <c r="G725" s="1365"/>
      <c r="H725" s="1333"/>
      <c r="I725" s="1333"/>
      <c r="J725" s="1333"/>
      <c r="K725" s="1333"/>
      <c r="L725" s="1333"/>
      <c r="M725" s="1333"/>
      <c r="N725" s="1333"/>
      <c r="O725" s="1333"/>
      <c r="P725" s="1333"/>
      <c r="Q725" s="1333"/>
      <c r="R725" s="1333"/>
      <c r="S725" s="1333"/>
      <c r="T725" s="1333"/>
      <c r="U725" s="1333"/>
      <c r="V725" s="1333"/>
      <c r="W725" s="1333"/>
      <c r="X725" s="1333"/>
      <c r="Y725" s="1333"/>
      <c r="Z725" s="1333"/>
      <c r="AA725" s="1333"/>
      <c r="AB725" s="1333"/>
      <c r="AC725" s="1333"/>
      <c r="AD725" s="1333"/>
      <c r="AE725" s="1333"/>
      <c r="AF725" s="1333"/>
      <c r="AG725" s="1333"/>
      <c r="AH725" s="1333"/>
      <c r="AI725" s="1333"/>
    </row>
    <row r="726" spans="1:35" x14ac:dyDescent="0.25">
      <c r="A726" s="1331"/>
      <c r="B726" s="1284"/>
      <c r="C726" s="1284"/>
      <c r="D726" s="1364"/>
      <c r="E726" s="1364"/>
      <c r="F726" s="1364"/>
      <c r="G726" s="1365"/>
      <c r="H726" s="1333"/>
      <c r="I726" s="1333"/>
      <c r="J726" s="1333"/>
      <c r="K726" s="1333"/>
      <c r="L726" s="1333"/>
      <c r="M726" s="1333"/>
      <c r="N726" s="1333"/>
      <c r="O726" s="1333"/>
      <c r="P726" s="1333"/>
      <c r="Q726" s="1333"/>
      <c r="R726" s="1333"/>
      <c r="S726" s="1333"/>
      <c r="T726" s="1333"/>
      <c r="U726" s="1333"/>
      <c r="V726" s="1333"/>
      <c r="W726" s="1333"/>
      <c r="X726" s="1333"/>
      <c r="Y726" s="1333"/>
      <c r="Z726" s="1333"/>
      <c r="AA726" s="1333"/>
      <c r="AB726" s="1333"/>
      <c r="AC726" s="1333"/>
      <c r="AD726" s="1333"/>
      <c r="AE726" s="1333"/>
      <c r="AF726" s="1333"/>
      <c r="AG726" s="1333"/>
      <c r="AH726" s="1333"/>
      <c r="AI726" s="1333"/>
    </row>
    <row r="727" spans="1:35" x14ac:dyDescent="0.25">
      <c r="A727" s="1331"/>
      <c r="B727" s="1284"/>
      <c r="C727" s="1284"/>
      <c r="D727" s="1364"/>
      <c r="E727" s="1364"/>
      <c r="F727" s="1364"/>
      <c r="G727" s="1365"/>
      <c r="H727" s="1333"/>
      <c r="I727" s="1333"/>
      <c r="J727" s="1333"/>
      <c r="K727" s="1333"/>
      <c r="L727" s="1333"/>
      <c r="M727" s="1333"/>
      <c r="N727" s="1333"/>
      <c r="O727" s="1333"/>
      <c r="P727" s="1333"/>
      <c r="Q727" s="1333"/>
      <c r="R727" s="1333"/>
      <c r="S727" s="1333"/>
      <c r="T727" s="1333"/>
      <c r="U727" s="1333"/>
      <c r="V727" s="1333"/>
      <c r="W727" s="1333"/>
      <c r="X727" s="1333"/>
      <c r="Y727" s="1333"/>
      <c r="Z727" s="1333"/>
      <c r="AA727" s="1333"/>
      <c r="AB727" s="1333"/>
      <c r="AC727" s="1333"/>
      <c r="AD727" s="1333"/>
      <c r="AE727" s="1333"/>
      <c r="AF727" s="1333"/>
      <c r="AG727" s="1333"/>
      <c r="AH727" s="1333"/>
      <c r="AI727" s="1333"/>
    </row>
    <row r="728" spans="1:35" x14ac:dyDescent="0.25">
      <c r="A728" s="1331"/>
      <c r="B728" s="1284"/>
      <c r="C728" s="1284"/>
      <c r="D728" s="1364"/>
      <c r="E728" s="1364"/>
      <c r="F728" s="1364"/>
      <c r="G728" s="1365"/>
      <c r="H728" s="1333"/>
      <c r="I728" s="1333"/>
      <c r="J728" s="1333"/>
      <c r="K728" s="1333"/>
      <c r="L728" s="1333"/>
      <c r="M728" s="1333"/>
      <c r="N728" s="1333"/>
      <c r="O728" s="1333"/>
      <c r="P728" s="1333"/>
      <c r="Q728" s="1333"/>
      <c r="R728" s="1333"/>
      <c r="S728" s="1333"/>
      <c r="T728" s="1333"/>
      <c r="U728" s="1333"/>
      <c r="V728" s="1333"/>
      <c r="W728" s="1333"/>
      <c r="X728" s="1333"/>
      <c r="Y728" s="1333"/>
      <c r="Z728" s="1333"/>
      <c r="AA728" s="1333"/>
      <c r="AB728" s="1333"/>
      <c r="AC728" s="1333"/>
      <c r="AD728" s="1333"/>
      <c r="AE728" s="1333"/>
      <c r="AF728" s="1333"/>
      <c r="AG728" s="1333"/>
      <c r="AH728" s="1333"/>
      <c r="AI728" s="1333"/>
    </row>
    <row r="729" spans="1:35" x14ac:dyDescent="0.25">
      <c r="A729" s="1331"/>
      <c r="B729" s="1284"/>
      <c r="C729" s="1284"/>
      <c r="D729" s="1364"/>
      <c r="E729" s="1364"/>
      <c r="F729" s="1364"/>
      <c r="G729" s="1365"/>
      <c r="H729" s="1333"/>
      <c r="I729" s="1333"/>
      <c r="J729" s="1333"/>
      <c r="K729" s="1333"/>
      <c r="L729" s="1333"/>
      <c r="M729" s="1333"/>
      <c r="N729" s="1333"/>
      <c r="O729" s="1333"/>
      <c r="P729" s="1333"/>
      <c r="Q729" s="1333"/>
      <c r="R729" s="1333"/>
      <c r="S729" s="1333"/>
      <c r="T729" s="1333"/>
      <c r="U729" s="1333"/>
      <c r="V729" s="1333"/>
      <c r="W729" s="1333"/>
      <c r="X729" s="1333"/>
      <c r="Y729" s="1333"/>
      <c r="Z729" s="1333"/>
      <c r="AA729" s="1333"/>
      <c r="AB729" s="1333"/>
      <c r="AC729" s="1333"/>
      <c r="AD729" s="1333"/>
      <c r="AE729" s="1333"/>
      <c r="AF729" s="1333"/>
      <c r="AG729" s="1333"/>
      <c r="AH729" s="1333"/>
      <c r="AI729" s="1333"/>
    </row>
    <row r="730" spans="1:35" x14ac:dyDescent="0.25">
      <c r="A730" s="1331"/>
      <c r="B730" s="1284"/>
      <c r="C730" s="1284"/>
      <c r="D730" s="1364"/>
      <c r="E730" s="1364"/>
      <c r="F730" s="1364"/>
      <c r="G730" s="1365"/>
      <c r="H730" s="1333"/>
      <c r="I730" s="1333"/>
      <c r="J730" s="1333"/>
      <c r="K730" s="1333"/>
      <c r="L730" s="1333"/>
      <c r="M730" s="1333"/>
      <c r="N730" s="1333"/>
      <c r="O730" s="1333"/>
      <c r="P730" s="1333"/>
      <c r="Q730" s="1333"/>
      <c r="R730" s="1333"/>
      <c r="S730" s="1333"/>
      <c r="T730" s="1333"/>
      <c r="U730" s="1333"/>
      <c r="V730" s="1333"/>
      <c r="W730" s="1333"/>
      <c r="X730" s="1333"/>
      <c r="Y730" s="1333"/>
      <c r="Z730" s="1333"/>
      <c r="AA730" s="1333"/>
      <c r="AB730" s="1333"/>
      <c r="AC730" s="1333"/>
      <c r="AD730" s="1333"/>
      <c r="AE730" s="1333"/>
      <c r="AF730" s="1333"/>
      <c r="AG730" s="1333"/>
      <c r="AH730" s="1333"/>
      <c r="AI730" s="1333"/>
    </row>
    <row r="731" spans="1:35" x14ac:dyDescent="0.25">
      <c r="A731" s="1331"/>
      <c r="B731" s="1284"/>
      <c r="C731" s="1284"/>
      <c r="D731" s="1364"/>
      <c r="E731" s="1364"/>
      <c r="F731" s="1364"/>
      <c r="G731" s="1365"/>
      <c r="H731" s="1333"/>
      <c r="I731" s="1333"/>
      <c r="J731" s="1333"/>
      <c r="K731" s="1333"/>
      <c r="L731" s="1333"/>
      <c r="M731" s="1333"/>
      <c r="N731" s="1333"/>
      <c r="O731" s="1333"/>
      <c r="P731" s="1333"/>
      <c r="Q731" s="1333"/>
      <c r="R731" s="1333"/>
      <c r="S731" s="1333"/>
      <c r="T731" s="1333"/>
      <c r="U731" s="1333"/>
      <c r="V731" s="1333"/>
      <c r="W731" s="1333"/>
      <c r="X731" s="1333"/>
      <c r="Y731" s="1333"/>
      <c r="Z731" s="1333"/>
      <c r="AA731" s="1333"/>
      <c r="AB731" s="1333"/>
      <c r="AC731" s="1333"/>
      <c r="AD731" s="1333"/>
      <c r="AE731" s="1333"/>
      <c r="AF731" s="1333"/>
      <c r="AG731" s="1333"/>
      <c r="AH731" s="1333"/>
      <c r="AI731" s="1333"/>
    </row>
    <row r="732" spans="1:35" x14ac:dyDescent="0.25">
      <c r="A732" s="1331"/>
      <c r="B732" s="1284"/>
      <c r="C732" s="1284"/>
      <c r="D732" s="1364"/>
      <c r="E732" s="1364"/>
      <c r="F732" s="1364"/>
      <c r="G732" s="1365"/>
      <c r="H732" s="1333"/>
      <c r="I732" s="1333"/>
      <c r="J732" s="1333"/>
      <c r="K732" s="1333"/>
      <c r="L732" s="1333"/>
      <c r="M732" s="1333"/>
      <c r="N732" s="1333"/>
      <c r="O732" s="1333"/>
      <c r="P732" s="1333"/>
      <c r="Q732" s="1333"/>
      <c r="R732" s="1333"/>
      <c r="S732" s="1333"/>
      <c r="T732" s="1333"/>
      <c r="U732" s="1333"/>
      <c r="V732" s="1333"/>
      <c r="W732" s="1333"/>
      <c r="X732" s="1333"/>
      <c r="Y732" s="1333"/>
      <c r="Z732" s="1333"/>
      <c r="AA732" s="1333"/>
      <c r="AB732" s="1333"/>
      <c r="AC732" s="1333"/>
      <c r="AD732" s="1333"/>
      <c r="AE732" s="1333"/>
      <c r="AF732" s="1333"/>
      <c r="AG732" s="1333"/>
      <c r="AH732" s="1333"/>
      <c r="AI732" s="1333"/>
    </row>
    <row r="733" spans="1:35" x14ac:dyDescent="0.25">
      <c r="A733" s="1331"/>
      <c r="B733" s="1284"/>
      <c r="C733" s="1284"/>
      <c r="D733" s="1364"/>
      <c r="E733" s="1364"/>
      <c r="F733" s="1364"/>
      <c r="G733" s="1365"/>
      <c r="H733" s="1333"/>
      <c r="I733" s="1333"/>
      <c r="J733" s="1333"/>
      <c r="K733" s="1333"/>
      <c r="L733" s="1333"/>
      <c r="M733" s="1333"/>
      <c r="N733" s="1333"/>
      <c r="O733" s="1333"/>
      <c r="P733" s="1333"/>
      <c r="Q733" s="1333"/>
      <c r="R733" s="1333"/>
      <c r="S733" s="1333"/>
      <c r="T733" s="1333"/>
      <c r="U733" s="1333"/>
      <c r="V733" s="1333"/>
      <c r="W733" s="1333"/>
      <c r="X733" s="1333"/>
      <c r="Y733" s="1333"/>
      <c r="Z733" s="1333"/>
      <c r="AA733" s="1333"/>
      <c r="AB733" s="1333"/>
      <c r="AC733" s="1333"/>
      <c r="AD733" s="1333"/>
      <c r="AE733" s="1333"/>
      <c r="AF733" s="1333"/>
      <c r="AG733" s="1333"/>
      <c r="AH733" s="1333"/>
      <c r="AI733" s="1333"/>
    </row>
    <row r="734" spans="1:35" x14ac:dyDescent="0.25">
      <c r="A734" s="1331"/>
      <c r="B734" s="1284"/>
      <c r="C734" s="1284"/>
      <c r="D734" s="1364"/>
      <c r="E734" s="1364"/>
      <c r="F734" s="1364"/>
      <c r="G734" s="1365"/>
      <c r="H734" s="1333"/>
      <c r="I734" s="1333"/>
      <c r="J734" s="1333"/>
      <c r="K734" s="1333"/>
      <c r="L734" s="1333"/>
      <c r="M734" s="1333"/>
      <c r="N734" s="1333"/>
      <c r="O734" s="1333"/>
      <c r="P734" s="1333"/>
      <c r="Q734" s="1333"/>
      <c r="R734" s="1333"/>
      <c r="S734" s="1333"/>
      <c r="T734" s="1333"/>
      <c r="U734" s="1333"/>
      <c r="V734" s="1333"/>
      <c r="W734" s="1333"/>
      <c r="X734" s="1333"/>
      <c r="Y734" s="1333"/>
      <c r="Z734" s="1333"/>
      <c r="AA734" s="1333"/>
      <c r="AB734" s="1333"/>
      <c r="AC734" s="1333"/>
      <c r="AD734" s="1333"/>
      <c r="AE734" s="1333"/>
      <c r="AF734" s="1333"/>
      <c r="AG734" s="1333"/>
      <c r="AH734" s="1333"/>
      <c r="AI734" s="1333"/>
    </row>
    <row r="735" spans="1:35" x14ac:dyDescent="0.25">
      <c r="A735" s="1331"/>
      <c r="B735" s="1284"/>
      <c r="C735" s="1284"/>
      <c r="D735" s="1364"/>
      <c r="E735" s="1364"/>
      <c r="F735" s="1364"/>
      <c r="G735" s="1365"/>
      <c r="H735" s="1333"/>
      <c r="I735" s="1333"/>
      <c r="J735" s="1333"/>
      <c r="K735" s="1333"/>
      <c r="L735" s="1333"/>
      <c r="M735" s="1333"/>
      <c r="N735" s="1333"/>
      <c r="O735" s="1333"/>
      <c r="P735" s="1333"/>
      <c r="Q735" s="1333"/>
      <c r="R735" s="1333"/>
      <c r="S735" s="1333"/>
      <c r="T735" s="1333"/>
      <c r="U735" s="1333"/>
      <c r="V735" s="1333"/>
      <c r="W735" s="1333"/>
      <c r="X735" s="1333"/>
      <c r="Y735" s="1333"/>
      <c r="Z735" s="1333"/>
      <c r="AA735" s="1333"/>
      <c r="AB735" s="1333"/>
      <c r="AC735" s="1333"/>
      <c r="AD735" s="1333"/>
      <c r="AE735" s="1333"/>
      <c r="AF735" s="1333"/>
      <c r="AG735" s="1333"/>
      <c r="AH735" s="1333"/>
      <c r="AI735" s="1333"/>
    </row>
    <row r="736" spans="1:35" x14ac:dyDescent="0.25">
      <c r="A736" s="1331"/>
      <c r="B736" s="1284"/>
      <c r="C736" s="1284"/>
      <c r="D736" s="1364"/>
      <c r="E736" s="1364"/>
      <c r="F736" s="1364"/>
      <c r="G736" s="1365"/>
      <c r="H736" s="1333"/>
      <c r="I736" s="1333"/>
      <c r="J736" s="1333"/>
      <c r="K736" s="1333"/>
      <c r="L736" s="1333"/>
      <c r="M736" s="1333"/>
      <c r="N736" s="1333"/>
      <c r="O736" s="1333"/>
      <c r="P736" s="1333"/>
      <c r="Q736" s="1333"/>
      <c r="R736" s="1333"/>
      <c r="S736" s="1333"/>
      <c r="T736" s="1333"/>
      <c r="U736" s="1333"/>
      <c r="V736" s="1333"/>
      <c r="W736" s="1333"/>
      <c r="X736" s="1333"/>
      <c r="Y736" s="1333"/>
      <c r="Z736" s="1333"/>
      <c r="AA736" s="1333"/>
      <c r="AB736" s="1333"/>
      <c r="AC736" s="1333"/>
      <c r="AD736" s="1333"/>
      <c r="AE736" s="1333"/>
      <c r="AF736" s="1333"/>
      <c r="AG736" s="1333"/>
      <c r="AH736" s="1333"/>
      <c r="AI736" s="1333"/>
    </row>
    <row r="737" spans="1:35" x14ac:dyDescent="0.25">
      <c r="A737" s="1331"/>
      <c r="B737" s="1284"/>
      <c r="C737" s="1284"/>
      <c r="D737" s="1364"/>
      <c r="E737" s="1364"/>
      <c r="F737" s="1364"/>
      <c r="G737" s="1365"/>
      <c r="H737" s="1333"/>
      <c r="I737" s="1333"/>
      <c r="J737" s="1333"/>
      <c r="K737" s="1333"/>
      <c r="L737" s="1333"/>
      <c r="M737" s="1333"/>
      <c r="N737" s="1333"/>
      <c r="O737" s="1333"/>
      <c r="P737" s="1333"/>
      <c r="Q737" s="1333"/>
      <c r="R737" s="1333"/>
      <c r="S737" s="1333"/>
      <c r="T737" s="1333"/>
      <c r="U737" s="1333"/>
      <c r="V737" s="1333"/>
      <c r="W737" s="1333"/>
      <c r="X737" s="1333"/>
      <c r="Y737" s="1333"/>
      <c r="Z737" s="1333"/>
      <c r="AA737" s="1333"/>
      <c r="AB737" s="1333"/>
      <c r="AC737" s="1333"/>
      <c r="AD737" s="1333"/>
      <c r="AE737" s="1333"/>
      <c r="AF737" s="1333"/>
      <c r="AG737" s="1333"/>
      <c r="AH737" s="1333"/>
      <c r="AI737" s="1333"/>
    </row>
    <row r="738" spans="1:35" x14ac:dyDescent="0.25">
      <c r="A738" s="1331"/>
      <c r="B738" s="1284"/>
      <c r="C738" s="1284"/>
      <c r="D738" s="1364"/>
      <c r="E738" s="1364"/>
      <c r="F738" s="1364"/>
      <c r="G738" s="1365"/>
      <c r="H738" s="1333"/>
      <c r="I738" s="1333"/>
      <c r="J738" s="1333"/>
      <c r="K738" s="1333"/>
      <c r="L738" s="1333"/>
      <c r="M738" s="1333"/>
      <c r="N738" s="1333"/>
      <c r="O738" s="1333"/>
      <c r="P738" s="1333"/>
      <c r="Q738" s="1333"/>
      <c r="R738" s="1333"/>
      <c r="S738" s="1333"/>
      <c r="T738" s="1333"/>
      <c r="U738" s="1333"/>
      <c r="V738" s="1333"/>
      <c r="W738" s="1333"/>
      <c r="X738" s="1333"/>
      <c r="Y738" s="1333"/>
      <c r="Z738" s="1333"/>
      <c r="AA738" s="1333"/>
      <c r="AB738" s="1333"/>
      <c r="AC738" s="1333"/>
      <c r="AD738" s="1333"/>
      <c r="AE738" s="1333"/>
      <c r="AF738" s="1333"/>
      <c r="AG738" s="1333"/>
      <c r="AH738" s="1333"/>
      <c r="AI738" s="1333"/>
    </row>
    <row r="739" spans="1:35" x14ac:dyDescent="0.25">
      <c r="A739" s="1331"/>
      <c r="B739" s="1284"/>
      <c r="C739" s="1284"/>
      <c r="D739" s="1364"/>
      <c r="E739" s="1364"/>
      <c r="F739" s="1364"/>
      <c r="G739" s="1365"/>
      <c r="H739" s="1333"/>
      <c r="I739" s="1333"/>
      <c r="J739" s="1333"/>
      <c r="K739" s="1333"/>
      <c r="L739" s="1333"/>
      <c r="M739" s="1333"/>
      <c r="N739" s="1333"/>
      <c r="O739" s="1333"/>
      <c r="P739" s="1333"/>
      <c r="Q739" s="1333"/>
      <c r="R739" s="1333"/>
      <c r="S739" s="1333"/>
      <c r="T739" s="1333"/>
      <c r="U739" s="1333"/>
      <c r="V739" s="1333"/>
      <c r="W739" s="1333"/>
      <c r="X739" s="1333"/>
      <c r="Y739" s="1333"/>
      <c r="Z739" s="1333"/>
      <c r="AA739" s="1333"/>
      <c r="AB739" s="1333"/>
      <c r="AC739" s="1333"/>
      <c r="AD739" s="1333"/>
      <c r="AE739" s="1333"/>
      <c r="AF739" s="1333"/>
      <c r="AG739" s="1333"/>
      <c r="AH739" s="1333"/>
      <c r="AI739" s="1333"/>
    </row>
    <row r="740" spans="1:35" x14ac:dyDescent="0.25">
      <c r="A740" s="1331"/>
      <c r="B740" s="1284"/>
      <c r="C740" s="1284"/>
      <c r="D740" s="1364"/>
      <c r="E740" s="1364"/>
      <c r="F740" s="1364"/>
      <c r="G740" s="1365"/>
      <c r="H740" s="1333"/>
      <c r="I740" s="1333"/>
      <c r="J740" s="1333"/>
      <c r="K740" s="1333"/>
      <c r="L740" s="1333"/>
      <c r="M740" s="1333"/>
      <c r="N740" s="1333"/>
      <c r="O740" s="1333"/>
      <c r="P740" s="1333"/>
      <c r="Q740" s="1333"/>
      <c r="R740" s="1333"/>
      <c r="S740" s="1333"/>
      <c r="T740" s="1333"/>
      <c r="U740" s="1333"/>
      <c r="V740" s="1333"/>
      <c r="W740" s="1333"/>
      <c r="X740" s="1333"/>
      <c r="Y740" s="1333"/>
      <c r="Z740" s="1333"/>
      <c r="AA740" s="1333"/>
      <c r="AB740" s="1333"/>
      <c r="AC740" s="1333"/>
      <c r="AD740" s="1333"/>
      <c r="AE740" s="1333"/>
      <c r="AF740" s="1333"/>
      <c r="AG740" s="1333"/>
      <c r="AH740" s="1333"/>
      <c r="AI740" s="1333"/>
    </row>
    <row r="741" spans="1:35" x14ac:dyDescent="0.25">
      <c r="A741" s="1331"/>
      <c r="B741" s="1284"/>
      <c r="C741" s="1284"/>
      <c r="D741" s="1364"/>
      <c r="E741" s="1364"/>
      <c r="F741" s="1364"/>
      <c r="G741" s="1365"/>
      <c r="H741" s="1333"/>
      <c r="I741" s="1333"/>
      <c r="J741" s="1333"/>
      <c r="K741" s="1333"/>
      <c r="L741" s="1333"/>
      <c r="M741" s="1333"/>
      <c r="N741" s="1333"/>
      <c r="O741" s="1333"/>
      <c r="P741" s="1333"/>
      <c r="Q741" s="1333"/>
      <c r="R741" s="1333"/>
      <c r="S741" s="1333"/>
      <c r="T741" s="1333"/>
      <c r="U741" s="1333"/>
      <c r="V741" s="1333"/>
      <c r="W741" s="1333"/>
      <c r="X741" s="1333"/>
      <c r="Y741" s="1333"/>
      <c r="Z741" s="1333"/>
      <c r="AA741" s="1333"/>
      <c r="AB741" s="1333"/>
      <c r="AC741" s="1333"/>
      <c r="AD741" s="1333"/>
      <c r="AE741" s="1333"/>
      <c r="AF741" s="1333"/>
      <c r="AG741" s="1333"/>
      <c r="AH741" s="1333"/>
      <c r="AI741" s="1333"/>
    </row>
    <row r="742" spans="1:35" x14ac:dyDescent="0.25">
      <c r="A742" s="1331"/>
      <c r="B742" s="1284"/>
      <c r="C742" s="1284"/>
      <c r="D742" s="1364"/>
      <c r="E742" s="1364"/>
      <c r="F742" s="1364"/>
      <c r="G742" s="1365"/>
      <c r="H742" s="1333"/>
      <c r="I742" s="1333"/>
      <c r="J742" s="1333"/>
      <c r="K742" s="1333"/>
      <c r="L742" s="1333"/>
      <c r="M742" s="1333"/>
      <c r="N742" s="1333"/>
      <c r="O742" s="1333"/>
      <c r="P742" s="1333"/>
      <c r="Q742" s="1333"/>
      <c r="R742" s="1333"/>
      <c r="S742" s="1333"/>
      <c r="T742" s="1333"/>
      <c r="U742" s="1333"/>
      <c r="V742" s="1333"/>
      <c r="W742" s="1333"/>
      <c r="X742" s="1333"/>
      <c r="Y742" s="1333"/>
      <c r="Z742" s="1333"/>
      <c r="AA742" s="1333"/>
      <c r="AB742" s="1333"/>
      <c r="AC742" s="1333"/>
      <c r="AD742" s="1333"/>
      <c r="AE742" s="1333"/>
      <c r="AF742" s="1333"/>
      <c r="AG742" s="1333"/>
      <c r="AH742" s="1333"/>
      <c r="AI742" s="1333"/>
    </row>
    <row r="743" spans="1:35" x14ac:dyDescent="0.25">
      <c r="A743" s="1331"/>
      <c r="B743" s="1284"/>
      <c r="C743" s="1284"/>
      <c r="D743" s="1364"/>
      <c r="E743" s="1364"/>
      <c r="F743" s="1364"/>
      <c r="G743" s="1365"/>
      <c r="H743" s="1333"/>
      <c r="I743" s="1333"/>
      <c r="J743" s="1333"/>
      <c r="K743" s="1333"/>
      <c r="L743" s="1333"/>
      <c r="M743" s="1333"/>
      <c r="N743" s="1333"/>
      <c r="O743" s="1333"/>
      <c r="P743" s="1333"/>
      <c r="Q743" s="1333"/>
      <c r="R743" s="1333"/>
      <c r="S743" s="1333"/>
      <c r="T743" s="1333"/>
      <c r="U743" s="1333"/>
      <c r="V743" s="1333"/>
      <c r="W743" s="1333"/>
      <c r="X743" s="1333"/>
      <c r="Y743" s="1333"/>
      <c r="Z743" s="1333"/>
      <c r="AA743" s="1333"/>
      <c r="AB743" s="1333"/>
      <c r="AC743" s="1333"/>
      <c r="AD743" s="1333"/>
      <c r="AE743" s="1333"/>
      <c r="AF743" s="1333"/>
      <c r="AG743" s="1333"/>
      <c r="AH743" s="1333"/>
      <c r="AI743" s="1333"/>
    </row>
    <row r="744" spans="1:35" x14ac:dyDescent="0.25">
      <c r="A744" s="1331"/>
      <c r="B744" s="1284"/>
      <c r="C744" s="1284"/>
      <c r="D744" s="1364"/>
      <c r="E744" s="1364"/>
      <c r="F744" s="1364"/>
      <c r="G744" s="1365"/>
      <c r="H744" s="1333"/>
      <c r="I744" s="1333"/>
      <c r="J744" s="1333"/>
      <c r="K744" s="1333"/>
      <c r="L744" s="1333"/>
      <c r="M744" s="1333"/>
      <c r="N744" s="1333"/>
      <c r="O744" s="1333"/>
      <c r="P744" s="1333"/>
      <c r="Q744" s="1333"/>
      <c r="R744" s="1333"/>
      <c r="S744" s="1333"/>
      <c r="T744" s="1333"/>
      <c r="U744" s="1333"/>
      <c r="V744" s="1333"/>
      <c r="W744" s="1333"/>
      <c r="X744" s="1333"/>
      <c r="Y744" s="1333"/>
      <c r="Z744" s="1333"/>
      <c r="AA744" s="1333"/>
      <c r="AB744" s="1333"/>
      <c r="AC744" s="1333"/>
      <c r="AD744" s="1333"/>
      <c r="AE744" s="1333"/>
      <c r="AF744" s="1333"/>
      <c r="AG744" s="1333"/>
      <c r="AH744" s="1333"/>
      <c r="AI744" s="1333"/>
    </row>
    <row r="745" spans="1:35" x14ac:dyDescent="0.25">
      <c r="A745" s="1331"/>
      <c r="B745" s="1284"/>
      <c r="C745" s="1284"/>
      <c r="D745" s="1364"/>
      <c r="E745" s="1364"/>
      <c r="F745" s="1364"/>
      <c r="G745" s="1365"/>
      <c r="H745" s="1333"/>
      <c r="I745" s="1333"/>
      <c r="J745" s="1333"/>
      <c r="K745" s="1333"/>
      <c r="L745" s="1333"/>
      <c r="M745" s="1333"/>
      <c r="N745" s="1333"/>
      <c r="O745" s="1333"/>
      <c r="P745" s="1333"/>
      <c r="Q745" s="1333"/>
      <c r="R745" s="1333"/>
      <c r="S745" s="1333"/>
      <c r="T745" s="1333"/>
      <c r="U745" s="1333"/>
      <c r="V745" s="1333"/>
      <c r="W745" s="1333"/>
      <c r="X745" s="1333"/>
      <c r="Y745" s="1333"/>
      <c r="Z745" s="1333"/>
      <c r="AA745" s="1333"/>
      <c r="AB745" s="1333"/>
      <c r="AC745" s="1333"/>
      <c r="AD745" s="1333"/>
      <c r="AE745" s="1333"/>
      <c r="AF745" s="1333"/>
      <c r="AG745" s="1333"/>
      <c r="AH745" s="1333"/>
      <c r="AI745" s="1333"/>
    </row>
    <row r="746" spans="1:35" x14ac:dyDescent="0.25">
      <c r="A746" s="1331"/>
      <c r="B746" s="1284"/>
      <c r="C746" s="1284"/>
      <c r="D746" s="1364"/>
      <c r="E746" s="1364"/>
      <c r="F746" s="1364"/>
      <c r="G746" s="1365"/>
      <c r="H746" s="1333"/>
      <c r="I746" s="1333"/>
      <c r="J746" s="1333"/>
      <c r="K746" s="1333"/>
      <c r="L746" s="1333"/>
      <c r="M746" s="1333"/>
      <c r="N746" s="1333"/>
      <c r="O746" s="1333"/>
      <c r="P746" s="1333"/>
      <c r="Q746" s="1333"/>
      <c r="R746" s="1333"/>
      <c r="S746" s="1333"/>
      <c r="T746" s="1333"/>
      <c r="U746" s="1333"/>
      <c r="V746" s="1333"/>
      <c r="W746" s="1333"/>
      <c r="X746" s="1333"/>
      <c r="Y746" s="1333"/>
      <c r="Z746" s="1333"/>
      <c r="AA746" s="1333"/>
      <c r="AB746" s="1333"/>
      <c r="AC746" s="1333"/>
      <c r="AD746" s="1333"/>
      <c r="AE746" s="1333"/>
      <c r="AF746" s="1333"/>
      <c r="AG746" s="1333"/>
      <c r="AH746" s="1333"/>
      <c r="AI746" s="1333"/>
    </row>
    <row r="747" spans="1:35" x14ac:dyDescent="0.25">
      <c r="A747" s="1331"/>
      <c r="B747" s="1284"/>
      <c r="C747" s="1284"/>
      <c r="D747" s="1364"/>
      <c r="E747" s="1364"/>
      <c r="F747" s="1364"/>
      <c r="G747" s="1365"/>
      <c r="H747" s="1333"/>
      <c r="I747" s="1333"/>
      <c r="J747" s="1333"/>
      <c r="K747" s="1333"/>
      <c r="L747" s="1333"/>
      <c r="M747" s="1333"/>
      <c r="N747" s="1333"/>
      <c r="O747" s="1333"/>
      <c r="P747" s="1333"/>
      <c r="Q747" s="1333"/>
      <c r="R747" s="1333"/>
      <c r="S747" s="1333"/>
      <c r="T747" s="1333"/>
      <c r="U747" s="1333"/>
      <c r="V747" s="1333"/>
      <c r="W747" s="1333"/>
      <c r="X747" s="1333"/>
      <c r="Y747" s="1333"/>
      <c r="Z747" s="1333"/>
      <c r="AA747" s="1333"/>
      <c r="AB747" s="1333"/>
      <c r="AC747" s="1333"/>
      <c r="AD747" s="1333"/>
      <c r="AE747" s="1333"/>
      <c r="AF747" s="1333"/>
      <c r="AG747" s="1333"/>
      <c r="AH747" s="1333"/>
      <c r="AI747" s="1333"/>
    </row>
    <row r="748" spans="1:35" x14ac:dyDescent="0.25">
      <c r="A748" s="1331"/>
      <c r="B748" s="1284"/>
      <c r="C748" s="1284"/>
      <c r="D748" s="1364"/>
      <c r="E748" s="1364"/>
      <c r="F748" s="1364"/>
      <c r="G748" s="1365"/>
      <c r="H748" s="1333"/>
      <c r="I748" s="1333"/>
      <c r="J748" s="1333"/>
      <c r="K748" s="1333"/>
      <c r="L748" s="1333"/>
      <c r="M748" s="1333"/>
      <c r="N748" s="1333"/>
      <c r="O748" s="1333"/>
      <c r="P748" s="1333"/>
      <c r="Q748" s="1333"/>
      <c r="R748" s="1333"/>
      <c r="S748" s="1333"/>
      <c r="T748" s="1333"/>
      <c r="U748" s="1333"/>
      <c r="V748" s="1333"/>
      <c r="W748" s="1333"/>
      <c r="X748" s="1333"/>
      <c r="Y748" s="1333"/>
      <c r="Z748" s="1333"/>
      <c r="AA748" s="1333"/>
      <c r="AB748" s="1333"/>
      <c r="AC748" s="1333"/>
      <c r="AD748" s="1333"/>
      <c r="AE748" s="1333"/>
      <c r="AF748" s="1333"/>
      <c r="AG748" s="1333"/>
      <c r="AH748" s="1333"/>
      <c r="AI748" s="1333"/>
    </row>
    <row r="749" spans="1:35" x14ac:dyDescent="0.25">
      <c r="A749" s="1331"/>
      <c r="B749" s="1284"/>
      <c r="C749" s="1284"/>
      <c r="D749" s="1364"/>
      <c r="E749" s="1364"/>
      <c r="F749" s="1364"/>
      <c r="G749" s="1365"/>
      <c r="H749" s="1333"/>
      <c r="I749" s="1333"/>
      <c r="J749" s="1333"/>
      <c r="K749" s="1333"/>
      <c r="L749" s="1333"/>
      <c r="M749" s="1333"/>
      <c r="N749" s="1333"/>
      <c r="O749" s="1333"/>
      <c r="P749" s="1333"/>
      <c r="Q749" s="1333"/>
      <c r="R749" s="1333"/>
      <c r="S749" s="1333"/>
      <c r="T749" s="1333"/>
      <c r="U749" s="1333"/>
      <c r="V749" s="1333"/>
      <c r="W749" s="1333"/>
      <c r="X749" s="1333"/>
      <c r="Y749" s="1333"/>
      <c r="Z749" s="1333"/>
      <c r="AA749" s="1333"/>
      <c r="AB749" s="1333"/>
      <c r="AC749" s="1333"/>
      <c r="AD749" s="1333"/>
      <c r="AE749" s="1333"/>
      <c r="AF749" s="1333"/>
      <c r="AG749" s="1333"/>
      <c r="AH749" s="1333"/>
      <c r="AI749" s="1333"/>
    </row>
    <row r="750" spans="1:35" x14ac:dyDescent="0.25">
      <c r="A750" s="1331"/>
      <c r="B750" s="1284"/>
      <c r="C750" s="1284"/>
      <c r="D750" s="1364"/>
      <c r="E750" s="1364"/>
      <c r="F750" s="1364"/>
      <c r="G750" s="1365"/>
      <c r="H750" s="1333"/>
      <c r="I750" s="1333"/>
      <c r="J750" s="1333"/>
      <c r="K750" s="1333"/>
      <c r="L750" s="1333"/>
      <c r="M750" s="1333"/>
      <c r="N750" s="1333"/>
      <c r="O750" s="1333"/>
      <c r="P750" s="1333"/>
      <c r="Q750" s="1333"/>
      <c r="R750" s="1333"/>
      <c r="S750" s="1333"/>
      <c r="T750" s="1333"/>
      <c r="U750" s="1333"/>
      <c r="V750" s="1333"/>
      <c r="W750" s="1333"/>
      <c r="X750" s="1333"/>
      <c r="Y750" s="1333"/>
      <c r="Z750" s="1333"/>
      <c r="AA750" s="1333"/>
      <c r="AB750" s="1333"/>
      <c r="AC750" s="1333"/>
      <c r="AD750" s="1333"/>
      <c r="AE750" s="1333"/>
      <c r="AF750" s="1333"/>
      <c r="AG750" s="1333"/>
      <c r="AH750" s="1333"/>
      <c r="AI750" s="1333"/>
    </row>
    <row r="751" spans="1:35" x14ac:dyDescent="0.25">
      <c r="A751" s="1331"/>
      <c r="B751" s="1284"/>
      <c r="C751" s="1284"/>
      <c r="D751" s="1364"/>
      <c r="E751" s="1364"/>
      <c r="F751" s="1364"/>
      <c r="G751" s="1365"/>
      <c r="H751" s="1333"/>
      <c r="I751" s="1333"/>
      <c r="J751" s="1333"/>
      <c r="K751" s="1333"/>
      <c r="L751" s="1333"/>
      <c r="M751" s="1333"/>
      <c r="N751" s="1333"/>
      <c r="O751" s="1333"/>
      <c r="P751" s="1333"/>
      <c r="Q751" s="1333"/>
      <c r="R751" s="1333"/>
      <c r="S751" s="1333"/>
      <c r="T751" s="1333"/>
      <c r="U751" s="1333"/>
      <c r="V751" s="1333"/>
      <c r="W751" s="1333"/>
      <c r="X751" s="1333"/>
      <c r="Y751" s="1333"/>
      <c r="Z751" s="1333"/>
      <c r="AA751" s="1333"/>
      <c r="AB751" s="1333"/>
      <c r="AC751" s="1333"/>
      <c r="AD751" s="1333"/>
      <c r="AE751" s="1333"/>
      <c r="AF751" s="1333"/>
      <c r="AG751" s="1333"/>
      <c r="AH751" s="1333"/>
      <c r="AI751" s="1333"/>
    </row>
    <row r="752" spans="1:35" x14ac:dyDescent="0.25">
      <c r="A752" s="1331"/>
      <c r="B752" s="1284"/>
      <c r="C752" s="1284"/>
      <c r="D752" s="1364"/>
      <c r="E752" s="1364"/>
      <c r="F752" s="1364"/>
      <c r="G752" s="1365"/>
      <c r="H752" s="1333"/>
      <c r="I752" s="1333"/>
      <c r="J752" s="1333"/>
      <c r="K752" s="1333"/>
      <c r="L752" s="1333"/>
      <c r="M752" s="1333"/>
      <c r="N752" s="1333"/>
      <c r="O752" s="1333"/>
      <c r="P752" s="1333"/>
      <c r="Q752" s="1333"/>
      <c r="R752" s="1333"/>
      <c r="S752" s="1333"/>
      <c r="T752" s="1333"/>
      <c r="U752" s="1333"/>
      <c r="V752" s="1333"/>
      <c r="W752" s="1333"/>
      <c r="X752" s="1333"/>
      <c r="Y752" s="1333"/>
      <c r="Z752" s="1333"/>
      <c r="AA752" s="1333"/>
      <c r="AB752" s="1333"/>
      <c r="AC752" s="1333"/>
      <c r="AD752" s="1333"/>
      <c r="AE752" s="1333"/>
      <c r="AF752" s="1333"/>
      <c r="AG752" s="1333"/>
      <c r="AH752" s="1333"/>
      <c r="AI752" s="1333"/>
    </row>
    <row r="753" spans="1:35" x14ac:dyDescent="0.25">
      <c r="A753" s="1331"/>
      <c r="B753" s="1284"/>
      <c r="C753" s="1284"/>
      <c r="D753" s="1364"/>
      <c r="E753" s="1364"/>
      <c r="F753" s="1364"/>
      <c r="G753" s="1365"/>
      <c r="H753" s="1333"/>
      <c r="I753" s="1333"/>
      <c r="J753" s="1333"/>
      <c r="K753" s="1333"/>
      <c r="L753" s="1333"/>
      <c r="M753" s="1333"/>
      <c r="N753" s="1333"/>
      <c r="O753" s="1333"/>
      <c r="P753" s="1333"/>
      <c r="Q753" s="1333"/>
      <c r="R753" s="1333"/>
      <c r="S753" s="1333"/>
      <c r="T753" s="1333"/>
      <c r="U753" s="1333"/>
      <c r="V753" s="1333"/>
      <c r="W753" s="1333"/>
      <c r="X753" s="1333"/>
      <c r="Y753" s="1333"/>
      <c r="Z753" s="1333"/>
      <c r="AA753" s="1333"/>
      <c r="AB753" s="1333"/>
      <c r="AC753" s="1333"/>
      <c r="AD753" s="1333"/>
      <c r="AE753" s="1333"/>
      <c r="AF753" s="1333"/>
      <c r="AG753" s="1333"/>
      <c r="AH753" s="1333"/>
      <c r="AI753" s="1333"/>
    </row>
    <row r="754" spans="1:35" x14ac:dyDescent="0.25">
      <c r="A754" s="1331"/>
      <c r="B754" s="1284"/>
      <c r="C754" s="1284"/>
      <c r="D754" s="1364"/>
      <c r="E754" s="1364"/>
      <c r="F754" s="1364"/>
      <c r="G754" s="1365"/>
      <c r="H754" s="1333"/>
      <c r="I754" s="1333"/>
      <c r="J754" s="1333"/>
      <c r="K754" s="1333"/>
      <c r="L754" s="1333"/>
      <c r="M754" s="1333"/>
      <c r="N754" s="1333"/>
      <c r="O754" s="1333"/>
      <c r="P754" s="1333"/>
      <c r="Q754" s="1333"/>
      <c r="R754" s="1333"/>
      <c r="S754" s="1333"/>
      <c r="T754" s="1333"/>
      <c r="U754" s="1333"/>
      <c r="V754" s="1333"/>
      <c r="W754" s="1333"/>
      <c r="X754" s="1333"/>
      <c r="Y754" s="1333"/>
      <c r="Z754" s="1333"/>
      <c r="AA754" s="1333"/>
      <c r="AB754" s="1333"/>
      <c r="AC754" s="1333"/>
      <c r="AD754" s="1333"/>
      <c r="AE754" s="1333"/>
      <c r="AF754" s="1333"/>
      <c r="AG754" s="1333"/>
      <c r="AH754" s="1333"/>
      <c r="AI754" s="1333"/>
    </row>
    <row r="755" spans="1:35" x14ac:dyDescent="0.25">
      <c r="A755" s="1331"/>
      <c r="B755" s="1284"/>
      <c r="C755" s="1284"/>
      <c r="D755" s="1364"/>
      <c r="E755" s="1364"/>
      <c r="F755" s="1364"/>
      <c r="G755" s="1365"/>
      <c r="H755" s="1333"/>
      <c r="I755" s="1333"/>
      <c r="J755" s="1333"/>
      <c r="K755" s="1333"/>
      <c r="L755" s="1333"/>
      <c r="M755" s="1333"/>
      <c r="N755" s="1333"/>
      <c r="O755" s="1333"/>
      <c r="P755" s="1333"/>
      <c r="Q755" s="1333"/>
      <c r="R755" s="1333"/>
      <c r="S755" s="1333"/>
      <c r="T755" s="1333"/>
      <c r="U755" s="1333"/>
      <c r="V755" s="1333"/>
      <c r="W755" s="1333"/>
      <c r="X755" s="1333"/>
      <c r="Y755" s="1333"/>
      <c r="Z755" s="1333"/>
      <c r="AA755" s="1333"/>
      <c r="AB755" s="1333"/>
      <c r="AC755" s="1333"/>
      <c r="AD755" s="1333"/>
      <c r="AE755" s="1333"/>
      <c r="AF755" s="1333"/>
      <c r="AG755" s="1333"/>
      <c r="AH755" s="1333"/>
      <c r="AI755" s="1333"/>
    </row>
    <row r="756" spans="1:35" x14ac:dyDescent="0.25">
      <c r="A756" s="1331"/>
      <c r="B756" s="1284"/>
      <c r="C756" s="1284"/>
      <c r="D756" s="1364"/>
      <c r="E756" s="1364"/>
      <c r="F756" s="1364"/>
      <c r="G756" s="1365"/>
      <c r="H756" s="1333"/>
      <c r="I756" s="1333"/>
      <c r="J756" s="1333"/>
      <c r="K756" s="1333"/>
      <c r="L756" s="1333"/>
      <c r="M756" s="1333"/>
      <c r="N756" s="1333"/>
      <c r="O756" s="1333"/>
      <c r="P756" s="1333"/>
      <c r="Q756" s="1333"/>
      <c r="R756" s="1333"/>
      <c r="S756" s="1333"/>
      <c r="T756" s="1333"/>
      <c r="U756" s="1333"/>
      <c r="V756" s="1333"/>
      <c r="W756" s="1333"/>
      <c r="X756" s="1333"/>
      <c r="Y756" s="1333"/>
      <c r="Z756" s="1333"/>
      <c r="AA756" s="1333"/>
      <c r="AB756" s="1333"/>
      <c r="AC756" s="1333"/>
      <c r="AD756" s="1333"/>
      <c r="AE756" s="1333"/>
      <c r="AF756" s="1333"/>
      <c r="AG756" s="1333"/>
      <c r="AH756" s="1333"/>
      <c r="AI756" s="1333"/>
    </row>
    <row r="757" spans="1:35" x14ac:dyDescent="0.25">
      <c r="A757" s="1331"/>
      <c r="B757" s="1284"/>
      <c r="C757" s="1284"/>
      <c r="D757" s="1364"/>
      <c r="E757" s="1364"/>
      <c r="F757" s="1364"/>
      <c r="G757" s="1365"/>
      <c r="H757" s="1333"/>
      <c r="I757" s="1333"/>
      <c r="J757" s="1333"/>
      <c r="K757" s="1333"/>
      <c r="L757" s="1333"/>
      <c r="M757" s="1333"/>
      <c r="N757" s="1333"/>
      <c r="O757" s="1333"/>
      <c r="P757" s="1333"/>
      <c r="Q757" s="1333"/>
      <c r="R757" s="1333"/>
      <c r="S757" s="1333"/>
      <c r="T757" s="1333"/>
      <c r="U757" s="1333"/>
      <c r="V757" s="1333"/>
      <c r="W757" s="1333"/>
      <c r="X757" s="1333"/>
      <c r="Y757" s="1333"/>
      <c r="Z757" s="1333"/>
      <c r="AA757" s="1333"/>
      <c r="AB757" s="1333"/>
      <c r="AC757" s="1333"/>
      <c r="AD757" s="1333"/>
      <c r="AE757" s="1333"/>
      <c r="AF757" s="1333"/>
      <c r="AG757" s="1333"/>
      <c r="AH757" s="1333"/>
      <c r="AI757" s="1333"/>
    </row>
    <row r="758" spans="1:35" x14ac:dyDescent="0.25">
      <c r="A758" s="1331"/>
      <c r="B758" s="1284"/>
      <c r="C758" s="1284"/>
      <c r="D758" s="1364"/>
      <c r="E758" s="1364"/>
      <c r="F758" s="1364"/>
      <c r="G758" s="1365"/>
      <c r="H758" s="1333"/>
      <c r="I758" s="1333"/>
      <c r="J758" s="1333"/>
      <c r="K758" s="1333"/>
      <c r="L758" s="1333"/>
      <c r="M758" s="1333"/>
      <c r="N758" s="1333"/>
      <c r="O758" s="1333"/>
      <c r="P758" s="1333"/>
      <c r="Q758" s="1333"/>
      <c r="R758" s="1333"/>
      <c r="S758" s="1333"/>
      <c r="T758" s="1333"/>
      <c r="U758" s="1333"/>
      <c r="V758" s="1333"/>
      <c r="W758" s="1333"/>
      <c r="X758" s="1333"/>
      <c r="Y758" s="1333"/>
      <c r="Z758" s="1333"/>
      <c r="AA758" s="1333"/>
      <c r="AB758" s="1333"/>
      <c r="AC758" s="1333"/>
      <c r="AD758" s="1333"/>
      <c r="AE758" s="1333"/>
      <c r="AF758" s="1333"/>
      <c r="AG758" s="1333"/>
      <c r="AH758" s="1333"/>
      <c r="AI758" s="1333"/>
    </row>
    <row r="759" spans="1:35" x14ac:dyDescent="0.25">
      <c r="A759" s="1331"/>
      <c r="B759" s="1284"/>
      <c r="C759" s="1284"/>
      <c r="D759" s="1364"/>
      <c r="E759" s="1364"/>
      <c r="F759" s="1364"/>
      <c r="G759" s="1365"/>
      <c r="H759" s="1333"/>
      <c r="I759" s="1333"/>
      <c r="J759" s="1333"/>
      <c r="K759" s="1333"/>
      <c r="L759" s="1333"/>
      <c r="M759" s="1333"/>
      <c r="N759" s="1333"/>
      <c r="O759" s="1333"/>
      <c r="P759" s="1333"/>
      <c r="Q759" s="1333"/>
      <c r="R759" s="1333"/>
      <c r="S759" s="1333"/>
      <c r="T759" s="1333"/>
      <c r="U759" s="1333"/>
      <c r="V759" s="1333"/>
      <c r="W759" s="1333"/>
      <c r="X759" s="1333"/>
      <c r="Y759" s="1333"/>
      <c r="Z759" s="1333"/>
      <c r="AA759" s="1333"/>
      <c r="AB759" s="1333"/>
      <c r="AC759" s="1333"/>
      <c r="AD759" s="1333"/>
      <c r="AE759" s="1333"/>
      <c r="AF759" s="1333"/>
      <c r="AG759" s="1333"/>
      <c r="AH759" s="1333"/>
      <c r="AI759" s="1333"/>
    </row>
    <row r="760" spans="1:35" x14ac:dyDescent="0.25">
      <c r="A760" s="1331"/>
      <c r="B760" s="1284"/>
      <c r="C760" s="1284"/>
      <c r="D760" s="1364"/>
      <c r="E760" s="1364"/>
      <c r="F760" s="1364"/>
      <c r="G760" s="1365"/>
      <c r="H760" s="1333"/>
      <c r="I760" s="1333"/>
      <c r="J760" s="1333"/>
      <c r="K760" s="1333"/>
      <c r="L760" s="1333"/>
      <c r="M760" s="1333"/>
      <c r="N760" s="1333"/>
      <c r="O760" s="1333"/>
      <c r="P760" s="1333"/>
      <c r="Q760" s="1333"/>
      <c r="R760" s="1333"/>
      <c r="S760" s="1333"/>
      <c r="T760" s="1333"/>
      <c r="U760" s="1333"/>
      <c r="V760" s="1333"/>
      <c r="W760" s="1333"/>
      <c r="X760" s="1333"/>
      <c r="Y760" s="1333"/>
      <c r="Z760" s="1333"/>
      <c r="AA760" s="1333"/>
      <c r="AB760" s="1333"/>
      <c r="AC760" s="1333"/>
      <c r="AD760" s="1333"/>
      <c r="AE760" s="1333"/>
      <c r="AF760" s="1333"/>
      <c r="AG760" s="1333"/>
      <c r="AH760" s="1333"/>
      <c r="AI760" s="1333"/>
    </row>
    <row r="761" spans="1:35" x14ac:dyDescent="0.25">
      <c r="A761" s="1331"/>
      <c r="B761" s="1284"/>
      <c r="C761" s="1284"/>
      <c r="D761" s="1364"/>
      <c r="E761" s="1364"/>
      <c r="F761" s="1364"/>
      <c r="G761" s="1365"/>
      <c r="H761" s="1333"/>
      <c r="I761" s="1333"/>
      <c r="J761" s="1333"/>
      <c r="K761" s="1333"/>
      <c r="L761" s="1333"/>
      <c r="M761" s="1333"/>
      <c r="N761" s="1333"/>
      <c r="O761" s="1333"/>
      <c r="P761" s="1333"/>
      <c r="Q761" s="1333"/>
      <c r="R761" s="1333"/>
      <c r="S761" s="1333"/>
      <c r="T761" s="1333"/>
      <c r="U761" s="1333"/>
      <c r="V761" s="1333"/>
      <c r="W761" s="1333"/>
      <c r="X761" s="1333"/>
      <c r="Y761" s="1333"/>
      <c r="Z761" s="1333"/>
      <c r="AA761" s="1333"/>
      <c r="AB761" s="1333"/>
      <c r="AC761" s="1333"/>
      <c r="AD761" s="1333"/>
      <c r="AE761" s="1333"/>
      <c r="AF761" s="1333"/>
      <c r="AG761" s="1333"/>
      <c r="AH761" s="1333"/>
      <c r="AI761" s="1333"/>
    </row>
    <row r="762" spans="1:35" x14ac:dyDescent="0.25">
      <c r="A762" s="1331"/>
      <c r="B762" s="1284"/>
      <c r="C762" s="1284"/>
      <c r="D762" s="1364"/>
      <c r="E762" s="1364"/>
      <c r="F762" s="1364"/>
      <c r="G762" s="1365"/>
      <c r="H762" s="1333"/>
      <c r="I762" s="1333"/>
      <c r="J762" s="1333"/>
      <c r="K762" s="1333"/>
      <c r="L762" s="1333"/>
      <c r="M762" s="1333"/>
      <c r="N762" s="1333"/>
      <c r="O762" s="1333"/>
      <c r="P762" s="1333"/>
      <c r="Q762" s="1333"/>
      <c r="R762" s="1333"/>
      <c r="S762" s="1333"/>
      <c r="T762" s="1333"/>
      <c r="U762" s="1333"/>
      <c r="V762" s="1333"/>
      <c r="W762" s="1333"/>
      <c r="X762" s="1333"/>
      <c r="Y762" s="1333"/>
      <c r="Z762" s="1333"/>
      <c r="AA762" s="1333"/>
      <c r="AB762" s="1333"/>
      <c r="AC762" s="1333"/>
      <c r="AD762" s="1333"/>
      <c r="AE762" s="1333"/>
      <c r="AF762" s="1333"/>
      <c r="AG762" s="1333"/>
      <c r="AH762" s="1333"/>
      <c r="AI762" s="1333"/>
    </row>
    <row r="763" spans="1:35" x14ac:dyDescent="0.25">
      <c r="A763" s="1331"/>
      <c r="B763" s="1284"/>
      <c r="C763" s="1284"/>
      <c r="D763" s="1364"/>
      <c r="E763" s="1364"/>
      <c r="F763" s="1364"/>
      <c r="G763" s="1365"/>
      <c r="H763" s="1333"/>
      <c r="I763" s="1333"/>
      <c r="J763" s="1333"/>
      <c r="K763" s="1333"/>
      <c r="L763" s="1333"/>
      <c r="M763" s="1333"/>
      <c r="N763" s="1333"/>
      <c r="O763" s="1333"/>
      <c r="P763" s="1333"/>
      <c r="Q763" s="1333"/>
      <c r="R763" s="1333"/>
      <c r="S763" s="1333"/>
      <c r="T763" s="1333"/>
      <c r="U763" s="1333"/>
      <c r="V763" s="1333"/>
      <c r="W763" s="1333"/>
      <c r="X763" s="1333"/>
      <c r="Y763" s="1333"/>
      <c r="Z763" s="1333"/>
      <c r="AA763" s="1333"/>
      <c r="AB763" s="1333"/>
      <c r="AC763" s="1333"/>
      <c r="AD763" s="1333"/>
      <c r="AE763" s="1333"/>
      <c r="AF763" s="1333"/>
      <c r="AG763" s="1333"/>
      <c r="AH763" s="1333"/>
      <c r="AI763" s="1333"/>
    </row>
    <row r="764" spans="1:35" x14ac:dyDescent="0.25">
      <c r="A764" s="1331"/>
      <c r="B764" s="1284"/>
      <c r="C764" s="1284"/>
      <c r="D764" s="1364"/>
      <c r="E764" s="1364"/>
      <c r="F764" s="1364"/>
      <c r="G764" s="1365"/>
      <c r="H764" s="1333"/>
      <c r="I764" s="1333"/>
      <c r="J764" s="1333"/>
      <c r="K764" s="1333"/>
      <c r="L764" s="1333"/>
      <c r="M764" s="1333"/>
      <c r="N764" s="1333"/>
      <c r="O764" s="1333"/>
      <c r="P764" s="1333"/>
      <c r="Q764" s="1333"/>
      <c r="R764" s="1333"/>
      <c r="S764" s="1333"/>
      <c r="T764" s="1333"/>
      <c r="U764" s="1333"/>
      <c r="V764" s="1333"/>
      <c r="W764" s="1333"/>
      <c r="X764" s="1333"/>
      <c r="Y764" s="1333"/>
      <c r="Z764" s="1333"/>
      <c r="AA764" s="1333"/>
      <c r="AB764" s="1333"/>
      <c r="AC764" s="1333"/>
      <c r="AD764" s="1333"/>
      <c r="AE764" s="1333"/>
      <c r="AF764" s="1333"/>
      <c r="AG764" s="1333"/>
      <c r="AH764" s="1333"/>
      <c r="AI764" s="1333"/>
    </row>
    <row r="765" spans="1:35" x14ac:dyDescent="0.25">
      <c r="A765" s="1331"/>
      <c r="B765" s="1284"/>
      <c r="C765" s="1284"/>
      <c r="D765" s="1364"/>
      <c r="E765" s="1364"/>
      <c r="F765" s="1364"/>
      <c r="G765" s="1365"/>
      <c r="H765" s="1333"/>
      <c r="I765" s="1333"/>
      <c r="J765" s="1333"/>
      <c r="K765" s="1333"/>
      <c r="L765" s="1333"/>
      <c r="M765" s="1333"/>
      <c r="N765" s="1333"/>
      <c r="O765" s="1333"/>
      <c r="P765" s="1333"/>
      <c r="Q765" s="1333"/>
      <c r="R765" s="1333"/>
      <c r="S765" s="1333"/>
      <c r="T765" s="1333"/>
      <c r="U765" s="1333"/>
      <c r="V765" s="1333"/>
      <c r="W765" s="1333"/>
      <c r="X765" s="1333"/>
      <c r="Y765" s="1333"/>
      <c r="Z765" s="1333"/>
      <c r="AA765" s="1333"/>
      <c r="AB765" s="1333"/>
      <c r="AC765" s="1333"/>
      <c r="AD765" s="1333"/>
      <c r="AE765" s="1333"/>
      <c r="AF765" s="1333"/>
      <c r="AG765" s="1333"/>
      <c r="AH765" s="1333"/>
      <c r="AI765" s="1333"/>
    </row>
    <row r="766" spans="1:35" x14ac:dyDescent="0.25">
      <c r="A766" s="1331"/>
      <c r="B766" s="1284"/>
      <c r="C766" s="1284"/>
      <c r="D766" s="1364"/>
      <c r="E766" s="1364"/>
      <c r="F766" s="1364"/>
      <c r="G766" s="1365"/>
      <c r="H766" s="1333"/>
      <c r="I766" s="1333"/>
      <c r="J766" s="1333"/>
      <c r="K766" s="1333"/>
      <c r="L766" s="1333"/>
      <c r="M766" s="1333"/>
      <c r="N766" s="1333"/>
      <c r="O766" s="1333"/>
      <c r="P766" s="1333"/>
      <c r="Q766" s="1333"/>
      <c r="R766" s="1333"/>
      <c r="S766" s="1333"/>
      <c r="T766" s="1333"/>
      <c r="U766" s="1333"/>
      <c r="V766" s="1333"/>
      <c r="W766" s="1333"/>
      <c r="X766" s="1333"/>
      <c r="Y766" s="1333"/>
      <c r="Z766" s="1333"/>
      <c r="AA766" s="1333"/>
      <c r="AB766" s="1333"/>
      <c r="AC766" s="1333"/>
      <c r="AD766" s="1333"/>
      <c r="AE766" s="1333"/>
      <c r="AF766" s="1333"/>
      <c r="AG766" s="1333"/>
      <c r="AH766" s="1333"/>
      <c r="AI766" s="1333"/>
    </row>
    <row r="767" spans="1:35" x14ac:dyDescent="0.25">
      <c r="A767" s="1331"/>
      <c r="B767" s="1284"/>
      <c r="C767" s="1284"/>
      <c r="D767" s="1364"/>
      <c r="E767" s="1364"/>
      <c r="F767" s="1364"/>
      <c r="G767" s="1365"/>
      <c r="H767" s="1333"/>
      <c r="I767" s="1333"/>
      <c r="J767" s="1333"/>
      <c r="K767" s="1333"/>
      <c r="L767" s="1333"/>
      <c r="M767" s="1333"/>
      <c r="N767" s="1333"/>
      <c r="O767" s="1333"/>
      <c r="P767" s="1333"/>
      <c r="Q767" s="1333"/>
      <c r="R767" s="1333"/>
      <c r="S767" s="1333"/>
      <c r="T767" s="1333"/>
      <c r="U767" s="1333"/>
      <c r="V767" s="1333"/>
      <c r="W767" s="1333"/>
      <c r="X767" s="1333"/>
      <c r="Y767" s="1333"/>
      <c r="Z767" s="1333"/>
      <c r="AA767" s="1333"/>
      <c r="AB767" s="1333"/>
      <c r="AC767" s="1333"/>
      <c r="AD767" s="1333"/>
      <c r="AE767" s="1333"/>
      <c r="AF767" s="1333"/>
      <c r="AG767" s="1333"/>
      <c r="AH767" s="1333"/>
      <c r="AI767" s="1333"/>
    </row>
    <row r="768" spans="1:35" x14ac:dyDescent="0.25">
      <c r="A768" s="1331"/>
      <c r="B768" s="1284"/>
      <c r="C768" s="1284"/>
      <c r="D768" s="1364"/>
      <c r="E768" s="1364"/>
      <c r="F768" s="1364"/>
      <c r="G768" s="1365"/>
      <c r="H768" s="1333"/>
      <c r="I768" s="1333"/>
      <c r="J768" s="1333"/>
      <c r="K768" s="1333"/>
      <c r="L768" s="1333"/>
      <c r="M768" s="1333"/>
      <c r="N768" s="1333"/>
      <c r="O768" s="1333"/>
      <c r="P768" s="1333"/>
      <c r="Q768" s="1333"/>
      <c r="R768" s="1333"/>
      <c r="S768" s="1333"/>
      <c r="T768" s="1333"/>
      <c r="U768" s="1333"/>
      <c r="V768" s="1333"/>
      <c r="W768" s="1333"/>
      <c r="X768" s="1333"/>
      <c r="Y768" s="1333"/>
      <c r="Z768" s="1333"/>
      <c r="AA768" s="1333"/>
      <c r="AB768" s="1333"/>
      <c r="AC768" s="1333"/>
      <c r="AD768" s="1333"/>
      <c r="AE768" s="1333"/>
      <c r="AF768" s="1333"/>
      <c r="AG768" s="1333"/>
      <c r="AH768" s="1333"/>
      <c r="AI768" s="1333"/>
    </row>
    <row r="769" spans="1:35" x14ac:dyDescent="0.25">
      <c r="A769" s="1331"/>
      <c r="B769" s="1284"/>
      <c r="C769" s="1284"/>
      <c r="D769" s="1364"/>
      <c r="E769" s="1364"/>
      <c r="F769" s="1364"/>
      <c r="G769" s="1365"/>
      <c r="H769" s="1333"/>
      <c r="I769" s="1333"/>
      <c r="J769" s="1333"/>
      <c r="K769" s="1333"/>
      <c r="L769" s="1333"/>
      <c r="M769" s="1333"/>
      <c r="N769" s="1333"/>
      <c r="O769" s="1333"/>
      <c r="P769" s="1333"/>
      <c r="Q769" s="1333"/>
      <c r="R769" s="1333"/>
      <c r="S769" s="1333"/>
      <c r="T769" s="1333"/>
      <c r="U769" s="1333"/>
      <c r="V769" s="1333"/>
      <c r="W769" s="1333"/>
      <c r="X769" s="1333"/>
      <c r="Y769" s="1333"/>
      <c r="Z769" s="1333"/>
      <c r="AA769" s="1333"/>
      <c r="AB769" s="1333"/>
      <c r="AC769" s="1333"/>
      <c r="AD769" s="1333"/>
      <c r="AE769" s="1333"/>
      <c r="AF769" s="1333"/>
      <c r="AG769" s="1333"/>
      <c r="AH769" s="1333"/>
      <c r="AI769" s="1333"/>
    </row>
    <row r="770" spans="1:35" x14ac:dyDescent="0.25">
      <c r="A770" s="1331"/>
      <c r="B770" s="1284"/>
      <c r="C770" s="1284"/>
      <c r="D770" s="1364"/>
      <c r="E770" s="1364"/>
      <c r="F770" s="1364"/>
      <c r="G770" s="1365"/>
      <c r="H770" s="1333"/>
      <c r="I770" s="1333"/>
      <c r="J770" s="1333"/>
      <c r="K770" s="1333"/>
      <c r="L770" s="1333"/>
      <c r="M770" s="1333"/>
      <c r="N770" s="1333"/>
      <c r="O770" s="1333"/>
      <c r="P770" s="1333"/>
      <c r="Q770" s="1333"/>
      <c r="R770" s="1333"/>
      <c r="S770" s="1333"/>
      <c r="T770" s="1333"/>
      <c r="U770" s="1333"/>
      <c r="V770" s="1333"/>
      <c r="W770" s="1333"/>
      <c r="X770" s="1333"/>
      <c r="Y770" s="1333"/>
      <c r="Z770" s="1333"/>
      <c r="AA770" s="1333"/>
      <c r="AB770" s="1333"/>
      <c r="AC770" s="1333"/>
      <c r="AD770" s="1333"/>
      <c r="AE770" s="1333"/>
      <c r="AF770" s="1333"/>
      <c r="AG770" s="1333"/>
      <c r="AH770" s="1333"/>
      <c r="AI770" s="1333"/>
    </row>
    <row r="771" spans="1:35" x14ac:dyDescent="0.25">
      <c r="A771" s="1331"/>
      <c r="B771" s="1284"/>
      <c r="C771" s="1284"/>
      <c r="D771" s="1364"/>
      <c r="E771" s="1364"/>
      <c r="F771" s="1364"/>
      <c r="G771" s="1365"/>
      <c r="H771" s="1333"/>
      <c r="I771" s="1333"/>
      <c r="J771" s="1333"/>
      <c r="K771" s="1333"/>
      <c r="L771" s="1333"/>
      <c r="M771" s="1333"/>
      <c r="N771" s="1333"/>
      <c r="O771" s="1333"/>
      <c r="P771" s="1333"/>
      <c r="Q771" s="1333"/>
      <c r="R771" s="1333"/>
      <c r="S771" s="1333"/>
      <c r="T771" s="1333"/>
      <c r="U771" s="1333"/>
      <c r="V771" s="1333"/>
      <c r="W771" s="1333"/>
      <c r="X771" s="1333"/>
      <c r="Y771" s="1333"/>
      <c r="Z771" s="1333"/>
      <c r="AA771" s="1333"/>
      <c r="AB771" s="1333"/>
      <c r="AC771" s="1333"/>
      <c r="AD771" s="1333"/>
      <c r="AE771" s="1333"/>
      <c r="AF771" s="1333"/>
      <c r="AG771" s="1333"/>
      <c r="AH771" s="1333"/>
      <c r="AI771" s="1333"/>
    </row>
    <row r="772" spans="1:35" x14ac:dyDescent="0.25">
      <c r="A772" s="1331"/>
      <c r="B772" s="1284"/>
      <c r="C772" s="1284"/>
      <c r="D772" s="1364"/>
      <c r="E772" s="1364"/>
      <c r="F772" s="1364"/>
      <c r="G772" s="1365"/>
      <c r="H772" s="1333"/>
      <c r="I772" s="1333"/>
      <c r="J772" s="1333"/>
      <c r="K772" s="1333"/>
      <c r="L772" s="1333"/>
      <c r="M772" s="1333"/>
      <c r="N772" s="1333"/>
      <c r="O772" s="1333"/>
      <c r="P772" s="1333"/>
      <c r="Q772" s="1333"/>
      <c r="R772" s="1333"/>
      <c r="S772" s="1333"/>
      <c r="T772" s="1333"/>
      <c r="U772" s="1333"/>
      <c r="V772" s="1333"/>
      <c r="W772" s="1333"/>
      <c r="X772" s="1333"/>
      <c r="Y772" s="1333"/>
      <c r="Z772" s="1333"/>
      <c r="AA772" s="1333"/>
      <c r="AB772" s="1333"/>
      <c r="AC772" s="1333"/>
      <c r="AD772" s="1333"/>
      <c r="AE772" s="1333"/>
      <c r="AF772" s="1333"/>
      <c r="AG772" s="1333"/>
      <c r="AH772" s="1333"/>
      <c r="AI772" s="1333"/>
    </row>
    <row r="773" spans="1:35" x14ac:dyDescent="0.25">
      <c r="A773" s="1331"/>
      <c r="B773" s="1284"/>
      <c r="C773" s="1284"/>
      <c r="D773" s="1364"/>
      <c r="E773" s="1364"/>
      <c r="F773" s="1364"/>
      <c r="G773" s="1365"/>
      <c r="H773" s="1333"/>
      <c r="I773" s="1333"/>
      <c r="J773" s="1333"/>
      <c r="K773" s="1333"/>
      <c r="L773" s="1333"/>
      <c r="M773" s="1333"/>
      <c r="N773" s="1333"/>
      <c r="O773" s="1333"/>
      <c r="P773" s="1333"/>
      <c r="Q773" s="1333"/>
      <c r="R773" s="1333"/>
      <c r="S773" s="1333"/>
      <c r="T773" s="1333"/>
      <c r="U773" s="1333"/>
      <c r="V773" s="1333"/>
      <c r="W773" s="1333"/>
      <c r="X773" s="1333"/>
      <c r="Y773" s="1333"/>
      <c r="Z773" s="1333"/>
      <c r="AA773" s="1333"/>
      <c r="AB773" s="1333"/>
      <c r="AC773" s="1333"/>
      <c r="AD773" s="1333"/>
      <c r="AE773" s="1333"/>
      <c r="AF773" s="1333"/>
      <c r="AG773" s="1333"/>
      <c r="AH773" s="1333"/>
      <c r="AI773" s="1333"/>
    </row>
    <row r="774" spans="1:35" x14ac:dyDescent="0.25">
      <c r="A774" s="1331"/>
      <c r="B774" s="1284"/>
      <c r="C774" s="1284"/>
      <c r="D774" s="1364"/>
      <c r="E774" s="1364"/>
      <c r="F774" s="1364"/>
      <c r="G774" s="1365"/>
      <c r="H774" s="1333"/>
      <c r="I774" s="1333"/>
      <c r="J774" s="1333"/>
      <c r="K774" s="1333"/>
      <c r="L774" s="1333"/>
      <c r="M774" s="1333"/>
      <c r="N774" s="1333"/>
      <c r="O774" s="1333"/>
      <c r="P774" s="1333"/>
      <c r="Q774" s="1333"/>
      <c r="R774" s="1333"/>
      <c r="S774" s="1333"/>
      <c r="T774" s="1333"/>
      <c r="U774" s="1333"/>
      <c r="V774" s="1333"/>
      <c r="W774" s="1333"/>
      <c r="X774" s="1333"/>
      <c r="Y774" s="1333"/>
      <c r="Z774" s="1333"/>
      <c r="AA774" s="1333"/>
      <c r="AB774" s="1333"/>
      <c r="AC774" s="1333"/>
      <c r="AD774" s="1333"/>
      <c r="AE774" s="1333"/>
      <c r="AF774" s="1333"/>
      <c r="AG774" s="1333"/>
      <c r="AH774" s="1333"/>
      <c r="AI774" s="1333"/>
    </row>
    <row r="775" spans="1:35" x14ac:dyDescent="0.25">
      <c r="A775" s="1331"/>
      <c r="B775" s="1284"/>
      <c r="C775" s="1284"/>
      <c r="D775" s="1364"/>
      <c r="E775" s="1364"/>
      <c r="F775" s="1364"/>
      <c r="G775" s="1365"/>
      <c r="H775" s="1333"/>
      <c r="I775" s="1333"/>
      <c r="J775" s="1333"/>
      <c r="K775" s="1333"/>
      <c r="L775" s="1333"/>
      <c r="M775" s="1333"/>
      <c r="N775" s="1333"/>
      <c r="O775" s="1333"/>
      <c r="P775" s="1333"/>
      <c r="Q775" s="1333"/>
      <c r="R775" s="1333"/>
      <c r="S775" s="1333"/>
      <c r="T775" s="1333"/>
      <c r="U775" s="1333"/>
      <c r="V775" s="1333"/>
      <c r="W775" s="1333"/>
      <c r="X775" s="1333"/>
      <c r="Y775" s="1333"/>
      <c r="Z775" s="1333"/>
      <c r="AA775" s="1333"/>
      <c r="AB775" s="1333"/>
      <c r="AC775" s="1333"/>
      <c r="AD775" s="1333"/>
      <c r="AE775" s="1333"/>
      <c r="AF775" s="1333"/>
      <c r="AG775" s="1333"/>
      <c r="AH775" s="1333"/>
      <c r="AI775" s="1333"/>
    </row>
    <row r="776" spans="1:35" x14ac:dyDescent="0.25">
      <c r="A776" s="1331"/>
      <c r="B776" s="1284"/>
      <c r="C776" s="1284"/>
      <c r="D776" s="1364"/>
      <c r="E776" s="1364"/>
      <c r="F776" s="1364"/>
      <c r="G776" s="1365"/>
      <c r="H776" s="1333"/>
      <c r="I776" s="1333"/>
      <c r="J776" s="1333"/>
      <c r="K776" s="1333"/>
      <c r="L776" s="1333"/>
      <c r="M776" s="1333"/>
      <c r="N776" s="1333"/>
      <c r="O776" s="1333"/>
      <c r="P776" s="1333"/>
      <c r="Q776" s="1333"/>
      <c r="R776" s="1333"/>
      <c r="S776" s="1333"/>
      <c r="T776" s="1333"/>
      <c r="U776" s="1333"/>
      <c r="V776" s="1333"/>
      <c r="W776" s="1333"/>
      <c r="X776" s="1333"/>
      <c r="Y776" s="1333"/>
      <c r="Z776" s="1333"/>
      <c r="AA776" s="1333"/>
      <c r="AB776" s="1333"/>
      <c r="AC776" s="1333"/>
      <c r="AD776" s="1333"/>
      <c r="AE776" s="1333"/>
      <c r="AF776" s="1333"/>
      <c r="AG776" s="1333"/>
      <c r="AH776" s="1333"/>
      <c r="AI776" s="1333"/>
    </row>
    <row r="777" spans="1:35" x14ac:dyDescent="0.25">
      <c r="A777" s="1331"/>
      <c r="B777" s="1284"/>
      <c r="C777" s="1284"/>
      <c r="D777" s="1364"/>
      <c r="E777" s="1364"/>
      <c r="F777" s="1364"/>
      <c r="G777" s="1365"/>
      <c r="H777" s="1333"/>
      <c r="I777" s="1333"/>
      <c r="J777" s="1333"/>
      <c r="K777" s="1333"/>
      <c r="L777" s="1333"/>
      <c r="M777" s="1333"/>
      <c r="N777" s="1333"/>
      <c r="O777" s="1333"/>
      <c r="P777" s="1333"/>
      <c r="Q777" s="1333"/>
      <c r="R777" s="1333"/>
      <c r="S777" s="1333"/>
      <c r="T777" s="1333"/>
      <c r="U777" s="1333"/>
      <c r="V777" s="1333"/>
      <c r="W777" s="1333"/>
      <c r="X777" s="1333"/>
      <c r="Y777" s="1333"/>
      <c r="Z777" s="1333"/>
      <c r="AA777" s="1333"/>
      <c r="AB777" s="1333"/>
      <c r="AC777" s="1333"/>
      <c r="AD777" s="1333"/>
      <c r="AE777" s="1333"/>
      <c r="AF777" s="1333"/>
      <c r="AG777" s="1333"/>
      <c r="AH777" s="1333"/>
      <c r="AI777" s="1333"/>
    </row>
    <row r="778" spans="1:35" x14ac:dyDescent="0.25">
      <c r="A778" s="1331"/>
      <c r="B778" s="1284"/>
      <c r="C778" s="1284"/>
      <c r="D778" s="1364"/>
      <c r="E778" s="1364"/>
      <c r="F778" s="1364"/>
      <c r="G778" s="1365"/>
      <c r="H778" s="1333"/>
      <c r="I778" s="1333"/>
      <c r="J778" s="1333"/>
      <c r="K778" s="1333"/>
      <c r="L778" s="1333"/>
      <c r="M778" s="1333"/>
      <c r="N778" s="1333"/>
      <c r="O778" s="1333"/>
      <c r="P778" s="1333"/>
      <c r="Q778" s="1333"/>
      <c r="R778" s="1333"/>
      <c r="S778" s="1333"/>
      <c r="T778" s="1333"/>
      <c r="U778" s="1333"/>
      <c r="V778" s="1333"/>
      <c r="W778" s="1333"/>
      <c r="X778" s="1333"/>
      <c r="Y778" s="1333"/>
      <c r="Z778" s="1333"/>
      <c r="AA778" s="1333"/>
      <c r="AB778" s="1333"/>
      <c r="AC778" s="1333"/>
      <c r="AD778" s="1333"/>
      <c r="AE778" s="1333"/>
      <c r="AF778" s="1333"/>
      <c r="AG778" s="1333"/>
      <c r="AH778" s="1333"/>
      <c r="AI778" s="1333"/>
    </row>
    <row r="779" spans="1:35" x14ac:dyDescent="0.25">
      <c r="A779" s="1331"/>
      <c r="B779" s="1284"/>
      <c r="C779" s="1284"/>
      <c r="D779" s="1364"/>
      <c r="E779" s="1364"/>
      <c r="F779" s="1364"/>
      <c r="G779" s="1365"/>
      <c r="H779" s="1333"/>
      <c r="I779" s="1333"/>
      <c r="J779" s="1333"/>
      <c r="K779" s="1333"/>
      <c r="L779" s="1333"/>
      <c r="M779" s="1333"/>
      <c r="N779" s="1333"/>
      <c r="O779" s="1333"/>
      <c r="P779" s="1333"/>
      <c r="Q779" s="1333"/>
      <c r="R779" s="1333"/>
      <c r="S779" s="1333"/>
      <c r="T779" s="1333"/>
      <c r="U779" s="1333"/>
      <c r="V779" s="1333"/>
      <c r="W779" s="1333"/>
      <c r="X779" s="1333"/>
      <c r="Y779" s="1333"/>
      <c r="Z779" s="1333"/>
      <c r="AA779" s="1333"/>
      <c r="AB779" s="1333"/>
      <c r="AC779" s="1333"/>
      <c r="AD779" s="1333"/>
      <c r="AE779" s="1333"/>
      <c r="AF779" s="1333"/>
      <c r="AG779" s="1333"/>
      <c r="AH779" s="1333"/>
      <c r="AI779" s="1333"/>
    </row>
    <row r="780" spans="1:35" x14ac:dyDescent="0.25">
      <c r="A780" s="1331"/>
      <c r="B780" s="1284"/>
      <c r="C780" s="1284"/>
      <c r="D780" s="1364"/>
      <c r="E780" s="1364"/>
      <c r="F780" s="1364"/>
      <c r="G780" s="1365"/>
      <c r="H780" s="1333"/>
      <c r="I780" s="1333"/>
      <c r="J780" s="1333"/>
      <c r="K780" s="1333"/>
      <c r="L780" s="1333"/>
      <c r="M780" s="1333"/>
      <c r="N780" s="1333"/>
      <c r="O780" s="1333"/>
      <c r="P780" s="1333"/>
      <c r="Q780" s="1333"/>
      <c r="R780" s="1333"/>
      <c r="S780" s="1333"/>
      <c r="T780" s="1333"/>
      <c r="U780" s="1333"/>
      <c r="V780" s="1333"/>
      <c r="W780" s="1333"/>
      <c r="X780" s="1333"/>
      <c r="Y780" s="1333"/>
      <c r="Z780" s="1333"/>
      <c r="AA780" s="1333"/>
      <c r="AB780" s="1333"/>
      <c r="AC780" s="1333"/>
      <c r="AD780" s="1333"/>
      <c r="AE780" s="1333"/>
      <c r="AF780" s="1333"/>
      <c r="AG780" s="1333"/>
      <c r="AH780" s="1333"/>
      <c r="AI780" s="1333"/>
    </row>
    <row r="781" spans="1:35" x14ac:dyDescent="0.25">
      <c r="A781" s="1331"/>
      <c r="B781" s="1284"/>
      <c r="C781" s="1284"/>
      <c r="D781" s="1364"/>
      <c r="E781" s="1364"/>
      <c r="F781" s="1364"/>
      <c r="G781" s="1365"/>
      <c r="H781" s="1333"/>
      <c r="I781" s="1333"/>
      <c r="J781" s="1333"/>
      <c r="K781" s="1333"/>
      <c r="L781" s="1333"/>
      <c r="M781" s="1333"/>
      <c r="N781" s="1333"/>
      <c r="O781" s="1333"/>
      <c r="P781" s="1333"/>
      <c r="Q781" s="1333"/>
      <c r="R781" s="1333"/>
      <c r="S781" s="1333"/>
      <c r="T781" s="1333"/>
      <c r="U781" s="1333"/>
      <c r="V781" s="1333"/>
      <c r="W781" s="1333"/>
      <c r="X781" s="1333"/>
      <c r="Y781" s="1333"/>
      <c r="Z781" s="1333"/>
      <c r="AA781" s="1333"/>
      <c r="AB781" s="1333"/>
      <c r="AC781" s="1333"/>
      <c r="AD781" s="1333"/>
      <c r="AE781" s="1333"/>
      <c r="AF781" s="1333"/>
      <c r="AG781" s="1333"/>
      <c r="AH781" s="1333"/>
      <c r="AI781" s="1333"/>
    </row>
    <row r="782" spans="1:35" x14ac:dyDescent="0.25">
      <c r="A782" s="1331"/>
      <c r="B782" s="1284"/>
      <c r="C782" s="1284"/>
      <c r="D782" s="1364"/>
      <c r="E782" s="1364"/>
      <c r="F782" s="1364"/>
      <c r="G782" s="1365"/>
      <c r="H782" s="1333"/>
      <c r="I782" s="1333"/>
      <c r="J782" s="1333"/>
      <c r="K782" s="1333"/>
      <c r="L782" s="1333"/>
      <c r="M782" s="1333"/>
      <c r="N782" s="1333"/>
      <c r="O782" s="1333"/>
      <c r="P782" s="1333"/>
      <c r="Q782" s="1333"/>
      <c r="R782" s="1333"/>
      <c r="S782" s="1333"/>
      <c r="T782" s="1333"/>
      <c r="U782" s="1333"/>
      <c r="V782" s="1333"/>
      <c r="W782" s="1333"/>
      <c r="X782" s="1333"/>
      <c r="Y782" s="1333"/>
      <c r="Z782" s="1333"/>
      <c r="AA782" s="1333"/>
      <c r="AB782" s="1333"/>
      <c r="AC782" s="1333"/>
      <c r="AD782" s="1333"/>
      <c r="AE782" s="1333"/>
      <c r="AF782" s="1333"/>
      <c r="AG782" s="1333"/>
      <c r="AH782" s="1333"/>
      <c r="AI782" s="1333"/>
    </row>
    <row r="783" spans="1:35" x14ac:dyDescent="0.25">
      <c r="A783" s="1331"/>
      <c r="B783" s="1284"/>
      <c r="C783" s="1284"/>
      <c r="D783" s="1364"/>
      <c r="E783" s="1364"/>
      <c r="F783" s="1364"/>
      <c r="G783" s="1365"/>
      <c r="H783" s="1333"/>
      <c r="I783" s="1333"/>
      <c r="J783" s="1333"/>
      <c r="K783" s="1333"/>
      <c r="L783" s="1333"/>
      <c r="M783" s="1333"/>
      <c r="N783" s="1333"/>
      <c r="O783" s="1333"/>
      <c r="P783" s="1333"/>
      <c r="Q783" s="1333"/>
      <c r="R783" s="1333"/>
      <c r="S783" s="1333"/>
      <c r="T783" s="1333"/>
      <c r="U783" s="1333"/>
      <c r="V783" s="1333"/>
      <c r="W783" s="1333"/>
      <c r="X783" s="1333"/>
      <c r="Y783" s="1333"/>
      <c r="Z783" s="1333"/>
      <c r="AA783" s="1333"/>
      <c r="AB783" s="1333"/>
      <c r="AC783" s="1333"/>
      <c r="AD783" s="1333"/>
      <c r="AE783" s="1333"/>
      <c r="AF783" s="1333"/>
      <c r="AG783" s="1333"/>
      <c r="AH783" s="1333"/>
      <c r="AI783" s="1333"/>
    </row>
    <row r="784" spans="1:35" x14ac:dyDescent="0.25">
      <c r="A784" s="1331"/>
      <c r="B784" s="1284"/>
      <c r="C784" s="1284"/>
      <c r="D784" s="1364"/>
      <c r="E784" s="1364"/>
      <c r="F784" s="1364"/>
      <c r="G784" s="1365"/>
      <c r="H784" s="1333"/>
      <c r="I784" s="1333"/>
      <c r="J784" s="1333"/>
      <c r="K784" s="1333"/>
      <c r="L784" s="1333"/>
      <c r="M784" s="1333"/>
      <c r="N784" s="1333"/>
      <c r="O784" s="1333"/>
      <c r="P784" s="1333"/>
      <c r="Q784" s="1333"/>
      <c r="R784" s="1333"/>
      <c r="S784" s="1333"/>
      <c r="T784" s="1333"/>
      <c r="U784" s="1333"/>
      <c r="V784" s="1333"/>
      <c r="W784" s="1333"/>
      <c r="X784" s="1333"/>
      <c r="Y784" s="1333"/>
      <c r="Z784" s="1333"/>
      <c r="AA784" s="1333"/>
      <c r="AB784" s="1333"/>
      <c r="AC784" s="1333"/>
      <c r="AD784" s="1333"/>
      <c r="AE784" s="1333"/>
      <c r="AF784" s="1333"/>
      <c r="AG784" s="1333"/>
      <c r="AH784" s="1333"/>
      <c r="AI784" s="1333"/>
    </row>
    <row r="785" spans="1:35" x14ac:dyDescent="0.25">
      <c r="A785" s="1331"/>
      <c r="B785" s="1284"/>
      <c r="C785" s="1284"/>
      <c r="D785" s="1364"/>
      <c r="E785" s="1364"/>
      <c r="F785" s="1364"/>
      <c r="G785" s="1365"/>
      <c r="H785" s="1333"/>
      <c r="I785" s="1333"/>
      <c r="J785" s="1333"/>
      <c r="K785" s="1333"/>
      <c r="L785" s="1333"/>
      <c r="M785" s="1333"/>
      <c r="N785" s="1333"/>
      <c r="O785" s="1333"/>
      <c r="P785" s="1333"/>
      <c r="Q785" s="1333"/>
      <c r="R785" s="1333"/>
      <c r="S785" s="1333"/>
      <c r="T785" s="1333"/>
      <c r="U785" s="1333"/>
      <c r="V785" s="1333"/>
      <c r="W785" s="1333"/>
      <c r="X785" s="1333"/>
      <c r="Y785" s="1333"/>
      <c r="Z785" s="1333"/>
      <c r="AA785" s="1333"/>
      <c r="AB785" s="1333"/>
      <c r="AC785" s="1333"/>
      <c r="AD785" s="1333"/>
      <c r="AE785" s="1333"/>
      <c r="AF785" s="1333"/>
      <c r="AG785" s="1333"/>
      <c r="AH785" s="1333"/>
      <c r="AI785" s="1333"/>
    </row>
    <row r="786" spans="1:35" x14ac:dyDescent="0.25">
      <c r="A786" s="1331"/>
      <c r="B786" s="1284"/>
      <c r="C786" s="1284"/>
      <c r="D786" s="1364"/>
      <c r="E786" s="1364"/>
      <c r="F786" s="1364"/>
      <c r="G786" s="1365"/>
      <c r="H786" s="1333"/>
      <c r="I786" s="1333"/>
      <c r="J786" s="1333"/>
      <c r="K786" s="1333"/>
      <c r="L786" s="1333"/>
      <c r="M786" s="1333"/>
      <c r="N786" s="1333"/>
      <c r="O786" s="1333"/>
      <c r="P786" s="1333"/>
      <c r="Q786" s="1333"/>
      <c r="R786" s="1333"/>
      <c r="S786" s="1333"/>
      <c r="T786" s="1333"/>
      <c r="U786" s="1333"/>
      <c r="V786" s="1333"/>
      <c r="W786" s="1333"/>
      <c r="X786" s="1333"/>
      <c r="Y786" s="1333"/>
      <c r="Z786" s="1333"/>
      <c r="AA786" s="1333"/>
      <c r="AB786" s="1333"/>
      <c r="AC786" s="1333"/>
      <c r="AD786" s="1333"/>
      <c r="AE786" s="1333"/>
      <c r="AF786" s="1333"/>
      <c r="AG786" s="1333"/>
      <c r="AH786" s="1333"/>
      <c r="AI786" s="1333"/>
    </row>
    <row r="787" spans="1:35" x14ac:dyDescent="0.25">
      <c r="A787" s="1331"/>
      <c r="B787" s="1284"/>
      <c r="C787" s="1284"/>
      <c r="D787" s="1364"/>
      <c r="E787" s="1364"/>
      <c r="F787" s="1364"/>
      <c r="G787" s="1365"/>
      <c r="H787" s="1333"/>
      <c r="I787" s="1333"/>
      <c r="J787" s="1333"/>
      <c r="K787" s="1333"/>
      <c r="L787" s="1333"/>
      <c r="M787" s="1333"/>
      <c r="N787" s="1333"/>
      <c r="O787" s="1333"/>
      <c r="P787" s="1333"/>
      <c r="Q787" s="1333"/>
      <c r="R787" s="1333"/>
      <c r="S787" s="1333"/>
      <c r="T787" s="1333"/>
      <c r="U787" s="1333"/>
      <c r="V787" s="1333"/>
      <c r="W787" s="1333"/>
      <c r="X787" s="1333"/>
      <c r="Y787" s="1333"/>
      <c r="Z787" s="1333"/>
      <c r="AA787" s="1333"/>
      <c r="AB787" s="1333"/>
      <c r="AC787" s="1333"/>
      <c r="AD787" s="1333"/>
      <c r="AE787" s="1333"/>
      <c r="AF787" s="1333"/>
      <c r="AG787" s="1333"/>
      <c r="AH787" s="1333"/>
      <c r="AI787" s="1333"/>
    </row>
  </sheetData>
  <sheetProtection formatColumns="0" formatRows="0" selectLockedCells="1"/>
  <mergeCells count="87">
    <mergeCell ref="C534:E534"/>
    <mergeCell ref="C535:E535"/>
    <mergeCell ref="C536:E536"/>
    <mergeCell ref="C529:E529"/>
    <mergeCell ref="C530:E530"/>
    <mergeCell ref="C531:E531"/>
    <mergeCell ref="C532:E532"/>
    <mergeCell ref="C533:E533"/>
    <mergeCell ref="C524:E524"/>
    <mergeCell ref="C525:E525"/>
    <mergeCell ref="C526:E526"/>
    <mergeCell ref="C527:E527"/>
    <mergeCell ref="C528:E528"/>
    <mergeCell ref="C519:E519"/>
    <mergeCell ref="C520:E520"/>
    <mergeCell ref="C521:E521"/>
    <mergeCell ref="C522:E522"/>
    <mergeCell ref="C523:E523"/>
    <mergeCell ref="C514:E514"/>
    <mergeCell ref="C515:E515"/>
    <mergeCell ref="C516:E516"/>
    <mergeCell ref="C517:E517"/>
    <mergeCell ref="C518:E518"/>
    <mergeCell ref="C509:E509"/>
    <mergeCell ref="C510:E510"/>
    <mergeCell ref="C511:E511"/>
    <mergeCell ref="C512:E512"/>
    <mergeCell ref="C513:E513"/>
    <mergeCell ref="C504:E504"/>
    <mergeCell ref="C505:E505"/>
    <mergeCell ref="C506:E506"/>
    <mergeCell ref="C507:E507"/>
    <mergeCell ref="C508:E508"/>
    <mergeCell ref="C499:E499"/>
    <mergeCell ref="C500:E500"/>
    <mergeCell ref="C501:E501"/>
    <mergeCell ref="C502:E502"/>
    <mergeCell ref="C503:E503"/>
    <mergeCell ref="C494:E494"/>
    <mergeCell ref="C495:E495"/>
    <mergeCell ref="C496:E496"/>
    <mergeCell ref="C497:E497"/>
    <mergeCell ref="C498:E498"/>
    <mergeCell ref="C489:E489"/>
    <mergeCell ref="C490:E490"/>
    <mergeCell ref="C491:E491"/>
    <mergeCell ref="C492:E492"/>
    <mergeCell ref="C493:E493"/>
    <mergeCell ref="C484:E484"/>
    <mergeCell ref="C485:E485"/>
    <mergeCell ref="C486:E486"/>
    <mergeCell ref="C487:E487"/>
    <mergeCell ref="C488:E488"/>
    <mergeCell ref="C479:E479"/>
    <mergeCell ref="C480:E480"/>
    <mergeCell ref="C481:E481"/>
    <mergeCell ref="C482:E482"/>
    <mergeCell ref="C483:E483"/>
    <mergeCell ref="C474:E474"/>
    <mergeCell ref="C475:E475"/>
    <mergeCell ref="C476:E476"/>
    <mergeCell ref="C477:E477"/>
    <mergeCell ref="C478:E478"/>
    <mergeCell ref="C473:E473"/>
    <mergeCell ref="C464:E464"/>
    <mergeCell ref="C22:D22"/>
    <mergeCell ref="F21:G21"/>
    <mergeCell ref="F22:G22"/>
    <mergeCell ref="C458:E458"/>
    <mergeCell ref="C459:E459"/>
    <mergeCell ref="C471:E471"/>
    <mergeCell ref="C468:E468"/>
    <mergeCell ref="C469:E469"/>
    <mergeCell ref="C466:E466"/>
    <mergeCell ref="F3:H3"/>
    <mergeCell ref="A15:A23"/>
    <mergeCell ref="D23:F23"/>
    <mergeCell ref="C460:E460"/>
    <mergeCell ref="C456:E456"/>
    <mergeCell ref="C457:E457"/>
    <mergeCell ref="C17:H17"/>
    <mergeCell ref="G23:H23"/>
    <mergeCell ref="C15:H15"/>
    <mergeCell ref="C16:H16"/>
    <mergeCell ref="C19:H19"/>
    <mergeCell ref="C18:H18"/>
    <mergeCell ref="C21:D21"/>
  </mergeCells>
  <conditionalFormatting sqref="E39:H125">
    <cfRule type="expression" dxfId="1415" priority="169">
      <formula>$D$39="N"</formula>
    </cfRule>
  </conditionalFormatting>
  <conditionalFormatting sqref="C16:C17">
    <cfRule type="cellIs" dxfId="1414" priority="89" operator="equal">
      <formula>"CONCEPTUALIZATION IS NOT IN PROJECT"</formula>
    </cfRule>
  </conditionalFormatting>
  <conditionalFormatting sqref="H5:I5">
    <cfRule type="expression" dxfId="1413" priority="511">
      <formula>$D$39="N"</formula>
    </cfRule>
  </conditionalFormatting>
  <conditionalFormatting sqref="G24:H457">
    <cfRule type="expression" dxfId="1412" priority="161">
      <formula>$F24="N"</formula>
    </cfRule>
  </conditionalFormatting>
  <conditionalFormatting sqref="H6:I6">
    <cfRule type="expression" dxfId="1411" priority="509">
      <formula>$D$39="N"</formula>
    </cfRule>
  </conditionalFormatting>
  <conditionalFormatting sqref="I126">
    <cfRule type="expression" dxfId="1410" priority="489">
      <formula>$D$68="N"</formula>
    </cfRule>
  </conditionalFormatting>
  <conditionalFormatting sqref="I180">
    <cfRule type="expression" dxfId="1409" priority="483">
      <formula>#REF!="N"</formula>
    </cfRule>
  </conditionalFormatting>
  <conditionalFormatting sqref="F56:H125">
    <cfRule type="expression" dxfId="1408" priority="261">
      <formula>$E$56="N"</formula>
    </cfRule>
  </conditionalFormatting>
  <conditionalFormatting sqref="I206">
    <cfRule type="expression" dxfId="1407" priority="473">
      <formula>$D206="N"</formula>
    </cfRule>
  </conditionalFormatting>
  <conditionalFormatting sqref="G385:H385">
    <cfRule type="expression" dxfId="1406" priority="528">
      <formula>$D$385="n"</formula>
    </cfRule>
  </conditionalFormatting>
  <conditionalFormatting sqref="E180:H180">
    <cfRule type="expression" dxfId="1405" priority="373">
      <formula>$D$180="N"</formula>
    </cfRule>
  </conditionalFormatting>
  <conditionalFormatting sqref="E126:H126">
    <cfRule type="expression" dxfId="1404" priority="262">
      <formula>$D$126="N"</formula>
    </cfRule>
  </conditionalFormatting>
  <conditionalFormatting sqref="G168:H168">
    <cfRule type="expression" dxfId="1403" priority="329">
      <formula>$D$168="N"</formula>
    </cfRule>
  </conditionalFormatting>
  <conditionalFormatting sqref="E32:H32">
    <cfRule type="expression" dxfId="1402" priority="166">
      <formula>$D$32="n"</formula>
    </cfRule>
  </conditionalFormatting>
  <conditionalFormatting sqref="E39:H39">
    <cfRule type="expression" dxfId="1401" priority="168">
      <formula>$D$39="n"</formula>
    </cfRule>
  </conditionalFormatting>
  <conditionalFormatting sqref="E25:H25">
    <cfRule type="expression" dxfId="1400" priority="163">
      <formula>$D$25="N"</formula>
    </cfRule>
  </conditionalFormatting>
  <conditionalFormatting sqref="E27:H27">
    <cfRule type="expression" dxfId="1399" priority="164">
      <formula>$D$27="N"</formula>
    </cfRule>
  </conditionalFormatting>
  <conditionalFormatting sqref="E37:H37">
    <cfRule type="expression" dxfId="1398" priority="167">
      <formula>$D$37="N"</formula>
    </cfRule>
  </conditionalFormatting>
  <conditionalFormatting sqref="E385:H442">
    <cfRule type="expression" dxfId="1397" priority="529">
      <formula>$D$385="N"</formula>
    </cfRule>
  </conditionalFormatting>
  <conditionalFormatting sqref="F24:H457">
    <cfRule type="expression" dxfId="1396" priority="159">
      <formula>$E24="N"</formula>
    </cfRule>
  </conditionalFormatting>
  <conditionalFormatting sqref="E126:H167">
    <cfRule type="expression" dxfId="1395" priority="263">
      <formula>$D$126="N"</formula>
    </cfRule>
  </conditionalFormatting>
  <conditionalFormatting sqref="E206:H451">
    <cfRule type="expression" dxfId="1394" priority="426">
      <formula>$D$206="N"</formula>
    </cfRule>
  </conditionalFormatting>
  <conditionalFormatting sqref="E180:H205">
    <cfRule type="expression" dxfId="1393" priority="374">
      <formula>$D$180="N"</formula>
    </cfRule>
  </conditionalFormatting>
  <conditionalFormatting sqref="I443:I448">
    <cfRule type="expression" dxfId="1392" priority="353">
      <formula>$D443="N"</formula>
    </cfRule>
  </conditionalFormatting>
  <conditionalFormatting sqref="E206:H206">
    <cfRule type="expression" dxfId="1391" priority="423">
      <formula>$D$206="N"</formula>
    </cfRule>
  </conditionalFormatting>
  <conditionalFormatting sqref="E443:H443">
    <cfRule type="expression" dxfId="1390" priority="549">
      <formula>$D$443="N"</formula>
    </cfRule>
  </conditionalFormatting>
  <conditionalFormatting sqref="I382">
    <cfRule type="expression" dxfId="1389" priority="337">
      <formula>$D382="N"</formula>
    </cfRule>
  </conditionalFormatting>
  <conditionalFormatting sqref="E382:H382">
    <cfRule type="expression" dxfId="1388" priority="525">
      <formula>$D$382="N"</formula>
    </cfRule>
  </conditionalFormatting>
  <conditionalFormatting sqref="E174:H174">
    <cfRule type="expression" dxfId="1387" priority="341">
      <formula>$D$174="N"</formula>
    </cfRule>
  </conditionalFormatting>
  <conditionalFormatting sqref="E174:H179">
    <cfRule type="expression" dxfId="1386" priority="372">
      <formula>$D$174="N"</formula>
    </cfRule>
  </conditionalFormatting>
  <conditionalFormatting sqref="I449">
    <cfRule type="expression" dxfId="1385" priority="247">
      <formula>$D449="N"</formula>
    </cfRule>
  </conditionalFormatting>
  <conditionalFormatting sqref="I76">
    <cfRule type="expression" dxfId="1384" priority="210">
      <formula>$F76="N"</formula>
    </cfRule>
  </conditionalFormatting>
  <conditionalFormatting sqref="I207">
    <cfRule type="expression" dxfId="1383" priority="208">
      <formula>$E207="N"</formula>
    </cfRule>
  </conditionalFormatting>
  <conditionalFormatting sqref="I251">
    <cfRule type="expression" dxfId="1382" priority="207">
      <formula>$E251="N"</formula>
    </cfRule>
  </conditionalFormatting>
  <conditionalFormatting sqref="I127">
    <cfRule type="expression" dxfId="1381" priority="205">
      <formula>$E127="N"</formula>
    </cfRule>
  </conditionalFormatting>
  <conditionalFormatting sqref="I254">
    <cfRule type="expression" dxfId="1380" priority="204">
      <formula>$E254="N"</formula>
    </cfRule>
  </conditionalFormatting>
  <conditionalFormatting sqref="I256">
    <cfRule type="expression" dxfId="1379" priority="203">
      <formula>$E256="N"</formula>
    </cfRule>
  </conditionalFormatting>
  <conditionalFormatting sqref="I252">
    <cfRule type="expression" dxfId="1378" priority="202">
      <formula>$E252="N"</formula>
    </cfRule>
  </conditionalFormatting>
  <conditionalFormatting sqref="I253">
    <cfRule type="expression" dxfId="1377" priority="201">
      <formula>$E253="N"</formula>
    </cfRule>
  </conditionalFormatting>
  <conditionalFormatting sqref="I255">
    <cfRule type="expression" dxfId="1376" priority="200">
      <formula>$E255="N"</formula>
    </cfRule>
  </conditionalFormatting>
  <conditionalFormatting sqref="I257">
    <cfRule type="expression" dxfId="1375" priority="199">
      <formula>$E257="N"</formula>
    </cfRule>
  </conditionalFormatting>
  <conditionalFormatting sqref="I55">
    <cfRule type="expression" dxfId="1374" priority="195">
      <formula>$F55="N"</formula>
    </cfRule>
  </conditionalFormatting>
  <conditionalFormatting sqref="I56:I57">
    <cfRule type="expression" dxfId="1373" priority="194">
      <formula>$F56="N"</formula>
    </cfRule>
  </conditionalFormatting>
  <conditionalFormatting sqref="I59 I61">
    <cfRule type="expression" dxfId="1372" priority="193">
      <formula>$F59="N"</formula>
    </cfRule>
  </conditionalFormatting>
  <conditionalFormatting sqref="I58">
    <cfRule type="expression" dxfId="1371" priority="192">
      <formula>$F58="N"</formula>
    </cfRule>
  </conditionalFormatting>
  <conditionalFormatting sqref="I136">
    <cfRule type="expression" dxfId="1370" priority="191">
      <formula>$E136="N"</formula>
    </cfRule>
  </conditionalFormatting>
  <conditionalFormatting sqref="I181">
    <cfRule type="expression" dxfId="1369" priority="190">
      <formula>$E181="N"</formula>
    </cfRule>
  </conditionalFormatting>
  <conditionalFormatting sqref="I183:I186 I188:I189 I191">
    <cfRule type="expression" dxfId="1368" priority="189">
      <formula>$E183="N"</formula>
    </cfRule>
  </conditionalFormatting>
  <conditionalFormatting sqref="I71">
    <cfRule type="expression" dxfId="1367" priority="188">
      <formula>$F71="N"</formula>
    </cfRule>
  </conditionalFormatting>
  <conditionalFormatting sqref="I69">
    <cfRule type="expression" dxfId="1366" priority="187">
      <formula>$F69="N"</formula>
    </cfRule>
  </conditionalFormatting>
  <conditionalFormatting sqref="I70">
    <cfRule type="expression" dxfId="1365" priority="186">
      <formula>$F70="N"</formula>
    </cfRule>
  </conditionalFormatting>
  <conditionalFormatting sqref="I128:I133 I135">
    <cfRule type="expression" dxfId="1364" priority="185">
      <formula>$E128="N"</formula>
    </cfRule>
  </conditionalFormatting>
  <conditionalFormatting sqref="F350:H357">
    <cfRule type="expression" dxfId="1363" priority="513">
      <formula>$E$350="N"</formula>
    </cfRule>
  </conditionalFormatting>
  <conditionalFormatting sqref="F341:H349">
    <cfRule type="expression" dxfId="1362" priority="510">
      <formula>$E$340="N"</formula>
    </cfRule>
  </conditionalFormatting>
  <conditionalFormatting sqref="F367:H379">
    <cfRule type="expression" dxfId="1361" priority="458">
      <formula>$E$367="N"</formula>
    </cfRule>
  </conditionalFormatting>
  <conditionalFormatting sqref="F358:H366">
    <cfRule type="expression" dxfId="1360" priority="456">
      <formula>$E$358="N"</formula>
    </cfRule>
  </conditionalFormatting>
  <conditionalFormatting sqref="F332:H339">
    <cfRule type="expression" dxfId="1359" priority="449">
      <formula>$E$332="N"</formula>
    </cfRule>
  </conditionalFormatting>
  <conditionalFormatting sqref="F316:H331">
    <cfRule type="expression" dxfId="1358" priority="448">
      <formula>$E$316="N"</formula>
    </cfRule>
  </conditionalFormatting>
  <conditionalFormatting sqref="F299:H308">
    <cfRule type="expression" dxfId="1357" priority="444">
      <formula>$E$299="N"</formula>
    </cfRule>
  </conditionalFormatting>
  <conditionalFormatting sqref="F289:H298">
    <cfRule type="expression" dxfId="1356" priority="443">
      <formula>$E$289="N"</formula>
    </cfRule>
  </conditionalFormatting>
  <conditionalFormatting sqref="F279:H288">
    <cfRule type="expression" dxfId="1355" priority="438">
      <formula>$E$279="N"</formula>
    </cfRule>
  </conditionalFormatting>
  <conditionalFormatting sqref="F270:H278">
    <cfRule type="expression" dxfId="1354" priority="437">
      <formula>$E$270="N"</formula>
    </cfRule>
  </conditionalFormatting>
  <conditionalFormatting sqref="F255:H269">
    <cfRule type="expression" dxfId="1353" priority="436">
      <formula>$E$255="N"</formula>
    </cfRule>
  </conditionalFormatting>
  <conditionalFormatting sqref="F231:H254">
    <cfRule type="expression" dxfId="1352" priority="430">
      <formula>$E$231="N"</formula>
    </cfRule>
  </conditionalFormatting>
  <conditionalFormatting sqref="F218:H230">
    <cfRule type="expression" dxfId="1351" priority="429">
      <formula>$E$218="N"</formula>
    </cfRule>
  </conditionalFormatting>
  <conditionalFormatting sqref="H24:H457">
    <cfRule type="containsText" dxfId="1350" priority="46" operator="containsText" text="Placeholder">
      <formula>NOT(ISERROR(SEARCH("Placeholder",H24)))</formula>
    </cfRule>
  </conditionalFormatting>
  <conditionalFormatting sqref="E168:H172">
    <cfRule type="expression" dxfId="1349" priority="340">
      <formula>$D$168="N"</formula>
    </cfRule>
  </conditionalFormatting>
  <conditionalFormatting sqref="E443:H450">
    <cfRule type="expression" dxfId="1348" priority="556">
      <formula>$D$443="N"</formula>
    </cfRule>
  </conditionalFormatting>
  <conditionalFormatting sqref="F211:H217">
    <cfRule type="expression" dxfId="1347" priority="427">
      <formula>$E$211="N"</formula>
    </cfRule>
  </conditionalFormatting>
  <conditionalFormatting sqref="F309:H315">
    <cfRule type="expression" dxfId="1346" priority="447">
      <formula>$E$309="N"</formula>
    </cfRule>
  </conditionalFormatting>
  <conditionalFormatting sqref="L15">
    <cfRule type="containsText" dxfId="1345" priority="48" operator="containsText" text="&lt;----Fill in information">
      <formula>NOT(ISERROR(SEARCH("&lt;----Fill in information",L15)))</formula>
    </cfRule>
  </conditionalFormatting>
  <conditionalFormatting sqref="L18">
    <cfRule type="containsText" dxfId="1344" priority="47" operator="containsText" text="&lt;----Fill in information">
      <formula>NOT(ISERROR(SEARCH("&lt;----Fill in information",L18)))</formula>
    </cfRule>
  </conditionalFormatting>
  <conditionalFormatting sqref="C16:H17">
    <cfRule type="cellIs" dxfId="1343" priority="45" operator="equal">
      <formula>"PROJECT HAS NOT BEEN SET UP PAST CONCEPTUALIZATION"</formula>
    </cfRule>
    <cfRule type="expression" dxfId="1342" priority="90">
      <formula>$C$16="CONCEPTUALIZATION IS NOT IN PROJECT"</formula>
    </cfRule>
  </conditionalFormatting>
  <conditionalFormatting sqref="C15:H18">
    <cfRule type="containsText" dxfId="1341" priority="112" operator="containsText" text="Insert">
      <formula>NOT(ISERROR(SEARCH("Insert",C15)))</formula>
    </cfRule>
    <cfRule type="containsText" dxfId="1340" priority="157" operator="containsText" text="##">
      <formula>NOT(ISERROR(SEARCH("##",C15)))</formula>
    </cfRule>
  </conditionalFormatting>
  <conditionalFormatting sqref="C15:H18">
    <cfRule type="containsText" dxfId="1339" priority="118" operator="containsText" text="Choose">
      <formula>NOT(ISERROR(SEARCH("Choose",C15)))</formula>
    </cfRule>
  </conditionalFormatting>
  <conditionalFormatting sqref="C18:H452">
    <cfRule type="expression" dxfId="1338" priority="1">
      <formula>$C$16="PROJECT HAS NOT BEEN SET UP PAST CONCEPTUALIZATION"</formula>
    </cfRule>
    <cfRule type="expression" dxfId="1337" priority="2">
      <formula>$C$16="CONCEPTUALIZATION IS NOT IN PROJECT"</formula>
    </cfRule>
  </conditionalFormatting>
  <conditionalFormatting sqref="C18:C457">
    <cfRule type="expression" dxfId="1336" priority="75">
      <formula>$D18="Y"</formula>
    </cfRule>
    <cfRule type="expression" dxfId="1335" priority="91">
      <formula>$E18="Y"</formula>
    </cfRule>
    <cfRule type="expression" dxfId="1334" priority="92">
      <formula>$F18="Y"</formula>
    </cfRule>
  </conditionalFormatting>
  <conditionalFormatting sqref="E24:H457">
    <cfRule type="expression" dxfId="1333" priority="158">
      <formula>$D24="N"</formula>
    </cfRule>
  </conditionalFormatting>
  <conditionalFormatting sqref="D24:G457">
    <cfRule type="cellIs" dxfId="1332" priority="61" operator="equal">
      <formula>"?"</formula>
    </cfRule>
    <cfRule type="cellIs" dxfId="1331" priority="99" operator="equal">
      <formula>"Y"</formula>
    </cfRule>
  </conditionalFormatting>
  <conditionalFormatting sqref="D28:H30">
    <cfRule type="expression" dxfId="1330" priority="165">
      <formula>$D$27="N"</formula>
    </cfRule>
  </conditionalFormatting>
  <conditionalFormatting sqref="E33:H35">
    <cfRule type="expression" dxfId="1329" priority="162">
      <formula>$D$32="N"</formula>
    </cfRule>
  </conditionalFormatting>
  <dataValidations count="3">
    <dataValidation type="list" allowBlank="1" showInputMessage="1" showErrorMessage="1" sqref="C23">
      <formula1>$C$8:$C$11</formula1>
    </dataValidation>
    <dataValidation type="list" allowBlank="1" showInputMessage="1" showErrorMessage="1" sqref="E5 D4 F6">
      <formula1>$D$8:$D$11</formula1>
    </dataValidation>
    <dataValidation allowBlank="1" showInputMessage="1" showErrorMessage="1" promptTitle="NO INPUTS IN THESE CELLS" prompt="Changes are only made in TAB C." sqref="C21:D21 F21:H21 D25:H451"/>
  </dataValidations>
  <printOptions horizontalCentered="1"/>
  <pageMargins left="0.45" right="0.45" top="0.5" bottom="0.6" header="0.3" footer="0.3"/>
  <pageSetup scale="86" fitToHeight="8" orientation="portrait" r:id="rId1"/>
  <headerFooter>
    <oddFooter>&amp;L&amp;"Ebrima,Bold"&amp;10TAB &amp;A&amp;C&amp;"Ebrima,Regular"&amp;8&amp;P of &amp;N&amp;R&amp;G</oddFooter>
  </headerFooter>
  <rowBreaks count="1" manualBreakCount="1">
    <brk id="205" min="2" max="7" man="1"/>
  </rowBreaks>
  <drawing r:id="rId2"/>
  <legacyDrawing r:id="rId3"/>
  <legacyDrawingHF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pageSetUpPr fitToPage="1"/>
  </sheetPr>
  <dimension ref="A1:AV787"/>
  <sheetViews>
    <sheetView showGridLines="0" view="pageBreakPreview" zoomScaleNormal="100" zoomScaleSheetLayoutView="100" workbookViewId="0">
      <pane xSplit="2" ySplit="23" topLeftCell="C24" activePane="bottomRight" state="frozen"/>
      <selection pane="topRight" activeCell="C1" sqref="C1"/>
      <selection pane="bottomLeft" activeCell="A24" sqref="A24"/>
      <selection pane="bottomRight" activeCell="G26" sqref="G26"/>
    </sheetView>
  </sheetViews>
  <sheetFormatPr defaultRowHeight="15" x14ac:dyDescent="0.25"/>
  <cols>
    <col min="1" max="1" width="5.7109375" style="409" hidden="1" customWidth="1"/>
    <col min="2" max="2" width="0.85546875" customWidth="1"/>
    <col min="3" max="3" width="9.28515625" customWidth="1"/>
    <col min="4" max="6" width="3.28515625" style="12" customWidth="1"/>
    <col min="7" max="7" width="7" style="19" customWidth="1"/>
    <col min="8" max="8" width="86" style="17" customWidth="1"/>
    <col min="9" max="9" width="0.85546875" style="17" customWidth="1"/>
    <col min="10" max="10" width="11.140625" style="17" hidden="1" customWidth="1"/>
    <col min="11" max="11" width="7.140625" style="17" hidden="1" customWidth="1"/>
    <col min="12" max="16" width="9.140625" style="17" customWidth="1"/>
    <col min="17" max="48" width="9.140625" style="17"/>
  </cols>
  <sheetData>
    <row r="1" spans="1:48" s="542" customFormat="1" ht="0.75" customHeight="1" x14ac:dyDescent="0.25">
      <c r="A1" s="1479"/>
      <c r="D1" s="543"/>
      <c r="E1" s="543"/>
      <c r="F1" s="543"/>
      <c r="G1" s="19"/>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row>
    <row r="2" spans="1:48" s="542" customFormat="1" ht="0.75" customHeight="1" x14ac:dyDescent="0.25">
      <c r="A2" s="1479"/>
      <c r="D2" s="543"/>
      <c r="E2" s="543"/>
      <c r="F2" s="543"/>
      <c r="G2" s="19"/>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row>
    <row r="3" spans="1:48" ht="30" customHeight="1" x14ac:dyDescent="0.25">
      <c r="A3" s="1479"/>
      <c r="C3" s="1577" t="s">
        <v>46</v>
      </c>
      <c r="D3" s="1421"/>
      <c r="E3" s="1421"/>
      <c r="F3" s="2278" t="str">
        <f ca="1">CONCATENATE("READ DIRECTIONS FILE FIRST.  PSC should print &amp; use at SD submittals. PM/ Planner only should hide non-applicable rows.  Choices for applicability are in the tab [",MID(CELL("filename",Date_edited_TAB_C),FIND("]",CELL("filename",Date_edited_TAB_C))+1,255),"]")</f>
        <v>READ DIRECTIONS FILE FIRST.  PSC should print &amp; use at SD submittals. PM/ Planner only should hide non-applicable rows.  Choices for applicability are in the tab [C-Design&amp;Const]</v>
      </c>
      <c r="G3" s="2278"/>
      <c r="H3" s="2278"/>
      <c r="I3" s="1421"/>
      <c r="J3" s="1421"/>
      <c r="K3" s="1421"/>
      <c r="L3" s="1186"/>
      <c r="M3" s="1186"/>
      <c r="N3" s="1186"/>
      <c r="O3" s="1186"/>
      <c r="P3" s="1186"/>
      <c r="Q3" s="1186"/>
      <c r="R3" s="1333"/>
      <c r="S3" s="1333"/>
      <c r="T3" s="1333"/>
      <c r="U3" s="1333"/>
      <c r="V3" s="1333"/>
      <c r="W3" s="1333"/>
      <c r="X3" s="1333"/>
      <c r="Y3" s="1333"/>
      <c r="Z3" s="1333"/>
      <c r="AA3" s="1333"/>
      <c r="AB3" s="1333"/>
      <c r="AC3" s="1333"/>
      <c r="AD3" s="1333"/>
      <c r="AE3" s="1333"/>
      <c r="AF3" s="1333"/>
      <c r="AG3" s="1333"/>
      <c r="AH3" s="1333"/>
      <c r="AI3" s="1333"/>
      <c r="AJ3" s="1333"/>
      <c r="AV3"/>
    </row>
    <row r="4" spans="1:48" ht="19.5" hidden="1" customHeight="1" thickTop="1" x14ac:dyDescent="0.25">
      <c r="A4" s="1479"/>
      <c r="C4" s="39"/>
      <c r="D4" s="317" t="s">
        <v>37</v>
      </c>
      <c r="E4" s="36"/>
      <c r="F4" s="28"/>
      <c r="G4" s="1801" t="s">
        <v>39</v>
      </c>
      <c r="H4" s="1802" t="s">
        <v>219</v>
      </c>
      <c r="I4" s="63"/>
      <c r="J4" s="63"/>
      <c r="L4" s="53" t="s">
        <v>142</v>
      </c>
      <c r="M4" s="1186"/>
      <c r="N4" s="1186"/>
      <c r="O4" s="1186"/>
      <c r="P4" s="1186"/>
      <c r="Q4" s="1186"/>
      <c r="R4" s="1333"/>
      <c r="S4" s="1333"/>
      <c r="T4" s="1333"/>
      <c r="U4" s="1333"/>
      <c r="V4" s="1333"/>
      <c r="W4" s="1333"/>
      <c r="X4" s="1333"/>
      <c r="Y4" s="1333"/>
      <c r="Z4" s="1333"/>
      <c r="AA4" s="1333"/>
      <c r="AB4" s="1333"/>
      <c r="AC4" s="1333"/>
      <c r="AD4" s="1333"/>
      <c r="AE4" s="1333"/>
      <c r="AF4" s="1333"/>
      <c r="AG4" s="1333"/>
      <c r="AH4" s="1333"/>
      <c r="AI4" s="1333"/>
      <c r="AJ4" s="1333"/>
      <c r="AV4"/>
    </row>
    <row r="5" spans="1:48" hidden="1" x14ac:dyDescent="0.25">
      <c r="A5" s="1480"/>
      <c r="C5" s="39"/>
      <c r="D5" s="21"/>
      <c r="E5" s="29" t="s">
        <v>37</v>
      </c>
      <c r="F5" s="22"/>
      <c r="G5" s="33"/>
      <c r="H5" s="40" t="s">
        <v>50</v>
      </c>
      <c r="I5" s="64"/>
      <c r="J5" s="64"/>
      <c r="L5" s="142" t="s">
        <v>49</v>
      </c>
      <c r="M5" s="1441"/>
      <c r="N5" s="1186"/>
      <c r="O5" s="1186"/>
      <c r="P5" s="1186"/>
      <c r="Q5" s="1186"/>
      <c r="R5" s="1333"/>
      <c r="S5" s="1333"/>
      <c r="T5" s="1333"/>
      <c r="U5" s="1333"/>
      <c r="V5" s="1333"/>
      <c r="W5" s="1333"/>
      <c r="X5" s="1333"/>
      <c r="Y5" s="1333"/>
      <c r="Z5" s="1333"/>
      <c r="AA5" s="1333"/>
      <c r="AB5" s="1333"/>
      <c r="AC5" s="1333"/>
      <c r="AD5" s="1333"/>
      <c r="AE5" s="1333"/>
      <c r="AF5" s="1333"/>
      <c r="AG5" s="1333"/>
      <c r="AH5" s="1333"/>
      <c r="AI5" s="1333"/>
      <c r="AJ5" s="1333"/>
      <c r="AV5"/>
    </row>
    <row r="6" spans="1:48" ht="15.75" hidden="1" thickBot="1" x14ac:dyDescent="0.3">
      <c r="A6" s="1480"/>
      <c r="C6" s="41"/>
      <c r="D6" s="42"/>
      <c r="E6" s="42"/>
      <c r="F6" s="43" t="s">
        <v>37</v>
      </c>
      <c r="G6" s="44"/>
      <c r="H6" s="45" t="s">
        <v>51</v>
      </c>
      <c r="I6" s="65"/>
      <c r="J6" s="65"/>
      <c r="L6" s="141"/>
      <c r="M6" s="1441"/>
      <c r="N6" s="1186"/>
      <c r="O6" s="1185"/>
      <c r="P6" s="1186"/>
      <c r="Q6" s="1186"/>
      <c r="R6" s="1333"/>
      <c r="S6" s="1333"/>
      <c r="T6" s="1333"/>
      <c r="U6" s="1333"/>
      <c r="V6" s="1333"/>
      <c r="W6" s="1333"/>
      <c r="X6" s="1333"/>
      <c r="Y6" s="1333"/>
      <c r="Z6" s="1333"/>
      <c r="AA6" s="1333"/>
      <c r="AB6" s="1333"/>
      <c r="AC6" s="1333"/>
      <c r="AD6" s="1333"/>
      <c r="AE6" s="1333"/>
      <c r="AF6" s="1333"/>
      <c r="AG6" s="1333"/>
      <c r="AH6" s="1333"/>
      <c r="AI6" s="1333"/>
      <c r="AJ6" s="1333"/>
      <c r="AV6"/>
    </row>
    <row r="7" spans="1:48" hidden="1" x14ac:dyDescent="0.25">
      <c r="A7" s="1480"/>
      <c r="C7" s="47" t="s">
        <v>71</v>
      </c>
      <c r="D7" s="47" t="s">
        <v>45</v>
      </c>
      <c r="E7" s="47"/>
      <c r="F7" s="47"/>
      <c r="G7" s="48"/>
      <c r="H7" s="96" t="s">
        <v>107</v>
      </c>
      <c r="I7" s="49"/>
      <c r="J7" s="49"/>
      <c r="L7" s="141"/>
      <c r="M7" s="1186"/>
      <c r="N7" s="1186"/>
      <c r="O7" s="1186"/>
      <c r="P7" s="1186"/>
      <c r="Q7" s="1186"/>
      <c r="R7" s="1333"/>
      <c r="S7" s="1333"/>
      <c r="T7" s="1333"/>
      <c r="U7" s="1333"/>
      <c r="V7" s="1333"/>
      <c r="W7" s="1333"/>
      <c r="X7" s="1333"/>
      <c r="Y7" s="1333"/>
      <c r="Z7" s="1333"/>
      <c r="AA7" s="1333"/>
      <c r="AB7" s="1333"/>
      <c r="AC7" s="1333"/>
      <c r="AD7" s="1333"/>
      <c r="AE7" s="1333"/>
      <c r="AF7" s="1333"/>
      <c r="AG7" s="1333"/>
      <c r="AH7" s="1333"/>
      <c r="AI7" s="1333"/>
      <c r="AJ7" s="1333"/>
    </row>
    <row r="8" spans="1:48" hidden="1" x14ac:dyDescent="0.25">
      <c r="A8" s="1480"/>
      <c r="C8" s="20" t="s">
        <v>100</v>
      </c>
      <c r="D8" s="20" t="s">
        <v>37</v>
      </c>
      <c r="E8" s="46" t="s">
        <v>47</v>
      </c>
      <c r="H8" s="97" t="s">
        <v>268</v>
      </c>
      <c r="L8" s="141"/>
      <c r="M8" s="1186"/>
      <c r="N8" s="1186"/>
      <c r="O8" s="1186"/>
      <c r="P8" s="1186"/>
      <c r="Q8" s="1186"/>
      <c r="R8" s="1333"/>
      <c r="S8" s="1333"/>
      <c r="T8" s="1333"/>
      <c r="U8" s="1333"/>
      <c r="V8" s="1333"/>
      <c r="W8" s="1333"/>
      <c r="X8" s="1333"/>
      <c r="Y8" s="1333"/>
      <c r="Z8" s="1333"/>
      <c r="AA8" s="1333"/>
      <c r="AB8" s="1333"/>
      <c r="AC8" s="1333"/>
      <c r="AD8" s="1333"/>
      <c r="AE8" s="1333"/>
      <c r="AF8" s="1333"/>
      <c r="AG8" s="1333"/>
      <c r="AH8" s="1333"/>
      <c r="AI8" s="1333"/>
      <c r="AJ8" s="1333"/>
    </row>
    <row r="9" spans="1:48" hidden="1" x14ac:dyDescent="0.25">
      <c r="A9" s="1480"/>
      <c r="C9" s="20" t="s">
        <v>72</v>
      </c>
      <c r="D9" s="20" t="s">
        <v>38</v>
      </c>
      <c r="E9" s="46" t="s">
        <v>47</v>
      </c>
      <c r="H9" s="97" t="s">
        <v>53</v>
      </c>
      <c r="L9" s="141"/>
      <c r="M9" s="1186"/>
      <c r="N9" s="1186"/>
      <c r="O9" s="1186"/>
      <c r="P9" s="1186"/>
      <c r="Q9" s="1186"/>
      <c r="R9" s="1333"/>
      <c r="S9" s="1333"/>
      <c r="T9" s="1333"/>
      <c r="U9" s="1333"/>
      <c r="V9" s="1333"/>
      <c r="W9" s="1333"/>
      <c r="X9" s="1333"/>
      <c r="Y9" s="1333"/>
      <c r="Z9" s="1333"/>
      <c r="AA9" s="1333"/>
      <c r="AB9" s="1333"/>
      <c r="AC9" s="1333"/>
      <c r="AD9" s="1333"/>
      <c r="AE9" s="1333"/>
      <c r="AF9" s="1333"/>
      <c r="AG9" s="1333"/>
      <c r="AH9" s="1333"/>
      <c r="AI9" s="1333"/>
      <c r="AJ9" s="1333"/>
    </row>
    <row r="10" spans="1:48" hidden="1" x14ac:dyDescent="0.25">
      <c r="A10" s="1480"/>
      <c r="C10" s="20"/>
      <c r="D10" s="20" t="s">
        <v>21</v>
      </c>
      <c r="E10" s="46" t="s">
        <v>47</v>
      </c>
      <c r="H10" s="98" t="s">
        <v>109</v>
      </c>
      <c r="L10" s="141"/>
      <c r="M10" s="1186"/>
      <c r="N10" s="1186"/>
      <c r="O10" s="1186"/>
      <c r="P10" s="1186"/>
      <c r="Q10" s="1186"/>
      <c r="R10" s="1333"/>
      <c r="S10" s="1333"/>
      <c r="T10" s="1333"/>
      <c r="U10" s="1333"/>
      <c r="V10" s="1333"/>
      <c r="W10" s="1333"/>
      <c r="X10" s="1333"/>
      <c r="Y10" s="1333"/>
      <c r="Z10" s="1333"/>
      <c r="AA10" s="1333"/>
      <c r="AB10" s="1333"/>
      <c r="AC10" s="1333"/>
      <c r="AD10" s="1333"/>
      <c r="AE10" s="1333"/>
      <c r="AF10" s="1333"/>
      <c r="AG10" s="1333"/>
      <c r="AH10" s="1333"/>
      <c r="AI10" s="1333"/>
      <c r="AJ10" s="1333"/>
    </row>
    <row r="11" spans="1:48" hidden="1" x14ac:dyDescent="0.25">
      <c r="A11" s="1480"/>
      <c r="C11" s="20"/>
      <c r="D11" s="20"/>
      <c r="L11" s="141"/>
      <c r="M11" s="1186"/>
      <c r="N11" s="1186"/>
      <c r="O11" s="1186"/>
      <c r="P11" s="1186"/>
      <c r="Q11" s="1186"/>
      <c r="R11" s="1333"/>
      <c r="S11" s="1333"/>
      <c r="T11" s="1333"/>
      <c r="U11" s="1333"/>
      <c r="V11" s="1333"/>
      <c r="W11" s="1333"/>
      <c r="X11" s="1333"/>
      <c r="Y11" s="1333"/>
      <c r="Z11" s="1333"/>
      <c r="AA11" s="1333"/>
      <c r="AB11" s="1333"/>
      <c r="AC11" s="1333"/>
      <c r="AD11" s="1333"/>
      <c r="AE11" s="1333"/>
      <c r="AF11" s="1333"/>
      <c r="AG11" s="1333"/>
      <c r="AH11" s="1333"/>
      <c r="AI11" s="1333"/>
      <c r="AJ11" s="1333"/>
    </row>
    <row r="12" spans="1:48" hidden="1" x14ac:dyDescent="0.25">
      <c r="A12" s="1480"/>
      <c r="L12" s="141"/>
      <c r="M12" s="1186"/>
      <c r="N12" s="1186"/>
      <c r="O12" s="1186"/>
      <c r="P12" s="1186"/>
      <c r="Q12" s="1186"/>
      <c r="R12" s="1333"/>
      <c r="S12" s="1333"/>
      <c r="T12" s="1333"/>
      <c r="U12" s="1333"/>
      <c r="V12" s="1333"/>
      <c r="W12" s="1333"/>
      <c r="X12" s="1333"/>
      <c r="Y12" s="1333"/>
      <c r="Z12" s="1333"/>
      <c r="AA12" s="1333"/>
      <c r="AB12" s="1333"/>
      <c r="AC12" s="1333"/>
      <c r="AD12" s="1333"/>
      <c r="AE12" s="1333"/>
      <c r="AF12" s="1333"/>
      <c r="AG12" s="1333"/>
      <c r="AH12" s="1333"/>
      <c r="AI12" s="1333"/>
      <c r="AJ12" s="1333"/>
    </row>
    <row r="13" spans="1:48" ht="6" customHeight="1" x14ac:dyDescent="0.25">
      <c r="A13" s="1481"/>
      <c r="L13" s="1484"/>
      <c r="M13" s="1186"/>
      <c r="N13" s="1186"/>
      <c r="O13" s="1186"/>
      <c r="P13" s="1186"/>
      <c r="Q13" s="1186"/>
      <c r="R13" s="1333"/>
      <c r="S13" s="1333"/>
      <c r="T13" s="1333"/>
      <c r="U13" s="1333"/>
      <c r="V13" s="1333"/>
      <c r="W13" s="1333"/>
      <c r="X13" s="1333"/>
      <c r="Y13" s="1333"/>
      <c r="Z13" s="1333"/>
      <c r="AA13" s="1333"/>
      <c r="AB13" s="1333"/>
      <c r="AC13" s="1333"/>
      <c r="AD13" s="1333"/>
      <c r="AE13" s="1333"/>
      <c r="AF13" s="1333"/>
      <c r="AG13" s="1333"/>
      <c r="AH13" s="1333"/>
      <c r="AI13" s="1333"/>
      <c r="AJ13" s="1333"/>
    </row>
    <row r="14" spans="1:48" ht="6" customHeight="1" x14ac:dyDescent="0.25">
      <c r="A14" s="1479"/>
      <c r="B14" s="119"/>
      <c r="C14" s="120"/>
      <c r="D14" s="121"/>
      <c r="E14" s="121"/>
      <c r="F14" s="121"/>
      <c r="G14" s="122"/>
      <c r="H14" s="123"/>
      <c r="I14" s="124"/>
      <c r="J14" s="2279" t="s">
        <v>965</v>
      </c>
      <c r="K14" s="2280" t="s">
        <v>965</v>
      </c>
      <c r="L14" s="1368"/>
      <c r="M14" s="1369"/>
      <c r="N14" s="1333"/>
      <c r="O14" s="1333"/>
      <c r="P14" s="1333"/>
      <c r="Q14" s="1333"/>
      <c r="R14" s="1333"/>
      <c r="S14" s="1333"/>
      <c r="T14" s="1333"/>
      <c r="U14" s="1333"/>
      <c r="V14" s="1333"/>
      <c r="W14" s="1333"/>
      <c r="X14" s="1333"/>
      <c r="Y14" s="1333"/>
      <c r="Z14" s="1333"/>
      <c r="AA14" s="1333"/>
      <c r="AB14" s="1333"/>
      <c r="AC14" s="1333"/>
      <c r="AD14" s="1333"/>
      <c r="AE14" s="1333"/>
      <c r="AF14" s="1333"/>
      <c r="AG14" s="1333"/>
      <c r="AH14" s="1333"/>
      <c r="AI14" s="1333"/>
      <c r="AJ14" s="1333"/>
    </row>
    <row r="15" spans="1:48" ht="18.75" x14ac:dyDescent="0.3">
      <c r="A15" s="2281" t="s">
        <v>1065</v>
      </c>
      <c r="B15" s="125"/>
      <c r="C15" s="2282" t="str">
        <f>CONCATENATE(Project_No," - ",Project_Name)</f>
        <v>U12345 - Davenport Hall Addition &amp; Remodel - Example</v>
      </c>
      <c r="D15" s="2282"/>
      <c r="E15" s="2282"/>
      <c r="F15" s="2282"/>
      <c r="G15" s="2282"/>
      <c r="H15" s="2282"/>
      <c r="I15" s="126"/>
      <c r="J15" s="2279"/>
      <c r="K15" s="2280"/>
      <c r="L15" s="1378" t="str">
        <f ca="1">CONCATENATE(IF(ISNUMBER(SEARCH("INSERT",C15))=TRUE,"&lt;----Fill in information in tab [","&lt;----ECHOED from Tab ["),MID(CELL("filename",'A-Info, Phases, Recip.'!D4),FIND("]",CELL("filename",'A-Info, Phases, Recip.'!D4))+1,255),"]")</f>
        <v>&lt;----ECHOED from Tab [A-Info, Phases, Recip.]</v>
      </c>
      <c r="M15" s="1333"/>
      <c r="N15" s="1333"/>
      <c r="O15" s="1333"/>
      <c r="P15" s="1333"/>
      <c r="Q15" s="1333"/>
      <c r="R15" s="1333"/>
      <c r="S15" s="1333"/>
      <c r="T15" s="1333"/>
      <c r="U15" s="1333"/>
      <c r="V15" s="1333"/>
      <c r="W15" s="1333"/>
      <c r="X15" s="1333"/>
      <c r="Y15" s="1333"/>
      <c r="Z15" s="1333"/>
      <c r="AA15" s="1333"/>
      <c r="AB15" s="1333"/>
      <c r="AC15" s="1333"/>
      <c r="AD15" s="1333"/>
      <c r="AE15" s="1333"/>
      <c r="AF15" s="1333"/>
      <c r="AG15" s="1333"/>
      <c r="AH15" s="1333"/>
      <c r="AI15" s="1333"/>
      <c r="AJ15" s="1333"/>
    </row>
    <row r="16" spans="1:48" ht="18.75" x14ac:dyDescent="0.3">
      <c r="A16" s="2281"/>
      <c r="B16" s="125"/>
      <c r="C16" s="2054" t="str">
        <f>IF(OR(Design="Design does not apply",Construction="Construction does not apply",Feasibility_Concept="Conceptualization Only",Feasibility_Concept="Feasibility Study",),"NO DESIGN - SCHEMATIC DESIGN DOES NOT APPLY",IF(SD_apply="NO","SCHEMATIC DESIGN DOES NOT APPLY",CONCATENATE(VLOOKUP(SD_placeholder,'A-Info, Phases, Recip.'!$E$126:$F$141,2,FALSE)," - PSC Minimum List of Deliverables")))</f>
        <v>Schematic Design - PSC Minimum List of Deliverables</v>
      </c>
      <c r="D16" s="2054"/>
      <c r="E16" s="2054"/>
      <c r="F16" s="2054"/>
      <c r="G16" s="2054"/>
      <c r="H16" s="2054"/>
      <c r="I16" s="126"/>
      <c r="J16" s="2279"/>
      <c r="K16" s="2280"/>
      <c r="L16" s="1442" t="str">
        <f ca="1">CONCATENATE("&lt;----Phase Applicability chosen in Tab [",MID(CELL("filename",'A-Info, Phases, Recip.'!D4),FIND("]",CELL("filename",'A-Info, Phases, Recip.'!D4))+1,255),"]")</f>
        <v>&lt;----Phase Applicability chosen in Tab [A-Info, Phases, Recip.]</v>
      </c>
      <c r="M16" s="1333"/>
      <c r="N16" s="1333"/>
      <c r="O16" s="1333"/>
      <c r="P16" s="1333"/>
      <c r="Q16" s="1333"/>
      <c r="R16" s="1333"/>
      <c r="S16" s="1333"/>
      <c r="T16" s="1333"/>
      <c r="U16" s="1333"/>
      <c r="V16" s="1333"/>
      <c r="W16" s="1333"/>
      <c r="X16" s="1333"/>
      <c r="Y16" s="1333"/>
      <c r="Z16" s="1333"/>
      <c r="AA16" s="1333"/>
      <c r="AB16" s="1333"/>
      <c r="AC16" s="1333"/>
      <c r="AD16" s="1333"/>
      <c r="AE16" s="1333"/>
      <c r="AF16" s="1333"/>
      <c r="AG16" s="1333"/>
      <c r="AH16" s="1333"/>
      <c r="AI16" s="1333"/>
      <c r="AJ16" s="1333"/>
    </row>
    <row r="17" spans="1:48" s="542" customFormat="1" ht="6.75" customHeight="1" x14ac:dyDescent="0.3">
      <c r="A17" s="2281"/>
      <c r="B17" s="125"/>
      <c r="C17" s="1047"/>
      <c r="D17" s="1047"/>
      <c r="E17" s="1047"/>
      <c r="F17" s="1047"/>
      <c r="G17" s="1047"/>
      <c r="H17" s="1047"/>
      <c r="I17" s="126"/>
      <c r="J17" s="2279"/>
      <c r="K17" s="2280"/>
      <c r="L17" s="1442"/>
      <c r="M17" s="1333"/>
      <c r="N17" s="1333"/>
      <c r="O17" s="1333"/>
      <c r="P17" s="1333"/>
      <c r="Q17" s="1333"/>
      <c r="R17" s="1333"/>
      <c r="S17" s="1333"/>
      <c r="T17" s="1333"/>
      <c r="U17" s="1333"/>
      <c r="V17" s="1333"/>
      <c r="W17" s="1333"/>
      <c r="X17" s="1333"/>
      <c r="Y17" s="1333"/>
      <c r="Z17" s="1333"/>
      <c r="AA17" s="1333"/>
      <c r="AB17" s="1333"/>
      <c r="AC17" s="1333"/>
      <c r="AD17" s="1333"/>
      <c r="AE17" s="1333"/>
      <c r="AF17" s="1333"/>
      <c r="AG17" s="1333"/>
      <c r="AH17" s="1333"/>
      <c r="AI17" s="1333"/>
      <c r="AJ17" s="1333"/>
      <c r="AK17" s="17"/>
      <c r="AL17" s="17"/>
      <c r="AM17" s="17"/>
      <c r="AN17" s="17"/>
      <c r="AO17" s="17"/>
      <c r="AP17" s="17"/>
      <c r="AQ17" s="17"/>
      <c r="AR17" s="17"/>
      <c r="AS17" s="17"/>
      <c r="AT17" s="17"/>
      <c r="AU17" s="17"/>
      <c r="AV17" s="17"/>
    </row>
    <row r="18" spans="1:48" ht="11.1" customHeight="1" x14ac:dyDescent="0.25">
      <c r="A18" s="2281"/>
      <c r="B18" s="125"/>
      <c r="C18" s="2287" t="str">
        <f>CONCATENATE("Const. Delivery = ",Const_Delivery_Method," ; Const. Type = ",Const_Type,"; LEED Goal = ",IF(LEED_Goal="none","N/A",LEED_Goal),"; Bldg, lot, or Utility: ",Bldg_No_or_Utility)</f>
        <v>Const. Delivery = BID ; Const. Type = Remodeling/Addition; LEED Goal = Silver - Certified; Bldg, lot, or Utility: 0001</v>
      </c>
      <c r="D18" s="2288"/>
      <c r="E18" s="2288"/>
      <c r="F18" s="2288"/>
      <c r="G18" s="2288"/>
      <c r="H18" s="2288"/>
      <c r="I18" s="127"/>
      <c r="J18" s="2279"/>
      <c r="K18" s="2280"/>
      <c r="L18" s="1378" t="str">
        <f ca="1">CONCATENATE(IF(OR(ISNUMBER(SEARCH("Select",C18))=TRUE,ISNUMBER(SEARCH("Choose",D18))=TRUE,ISNUMBER(SEARCH("####",C18))=TRUE),"&lt;----Fill in information in tab [","&lt;----ECHOED from Tab ["),MID(CELL("filename",'A-Info, Phases, Recip.'!D6),FIND("]",CELL("filename",'A-Info, Phases, Recip.'!D6))+1,255),"]")</f>
        <v>&lt;----ECHOED from Tab [A-Info, Phases, Recip.]</v>
      </c>
      <c r="M18" s="1333"/>
      <c r="N18" s="1333"/>
      <c r="O18" s="1333"/>
      <c r="P18" s="1333"/>
      <c r="Q18" s="1333"/>
      <c r="R18" s="1333"/>
      <c r="S18" s="1333"/>
      <c r="T18" s="1333"/>
      <c r="U18" s="1333"/>
      <c r="V18" s="1333"/>
      <c r="W18" s="1333"/>
      <c r="X18" s="1333"/>
      <c r="Y18" s="1333"/>
      <c r="Z18" s="1333"/>
      <c r="AA18" s="1333"/>
      <c r="AB18" s="1333"/>
      <c r="AC18" s="1333"/>
      <c r="AD18" s="1333"/>
      <c r="AE18" s="1333"/>
      <c r="AF18" s="1333"/>
      <c r="AG18" s="1333"/>
      <c r="AH18" s="1333"/>
      <c r="AI18" s="1333"/>
      <c r="AJ18" s="1333"/>
    </row>
    <row r="19" spans="1:48" ht="11.1" customHeight="1" x14ac:dyDescent="0.25">
      <c r="A19" s="2281"/>
      <c r="B19" s="125"/>
      <c r="C19" s="2286" t="str">
        <f>CONCATENATE("Master Template last updated on: ",TEXT(Form_Update,"MM/DD/YYYY"),".  Struck out text is not required.")</f>
        <v>Master Template last updated on: 08/31/2020.  Struck out text is not required.</v>
      </c>
      <c r="D19" s="2286"/>
      <c r="E19" s="2286"/>
      <c r="F19" s="2286"/>
      <c r="G19" s="2286"/>
      <c r="H19" s="2286"/>
      <c r="I19" s="128"/>
      <c r="J19" s="2279"/>
      <c r="K19" s="2280"/>
      <c r="L19" s="1333"/>
      <c r="M19" s="1333"/>
      <c r="N19" s="1333"/>
      <c r="O19" s="1333"/>
      <c r="P19" s="1333"/>
      <c r="Q19" s="1333"/>
      <c r="R19" s="1333"/>
      <c r="S19" s="1333"/>
      <c r="T19" s="1333"/>
      <c r="U19" s="1333"/>
      <c r="V19" s="1333"/>
      <c r="W19" s="1333"/>
      <c r="X19" s="1333"/>
      <c r="Y19" s="1333"/>
      <c r="Z19" s="1333"/>
      <c r="AA19" s="1333"/>
      <c r="AB19" s="1333"/>
      <c r="AC19" s="1333"/>
      <c r="AD19" s="1333"/>
      <c r="AE19" s="1333"/>
      <c r="AF19" s="1333"/>
      <c r="AG19" s="1333"/>
      <c r="AH19" s="1333"/>
      <c r="AI19" s="1333"/>
      <c r="AJ19" s="1333"/>
    </row>
    <row r="20" spans="1:48" ht="9" customHeight="1" x14ac:dyDescent="0.25">
      <c r="A20" s="2281"/>
      <c r="B20" s="125"/>
      <c r="C20" s="18"/>
      <c r="D20" s="21"/>
      <c r="E20" s="21"/>
      <c r="F20" s="21"/>
      <c r="G20" s="129"/>
      <c r="H20" s="62"/>
      <c r="I20" s="130"/>
      <c r="J20" s="2279"/>
      <c r="K20" s="2280"/>
      <c r="L20" s="1333"/>
      <c r="M20" s="1333"/>
      <c r="N20" s="1333"/>
      <c r="O20" s="1333"/>
      <c r="P20" s="1333"/>
      <c r="Q20" s="1333"/>
      <c r="R20" s="1333"/>
      <c r="S20" s="1333"/>
      <c r="T20" s="1333"/>
      <c r="U20" s="1333"/>
      <c r="V20" s="1333"/>
      <c r="W20" s="1333"/>
      <c r="X20" s="1333"/>
      <c r="Y20" s="1333"/>
      <c r="Z20" s="1333"/>
      <c r="AA20" s="1333"/>
      <c r="AB20" s="1333"/>
      <c r="AC20" s="1333"/>
      <c r="AD20" s="1333"/>
      <c r="AE20" s="1333"/>
      <c r="AF20" s="1333"/>
      <c r="AG20" s="1333"/>
      <c r="AH20" s="1333"/>
      <c r="AI20" s="1333"/>
      <c r="AJ20" s="1333"/>
    </row>
    <row r="21" spans="1:48" ht="12.75" customHeight="1" x14ac:dyDescent="0.25">
      <c r="A21" s="2281"/>
      <c r="B21" s="125"/>
      <c r="C21" s="2276">
        <f>IF(Date_edited_TAB_C="","",Date_edited_TAB_C)</f>
        <v>44069</v>
      </c>
      <c r="D21" s="2276"/>
      <c r="E21" s="610"/>
      <c r="F21" s="2277" t="str">
        <f>IF(Edit_by_Entity_TAB_C="","",Edit_by_Entity_TAB_C)</f>
        <v>PM</v>
      </c>
      <c r="G21" s="2277"/>
      <c r="H21" s="99" t="str">
        <f>IF(Editor_Name_TAB_C="","",Editor_Name_TAB_C)</f>
        <v>Smith</v>
      </c>
      <c r="I21" s="128"/>
      <c r="J21" s="2279"/>
      <c r="K21" s="2280"/>
      <c r="L21" s="1443" t="str">
        <f ca="1">CONCATENATE("&lt;----Enter/Update ''EDIT DATE'' / ''ENTITY'' / ''EDITOR NAME'' in TAB [",MID(CELL("filename",Date_edited_TAB_C),FIND("]",CELL("filename",Date_edited_TAB_C))+1,255),"]")</f>
        <v>&lt;----Enter/Update ''EDIT DATE'' / ''ENTITY'' / ''EDITOR NAME'' in TAB [C-Design&amp;Const]</v>
      </c>
      <c r="M21" s="1333"/>
      <c r="N21" s="1333"/>
      <c r="O21" s="1333"/>
      <c r="P21" s="1333"/>
      <c r="Q21" s="1333"/>
      <c r="R21" s="1333"/>
      <c r="S21" s="1333"/>
      <c r="T21" s="1333"/>
      <c r="U21" s="1333"/>
      <c r="V21" s="1333"/>
      <c r="W21" s="1333"/>
      <c r="X21" s="1333"/>
      <c r="Y21" s="1333"/>
      <c r="Z21" s="1333"/>
      <c r="AA21" s="1333"/>
      <c r="AB21" s="1333"/>
      <c r="AC21" s="1333"/>
      <c r="AD21" s="1333"/>
      <c r="AE21" s="1333"/>
      <c r="AF21" s="1333"/>
      <c r="AG21" s="1333"/>
      <c r="AH21" s="1333"/>
      <c r="AI21" s="1333"/>
      <c r="AJ21" s="1333"/>
    </row>
    <row r="22" spans="1:48" ht="15" customHeight="1" x14ac:dyDescent="0.25">
      <c r="A22" s="2281"/>
      <c r="B22" s="125"/>
      <c r="C22" s="2060" t="s">
        <v>106</v>
      </c>
      <c r="D22" s="2060"/>
      <c r="E22" s="21"/>
      <c r="F22" s="2060" t="s">
        <v>267</v>
      </c>
      <c r="G22" s="2060"/>
      <c r="H22" s="114" t="s">
        <v>110</v>
      </c>
      <c r="I22" s="128"/>
      <c r="J22" s="2279"/>
      <c r="K22" s="2280"/>
      <c r="L22" s="1333"/>
      <c r="M22" s="1333"/>
      <c r="N22" s="1333"/>
      <c r="O22" s="1333"/>
      <c r="P22" s="1333"/>
      <c r="Q22" s="1333"/>
      <c r="R22" s="1333"/>
      <c r="S22" s="1333"/>
      <c r="T22" s="1333"/>
      <c r="U22" s="1333"/>
      <c r="V22" s="1333"/>
      <c r="W22" s="1333"/>
      <c r="X22" s="1333"/>
      <c r="Y22" s="1333"/>
      <c r="Z22" s="1333"/>
      <c r="AA22" s="1333"/>
      <c r="AB22" s="1333"/>
      <c r="AC22" s="1333"/>
      <c r="AD22" s="1333"/>
      <c r="AE22" s="1333"/>
      <c r="AF22" s="1333"/>
      <c r="AG22" s="1333"/>
      <c r="AH22" s="1333"/>
      <c r="AI22" s="1333"/>
      <c r="AJ22" s="1333"/>
    </row>
    <row r="23" spans="1:48" ht="27" customHeight="1" thickBot="1" x14ac:dyDescent="0.3">
      <c r="A23" s="2281"/>
      <c r="B23" s="125"/>
      <c r="C23" s="217" t="s">
        <v>100</v>
      </c>
      <c r="D23" s="2283" t="s">
        <v>36</v>
      </c>
      <c r="E23" s="2283"/>
      <c r="F23" s="2283"/>
      <c r="G23" s="2284" t="s">
        <v>783</v>
      </c>
      <c r="H23" s="2285"/>
      <c r="I23" s="131"/>
      <c r="J23" s="418" t="s">
        <v>389</v>
      </c>
      <c r="K23" s="50" t="s">
        <v>48</v>
      </c>
      <c r="L23" s="1379"/>
      <c r="M23" s="1379"/>
      <c r="N23" s="1379"/>
      <c r="O23" s="1379"/>
      <c r="P23" s="1333"/>
      <c r="Q23" s="1333"/>
      <c r="R23" s="1333"/>
      <c r="S23" s="1333"/>
      <c r="T23" s="1333"/>
      <c r="U23" s="1333"/>
      <c r="V23" s="1333"/>
      <c r="W23" s="1333"/>
      <c r="X23" s="1333"/>
      <c r="Y23" s="1333"/>
      <c r="Z23" s="1333"/>
      <c r="AA23" s="1333"/>
      <c r="AB23" s="1333"/>
      <c r="AC23" s="1333"/>
      <c r="AD23" s="1333"/>
      <c r="AE23" s="1333"/>
      <c r="AF23" s="1333"/>
      <c r="AG23" s="1333"/>
      <c r="AH23" s="1333"/>
      <c r="AI23" s="1333"/>
      <c r="AJ23" s="1333"/>
    </row>
    <row r="24" spans="1:48" s="1" customFormat="1" ht="6" customHeight="1" thickTop="1" x14ac:dyDescent="0.25">
      <c r="A24" s="1462"/>
      <c r="B24" s="67"/>
      <c r="C24" s="25"/>
      <c r="D24" s="26"/>
      <c r="E24" s="26"/>
      <c r="F24" s="26"/>
      <c r="G24" s="27"/>
      <c r="H24" s="27"/>
      <c r="I24" s="132"/>
      <c r="J24" s="27"/>
      <c r="K24" s="13"/>
      <c r="L24" s="1333"/>
      <c r="M24" s="1333"/>
      <c r="N24" s="1333"/>
      <c r="O24" s="1333"/>
      <c r="P24" s="1333"/>
      <c r="Q24" s="1333"/>
      <c r="R24" s="1333"/>
      <c r="S24" s="1333"/>
      <c r="T24" s="1333"/>
      <c r="U24" s="1333"/>
      <c r="V24" s="1333"/>
      <c r="W24" s="1333"/>
      <c r="X24" s="1333"/>
      <c r="Y24" s="1333"/>
      <c r="Z24" s="1333"/>
      <c r="AA24" s="1333"/>
      <c r="AB24" s="1333"/>
      <c r="AC24" s="1333"/>
      <c r="AD24" s="1333"/>
      <c r="AE24" s="1333"/>
      <c r="AF24" s="1333"/>
      <c r="AG24" s="1333"/>
      <c r="AH24" s="1333"/>
      <c r="AI24" s="1333"/>
      <c r="AJ24" s="1333"/>
      <c r="AK24" s="13"/>
      <c r="AL24" s="13"/>
      <c r="AM24" s="13"/>
      <c r="AN24" s="13"/>
      <c r="AO24" s="13"/>
      <c r="AP24" s="13"/>
      <c r="AQ24" s="13"/>
      <c r="AR24" s="13"/>
      <c r="AS24" s="13"/>
      <c r="AT24" s="13"/>
      <c r="AU24" s="13"/>
      <c r="AV24" s="13"/>
    </row>
    <row r="25" spans="1:48" ht="18.75" x14ac:dyDescent="0.25">
      <c r="A25" s="1462" t="str">
        <f>'C-Design&amp;Const'!J25</f>
        <v>Y</v>
      </c>
      <c r="B25" s="125"/>
      <c r="C25" s="944"/>
      <c r="D25" s="359" t="str">
        <f>IF('C-Design&amp;Const'!$I25="","",'C-Design&amp;Const'!$I25)</f>
        <v>Y</v>
      </c>
      <c r="E25" s="234"/>
      <c r="F25" s="444"/>
      <c r="G25" s="173" t="str">
        <f>IF('C-Design&amp;Const'!Y25="","",'C-Design&amp;Const'!Y25)</f>
        <v>00. *</v>
      </c>
      <c r="H25" s="115" t="str">
        <f>(CONCATENATE('C-Design&amp;Const'!Z25,IF(D25="N"," Not Used In This Design Phase",J25)))</f>
        <v>Minimum List of Deliverables - Current</v>
      </c>
      <c r="I25" s="133"/>
      <c r="J25" s="578" t="str">
        <f>IF('C-Design&amp;Const'!AE25="","",'C-Design&amp;Const'!AE25)</f>
        <v xml:space="preserve"> - Current</v>
      </c>
      <c r="K25" s="246" t="str">
        <f t="shared" ref="K25:L99" si="0">CONCATENATE(IF(ISNUMBER(SEARCH("Placeholder",G25))=TRUE,"&lt;---PM/Planner may hide PLACEHOLDER ROW",""))</f>
        <v/>
      </c>
      <c r="L25" s="1410" t="str">
        <f t="shared" si="0"/>
        <v/>
      </c>
      <c r="M25" s="1333"/>
      <c r="N25" s="1333"/>
      <c r="O25" s="1333"/>
      <c r="P25" s="1333"/>
      <c r="Q25" s="1444"/>
      <c r="R25" s="1445"/>
      <c r="S25" s="1284"/>
      <c r="T25" s="1333"/>
      <c r="U25" s="1333"/>
      <c r="V25" s="1333"/>
      <c r="W25" s="1333"/>
      <c r="X25" s="1333"/>
      <c r="Y25" s="1333"/>
      <c r="Z25" s="1333"/>
      <c r="AA25" s="1333"/>
      <c r="AB25" s="1333"/>
      <c r="AC25" s="1333"/>
      <c r="AD25" s="1333"/>
      <c r="AE25" s="1333"/>
      <c r="AF25" s="1333"/>
      <c r="AG25" s="1333"/>
      <c r="AH25" s="1333"/>
      <c r="AI25" s="1333"/>
      <c r="AJ25" s="1333"/>
    </row>
    <row r="26" spans="1:48" ht="15.75" customHeight="1" x14ac:dyDescent="0.25">
      <c r="A26" s="1462"/>
      <c r="B26" s="125"/>
      <c r="C26" s="944"/>
      <c r="D26" s="411"/>
      <c r="E26" s="411"/>
      <c r="F26" s="321"/>
      <c r="G26" s="445"/>
      <c r="H26" s="446"/>
      <c r="I26" s="130"/>
      <c r="J26" s="578" t="str">
        <f>IF('C-Design&amp;Const'!AE26="","",'C-Design&amp;Const'!AE26)</f>
        <v/>
      </c>
      <c r="K26" s="246" t="str">
        <f t="shared" si="0"/>
        <v/>
      </c>
      <c r="L26" s="1410" t="str">
        <f t="shared" si="0"/>
        <v/>
      </c>
      <c r="M26" s="1333"/>
      <c r="N26" s="1333"/>
      <c r="O26" s="1333"/>
      <c r="P26" s="1333"/>
      <c r="Q26" s="1446"/>
      <c r="R26" s="1284"/>
      <c r="S26" s="1284"/>
      <c r="T26" s="1333"/>
      <c r="U26" s="1333"/>
      <c r="V26" s="1333"/>
      <c r="W26" s="1333"/>
      <c r="X26" s="1333"/>
      <c r="Y26" s="1333"/>
      <c r="Z26" s="1333"/>
      <c r="AA26" s="1333"/>
      <c r="AB26" s="1333"/>
      <c r="AC26" s="1333"/>
      <c r="AD26" s="1333"/>
      <c r="AE26" s="1333"/>
      <c r="AF26" s="1333"/>
      <c r="AG26" s="1333"/>
      <c r="AH26" s="1333"/>
      <c r="AI26" s="1333"/>
      <c r="AJ26" s="1333"/>
    </row>
    <row r="27" spans="1:48" ht="18.75" x14ac:dyDescent="0.25">
      <c r="A27" s="1462" t="str">
        <f>'C-Design&amp;Const'!J27</f>
        <v>Y</v>
      </c>
      <c r="B27" s="125"/>
      <c r="C27" s="944"/>
      <c r="D27" s="359" t="str">
        <f>IF('C-Design&amp;Const'!$I27="","",'C-Design&amp;Const'!$I27)</f>
        <v>Y</v>
      </c>
      <c r="E27" s="234"/>
      <c r="F27" s="444"/>
      <c r="G27" s="173" t="str">
        <f>IF('C-Design&amp;Const'!Y27="","",'C-Design&amp;Const'!Y27)</f>
        <v>01.</v>
      </c>
      <c r="H27" s="115" t="str">
        <f>(CONCATENATE('C-Design&amp;Const'!Z27,IF(D27="N"," Not Used In This Design Phase",J27)))</f>
        <v xml:space="preserve">Construction Cost Estimate (area; volume; unit costs) </v>
      </c>
      <c r="I27" s="133"/>
      <c r="J27" s="578" t="str">
        <f>IF('C-Design&amp;Const'!AE27="","",'C-Design&amp;Const'!AE27)</f>
        <v xml:space="preserve"> (area; volume; unit costs) </v>
      </c>
      <c r="K27" s="246" t="str">
        <f t="shared" si="0"/>
        <v/>
      </c>
      <c r="L27" s="1410" t="str">
        <f t="shared" si="0"/>
        <v/>
      </c>
      <c r="M27" s="1333"/>
      <c r="N27" s="1333"/>
      <c r="O27" s="1333"/>
      <c r="P27" s="1333"/>
      <c r="Q27" s="1444"/>
      <c r="R27" s="1445"/>
      <c r="S27" s="1284"/>
      <c r="T27" s="1333"/>
      <c r="U27" s="1333"/>
      <c r="V27" s="1333"/>
      <c r="W27" s="1333"/>
      <c r="X27" s="1333"/>
      <c r="Y27" s="1333"/>
      <c r="Z27" s="1333"/>
      <c r="AA27" s="1333"/>
      <c r="AB27" s="1333"/>
      <c r="AC27" s="1333"/>
      <c r="AD27" s="1333"/>
      <c r="AE27" s="1333"/>
      <c r="AF27" s="1333"/>
      <c r="AG27" s="1333"/>
      <c r="AH27" s="1333"/>
      <c r="AI27" s="1333"/>
      <c r="AJ27" s="1333"/>
    </row>
    <row r="28" spans="1:48" s="542" customFormat="1" ht="15" customHeight="1" x14ac:dyDescent="0.25">
      <c r="A28" s="1462"/>
      <c r="B28" s="125"/>
      <c r="C28" s="944"/>
      <c r="D28" s="321"/>
      <c r="E28" s="559" t="str">
        <f>IF('C-Design&amp;Const'!$I28="","",'C-Design&amp;Const'!$I28)</f>
        <v>Y</v>
      </c>
      <c r="F28" s="560"/>
      <c r="G28" s="477"/>
      <c r="H28" s="325" t="str">
        <f>CONCATENATE(IF(ISNUMBER(SEARCH("Placeholder",'C-Design&amp;Const'!Z28))=TRUE,"",IF(E28="N","PLACEHOLDER ROW - ","")),'C-Design&amp;Const'!Z28,IF(E28="N","",J28))</f>
        <v xml:space="preserve">Construction Cost Estimate (Updates to) </v>
      </c>
      <c r="I28" s="133"/>
      <c r="J28" s="578" t="str">
        <f>IF('C-Design&amp;Const'!AE28="","",'C-Design&amp;Const'!AE28)</f>
        <v xml:space="preserve"> (Updates to) </v>
      </c>
      <c r="K28" s="246"/>
      <c r="L28" s="1410"/>
      <c r="M28" s="1333"/>
      <c r="N28" s="1333"/>
      <c r="O28" s="1333"/>
      <c r="P28" s="1333"/>
      <c r="Q28" s="1444"/>
      <c r="R28" s="1445"/>
      <c r="S28" s="1284"/>
      <c r="T28" s="1333"/>
      <c r="U28" s="1333"/>
      <c r="V28" s="1333"/>
      <c r="W28" s="1333"/>
      <c r="X28" s="1333"/>
      <c r="Y28" s="1333"/>
      <c r="Z28" s="1333"/>
      <c r="AA28" s="1333"/>
      <c r="AB28" s="1333"/>
      <c r="AC28" s="1333"/>
      <c r="AD28" s="1333"/>
      <c r="AE28" s="1333"/>
      <c r="AF28" s="1333"/>
      <c r="AG28" s="1333"/>
      <c r="AH28" s="1333"/>
      <c r="AI28" s="1333"/>
      <c r="AJ28" s="1333"/>
      <c r="AK28" s="17"/>
      <c r="AL28" s="17"/>
      <c r="AM28" s="17"/>
      <c r="AN28" s="17"/>
      <c r="AO28" s="17"/>
      <c r="AP28" s="17"/>
      <c r="AQ28" s="17"/>
      <c r="AR28" s="17"/>
      <c r="AS28" s="17"/>
      <c r="AT28" s="17"/>
      <c r="AU28" s="17"/>
      <c r="AV28" s="17"/>
    </row>
    <row r="29" spans="1:48" s="542" customFormat="1" ht="15" customHeight="1" x14ac:dyDescent="0.25">
      <c r="A29" s="1462"/>
      <c r="B29" s="125"/>
      <c r="C29" s="944"/>
      <c r="D29" s="321"/>
      <c r="E29" s="559" t="str">
        <f>IF('C-Design&amp;Const'!$I29="","",'C-Design&amp;Const'!$I29)</f>
        <v>Y</v>
      </c>
      <c r="F29" s="560"/>
      <c r="G29" s="477"/>
      <c r="H29" s="325" t="str">
        <f>CONCATENATE(IF(ISNUMBER(SEARCH("Placeholder",'C-Design&amp;Const'!Z29))=TRUE,"",IF(E29="N","PLACEHOLDER ROW - ","")),'C-Design&amp;Const'!Z29,IF(E29="N","",J29))</f>
        <v xml:space="preserve">Reconciliation with Owner's 3rd party estimater (Updates to) </v>
      </c>
      <c r="I29" s="133"/>
      <c r="J29" s="578" t="str">
        <f>IF('C-Design&amp;Const'!AE29="","",'C-Design&amp;Const'!AE29)</f>
        <v xml:space="preserve"> (Updates to) </v>
      </c>
      <c r="K29" s="246"/>
      <c r="L29" s="1410"/>
      <c r="M29" s="1333"/>
      <c r="N29" s="1333"/>
      <c r="O29" s="1333"/>
      <c r="P29" s="1333"/>
      <c r="Q29" s="1444"/>
      <c r="R29" s="1445"/>
      <c r="S29" s="1284"/>
      <c r="T29" s="1333"/>
      <c r="U29" s="1333"/>
      <c r="V29" s="1333"/>
      <c r="W29" s="1333"/>
      <c r="X29" s="1333"/>
      <c r="Y29" s="1333"/>
      <c r="Z29" s="1333"/>
      <c r="AA29" s="1333"/>
      <c r="AB29" s="1333"/>
      <c r="AC29" s="1333"/>
      <c r="AD29" s="1333"/>
      <c r="AE29" s="1333"/>
      <c r="AF29" s="1333"/>
      <c r="AG29" s="1333"/>
      <c r="AH29" s="1333"/>
      <c r="AI29" s="1333"/>
      <c r="AJ29" s="1333"/>
      <c r="AK29" s="17"/>
      <c r="AL29" s="17"/>
      <c r="AM29" s="17"/>
      <c r="AN29" s="17"/>
      <c r="AO29" s="17"/>
      <c r="AP29" s="17"/>
      <c r="AQ29" s="17"/>
      <c r="AR29" s="17"/>
      <c r="AS29" s="17"/>
      <c r="AT29" s="17"/>
      <c r="AU29" s="17"/>
      <c r="AV29" s="17"/>
    </row>
    <row r="30" spans="1:48" s="542" customFormat="1" ht="15" customHeight="1" x14ac:dyDescent="0.25">
      <c r="A30" s="1462"/>
      <c r="B30" s="125"/>
      <c r="C30" s="944"/>
      <c r="D30" s="321"/>
      <c r="E30" s="559" t="str">
        <f>IF('C-Design&amp;Const'!$I30="","",'C-Design&amp;Const'!$I30)</f>
        <v>N</v>
      </c>
      <c r="F30" s="560"/>
      <c r="G30" s="477"/>
      <c r="H30" s="1967" t="str">
        <f>CONCATENATE(IF(ISNUMBER(SEARCH("Placeholder",'C-Design&amp;Const'!Z30))=TRUE,"",IF(E30="N","PLACEHOLDER ROW - ","")),'C-Design&amp;Const'!Z30,IF(E30="N","",J30))</f>
        <v>PLACEHOLDER ROW - CUSTOM ROW - OPTIONAL CLIENT ITEM</v>
      </c>
      <c r="I30" s="133"/>
      <c r="J30" s="578" t="str">
        <f>IF('C-Design&amp;Const'!AE30="","",'C-Design&amp;Const'!AE30)</f>
        <v xml:space="preserve"> (Updates to) </v>
      </c>
      <c r="K30" s="246"/>
      <c r="L30" s="1410"/>
      <c r="M30" s="1333"/>
      <c r="N30" s="1333"/>
      <c r="O30" s="1333"/>
      <c r="P30" s="1333"/>
      <c r="Q30" s="1444"/>
      <c r="R30" s="1445"/>
      <c r="S30" s="1284"/>
      <c r="T30" s="1333"/>
      <c r="U30" s="1333"/>
      <c r="V30" s="1333"/>
      <c r="W30" s="1333"/>
      <c r="X30" s="1333"/>
      <c r="Y30" s="1333"/>
      <c r="Z30" s="1333"/>
      <c r="AA30" s="1333"/>
      <c r="AB30" s="1333"/>
      <c r="AC30" s="1333"/>
      <c r="AD30" s="1333"/>
      <c r="AE30" s="1333"/>
      <c r="AF30" s="1333"/>
      <c r="AG30" s="1333"/>
      <c r="AH30" s="1333"/>
      <c r="AI30" s="1333"/>
      <c r="AJ30" s="1333"/>
      <c r="AK30" s="17"/>
      <c r="AL30" s="17"/>
      <c r="AM30" s="17"/>
      <c r="AN30" s="17"/>
      <c r="AO30" s="17"/>
      <c r="AP30" s="17"/>
      <c r="AQ30" s="17"/>
      <c r="AR30" s="17"/>
      <c r="AS30" s="17"/>
      <c r="AT30" s="17"/>
      <c r="AU30" s="17"/>
      <c r="AV30" s="17"/>
    </row>
    <row r="31" spans="1:48" ht="22.5" customHeight="1" x14ac:dyDescent="0.25">
      <c r="A31" s="1462"/>
      <c r="B31" s="125"/>
      <c r="C31" s="944"/>
      <c r="D31" s="411"/>
      <c r="E31" s="411"/>
      <c r="F31" s="321"/>
      <c r="G31" s="445"/>
      <c r="H31" s="446" t="str">
        <f>IF(D27="N","",IF('C-Design&amp;Const'!Z31="","",'C-Design&amp;Const'!Z31))</f>
        <v>Estimates for all ADA upgrades and deficiency corrections shall be broken out in an additional estimate</v>
      </c>
      <c r="I31" s="130"/>
      <c r="J31" s="578" t="str">
        <f>IF('C-Design&amp;Const'!AE31="","",'C-Design&amp;Const'!AE31)</f>
        <v/>
      </c>
      <c r="K31" s="246" t="str">
        <f t="shared" si="0"/>
        <v/>
      </c>
      <c r="L31" s="1410" t="str">
        <f t="shared" si="0"/>
        <v/>
      </c>
      <c r="M31" s="1333"/>
      <c r="N31" s="1333"/>
      <c r="O31" s="1333"/>
      <c r="P31" s="1333"/>
      <c r="Q31" s="1446"/>
      <c r="R31" s="1284"/>
      <c r="S31" s="1284"/>
      <c r="T31" s="1333"/>
      <c r="U31" s="1333"/>
      <c r="V31" s="1333"/>
      <c r="W31" s="1333"/>
      <c r="X31" s="1333"/>
      <c r="Y31" s="1333"/>
      <c r="Z31" s="1333"/>
      <c r="AA31" s="1333"/>
      <c r="AB31" s="1333"/>
      <c r="AC31" s="1333"/>
      <c r="AD31" s="1333"/>
      <c r="AE31" s="1333"/>
      <c r="AF31" s="1333"/>
      <c r="AG31" s="1333"/>
      <c r="AH31" s="1333"/>
      <c r="AI31" s="1333"/>
      <c r="AJ31" s="1333"/>
    </row>
    <row r="32" spans="1:48" ht="18.75" x14ac:dyDescent="0.25">
      <c r="A32" s="1462" t="str">
        <f>'C-Design&amp;Const'!J32</f>
        <v>Y</v>
      </c>
      <c r="B32" s="125"/>
      <c r="C32" s="944"/>
      <c r="D32" s="359" t="str">
        <f>IF('C-Design&amp;Const'!$I32="","",'C-Design&amp;Const'!$I32)</f>
        <v>Y</v>
      </c>
      <c r="E32" s="234"/>
      <c r="F32" s="444"/>
      <c r="G32" s="173" t="str">
        <f>IF('C-Design&amp;Const'!Y32="","",'C-Design&amp;Const'!Y32)</f>
        <v>02. *</v>
      </c>
      <c r="H32" s="115" t="str">
        <f>(CONCATENATE('C-Design&amp;Const'!Z32,IF(D32="N"," Not Used In This Design Phase",J32)))</f>
        <v>Project Schedule - Updated</v>
      </c>
      <c r="I32" s="133"/>
      <c r="J32" s="578" t="str">
        <f>IF('C-Design&amp;Const'!AE32="","",'C-Design&amp;Const'!AE32)</f>
        <v xml:space="preserve"> - Updated</v>
      </c>
      <c r="K32" s="246" t="str">
        <f t="shared" si="0"/>
        <v/>
      </c>
      <c r="L32" s="1410" t="str">
        <f t="shared" si="0"/>
        <v/>
      </c>
      <c r="M32" s="1333"/>
      <c r="N32" s="1333"/>
      <c r="O32" s="1333"/>
      <c r="P32" s="1333"/>
      <c r="Q32" s="1444"/>
      <c r="R32" s="1445"/>
      <c r="S32" s="1284"/>
      <c r="T32" s="1333"/>
      <c r="U32" s="1333"/>
      <c r="V32" s="1333"/>
      <c r="W32" s="1333"/>
      <c r="X32" s="1333"/>
      <c r="Y32" s="1333"/>
      <c r="Z32" s="1333"/>
      <c r="AA32" s="1333"/>
      <c r="AB32" s="1333"/>
      <c r="AC32" s="1333"/>
      <c r="AD32" s="1333"/>
      <c r="AE32" s="1333"/>
      <c r="AF32" s="1333"/>
      <c r="AG32" s="1333"/>
      <c r="AH32" s="1333"/>
      <c r="AI32" s="1333"/>
      <c r="AJ32" s="1333"/>
    </row>
    <row r="33" spans="1:48" s="542" customFormat="1" ht="15" customHeight="1" x14ac:dyDescent="0.25">
      <c r="A33" s="1462"/>
      <c r="B33" s="125"/>
      <c r="C33" s="944"/>
      <c r="D33" s="321"/>
      <c r="E33" s="559" t="str">
        <f>IF('C-Design&amp;Const'!$I33="","",'C-Design&amp;Const'!$I33)</f>
        <v>Y</v>
      </c>
      <c r="F33" s="560"/>
      <c r="G33" s="477"/>
      <c r="H33" s="325" t="str">
        <f>CONCATENATE(IF(ISNUMBER(SEARCH("Placeholder",'C-Design&amp;Const'!Z33))=TRUE,"",IF(E33="N","PLACEHOLDER ROW - ","")),'C-Design&amp;Const'!Z33,IF(E33="N","",J33))</f>
        <v xml:space="preserve">Project Schedule (Updates to) </v>
      </c>
      <c r="I33" s="133"/>
      <c r="J33" s="578" t="str">
        <f>IF('C-Design&amp;Const'!AE33="","",'C-Design&amp;Const'!AE33)</f>
        <v xml:space="preserve"> (Updates to) </v>
      </c>
      <c r="K33" s="246"/>
      <c r="L33" s="1410"/>
      <c r="M33" s="1333"/>
      <c r="N33" s="1333"/>
      <c r="O33" s="1333"/>
      <c r="P33" s="1333"/>
      <c r="Q33" s="1444"/>
      <c r="R33" s="1445"/>
      <c r="S33" s="1284"/>
      <c r="T33" s="1333"/>
      <c r="U33" s="1333"/>
      <c r="V33" s="1333"/>
      <c r="W33" s="1333"/>
      <c r="X33" s="1333"/>
      <c r="Y33" s="1333"/>
      <c r="Z33" s="1333"/>
      <c r="AA33" s="1333"/>
      <c r="AB33" s="1333"/>
      <c r="AC33" s="1333"/>
      <c r="AD33" s="1333"/>
      <c r="AE33" s="1333"/>
      <c r="AF33" s="1333"/>
      <c r="AG33" s="1333"/>
      <c r="AH33" s="1333"/>
      <c r="AI33" s="1333"/>
      <c r="AJ33" s="1333"/>
      <c r="AK33" s="17"/>
      <c r="AL33" s="17"/>
      <c r="AM33" s="17"/>
      <c r="AN33" s="17"/>
      <c r="AO33" s="17"/>
      <c r="AP33" s="17"/>
      <c r="AQ33" s="17"/>
      <c r="AR33" s="17"/>
      <c r="AS33" s="17"/>
      <c r="AT33" s="17"/>
      <c r="AU33" s="17"/>
      <c r="AV33" s="17"/>
    </row>
    <row r="34" spans="1:48" s="542" customFormat="1" ht="15" customHeight="1" x14ac:dyDescent="0.25">
      <c r="A34" s="1462"/>
      <c r="B34" s="125"/>
      <c r="C34" s="944"/>
      <c r="D34" s="321"/>
      <c r="E34" s="559" t="str">
        <f>IF('C-Design&amp;Const'!$I34="","",'C-Design&amp;Const'!$I34)</f>
        <v>Y</v>
      </c>
      <c r="F34" s="560"/>
      <c r="G34" s="477"/>
      <c r="H34" s="325" t="str">
        <f>CONCATENATE(IF(ISNUMBER(SEARCH("Placeholder",'C-Design&amp;Const'!Z34))=TRUE,"",IF(E34="N","PLACEHOLDER ROW - ","")),'C-Design&amp;Const'!Z34,IF(E34="N","",J34))</f>
        <v xml:space="preserve">Summary of Coordination with Owner's 3rd party scheduler (Updates to) </v>
      </c>
      <c r="I34" s="133"/>
      <c r="J34" s="578" t="str">
        <f>IF('C-Design&amp;Const'!AE34="","",'C-Design&amp;Const'!AE34)</f>
        <v xml:space="preserve"> (Updates to) </v>
      </c>
      <c r="K34" s="246"/>
      <c r="L34" s="1410"/>
      <c r="M34" s="1333"/>
      <c r="N34" s="1333"/>
      <c r="O34" s="1333"/>
      <c r="P34" s="1333"/>
      <c r="Q34" s="1444"/>
      <c r="R34" s="1445"/>
      <c r="S34" s="1284"/>
      <c r="T34" s="1333"/>
      <c r="U34" s="1333"/>
      <c r="V34" s="1333"/>
      <c r="W34" s="1333"/>
      <c r="X34" s="1333"/>
      <c r="Y34" s="1333"/>
      <c r="Z34" s="1333"/>
      <c r="AA34" s="1333"/>
      <c r="AB34" s="1333"/>
      <c r="AC34" s="1333"/>
      <c r="AD34" s="1333"/>
      <c r="AE34" s="1333"/>
      <c r="AF34" s="1333"/>
      <c r="AG34" s="1333"/>
      <c r="AH34" s="1333"/>
      <c r="AI34" s="1333"/>
      <c r="AJ34" s="1333"/>
      <c r="AK34" s="17"/>
      <c r="AL34" s="17"/>
      <c r="AM34" s="17"/>
      <c r="AN34" s="17"/>
      <c r="AO34" s="17"/>
      <c r="AP34" s="17"/>
      <c r="AQ34" s="17"/>
      <c r="AR34" s="17"/>
      <c r="AS34" s="17"/>
      <c r="AT34" s="17"/>
      <c r="AU34" s="17"/>
      <c r="AV34" s="17"/>
    </row>
    <row r="35" spans="1:48" s="542" customFormat="1" ht="15" customHeight="1" x14ac:dyDescent="0.25">
      <c r="A35" s="1462"/>
      <c r="B35" s="125"/>
      <c r="C35" s="944"/>
      <c r="D35" s="321"/>
      <c r="E35" s="559" t="str">
        <f>IF('C-Design&amp;Const'!$I35="","",'C-Design&amp;Const'!$I35)</f>
        <v>N</v>
      </c>
      <c r="F35" s="560"/>
      <c r="G35" s="477"/>
      <c r="H35" s="325" t="str">
        <f>CONCATENATE(IF(ISNUMBER(SEARCH("Placeholder",'C-Design&amp;Const'!Z35))=TRUE,"",IF(E35="N","PLACEHOLDER ROW - ","")),'C-Design&amp;Const'!Z35,IF(E35="N","",J35))</f>
        <v>PLACEHOLDER ROW - Reconciliation with Owner's 3rd party scheduler</v>
      </c>
      <c r="I35" s="133"/>
      <c r="J35" s="578" t="str">
        <f>IF('C-Design&amp;Const'!AE35="","",'C-Design&amp;Const'!AE35)</f>
        <v xml:space="preserve"> (Updates to) </v>
      </c>
      <c r="K35" s="246"/>
      <c r="L35" s="1410"/>
      <c r="M35" s="1333"/>
      <c r="N35" s="1333"/>
      <c r="O35" s="1333"/>
      <c r="P35" s="1333"/>
      <c r="Q35" s="1444"/>
      <c r="R35" s="1445"/>
      <c r="S35" s="1284"/>
      <c r="T35" s="1333"/>
      <c r="U35" s="1333"/>
      <c r="V35" s="1333"/>
      <c r="W35" s="1333"/>
      <c r="X35" s="1333"/>
      <c r="Y35" s="1333"/>
      <c r="Z35" s="1333"/>
      <c r="AA35" s="1333"/>
      <c r="AB35" s="1333"/>
      <c r="AC35" s="1333"/>
      <c r="AD35" s="1333"/>
      <c r="AE35" s="1333"/>
      <c r="AF35" s="1333"/>
      <c r="AG35" s="1333"/>
      <c r="AH35" s="1333"/>
      <c r="AI35" s="1333"/>
      <c r="AJ35" s="1333"/>
      <c r="AK35" s="17"/>
      <c r="AL35" s="17"/>
      <c r="AM35" s="17"/>
      <c r="AN35" s="17"/>
      <c r="AO35" s="17"/>
      <c r="AP35" s="17"/>
      <c r="AQ35" s="17"/>
      <c r="AR35" s="17"/>
      <c r="AS35" s="17"/>
      <c r="AT35" s="17"/>
      <c r="AU35" s="17"/>
      <c r="AV35" s="17"/>
    </row>
    <row r="36" spans="1:48" x14ac:dyDescent="0.25">
      <c r="A36" s="1462"/>
      <c r="B36" s="125"/>
      <c r="C36" s="944"/>
      <c r="D36" s="411"/>
      <c r="E36" s="411"/>
      <c r="F36" s="321"/>
      <c r="G36" s="445"/>
      <c r="H36" s="296"/>
      <c r="I36" s="130"/>
      <c r="J36" s="578" t="str">
        <f>IF('C-Design&amp;Const'!AE36="","",'C-Design&amp;Const'!AE36)</f>
        <v/>
      </c>
      <c r="K36" s="246" t="str">
        <f t="shared" si="0"/>
        <v/>
      </c>
      <c r="L36" s="1410" t="str">
        <f t="shared" si="0"/>
        <v/>
      </c>
      <c r="M36" s="1333"/>
      <c r="N36" s="1333"/>
      <c r="O36" s="1333"/>
      <c r="P36" s="1333"/>
      <c r="Q36" s="1446"/>
      <c r="R36" s="1284"/>
      <c r="S36" s="1284"/>
      <c r="T36" s="1333"/>
      <c r="U36" s="1333"/>
      <c r="V36" s="1333"/>
      <c r="W36" s="1333"/>
      <c r="X36" s="1333"/>
      <c r="Y36" s="1333"/>
      <c r="Z36" s="1333"/>
      <c r="AA36" s="1333"/>
      <c r="AB36" s="1333"/>
      <c r="AC36" s="1333"/>
      <c r="AD36" s="1333"/>
      <c r="AE36" s="1333"/>
      <c r="AF36" s="1333"/>
      <c r="AG36" s="1333"/>
      <c r="AH36" s="1333"/>
      <c r="AI36" s="1333"/>
      <c r="AJ36" s="1333"/>
    </row>
    <row r="37" spans="1:48" ht="18.75" x14ac:dyDescent="0.25">
      <c r="A37" s="1462" t="str">
        <f>'C-Design&amp;Const'!J37</f>
        <v>Y</v>
      </c>
      <c r="B37" s="125"/>
      <c r="C37" s="944"/>
      <c r="D37" s="359" t="str">
        <f>IF('C-Design&amp;Const'!$I37="","",'C-Design&amp;Const'!$I37)</f>
        <v>Y</v>
      </c>
      <c r="E37" s="234"/>
      <c r="F37" s="444"/>
      <c r="G37" s="173" t="str">
        <f>IF('C-Design&amp;Const'!Y37="","",'C-Design&amp;Const'!Y37)</f>
        <v>03.</v>
      </c>
      <c r="H37" s="115" t="str">
        <f>(CONCATENATE('C-Design&amp;Const'!Z37,IF(D37="N"," Not Used In This Design Phase",J37)))</f>
        <v>Written Response to Comments</v>
      </c>
      <c r="I37" s="133"/>
      <c r="J37" s="578" t="str">
        <f>IF('C-Design&amp;Const'!AE37="","",'C-Design&amp;Const'!AE37)</f>
        <v/>
      </c>
      <c r="K37" s="246" t="str">
        <f t="shared" si="0"/>
        <v/>
      </c>
      <c r="L37" s="1410" t="str">
        <f t="shared" si="0"/>
        <v/>
      </c>
      <c r="M37" s="1333"/>
      <c r="N37" s="1333"/>
      <c r="O37" s="1333"/>
      <c r="P37" s="1333"/>
      <c r="Q37" s="1444"/>
      <c r="R37" s="1445"/>
      <c r="S37" s="1284"/>
      <c r="T37" s="1333"/>
      <c r="U37" s="1333"/>
      <c r="V37" s="1333"/>
      <c r="W37" s="1333"/>
      <c r="X37" s="1333"/>
      <c r="Y37" s="1333"/>
      <c r="Z37" s="1333"/>
      <c r="AA37" s="1333"/>
      <c r="AB37" s="1333"/>
      <c r="AC37" s="1333"/>
      <c r="AD37" s="1333"/>
      <c r="AE37" s="1333"/>
      <c r="AF37" s="1333"/>
      <c r="AG37" s="1333"/>
      <c r="AH37" s="1333"/>
      <c r="AI37" s="1333"/>
      <c r="AJ37" s="1333"/>
    </row>
    <row r="38" spans="1:48" x14ac:dyDescent="0.25">
      <c r="A38" s="1462"/>
      <c r="B38" s="125"/>
      <c r="C38" s="944"/>
      <c r="D38" s="411"/>
      <c r="E38" s="411"/>
      <c r="F38" s="321"/>
      <c r="G38" s="445"/>
      <c r="H38" s="296"/>
      <c r="I38" s="130"/>
      <c r="J38" s="578" t="str">
        <f>IF('C-Design&amp;Const'!AE38="","",'C-Design&amp;Const'!AE38)</f>
        <v/>
      </c>
      <c r="K38" s="246" t="str">
        <f t="shared" si="0"/>
        <v/>
      </c>
      <c r="L38" s="1410" t="str">
        <f t="shared" si="0"/>
        <v/>
      </c>
      <c r="M38" s="1333"/>
      <c r="N38" s="1333"/>
      <c r="O38" s="1333"/>
      <c r="P38" s="1333"/>
      <c r="Q38" s="1446"/>
      <c r="R38" s="1284"/>
      <c r="S38" s="1284"/>
      <c r="T38" s="1333"/>
      <c r="U38" s="1333"/>
      <c r="V38" s="1333"/>
      <c r="W38" s="1333"/>
      <c r="X38" s="1333"/>
      <c r="Y38" s="1333"/>
      <c r="Z38" s="1333"/>
      <c r="AA38" s="1333"/>
      <c r="AB38" s="1333"/>
      <c r="AC38" s="1333"/>
      <c r="AD38" s="1333"/>
      <c r="AE38" s="1333"/>
      <c r="AF38" s="1333"/>
      <c r="AG38" s="1333"/>
      <c r="AH38" s="1333"/>
      <c r="AI38" s="1333"/>
      <c r="AJ38" s="1333"/>
    </row>
    <row r="39" spans="1:48" s="30" customFormat="1" ht="19.5" customHeight="1" x14ac:dyDescent="0.25">
      <c r="A39" s="1462" t="str">
        <f>'C-Design&amp;Const'!J39</f>
        <v>Y</v>
      </c>
      <c r="B39" s="191"/>
      <c r="C39" s="944"/>
      <c r="D39" s="359" t="str">
        <f>IF('C-Design&amp;Const'!$I39="","",'C-Design&amp;Const'!$I39)</f>
        <v>Y</v>
      </c>
      <c r="E39" s="234"/>
      <c r="F39" s="235"/>
      <c r="G39" s="207" t="str">
        <f>IF('C-Design&amp;Const'!Y39="","",'C-Design&amp;Const'!Y39)</f>
        <v>04a. *</v>
      </c>
      <c r="H39" s="290" t="str">
        <f>(CONCATENATE('C-Design&amp;Const'!Z39,IF(D39="N"," Not Used In This Design Phase",J39)))</f>
        <v>Basis of Design (BOD) - Updated</v>
      </c>
      <c r="I39" s="180"/>
      <c r="J39" s="578" t="str">
        <f>IF('C-Design&amp;Const'!AE39="","",'C-Design&amp;Const'!AE39)</f>
        <v xml:space="preserve"> - Updated</v>
      </c>
      <c r="K39" s="246" t="str">
        <f t="shared" si="0"/>
        <v/>
      </c>
      <c r="L39" s="1410" t="str">
        <f t="shared" si="0"/>
        <v/>
      </c>
      <c r="M39" s="1382"/>
      <c r="N39" s="1382"/>
      <c r="O39" s="1382"/>
      <c r="P39" s="1382"/>
      <c r="Q39" s="1447"/>
      <c r="R39" s="1448"/>
      <c r="S39" s="1274"/>
      <c r="T39" s="1382"/>
      <c r="U39" s="1382"/>
      <c r="V39" s="1382"/>
      <c r="W39" s="1382"/>
      <c r="X39" s="1382"/>
      <c r="Y39" s="1382"/>
      <c r="Z39" s="1382"/>
      <c r="AA39" s="1382"/>
      <c r="AB39" s="1382"/>
      <c r="AC39" s="1382"/>
      <c r="AD39" s="1382"/>
      <c r="AE39" s="1382"/>
      <c r="AF39" s="1382"/>
      <c r="AG39" s="1382"/>
      <c r="AH39" s="1382"/>
      <c r="AI39" s="1382"/>
      <c r="AJ39" s="1382"/>
      <c r="AK39" s="181"/>
      <c r="AL39" s="181"/>
      <c r="AM39" s="181"/>
      <c r="AN39" s="181"/>
      <c r="AO39" s="181"/>
      <c r="AP39" s="181"/>
      <c r="AQ39" s="181"/>
      <c r="AR39" s="181"/>
      <c r="AS39" s="181"/>
      <c r="AT39" s="181"/>
      <c r="AU39" s="181"/>
      <c r="AV39" s="181"/>
    </row>
    <row r="40" spans="1:48" x14ac:dyDescent="0.25">
      <c r="A40" s="1462"/>
      <c r="B40" s="125"/>
      <c r="C40" s="944"/>
      <c r="D40" s="321"/>
      <c r="E40" s="559" t="str">
        <f>IF('C-Design&amp;Const'!$I40="","",'C-Design&amp;Const'!$I40)</f>
        <v>Y</v>
      </c>
      <c r="F40" s="560"/>
      <c r="G40" s="477"/>
      <c r="H40" s="325" t="str">
        <f>CONCATENATE(IF(ISNUMBER(SEARCH("Placeholder",'C-Design&amp;Const'!Z40))=TRUE,"",IF(E40="N","PLACEHOLDER ROW - ","")),'C-Design&amp;Const'!Z40,IF(E40="N","",J40))</f>
        <v xml:space="preserve">Project Description  (Updates to) </v>
      </c>
      <c r="I40" s="135"/>
      <c r="J40" s="578" t="str">
        <f>IF('C-Design&amp;Const'!AE40="","",'C-Design&amp;Const'!AE40)</f>
        <v xml:space="preserve"> (Updates to) </v>
      </c>
      <c r="K40" s="246" t="str">
        <f t="shared" si="0"/>
        <v/>
      </c>
      <c r="L40" s="1410" t="str">
        <f t="shared" si="0"/>
        <v/>
      </c>
      <c r="M40" s="1333"/>
      <c r="N40" s="1333"/>
      <c r="O40" s="1333"/>
      <c r="P40" s="1333"/>
      <c r="Q40" s="1444"/>
      <c r="R40" s="1445"/>
      <c r="S40" s="1284"/>
      <c r="T40" s="1333"/>
      <c r="U40" s="1333"/>
      <c r="V40" s="1333"/>
      <c r="W40" s="1333"/>
      <c r="X40" s="1333"/>
      <c r="Y40" s="1333"/>
      <c r="Z40" s="1333"/>
      <c r="AA40" s="1333"/>
      <c r="AB40" s="1333"/>
      <c r="AC40" s="1333"/>
      <c r="AD40" s="1333"/>
      <c r="AE40" s="1333"/>
      <c r="AF40" s="1333"/>
      <c r="AG40" s="1333"/>
      <c r="AH40" s="1333"/>
      <c r="AI40" s="1333"/>
      <c r="AJ40" s="1333"/>
    </row>
    <row r="41" spans="1:48" x14ac:dyDescent="0.25">
      <c r="A41" s="1462"/>
      <c r="B41" s="125"/>
      <c r="C41" s="944"/>
      <c r="D41" s="321"/>
      <c r="E41" s="559" t="str">
        <f>IF('C-Design&amp;Const'!$I41="","",'C-Design&amp;Const'!$I41)</f>
        <v>Y</v>
      </c>
      <c r="F41" s="478"/>
      <c r="G41" s="479"/>
      <c r="H41" s="325" t="str">
        <f>CONCATENATE(IF(ISNUMBER(SEARCH("Placeholder",'C-Design&amp;Const'!Z41))=TRUE,"",IF(E41="N","PLACEHOLDER ROW - ","")),'C-Design&amp;Const'!Z41,IF(E41="N","",J41))</f>
        <v xml:space="preserve">Program Needs Assessment  (Updates to) </v>
      </c>
      <c r="I41" s="135"/>
      <c r="J41" s="578" t="str">
        <f>IF('C-Design&amp;Const'!AE41="","",'C-Design&amp;Const'!AE41)</f>
        <v xml:space="preserve"> (Updates to) </v>
      </c>
      <c r="K41" s="246" t="str">
        <f t="shared" si="0"/>
        <v/>
      </c>
      <c r="L41" s="1410" t="str">
        <f t="shared" si="0"/>
        <v/>
      </c>
      <c r="M41" s="1333"/>
      <c r="N41" s="1333"/>
      <c r="O41" s="1333"/>
      <c r="P41" s="1333"/>
      <c r="Q41" s="1444"/>
      <c r="R41" s="1445"/>
      <c r="S41" s="1284"/>
      <c r="T41" s="1333"/>
      <c r="U41" s="1333"/>
      <c r="V41" s="1333"/>
      <c r="W41" s="1333"/>
      <c r="X41" s="1333"/>
      <c r="Y41" s="1333"/>
      <c r="Z41" s="1333"/>
      <c r="AA41" s="1333"/>
      <c r="AB41" s="1333"/>
      <c r="AC41" s="1333"/>
      <c r="AD41" s="1333"/>
      <c r="AE41" s="1333"/>
      <c r="AF41" s="1333"/>
      <c r="AG41" s="1333"/>
      <c r="AH41" s="1333"/>
      <c r="AI41" s="1333"/>
      <c r="AJ41" s="1333"/>
    </row>
    <row r="42" spans="1:48" x14ac:dyDescent="0.25">
      <c r="A42" s="1462"/>
      <c r="B42" s="125"/>
      <c r="C42" s="944"/>
      <c r="D42" s="321"/>
      <c r="E42" s="559" t="str">
        <f>IF('C-Design&amp;Const'!$I42="","",'C-Design&amp;Const'!$I42)</f>
        <v>Y</v>
      </c>
      <c r="F42" s="478"/>
      <c r="G42" s="479"/>
      <c r="H42" s="325" t="str">
        <f>CONCATENATE(IF(ISNUMBER(SEARCH("Placeholder",'C-Design&amp;Const'!Z42))=TRUE,"",IF(E42="N","PLACEHOLDER ROW - ","")),'C-Design&amp;Const'!Z42,IF(E42="N","",J42))</f>
        <v xml:space="preserve">Program Summary / Analysis  (Updates to) </v>
      </c>
      <c r="I42" s="136"/>
      <c r="J42" s="578" t="str">
        <f>IF('C-Design&amp;Const'!AE42="","",'C-Design&amp;Const'!AE42)</f>
        <v xml:space="preserve"> (Updates to) </v>
      </c>
      <c r="K42" s="246" t="str">
        <f t="shared" si="0"/>
        <v/>
      </c>
      <c r="L42" s="1410" t="str">
        <f t="shared" si="0"/>
        <v/>
      </c>
      <c r="M42" s="1333"/>
      <c r="N42" s="1333"/>
      <c r="O42" s="1333"/>
      <c r="P42" s="1333"/>
      <c r="Q42" s="1444"/>
      <c r="R42" s="1445"/>
      <c r="S42" s="1284"/>
      <c r="T42" s="1333"/>
      <c r="U42" s="1333"/>
      <c r="V42" s="1333"/>
      <c r="W42" s="1333"/>
      <c r="X42" s="1333"/>
      <c r="Y42" s="1333"/>
      <c r="Z42" s="1333"/>
      <c r="AA42" s="1333"/>
      <c r="AB42" s="1333"/>
      <c r="AC42" s="1333"/>
      <c r="AD42" s="1333"/>
      <c r="AE42" s="1333"/>
      <c r="AF42" s="1333"/>
      <c r="AG42" s="1333"/>
      <c r="AH42" s="1333"/>
      <c r="AI42" s="1333"/>
      <c r="AJ42" s="1333"/>
    </row>
    <row r="43" spans="1:48" x14ac:dyDescent="0.25">
      <c r="A43" s="1462"/>
      <c r="B43" s="125"/>
      <c r="C43" s="944"/>
      <c r="D43" s="321"/>
      <c r="E43" s="559" t="str">
        <f>IF('C-Design&amp;Const'!$I43="","",'C-Design&amp;Const'!$I43)</f>
        <v>N</v>
      </c>
      <c r="F43" s="478"/>
      <c r="G43" s="479"/>
      <c r="H43" s="362" t="str">
        <f>CONCATENATE(IF(ISNUMBER(SEARCH("Placeholder",'C-Design&amp;Const'!Z43))=TRUE,"",IF(E43="N","PLACEHOLDER ROW - ","")),'C-Design&amp;Const'!Z43,IF(E43="N","",J43))</f>
        <v>PLACEHOLDER - Program Study</v>
      </c>
      <c r="I43" s="136"/>
      <c r="J43" s="578" t="str">
        <f>IF('C-Design&amp;Const'!AE43="","",'C-Design&amp;Const'!AE43)</f>
        <v xml:space="preserve"> (Updates to) </v>
      </c>
      <c r="K43" s="246" t="str">
        <f t="shared" si="0"/>
        <v/>
      </c>
      <c r="L43" s="1410" t="str">
        <f t="shared" si="0"/>
        <v>&lt;---PM/Planner may hide PLACEHOLDER ROW</v>
      </c>
      <c r="M43" s="1333"/>
      <c r="N43" s="1333"/>
      <c r="O43" s="1333"/>
      <c r="P43" s="1333"/>
      <c r="Q43" s="1444"/>
      <c r="R43" s="1445"/>
      <c r="S43" s="1284"/>
      <c r="T43" s="1333"/>
      <c r="U43" s="1333"/>
      <c r="V43" s="1333"/>
      <c r="W43" s="1333"/>
      <c r="X43" s="1333"/>
      <c r="Y43" s="1333"/>
      <c r="Z43" s="1333"/>
      <c r="AA43" s="1333"/>
      <c r="AB43" s="1333"/>
      <c r="AC43" s="1333"/>
      <c r="AD43" s="1333"/>
      <c r="AE43" s="1333"/>
      <c r="AF43" s="1333"/>
      <c r="AG43" s="1333"/>
      <c r="AH43" s="1333"/>
      <c r="AI43" s="1333"/>
      <c r="AJ43" s="1333"/>
    </row>
    <row r="44" spans="1:48" x14ac:dyDescent="0.25">
      <c r="A44" s="1462"/>
      <c r="B44" s="125"/>
      <c r="C44" s="944"/>
      <c r="D44" s="321"/>
      <c r="E44" s="559" t="str">
        <f>IF('C-Design&amp;Const'!$I44="","",'C-Design&amp;Const'!$I44)</f>
        <v>Y</v>
      </c>
      <c r="F44" s="478"/>
      <c r="G44" s="479"/>
      <c r="H44" s="325" t="str">
        <f>CONCATENATE(IF(ISNUMBER(SEARCH("Placeholder",'C-Design&amp;Const'!Z44))=TRUE,"",IF(E44="N","PLACEHOLDER ROW - ","")),'C-Design&amp;Const'!Z44,IF(E44="N","",J44))</f>
        <v xml:space="preserve">Major Project Goals; Objectives; and Design Requirements  (Updates to) </v>
      </c>
      <c r="I44" s="136"/>
      <c r="J44" s="578" t="str">
        <f>IF('C-Design&amp;Const'!AE44="","",'C-Design&amp;Const'!AE44)</f>
        <v xml:space="preserve"> (Updates to) </v>
      </c>
      <c r="K44" s="246" t="str">
        <f t="shared" si="0"/>
        <v/>
      </c>
      <c r="L44" s="1410" t="str">
        <f t="shared" si="0"/>
        <v/>
      </c>
      <c r="M44" s="1333"/>
      <c r="N44" s="1333"/>
      <c r="O44" s="1333"/>
      <c r="P44" s="1333"/>
      <c r="Q44" s="1444"/>
      <c r="R44" s="1445"/>
      <c r="S44" s="1284"/>
      <c r="T44" s="1333"/>
      <c r="U44" s="1333"/>
      <c r="V44" s="1333"/>
      <c r="W44" s="1333"/>
      <c r="X44" s="1333"/>
      <c r="Y44" s="1333"/>
      <c r="Z44" s="1333"/>
      <c r="AA44" s="1333"/>
      <c r="AB44" s="1333"/>
      <c r="AC44" s="1333"/>
      <c r="AD44" s="1333"/>
      <c r="AE44" s="1333"/>
      <c r="AF44" s="1333"/>
      <c r="AG44" s="1333"/>
      <c r="AH44" s="1333"/>
      <c r="AI44" s="1333"/>
      <c r="AJ44" s="1333"/>
    </row>
    <row r="45" spans="1:48" x14ac:dyDescent="0.25">
      <c r="A45" s="1462"/>
      <c r="B45" s="125"/>
      <c r="C45" s="944"/>
      <c r="D45" s="321"/>
      <c r="E45" s="559" t="str">
        <f>IF('C-Design&amp;Const'!$I45="","",'C-Design&amp;Const'!$I45)</f>
        <v>Y</v>
      </c>
      <c r="F45" s="478"/>
      <c r="G45" s="479"/>
      <c r="H45" s="325" t="str">
        <f>CONCATENATE(IF(ISNUMBER(SEARCH("Placeholder",'C-Design&amp;Const'!Z45))=TRUE,"",IF(E45="N","PLACEHOLDER ROW - ","")),'C-Design&amp;Const'!Z45,IF(E45="N","",J45))</f>
        <v xml:space="preserve">Special Considerations  (Updates to) </v>
      </c>
      <c r="I45" s="136"/>
      <c r="J45" s="578" t="str">
        <f>IF('C-Design&amp;Const'!AE45="","",'C-Design&amp;Const'!AE45)</f>
        <v xml:space="preserve"> (Updates to) </v>
      </c>
      <c r="K45" s="246" t="str">
        <f t="shared" si="0"/>
        <v/>
      </c>
      <c r="L45" s="1410" t="str">
        <f t="shared" si="0"/>
        <v/>
      </c>
      <c r="M45" s="1333"/>
      <c r="N45" s="1333"/>
      <c r="O45" s="1333"/>
      <c r="P45" s="1333"/>
      <c r="Q45" s="1444"/>
      <c r="R45" s="1445"/>
      <c r="S45" s="1284"/>
      <c r="T45" s="1333"/>
      <c r="U45" s="1333"/>
      <c r="V45" s="1333"/>
      <c r="W45" s="1333"/>
      <c r="X45" s="1333"/>
      <c r="Y45" s="1333"/>
      <c r="Z45" s="1333"/>
      <c r="AA45" s="1333"/>
      <c r="AB45" s="1333"/>
      <c r="AC45" s="1333"/>
      <c r="AD45" s="1333"/>
      <c r="AE45" s="1333"/>
      <c r="AF45" s="1333"/>
      <c r="AG45" s="1333"/>
      <c r="AH45" s="1333"/>
      <c r="AI45" s="1333"/>
      <c r="AJ45" s="1333"/>
    </row>
    <row r="46" spans="1:48" x14ac:dyDescent="0.25">
      <c r="A46" s="1462"/>
      <c r="B46" s="125"/>
      <c r="C46" s="943"/>
      <c r="D46" s="321"/>
      <c r="E46" s="559" t="str">
        <f>IF('C-Design&amp;Const'!$I46="","",'C-Design&amp;Const'!$I46)</f>
        <v>Y</v>
      </c>
      <c r="F46" s="478"/>
      <c r="G46" s="479"/>
      <c r="H46" s="325" t="str">
        <f>CONCATENATE(IF(ISNUMBER(SEARCH("Placeholder",'C-Design&amp;Const'!Z46))=TRUE,"",IF(E46="N","PLACEHOLDER ROW - ","")),'C-Design&amp;Const'!Z46,IF(E46="N","",J46))</f>
        <v xml:space="preserve">Code Analysis - As Applicable  (Updates to) </v>
      </c>
      <c r="I46" s="136"/>
      <c r="J46" s="578" t="str">
        <f>IF('C-Design&amp;Const'!AE46="","",'C-Design&amp;Const'!AE46)</f>
        <v xml:space="preserve"> (Updates to) </v>
      </c>
      <c r="K46" s="246" t="str">
        <f t="shared" si="0"/>
        <v/>
      </c>
      <c r="L46" s="1410" t="str">
        <f t="shared" si="0"/>
        <v/>
      </c>
      <c r="M46" s="1333"/>
      <c r="N46" s="1333"/>
      <c r="O46" s="1333"/>
      <c r="P46" s="1333"/>
      <c r="Q46" s="1444"/>
      <c r="R46" s="1445"/>
      <c r="S46" s="1284"/>
      <c r="T46" s="1333"/>
      <c r="U46" s="1333"/>
      <c r="V46" s="1333"/>
      <c r="W46" s="1333"/>
      <c r="X46" s="1333"/>
      <c r="Y46" s="1333"/>
      <c r="Z46" s="1333"/>
      <c r="AA46" s="1333"/>
      <c r="AB46" s="1333"/>
      <c r="AC46" s="1333"/>
      <c r="AD46" s="1333"/>
      <c r="AE46" s="1333"/>
      <c r="AF46" s="1333"/>
      <c r="AG46" s="1333"/>
      <c r="AH46" s="1333"/>
      <c r="AI46" s="1333"/>
      <c r="AJ46" s="1333"/>
    </row>
    <row r="47" spans="1:48" x14ac:dyDescent="0.25">
      <c r="A47" s="1462"/>
      <c r="B47" s="125"/>
      <c r="C47" s="943"/>
      <c r="D47" s="321"/>
      <c r="E47" s="559" t="str">
        <f>IF('C-Design&amp;Const'!$I47="","",'C-Design&amp;Const'!$I47)</f>
        <v>Y</v>
      </c>
      <c r="F47" s="478"/>
      <c r="G47" s="479"/>
      <c r="H47" s="325" t="str">
        <f>CONCATENATE(IF(ISNUMBER(SEARCH("Placeholder",'C-Design&amp;Const'!Z47))=TRUE,"",IF(E47="N","PLACEHOLDER ROW - ","")),'C-Design&amp;Const'!Z47,IF(E47="N","",J47))</f>
        <v xml:space="preserve">Permit Analysis  - As Applicable  (Updates to) </v>
      </c>
      <c r="I47" s="136"/>
      <c r="J47" s="578" t="str">
        <f>IF('C-Design&amp;Const'!AE47="","",'C-Design&amp;Const'!AE47)</f>
        <v xml:space="preserve"> (Updates to) </v>
      </c>
      <c r="K47" s="246" t="str">
        <f t="shared" si="0"/>
        <v/>
      </c>
      <c r="L47" s="1410" t="str">
        <f t="shared" si="0"/>
        <v/>
      </c>
      <c r="M47" s="1333"/>
      <c r="N47" s="1333"/>
      <c r="O47" s="1333"/>
      <c r="P47" s="1333"/>
      <c r="Q47" s="1444"/>
      <c r="R47" s="1445"/>
      <c r="S47" s="1284"/>
      <c r="T47" s="1333"/>
      <c r="U47" s="1333"/>
      <c r="V47" s="1333"/>
      <c r="W47" s="1333"/>
      <c r="X47" s="1333"/>
      <c r="Y47" s="1333"/>
      <c r="Z47" s="1333"/>
      <c r="AA47" s="1333"/>
      <c r="AB47" s="1333"/>
      <c r="AC47" s="1333"/>
      <c r="AD47" s="1333"/>
      <c r="AE47" s="1333"/>
      <c r="AF47" s="1333"/>
      <c r="AG47" s="1333"/>
      <c r="AH47" s="1333"/>
      <c r="AI47" s="1333"/>
      <c r="AJ47" s="1333"/>
    </row>
    <row r="48" spans="1:48" x14ac:dyDescent="0.25">
      <c r="A48" s="1462"/>
      <c r="B48" s="125"/>
      <c r="C48" s="943"/>
      <c r="D48" s="321"/>
      <c r="E48" s="559" t="str">
        <f>IF('C-Design&amp;Const'!$I48="","",'C-Design&amp;Const'!$I48)</f>
        <v>Y</v>
      </c>
      <c r="F48" s="478"/>
      <c r="G48" s="479"/>
      <c r="H48" s="325" t="str">
        <f>CONCATENATE(IF(ISNUMBER(SEARCH("Placeholder",'C-Design&amp;Const'!Z48))=TRUE,"",IF(E48="N","PLACEHOLDER ROW - ","")),'C-Design&amp;Const'!Z48,IF(E48="N","",J48))</f>
        <v>Variances - As Applicable  (Expected &amp; Approved to date)</v>
      </c>
      <c r="I48" s="136"/>
      <c r="J48" s="578" t="str">
        <f>IF('C-Design&amp;Const'!AE48="","",'C-Design&amp;Const'!AE48)</f>
        <v xml:space="preserve"> (Expected &amp; Approved to date)</v>
      </c>
      <c r="K48" s="246" t="str">
        <f t="shared" si="0"/>
        <v/>
      </c>
      <c r="L48" s="1410" t="str">
        <f t="shared" si="0"/>
        <v/>
      </c>
      <c r="M48" s="1333"/>
      <c r="N48" s="1333"/>
      <c r="O48" s="1333"/>
      <c r="P48" s="1333"/>
      <c r="Q48" s="1444"/>
      <c r="R48" s="1445"/>
      <c r="S48" s="1284"/>
      <c r="T48" s="1333"/>
      <c r="U48" s="1333"/>
      <c r="V48" s="1333"/>
      <c r="W48" s="1333"/>
      <c r="X48" s="1333"/>
      <c r="Y48" s="1333"/>
      <c r="Z48" s="1333"/>
      <c r="AA48" s="1333"/>
      <c r="AB48" s="1333"/>
      <c r="AC48" s="1333"/>
      <c r="AD48" s="1333"/>
      <c r="AE48" s="1333"/>
      <c r="AF48" s="1333"/>
      <c r="AG48" s="1333"/>
      <c r="AH48" s="1333"/>
      <c r="AI48" s="1333"/>
      <c r="AJ48" s="1333"/>
    </row>
    <row r="49" spans="1:48" ht="24" customHeight="1" x14ac:dyDescent="0.25">
      <c r="A49" s="1462"/>
      <c r="B49" s="125"/>
      <c r="C49" s="943"/>
      <c r="D49" s="321"/>
      <c r="E49" s="559" t="str">
        <f>IF('C-Design&amp;Const'!$I49="","",'C-Design&amp;Const'!$I49)</f>
        <v>Y</v>
      </c>
      <c r="F49" s="478"/>
      <c r="G49" s="479"/>
      <c r="H49" s="325" t="str">
        <f>CONCATENATE(IF(ISNUMBER(SEARCH("Placeholder",'C-Design&amp;Const'!Z49))=TRUE,"",IF(E49="N","PLACEHOLDER ROW - ","")),'C-Design&amp;Const'!Z49,IF(E49="N","",J49))</f>
        <v xml:space="preserve">Results of itemized Area Analysis Comparing the Net-to-Gross Square Feet  - Per Floor; Per Assembly Space; and Per Building as applicable  (Updates to) </v>
      </c>
      <c r="I49" s="136"/>
      <c r="J49" s="578" t="str">
        <f>IF('C-Design&amp;Const'!AE49="","",'C-Design&amp;Const'!AE49)</f>
        <v xml:space="preserve"> (Updates to) </v>
      </c>
      <c r="K49" s="246" t="str">
        <f t="shared" si="0"/>
        <v/>
      </c>
      <c r="L49" s="1410" t="str">
        <f t="shared" si="0"/>
        <v/>
      </c>
      <c r="M49" s="1333"/>
      <c r="N49" s="1333"/>
      <c r="O49" s="1333"/>
      <c r="P49" s="1333"/>
      <c r="Q49" s="1444"/>
      <c r="R49" s="1445"/>
      <c r="S49" s="1284"/>
      <c r="T49" s="1333"/>
      <c r="U49" s="1333"/>
      <c r="V49" s="1333"/>
      <c r="W49" s="1333"/>
      <c r="X49" s="1333"/>
      <c r="Y49" s="1333"/>
      <c r="Z49" s="1333"/>
      <c r="AA49" s="1333"/>
      <c r="AB49" s="1333"/>
      <c r="AC49" s="1333"/>
      <c r="AD49" s="1333"/>
      <c r="AE49" s="1333"/>
      <c r="AF49" s="1333"/>
      <c r="AG49" s="1333"/>
      <c r="AH49" s="1333"/>
      <c r="AI49" s="1333"/>
      <c r="AJ49" s="1333"/>
    </row>
    <row r="50" spans="1:48" x14ac:dyDescent="0.25">
      <c r="A50" s="1462"/>
      <c r="B50" s="125"/>
      <c r="C50" s="943"/>
      <c r="D50" s="321"/>
      <c r="E50" s="559" t="str">
        <f>IF('C-Design&amp;Const'!$I50="","",'C-Design&amp;Const'!$I50)</f>
        <v>Y</v>
      </c>
      <c r="F50" s="478"/>
      <c r="G50" s="479"/>
      <c r="H50" s="325" t="str">
        <f>CONCATENATE(IF(ISNUMBER(SEARCH("Placeholder",'C-Design&amp;Const'!Z50))=TRUE,"",IF(E50="N","PLACEHOLDER ROW - ","")),'C-Design&amp;Const'!Z50,IF(E50="N","",J50))</f>
        <v xml:space="preserve">Room Type Alternative Concepts  (Updates to) </v>
      </c>
      <c r="I50" s="136"/>
      <c r="J50" s="578" t="str">
        <f>IF('C-Design&amp;Const'!AE50="","",'C-Design&amp;Const'!AE50)</f>
        <v xml:space="preserve"> (Updates to) </v>
      </c>
      <c r="K50" s="246" t="str">
        <f t="shared" si="0"/>
        <v/>
      </c>
      <c r="L50" s="1410" t="str">
        <f t="shared" si="0"/>
        <v/>
      </c>
      <c r="M50" s="1333"/>
      <c r="N50" s="1333"/>
      <c r="O50" s="1333"/>
      <c r="P50" s="1333"/>
      <c r="Q50" s="1444"/>
      <c r="R50" s="1445"/>
      <c r="S50" s="1284"/>
      <c r="T50" s="1333"/>
      <c r="U50" s="1333"/>
      <c r="V50" s="1333"/>
      <c r="W50" s="1333"/>
      <c r="X50" s="1333"/>
      <c r="Y50" s="1333"/>
      <c r="Z50" s="1333"/>
      <c r="AA50" s="1333"/>
      <c r="AB50" s="1333"/>
      <c r="AC50" s="1333"/>
      <c r="AD50" s="1333"/>
      <c r="AE50" s="1333"/>
      <c r="AF50" s="1333"/>
      <c r="AG50" s="1333"/>
      <c r="AH50" s="1333"/>
      <c r="AI50" s="1333"/>
      <c r="AJ50" s="1333"/>
    </row>
    <row r="51" spans="1:48" x14ac:dyDescent="0.25">
      <c r="A51" s="1462"/>
      <c r="B51" s="125"/>
      <c r="C51" s="943"/>
      <c r="D51" s="321"/>
      <c r="E51" s="559" t="str">
        <f>IF('C-Design&amp;Const'!$I51="","",'C-Design&amp;Const'!$I51)</f>
        <v>Y</v>
      </c>
      <c r="F51" s="478"/>
      <c r="G51" s="479"/>
      <c r="H51" s="325" t="str">
        <f>CONCATENATE(IF(ISNUMBER(SEARCH("Placeholder",'C-Design&amp;Const'!Z51))=TRUE,"",IF(E51="N","PLACEHOLDER ROW - ","")),'C-Design&amp;Const'!Z51,IF(E51="N","",J51))</f>
        <v>Design Concept(s)  (Approx 50% Complete)</v>
      </c>
      <c r="I51" s="144"/>
      <c r="J51" s="578" t="str">
        <f>IF('C-Design&amp;Const'!AE51="","",'C-Design&amp;Const'!AE51)</f>
        <v xml:space="preserve"> (Approx 50% Complete)</v>
      </c>
      <c r="K51" s="246" t="str">
        <f t="shared" si="0"/>
        <v/>
      </c>
      <c r="L51" s="1410" t="str">
        <f t="shared" si="0"/>
        <v/>
      </c>
      <c r="M51" s="1333"/>
      <c r="N51" s="1333"/>
      <c r="O51" s="1333"/>
      <c r="P51" s="1333"/>
      <c r="Q51" s="1444"/>
      <c r="R51" s="1445"/>
      <c r="S51" s="1284"/>
      <c r="T51" s="1333"/>
      <c r="U51" s="1333"/>
      <c r="V51" s="1333"/>
      <c r="W51" s="1333"/>
      <c r="X51" s="1333"/>
      <c r="Y51" s="1333"/>
      <c r="Z51" s="1333"/>
      <c r="AA51" s="1333"/>
      <c r="AB51" s="1333"/>
      <c r="AC51" s="1333"/>
      <c r="AD51" s="1333"/>
      <c r="AE51" s="1333"/>
      <c r="AF51" s="1333"/>
      <c r="AG51" s="1333"/>
      <c r="AH51" s="1333"/>
      <c r="AI51" s="1333"/>
      <c r="AJ51" s="1333"/>
    </row>
    <row r="52" spans="1:48" x14ac:dyDescent="0.25">
      <c r="A52" s="1462"/>
      <c r="B52" s="125"/>
      <c r="C52" s="943"/>
      <c r="D52" s="321"/>
      <c r="E52" s="559" t="str">
        <f>IF('C-Design&amp;Const'!$I52="","",'C-Design&amp;Const'!$I52)</f>
        <v>N</v>
      </c>
      <c r="F52" s="460"/>
      <c r="G52" s="477"/>
      <c r="H52" s="325" t="str">
        <f>CONCATENATE(IF(ISNUMBER(SEARCH("Placeholder",'C-Design&amp;Const'!Z52))=TRUE,"",IF(E52="N","PLACEHOLDER ROW - ","")),'C-Design&amp;Const'!Z52,IF(E52="N","",J52))</f>
        <v xml:space="preserve">PLACEHOLDER ROW - Master Plan Impact and Options </v>
      </c>
      <c r="I52" s="137"/>
      <c r="J52" s="578" t="str">
        <f>IF('C-Design&amp;Const'!AE52="","",'C-Design&amp;Const'!AE52)</f>
        <v xml:space="preserve"> (Updates to) </v>
      </c>
      <c r="K52" s="246" t="str">
        <f t="shared" si="0"/>
        <v/>
      </c>
      <c r="L52" s="1410" t="str">
        <f t="shared" si="0"/>
        <v>&lt;---PM/Planner may hide PLACEHOLDER ROW</v>
      </c>
      <c r="M52" s="1333"/>
      <c r="N52" s="1333"/>
      <c r="O52" s="1333"/>
      <c r="P52" s="1333"/>
      <c r="Q52" s="1444"/>
      <c r="R52" s="1445"/>
      <c r="S52" s="1284"/>
      <c r="T52" s="1333"/>
      <c r="U52" s="1333"/>
      <c r="V52" s="1333"/>
      <c r="W52" s="1333"/>
      <c r="X52" s="1333"/>
      <c r="Y52" s="1333"/>
      <c r="Z52" s="1333"/>
      <c r="AA52" s="1333"/>
      <c r="AB52" s="1333"/>
      <c r="AC52" s="1333"/>
      <c r="AD52" s="1333"/>
      <c r="AE52" s="1333"/>
      <c r="AF52" s="1333"/>
      <c r="AG52" s="1333"/>
      <c r="AH52" s="1333"/>
      <c r="AI52" s="1333"/>
      <c r="AJ52" s="1333"/>
    </row>
    <row r="53" spans="1:48" x14ac:dyDescent="0.25">
      <c r="A53" s="1462"/>
      <c r="B53" s="125"/>
      <c r="C53" s="943"/>
      <c r="D53" s="321"/>
      <c r="E53" s="559" t="str">
        <f>IF('C-Design&amp;Const'!$I53="","",'C-Design&amp;Const'!$I53)</f>
        <v>Y</v>
      </c>
      <c r="F53" s="460"/>
      <c r="G53" s="479"/>
      <c r="H53" s="795" t="str">
        <f>CONCATENATE(IF(ISNUMBER(SEARCH("Placeholder",'C-Design&amp;Const'!Z53))=TRUE,"",IF(E53="N","PLACEHOLDER ROW - ","")),'C-Design&amp;Const'!Z53,IF(E53="N","",J53))</f>
        <v xml:space="preserve">Required adjacent property acquisitions (Updates to) </v>
      </c>
      <c r="I53" s="137"/>
      <c r="J53" s="578" t="str">
        <f>IF('C-Design&amp;Const'!AE53="","",'C-Design&amp;Const'!AE53)</f>
        <v xml:space="preserve"> (Updates to) </v>
      </c>
      <c r="K53" s="246" t="str">
        <f t="shared" si="0"/>
        <v/>
      </c>
      <c r="L53" s="1410" t="str">
        <f t="shared" si="0"/>
        <v/>
      </c>
      <c r="M53" s="1333"/>
      <c r="N53" s="1333"/>
      <c r="O53" s="1333"/>
      <c r="P53" s="1333"/>
      <c r="Q53" s="1444"/>
      <c r="R53" s="1445"/>
      <c r="S53" s="1284"/>
      <c r="T53" s="1333"/>
      <c r="U53" s="1333"/>
      <c r="V53" s="1333"/>
      <c r="W53" s="1333"/>
      <c r="X53" s="1333"/>
      <c r="Y53" s="1333"/>
      <c r="Z53" s="1333"/>
      <c r="AA53" s="1333"/>
      <c r="AB53" s="1333"/>
      <c r="AC53" s="1333"/>
      <c r="AD53" s="1333"/>
      <c r="AE53" s="1333"/>
      <c r="AF53" s="1333"/>
      <c r="AG53" s="1333"/>
      <c r="AH53" s="1333"/>
      <c r="AI53" s="1333"/>
      <c r="AJ53" s="1333"/>
    </row>
    <row r="54" spans="1:48" x14ac:dyDescent="0.25">
      <c r="A54" s="1462"/>
      <c r="B54" s="125"/>
      <c r="C54" s="943"/>
      <c r="D54" s="321"/>
      <c r="E54" s="559" t="str">
        <f>IF('C-Design&amp;Const'!$I54="","",'C-Design&amp;Const'!$I54)</f>
        <v>N</v>
      </c>
      <c r="F54" s="460"/>
      <c r="G54" s="479"/>
      <c r="H54" s="795" t="str">
        <f>CONCATENATE(IF(ISNUMBER(SEARCH("Placeholder",'C-Design&amp;Const'!Z54))=TRUE,"",IF(E54="N","PLACEHOLDER ROW - ","")),'C-Design&amp;Const'!Z54,IF(E54="N","",J54))</f>
        <v>PLACEHOLDER ROW - CUSTOM ROW - OPTIONAL CLIENT ITEM</v>
      </c>
      <c r="I54" s="137"/>
      <c r="J54" s="578" t="str">
        <f>IF('C-Design&amp;Const'!AE54="","",'C-Design&amp;Const'!AE54)</f>
        <v xml:space="preserve"> (Updates to) </v>
      </c>
      <c r="K54" s="246" t="str">
        <f t="shared" si="0"/>
        <v/>
      </c>
      <c r="L54" s="1410" t="str">
        <f t="shared" si="0"/>
        <v>&lt;---PM/Planner may hide PLACEHOLDER ROW</v>
      </c>
      <c r="M54" s="1333"/>
      <c r="N54" s="1333"/>
      <c r="O54" s="1333"/>
      <c r="P54" s="1333"/>
      <c r="Q54" s="1444"/>
      <c r="R54" s="1445"/>
      <c r="S54" s="1284"/>
      <c r="T54" s="1333"/>
      <c r="U54" s="1333"/>
      <c r="V54" s="1333"/>
      <c r="W54" s="1333"/>
      <c r="X54" s="1333"/>
      <c r="Y54" s="1333"/>
      <c r="Z54" s="1333"/>
      <c r="AA54" s="1333"/>
      <c r="AB54" s="1333"/>
      <c r="AC54" s="1333"/>
      <c r="AD54" s="1333"/>
      <c r="AE54" s="1333"/>
      <c r="AF54" s="1333"/>
      <c r="AG54" s="1333"/>
      <c r="AH54" s="1333"/>
      <c r="AI54" s="1333"/>
      <c r="AJ54" s="1333"/>
    </row>
    <row r="55" spans="1:48" x14ac:dyDescent="0.25">
      <c r="A55" s="1462"/>
      <c r="B55" s="125"/>
      <c r="C55" s="943"/>
      <c r="D55" s="321"/>
      <c r="E55" s="559" t="str">
        <f>IF('C-Design&amp;Const'!$I55="","",'C-Design&amp;Const'!$I55)</f>
        <v>N</v>
      </c>
      <c r="F55" s="460"/>
      <c r="G55" s="479"/>
      <c r="H55" s="795" t="str">
        <f>CONCATENATE(IF(ISNUMBER(SEARCH("Placeholder",'C-Design&amp;Const'!Z55))=TRUE,"",IF(E55="N","PLACEHOLDER ROW - ","")),'C-Design&amp;Const'!Z55,IF(E55="N","",J55))</f>
        <v>PLACEHOLDER ROW - CUSTOM ROW - OPTIONAL CLIENT ITEM</v>
      </c>
      <c r="I55" s="137"/>
      <c r="J55" s="578" t="str">
        <f>IF('C-Design&amp;Const'!AE55="","",'C-Design&amp;Const'!AE55)</f>
        <v/>
      </c>
      <c r="K55" s="246" t="str">
        <f t="shared" si="0"/>
        <v/>
      </c>
      <c r="L55" s="1410" t="str">
        <f t="shared" si="0"/>
        <v>&lt;---PM/Planner may hide PLACEHOLDER ROW</v>
      </c>
      <c r="M55" s="1333"/>
      <c r="N55" s="1333"/>
      <c r="O55" s="1333"/>
      <c r="P55" s="1333"/>
      <c r="Q55" s="1444"/>
      <c r="R55" s="1445"/>
      <c r="S55" s="1284"/>
      <c r="T55" s="1333"/>
      <c r="U55" s="1333"/>
      <c r="V55" s="1333"/>
      <c r="W55" s="1333"/>
      <c r="X55" s="1333"/>
      <c r="Y55" s="1333"/>
      <c r="Z55" s="1333"/>
      <c r="AA55" s="1333"/>
      <c r="AB55" s="1333"/>
      <c r="AC55" s="1333"/>
      <c r="AD55" s="1333"/>
      <c r="AE55" s="1333"/>
      <c r="AF55" s="1333"/>
      <c r="AG55" s="1333"/>
      <c r="AH55" s="1333"/>
      <c r="AI55" s="1333"/>
      <c r="AJ55" s="1333"/>
    </row>
    <row r="56" spans="1:48" s="30" customFormat="1" ht="15" customHeight="1" x14ac:dyDescent="0.25">
      <c r="A56" s="1462"/>
      <c r="B56" s="191"/>
      <c r="C56" s="943"/>
      <c r="D56" s="463"/>
      <c r="E56" s="559" t="str">
        <f>IF('C-Design&amp;Const'!$I56="","",'C-Design&amp;Const'!$I56)</f>
        <v>Y</v>
      </c>
      <c r="F56" s="461"/>
      <c r="G56" s="291"/>
      <c r="H56" s="462" t="str">
        <f>CONCATENATE(IF(E56="N","PLACEHOLDER ROW - ",""),'C-Design&amp;Const'!Z56,IF(E56="N","",J56))</f>
        <v xml:space="preserve">Building &amp; Site Systems Narratives (Updates to) </v>
      </c>
      <c r="I56" s="184"/>
      <c r="J56" s="578" t="str">
        <f>IF('C-Design&amp;Const'!AE56="","",'C-Design&amp;Const'!AE56)</f>
        <v xml:space="preserve"> (Updates to) </v>
      </c>
      <c r="K56" s="246" t="str">
        <f t="shared" si="0"/>
        <v/>
      </c>
      <c r="L56" s="1410" t="str">
        <f t="shared" si="0"/>
        <v/>
      </c>
      <c r="M56" s="1382"/>
      <c r="N56" s="1382"/>
      <c r="O56" s="1382"/>
      <c r="P56" s="1382"/>
      <c r="Q56" s="1382"/>
      <c r="R56" s="1382"/>
      <c r="S56" s="1382"/>
      <c r="T56" s="1382"/>
      <c r="U56" s="1382"/>
      <c r="V56" s="1382"/>
      <c r="W56" s="1382"/>
      <c r="X56" s="1382"/>
      <c r="Y56" s="1382"/>
      <c r="Z56" s="1382"/>
      <c r="AA56" s="1382"/>
      <c r="AB56" s="1382"/>
      <c r="AC56" s="1382"/>
      <c r="AD56" s="1382"/>
      <c r="AE56" s="1382"/>
      <c r="AF56" s="1382"/>
      <c r="AG56" s="1382"/>
      <c r="AH56" s="1382"/>
      <c r="AI56" s="1382"/>
      <c r="AJ56" s="1382"/>
      <c r="AK56" s="181"/>
      <c r="AL56" s="181"/>
      <c r="AM56" s="181"/>
      <c r="AN56" s="181"/>
      <c r="AO56" s="181"/>
      <c r="AP56" s="181"/>
      <c r="AQ56" s="181"/>
      <c r="AR56" s="181"/>
      <c r="AS56" s="181"/>
      <c r="AT56" s="181"/>
      <c r="AU56" s="181"/>
      <c r="AV56" s="181"/>
    </row>
    <row r="57" spans="1:48" s="30" customFormat="1" ht="26.25" customHeight="1" x14ac:dyDescent="0.25">
      <c r="A57" s="1462"/>
      <c r="B57" s="191"/>
      <c r="C57" s="943"/>
      <c r="D57" s="463"/>
      <c r="E57" s="463"/>
      <c r="F57" s="464"/>
      <c r="G57" s="291"/>
      <c r="H57" s="362" t="str">
        <f>CONCATENATE(IF(E57="N","PLACEHOLDER ROW - ",""),IF(E57="N","",J57),'C-Design&amp;Const'!Z57,)</f>
        <v>Under separate bound cover, any detailed results, reports, surveys, tests, etc… for existing systems verification.</v>
      </c>
      <c r="I57" s="184"/>
      <c r="J57" s="578" t="str">
        <f>IF('C-Design&amp;Const'!AE57="","",'C-Design&amp;Const'!AE57)</f>
        <v/>
      </c>
      <c r="K57" s="246" t="str">
        <f t="shared" si="0"/>
        <v/>
      </c>
      <c r="L57" s="1410" t="str">
        <f t="shared" si="0"/>
        <v/>
      </c>
      <c r="M57" s="1382"/>
      <c r="N57" s="1382"/>
      <c r="O57" s="1382"/>
      <c r="P57" s="1382"/>
      <c r="Q57" s="1382"/>
      <c r="R57" s="1382"/>
      <c r="S57" s="1382"/>
      <c r="T57" s="1382"/>
      <c r="U57" s="1382"/>
      <c r="V57" s="1382"/>
      <c r="W57" s="1382"/>
      <c r="X57" s="1382"/>
      <c r="Y57" s="1382"/>
      <c r="Z57" s="1382"/>
      <c r="AA57" s="1382"/>
      <c r="AB57" s="1382"/>
      <c r="AC57" s="1382"/>
      <c r="AD57" s="1382"/>
      <c r="AE57" s="1382"/>
      <c r="AF57" s="1382"/>
      <c r="AG57" s="1382"/>
      <c r="AH57" s="1382"/>
      <c r="AI57" s="1382"/>
      <c r="AJ57" s="1382"/>
      <c r="AK57" s="181"/>
      <c r="AL57" s="181"/>
      <c r="AM57" s="181"/>
      <c r="AN57" s="181"/>
      <c r="AO57" s="181"/>
      <c r="AP57" s="181"/>
      <c r="AQ57" s="181"/>
      <c r="AR57" s="181"/>
      <c r="AS57" s="181"/>
      <c r="AT57" s="181"/>
      <c r="AU57" s="181"/>
      <c r="AV57" s="181"/>
    </row>
    <row r="58" spans="1:48" s="30" customFormat="1" ht="39.75" customHeight="1" x14ac:dyDescent="0.25">
      <c r="A58" s="1462"/>
      <c r="B58" s="191"/>
      <c r="C58" s="943"/>
      <c r="D58" s="463"/>
      <c r="E58" s="463"/>
      <c r="F58" s="359" t="str">
        <f>IF('C-Design&amp;Const'!$I58="","",'C-Design&amp;Const'!$I58)</f>
        <v>Y</v>
      </c>
      <c r="G58" s="291"/>
      <c r="H58" s="408" t="str">
        <f>CONCATENATE(IF(F58="N","PLACEHOLDER ROW - ",""),'C-Design&amp;Const'!Z58,IF(F58="N","",J58))</f>
        <v xml:space="preserve">Site / Civil / Landscape - Storm Water Management for changes in impervious area **(List assumptions for mitigation.  Verify existing system.  Any outlet into field tiles must be verified for size, location, and condition) (Updates to) </v>
      </c>
      <c r="I58" s="184"/>
      <c r="J58" s="578" t="str">
        <f>IF('C-Design&amp;Const'!AE58="","",'C-Design&amp;Const'!AE58)</f>
        <v xml:space="preserve"> (Updates to) </v>
      </c>
      <c r="K58" s="246" t="str">
        <f t="shared" si="0"/>
        <v/>
      </c>
      <c r="L58" s="1410" t="str">
        <f t="shared" si="0"/>
        <v/>
      </c>
      <c r="M58" s="1382"/>
      <c r="N58" s="1382"/>
      <c r="O58" s="1382"/>
      <c r="P58" s="1382"/>
      <c r="Q58" s="1382"/>
      <c r="R58" s="1382"/>
      <c r="S58" s="1382"/>
      <c r="T58" s="1382"/>
      <c r="U58" s="1382"/>
      <c r="V58" s="1382"/>
      <c r="W58" s="1382"/>
      <c r="X58" s="1382"/>
      <c r="Y58" s="1382"/>
      <c r="Z58" s="1382"/>
      <c r="AA58" s="1382"/>
      <c r="AB58" s="1382"/>
      <c r="AC58" s="1382"/>
      <c r="AD58" s="1382"/>
      <c r="AE58" s="1382"/>
      <c r="AF58" s="1382"/>
      <c r="AG58" s="1382"/>
      <c r="AH58" s="1382"/>
      <c r="AI58" s="1382"/>
      <c r="AJ58" s="1382"/>
      <c r="AK58" s="181"/>
      <c r="AL58" s="181"/>
      <c r="AM58" s="181"/>
      <c r="AN58" s="181"/>
      <c r="AO58" s="181"/>
      <c r="AP58" s="181"/>
      <c r="AQ58" s="181"/>
      <c r="AR58" s="181"/>
      <c r="AS58" s="181"/>
      <c r="AT58" s="181"/>
      <c r="AU58" s="181"/>
      <c r="AV58" s="181"/>
    </row>
    <row r="59" spans="1:48" s="30" customFormat="1" ht="28.5" x14ac:dyDescent="0.25">
      <c r="A59" s="1462"/>
      <c r="B59" s="191"/>
      <c r="C59" s="944"/>
      <c r="D59" s="463"/>
      <c r="E59" s="463"/>
      <c r="F59" s="359" t="str">
        <f>IF('C-Design&amp;Const'!$I59="","",'C-Design&amp;Const'!$I59)</f>
        <v>Y</v>
      </c>
      <c r="G59" s="291"/>
      <c r="H59" s="408" t="str">
        <f>CONCATENATE(IF(F59="N","PLACEHOLDER ROW - ",""),'C-Design&amp;Const'!Z59,IF(F59="N","",J59))</f>
        <v xml:space="preserve">Site / Civil / Landscape - Bike Parking, Vehicle Parking,  Driveways, Multimodal Transporation (Updates to) </v>
      </c>
      <c r="I59" s="184"/>
      <c r="J59" s="578" t="str">
        <f>IF('C-Design&amp;Const'!AE59="","",'C-Design&amp;Const'!AE59)</f>
        <v xml:space="preserve"> (Updates to) </v>
      </c>
      <c r="K59" s="246" t="str">
        <f t="shared" si="0"/>
        <v/>
      </c>
      <c r="L59" s="1410" t="str">
        <f t="shared" si="0"/>
        <v/>
      </c>
      <c r="M59" s="1382"/>
      <c r="N59" s="1382"/>
      <c r="O59" s="1382"/>
      <c r="P59" s="1382"/>
      <c r="Q59" s="1382"/>
      <c r="R59" s="1382"/>
      <c r="S59" s="1382"/>
      <c r="T59" s="1382"/>
      <c r="U59" s="1382"/>
      <c r="V59" s="1382"/>
      <c r="W59" s="1382"/>
      <c r="X59" s="1382"/>
      <c r="Y59" s="1382"/>
      <c r="Z59" s="1382"/>
      <c r="AA59" s="1382"/>
      <c r="AB59" s="1382"/>
      <c r="AC59" s="1382"/>
      <c r="AD59" s="1382"/>
      <c r="AE59" s="1382"/>
      <c r="AF59" s="1382"/>
      <c r="AG59" s="1382"/>
      <c r="AH59" s="1382"/>
      <c r="AI59" s="1382"/>
      <c r="AJ59" s="1382"/>
      <c r="AK59" s="181"/>
      <c r="AL59" s="181"/>
      <c r="AM59" s="181"/>
      <c r="AN59" s="181"/>
      <c r="AO59" s="181"/>
      <c r="AP59" s="181"/>
      <c r="AQ59" s="181"/>
      <c r="AR59" s="181"/>
      <c r="AS59" s="181"/>
      <c r="AT59" s="181"/>
      <c r="AU59" s="181"/>
      <c r="AV59" s="181"/>
    </row>
    <row r="60" spans="1:48" s="545" customFormat="1" ht="15" customHeight="1" x14ac:dyDescent="0.25">
      <c r="A60" s="1462"/>
      <c r="B60" s="554"/>
      <c r="C60" s="944"/>
      <c r="D60" s="463"/>
      <c r="E60" s="463"/>
      <c r="F60" s="359" t="str">
        <f>IF('C-Design&amp;Const'!$I60="","",'C-Design&amp;Const'!$I60)</f>
        <v>Y</v>
      </c>
      <c r="G60" s="291"/>
      <c r="H60" s="408" t="str">
        <f>CONCATENATE(IF(F60="N","PLACEHOLDER ROW - ",""),'C-Design&amp;Const'!Z60,IF(F60="N","",J60))</f>
        <v xml:space="preserve">Site / Civil / Landscape - Waste &amp; Recycling Hauling, Service Access, &amp; Loading Zones (Updates to) </v>
      </c>
      <c r="I60" s="552"/>
      <c r="J60" s="578" t="str">
        <f>IF('C-Design&amp;Const'!AE60="","",'C-Design&amp;Const'!AE60)</f>
        <v xml:space="preserve"> (Updates to) </v>
      </c>
      <c r="K60" s="246" t="str">
        <f t="shared" ref="K60" si="1">CONCATENATE(IF(ISNUMBER(SEARCH("Placeholder",G60))=TRUE,"&lt;---PM/Planner may hide PLACEHOLDER ROW",""))</f>
        <v/>
      </c>
      <c r="L60" s="1410" t="str">
        <f t="shared" ref="L60" si="2">CONCATENATE(IF(ISNUMBER(SEARCH("Placeholder",H60))=TRUE,"&lt;---PM/Planner may hide PLACEHOLDER ROW",""))</f>
        <v/>
      </c>
      <c r="M60" s="1382"/>
      <c r="N60" s="1382"/>
      <c r="O60" s="1382"/>
      <c r="P60" s="1382"/>
      <c r="Q60" s="1382"/>
      <c r="R60" s="1382"/>
      <c r="S60" s="1382"/>
      <c r="T60" s="1382"/>
      <c r="U60" s="1382"/>
      <c r="V60" s="1382"/>
      <c r="W60" s="1382"/>
      <c r="X60" s="1382"/>
      <c r="Y60" s="1382"/>
      <c r="Z60" s="1382"/>
      <c r="AA60" s="1382"/>
      <c r="AB60" s="1382"/>
      <c r="AC60" s="1382"/>
      <c r="AD60" s="1382"/>
      <c r="AE60" s="1382"/>
      <c r="AF60" s="1382"/>
      <c r="AG60" s="1382"/>
      <c r="AH60" s="1382"/>
      <c r="AI60" s="1382"/>
      <c r="AJ60" s="1382"/>
      <c r="AK60" s="551"/>
      <c r="AL60" s="551"/>
      <c r="AM60" s="551"/>
      <c r="AN60" s="551"/>
      <c r="AO60" s="551"/>
      <c r="AP60" s="551"/>
      <c r="AQ60" s="551"/>
      <c r="AR60" s="551"/>
      <c r="AS60" s="551"/>
      <c r="AT60" s="551"/>
      <c r="AU60" s="551"/>
      <c r="AV60" s="551"/>
    </row>
    <row r="61" spans="1:48" s="30" customFormat="1" ht="15" customHeight="1" x14ac:dyDescent="0.25">
      <c r="A61" s="1462"/>
      <c r="B61" s="191"/>
      <c r="C61" s="944"/>
      <c r="D61" s="463"/>
      <c r="E61" s="463"/>
      <c r="F61" s="359" t="str">
        <f>IF('C-Design&amp;Const'!$I61="","",'C-Design&amp;Const'!$I61)</f>
        <v>Y</v>
      </c>
      <c r="G61" s="291"/>
      <c r="H61" s="408" t="str">
        <f>CONCATENATE(IF(F61="N","PLACEHOLDER ROW - ",""),'C-Design&amp;Const'!Z61,IF(F61="N","",J61))</f>
        <v xml:space="preserve">Site / Civil / Landscape - Sidewalks, Plazas, Landscape (Updates to) </v>
      </c>
      <c r="I61" s="184"/>
      <c r="J61" s="578" t="str">
        <f>IF('C-Design&amp;Const'!AE61="","",'C-Design&amp;Const'!AE61)</f>
        <v xml:space="preserve"> (Updates to) </v>
      </c>
      <c r="K61" s="246" t="str">
        <f t="shared" si="0"/>
        <v/>
      </c>
      <c r="L61" s="1410" t="str">
        <f t="shared" si="0"/>
        <v/>
      </c>
      <c r="M61" s="1382"/>
      <c r="N61" s="1382"/>
      <c r="O61" s="1382"/>
      <c r="P61" s="1382"/>
      <c r="Q61" s="1382"/>
      <c r="R61" s="1382"/>
      <c r="S61" s="1382"/>
      <c r="T61" s="1382"/>
      <c r="U61" s="1382"/>
      <c r="V61" s="1382"/>
      <c r="W61" s="1382"/>
      <c r="X61" s="1382"/>
      <c r="Y61" s="1382"/>
      <c r="Z61" s="1382"/>
      <c r="AA61" s="1382"/>
      <c r="AB61" s="1382"/>
      <c r="AC61" s="1382"/>
      <c r="AD61" s="1382"/>
      <c r="AE61" s="1382"/>
      <c r="AF61" s="1382"/>
      <c r="AG61" s="1382"/>
      <c r="AH61" s="1382"/>
      <c r="AI61" s="1382"/>
      <c r="AJ61" s="1382"/>
      <c r="AK61" s="181"/>
      <c r="AL61" s="181"/>
      <c r="AM61" s="181"/>
      <c r="AN61" s="181"/>
      <c r="AO61" s="181"/>
      <c r="AP61" s="181"/>
      <c r="AQ61" s="181"/>
      <c r="AR61" s="181"/>
      <c r="AS61" s="181"/>
      <c r="AT61" s="181"/>
      <c r="AU61" s="181"/>
      <c r="AV61" s="181"/>
    </row>
    <row r="62" spans="1:48" s="30" customFormat="1" ht="15" customHeight="1" x14ac:dyDescent="0.25">
      <c r="A62" s="1462"/>
      <c r="B62" s="191"/>
      <c r="C62" s="944"/>
      <c r="D62" s="463"/>
      <c r="E62" s="463"/>
      <c r="F62" s="359" t="str">
        <f>IF('C-Design&amp;Const'!$I62="","",'C-Design&amp;Const'!$I62)</f>
        <v>Y</v>
      </c>
      <c r="G62" s="291"/>
      <c r="H62" s="408" t="str">
        <f>CONCATENATE(IF(F62="N","PLACEHOLDER ROW - ",""),'C-Design&amp;Const'!Z62,IF(F62="N","",J62))</f>
        <v xml:space="preserve">Site / Civil / Landscape - Demolition &amp; Site Clearing (Updates to) </v>
      </c>
      <c r="I62" s="184"/>
      <c r="J62" s="578" t="str">
        <f>IF('C-Design&amp;Const'!AE62="","",'C-Design&amp;Const'!AE62)</f>
        <v xml:space="preserve"> (Updates to) </v>
      </c>
      <c r="K62" s="246" t="str">
        <f t="shared" si="0"/>
        <v/>
      </c>
      <c r="L62" s="1410" t="str">
        <f t="shared" si="0"/>
        <v/>
      </c>
      <c r="M62" s="1382"/>
      <c r="N62" s="1382"/>
      <c r="O62" s="1382"/>
      <c r="P62" s="1382"/>
      <c r="Q62" s="1382"/>
      <c r="R62" s="1382"/>
      <c r="S62" s="1382"/>
      <c r="T62" s="1382"/>
      <c r="U62" s="1382"/>
      <c r="V62" s="1382"/>
      <c r="W62" s="1382"/>
      <c r="X62" s="1382"/>
      <c r="Y62" s="1382"/>
      <c r="Z62" s="1382"/>
      <c r="AA62" s="1382"/>
      <c r="AB62" s="1382"/>
      <c r="AC62" s="1382"/>
      <c r="AD62" s="1382"/>
      <c r="AE62" s="1382"/>
      <c r="AF62" s="1382"/>
      <c r="AG62" s="1382"/>
      <c r="AH62" s="1382"/>
      <c r="AI62" s="1382"/>
      <c r="AJ62" s="1382"/>
      <c r="AK62" s="181"/>
      <c r="AL62" s="181"/>
      <c r="AM62" s="181"/>
      <c r="AN62" s="181"/>
      <c r="AO62" s="181"/>
      <c r="AP62" s="181"/>
      <c r="AQ62" s="181"/>
      <c r="AR62" s="181"/>
      <c r="AS62" s="181"/>
      <c r="AT62" s="181"/>
      <c r="AU62" s="181"/>
      <c r="AV62" s="181"/>
    </row>
    <row r="63" spans="1:48" x14ac:dyDescent="0.25">
      <c r="A63" s="1462"/>
      <c r="B63" s="125"/>
      <c r="C63" s="944"/>
      <c r="D63" s="321"/>
      <c r="E63" s="321"/>
      <c r="F63" s="559" t="str">
        <f>IF('C-Design&amp;Const'!$I63="","",'C-Design&amp;Const'!$I63)</f>
        <v>Y</v>
      </c>
      <c r="G63" s="480"/>
      <c r="H63" s="408" t="str">
        <f>CONCATENATE(IF(F63="N","PLACEHOLDER ROW - ",""),'C-Design&amp;Const'!Z63,IF(F63="N","",J63))</f>
        <v xml:space="preserve">Site / Civil / Landscape - Utility Relocations (Updates to) </v>
      </c>
      <c r="I63" s="137"/>
      <c r="J63" s="578" t="str">
        <f>IF('C-Design&amp;Const'!AE63="","",'C-Design&amp;Const'!AE63)</f>
        <v xml:space="preserve"> (Updates to) </v>
      </c>
      <c r="K63" s="246" t="str">
        <f t="shared" si="0"/>
        <v/>
      </c>
      <c r="L63" s="1410" t="str">
        <f t="shared" si="0"/>
        <v/>
      </c>
      <c r="M63" s="1333"/>
      <c r="N63" s="1333"/>
      <c r="O63" s="1333"/>
      <c r="P63" s="1333"/>
      <c r="Q63" s="1444"/>
      <c r="R63" s="1445"/>
      <c r="S63" s="1284"/>
      <c r="T63" s="1333"/>
      <c r="U63" s="1333"/>
      <c r="V63" s="1333"/>
      <c r="W63" s="1333"/>
      <c r="X63" s="1333"/>
      <c r="Y63" s="1333"/>
      <c r="Z63" s="1333"/>
      <c r="AA63" s="1333"/>
      <c r="AB63" s="1333"/>
      <c r="AC63" s="1333"/>
      <c r="AD63" s="1333"/>
      <c r="AE63" s="1333"/>
      <c r="AF63" s="1333"/>
      <c r="AG63" s="1333"/>
      <c r="AH63" s="1333"/>
      <c r="AI63" s="1333"/>
      <c r="AJ63" s="1333"/>
    </row>
    <row r="64" spans="1:48" x14ac:dyDescent="0.25">
      <c r="A64" s="1462"/>
      <c r="B64" s="125"/>
      <c r="C64" s="944"/>
      <c r="D64" s="321"/>
      <c r="E64" s="321"/>
      <c r="F64" s="559" t="str">
        <f>IF('C-Design&amp;Const'!$I64="","",'C-Design&amp;Const'!$I64)</f>
        <v>Y</v>
      </c>
      <c r="G64" s="480"/>
      <c r="H64" s="408" t="str">
        <f>CONCATENATE(IF(F64="N","PLACEHOLDER ROW - ",""),'C-Design&amp;Const'!Z64,IF(F64="N","",J64))</f>
        <v xml:space="preserve">Site / Civil / Landscape - Utility Abandonments (Updates to) </v>
      </c>
      <c r="I64" s="137"/>
      <c r="J64" s="578" t="str">
        <f>IF('C-Design&amp;Const'!AE64="","",'C-Design&amp;Const'!AE64)</f>
        <v xml:space="preserve"> (Updates to) </v>
      </c>
      <c r="K64" s="246" t="str">
        <f t="shared" si="0"/>
        <v/>
      </c>
      <c r="L64" s="1410" t="str">
        <f t="shared" si="0"/>
        <v/>
      </c>
      <c r="M64" s="1333"/>
      <c r="N64" s="1333"/>
      <c r="O64" s="1333"/>
      <c r="P64" s="1333"/>
      <c r="Q64" s="1444"/>
      <c r="R64" s="1445"/>
      <c r="S64" s="1284"/>
      <c r="T64" s="1333"/>
      <c r="U64" s="1333"/>
      <c r="V64" s="1333"/>
      <c r="W64" s="1333"/>
      <c r="X64" s="1333"/>
      <c r="Y64" s="1333"/>
      <c r="Z64" s="1333"/>
      <c r="AA64" s="1333"/>
      <c r="AB64" s="1333"/>
      <c r="AC64" s="1333"/>
      <c r="AD64" s="1333"/>
      <c r="AE64" s="1333"/>
      <c r="AF64" s="1333"/>
      <c r="AG64" s="1333"/>
      <c r="AH64" s="1333"/>
      <c r="AI64" s="1333"/>
      <c r="AJ64" s="1333"/>
    </row>
    <row r="65" spans="1:48" x14ac:dyDescent="0.25">
      <c r="A65" s="1462"/>
      <c r="B65" s="125"/>
      <c r="C65" s="944"/>
      <c r="D65" s="321"/>
      <c r="E65" s="321"/>
      <c r="F65" s="559" t="str">
        <f>IF('C-Design&amp;Const'!$I65="","",'C-Design&amp;Const'!$I65)</f>
        <v>N</v>
      </c>
      <c r="G65" s="480"/>
      <c r="H65" s="408" t="str">
        <f>CONCATENATE(IF(F65="N","PLACEHOLDER ROW - ",""),'C-Design&amp;Const'!Z65,IF(F65="N","",J65))</f>
        <v>PLACEHOLDER ROW - Site / Civil / Landscape - CUSTOM</v>
      </c>
      <c r="I65" s="137"/>
      <c r="J65" s="578" t="str">
        <f>IF('C-Design&amp;Const'!AE65="","",'C-Design&amp;Const'!AE65)</f>
        <v xml:space="preserve"> (Updates to) </v>
      </c>
      <c r="K65" s="246" t="str">
        <f t="shared" si="0"/>
        <v/>
      </c>
      <c r="L65" s="1410" t="str">
        <f t="shared" si="0"/>
        <v>&lt;---PM/Planner may hide PLACEHOLDER ROW</v>
      </c>
      <c r="M65" s="1333"/>
      <c r="N65" s="1333"/>
      <c r="O65" s="1333"/>
      <c r="P65" s="1333"/>
      <c r="Q65" s="1444"/>
      <c r="R65" s="1445"/>
      <c r="S65" s="1284"/>
      <c r="T65" s="1333"/>
      <c r="U65" s="1333"/>
      <c r="V65" s="1333"/>
      <c r="W65" s="1333"/>
      <c r="X65" s="1333"/>
      <c r="Y65" s="1333"/>
      <c r="Z65" s="1333"/>
      <c r="AA65" s="1333"/>
      <c r="AB65" s="1333"/>
      <c r="AC65" s="1333"/>
      <c r="AD65" s="1333"/>
      <c r="AE65" s="1333"/>
      <c r="AF65" s="1333"/>
      <c r="AG65" s="1333"/>
      <c r="AH65" s="1333"/>
      <c r="AI65" s="1333"/>
      <c r="AJ65" s="1333"/>
    </row>
    <row r="66" spans="1:48" s="542" customFormat="1" x14ac:dyDescent="0.25">
      <c r="A66" s="1462"/>
      <c r="B66" s="125"/>
      <c r="C66" s="944"/>
      <c r="D66" s="321"/>
      <c r="E66" s="321"/>
      <c r="F66" s="559" t="str">
        <f>IF('C-Design&amp;Const'!$I66="","",'C-Design&amp;Const'!$I66)</f>
        <v>Y</v>
      </c>
      <c r="G66" s="480"/>
      <c r="H66" s="408" t="str">
        <f>CONCATENATE(IF(F66="N","PLACEHOLDER ROW - ",""),'C-Design&amp;Const'!Z66,IF(F66="N","",J66))</f>
        <v xml:space="preserve">Architectural - Demolition(s) (Updates to) </v>
      </c>
      <c r="I66" s="137"/>
      <c r="J66" s="578" t="str">
        <f>IF('C-Design&amp;Const'!AE66="","",'C-Design&amp;Const'!AE66)</f>
        <v xml:space="preserve"> (Updates to) </v>
      </c>
      <c r="K66" s="246" t="str">
        <f t="shared" ref="K66" si="3">CONCATENATE(IF(ISNUMBER(SEARCH("Placeholder",G66))=TRUE,"&lt;---PM/Planner may hide PLACEHOLDER ROW",""))</f>
        <v/>
      </c>
      <c r="L66" s="1410" t="str">
        <f t="shared" ref="L66" si="4">CONCATENATE(IF(ISNUMBER(SEARCH("Placeholder",H66))=TRUE,"&lt;---PM/Planner may hide PLACEHOLDER ROW",""))</f>
        <v/>
      </c>
      <c r="M66" s="1333"/>
      <c r="N66" s="1333"/>
      <c r="O66" s="1333"/>
      <c r="P66" s="1333"/>
      <c r="Q66" s="1444"/>
      <c r="R66" s="1445"/>
      <c r="S66" s="1284"/>
      <c r="T66" s="1333"/>
      <c r="U66" s="1333"/>
      <c r="V66" s="1333"/>
      <c r="W66" s="1333"/>
      <c r="X66" s="1333"/>
      <c r="Y66" s="1333"/>
      <c r="Z66" s="1333"/>
      <c r="AA66" s="1333"/>
      <c r="AB66" s="1333"/>
      <c r="AC66" s="1333"/>
      <c r="AD66" s="1333"/>
      <c r="AE66" s="1333"/>
      <c r="AF66" s="1333"/>
      <c r="AG66" s="1333"/>
      <c r="AH66" s="1333"/>
      <c r="AI66" s="1333"/>
      <c r="AJ66" s="1333"/>
      <c r="AK66" s="17"/>
      <c r="AL66" s="17"/>
      <c r="AM66" s="17"/>
      <c r="AN66" s="17"/>
      <c r="AO66" s="17"/>
      <c r="AP66" s="17"/>
      <c r="AQ66" s="17"/>
      <c r="AR66" s="17"/>
      <c r="AS66" s="17"/>
      <c r="AT66" s="17"/>
      <c r="AU66" s="17"/>
      <c r="AV66" s="17"/>
    </row>
    <row r="67" spans="1:48" x14ac:dyDescent="0.25">
      <c r="A67" s="1462"/>
      <c r="B67" s="125"/>
      <c r="C67" s="944"/>
      <c r="D67" s="321"/>
      <c r="E67" s="321"/>
      <c r="F67" s="559" t="str">
        <f>IF('C-Design&amp;Const'!$I67="","",'C-Design&amp;Const'!$I67)</f>
        <v>Y</v>
      </c>
      <c r="G67" s="480"/>
      <c r="H67" s="408" t="str">
        <f>CONCATENATE(IF(F67="N","PLACEHOLDER ROW - ",""),'C-Design&amp;Const'!Z67,IF(F67="N","",J67))</f>
        <v xml:space="preserve">Architectural - Space Use (Updates to) </v>
      </c>
      <c r="I67" s="137"/>
      <c r="J67" s="578" t="str">
        <f>IF('C-Design&amp;Const'!AE67="","",'C-Design&amp;Const'!AE67)</f>
        <v xml:space="preserve"> (Updates to) </v>
      </c>
      <c r="K67" s="246" t="str">
        <f t="shared" si="0"/>
        <v/>
      </c>
      <c r="L67" s="1410" t="str">
        <f t="shared" si="0"/>
        <v/>
      </c>
      <c r="M67" s="1333"/>
      <c r="N67" s="1333"/>
      <c r="O67" s="1333"/>
      <c r="P67" s="1333"/>
      <c r="Q67" s="1444"/>
      <c r="R67" s="1445"/>
      <c r="S67" s="1284"/>
      <c r="T67" s="1333"/>
      <c r="U67" s="1333"/>
      <c r="V67" s="1333"/>
      <c r="W67" s="1333"/>
      <c r="X67" s="1333"/>
      <c r="Y67" s="1333"/>
      <c r="Z67" s="1333"/>
      <c r="AA67" s="1333"/>
      <c r="AB67" s="1333"/>
      <c r="AC67" s="1333"/>
      <c r="AD67" s="1333"/>
      <c r="AE67" s="1333"/>
      <c r="AF67" s="1333"/>
      <c r="AG67" s="1333"/>
      <c r="AH67" s="1333"/>
      <c r="AI67" s="1333"/>
      <c r="AJ67" s="1333"/>
    </row>
    <row r="68" spans="1:48" x14ac:dyDescent="0.25">
      <c r="A68" s="1462"/>
      <c r="B68" s="125"/>
      <c r="C68" s="944"/>
      <c r="D68" s="321"/>
      <c r="E68" s="321"/>
      <c r="F68" s="559" t="str">
        <f>IF('C-Design&amp;Const'!$I68="","",'C-Design&amp;Const'!$I68)</f>
        <v>Y</v>
      </c>
      <c r="G68" s="480"/>
      <c r="H68" s="408" t="str">
        <f>CONCATENATE(IF(F68="N","PLACEHOLDER ROW - ",""),'C-Design&amp;Const'!Z68,IF(F68="N","",J68))</f>
        <v xml:space="preserve">Architectural - Historical Preservation (Updates to) </v>
      </c>
      <c r="I68" s="137"/>
      <c r="J68" s="578" t="str">
        <f>IF('C-Design&amp;Const'!AE68="","",'C-Design&amp;Const'!AE68)</f>
        <v xml:space="preserve"> (Updates to) </v>
      </c>
      <c r="K68" s="246" t="str">
        <f t="shared" si="0"/>
        <v/>
      </c>
      <c r="L68" s="1410" t="str">
        <f t="shared" si="0"/>
        <v/>
      </c>
      <c r="M68" s="1333"/>
      <c r="N68" s="1333"/>
      <c r="O68" s="1333"/>
      <c r="P68" s="1333"/>
      <c r="Q68" s="1444"/>
      <c r="R68" s="1445"/>
      <c r="S68" s="1284"/>
      <c r="T68" s="1333"/>
      <c r="U68" s="1333"/>
      <c r="V68" s="1333"/>
      <c r="W68" s="1333"/>
      <c r="X68" s="1333"/>
      <c r="Y68" s="1333"/>
      <c r="Z68" s="1333"/>
      <c r="AA68" s="1333"/>
      <c r="AB68" s="1333"/>
      <c r="AC68" s="1333"/>
      <c r="AD68" s="1333"/>
      <c r="AE68" s="1333"/>
      <c r="AF68" s="1333"/>
      <c r="AG68" s="1333"/>
      <c r="AH68" s="1333"/>
      <c r="AI68" s="1333"/>
      <c r="AJ68" s="1333"/>
    </row>
    <row r="69" spans="1:48" ht="24" customHeight="1" x14ac:dyDescent="0.25">
      <c r="A69" s="1462"/>
      <c r="B69" s="125"/>
      <c r="C69" s="944"/>
      <c r="D69" s="321"/>
      <c r="E69" s="321"/>
      <c r="F69" s="559" t="str">
        <f>IF('C-Design&amp;Const'!$I69="","",'C-Design&amp;Const'!$I69)</f>
        <v>Y</v>
      </c>
      <c r="G69" s="480"/>
      <c r="H69" s="408" t="str">
        <f>CONCATENATE(IF(F69="N","PLACEHOLDER ROW - ",""),'C-Design&amp;Const'!Z69,IF(F69="N","",J69))</f>
        <v xml:space="preserve">Architectural - Building Envelope **(existing systems verification recommended on renovations) (Updates to) </v>
      </c>
      <c r="I69" s="137"/>
      <c r="J69" s="578" t="str">
        <f>IF('C-Design&amp;Const'!AE69="","",'C-Design&amp;Const'!AE69)</f>
        <v xml:space="preserve"> (Updates to) </v>
      </c>
      <c r="K69" s="246" t="str">
        <f t="shared" si="0"/>
        <v/>
      </c>
      <c r="L69" s="1410" t="str">
        <f t="shared" si="0"/>
        <v/>
      </c>
      <c r="M69" s="1333"/>
      <c r="N69" s="1333"/>
      <c r="O69" s="1333"/>
      <c r="P69" s="1333"/>
      <c r="Q69" s="1444"/>
      <c r="R69" s="1445"/>
      <c r="S69" s="1284"/>
      <c r="T69" s="1333"/>
      <c r="U69" s="1333"/>
      <c r="V69" s="1333"/>
      <c r="W69" s="1333"/>
      <c r="X69" s="1333"/>
      <c r="Y69" s="1333"/>
      <c r="Z69" s="1333"/>
      <c r="AA69" s="1333"/>
      <c r="AB69" s="1333"/>
      <c r="AC69" s="1333"/>
      <c r="AD69" s="1333"/>
      <c r="AE69" s="1333"/>
      <c r="AF69" s="1333"/>
      <c r="AG69" s="1333"/>
      <c r="AH69" s="1333"/>
      <c r="AI69" s="1333"/>
      <c r="AJ69" s="1333"/>
    </row>
    <row r="70" spans="1:48" s="30" customFormat="1" ht="15.75" customHeight="1" x14ac:dyDescent="0.25">
      <c r="A70" s="1462"/>
      <c r="B70" s="191"/>
      <c r="C70" s="944"/>
      <c r="D70" s="463"/>
      <c r="E70" s="463"/>
      <c r="F70" s="359" t="str">
        <f>IF('C-Design&amp;Const'!$I70="","",'C-Design&amp;Const'!$I70)</f>
        <v>Y</v>
      </c>
      <c r="G70" s="291"/>
      <c r="H70" s="408" t="str">
        <f>CONCATENATE(IF(F70="N","PLACEHOLDER ROW - ",""),'C-Design&amp;Const'!Z70,IF(F70="N","",J70))</f>
        <v xml:space="preserve">Architectural - Interiors (Updates to) </v>
      </c>
      <c r="I70" s="184"/>
      <c r="J70" s="578" t="str">
        <f>IF('C-Design&amp;Const'!AE70="","",'C-Design&amp;Const'!AE70)</f>
        <v xml:space="preserve"> (Updates to) </v>
      </c>
      <c r="K70" s="246" t="str">
        <f t="shared" si="0"/>
        <v/>
      </c>
      <c r="L70" s="1410" t="str">
        <f t="shared" si="0"/>
        <v/>
      </c>
      <c r="M70" s="1382"/>
      <c r="N70" s="1382"/>
      <c r="O70" s="1382"/>
      <c r="P70" s="1382"/>
      <c r="Q70" s="1382"/>
      <c r="R70" s="1382"/>
      <c r="S70" s="1382"/>
      <c r="T70" s="1382"/>
      <c r="U70" s="1382"/>
      <c r="V70" s="1382"/>
      <c r="W70" s="1382"/>
      <c r="X70" s="1382"/>
      <c r="Y70" s="1382"/>
      <c r="Z70" s="1382"/>
      <c r="AA70" s="1382"/>
      <c r="AB70" s="1382"/>
      <c r="AC70" s="1382"/>
      <c r="AD70" s="1382"/>
      <c r="AE70" s="1382"/>
      <c r="AF70" s="1382"/>
      <c r="AG70" s="1382"/>
      <c r="AH70" s="1382"/>
      <c r="AI70" s="1382"/>
      <c r="AJ70" s="1382"/>
      <c r="AK70" s="181"/>
      <c r="AL70" s="181"/>
      <c r="AM70" s="181"/>
      <c r="AN70" s="181"/>
      <c r="AO70" s="181"/>
      <c r="AP70" s="181"/>
      <c r="AQ70" s="181"/>
      <c r="AR70" s="181"/>
      <c r="AS70" s="181"/>
      <c r="AT70" s="181"/>
      <c r="AU70" s="181"/>
      <c r="AV70" s="181"/>
    </row>
    <row r="71" spans="1:48" s="30" customFormat="1" ht="17.25" customHeight="1" x14ac:dyDescent="0.25">
      <c r="A71" s="1462"/>
      <c r="B71" s="191"/>
      <c r="C71" s="944"/>
      <c r="D71" s="463"/>
      <c r="E71" s="463"/>
      <c r="F71" s="359" t="str">
        <f>IF('C-Design&amp;Const'!$I71="","",'C-Design&amp;Const'!$I71)</f>
        <v>Y</v>
      </c>
      <c r="G71" s="291"/>
      <c r="H71" s="408" t="str">
        <f>CONCATENATE(IF(F71="N","PLACEHOLDER ROW - ",""),'C-Design&amp;Const'!Z71,IF(F71="N","",J71))</f>
        <v xml:space="preserve">Architectural - Interior and Exterior Signage  (Updates to) </v>
      </c>
      <c r="I71" s="184"/>
      <c r="J71" s="578" t="str">
        <f>IF('C-Design&amp;Const'!AE71="","",'C-Design&amp;Const'!AE71)</f>
        <v xml:space="preserve"> (Updates to) </v>
      </c>
      <c r="K71" s="246" t="str">
        <f t="shared" si="0"/>
        <v/>
      </c>
      <c r="L71" s="1410" t="str">
        <f t="shared" si="0"/>
        <v/>
      </c>
      <c r="M71" s="1382"/>
      <c r="N71" s="1382"/>
      <c r="O71" s="1382"/>
      <c r="P71" s="1382"/>
      <c r="Q71" s="1382"/>
      <c r="R71" s="1382"/>
      <c r="S71" s="1382"/>
      <c r="T71" s="1382"/>
      <c r="U71" s="1382"/>
      <c r="V71" s="1382"/>
      <c r="W71" s="1382"/>
      <c r="X71" s="1382"/>
      <c r="Y71" s="1382"/>
      <c r="Z71" s="1382"/>
      <c r="AA71" s="1382"/>
      <c r="AB71" s="1382"/>
      <c r="AC71" s="1382"/>
      <c r="AD71" s="1382"/>
      <c r="AE71" s="1382"/>
      <c r="AF71" s="1382"/>
      <c r="AG71" s="1382"/>
      <c r="AH71" s="1382"/>
      <c r="AI71" s="1382"/>
      <c r="AJ71" s="1382"/>
      <c r="AK71" s="181"/>
      <c r="AL71" s="181"/>
      <c r="AM71" s="181"/>
      <c r="AN71" s="181"/>
      <c r="AO71" s="181"/>
      <c r="AP71" s="181"/>
      <c r="AQ71" s="181"/>
      <c r="AR71" s="181"/>
      <c r="AS71" s="181"/>
      <c r="AT71" s="181"/>
      <c r="AU71" s="181"/>
      <c r="AV71" s="181"/>
    </row>
    <row r="72" spans="1:48" s="30" customFormat="1" ht="15.75" customHeight="1" x14ac:dyDescent="0.25">
      <c r="A72" s="1462"/>
      <c r="B72" s="191"/>
      <c r="C72" s="944"/>
      <c r="D72" s="463"/>
      <c r="E72" s="463"/>
      <c r="F72" s="359" t="str">
        <f>IF('C-Design&amp;Const'!$I72="","",'C-Design&amp;Const'!$I72)</f>
        <v>Y</v>
      </c>
      <c r="G72" s="291"/>
      <c r="H72" s="408" t="str">
        <f>CONCATENATE(IF(F72="N","PLACEHOLDER ROW - ",""),'C-Design&amp;Const'!Z72,IF(F72="N","",J72))</f>
        <v xml:space="preserve">Architectural - Elevators  **(existing systems verification recommended on renovations) (Updates to) </v>
      </c>
      <c r="I72" s="184"/>
      <c r="J72" s="578" t="str">
        <f>IF('C-Design&amp;Const'!AE72="","",'C-Design&amp;Const'!AE72)</f>
        <v xml:space="preserve"> (Updates to) </v>
      </c>
      <c r="K72" s="246" t="str">
        <f t="shared" si="0"/>
        <v/>
      </c>
      <c r="L72" s="1410" t="str">
        <f t="shared" si="0"/>
        <v/>
      </c>
      <c r="M72" s="1382"/>
      <c r="N72" s="1382"/>
      <c r="O72" s="1382"/>
      <c r="P72" s="1382"/>
      <c r="Q72" s="1382"/>
      <c r="R72" s="1382"/>
      <c r="S72" s="1382"/>
      <c r="T72" s="1382"/>
      <c r="U72" s="1382"/>
      <c r="V72" s="1382"/>
      <c r="W72" s="1382"/>
      <c r="X72" s="1382"/>
      <c r="Y72" s="1382"/>
      <c r="Z72" s="1382"/>
      <c r="AA72" s="1382"/>
      <c r="AB72" s="1382"/>
      <c r="AC72" s="1382"/>
      <c r="AD72" s="1382"/>
      <c r="AE72" s="1382"/>
      <c r="AF72" s="1382"/>
      <c r="AG72" s="1382"/>
      <c r="AH72" s="1382"/>
      <c r="AI72" s="1382"/>
      <c r="AJ72" s="1382"/>
      <c r="AK72" s="181"/>
      <c r="AL72" s="181"/>
      <c r="AM72" s="181"/>
      <c r="AN72" s="181"/>
      <c r="AO72" s="181"/>
      <c r="AP72" s="181"/>
      <c r="AQ72" s="181"/>
      <c r="AR72" s="181"/>
      <c r="AS72" s="181"/>
      <c r="AT72" s="181"/>
      <c r="AU72" s="181"/>
      <c r="AV72" s="181"/>
    </row>
    <row r="73" spans="1:48" x14ac:dyDescent="0.25">
      <c r="A73" s="1462"/>
      <c r="B73" s="125"/>
      <c r="C73" s="944"/>
      <c r="D73" s="321"/>
      <c r="E73" s="321"/>
      <c r="F73" s="559" t="str">
        <f>IF('C-Design&amp;Const'!$I73="","",'C-Design&amp;Const'!$I73)</f>
        <v>N</v>
      </c>
      <c r="G73" s="480"/>
      <c r="H73" s="408" t="str">
        <f>CONCATENATE(IF(F73="N","PLACEHOLDER ROW - ",""),'C-Design&amp;Const'!Z73,IF(F73="N","",J73))</f>
        <v>PLACEHOLDER ROW - Architectural - CUSTOM</v>
      </c>
      <c r="I73" s="137"/>
      <c r="J73" s="578" t="str">
        <f>IF('C-Design&amp;Const'!AE73="","",'C-Design&amp;Const'!AE73)</f>
        <v xml:space="preserve"> (Updates to) </v>
      </c>
      <c r="K73" s="246" t="str">
        <f t="shared" si="0"/>
        <v/>
      </c>
      <c r="L73" s="1410" t="str">
        <f t="shared" si="0"/>
        <v>&lt;---PM/Planner may hide PLACEHOLDER ROW</v>
      </c>
      <c r="M73" s="1333"/>
      <c r="N73" s="1333"/>
      <c r="O73" s="1333"/>
      <c r="P73" s="1333"/>
      <c r="Q73" s="1444"/>
      <c r="R73" s="1445"/>
      <c r="S73" s="1284"/>
      <c r="T73" s="1333"/>
      <c r="U73" s="1333"/>
      <c r="V73" s="1333"/>
      <c r="W73" s="1333"/>
      <c r="X73" s="1333"/>
      <c r="Y73" s="1333"/>
      <c r="Z73" s="1333"/>
      <c r="AA73" s="1333"/>
      <c r="AB73" s="1333"/>
      <c r="AC73" s="1333"/>
      <c r="AD73" s="1333"/>
      <c r="AE73" s="1333"/>
      <c r="AF73" s="1333"/>
      <c r="AG73" s="1333"/>
      <c r="AH73" s="1333"/>
      <c r="AI73" s="1333"/>
      <c r="AJ73" s="1333"/>
    </row>
    <row r="74" spans="1:48" s="30" customFormat="1" ht="15.75" customHeight="1" x14ac:dyDescent="0.25">
      <c r="A74" s="1462"/>
      <c r="B74" s="191"/>
      <c r="C74" s="944"/>
      <c r="D74" s="463"/>
      <c r="E74" s="463"/>
      <c r="F74" s="359" t="str">
        <f>IF('C-Design&amp;Const'!$I74="","",'C-Design&amp;Const'!$I74)</f>
        <v>N</v>
      </c>
      <c r="G74" s="291"/>
      <c r="H74" s="408" t="str">
        <f>CONCATENATE(IF(F74="N","PLACEHOLDER ROW - ",""),'C-Design&amp;Const'!Z74,IF(F74="N","",J74))</f>
        <v>PLACEHOLDER ROW - Architectural - CUSTOM</v>
      </c>
      <c r="I74" s="184"/>
      <c r="J74" s="578" t="str">
        <f>IF('C-Design&amp;Const'!AE74="","",'C-Design&amp;Const'!AE74)</f>
        <v xml:space="preserve"> (Updates to) </v>
      </c>
      <c r="K74" s="246" t="str">
        <f t="shared" si="0"/>
        <v/>
      </c>
      <c r="L74" s="1410" t="str">
        <f t="shared" si="0"/>
        <v>&lt;---PM/Planner may hide PLACEHOLDER ROW</v>
      </c>
      <c r="M74" s="1382"/>
      <c r="N74" s="1382"/>
      <c r="O74" s="1382"/>
      <c r="P74" s="1382"/>
      <c r="Q74" s="1382"/>
      <c r="R74" s="1382"/>
      <c r="S74" s="1382"/>
      <c r="T74" s="1382"/>
      <c r="U74" s="1382"/>
      <c r="V74" s="1382"/>
      <c r="W74" s="1382"/>
      <c r="X74" s="1382"/>
      <c r="Y74" s="1382"/>
      <c r="Z74" s="1382"/>
      <c r="AA74" s="1382"/>
      <c r="AB74" s="1382"/>
      <c r="AC74" s="1382"/>
      <c r="AD74" s="1382"/>
      <c r="AE74" s="1382"/>
      <c r="AF74" s="1382"/>
      <c r="AG74" s="1382"/>
      <c r="AH74" s="1382"/>
      <c r="AI74" s="1382"/>
      <c r="AJ74" s="1382"/>
      <c r="AK74" s="181"/>
      <c r="AL74" s="181"/>
      <c r="AM74" s="181"/>
      <c r="AN74" s="181"/>
      <c r="AO74" s="181"/>
      <c r="AP74" s="181"/>
      <c r="AQ74" s="181"/>
      <c r="AR74" s="181"/>
      <c r="AS74" s="181"/>
      <c r="AT74" s="181"/>
      <c r="AU74" s="181"/>
      <c r="AV74" s="181"/>
    </row>
    <row r="75" spans="1:48" x14ac:dyDescent="0.25">
      <c r="A75" s="1462"/>
      <c r="B75" s="125"/>
      <c r="C75" s="944"/>
      <c r="D75" s="321"/>
      <c r="E75" s="321"/>
      <c r="F75" s="559" t="str">
        <f>IF('C-Design&amp;Const'!$I75="","",'C-Design&amp;Const'!$I75)</f>
        <v>Y</v>
      </c>
      <c r="G75" s="480"/>
      <c r="H75" s="408" t="str">
        <f>CONCATENATE(IF(F75="N","PLACEHOLDER ROW - ",""),'C-Design&amp;Const'!Z75,IF(F75="N","",J75))</f>
        <v xml:space="preserve">Structural - Demolition(s) (Updates to) </v>
      </c>
      <c r="I75" s="137"/>
      <c r="J75" s="578" t="str">
        <f>IF('C-Design&amp;Const'!AE75="","",'C-Design&amp;Const'!AE75)</f>
        <v xml:space="preserve"> (Updates to) </v>
      </c>
      <c r="K75" s="246" t="str">
        <f t="shared" si="0"/>
        <v/>
      </c>
      <c r="L75" s="1410" t="str">
        <f t="shared" si="0"/>
        <v/>
      </c>
      <c r="M75" s="1333"/>
      <c r="N75" s="1333"/>
      <c r="O75" s="1333"/>
      <c r="P75" s="1333"/>
      <c r="Q75" s="1444"/>
      <c r="R75" s="1445"/>
      <c r="S75" s="1284"/>
      <c r="T75" s="1333"/>
      <c r="U75" s="1333"/>
      <c r="V75" s="1333"/>
      <c r="W75" s="1333"/>
      <c r="X75" s="1333"/>
      <c r="Y75" s="1333"/>
      <c r="Z75" s="1333"/>
      <c r="AA75" s="1333"/>
      <c r="AB75" s="1333"/>
      <c r="AC75" s="1333"/>
      <c r="AD75" s="1333"/>
      <c r="AE75" s="1333"/>
      <c r="AF75" s="1333"/>
      <c r="AG75" s="1333"/>
      <c r="AH75" s="1333"/>
      <c r="AI75" s="1333"/>
      <c r="AJ75" s="1333"/>
    </row>
    <row r="76" spans="1:48" x14ac:dyDescent="0.25">
      <c r="A76" s="1462"/>
      <c r="B76" s="125"/>
      <c r="C76" s="944"/>
      <c r="D76" s="321"/>
      <c r="E76" s="321"/>
      <c r="F76" s="559" t="str">
        <f>IF('C-Design&amp;Const'!$I76="","",'C-Design&amp;Const'!$I76)</f>
        <v>Y</v>
      </c>
      <c r="G76" s="480"/>
      <c r="H76" s="408" t="str">
        <f>CONCATENATE(IF(F76="N","PLACEHOLDER ROW - ",""),'C-Design&amp;Const'!Z76,IF(F76="N","",J76))</f>
        <v xml:space="preserve">Structural - Gravity Loads (Updates to) </v>
      </c>
      <c r="I76" s="137"/>
      <c r="J76" s="578" t="str">
        <f>IF('C-Design&amp;Const'!AE76="","",'C-Design&amp;Const'!AE76)</f>
        <v xml:space="preserve"> (Updates to) </v>
      </c>
      <c r="K76" s="246" t="str">
        <f t="shared" si="0"/>
        <v/>
      </c>
      <c r="L76" s="1410" t="str">
        <f t="shared" si="0"/>
        <v/>
      </c>
      <c r="M76" s="1333"/>
      <c r="N76" s="1333"/>
      <c r="O76" s="1333"/>
      <c r="P76" s="1333"/>
      <c r="Q76" s="1444"/>
      <c r="R76" s="1445"/>
      <c r="S76" s="1284"/>
      <c r="T76" s="1333"/>
      <c r="U76" s="1333"/>
      <c r="V76" s="1333"/>
      <c r="W76" s="1333"/>
      <c r="X76" s="1333"/>
      <c r="Y76" s="1333"/>
      <c r="Z76" s="1333"/>
      <c r="AA76" s="1333"/>
      <c r="AB76" s="1333"/>
      <c r="AC76" s="1333"/>
      <c r="AD76" s="1333"/>
      <c r="AE76" s="1333"/>
      <c r="AF76" s="1333"/>
      <c r="AG76" s="1333"/>
      <c r="AH76" s="1333"/>
      <c r="AI76" s="1333"/>
      <c r="AJ76" s="1333"/>
    </row>
    <row r="77" spans="1:48" s="30" customFormat="1" ht="15" customHeight="1" x14ac:dyDescent="0.25">
      <c r="A77" s="1462"/>
      <c r="B77" s="191"/>
      <c r="C77" s="944"/>
      <c r="D77" s="463"/>
      <c r="E77" s="463"/>
      <c r="F77" s="359" t="str">
        <f>IF('C-Design&amp;Const'!$I77="","",'C-Design&amp;Const'!$I77)</f>
        <v>Y</v>
      </c>
      <c r="G77" s="291"/>
      <c r="H77" s="408" t="str">
        <f>CONCATENATE(IF(F77="N","PLACEHOLDER ROW - ",""),'C-Design&amp;Const'!Z77,IF(F77="N","",J77))</f>
        <v xml:space="preserve">Structural - Lateral loads and force resisting systems (Updates to) </v>
      </c>
      <c r="I77" s="184"/>
      <c r="J77" s="578" t="str">
        <f>IF('C-Design&amp;Const'!AE77="","",'C-Design&amp;Const'!AE77)</f>
        <v xml:space="preserve"> (Updates to) </v>
      </c>
      <c r="K77" s="246" t="str">
        <f t="shared" si="0"/>
        <v/>
      </c>
      <c r="L77" s="1410" t="str">
        <f t="shared" si="0"/>
        <v/>
      </c>
      <c r="M77" s="1382"/>
      <c r="N77" s="1382"/>
      <c r="O77" s="1382"/>
      <c r="P77" s="1382"/>
      <c r="Q77" s="1382"/>
      <c r="R77" s="1382"/>
      <c r="S77" s="1382"/>
      <c r="T77" s="1382"/>
      <c r="U77" s="1382"/>
      <c r="V77" s="1382"/>
      <c r="W77" s="1382"/>
      <c r="X77" s="1382"/>
      <c r="Y77" s="1382"/>
      <c r="Z77" s="1382"/>
      <c r="AA77" s="1382"/>
      <c r="AB77" s="1382"/>
      <c r="AC77" s="1382"/>
      <c r="AD77" s="1382"/>
      <c r="AE77" s="1382"/>
      <c r="AF77" s="1382"/>
      <c r="AG77" s="1382"/>
      <c r="AH77" s="1382"/>
      <c r="AI77" s="1382"/>
      <c r="AJ77" s="1382"/>
      <c r="AK77" s="181"/>
      <c r="AL77" s="181"/>
      <c r="AM77" s="181"/>
      <c r="AN77" s="181"/>
      <c r="AO77" s="181"/>
      <c r="AP77" s="181"/>
      <c r="AQ77" s="181"/>
      <c r="AR77" s="181"/>
      <c r="AS77" s="181"/>
      <c r="AT77" s="181"/>
      <c r="AU77" s="181"/>
      <c r="AV77" s="181"/>
    </row>
    <row r="78" spans="1:48" s="30" customFormat="1" ht="15" customHeight="1" x14ac:dyDescent="0.25">
      <c r="A78" s="1462"/>
      <c r="B78" s="191"/>
      <c r="C78" s="944"/>
      <c r="D78" s="463"/>
      <c r="E78" s="463"/>
      <c r="F78" s="359" t="str">
        <f>IF('C-Design&amp;Const'!$I78="","",'C-Design&amp;Const'!$I78)</f>
        <v>Y</v>
      </c>
      <c r="G78" s="291"/>
      <c r="H78" s="408" t="str">
        <f>CONCATENATE(IF(F78="N","PLACEHOLDER ROW - ",""),'C-Design&amp;Const'!Z78,IF(F78="N","",J78))</f>
        <v xml:space="preserve">Structural - Foundation Systems (Updates to) </v>
      </c>
      <c r="I78" s="184"/>
      <c r="J78" s="578" t="str">
        <f>IF('C-Design&amp;Const'!AE78="","",'C-Design&amp;Const'!AE78)</f>
        <v xml:space="preserve"> (Updates to) </v>
      </c>
      <c r="K78" s="246" t="str">
        <f t="shared" si="0"/>
        <v/>
      </c>
      <c r="L78" s="1410" t="str">
        <f t="shared" si="0"/>
        <v/>
      </c>
      <c r="M78" s="1382"/>
      <c r="N78" s="1382"/>
      <c r="O78" s="1382"/>
      <c r="P78" s="1382"/>
      <c r="Q78" s="1382"/>
      <c r="R78" s="1382"/>
      <c r="S78" s="1382"/>
      <c r="T78" s="1382"/>
      <c r="U78" s="1382"/>
      <c r="V78" s="1382"/>
      <c r="W78" s="1382"/>
      <c r="X78" s="1382"/>
      <c r="Y78" s="1382"/>
      <c r="Z78" s="1382"/>
      <c r="AA78" s="1382"/>
      <c r="AB78" s="1382"/>
      <c r="AC78" s="1382"/>
      <c r="AD78" s="1382"/>
      <c r="AE78" s="1382"/>
      <c r="AF78" s="1382"/>
      <c r="AG78" s="1382"/>
      <c r="AH78" s="1382"/>
      <c r="AI78" s="1382"/>
      <c r="AJ78" s="1382"/>
      <c r="AK78" s="181"/>
      <c r="AL78" s="181"/>
      <c r="AM78" s="181"/>
      <c r="AN78" s="181"/>
      <c r="AO78" s="181"/>
      <c r="AP78" s="181"/>
      <c r="AQ78" s="181"/>
      <c r="AR78" s="181"/>
      <c r="AS78" s="181"/>
      <c r="AT78" s="181"/>
      <c r="AU78" s="181"/>
      <c r="AV78" s="181"/>
    </row>
    <row r="79" spans="1:48" ht="12.75" customHeight="1" x14ac:dyDescent="0.25">
      <c r="A79" s="1462"/>
      <c r="B79" s="125"/>
      <c r="C79" s="944"/>
      <c r="D79" s="411"/>
      <c r="E79" s="466"/>
      <c r="F79" s="559" t="str">
        <f>IF('C-Design&amp;Const'!$I79="","",'C-Design&amp;Const'!$I79)</f>
        <v>Y</v>
      </c>
      <c r="G79" s="477"/>
      <c r="H79" s="414" t="str">
        <f>CONCATENATE(IF(F79="N","PLACEHOLDER ROW - ",""),'C-Design&amp;Const'!Z79,IF(F79="N","",J79))</f>
        <v xml:space="preserve">Structural - Block, concrete, &amp; steel  **(existing systems verification recommended on renovations) (Updates to) </v>
      </c>
      <c r="I79" s="136"/>
      <c r="J79" s="578" t="str">
        <f>IF('C-Design&amp;Const'!AE79="","",'C-Design&amp;Const'!AE79)</f>
        <v xml:space="preserve"> (Updates to) </v>
      </c>
      <c r="K79" s="246" t="str">
        <f t="shared" si="0"/>
        <v/>
      </c>
      <c r="L79" s="1410" t="str">
        <f t="shared" si="0"/>
        <v/>
      </c>
      <c r="M79" s="1333"/>
      <c r="N79" s="1333"/>
      <c r="O79" s="1333"/>
      <c r="P79" s="1333"/>
      <c r="Q79" s="1444"/>
      <c r="R79" s="1445"/>
      <c r="S79" s="1284"/>
      <c r="T79" s="1333"/>
      <c r="U79" s="1333"/>
      <c r="V79" s="1333"/>
      <c r="W79" s="1333"/>
      <c r="X79" s="1333"/>
      <c r="Y79" s="1333"/>
      <c r="Z79" s="1333"/>
      <c r="AA79" s="1333"/>
      <c r="AB79" s="1333"/>
      <c r="AC79" s="1333"/>
      <c r="AD79" s="1333"/>
      <c r="AE79" s="1333"/>
      <c r="AF79" s="1333"/>
      <c r="AG79" s="1333"/>
      <c r="AH79" s="1333"/>
      <c r="AI79" s="1333"/>
      <c r="AJ79" s="1333"/>
    </row>
    <row r="80" spans="1:48" x14ac:dyDescent="0.25">
      <c r="A80" s="1462"/>
      <c r="B80" s="125"/>
      <c r="C80" s="944"/>
      <c r="D80" s="411"/>
      <c r="E80" s="466"/>
      <c r="F80" s="559" t="str">
        <f>IF('C-Design&amp;Const'!$I80="","",'C-Design&amp;Const'!$I80)</f>
        <v>N</v>
      </c>
      <c r="G80" s="479"/>
      <c r="H80" s="408" t="str">
        <f>CONCATENATE(IF(F80="N","PLACEHOLDER ROW - ",""),'C-Design&amp;Const'!Z80,IF(F80="N","",J80))</f>
        <v>PLACEHOLDER ROW - Structural - CUSTOM</v>
      </c>
      <c r="I80" s="136"/>
      <c r="J80" s="578" t="str">
        <f>IF('C-Design&amp;Const'!AE80="","",'C-Design&amp;Const'!AE80)</f>
        <v xml:space="preserve"> (Updates to) </v>
      </c>
      <c r="K80" s="246" t="str">
        <f t="shared" si="0"/>
        <v/>
      </c>
      <c r="L80" s="1410" t="str">
        <f t="shared" si="0"/>
        <v>&lt;---PM/Planner may hide PLACEHOLDER ROW</v>
      </c>
      <c r="M80" s="1333"/>
      <c r="N80" s="1333"/>
      <c r="O80" s="1333"/>
      <c r="P80" s="1333"/>
      <c r="Q80" s="1444"/>
      <c r="R80" s="1445"/>
      <c r="S80" s="1284"/>
      <c r="T80" s="1333"/>
      <c r="U80" s="1333"/>
      <c r="V80" s="1333"/>
      <c r="W80" s="1333"/>
      <c r="X80" s="1333"/>
      <c r="Y80" s="1333"/>
      <c r="Z80" s="1333"/>
      <c r="AA80" s="1333"/>
      <c r="AB80" s="1333"/>
      <c r="AC80" s="1333"/>
      <c r="AD80" s="1333"/>
      <c r="AE80" s="1333"/>
      <c r="AF80" s="1333"/>
      <c r="AG80" s="1333"/>
      <c r="AH80" s="1333"/>
      <c r="AI80" s="1333"/>
      <c r="AJ80" s="1333"/>
    </row>
    <row r="81" spans="1:48" x14ac:dyDescent="0.25">
      <c r="A81" s="1462"/>
      <c r="B81" s="125"/>
      <c r="C81" s="944"/>
      <c r="D81" s="411"/>
      <c r="E81" s="466"/>
      <c r="F81" s="559" t="str">
        <f>IF('C-Design&amp;Const'!$I81="","",'C-Design&amp;Const'!$I81)</f>
        <v>N</v>
      </c>
      <c r="G81" s="479"/>
      <c r="H81" s="408" t="str">
        <f>CONCATENATE(IF(F81="N","PLACEHOLDER ROW - ",""),'C-Design&amp;Const'!Z81,IF(F81="N","",J81))</f>
        <v>PLACEHOLDER ROW - Structural - CUSTOM</v>
      </c>
      <c r="I81" s="136"/>
      <c r="J81" s="578" t="str">
        <f>IF('C-Design&amp;Const'!AE81="","",'C-Design&amp;Const'!AE81)</f>
        <v xml:space="preserve"> (Updates to) </v>
      </c>
      <c r="K81" s="246" t="str">
        <f t="shared" si="0"/>
        <v/>
      </c>
      <c r="L81" s="1410" t="str">
        <f t="shared" si="0"/>
        <v>&lt;---PM/Planner may hide PLACEHOLDER ROW</v>
      </c>
      <c r="M81" s="1333"/>
      <c r="N81" s="1333"/>
      <c r="O81" s="1333"/>
      <c r="P81" s="1333"/>
      <c r="Q81" s="1444"/>
      <c r="R81" s="1445"/>
      <c r="S81" s="1284"/>
      <c r="T81" s="1333"/>
      <c r="U81" s="1333"/>
      <c r="V81" s="1333"/>
      <c r="W81" s="1333"/>
      <c r="X81" s="1333"/>
      <c r="Y81" s="1333"/>
      <c r="Z81" s="1333"/>
      <c r="AA81" s="1333"/>
      <c r="AB81" s="1333"/>
      <c r="AC81" s="1333"/>
      <c r="AD81" s="1333"/>
      <c r="AE81" s="1333"/>
      <c r="AF81" s="1333"/>
      <c r="AG81" s="1333"/>
      <c r="AH81" s="1333"/>
      <c r="AI81" s="1333"/>
      <c r="AJ81" s="1333"/>
    </row>
    <row r="82" spans="1:48" x14ac:dyDescent="0.25">
      <c r="A82" s="1462"/>
      <c r="B82" s="125"/>
      <c r="C82" s="944"/>
      <c r="D82" s="411"/>
      <c r="E82" s="466"/>
      <c r="F82" s="559" t="str">
        <f>IF('C-Design&amp;Const'!$I82="","",'C-Design&amp;Const'!$I82)</f>
        <v>Y</v>
      </c>
      <c r="G82" s="479"/>
      <c r="H82" s="408" t="str">
        <f>CONCATENATE(IF(F82="N","PLACEHOLDER ROW - ",""),'C-Design&amp;Const'!Z82,IF(F82="N","",J82))</f>
        <v xml:space="preserve">Plumbing  - General System(s) - **(verify existing system for renovations) (Updates to) </v>
      </c>
      <c r="I82" s="136"/>
      <c r="J82" s="578" t="str">
        <f>IF('C-Design&amp;Const'!AE82="","",'C-Design&amp;Const'!AE82)</f>
        <v xml:space="preserve"> (Updates to) </v>
      </c>
      <c r="K82" s="246" t="str">
        <f t="shared" si="0"/>
        <v/>
      </c>
      <c r="L82" s="1410" t="str">
        <f t="shared" si="0"/>
        <v/>
      </c>
      <c r="M82" s="1333"/>
      <c r="N82" s="1333"/>
      <c r="O82" s="1333"/>
      <c r="P82" s="1333"/>
      <c r="Q82" s="1444"/>
      <c r="R82" s="1445"/>
      <c r="S82" s="1284"/>
      <c r="T82" s="1333"/>
      <c r="U82" s="1333"/>
      <c r="V82" s="1333"/>
      <c r="W82" s="1333"/>
      <c r="X82" s="1333"/>
      <c r="Y82" s="1333"/>
      <c r="Z82" s="1333"/>
      <c r="AA82" s="1333"/>
      <c r="AB82" s="1333"/>
      <c r="AC82" s="1333"/>
      <c r="AD82" s="1333"/>
      <c r="AE82" s="1333"/>
      <c r="AF82" s="1333"/>
      <c r="AG82" s="1333"/>
      <c r="AH82" s="1333"/>
      <c r="AI82" s="1333"/>
      <c r="AJ82" s="1333"/>
    </row>
    <row r="83" spans="1:48" s="542" customFormat="1" x14ac:dyDescent="0.25">
      <c r="A83" s="1462"/>
      <c r="B83" s="125"/>
      <c r="C83" s="944"/>
      <c r="D83" s="321"/>
      <c r="E83" s="321"/>
      <c r="F83" s="559" t="str">
        <f>IF('C-Design&amp;Const'!$I83="","",'C-Design&amp;Const'!$I83)</f>
        <v>Y</v>
      </c>
      <c r="G83" s="480"/>
      <c r="H83" s="408" t="str">
        <f>CONCATENATE(IF(F83="N","PLACEHOLDER ROW - ",""),'C-Design&amp;Const'!Z83,IF(F83="N","",J83))</f>
        <v xml:space="preserve">Plumbing - Demolition(s) (Updates to) </v>
      </c>
      <c r="I83" s="137"/>
      <c r="J83" s="578" t="str">
        <f>IF('C-Design&amp;Const'!AE83="","",'C-Design&amp;Const'!AE83)</f>
        <v xml:space="preserve"> (Updates to) </v>
      </c>
      <c r="K83" s="246" t="str">
        <f t="shared" si="0"/>
        <v/>
      </c>
      <c r="L83" s="1410" t="str">
        <f t="shared" si="0"/>
        <v/>
      </c>
      <c r="M83" s="1333"/>
      <c r="N83" s="1333"/>
      <c r="O83" s="1333"/>
      <c r="P83" s="1333"/>
      <c r="Q83" s="1444"/>
      <c r="R83" s="1445"/>
      <c r="S83" s="1284"/>
      <c r="T83" s="1333"/>
      <c r="U83" s="1333"/>
      <c r="V83" s="1333"/>
      <c r="W83" s="1333"/>
      <c r="X83" s="1333"/>
      <c r="Y83" s="1333"/>
      <c r="Z83" s="1333"/>
      <c r="AA83" s="1333"/>
      <c r="AB83" s="1333"/>
      <c r="AC83" s="1333"/>
      <c r="AD83" s="1333"/>
      <c r="AE83" s="1333"/>
      <c r="AF83" s="1333"/>
      <c r="AG83" s="1333"/>
      <c r="AH83" s="1333"/>
      <c r="AI83" s="1333"/>
      <c r="AJ83" s="1333"/>
      <c r="AK83" s="17"/>
      <c r="AL83" s="17"/>
      <c r="AM83" s="17"/>
      <c r="AN83" s="17"/>
      <c r="AO83" s="17"/>
      <c r="AP83" s="17"/>
      <c r="AQ83" s="17"/>
      <c r="AR83" s="17"/>
      <c r="AS83" s="17"/>
      <c r="AT83" s="17"/>
      <c r="AU83" s="17"/>
      <c r="AV83" s="17"/>
    </row>
    <row r="84" spans="1:48" s="30" customFormat="1" ht="27" customHeight="1" x14ac:dyDescent="0.25">
      <c r="A84" s="1462"/>
      <c r="B84" s="191"/>
      <c r="C84" s="944"/>
      <c r="D84" s="463"/>
      <c r="E84" s="467"/>
      <c r="F84" s="468" t="str">
        <f>IF('C-Design&amp;Const'!$I84="","",'C-Design&amp;Const'!$I84)</f>
        <v>Y</v>
      </c>
      <c r="G84" s="291"/>
      <c r="H84" s="408" t="str">
        <f>CONCATENATE(IF(F84="N","PLACEHOLDER ROW - ",""),'C-Design&amp;Const'!Z84,IF(F84="N","",J84))</f>
        <v xml:space="preserve">Plumbing - Fixtures  **(Fixture Unit Analysis as verification of existing systems on renovations) (Updates to) </v>
      </c>
      <c r="I84" s="184"/>
      <c r="J84" s="578" t="str">
        <f>IF('C-Design&amp;Const'!AE84="","",'C-Design&amp;Const'!AE84)</f>
        <v xml:space="preserve"> (Updates to) </v>
      </c>
      <c r="K84" s="246" t="str">
        <f t="shared" si="0"/>
        <v/>
      </c>
      <c r="L84" s="1410" t="str">
        <f t="shared" si="0"/>
        <v/>
      </c>
      <c r="M84" s="1382"/>
      <c r="N84" s="1382"/>
      <c r="O84" s="1382"/>
      <c r="P84" s="1382"/>
      <c r="Q84" s="1382"/>
      <c r="R84" s="1382"/>
      <c r="S84" s="1382"/>
      <c r="T84" s="1382"/>
      <c r="U84" s="1382"/>
      <c r="V84" s="1382"/>
      <c r="W84" s="1382"/>
      <c r="X84" s="1382"/>
      <c r="Y84" s="1382"/>
      <c r="Z84" s="1382"/>
      <c r="AA84" s="1382"/>
      <c r="AB84" s="1382"/>
      <c r="AC84" s="1382"/>
      <c r="AD84" s="1382"/>
      <c r="AE84" s="1382"/>
      <c r="AF84" s="1382"/>
      <c r="AG84" s="1382"/>
      <c r="AH84" s="1382"/>
      <c r="AI84" s="1382"/>
      <c r="AJ84" s="1382"/>
      <c r="AK84" s="181"/>
      <c r="AL84" s="181"/>
      <c r="AM84" s="181"/>
      <c r="AN84" s="181"/>
      <c r="AO84" s="181"/>
      <c r="AP84" s="181"/>
      <c r="AQ84" s="181"/>
      <c r="AR84" s="181"/>
      <c r="AS84" s="181"/>
      <c r="AT84" s="181"/>
      <c r="AU84" s="181"/>
      <c r="AV84" s="181"/>
    </row>
    <row r="85" spans="1:48" x14ac:dyDescent="0.25">
      <c r="A85" s="1462"/>
      <c r="B85" s="125"/>
      <c r="C85" s="944"/>
      <c r="D85" s="411"/>
      <c r="E85" s="466"/>
      <c r="F85" s="559" t="str">
        <f>IF('C-Design&amp;Const'!$I85="","",'C-Design&amp;Const'!$I85)</f>
        <v>Y</v>
      </c>
      <c r="G85" s="479"/>
      <c r="H85" s="408" t="str">
        <f>CONCATENATE(IF(F85="N","PLACEHOLDER ROW - ",""),'C-Design&amp;Const'!Z85,IF(F85="N","",J85))</f>
        <v xml:space="preserve">Plumbing - Air/Gas  **(verify existing system for renovations) (Updates to) </v>
      </c>
      <c r="I85" s="136"/>
      <c r="J85" s="578" t="str">
        <f>IF('C-Design&amp;Const'!AE85="","",'C-Design&amp;Const'!AE85)</f>
        <v xml:space="preserve"> (Updates to) </v>
      </c>
      <c r="K85" s="246" t="str">
        <f t="shared" si="0"/>
        <v/>
      </c>
      <c r="L85" s="1410" t="str">
        <f t="shared" si="0"/>
        <v/>
      </c>
      <c r="M85" s="1333"/>
      <c r="N85" s="1333"/>
      <c r="O85" s="1333"/>
      <c r="P85" s="1333"/>
      <c r="Q85" s="1444"/>
      <c r="R85" s="1445"/>
      <c r="S85" s="1284"/>
      <c r="T85" s="1333"/>
      <c r="U85" s="1333"/>
      <c r="V85" s="1333"/>
      <c r="W85" s="1333"/>
      <c r="X85" s="1333"/>
      <c r="Y85" s="1333"/>
      <c r="Z85" s="1333"/>
      <c r="AA85" s="1333"/>
      <c r="AB85" s="1333"/>
      <c r="AC85" s="1333"/>
      <c r="AD85" s="1333"/>
      <c r="AE85" s="1333"/>
      <c r="AF85" s="1333"/>
      <c r="AG85" s="1333"/>
      <c r="AH85" s="1333"/>
      <c r="AI85" s="1333"/>
      <c r="AJ85" s="1333"/>
    </row>
    <row r="86" spans="1:48" x14ac:dyDescent="0.25">
      <c r="A86" s="1462"/>
      <c r="B86" s="125"/>
      <c r="C86" s="944"/>
      <c r="D86" s="321"/>
      <c r="E86" s="466"/>
      <c r="F86" s="559" t="str">
        <f>IF('C-Design&amp;Const'!$I86="","",'C-Design&amp;Const'!$I86)</f>
        <v>Y</v>
      </c>
      <c r="G86" s="479"/>
      <c r="H86" s="408" t="str">
        <f>CONCATENATE(IF(F86="N","PLACEHOLDER ROW - ",""),'C-Design&amp;Const'!Z86,IF(F86="N","",J86))</f>
        <v xml:space="preserve">Plumbing - Water  **(verify existing system for renovations) (Updates to) </v>
      </c>
      <c r="I86" s="135"/>
      <c r="J86" s="578" t="str">
        <f>IF('C-Design&amp;Const'!AE86="","",'C-Design&amp;Const'!AE86)</f>
        <v xml:space="preserve"> (Updates to) </v>
      </c>
      <c r="K86" s="246" t="str">
        <f t="shared" si="0"/>
        <v/>
      </c>
      <c r="L86" s="1410" t="str">
        <f t="shared" si="0"/>
        <v/>
      </c>
      <c r="M86" s="1333"/>
      <c r="N86" s="1333"/>
      <c r="O86" s="1333"/>
      <c r="P86" s="1333"/>
      <c r="Q86" s="1444"/>
      <c r="R86" s="1445"/>
      <c r="S86" s="1284"/>
      <c r="T86" s="1333"/>
      <c r="U86" s="1333"/>
      <c r="V86" s="1333"/>
      <c r="W86" s="1333"/>
      <c r="X86" s="1333"/>
      <c r="Y86" s="1333"/>
      <c r="Z86" s="1333"/>
      <c r="AA86" s="1333"/>
      <c r="AB86" s="1333"/>
      <c r="AC86" s="1333"/>
      <c r="AD86" s="1333"/>
      <c r="AE86" s="1333"/>
      <c r="AF86" s="1333"/>
      <c r="AG86" s="1333"/>
      <c r="AH86" s="1333"/>
      <c r="AI86" s="1333"/>
      <c r="AJ86" s="1333"/>
    </row>
    <row r="87" spans="1:48" x14ac:dyDescent="0.25">
      <c r="A87" s="1462"/>
      <c r="B87" s="125"/>
      <c r="C87" s="944"/>
      <c r="D87" s="411"/>
      <c r="E87" s="466"/>
      <c r="F87" s="559" t="str">
        <f>IF('C-Design&amp;Const'!$I87="","",'C-Design&amp;Const'!$I87)</f>
        <v>Y</v>
      </c>
      <c r="G87" s="479"/>
      <c r="H87" s="408" t="str">
        <f>CONCATENATE(IF(F87="N","PLACEHOLDER ROW - ",""),'C-Design&amp;Const'!Z87,IF(F87="N","",J87))</f>
        <v xml:space="preserve">Plumbing - Sanitary **(verify existing system for renovations) (Updates to) </v>
      </c>
      <c r="I87" s="136"/>
      <c r="J87" s="578" t="str">
        <f>IF('C-Design&amp;Const'!AE87="","",'C-Design&amp;Const'!AE87)</f>
        <v xml:space="preserve"> (Updates to) </v>
      </c>
      <c r="K87" s="246" t="str">
        <f t="shared" si="0"/>
        <v/>
      </c>
      <c r="L87" s="1410" t="str">
        <f t="shared" si="0"/>
        <v/>
      </c>
      <c r="M87" s="1333"/>
      <c r="N87" s="1333"/>
      <c r="O87" s="1333"/>
      <c r="P87" s="1333"/>
      <c r="Q87" s="1444"/>
      <c r="R87" s="1445"/>
      <c r="S87" s="1284"/>
      <c r="T87" s="1333"/>
      <c r="U87" s="1333"/>
      <c r="V87" s="1333"/>
      <c r="W87" s="1333"/>
      <c r="X87" s="1333"/>
      <c r="Y87" s="1333"/>
      <c r="Z87" s="1333"/>
      <c r="AA87" s="1333"/>
      <c r="AB87" s="1333"/>
      <c r="AC87" s="1333"/>
      <c r="AD87" s="1333"/>
      <c r="AE87" s="1333"/>
      <c r="AF87" s="1333"/>
      <c r="AG87" s="1333"/>
      <c r="AH87" s="1333"/>
      <c r="AI87" s="1333"/>
      <c r="AJ87" s="1333"/>
    </row>
    <row r="88" spans="1:48" x14ac:dyDescent="0.25">
      <c r="A88" s="1462"/>
      <c r="B88" s="125"/>
      <c r="C88" s="944"/>
      <c r="D88" s="411"/>
      <c r="E88" s="466"/>
      <c r="F88" s="559" t="str">
        <f>IF('C-Design&amp;Const'!$I88="","",'C-Design&amp;Const'!$I88)</f>
        <v>Y</v>
      </c>
      <c r="G88" s="479"/>
      <c r="H88" s="408" t="str">
        <f>CONCATENATE(IF(F88="N","PLACEHOLDER ROW - ",""),'C-Design&amp;Const'!Z88,IF(F88="N","",J88))</f>
        <v xml:space="preserve">Plumbing - Cut Sheets or Product Data Sheets on Plumbing Fixtures (Updates to) </v>
      </c>
      <c r="I88" s="136"/>
      <c r="J88" s="578" t="str">
        <f>IF('C-Design&amp;Const'!AE88="","",'C-Design&amp;Const'!AE88)</f>
        <v xml:space="preserve"> (Updates to) </v>
      </c>
      <c r="K88" s="246" t="str">
        <f t="shared" si="0"/>
        <v/>
      </c>
      <c r="L88" s="1410" t="str">
        <f t="shared" si="0"/>
        <v/>
      </c>
      <c r="M88" s="1333"/>
      <c r="N88" s="1333"/>
      <c r="O88" s="1333"/>
      <c r="P88" s="1333"/>
      <c r="Q88" s="1444"/>
      <c r="R88" s="1445"/>
      <c r="S88" s="1284"/>
      <c r="T88" s="1333"/>
      <c r="U88" s="1333"/>
      <c r="V88" s="1333"/>
      <c r="W88" s="1333"/>
      <c r="X88" s="1333"/>
      <c r="Y88" s="1333"/>
      <c r="Z88" s="1333"/>
      <c r="AA88" s="1333"/>
      <c r="AB88" s="1333"/>
      <c r="AC88" s="1333"/>
      <c r="AD88" s="1333"/>
      <c r="AE88" s="1333"/>
      <c r="AF88" s="1333"/>
      <c r="AG88" s="1333"/>
      <c r="AH88" s="1333"/>
      <c r="AI88" s="1333"/>
      <c r="AJ88" s="1333"/>
    </row>
    <row r="89" spans="1:48" x14ac:dyDescent="0.25">
      <c r="A89" s="1462"/>
      <c r="B89" s="125"/>
      <c r="C89" s="944"/>
      <c r="D89" s="411"/>
      <c r="E89" s="466"/>
      <c r="F89" s="559" t="str">
        <f>IF('C-Design&amp;Const'!$I89="","",'C-Design&amp;Const'!$I89)</f>
        <v>Y</v>
      </c>
      <c r="G89" s="479"/>
      <c r="H89" s="408" t="str">
        <f>CONCATENATE(IF(F89="N","PLACEHOLDER ROW - ",""),'C-Design&amp;Const'!Z89,IF(F89="N","",J89))</f>
        <v xml:space="preserve">Fire Suppression System(s) **(verify existing system for renovations) (Updates to) </v>
      </c>
      <c r="I89" s="136"/>
      <c r="J89" s="578" t="str">
        <f>IF('C-Design&amp;Const'!AE89="","",'C-Design&amp;Const'!AE89)</f>
        <v xml:space="preserve"> (Updates to) </v>
      </c>
      <c r="K89" s="246" t="str">
        <f t="shared" si="0"/>
        <v/>
      </c>
      <c r="L89" s="1410" t="str">
        <f t="shared" si="0"/>
        <v/>
      </c>
      <c r="M89" s="1333"/>
      <c r="N89" s="1333"/>
      <c r="O89" s="1333"/>
      <c r="P89" s="1333"/>
      <c r="Q89" s="1444"/>
      <c r="R89" s="1445"/>
      <c r="S89" s="1284"/>
      <c r="T89" s="1333"/>
      <c r="U89" s="1333"/>
      <c r="V89" s="1333"/>
      <c r="W89" s="1333"/>
      <c r="X89" s="1333"/>
      <c r="Y89" s="1333"/>
      <c r="Z89" s="1333"/>
      <c r="AA89" s="1333"/>
      <c r="AB89" s="1333"/>
      <c r="AC89" s="1333"/>
      <c r="AD89" s="1333"/>
      <c r="AE89" s="1333"/>
      <c r="AF89" s="1333"/>
      <c r="AG89" s="1333"/>
      <c r="AH89" s="1333"/>
      <c r="AI89" s="1333"/>
      <c r="AJ89" s="1333"/>
    </row>
    <row r="90" spans="1:48" x14ac:dyDescent="0.25">
      <c r="A90" s="1462"/>
      <c r="B90" s="125"/>
      <c r="C90" s="944"/>
      <c r="D90" s="411"/>
      <c r="E90" s="466"/>
      <c r="F90" s="559" t="str">
        <f>IF('C-Design&amp;Const'!$I90="","",'C-Design&amp;Const'!$I90)</f>
        <v>Y</v>
      </c>
      <c r="G90" s="479"/>
      <c r="H90" s="796" t="str">
        <f>CONCATENATE(IF(F90="N","PLACEHOLDER ROW - ",""),'C-Design&amp;Const'!Z90,IF(F90="N","",J90))</f>
        <v xml:space="preserve">Heating - General System(s) **(verify existing system for renovations) (Updates to) </v>
      </c>
      <c r="I90" s="136"/>
      <c r="J90" s="578" t="str">
        <f>IF('C-Design&amp;Const'!AE90="","",'C-Design&amp;Const'!AE90)</f>
        <v xml:space="preserve"> (Updates to) </v>
      </c>
      <c r="K90" s="246" t="str">
        <f t="shared" si="0"/>
        <v/>
      </c>
      <c r="L90" s="1410" t="str">
        <f t="shared" si="0"/>
        <v/>
      </c>
      <c r="M90" s="1333"/>
      <c r="N90" s="1333"/>
      <c r="O90" s="1333"/>
      <c r="P90" s="1333"/>
      <c r="Q90" s="1444"/>
      <c r="R90" s="1445"/>
      <c r="S90" s="1284"/>
      <c r="T90" s="1333"/>
      <c r="U90" s="1333"/>
      <c r="V90" s="1333"/>
      <c r="W90" s="1333"/>
      <c r="X90" s="1333"/>
      <c r="Y90" s="1333"/>
      <c r="Z90" s="1333"/>
      <c r="AA90" s="1333"/>
      <c r="AB90" s="1333"/>
      <c r="AC90" s="1333"/>
      <c r="AD90" s="1333"/>
      <c r="AE90" s="1333"/>
      <c r="AF90" s="1333"/>
      <c r="AG90" s="1333"/>
      <c r="AH90" s="1333"/>
      <c r="AI90" s="1333"/>
      <c r="AJ90" s="1333"/>
    </row>
    <row r="91" spans="1:48" s="542" customFormat="1" x14ac:dyDescent="0.25">
      <c r="A91" s="1462"/>
      <c r="B91" s="125"/>
      <c r="C91" s="944"/>
      <c r="D91" s="321"/>
      <c r="E91" s="321"/>
      <c r="F91" s="559" t="str">
        <f>IF('C-Design&amp;Const'!$I91="","",'C-Design&amp;Const'!$I91)</f>
        <v>Y</v>
      </c>
      <c r="G91" s="480"/>
      <c r="H91" s="408" t="str">
        <f>CONCATENATE(IF(F91="N","PLACEHOLDER ROW - ",""),'C-Design&amp;Const'!Z91,IF(F91="N","",J91))</f>
        <v xml:space="preserve">Heating - Demolition(s) (Updates to) </v>
      </c>
      <c r="I91" s="137"/>
      <c r="J91" s="578" t="str">
        <f>IF('C-Design&amp;Const'!AE91="","",'C-Design&amp;Const'!AE91)</f>
        <v xml:space="preserve"> (Updates to) </v>
      </c>
      <c r="K91" s="246" t="str">
        <f t="shared" ref="K91" si="5">CONCATENATE(IF(ISNUMBER(SEARCH("Placeholder",G91))=TRUE,"&lt;---PM/Planner may hide PLACEHOLDER ROW",""))</f>
        <v/>
      </c>
      <c r="L91" s="1410" t="str">
        <f t="shared" ref="L91" si="6">CONCATENATE(IF(ISNUMBER(SEARCH("Placeholder",H91))=TRUE,"&lt;---PM/Planner may hide PLACEHOLDER ROW",""))</f>
        <v/>
      </c>
      <c r="M91" s="1333"/>
      <c r="N91" s="1333"/>
      <c r="O91" s="1333"/>
      <c r="P91" s="1333"/>
      <c r="Q91" s="1444"/>
      <c r="R91" s="1445"/>
      <c r="S91" s="1284"/>
      <c r="T91" s="1333"/>
      <c r="U91" s="1333"/>
      <c r="V91" s="1333"/>
      <c r="W91" s="1333"/>
      <c r="X91" s="1333"/>
      <c r="Y91" s="1333"/>
      <c r="Z91" s="1333"/>
      <c r="AA91" s="1333"/>
      <c r="AB91" s="1333"/>
      <c r="AC91" s="1333"/>
      <c r="AD91" s="1333"/>
      <c r="AE91" s="1333"/>
      <c r="AF91" s="1333"/>
      <c r="AG91" s="1333"/>
      <c r="AH91" s="1333"/>
      <c r="AI91" s="1333"/>
      <c r="AJ91" s="1333"/>
      <c r="AK91" s="17"/>
      <c r="AL91" s="17"/>
      <c r="AM91" s="17"/>
      <c r="AN91" s="17"/>
      <c r="AO91" s="17"/>
      <c r="AP91" s="17"/>
      <c r="AQ91" s="17"/>
      <c r="AR91" s="17"/>
      <c r="AS91" s="17"/>
      <c r="AT91" s="17"/>
      <c r="AU91" s="17"/>
      <c r="AV91" s="17"/>
    </row>
    <row r="92" spans="1:48" x14ac:dyDescent="0.25">
      <c r="A92" s="1462"/>
      <c r="B92" s="125"/>
      <c r="C92" s="944"/>
      <c r="D92" s="411"/>
      <c r="E92" s="466"/>
      <c r="F92" s="559" t="str">
        <f>IF('C-Design&amp;Const'!$I92="","",'C-Design&amp;Const'!$I92)</f>
        <v>Y</v>
      </c>
      <c r="G92" s="479"/>
      <c r="H92" s="796" t="str">
        <f>CONCATENATE(IF(F92="N","PLACEHOLDER ROW - ",""),'C-Design&amp;Const'!Z92,IF(F92="N","",J92))</f>
        <v xml:space="preserve">Heating - Gas (and verify existing system for renovations)* (Updates to) </v>
      </c>
      <c r="I92" s="136"/>
      <c r="J92" s="578" t="str">
        <f>IF('C-Design&amp;Const'!AE92="","",'C-Design&amp;Const'!AE92)</f>
        <v xml:space="preserve"> (Updates to) </v>
      </c>
      <c r="K92" s="246" t="str">
        <f t="shared" si="0"/>
        <v/>
      </c>
      <c r="L92" s="1410" t="str">
        <f t="shared" si="0"/>
        <v/>
      </c>
      <c r="M92" s="1333"/>
      <c r="N92" s="1333"/>
      <c r="O92" s="1333"/>
      <c r="P92" s="1333"/>
      <c r="Q92" s="1444"/>
      <c r="R92" s="1445"/>
      <c r="S92" s="1284"/>
      <c r="T92" s="1333"/>
      <c r="U92" s="1333"/>
      <c r="V92" s="1333"/>
      <c r="W92" s="1333"/>
      <c r="X92" s="1333"/>
      <c r="Y92" s="1333"/>
      <c r="Z92" s="1333"/>
      <c r="AA92" s="1333"/>
      <c r="AB92" s="1333"/>
      <c r="AC92" s="1333"/>
      <c r="AD92" s="1333"/>
      <c r="AE92" s="1333"/>
      <c r="AF92" s="1333"/>
      <c r="AG92" s="1333"/>
      <c r="AH92" s="1333"/>
      <c r="AI92" s="1333"/>
      <c r="AJ92" s="1333"/>
    </row>
    <row r="93" spans="1:48" x14ac:dyDescent="0.25">
      <c r="A93" s="1462"/>
      <c r="B93" s="125"/>
      <c r="C93" s="944"/>
      <c r="D93" s="411"/>
      <c r="E93" s="466"/>
      <c r="F93" s="559" t="str">
        <f>IF('C-Design&amp;Const'!$I93="","",'C-Design&amp;Const'!$I93)</f>
        <v>Y</v>
      </c>
      <c r="G93" s="479"/>
      <c r="H93" s="408" t="str">
        <f>CONCATENATE(IF(F93="N","PLACEHOLDER ROW - ",""),'C-Design&amp;Const'!Z93,IF(F93="N","",J93))</f>
        <v xml:space="preserve">Heating -  Steam  (and verify existing system for renovations)* (Updates to) </v>
      </c>
      <c r="I93" s="136"/>
      <c r="J93" s="578" t="str">
        <f>IF('C-Design&amp;Const'!AE93="","",'C-Design&amp;Const'!AE93)</f>
        <v xml:space="preserve"> (Updates to) </v>
      </c>
      <c r="K93" s="246" t="str">
        <f t="shared" si="0"/>
        <v/>
      </c>
      <c r="L93" s="1410" t="str">
        <f t="shared" si="0"/>
        <v/>
      </c>
      <c r="M93" s="1333"/>
      <c r="N93" s="1333"/>
      <c r="O93" s="1333"/>
      <c r="P93" s="1333"/>
      <c r="Q93" s="1444"/>
      <c r="R93" s="1445"/>
      <c r="S93" s="1284"/>
      <c r="T93" s="1333"/>
      <c r="U93" s="1333"/>
      <c r="V93" s="1333"/>
      <c r="W93" s="1333"/>
      <c r="X93" s="1333"/>
      <c r="Y93" s="1333"/>
      <c r="Z93" s="1333"/>
      <c r="AA93" s="1333"/>
      <c r="AB93" s="1333"/>
      <c r="AC93" s="1333"/>
      <c r="AD93" s="1333"/>
      <c r="AE93" s="1333"/>
      <c r="AF93" s="1333"/>
      <c r="AG93" s="1333"/>
      <c r="AH93" s="1333"/>
      <c r="AI93" s="1333"/>
      <c r="AJ93" s="1333"/>
    </row>
    <row r="94" spans="1:48" x14ac:dyDescent="0.25">
      <c r="A94" s="1462"/>
      <c r="B94" s="125"/>
      <c r="C94" s="944"/>
      <c r="D94" s="411"/>
      <c r="E94" s="466"/>
      <c r="F94" s="559" t="str">
        <f>IF('C-Design&amp;Const'!$I94="","",'C-Design&amp;Const'!$I94)</f>
        <v>N</v>
      </c>
      <c r="G94" s="479"/>
      <c r="H94" s="408" t="str">
        <f>CONCATENATE(IF(F94="N","PLACEHOLDER ROW - ",""),'C-Design&amp;Const'!Z94,IF(F94="N","",J94))</f>
        <v>PLACEHOLDER ROW - Heating - CUSTOM</v>
      </c>
      <c r="I94" s="136"/>
      <c r="J94" s="578" t="str">
        <f>IF('C-Design&amp;Const'!AE94="","",'C-Design&amp;Const'!AE94)</f>
        <v xml:space="preserve"> (Updates to) </v>
      </c>
      <c r="K94" s="246" t="str">
        <f t="shared" si="0"/>
        <v/>
      </c>
      <c r="L94" s="1410" t="str">
        <f t="shared" si="0"/>
        <v>&lt;---PM/Planner may hide PLACEHOLDER ROW</v>
      </c>
      <c r="M94" s="1333"/>
      <c r="N94" s="1333"/>
      <c r="O94" s="1333"/>
      <c r="P94" s="1333"/>
      <c r="Q94" s="1444"/>
      <c r="R94" s="1445"/>
      <c r="S94" s="1284"/>
      <c r="T94" s="1333"/>
      <c r="U94" s="1333"/>
      <c r="V94" s="1333"/>
      <c r="W94" s="1333"/>
      <c r="X94" s="1333"/>
      <c r="Y94" s="1333"/>
      <c r="Z94" s="1333"/>
      <c r="AA94" s="1333"/>
      <c r="AB94" s="1333"/>
      <c r="AC94" s="1333"/>
      <c r="AD94" s="1333"/>
      <c r="AE94" s="1333"/>
      <c r="AF94" s="1333"/>
      <c r="AG94" s="1333"/>
      <c r="AH94" s="1333"/>
      <c r="AI94" s="1333"/>
      <c r="AJ94" s="1333"/>
    </row>
    <row r="95" spans="1:48" x14ac:dyDescent="0.25">
      <c r="A95" s="1462"/>
      <c r="B95" s="125"/>
      <c r="C95" s="944"/>
      <c r="D95" s="411"/>
      <c r="E95" s="466"/>
      <c r="F95" s="559" t="str">
        <f>IF('C-Design&amp;Const'!$I95="","",'C-Design&amp;Const'!$I95)</f>
        <v>Y</v>
      </c>
      <c r="G95" s="479"/>
      <c r="H95" s="796" t="str">
        <f>CONCATENATE(IF(F95="N","PLACEHOLDER ROW - ",""),'C-Design&amp;Const'!Z95,IF(F95="N","",J95))</f>
        <v xml:space="preserve">Ventilation - General System(s)  **(verify existing system for renovations) (Updates to) </v>
      </c>
      <c r="I95" s="136"/>
      <c r="J95" s="578" t="str">
        <f>IF('C-Design&amp;Const'!AE95="","",'C-Design&amp;Const'!AE95)</f>
        <v xml:space="preserve"> (Updates to) </v>
      </c>
      <c r="K95" s="246" t="str">
        <f t="shared" si="0"/>
        <v/>
      </c>
      <c r="L95" s="1410" t="str">
        <f t="shared" si="0"/>
        <v/>
      </c>
      <c r="M95" s="1333"/>
      <c r="N95" s="1333"/>
      <c r="O95" s="1333"/>
      <c r="P95" s="1333"/>
      <c r="Q95" s="1444"/>
      <c r="R95" s="1445"/>
      <c r="S95" s="1284"/>
      <c r="T95" s="1333"/>
      <c r="U95" s="1333"/>
      <c r="V95" s="1333"/>
      <c r="W95" s="1333"/>
      <c r="X95" s="1333"/>
      <c r="Y95" s="1333"/>
      <c r="Z95" s="1333"/>
      <c r="AA95" s="1333"/>
      <c r="AB95" s="1333"/>
      <c r="AC95" s="1333"/>
      <c r="AD95" s="1333"/>
      <c r="AE95" s="1333"/>
      <c r="AF95" s="1333"/>
      <c r="AG95" s="1333"/>
      <c r="AH95" s="1333"/>
      <c r="AI95" s="1333"/>
      <c r="AJ95" s="1333"/>
    </row>
    <row r="96" spans="1:48" s="542" customFormat="1" x14ac:dyDescent="0.25">
      <c r="A96" s="1462"/>
      <c r="B96" s="125"/>
      <c r="C96" s="944"/>
      <c r="D96" s="321"/>
      <c r="E96" s="321"/>
      <c r="F96" s="559" t="str">
        <f>IF('C-Design&amp;Const'!$I96="","",'C-Design&amp;Const'!$I96)</f>
        <v>Y</v>
      </c>
      <c r="G96" s="480"/>
      <c r="H96" s="408" t="str">
        <f>CONCATENATE(IF(F96="N","PLACEHOLDER ROW - ",""),'C-Design&amp;Const'!Z96,IF(F96="N","",J96))</f>
        <v xml:space="preserve">Ventilation - Demolition(s) (Updates to) </v>
      </c>
      <c r="I96" s="137"/>
      <c r="J96" s="578" t="str">
        <f>IF('C-Design&amp;Const'!AE96="","",'C-Design&amp;Const'!AE96)</f>
        <v xml:space="preserve"> (Updates to) </v>
      </c>
      <c r="K96" s="246" t="str">
        <f t="shared" si="0"/>
        <v/>
      </c>
      <c r="L96" s="1410" t="str">
        <f t="shared" si="0"/>
        <v/>
      </c>
      <c r="M96" s="1333"/>
      <c r="N96" s="1333"/>
      <c r="O96" s="1333"/>
      <c r="P96" s="1333"/>
      <c r="Q96" s="1444"/>
      <c r="R96" s="1445"/>
      <c r="S96" s="1284"/>
      <c r="T96" s="1333"/>
      <c r="U96" s="1333"/>
      <c r="V96" s="1333"/>
      <c r="W96" s="1333"/>
      <c r="X96" s="1333"/>
      <c r="Y96" s="1333"/>
      <c r="Z96" s="1333"/>
      <c r="AA96" s="1333"/>
      <c r="AB96" s="1333"/>
      <c r="AC96" s="1333"/>
      <c r="AD96" s="1333"/>
      <c r="AE96" s="1333"/>
      <c r="AF96" s="1333"/>
      <c r="AG96" s="1333"/>
      <c r="AH96" s="1333"/>
      <c r="AI96" s="1333"/>
      <c r="AJ96" s="1333"/>
      <c r="AK96" s="17"/>
      <c r="AL96" s="17"/>
      <c r="AM96" s="17"/>
      <c r="AN96" s="17"/>
      <c r="AO96" s="17"/>
      <c r="AP96" s="17"/>
      <c r="AQ96" s="17"/>
      <c r="AR96" s="17"/>
      <c r="AS96" s="17"/>
      <c r="AT96" s="17"/>
      <c r="AU96" s="17"/>
      <c r="AV96" s="17"/>
    </row>
    <row r="97" spans="1:48" ht="18.75" customHeight="1" x14ac:dyDescent="0.25">
      <c r="A97" s="1462"/>
      <c r="B97" s="125"/>
      <c r="C97" s="944"/>
      <c r="D97" s="411"/>
      <c r="E97" s="466"/>
      <c r="F97" s="559" t="str">
        <f>IF('C-Design&amp;Const'!$I97="","",'C-Design&amp;Const'!$I97)</f>
        <v>Y</v>
      </c>
      <c r="G97" s="479"/>
      <c r="H97" s="408" t="str">
        <f>CONCATENATE(IF(F97="N","PLACEHOLDER ROW - ",""),'C-Design&amp;Const'!Z97,IF(F97="N","",J97))</f>
        <v xml:space="preserve">Ventilation - Refrigeration Systems **(verify existing system for renovations) (Updates to) </v>
      </c>
      <c r="I97" s="136"/>
      <c r="J97" s="578" t="str">
        <f>IF('C-Design&amp;Const'!AE97="","",'C-Design&amp;Const'!AE97)</f>
        <v xml:space="preserve"> (Updates to) </v>
      </c>
      <c r="K97" s="246" t="str">
        <f t="shared" si="0"/>
        <v/>
      </c>
      <c r="L97" s="1410" t="str">
        <f t="shared" si="0"/>
        <v/>
      </c>
      <c r="M97" s="1333"/>
      <c r="N97" s="1333"/>
      <c r="O97" s="1333"/>
      <c r="P97" s="1333"/>
      <c r="Q97" s="1444"/>
      <c r="R97" s="1445"/>
      <c r="S97" s="1284"/>
      <c r="T97" s="1333"/>
      <c r="U97" s="1333"/>
      <c r="V97" s="1333"/>
      <c r="W97" s="1333"/>
      <c r="X97" s="1333"/>
      <c r="Y97" s="1333"/>
      <c r="Z97" s="1333"/>
      <c r="AA97" s="1333"/>
      <c r="AB97" s="1333"/>
      <c r="AC97" s="1333"/>
      <c r="AD97" s="1333"/>
      <c r="AE97" s="1333"/>
      <c r="AF97" s="1333"/>
      <c r="AG97" s="1333"/>
      <c r="AH97" s="1333"/>
      <c r="AI97" s="1333"/>
      <c r="AJ97" s="1333"/>
    </row>
    <row r="98" spans="1:48" x14ac:dyDescent="0.25">
      <c r="A98" s="1462"/>
      <c r="B98" s="125"/>
      <c r="C98" s="944"/>
      <c r="D98" s="411"/>
      <c r="E98" s="466"/>
      <c r="F98" s="559" t="str">
        <f>IF('C-Design&amp;Const'!$I98="","",'C-Design&amp;Const'!$I98)</f>
        <v>Y</v>
      </c>
      <c r="G98" s="479"/>
      <c r="H98" s="408" t="str">
        <f>CONCATENATE(IF(F98="N","PLACEHOLDER ROW - ",""),'C-Design&amp;Const'!Z98,IF(F98="N","",J98))</f>
        <v xml:space="preserve">Ventilation - Chilled Water  **(verify existing system for renovations) (Updates to) </v>
      </c>
      <c r="I98" s="136"/>
      <c r="J98" s="578" t="str">
        <f>IF('C-Design&amp;Const'!AE98="","",'C-Design&amp;Const'!AE98)</f>
        <v xml:space="preserve"> (Updates to) </v>
      </c>
      <c r="K98" s="246" t="str">
        <f t="shared" si="0"/>
        <v/>
      </c>
      <c r="L98" s="1410" t="str">
        <f t="shared" si="0"/>
        <v/>
      </c>
      <c r="M98" s="1333"/>
      <c r="N98" s="1333"/>
      <c r="O98" s="1333"/>
      <c r="P98" s="1333"/>
      <c r="Q98" s="1444"/>
      <c r="R98" s="1445"/>
      <c r="S98" s="1284"/>
      <c r="T98" s="1333"/>
      <c r="U98" s="1333"/>
      <c r="V98" s="1333"/>
      <c r="W98" s="1333"/>
      <c r="X98" s="1333"/>
      <c r="Y98" s="1333"/>
      <c r="Z98" s="1333"/>
      <c r="AA98" s="1333"/>
      <c r="AB98" s="1333"/>
      <c r="AC98" s="1333"/>
      <c r="AD98" s="1333"/>
      <c r="AE98" s="1333"/>
      <c r="AF98" s="1333"/>
      <c r="AG98" s="1333"/>
      <c r="AH98" s="1333"/>
      <c r="AI98" s="1333"/>
      <c r="AJ98" s="1333"/>
    </row>
    <row r="99" spans="1:48" x14ac:dyDescent="0.25">
      <c r="A99" s="1462"/>
      <c r="B99" s="125"/>
      <c r="C99" s="944"/>
      <c r="D99" s="411"/>
      <c r="E99" s="466"/>
      <c r="F99" s="559" t="str">
        <f>IF('C-Design&amp;Const'!$I99="","",'C-Design&amp;Const'!$I99)</f>
        <v>N</v>
      </c>
      <c r="G99" s="479"/>
      <c r="H99" s="408" t="str">
        <f>CONCATENATE(IF(F99="N","PLACEHOLDER ROW - ",""),'C-Design&amp;Const'!Z99,IF(F99="N","",J99))</f>
        <v>PLACEHOLDER ROW - Ventilation - CUSTOM</v>
      </c>
      <c r="I99" s="136"/>
      <c r="J99" s="578" t="str">
        <f>IF('C-Design&amp;Const'!AE99="","",'C-Design&amp;Const'!AE99)</f>
        <v xml:space="preserve"> (Updates to) </v>
      </c>
      <c r="K99" s="246" t="str">
        <f t="shared" si="0"/>
        <v/>
      </c>
      <c r="L99" s="1410" t="str">
        <f t="shared" si="0"/>
        <v>&lt;---PM/Planner may hide PLACEHOLDER ROW</v>
      </c>
      <c r="M99" s="1333"/>
      <c r="N99" s="1333"/>
      <c r="O99" s="1333"/>
      <c r="P99" s="1333"/>
      <c r="Q99" s="1444"/>
      <c r="R99" s="1445"/>
      <c r="S99" s="1284"/>
      <c r="T99" s="1333"/>
      <c r="U99" s="1333"/>
      <c r="V99" s="1333"/>
      <c r="W99" s="1333"/>
      <c r="X99" s="1333"/>
      <c r="Y99" s="1333"/>
      <c r="Z99" s="1333"/>
      <c r="AA99" s="1333"/>
      <c r="AB99" s="1333"/>
      <c r="AC99" s="1333"/>
      <c r="AD99" s="1333"/>
      <c r="AE99" s="1333"/>
      <c r="AF99" s="1333"/>
      <c r="AG99" s="1333"/>
      <c r="AH99" s="1333"/>
      <c r="AI99" s="1333"/>
      <c r="AJ99" s="1333"/>
    </row>
    <row r="100" spans="1:48" x14ac:dyDescent="0.25">
      <c r="A100" s="1462"/>
      <c r="B100" s="125"/>
      <c r="C100" s="944"/>
      <c r="D100" s="411"/>
      <c r="E100" s="466"/>
      <c r="F100" s="559" t="str">
        <f>IF('C-Design&amp;Const'!$I100="","",'C-Design&amp;Const'!$I100)</f>
        <v>Y</v>
      </c>
      <c r="G100" s="479"/>
      <c r="H100" s="408" t="str">
        <f>CONCATENATE(IF(F100="N","PLACEHOLDER ROW - ",""),'C-Design&amp;Const'!Z100,IF(F100="N","",J100))</f>
        <v xml:space="preserve">Electrical - General System(s) - **(verify existing system for renovations) (Updates to) </v>
      </c>
      <c r="I100" s="136"/>
      <c r="J100" s="578" t="str">
        <f>IF('C-Design&amp;Const'!AE100="","",'C-Design&amp;Const'!AE100)</f>
        <v xml:space="preserve"> (Updates to) </v>
      </c>
      <c r="K100" s="246" t="str">
        <f t="shared" ref="K100:L173" si="7">CONCATENATE(IF(ISNUMBER(SEARCH("Placeholder",G100))=TRUE,"&lt;---PM/Planner may hide PLACEHOLDER ROW",""))</f>
        <v/>
      </c>
      <c r="L100" s="1410" t="str">
        <f t="shared" si="7"/>
        <v/>
      </c>
      <c r="M100" s="1333"/>
      <c r="N100" s="1333"/>
      <c r="O100" s="1333"/>
      <c r="P100" s="1333"/>
      <c r="Q100" s="1444"/>
      <c r="R100" s="1445"/>
      <c r="S100" s="1284"/>
      <c r="T100" s="1333"/>
      <c r="U100" s="1333"/>
      <c r="V100" s="1333"/>
      <c r="W100" s="1333"/>
      <c r="X100" s="1333"/>
      <c r="Y100" s="1333"/>
      <c r="Z100" s="1333"/>
      <c r="AA100" s="1333"/>
      <c r="AB100" s="1333"/>
      <c r="AC100" s="1333"/>
      <c r="AD100" s="1333"/>
      <c r="AE100" s="1333"/>
      <c r="AF100" s="1333"/>
      <c r="AG100" s="1333"/>
      <c r="AH100" s="1333"/>
      <c r="AI100" s="1333"/>
      <c r="AJ100" s="1333"/>
    </row>
    <row r="101" spans="1:48" s="542" customFormat="1" x14ac:dyDescent="0.25">
      <c r="A101" s="1462"/>
      <c r="B101" s="125"/>
      <c r="C101" s="944"/>
      <c r="D101" s="321"/>
      <c r="E101" s="321"/>
      <c r="F101" s="559" t="str">
        <f>IF('C-Design&amp;Const'!$I101="","",'C-Design&amp;Const'!$I101)</f>
        <v>Y</v>
      </c>
      <c r="G101" s="480"/>
      <c r="H101" s="408" t="str">
        <f>CONCATENATE(IF(F101="N","PLACEHOLDER ROW - ",""),'C-Design&amp;Const'!Z101,IF(F101="N","",J101))</f>
        <v xml:space="preserve">Electrical - Demolition(s) (Updates to) </v>
      </c>
      <c r="I101" s="137"/>
      <c r="J101" s="578" t="str">
        <f>IF('C-Design&amp;Const'!AE101="","",'C-Design&amp;Const'!AE101)</f>
        <v xml:space="preserve"> (Updates to) </v>
      </c>
      <c r="K101" s="246" t="str">
        <f t="shared" si="7"/>
        <v/>
      </c>
      <c r="L101" s="1410" t="str">
        <f t="shared" si="7"/>
        <v/>
      </c>
      <c r="M101" s="1333"/>
      <c r="N101" s="1333"/>
      <c r="O101" s="1333"/>
      <c r="P101" s="1333"/>
      <c r="Q101" s="1444"/>
      <c r="R101" s="1445"/>
      <c r="S101" s="1284"/>
      <c r="T101" s="1333"/>
      <c r="U101" s="1333"/>
      <c r="V101" s="1333"/>
      <c r="W101" s="1333"/>
      <c r="X101" s="1333"/>
      <c r="Y101" s="1333"/>
      <c r="Z101" s="1333"/>
      <c r="AA101" s="1333"/>
      <c r="AB101" s="1333"/>
      <c r="AC101" s="1333"/>
      <c r="AD101" s="1333"/>
      <c r="AE101" s="1333"/>
      <c r="AF101" s="1333"/>
      <c r="AG101" s="1333"/>
      <c r="AH101" s="1333"/>
      <c r="AI101" s="1333"/>
      <c r="AJ101" s="1333"/>
      <c r="AK101" s="17"/>
      <c r="AL101" s="17"/>
      <c r="AM101" s="17"/>
      <c r="AN101" s="17"/>
      <c r="AO101" s="17"/>
      <c r="AP101" s="17"/>
      <c r="AQ101" s="17"/>
      <c r="AR101" s="17"/>
      <c r="AS101" s="17"/>
      <c r="AT101" s="17"/>
      <c r="AU101" s="17"/>
      <c r="AV101" s="17"/>
    </row>
    <row r="102" spans="1:48" x14ac:dyDescent="0.25">
      <c r="A102" s="1462"/>
      <c r="B102" s="125"/>
      <c r="C102" s="944"/>
      <c r="D102" s="411"/>
      <c r="E102" s="466"/>
      <c r="F102" s="559" t="str">
        <f>IF('C-Design&amp;Const'!$I102="","",'C-Design&amp;Const'!$I102)</f>
        <v>Y</v>
      </c>
      <c r="G102" s="479"/>
      <c r="H102" s="408" t="str">
        <f>CONCATENATE(IF(F102="N","PLACEHOLDER ROW - ",""),'C-Design&amp;Const'!Z102,IF(F102="N","",J102))</f>
        <v xml:space="preserve">Electrical - Lighting **(verify existing system for renovations) (Updates to) </v>
      </c>
      <c r="I102" s="136"/>
      <c r="J102" s="578" t="str">
        <f>IF('C-Design&amp;Const'!AE102="","",'C-Design&amp;Const'!AE102)</f>
        <v xml:space="preserve"> (Updates to) </v>
      </c>
      <c r="K102" s="246" t="str">
        <f t="shared" si="7"/>
        <v/>
      </c>
      <c r="L102" s="1410" t="str">
        <f t="shared" si="7"/>
        <v/>
      </c>
      <c r="M102" s="1333"/>
      <c r="N102" s="1333"/>
      <c r="O102" s="1333"/>
      <c r="P102" s="1333"/>
      <c r="Q102" s="1444"/>
      <c r="R102" s="1445"/>
      <c r="S102" s="1284"/>
      <c r="T102" s="1333"/>
      <c r="U102" s="1333"/>
      <c r="V102" s="1333"/>
      <c r="W102" s="1333"/>
      <c r="X102" s="1333"/>
      <c r="Y102" s="1333"/>
      <c r="Z102" s="1333"/>
      <c r="AA102" s="1333"/>
      <c r="AB102" s="1333"/>
      <c r="AC102" s="1333"/>
      <c r="AD102" s="1333"/>
      <c r="AE102" s="1333"/>
      <c r="AF102" s="1333"/>
      <c r="AG102" s="1333"/>
      <c r="AH102" s="1333"/>
      <c r="AI102" s="1333"/>
      <c r="AJ102" s="1333"/>
    </row>
    <row r="103" spans="1:48" x14ac:dyDescent="0.25">
      <c r="A103" s="1462"/>
      <c r="B103" s="125"/>
      <c r="C103" s="944"/>
      <c r="D103" s="411"/>
      <c r="E103" s="466"/>
      <c r="F103" s="559" t="str">
        <f>IF('C-Design&amp;Const'!$I103="","",'C-Design&amp;Const'!$I103)</f>
        <v>Y</v>
      </c>
      <c r="G103" s="479"/>
      <c r="H103" s="796" t="str">
        <f>CONCATENATE(IF(F103="N","PLACEHOLDER ROW - ",""),'C-Design&amp;Const'!Z103,IF(F103="N","",J103))</f>
        <v xml:space="preserve">Electrical - Elevators **(verify existing system for renovations) (Updates to) </v>
      </c>
      <c r="I103" s="136"/>
      <c r="J103" s="578" t="str">
        <f>IF('C-Design&amp;Const'!AE103="","",'C-Design&amp;Const'!AE103)</f>
        <v xml:space="preserve"> (Updates to) </v>
      </c>
      <c r="K103" s="246" t="str">
        <f t="shared" si="7"/>
        <v/>
      </c>
      <c r="L103" s="1410" t="str">
        <f t="shared" si="7"/>
        <v/>
      </c>
      <c r="M103" s="1333"/>
      <c r="N103" s="1333"/>
      <c r="O103" s="1333"/>
      <c r="P103" s="1333"/>
      <c r="Q103" s="1444"/>
      <c r="R103" s="1445"/>
      <c r="S103" s="1284"/>
      <c r="T103" s="1333"/>
      <c r="U103" s="1333"/>
      <c r="V103" s="1333"/>
      <c r="W103" s="1333"/>
      <c r="X103" s="1333"/>
      <c r="Y103" s="1333"/>
      <c r="Z103" s="1333"/>
      <c r="AA103" s="1333"/>
      <c r="AB103" s="1333"/>
      <c r="AC103" s="1333"/>
      <c r="AD103" s="1333"/>
      <c r="AE103" s="1333"/>
      <c r="AF103" s="1333"/>
      <c r="AG103" s="1333"/>
      <c r="AH103" s="1333"/>
      <c r="AI103" s="1333"/>
      <c r="AJ103" s="1333"/>
    </row>
    <row r="104" spans="1:48" x14ac:dyDescent="0.25">
      <c r="A104" s="1462"/>
      <c r="B104" s="125"/>
      <c r="C104" s="944"/>
      <c r="D104" s="411"/>
      <c r="E104" s="466"/>
      <c r="F104" s="559" t="str">
        <f>IF('C-Design&amp;Const'!$I104="","",'C-Design&amp;Const'!$I104)</f>
        <v>Y</v>
      </c>
      <c r="G104" s="479"/>
      <c r="H104" s="408" t="str">
        <f>CONCATENATE(IF(F104="N","PLACEHOLDER ROW - ",""),'C-Design&amp;Const'!Z104,IF(F104="N","",J104))</f>
        <v xml:space="preserve">Electrical - Lightning Protection System(s) **(verify existing system for renovations) (Updates to) </v>
      </c>
      <c r="I104" s="136"/>
      <c r="J104" s="578" t="str">
        <f>IF('C-Design&amp;Const'!AE104="","",'C-Design&amp;Const'!AE104)</f>
        <v xml:space="preserve"> (Updates to) </v>
      </c>
      <c r="K104" s="246" t="str">
        <f t="shared" si="7"/>
        <v/>
      </c>
      <c r="L104" s="1410" t="str">
        <f t="shared" si="7"/>
        <v/>
      </c>
      <c r="M104" s="1333"/>
      <c r="N104" s="1333"/>
      <c r="O104" s="1333"/>
      <c r="P104" s="1333"/>
      <c r="Q104" s="1444"/>
      <c r="R104" s="1445"/>
      <c r="S104" s="1284"/>
      <c r="T104" s="1333"/>
      <c r="U104" s="1333"/>
      <c r="V104" s="1333"/>
      <c r="W104" s="1333"/>
      <c r="X104" s="1333"/>
      <c r="Y104" s="1333"/>
      <c r="Z104" s="1333"/>
      <c r="AA104" s="1333"/>
      <c r="AB104" s="1333"/>
      <c r="AC104" s="1333"/>
      <c r="AD104" s="1333"/>
      <c r="AE104" s="1333"/>
      <c r="AF104" s="1333"/>
      <c r="AG104" s="1333"/>
      <c r="AH104" s="1333"/>
      <c r="AI104" s="1333"/>
      <c r="AJ104" s="1333"/>
    </row>
    <row r="105" spans="1:48" x14ac:dyDescent="0.25">
      <c r="A105" s="1462"/>
      <c r="B105" s="125"/>
      <c r="C105" s="944"/>
      <c r="D105" s="411"/>
      <c r="E105" s="466"/>
      <c r="F105" s="559" t="str">
        <f>IF('C-Design&amp;Const'!$I105="","",'C-Design&amp;Const'!$I105)</f>
        <v>Y</v>
      </c>
      <c r="G105" s="479"/>
      <c r="H105" s="408" t="str">
        <f>CONCATENATE(IF(F105="N","PLACEHOLDER ROW - ",""),'C-Design&amp;Const'!Z105,IF(F105="N","",J105))</f>
        <v xml:space="preserve">Electrical - Fire Alarm System(s) **(verify existing system for renovations) (Updates to) </v>
      </c>
      <c r="I105" s="136"/>
      <c r="J105" s="578" t="str">
        <f>IF('C-Design&amp;Const'!AE105="","",'C-Design&amp;Const'!AE105)</f>
        <v xml:space="preserve"> (Updates to) </v>
      </c>
      <c r="K105" s="246" t="str">
        <f t="shared" si="7"/>
        <v/>
      </c>
      <c r="L105" s="1410" t="str">
        <f t="shared" si="7"/>
        <v/>
      </c>
      <c r="M105" s="1333"/>
      <c r="N105" s="1333"/>
      <c r="O105" s="1333"/>
      <c r="P105" s="1333"/>
      <c r="Q105" s="1444"/>
      <c r="R105" s="1445"/>
      <c r="S105" s="1284"/>
      <c r="T105" s="1333"/>
      <c r="U105" s="1333"/>
      <c r="V105" s="1333"/>
      <c r="W105" s="1333"/>
      <c r="X105" s="1333"/>
      <c r="Y105" s="1333"/>
      <c r="Z105" s="1333"/>
      <c r="AA105" s="1333"/>
      <c r="AB105" s="1333"/>
      <c r="AC105" s="1333"/>
      <c r="AD105" s="1333"/>
      <c r="AE105" s="1333"/>
      <c r="AF105" s="1333"/>
      <c r="AG105" s="1333"/>
      <c r="AH105" s="1333"/>
      <c r="AI105" s="1333"/>
      <c r="AJ105" s="1333"/>
    </row>
    <row r="106" spans="1:48" ht="22.5" customHeight="1" x14ac:dyDescent="0.25">
      <c r="A106" s="1462"/>
      <c r="B106" s="125"/>
      <c r="C106" s="944"/>
      <c r="D106" s="411"/>
      <c r="E106" s="466"/>
      <c r="F106" s="559" t="str">
        <f>IF('C-Design&amp;Const'!$I106="","",'C-Design&amp;Const'!$I106)</f>
        <v>Y</v>
      </c>
      <c r="G106" s="479"/>
      <c r="H106" s="408" t="str">
        <f>CONCATENATE(IF(F106="N","PLACEHOLDER ROW - ",""),'C-Design&amp;Const'!Z106,IF(F106="N","",J106))</f>
        <v xml:space="preserve">Electrical - Emergency Generator systems to support **(verify existing systems for renovations) (Updates to) </v>
      </c>
      <c r="I106" s="136"/>
      <c r="J106" s="578" t="str">
        <f>IF('C-Design&amp;Const'!AE106="","",'C-Design&amp;Const'!AE106)</f>
        <v xml:space="preserve"> (Updates to) </v>
      </c>
      <c r="K106" s="246" t="str">
        <f t="shared" si="7"/>
        <v/>
      </c>
      <c r="L106" s="1410" t="str">
        <f t="shared" si="7"/>
        <v/>
      </c>
      <c r="M106" s="1333"/>
      <c r="N106" s="1333"/>
      <c r="O106" s="1333"/>
      <c r="P106" s="1333"/>
      <c r="Q106" s="1444"/>
      <c r="R106" s="1445"/>
      <c r="S106" s="1284"/>
      <c r="T106" s="1333"/>
      <c r="U106" s="1333"/>
      <c r="V106" s="1333"/>
      <c r="W106" s="1333"/>
      <c r="X106" s="1333"/>
      <c r="Y106" s="1333"/>
      <c r="Z106" s="1333"/>
      <c r="AA106" s="1333"/>
      <c r="AB106" s="1333"/>
      <c r="AC106" s="1333"/>
      <c r="AD106" s="1333"/>
      <c r="AE106" s="1333"/>
      <c r="AF106" s="1333"/>
      <c r="AG106" s="1333"/>
      <c r="AH106" s="1333"/>
      <c r="AI106" s="1333"/>
      <c r="AJ106" s="1333"/>
    </row>
    <row r="107" spans="1:48" x14ac:dyDescent="0.25">
      <c r="A107" s="1462"/>
      <c r="B107" s="125"/>
      <c r="C107" s="944"/>
      <c r="D107" s="411"/>
      <c r="E107" s="466"/>
      <c r="F107" s="559" t="str">
        <f>IF('C-Design&amp;Const'!$I107="","",'C-Design&amp;Const'!$I107)</f>
        <v>Y</v>
      </c>
      <c r="G107" s="479"/>
      <c r="H107" s="408" t="str">
        <f>CONCATENATE(IF(F107="N","PLACEHOLDER ROW - ",""),'C-Design&amp;Const'!Z107,IF(F107="N","",J107))</f>
        <v xml:space="preserve">Electrical - Cut Sheets or Product Sheets on Lighting fixtures (Updates to) </v>
      </c>
      <c r="I107" s="136"/>
      <c r="J107" s="578" t="str">
        <f>IF('C-Design&amp;Const'!AE107="","",'C-Design&amp;Const'!AE107)</f>
        <v xml:space="preserve"> (Updates to) </v>
      </c>
      <c r="K107" s="246" t="str">
        <f t="shared" si="7"/>
        <v/>
      </c>
      <c r="L107" s="1410" t="str">
        <f t="shared" si="7"/>
        <v/>
      </c>
      <c r="M107" s="1333"/>
      <c r="N107" s="1333"/>
      <c r="O107" s="1333"/>
      <c r="P107" s="1333"/>
      <c r="Q107" s="1444"/>
      <c r="R107" s="1445"/>
      <c r="S107" s="1284"/>
      <c r="T107" s="1333"/>
      <c r="U107" s="1333"/>
      <c r="V107" s="1333"/>
      <c r="W107" s="1333"/>
      <c r="X107" s="1333"/>
      <c r="Y107" s="1333"/>
      <c r="Z107" s="1333"/>
      <c r="AA107" s="1333"/>
      <c r="AB107" s="1333"/>
      <c r="AC107" s="1333"/>
      <c r="AD107" s="1333"/>
      <c r="AE107" s="1333"/>
      <c r="AF107" s="1333"/>
      <c r="AG107" s="1333"/>
      <c r="AH107" s="1333"/>
      <c r="AI107" s="1333"/>
      <c r="AJ107" s="1333"/>
    </row>
    <row r="108" spans="1:48" x14ac:dyDescent="0.25">
      <c r="A108" s="1462"/>
      <c r="B108" s="125"/>
      <c r="C108" s="944"/>
      <c r="D108" s="411"/>
      <c r="E108" s="466"/>
      <c r="F108" s="559" t="str">
        <f>IF('C-Design&amp;Const'!$I108="","",'C-Design&amp;Const'!$I108)</f>
        <v>N</v>
      </c>
      <c r="G108" s="479"/>
      <c r="H108" s="408" t="str">
        <f>CONCATENATE(IF(F108="N","PLACEHOLDER ROW - ",""),'C-Design&amp;Const'!Z108,IF(F108="N","",J108))</f>
        <v>PLACEHOLDER ROW - Electrical - CUSTOM</v>
      </c>
      <c r="I108" s="136"/>
      <c r="J108" s="578" t="str">
        <f>IF('C-Design&amp;Const'!AE108="","",'C-Design&amp;Const'!AE108)</f>
        <v xml:space="preserve"> (Updates to) </v>
      </c>
      <c r="K108" s="246" t="str">
        <f t="shared" si="7"/>
        <v/>
      </c>
      <c r="L108" s="1410" t="str">
        <f t="shared" si="7"/>
        <v>&lt;---PM/Planner may hide PLACEHOLDER ROW</v>
      </c>
      <c r="M108" s="1333"/>
      <c r="N108" s="1333"/>
      <c r="O108" s="1333"/>
      <c r="P108" s="1333"/>
      <c r="Q108" s="1444"/>
      <c r="R108" s="1445"/>
      <c r="S108" s="1284"/>
      <c r="T108" s="1333"/>
      <c r="U108" s="1333"/>
      <c r="V108" s="1333"/>
      <c r="W108" s="1333"/>
      <c r="X108" s="1333"/>
      <c r="Y108" s="1333"/>
      <c r="Z108" s="1333"/>
      <c r="AA108" s="1333"/>
      <c r="AB108" s="1333"/>
      <c r="AC108" s="1333"/>
      <c r="AD108" s="1333"/>
      <c r="AE108" s="1333"/>
      <c r="AF108" s="1333"/>
      <c r="AG108" s="1333"/>
      <c r="AH108" s="1333"/>
      <c r="AI108" s="1333"/>
      <c r="AJ108" s="1333"/>
    </row>
    <row r="109" spans="1:48" s="30" customFormat="1" ht="24.75" customHeight="1" x14ac:dyDescent="0.25">
      <c r="A109" s="1462"/>
      <c r="B109" s="191"/>
      <c r="C109" s="944"/>
      <c r="D109" s="463"/>
      <c r="E109" s="467"/>
      <c r="F109" s="559" t="str">
        <f>IF('C-Design&amp;Const'!$I109="","",'C-Design&amp;Const'!$I109)</f>
        <v>Y</v>
      </c>
      <c r="G109" s="291"/>
      <c r="H109" s="408" t="str">
        <f>CONCATENATE(IF(F109="N","PLACEHOLDER ROW - ",""),'C-Design&amp;Const'!Z109,IF(F109="N","",J109))</f>
        <v xml:space="preserve">Building Automation Systems- General - **(verify existing system for renovations) (Updates to) </v>
      </c>
      <c r="I109" s="184"/>
      <c r="J109" s="578" t="str">
        <f>IF('C-Design&amp;Const'!AE109="","",'C-Design&amp;Const'!AE109)</f>
        <v xml:space="preserve"> (Updates to) </v>
      </c>
      <c r="K109" s="246" t="str">
        <f t="shared" ref="K109:L114" si="8">CONCATENATE(IF(ISNUMBER(SEARCH("Placeholder",G109))=TRUE,"&lt;---PM/Planner may hide PLACEHOLDER ROW",""))</f>
        <v/>
      </c>
      <c r="L109" s="1410" t="str">
        <f t="shared" si="8"/>
        <v/>
      </c>
      <c r="M109" s="1382"/>
      <c r="N109" s="1382"/>
      <c r="O109" s="1382"/>
      <c r="P109" s="1382"/>
      <c r="Q109" s="1382"/>
      <c r="R109" s="1382"/>
      <c r="S109" s="1382"/>
      <c r="T109" s="1382"/>
      <c r="U109" s="1382"/>
      <c r="V109" s="1382"/>
      <c r="W109" s="1382"/>
      <c r="X109" s="1382"/>
      <c r="Y109" s="1382"/>
      <c r="Z109" s="1382"/>
      <c r="AA109" s="1382"/>
      <c r="AB109" s="1382"/>
      <c r="AC109" s="1382"/>
      <c r="AD109" s="1382"/>
      <c r="AE109" s="1382"/>
      <c r="AF109" s="1382"/>
      <c r="AG109" s="1382"/>
      <c r="AH109" s="1382"/>
      <c r="AI109" s="1382"/>
      <c r="AJ109" s="1382"/>
      <c r="AK109" s="181"/>
      <c r="AL109" s="181"/>
      <c r="AM109" s="181"/>
      <c r="AN109" s="181"/>
      <c r="AO109" s="181"/>
      <c r="AP109" s="181"/>
      <c r="AQ109" s="181"/>
      <c r="AR109" s="181"/>
      <c r="AS109" s="181"/>
      <c r="AT109" s="181"/>
      <c r="AU109" s="181"/>
      <c r="AV109" s="181"/>
    </row>
    <row r="110" spans="1:48" s="542" customFormat="1" x14ac:dyDescent="0.25">
      <c r="A110" s="1462"/>
      <c r="B110" s="125"/>
      <c r="C110" s="944"/>
      <c r="D110" s="321"/>
      <c r="E110" s="321"/>
      <c r="F110" s="559" t="str">
        <f>IF('C-Design&amp;Const'!$I110="","",'C-Design&amp;Const'!$I110)</f>
        <v>Y</v>
      </c>
      <c r="G110" s="480"/>
      <c r="H110" s="408" t="str">
        <f>CONCATENATE(IF(F110="N","PLACEHOLDER ROW - ",""),'C-Design&amp;Const'!Z110,IF(F110="N","",J110))</f>
        <v xml:space="preserve">Building Automation Systems - Demolition(s) (Updates to) </v>
      </c>
      <c r="I110" s="137"/>
      <c r="J110" s="578" t="str">
        <f>IF('C-Design&amp;Const'!AE110="","",'C-Design&amp;Const'!AE110)</f>
        <v xml:space="preserve"> (Updates to) </v>
      </c>
      <c r="K110" s="246" t="str">
        <f t="shared" si="8"/>
        <v/>
      </c>
      <c r="L110" s="1410" t="str">
        <f t="shared" si="8"/>
        <v/>
      </c>
      <c r="M110" s="1333"/>
      <c r="N110" s="1333"/>
      <c r="O110" s="1333"/>
      <c r="P110" s="1333"/>
      <c r="Q110" s="1444"/>
      <c r="R110" s="1445"/>
      <c r="S110" s="1284"/>
      <c r="T110" s="1333"/>
      <c r="U110" s="1333"/>
      <c r="V110" s="1333"/>
      <c r="W110" s="1333"/>
      <c r="X110" s="1333"/>
      <c r="Y110" s="1333"/>
      <c r="Z110" s="1333"/>
      <c r="AA110" s="1333"/>
      <c r="AB110" s="1333"/>
      <c r="AC110" s="1333"/>
      <c r="AD110" s="1333"/>
      <c r="AE110" s="1333"/>
      <c r="AF110" s="1333"/>
      <c r="AG110" s="1333"/>
      <c r="AH110" s="1333"/>
      <c r="AI110" s="1333"/>
      <c r="AJ110" s="1333"/>
      <c r="AK110" s="17"/>
      <c r="AL110" s="17"/>
      <c r="AM110" s="17"/>
      <c r="AN110" s="17"/>
      <c r="AO110" s="17"/>
      <c r="AP110" s="17"/>
      <c r="AQ110" s="17"/>
      <c r="AR110" s="17"/>
      <c r="AS110" s="17"/>
      <c r="AT110" s="17"/>
      <c r="AU110" s="17"/>
      <c r="AV110" s="17"/>
    </row>
    <row r="111" spans="1:48" s="30" customFormat="1" ht="15" customHeight="1" x14ac:dyDescent="0.25">
      <c r="A111" s="1462"/>
      <c r="B111" s="191"/>
      <c r="C111" s="944"/>
      <c r="D111" s="463"/>
      <c r="E111" s="467"/>
      <c r="F111" s="559" t="str">
        <f>IF('C-Design&amp;Const'!$I111="","",'C-Design&amp;Const'!$I111)</f>
        <v>Y</v>
      </c>
      <c r="G111" s="291"/>
      <c r="H111" s="408" t="str">
        <f>CONCATENATE(IF(F111="N","PLACEHOLDER ROW - ",""),'C-Design&amp;Const'!Z111,IF(F111="N","",J111))</f>
        <v xml:space="preserve">Building Automation Systems - Systems Network Architecture (Updates to) </v>
      </c>
      <c r="I111" s="184"/>
      <c r="J111" s="578" t="str">
        <f>IF('C-Design&amp;Const'!AE111="","",'C-Design&amp;Const'!AE111)</f>
        <v xml:space="preserve"> (Updates to) </v>
      </c>
      <c r="K111" s="246" t="str">
        <f t="shared" si="8"/>
        <v/>
      </c>
      <c r="L111" s="1410" t="str">
        <f t="shared" si="8"/>
        <v/>
      </c>
      <c r="M111" s="1382"/>
      <c r="N111" s="1382"/>
      <c r="O111" s="1382"/>
      <c r="P111" s="1382"/>
      <c r="Q111" s="1382"/>
      <c r="R111" s="1382"/>
      <c r="S111" s="1382"/>
      <c r="T111" s="1382"/>
      <c r="U111" s="1382"/>
      <c r="V111" s="1382"/>
      <c r="W111" s="1382"/>
      <c r="X111" s="1382"/>
      <c r="Y111" s="1382"/>
      <c r="Z111" s="1382"/>
      <c r="AA111" s="1382"/>
      <c r="AB111" s="1382"/>
      <c r="AC111" s="1382"/>
      <c r="AD111" s="1382"/>
      <c r="AE111" s="1382"/>
      <c r="AF111" s="1382"/>
      <c r="AG111" s="1382"/>
      <c r="AH111" s="1382"/>
      <c r="AI111" s="1382"/>
      <c r="AJ111" s="1382"/>
      <c r="AK111" s="181"/>
      <c r="AL111" s="181"/>
      <c r="AM111" s="181"/>
      <c r="AN111" s="181"/>
      <c r="AO111" s="181"/>
      <c r="AP111" s="181"/>
      <c r="AQ111" s="181"/>
      <c r="AR111" s="181"/>
      <c r="AS111" s="181"/>
      <c r="AT111" s="181"/>
      <c r="AU111" s="181"/>
      <c r="AV111" s="181"/>
    </row>
    <row r="112" spans="1:48" s="30" customFormat="1" ht="15" customHeight="1" x14ac:dyDescent="0.25">
      <c r="A112" s="1462"/>
      <c r="B112" s="191"/>
      <c r="C112" s="944"/>
      <c r="D112" s="463"/>
      <c r="E112" s="467"/>
      <c r="F112" s="559" t="str">
        <f>IF('C-Design&amp;Const'!$I112="","",'C-Design&amp;Const'!$I112)</f>
        <v>Y</v>
      </c>
      <c r="G112" s="291"/>
      <c r="H112" s="408" t="str">
        <f>CONCATENATE(IF(F112="N","PLACEHOLDER ROW - ",""),'C-Design&amp;Const'!Z112,IF(F112="N","",J112))</f>
        <v xml:space="preserve">Building Automation Systems - HVAC Temperature Controls System(s) (Updates to) </v>
      </c>
      <c r="I112" s="184"/>
      <c r="J112" s="578" t="str">
        <f>IF('C-Design&amp;Const'!AE112="","",'C-Design&amp;Const'!AE112)</f>
        <v xml:space="preserve"> (Updates to) </v>
      </c>
      <c r="K112" s="246" t="str">
        <f t="shared" si="8"/>
        <v/>
      </c>
      <c r="L112" s="1410" t="str">
        <f t="shared" si="8"/>
        <v/>
      </c>
      <c r="M112" s="1382"/>
      <c r="N112" s="1382"/>
      <c r="O112" s="1382"/>
      <c r="P112" s="1382"/>
      <c r="Q112" s="1382"/>
      <c r="R112" s="1382"/>
      <c r="S112" s="1382"/>
      <c r="T112" s="1382"/>
      <c r="U112" s="1382"/>
      <c r="V112" s="1382"/>
      <c r="W112" s="1382"/>
      <c r="X112" s="1382"/>
      <c r="Y112" s="1382"/>
      <c r="Z112" s="1382"/>
      <c r="AA112" s="1382"/>
      <c r="AB112" s="1382"/>
      <c r="AC112" s="1382"/>
      <c r="AD112" s="1382"/>
      <c r="AE112" s="1382"/>
      <c r="AF112" s="1382"/>
      <c r="AG112" s="1382"/>
      <c r="AH112" s="1382"/>
      <c r="AI112" s="1382"/>
      <c r="AJ112" s="1382"/>
      <c r="AK112" s="181"/>
      <c r="AL112" s="181"/>
      <c r="AM112" s="181"/>
      <c r="AN112" s="181"/>
      <c r="AO112" s="181"/>
      <c r="AP112" s="181"/>
      <c r="AQ112" s="181"/>
      <c r="AR112" s="181"/>
      <c r="AS112" s="181"/>
      <c r="AT112" s="181"/>
      <c r="AU112" s="181"/>
      <c r="AV112" s="181"/>
    </row>
    <row r="113" spans="1:48" x14ac:dyDescent="0.25">
      <c r="A113" s="1462"/>
      <c r="B113" s="125"/>
      <c r="C113" s="944"/>
      <c r="D113" s="411"/>
      <c r="E113" s="466"/>
      <c r="F113" s="559" t="str">
        <f>IF('C-Design&amp;Const'!$I113="","",'C-Design&amp;Const'!$I113)</f>
        <v>N</v>
      </c>
      <c r="G113" s="479"/>
      <c r="H113" s="408" t="str">
        <f>CONCATENATE(IF(F113="N","PLACEHOLDER ROW - ",""),'C-Design&amp;Const'!Z113,IF(F113="N","",J113))</f>
        <v>PLACEHOLDER ROW - Building Automation Systems - CUSTOM</v>
      </c>
      <c r="I113" s="136"/>
      <c r="J113" s="578" t="str">
        <f>IF('C-Design&amp;Const'!AE113="","",'C-Design&amp;Const'!AE113)</f>
        <v xml:space="preserve"> (Updates to) </v>
      </c>
      <c r="K113" s="246" t="str">
        <f t="shared" si="8"/>
        <v/>
      </c>
      <c r="L113" s="1410" t="str">
        <f t="shared" si="8"/>
        <v>&lt;---PM/Planner may hide PLACEHOLDER ROW</v>
      </c>
      <c r="M113" s="1333"/>
      <c r="N113" s="1333"/>
      <c r="O113" s="1333"/>
      <c r="P113" s="1333"/>
      <c r="Q113" s="1444"/>
      <c r="R113" s="1445"/>
      <c r="S113" s="1284"/>
      <c r="T113" s="1333"/>
      <c r="U113" s="1333"/>
      <c r="V113" s="1333"/>
      <c r="W113" s="1333"/>
      <c r="X113" s="1333"/>
      <c r="Y113" s="1333"/>
      <c r="Z113" s="1333"/>
      <c r="AA113" s="1333"/>
      <c r="AB113" s="1333"/>
      <c r="AC113" s="1333"/>
      <c r="AD113" s="1333"/>
      <c r="AE113" s="1333"/>
      <c r="AF113" s="1333"/>
      <c r="AG113" s="1333"/>
      <c r="AH113" s="1333"/>
      <c r="AI113" s="1333"/>
      <c r="AJ113" s="1333"/>
    </row>
    <row r="114" spans="1:48" x14ac:dyDescent="0.25">
      <c r="A114" s="1462"/>
      <c r="B114" s="125"/>
      <c r="C114" s="944"/>
      <c r="D114" s="411"/>
      <c r="E114" s="466"/>
      <c r="F114" s="559" t="str">
        <f>IF('C-Design&amp;Const'!$I114="","",'C-Design&amp;Const'!$I114)</f>
        <v>Y</v>
      </c>
      <c r="G114" s="479"/>
      <c r="H114" s="408" t="str">
        <f>CONCATENATE(IF(F114="N","PLACEHOLDER ROW - ",""),'C-Design&amp;Const'!Z114,IF(F114="N","",J114))</f>
        <v xml:space="preserve">Access Controls - General Systems (Updates to) </v>
      </c>
      <c r="I114" s="136"/>
      <c r="J114" s="578" t="str">
        <f>IF('C-Design&amp;Const'!AE114="","",'C-Design&amp;Const'!AE114)</f>
        <v xml:space="preserve"> (Updates to) </v>
      </c>
      <c r="K114" s="246" t="str">
        <f t="shared" si="8"/>
        <v/>
      </c>
      <c r="L114" s="1410" t="str">
        <f t="shared" si="8"/>
        <v/>
      </c>
      <c r="M114" s="1333"/>
      <c r="N114" s="1333"/>
      <c r="O114" s="1333"/>
      <c r="P114" s="1333"/>
      <c r="Q114" s="1444"/>
      <c r="R114" s="1445"/>
      <c r="S114" s="1284"/>
      <c r="T114" s="1333"/>
      <c r="U114" s="1333"/>
      <c r="V114" s="1333"/>
      <c r="W114" s="1333"/>
      <c r="X114" s="1333"/>
      <c r="Y114" s="1333"/>
      <c r="Z114" s="1333"/>
      <c r="AA114" s="1333"/>
      <c r="AB114" s="1333"/>
      <c r="AC114" s="1333"/>
      <c r="AD114" s="1333"/>
      <c r="AE114" s="1333"/>
      <c r="AF114" s="1333"/>
      <c r="AG114" s="1333"/>
      <c r="AH114" s="1333"/>
      <c r="AI114" s="1333"/>
      <c r="AJ114" s="1333"/>
    </row>
    <row r="115" spans="1:48" s="542" customFormat="1" x14ac:dyDescent="0.25">
      <c r="A115" s="1462"/>
      <c r="B115" s="125"/>
      <c r="C115" s="944"/>
      <c r="D115" s="321"/>
      <c r="E115" s="321"/>
      <c r="F115" s="559" t="str">
        <f>IF('C-Design&amp;Const'!$I115="","",'C-Design&amp;Const'!$I115)</f>
        <v>Y</v>
      </c>
      <c r="G115" s="480"/>
      <c r="H115" s="408" t="str">
        <f>CONCATENATE(IF(F115="N","PLACEHOLDER ROW - ",""),'C-Design&amp;Const'!Z115,IF(F115="N","",J115))</f>
        <v xml:space="preserve">Access Controls - Demolition(s) (Updates to) </v>
      </c>
      <c r="I115" s="137"/>
      <c r="J115" s="578" t="str">
        <f>IF('C-Design&amp;Const'!AE115="","",'C-Design&amp;Const'!AE115)</f>
        <v xml:space="preserve"> (Updates to) </v>
      </c>
      <c r="K115" s="246" t="str">
        <f t="shared" ref="K115" si="9">CONCATENATE(IF(ISNUMBER(SEARCH("Placeholder",G115))=TRUE,"&lt;---PM/Planner may hide PLACEHOLDER ROW",""))</f>
        <v/>
      </c>
      <c r="L115" s="1410" t="str">
        <f t="shared" ref="L115" si="10">CONCATENATE(IF(ISNUMBER(SEARCH("Placeholder",H115))=TRUE,"&lt;---PM/Planner may hide PLACEHOLDER ROW",""))</f>
        <v/>
      </c>
      <c r="M115" s="1333"/>
      <c r="N115" s="1333"/>
      <c r="O115" s="1333"/>
      <c r="P115" s="1333"/>
      <c r="Q115" s="1444"/>
      <c r="R115" s="1445"/>
      <c r="S115" s="1284"/>
      <c r="T115" s="1333"/>
      <c r="U115" s="1333"/>
      <c r="V115" s="1333"/>
      <c r="W115" s="1333"/>
      <c r="X115" s="1333"/>
      <c r="Y115" s="1333"/>
      <c r="Z115" s="1333"/>
      <c r="AA115" s="1333"/>
      <c r="AB115" s="1333"/>
      <c r="AC115" s="1333"/>
      <c r="AD115" s="1333"/>
      <c r="AE115" s="1333"/>
      <c r="AF115" s="1333"/>
      <c r="AG115" s="1333"/>
      <c r="AH115" s="1333"/>
      <c r="AI115" s="1333"/>
      <c r="AJ115" s="1333"/>
      <c r="AK115" s="17"/>
      <c r="AL115" s="17"/>
      <c r="AM115" s="17"/>
      <c r="AN115" s="17"/>
      <c r="AO115" s="17"/>
      <c r="AP115" s="17"/>
      <c r="AQ115" s="17"/>
      <c r="AR115" s="17"/>
      <c r="AS115" s="17"/>
      <c r="AT115" s="17"/>
      <c r="AU115" s="17"/>
      <c r="AV115" s="17"/>
    </row>
    <row r="116" spans="1:48" x14ac:dyDescent="0.25">
      <c r="A116" s="1462"/>
      <c r="B116" s="125"/>
      <c r="C116" s="944"/>
      <c r="D116" s="411"/>
      <c r="E116" s="466"/>
      <c r="F116" s="559" t="str">
        <f>IF('C-Design&amp;Const'!$I116="","",'C-Design&amp;Const'!$I116)</f>
        <v>N</v>
      </c>
      <c r="G116" s="479"/>
      <c r="H116" s="1665" t="str">
        <f>CONCATENATE(IF(F116="N","PLACEHOLDER ROW - ",""),'C-Design&amp;Const'!Z116,IF(F116="N","",J116))</f>
        <v>PLACEHOLDER ROW - Access Controls - CUSTOM</v>
      </c>
      <c r="I116" s="136"/>
      <c r="J116" s="578" t="str">
        <f>IF('C-Design&amp;Const'!AE116="","",'C-Design&amp;Const'!AE116)</f>
        <v xml:space="preserve"> (Updates to) </v>
      </c>
      <c r="K116" s="246" t="str">
        <f>CONCATENATE(IF(ISNUMBER(SEARCH("Placeholder",G116))=TRUE,"&lt;---PM/Planner may hide PLACEHOLDER ROW",""))</f>
        <v/>
      </c>
      <c r="L116" s="1410" t="str">
        <f>CONCATENATE(IF(ISNUMBER(SEARCH("Placeholder",H116))=TRUE,"&lt;---PM/Planner may hide PLACEHOLDER ROW",""))</f>
        <v>&lt;---PM/Planner may hide PLACEHOLDER ROW</v>
      </c>
      <c r="M116" s="1333"/>
      <c r="N116" s="1333"/>
      <c r="O116" s="1333"/>
      <c r="P116" s="1333"/>
      <c r="Q116" s="1444"/>
      <c r="R116" s="1445"/>
      <c r="S116" s="1284"/>
      <c r="T116" s="1333"/>
      <c r="U116" s="1333"/>
      <c r="V116" s="1333"/>
      <c r="W116" s="1333"/>
      <c r="X116" s="1333"/>
      <c r="Y116" s="1333"/>
      <c r="Z116" s="1333"/>
      <c r="AA116" s="1333"/>
      <c r="AB116" s="1333"/>
      <c r="AC116" s="1333"/>
      <c r="AD116" s="1333"/>
      <c r="AE116" s="1333"/>
      <c r="AF116" s="1333"/>
      <c r="AG116" s="1333"/>
      <c r="AH116" s="1333"/>
      <c r="AI116" s="1333"/>
      <c r="AJ116" s="1333"/>
    </row>
    <row r="117" spans="1:48" x14ac:dyDescent="0.25">
      <c r="A117" s="1462"/>
      <c r="B117" s="125"/>
      <c r="C117" s="944"/>
      <c r="D117" s="411"/>
      <c r="E117" s="466"/>
      <c r="F117" s="559" t="str">
        <f>IF('C-Design&amp;Const'!$I117="","",'C-Design&amp;Const'!$I117)</f>
        <v>Y</v>
      </c>
      <c r="G117" s="479"/>
      <c r="H117" s="408" t="str">
        <f>CONCATENATE(IF(F117="N","PLACEHOLDER ROW - ",""),'C-Design&amp;Const'!Z117,IF(F117="N","",J117))</f>
        <v xml:space="preserve">Telecom - General Systems  (Updates to) </v>
      </c>
      <c r="I117" s="136"/>
      <c r="J117" s="578" t="str">
        <f>IF('C-Design&amp;Const'!AE117="","",'C-Design&amp;Const'!AE117)</f>
        <v xml:space="preserve"> (Updates to) </v>
      </c>
      <c r="K117" s="246" t="str">
        <f t="shared" si="7"/>
        <v/>
      </c>
      <c r="L117" s="1410" t="str">
        <f t="shared" si="7"/>
        <v/>
      </c>
      <c r="M117" s="1333"/>
      <c r="N117" s="1333"/>
      <c r="O117" s="1333"/>
      <c r="P117" s="1333"/>
      <c r="Q117" s="1444"/>
      <c r="R117" s="1445"/>
      <c r="S117" s="1284"/>
      <c r="T117" s="1333"/>
      <c r="U117" s="1333"/>
      <c r="V117" s="1333"/>
      <c r="W117" s="1333"/>
      <c r="X117" s="1333"/>
      <c r="Y117" s="1333"/>
      <c r="Z117" s="1333"/>
      <c r="AA117" s="1333"/>
      <c r="AB117" s="1333"/>
      <c r="AC117" s="1333"/>
      <c r="AD117" s="1333"/>
      <c r="AE117" s="1333"/>
      <c r="AF117" s="1333"/>
      <c r="AG117" s="1333"/>
      <c r="AH117" s="1333"/>
      <c r="AI117" s="1333"/>
      <c r="AJ117" s="1333"/>
    </row>
    <row r="118" spans="1:48" s="542" customFormat="1" x14ac:dyDescent="0.25">
      <c r="A118" s="1462"/>
      <c r="B118" s="125"/>
      <c r="C118" s="944"/>
      <c r="D118" s="321"/>
      <c r="E118" s="321"/>
      <c r="F118" s="559" t="str">
        <f>IF('C-Design&amp;Const'!$I118="","",'C-Design&amp;Const'!$I118)</f>
        <v>Y</v>
      </c>
      <c r="G118" s="480"/>
      <c r="H118" s="408" t="str">
        <f>CONCATENATE(IF(F118="N","PLACEHOLDER ROW - ",""),'C-Design&amp;Const'!Z118,IF(F118="N","",J118))</f>
        <v xml:space="preserve">Telecom - Demolition(s) (Updates to) </v>
      </c>
      <c r="I118" s="137"/>
      <c r="J118" s="578" t="str">
        <f>IF('C-Design&amp;Const'!AE118="","",'C-Design&amp;Const'!AE118)</f>
        <v xml:space="preserve"> (Updates to) </v>
      </c>
      <c r="K118" s="246" t="str">
        <f t="shared" si="7"/>
        <v/>
      </c>
      <c r="L118" s="1410" t="str">
        <f t="shared" si="7"/>
        <v/>
      </c>
      <c r="M118" s="1333"/>
      <c r="N118" s="1333"/>
      <c r="O118" s="1333"/>
      <c r="P118" s="1333"/>
      <c r="Q118" s="1444"/>
      <c r="R118" s="1445"/>
      <c r="S118" s="1284"/>
      <c r="T118" s="1333"/>
      <c r="U118" s="1333"/>
      <c r="V118" s="1333"/>
      <c r="W118" s="1333"/>
      <c r="X118" s="1333"/>
      <c r="Y118" s="1333"/>
      <c r="Z118" s="1333"/>
      <c r="AA118" s="1333"/>
      <c r="AB118" s="1333"/>
      <c r="AC118" s="1333"/>
      <c r="AD118" s="1333"/>
      <c r="AE118" s="1333"/>
      <c r="AF118" s="1333"/>
      <c r="AG118" s="1333"/>
      <c r="AH118" s="1333"/>
      <c r="AI118" s="1333"/>
      <c r="AJ118" s="1333"/>
      <c r="AK118" s="17"/>
      <c r="AL118" s="17"/>
      <c r="AM118" s="17"/>
      <c r="AN118" s="17"/>
      <c r="AO118" s="17"/>
      <c r="AP118" s="17"/>
      <c r="AQ118" s="17"/>
      <c r="AR118" s="17"/>
      <c r="AS118" s="17"/>
      <c r="AT118" s="17"/>
      <c r="AU118" s="17"/>
      <c r="AV118" s="17"/>
    </row>
    <row r="119" spans="1:48" x14ac:dyDescent="0.25">
      <c r="A119" s="1462"/>
      <c r="B119" s="125"/>
      <c r="C119" s="944"/>
      <c r="D119" s="411"/>
      <c r="E119" s="466"/>
      <c r="F119" s="559" t="str">
        <f>IF('C-Design&amp;Const'!$I119="","",'C-Design&amp;Const'!$I119)</f>
        <v>N</v>
      </c>
      <c r="G119" s="479"/>
      <c r="H119" s="408" t="str">
        <f>CONCATENATE(IF(F119="N","PLACEHOLDER ROW - ",""),'C-Design&amp;Const'!Z119,IF(F119="N","",J119))</f>
        <v>PLACEHOLDER ROW - Telecom - CUSTOM</v>
      </c>
      <c r="I119" s="136"/>
      <c r="J119" s="578" t="str">
        <f>IF('C-Design&amp;Const'!AE119="","",'C-Design&amp;Const'!AE119)</f>
        <v xml:space="preserve"> (Updates to) </v>
      </c>
      <c r="K119" s="246" t="str">
        <f t="shared" si="7"/>
        <v/>
      </c>
      <c r="L119" s="1410" t="str">
        <f t="shared" si="7"/>
        <v>&lt;---PM/Planner may hide PLACEHOLDER ROW</v>
      </c>
      <c r="M119" s="1333"/>
      <c r="N119" s="1333"/>
      <c r="O119" s="1333"/>
      <c r="P119" s="1333"/>
      <c r="Q119" s="1444"/>
      <c r="R119" s="1445"/>
      <c r="S119" s="1284"/>
      <c r="T119" s="1333"/>
      <c r="U119" s="1333"/>
      <c r="V119" s="1333"/>
      <c r="W119" s="1333"/>
      <c r="X119" s="1333"/>
      <c r="Y119" s="1333"/>
      <c r="Z119" s="1333"/>
      <c r="AA119" s="1333"/>
      <c r="AB119" s="1333"/>
      <c r="AC119" s="1333"/>
      <c r="AD119" s="1333"/>
      <c r="AE119" s="1333"/>
      <c r="AF119" s="1333"/>
      <c r="AG119" s="1333"/>
      <c r="AH119" s="1333"/>
      <c r="AI119" s="1333"/>
      <c r="AJ119" s="1333"/>
    </row>
    <row r="120" spans="1:48" s="30" customFormat="1" ht="15" customHeight="1" x14ac:dyDescent="0.25">
      <c r="A120" s="1462"/>
      <c r="B120" s="191"/>
      <c r="C120" s="944"/>
      <c r="D120" s="463"/>
      <c r="E120" s="467"/>
      <c r="F120" s="559" t="str">
        <f>IF('C-Design&amp;Const'!$I120="","",'C-Design&amp;Const'!$I120)</f>
        <v>Y</v>
      </c>
      <c r="G120" s="291"/>
      <c r="H120" s="408" t="str">
        <f>CONCATENATE(IF(F120="N","PLACEHOLDER ROW - ",""),'C-Design&amp;Const'!Z120,IF(F120="N","",J120))</f>
        <v xml:space="preserve">Audio Visual - General Systems (Updates to) </v>
      </c>
      <c r="I120" s="184"/>
      <c r="J120" s="578" t="str">
        <f>IF('C-Design&amp;Const'!AE120="","",'C-Design&amp;Const'!AE120)</f>
        <v xml:space="preserve"> (Updates to) </v>
      </c>
      <c r="K120" s="246" t="str">
        <f t="shared" si="7"/>
        <v/>
      </c>
      <c r="L120" s="1410" t="str">
        <f t="shared" si="7"/>
        <v/>
      </c>
      <c r="M120" s="1382"/>
      <c r="N120" s="1382"/>
      <c r="O120" s="1382"/>
      <c r="P120" s="1382"/>
      <c r="Q120" s="1382"/>
      <c r="R120" s="1382"/>
      <c r="S120" s="1382"/>
      <c r="T120" s="1382"/>
      <c r="U120" s="1382"/>
      <c r="V120" s="1382"/>
      <c r="W120" s="1382"/>
      <c r="X120" s="1382"/>
      <c r="Y120" s="1382"/>
      <c r="Z120" s="1382"/>
      <c r="AA120" s="1382"/>
      <c r="AB120" s="1382"/>
      <c r="AC120" s="1382"/>
      <c r="AD120" s="1382"/>
      <c r="AE120" s="1382"/>
      <c r="AF120" s="1382"/>
      <c r="AG120" s="1382"/>
      <c r="AH120" s="1382"/>
      <c r="AI120" s="1382"/>
      <c r="AJ120" s="1382"/>
      <c r="AK120" s="181"/>
      <c r="AL120" s="181"/>
      <c r="AM120" s="181"/>
      <c r="AN120" s="181"/>
      <c r="AO120" s="181"/>
      <c r="AP120" s="181"/>
      <c r="AQ120" s="181"/>
      <c r="AR120" s="181"/>
      <c r="AS120" s="181"/>
      <c r="AT120" s="181"/>
      <c r="AU120" s="181"/>
      <c r="AV120" s="181"/>
    </row>
    <row r="121" spans="1:48" s="542" customFormat="1" x14ac:dyDescent="0.25">
      <c r="A121" s="1462"/>
      <c r="B121" s="125"/>
      <c r="C121" s="944"/>
      <c r="D121" s="321"/>
      <c r="E121" s="321"/>
      <c r="F121" s="559" t="str">
        <f>IF('C-Design&amp;Const'!$I121="","",'C-Design&amp;Const'!$I121)</f>
        <v>Y</v>
      </c>
      <c r="G121" s="480"/>
      <c r="H121" s="408" t="str">
        <f>CONCATENATE(IF(F121="N","PLACEHOLDER ROW - ",""),'C-Design&amp;Const'!Z121,IF(F121="N","",J121))</f>
        <v xml:space="preserve">Audio Visual - Demolition(s) (Updates to) </v>
      </c>
      <c r="I121" s="137"/>
      <c r="J121" s="578" t="str">
        <f>IF('C-Design&amp;Const'!AE121="","",'C-Design&amp;Const'!AE121)</f>
        <v xml:space="preserve"> (Updates to) </v>
      </c>
      <c r="K121" s="246" t="str">
        <f t="shared" ref="K121" si="11">CONCATENATE(IF(ISNUMBER(SEARCH("Placeholder",G121))=TRUE,"&lt;---PM/Planner may hide PLACEHOLDER ROW",""))</f>
        <v/>
      </c>
      <c r="L121" s="1410" t="str">
        <f t="shared" ref="L121" si="12">CONCATENATE(IF(ISNUMBER(SEARCH("Placeholder",H121))=TRUE,"&lt;---PM/Planner may hide PLACEHOLDER ROW",""))</f>
        <v/>
      </c>
      <c r="M121" s="1333"/>
      <c r="N121" s="1333"/>
      <c r="O121" s="1333"/>
      <c r="P121" s="1333"/>
      <c r="Q121" s="1444"/>
      <c r="R121" s="1445"/>
      <c r="S121" s="1284"/>
      <c r="T121" s="1333"/>
      <c r="U121" s="1333"/>
      <c r="V121" s="1333"/>
      <c r="W121" s="1333"/>
      <c r="X121" s="1333"/>
      <c r="Y121" s="1333"/>
      <c r="Z121" s="1333"/>
      <c r="AA121" s="1333"/>
      <c r="AB121" s="1333"/>
      <c r="AC121" s="1333"/>
      <c r="AD121" s="1333"/>
      <c r="AE121" s="1333"/>
      <c r="AF121" s="1333"/>
      <c r="AG121" s="1333"/>
      <c r="AH121" s="1333"/>
      <c r="AI121" s="1333"/>
      <c r="AJ121" s="1333"/>
      <c r="AK121" s="17"/>
      <c r="AL121" s="17"/>
      <c r="AM121" s="17"/>
      <c r="AN121" s="17"/>
      <c r="AO121" s="17"/>
      <c r="AP121" s="17"/>
      <c r="AQ121" s="17"/>
      <c r="AR121" s="17"/>
      <c r="AS121" s="17"/>
      <c r="AT121" s="17"/>
      <c r="AU121" s="17"/>
      <c r="AV121" s="17"/>
    </row>
    <row r="122" spans="1:48" s="30" customFormat="1" ht="15" customHeight="1" x14ac:dyDescent="0.25">
      <c r="A122" s="1462"/>
      <c r="B122" s="191"/>
      <c r="C122" s="944"/>
      <c r="D122" s="463"/>
      <c r="E122" s="467"/>
      <c r="F122" s="559" t="str">
        <f>IF('C-Design&amp;Const'!$I122="","",'C-Design&amp;Const'!$I122)</f>
        <v>N</v>
      </c>
      <c r="G122" s="291"/>
      <c r="H122" s="408" t="str">
        <f>CONCATENATE(IF(F122="N","PLACEHOLDER ROW - ",""),'C-Design&amp;Const'!Z122,IF(F122="N","",J122))</f>
        <v>PLACEHOLDER ROW - Audio Visual - CUSTOM</v>
      </c>
      <c r="I122" s="184"/>
      <c r="J122" s="578" t="str">
        <f>IF('C-Design&amp;Const'!AE122="","",'C-Design&amp;Const'!AE122)</f>
        <v xml:space="preserve"> (Updates to) </v>
      </c>
      <c r="K122" s="246" t="str">
        <f t="shared" si="7"/>
        <v/>
      </c>
      <c r="L122" s="1410" t="str">
        <f t="shared" si="7"/>
        <v>&lt;---PM/Planner may hide PLACEHOLDER ROW</v>
      </c>
      <c r="M122" s="1382"/>
      <c r="N122" s="1382"/>
      <c r="O122" s="1382"/>
      <c r="P122" s="1382"/>
      <c r="Q122" s="1382"/>
      <c r="R122" s="1382"/>
      <c r="S122" s="1382"/>
      <c r="T122" s="1382"/>
      <c r="U122" s="1382"/>
      <c r="V122" s="1382"/>
      <c r="W122" s="1382"/>
      <c r="X122" s="1382"/>
      <c r="Y122" s="1382"/>
      <c r="Z122" s="1382"/>
      <c r="AA122" s="1382"/>
      <c r="AB122" s="1382"/>
      <c r="AC122" s="1382"/>
      <c r="AD122" s="1382"/>
      <c r="AE122" s="1382"/>
      <c r="AF122" s="1382"/>
      <c r="AG122" s="1382"/>
      <c r="AH122" s="1382"/>
      <c r="AI122" s="1382"/>
      <c r="AJ122" s="1382"/>
      <c r="AK122" s="181"/>
      <c r="AL122" s="181"/>
      <c r="AM122" s="181"/>
      <c r="AN122" s="181"/>
      <c r="AO122" s="181"/>
      <c r="AP122" s="181"/>
      <c r="AQ122" s="181"/>
      <c r="AR122" s="181"/>
      <c r="AS122" s="181"/>
      <c r="AT122" s="181"/>
      <c r="AU122" s="181"/>
      <c r="AV122" s="181"/>
    </row>
    <row r="123" spans="1:48" x14ac:dyDescent="0.25">
      <c r="A123" s="1462"/>
      <c r="B123" s="125"/>
      <c r="C123" s="943"/>
      <c r="D123" s="411"/>
      <c r="E123" s="466"/>
      <c r="F123" s="559" t="str">
        <f>IF('C-Design&amp;Const'!$I123="","",'C-Design&amp;Const'!$I123)</f>
        <v>N</v>
      </c>
      <c r="G123" s="479"/>
      <c r="H123" s="1665" t="str">
        <f>CONCATENATE(IF(F123="N","PLACEHOLDER ROW - ",""),'C-Design&amp;Const'!Z123,IF(F123="N","",J123))</f>
        <v>PLACEHOLDER ROW - CUSTOM ROW - OPTIONAL CLIENT ITEM</v>
      </c>
      <c r="I123" s="136"/>
      <c r="J123" s="578" t="str">
        <f>IF('C-Design&amp;Const'!AE123="","",'C-Design&amp;Const'!AE123)</f>
        <v xml:space="preserve"> (Updates to) </v>
      </c>
      <c r="K123" s="246" t="str">
        <f t="shared" si="7"/>
        <v/>
      </c>
      <c r="L123" s="1410" t="str">
        <f t="shared" si="7"/>
        <v>&lt;---PM/Planner may hide PLACEHOLDER ROW</v>
      </c>
      <c r="M123" s="1333"/>
      <c r="N123" s="1333"/>
      <c r="O123" s="1333"/>
      <c r="P123" s="1333"/>
      <c r="Q123" s="1444"/>
      <c r="R123" s="1445"/>
      <c r="S123" s="1284"/>
      <c r="T123" s="1333"/>
      <c r="U123" s="1333"/>
      <c r="V123" s="1333"/>
      <c r="W123" s="1333"/>
      <c r="X123" s="1333"/>
      <c r="Y123" s="1333"/>
      <c r="Z123" s="1333"/>
      <c r="AA123" s="1333"/>
      <c r="AB123" s="1333"/>
      <c r="AC123" s="1333"/>
      <c r="AD123" s="1333"/>
      <c r="AE123" s="1333"/>
      <c r="AF123" s="1333"/>
      <c r="AG123" s="1333"/>
      <c r="AH123" s="1333"/>
      <c r="AI123" s="1333"/>
      <c r="AJ123" s="1333"/>
    </row>
    <row r="124" spans="1:48" x14ac:dyDescent="0.25">
      <c r="A124" s="1462"/>
      <c r="B124" s="125"/>
      <c r="C124" s="943"/>
      <c r="D124" s="411"/>
      <c r="E124" s="466"/>
      <c r="F124" s="559" t="str">
        <f>IF('C-Design&amp;Const'!$I124="","",'C-Design&amp;Const'!$I124)</f>
        <v>N</v>
      </c>
      <c r="G124" s="479"/>
      <c r="H124" s="1665" t="str">
        <f>CONCATENATE(IF(F124="N","PLACEHOLDER ROW - ",""),'C-Design&amp;Const'!Z124,IF(F124="N","",J124))</f>
        <v>PLACEHOLDER ROW - CUSTOM ROW - OPTIONAL CLIENT ITEM</v>
      </c>
      <c r="I124" s="136"/>
      <c r="J124" s="578" t="str">
        <f>IF('C-Design&amp;Const'!AE124="","",'C-Design&amp;Const'!AE124)</f>
        <v xml:space="preserve"> (Updates to) </v>
      </c>
      <c r="K124" s="246" t="str">
        <f t="shared" si="7"/>
        <v/>
      </c>
      <c r="L124" s="1410" t="str">
        <f t="shared" si="7"/>
        <v>&lt;---PM/Planner may hide PLACEHOLDER ROW</v>
      </c>
      <c r="M124" s="1333"/>
      <c r="N124" s="1333"/>
      <c r="O124" s="1333"/>
      <c r="P124" s="1333"/>
      <c r="Q124" s="1444"/>
      <c r="R124" s="1445"/>
      <c r="S124" s="1284"/>
      <c r="T124" s="1333"/>
      <c r="U124" s="1333"/>
      <c r="V124" s="1333"/>
      <c r="W124" s="1333"/>
      <c r="X124" s="1333"/>
      <c r="Y124" s="1333"/>
      <c r="Z124" s="1333"/>
      <c r="AA124" s="1333"/>
      <c r="AB124" s="1333"/>
      <c r="AC124" s="1333"/>
      <c r="AD124" s="1333"/>
      <c r="AE124" s="1333"/>
      <c r="AF124" s="1333"/>
      <c r="AG124" s="1333"/>
      <c r="AH124" s="1333"/>
      <c r="AI124" s="1333"/>
      <c r="AJ124" s="1333"/>
    </row>
    <row r="125" spans="1:48" ht="19.5" customHeight="1" x14ac:dyDescent="0.25">
      <c r="A125" s="1462"/>
      <c r="B125" s="125"/>
      <c r="C125" s="943"/>
      <c r="D125" s="481"/>
      <c r="E125" s="482"/>
      <c r="F125" s="482"/>
      <c r="G125" s="483"/>
      <c r="H125" s="484"/>
      <c r="I125" s="134"/>
      <c r="J125" s="578" t="str">
        <f>IF('C-Design&amp;Const'!AE125="","",'C-Design&amp;Const'!AE125)</f>
        <v/>
      </c>
      <c r="K125" s="246" t="str">
        <f t="shared" si="7"/>
        <v/>
      </c>
      <c r="L125" s="1410" t="str">
        <f t="shared" si="7"/>
        <v/>
      </c>
      <c r="M125" s="1333"/>
      <c r="N125" s="1333"/>
      <c r="O125" s="1333"/>
      <c r="P125" s="1333"/>
      <c r="Q125" s="1444"/>
      <c r="R125" s="1445"/>
      <c r="S125" s="1284"/>
      <c r="T125" s="1333"/>
      <c r="U125" s="1333"/>
      <c r="V125" s="1333"/>
      <c r="W125" s="1333"/>
      <c r="X125" s="1333"/>
      <c r="Y125" s="1333"/>
      <c r="Z125" s="1333"/>
      <c r="AA125" s="1333"/>
      <c r="AB125" s="1333"/>
      <c r="AC125" s="1333"/>
      <c r="AD125" s="1333"/>
      <c r="AE125" s="1333"/>
      <c r="AF125" s="1333"/>
      <c r="AG125" s="1333"/>
      <c r="AH125" s="1333"/>
      <c r="AI125" s="1333"/>
      <c r="AJ125" s="1333"/>
    </row>
    <row r="126" spans="1:48" s="16" customFormat="1" ht="18.75" x14ac:dyDescent="0.3">
      <c r="A126" s="1479" t="s">
        <v>37</v>
      </c>
      <c r="B126" s="182"/>
      <c r="C126" s="943"/>
      <c r="D126" s="359" t="str">
        <f>IF('C-Design&amp;Const'!$I126="","",'C-Design&amp;Const'!$I126)</f>
        <v>Y</v>
      </c>
      <c r="E126" s="234"/>
      <c r="F126" s="235"/>
      <c r="G126" s="207" t="str">
        <f>IF('C-Design&amp;Const'!Y126="","",'C-Design&amp;Const'!Y126)</f>
        <v>04b.</v>
      </c>
      <c r="H126" s="236" t="str">
        <f>(CONCATENATE('C-Design&amp;Const'!Z126,IF(D126="N"," Not Used In This Design Phase",J126)))</f>
        <v>Project Applicable Information / Calculations - Updated</v>
      </c>
      <c r="I126" s="183"/>
      <c r="J126" s="578" t="str">
        <f>IF('C-Design&amp;Const'!AE126="","",'C-Design&amp;Const'!AE126)</f>
        <v xml:space="preserve"> - Updated</v>
      </c>
      <c r="K126" s="246" t="str">
        <f t="shared" si="7"/>
        <v/>
      </c>
      <c r="L126" s="1410" t="str">
        <f t="shared" si="7"/>
        <v/>
      </c>
      <c r="M126" s="1333"/>
      <c r="N126" s="1449"/>
      <c r="O126" s="1449"/>
      <c r="P126" s="1449"/>
      <c r="Q126" s="1450"/>
      <c r="R126" s="1451"/>
      <c r="S126" s="1364"/>
      <c r="T126" s="1449"/>
      <c r="U126" s="1449"/>
      <c r="V126" s="1449"/>
      <c r="W126" s="1449"/>
      <c r="X126" s="1449"/>
      <c r="Y126" s="1449"/>
      <c r="Z126" s="1449"/>
      <c r="AA126" s="1449"/>
      <c r="AB126" s="1449"/>
      <c r="AC126" s="1449"/>
      <c r="AD126" s="1449"/>
      <c r="AE126" s="1449"/>
      <c r="AF126" s="1449"/>
      <c r="AG126" s="1449"/>
      <c r="AH126" s="1449"/>
      <c r="AI126" s="1449"/>
      <c r="AJ126" s="1449"/>
      <c r="AK126" s="175"/>
      <c r="AL126" s="175"/>
      <c r="AM126" s="175"/>
      <c r="AN126" s="175"/>
      <c r="AO126" s="175"/>
      <c r="AP126" s="175"/>
      <c r="AQ126" s="175"/>
      <c r="AR126" s="175"/>
      <c r="AS126" s="175"/>
      <c r="AT126" s="175"/>
      <c r="AU126" s="175"/>
      <c r="AV126" s="175"/>
    </row>
    <row r="127" spans="1:48" ht="28.5" x14ac:dyDescent="0.25">
      <c r="A127" s="1462"/>
      <c r="B127" s="125"/>
      <c r="C127" s="943"/>
      <c r="D127" s="321"/>
      <c r="E127" s="559" t="str">
        <f>IF('C-Design&amp;Const'!$I127="","",'C-Design&amp;Const'!$I127)</f>
        <v>Y</v>
      </c>
      <c r="F127" s="560"/>
      <c r="G127" s="558"/>
      <c r="H127" s="340" t="str">
        <f>CONCATENATE(IF(E127="N","PLACEHOLDER ROW - ",""),IF(E127="N","",J127),'C-Design&amp;Const'!Z127,)</f>
        <v>(Substantially Complete) Occupancy calculations between existing and proposed; breaking down the FTE</v>
      </c>
      <c r="I127" s="135"/>
      <c r="J127" s="578" t="str">
        <f>IF('C-Design&amp;Const'!AE127="","",'C-Design&amp;Const'!AE127)</f>
        <v xml:space="preserve">(Substantially Complete) </v>
      </c>
      <c r="K127" s="246" t="str">
        <f t="shared" si="7"/>
        <v/>
      </c>
      <c r="L127" s="1410" t="str">
        <f t="shared" si="7"/>
        <v/>
      </c>
      <c r="M127" s="1333"/>
      <c r="N127" s="1333"/>
      <c r="O127" s="1333"/>
      <c r="P127" s="1333"/>
      <c r="Q127" s="1452"/>
      <c r="R127" s="1284"/>
      <c r="S127" s="1284"/>
      <c r="T127" s="1333"/>
      <c r="U127" s="1333"/>
      <c r="V127" s="1333"/>
      <c r="W127" s="1333"/>
      <c r="X127" s="1333"/>
      <c r="Y127" s="1333"/>
      <c r="Z127" s="1333"/>
      <c r="AA127" s="1333"/>
      <c r="AB127" s="1333"/>
      <c r="AC127" s="1333"/>
      <c r="AD127" s="1333"/>
      <c r="AE127" s="1333"/>
      <c r="AF127" s="1333"/>
      <c r="AG127" s="1333"/>
      <c r="AH127" s="1333"/>
      <c r="AI127" s="1333"/>
      <c r="AJ127" s="1333"/>
    </row>
    <row r="128" spans="1:48" x14ac:dyDescent="0.25">
      <c r="A128" s="1462"/>
      <c r="B128" s="125"/>
      <c r="C128" s="943"/>
      <c r="D128" s="321"/>
      <c r="E128" s="460" t="str">
        <f>IF('C-Design&amp;Const'!$I128="","",'C-Design&amp;Const'!$I128)</f>
        <v>Y</v>
      </c>
      <c r="F128" s="478"/>
      <c r="G128" s="485"/>
      <c r="H128" s="340" t="str">
        <f>CONCATENATE(IF(E128="N","PLACEHOLDER ROW - ",""),IF(E128="N","",J128),'C-Design&amp;Const'!Z128,)</f>
        <v>(Complete) Soil Borings and Soils Report</v>
      </c>
      <c r="I128" s="136"/>
      <c r="J128" s="578" t="str">
        <f>IF('C-Design&amp;Const'!AE128="","",'C-Design&amp;Const'!AE128)</f>
        <v xml:space="preserve">(Complete) </v>
      </c>
      <c r="K128" s="246" t="str">
        <f t="shared" si="7"/>
        <v/>
      </c>
      <c r="L128" s="1410" t="str">
        <f t="shared" si="7"/>
        <v/>
      </c>
      <c r="M128" s="1333"/>
      <c r="N128" s="1333"/>
      <c r="O128" s="1333"/>
      <c r="P128" s="1333"/>
      <c r="Q128" s="1453"/>
      <c r="R128" s="1284"/>
      <c r="S128" s="1284"/>
      <c r="T128" s="1333"/>
      <c r="U128" s="1333"/>
      <c r="V128" s="1333"/>
      <c r="W128" s="1333"/>
      <c r="X128" s="1333"/>
      <c r="Y128" s="1333"/>
      <c r="Z128" s="1333"/>
      <c r="AA128" s="1333"/>
      <c r="AB128" s="1333"/>
      <c r="AC128" s="1333"/>
      <c r="AD128" s="1333"/>
      <c r="AE128" s="1333"/>
      <c r="AF128" s="1333"/>
      <c r="AG128" s="1333"/>
      <c r="AH128" s="1333"/>
      <c r="AI128" s="1333"/>
      <c r="AJ128" s="1333"/>
    </row>
    <row r="129" spans="1:48" ht="28.5" x14ac:dyDescent="0.25">
      <c r="A129" s="1482"/>
      <c r="B129" s="125"/>
      <c r="C129" s="943"/>
      <c r="D129" s="321"/>
      <c r="E129" s="559" t="str">
        <f>IF('C-Design&amp;Const'!$I129="","",'C-Design&amp;Const'!$I129)</f>
        <v>Y</v>
      </c>
      <c r="F129" s="460"/>
      <c r="G129" s="485"/>
      <c r="H129" s="340" t="str">
        <f>CONCATENATE(IF(E129="N","PLACEHOLDER ROW - ",""),IF(E129="N","",J129),'C-Design&amp;Const'!Z129,)</f>
        <v>(Approx 50% Complete) Stormwater Runoff Rate Calculation/Model Results and Water Detention</v>
      </c>
      <c r="I129" s="137"/>
      <c r="J129" s="578" t="str">
        <f>IF('C-Design&amp;Const'!AE129="","",'C-Design&amp;Const'!AE129)</f>
        <v xml:space="preserve">(Approx 50% Complete) </v>
      </c>
      <c r="K129" s="246" t="str">
        <f t="shared" si="7"/>
        <v/>
      </c>
      <c r="L129" s="1410" t="str">
        <f t="shared" si="7"/>
        <v/>
      </c>
      <c r="M129" s="1333"/>
      <c r="N129" s="1333"/>
      <c r="O129" s="1333"/>
      <c r="P129" s="1333"/>
      <c r="Q129" s="1454"/>
      <c r="R129" s="1284"/>
      <c r="S129" s="1284"/>
      <c r="T129" s="1333"/>
      <c r="U129" s="1333"/>
      <c r="V129" s="1333"/>
      <c r="W129" s="1333"/>
      <c r="X129" s="1333"/>
      <c r="Y129" s="1333"/>
      <c r="Z129" s="1333"/>
      <c r="AA129" s="1333"/>
      <c r="AB129" s="1333"/>
      <c r="AC129" s="1333"/>
      <c r="AD129" s="1333"/>
      <c r="AE129" s="1333"/>
      <c r="AF129" s="1333"/>
      <c r="AG129" s="1333"/>
      <c r="AH129" s="1333"/>
      <c r="AI129" s="1333"/>
      <c r="AJ129" s="1333"/>
    </row>
    <row r="130" spans="1:48" x14ac:dyDescent="0.25">
      <c r="A130" s="1482"/>
      <c r="B130" s="125"/>
      <c r="C130" s="943"/>
      <c r="D130" s="321"/>
      <c r="E130" s="559" t="str">
        <f>IF('C-Design&amp;Const'!$I130="","",'C-Design&amp;Const'!$I130)</f>
        <v>Y</v>
      </c>
      <c r="F130" s="460"/>
      <c r="G130" s="485"/>
      <c r="H130" s="340" t="str">
        <f>CONCATENATE(IF(E130="N","PLACEHOLDER ROW - ",""),IF(E130="N","",J130),'C-Design&amp;Const'!Z130,)</f>
        <v>(Approx 50% Complete) Asbestos and Lead Survey and Recommendations</v>
      </c>
      <c r="I130" s="137"/>
      <c r="J130" s="578" t="str">
        <f>IF('C-Design&amp;Const'!AE130="","",'C-Design&amp;Const'!AE130)</f>
        <v xml:space="preserve">(Approx 50% Complete) </v>
      </c>
      <c r="K130" s="246" t="str">
        <f t="shared" si="7"/>
        <v/>
      </c>
      <c r="L130" s="1410" t="str">
        <f t="shared" si="7"/>
        <v/>
      </c>
      <c r="M130" s="1333"/>
      <c r="N130" s="1333"/>
      <c r="O130" s="1333"/>
      <c r="P130" s="1333"/>
      <c r="Q130" s="1454"/>
      <c r="R130" s="1284"/>
      <c r="S130" s="1284"/>
      <c r="T130" s="1333"/>
      <c r="U130" s="1333"/>
      <c r="V130" s="1333"/>
      <c r="W130" s="1333"/>
      <c r="X130" s="1333"/>
      <c r="Y130" s="1333"/>
      <c r="Z130" s="1333"/>
      <c r="AA130" s="1333"/>
      <c r="AB130" s="1333"/>
      <c r="AC130" s="1333"/>
      <c r="AD130" s="1333"/>
      <c r="AE130" s="1333"/>
      <c r="AF130" s="1333"/>
      <c r="AG130" s="1333"/>
      <c r="AH130" s="1333"/>
      <c r="AI130" s="1333"/>
      <c r="AJ130" s="1333"/>
    </row>
    <row r="131" spans="1:48" x14ac:dyDescent="0.25">
      <c r="A131" s="1482"/>
      <c r="B131" s="125"/>
      <c r="C131" s="943"/>
      <c r="D131" s="321"/>
      <c r="E131" s="559" t="str">
        <f>IF('C-Design&amp;Const'!$I131="","",'C-Design&amp;Const'!$I131)</f>
        <v>Y</v>
      </c>
      <c r="F131" s="460"/>
      <c r="G131" s="485"/>
      <c r="H131" s="340" t="str">
        <f>CONCATENATE(IF(E131="N","PLACEHOLDER ROW - ",""),IF(E131="N","",J131),'C-Design&amp;Const'!Z131,)</f>
        <v>Results of Hazardous Materials Testing and Hazardous Materials Mediation Plan</v>
      </c>
      <c r="I131" s="137"/>
      <c r="J131" s="578" t="str">
        <f>IF('C-Design&amp;Const'!AE131="","",'C-Design&amp;Const'!AE131)</f>
        <v/>
      </c>
      <c r="K131" s="246" t="str">
        <f t="shared" si="7"/>
        <v/>
      </c>
      <c r="L131" s="1410" t="str">
        <f t="shared" si="7"/>
        <v/>
      </c>
      <c r="M131" s="1333"/>
      <c r="N131" s="1333"/>
      <c r="O131" s="1333"/>
      <c r="P131" s="1333"/>
      <c r="Q131" s="1454"/>
      <c r="R131" s="1284"/>
      <c r="S131" s="1284"/>
      <c r="T131" s="1333"/>
      <c r="U131" s="1333"/>
      <c r="V131" s="1333"/>
      <c r="W131" s="1333"/>
      <c r="X131" s="1333"/>
      <c r="Y131" s="1333"/>
      <c r="Z131" s="1333"/>
      <c r="AA131" s="1333"/>
      <c r="AB131" s="1333"/>
      <c r="AC131" s="1333"/>
      <c r="AD131" s="1333"/>
      <c r="AE131" s="1333"/>
      <c r="AF131" s="1333"/>
      <c r="AG131" s="1333"/>
      <c r="AH131" s="1333"/>
      <c r="AI131" s="1333"/>
      <c r="AJ131" s="1333"/>
    </row>
    <row r="132" spans="1:48" x14ac:dyDescent="0.25">
      <c r="A132" s="1462"/>
      <c r="B132" s="125"/>
      <c r="C132" s="943"/>
      <c r="D132" s="321"/>
      <c r="E132" s="559" t="str">
        <f>IF('C-Design&amp;Const'!$I132="","",'C-Design&amp;Const'!$I132)</f>
        <v>Y</v>
      </c>
      <c r="F132" s="478"/>
      <c r="G132" s="485"/>
      <c r="H132" s="340" t="str">
        <f>CONCATENATE(IF(E132="N","PLACEHOLDER ROW - ",""),IF(E132="N","",J132),'C-Design&amp;Const'!Z132,)</f>
        <v>(Preliminary) EPA &amp; State Permits (including but not limited to SWPPP)</v>
      </c>
      <c r="I132" s="136"/>
      <c r="J132" s="578" t="str">
        <f>IF('C-Design&amp;Const'!AE132="","",'C-Design&amp;Const'!AE132)</f>
        <v xml:space="preserve">(Preliminary) </v>
      </c>
      <c r="K132" s="246" t="str">
        <f t="shared" si="7"/>
        <v/>
      </c>
      <c r="L132" s="1410" t="str">
        <f t="shared" si="7"/>
        <v/>
      </c>
      <c r="M132" s="1333"/>
      <c r="N132" s="1333"/>
      <c r="O132" s="1333"/>
      <c r="P132" s="1333"/>
      <c r="Q132" s="1453"/>
      <c r="R132" s="1284"/>
      <c r="S132" s="1284"/>
      <c r="T132" s="1333"/>
      <c r="U132" s="1333"/>
      <c r="V132" s="1333"/>
      <c r="W132" s="1333"/>
      <c r="X132" s="1333"/>
      <c r="Y132" s="1333"/>
      <c r="Z132" s="1333"/>
      <c r="AA132" s="1333"/>
      <c r="AB132" s="1333"/>
      <c r="AC132" s="1333"/>
      <c r="AD132" s="1333"/>
      <c r="AE132" s="1333"/>
      <c r="AF132" s="1333"/>
      <c r="AG132" s="1333"/>
      <c r="AH132" s="1333"/>
      <c r="AI132" s="1333"/>
      <c r="AJ132" s="1333"/>
    </row>
    <row r="133" spans="1:48" x14ac:dyDescent="0.25">
      <c r="A133" s="1462"/>
      <c r="B133" s="125"/>
      <c r="C133" s="943"/>
      <c r="D133" s="321"/>
      <c r="E133" s="559" t="str">
        <f>IF('C-Design&amp;Const'!$I133="","",'C-Design&amp;Const'!$I133)</f>
        <v>Y</v>
      </c>
      <c r="F133" s="478"/>
      <c r="G133" s="485"/>
      <c r="H133" s="340" t="str">
        <f>CONCATENATE(IF(E133="N","PLACEHOLDER ROW - ",""),IF(E133="N","",J133),'C-Design&amp;Const'!Z133,)</f>
        <v xml:space="preserve">(Preliminary) Saftey &amp; Compliance / Environmental - Checklist   </v>
      </c>
      <c r="I133" s="136"/>
      <c r="J133" s="578" t="str">
        <f>IF('C-Design&amp;Const'!AE133="","",'C-Design&amp;Const'!AE133)</f>
        <v xml:space="preserve">(Preliminary) </v>
      </c>
      <c r="K133" s="246" t="str">
        <f t="shared" si="7"/>
        <v/>
      </c>
      <c r="L133" s="1410" t="str">
        <f t="shared" si="7"/>
        <v/>
      </c>
      <c r="M133" s="1333"/>
      <c r="N133" s="1333"/>
      <c r="O133" s="1333"/>
      <c r="P133" s="1333"/>
      <c r="Q133" s="1453"/>
      <c r="R133" s="1284"/>
      <c r="S133" s="1284"/>
      <c r="T133" s="1333"/>
      <c r="U133" s="1333"/>
      <c r="V133" s="1333"/>
      <c r="W133" s="1333"/>
      <c r="X133" s="1333"/>
      <c r="Y133" s="1333"/>
      <c r="Z133" s="1333"/>
      <c r="AA133" s="1333"/>
      <c r="AB133" s="1333"/>
      <c r="AC133" s="1333"/>
      <c r="AD133" s="1333"/>
      <c r="AE133" s="1333"/>
      <c r="AF133" s="1333"/>
      <c r="AG133" s="1333"/>
      <c r="AH133" s="1333"/>
      <c r="AI133" s="1333"/>
      <c r="AJ133" s="1333"/>
    </row>
    <row r="134" spans="1:48" s="542" customFormat="1" x14ac:dyDescent="0.25">
      <c r="A134" s="1462"/>
      <c r="B134" s="125"/>
      <c r="C134" s="943"/>
      <c r="D134" s="321"/>
      <c r="E134" s="559" t="str">
        <f>IF('C-Design&amp;Const'!$I134="","",'C-Design&amp;Const'!$I134)</f>
        <v>N</v>
      </c>
      <c r="F134" s="478"/>
      <c r="G134" s="485"/>
      <c r="H134" s="340" t="str">
        <f>CONCATENATE(IF(E134="N","PLACEHOLDER ROW - ",""),IF(E134="N","",J134),'C-Design&amp;Const'!Z134,)</f>
        <v>PLACEHOLDER ROW - Excel files of all equipment schedules for all disciplines.</v>
      </c>
      <c r="I134" s="136"/>
      <c r="J134" s="578" t="str">
        <f>IF('C-Design&amp;Const'!AE134="","",'C-Design&amp;Const'!AE134)</f>
        <v/>
      </c>
      <c r="K134" s="246" t="str">
        <f t="shared" ref="K134" si="13">CONCATENATE(IF(ISNUMBER(SEARCH("Placeholder",G134))=TRUE,"&lt;---PM/Planner may hide PLACEHOLDER ROW",""))</f>
        <v/>
      </c>
      <c r="L134" s="1410" t="str">
        <f t="shared" ref="L134" si="14">CONCATENATE(IF(ISNUMBER(SEARCH("Placeholder",H134))=TRUE,"&lt;---PM/Planner may hide PLACEHOLDER ROW",""))</f>
        <v>&lt;---PM/Planner may hide PLACEHOLDER ROW</v>
      </c>
      <c r="M134" s="1333"/>
      <c r="N134" s="1333"/>
      <c r="O134" s="1333"/>
      <c r="P134" s="1333"/>
      <c r="Q134" s="1453"/>
      <c r="R134" s="1284"/>
      <c r="S134" s="1284"/>
      <c r="T134" s="1333"/>
      <c r="U134" s="1333"/>
      <c r="V134" s="1333"/>
      <c r="W134" s="1333"/>
      <c r="X134" s="1333"/>
      <c r="Y134" s="1333"/>
      <c r="Z134" s="1333"/>
      <c r="AA134" s="1333"/>
      <c r="AB134" s="1333"/>
      <c r="AC134" s="1333"/>
      <c r="AD134" s="1333"/>
      <c r="AE134" s="1333"/>
      <c r="AF134" s="1333"/>
      <c r="AG134" s="1333"/>
      <c r="AH134" s="1333"/>
      <c r="AI134" s="1333"/>
      <c r="AJ134" s="1333"/>
      <c r="AK134" s="17"/>
      <c r="AL134" s="17"/>
      <c r="AM134" s="17"/>
      <c r="AN134" s="17"/>
      <c r="AO134" s="17"/>
      <c r="AP134" s="17"/>
      <c r="AQ134" s="17"/>
      <c r="AR134" s="17"/>
      <c r="AS134" s="17"/>
      <c r="AT134" s="17"/>
      <c r="AU134" s="17"/>
      <c r="AV134" s="17"/>
    </row>
    <row r="135" spans="1:48" s="30" customFormat="1" ht="26.25" customHeight="1" x14ac:dyDescent="0.25">
      <c r="A135" s="1462"/>
      <c r="B135" s="191"/>
      <c r="C135" s="943"/>
      <c r="D135" s="463"/>
      <c r="E135" s="359" t="str">
        <f>IF('C-Design&amp;Const'!$I135="","",'C-Design&amp;Const'!$I135)</f>
        <v>Y</v>
      </c>
      <c r="F135" s="486"/>
      <c r="G135" s="465"/>
      <c r="H135" s="340" t="str">
        <f>CONCATENATE(IF(E135="N","PLACEHOLDER ROW - ",""),IF(E135="N","",J135),'C-Design&amp;Const'!Z135,)</f>
        <v>(Substantially Complete) Results of existing exterior envelope material tests or strengths (i.e. brick and mortar tests, pull tests of existing mechanical fasteners, etc…)</v>
      </c>
      <c r="I135" s="184"/>
      <c r="J135" s="578" t="str">
        <f>IF('C-Design&amp;Const'!AE135="","",'C-Design&amp;Const'!AE135)</f>
        <v xml:space="preserve">(Substantially Complete) </v>
      </c>
      <c r="K135" s="246" t="str">
        <f t="shared" si="7"/>
        <v/>
      </c>
      <c r="L135" s="1410" t="str">
        <f t="shared" si="7"/>
        <v/>
      </c>
      <c r="M135" s="1333"/>
      <c r="N135" s="1382"/>
      <c r="O135" s="1382"/>
      <c r="P135" s="1382"/>
      <c r="Q135" s="1382"/>
      <c r="R135" s="1382"/>
      <c r="S135" s="1382"/>
      <c r="T135" s="1382"/>
      <c r="U135" s="1382"/>
      <c r="V135" s="1382"/>
      <c r="W135" s="1382"/>
      <c r="X135" s="1382"/>
      <c r="Y135" s="1382"/>
      <c r="Z135" s="1382"/>
      <c r="AA135" s="1382"/>
      <c r="AB135" s="1382"/>
      <c r="AC135" s="1382"/>
      <c r="AD135" s="1382"/>
      <c r="AE135" s="1382"/>
      <c r="AF135" s="1382"/>
      <c r="AG135" s="1382"/>
      <c r="AH135" s="1382"/>
      <c r="AI135" s="1382"/>
      <c r="AJ135" s="1382"/>
      <c r="AK135" s="181"/>
      <c r="AL135" s="181"/>
      <c r="AM135" s="181"/>
      <c r="AN135" s="181"/>
      <c r="AO135" s="181"/>
      <c r="AP135" s="181"/>
      <c r="AQ135" s="181"/>
      <c r="AR135" s="181"/>
      <c r="AS135" s="181"/>
      <c r="AT135" s="181"/>
      <c r="AU135" s="181"/>
      <c r="AV135" s="181"/>
    </row>
    <row r="136" spans="1:48" ht="24.75" customHeight="1" x14ac:dyDescent="0.25">
      <c r="A136" s="1462"/>
      <c r="B136" s="125"/>
      <c r="C136" s="943"/>
      <c r="D136" s="321"/>
      <c r="E136" s="559" t="str">
        <f>IF('C-Design&amp;Const'!$I136="","",'C-Design&amp;Const'!$I136)</f>
        <v>Y</v>
      </c>
      <c r="F136" s="478"/>
      <c r="G136" s="485"/>
      <c r="H136" s="340" t="str">
        <f>CONCATENATE(IF(E136="N","PLACEHOLDER ROW - ",""),IF(E136="N","",J136),'C-Design&amp;Const'!Z136,)</f>
        <v>(Substantially Complete) Results of any existing structural materials tests or verification / scans of structure layout.</v>
      </c>
      <c r="I136" s="136"/>
      <c r="J136" s="578" t="str">
        <f>IF('C-Design&amp;Const'!AE136="","",'C-Design&amp;Const'!AE136)</f>
        <v xml:space="preserve">(Substantially Complete) </v>
      </c>
      <c r="K136" s="246" t="str">
        <f t="shared" si="7"/>
        <v/>
      </c>
      <c r="L136" s="1410" t="str">
        <f t="shared" si="7"/>
        <v/>
      </c>
      <c r="M136" s="1333"/>
      <c r="N136" s="1333"/>
      <c r="O136" s="1333"/>
      <c r="P136" s="1333"/>
      <c r="Q136" s="1453"/>
      <c r="R136" s="1284"/>
      <c r="S136" s="1284"/>
      <c r="T136" s="1333"/>
      <c r="U136" s="1333"/>
      <c r="V136" s="1333"/>
      <c r="W136" s="1333"/>
      <c r="X136" s="1333"/>
      <c r="Y136" s="1333"/>
      <c r="Z136" s="1333"/>
      <c r="AA136" s="1333"/>
      <c r="AB136" s="1333"/>
      <c r="AC136" s="1333"/>
      <c r="AD136" s="1333"/>
      <c r="AE136" s="1333"/>
      <c r="AF136" s="1333"/>
      <c r="AG136" s="1333"/>
      <c r="AH136" s="1333"/>
      <c r="AI136" s="1333"/>
      <c r="AJ136" s="1333"/>
    </row>
    <row r="137" spans="1:48" ht="28.5" x14ac:dyDescent="0.25">
      <c r="A137" s="1482"/>
      <c r="B137" s="125"/>
      <c r="C137" s="943"/>
      <c r="D137" s="321"/>
      <c r="E137" s="559" t="str">
        <f>IF('C-Design&amp;Const'!$I137="","",'C-Design&amp;Const'!$I137)</f>
        <v>Y</v>
      </c>
      <c r="F137" s="460"/>
      <c r="G137" s="485"/>
      <c r="H137" s="340" t="str">
        <f>CONCATENATE(IF(E137="N","PLACEHOLDER ROW - ",""),IF(E137="N","",J137),'C-Design&amp;Const'!Z137,)</f>
        <v>(Preliminary) Summary of floor analysis for required strengthening (for new walls, materials, mechanical equipment change in use).</v>
      </c>
      <c r="I137" s="136"/>
      <c r="J137" s="578" t="str">
        <f>IF('C-Design&amp;Const'!AE137="","",'C-Design&amp;Const'!AE137)</f>
        <v xml:space="preserve">(Preliminary) </v>
      </c>
      <c r="K137" s="246" t="str">
        <f t="shared" si="7"/>
        <v/>
      </c>
      <c r="L137" s="1410" t="str">
        <f t="shared" si="7"/>
        <v/>
      </c>
      <c r="M137" s="1333"/>
      <c r="N137" s="1333"/>
      <c r="O137" s="1333"/>
      <c r="P137" s="1333"/>
      <c r="Q137" s="1453"/>
      <c r="R137" s="1284"/>
      <c r="S137" s="1284"/>
      <c r="T137" s="1333"/>
      <c r="U137" s="1333"/>
      <c r="V137" s="1333"/>
      <c r="W137" s="1333"/>
      <c r="X137" s="1333"/>
      <c r="Y137" s="1333"/>
      <c r="Z137" s="1333"/>
      <c r="AA137" s="1333"/>
      <c r="AB137" s="1333"/>
      <c r="AC137" s="1333"/>
      <c r="AD137" s="1333"/>
      <c r="AE137" s="1333"/>
      <c r="AF137" s="1333"/>
      <c r="AG137" s="1333"/>
      <c r="AH137" s="1333"/>
      <c r="AI137" s="1333"/>
      <c r="AJ137" s="1333"/>
    </row>
    <row r="138" spans="1:48" ht="28.5" x14ac:dyDescent="0.25">
      <c r="A138" s="1482"/>
      <c r="B138" s="125"/>
      <c r="C138" s="943"/>
      <c r="D138" s="321"/>
      <c r="E138" s="559" t="str">
        <f>IF('C-Design&amp;Const'!$I138="","",'C-Design&amp;Const'!$I138)</f>
        <v>Y</v>
      </c>
      <c r="F138" s="460"/>
      <c r="G138" s="485"/>
      <c r="H138" s="340" t="str">
        <f>CONCATENATE(IF(E138="N","PLACEHOLDER ROW - ",""),IF(E138="N","",J138),'C-Design&amp;Const'!Z138,)</f>
        <v>(Preliminary) Summary of lateral force resisting systems (for new tributary load or compromising of existing system).</v>
      </c>
      <c r="I138" s="136"/>
      <c r="J138" s="578" t="str">
        <f>IF('C-Design&amp;Const'!AE138="","",'C-Design&amp;Const'!AE138)</f>
        <v xml:space="preserve">(Preliminary) </v>
      </c>
      <c r="K138" s="246" t="str">
        <f t="shared" si="7"/>
        <v/>
      </c>
      <c r="L138" s="1410" t="str">
        <f t="shared" si="7"/>
        <v/>
      </c>
      <c r="M138" s="1333"/>
      <c r="N138" s="1333"/>
      <c r="O138" s="1333"/>
      <c r="P138" s="1333"/>
      <c r="Q138" s="1453"/>
      <c r="R138" s="1284"/>
      <c r="S138" s="1284"/>
      <c r="T138" s="1333"/>
      <c r="U138" s="1333"/>
      <c r="V138" s="1333"/>
      <c r="W138" s="1333"/>
      <c r="X138" s="1333"/>
      <c r="Y138" s="1333"/>
      <c r="Z138" s="1333"/>
      <c r="AA138" s="1333"/>
      <c r="AB138" s="1333"/>
      <c r="AC138" s="1333"/>
      <c r="AD138" s="1333"/>
      <c r="AE138" s="1333"/>
      <c r="AF138" s="1333"/>
      <c r="AG138" s="1333"/>
      <c r="AH138" s="1333"/>
      <c r="AI138" s="1333"/>
      <c r="AJ138" s="1333"/>
    </row>
    <row r="139" spans="1:48" x14ac:dyDescent="0.25">
      <c r="A139" s="1462"/>
      <c r="B139" s="125"/>
      <c r="C139" s="943"/>
      <c r="D139" s="321"/>
      <c r="E139" s="559" t="str">
        <f>IF('C-Design&amp;Const'!$I139="","",'C-Design&amp;Const'!$I139)</f>
        <v>Y</v>
      </c>
      <c r="F139" s="460"/>
      <c r="G139" s="485"/>
      <c r="H139" s="340" t="str">
        <f>CONCATENATE(IF(E139="N","PLACEHOLDER ROW - ",""),IF(E139="N","",J139),'C-Design&amp;Const'!Z139,)</f>
        <v>LEED Version (v4) Prerequisites Narrative</v>
      </c>
      <c r="I139" s="136"/>
      <c r="J139" s="578" t="str">
        <f>IF('C-Design&amp;Const'!AE139="","",'C-Design&amp;Const'!AE139)</f>
        <v/>
      </c>
      <c r="K139" s="246" t="str">
        <f t="shared" si="7"/>
        <v/>
      </c>
      <c r="L139" s="1410" t="str">
        <f t="shared" si="7"/>
        <v/>
      </c>
      <c r="M139" s="1333"/>
      <c r="N139" s="1333"/>
      <c r="O139" s="1333"/>
      <c r="P139" s="1333"/>
      <c r="Q139" s="1453"/>
      <c r="R139" s="1284"/>
      <c r="S139" s="1284"/>
      <c r="T139" s="1333"/>
      <c r="U139" s="1333"/>
      <c r="V139" s="1333"/>
      <c r="W139" s="1333"/>
      <c r="X139" s="1333"/>
      <c r="Y139" s="1333"/>
      <c r="Z139" s="1333"/>
      <c r="AA139" s="1333"/>
      <c r="AB139" s="1333"/>
      <c r="AC139" s="1333"/>
      <c r="AD139" s="1333"/>
      <c r="AE139" s="1333"/>
      <c r="AF139" s="1333"/>
      <c r="AG139" s="1333"/>
      <c r="AH139" s="1333"/>
      <c r="AI139" s="1333"/>
      <c r="AJ139" s="1333"/>
    </row>
    <row r="140" spans="1:48" ht="27.75" customHeight="1" x14ac:dyDescent="0.25">
      <c r="A140" s="1462"/>
      <c r="B140" s="125"/>
      <c r="C140" s="943"/>
      <c r="D140" s="321"/>
      <c r="E140" s="559" t="str">
        <f>IF('C-Design&amp;Const'!$I140="","",'C-Design&amp;Const'!$I140)</f>
        <v>Y</v>
      </c>
      <c r="F140" s="460"/>
      <c r="G140" s="485"/>
      <c r="H140" s="340" t="str">
        <f>CONCATENATE(IF(E140="N","PLACEHOLDER ROW - ",""),IF(E140="N","",J140),'C-Design&amp;Const'!Z140,)</f>
        <v>LEED Minimum Silver or better Registration (&gt;10,000 sqft and/or Capital Projects &gt;= $5million; Major renovations or New Construction)</v>
      </c>
      <c r="I140" s="136"/>
      <c r="J140" s="578" t="str">
        <f>IF('C-Design&amp;Const'!AE140="","",'C-Design&amp;Const'!AE140)</f>
        <v/>
      </c>
      <c r="K140" s="246" t="str">
        <f t="shared" si="7"/>
        <v/>
      </c>
      <c r="L140" s="1410" t="str">
        <f t="shared" si="7"/>
        <v/>
      </c>
      <c r="M140" s="1333"/>
      <c r="N140" s="1333"/>
      <c r="O140" s="1333"/>
      <c r="P140" s="1333"/>
      <c r="Q140" s="1453"/>
      <c r="R140" s="1284"/>
      <c r="S140" s="1284"/>
      <c r="T140" s="1333"/>
      <c r="U140" s="1333"/>
      <c r="V140" s="1333"/>
      <c r="W140" s="1333"/>
      <c r="X140" s="1333"/>
      <c r="Y140" s="1333"/>
      <c r="Z140" s="1333"/>
      <c r="AA140" s="1333"/>
      <c r="AB140" s="1333"/>
      <c r="AC140" s="1333"/>
      <c r="AD140" s="1333"/>
      <c r="AE140" s="1333"/>
      <c r="AF140" s="1333"/>
      <c r="AG140" s="1333"/>
      <c r="AH140" s="1333"/>
      <c r="AI140" s="1333"/>
      <c r="AJ140" s="1333"/>
    </row>
    <row r="141" spans="1:48" ht="17.25" customHeight="1" x14ac:dyDescent="0.25">
      <c r="A141" s="1482"/>
      <c r="B141" s="125"/>
      <c r="C141" s="943"/>
      <c r="D141" s="321"/>
      <c r="E141" s="559" t="str">
        <f>IF('C-Design&amp;Const'!$I141="","",'C-Design&amp;Const'!$I141)</f>
        <v>Y</v>
      </c>
      <c r="F141" s="460"/>
      <c r="G141" s="485"/>
      <c r="H141" s="340" t="str">
        <f>CONCATENATE(IF(E141="N","PLACEHOLDER ROW - ",""),IF(E141="N","",J141),'C-Design&amp;Const'!Z141,)</f>
        <v xml:space="preserve">LEED Project Checklist - (previously referred to as LEED Scorecard) </v>
      </c>
      <c r="I141" s="136"/>
      <c r="J141" s="578" t="str">
        <f>IF('C-Design&amp;Const'!AE141="","",'C-Design&amp;Const'!AE141)</f>
        <v/>
      </c>
      <c r="K141" s="246" t="str">
        <f t="shared" si="7"/>
        <v/>
      </c>
      <c r="L141" s="1410" t="str">
        <f t="shared" si="7"/>
        <v/>
      </c>
      <c r="M141" s="1333"/>
      <c r="N141" s="1333"/>
      <c r="O141" s="1333"/>
      <c r="P141" s="1333"/>
      <c r="Q141" s="1455"/>
      <c r="R141" s="1284"/>
      <c r="S141" s="1284"/>
      <c r="T141" s="1333"/>
      <c r="U141" s="1333"/>
      <c r="V141" s="1333"/>
      <c r="W141" s="1333"/>
      <c r="X141" s="1333"/>
      <c r="Y141" s="1333"/>
      <c r="Z141" s="1333"/>
      <c r="AA141" s="1333"/>
      <c r="AB141" s="1333"/>
      <c r="AC141" s="1333"/>
      <c r="AD141" s="1333"/>
      <c r="AE141" s="1333"/>
      <c r="AF141" s="1333"/>
      <c r="AG141" s="1333"/>
      <c r="AH141" s="1333"/>
      <c r="AI141" s="1333"/>
      <c r="AJ141" s="1333"/>
    </row>
    <row r="142" spans="1:48" x14ac:dyDescent="0.25">
      <c r="A142" s="1482"/>
      <c r="B142" s="125"/>
      <c r="C142" s="943"/>
      <c r="D142" s="321"/>
      <c r="E142" s="559" t="str">
        <f>IF('C-Design&amp;Const'!$I142="","",'C-Design&amp;Const'!$I142)</f>
        <v>Y</v>
      </c>
      <c r="F142" s="460"/>
      <c r="G142" s="485"/>
      <c r="H142" s="340" t="str">
        <f>CONCATENATE(IF(E142="N","PLACEHOLDER ROW - ",""),IF(E142="N","",J142),'C-Design&amp;Const'!Z142,)</f>
        <v xml:space="preserve">Energy Model (per ASHRAE 90.1, version from 2013  ) </v>
      </c>
      <c r="I142" s="136"/>
      <c r="J142" s="578" t="str">
        <f>IF('C-Design&amp;Const'!AE142="","",'C-Design&amp;Const'!AE142)</f>
        <v/>
      </c>
      <c r="K142" s="246" t="str">
        <f t="shared" si="7"/>
        <v/>
      </c>
      <c r="L142" s="1410" t="str">
        <f t="shared" si="7"/>
        <v/>
      </c>
      <c r="M142" s="1333"/>
      <c r="N142" s="1333"/>
      <c r="O142" s="1333"/>
      <c r="P142" s="1333"/>
      <c r="Q142" s="1453"/>
      <c r="R142" s="1284"/>
      <c r="S142" s="1284"/>
      <c r="T142" s="1333"/>
      <c r="U142" s="1333"/>
      <c r="V142" s="1333"/>
      <c r="W142" s="1333"/>
      <c r="X142" s="1333"/>
      <c r="Y142" s="1333"/>
      <c r="Z142" s="1333"/>
      <c r="AA142" s="1333"/>
      <c r="AB142" s="1333"/>
      <c r="AC142" s="1333"/>
      <c r="AD142" s="1333"/>
      <c r="AE142" s="1333"/>
      <c r="AF142" s="1333"/>
      <c r="AG142" s="1333"/>
      <c r="AH142" s="1333"/>
      <c r="AI142" s="1333"/>
      <c r="AJ142" s="1333"/>
    </row>
    <row r="143" spans="1:48" s="30" customFormat="1" ht="17.25" customHeight="1" x14ac:dyDescent="0.25">
      <c r="A143" s="1462"/>
      <c r="B143" s="191"/>
      <c r="C143" s="943"/>
      <c r="D143" s="463"/>
      <c r="E143" s="559" t="str">
        <f>IF('C-Design&amp;Const'!$I143="","",'C-Design&amp;Const'!$I143)</f>
        <v>Y</v>
      </c>
      <c r="F143" s="461"/>
      <c r="G143" s="465"/>
      <c r="H143" s="340" t="str">
        <f>CONCATENATE(IF(E143="N","PLACEHOLDER ROW - ",""),IF(E143="N","",J143),'C-Design&amp;Const'!Z143,)</f>
        <v>Life Cycle Cost Analysis for selected systems (for projects exceeding 25,000 SF)</v>
      </c>
      <c r="I143" s="184"/>
      <c r="J143" s="578" t="str">
        <f>IF('C-Design&amp;Const'!AE143="","",'C-Design&amp;Const'!AE143)</f>
        <v/>
      </c>
      <c r="K143" s="246" t="str">
        <f t="shared" si="7"/>
        <v/>
      </c>
      <c r="L143" s="1410" t="str">
        <f t="shared" si="7"/>
        <v/>
      </c>
      <c r="M143" s="1333"/>
      <c r="N143" s="1382"/>
      <c r="O143" s="1382"/>
      <c r="P143" s="1382"/>
      <c r="Q143" s="1382"/>
      <c r="R143" s="1382"/>
      <c r="S143" s="1382"/>
      <c r="T143" s="1382"/>
      <c r="U143" s="1382"/>
      <c r="V143" s="1382"/>
      <c r="W143" s="1382"/>
      <c r="X143" s="1382"/>
      <c r="Y143" s="1382"/>
      <c r="Z143" s="1382"/>
      <c r="AA143" s="1382"/>
      <c r="AB143" s="1382"/>
      <c r="AC143" s="1382"/>
      <c r="AD143" s="1382"/>
      <c r="AE143" s="1382"/>
      <c r="AF143" s="1382"/>
      <c r="AG143" s="1382"/>
      <c r="AH143" s="1382"/>
      <c r="AI143" s="1382"/>
      <c r="AJ143" s="1382"/>
      <c r="AK143" s="181"/>
      <c r="AL143" s="181"/>
      <c r="AM143" s="181"/>
      <c r="AN143" s="181"/>
      <c r="AO143" s="181"/>
      <c r="AP143" s="181"/>
      <c r="AQ143" s="181"/>
      <c r="AR143" s="181"/>
      <c r="AS143" s="181"/>
      <c r="AT143" s="181"/>
      <c r="AU143" s="181"/>
      <c r="AV143" s="181"/>
    </row>
    <row r="144" spans="1:48" x14ac:dyDescent="0.25">
      <c r="A144" s="1462"/>
      <c r="B144" s="125"/>
      <c r="C144" s="943"/>
      <c r="D144" s="321"/>
      <c r="E144" s="559" t="str">
        <f>IF('C-Design&amp;Const'!$I144="","",'C-Design&amp;Const'!$I144)</f>
        <v>Y</v>
      </c>
      <c r="F144" s="460"/>
      <c r="G144" s="485"/>
      <c r="H144" s="340" t="str">
        <f>CONCATENATE(IF(E144="N","PLACEHOLDER ROW - ",""),IF(E144="N","",J144),'C-Design&amp;Const'!Z144,)</f>
        <v xml:space="preserve">Energy Budget </v>
      </c>
      <c r="I144" s="136"/>
      <c r="J144" s="578" t="str">
        <f>IF('C-Design&amp;Const'!AE144="","",'C-Design&amp;Const'!AE144)</f>
        <v/>
      </c>
      <c r="K144" s="246" t="str">
        <f t="shared" si="7"/>
        <v/>
      </c>
      <c r="L144" s="1410" t="str">
        <f t="shared" si="7"/>
        <v/>
      </c>
      <c r="M144" s="1333"/>
      <c r="N144" s="1333"/>
      <c r="O144" s="1333"/>
      <c r="P144" s="1333"/>
      <c r="Q144" s="1453"/>
      <c r="R144" s="1284"/>
      <c r="S144" s="1284"/>
      <c r="T144" s="1333"/>
      <c r="U144" s="1333"/>
      <c r="V144" s="1333"/>
      <c r="W144" s="1333"/>
      <c r="X144" s="1333"/>
      <c r="Y144" s="1333"/>
      <c r="Z144" s="1333"/>
      <c r="AA144" s="1333"/>
      <c r="AB144" s="1333"/>
      <c r="AC144" s="1333"/>
      <c r="AD144" s="1333"/>
      <c r="AE144" s="1333"/>
      <c r="AF144" s="1333"/>
      <c r="AG144" s="1333"/>
      <c r="AH144" s="1333"/>
      <c r="AI144" s="1333"/>
      <c r="AJ144" s="1333"/>
    </row>
    <row r="145" spans="1:48" x14ac:dyDescent="0.25">
      <c r="A145" s="1462"/>
      <c r="B145" s="125"/>
      <c r="C145" s="943"/>
      <c r="D145" s="321"/>
      <c r="E145" s="559" t="str">
        <f>IF('C-Design&amp;Const'!$I146="","",'C-Design&amp;Const'!$I146)</f>
        <v>N</v>
      </c>
      <c r="F145" s="460"/>
      <c r="G145" s="485"/>
      <c r="H145" s="358" t="str">
        <f>CONCATENATE(IF(E145="N","PLACEHOLDER ROW - ",""),IF(E145="N","",J145),'C-Design&amp;Const'!Z146,)</f>
        <v xml:space="preserve">PLACEHOLDER ROW - Chilled Water Capacity Charge form </v>
      </c>
      <c r="I145" s="135"/>
      <c r="J145" s="578" t="str">
        <f>IF('C-Design&amp;Const'!AE146="","",'C-Design&amp;Const'!AE146)</f>
        <v/>
      </c>
      <c r="K145" s="246" t="str">
        <f>CONCATENATE(IF(ISNUMBER(SEARCH("Placeholder",G145))=TRUE,"&lt;---PM/Planner may hide PLACEHOLDER ROW",""))</f>
        <v/>
      </c>
      <c r="L145" s="1410" t="str">
        <f>CONCATENATE(IF(ISNUMBER(SEARCH("Placeholder",H145))=TRUE,"&lt;---PM/Planner may hide PLACEHOLDER ROW",""))</f>
        <v>&lt;---PM/Planner may hide PLACEHOLDER ROW</v>
      </c>
      <c r="M145" s="1333"/>
      <c r="N145" s="1333"/>
      <c r="O145" s="1333"/>
      <c r="P145" s="1333"/>
      <c r="Q145" s="1452"/>
      <c r="R145" s="1284"/>
      <c r="S145" s="1284"/>
      <c r="T145" s="1333"/>
      <c r="U145" s="1333"/>
      <c r="V145" s="1333"/>
      <c r="W145" s="1333"/>
      <c r="X145" s="1333"/>
      <c r="Y145" s="1333"/>
      <c r="Z145" s="1333"/>
      <c r="AA145" s="1333"/>
      <c r="AB145" s="1333"/>
      <c r="AC145" s="1333"/>
      <c r="AD145" s="1333"/>
      <c r="AE145" s="1333"/>
      <c r="AF145" s="1333"/>
      <c r="AG145" s="1333"/>
      <c r="AH145" s="1333"/>
      <c r="AI145" s="1333"/>
      <c r="AJ145" s="1333"/>
    </row>
    <row r="146" spans="1:48" x14ac:dyDescent="0.25">
      <c r="A146" s="1482"/>
      <c r="B146" s="125"/>
      <c r="C146" s="943"/>
      <c r="D146" s="321"/>
      <c r="E146" s="559" t="str">
        <f>IF('C-Design&amp;Const'!$I145="","",'C-Design&amp;Const'!$I145)</f>
        <v>Y</v>
      </c>
      <c r="F146" s="478"/>
      <c r="G146" s="487"/>
      <c r="H146" s="340" t="str">
        <f>CONCATENATE(IF(E146="N","PLACEHOLDER ROW - ",""),IF(E146="N","",J146),'C-Design&amp;Const'!Z145,)</f>
        <v>Utilities Peak Load Estimates</v>
      </c>
      <c r="I146" s="137"/>
      <c r="J146" s="578" t="str">
        <f>IF('C-Design&amp;Const'!AE145="","",'C-Design&amp;Const'!AE145)</f>
        <v/>
      </c>
      <c r="K146" s="246" t="str">
        <f t="shared" si="7"/>
        <v/>
      </c>
      <c r="L146" s="1410" t="str">
        <f t="shared" si="7"/>
        <v/>
      </c>
      <c r="M146" s="1333"/>
      <c r="N146" s="1333"/>
      <c r="O146" s="1333"/>
      <c r="P146" s="1333"/>
      <c r="Q146" s="1454"/>
      <c r="R146" s="1284"/>
      <c r="S146" s="1284"/>
      <c r="T146" s="1333"/>
      <c r="U146" s="1333"/>
      <c r="V146" s="1333"/>
      <c r="W146" s="1333"/>
      <c r="X146" s="1333"/>
      <c r="Y146" s="1333"/>
      <c r="Z146" s="1333"/>
      <c r="AA146" s="1333"/>
      <c r="AB146" s="1333"/>
      <c r="AC146" s="1333"/>
      <c r="AD146" s="1333"/>
      <c r="AE146" s="1333"/>
      <c r="AF146" s="1333"/>
      <c r="AG146" s="1333"/>
      <c r="AH146" s="1333"/>
      <c r="AI146" s="1333"/>
      <c r="AJ146" s="1333"/>
    </row>
    <row r="147" spans="1:48" x14ac:dyDescent="0.25">
      <c r="A147" s="1482"/>
      <c r="B147" s="125"/>
      <c r="C147" s="943"/>
      <c r="D147" s="321"/>
      <c r="E147" s="559" t="str">
        <f>IF('C-Design&amp;Const'!$I147="","",'C-Design&amp;Const'!$I147)</f>
        <v>Y</v>
      </c>
      <c r="F147" s="478"/>
      <c r="G147" s="487"/>
      <c r="H147" s="340" t="str">
        <f>CONCATENATE(IF(E147="N","PLACEHOLDER ROW - ",""),IF(E147="N","",J147),'C-Design&amp;Const'!Z147,)</f>
        <v xml:space="preserve">Energy Standards – proof of compliance </v>
      </c>
      <c r="I147" s="137"/>
      <c r="J147" s="578" t="str">
        <f>IF('C-Design&amp;Const'!AE147="","",'C-Design&amp;Const'!AE147)</f>
        <v/>
      </c>
      <c r="K147" s="246" t="str">
        <f t="shared" si="7"/>
        <v/>
      </c>
      <c r="L147" s="1410" t="str">
        <f t="shared" si="7"/>
        <v/>
      </c>
      <c r="M147" s="1333"/>
      <c r="N147" s="1333"/>
      <c r="O147" s="1333"/>
      <c r="P147" s="1333"/>
      <c r="Q147" s="1454"/>
      <c r="R147" s="1284"/>
      <c r="S147" s="1284"/>
      <c r="T147" s="1333"/>
      <c r="U147" s="1333"/>
      <c r="V147" s="1333"/>
      <c r="W147" s="1333"/>
      <c r="X147" s="1333"/>
      <c r="Y147" s="1333"/>
      <c r="Z147" s="1333"/>
      <c r="AA147" s="1333"/>
      <c r="AB147" s="1333"/>
      <c r="AC147" s="1333"/>
      <c r="AD147" s="1333"/>
      <c r="AE147" s="1333"/>
      <c r="AF147" s="1333"/>
      <c r="AG147" s="1333"/>
      <c r="AH147" s="1333"/>
      <c r="AI147" s="1333"/>
      <c r="AJ147" s="1333"/>
    </row>
    <row r="148" spans="1:48" x14ac:dyDescent="0.25">
      <c r="A148" s="1462"/>
      <c r="B148" s="125"/>
      <c r="C148" s="943"/>
      <c r="D148" s="321"/>
      <c r="E148" s="559" t="str">
        <f>IF('C-Design&amp;Const'!$I148="","",'C-Design&amp;Const'!$I148)</f>
        <v>Y</v>
      </c>
      <c r="F148" s="460"/>
      <c r="G148" s="485"/>
      <c r="H148" s="340" t="str">
        <f>CONCATENATE(IF(E148="N","PLACEHOLDER ROW - ",""),IF(E148="N","",J148),'C-Design&amp;Const'!Z148,)</f>
        <v xml:space="preserve">(Preliminary) Hydraulic Analysis for water and waste - ** calculations available upon request </v>
      </c>
      <c r="I148" s="136"/>
      <c r="J148" s="578" t="str">
        <f>IF('C-Design&amp;Const'!AE148="","",'C-Design&amp;Const'!AE148)</f>
        <v xml:space="preserve">(Preliminary) </v>
      </c>
      <c r="K148" s="246" t="str">
        <f t="shared" si="7"/>
        <v/>
      </c>
      <c r="L148" s="1410" t="str">
        <f t="shared" si="7"/>
        <v/>
      </c>
      <c r="M148" s="1333"/>
      <c r="N148" s="1333"/>
      <c r="O148" s="1333"/>
      <c r="P148" s="1333"/>
      <c r="Q148" s="1453"/>
      <c r="R148" s="1284"/>
      <c r="S148" s="1284"/>
      <c r="T148" s="1333"/>
      <c r="U148" s="1333"/>
      <c r="V148" s="1333"/>
      <c r="W148" s="1333"/>
      <c r="X148" s="1333"/>
      <c r="Y148" s="1333"/>
      <c r="Z148" s="1333"/>
      <c r="AA148" s="1333"/>
      <c r="AB148" s="1333"/>
      <c r="AC148" s="1333"/>
      <c r="AD148" s="1333"/>
      <c r="AE148" s="1333"/>
      <c r="AF148" s="1333"/>
      <c r="AG148" s="1333"/>
      <c r="AH148" s="1333"/>
      <c r="AI148" s="1333"/>
      <c r="AJ148" s="1333"/>
    </row>
    <row r="149" spans="1:48" x14ac:dyDescent="0.25">
      <c r="A149" s="1462"/>
      <c r="B149" s="125"/>
      <c r="C149" s="943"/>
      <c r="D149" s="321"/>
      <c r="E149" s="559" t="str">
        <f>IF('C-Design&amp;Const'!$I149="","",'C-Design&amp;Const'!$I149)</f>
        <v>Y</v>
      </c>
      <c r="F149" s="460"/>
      <c r="G149" s="485"/>
      <c r="H149" s="340" t="str">
        <f>CONCATENATE(IF(E149="N","PLACEHOLDER ROW - ",""),IF(E149="N","",J149),'C-Design&amp;Const'!Z149,)</f>
        <v xml:space="preserve">(Preliminary) Hydraulic Analysis for fire protection - ** calculations available upon request </v>
      </c>
      <c r="I149" s="136"/>
      <c r="J149" s="578" t="str">
        <f>IF('C-Design&amp;Const'!AE149="","",'C-Design&amp;Const'!AE149)</f>
        <v xml:space="preserve">(Preliminary) </v>
      </c>
      <c r="K149" s="246" t="str">
        <f t="shared" si="7"/>
        <v/>
      </c>
      <c r="L149" s="1410" t="str">
        <f t="shared" si="7"/>
        <v/>
      </c>
      <c r="M149" s="1333"/>
      <c r="N149" s="1333"/>
      <c r="O149" s="1333"/>
      <c r="P149" s="1333"/>
      <c r="Q149" s="1453"/>
      <c r="R149" s="1284"/>
      <c r="S149" s="1284"/>
      <c r="T149" s="1333"/>
      <c r="U149" s="1333"/>
      <c r="V149" s="1333"/>
      <c r="W149" s="1333"/>
      <c r="X149" s="1333"/>
      <c r="Y149" s="1333"/>
      <c r="Z149" s="1333"/>
      <c r="AA149" s="1333"/>
      <c r="AB149" s="1333"/>
      <c r="AC149" s="1333"/>
      <c r="AD149" s="1333"/>
      <c r="AE149" s="1333"/>
      <c r="AF149" s="1333"/>
      <c r="AG149" s="1333"/>
      <c r="AH149" s="1333"/>
      <c r="AI149" s="1333"/>
      <c r="AJ149" s="1333"/>
    </row>
    <row r="150" spans="1:48" x14ac:dyDescent="0.25">
      <c r="A150" s="1462"/>
      <c r="B150" s="125"/>
      <c r="C150" s="943"/>
      <c r="D150" s="321"/>
      <c r="E150" s="559" t="str">
        <f>IF('C-Design&amp;Const'!$I150="","",'C-Design&amp;Const'!$I150)</f>
        <v>N</v>
      </c>
      <c r="F150" s="460"/>
      <c r="G150" s="485"/>
      <c r="H150" s="340" t="str">
        <f>CONCATENATE(IF(E150="N","PLACEHOLDER ROW - ",""),IF(E150="N","",J150),'C-Design&amp;Const'!Z150,)</f>
        <v>PLACEHOLDER ROW - Harmonic Analysis Report for VFDs (N/A till construction)</v>
      </c>
      <c r="I150" s="136"/>
      <c r="J150" s="578" t="str">
        <f>IF('C-Design&amp;Const'!AE150="","",'C-Design&amp;Const'!AE150)</f>
        <v/>
      </c>
      <c r="K150" s="246" t="str">
        <f t="shared" si="7"/>
        <v/>
      </c>
      <c r="L150" s="1410" t="str">
        <f t="shared" si="7"/>
        <v>&lt;---PM/Planner may hide PLACEHOLDER ROW</v>
      </c>
      <c r="M150" s="1333"/>
      <c r="N150" s="1333"/>
      <c r="O150" s="1333"/>
      <c r="P150" s="1333"/>
      <c r="Q150" s="1453"/>
      <c r="R150" s="1284"/>
      <c r="S150" s="1284"/>
      <c r="T150" s="1333"/>
      <c r="U150" s="1333"/>
      <c r="V150" s="1333"/>
      <c r="W150" s="1333"/>
      <c r="X150" s="1333"/>
      <c r="Y150" s="1333"/>
      <c r="Z150" s="1333"/>
      <c r="AA150" s="1333"/>
      <c r="AB150" s="1333"/>
      <c r="AC150" s="1333"/>
      <c r="AD150" s="1333"/>
      <c r="AE150" s="1333"/>
      <c r="AF150" s="1333"/>
      <c r="AG150" s="1333"/>
      <c r="AH150" s="1333"/>
      <c r="AI150" s="1333"/>
      <c r="AJ150" s="1333"/>
    </row>
    <row r="151" spans="1:48" ht="26.25" customHeight="1" x14ac:dyDescent="0.25">
      <c r="A151" s="1462"/>
      <c r="B151" s="125"/>
      <c r="C151" s="943"/>
      <c r="D151" s="321"/>
      <c r="E151" s="559" t="str">
        <f>IF('C-Design&amp;Const'!$I151="","",'C-Design&amp;Const'!$I151)</f>
        <v>Y</v>
      </c>
      <c r="F151" s="460"/>
      <c r="G151" s="485"/>
      <c r="H151" s="340" t="str">
        <f>CONCATENATE(IF(E151="N","PLACEHOLDER ROW - ",""),IF(E151="N","",J151),'C-Design&amp;Const'!Z151,)</f>
        <v xml:space="preserve">(Preliminary) Results of Emergency Generator Load Calculation - ** calculations available upon request </v>
      </c>
      <c r="I151" s="136"/>
      <c r="J151" s="578" t="str">
        <f>IF('C-Design&amp;Const'!AE151="","",'C-Design&amp;Const'!AE151)</f>
        <v xml:space="preserve">(Preliminary) </v>
      </c>
      <c r="K151" s="246" t="str">
        <f t="shared" si="7"/>
        <v/>
      </c>
      <c r="L151" s="1410" t="str">
        <f t="shared" si="7"/>
        <v/>
      </c>
      <c r="M151" s="1333"/>
      <c r="N151" s="1333"/>
      <c r="O151" s="1333"/>
      <c r="P151" s="1333"/>
      <c r="Q151" s="1453"/>
      <c r="R151" s="1284"/>
      <c r="S151" s="1284"/>
      <c r="T151" s="1333"/>
      <c r="U151" s="1333"/>
      <c r="V151" s="1333"/>
      <c r="W151" s="1333"/>
      <c r="X151" s="1333"/>
      <c r="Y151" s="1333"/>
      <c r="Z151" s="1333"/>
      <c r="AA151" s="1333"/>
      <c r="AB151" s="1333"/>
      <c r="AC151" s="1333"/>
      <c r="AD151" s="1333"/>
      <c r="AE151" s="1333"/>
      <c r="AF151" s="1333"/>
      <c r="AG151" s="1333"/>
      <c r="AH151" s="1333"/>
      <c r="AI151" s="1333"/>
      <c r="AJ151" s="1333"/>
    </row>
    <row r="152" spans="1:48" ht="18" customHeight="1" x14ac:dyDescent="0.25">
      <c r="A152" s="1462"/>
      <c r="B152" s="125"/>
      <c r="C152" s="943"/>
      <c r="D152" s="321"/>
      <c r="E152" s="559" t="str">
        <f>IF('C-Design&amp;Const'!$I152="","",'C-Design&amp;Const'!$I152)</f>
        <v>N</v>
      </c>
      <c r="F152" s="460"/>
      <c r="G152" s="485"/>
      <c r="H152" s="340" t="str">
        <f>CONCATENATE(IF(E152="N","PLACEHOLDER ROW - ",""),IF(E152="N","",J152),'C-Design&amp;Const'!Z152,)</f>
        <v>PLACEHOLDER ROW - CUSTOM ROW - OPTIONAL CLIENT ITEM</v>
      </c>
      <c r="I152" s="136"/>
      <c r="J152" s="578" t="str">
        <f>IF('C-Design&amp;Const'!AE152="","",'C-Design&amp;Const'!AE152)</f>
        <v xml:space="preserve">(Preliminary) </v>
      </c>
      <c r="K152" s="246" t="str">
        <f t="shared" si="7"/>
        <v/>
      </c>
      <c r="L152" s="1410" t="str">
        <f t="shared" si="7"/>
        <v>&lt;---PM/Planner may hide PLACEHOLDER ROW</v>
      </c>
      <c r="M152" s="1333"/>
      <c r="N152" s="1333"/>
      <c r="O152" s="1333"/>
      <c r="P152" s="1333"/>
      <c r="Q152" s="1453"/>
      <c r="R152" s="1284"/>
      <c r="S152" s="1284"/>
      <c r="T152" s="1333"/>
      <c r="U152" s="1333"/>
      <c r="V152" s="1333"/>
      <c r="W152" s="1333"/>
      <c r="X152" s="1333"/>
      <c r="Y152" s="1333"/>
      <c r="Z152" s="1333"/>
      <c r="AA152" s="1333"/>
      <c r="AB152" s="1333"/>
      <c r="AC152" s="1333"/>
      <c r="AD152" s="1333"/>
      <c r="AE152" s="1333"/>
      <c r="AF152" s="1333"/>
      <c r="AG152" s="1333"/>
      <c r="AH152" s="1333"/>
      <c r="AI152" s="1333"/>
      <c r="AJ152" s="1333"/>
    </row>
    <row r="153" spans="1:48" x14ac:dyDescent="0.25">
      <c r="A153" s="1462"/>
      <c r="B153" s="125"/>
      <c r="C153" s="943"/>
      <c r="D153" s="321"/>
      <c r="E153" s="559" t="str">
        <f>IF('C-Design&amp;Const'!$I153="","",'C-Design&amp;Const'!$I153)</f>
        <v>Y</v>
      </c>
      <c r="F153" s="460"/>
      <c r="G153" s="485"/>
      <c r="H153" s="340" t="str">
        <f>CONCATENATE(IF(E153="N","PLACEHOLDER ROW - ",""),IF(E153="N","",J153),'C-Design&amp;Const'!Z153,)</f>
        <v xml:space="preserve">(Preliminary) Results of Transformer Load Calculation -** calculations available upon request </v>
      </c>
      <c r="I153" s="136"/>
      <c r="J153" s="578" t="str">
        <f>IF('C-Design&amp;Const'!AE153="","",'C-Design&amp;Const'!AE153)</f>
        <v xml:space="preserve">(Preliminary) </v>
      </c>
      <c r="K153" s="246" t="str">
        <f t="shared" si="7"/>
        <v/>
      </c>
      <c r="L153" s="1410" t="str">
        <f t="shared" si="7"/>
        <v/>
      </c>
      <c r="M153" s="1333"/>
      <c r="N153" s="1333"/>
      <c r="O153" s="1333"/>
      <c r="P153" s="1333"/>
      <c r="Q153" s="1453"/>
      <c r="R153" s="1284"/>
      <c r="S153" s="1284"/>
      <c r="T153" s="1333"/>
      <c r="U153" s="1333"/>
      <c r="V153" s="1333"/>
      <c r="W153" s="1333"/>
      <c r="X153" s="1333"/>
      <c r="Y153" s="1333"/>
      <c r="Z153" s="1333"/>
      <c r="AA153" s="1333"/>
      <c r="AB153" s="1333"/>
      <c r="AC153" s="1333"/>
      <c r="AD153" s="1333"/>
      <c r="AE153" s="1333"/>
      <c r="AF153" s="1333"/>
      <c r="AG153" s="1333"/>
      <c r="AH153" s="1333"/>
      <c r="AI153" s="1333"/>
      <c r="AJ153" s="1333"/>
    </row>
    <row r="154" spans="1:48" s="30" customFormat="1" ht="30" customHeight="1" x14ac:dyDescent="0.25">
      <c r="A154" s="1462"/>
      <c r="B154" s="191"/>
      <c r="C154" s="943"/>
      <c r="D154" s="463"/>
      <c r="E154" s="559" t="str">
        <f>IF('C-Design&amp;Const'!$I154="","",'C-Design&amp;Const'!$I154)</f>
        <v>Y</v>
      </c>
      <c r="F154" s="461"/>
      <c r="G154" s="465"/>
      <c r="H154" s="340" t="str">
        <f>CONCATENATE(IF(E154="N","PLACEHOLDER ROW - ",""),IF(E154="N","",J154),'C-Design&amp;Const'!Z154,)</f>
        <v xml:space="preserve">(Preliminary) Results of Short-Circuit (Fault) Analysis of Building Electrical System- ** calculations available upon request </v>
      </c>
      <c r="I154" s="184"/>
      <c r="J154" s="578" t="str">
        <f>IF('C-Design&amp;Const'!AE154="","",'C-Design&amp;Const'!AE154)</f>
        <v xml:space="preserve">(Preliminary) </v>
      </c>
      <c r="K154" s="246" t="str">
        <f t="shared" si="7"/>
        <v/>
      </c>
      <c r="L154" s="1410" t="str">
        <f t="shared" si="7"/>
        <v/>
      </c>
      <c r="M154" s="1333"/>
      <c r="N154" s="1382"/>
      <c r="O154" s="1382"/>
      <c r="P154" s="1382"/>
      <c r="Q154" s="1382"/>
      <c r="R154" s="1382"/>
      <c r="S154" s="1382"/>
      <c r="T154" s="1382"/>
      <c r="U154" s="1382"/>
      <c r="V154" s="1382"/>
      <c r="W154" s="1382"/>
      <c r="X154" s="1382"/>
      <c r="Y154" s="1382"/>
      <c r="Z154" s="1382"/>
      <c r="AA154" s="1382"/>
      <c r="AB154" s="1382"/>
      <c r="AC154" s="1382"/>
      <c r="AD154" s="1382"/>
      <c r="AE154" s="1382"/>
      <c r="AF154" s="1382"/>
      <c r="AG154" s="1382"/>
      <c r="AH154" s="1382"/>
      <c r="AI154" s="1382"/>
      <c r="AJ154" s="1382"/>
      <c r="AK154" s="181"/>
      <c r="AL154" s="181"/>
      <c r="AM154" s="181"/>
      <c r="AN154" s="181"/>
      <c r="AO154" s="181"/>
      <c r="AP154" s="181"/>
      <c r="AQ154" s="181"/>
      <c r="AR154" s="181"/>
      <c r="AS154" s="181"/>
      <c r="AT154" s="181"/>
      <c r="AU154" s="181"/>
      <c r="AV154" s="181"/>
    </row>
    <row r="155" spans="1:48" s="30" customFormat="1" ht="16.5" customHeight="1" x14ac:dyDescent="0.25">
      <c r="A155" s="1462"/>
      <c r="B155" s="191"/>
      <c r="C155" s="943"/>
      <c r="D155" s="463"/>
      <c r="E155" s="559" t="str">
        <f>IF('C-Design&amp;Const'!$I155="","",'C-Design&amp;Const'!$I155)</f>
        <v>Y</v>
      </c>
      <c r="F155" s="461"/>
      <c r="G155" s="465"/>
      <c r="H155" s="340" t="str">
        <f>CONCATENATE(IF(E155="N","PLACEHOLDER ROW - ",""),IF(E155="N","",J155),'C-Design&amp;Const'!Z155,)</f>
        <v xml:space="preserve">(Preliminary) Extensions of Primary Electrical Distribution-** calculations available upon request </v>
      </c>
      <c r="I155" s="184"/>
      <c r="J155" s="578" t="str">
        <f>IF('C-Design&amp;Const'!AE155="","",'C-Design&amp;Const'!AE155)</f>
        <v xml:space="preserve">(Preliminary) </v>
      </c>
      <c r="K155" s="246" t="str">
        <f t="shared" si="7"/>
        <v/>
      </c>
      <c r="L155" s="1410" t="str">
        <f t="shared" si="7"/>
        <v/>
      </c>
      <c r="M155" s="1333"/>
      <c r="N155" s="1382"/>
      <c r="O155" s="1382"/>
      <c r="P155" s="1382"/>
      <c r="Q155" s="1382"/>
      <c r="R155" s="1382"/>
      <c r="S155" s="1382"/>
      <c r="T155" s="1382"/>
      <c r="U155" s="1382"/>
      <c r="V155" s="1382"/>
      <c r="W155" s="1382"/>
      <c r="X155" s="1382"/>
      <c r="Y155" s="1382"/>
      <c r="Z155" s="1382"/>
      <c r="AA155" s="1382"/>
      <c r="AB155" s="1382"/>
      <c r="AC155" s="1382"/>
      <c r="AD155" s="1382"/>
      <c r="AE155" s="1382"/>
      <c r="AF155" s="1382"/>
      <c r="AG155" s="1382"/>
      <c r="AH155" s="1382"/>
      <c r="AI155" s="1382"/>
      <c r="AJ155" s="1382"/>
      <c r="AK155" s="181"/>
      <c r="AL155" s="181"/>
      <c r="AM155" s="181"/>
      <c r="AN155" s="181"/>
      <c r="AO155" s="181"/>
      <c r="AP155" s="181"/>
      <c r="AQ155" s="181"/>
      <c r="AR155" s="181"/>
      <c r="AS155" s="181"/>
      <c r="AT155" s="181"/>
      <c r="AU155" s="181"/>
      <c r="AV155" s="181"/>
    </row>
    <row r="156" spans="1:48" ht="24" customHeight="1" x14ac:dyDescent="0.25">
      <c r="A156" s="1462"/>
      <c r="B156" s="125"/>
      <c r="C156" s="943"/>
      <c r="D156" s="321"/>
      <c r="E156" s="559" t="str">
        <f>IF('C-Design&amp;Const'!$I156="","",'C-Design&amp;Const'!$I156)</f>
        <v>N</v>
      </c>
      <c r="F156" s="460"/>
      <c r="G156" s="485"/>
      <c r="H156" s="340" t="str">
        <f>CONCATENATE(IF(E156="N","PLACEHOLDER ROW - ",""),IF(E156="N","",J156),'C-Design&amp;Const'!Z156,)</f>
        <v xml:space="preserve">PLACEHOLDER ROW - Results of Proposed Lighting Power Density Calculation (output from COMcheck software or similar) showing Compliance with Energy Codes and Standards -** calculations available upon request </v>
      </c>
      <c r="I156" s="136"/>
      <c r="J156" s="578" t="str">
        <f>IF('C-Design&amp;Const'!AE156="","",'C-Design&amp;Const'!AE156)</f>
        <v/>
      </c>
      <c r="K156" s="246" t="str">
        <f t="shared" si="7"/>
        <v/>
      </c>
      <c r="L156" s="1410" t="str">
        <f t="shared" si="7"/>
        <v>&lt;---PM/Planner may hide PLACEHOLDER ROW</v>
      </c>
      <c r="M156" s="1333"/>
      <c r="N156" s="1333"/>
      <c r="O156" s="1333"/>
      <c r="P156" s="1333"/>
      <c r="Q156" s="1453"/>
      <c r="R156" s="1284"/>
      <c r="S156" s="1456"/>
      <c r="T156" s="1333"/>
      <c r="U156" s="1333"/>
      <c r="V156" s="1333"/>
      <c r="W156" s="1333"/>
      <c r="X156" s="1333"/>
      <c r="Y156" s="1333"/>
      <c r="Z156" s="1333"/>
      <c r="AA156" s="1333"/>
      <c r="AB156" s="1333"/>
      <c r="AC156" s="1333"/>
      <c r="AD156" s="1333"/>
      <c r="AE156" s="1333"/>
      <c r="AF156" s="1333"/>
      <c r="AG156" s="1333"/>
      <c r="AH156" s="1333"/>
      <c r="AI156" s="1333"/>
      <c r="AJ156" s="1333"/>
    </row>
    <row r="157" spans="1:48" ht="24" customHeight="1" x14ac:dyDescent="0.25">
      <c r="A157" s="1462"/>
      <c r="B157" s="125"/>
      <c r="C157" s="943"/>
      <c r="D157" s="321"/>
      <c r="E157" s="559" t="str">
        <f>IF('C-Design&amp;Const'!$I157="","",'C-Design&amp;Const'!$I157)</f>
        <v>N</v>
      </c>
      <c r="F157" s="460"/>
      <c r="G157" s="485"/>
      <c r="H157" s="340" t="str">
        <f>CONCATENATE(IF(E157="N","PLACEHOLDER ROW - ",""),IF(E157="N","",J157),'C-Design&amp;Const'!Z157,)</f>
        <v>PLACEHOLDER ROW - Results of Point-by-Point Exterior Lighting Calculations Showing Compliance with IESNA Recommendations</v>
      </c>
      <c r="I157" s="136"/>
      <c r="J157" s="578" t="str">
        <f>IF('C-Design&amp;Const'!AE157="","",'C-Design&amp;Const'!AE157)</f>
        <v/>
      </c>
      <c r="K157" s="246" t="str">
        <f t="shared" si="7"/>
        <v/>
      </c>
      <c r="L157" s="1410" t="str">
        <f t="shared" si="7"/>
        <v>&lt;---PM/Planner may hide PLACEHOLDER ROW</v>
      </c>
      <c r="M157" s="1333"/>
      <c r="N157" s="1333"/>
      <c r="O157" s="1333"/>
      <c r="P157" s="1333"/>
      <c r="Q157" s="1453"/>
      <c r="R157" s="1284"/>
      <c r="S157" s="1456"/>
      <c r="T157" s="1333"/>
      <c r="U157" s="1333"/>
      <c r="V157" s="1333"/>
      <c r="W157" s="1333"/>
      <c r="X157" s="1333"/>
      <c r="Y157" s="1333"/>
      <c r="Z157" s="1333"/>
      <c r="AA157" s="1333"/>
      <c r="AB157" s="1333"/>
      <c r="AC157" s="1333"/>
      <c r="AD157" s="1333"/>
      <c r="AE157" s="1333"/>
      <c r="AF157" s="1333"/>
      <c r="AG157" s="1333"/>
      <c r="AH157" s="1333"/>
      <c r="AI157" s="1333"/>
      <c r="AJ157" s="1333"/>
    </row>
    <row r="158" spans="1:48" x14ac:dyDescent="0.25">
      <c r="A158" s="1462"/>
      <c r="B158" s="125"/>
      <c r="C158" s="943"/>
      <c r="D158" s="321"/>
      <c r="E158" s="559" t="str">
        <f>IF('C-Design&amp;Const'!$I158="","",'C-Design&amp;Const'!$I158)</f>
        <v>N</v>
      </c>
      <c r="F158" s="460"/>
      <c r="G158" s="485"/>
      <c r="H158" s="358" t="str">
        <f>CONCATENATE(IF(E158="N","PLACEHOLDER ROW - ",""),IF(E158="N","",J158),'C-Design&amp;Const'!Z158,)</f>
        <v>PLACEHOLDER ROW - Results of Point-by-Point Interior Lighting Calculations for Each Typical Space</v>
      </c>
      <c r="I158" s="136"/>
      <c r="J158" s="578" t="str">
        <f>IF('C-Design&amp;Const'!AE158="","",'C-Design&amp;Const'!AE158)</f>
        <v/>
      </c>
      <c r="K158" s="246" t="str">
        <f t="shared" si="7"/>
        <v/>
      </c>
      <c r="L158" s="1410" t="str">
        <f t="shared" si="7"/>
        <v>&lt;---PM/Planner may hide PLACEHOLDER ROW</v>
      </c>
      <c r="M158" s="1333"/>
      <c r="N158" s="1333"/>
      <c r="O158" s="1333"/>
      <c r="P158" s="1333"/>
      <c r="Q158" s="1453"/>
      <c r="R158" s="1284"/>
      <c r="S158" s="1284"/>
      <c r="T158" s="1333"/>
      <c r="U158" s="1333"/>
      <c r="V158" s="1333"/>
      <c r="W158" s="1333"/>
      <c r="X158" s="1333"/>
      <c r="Y158" s="1333"/>
      <c r="Z158" s="1333"/>
      <c r="AA158" s="1333"/>
      <c r="AB158" s="1333"/>
      <c r="AC158" s="1333"/>
      <c r="AD158" s="1333"/>
      <c r="AE158" s="1333"/>
      <c r="AF158" s="1333"/>
      <c r="AG158" s="1333"/>
      <c r="AH158" s="1333"/>
      <c r="AI158" s="1333"/>
      <c r="AJ158" s="1333"/>
    </row>
    <row r="159" spans="1:48" x14ac:dyDescent="0.25">
      <c r="A159" s="1462"/>
      <c r="B159" s="125"/>
      <c r="C159" s="943"/>
      <c r="D159" s="321"/>
      <c r="E159" s="559" t="str">
        <f>IF('C-Design&amp;Const'!$I159="","",'C-Design&amp;Const'!$I159)</f>
        <v>N</v>
      </c>
      <c r="F159" s="460"/>
      <c r="G159" s="485"/>
      <c r="H159" s="358" t="str">
        <f>CONCATENATE(IF(E159="N","PLACEHOLDER ROW - ",""),IF(E159="N","",J159),'C-Design&amp;Const'!Z159,)</f>
        <v xml:space="preserve">PLACEHOLDER ROW - Extensions of Primary Building Automation Systems </v>
      </c>
      <c r="I159" s="135"/>
      <c r="J159" s="578" t="str">
        <f>IF('C-Design&amp;Const'!AE159="","",'C-Design&amp;Const'!AE159)</f>
        <v/>
      </c>
      <c r="K159" s="246" t="str">
        <f t="shared" si="7"/>
        <v/>
      </c>
      <c r="L159" s="1410" t="str">
        <f t="shared" si="7"/>
        <v>&lt;---PM/Planner may hide PLACEHOLDER ROW</v>
      </c>
      <c r="M159" s="1333"/>
      <c r="N159" s="1333"/>
      <c r="O159" s="1333"/>
      <c r="P159" s="1333"/>
      <c r="Q159" s="1452"/>
      <c r="R159" s="1284"/>
      <c r="S159" s="1284"/>
      <c r="T159" s="1333"/>
      <c r="U159" s="1333"/>
      <c r="V159" s="1333"/>
      <c r="W159" s="1333"/>
      <c r="X159" s="1333"/>
      <c r="Y159" s="1333"/>
      <c r="Z159" s="1333"/>
      <c r="AA159" s="1333"/>
      <c r="AB159" s="1333"/>
      <c r="AC159" s="1333"/>
      <c r="AD159" s="1333"/>
      <c r="AE159" s="1333"/>
      <c r="AF159" s="1333"/>
      <c r="AG159" s="1333"/>
      <c r="AH159" s="1333"/>
      <c r="AI159" s="1333"/>
      <c r="AJ159" s="1333"/>
    </row>
    <row r="160" spans="1:48" x14ac:dyDescent="0.25">
      <c r="A160" s="1462"/>
      <c r="B160" s="125"/>
      <c r="C160" s="943"/>
      <c r="D160" s="321"/>
      <c r="E160" s="559" t="str">
        <f>IF('C-Design&amp;Const'!$I160="","",'C-Design&amp;Const'!$I160)</f>
        <v>Y</v>
      </c>
      <c r="F160" s="460"/>
      <c r="G160" s="485"/>
      <c r="H160" s="358" t="str">
        <f>CONCATENATE(IF(E160="N","PLACEHOLDER ROW - ",""),IF(E160="N","",J160),'C-Design&amp;Const'!Z160,)</f>
        <v>(EcoCAT Submittal Results) IDNR Consultation (EcoCAT and results)</v>
      </c>
      <c r="I160" s="135"/>
      <c r="J160" s="578" t="str">
        <f>IF('C-Design&amp;Const'!AE160="","",'C-Design&amp;Const'!AE160)</f>
        <v xml:space="preserve">(EcoCAT Submittal Results) </v>
      </c>
      <c r="K160" s="246" t="str">
        <f t="shared" si="7"/>
        <v/>
      </c>
      <c r="L160" s="1410" t="str">
        <f t="shared" si="7"/>
        <v/>
      </c>
      <c r="M160" s="1333"/>
      <c r="N160" s="1333"/>
      <c r="O160" s="1333"/>
      <c r="P160" s="1333"/>
      <c r="Q160" s="1452"/>
      <c r="R160" s="1284"/>
      <c r="S160" s="1284"/>
      <c r="T160" s="1333"/>
      <c r="U160" s="1333"/>
      <c r="V160" s="1333"/>
      <c r="W160" s="1333"/>
      <c r="X160" s="1333"/>
      <c r="Y160" s="1333"/>
      <c r="Z160" s="1333"/>
      <c r="AA160" s="1333"/>
      <c r="AB160" s="1333"/>
      <c r="AC160" s="1333"/>
      <c r="AD160" s="1333"/>
      <c r="AE160" s="1333"/>
      <c r="AF160" s="1333"/>
      <c r="AG160" s="1333"/>
      <c r="AH160" s="1333"/>
      <c r="AI160" s="1333"/>
      <c r="AJ160" s="1333"/>
    </row>
    <row r="161" spans="1:48" x14ac:dyDescent="0.25">
      <c r="A161" s="1462"/>
      <c r="B161" s="125"/>
      <c r="C161" s="944"/>
      <c r="D161" s="321"/>
      <c r="E161" s="559" t="str">
        <f>IF('C-Design&amp;Const'!$I161="","",'C-Design&amp;Const'!$I161)</f>
        <v>N</v>
      </c>
      <c r="F161" s="460"/>
      <c r="G161" s="485"/>
      <c r="H161" s="358" t="str">
        <f>CONCATENATE(IF(E161="N","PLACEHOLDER ROW - ",""),IF(E161="N","",J161),'C-Design&amp;Const'!Z161,)</f>
        <v>PLACEHOLDER ROW - Results of Environmental Impact Assessments or Statements</v>
      </c>
      <c r="I161" s="136"/>
      <c r="J161" s="578" t="str">
        <f>IF('C-Design&amp;Const'!AE161="","",'C-Design&amp;Const'!AE161)</f>
        <v xml:space="preserve">(Preliminary) </v>
      </c>
      <c r="K161" s="246" t="str">
        <f t="shared" si="7"/>
        <v/>
      </c>
      <c r="L161" s="1410" t="str">
        <f t="shared" si="7"/>
        <v>&lt;---PM/Planner may hide PLACEHOLDER ROW</v>
      </c>
      <c r="M161" s="1333"/>
      <c r="N161" s="1333"/>
      <c r="O161" s="1333"/>
      <c r="P161" s="1333"/>
      <c r="Q161" s="1453"/>
      <c r="R161" s="1284"/>
      <c r="S161" s="1284"/>
      <c r="T161" s="1333"/>
      <c r="U161" s="1333"/>
      <c r="V161" s="1333"/>
      <c r="W161" s="1333"/>
      <c r="X161" s="1333"/>
      <c r="Y161" s="1333"/>
      <c r="Z161" s="1333"/>
      <c r="AA161" s="1333"/>
      <c r="AB161" s="1333"/>
      <c r="AC161" s="1333"/>
      <c r="AD161" s="1333"/>
      <c r="AE161" s="1333"/>
      <c r="AF161" s="1333"/>
      <c r="AG161" s="1333"/>
      <c r="AH161" s="1333"/>
      <c r="AI161" s="1333"/>
      <c r="AJ161" s="1333"/>
    </row>
    <row r="162" spans="1:48" x14ac:dyDescent="0.25">
      <c r="A162" s="1462"/>
      <c r="B162" s="125"/>
      <c r="C162" s="943"/>
      <c r="D162" s="321"/>
      <c r="E162" s="559" t="str">
        <f>IF('C-Design&amp;Const'!$I162="","",'C-Design&amp;Const'!$I162)</f>
        <v>N</v>
      </c>
      <c r="F162" s="460"/>
      <c r="G162" s="485"/>
      <c r="H162" s="358" t="str">
        <f>CONCATENATE(IF(E162="N","PLACEHOLDER ROW - ",""),IF(E162="N","",J162),'C-Design&amp;Const'!Z162,)</f>
        <v>PLACEHOLDER ROW - Results of Archealogical Field Reports or Assessments</v>
      </c>
      <c r="I162" s="136"/>
      <c r="J162" s="578" t="str">
        <f>IF('C-Design&amp;Const'!AE162="","",'C-Design&amp;Const'!AE162)</f>
        <v xml:space="preserve">(Preliminary) </v>
      </c>
      <c r="K162" s="246" t="str">
        <f t="shared" si="7"/>
        <v/>
      </c>
      <c r="L162" s="1410" t="str">
        <f t="shared" si="7"/>
        <v>&lt;---PM/Planner may hide PLACEHOLDER ROW</v>
      </c>
      <c r="M162" s="1333"/>
      <c r="N162" s="1333"/>
      <c r="O162" s="1333"/>
      <c r="P162" s="1333"/>
      <c r="Q162" s="1453"/>
      <c r="R162" s="1284"/>
      <c r="S162" s="1284"/>
      <c r="T162" s="1333"/>
      <c r="U162" s="1333"/>
      <c r="V162" s="1333"/>
      <c r="W162" s="1333"/>
      <c r="X162" s="1333"/>
      <c r="Y162" s="1333"/>
      <c r="Z162" s="1333"/>
      <c r="AA162" s="1333"/>
      <c r="AB162" s="1333"/>
      <c r="AC162" s="1333"/>
      <c r="AD162" s="1333"/>
      <c r="AE162" s="1333"/>
      <c r="AF162" s="1333"/>
      <c r="AG162" s="1333"/>
      <c r="AH162" s="1333"/>
      <c r="AI162" s="1333"/>
      <c r="AJ162" s="1333"/>
    </row>
    <row r="163" spans="1:48" s="30" customFormat="1" ht="15" customHeight="1" x14ac:dyDescent="0.25">
      <c r="A163" s="1462"/>
      <c r="B163" s="191"/>
      <c r="C163" s="943"/>
      <c r="D163" s="463"/>
      <c r="E163" s="559" t="str">
        <f>IF('C-Design&amp;Const'!$I163="","",'C-Design&amp;Const'!$I163)</f>
        <v>N</v>
      </c>
      <c r="F163" s="461"/>
      <c r="G163" s="465"/>
      <c r="H163" s="358" t="str">
        <f>CONCATENATE(IF(E163="N","PLACEHOLDER ROW - ",""),IF(E163="N","",J163),'C-Design&amp;Const'!Z163,)</f>
        <v>PLACEHOLDER ROW - CUSTOM ROW - OPTIONAL CLIENT ITEM</v>
      </c>
      <c r="I163" s="184"/>
      <c r="J163" s="578" t="str">
        <f>IF('C-Design&amp;Const'!AE163="","",'C-Design&amp;Const'!AE163)</f>
        <v xml:space="preserve">(Preliminary) </v>
      </c>
      <c r="K163" s="246" t="str">
        <f t="shared" si="7"/>
        <v/>
      </c>
      <c r="L163" s="1410" t="str">
        <f t="shared" si="7"/>
        <v>&lt;---PM/Planner may hide PLACEHOLDER ROW</v>
      </c>
      <c r="M163" s="1333"/>
      <c r="N163" s="1382"/>
      <c r="O163" s="1382"/>
      <c r="P163" s="1382"/>
      <c r="Q163" s="1382"/>
      <c r="R163" s="1382"/>
      <c r="S163" s="1382"/>
      <c r="T163" s="1382"/>
      <c r="U163" s="1382"/>
      <c r="V163" s="1382"/>
      <c r="W163" s="1382"/>
      <c r="X163" s="1382"/>
      <c r="Y163" s="1382"/>
      <c r="Z163" s="1382"/>
      <c r="AA163" s="1382"/>
      <c r="AB163" s="1382"/>
      <c r="AC163" s="1382"/>
      <c r="AD163" s="1382"/>
      <c r="AE163" s="1382"/>
      <c r="AF163" s="1382"/>
      <c r="AG163" s="1382"/>
      <c r="AH163" s="1382"/>
      <c r="AI163" s="1382"/>
      <c r="AJ163" s="1382"/>
      <c r="AK163" s="181"/>
      <c r="AL163" s="181"/>
      <c r="AM163" s="181"/>
      <c r="AN163" s="181"/>
      <c r="AO163" s="181"/>
      <c r="AP163" s="181"/>
      <c r="AQ163" s="181"/>
      <c r="AR163" s="181"/>
      <c r="AS163" s="181"/>
      <c r="AT163" s="181"/>
      <c r="AU163" s="181"/>
      <c r="AV163" s="181"/>
    </row>
    <row r="164" spans="1:48" s="30" customFormat="1" ht="15" customHeight="1" x14ac:dyDescent="0.25">
      <c r="A164" s="1462"/>
      <c r="B164" s="191"/>
      <c r="C164" s="943"/>
      <c r="D164" s="463"/>
      <c r="E164" s="559" t="str">
        <f>IF('C-Design&amp;Const'!$I164="","",'C-Design&amp;Const'!$I164)</f>
        <v>N</v>
      </c>
      <c r="F164" s="461"/>
      <c r="G164" s="465"/>
      <c r="H164" s="358" t="str">
        <f>CONCATENATE(IF(E164="N","PLACEHOLDER ROW - ",""),IF(E164="N","",J164),'C-Design&amp;Const'!Z164,)</f>
        <v>PLACEHOLDER ROW - CUSTOM ROW - OPTIONAL CLIENT ITEM</v>
      </c>
      <c r="I164" s="184"/>
      <c r="J164" s="578" t="str">
        <f>IF('C-Design&amp;Const'!AE164="","",'C-Design&amp;Const'!AE164)</f>
        <v xml:space="preserve">(Preliminary) </v>
      </c>
      <c r="K164" s="246" t="str">
        <f t="shared" si="7"/>
        <v/>
      </c>
      <c r="L164" s="1410" t="str">
        <f t="shared" si="7"/>
        <v>&lt;---PM/Planner may hide PLACEHOLDER ROW</v>
      </c>
      <c r="M164" s="1333"/>
      <c r="N164" s="1382"/>
      <c r="O164" s="1382"/>
      <c r="P164" s="1382"/>
      <c r="Q164" s="1382"/>
      <c r="R164" s="1382"/>
      <c r="S164" s="1382"/>
      <c r="T164" s="1382"/>
      <c r="U164" s="1382"/>
      <c r="V164" s="1382"/>
      <c r="W164" s="1382"/>
      <c r="X164" s="1382"/>
      <c r="Y164" s="1382"/>
      <c r="Z164" s="1382"/>
      <c r="AA164" s="1382"/>
      <c r="AB164" s="1382"/>
      <c r="AC164" s="1382"/>
      <c r="AD164" s="1382"/>
      <c r="AE164" s="1382"/>
      <c r="AF164" s="1382"/>
      <c r="AG164" s="1382"/>
      <c r="AH164" s="1382"/>
      <c r="AI164" s="1382"/>
      <c r="AJ164" s="1382"/>
      <c r="AK164" s="181"/>
      <c r="AL164" s="181"/>
      <c r="AM164" s="181"/>
      <c r="AN164" s="181"/>
      <c r="AO164" s="181"/>
      <c r="AP164" s="181"/>
      <c r="AQ164" s="181"/>
      <c r="AR164" s="181"/>
      <c r="AS164" s="181"/>
      <c r="AT164" s="181"/>
      <c r="AU164" s="181"/>
      <c r="AV164" s="181"/>
    </row>
    <row r="165" spans="1:48" s="30" customFormat="1" ht="15" customHeight="1" x14ac:dyDescent="0.25">
      <c r="A165" s="1462"/>
      <c r="B165" s="191"/>
      <c r="C165" s="943"/>
      <c r="D165" s="463"/>
      <c r="E165" s="559" t="str">
        <f>IF('C-Design&amp;Const'!$I165="","",'C-Design&amp;Const'!$I165)</f>
        <v>N</v>
      </c>
      <c r="F165" s="461"/>
      <c r="G165" s="465"/>
      <c r="H165" s="358" t="str">
        <f>CONCATENATE(IF(E165="N","PLACEHOLDER ROW - ",""),IF(E165="N","",J165),'C-Design&amp;Const'!Z165,)</f>
        <v>PLACEHOLDER ROW - CUSTOM ROW - OPTIONAL CLIENT ITEM</v>
      </c>
      <c r="I165" s="184"/>
      <c r="J165" s="578" t="str">
        <f>IF('C-Design&amp;Const'!AE165="","",'C-Design&amp;Const'!AE165)</f>
        <v xml:space="preserve">(Preliminary) </v>
      </c>
      <c r="K165" s="246" t="str">
        <f t="shared" si="7"/>
        <v/>
      </c>
      <c r="L165" s="1410" t="str">
        <f t="shared" si="7"/>
        <v>&lt;---PM/Planner may hide PLACEHOLDER ROW</v>
      </c>
      <c r="M165" s="1333"/>
      <c r="N165" s="1382"/>
      <c r="O165" s="1382"/>
      <c r="P165" s="1382"/>
      <c r="Q165" s="1382"/>
      <c r="R165" s="1382"/>
      <c r="S165" s="1382"/>
      <c r="T165" s="1382"/>
      <c r="U165" s="1382"/>
      <c r="V165" s="1382"/>
      <c r="W165" s="1382"/>
      <c r="X165" s="1382"/>
      <c r="Y165" s="1382"/>
      <c r="Z165" s="1382"/>
      <c r="AA165" s="1382"/>
      <c r="AB165" s="1382"/>
      <c r="AC165" s="1382"/>
      <c r="AD165" s="1382"/>
      <c r="AE165" s="1382"/>
      <c r="AF165" s="1382"/>
      <c r="AG165" s="1382"/>
      <c r="AH165" s="1382"/>
      <c r="AI165" s="1382"/>
      <c r="AJ165" s="1382"/>
      <c r="AK165" s="181"/>
      <c r="AL165" s="181"/>
      <c r="AM165" s="181"/>
      <c r="AN165" s="181"/>
      <c r="AO165" s="181"/>
      <c r="AP165" s="181"/>
      <c r="AQ165" s="181"/>
      <c r="AR165" s="181"/>
      <c r="AS165" s="181"/>
      <c r="AT165" s="181"/>
      <c r="AU165" s="181"/>
      <c r="AV165" s="181"/>
    </row>
    <row r="166" spans="1:48" s="30" customFormat="1" ht="15" customHeight="1" x14ac:dyDescent="0.25">
      <c r="A166" s="1462"/>
      <c r="B166" s="191"/>
      <c r="C166" s="943"/>
      <c r="D166" s="463"/>
      <c r="E166" s="559" t="str">
        <f>IF('C-Design&amp;Const'!$I166="","",'C-Design&amp;Const'!$I166)</f>
        <v>N</v>
      </c>
      <c r="F166" s="461"/>
      <c r="G166" s="465"/>
      <c r="H166" s="358" t="str">
        <f>CONCATENATE(IF(E166="N","PLACEHOLDER ROW - ",""),IF(E166="N","",J166),'C-Design&amp;Const'!Z166,)</f>
        <v>PLACEHOLDER ROW - CUSTOM ROW - OPTIONAL CLIENT ITEM</v>
      </c>
      <c r="I166" s="184"/>
      <c r="J166" s="578" t="str">
        <f>IF('C-Design&amp;Const'!AE166="","",'C-Design&amp;Const'!AE166)</f>
        <v xml:space="preserve">(Preliminary) </v>
      </c>
      <c r="K166" s="246" t="str">
        <f t="shared" si="7"/>
        <v/>
      </c>
      <c r="L166" s="1410" t="str">
        <f t="shared" si="7"/>
        <v>&lt;---PM/Planner may hide PLACEHOLDER ROW</v>
      </c>
      <c r="M166" s="1333"/>
      <c r="N166" s="1382"/>
      <c r="O166" s="1382"/>
      <c r="P166" s="1382"/>
      <c r="Q166" s="1382"/>
      <c r="R166" s="1382"/>
      <c r="S166" s="1382"/>
      <c r="T166" s="1382"/>
      <c r="U166" s="1382"/>
      <c r="V166" s="1382"/>
      <c r="W166" s="1382"/>
      <c r="X166" s="1382"/>
      <c r="Y166" s="1382"/>
      <c r="Z166" s="1382"/>
      <c r="AA166" s="1382"/>
      <c r="AB166" s="1382"/>
      <c r="AC166" s="1382"/>
      <c r="AD166" s="1382"/>
      <c r="AE166" s="1382"/>
      <c r="AF166" s="1382"/>
      <c r="AG166" s="1382"/>
      <c r="AH166" s="1382"/>
      <c r="AI166" s="1382"/>
      <c r="AJ166" s="1382"/>
      <c r="AK166" s="181"/>
      <c r="AL166" s="181"/>
      <c r="AM166" s="181"/>
      <c r="AN166" s="181"/>
      <c r="AO166" s="181"/>
      <c r="AP166" s="181"/>
      <c r="AQ166" s="181"/>
      <c r="AR166" s="181"/>
      <c r="AS166" s="181"/>
      <c r="AT166" s="181"/>
      <c r="AU166" s="181"/>
      <c r="AV166" s="181"/>
    </row>
    <row r="167" spans="1:48" ht="15.75" x14ac:dyDescent="0.25">
      <c r="A167" s="1462"/>
      <c r="B167" s="125"/>
      <c r="C167" s="943"/>
      <c r="D167" s="488"/>
      <c r="E167" s="411"/>
      <c r="F167" s="321"/>
      <c r="G167" s="294"/>
      <c r="H167" s="420" t="str">
        <f>CONCATENATE(IF(E167="N","PLACEHOLDER ROW - ",""),IF(E167="N","",J167),'C-Design&amp;Const'!Z167,)</f>
        <v/>
      </c>
      <c r="I167" s="130"/>
      <c r="J167" s="578" t="str">
        <f>IF('C-Design&amp;Const'!AE167="","",'C-Design&amp;Const'!AE167)</f>
        <v/>
      </c>
      <c r="K167" s="246" t="str">
        <f t="shared" si="7"/>
        <v/>
      </c>
      <c r="L167" s="1410" t="str">
        <f t="shared" si="7"/>
        <v/>
      </c>
      <c r="M167" s="1333"/>
      <c r="N167" s="1333"/>
      <c r="O167" s="1333"/>
      <c r="P167" s="1333"/>
      <c r="Q167" s="1456"/>
      <c r="R167" s="1284"/>
      <c r="S167" s="1284"/>
      <c r="T167" s="1333"/>
      <c r="U167" s="1333"/>
      <c r="V167" s="1333"/>
      <c r="W167" s="1333"/>
      <c r="X167" s="1333"/>
      <c r="Y167" s="1333"/>
      <c r="Z167" s="1333"/>
      <c r="AA167" s="1333"/>
      <c r="AB167" s="1333"/>
      <c r="AC167" s="1333"/>
      <c r="AD167" s="1333"/>
      <c r="AE167" s="1333"/>
      <c r="AF167" s="1333"/>
      <c r="AG167" s="1333"/>
      <c r="AH167" s="1333"/>
      <c r="AI167" s="1333"/>
      <c r="AJ167" s="1333"/>
    </row>
    <row r="168" spans="1:48" s="16" customFormat="1" ht="37.5" x14ac:dyDescent="0.3">
      <c r="A168" s="1479" t="str">
        <f>'C-Design&amp;Const'!J168</f>
        <v>N</v>
      </c>
      <c r="B168" s="182"/>
      <c r="C168" s="943"/>
      <c r="D168" s="359" t="str">
        <f>IF('C-Design&amp;Const'!$I168="","",'C-Design&amp;Const'!$I168)</f>
        <v>N</v>
      </c>
      <c r="E168" s="234"/>
      <c r="F168" s="235"/>
      <c r="G168" s="291" t="str">
        <f>IF('C-Design&amp;Const'!Y168="","",'C-Design&amp;Const'!Y168)</f>
        <v>05a.</v>
      </c>
      <c r="H168" s="236" t="str">
        <f>CONCATENATE('C-Design&amp;Const'!Z168,IF(Applies_FinishesBinder_SD="N"," Not Used In This Design Phase",J168))</f>
        <v>Ext. &amp; Int. Finishes Binder(s)/Finishes Board(s)  Not Used In This Design Phase</v>
      </c>
      <c r="I168" s="187"/>
      <c r="J168" s="578" t="str">
        <f>IF('C-Design&amp;Const'!AE168="","",'C-Design&amp;Const'!AE168)</f>
        <v/>
      </c>
      <c r="K168" s="246" t="str">
        <f t="shared" si="7"/>
        <v/>
      </c>
      <c r="L168" s="1410" t="str">
        <f t="shared" si="7"/>
        <v/>
      </c>
      <c r="M168" s="1333"/>
      <c r="N168" s="1449"/>
      <c r="O168" s="1382"/>
      <c r="P168" s="1449"/>
      <c r="Q168" s="1450"/>
      <c r="R168" s="1451"/>
      <c r="S168" s="1364"/>
      <c r="T168" s="1449"/>
      <c r="U168" s="1449"/>
      <c r="V168" s="1449"/>
      <c r="W168" s="1449"/>
      <c r="X168" s="1449"/>
      <c r="Y168" s="1449"/>
      <c r="Z168" s="1449"/>
      <c r="AA168" s="1449"/>
      <c r="AB168" s="1449"/>
      <c r="AC168" s="1449"/>
      <c r="AD168" s="1449"/>
      <c r="AE168" s="1449"/>
      <c r="AF168" s="1449"/>
      <c r="AG168" s="1449"/>
      <c r="AH168" s="1449"/>
      <c r="AI168" s="1449"/>
      <c r="AJ168" s="1449"/>
      <c r="AK168" s="175"/>
      <c r="AL168" s="175"/>
      <c r="AM168" s="175"/>
      <c r="AN168" s="175"/>
      <c r="AO168" s="175"/>
      <c r="AP168" s="175"/>
      <c r="AQ168" s="175"/>
      <c r="AR168" s="175"/>
      <c r="AS168" s="175"/>
      <c r="AT168" s="175"/>
      <c r="AU168" s="175"/>
      <c r="AV168" s="175"/>
    </row>
    <row r="169" spans="1:48" s="542" customFormat="1" ht="28.5" x14ac:dyDescent="0.25">
      <c r="A169" s="1462"/>
      <c r="B169" s="125"/>
      <c r="C169" s="944"/>
      <c r="D169" s="411"/>
      <c r="E169" s="559" t="str">
        <f>IF('C-Design&amp;Const'!$I169="","",'C-Design&amp;Const'!$I169)</f>
        <v>N</v>
      </c>
      <c r="F169" s="478"/>
      <c r="G169" s="485"/>
      <c r="H169" s="340" t="str">
        <f>CONCATENATE(IF(E169="N","PLACEHOLDER ROW - ",""),IF(E169="N","",J169),'C-Design&amp;Const'!Z169,)</f>
        <v xml:space="preserve">PLACEHOLDER ROW - Product Samples of Floor Coverings, Wall Covering, Window Treatment, Ceiling Tile, etc... </v>
      </c>
      <c r="I169" s="136"/>
      <c r="J169" s="578" t="str">
        <f>IF('C-Design&amp;Const'!AE169="","",'C-Design&amp;Const'!AE169)</f>
        <v/>
      </c>
      <c r="K169" s="246" t="str">
        <f t="shared" si="7"/>
        <v/>
      </c>
      <c r="L169" s="1410" t="str">
        <f t="shared" si="7"/>
        <v>&lt;---PM/Planner may hide PLACEHOLDER ROW</v>
      </c>
      <c r="M169" s="1333"/>
      <c r="N169" s="1333"/>
      <c r="O169" s="1382"/>
      <c r="P169" s="1333"/>
      <c r="Q169" s="1453"/>
      <c r="R169" s="1284"/>
      <c r="S169" s="1284"/>
      <c r="T169" s="1333"/>
      <c r="U169" s="1333"/>
      <c r="V169" s="1333"/>
      <c r="W169" s="1333"/>
      <c r="X169" s="1333"/>
      <c r="Y169" s="1333"/>
      <c r="Z169" s="1333"/>
      <c r="AA169" s="1333"/>
      <c r="AB169" s="1333"/>
      <c r="AC169" s="1333"/>
      <c r="AD169" s="1333"/>
      <c r="AE169" s="1333"/>
      <c r="AF169" s="1333"/>
      <c r="AG169" s="1333"/>
      <c r="AH169" s="1333"/>
      <c r="AI169" s="1333"/>
      <c r="AJ169" s="1333"/>
      <c r="AK169" s="17"/>
      <c r="AL169" s="17"/>
      <c r="AM169" s="17"/>
      <c r="AN169" s="17"/>
      <c r="AO169" s="17"/>
      <c r="AP169" s="17"/>
      <c r="AQ169" s="17"/>
      <c r="AR169" s="17"/>
      <c r="AS169" s="17"/>
      <c r="AT169" s="17"/>
      <c r="AU169" s="17"/>
      <c r="AV169" s="17"/>
    </row>
    <row r="170" spans="1:48" s="542" customFormat="1" x14ac:dyDescent="0.25">
      <c r="A170" s="1462"/>
      <c r="B170" s="125"/>
      <c r="C170" s="944"/>
      <c r="D170" s="411"/>
      <c r="E170" s="559" t="str">
        <f>IF('C-Design&amp;Const'!$I170="","",'C-Design&amp;Const'!$I170)</f>
        <v>N</v>
      </c>
      <c r="F170" s="478"/>
      <c r="G170" s="485"/>
      <c r="H170" s="340" t="str">
        <f>CONCATENATE(IF(E170="N","PLACEHOLDER ROW - ",""),IF(E170="N","",J170),'C-Design&amp;Const'!Z170,)</f>
        <v>PLACEHOLDER ROW - Paint selections and combinations</v>
      </c>
      <c r="I170" s="136"/>
      <c r="J170" s="578" t="str">
        <f>IF('C-Design&amp;Const'!AE170="","",'C-Design&amp;Const'!AE170)</f>
        <v/>
      </c>
      <c r="K170" s="246" t="str">
        <f t="shared" si="7"/>
        <v/>
      </c>
      <c r="L170" s="1410" t="str">
        <f t="shared" si="7"/>
        <v>&lt;---PM/Planner may hide PLACEHOLDER ROW</v>
      </c>
      <c r="M170" s="1333"/>
      <c r="N170" s="1333"/>
      <c r="O170" s="1382"/>
      <c r="P170" s="1333"/>
      <c r="Q170" s="1453"/>
      <c r="R170" s="1284"/>
      <c r="S170" s="1284"/>
      <c r="T170" s="1333"/>
      <c r="U170" s="1333"/>
      <c r="V170" s="1333"/>
      <c r="W170" s="1333"/>
      <c r="X170" s="1333"/>
      <c r="Y170" s="1333"/>
      <c r="Z170" s="1333"/>
      <c r="AA170" s="1333"/>
      <c r="AB170" s="1333"/>
      <c r="AC170" s="1333"/>
      <c r="AD170" s="1333"/>
      <c r="AE170" s="1333"/>
      <c r="AF170" s="1333"/>
      <c r="AG170" s="1333"/>
      <c r="AH170" s="1333"/>
      <c r="AI170" s="1333"/>
      <c r="AJ170" s="1333"/>
      <c r="AK170" s="17"/>
      <c r="AL170" s="17"/>
      <c r="AM170" s="17"/>
      <c r="AN170" s="17"/>
      <c r="AO170" s="17"/>
      <c r="AP170" s="17"/>
      <c r="AQ170" s="17"/>
      <c r="AR170" s="17"/>
      <c r="AS170" s="17"/>
      <c r="AT170" s="17"/>
      <c r="AU170" s="17"/>
      <c r="AV170" s="17"/>
    </row>
    <row r="171" spans="1:48" s="542" customFormat="1" x14ac:dyDescent="0.25">
      <c r="A171" s="1462"/>
      <c r="B171" s="125"/>
      <c r="C171" s="944"/>
      <c r="D171" s="411"/>
      <c r="E171" s="559" t="str">
        <f>IF('C-Design&amp;Const'!$I171="","",'C-Design&amp;Const'!$I171)</f>
        <v>N</v>
      </c>
      <c r="F171" s="478"/>
      <c r="G171" s="485"/>
      <c r="H171" s="340" t="str">
        <f>CONCATENATE(IF(E171="N","PLACEHOLDER ROW - ",""),IF(E171="N","",J171),'C-Design&amp;Const'!Z171,)</f>
        <v>PLACEHOLDER ROW - PSC contracted mock-ups to match existing brick</v>
      </c>
      <c r="I171" s="136"/>
      <c r="J171" s="578" t="str">
        <f>IF('C-Design&amp;Const'!AE171="","",'C-Design&amp;Const'!AE171)</f>
        <v/>
      </c>
      <c r="K171" s="246" t="str">
        <f t="shared" si="7"/>
        <v/>
      </c>
      <c r="L171" s="1410" t="str">
        <f t="shared" si="7"/>
        <v>&lt;---PM/Planner may hide PLACEHOLDER ROW</v>
      </c>
      <c r="M171" s="1333"/>
      <c r="N171" s="1333"/>
      <c r="O171" s="1382"/>
      <c r="P171" s="1333"/>
      <c r="Q171" s="1453"/>
      <c r="R171" s="1284"/>
      <c r="S171" s="1284"/>
      <c r="T171" s="1333"/>
      <c r="U171" s="1333"/>
      <c r="V171" s="1333"/>
      <c r="W171" s="1333"/>
      <c r="X171" s="1333"/>
      <c r="Y171" s="1333"/>
      <c r="Z171" s="1333"/>
      <c r="AA171" s="1333"/>
      <c r="AB171" s="1333"/>
      <c r="AC171" s="1333"/>
      <c r="AD171" s="1333"/>
      <c r="AE171" s="1333"/>
      <c r="AF171" s="1333"/>
      <c r="AG171" s="1333"/>
      <c r="AH171" s="1333"/>
      <c r="AI171" s="1333"/>
      <c r="AJ171" s="1333"/>
      <c r="AK171" s="17"/>
      <c r="AL171" s="17"/>
      <c r="AM171" s="17"/>
      <c r="AN171" s="17"/>
      <c r="AO171" s="17"/>
      <c r="AP171" s="17"/>
      <c r="AQ171" s="17"/>
      <c r="AR171" s="17"/>
      <c r="AS171" s="17"/>
      <c r="AT171" s="17"/>
      <c r="AU171" s="17"/>
      <c r="AV171" s="17"/>
    </row>
    <row r="172" spans="1:48" s="545" customFormat="1" ht="15" customHeight="1" x14ac:dyDescent="0.25">
      <c r="A172" s="1462"/>
      <c r="B172" s="554"/>
      <c r="C172" s="943"/>
      <c r="D172" s="463"/>
      <c r="E172" s="359" t="str">
        <f>IF('C-Design&amp;Const'!$I172="","",'C-Design&amp;Const'!$I172)</f>
        <v>N</v>
      </c>
      <c r="F172" s="235"/>
      <c r="G172" s="291"/>
      <c r="H172" s="340" t="str">
        <f>CONCATENATE(IF(E172="N","PLACEHOLDER ROW - ",""),IF(E172="N","",J172),'C-Design&amp;Const'!Z172,)</f>
        <v>PLACEHOLDER ROW - CUSTOM ROW - OPTIONAL CLIENT ITEM</v>
      </c>
      <c r="I172" s="552"/>
      <c r="J172" s="578" t="str">
        <f>IF('C-Design&amp;Const'!AE172="","",'C-Design&amp;Const'!AE172)</f>
        <v/>
      </c>
      <c r="K172" s="246" t="str">
        <f t="shared" si="7"/>
        <v/>
      </c>
      <c r="L172" s="1410" t="str">
        <f t="shared" si="7"/>
        <v>&lt;---PM/Planner may hide PLACEHOLDER ROW</v>
      </c>
      <c r="M172" s="1333"/>
      <c r="N172" s="1382"/>
      <c r="O172" s="1382"/>
      <c r="P172" s="1382"/>
      <c r="Q172" s="1382"/>
      <c r="R172" s="1382"/>
      <c r="S172" s="1382"/>
      <c r="T172" s="1382"/>
      <c r="U172" s="1382"/>
      <c r="V172" s="1382"/>
      <c r="W172" s="1382"/>
      <c r="X172" s="1382"/>
      <c r="Y172" s="1382"/>
      <c r="Z172" s="1382"/>
      <c r="AA172" s="1382"/>
      <c r="AB172" s="1382"/>
      <c r="AC172" s="1382"/>
      <c r="AD172" s="1382"/>
      <c r="AE172" s="1382"/>
      <c r="AF172" s="1382"/>
      <c r="AG172" s="1382"/>
      <c r="AH172" s="1382"/>
      <c r="AI172" s="1382"/>
      <c r="AJ172" s="1382"/>
      <c r="AK172" s="551"/>
      <c r="AL172" s="551"/>
      <c r="AM172" s="551"/>
      <c r="AN172" s="551"/>
      <c r="AO172" s="551"/>
      <c r="AP172" s="551"/>
      <c r="AQ172" s="551"/>
      <c r="AR172" s="551"/>
      <c r="AS172" s="551"/>
      <c r="AT172" s="551"/>
      <c r="AU172" s="551"/>
      <c r="AV172" s="551"/>
    </row>
    <row r="173" spans="1:48" ht="15.75" x14ac:dyDescent="0.25">
      <c r="A173" s="1462"/>
      <c r="B173" s="125"/>
      <c r="C173" s="943"/>
      <c r="D173" s="488"/>
      <c r="E173" s="411"/>
      <c r="F173" s="321"/>
      <c r="G173" s="294"/>
      <c r="H173" s="296"/>
      <c r="I173" s="130"/>
      <c r="J173" s="578" t="str">
        <f>IF('C-Design&amp;Const'!AE173="","",'C-Design&amp;Const'!AE173)</f>
        <v/>
      </c>
      <c r="K173" s="246" t="str">
        <f t="shared" si="7"/>
        <v/>
      </c>
      <c r="L173" s="1410" t="str">
        <f t="shared" si="7"/>
        <v/>
      </c>
      <c r="M173" s="1333"/>
      <c r="N173" s="1333"/>
      <c r="O173" s="1382"/>
      <c r="P173" s="1333"/>
      <c r="Q173" s="1456"/>
      <c r="R173" s="1284"/>
      <c r="S173" s="1284"/>
      <c r="T173" s="1333"/>
      <c r="U173" s="1333"/>
      <c r="V173" s="1333"/>
      <c r="W173" s="1333"/>
      <c r="X173" s="1333"/>
      <c r="Y173" s="1333"/>
      <c r="Z173" s="1333"/>
      <c r="AA173" s="1333"/>
      <c r="AB173" s="1333"/>
      <c r="AC173" s="1333"/>
      <c r="AD173" s="1333"/>
      <c r="AE173" s="1333"/>
      <c r="AF173" s="1333"/>
      <c r="AG173" s="1333"/>
      <c r="AH173" s="1333"/>
      <c r="AI173" s="1333"/>
      <c r="AJ173" s="1333"/>
    </row>
    <row r="174" spans="1:48" s="16" customFormat="1" ht="21" customHeight="1" x14ac:dyDescent="0.3">
      <c r="A174" s="1479" t="str">
        <f>'C-Design&amp;Const'!J174</f>
        <v>N</v>
      </c>
      <c r="B174" s="182"/>
      <c r="C174" s="944"/>
      <c r="D174" s="359" t="str">
        <f>IF('C-Design&amp;Const'!$I174="","",'C-Design&amp;Const'!$I174)</f>
        <v>N</v>
      </c>
      <c r="E174" s="234"/>
      <c r="F174" s="235"/>
      <c r="G174" s="291" t="str">
        <f>IF('C-Design&amp;Const'!Y174="","",'C-Design&amp;Const'!Y174)</f>
        <v>05b.</v>
      </c>
      <c r="H174" s="236" t="str">
        <f>CONCATENATE('C-Design&amp;Const'!Z174,IF(Applies_FFE_Binder_SD="N"," Not Used In This Design Phase",J174))</f>
        <v>Furnitures, Fixtures, and Equipment Binder(s) Not Used In This Design Phase</v>
      </c>
      <c r="I174" s="187"/>
      <c r="J174" s="578" t="str">
        <f>IF('C-Design&amp;Const'!AE174="","",'C-Design&amp;Const'!AE174)</f>
        <v/>
      </c>
      <c r="K174" s="246" t="str">
        <f t="shared" ref="K174:L248" si="15">CONCATENATE(IF(ISNUMBER(SEARCH("Placeholder",G174))=TRUE,"&lt;---PM/Planner may hide PLACEHOLDER ROW",""))</f>
        <v/>
      </c>
      <c r="L174" s="1410" t="str">
        <f t="shared" si="15"/>
        <v/>
      </c>
      <c r="M174" s="1333"/>
      <c r="N174" s="1449"/>
      <c r="O174" s="1382"/>
      <c r="P174" s="1449"/>
      <c r="Q174" s="1450"/>
      <c r="R174" s="1451"/>
      <c r="S174" s="1364"/>
      <c r="T174" s="1449"/>
      <c r="U174" s="1449"/>
      <c r="V174" s="1449"/>
      <c r="W174" s="1449"/>
      <c r="X174" s="1449"/>
      <c r="Y174" s="1449"/>
      <c r="Z174" s="1449"/>
      <c r="AA174" s="1449"/>
      <c r="AB174" s="1449"/>
      <c r="AC174" s="1449"/>
      <c r="AD174" s="1449"/>
      <c r="AE174" s="1449"/>
      <c r="AF174" s="1449"/>
      <c r="AG174" s="1449"/>
      <c r="AH174" s="1449"/>
      <c r="AI174" s="1449"/>
      <c r="AJ174" s="1449"/>
      <c r="AK174" s="255"/>
      <c r="AL174" s="255"/>
      <c r="AM174" s="255"/>
      <c r="AN174" s="255"/>
      <c r="AO174" s="255"/>
      <c r="AP174" s="255"/>
      <c r="AQ174" s="255"/>
      <c r="AR174" s="255"/>
      <c r="AS174" s="255"/>
      <c r="AT174" s="255"/>
      <c r="AU174" s="255"/>
      <c r="AV174" s="255"/>
    </row>
    <row r="175" spans="1:48" x14ac:dyDescent="0.25">
      <c r="A175" s="1462"/>
      <c r="B175" s="125"/>
      <c r="C175" s="944"/>
      <c r="D175" s="411"/>
      <c r="E175" s="559" t="str">
        <f>IF('C-Design&amp;Const'!$I175="","",'C-Design&amp;Const'!$I175)</f>
        <v>N</v>
      </c>
      <c r="F175" s="478"/>
      <c r="G175" s="485"/>
      <c r="H175" s="238" t="str">
        <f>CONCATENATE(IF(E175="N","PLACEHOLDER ROW - ",""),IF(E175="N","",J175),'C-Design&amp;Const'!Z175,)</f>
        <v>PLACEHOLDER ROW - Cut Sheets</v>
      </c>
      <c r="I175" s="136"/>
      <c r="J175" s="578" t="str">
        <f>IF('C-Design&amp;Const'!AE175="","",'C-Design&amp;Const'!AE175)</f>
        <v/>
      </c>
      <c r="K175" s="246" t="str">
        <f t="shared" si="15"/>
        <v/>
      </c>
      <c r="L175" s="1410" t="str">
        <f t="shared" si="15"/>
        <v>&lt;---PM/Planner may hide PLACEHOLDER ROW</v>
      </c>
      <c r="M175" s="1333"/>
      <c r="N175" s="1333"/>
      <c r="O175" s="1382"/>
      <c r="P175" s="1333"/>
      <c r="Q175" s="1453"/>
      <c r="R175" s="1284"/>
      <c r="S175" s="1284"/>
      <c r="T175" s="1333"/>
      <c r="U175" s="1333"/>
      <c r="V175" s="1333"/>
      <c r="W175" s="1333"/>
      <c r="X175" s="1333"/>
      <c r="Y175" s="1333"/>
      <c r="Z175" s="1333"/>
      <c r="AA175" s="1333"/>
      <c r="AB175" s="1333"/>
      <c r="AC175" s="1333"/>
      <c r="AD175" s="1333"/>
      <c r="AE175" s="1333"/>
      <c r="AF175" s="1333"/>
      <c r="AG175" s="1333"/>
      <c r="AH175" s="1333"/>
      <c r="AI175" s="1333"/>
      <c r="AJ175" s="1333"/>
    </row>
    <row r="176" spans="1:48" x14ac:dyDescent="0.25">
      <c r="A176" s="1462"/>
      <c r="B176" s="125"/>
      <c r="C176" s="944"/>
      <c r="D176" s="411"/>
      <c r="E176" s="559" t="str">
        <f>IF('C-Design&amp;Const'!$I176="","",'C-Design&amp;Const'!$I176)</f>
        <v>N</v>
      </c>
      <c r="F176" s="478"/>
      <c r="G176" s="485"/>
      <c r="H176" s="238" t="str">
        <f>CONCATENATE(IF(E176="N","PLACEHOLDER ROW - ",""),IF(E176="N","",J176),'C-Design&amp;Const'!Z176,)</f>
        <v>PLACEHOLDER ROW - Product Samples</v>
      </c>
      <c r="I176" s="136"/>
      <c r="J176" s="578" t="str">
        <f>IF('C-Design&amp;Const'!AE176="","",'C-Design&amp;Const'!AE176)</f>
        <v/>
      </c>
      <c r="K176" s="246" t="str">
        <f t="shared" si="15"/>
        <v/>
      </c>
      <c r="L176" s="1410" t="str">
        <f t="shared" si="15"/>
        <v>&lt;---PM/Planner may hide PLACEHOLDER ROW</v>
      </c>
      <c r="M176" s="1333"/>
      <c r="N176" s="1333"/>
      <c r="O176" s="1382"/>
      <c r="P176" s="1333"/>
      <c r="Q176" s="1453"/>
      <c r="R176" s="1284"/>
      <c r="S176" s="1284"/>
      <c r="T176" s="1333"/>
      <c r="U176" s="1333"/>
      <c r="V176" s="1333"/>
      <c r="W176" s="1333"/>
      <c r="X176" s="1333"/>
      <c r="Y176" s="1333"/>
      <c r="Z176" s="1333"/>
      <c r="AA176" s="1333"/>
      <c r="AB176" s="1333"/>
      <c r="AC176" s="1333"/>
      <c r="AD176" s="1333"/>
      <c r="AE176" s="1333"/>
      <c r="AF176" s="1333"/>
      <c r="AG176" s="1333"/>
      <c r="AH176" s="1333"/>
      <c r="AI176" s="1333"/>
      <c r="AJ176" s="1333"/>
    </row>
    <row r="177" spans="1:48" x14ac:dyDescent="0.25">
      <c r="A177" s="1462"/>
      <c r="B177" s="125"/>
      <c r="C177" s="944"/>
      <c r="D177" s="411"/>
      <c r="E177" s="559" t="str">
        <f>IF('C-Design&amp;Const'!$I177="","",'C-Design&amp;Const'!$I177)</f>
        <v>N</v>
      </c>
      <c r="F177" s="478"/>
      <c r="G177" s="485"/>
      <c r="H177" s="238" t="str">
        <f>CONCATENATE(IF(E177="N","PLACEHOLDER ROW - ",""),IF(E177="N","",J177),'C-Design&amp;Const'!Z177,)</f>
        <v>PLACEHOLDER ROW - "Furniture Information Form" (electronic)</v>
      </c>
      <c r="I177" s="136"/>
      <c r="J177" s="578" t="str">
        <f>IF('C-Design&amp;Const'!AE177="","",'C-Design&amp;Const'!AE177)</f>
        <v/>
      </c>
      <c r="K177" s="246" t="str">
        <f t="shared" si="15"/>
        <v/>
      </c>
      <c r="L177" s="1410" t="str">
        <f t="shared" si="15"/>
        <v>&lt;---PM/Planner may hide PLACEHOLDER ROW</v>
      </c>
      <c r="M177" s="1333"/>
      <c r="N177" s="1333"/>
      <c r="O177" s="1382"/>
      <c r="P177" s="1333"/>
      <c r="Q177" s="1453"/>
      <c r="R177" s="1284"/>
      <c r="S177" s="1284"/>
      <c r="T177" s="1333"/>
      <c r="U177" s="1333"/>
      <c r="V177" s="1333"/>
      <c r="W177" s="1333"/>
      <c r="X177" s="1333"/>
      <c r="Y177" s="1333"/>
      <c r="Z177" s="1333"/>
      <c r="AA177" s="1333"/>
      <c r="AB177" s="1333"/>
      <c r="AC177" s="1333"/>
      <c r="AD177" s="1333"/>
      <c r="AE177" s="1333"/>
      <c r="AF177" s="1333"/>
      <c r="AG177" s="1333"/>
      <c r="AH177" s="1333"/>
      <c r="AI177" s="1333"/>
      <c r="AJ177" s="1333"/>
    </row>
    <row r="178" spans="1:48" s="30" customFormat="1" ht="15" customHeight="1" x14ac:dyDescent="0.25">
      <c r="A178" s="1462"/>
      <c r="B178" s="191"/>
      <c r="C178" s="943"/>
      <c r="D178" s="463"/>
      <c r="E178" s="359" t="str">
        <f>IF('C-Design&amp;Const'!$I178="","",'C-Design&amp;Const'!$I178)</f>
        <v>N</v>
      </c>
      <c r="F178" s="235"/>
      <c r="G178" s="291"/>
      <c r="H178" s="340" t="str">
        <f>CONCATENATE(IF(E178="N","PLACEHOLDER ROW - ",""),IF(E178="N","",J178),'C-Design&amp;Const'!Z178,)</f>
        <v>PLACEHOLDER ROW - CUSTOM ROW - OPTIONAL CLIENT ITEM</v>
      </c>
      <c r="I178" s="184"/>
      <c r="J178" s="578" t="str">
        <f>IF('C-Design&amp;Const'!AE178="","",'C-Design&amp;Const'!AE178)</f>
        <v/>
      </c>
      <c r="K178" s="246" t="str">
        <f t="shared" si="15"/>
        <v/>
      </c>
      <c r="L178" s="1410" t="str">
        <f t="shared" si="15"/>
        <v>&lt;---PM/Planner may hide PLACEHOLDER ROW</v>
      </c>
      <c r="M178" s="1333"/>
      <c r="N178" s="1382"/>
      <c r="O178" s="1382"/>
      <c r="P178" s="1382"/>
      <c r="Q178" s="1382"/>
      <c r="R178" s="1382"/>
      <c r="S178" s="1382"/>
      <c r="T178" s="1382"/>
      <c r="U178" s="1382"/>
      <c r="V178" s="1382"/>
      <c r="W178" s="1382"/>
      <c r="X178" s="1382"/>
      <c r="Y178" s="1382"/>
      <c r="Z178" s="1382"/>
      <c r="AA178" s="1382"/>
      <c r="AB178" s="1382"/>
      <c r="AC178" s="1382"/>
      <c r="AD178" s="1382"/>
      <c r="AE178" s="1382"/>
      <c r="AF178" s="1382"/>
      <c r="AG178" s="1382"/>
      <c r="AH178" s="1382"/>
      <c r="AI178" s="1382"/>
      <c r="AJ178" s="1382"/>
      <c r="AK178" s="181"/>
      <c r="AL178" s="181"/>
      <c r="AM178" s="181"/>
      <c r="AN178" s="181"/>
      <c r="AO178" s="181"/>
      <c r="AP178" s="181"/>
      <c r="AQ178" s="181"/>
      <c r="AR178" s="181"/>
      <c r="AS178" s="181"/>
      <c r="AT178" s="181"/>
      <c r="AU178" s="181"/>
      <c r="AV178" s="181"/>
    </row>
    <row r="179" spans="1:48" s="16" customFormat="1" x14ac:dyDescent="0.25">
      <c r="A179" s="1479"/>
      <c r="B179" s="182"/>
      <c r="C179" s="944"/>
      <c r="D179" s="321"/>
      <c r="E179" s="321"/>
      <c r="F179" s="321"/>
      <c r="G179" s="320"/>
      <c r="H179" s="321"/>
      <c r="I179" s="188"/>
      <c r="J179" s="578" t="str">
        <f>IF('C-Design&amp;Const'!AE179="","",'C-Design&amp;Const'!AE179)</f>
        <v/>
      </c>
      <c r="K179" s="246" t="str">
        <f t="shared" si="15"/>
        <v/>
      </c>
      <c r="L179" s="1410" t="str">
        <f t="shared" si="15"/>
        <v/>
      </c>
      <c r="M179" s="1333"/>
      <c r="N179" s="1449"/>
      <c r="O179" s="1382"/>
      <c r="P179" s="1449"/>
      <c r="Q179" s="1457"/>
      <c r="R179" s="1364"/>
      <c r="S179" s="1364"/>
      <c r="T179" s="1449"/>
      <c r="U179" s="1449"/>
      <c r="V179" s="1449"/>
      <c r="W179" s="1449"/>
      <c r="X179" s="1449"/>
      <c r="Y179" s="1449"/>
      <c r="Z179" s="1449"/>
      <c r="AA179" s="1449"/>
      <c r="AB179" s="1449"/>
      <c r="AC179" s="1449"/>
      <c r="AD179" s="1449"/>
      <c r="AE179" s="1449"/>
      <c r="AF179" s="1449"/>
      <c r="AG179" s="1449"/>
      <c r="AH179" s="1449"/>
      <c r="AI179" s="1449"/>
      <c r="AJ179" s="1449"/>
      <c r="AK179" s="175"/>
      <c r="AL179" s="175"/>
      <c r="AM179" s="175"/>
      <c r="AN179" s="175"/>
      <c r="AO179" s="175"/>
      <c r="AP179" s="175"/>
      <c r="AQ179" s="175"/>
      <c r="AR179" s="175"/>
      <c r="AS179" s="175"/>
      <c r="AT179" s="175"/>
      <c r="AU179" s="175"/>
      <c r="AV179" s="175"/>
    </row>
    <row r="180" spans="1:48" s="16" customFormat="1" ht="18.75" x14ac:dyDescent="0.3">
      <c r="A180" s="1479" t="str">
        <f>'C-Design&amp;Const'!J180</f>
        <v>N</v>
      </c>
      <c r="B180" s="182"/>
      <c r="C180" s="943"/>
      <c r="D180" s="359" t="str">
        <f>IF('C-Design&amp;Const'!$I180="","",'C-Design&amp;Const'!$I180)</f>
        <v>Y</v>
      </c>
      <c r="E180" s="234"/>
      <c r="F180" s="235"/>
      <c r="G180" s="207" t="str">
        <f>IF('C-Design&amp;Const'!Y180="","",'C-Design&amp;Const'!Y180)</f>
        <v>06.</v>
      </c>
      <c r="H180" s="236" t="str">
        <f>CONCATENATE('C-Design&amp;Const'!Z180,IF(Applies_ProjectManual_SD="N"," Not Used In This Design Phase",J180))</f>
        <v xml:space="preserve">Project Manual </v>
      </c>
      <c r="I180" s="189"/>
      <c r="J180" s="578" t="str">
        <f>IF('C-Design&amp;Const'!AE180="","",'C-Design&amp;Const'!AE180)</f>
        <v/>
      </c>
      <c r="K180" s="246" t="str">
        <f t="shared" si="15"/>
        <v/>
      </c>
      <c r="L180" s="1410" t="str">
        <f t="shared" si="15"/>
        <v/>
      </c>
      <c r="M180" s="1333"/>
      <c r="N180" s="1449"/>
      <c r="O180" s="1382"/>
      <c r="P180" s="1449"/>
      <c r="Q180" s="1450"/>
      <c r="R180" s="1451"/>
      <c r="S180" s="1364"/>
      <c r="T180" s="1449"/>
      <c r="U180" s="1449"/>
      <c r="V180" s="1449"/>
      <c r="W180" s="1449"/>
      <c r="X180" s="1449"/>
      <c r="Y180" s="1449"/>
      <c r="Z180" s="1449"/>
      <c r="AA180" s="1449"/>
      <c r="AB180" s="1449"/>
      <c r="AC180" s="1449"/>
      <c r="AD180" s="1449"/>
      <c r="AE180" s="1449"/>
      <c r="AF180" s="1449"/>
      <c r="AG180" s="1449"/>
      <c r="AH180" s="1449"/>
      <c r="AI180" s="1449"/>
      <c r="AJ180" s="1449"/>
      <c r="AK180" s="175"/>
      <c r="AL180" s="175"/>
      <c r="AM180" s="175"/>
      <c r="AN180" s="175"/>
      <c r="AO180" s="175"/>
      <c r="AP180" s="175"/>
      <c r="AQ180" s="175"/>
      <c r="AR180" s="175"/>
      <c r="AS180" s="175"/>
      <c r="AT180" s="175"/>
      <c r="AU180" s="175"/>
      <c r="AV180" s="175"/>
    </row>
    <row r="181" spans="1:48" s="30" customFormat="1" ht="27" customHeight="1" x14ac:dyDescent="0.25">
      <c r="A181" s="1462"/>
      <c r="B181" s="191"/>
      <c r="C181" s="943"/>
      <c r="D181" s="463"/>
      <c r="E181" s="359" t="str">
        <f>IF('C-Design&amp;Const'!$I181="","",'C-Design&amp;Const'!$I181)</f>
        <v>N</v>
      </c>
      <c r="F181" s="235"/>
      <c r="G181" s="291"/>
      <c r="H181" s="340" t="str">
        <f>CONCATENATE(IF(E181="N","PLACEHOLDER ROW - ",""),IF(E181="N","",J181),'C-Design&amp;Const'!Z181,)</f>
        <v>PLACEHOLDER ROW - Summary of Changes by Discipline (beyond corrections from comments) - UNDER SEPARATE COVER &amp; NOT BOUND WITH MANUAL.</v>
      </c>
      <c r="I181" s="184"/>
      <c r="J181" s="578" t="str">
        <f>IF('C-Design&amp;Const'!AE181="","",'C-Design&amp;Const'!AE181)</f>
        <v/>
      </c>
      <c r="K181" s="246" t="str">
        <f t="shared" si="15"/>
        <v/>
      </c>
      <c r="L181" s="1410" t="str">
        <f t="shared" si="15"/>
        <v>&lt;---PM/Planner may hide PLACEHOLDER ROW</v>
      </c>
      <c r="M181" s="1333"/>
      <c r="N181" s="1382"/>
      <c r="O181" s="1382"/>
      <c r="P181" s="1382"/>
      <c r="Q181" s="1382"/>
      <c r="R181" s="1382"/>
      <c r="S181" s="1382"/>
      <c r="T181" s="1382"/>
      <c r="U181" s="1382"/>
      <c r="V181" s="1382"/>
      <c r="W181" s="1382"/>
      <c r="X181" s="1382"/>
      <c r="Y181" s="1382"/>
      <c r="Z181" s="1382"/>
      <c r="AA181" s="1382"/>
      <c r="AB181" s="1382"/>
      <c r="AC181" s="1382"/>
      <c r="AD181" s="1382"/>
      <c r="AE181" s="1382"/>
      <c r="AF181" s="1382"/>
      <c r="AG181" s="1382"/>
      <c r="AH181" s="1382"/>
      <c r="AI181" s="1382"/>
      <c r="AJ181" s="1382"/>
      <c r="AK181" s="181"/>
      <c r="AL181" s="181"/>
      <c r="AM181" s="181"/>
      <c r="AN181" s="181"/>
      <c r="AO181" s="181"/>
      <c r="AP181" s="181"/>
      <c r="AQ181" s="181"/>
      <c r="AR181" s="181"/>
      <c r="AS181" s="181"/>
      <c r="AT181" s="181"/>
      <c r="AU181" s="181"/>
      <c r="AV181" s="181"/>
    </row>
    <row r="182" spans="1:48" ht="28.5" x14ac:dyDescent="0.25">
      <c r="A182" s="1462"/>
      <c r="B182" s="125"/>
      <c r="C182" s="943"/>
      <c r="D182" s="411"/>
      <c r="E182" s="559" t="str">
        <f>IF('C-Design&amp;Const'!$I182="","",'C-Design&amp;Const'!$I182)</f>
        <v>N</v>
      </c>
      <c r="F182" s="478"/>
      <c r="G182" s="485"/>
      <c r="H182" s="238" t="str">
        <f>CONCATENATE(IF(E182="N","PLACEHOLDER ROW - ",""),IF(E182="N","",J182),'C-Design&amp;Const'!Z182,)</f>
        <v>PLACEHOLDER ROW - Checklist for specification sections with submittals required (materials, shop drawings, calcs, etc…) - UNDER SEPARATE COVER &amp; NOT BOUND WITH MANUAL.</v>
      </c>
      <c r="I182" s="136"/>
      <c r="J182" s="578" t="str">
        <f>IF('C-Design&amp;Const'!AE182="","",'C-Design&amp;Const'!AE182)</f>
        <v/>
      </c>
      <c r="K182" s="246" t="str">
        <f>CONCATENATE(IF(ISNUMBER(SEARCH("Placeholder",G182))=TRUE,"&lt;---PM/Planner may hide PLACEHOLDER ROW",""))</f>
        <v/>
      </c>
      <c r="L182" s="1410" t="str">
        <f>CONCATENATE(IF(ISNUMBER(SEARCH("Placeholder",H182))=TRUE,"&lt;---PM/Planner may hide PLACEHOLDER ROW",""))</f>
        <v>&lt;---PM/Planner may hide PLACEHOLDER ROW</v>
      </c>
      <c r="M182" s="1333"/>
      <c r="N182" s="1333"/>
      <c r="O182" s="1382"/>
      <c r="P182" s="1333"/>
      <c r="Q182" s="1453"/>
      <c r="R182" s="1284"/>
      <c r="S182" s="1284"/>
      <c r="T182" s="1333"/>
      <c r="U182" s="1333"/>
      <c r="V182" s="1333"/>
      <c r="W182" s="1333"/>
      <c r="X182" s="1333"/>
      <c r="Y182" s="1333"/>
      <c r="Z182" s="1333"/>
      <c r="AA182" s="1333"/>
      <c r="AB182" s="1333"/>
      <c r="AC182" s="1333"/>
      <c r="AD182" s="1333"/>
      <c r="AE182" s="1333"/>
      <c r="AF182" s="1333"/>
      <c r="AG182" s="1333"/>
      <c r="AH182" s="1333"/>
      <c r="AI182" s="1333"/>
      <c r="AJ182" s="1333"/>
    </row>
    <row r="183" spans="1:48" s="30" customFormat="1" ht="15" customHeight="1" x14ac:dyDescent="0.25">
      <c r="A183" s="1462"/>
      <c r="B183" s="191"/>
      <c r="C183" s="944"/>
      <c r="D183" s="463"/>
      <c r="E183" s="359" t="str">
        <f>IF('C-Design&amp;Const'!$I183="","",'C-Design&amp;Const'!$I183)</f>
        <v>N</v>
      </c>
      <c r="F183" s="235"/>
      <c r="G183" s="291"/>
      <c r="H183" s="340" t="str">
        <f>CONCATENATE(IF(E183="N","PLACEHOLDER ROW - ",""),IF(E183="N","",J183),'C-Design&amp;Const'!Z183,)</f>
        <v xml:space="preserve">PLACEHOLDER ROW - Front End Documents  [Div 00] </v>
      </c>
      <c r="I183" s="184"/>
      <c r="J183" s="578" t="str">
        <f>IF('C-Design&amp;Const'!AE183="","",'C-Design&amp;Const'!AE183)</f>
        <v/>
      </c>
      <c r="K183" s="246" t="str">
        <f t="shared" si="15"/>
        <v/>
      </c>
      <c r="L183" s="1410" t="str">
        <f t="shared" si="15"/>
        <v>&lt;---PM/Planner may hide PLACEHOLDER ROW</v>
      </c>
      <c r="M183" s="1333"/>
      <c r="N183" s="1382"/>
      <c r="O183" s="1382"/>
      <c r="P183" s="1382"/>
      <c r="Q183" s="1382"/>
      <c r="R183" s="1382"/>
      <c r="S183" s="1382"/>
      <c r="T183" s="1382"/>
      <c r="U183" s="1382"/>
      <c r="V183" s="1382"/>
      <c r="W183" s="1382"/>
      <c r="X183" s="1382"/>
      <c r="Y183" s="1382"/>
      <c r="Z183" s="1382"/>
      <c r="AA183" s="1382"/>
      <c r="AB183" s="1382"/>
      <c r="AC183" s="1382"/>
      <c r="AD183" s="1382"/>
      <c r="AE183" s="1382"/>
      <c r="AF183" s="1382"/>
      <c r="AG183" s="1382"/>
      <c r="AH183" s="1382"/>
      <c r="AI183" s="1382"/>
      <c r="AJ183" s="1382"/>
      <c r="AK183" s="181"/>
      <c r="AL183" s="181"/>
      <c r="AM183" s="181"/>
      <c r="AN183" s="181"/>
      <c r="AO183" s="181"/>
      <c r="AP183" s="181"/>
      <c r="AQ183" s="181"/>
      <c r="AR183" s="181"/>
      <c r="AS183" s="181"/>
      <c r="AT183" s="181"/>
      <c r="AU183" s="181"/>
      <c r="AV183" s="181"/>
    </row>
    <row r="184" spans="1:48" s="30" customFormat="1" ht="15" customHeight="1" x14ac:dyDescent="0.25">
      <c r="A184" s="1462"/>
      <c r="B184" s="191"/>
      <c r="C184" s="944"/>
      <c r="D184" s="463"/>
      <c r="E184" s="359" t="str">
        <f>IF('C-Design&amp;Const'!$I184="","",'C-Design&amp;Const'!$I184)</f>
        <v>Y</v>
      </c>
      <c r="F184" s="235"/>
      <c r="G184" s="291"/>
      <c r="H184" s="340" t="str">
        <f>CONCATENATE(IF(E184="N","PLACEHOLDER ROW - ",""),IF(E184="N","",J184),'C-Design&amp;Const'!Z184,)</f>
        <v>Outline Specifications (CSI Format)</v>
      </c>
      <c r="I184" s="184"/>
      <c r="J184" s="578" t="str">
        <f>IF('C-Design&amp;Const'!AE184="","",'C-Design&amp;Const'!AE184)</f>
        <v/>
      </c>
      <c r="K184" s="246" t="str">
        <f t="shared" si="15"/>
        <v/>
      </c>
      <c r="L184" s="1410" t="str">
        <f t="shared" si="15"/>
        <v/>
      </c>
      <c r="M184" s="1333"/>
      <c r="N184" s="1382"/>
      <c r="O184" s="1382"/>
      <c r="P184" s="1382"/>
      <c r="Q184" s="1382"/>
      <c r="R184" s="1382"/>
      <c r="S184" s="1382"/>
      <c r="T184" s="1382"/>
      <c r="U184" s="1382"/>
      <c r="V184" s="1382"/>
      <c r="W184" s="1382"/>
      <c r="X184" s="1382"/>
      <c r="Y184" s="1382"/>
      <c r="Z184" s="1382"/>
      <c r="AA184" s="1382"/>
      <c r="AB184" s="1382"/>
      <c r="AC184" s="1382"/>
      <c r="AD184" s="1382"/>
      <c r="AE184" s="1382"/>
      <c r="AF184" s="1382"/>
      <c r="AG184" s="1382"/>
      <c r="AH184" s="1382"/>
      <c r="AI184" s="1382"/>
      <c r="AJ184" s="1382"/>
      <c r="AK184" s="181"/>
      <c r="AL184" s="181"/>
      <c r="AM184" s="181"/>
      <c r="AN184" s="181"/>
      <c r="AO184" s="181"/>
      <c r="AP184" s="181"/>
      <c r="AQ184" s="181"/>
      <c r="AR184" s="181"/>
      <c r="AS184" s="181"/>
      <c r="AT184" s="181"/>
      <c r="AU184" s="181"/>
      <c r="AV184" s="181"/>
    </row>
    <row r="185" spans="1:48" s="30" customFormat="1" ht="15" customHeight="1" x14ac:dyDescent="0.25">
      <c r="A185" s="1462"/>
      <c r="B185" s="191"/>
      <c r="C185" s="944"/>
      <c r="D185" s="463"/>
      <c r="E185" s="359" t="str">
        <f>IF('C-Design&amp;Const'!$I185="","",'C-Design&amp;Const'!$I185)</f>
        <v>N</v>
      </c>
      <c r="F185" s="235"/>
      <c r="G185" s="291"/>
      <c r="H185" s="340" t="str">
        <f>CONCATENATE(IF(E185="N","PLACEHOLDER ROW - ",""),IF(E185="N","",J185),'C-Design&amp;Const'!Z185,)</f>
        <v>PLACEHOLDER ROW - Technical Specifications  [Div 01 and after]</v>
      </c>
      <c r="I185" s="184"/>
      <c r="J185" s="578" t="str">
        <f>IF('C-Design&amp;Const'!AE185="","",'C-Design&amp;Const'!AE185)</f>
        <v/>
      </c>
      <c r="K185" s="246" t="str">
        <f t="shared" si="15"/>
        <v/>
      </c>
      <c r="L185" s="1410" t="str">
        <f t="shared" si="15"/>
        <v>&lt;---PM/Planner may hide PLACEHOLDER ROW</v>
      </c>
      <c r="M185" s="1333"/>
      <c r="N185" s="1382"/>
      <c r="O185" s="1382"/>
      <c r="P185" s="1382"/>
      <c r="Q185" s="1382"/>
      <c r="R185" s="1382"/>
      <c r="S185" s="1382"/>
      <c r="T185" s="1382"/>
      <c r="U185" s="1382"/>
      <c r="V185" s="1382"/>
      <c r="W185" s="1382"/>
      <c r="X185" s="1382"/>
      <c r="Y185" s="1382"/>
      <c r="Z185" s="1382"/>
      <c r="AA185" s="1382"/>
      <c r="AB185" s="1382"/>
      <c r="AC185" s="1382"/>
      <c r="AD185" s="1382"/>
      <c r="AE185" s="1382"/>
      <c r="AF185" s="1382"/>
      <c r="AG185" s="1382"/>
      <c r="AH185" s="1382"/>
      <c r="AI185" s="1382"/>
      <c r="AJ185" s="1382"/>
      <c r="AK185" s="181"/>
      <c r="AL185" s="181"/>
      <c r="AM185" s="181"/>
      <c r="AN185" s="181"/>
      <c r="AO185" s="181"/>
      <c r="AP185" s="181"/>
      <c r="AQ185" s="181"/>
      <c r="AR185" s="181"/>
      <c r="AS185" s="181"/>
      <c r="AT185" s="181"/>
      <c r="AU185" s="181"/>
      <c r="AV185" s="181"/>
    </row>
    <row r="186" spans="1:48" s="30" customFormat="1" ht="15" customHeight="1" x14ac:dyDescent="0.25">
      <c r="A186" s="1462"/>
      <c r="B186" s="191"/>
      <c r="C186" s="944"/>
      <c r="D186" s="463"/>
      <c r="E186" s="359" t="str">
        <f>IF('C-Design&amp;Const'!$I186="","",'C-Design&amp;Const'!$I186)</f>
        <v>N</v>
      </c>
      <c r="F186" s="235"/>
      <c r="G186" s="291"/>
      <c r="H186" s="340" t="str">
        <f>CONCATENATE(IF(E186="N","PLACEHOLDER ROW - ",""),IF(E186="N","",J186),'C-Design&amp;Const'!Z186,)</f>
        <v xml:space="preserve">PLACEHOLDER ROW - FF&amp;E Outline Specification for at least 2 competitor packages </v>
      </c>
      <c r="I186" s="184"/>
      <c r="J186" s="578" t="str">
        <f>IF('C-Design&amp;Const'!AE186="","",'C-Design&amp;Const'!AE186)</f>
        <v/>
      </c>
      <c r="K186" s="246" t="str">
        <f t="shared" si="15"/>
        <v/>
      </c>
      <c r="L186" s="1410" t="str">
        <f t="shared" si="15"/>
        <v>&lt;---PM/Planner may hide PLACEHOLDER ROW</v>
      </c>
      <c r="M186" s="1333"/>
      <c r="N186" s="1382"/>
      <c r="O186" s="1382"/>
      <c r="P186" s="1382"/>
      <c r="Q186" s="1382"/>
      <c r="R186" s="1382"/>
      <c r="S186" s="1382"/>
      <c r="T186" s="1382"/>
      <c r="U186" s="1382"/>
      <c r="V186" s="1382"/>
      <c r="W186" s="1382"/>
      <c r="X186" s="1382"/>
      <c r="Y186" s="1382"/>
      <c r="Z186" s="1382"/>
      <c r="AA186" s="1382"/>
      <c r="AB186" s="1382"/>
      <c r="AC186" s="1382"/>
      <c r="AD186" s="1382"/>
      <c r="AE186" s="1382"/>
      <c r="AF186" s="1382"/>
      <c r="AG186" s="1382"/>
      <c r="AH186" s="1382"/>
      <c r="AI186" s="1382"/>
      <c r="AJ186" s="1382"/>
      <c r="AK186" s="181"/>
      <c r="AL186" s="181"/>
      <c r="AM186" s="181"/>
      <c r="AN186" s="181"/>
      <c r="AO186" s="181"/>
      <c r="AP186" s="181"/>
      <c r="AQ186" s="181"/>
      <c r="AR186" s="181"/>
      <c r="AS186" s="181"/>
      <c r="AT186" s="181"/>
      <c r="AU186" s="181"/>
      <c r="AV186" s="181"/>
    </row>
    <row r="187" spans="1:48" s="30" customFormat="1" ht="15.75" customHeight="1" x14ac:dyDescent="0.25">
      <c r="A187" s="1462"/>
      <c r="B187" s="191"/>
      <c r="C187" s="944"/>
      <c r="D187" s="463"/>
      <c r="E187" s="359" t="str">
        <f>IF('C-Design&amp;Const'!$I187="","",'C-Design&amp;Const'!$I187)</f>
        <v>N</v>
      </c>
      <c r="F187" s="463"/>
      <c r="G187" s="291"/>
      <c r="H187" s="340" t="str">
        <f>CONCATENATE(IF(E187="N","PLACEHOLDER ROW - ",""),IF(E187="N","",J187),'C-Design&amp;Const'!Z187,)</f>
        <v>PLACEHOLDER ROW - Furniture Information Form (FIF)</v>
      </c>
      <c r="I187" s="184"/>
      <c r="J187" s="578" t="str">
        <f>IF('C-Design&amp;Const'!AE187="","",'C-Design&amp;Const'!AE187)</f>
        <v/>
      </c>
      <c r="K187" s="246" t="str">
        <f>CONCATENATE(IF(ISNUMBER(SEARCH("Placeholder",G187))=TRUE,"&lt;---PM/Planner may hide PLACEHOLDER ROW",""))</f>
        <v/>
      </c>
      <c r="L187" s="1410" t="str">
        <f>CONCATENATE(IF(ISNUMBER(SEARCH("Placeholder",H187))=TRUE,"&lt;---PM/Planner may hide PLACEHOLDER ROW",""))</f>
        <v>&lt;---PM/Planner may hide PLACEHOLDER ROW</v>
      </c>
      <c r="M187" s="1382"/>
      <c r="N187" s="1382"/>
      <c r="O187" s="1382"/>
      <c r="P187" s="1382"/>
      <c r="Q187" s="1382"/>
      <c r="R187" s="1382"/>
      <c r="S187" s="1382"/>
      <c r="T187" s="1382"/>
      <c r="U187" s="1382"/>
      <c r="V187" s="1382"/>
      <c r="W187" s="1382"/>
      <c r="X187" s="1382"/>
      <c r="Y187" s="1382"/>
      <c r="Z187" s="1382"/>
      <c r="AA187" s="1382"/>
      <c r="AB187" s="1382"/>
      <c r="AC187" s="1382"/>
      <c r="AD187" s="1382"/>
      <c r="AE187" s="1382"/>
      <c r="AF187" s="1382"/>
      <c r="AG187" s="1382"/>
      <c r="AH187" s="1382"/>
      <c r="AI187" s="1382"/>
      <c r="AJ187" s="1382"/>
      <c r="AK187" s="181"/>
      <c r="AL187" s="181"/>
      <c r="AM187" s="181"/>
      <c r="AN187" s="181"/>
      <c r="AO187" s="181"/>
      <c r="AP187" s="181"/>
      <c r="AQ187" s="181"/>
      <c r="AR187" s="181"/>
      <c r="AS187" s="181"/>
      <c r="AT187" s="181"/>
      <c r="AU187" s="181"/>
      <c r="AV187" s="181"/>
    </row>
    <row r="188" spans="1:48" s="30" customFormat="1" ht="15" customHeight="1" x14ac:dyDescent="0.25">
      <c r="A188" s="1462"/>
      <c r="B188" s="191"/>
      <c r="C188" s="944"/>
      <c r="D188" s="463"/>
      <c r="E188" s="359" t="str">
        <f>IF('C-Design&amp;Const'!$I188="","",'C-Design&amp;Const'!$I188)</f>
        <v>N</v>
      </c>
      <c r="F188" s="235"/>
      <c r="G188" s="291"/>
      <c r="H188" s="340" t="str">
        <f>CONCATENATE(IF(E188="N","PLACEHOLDER ROW - ",""),IF(E188="N","",J188),'C-Design&amp;Const'!Z188,)</f>
        <v xml:space="preserve">PLACEHOLDER ROW - Voice/Data Communications System Requirements </v>
      </c>
      <c r="I188" s="184"/>
      <c r="J188" s="578" t="str">
        <f>IF('C-Design&amp;Const'!AE188="","",'C-Design&amp;Const'!AE188)</f>
        <v/>
      </c>
      <c r="K188" s="246" t="str">
        <f t="shared" si="15"/>
        <v/>
      </c>
      <c r="L188" s="1410" t="str">
        <f t="shared" si="15"/>
        <v>&lt;---PM/Planner may hide PLACEHOLDER ROW</v>
      </c>
      <c r="M188" s="1382"/>
      <c r="N188" s="1382"/>
      <c r="O188" s="1382"/>
      <c r="P188" s="1382"/>
      <c r="Q188" s="1382"/>
      <c r="R188" s="1382"/>
      <c r="S188" s="1382"/>
      <c r="T188" s="1382"/>
      <c r="U188" s="1382"/>
      <c r="V188" s="1382"/>
      <c r="W188" s="1382"/>
      <c r="X188" s="1382"/>
      <c r="Y188" s="1382"/>
      <c r="Z188" s="1382"/>
      <c r="AA188" s="1382"/>
      <c r="AB188" s="1382"/>
      <c r="AC188" s="1382"/>
      <c r="AD188" s="1382"/>
      <c r="AE188" s="1382"/>
      <c r="AF188" s="1382"/>
      <c r="AG188" s="1382"/>
      <c r="AH188" s="1382"/>
      <c r="AI188" s="1382"/>
      <c r="AJ188" s="1382"/>
      <c r="AK188" s="181"/>
      <c r="AL188" s="181"/>
      <c r="AM188" s="181"/>
      <c r="AN188" s="181"/>
      <c r="AO188" s="181"/>
      <c r="AP188" s="181"/>
      <c r="AQ188" s="181"/>
      <c r="AR188" s="181"/>
      <c r="AS188" s="181"/>
      <c r="AT188" s="181"/>
      <c r="AU188" s="181"/>
      <c r="AV188" s="181"/>
    </row>
    <row r="189" spans="1:48" s="30" customFormat="1" ht="24" customHeight="1" x14ac:dyDescent="0.25">
      <c r="A189" s="1462"/>
      <c r="B189" s="191"/>
      <c r="C189" s="944"/>
      <c r="D189" s="463"/>
      <c r="E189" s="359" t="str">
        <f>IF('C-Design&amp;Const'!$I189="","",'C-Design&amp;Const'!$I189)</f>
        <v>N</v>
      </c>
      <c r="F189" s="235"/>
      <c r="G189" s="291"/>
      <c r="H189" s="340" t="str">
        <f>CONCATENATE(IF(E189="N","PLACEHOLDER ROW - ",""),IF(E189="N","",J189),'C-Design&amp;Const'!Z189,)</f>
        <v xml:space="preserve">PLACEHOLDER ROW - AV Systems Requirements, including Millwork, Associated Cooling, Power, Grounding, Data / Telecomm, Acoustics &amp; Noise Control, and Lighting System. Cables Identified by Manufacturer/Model Number. </v>
      </c>
      <c r="I189" s="184"/>
      <c r="J189" s="578" t="str">
        <f>IF('C-Design&amp;Const'!AE189="","",'C-Design&amp;Const'!AE189)</f>
        <v/>
      </c>
      <c r="K189" s="246" t="str">
        <f t="shared" si="15"/>
        <v/>
      </c>
      <c r="L189" s="1410" t="str">
        <f t="shared" si="15"/>
        <v>&lt;---PM/Planner may hide PLACEHOLDER ROW</v>
      </c>
      <c r="M189" s="1382"/>
      <c r="N189" s="1382"/>
      <c r="O189" s="1382"/>
      <c r="P189" s="1382"/>
      <c r="Q189" s="1382"/>
      <c r="R189" s="1382"/>
      <c r="S189" s="1382"/>
      <c r="T189" s="1382"/>
      <c r="U189" s="1382"/>
      <c r="V189" s="1382"/>
      <c r="W189" s="1382"/>
      <c r="X189" s="1382"/>
      <c r="Y189" s="1382"/>
      <c r="Z189" s="1382"/>
      <c r="AA189" s="1382"/>
      <c r="AB189" s="1382"/>
      <c r="AC189" s="1382"/>
      <c r="AD189" s="1382"/>
      <c r="AE189" s="1382"/>
      <c r="AF189" s="1382"/>
      <c r="AG189" s="1382"/>
      <c r="AH189" s="1382"/>
      <c r="AI189" s="1382"/>
      <c r="AJ189" s="1382"/>
      <c r="AK189" s="181"/>
      <c r="AL189" s="181"/>
      <c r="AM189" s="181"/>
      <c r="AN189" s="181"/>
      <c r="AO189" s="181"/>
      <c r="AP189" s="181"/>
      <c r="AQ189" s="181"/>
      <c r="AR189" s="181"/>
      <c r="AS189" s="181"/>
      <c r="AT189" s="181"/>
      <c r="AU189" s="181"/>
      <c r="AV189" s="181"/>
    </row>
    <row r="190" spans="1:48" x14ac:dyDescent="0.25">
      <c r="A190" s="1462"/>
      <c r="B190" s="125"/>
      <c r="C190" s="944"/>
      <c r="D190" s="411"/>
      <c r="E190" s="559" t="str">
        <f>IF('C-Design&amp;Const'!$I190="","",'C-Design&amp;Const'!$I190)</f>
        <v>N</v>
      </c>
      <c r="F190" s="478"/>
      <c r="G190" s="485"/>
      <c r="H190" s="238" t="str">
        <f>CONCATENATE(IF(E190="N","PLACEHOLDER ROW - ",""),IF(E190="N","",J190),'C-Design&amp;Const'!Z190,)</f>
        <v>PLACEHOLDER ROW - Audio / Visual Basis of Material (AV BOM)</v>
      </c>
      <c r="I190" s="136"/>
      <c r="J190" s="578" t="str">
        <f>IF('C-Design&amp;Const'!AE190="","",'C-Design&amp;Const'!AE190)</f>
        <v/>
      </c>
      <c r="K190" s="246" t="str">
        <f>CONCATENATE(IF(ISNUMBER(SEARCH("Placeholder",G190))=TRUE,"&lt;---PM/Planner may hide PLACEHOLDER ROW",""))</f>
        <v/>
      </c>
      <c r="L190" s="1410" t="str">
        <f>CONCATENATE(IF(ISNUMBER(SEARCH("Placeholder",H190))=TRUE,"&lt;---PM/Planner may hide PLACEHOLDER ROW",""))</f>
        <v>&lt;---PM/Planner may hide PLACEHOLDER ROW</v>
      </c>
      <c r="M190" s="1333"/>
      <c r="N190" s="1333"/>
      <c r="O190" s="1382"/>
      <c r="P190" s="1333"/>
      <c r="Q190" s="1453"/>
      <c r="R190" s="1284"/>
      <c r="S190" s="1284"/>
      <c r="T190" s="1333"/>
      <c r="U190" s="1333"/>
      <c r="V190" s="1333"/>
      <c r="W190" s="1333"/>
      <c r="X190" s="1333"/>
      <c r="Y190" s="1333"/>
      <c r="Z190" s="1333"/>
      <c r="AA190" s="1333"/>
      <c r="AB190" s="1333"/>
      <c r="AC190" s="1333"/>
      <c r="AD190" s="1333"/>
      <c r="AE190" s="1333"/>
      <c r="AF190" s="1333"/>
      <c r="AG190" s="1333"/>
      <c r="AH190" s="1333"/>
      <c r="AI190" s="1333"/>
      <c r="AJ190" s="1333"/>
    </row>
    <row r="191" spans="1:48" s="30" customFormat="1" ht="15" customHeight="1" x14ac:dyDescent="0.25">
      <c r="A191" s="1462"/>
      <c r="B191" s="191"/>
      <c r="C191" s="944"/>
      <c r="D191" s="463"/>
      <c r="E191" s="359" t="str">
        <f>IF('C-Design&amp;Const'!$I191="","",'C-Design&amp;Const'!$I191)</f>
        <v>N</v>
      </c>
      <c r="F191" s="235"/>
      <c r="G191" s="291"/>
      <c r="H191" s="340" t="str">
        <f>CONCATENATE(IF(E191="N","PLACEHOLDER ROW - ",""),IF(E191="N","",J191),'C-Design&amp;Const'!Z191,)</f>
        <v>PLACEHOLDER ROW - Soil Borings and Soils Report (With Applicable Section)</v>
      </c>
      <c r="I191" s="184"/>
      <c r="J191" s="578" t="str">
        <f>IF('C-Design&amp;Const'!AE191="","",'C-Design&amp;Const'!AE191)</f>
        <v/>
      </c>
      <c r="K191" s="246" t="str">
        <f t="shared" si="15"/>
        <v/>
      </c>
      <c r="L191" s="1410" t="str">
        <f t="shared" si="15"/>
        <v>&lt;---PM/Planner may hide PLACEHOLDER ROW</v>
      </c>
      <c r="M191" s="1382"/>
      <c r="N191" s="1382"/>
      <c r="O191" s="1382"/>
      <c r="P191" s="1382"/>
      <c r="Q191" s="1382"/>
      <c r="R191" s="1382"/>
      <c r="S191" s="1382"/>
      <c r="T191" s="1382"/>
      <c r="U191" s="1382"/>
      <c r="V191" s="1382"/>
      <c r="W191" s="1382"/>
      <c r="X191" s="1382"/>
      <c r="Y191" s="1382"/>
      <c r="Z191" s="1382"/>
      <c r="AA191" s="1382"/>
      <c r="AB191" s="1382"/>
      <c r="AC191" s="1382"/>
      <c r="AD191" s="1382"/>
      <c r="AE191" s="1382"/>
      <c r="AF191" s="1382"/>
      <c r="AG191" s="1382"/>
      <c r="AH191" s="1382"/>
      <c r="AI191" s="1382"/>
      <c r="AJ191" s="1382"/>
      <c r="AK191" s="181"/>
      <c r="AL191" s="181"/>
      <c r="AM191" s="181"/>
      <c r="AN191" s="181"/>
      <c r="AO191" s="181"/>
      <c r="AP191" s="181"/>
      <c r="AQ191" s="181"/>
      <c r="AR191" s="181"/>
      <c r="AS191" s="181"/>
      <c r="AT191" s="181"/>
      <c r="AU191" s="181"/>
      <c r="AV191" s="181"/>
    </row>
    <row r="192" spans="1:48" ht="28.5" x14ac:dyDescent="0.25">
      <c r="A192" s="1462"/>
      <c r="B192" s="125"/>
      <c r="C192" s="944"/>
      <c r="D192" s="411"/>
      <c r="E192" s="559" t="str">
        <f>IF('C-Design&amp;Const'!$I192="","",'C-Design&amp;Const'!$I192)</f>
        <v>N</v>
      </c>
      <c r="F192" s="478"/>
      <c r="G192" s="485"/>
      <c r="H192" s="238" t="str">
        <f>CONCATENATE(IF(E192="N","PLACEHOLDER ROW - ",""),IF(E192="N","",J192),'C-Design&amp;Const'!Z192,)</f>
        <v>PLACEHOLDER ROW - Results of Hazardous Materials Testing and Hazardous Materials Mediation Plan (With Applicable Section)</v>
      </c>
      <c r="I192" s="136"/>
      <c r="J192" s="578" t="str">
        <f>IF('C-Design&amp;Const'!AE192="","",'C-Design&amp;Const'!AE192)</f>
        <v/>
      </c>
      <c r="K192" s="246" t="str">
        <f t="shared" si="15"/>
        <v/>
      </c>
      <c r="L192" s="1410" t="str">
        <f t="shared" si="15"/>
        <v>&lt;---PM/Planner may hide PLACEHOLDER ROW</v>
      </c>
      <c r="M192" s="1333"/>
      <c r="N192" s="1333"/>
      <c r="O192" s="1382"/>
      <c r="P192" s="1333"/>
      <c r="Q192" s="1453"/>
      <c r="R192" s="1284"/>
      <c r="S192" s="1284"/>
      <c r="T192" s="1333"/>
      <c r="U192" s="1333"/>
      <c r="V192" s="1333"/>
      <c r="W192" s="1333"/>
      <c r="X192" s="1333"/>
      <c r="Y192" s="1333"/>
      <c r="Z192" s="1333"/>
      <c r="AA192" s="1333"/>
      <c r="AB192" s="1333"/>
      <c r="AC192" s="1333"/>
      <c r="AD192" s="1333"/>
      <c r="AE192" s="1333"/>
      <c r="AF192" s="1333"/>
      <c r="AG192" s="1333"/>
      <c r="AH192" s="1333"/>
      <c r="AI192" s="1333"/>
      <c r="AJ192" s="1333"/>
    </row>
    <row r="193" spans="1:36" x14ac:dyDescent="0.25">
      <c r="A193" s="1462"/>
      <c r="B193" s="125"/>
      <c r="C193" s="944"/>
      <c r="D193" s="411"/>
      <c r="E193" s="559" t="str">
        <f>IF('C-Design&amp;Const'!$I193="","",'C-Design&amp;Const'!$I193)</f>
        <v>N</v>
      </c>
      <c r="F193" s="478"/>
      <c r="G193" s="485"/>
      <c r="H193" s="238" t="str">
        <f>CONCATENATE(IF(E193="N","PLACEHOLDER ROW - ",""),IF(E193="N","",J193),'C-Design&amp;Const'!Z193,)</f>
        <v>PLACEHOLDER ROW - EPA &amp; State Permits (With Applicable Section)</v>
      </c>
      <c r="I193" s="136"/>
      <c r="J193" s="578" t="str">
        <f>IF('C-Design&amp;Const'!AE193="","",'C-Design&amp;Const'!AE193)</f>
        <v/>
      </c>
      <c r="K193" s="246" t="str">
        <f t="shared" si="15"/>
        <v/>
      </c>
      <c r="L193" s="1410" t="str">
        <f t="shared" si="15"/>
        <v>&lt;---PM/Planner may hide PLACEHOLDER ROW</v>
      </c>
      <c r="M193" s="1333"/>
      <c r="N193" s="1333"/>
      <c r="O193" s="1382"/>
      <c r="P193" s="1333"/>
      <c r="Q193" s="1453"/>
      <c r="R193" s="1284"/>
      <c r="S193" s="1284"/>
      <c r="T193" s="1333"/>
      <c r="U193" s="1333"/>
      <c r="V193" s="1333"/>
      <c r="W193" s="1333"/>
      <c r="X193" s="1333"/>
      <c r="Y193" s="1333"/>
      <c r="Z193" s="1333"/>
      <c r="AA193" s="1333"/>
      <c r="AB193" s="1333"/>
      <c r="AC193" s="1333"/>
      <c r="AD193" s="1333"/>
      <c r="AE193" s="1333"/>
      <c r="AF193" s="1333"/>
      <c r="AG193" s="1333"/>
      <c r="AH193" s="1333"/>
      <c r="AI193" s="1333"/>
      <c r="AJ193" s="1333"/>
    </row>
    <row r="194" spans="1:36" x14ac:dyDescent="0.25">
      <c r="A194" s="1462"/>
      <c r="B194" s="125"/>
      <c r="C194" s="944"/>
      <c r="D194" s="411"/>
      <c r="E194" s="559" t="str">
        <f>IF('C-Design&amp;Const'!$I194="","",'C-Design&amp;Const'!$I194)</f>
        <v>N</v>
      </c>
      <c r="F194" s="478"/>
      <c r="G194" s="485"/>
      <c r="H194" s="238" t="str">
        <f>CONCATENATE(IF(E194="N","PLACEHOLDER ROW - ",""),IF(E194="N","",J194),'C-Design&amp;Const'!Z194,)</f>
        <v>PLACEHOLDER ROW - Results of flow testing (With Applicable Section)</v>
      </c>
      <c r="I194" s="136"/>
      <c r="J194" s="578" t="str">
        <f>IF('C-Design&amp;Const'!AE194="","",'C-Design&amp;Const'!AE194)</f>
        <v/>
      </c>
      <c r="K194" s="246" t="str">
        <f t="shared" si="15"/>
        <v/>
      </c>
      <c r="L194" s="1410" t="str">
        <f t="shared" si="15"/>
        <v>&lt;---PM/Planner may hide PLACEHOLDER ROW</v>
      </c>
      <c r="M194" s="1333"/>
      <c r="N194" s="1333"/>
      <c r="O194" s="1382"/>
      <c r="P194" s="1333"/>
      <c r="Q194" s="1453"/>
      <c r="R194" s="1284"/>
      <c r="S194" s="1284"/>
      <c r="T194" s="1333"/>
      <c r="U194" s="1333"/>
      <c r="V194" s="1333"/>
      <c r="W194" s="1333"/>
      <c r="X194" s="1333"/>
      <c r="Y194" s="1333"/>
      <c r="Z194" s="1333"/>
      <c r="AA194" s="1333"/>
      <c r="AB194" s="1333"/>
      <c r="AC194" s="1333"/>
      <c r="AD194" s="1333"/>
      <c r="AE194" s="1333"/>
      <c r="AF194" s="1333"/>
      <c r="AG194" s="1333"/>
      <c r="AH194" s="1333"/>
      <c r="AI194" s="1333"/>
      <c r="AJ194" s="1333"/>
    </row>
    <row r="195" spans="1:36" ht="28.5" x14ac:dyDescent="0.25">
      <c r="A195" s="1462"/>
      <c r="B195" s="125"/>
      <c r="C195" s="944"/>
      <c r="D195" s="411"/>
      <c r="E195" s="559" t="str">
        <f>IF('C-Design&amp;Const'!$I195="","",'C-Design&amp;Const'!$I195)</f>
        <v>N</v>
      </c>
      <c r="F195" s="478"/>
      <c r="G195" s="485"/>
      <c r="H195" s="238" t="str">
        <f>CONCATENATE(IF(E195="N","PLACEHOLDER ROW - ",""),IF(E195="N","",J195),'C-Design&amp;Const'!Z195,)</f>
        <v>PLACEHOLDER ROW - Results of existing exterior envelope material tests or strengths (With Applicable section)</v>
      </c>
      <c r="I195" s="136"/>
      <c r="J195" s="578" t="str">
        <f>IF('C-Design&amp;Const'!AE195="","",'C-Design&amp;Const'!AE195)</f>
        <v/>
      </c>
      <c r="K195" s="246" t="str">
        <f t="shared" si="15"/>
        <v/>
      </c>
      <c r="L195" s="1410" t="str">
        <f t="shared" si="15"/>
        <v>&lt;---PM/Planner may hide PLACEHOLDER ROW</v>
      </c>
      <c r="M195" s="1333"/>
      <c r="N195" s="1333"/>
      <c r="O195" s="1382"/>
      <c r="P195" s="1333"/>
      <c r="Q195" s="1453"/>
      <c r="R195" s="1284"/>
      <c r="S195" s="1284"/>
      <c r="T195" s="1333"/>
      <c r="U195" s="1333"/>
      <c r="V195" s="1333"/>
      <c r="W195" s="1333"/>
      <c r="X195" s="1333"/>
      <c r="Y195" s="1333"/>
      <c r="Z195" s="1333"/>
      <c r="AA195" s="1333"/>
      <c r="AB195" s="1333"/>
      <c r="AC195" s="1333"/>
      <c r="AD195" s="1333"/>
      <c r="AE195" s="1333"/>
      <c r="AF195" s="1333"/>
      <c r="AG195" s="1333"/>
      <c r="AH195" s="1333"/>
      <c r="AI195" s="1333"/>
      <c r="AJ195" s="1333"/>
    </row>
    <row r="196" spans="1:36" ht="28.5" x14ac:dyDescent="0.25">
      <c r="A196" s="1462"/>
      <c r="B196" s="125"/>
      <c r="C196" s="944"/>
      <c r="D196" s="411"/>
      <c r="E196" s="559" t="str">
        <f>IF('C-Design&amp;Const'!$I196="","",'C-Design&amp;Const'!$I196)</f>
        <v>N</v>
      </c>
      <c r="F196" s="478"/>
      <c r="G196" s="485"/>
      <c r="H196" s="238" t="str">
        <f>CONCATENATE(IF(E196="N","PLACEHOLDER ROW - ",""),IF(E196="N","",J196),'C-Design&amp;Const'!Z196,)</f>
        <v>PLACEHOLDER ROW - Results of any existing structural materials tests or verification / scans of structure layout. (With Applicable section)</v>
      </c>
      <c r="I196" s="136"/>
      <c r="J196" s="578" t="str">
        <f>IF('C-Design&amp;Const'!AE196="","",'C-Design&amp;Const'!AE196)</f>
        <v/>
      </c>
      <c r="K196" s="246" t="str">
        <f t="shared" si="15"/>
        <v/>
      </c>
      <c r="L196" s="1410" t="str">
        <f t="shared" si="15"/>
        <v>&lt;---PM/Planner may hide PLACEHOLDER ROW</v>
      </c>
      <c r="M196" s="1333"/>
      <c r="N196" s="1333"/>
      <c r="O196" s="1382"/>
      <c r="P196" s="1333"/>
      <c r="Q196" s="1453"/>
      <c r="R196" s="1284"/>
      <c r="S196" s="1284"/>
      <c r="T196" s="1333"/>
      <c r="U196" s="1333"/>
      <c r="V196" s="1333"/>
      <c r="W196" s="1333"/>
      <c r="X196" s="1333"/>
      <c r="Y196" s="1333"/>
      <c r="Z196" s="1333"/>
      <c r="AA196" s="1333"/>
      <c r="AB196" s="1333"/>
      <c r="AC196" s="1333"/>
      <c r="AD196" s="1333"/>
      <c r="AE196" s="1333"/>
      <c r="AF196" s="1333"/>
      <c r="AG196" s="1333"/>
      <c r="AH196" s="1333"/>
      <c r="AI196" s="1333"/>
      <c r="AJ196" s="1333"/>
    </row>
    <row r="197" spans="1:36" hidden="1" x14ac:dyDescent="0.25">
      <c r="A197" s="1462"/>
      <c r="B197" s="125"/>
      <c r="C197" s="944"/>
      <c r="D197" s="411"/>
      <c r="E197" s="559" t="str">
        <f>IF('C-Design&amp;Const'!$I197="","",'C-Design&amp;Const'!$I197)</f>
        <v>N</v>
      </c>
      <c r="F197" s="478"/>
      <c r="G197" s="485"/>
      <c r="H197" s="238" t="str">
        <f>CONCATENATE(IF(E197="N","PLACEHOLDER ROW - ",""),IF(E197="N","",J197),'C-Design&amp;Const'!Z197,)</f>
        <v>PLACEHOLDER ROW - CUSTOM ROW - OPTIONAL CLIENT ITEM</v>
      </c>
      <c r="I197" s="136"/>
      <c r="J197" s="578" t="str">
        <f>IF('C-Design&amp;Const'!AE197="","",'C-Design&amp;Const'!AE197)</f>
        <v/>
      </c>
      <c r="K197" s="246" t="str">
        <f t="shared" si="15"/>
        <v/>
      </c>
      <c r="L197" s="1410" t="str">
        <f t="shared" si="15"/>
        <v>&lt;---PM/Planner may hide PLACEHOLDER ROW</v>
      </c>
      <c r="M197" s="1333"/>
      <c r="N197" s="1333"/>
      <c r="O197" s="1382"/>
      <c r="P197" s="1333"/>
      <c r="Q197" s="1453"/>
      <c r="R197" s="1284"/>
      <c r="S197" s="1284"/>
      <c r="T197" s="1333"/>
      <c r="U197" s="1333"/>
      <c r="V197" s="1333"/>
      <c r="W197" s="1333"/>
      <c r="X197" s="1333"/>
      <c r="Y197" s="1333"/>
      <c r="Z197" s="1333"/>
      <c r="AA197" s="1333"/>
      <c r="AB197" s="1333"/>
      <c r="AC197" s="1333"/>
      <c r="AD197" s="1333"/>
      <c r="AE197" s="1333"/>
      <c r="AF197" s="1333"/>
      <c r="AG197" s="1333"/>
      <c r="AH197" s="1333"/>
      <c r="AI197" s="1333"/>
      <c r="AJ197" s="1333"/>
    </row>
    <row r="198" spans="1:36" hidden="1" x14ac:dyDescent="0.25">
      <c r="A198" s="1462"/>
      <c r="B198" s="125"/>
      <c r="C198" s="944"/>
      <c r="D198" s="411"/>
      <c r="E198" s="559" t="str">
        <f>IF('C-Design&amp;Const'!$I198="","",'C-Design&amp;Const'!$I198)</f>
        <v>N</v>
      </c>
      <c r="F198" s="478"/>
      <c r="G198" s="485"/>
      <c r="H198" s="238" t="str">
        <f>CONCATENATE(IF(E198="N","PLACEHOLDER ROW - ",""),IF(E198="N","",J198),'C-Design&amp;Const'!Z198,)</f>
        <v>PLACEHOLDER ROW - CUSTOM ROW - OPTIONAL CLIENT ITEM</v>
      </c>
      <c r="I198" s="136"/>
      <c r="J198" s="578" t="str">
        <f>IF('C-Design&amp;Const'!AE198="","",'C-Design&amp;Const'!AE198)</f>
        <v/>
      </c>
      <c r="K198" s="246" t="str">
        <f t="shared" si="15"/>
        <v/>
      </c>
      <c r="L198" s="1410" t="str">
        <f t="shared" si="15"/>
        <v>&lt;---PM/Planner may hide PLACEHOLDER ROW</v>
      </c>
      <c r="M198" s="1333"/>
      <c r="N198" s="1333"/>
      <c r="O198" s="1382"/>
      <c r="P198" s="1333"/>
      <c r="Q198" s="1453"/>
      <c r="R198" s="1284"/>
      <c r="S198" s="1284"/>
      <c r="T198" s="1333"/>
      <c r="U198" s="1333"/>
      <c r="V198" s="1333"/>
      <c r="W198" s="1333"/>
      <c r="X198" s="1333"/>
      <c r="Y198" s="1333"/>
      <c r="Z198" s="1333"/>
      <c r="AA198" s="1333"/>
      <c r="AB198" s="1333"/>
      <c r="AC198" s="1333"/>
      <c r="AD198" s="1333"/>
      <c r="AE198" s="1333"/>
      <c r="AF198" s="1333"/>
      <c r="AG198" s="1333"/>
      <c r="AH198" s="1333"/>
      <c r="AI198" s="1333"/>
      <c r="AJ198" s="1333"/>
    </row>
    <row r="199" spans="1:36" hidden="1" x14ac:dyDescent="0.25">
      <c r="A199" s="1462"/>
      <c r="B199" s="125"/>
      <c r="C199" s="944"/>
      <c r="D199" s="411"/>
      <c r="E199" s="559" t="str">
        <f>IF('C-Design&amp;Const'!$I199="","",'C-Design&amp;Const'!$I199)</f>
        <v>N</v>
      </c>
      <c r="F199" s="478"/>
      <c r="G199" s="485"/>
      <c r="H199" s="238" t="str">
        <f>CONCATENATE(IF(E199="N","PLACEHOLDER ROW - ",""),IF(E199="N","",J199),'C-Design&amp;Const'!Z199,)</f>
        <v>PLACEHOLDER ROW - CUSTOM ROW - OPTIONAL CLIENT ITEM</v>
      </c>
      <c r="I199" s="136"/>
      <c r="J199" s="578" t="str">
        <f>IF('C-Design&amp;Const'!AE199="","",'C-Design&amp;Const'!AE199)</f>
        <v/>
      </c>
      <c r="K199" s="246" t="str">
        <f t="shared" si="15"/>
        <v/>
      </c>
      <c r="L199" s="1410" t="str">
        <f t="shared" si="15"/>
        <v>&lt;---PM/Planner may hide PLACEHOLDER ROW</v>
      </c>
      <c r="M199" s="1333"/>
      <c r="N199" s="1333"/>
      <c r="O199" s="1382"/>
      <c r="P199" s="1333"/>
      <c r="Q199" s="1453"/>
      <c r="R199" s="1284"/>
      <c r="S199" s="1284"/>
      <c r="T199" s="1333"/>
      <c r="U199" s="1333"/>
      <c r="V199" s="1333"/>
      <c r="W199" s="1333"/>
      <c r="X199" s="1333"/>
      <c r="Y199" s="1333"/>
      <c r="Z199" s="1333"/>
      <c r="AA199" s="1333"/>
      <c r="AB199" s="1333"/>
      <c r="AC199" s="1333"/>
      <c r="AD199" s="1333"/>
      <c r="AE199" s="1333"/>
      <c r="AF199" s="1333"/>
      <c r="AG199" s="1333"/>
      <c r="AH199" s="1333"/>
      <c r="AI199" s="1333"/>
      <c r="AJ199" s="1333"/>
    </row>
    <row r="200" spans="1:36" hidden="1" x14ac:dyDescent="0.25">
      <c r="A200" s="1462"/>
      <c r="B200" s="125"/>
      <c r="C200" s="944"/>
      <c r="D200" s="411"/>
      <c r="E200" s="559" t="str">
        <f>IF('C-Design&amp;Const'!$I200="","",'C-Design&amp;Const'!$I200)</f>
        <v>N</v>
      </c>
      <c r="F200" s="478"/>
      <c r="G200" s="485"/>
      <c r="H200" s="238" t="str">
        <f>CONCATENATE(IF(E200="N","PLACEHOLDER ROW - ",""),IF(E200="N","",J200),'C-Design&amp;Const'!Z200,)</f>
        <v>PLACEHOLDER ROW - CUSTOM ROW - OPTIONAL CLIENT ITEM</v>
      </c>
      <c r="I200" s="136"/>
      <c r="J200" s="578" t="str">
        <f>IF('C-Design&amp;Const'!AE200="","",'C-Design&amp;Const'!AE200)</f>
        <v/>
      </c>
      <c r="K200" s="246" t="str">
        <f t="shared" si="15"/>
        <v/>
      </c>
      <c r="L200" s="1410" t="str">
        <f t="shared" si="15"/>
        <v>&lt;---PM/Planner may hide PLACEHOLDER ROW</v>
      </c>
      <c r="M200" s="1333"/>
      <c r="N200" s="1333"/>
      <c r="O200" s="1382"/>
      <c r="P200" s="1333"/>
      <c r="Q200" s="1453"/>
      <c r="R200" s="1284"/>
      <c r="S200" s="1284"/>
      <c r="T200" s="1333"/>
      <c r="U200" s="1333"/>
      <c r="V200" s="1333"/>
      <c r="W200" s="1333"/>
      <c r="X200" s="1333"/>
      <c r="Y200" s="1333"/>
      <c r="Z200" s="1333"/>
      <c r="AA200" s="1333"/>
      <c r="AB200" s="1333"/>
      <c r="AC200" s="1333"/>
      <c r="AD200" s="1333"/>
      <c r="AE200" s="1333"/>
      <c r="AF200" s="1333"/>
      <c r="AG200" s="1333"/>
      <c r="AH200" s="1333"/>
      <c r="AI200" s="1333"/>
      <c r="AJ200" s="1333"/>
    </row>
    <row r="201" spans="1:36" hidden="1" x14ac:dyDescent="0.25">
      <c r="A201" s="1462"/>
      <c r="B201" s="125"/>
      <c r="C201" s="944"/>
      <c r="D201" s="411"/>
      <c r="E201" s="559" t="str">
        <f>IF('C-Design&amp;Const'!$I201="","",'C-Design&amp;Const'!$I201)</f>
        <v>N</v>
      </c>
      <c r="F201" s="478"/>
      <c r="G201" s="485"/>
      <c r="H201" s="238" t="str">
        <f>CONCATENATE(IF(E201="N","PLACEHOLDER ROW - ",""),IF(E201="N","",J201),'C-Design&amp;Const'!Z201,)</f>
        <v>PLACEHOLDER ROW - CUSTOM ROW - OPTIONAL CLIENT ITEM</v>
      </c>
      <c r="I201" s="136"/>
      <c r="J201" s="578" t="str">
        <f>IF('C-Design&amp;Const'!AE201="","",'C-Design&amp;Const'!AE201)</f>
        <v/>
      </c>
      <c r="K201" s="246" t="str">
        <f t="shared" si="15"/>
        <v/>
      </c>
      <c r="L201" s="1410" t="str">
        <f t="shared" si="15"/>
        <v>&lt;---PM/Planner may hide PLACEHOLDER ROW</v>
      </c>
      <c r="M201" s="1333"/>
      <c r="N201" s="1333"/>
      <c r="O201" s="1382"/>
      <c r="P201" s="1333"/>
      <c r="Q201" s="1453"/>
      <c r="R201" s="1284"/>
      <c r="S201" s="1284"/>
      <c r="T201" s="1333"/>
      <c r="U201" s="1333"/>
      <c r="V201" s="1333"/>
      <c r="W201" s="1333"/>
      <c r="X201" s="1333"/>
      <c r="Y201" s="1333"/>
      <c r="Z201" s="1333"/>
      <c r="AA201" s="1333"/>
      <c r="AB201" s="1333"/>
      <c r="AC201" s="1333"/>
      <c r="AD201" s="1333"/>
      <c r="AE201" s="1333"/>
      <c r="AF201" s="1333"/>
      <c r="AG201" s="1333"/>
      <c r="AH201" s="1333"/>
      <c r="AI201" s="1333"/>
      <c r="AJ201" s="1333"/>
    </row>
    <row r="202" spans="1:36" hidden="1" x14ac:dyDescent="0.25">
      <c r="A202" s="1462"/>
      <c r="B202" s="125"/>
      <c r="C202" s="944"/>
      <c r="D202" s="411"/>
      <c r="E202" s="559" t="str">
        <f>IF('C-Design&amp;Const'!$I202="","",'C-Design&amp;Const'!$I202)</f>
        <v>N</v>
      </c>
      <c r="F202" s="478"/>
      <c r="G202" s="485"/>
      <c r="H202" s="238" t="str">
        <f>CONCATENATE(IF(E202="N","PLACEHOLDER ROW - ",""),IF(E202="N","",J202),'C-Design&amp;Const'!Z202,)</f>
        <v>PLACEHOLDER ROW - CUSTOM ROW - OPTIONAL CLIENT ITEM</v>
      </c>
      <c r="I202" s="136"/>
      <c r="J202" s="578" t="str">
        <f>IF('C-Design&amp;Const'!AE202="","",'C-Design&amp;Const'!AE202)</f>
        <v/>
      </c>
      <c r="K202" s="246" t="str">
        <f t="shared" si="15"/>
        <v/>
      </c>
      <c r="L202" s="1410" t="str">
        <f t="shared" si="15"/>
        <v>&lt;---PM/Planner may hide PLACEHOLDER ROW</v>
      </c>
      <c r="M202" s="1333"/>
      <c r="N202" s="1333"/>
      <c r="O202" s="1382"/>
      <c r="P202" s="1333"/>
      <c r="Q202" s="1453"/>
      <c r="R202" s="1284"/>
      <c r="S202" s="1284"/>
      <c r="T202" s="1333"/>
      <c r="U202" s="1333"/>
      <c r="V202" s="1333"/>
      <c r="W202" s="1333"/>
      <c r="X202" s="1333"/>
      <c r="Y202" s="1333"/>
      <c r="Z202" s="1333"/>
      <c r="AA202" s="1333"/>
      <c r="AB202" s="1333"/>
      <c r="AC202" s="1333"/>
      <c r="AD202" s="1333"/>
      <c r="AE202" s="1333"/>
      <c r="AF202" s="1333"/>
      <c r="AG202" s="1333"/>
      <c r="AH202" s="1333"/>
      <c r="AI202" s="1333"/>
      <c r="AJ202" s="1333"/>
    </row>
    <row r="203" spans="1:36" hidden="1" x14ac:dyDescent="0.25">
      <c r="A203" s="1462"/>
      <c r="B203" s="125"/>
      <c r="C203" s="944"/>
      <c r="D203" s="411"/>
      <c r="E203" s="559" t="str">
        <f>IF('C-Design&amp;Const'!$I203="","",'C-Design&amp;Const'!$I203)</f>
        <v>N</v>
      </c>
      <c r="F203" s="478"/>
      <c r="G203" s="485"/>
      <c r="H203" s="238" t="str">
        <f>CONCATENATE(IF(E203="N","PLACEHOLDER ROW - ",""),IF(E203="N","",J203),'C-Design&amp;Const'!Z203,)</f>
        <v>PLACEHOLDER ROW - CUSTOM ROW - OPTIONAL CLIENT ITEM</v>
      </c>
      <c r="I203" s="136"/>
      <c r="J203" s="578" t="str">
        <f>IF('C-Design&amp;Const'!AE203="","",'C-Design&amp;Const'!AE203)</f>
        <v/>
      </c>
      <c r="K203" s="246" t="str">
        <f t="shared" si="15"/>
        <v/>
      </c>
      <c r="L203" s="1410" t="str">
        <f t="shared" si="15"/>
        <v>&lt;---PM/Planner may hide PLACEHOLDER ROW</v>
      </c>
      <c r="M203" s="1333"/>
      <c r="N203" s="1333"/>
      <c r="O203" s="1382"/>
      <c r="P203" s="1333"/>
      <c r="Q203" s="1453"/>
      <c r="R203" s="1284"/>
      <c r="S203" s="1284"/>
      <c r="T203" s="1333"/>
      <c r="U203" s="1333"/>
      <c r="V203" s="1333"/>
      <c r="W203" s="1333"/>
      <c r="X203" s="1333"/>
      <c r="Y203" s="1333"/>
      <c r="Z203" s="1333"/>
      <c r="AA203" s="1333"/>
      <c r="AB203" s="1333"/>
      <c r="AC203" s="1333"/>
      <c r="AD203" s="1333"/>
      <c r="AE203" s="1333"/>
      <c r="AF203" s="1333"/>
      <c r="AG203" s="1333"/>
      <c r="AH203" s="1333"/>
      <c r="AI203" s="1333"/>
      <c r="AJ203" s="1333"/>
    </row>
    <row r="204" spans="1:36" hidden="1" x14ac:dyDescent="0.25">
      <c r="A204" s="1462"/>
      <c r="B204" s="125"/>
      <c r="C204" s="944"/>
      <c r="D204" s="411"/>
      <c r="E204" s="559" t="str">
        <f>IF('C-Design&amp;Const'!$I204="","",'C-Design&amp;Const'!$I204)</f>
        <v>N</v>
      </c>
      <c r="F204" s="478"/>
      <c r="G204" s="485"/>
      <c r="H204" s="238" t="str">
        <f>CONCATENATE(IF(E204="N","PLACEHOLDER ROW - ",""),IF(E204="N","",J204),'C-Design&amp;Const'!Z204,)</f>
        <v>PLACEHOLDER ROW - CUSTOM ROW - OPTIONAL CLIENT ITEM</v>
      </c>
      <c r="I204" s="136"/>
      <c r="J204" s="578" t="str">
        <f>IF('C-Design&amp;Const'!AE204="","",'C-Design&amp;Const'!AE204)</f>
        <v/>
      </c>
      <c r="K204" s="246" t="str">
        <f t="shared" si="15"/>
        <v/>
      </c>
      <c r="L204" s="1410" t="str">
        <f t="shared" si="15"/>
        <v>&lt;---PM/Planner may hide PLACEHOLDER ROW</v>
      </c>
      <c r="M204" s="1333"/>
      <c r="N204" s="1333"/>
      <c r="O204" s="1382"/>
      <c r="P204" s="1333"/>
      <c r="Q204" s="1453"/>
      <c r="R204" s="1284"/>
      <c r="S204" s="1284"/>
      <c r="T204" s="1333"/>
      <c r="U204" s="1333"/>
      <c r="V204" s="1333"/>
      <c r="W204" s="1333"/>
      <c r="X204" s="1333"/>
      <c r="Y204" s="1333"/>
      <c r="Z204" s="1333"/>
      <c r="AA204" s="1333"/>
      <c r="AB204" s="1333"/>
      <c r="AC204" s="1333"/>
      <c r="AD204" s="1333"/>
      <c r="AE204" s="1333"/>
      <c r="AF204" s="1333"/>
      <c r="AG204" s="1333"/>
      <c r="AH204" s="1333"/>
      <c r="AI204" s="1333"/>
      <c r="AJ204" s="1333"/>
    </row>
    <row r="205" spans="1:36" ht="15.75" x14ac:dyDescent="0.25">
      <c r="A205" s="1462"/>
      <c r="B205" s="125"/>
      <c r="C205" s="944"/>
      <c r="D205" s="488"/>
      <c r="E205" s="411"/>
      <c r="F205" s="321"/>
      <c r="G205" s="294"/>
      <c r="H205" s="296"/>
      <c r="I205" s="130"/>
      <c r="J205" s="578" t="str">
        <f>IF('C-Design&amp;Const'!AE205="","",'C-Design&amp;Const'!AE205)</f>
        <v/>
      </c>
      <c r="K205" s="246" t="str">
        <f t="shared" si="15"/>
        <v/>
      </c>
      <c r="L205" s="1410" t="str">
        <f t="shared" si="15"/>
        <v/>
      </c>
      <c r="M205" s="1333"/>
      <c r="N205" s="1333"/>
      <c r="O205" s="1382"/>
      <c r="P205" s="1333"/>
      <c r="Q205" s="1456"/>
      <c r="R205" s="1284"/>
      <c r="S205" s="1284"/>
      <c r="T205" s="1333"/>
      <c r="U205" s="1333"/>
      <c r="V205" s="1333"/>
      <c r="W205" s="1333"/>
      <c r="X205" s="1333"/>
      <c r="Y205" s="1333"/>
      <c r="Z205" s="1333"/>
      <c r="AA205" s="1333"/>
      <c r="AB205" s="1333"/>
      <c r="AC205" s="1333"/>
      <c r="AD205" s="1333"/>
      <c r="AE205" s="1333"/>
      <c r="AF205" s="1333"/>
      <c r="AG205" s="1333"/>
      <c r="AH205" s="1333"/>
      <c r="AI205" s="1333"/>
      <c r="AJ205" s="1333"/>
    </row>
    <row r="206" spans="1:36" ht="18.75" x14ac:dyDescent="0.25">
      <c r="A206" s="1462" t="str">
        <f>'C-Design&amp;Const'!J206</f>
        <v>Y</v>
      </c>
      <c r="B206" s="125"/>
      <c r="C206" s="944"/>
      <c r="D206" s="359" t="str">
        <f>IF('C-Design&amp;Const'!$I206="","",'C-Design&amp;Const'!$I206)</f>
        <v>Y</v>
      </c>
      <c r="E206" s="234"/>
      <c r="F206" s="444"/>
      <c r="G206" s="173" t="str">
        <f>IF('C-Design&amp;Const'!Y206="","",'C-Design&amp;Const'!Y206)</f>
        <v>07a.</v>
      </c>
      <c r="H206" s="115" t="str">
        <f>(CONCATENATE('C-Design&amp;Const'!Z206,IF(D206="N"," Not Used In This Design Phase",J206)))</f>
        <v>Drawing Set</v>
      </c>
      <c r="I206" s="133"/>
      <c r="J206" s="578" t="str">
        <f>IF('C-Design&amp;Const'!AE206="","",'C-Design&amp;Const'!AE206)</f>
        <v/>
      </c>
      <c r="K206" s="246" t="str">
        <f t="shared" si="15"/>
        <v/>
      </c>
      <c r="L206" s="1410" t="str">
        <f t="shared" si="15"/>
        <v/>
      </c>
      <c r="M206" s="1333"/>
      <c r="N206" s="1333"/>
      <c r="O206" s="1382"/>
      <c r="P206" s="1333"/>
      <c r="Q206" s="1444"/>
      <c r="R206" s="1445"/>
      <c r="S206" s="1284"/>
      <c r="T206" s="1333"/>
      <c r="U206" s="1333"/>
      <c r="V206" s="1333"/>
      <c r="W206" s="1333"/>
      <c r="X206" s="1333"/>
      <c r="Y206" s="1333"/>
      <c r="Z206" s="1333"/>
      <c r="AA206" s="1333"/>
      <c r="AB206" s="1333"/>
      <c r="AC206" s="1333"/>
      <c r="AD206" s="1333"/>
      <c r="AE206" s="1333"/>
      <c r="AF206" s="1333"/>
      <c r="AG206" s="1333"/>
      <c r="AH206" s="1333"/>
      <c r="AI206" s="1333"/>
      <c r="AJ206" s="1333"/>
    </row>
    <row r="207" spans="1:36" x14ac:dyDescent="0.25">
      <c r="A207" s="1462"/>
      <c r="B207" s="125"/>
      <c r="C207" s="944"/>
      <c r="D207" s="411"/>
      <c r="E207" s="473"/>
      <c r="F207" s="489" t="str">
        <f>IF('C-Design&amp;Const'!$I207="","",'C-Design&amp;Const'!$I207)</f>
        <v>Y</v>
      </c>
      <c r="G207" s="485"/>
      <c r="H207" s="469" t="str">
        <f>CONCATENATE(IF(F207="N","PLACEHOLDER ROW - ",""),'C-Design&amp;Const'!Z207,IF(F207="N","",J207))</f>
        <v>Title Sheet (Preliminary)</v>
      </c>
      <c r="I207" s="136"/>
      <c r="J207" s="578" t="str">
        <f>IF('C-Design&amp;Const'!AE207="","",'C-Design&amp;Const'!AE207)</f>
        <v>(Preliminary)</v>
      </c>
      <c r="K207" s="246" t="str">
        <f t="shared" si="15"/>
        <v/>
      </c>
      <c r="L207" s="1410" t="str">
        <f t="shared" si="15"/>
        <v/>
      </c>
      <c r="M207" s="1333"/>
      <c r="N207" s="1333"/>
      <c r="O207" s="1382"/>
      <c r="P207" s="1333"/>
      <c r="Q207" s="1453"/>
      <c r="R207" s="1284"/>
      <c r="S207" s="1284"/>
      <c r="T207" s="1333"/>
      <c r="U207" s="1333"/>
      <c r="V207" s="1333"/>
      <c r="W207" s="1333"/>
      <c r="X207" s="1333"/>
      <c r="Y207" s="1333"/>
      <c r="Z207" s="1333"/>
      <c r="AA207" s="1333"/>
      <c r="AB207" s="1333"/>
      <c r="AC207" s="1333"/>
      <c r="AD207" s="1333"/>
      <c r="AE207" s="1333"/>
      <c r="AF207" s="1333"/>
      <c r="AG207" s="1333"/>
      <c r="AH207" s="1333"/>
      <c r="AI207" s="1333"/>
      <c r="AJ207" s="1333"/>
    </row>
    <row r="208" spans="1:36" x14ac:dyDescent="0.25">
      <c r="A208" s="1462"/>
      <c r="B208" s="125"/>
      <c r="C208" s="944"/>
      <c r="D208" s="411"/>
      <c r="E208" s="466"/>
      <c r="F208" s="559" t="str">
        <f>IF('C-Design&amp;Const'!$I208="","",'C-Design&amp;Const'!$I208)</f>
        <v>N</v>
      </c>
      <c r="G208" s="485"/>
      <c r="H208" s="469" t="str">
        <f>CONCATENATE(IF(F208="N","PLACEHOLDER ROW - ",""),'C-Design&amp;Const'!Z208,IF(F208="N","",J208))</f>
        <v xml:space="preserve">PLACEHOLDER ROW - Code Compliance </v>
      </c>
      <c r="I208" s="136"/>
      <c r="J208" s="578" t="str">
        <f>IF('C-Design&amp;Const'!AE208="","",'C-Design&amp;Const'!AE208)</f>
        <v>(Preliminary)</v>
      </c>
      <c r="K208" s="246" t="str">
        <f t="shared" si="15"/>
        <v/>
      </c>
      <c r="L208" s="1410" t="str">
        <f t="shared" si="15"/>
        <v>&lt;---PM/Planner may hide PLACEHOLDER ROW</v>
      </c>
      <c r="M208" s="1333"/>
      <c r="N208" s="1333"/>
      <c r="O208" s="1382"/>
      <c r="P208" s="1333"/>
      <c r="Q208" s="1453"/>
      <c r="R208" s="1284"/>
      <c r="S208" s="1284"/>
      <c r="T208" s="1333"/>
      <c r="U208" s="1333"/>
      <c r="V208" s="1333"/>
      <c r="W208" s="1333"/>
      <c r="X208" s="1333"/>
      <c r="Y208" s="1333"/>
      <c r="Z208" s="1333"/>
      <c r="AA208" s="1333"/>
      <c r="AB208" s="1333"/>
      <c r="AC208" s="1333"/>
      <c r="AD208" s="1333"/>
      <c r="AE208" s="1333"/>
      <c r="AF208" s="1333"/>
      <c r="AG208" s="1333"/>
      <c r="AH208" s="1333"/>
      <c r="AI208" s="1333"/>
      <c r="AJ208" s="1333"/>
    </row>
    <row r="209" spans="1:48" x14ac:dyDescent="0.25">
      <c r="A209" s="1462"/>
      <c r="B209" s="125"/>
      <c r="C209" s="944"/>
      <c r="D209" s="411"/>
      <c r="E209" s="466"/>
      <c r="F209" s="559" t="str">
        <f>IF('C-Design&amp;Const'!$I209="","",'C-Design&amp;Const'!$I209)</f>
        <v>Y</v>
      </c>
      <c r="G209" s="485"/>
      <c r="H209" s="469" t="str">
        <f>CONCATENATE(IF(F209="N","PLACEHOLDER ROW - ",""),'C-Design&amp;Const'!Z209,IF(F209="N","",J209))</f>
        <v>Life Safety (Preliminary)</v>
      </c>
      <c r="I209" s="136"/>
      <c r="J209" s="578" t="str">
        <f>IF('C-Design&amp;Const'!AE209="","",'C-Design&amp;Const'!AE209)</f>
        <v>(Preliminary)</v>
      </c>
      <c r="K209" s="246" t="str">
        <f t="shared" si="15"/>
        <v/>
      </c>
      <c r="L209" s="1410" t="str">
        <f t="shared" si="15"/>
        <v/>
      </c>
      <c r="M209" s="1333"/>
      <c r="N209" s="1333"/>
      <c r="O209" s="1382"/>
      <c r="P209" s="1333"/>
      <c r="Q209" s="1453"/>
      <c r="R209" s="1284"/>
      <c r="S209" s="1284"/>
      <c r="T209" s="1333"/>
      <c r="U209" s="1333"/>
      <c r="V209" s="1333"/>
      <c r="W209" s="1333"/>
      <c r="X209" s="1333"/>
      <c r="Y209" s="1333"/>
      <c r="Z209" s="1333"/>
      <c r="AA209" s="1333"/>
      <c r="AB209" s="1333"/>
      <c r="AC209" s="1333"/>
      <c r="AD209" s="1333"/>
      <c r="AE209" s="1333"/>
      <c r="AF209" s="1333"/>
      <c r="AG209" s="1333"/>
      <c r="AH209" s="1333"/>
      <c r="AI209" s="1333"/>
      <c r="AJ209" s="1333"/>
    </row>
    <row r="210" spans="1:48" x14ac:dyDescent="0.25">
      <c r="A210" s="1462"/>
      <c r="B210" s="125"/>
      <c r="C210" s="944"/>
      <c r="D210" s="411"/>
      <c r="E210" s="466"/>
      <c r="F210" s="559" t="str">
        <f>IF('C-Design&amp;Const'!$I210="","",'C-Design&amp;Const'!$I210)</f>
        <v>N</v>
      </c>
      <c r="G210" s="485"/>
      <c r="H210" s="469" t="str">
        <f>CONCATENATE(IF(F210="N","PLACEHOLDER ROW - ",""),'C-Design&amp;Const'!Z210,IF(F210="N","",J210))</f>
        <v xml:space="preserve">PLACEHOLDER ROW - General Project Info </v>
      </c>
      <c r="I210" s="136"/>
      <c r="J210" s="578" t="str">
        <f>IF('C-Design&amp;Const'!AE210="","",'C-Design&amp;Const'!AE210)</f>
        <v>(Preliminary)</v>
      </c>
      <c r="K210" s="246" t="str">
        <f t="shared" si="15"/>
        <v/>
      </c>
      <c r="L210" s="1410" t="str">
        <f t="shared" si="15"/>
        <v>&lt;---PM/Planner may hide PLACEHOLDER ROW</v>
      </c>
      <c r="M210" s="1333"/>
      <c r="N210" s="1333"/>
      <c r="O210" s="1382"/>
      <c r="P210" s="1333"/>
      <c r="Q210" s="1453"/>
      <c r="R210" s="1284"/>
      <c r="S210" s="1284"/>
      <c r="T210" s="1333"/>
      <c r="U210" s="1333"/>
      <c r="V210" s="1333"/>
      <c r="W210" s="1333"/>
      <c r="X210" s="1333"/>
      <c r="Y210" s="1333"/>
      <c r="Z210" s="1333"/>
      <c r="AA210" s="1333"/>
      <c r="AB210" s="1333"/>
      <c r="AC210" s="1333"/>
      <c r="AD210" s="1333"/>
      <c r="AE210" s="1333"/>
      <c r="AF210" s="1333"/>
      <c r="AG210" s="1333"/>
      <c r="AH210" s="1333"/>
      <c r="AI210" s="1333"/>
      <c r="AJ210" s="1333"/>
    </row>
    <row r="211" spans="1:48" s="545" customFormat="1" ht="15" customHeight="1" x14ac:dyDescent="0.25">
      <c r="A211" s="1462"/>
      <c r="B211" s="554"/>
      <c r="C211" s="944"/>
      <c r="D211" s="463"/>
      <c r="E211" s="359" t="str">
        <f>IF('C-Design&amp;Const'!$I211="","",'C-Design&amp;Const'!$I211)</f>
        <v>Y</v>
      </c>
      <c r="F211" s="490"/>
      <c r="G211" s="291"/>
      <c r="H211" s="244" t="str">
        <f>CONCATENATE(IF(F211="N","PLACEHOLDER ROW - ",""),'C-Design&amp;Const'!Z211,IF(F211="N","",J211))</f>
        <v>Asbestos, Lead Based Paint, &amp; Hazardous Materials Drawings</v>
      </c>
      <c r="I211" s="552"/>
      <c r="J211" s="578" t="str">
        <f>IF('C-Design&amp;Const'!AE211="","",'C-Design&amp;Const'!AE211)</f>
        <v/>
      </c>
      <c r="K211" s="246" t="str">
        <f t="shared" ref="K211" si="16">CONCATENATE(IF(ISNUMBER(SEARCH("Placeholder",G211))=TRUE,"&lt;---PM/Planner may hide PLACEHOLDER ROW",""))</f>
        <v/>
      </c>
      <c r="L211" s="1410" t="str">
        <f t="shared" ref="L211" si="17">CONCATENATE(IF(ISNUMBER(SEARCH("Placeholder",H211))=TRUE,"&lt;---PM/Planner may hide PLACEHOLDER ROW",""))</f>
        <v/>
      </c>
      <c r="M211" s="1382"/>
      <c r="N211" s="1382"/>
      <c r="O211" s="1382"/>
      <c r="P211" s="1382"/>
      <c r="Q211" s="1382"/>
      <c r="R211" s="1382"/>
      <c r="S211" s="1382"/>
      <c r="T211" s="1382"/>
      <c r="U211" s="1382"/>
      <c r="V211" s="1382"/>
      <c r="W211" s="1382"/>
      <c r="X211" s="1382"/>
      <c r="Y211" s="1382"/>
      <c r="Z211" s="1382"/>
      <c r="AA211" s="1382"/>
      <c r="AB211" s="1382"/>
      <c r="AC211" s="1382"/>
      <c r="AD211" s="1382"/>
      <c r="AE211" s="1382"/>
      <c r="AF211" s="1382"/>
      <c r="AG211" s="1382"/>
      <c r="AH211" s="1382"/>
      <c r="AI211" s="1382"/>
      <c r="AJ211" s="1382"/>
      <c r="AK211" s="551"/>
      <c r="AL211" s="551"/>
      <c r="AM211" s="551"/>
      <c r="AN211" s="551"/>
      <c r="AO211" s="551"/>
      <c r="AP211" s="551"/>
      <c r="AQ211" s="551"/>
      <c r="AR211" s="551"/>
      <c r="AS211" s="551"/>
      <c r="AT211" s="551"/>
      <c r="AU211" s="551"/>
      <c r="AV211" s="551"/>
    </row>
    <row r="212" spans="1:48" s="542" customFormat="1" ht="15" customHeight="1" x14ac:dyDescent="0.25">
      <c r="A212" s="1462"/>
      <c r="B212" s="554"/>
      <c r="C212" s="1654"/>
      <c r="D212" s="411"/>
      <c r="E212" s="466"/>
      <c r="F212" s="559" t="str">
        <f>IF('C-Design&amp;Const'!$I212="","",'C-Design&amp;Const'!$I212)</f>
        <v>N</v>
      </c>
      <c r="G212" s="491"/>
      <c r="H212" s="469" t="str">
        <f>CONCATENATE(IF(F212="N","PLACEHOLDER ROW - ",""),'C-Design&amp;Const'!Z212,IF(F212="N","",J212))</f>
        <v>PLACEHOLDER ROW - CUSTOM - Asbestos</v>
      </c>
      <c r="I212" s="552"/>
      <c r="J212" s="578" t="str">
        <f>IF('C-Design&amp;Const'!AE212="","",'C-Design&amp;Const'!AE212)</f>
        <v>(Preliminary)</v>
      </c>
      <c r="K212" s="246" t="str">
        <f>CONCATENATE(IF(ISNUMBER(SEARCH("Placeholder",G212))=TRUE,"&lt;---PM/Planner may hide PLACEHOLDER ROW",""))</f>
        <v/>
      </c>
      <c r="L212" s="1410" t="str">
        <f>CONCATENATE(IF(ISNUMBER(SEARCH("Placeholder",H212))=TRUE,"&lt;---PM/Planner may hide PLACEHOLDER ROW",""))</f>
        <v>&lt;---PM/Planner may hide PLACEHOLDER ROW</v>
      </c>
      <c r="M212" s="1333"/>
      <c r="N212" s="1333"/>
      <c r="O212" s="1333"/>
      <c r="P212" s="1333"/>
      <c r="Q212" s="1333"/>
      <c r="R212" s="1333"/>
      <c r="S212" s="1333"/>
      <c r="T212" s="1333"/>
      <c r="U212" s="1333"/>
      <c r="V212" s="1333"/>
      <c r="W212" s="1333"/>
      <c r="X212" s="1333"/>
      <c r="Y212" s="1333"/>
      <c r="Z212" s="1333"/>
      <c r="AA212" s="1333"/>
      <c r="AB212" s="1333"/>
      <c r="AC212" s="1333"/>
      <c r="AD212" s="1333"/>
      <c r="AE212" s="1333"/>
      <c r="AF212" s="1333"/>
      <c r="AG212" s="1333"/>
      <c r="AH212" s="1333"/>
      <c r="AI212" s="1333"/>
      <c r="AJ212" s="1333"/>
      <c r="AK212" s="17"/>
      <c r="AL212" s="17"/>
      <c r="AM212" s="17"/>
      <c r="AN212" s="17"/>
      <c r="AO212" s="17"/>
      <c r="AP212" s="17"/>
      <c r="AQ212" s="17"/>
      <c r="AR212" s="17"/>
      <c r="AS212" s="17"/>
      <c r="AT212" s="17"/>
      <c r="AU212" s="17"/>
      <c r="AV212" s="17"/>
    </row>
    <row r="213" spans="1:48" s="542" customFormat="1" ht="15" customHeight="1" x14ac:dyDescent="0.25">
      <c r="A213" s="1462"/>
      <c r="B213" s="554"/>
      <c r="C213" s="1654"/>
      <c r="D213" s="411"/>
      <c r="E213" s="466"/>
      <c r="F213" s="559" t="str">
        <f>IF('C-Design&amp;Const'!$I213="","",'C-Design&amp;Const'!$I213)</f>
        <v>Y</v>
      </c>
      <c r="G213" s="491"/>
      <c r="H213" s="469" t="str">
        <f>CONCATENATE(IF(F213="N","PLACEHOLDER ROW - ",""),'C-Design&amp;Const'!Z213,IF(F213="N","",J213))</f>
        <v>Asbestos Removal, Remediation, Containment (Preliminary)</v>
      </c>
      <c r="I213" s="552"/>
      <c r="J213" s="578" t="str">
        <f>IF('C-Design&amp;Const'!AE213="","",'C-Design&amp;Const'!AE213)</f>
        <v>(Preliminary)</v>
      </c>
      <c r="K213" s="246" t="str">
        <f>CONCATENATE(IF(ISNUMBER(SEARCH("Placeholder",G213))=TRUE,"&lt;---PM/Planner may hide PLACEHOLDER ROW",""))</f>
        <v/>
      </c>
      <c r="L213" s="1410" t="str">
        <f>CONCATENATE(IF(ISNUMBER(SEARCH("Placeholder",H213))=TRUE,"&lt;---PM/Planner may hide PLACEHOLDER ROW",""))</f>
        <v/>
      </c>
      <c r="M213" s="1333"/>
      <c r="N213" s="1333"/>
      <c r="O213" s="1333"/>
      <c r="P213" s="1333"/>
      <c r="Q213" s="1333"/>
      <c r="R213" s="1333"/>
      <c r="S213" s="1333"/>
      <c r="T213" s="1333"/>
      <c r="U213" s="1333"/>
      <c r="V213" s="1333"/>
      <c r="W213" s="1333"/>
      <c r="X213" s="1333"/>
      <c r="Y213" s="1333"/>
      <c r="Z213" s="1333"/>
      <c r="AA213" s="1333"/>
      <c r="AB213" s="1333"/>
      <c r="AC213" s="1333"/>
      <c r="AD213" s="1333"/>
      <c r="AE213" s="1333"/>
      <c r="AF213" s="1333"/>
      <c r="AG213" s="1333"/>
      <c r="AH213" s="1333"/>
      <c r="AI213" s="1333"/>
      <c r="AJ213" s="1333"/>
      <c r="AK213" s="17"/>
      <c r="AL213" s="17"/>
      <c r="AM213" s="17"/>
      <c r="AN213" s="17"/>
      <c r="AO213" s="17"/>
      <c r="AP213" s="17"/>
      <c r="AQ213" s="17"/>
      <c r="AR213" s="17"/>
      <c r="AS213" s="17"/>
      <c r="AT213" s="17"/>
      <c r="AU213" s="17"/>
      <c r="AV213" s="17"/>
    </row>
    <row r="214" spans="1:48" s="542" customFormat="1" ht="15" customHeight="1" x14ac:dyDescent="0.25">
      <c r="A214" s="1462"/>
      <c r="B214" s="554"/>
      <c r="C214" s="1654"/>
      <c r="D214" s="411"/>
      <c r="E214" s="466"/>
      <c r="F214" s="559" t="str">
        <f>IF('C-Design&amp;Const'!$I214="","",'C-Design&amp;Const'!$I214)</f>
        <v>N</v>
      </c>
      <c r="G214" s="491"/>
      <c r="H214" s="469" t="str">
        <f>CONCATENATE(IF(F214="N","PLACEHOLDER ROW - ",""),'C-Design&amp;Const'!Z214,IF(F214="N","",J214))</f>
        <v>PLACEHOLDER ROW - CUSTOM - Lead Based Paint</v>
      </c>
      <c r="I214" s="552"/>
      <c r="J214" s="578" t="str">
        <f>IF('C-Design&amp;Const'!AE214="","",'C-Design&amp;Const'!AE214)</f>
        <v>(Approx. 50% Complete)</v>
      </c>
      <c r="K214" s="246" t="str">
        <f t="shared" ref="K214:K217" si="18">CONCATENATE(IF(ISNUMBER(SEARCH("Placeholder",G214))=TRUE,"&lt;---PM/Planner may hide PLACEHOLDER ROW",""))</f>
        <v/>
      </c>
      <c r="L214" s="1410" t="str">
        <f t="shared" ref="L214:L217" si="19">CONCATENATE(IF(ISNUMBER(SEARCH("Placeholder",H214))=TRUE,"&lt;---PM/Planner may hide PLACEHOLDER ROW",""))</f>
        <v>&lt;---PM/Planner may hide PLACEHOLDER ROW</v>
      </c>
      <c r="M214" s="1333"/>
      <c r="N214" s="1333"/>
      <c r="O214" s="1333"/>
      <c r="P214" s="1333"/>
      <c r="Q214" s="1333"/>
      <c r="R214" s="1333"/>
      <c r="S214" s="1333"/>
      <c r="T214" s="1333"/>
      <c r="U214" s="1333"/>
      <c r="V214" s="1333"/>
      <c r="W214" s="1333"/>
      <c r="X214" s="1333"/>
      <c r="Y214" s="1333"/>
      <c r="Z214" s="1333"/>
      <c r="AA214" s="1333"/>
      <c r="AB214" s="1333"/>
      <c r="AC214" s="1333"/>
      <c r="AD214" s="1333"/>
      <c r="AE214" s="1333"/>
      <c r="AF214" s="1333"/>
      <c r="AG214" s="1333"/>
      <c r="AH214" s="1333"/>
      <c r="AI214" s="1333"/>
      <c r="AJ214" s="1333"/>
      <c r="AK214" s="17"/>
      <c r="AL214" s="17"/>
      <c r="AM214" s="17"/>
      <c r="AN214" s="17"/>
      <c r="AO214" s="17"/>
      <c r="AP214" s="17"/>
      <c r="AQ214" s="17"/>
      <c r="AR214" s="17"/>
      <c r="AS214" s="17"/>
      <c r="AT214" s="17"/>
      <c r="AU214" s="17"/>
      <c r="AV214" s="17"/>
    </row>
    <row r="215" spans="1:48" s="545" customFormat="1" ht="15" customHeight="1" x14ac:dyDescent="0.25">
      <c r="A215" s="1462"/>
      <c r="B215" s="554"/>
      <c r="C215" s="944"/>
      <c r="D215" s="463"/>
      <c r="E215" s="467"/>
      <c r="F215" s="559" t="str">
        <f>IF('C-Design&amp;Const'!$I215="","",'C-Design&amp;Const'!$I215)</f>
        <v>Y</v>
      </c>
      <c r="G215" s="291"/>
      <c r="H215" s="469" t="str">
        <f>CONCATENATE(IF(F215="N","PLACEHOLDER ROW - ",""),'C-Design&amp;Const'!Z215,IF(F215="N","",J215))</f>
        <v>Lead Based Paint Removal, Remediation, Containment (Preliminary)</v>
      </c>
      <c r="I215" s="552"/>
      <c r="J215" s="578" t="str">
        <f>IF('C-Design&amp;Const'!AE215="","",'C-Design&amp;Const'!AE215)</f>
        <v>(Preliminary)</v>
      </c>
      <c r="K215" s="246" t="str">
        <f t="shared" si="18"/>
        <v/>
      </c>
      <c r="L215" s="1410" t="str">
        <f t="shared" si="19"/>
        <v/>
      </c>
      <c r="M215" s="1382"/>
      <c r="N215" s="1382"/>
      <c r="O215" s="1382"/>
      <c r="P215" s="1382"/>
      <c r="Q215" s="1382"/>
      <c r="R215" s="1382"/>
      <c r="S215" s="1382"/>
      <c r="T215" s="1382"/>
      <c r="U215" s="1382"/>
      <c r="V215" s="1382"/>
      <c r="W215" s="1382"/>
      <c r="X215" s="1382"/>
      <c r="Y215" s="1382"/>
      <c r="Z215" s="1382"/>
      <c r="AA215" s="1382"/>
      <c r="AB215" s="1382"/>
      <c r="AC215" s="1382"/>
      <c r="AD215" s="1382"/>
      <c r="AE215" s="1382"/>
      <c r="AF215" s="1382"/>
      <c r="AG215" s="1382"/>
      <c r="AH215" s="1382"/>
      <c r="AI215" s="1382"/>
      <c r="AJ215" s="1382"/>
      <c r="AK215" s="551"/>
      <c r="AL215" s="551"/>
      <c r="AM215" s="551"/>
      <c r="AN215" s="551"/>
      <c r="AO215" s="551"/>
      <c r="AP215" s="551"/>
      <c r="AQ215" s="551"/>
      <c r="AR215" s="551"/>
      <c r="AS215" s="551"/>
      <c r="AT215" s="551"/>
      <c r="AU215" s="551"/>
      <c r="AV215" s="551"/>
    </row>
    <row r="216" spans="1:48" s="542" customFormat="1" ht="15" customHeight="1" x14ac:dyDescent="0.25">
      <c r="A216" s="1462"/>
      <c r="B216" s="554"/>
      <c r="C216" s="1654"/>
      <c r="D216" s="411"/>
      <c r="E216" s="466"/>
      <c r="F216" s="559" t="str">
        <f>IF('C-Design&amp;Const'!$I216="","",'C-Design&amp;Const'!$I216)</f>
        <v>N</v>
      </c>
      <c r="G216" s="491"/>
      <c r="H216" s="469" t="str">
        <f>CONCATENATE(IF(F216="N","PLACEHOLDER ROW - ",""),'C-Design&amp;Const'!Z216,IF(F216="N","",J216))</f>
        <v>PLACEHOLDER ROW - CUSTOM - Hazardous Materials</v>
      </c>
      <c r="I216" s="552"/>
      <c r="J216" s="578" t="str">
        <f>IF('C-Design&amp;Const'!AE216="","",'C-Design&amp;Const'!AE216)</f>
        <v>(Approx. 50% Complete)</v>
      </c>
      <c r="K216" s="246" t="str">
        <f t="shared" si="18"/>
        <v/>
      </c>
      <c r="L216" s="1410" t="str">
        <f t="shared" si="19"/>
        <v>&lt;---PM/Planner may hide PLACEHOLDER ROW</v>
      </c>
      <c r="M216" s="1333"/>
      <c r="N216" s="1333"/>
      <c r="O216" s="1333"/>
      <c r="P216" s="1333"/>
      <c r="Q216" s="1333"/>
      <c r="R216" s="1333"/>
      <c r="S216" s="1333"/>
      <c r="T216" s="1333"/>
      <c r="U216" s="1333"/>
      <c r="V216" s="1333"/>
      <c r="W216" s="1333"/>
      <c r="X216" s="1333"/>
      <c r="Y216" s="1333"/>
      <c r="Z216" s="1333"/>
      <c r="AA216" s="1333"/>
      <c r="AB216" s="1333"/>
      <c r="AC216" s="1333"/>
      <c r="AD216" s="1333"/>
      <c r="AE216" s="1333"/>
      <c r="AF216" s="1333"/>
      <c r="AG216" s="1333"/>
      <c r="AH216" s="1333"/>
      <c r="AI216" s="1333"/>
      <c r="AJ216" s="1333"/>
      <c r="AK216" s="17"/>
      <c r="AL216" s="17"/>
      <c r="AM216" s="17"/>
      <c r="AN216" s="17"/>
      <c r="AO216" s="17"/>
      <c r="AP216" s="17"/>
      <c r="AQ216" s="17"/>
      <c r="AR216" s="17"/>
      <c r="AS216" s="17"/>
      <c r="AT216" s="17"/>
      <c r="AU216" s="17"/>
      <c r="AV216" s="17"/>
    </row>
    <row r="217" spans="1:48" s="542" customFormat="1" ht="15" customHeight="1" x14ac:dyDescent="0.25">
      <c r="A217" s="1462"/>
      <c r="B217" s="554"/>
      <c r="C217" s="1654"/>
      <c r="D217" s="411"/>
      <c r="E217" s="466"/>
      <c r="F217" s="559" t="str">
        <f>IF('C-Design&amp;Const'!$I217="","",'C-Design&amp;Const'!$I217)</f>
        <v>Y</v>
      </c>
      <c r="G217" s="491"/>
      <c r="H217" s="469" t="str">
        <f>CONCATENATE(IF(F217="N","PLACEHOLDER ROW - ",""),'C-Design&amp;Const'!Z217,IF(F217="N","",J217))</f>
        <v>Other Hazardous Materials Removal, Remediation, Containment (Preliminary)</v>
      </c>
      <c r="I217" s="552"/>
      <c r="J217" s="578" t="str">
        <f>IF('C-Design&amp;Const'!AE217="","",'C-Design&amp;Const'!AE217)</f>
        <v>(Preliminary)</v>
      </c>
      <c r="K217" s="246" t="str">
        <f t="shared" si="18"/>
        <v/>
      </c>
      <c r="L217" s="1410" t="str">
        <f t="shared" si="19"/>
        <v/>
      </c>
      <c r="M217" s="1333"/>
      <c r="N217" s="1333"/>
      <c r="O217" s="1333"/>
      <c r="P217" s="1333"/>
      <c r="Q217" s="1333"/>
      <c r="R217" s="1333"/>
      <c r="S217" s="1333"/>
      <c r="T217" s="1333"/>
      <c r="U217" s="1333"/>
      <c r="V217" s="1333"/>
      <c r="W217" s="1333"/>
      <c r="X217" s="1333"/>
      <c r="Y217" s="1333"/>
      <c r="Z217" s="1333"/>
      <c r="AA217" s="1333"/>
      <c r="AB217" s="1333"/>
      <c r="AC217" s="1333"/>
      <c r="AD217" s="1333"/>
      <c r="AE217" s="1333"/>
      <c r="AF217" s="1333"/>
      <c r="AG217" s="1333"/>
      <c r="AH217" s="1333"/>
      <c r="AI217" s="1333"/>
      <c r="AJ217" s="1333"/>
      <c r="AK217" s="17"/>
      <c r="AL217" s="17"/>
      <c r="AM217" s="17"/>
      <c r="AN217" s="17"/>
      <c r="AO217" s="17"/>
      <c r="AP217" s="17"/>
      <c r="AQ217" s="17"/>
      <c r="AR217" s="17"/>
      <c r="AS217" s="17"/>
      <c r="AT217" s="17"/>
      <c r="AU217" s="17"/>
      <c r="AV217" s="17"/>
    </row>
    <row r="218" spans="1:48" s="30" customFormat="1" ht="15" customHeight="1" x14ac:dyDescent="0.25">
      <c r="A218" s="1462"/>
      <c r="B218" s="191"/>
      <c r="C218" s="944"/>
      <c r="D218" s="463"/>
      <c r="E218" s="359" t="str">
        <f>IF('C-Design&amp;Const'!$I218="","",'C-Design&amp;Const'!$I218)</f>
        <v>Y</v>
      </c>
      <c r="F218" s="490"/>
      <c r="G218" s="291"/>
      <c r="H218" s="244" t="str">
        <f>CONCATENATE(IF(F218="N","PLACEHOLDER ROW - ",""),'C-Design&amp;Const'!Z218,IF(F218="N","",J218))</f>
        <v>Site, Civil, &amp; Landscape Drawings</v>
      </c>
      <c r="I218" s="184"/>
      <c r="J218" s="578" t="str">
        <f>IF('C-Design&amp;Const'!AE218="","",'C-Design&amp;Const'!AE218)</f>
        <v/>
      </c>
      <c r="K218" s="246" t="str">
        <f t="shared" si="15"/>
        <v/>
      </c>
      <c r="L218" s="1410" t="str">
        <f t="shared" si="15"/>
        <v/>
      </c>
      <c r="M218" s="1382"/>
      <c r="N218" s="1382"/>
      <c r="O218" s="1382"/>
      <c r="P218" s="1382"/>
      <c r="Q218" s="1382"/>
      <c r="R218" s="1382"/>
      <c r="S218" s="1382"/>
      <c r="T218" s="1382"/>
      <c r="U218" s="1382"/>
      <c r="V218" s="1382"/>
      <c r="W218" s="1382"/>
      <c r="X218" s="1382"/>
      <c r="Y218" s="1382"/>
      <c r="Z218" s="1382"/>
      <c r="AA218" s="1382"/>
      <c r="AB218" s="1382"/>
      <c r="AC218" s="1382"/>
      <c r="AD218" s="1382"/>
      <c r="AE218" s="1382"/>
      <c r="AF218" s="1382"/>
      <c r="AG218" s="1382"/>
      <c r="AH218" s="1382"/>
      <c r="AI218" s="1382"/>
      <c r="AJ218" s="1382"/>
      <c r="AK218" s="181"/>
      <c r="AL218" s="181"/>
      <c r="AM218" s="181"/>
      <c r="AN218" s="181"/>
      <c r="AO218" s="181"/>
      <c r="AP218" s="181"/>
      <c r="AQ218" s="181"/>
      <c r="AR218" s="181"/>
      <c r="AS218" s="181"/>
      <c r="AT218" s="181"/>
      <c r="AU218" s="181"/>
      <c r="AV218" s="181"/>
    </row>
    <row r="219" spans="1:48" ht="15" customHeight="1" x14ac:dyDescent="0.25">
      <c r="A219" s="1462"/>
      <c r="B219" s="191"/>
      <c r="C219" s="1654"/>
      <c r="D219" s="411"/>
      <c r="E219" s="466"/>
      <c r="F219" s="559" t="str">
        <f>IF('C-Design&amp;Const'!$I219="","",'C-Design&amp;Const'!$I219)</f>
        <v>N</v>
      </c>
      <c r="G219" s="491"/>
      <c r="H219" s="469" t="str">
        <f>CONCATENATE(IF(F219="N","PLACEHOLDER ROW - ",""),'C-Design&amp;Const'!Z219,IF(F219="N","",J219))</f>
        <v>PLACEHOLDER ROW - CUSTOM - Site / Civil / Landscape</v>
      </c>
      <c r="I219" s="184"/>
      <c r="J219" s="578" t="str">
        <f>IF('C-Design&amp;Const'!AE219="","",'C-Design&amp;Const'!AE219)</f>
        <v>(Preliminary)</v>
      </c>
      <c r="K219" s="246" t="str">
        <f>CONCATENATE(IF(ISNUMBER(SEARCH("Placeholder",G219))=TRUE,"&lt;---PM/Planner may hide PLACEHOLDER ROW",""))</f>
        <v/>
      </c>
      <c r="L219" s="1410" t="str">
        <f>CONCATENATE(IF(ISNUMBER(SEARCH("Placeholder",H219))=TRUE,"&lt;---PM/Planner may hide PLACEHOLDER ROW",""))</f>
        <v>&lt;---PM/Planner may hide PLACEHOLDER ROW</v>
      </c>
      <c r="M219" s="1333"/>
      <c r="N219" s="1333"/>
      <c r="O219" s="1333"/>
      <c r="P219" s="1333"/>
      <c r="Q219" s="1333"/>
      <c r="R219" s="1333"/>
      <c r="S219" s="1333"/>
      <c r="T219" s="1333"/>
      <c r="U219" s="1333"/>
      <c r="V219" s="1333"/>
      <c r="W219" s="1333"/>
      <c r="X219" s="1333"/>
      <c r="Y219" s="1333"/>
      <c r="Z219" s="1333"/>
      <c r="AA219" s="1333"/>
      <c r="AB219" s="1333"/>
      <c r="AC219" s="1333"/>
      <c r="AD219" s="1333"/>
      <c r="AE219" s="1333"/>
      <c r="AF219" s="1333"/>
      <c r="AG219" s="1333"/>
      <c r="AH219" s="1333"/>
      <c r="AI219" s="1333"/>
      <c r="AJ219" s="1333"/>
    </row>
    <row r="220" spans="1:48" ht="15" customHeight="1" x14ac:dyDescent="0.25">
      <c r="A220" s="1462"/>
      <c r="B220" s="191"/>
      <c r="C220" s="1654"/>
      <c r="D220" s="411"/>
      <c r="E220" s="466"/>
      <c r="F220" s="559" t="str">
        <f>IF('C-Design&amp;Const'!$I220="","",'C-Design&amp;Const'!$I220)</f>
        <v>N</v>
      </c>
      <c r="G220" s="491"/>
      <c r="H220" s="469" t="str">
        <f>CONCATENATE(IF(F220="N","PLACEHOLDER ROW - ",""),'C-Design&amp;Const'!Z220,IF(F220="N","",J220))</f>
        <v>PLACEHOLDER ROW - CUSTOM - Site / Civil / Landscape</v>
      </c>
      <c r="I220" s="184"/>
      <c r="J220" s="578" t="str">
        <f>IF('C-Design&amp;Const'!AE220="","",'C-Design&amp;Const'!AE220)</f>
        <v>(Preliminary)</v>
      </c>
      <c r="K220" s="246" t="str">
        <f>CONCATENATE(IF(ISNUMBER(SEARCH("Placeholder",G220))=TRUE,"&lt;---PM/Planner may hide PLACEHOLDER ROW",""))</f>
        <v/>
      </c>
      <c r="L220" s="1410" t="str">
        <f>CONCATENATE(IF(ISNUMBER(SEARCH("Placeholder",H220))=TRUE,"&lt;---PM/Planner may hide PLACEHOLDER ROW",""))</f>
        <v>&lt;---PM/Planner may hide PLACEHOLDER ROW</v>
      </c>
      <c r="M220" s="1333"/>
      <c r="N220" s="1333"/>
      <c r="O220" s="1333"/>
      <c r="P220" s="1333"/>
      <c r="Q220" s="1333"/>
      <c r="R220" s="1333"/>
      <c r="S220" s="1333"/>
      <c r="T220" s="1333"/>
      <c r="U220" s="1333"/>
      <c r="V220" s="1333"/>
      <c r="W220" s="1333"/>
      <c r="X220" s="1333"/>
      <c r="Y220" s="1333"/>
      <c r="Z220" s="1333"/>
      <c r="AA220" s="1333"/>
      <c r="AB220" s="1333"/>
      <c r="AC220" s="1333"/>
      <c r="AD220" s="1333"/>
      <c r="AE220" s="1333"/>
      <c r="AF220" s="1333"/>
      <c r="AG220" s="1333"/>
      <c r="AH220" s="1333"/>
      <c r="AI220" s="1333"/>
      <c r="AJ220" s="1333"/>
    </row>
    <row r="221" spans="1:48" s="542" customFormat="1" ht="15" customHeight="1" x14ac:dyDescent="0.25">
      <c r="A221" s="1462"/>
      <c r="B221" s="554"/>
      <c r="C221" s="1654"/>
      <c r="D221" s="411"/>
      <c r="E221" s="466"/>
      <c r="F221" s="559" t="str">
        <f>IF('C-Design&amp;Const'!$I221="","",'C-Design&amp;Const'!$I221)</f>
        <v>Y</v>
      </c>
      <c r="G221" s="491"/>
      <c r="H221" s="469" t="str">
        <f>CONCATENATE(IF(F221="N","PLACEHOLDER ROW - ",""),'C-Design&amp;Const'!Z221,IF(F221="N","",J221))</f>
        <v>Civil, Site, Landscape Symbols, Abbreviations, and General Notes (Preliminary with Options)</v>
      </c>
      <c r="I221" s="552"/>
      <c r="J221" s="578" t="str">
        <f>IF('C-Design&amp;Const'!AE221="","",'C-Design&amp;Const'!AE221)</f>
        <v>(Preliminary with Options)</v>
      </c>
      <c r="K221" s="246" t="str">
        <f t="shared" ref="K221" si="20">CONCATENATE(IF(ISNUMBER(SEARCH("Placeholder",G221))=TRUE,"&lt;---PM/Planner may hide PLACEHOLDER ROW",""))</f>
        <v/>
      </c>
      <c r="L221" s="1410" t="str">
        <f t="shared" ref="L221" si="21">CONCATENATE(IF(ISNUMBER(SEARCH("Placeholder",H221))=TRUE,"&lt;---PM/Planner may hide PLACEHOLDER ROW",""))</f>
        <v/>
      </c>
      <c r="M221" s="1333"/>
      <c r="N221" s="1333"/>
      <c r="O221" s="1333"/>
      <c r="P221" s="1333"/>
      <c r="Q221" s="1333"/>
      <c r="R221" s="1333"/>
      <c r="S221" s="1333"/>
      <c r="T221" s="1333"/>
      <c r="U221" s="1333"/>
      <c r="V221" s="1333"/>
      <c r="W221" s="1333"/>
      <c r="X221" s="1333"/>
      <c r="Y221" s="1333"/>
      <c r="Z221" s="1333"/>
      <c r="AA221" s="1333"/>
      <c r="AB221" s="1333"/>
      <c r="AC221" s="1333"/>
      <c r="AD221" s="1333"/>
      <c r="AE221" s="1333"/>
      <c r="AF221" s="1333"/>
      <c r="AG221" s="1333"/>
      <c r="AH221" s="1333"/>
      <c r="AI221" s="1333"/>
      <c r="AJ221" s="1333"/>
      <c r="AK221" s="17"/>
      <c r="AL221" s="17"/>
      <c r="AM221" s="17"/>
      <c r="AN221" s="17"/>
      <c r="AO221" s="17"/>
      <c r="AP221" s="17"/>
      <c r="AQ221" s="17"/>
      <c r="AR221" s="17"/>
      <c r="AS221" s="17"/>
      <c r="AT221" s="17"/>
      <c r="AU221" s="17"/>
      <c r="AV221" s="17"/>
    </row>
    <row r="222" spans="1:48" ht="15" customHeight="1" x14ac:dyDescent="0.25">
      <c r="A222" s="1462"/>
      <c r="B222" s="191"/>
      <c r="C222" s="1654"/>
      <c r="D222" s="411"/>
      <c r="E222" s="466"/>
      <c r="F222" s="559" t="str">
        <f>IF('C-Design&amp;Const'!$I222="","",'C-Design&amp;Const'!$I222)</f>
        <v>Y</v>
      </c>
      <c r="G222" s="491"/>
      <c r="H222" s="469" t="str">
        <f>CONCATENATE(IF(F222="N","PLACEHOLDER ROW - ",""),'C-Design&amp;Const'!Z222,IF(F222="N","",J222))</f>
        <v>Site Clearing, Demolitions, &amp; Abandonments (Approx. 50% Complete)</v>
      </c>
      <c r="I222" s="184"/>
      <c r="J222" s="578" t="str">
        <f>IF('C-Design&amp;Const'!AE222="","",'C-Design&amp;Const'!AE222)</f>
        <v>(Approx. 50% Complete)</v>
      </c>
      <c r="K222" s="246" t="str">
        <f t="shared" si="15"/>
        <v/>
      </c>
      <c r="L222" s="1410" t="str">
        <f t="shared" si="15"/>
        <v/>
      </c>
      <c r="M222" s="1333"/>
      <c r="N222" s="1333"/>
      <c r="O222" s="1333"/>
      <c r="P222" s="1333"/>
      <c r="Q222" s="1333"/>
      <c r="R222" s="1333"/>
      <c r="S222" s="1333"/>
      <c r="T222" s="1333"/>
      <c r="U222" s="1333"/>
      <c r="V222" s="1333"/>
      <c r="W222" s="1333"/>
      <c r="X222" s="1333"/>
      <c r="Y222" s="1333"/>
      <c r="Z222" s="1333"/>
      <c r="AA222" s="1333"/>
      <c r="AB222" s="1333"/>
      <c r="AC222" s="1333"/>
      <c r="AD222" s="1333"/>
      <c r="AE222" s="1333"/>
      <c r="AF222" s="1333"/>
      <c r="AG222" s="1333"/>
      <c r="AH222" s="1333"/>
      <c r="AI222" s="1333"/>
      <c r="AJ222" s="1333"/>
    </row>
    <row r="223" spans="1:48" s="30" customFormat="1" ht="15" customHeight="1" x14ac:dyDescent="0.25">
      <c r="A223" s="1462"/>
      <c r="B223" s="191"/>
      <c r="C223" s="944"/>
      <c r="D223" s="463"/>
      <c r="E223" s="467"/>
      <c r="F223" s="559" t="str">
        <f>IF('C-Design&amp;Const'!$I223="","",'C-Design&amp;Const'!$I223)</f>
        <v>Y</v>
      </c>
      <c r="G223" s="291"/>
      <c r="H223" s="469" t="str">
        <f>CONCATENATE(IF(F223="N","PLACEHOLDER ROW - ",""),'C-Design&amp;Const'!Z223,IF(F223="N","",J223))</f>
        <v>Site Plan (show tree protection if not yet shown in laydown plan)(Preliminary)</v>
      </c>
      <c r="I223" s="184"/>
      <c r="J223" s="578" t="str">
        <f>IF('C-Design&amp;Const'!AE223="","",'C-Design&amp;Const'!AE223)</f>
        <v>(Preliminary)</v>
      </c>
      <c r="K223" s="246" t="str">
        <f t="shared" si="15"/>
        <v/>
      </c>
      <c r="L223" s="1410" t="str">
        <f t="shared" si="15"/>
        <v/>
      </c>
      <c r="M223" s="1382"/>
      <c r="N223" s="1382"/>
      <c r="O223" s="1382"/>
      <c r="P223" s="1382"/>
      <c r="Q223" s="1382"/>
      <c r="R223" s="1382"/>
      <c r="S223" s="1382"/>
      <c r="T223" s="1382"/>
      <c r="U223" s="1382"/>
      <c r="V223" s="1382"/>
      <c r="W223" s="1382"/>
      <c r="X223" s="1382"/>
      <c r="Y223" s="1382"/>
      <c r="Z223" s="1382"/>
      <c r="AA223" s="1382"/>
      <c r="AB223" s="1382"/>
      <c r="AC223" s="1382"/>
      <c r="AD223" s="1382"/>
      <c r="AE223" s="1382"/>
      <c r="AF223" s="1382"/>
      <c r="AG223" s="1382"/>
      <c r="AH223" s="1382"/>
      <c r="AI223" s="1382"/>
      <c r="AJ223" s="1382"/>
      <c r="AK223" s="181"/>
      <c r="AL223" s="181"/>
      <c r="AM223" s="181"/>
      <c r="AN223" s="181"/>
      <c r="AO223" s="181"/>
      <c r="AP223" s="181"/>
      <c r="AQ223" s="181"/>
      <c r="AR223" s="181"/>
      <c r="AS223" s="181"/>
      <c r="AT223" s="181"/>
      <c r="AU223" s="181"/>
      <c r="AV223" s="181"/>
    </row>
    <row r="224" spans="1:48" ht="15" customHeight="1" x14ac:dyDescent="0.25">
      <c r="A224" s="1462"/>
      <c r="B224" s="191"/>
      <c r="C224" s="1654"/>
      <c r="D224" s="411"/>
      <c r="E224" s="466"/>
      <c r="F224" s="559" t="str">
        <f>IF('C-Design&amp;Const'!$I225="","",'C-Design&amp;Const'!$I225)</f>
        <v>Y</v>
      </c>
      <c r="G224" s="491"/>
      <c r="H224" s="469" t="str">
        <f>CONCATENATE(IF(F224="N","PLACEHOLDER ROW - ",""),'C-Design&amp;Const'!Z225,IF(F224="N","",J224))</f>
        <v>Pavement, Sidewalks, and/or Utility Sections (Preliminary)</v>
      </c>
      <c r="I224" s="184"/>
      <c r="J224" s="578" t="str">
        <f>IF('C-Design&amp;Const'!AE225="","",'C-Design&amp;Const'!AE225)</f>
        <v>(Preliminary)</v>
      </c>
      <c r="K224" s="246" t="str">
        <f t="shared" si="15"/>
        <v/>
      </c>
      <c r="L224" s="1410" t="str">
        <f t="shared" si="15"/>
        <v/>
      </c>
      <c r="M224" s="1333"/>
      <c r="N224" s="1333"/>
      <c r="O224" s="1333"/>
      <c r="P224" s="1333"/>
      <c r="Q224" s="1333"/>
      <c r="R224" s="1333"/>
      <c r="S224" s="1333"/>
      <c r="T224" s="1333"/>
      <c r="U224" s="1333"/>
      <c r="V224" s="1333"/>
      <c r="W224" s="1333"/>
      <c r="X224" s="1333"/>
      <c r="Y224" s="1333"/>
      <c r="Z224" s="1333"/>
      <c r="AA224" s="1333"/>
      <c r="AB224" s="1333"/>
      <c r="AC224" s="1333"/>
      <c r="AD224" s="1333"/>
      <c r="AE224" s="1333"/>
      <c r="AF224" s="1333"/>
      <c r="AG224" s="1333"/>
      <c r="AH224" s="1333"/>
      <c r="AI224" s="1333"/>
      <c r="AJ224" s="1333"/>
    </row>
    <row r="225" spans="1:48" ht="15" customHeight="1" x14ac:dyDescent="0.25">
      <c r="A225" s="1462"/>
      <c r="B225" s="191"/>
      <c r="C225" s="1654"/>
      <c r="D225" s="411"/>
      <c r="E225" s="466"/>
      <c r="F225" s="559" t="str">
        <f>IF('C-Design&amp;Const'!$I226="","",'C-Design&amp;Const'!$I226)</f>
        <v>N</v>
      </c>
      <c r="G225" s="491"/>
      <c r="H225" s="469" t="str">
        <f>CONCATENATE(IF(F225="N","PLACEHOLDER ROW - ",""),'C-Design&amp;Const'!Z226,IF(F225="N","",J225))</f>
        <v xml:space="preserve">PLACEHOLDER ROW - Utility Relocations </v>
      </c>
      <c r="I225" s="184"/>
      <c r="J225" s="578" t="str">
        <f>IF('C-Design&amp;Const'!AE226="","",'C-Design&amp;Const'!AE226)</f>
        <v>(Preliminary)</v>
      </c>
      <c r="K225" s="246" t="str">
        <f t="shared" si="15"/>
        <v/>
      </c>
      <c r="L225" s="1410" t="str">
        <f t="shared" si="15"/>
        <v>&lt;---PM/Planner may hide PLACEHOLDER ROW</v>
      </c>
      <c r="M225" s="1333"/>
      <c r="N225" s="1333"/>
      <c r="O225" s="1333"/>
      <c r="P225" s="1333"/>
      <c r="Q225" s="1333"/>
      <c r="R225" s="1333"/>
      <c r="S225" s="1333"/>
      <c r="T225" s="1333"/>
      <c r="U225" s="1333"/>
      <c r="V225" s="1333"/>
      <c r="W225" s="1333"/>
      <c r="X225" s="1333"/>
      <c r="Y225" s="1333"/>
      <c r="Z225" s="1333"/>
      <c r="AA225" s="1333"/>
      <c r="AB225" s="1333"/>
      <c r="AC225" s="1333"/>
      <c r="AD225" s="1333"/>
      <c r="AE225" s="1333"/>
      <c r="AF225" s="1333"/>
      <c r="AG225" s="1333"/>
      <c r="AH225" s="1333"/>
      <c r="AI225" s="1333"/>
      <c r="AJ225" s="1333"/>
    </row>
    <row r="226" spans="1:48" s="30" customFormat="1" ht="15" customHeight="1" x14ac:dyDescent="0.25">
      <c r="A226" s="1462"/>
      <c r="B226" s="191"/>
      <c r="C226" s="944"/>
      <c r="D226" s="463"/>
      <c r="E226" s="467"/>
      <c r="F226" s="559" t="str">
        <f>IF('C-Design&amp;Const'!$I224="","",'C-Design&amp;Const'!$I224)</f>
        <v>Y</v>
      </c>
      <c r="G226" s="291"/>
      <c r="H226" s="469" t="str">
        <f>CONCATENATE(IF(F226="N","PLACEHOLDER ROW - ",""),'C-Design&amp;Const'!Z224,IF(F226="N","",J226))</f>
        <v>Storm Water Detention Plan (Approx. 50% Complete)</v>
      </c>
      <c r="I226" s="184"/>
      <c r="J226" s="578" t="str">
        <f>IF('C-Design&amp;Const'!AE224="","",'C-Design&amp;Const'!AE224)</f>
        <v>(Approx. 50% Complete)</v>
      </c>
      <c r="K226" s="246" t="str">
        <f t="shared" si="15"/>
        <v/>
      </c>
      <c r="L226" s="1410" t="str">
        <f t="shared" si="15"/>
        <v/>
      </c>
      <c r="M226" s="1382"/>
      <c r="N226" s="1382"/>
      <c r="O226" s="1382"/>
      <c r="P226" s="1382"/>
      <c r="Q226" s="1382"/>
      <c r="R226" s="1382"/>
      <c r="S226" s="1382"/>
      <c r="T226" s="1382"/>
      <c r="U226" s="1382"/>
      <c r="V226" s="1382"/>
      <c r="W226" s="1382"/>
      <c r="X226" s="1382"/>
      <c r="Y226" s="1382"/>
      <c r="Z226" s="1382"/>
      <c r="AA226" s="1382"/>
      <c r="AB226" s="1382"/>
      <c r="AC226" s="1382"/>
      <c r="AD226" s="1382"/>
      <c r="AE226" s="1382"/>
      <c r="AF226" s="1382"/>
      <c r="AG226" s="1382"/>
      <c r="AH226" s="1382"/>
      <c r="AI226" s="1382"/>
      <c r="AJ226" s="1382"/>
      <c r="AK226" s="181"/>
      <c r="AL226" s="181"/>
      <c r="AM226" s="181"/>
      <c r="AN226" s="181"/>
      <c r="AO226" s="181"/>
      <c r="AP226" s="181"/>
      <c r="AQ226" s="181"/>
      <c r="AR226" s="181"/>
      <c r="AS226" s="181"/>
      <c r="AT226" s="181"/>
      <c r="AU226" s="181"/>
      <c r="AV226" s="181"/>
    </row>
    <row r="227" spans="1:48" x14ac:dyDescent="0.25">
      <c r="A227" s="1462"/>
      <c r="B227" s="125"/>
      <c r="C227" s="944"/>
      <c r="D227" s="411"/>
      <c r="E227" s="466"/>
      <c r="F227" s="559" t="str">
        <f>IF('C-Design&amp;Const'!$I227="","",'C-Design&amp;Const'!$I227)</f>
        <v>N</v>
      </c>
      <c r="G227" s="485"/>
      <c r="H227" s="469" t="str">
        <f>CONCATENATE(IF(F227="N","PLACEHOLDER ROW - ",""),'C-Design&amp;Const'!Z227,IF(F227="N","",J227))</f>
        <v xml:space="preserve">PLACEHOLDER ROW - Utility Site Plan and Details </v>
      </c>
      <c r="I227" s="136"/>
      <c r="J227" s="578" t="str">
        <f>IF('C-Design&amp;Const'!AE227="","",'C-Design&amp;Const'!AE227)</f>
        <v>(Preliminary)</v>
      </c>
      <c r="K227" s="246" t="str">
        <f t="shared" si="15"/>
        <v/>
      </c>
      <c r="L227" s="1410" t="str">
        <f t="shared" si="15"/>
        <v>&lt;---PM/Planner may hide PLACEHOLDER ROW</v>
      </c>
      <c r="M227" s="1333"/>
      <c r="N227" s="1333"/>
      <c r="O227" s="1382"/>
      <c r="P227" s="1333"/>
      <c r="Q227" s="1453"/>
      <c r="R227" s="1333"/>
      <c r="S227" s="1284"/>
      <c r="T227" s="1333"/>
      <c r="U227" s="1333"/>
      <c r="V227" s="1333"/>
      <c r="W227" s="1333"/>
      <c r="X227" s="1333"/>
      <c r="Y227" s="1333"/>
      <c r="Z227" s="1333"/>
      <c r="AA227" s="1333"/>
      <c r="AB227" s="1333"/>
      <c r="AC227" s="1333"/>
      <c r="AD227" s="1333"/>
      <c r="AE227" s="1333"/>
      <c r="AF227" s="1333"/>
      <c r="AG227" s="1333"/>
      <c r="AH227" s="1333"/>
      <c r="AI227" s="1333"/>
      <c r="AJ227" s="1333"/>
    </row>
    <row r="228" spans="1:48" s="545" customFormat="1" ht="15" customHeight="1" x14ac:dyDescent="0.25">
      <c r="A228" s="1462"/>
      <c r="B228" s="554"/>
      <c r="C228" s="944"/>
      <c r="D228" s="463"/>
      <c r="E228" s="467"/>
      <c r="F228" s="559" t="str">
        <f>IF('C-Design&amp;Const'!$I228="","",'C-Design&amp;Const'!$I228)</f>
        <v>N</v>
      </c>
      <c r="G228" s="291"/>
      <c r="H228" s="469" t="str">
        <f>CONCATENATE(IF(F228="N","PLACEHOLDER ROW - ",""),'C-Design&amp;Const'!Z228,IF(F228="N","",J228))</f>
        <v xml:space="preserve">PLACEHOLDER ROW - Traffic Control Plans - Vehicular &amp; Pedestrian </v>
      </c>
      <c r="I228" s="552"/>
      <c r="J228" s="578" t="str">
        <f>IF('C-Design&amp;Const'!AE225="","",'C-Design&amp;Const'!AE225)</f>
        <v>(Preliminary)</v>
      </c>
      <c r="K228" s="246" t="str">
        <f t="shared" ref="K228" si="22">CONCATENATE(IF(ISNUMBER(SEARCH("Placeholder",G228))=TRUE,"&lt;---PM/Planner may hide PLACEHOLDER ROW",""))</f>
        <v/>
      </c>
      <c r="L228" s="1410" t="str">
        <f t="shared" ref="L228" si="23">CONCATENATE(IF(ISNUMBER(SEARCH("Placeholder",H228))=TRUE,"&lt;---PM/Planner may hide PLACEHOLDER ROW",""))</f>
        <v>&lt;---PM/Planner may hide PLACEHOLDER ROW</v>
      </c>
      <c r="M228" s="1382"/>
      <c r="N228" s="1382"/>
      <c r="O228" s="1382"/>
      <c r="P228" s="1382"/>
      <c r="Q228" s="1382"/>
      <c r="R228" s="1382"/>
      <c r="S228" s="1382"/>
      <c r="T228" s="1382"/>
      <c r="U228" s="1382"/>
      <c r="V228" s="1382"/>
      <c r="W228" s="1382"/>
      <c r="X228" s="1382"/>
      <c r="Y228" s="1382"/>
      <c r="Z228" s="1382"/>
      <c r="AA228" s="1382"/>
      <c r="AB228" s="1382"/>
      <c r="AC228" s="1382"/>
      <c r="AD228" s="1382"/>
      <c r="AE228" s="1382"/>
      <c r="AF228" s="1382"/>
      <c r="AG228" s="1382"/>
      <c r="AH228" s="1382"/>
      <c r="AI228" s="1382"/>
      <c r="AJ228" s="1382"/>
      <c r="AK228" s="551"/>
      <c r="AL228" s="551"/>
      <c r="AM228" s="551"/>
      <c r="AN228" s="551"/>
      <c r="AO228" s="551"/>
      <c r="AP228" s="551"/>
      <c r="AQ228" s="551"/>
      <c r="AR228" s="551"/>
      <c r="AS228" s="551"/>
      <c r="AT228" s="551"/>
      <c r="AU228" s="551"/>
      <c r="AV228" s="551"/>
    </row>
    <row r="229" spans="1:48" x14ac:dyDescent="0.25">
      <c r="A229" s="1462"/>
      <c r="B229" s="125"/>
      <c r="C229" s="944"/>
      <c r="D229" s="411"/>
      <c r="E229" s="466"/>
      <c r="F229" s="559" t="str">
        <f>IF('C-Design&amp;Const'!$I229="","",'C-Design&amp;Const'!$I229)</f>
        <v>N</v>
      </c>
      <c r="G229" s="485"/>
      <c r="H229" s="469" t="str">
        <f>CONCATENATE(IF(F229="N","PLACEHOLDER ROW - ",""),'C-Design&amp;Const'!Z229,IF(F229="N","",J229))</f>
        <v>PLACEHOLDER ROW - Construction Layout/Laydown Plan with tree protection</v>
      </c>
      <c r="I229" s="137"/>
      <c r="J229" s="578" t="str">
        <f>IF('C-Design&amp;Const'!AE229="","",'C-Design&amp;Const'!AE229)</f>
        <v>(Preliminary)</v>
      </c>
      <c r="K229" s="246" t="str">
        <f t="shared" si="15"/>
        <v/>
      </c>
      <c r="L229" s="1410" t="str">
        <f t="shared" si="15"/>
        <v>&lt;---PM/Planner may hide PLACEHOLDER ROW</v>
      </c>
      <c r="M229" s="1333"/>
      <c r="N229" s="1333"/>
      <c r="O229" s="1382"/>
      <c r="P229" s="1333"/>
      <c r="Q229" s="1454"/>
      <c r="R229" s="1333"/>
      <c r="S229" s="1284"/>
      <c r="T229" s="1333"/>
      <c r="U229" s="1333"/>
      <c r="V229" s="1333"/>
      <c r="W229" s="1333"/>
      <c r="X229" s="1333"/>
      <c r="Y229" s="1333"/>
      <c r="Z229" s="1333"/>
      <c r="AA229" s="1333"/>
      <c r="AB229" s="1333"/>
      <c r="AC229" s="1333"/>
      <c r="AD229" s="1333"/>
      <c r="AE229" s="1333"/>
      <c r="AF229" s="1333"/>
      <c r="AG229" s="1333"/>
      <c r="AH229" s="1333"/>
      <c r="AI229" s="1333"/>
      <c r="AJ229" s="1333"/>
    </row>
    <row r="230" spans="1:48" x14ac:dyDescent="0.25">
      <c r="A230" s="1462"/>
      <c r="B230" s="125"/>
      <c r="C230" s="944"/>
      <c r="D230" s="411"/>
      <c r="E230" s="466"/>
      <c r="F230" s="559" t="str">
        <f>IF('C-Design&amp;Const'!$I230="","",'C-Design&amp;Const'!$I230)</f>
        <v>Y</v>
      </c>
      <c r="G230" s="485"/>
      <c r="H230" s="469" t="str">
        <f>CONCATENATE(IF(F230="N","PLACEHOLDER ROW - ",""),'C-Design&amp;Const'!Z230,IF(F230="N","",J230))</f>
        <v>Landscape Plan (Preliminary)</v>
      </c>
      <c r="I230" s="137"/>
      <c r="J230" s="578" t="str">
        <f>IF('C-Design&amp;Const'!AE230="","",'C-Design&amp;Const'!AE230)</f>
        <v>(Preliminary)</v>
      </c>
      <c r="K230" s="246" t="str">
        <f t="shared" si="15"/>
        <v/>
      </c>
      <c r="L230" s="1410" t="str">
        <f t="shared" si="15"/>
        <v/>
      </c>
      <c r="M230" s="1333"/>
      <c r="N230" s="1333"/>
      <c r="O230" s="1382"/>
      <c r="P230" s="1333"/>
      <c r="Q230" s="1454"/>
      <c r="R230" s="1333"/>
      <c r="S230" s="1284"/>
      <c r="T230" s="1333"/>
      <c r="U230" s="1333"/>
      <c r="V230" s="1333"/>
      <c r="W230" s="1333"/>
      <c r="X230" s="1333"/>
      <c r="Y230" s="1333"/>
      <c r="Z230" s="1333"/>
      <c r="AA230" s="1333"/>
      <c r="AB230" s="1333"/>
      <c r="AC230" s="1333"/>
      <c r="AD230" s="1333"/>
      <c r="AE230" s="1333"/>
      <c r="AF230" s="1333"/>
      <c r="AG230" s="1333"/>
      <c r="AH230" s="1333"/>
      <c r="AI230" s="1333"/>
      <c r="AJ230" s="1333"/>
    </row>
    <row r="231" spans="1:48" x14ac:dyDescent="0.25">
      <c r="A231" s="1462"/>
      <c r="B231" s="125"/>
      <c r="C231" s="944"/>
      <c r="D231" s="411"/>
      <c r="E231" s="559" t="str">
        <f>IF('C-Design&amp;Const'!$I231="","",'C-Design&amp;Const'!$I231)</f>
        <v>Y</v>
      </c>
      <c r="F231" s="460"/>
      <c r="G231" s="485"/>
      <c r="H231" s="244" t="str">
        <f>CONCATENATE(IF(F231="N","PLACEHOLDER ROW - ",""),'C-Design&amp;Const'!Z231,IF(F231="N","",J231))</f>
        <v>Architectural Drawings</v>
      </c>
      <c r="I231" s="137"/>
      <c r="J231" s="578" t="str">
        <f>IF('C-Design&amp;Const'!AE231="","",'C-Design&amp;Const'!AE231)</f>
        <v/>
      </c>
      <c r="K231" s="246" t="str">
        <f t="shared" si="15"/>
        <v/>
      </c>
      <c r="L231" s="1410" t="str">
        <f t="shared" si="15"/>
        <v/>
      </c>
      <c r="M231" s="1333"/>
      <c r="N231" s="1333"/>
      <c r="O231" s="1382"/>
      <c r="P231" s="1333"/>
      <c r="Q231" s="1454"/>
      <c r="R231" s="1284"/>
      <c r="S231" s="1284"/>
      <c r="T231" s="1333"/>
      <c r="U231" s="1333"/>
      <c r="V231" s="1333"/>
      <c r="W231" s="1333"/>
      <c r="X231" s="1333"/>
      <c r="Y231" s="1333"/>
      <c r="Z231" s="1333"/>
      <c r="AA231" s="1333"/>
      <c r="AB231" s="1333"/>
      <c r="AC231" s="1333"/>
      <c r="AD231" s="1333"/>
      <c r="AE231" s="1333"/>
      <c r="AF231" s="1333"/>
      <c r="AG231" s="1333"/>
      <c r="AH231" s="1333"/>
      <c r="AI231" s="1333"/>
      <c r="AJ231" s="1333"/>
    </row>
    <row r="232" spans="1:48" ht="15" customHeight="1" x14ac:dyDescent="0.25">
      <c r="A232" s="1462"/>
      <c r="B232" s="191"/>
      <c r="C232" s="1654"/>
      <c r="D232" s="411"/>
      <c r="E232" s="466"/>
      <c r="F232" s="559" t="str">
        <f>IF('C-Design&amp;Const'!$I232="","",'C-Design&amp;Const'!$I232)</f>
        <v>N</v>
      </c>
      <c r="G232" s="491"/>
      <c r="H232" s="469" t="str">
        <f>CONCATENATE(IF(F232="N","PLACEHOLDER ROW - ",""),'C-Design&amp;Const'!Z232,IF(F232="N","",J232))</f>
        <v xml:space="preserve">PLACEHOLDER ROW - CUSTOM - Architectural  </v>
      </c>
      <c r="I232" s="184"/>
      <c r="J232" s="578" t="str">
        <f>IF('C-Design&amp;Const'!AE232="","",'C-Design&amp;Const'!AE232)</f>
        <v>(Preliminary)</v>
      </c>
      <c r="K232" s="246" t="str">
        <f t="shared" si="15"/>
        <v/>
      </c>
      <c r="L232" s="1410" t="str">
        <f t="shared" si="15"/>
        <v>&lt;---PM/Planner may hide PLACEHOLDER ROW</v>
      </c>
      <c r="M232" s="1333"/>
      <c r="N232" s="1333"/>
      <c r="O232" s="1333"/>
      <c r="P232" s="1333"/>
      <c r="Q232" s="1333"/>
      <c r="R232" s="1333"/>
      <c r="S232" s="1333"/>
      <c r="T232" s="1333"/>
      <c r="U232" s="1333"/>
      <c r="V232" s="1333"/>
      <c r="W232" s="1333"/>
      <c r="X232" s="1333"/>
      <c r="Y232" s="1333"/>
      <c r="Z232" s="1333"/>
      <c r="AA232" s="1333"/>
      <c r="AB232" s="1333"/>
      <c r="AC232" s="1333"/>
      <c r="AD232" s="1333"/>
      <c r="AE232" s="1333"/>
      <c r="AF232" s="1333"/>
      <c r="AG232" s="1333"/>
      <c r="AH232" s="1333"/>
      <c r="AI232" s="1333"/>
      <c r="AJ232" s="1333"/>
    </row>
    <row r="233" spans="1:48" ht="15" customHeight="1" x14ac:dyDescent="0.25">
      <c r="A233" s="1462"/>
      <c r="B233" s="191"/>
      <c r="C233" s="1654"/>
      <c r="D233" s="411"/>
      <c r="E233" s="466"/>
      <c r="F233" s="559" t="str">
        <f>IF('C-Design&amp;Const'!$I233="","",'C-Design&amp;Const'!$I233)</f>
        <v>N</v>
      </c>
      <c r="G233" s="491"/>
      <c r="H233" s="469" t="str">
        <f>CONCATENATE(IF(F233="N","PLACEHOLDER ROW - ",""),'C-Design&amp;Const'!Z233,IF(F233="N","",J233))</f>
        <v xml:space="preserve">PLACEHOLDER ROW - CUSTOM - Architectural  </v>
      </c>
      <c r="I233" s="184"/>
      <c r="J233" s="578" t="str">
        <f>IF('C-Design&amp;Const'!AE233="","",'C-Design&amp;Const'!AE233)</f>
        <v>(Preliminary)</v>
      </c>
      <c r="K233" s="246" t="str">
        <f t="shared" si="15"/>
        <v/>
      </c>
      <c r="L233" s="1410" t="str">
        <f t="shared" si="15"/>
        <v>&lt;---PM/Planner may hide PLACEHOLDER ROW</v>
      </c>
      <c r="M233" s="1333"/>
      <c r="N233" s="1333"/>
      <c r="O233" s="1333"/>
      <c r="P233" s="1333"/>
      <c r="Q233" s="1333"/>
      <c r="R233" s="1333"/>
      <c r="S233" s="1333"/>
      <c r="T233" s="1333"/>
      <c r="U233" s="1333"/>
      <c r="V233" s="1333"/>
      <c r="W233" s="1333"/>
      <c r="X233" s="1333"/>
      <c r="Y233" s="1333"/>
      <c r="Z233" s="1333"/>
      <c r="AA233" s="1333"/>
      <c r="AB233" s="1333"/>
      <c r="AC233" s="1333"/>
      <c r="AD233" s="1333"/>
      <c r="AE233" s="1333"/>
      <c r="AF233" s="1333"/>
      <c r="AG233" s="1333"/>
      <c r="AH233" s="1333"/>
      <c r="AI233" s="1333"/>
      <c r="AJ233" s="1333"/>
    </row>
    <row r="234" spans="1:48" s="542" customFormat="1" ht="15" customHeight="1" x14ac:dyDescent="0.25">
      <c r="A234" s="1462"/>
      <c r="B234" s="554"/>
      <c r="C234" s="1654"/>
      <c r="D234" s="411"/>
      <c r="E234" s="466"/>
      <c r="F234" s="559" t="str">
        <f>IF('C-Design&amp;Const'!$I234="","",'C-Design&amp;Const'!$I234)</f>
        <v>Y</v>
      </c>
      <c r="G234" s="491"/>
      <c r="H234" s="469" t="str">
        <f>CONCATENATE(IF(F234="N","PLACEHOLDER ROW - ",""),'C-Design&amp;Const'!Z234,IF(F234="N","",J234))</f>
        <v>Architectural Symbols, Abbreviations, and General Notes (Preliminary with Options)</v>
      </c>
      <c r="I234" s="552"/>
      <c r="J234" s="578" t="str">
        <f>IF('C-Design&amp;Const'!AE234="","",'C-Design&amp;Const'!AE234)</f>
        <v>(Preliminary with Options)</v>
      </c>
      <c r="K234" s="246" t="str">
        <f t="shared" si="15"/>
        <v/>
      </c>
      <c r="L234" s="1410" t="str">
        <f t="shared" si="15"/>
        <v/>
      </c>
      <c r="M234" s="1333"/>
      <c r="N234" s="1333"/>
      <c r="O234" s="1333"/>
      <c r="P234" s="1333"/>
      <c r="Q234" s="1333"/>
      <c r="R234" s="1333"/>
      <c r="S234" s="1333"/>
      <c r="T234" s="1333"/>
      <c r="U234" s="1333"/>
      <c r="V234" s="1333"/>
      <c r="W234" s="1333"/>
      <c r="X234" s="1333"/>
      <c r="Y234" s="1333"/>
      <c r="Z234" s="1333"/>
      <c r="AA234" s="1333"/>
      <c r="AB234" s="1333"/>
      <c r="AC234" s="1333"/>
      <c r="AD234" s="1333"/>
      <c r="AE234" s="1333"/>
      <c r="AF234" s="1333"/>
      <c r="AG234" s="1333"/>
      <c r="AH234" s="1333"/>
      <c r="AI234" s="1333"/>
      <c r="AJ234" s="1333"/>
      <c r="AK234" s="17"/>
      <c r="AL234" s="17"/>
      <c r="AM234" s="17"/>
      <c r="AN234" s="17"/>
      <c r="AO234" s="17"/>
      <c r="AP234" s="17"/>
      <c r="AQ234" s="17"/>
      <c r="AR234" s="17"/>
      <c r="AS234" s="17"/>
      <c r="AT234" s="17"/>
      <c r="AU234" s="17"/>
      <c r="AV234" s="17"/>
    </row>
    <row r="235" spans="1:48" ht="15" customHeight="1" x14ac:dyDescent="0.25">
      <c r="A235" s="1462"/>
      <c r="B235" s="191"/>
      <c r="C235" s="1654"/>
      <c r="D235" s="411"/>
      <c r="E235" s="466"/>
      <c r="F235" s="559" t="str">
        <f>IF('C-Design&amp;Const'!$I235="","",'C-Design&amp;Const'!$I235)</f>
        <v>Y</v>
      </c>
      <c r="G235" s="491"/>
      <c r="H235" s="469" t="str">
        <f>CONCATENATE(IF(F235="N","PLACEHOLDER ROW - ",""),'C-Design&amp;Const'!Z235,IF(F235="N","",J235))</f>
        <v>Renderings (Preliminary with Options)</v>
      </c>
      <c r="I235" s="184"/>
      <c r="J235" s="578" t="str">
        <f>IF('C-Design&amp;Const'!AE235="","",'C-Design&amp;Const'!AE235)</f>
        <v>(Preliminary with Options)</v>
      </c>
      <c r="K235" s="246" t="str">
        <f t="shared" si="15"/>
        <v/>
      </c>
      <c r="L235" s="1410" t="str">
        <f t="shared" si="15"/>
        <v/>
      </c>
      <c r="M235" s="1333"/>
      <c r="N235" s="1333"/>
      <c r="O235" s="1333"/>
      <c r="P235" s="1333"/>
      <c r="Q235" s="1333"/>
      <c r="R235" s="1333"/>
      <c r="S235" s="1333"/>
      <c r="T235" s="1333"/>
      <c r="U235" s="1333"/>
      <c r="V235" s="1333"/>
      <c r="W235" s="1333"/>
      <c r="X235" s="1333"/>
      <c r="Y235" s="1333"/>
      <c r="Z235" s="1333"/>
      <c r="AA235" s="1333"/>
      <c r="AB235" s="1333"/>
      <c r="AC235" s="1333"/>
      <c r="AD235" s="1333"/>
      <c r="AE235" s="1333"/>
      <c r="AF235" s="1333"/>
      <c r="AG235" s="1333"/>
      <c r="AH235" s="1333"/>
      <c r="AI235" s="1333"/>
      <c r="AJ235" s="1333"/>
    </row>
    <row r="236" spans="1:48" s="542" customFormat="1" ht="15" customHeight="1" x14ac:dyDescent="0.25">
      <c r="A236" s="1462"/>
      <c r="B236" s="554"/>
      <c r="C236" s="1654"/>
      <c r="D236" s="411"/>
      <c r="E236" s="466"/>
      <c r="F236" s="559" t="str">
        <f>IF('C-Design&amp;Const'!$I236="","",'C-Design&amp;Const'!$I236)</f>
        <v>N</v>
      </c>
      <c r="G236" s="558"/>
      <c r="H236" s="469" t="str">
        <f>CONCATENATE(IF(F236="N","PLACEHOLDER ROW - ",""),'C-Design&amp;Const'!Z236,IF(F236="N","",J236))</f>
        <v xml:space="preserve">PLACEHOLDER ROW - Demolition(s) </v>
      </c>
      <c r="I236" s="552"/>
      <c r="J236" s="578" t="str">
        <f>IF('C-Design&amp;Const'!AE236="","",'C-Design&amp;Const'!AE236)</f>
        <v>(Preliminary with Options)</v>
      </c>
      <c r="K236" s="246" t="str">
        <f t="shared" ref="K236" si="24">CONCATENATE(IF(ISNUMBER(SEARCH("Placeholder",G236))=TRUE,"&lt;---PM/Planner may hide PLACEHOLDER ROW",""))</f>
        <v/>
      </c>
      <c r="L236" s="1410" t="str">
        <f t="shared" ref="L236" si="25">CONCATENATE(IF(ISNUMBER(SEARCH("Placeholder",H236))=TRUE,"&lt;---PM/Planner may hide PLACEHOLDER ROW",""))</f>
        <v>&lt;---PM/Planner may hide PLACEHOLDER ROW</v>
      </c>
      <c r="M236" s="1333"/>
      <c r="N236" s="1333"/>
      <c r="O236" s="1333"/>
      <c r="P236" s="1333"/>
      <c r="Q236" s="1333"/>
      <c r="R236" s="1333"/>
      <c r="S236" s="1333"/>
      <c r="T236" s="1333"/>
      <c r="U236" s="1333"/>
      <c r="V236" s="1333"/>
      <c r="W236" s="1333"/>
      <c r="X236" s="1333"/>
      <c r="Y236" s="1333"/>
      <c r="Z236" s="1333"/>
      <c r="AA236" s="1333"/>
      <c r="AB236" s="1333"/>
      <c r="AC236" s="1333"/>
      <c r="AD236" s="1333"/>
      <c r="AE236" s="1333"/>
      <c r="AF236" s="1333"/>
      <c r="AG236" s="1333"/>
      <c r="AH236" s="1333"/>
      <c r="AI236" s="1333"/>
      <c r="AJ236" s="1333"/>
      <c r="AK236" s="17"/>
      <c r="AL236" s="17"/>
      <c r="AM236" s="17"/>
      <c r="AN236" s="17"/>
      <c r="AO236" s="17"/>
      <c r="AP236" s="17"/>
      <c r="AQ236" s="17"/>
      <c r="AR236" s="17"/>
      <c r="AS236" s="17"/>
      <c r="AT236" s="17"/>
      <c r="AU236" s="17"/>
      <c r="AV236" s="17"/>
    </row>
    <row r="237" spans="1:48" x14ac:dyDescent="0.25">
      <c r="A237" s="1462"/>
      <c r="B237" s="125"/>
      <c r="C237" s="944"/>
      <c r="D237" s="411"/>
      <c r="E237" s="466"/>
      <c r="F237" s="559" t="str">
        <f>IF('C-Design&amp;Const'!$I237="","",'C-Design&amp;Const'!$I237)</f>
        <v>N</v>
      </c>
      <c r="G237" s="485"/>
      <c r="H237" s="469" t="str">
        <f>CONCATENATE(IF(F237="N","PLACEHOLDER ROW - ",""),'C-Design&amp;Const'!Z237,IF(F237="N","",J237))</f>
        <v xml:space="preserve">PLACEHOLDER ROW - Floor Plans - Large Scale </v>
      </c>
      <c r="I237" s="137"/>
      <c r="J237" s="578" t="str">
        <f>IF('C-Design&amp;Const'!AE237="","",'C-Design&amp;Const'!AE237)</f>
        <v>(Preliminary with Options)</v>
      </c>
      <c r="K237" s="246" t="str">
        <f>CONCATENATE(IF(ISNUMBER(SEARCH("Placeholder",G237))=TRUE,"&lt;---PM/Planner may hide PLACEHOLDER ROW",""))</f>
        <v/>
      </c>
      <c r="L237" s="1410" t="str">
        <f>CONCATENATE(IF(ISNUMBER(SEARCH("Placeholder",H237))=TRUE,"&lt;---PM/Planner may hide PLACEHOLDER ROW",""))</f>
        <v>&lt;---PM/Planner may hide PLACEHOLDER ROW</v>
      </c>
      <c r="M237" s="1333"/>
      <c r="N237" s="1333"/>
      <c r="O237" s="1382"/>
      <c r="P237" s="1333"/>
      <c r="Q237" s="1454"/>
      <c r="R237" s="1284"/>
      <c r="S237" s="1284"/>
      <c r="T237" s="1333"/>
      <c r="U237" s="1333"/>
      <c r="V237" s="1333"/>
      <c r="W237" s="1333"/>
      <c r="X237" s="1333"/>
      <c r="Y237" s="1333"/>
      <c r="Z237" s="1333"/>
      <c r="AA237" s="1333"/>
      <c r="AB237" s="1333"/>
      <c r="AC237" s="1333"/>
      <c r="AD237" s="1333"/>
      <c r="AE237" s="1333"/>
      <c r="AF237" s="1333"/>
      <c r="AG237" s="1333"/>
      <c r="AH237" s="1333"/>
      <c r="AI237" s="1333"/>
      <c r="AJ237" s="1333"/>
    </row>
    <row r="238" spans="1:48" x14ac:dyDescent="0.25">
      <c r="A238" s="1462"/>
      <c r="B238" s="125"/>
      <c r="C238" s="944"/>
      <c r="D238" s="411"/>
      <c r="E238" s="466"/>
      <c r="F238" s="559" t="str">
        <f>IF('C-Design&amp;Const'!$I238="","",'C-Design&amp;Const'!$I238)</f>
        <v>Y</v>
      </c>
      <c r="G238" s="485"/>
      <c r="H238" s="469" t="str">
        <f>CONCATENATE(IF(F238="N","PLACEHOLDER ROW - ",""),'C-Design&amp;Const'!Z238,IF(F238="N","",J238))</f>
        <v>Floor Plans (Preliminary with Options)</v>
      </c>
      <c r="I238" s="137"/>
      <c r="J238" s="578" t="str">
        <f>IF('C-Design&amp;Const'!AE238="","",'C-Design&amp;Const'!AE238)</f>
        <v>(Preliminary with Options)</v>
      </c>
      <c r="K238" s="246" t="str">
        <f t="shared" si="15"/>
        <v/>
      </c>
      <c r="L238" s="1410" t="str">
        <f t="shared" si="15"/>
        <v/>
      </c>
      <c r="M238" s="1333"/>
      <c r="N238" s="1333"/>
      <c r="O238" s="1382"/>
      <c r="P238" s="1333"/>
      <c r="Q238" s="1454"/>
      <c r="R238" s="1284"/>
      <c r="S238" s="1284"/>
      <c r="T238" s="1333"/>
      <c r="U238" s="1333"/>
      <c r="V238" s="1333"/>
      <c r="W238" s="1333"/>
      <c r="X238" s="1333"/>
      <c r="Y238" s="1333"/>
      <c r="Z238" s="1333"/>
      <c r="AA238" s="1333"/>
      <c r="AB238" s="1333"/>
      <c r="AC238" s="1333"/>
      <c r="AD238" s="1333"/>
      <c r="AE238" s="1333"/>
      <c r="AF238" s="1333"/>
      <c r="AG238" s="1333"/>
      <c r="AH238" s="1333"/>
      <c r="AI238" s="1333"/>
      <c r="AJ238" s="1333"/>
    </row>
    <row r="239" spans="1:48" x14ac:dyDescent="0.25">
      <c r="A239" s="1462"/>
      <c r="B239" s="125"/>
      <c r="C239" s="944"/>
      <c r="D239" s="411"/>
      <c r="E239" s="466"/>
      <c r="F239" s="559" t="str">
        <f>IF('C-Design&amp;Const'!$I239="","",'C-Design&amp;Const'!$I239)</f>
        <v>Y</v>
      </c>
      <c r="G239" s="485"/>
      <c r="H239" s="469" t="str">
        <f>CONCATENATE(IF(F239="N","PLACEHOLDER ROW - ",""),'C-Design&amp;Const'!Z239,IF(F239="N","",J239))</f>
        <v>Roof Plan (Preliminary with Options)</v>
      </c>
      <c r="I239" s="137"/>
      <c r="J239" s="578" t="str">
        <f>IF('C-Design&amp;Const'!AE239="","",'C-Design&amp;Const'!AE239)</f>
        <v>(Preliminary with Options)</v>
      </c>
      <c r="K239" s="246" t="str">
        <f t="shared" si="15"/>
        <v/>
      </c>
      <c r="L239" s="1410" t="str">
        <f t="shared" si="15"/>
        <v/>
      </c>
      <c r="M239" s="1333"/>
      <c r="N239" s="1333"/>
      <c r="O239" s="1382"/>
      <c r="P239" s="1333"/>
      <c r="Q239" s="1454"/>
      <c r="R239" s="1284"/>
      <c r="S239" s="1284"/>
      <c r="T239" s="1333"/>
      <c r="U239" s="1333"/>
      <c r="V239" s="1333"/>
      <c r="W239" s="1333"/>
      <c r="X239" s="1333"/>
      <c r="Y239" s="1333"/>
      <c r="Z239" s="1333"/>
      <c r="AA239" s="1333"/>
      <c r="AB239" s="1333"/>
      <c r="AC239" s="1333"/>
      <c r="AD239" s="1333"/>
      <c r="AE239" s="1333"/>
      <c r="AF239" s="1333"/>
      <c r="AG239" s="1333"/>
      <c r="AH239" s="1333"/>
      <c r="AI239" s="1333"/>
      <c r="AJ239" s="1333"/>
    </row>
    <row r="240" spans="1:48" ht="21.75" customHeight="1" x14ac:dyDescent="0.25">
      <c r="A240" s="1462"/>
      <c r="B240" s="125"/>
      <c r="C240" s="944"/>
      <c r="D240" s="411"/>
      <c r="E240" s="466"/>
      <c r="F240" s="559" t="str">
        <f>IF('C-Design&amp;Const'!$I240="","",'C-Design&amp;Const'!$I240)</f>
        <v>Y</v>
      </c>
      <c r="G240" s="485"/>
      <c r="H240" s="469" t="str">
        <f>CONCATENATE(IF(F240="N","PLACEHOLDER ROW - ",""),'C-Design&amp;Const'!Z240,IF(F240="N","",J240))</f>
        <v>Building Elevations - Exterior (Preliminary with Options)</v>
      </c>
      <c r="I240" s="137"/>
      <c r="J240" s="578" t="str">
        <f>IF('C-Design&amp;Const'!AE240="","",'C-Design&amp;Const'!AE240)</f>
        <v>(Preliminary with Options)</v>
      </c>
      <c r="K240" s="246" t="str">
        <f t="shared" si="15"/>
        <v/>
      </c>
      <c r="L240" s="1410" t="str">
        <f t="shared" si="15"/>
        <v/>
      </c>
      <c r="M240" s="1333"/>
      <c r="N240" s="1333"/>
      <c r="O240" s="1382"/>
      <c r="P240" s="1333"/>
      <c r="Q240" s="1454"/>
      <c r="R240" s="1284"/>
      <c r="S240" s="1284"/>
      <c r="T240" s="1333"/>
      <c r="U240" s="1333"/>
      <c r="V240" s="1333"/>
      <c r="W240" s="1333"/>
      <c r="X240" s="1333"/>
      <c r="Y240" s="1333"/>
      <c r="Z240" s="1333"/>
      <c r="AA240" s="1333"/>
      <c r="AB240" s="1333"/>
      <c r="AC240" s="1333"/>
      <c r="AD240" s="1333"/>
      <c r="AE240" s="1333"/>
      <c r="AF240" s="1333"/>
      <c r="AG240" s="1333"/>
      <c r="AH240" s="1333"/>
      <c r="AI240" s="1333"/>
      <c r="AJ240" s="1333"/>
    </row>
    <row r="241" spans="1:48" x14ac:dyDescent="0.25">
      <c r="A241" s="1462"/>
      <c r="B241" s="125"/>
      <c r="C241" s="944"/>
      <c r="D241" s="411"/>
      <c r="E241" s="466"/>
      <c r="F241" s="559" t="str">
        <f>IF('C-Design&amp;Const'!$I241="","",'C-Design&amp;Const'!$I241)</f>
        <v>N</v>
      </c>
      <c r="G241" s="485"/>
      <c r="H241" s="469" t="str">
        <f>CONCATENATE(IF(F241="N","PLACEHOLDER ROW - ",""),'C-Design&amp;Const'!Z241,IF(F241="N","",J241))</f>
        <v xml:space="preserve">PLACEHOLDER ROW - Transverse and Longitudinal Sections </v>
      </c>
      <c r="I241" s="137"/>
      <c r="J241" s="578" t="str">
        <f>IF('C-Design&amp;Const'!AE241="","",'C-Design&amp;Const'!AE241)</f>
        <v>(Preliminary)</v>
      </c>
      <c r="K241" s="246" t="str">
        <f t="shared" si="15"/>
        <v/>
      </c>
      <c r="L241" s="1410" t="str">
        <f t="shared" si="15"/>
        <v>&lt;---PM/Planner may hide PLACEHOLDER ROW</v>
      </c>
      <c r="M241" s="1333"/>
      <c r="N241" s="1333"/>
      <c r="O241" s="1382"/>
      <c r="P241" s="1333"/>
      <c r="Q241" s="1454"/>
      <c r="R241" s="1284"/>
      <c r="S241" s="1284"/>
      <c r="T241" s="1333"/>
      <c r="U241" s="1333"/>
      <c r="V241" s="1333"/>
      <c r="W241" s="1333"/>
      <c r="X241" s="1333"/>
      <c r="Y241" s="1333"/>
      <c r="Z241" s="1333"/>
      <c r="AA241" s="1333"/>
      <c r="AB241" s="1333"/>
      <c r="AC241" s="1333"/>
      <c r="AD241" s="1333"/>
      <c r="AE241" s="1333"/>
      <c r="AF241" s="1333"/>
      <c r="AG241" s="1333"/>
      <c r="AH241" s="1333"/>
      <c r="AI241" s="1333"/>
      <c r="AJ241" s="1333"/>
    </row>
    <row r="242" spans="1:48" x14ac:dyDescent="0.25">
      <c r="A242" s="1462"/>
      <c r="B242" s="125"/>
      <c r="C242" s="944"/>
      <c r="D242" s="411"/>
      <c r="E242" s="466"/>
      <c r="F242" s="559" t="str">
        <f>IF('C-Design&amp;Const'!$I242="","",'C-Design&amp;Const'!$I242)</f>
        <v>N</v>
      </c>
      <c r="G242" s="485"/>
      <c r="H242" s="469" t="str">
        <f>CONCATENATE(IF(F242="N","PLACEHOLDER ROW - ",""),'C-Design&amp;Const'!Z242,IF(F242="N","",J242))</f>
        <v xml:space="preserve">PLACEHOLDER ROW - Wall Sections - All Major Exterior </v>
      </c>
      <c r="I242" s="137"/>
      <c r="J242" s="578" t="str">
        <f>IF('C-Design&amp;Const'!AE242="","",'C-Design&amp;Const'!AE242)</f>
        <v>(Preliminary with Options)</v>
      </c>
      <c r="K242" s="246" t="str">
        <f t="shared" si="15"/>
        <v/>
      </c>
      <c r="L242" s="1410" t="str">
        <f t="shared" si="15"/>
        <v>&lt;---PM/Planner may hide PLACEHOLDER ROW</v>
      </c>
      <c r="M242" s="1333"/>
      <c r="N242" s="1333"/>
      <c r="O242" s="1382"/>
      <c r="P242" s="1333"/>
      <c r="Q242" s="1454"/>
      <c r="R242" s="1284"/>
      <c r="S242" s="1284"/>
      <c r="T242" s="1333"/>
      <c r="U242" s="1333"/>
      <c r="V242" s="1333"/>
      <c r="W242" s="1333"/>
      <c r="X242" s="1333"/>
      <c r="Y242" s="1333"/>
      <c r="Z242" s="1333"/>
      <c r="AA242" s="1333"/>
      <c r="AB242" s="1333"/>
      <c r="AC242" s="1333"/>
      <c r="AD242" s="1333"/>
      <c r="AE242" s="1333"/>
      <c r="AF242" s="1333"/>
      <c r="AG242" s="1333"/>
      <c r="AH242" s="1333"/>
      <c r="AI242" s="1333"/>
      <c r="AJ242" s="1333"/>
    </row>
    <row r="243" spans="1:48" x14ac:dyDescent="0.25">
      <c r="A243" s="1462"/>
      <c r="B243" s="125"/>
      <c r="C243" s="944"/>
      <c r="D243" s="411"/>
      <c r="E243" s="466"/>
      <c r="F243" s="559" t="str">
        <f>IF('C-Design&amp;Const'!$I243="","",'C-Design&amp;Const'!$I243)</f>
        <v>N</v>
      </c>
      <c r="G243" s="485"/>
      <c r="H243" s="469" t="str">
        <f>CONCATENATE(IF(F243="N","PLACEHOLDER ROW - ",""),'C-Design&amp;Const'!Z243,IF(F243="N","",J243))</f>
        <v xml:space="preserve">PLACEHOLDER ROW - Partial Sections and Details </v>
      </c>
      <c r="I243" s="137"/>
      <c r="J243" s="578" t="str">
        <f>IF('C-Design&amp;Const'!AE243="","",'C-Design&amp;Const'!AE243)</f>
        <v>(Preliminary with Options)</v>
      </c>
      <c r="K243" s="246" t="str">
        <f t="shared" si="15"/>
        <v/>
      </c>
      <c r="L243" s="1410" t="str">
        <f t="shared" si="15"/>
        <v>&lt;---PM/Planner may hide PLACEHOLDER ROW</v>
      </c>
      <c r="M243" s="1333"/>
      <c r="N243" s="1333"/>
      <c r="O243" s="1382"/>
      <c r="P243" s="1333"/>
      <c r="Q243" s="1454"/>
      <c r="R243" s="1284"/>
      <c r="S243" s="1284"/>
      <c r="T243" s="1333"/>
      <c r="U243" s="1333"/>
      <c r="V243" s="1333"/>
      <c r="W243" s="1333"/>
      <c r="X243" s="1333"/>
      <c r="Y243" s="1333"/>
      <c r="Z243" s="1333"/>
      <c r="AA243" s="1333"/>
      <c r="AB243" s="1333"/>
      <c r="AC243" s="1333"/>
      <c r="AD243" s="1333"/>
      <c r="AE243" s="1333"/>
      <c r="AF243" s="1333"/>
      <c r="AG243" s="1333"/>
      <c r="AH243" s="1333"/>
      <c r="AI243" s="1333"/>
      <c r="AJ243" s="1333"/>
    </row>
    <row r="244" spans="1:48" x14ac:dyDescent="0.25">
      <c r="A244" s="1462"/>
      <c r="B244" s="125"/>
      <c r="C244" s="944"/>
      <c r="D244" s="411"/>
      <c r="E244" s="466"/>
      <c r="F244" s="559" t="str">
        <f>IF('C-Design&amp;Const'!$I244="","",'C-Design&amp;Const'!$I244)</f>
        <v>Y</v>
      </c>
      <c r="G244" s="485"/>
      <c r="H244" s="469" t="str">
        <f>CONCATENATE(IF(F244="N","PLACEHOLDER ROW - ",""),'C-Design&amp;Const'!Z244,IF(F244="N","",J244))</f>
        <v>Wall / Window Details (Sustantially Complete)</v>
      </c>
      <c r="I244" s="137"/>
      <c r="J244" s="578" t="str">
        <f>IF('C-Design&amp;Const'!AE244="","",'C-Design&amp;Const'!AE244)</f>
        <v>(Sustantially Complete)</v>
      </c>
      <c r="K244" s="246" t="str">
        <f t="shared" si="15"/>
        <v/>
      </c>
      <c r="L244" s="1410" t="str">
        <f t="shared" si="15"/>
        <v/>
      </c>
      <c r="M244" s="1333"/>
      <c r="N244" s="1333"/>
      <c r="O244" s="1382"/>
      <c r="P244" s="1333"/>
      <c r="Q244" s="1454"/>
      <c r="R244" s="1284"/>
      <c r="S244" s="1284"/>
      <c r="T244" s="1333"/>
      <c r="U244" s="1333"/>
      <c r="V244" s="1333"/>
      <c r="W244" s="1333"/>
      <c r="X244" s="1333"/>
      <c r="Y244" s="1333"/>
      <c r="Z244" s="1333"/>
      <c r="AA244" s="1333"/>
      <c r="AB244" s="1333"/>
      <c r="AC244" s="1333"/>
      <c r="AD244" s="1333"/>
      <c r="AE244" s="1333"/>
      <c r="AF244" s="1333"/>
      <c r="AG244" s="1333"/>
      <c r="AH244" s="1333"/>
      <c r="AI244" s="1333"/>
      <c r="AJ244" s="1333"/>
    </row>
    <row r="245" spans="1:48" s="30" customFormat="1" ht="15" customHeight="1" x14ac:dyDescent="0.25">
      <c r="A245" s="1462"/>
      <c r="B245" s="191"/>
      <c r="C245" s="944"/>
      <c r="D245" s="463"/>
      <c r="E245" s="466"/>
      <c r="F245" s="359" t="str">
        <f>IF('C-Design&amp;Const'!$I245="","",'C-Design&amp;Const'!$I245)</f>
        <v>Y</v>
      </c>
      <c r="G245" s="291"/>
      <c r="H245" s="469" t="str">
        <f>CONCATENATE(IF(F245="N","PLACEHOLDER ROW - ",""),'C-Design&amp;Const'!Z245,IF(F245="N","",J245))</f>
        <v>Sections through Elevators (Preliminary)</v>
      </c>
      <c r="I245" s="184"/>
      <c r="J245" s="578" t="str">
        <f>IF('C-Design&amp;Const'!AE245="","",'C-Design&amp;Const'!AE245)</f>
        <v>(Preliminary)</v>
      </c>
      <c r="K245" s="246" t="str">
        <f t="shared" si="15"/>
        <v/>
      </c>
      <c r="L245" s="1410" t="str">
        <f t="shared" si="15"/>
        <v/>
      </c>
      <c r="M245" s="1382"/>
      <c r="N245" s="1382"/>
      <c r="O245" s="1382"/>
      <c r="P245" s="1382"/>
      <c r="Q245" s="1382"/>
      <c r="R245" s="1382"/>
      <c r="S245" s="1382"/>
      <c r="T245" s="1382"/>
      <c r="U245" s="1382"/>
      <c r="V245" s="1382"/>
      <c r="W245" s="1382"/>
      <c r="X245" s="1382"/>
      <c r="Y245" s="1382"/>
      <c r="Z245" s="1382"/>
      <c r="AA245" s="1382"/>
      <c r="AB245" s="1382"/>
      <c r="AC245" s="1382"/>
      <c r="AD245" s="1382"/>
      <c r="AE245" s="1382"/>
      <c r="AF245" s="1382"/>
      <c r="AG245" s="1382"/>
      <c r="AH245" s="1382"/>
      <c r="AI245" s="1382"/>
      <c r="AJ245" s="1382"/>
      <c r="AK245" s="181"/>
      <c r="AL245" s="181"/>
      <c r="AM245" s="181"/>
      <c r="AN245" s="181"/>
      <c r="AO245" s="181"/>
      <c r="AP245" s="181"/>
      <c r="AQ245" s="181"/>
      <c r="AR245" s="181"/>
      <c r="AS245" s="181"/>
      <c r="AT245" s="181"/>
      <c r="AU245" s="181"/>
      <c r="AV245" s="181"/>
    </row>
    <row r="246" spans="1:48" x14ac:dyDescent="0.25">
      <c r="A246" s="1462"/>
      <c r="B246" s="125"/>
      <c r="C246" s="944"/>
      <c r="D246" s="411"/>
      <c r="E246" s="466"/>
      <c r="F246" s="559" t="str">
        <f>IF('C-Design&amp;Const'!$I246="","",'C-Design&amp;Const'!$I246)</f>
        <v>N</v>
      </c>
      <c r="G246" s="485"/>
      <c r="H246" s="469" t="str">
        <f>CONCATENATE(IF(F246="N","PLACEHOLDER ROW - ",""),'C-Design&amp;Const'!Z246,IF(F246="N","",J246))</f>
        <v xml:space="preserve">PLACEHOLDER ROW - Exterior Wall and Roof Details </v>
      </c>
      <c r="I246" s="137"/>
      <c r="J246" s="578" t="str">
        <f>IF('C-Design&amp;Const'!AE246="","",'C-Design&amp;Const'!AE246)</f>
        <v>(Preliminary with Options)</v>
      </c>
      <c r="K246" s="246" t="str">
        <f t="shared" si="15"/>
        <v/>
      </c>
      <c r="L246" s="1410" t="str">
        <f t="shared" si="15"/>
        <v>&lt;---PM/Planner may hide PLACEHOLDER ROW</v>
      </c>
      <c r="M246" s="1333"/>
      <c r="N246" s="1333"/>
      <c r="O246" s="1382"/>
      <c r="P246" s="1333"/>
      <c r="Q246" s="1454"/>
      <c r="R246" s="1284"/>
      <c r="S246" s="1284"/>
      <c r="T246" s="1333"/>
      <c r="U246" s="1333"/>
      <c r="V246" s="1333"/>
      <c r="W246" s="1333"/>
      <c r="X246" s="1333"/>
      <c r="Y246" s="1333"/>
      <c r="Z246" s="1333"/>
      <c r="AA246" s="1333"/>
      <c r="AB246" s="1333"/>
      <c r="AC246" s="1333"/>
      <c r="AD246" s="1333"/>
      <c r="AE246" s="1333"/>
      <c r="AF246" s="1333"/>
      <c r="AG246" s="1333"/>
      <c r="AH246" s="1333"/>
      <c r="AI246" s="1333"/>
      <c r="AJ246" s="1333"/>
    </row>
    <row r="247" spans="1:48" x14ac:dyDescent="0.25">
      <c r="A247" s="1462"/>
      <c r="B247" s="125"/>
      <c r="C247" s="944"/>
      <c r="D247" s="411"/>
      <c r="E247" s="466"/>
      <c r="F247" s="559" t="str">
        <f>IF('C-Design&amp;Const'!$I247="","",'C-Design&amp;Const'!$I247)</f>
        <v>N</v>
      </c>
      <c r="G247" s="485"/>
      <c r="H247" s="469" t="str">
        <f>CONCATENATE(IF(F247="N","PLACEHOLDER ROW - ",""),'C-Design&amp;Const'!Z247,IF(F247="N","",J247))</f>
        <v xml:space="preserve">PLACEHOLDER ROW - Reflected Ceiling Plan </v>
      </c>
      <c r="I247" s="137"/>
      <c r="J247" s="578" t="str">
        <f>IF('C-Design&amp;Const'!AE247="","",'C-Design&amp;Const'!AE247)</f>
        <v>(Preliminary)</v>
      </c>
      <c r="K247" s="246" t="str">
        <f t="shared" si="15"/>
        <v/>
      </c>
      <c r="L247" s="1410" t="str">
        <f t="shared" si="15"/>
        <v>&lt;---PM/Planner may hide PLACEHOLDER ROW</v>
      </c>
      <c r="M247" s="1333"/>
      <c r="N247" s="1333"/>
      <c r="O247" s="1382"/>
      <c r="P247" s="1333"/>
      <c r="Q247" s="1454"/>
      <c r="R247" s="1284"/>
      <c r="S247" s="1284"/>
      <c r="T247" s="1333"/>
      <c r="U247" s="1333"/>
      <c r="V247" s="1333"/>
      <c r="W247" s="1333"/>
      <c r="X247" s="1333"/>
      <c r="Y247" s="1333"/>
      <c r="Z247" s="1333"/>
      <c r="AA247" s="1333"/>
      <c r="AB247" s="1333"/>
      <c r="AC247" s="1333"/>
      <c r="AD247" s="1333"/>
      <c r="AE247" s="1333"/>
      <c r="AF247" s="1333"/>
      <c r="AG247" s="1333"/>
      <c r="AH247" s="1333"/>
      <c r="AI247" s="1333"/>
      <c r="AJ247" s="1333"/>
    </row>
    <row r="248" spans="1:48" s="30" customFormat="1" ht="15" customHeight="1" x14ac:dyDescent="0.25">
      <c r="A248" s="1462"/>
      <c r="B248" s="191"/>
      <c r="C248" s="944"/>
      <c r="D248" s="463"/>
      <c r="E248" s="466"/>
      <c r="F248" s="359" t="str">
        <f>IF('C-Design&amp;Const'!$I248="","",'C-Design&amp;Const'!$I248)</f>
        <v>N</v>
      </c>
      <c r="G248" s="291"/>
      <c r="H248" s="469" t="str">
        <f>CONCATENATE(IF(F248="N","PLACEHOLDER ROW - ",""),'C-Design&amp;Const'!Z248,IF(F248="N","",J248))</f>
        <v>PLACEHOLDER ROW - Interior Elevations and Details</v>
      </c>
      <c r="I248" s="184"/>
      <c r="J248" s="578" t="str">
        <f>IF('C-Design&amp;Const'!AE248="","",'C-Design&amp;Const'!AE248)</f>
        <v>(Preliminary)</v>
      </c>
      <c r="K248" s="246" t="str">
        <f t="shared" si="15"/>
        <v/>
      </c>
      <c r="L248" s="1410" t="str">
        <f t="shared" si="15"/>
        <v>&lt;---PM/Planner may hide PLACEHOLDER ROW</v>
      </c>
      <c r="M248" s="1382"/>
      <c r="N248" s="1382"/>
      <c r="O248" s="1382"/>
      <c r="P248" s="1382"/>
      <c r="Q248" s="1382"/>
      <c r="R248" s="1382"/>
      <c r="S248" s="1382"/>
      <c r="T248" s="1382"/>
      <c r="U248" s="1382"/>
      <c r="V248" s="1382"/>
      <c r="W248" s="1382"/>
      <c r="X248" s="1382"/>
      <c r="Y248" s="1382"/>
      <c r="Z248" s="1382"/>
      <c r="AA248" s="1382"/>
      <c r="AB248" s="1382"/>
      <c r="AC248" s="1382"/>
      <c r="AD248" s="1382"/>
      <c r="AE248" s="1382"/>
      <c r="AF248" s="1382"/>
      <c r="AG248" s="1382"/>
      <c r="AH248" s="1382"/>
      <c r="AI248" s="1382"/>
      <c r="AJ248" s="1382"/>
      <c r="AK248" s="181"/>
      <c r="AL248" s="181"/>
      <c r="AM248" s="181"/>
      <c r="AN248" s="181"/>
      <c r="AO248" s="181"/>
      <c r="AP248" s="181"/>
      <c r="AQ248" s="181"/>
      <c r="AR248" s="181"/>
      <c r="AS248" s="181"/>
      <c r="AT248" s="181"/>
      <c r="AU248" s="181"/>
      <c r="AV248" s="181"/>
    </row>
    <row r="249" spans="1:48" s="30" customFormat="1" ht="15" customHeight="1" x14ac:dyDescent="0.25">
      <c r="A249" s="1462"/>
      <c r="B249" s="191"/>
      <c r="C249" s="944"/>
      <c r="D249" s="463"/>
      <c r="E249" s="466"/>
      <c r="F249" s="359" t="str">
        <f>IF('C-Design&amp;Const'!$I249="","",'C-Design&amp;Const'!$I249)</f>
        <v>N</v>
      </c>
      <c r="G249" s="291"/>
      <c r="H249" s="469" t="str">
        <f>CONCATENATE(IF(F249="N","PLACEHOLDER ROW - ",""),'C-Design&amp;Const'!Z249,IF(F249="N","",J249))</f>
        <v xml:space="preserve">PLACEHOLDER ROW - Door/Hardware; Room Finish; Window; and Equipment Schedules </v>
      </c>
      <c r="I249" s="184"/>
      <c r="J249" s="578" t="str">
        <f>IF('C-Design&amp;Const'!AE249="","",'C-Design&amp;Const'!AE249)</f>
        <v/>
      </c>
      <c r="K249" s="246" t="str">
        <f t="shared" ref="K249:L326" si="26">CONCATENATE(IF(ISNUMBER(SEARCH("Placeholder",G249))=TRUE,"&lt;---PM/Planner may hide PLACEHOLDER ROW",""))</f>
        <v/>
      </c>
      <c r="L249" s="1410" t="str">
        <f t="shared" si="26"/>
        <v>&lt;---PM/Planner may hide PLACEHOLDER ROW</v>
      </c>
      <c r="M249" s="1382"/>
      <c r="N249" s="1382"/>
      <c r="O249" s="1382"/>
      <c r="P249" s="1382"/>
      <c r="Q249" s="1382"/>
      <c r="R249" s="1382"/>
      <c r="S249" s="1382"/>
      <c r="T249" s="1382"/>
      <c r="U249" s="1382"/>
      <c r="V249" s="1382"/>
      <c r="W249" s="1382"/>
      <c r="X249" s="1382"/>
      <c r="Y249" s="1382"/>
      <c r="Z249" s="1382"/>
      <c r="AA249" s="1382"/>
      <c r="AB249" s="1382"/>
      <c r="AC249" s="1382"/>
      <c r="AD249" s="1382"/>
      <c r="AE249" s="1382"/>
      <c r="AF249" s="1382"/>
      <c r="AG249" s="1382"/>
      <c r="AH249" s="1382"/>
      <c r="AI249" s="1382"/>
      <c r="AJ249" s="1382"/>
      <c r="AK249" s="181"/>
      <c r="AL249" s="181"/>
      <c r="AM249" s="181"/>
      <c r="AN249" s="181"/>
      <c r="AO249" s="181"/>
      <c r="AP249" s="181"/>
      <c r="AQ249" s="181"/>
      <c r="AR249" s="181"/>
      <c r="AS249" s="181"/>
      <c r="AT249" s="181"/>
      <c r="AU249" s="181"/>
      <c r="AV249" s="181"/>
    </row>
    <row r="250" spans="1:48" x14ac:dyDescent="0.25">
      <c r="A250" s="1462"/>
      <c r="B250" s="125"/>
      <c r="C250" s="944"/>
      <c r="D250" s="411"/>
      <c r="E250" s="466"/>
      <c r="F250" s="559" t="str">
        <f>IF('C-Design&amp;Const'!$I250="","",'C-Design&amp;Const'!$I250)</f>
        <v>N</v>
      </c>
      <c r="G250" s="485"/>
      <c r="H250" s="469" t="str">
        <f>CONCATENATE(IF(F250="N","PLACEHOLDER ROW - ",""),'C-Design&amp;Const'!Z250,IF(F250="N","",J250))</f>
        <v xml:space="preserve">PLACEHOLDER ROW - Interior Partition Types; Door and Window Details </v>
      </c>
      <c r="I250" s="136"/>
      <c r="J250" s="578" t="str">
        <f>IF('C-Design&amp;Const'!AE250="","",'C-Design&amp;Const'!AE250)</f>
        <v>(Preliminary with Options)</v>
      </c>
      <c r="K250" s="246" t="str">
        <f t="shared" si="26"/>
        <v/>
      </c>
      <c r="L250" s="1410" t="str">
        <f t="shared" si="26"/>
        <v>&lt;---PM/Planner may hide PLACEHOLDER ROW</v>
      </c>
      <c r="M250" s="1333"/>
      <c r="N250" s="1333"/>
      <c r="O250" s="1382"/>
      <c r="P250" s="1333"/>
      <c r="Q250" s="1453"/>
      <c r="R250" s="1284"/>
      <c r="S250" s="1284"/>
      <c r="T250" s="1333"/>
      <c r="U250" s="1333"/>
      <c r="V250" s="1333"/>
      <c r="W250" s="1333"/>
      <c r="X250" s="1333"/>
      <c r="Y250" s="1333"/>
      <c r="Z250" s="1333"/>
      <c r="AA250" s="1333"/>
      <c r="AB250" s="1333"/>
      <c r="AC250" s="1333"/>
      <c r="AD250" s="1333"/>
      <c r="AE250" s="1333"/>
      <c r="AF250" s="1333"/>
      <c r="AG250" s="1333"/>
      <c r="AH250" s="1333"/>
      <c r="AI250" s="1333"/>
      <c r="AJ250" s="1333"/>
    </row>
    <row r="251" spans="1:48" s="30" customFormat="1" ht="15" customHeight="1" x14ac:dyDescent="0.25">
      <c r="A251" s="1462"/>
      <c r="B251" s="191"/>
      <c r="C251" s="944"/>
      <c r="D251" s="463"/>
      <c r="E251" s="467"/>
      <c r="F251" s="559" t="str">
        <f>IF('C-Design&amp;Const'!$I251="","",'C-Design&amp;Const'!$I251)</f>
        <v>N</v>
      </c>
      <c r="G251" s="291"/>
      <c r="H251" s="469" t="str">
        <f>CONCATENATE(IF(F251="N","PLACEHOLDER ROW - ",""),'C-Design&amp;Const'!Z251,IF(F251="N","",J251))</f>
        <v xml:space="preserve">PLACEHOLDER ROW - Interior Signage </v>
      </c>
      <c r="I251" s="184"/>
      <c r="J251" s="578" t="str">
        <f>IF('C-Design&amp;Const'!AE251="","",'C-Design&amp;Const'!AE251)</f>
        <v>(Preliminary with Options)</v>
      </c>
      <c r="K251" s="246" t="str">
        <f t="shared" si="26"/>
        <v/>
      </c>
      <c r="L251" s="1410" t="str">
        <f t="shared" si="26"/>
        <v>&lt;---PM/Planner may hide PLACEHOLDER ROW</v>
      </c>
      <c r="M251" s="1382"/>
      <c r="N251" s="1382"/>
      <c r="O251" s="1382"/>
      <c r="P251" s="1382"/>
      <c r="Q251" s="1382"/>
      <c r="R251" s="1382"/>
      <c r="S251" s="1382"/>
      <c r="T251" s="1382"/>
      <c r="U251" s="1382"/>
      <c r="V251" s="1382"/>
      <c r="W251" s="1382"/>
      <c r="X251" s="1382"/>
      <c r="Y251" s="1382"/>
      <c r="Z251" s="1382"/>
      <c r="AA251" s="1382"/>
      <c r="AB251" s="1382"/>
      <c r="AC251" s="1382"/>
      <c r="AD251" s="1382"/>
      <c r="AE251" s="1382"/>
      <c r="AF251" s="1382"/>
      <c r="AG251" s="1382"/>
      <c r="AH251" s="1382"/>
      <c r="AI251" s="1382"/>
      <c r="AJ251" s="1382"/>
      <c r="AK251" s="181"/>
      <c r="AL251" s="181"/>
      <c r="AM251" s="181"/>
      <c r="AN251" s="181"/>
      <c r="AO251" s="181"/>
      <c r="AP251" s="181"/>
      <c r="AQ251" s="181"/>
      <c r="AR251" s="181"/>
      <c r="AS251" s="181"/>
      <c r="AT251" s="181"/>
      <c r="AU251" s="181"/>
      <c r="AV251" s="181"/>
    </row>
    <row r="252" spans="1:48" x14ac:dyDescent="0.25">
      <c r="A252" s="1462"/>
      <c r="B252" s="125"/>
      <c r="C252" s="944"/>
      <c r="D252" s="411"/>
      <c r="E252" s="466"/>
      <c r="F252" s="559" t="str">
        <f>IF('C-Design&amp;Const'!$I252="","",'C-Design&amp;Const'!$I252)</f>
        <v>Y</v>
      </c>
      <c r="G252" s="485"/>
      <c r="H252" s="469" t="str">
        <f>CONCATENATE(IF(F252="N","PLACEHOLDER ROW - ",""),'C-Design&amp;Const'!Z252,IF(F252="N","",J252))</f>
        <v>Fixed Equipment; Casework; and Millwork (Preliminary with Options)</v>
      </c>
      <c r="I252" s="136"/>
      <c r="J252" s="578" t="str">
        <f>IF('C-Design&amp;Const'!AE252="","",'C-Design&amp;Const'!AE252)</f>
        <v>(Preliminary with Options)</v>
      </c>
      <c r="K252" s="246" t="str">
        <f t="shared" si="26"/>
        <v/>
      </c>
      <c r="L252" s="1410" t="str">
        <f t="shared" si="26"/>
        <v/>
      </c>
      <c r="M252" s="1333"/>
      <c r="N252" s="1333"/>
      <c r="O252" s="1382"/>
      <c r="P252" s="1333"/>
      <c r="Q252" s="1453"/>
      <c r="R252" s="1284"/>
      <c r="S252" s="1284"/>
      <c r="T252" s="1333"/>
      <c r="U252" s="1333"/>
      <c r="V252" s="1333"/>
      <c r="W252" s="1333"/>
      <c r="X252" s="1333"/>
      <c r="Y252" s="1333"/>
      <c r="Z252" s="1333"/>
      <c r="AA252" s="1333"/>
      <c r="AB252" s="1333"/>
      <c r="AC252" s="1333"/>
      <c r="AD252" s="1333"/>
      <c r="AE252" s="1333"/>
      <c r="AF252" s="1333"/>
      <c r="AG252" s="1333"/>
      <c r="AH252" s="1333"/>
      <c r="AI252" s="1333"/>
      <c r="AJ252" s="1333"/>
    </row>
    <row r="253" spans="1:48" x14ac:dyDescent="0.25">
      <c r="A253" s="1462"/>
      <c r="B253" s="125"/>
      <c r="C253" s="944"/>
      <c r="D253" s="411"/>
      <c r="E253" s="466"/>
      <c r="F253" s="559" t="str">
        <f>IF('C-Design&amp;Const'!$I253="","",'C-Design&amp;Const'!$I253)</f>
        <v>N</v>
      </c>
      <c r="G253" s="485"/>
      <c r="H253" s="469" t="str">
        <f>CONCATENATE(IF(F253="N","PLACEHOLDER ROW - ",""),'C-Design&amp;Const'!Z253,IF(F253="N","",J253))</f>
        <v xml:space="preserve">PLACEHOLDER ROW - FF&amp;E Plans </v>
      </c>
      <c r="I253" s="136"/>
      <c r="J253" s="578" t="str">
        <f>IF('C-Design&amp;Const'!AE253="","",'C-Design&amp;Const'!AE253)</f>
        <v>(Preliminary with Options)</v>
      </c>
      <c r="K253" s="246" t="str">
        <f t="shared" si="26"/>
        <v/>
      </c>
      <c r="L253" s="1410" t="str">
        <f t="shared" si="26"/>
        <v>&lt;---PM/Planner may hide PLACEHOLDER ROW</v>
      </c>
      <c r="M253" s="1333"/>
      <c r="N253" s="1333"/>
      <c r="O253" s="1382"/>
      <c r="P253" s="1333"/>
      <c r="Q253" s="1453"/>
      <c r="R253" s="1284"/>
      <c r="S253" s="1284"/>
      <c r="T253" s="1333"/>
      <c r="U253" s="1333"/>
      <c r="V253" s="1333"/>
      <c r="W253" s="1333"/>
      <c r="X253" s="1333"/>
      <c r="Y253" s="1333"/>
      <c r="Z253" s="1333"/>
      <c r="AA253" s="1333"/>
      <c r="AB253" s="1333"/>
      <c r="AC253" s="1333"/>
      <c r="AD253" s="1333"/>
      <c r="AE253" s="1333"/>
      <c r="AF253" s="1333"/>
      <c r="AG253" s="1333"/>
      <c r="AH253" s="1333"/>
      <c r="AI253" s="1333"/>
      <c r="AJ253" s="1333"/>
    </row>
    <row r="254" spans="1:48" x14ac:dyDescent="0.25">
      <c r="A254" s="1462"/>
      <c r="B254" s="125"/>
      <c r="C254" s="944"/>
      <c r="D254" s="411"/>
      <c r="E254" s="466"/>
      <c r="F254" s="559" t="str">
        <f>IF('C-Design&amp;Const'!$I254="","",'C-Design&amp;Const'!$I254)</f>
        <v>N</v>
      </c>
      <c r="G254" s="485"/>
      <c r="H254" s="469" t="str">
        <f>CONCATENATE(IF(F254="N","PLACEHOLDER ROW - ",""),'C-Design&amp;Const'!Z254,IF(F254="N","",J254))</f>
        <v xml:space="preserve">PLACEHOLDER ROW - CUSTOM - Architectural  </v>
      </c>
      <c r="I254" s="136"/>
      <c r="J254" s="578" t="str">
        <f>IF('C-Design&amp;Const'!AE254="","",'C-Design&amp;Const'!AE254)</f>
        <v>(Preliminary)</v>
      </c>
      <c r="K254" s="246" t="str">
        <f t="shared" si="26"/>
        <v/>
      </c>
      <c r="L254" s="1410" t="str">
        <f t="shared" si="26"/>
        <v>&lt;---PM/Planner may hide PLACEHOLDER ROW</v>
      </c>
      <c r="M254" s="1333"/>
      <c r="N254" s="1333"/>
      <c r="O254" s="1382"/>
      <c r="P254" s="1333"/>
      <c r="Q254" s="1453"/>
      <c r="R254" s="1284"/>
      <c r="S254" s="1284"/>
      <c r="T254" s="1333"/>
      <c r="U254" s="1333"/>
      <c r="V254" s="1333"/>
      <c r="W254" s="1333"/>
      <c r="X254" s="1333"/>
      <c r="Y254" s="1333"/>
      <c r="Z254" s="1333"/>
      <c r="AA254" s="1333"/>
      <c r="AB254" s="1333"/>
      <c r="AC254" s="1333"/>
      <c r="AD254" s="1333"/>
      <c r="AE254" s="1333"/>
      <c r="AF254" s="1333"/>
      <c r="AG254" s="1333"/>
      <c r="AH254" s="1333"/>
      <c r="AI254" s="1333"/>
      <c r="AJ254" s="1333"/>
    </row>
    <row r="255" spans="1:48" x14ac:dyDescent="0.25">
      <c r="A255" s="1462"/>
      <c r="B255" s="125"/>
      <c r="C255" s="944"/>
      <c r="D255" s="411"/>
      <c r="E255" s="559" t="str">
        <f>IF('C-Design&amp;Const'!$I255="","",'C-Design&amp;Const'!$I255)</f>
        <v>Y</v>
      </c>
      <c r="F255" s="460"/>
      <c r="G255" s="485"/>
      <c r="H255" s="244" t="str">
        <f>CONCATENATE(IF(F255="N","PLACEHOLDER ROW - ",""),'C-Design&amp;Const'!Z255,IF(F255="N","",J255))</f>
        <v>Structural Drawings</v>
      </c>
      <c r="I255" s="136"/>
      <c r="J255" s="578" t="str">
        <f>IF('C-Design&amp;Const'!AE255="","",'C-Design&amp;Const'!AE255)</f>
        <v/>
      </c>
      <c r="K255" s="246" t="str">
        <f t="shared" si="26"/>
        <v/>
      </c>
      <c r="L255" s="1410" t="str">
        <f t="shared" si="26"/>
        <v/>
      </c>
      <c r="M255" s="1333"/>
      <c r="N255" s="1333"/>
      <c r="O255" s="1382"/>
      <c r="P255" s="1333"/>
      <c r="Q255" s="1453"/>
      <c r="R255" s="1284"/>
      <c r="S255" s="1284"/>
      <c r="T255" s="1333"/>
      <c r="U255" s="1333"/>
      <c r="V255" s="1333"/>
      <c r="W255" s="1333"/>
      <c r="X255" s="1333"/>
      <c r="Y255" s="1333"/>
      <c r="Z255" s="1333"/>
      <c r="AA255" s="1333"/>
      <c r="AB255" s="1333"/>
      <c r="AC255" s="1333"/>
      <c r="AD255" s="1333"/>
      <c r="AE255" s="1333"/>
      <c r="AF255" s="1333"/>
      <c r="AG255" s="1333"/>
      <c r="AH255" s="1333"/>
      <c r="AI255" s="1333"/>
      <c r="AJ255" s="1333"/>
    </row>
    <row r="256" spans="1:48" ht="15" customHeight="1" x14ac:dyDescent="0.25">
      <c r="A256" s="1462"/>
      <c r="B256" s="191"/>
      <c r="C256" s="1654"/>
      <c r="D256" s="411"/>
      <c r="E256" s="466"/>
      <c r="F256" s="559" t="str">
        <f>IF('C-Design&amp;Const'!$I256="","",'C-Design&amp;Const'!$I256)</f>
        <v>N</v>
      </c>
      <c r="G256" s="491"/>
      <c r="H256" s="469" t="str">
        <f>CONCATENATE(IF(F256="N","PLACEHOLDER ROW - ",""),'C-Design&amp;Const'!Z256,IF(F256="N","",J256))</f>
        <v xml:space="preserve">PLACEHOLDER ROW - CUSTOM - Structural  </v>
      </c>
      <c r="I256" s="184"/>
      <c r="J256" s="578" t="str">
        <f>IF('C-Design&amp;Const'!AE256="","",'C-Design&amp;Const'!AE256)</f>
        <v>(Preliminary)</v>
      </c>
      <c r="K256" s="246" t="str">
        <f t="shared" si="26"/>
        <v/>
      </c>
      <c r="L256" s="1410" t="str">
        <f t="shared" si="26"/>
        <v>&lt;---PM/Planner may hide PLACEHOLDER ROW</v>
      </c>
      <c r="M256" s="1333"/>
      <c r="N256" s="1333"/>
      <c r="O256" s="1333"/>
      <c r="P256" s="1333"/>
      <c r="Q256" s="1333"/>
      <c r="R256" s="1333"/>
      <c r="S256" s="1333"/>
      <c r="T256" s="1333"/>
      <c r="U256" s="1333"/>
      <c r="V256" s="1333"/>
      <c r="W256" s="1333"/>
      <c r="X256" s="1333"/>
      <c r="Y256" s="1333"/>
      <c r="Z256" s="1333"/>
      <c r="AA256" s="1333"/>
      <c r="AB256" s="1333"/>
      <c r="AC256" s="1333"/>
      <c r="AD256" s="1333"/>
      <c r="AE256" s="1333"/>
      <c r="AF256" s="1333"/>
      <c r="AG256" s="1333"/>
      <c r="AH256" s="1333"/>
      <c r="AI256" s="1333"/>
      <c r="AJ256" s="1333"/>
    </row>
    <row r="257" spans="1:48" ht="15" customHeight="1" x14ac:dyDescent="0.25">
      <c r="A257" s="1462"/>
      <c r="B257" s="191"/>
      <c r="C257" s="1654"/>
      <c r="D257" s="411"/>
      <c r="E257" s="466"/>
      <c r="F257" s="559" t="str">
        <f>IF('C-Design&amp;Const'!$I257="","",'C-Design&amp;Const'!$I257)</f>
        <v>N</v>
      </c>
      <c r="G257" s="491"/>
      <c r="H257" s="469" t="str">
        <f>CONCATENATE(IF(F257="N","PLACEHOLDER ROW - ",""),'C-Design&amp;Const'!Z257,IF(F257="N","",J257))</f>
        <v xml:space="preserve">PLACEHOLDER ROW - CUSTOM - Structural  </v>
      </c>
      <c r="I257" s="184"/>
      <c r="J257" s="578" t="str">
        <f>IF('C-Design&amp;Const'!AE257="","",'C-Design&amp;Const'!AE257)</f>
        <v>(Preliminary)</v>
      </c>
      <c r="K257" s="246" t="str">
        <f t="shared" si="26"/>
        <v/>
      </c>
      <c r="L257" s="1410" t="str">
        <f t="shared" si="26"/>
        <v>&lt;---PM/Planner may hide PLACEHOLDER ROW</v>
      </c>
      <c r="M257" s="1333"/>
      <c r="N257" s="1333"/>
      <c r="O257" s="1333"/>
      <c r="P257" s="1333"/>
      <c r="Q257" s="1333"/>
      <c r="R257" s="1333"/>
      <c r="S257" s="1333"/>
      <c r="T257" s="1333"/>
      <c r="U257" s="1333"/>
      <c r="V257" s="1333"/>
      <c r="W257" s="1333"/>
      <c r="X257" s="1333"/>
      <c r="Y257" s="1333"/>
      <c r="Z257" s="1333"/>
      <c r="AA257" s="1333"/>
      <c r="AB257" s="1333"/>
      <c r="AC257" s="1333"/>
      <c r="AD257" s="1333"/>
      <c r="AE257" s="1333"/>
      <c r="AF257" s="1333"/>
      <c r="AG257" s="1333"/>
      <c r="AH257" s="1333"/>
      <c r="AI257" s="1333"/>
      <c r="AJ257" s="1333"/>
    </row>
    <row r="258" spans="1:48" s="542" customFormat="1" ht="15" customHeight="1" x14ac:dyDescent="0.25">
      <c r="A258" s="1462"/>
      <c r="B258" s="554"/>
      <c r="C258" s="1654"/>
      <c r="D258" s="411"/>
      <c r="E258" s="466"/>
      <c r="F258" s="559" t="str">
        <f>IF('C-Design&amp;Const'!$I258="","",'C-Design&amp;Const'!$I258)</f>
        <v>Y</v>
      </c>
      <c r="G258" s="491"/>
      <c r="H258" s="469" t="str">
        <f>CONCATENATE(IF(F258="N","PLACEHOLDER ROW - ",""),'C-Design&amp;Const'!Z258,IF(F258="N","",J258))</f>
        <v>Structural Symbols, Abbreviations, and General Notes (Preliminary with Options)</v>
      </c>
      <c r="I258" s="552"/>
      <c r="J258" s="578" t="str">
        <f>IF('C-Design&amp;Const'!AE258="","",'C-Design&amp;Const'!AE258)</f>
        <v>(Preliminary with Options)</v>
      </c>
      <c r="K258" s="246" t="str">
        <f t="shared" si="26"/>
        <v/>
      </c>
      <c r="L258" s="1410" t="str">
        <f t="shared" si="26"/>
        <v/>
      </c>
      <c r="M258" s="1333"/>
      <c r="N258" s="1333"/>
      <c r="O258" s="1333"/>
      <c r="P258" s="1333"/>
      <c r="Q258" s="1333"/>
      <c r="R258" s="1333"/>
      <c r="S258" s="1333"/>
      <c r="T258" s="1333"/>
      <c r="U258" s="1333"/>
      <c r="V258" s="1333"/>
      <c r="W258" s="1333"/>
      <c r="X258" s="1333"/>
      <c r="Y258" s="1333"/>
      <c r="Z258" s="1333"/>
      <c r="AA258" s="1333"/>
      <c r="AB258" s="1333"/>
      <c r="AC258" s="1333"/>
      <c r="AD258" s="1333"/>
      <c r="AE258" s="1333"/>
      <c r="AF258" s="1333"/>
      <c r="AG258" s="1333"/>
      <c r="AH258" s="1333"/>
      <c r="AI258" s="1333"/>
      <c r="AJ258" s="1333"/>
      <c r="AK258" s="17"/>
      <c r="AL258" s="17"/>
      <c r="AM258" s="17"/>
      <c r="AN258" s="17"/>
      <c r="AO258" s="17"/>
      <c r="AP258" s="17"/>
      <c r="AQ258" s="17"/>
      <c r="AR258" s="17"/>
      <c r="AS258" s="17"/>
      <c r="AT258" s="17"/>
      <c r="AU258" s="17"/>
      <c r="AV258" s="17"/>
    </row>
    <row r="259" spans="1:48" s="542" customFormat="1" ht="15" customHeight="1" x14ac:dyDescent="0.25">
      <c r="A259" s="1462"/>
      <c r="B259" s="554"/>
      <c r="C259" s="1654"/>
      <c r="D259" s="411"/>
      <c r="E259" s="466"/>
      <c r="F259" s="559" t="str">
        <f>IF('C-Design&amp;Const'!$I259="","",'C-Design&amp;Const'!$I259)</f>
        <v>N</v>
      </c>
      <c r="G259" s="558"/>
      <c r="H259" s="469" t="str">
        <f>CONCATENATE(IF(F259="N","PLACEHOLDER ROW - ",""),'C-Design&amp;Const'!Z259,IF(F259="N","",J259))</f>
        <v xml:space="preserve">PLACEHOLDER ROW - Structural Demolition(s) </v>
      </c>
      <c r="I259" s="552"/>
      <c r="J259" s="578" t="str">
        <f>IF('C-Design&amp;Const'!AE259="","",'C-Design&amp;Const'!AE259)</f>
        <v>(Preliminary with Options)</v>
      </c>
      <c r="K259" s="246" t="str">
        <f t="shared" si="26"/>
        <v/>
      </c>
      <c r="L259" s="1410" t="str">
        <f t="shared" si="26"/>
        <v>&lt;---PM/Planner may hide PLACEHOLDER ROW</v>
      </c>
      <c r="M259" s="1333"/>
      <c r="N259" s="1333"/>
      <c r="O259" s="1333"/>
      <c r="P259" s="1333"/>
      <c r="Q259" s="1333"/>
      <c r="R259" s="1333"/>
      <c r="S259" s="1333"/>
      <c r="T259" s="1333"/>
      <c r="U259" s="1333"/>
      <c r="V259" s="1333"/>
      <c r="W259" s="1333"/>
      <c r="X259" s="1333"/>
      <c r="Y259" s="1333"/>
      <c r="Z259" s="1333"/>
      <c r="AA259" s="1333"/>
      <c r="AB259" s="1333"/>
      <c r="AC259" s="1333"/>
      <c r="AD259" s="1333"/>
      <c r="AE259" s="1333"/>
      <c r="AF259" s="1333"/>
      <c r="AG259" s="1333"/>
      <c r="AH259" s="1333"/>
      <c r="AI259" s="1333"/>
      <c r="AJ259" s="1333"/>
      <c r="AK259" s="17"/>
      <c r="AL259" s="17"/>
      <c r="AM259" s="17"/>
      <c r="AN259" s="17"/>
      <c r="AO259" s="17"/>
      <c r="AP259" s="17"/>
      <c r="AQ259" s="17"/>
      <c r="AR259" s="17"/>
      <c r="AS259" s="17"/>
      <c r="AT259" s="17"/>
      <c r="AU259" s="17"/>
      <c r="AV259" s="17"/>
    </row>
    <row r="260" spans="1:48" x14ac:dyDescent="0.25">
      <c r="A260" s="1462"/>
      <c r="B260" s="125"/>
      <c r="C260" s="944"/>
      <c r="D260" s="411"/>
      <c r="E260" s="466"/>
      <c r="F260" s="559" t="str">
        <f>IF('C-Design&amp;Const'!$I260="","",'C-Design&amp;Const'!$I260)</f>
        <v>Y</v>
      </c>
      <c r="G260" s="485"/>
      <c r="H260" s="469" t="str">
        <f>CONCATENATE(IF(F260="N","PLACEHOLDER ROW - ",""),'C-Design&amp;Const'!Z260,IF(F260="N","",J260))</f>
        <v>Foundation Plan (Preliminary)</v>
      </c>
      <c r="I260" s="136"/>
      <c r="J260" s="578" t="str">
        <f>IF('C-Design&amp;Const'!AE260="","",'C-Design&amp;Const'!AE260)</f>
        <v>(Preliminary)</v>
      </c>
      <c r="K260" s="246" t="str">
        <f t="shared" si="26"/>
        <v/>
      </c>
      <c r="L260" s="1410" t="str">
        <f t="shared" si="26"/>
        <v/>
      </c>
      <c r="M260" s="1333"/>
      <c r="N260" s="1333"/>
      <c r="O260" s="1382"/>
      <c r="P260" s="1333"/>
      <c r="Q260" s="1453"/>
      <c r="R260" s="1284"/>
      <c r="S260" s="1284"/>
      <c r="T260" s="1333"/>
      <c r="U260" s="1333"/>
      <c r="V260" s="1333"/>
      <c r="W260" s="1333"/>
      <c r="X260" s="1333"/>
      <c r="Y260" s="1333"/>
      <c r="Z260" s="1333"/>
      <c r="AA260" s="1333"/>
      <c r="AB260" s="1333"/>
      <c r="AC260" s="1333"/>
      <c r="AD260" s="1333"/>
      <c r="AE260" s="1333"/>
      <c r="AF260" s="1333"/>
      <c r="AG260" s="1333"/>
      <c r="AH260" s="1333"/>
      <c r="AI260" s="1333"/>
      <c r="AJ260" s="1333"/>
    </row>
    <row r="261" spans="1:48" s="30" customFormat="1" ht="15.75" customHeight="1" x14ac:dyDescent="0.25">
      <c r="A261" s="1462"/>
      <c r="B261" s="191"/>
      <c r="C261" s="944"/>
      <c r="D261" s="463"/>
      <c r="E261" s="467"/>
      <c r="F261" s="559" t="str">
        <f>IF('C-Design&amp;Const'!$I261="","",'C-Design&amp;Const'!$I261)</f>
        <v>N</v>
      </c>
      <c r="G261" s="291"/>
      <c r="H261" s="469" t="str">
        <f>CONCATENATE(IF(F261="N","PLACEHOLDER ROW - ",""),'C-Design&amp;Const'!Z261,IF(F261="N","",J261))</f>
        <v xml:space="preserve">PLACEHOLDER ROW - Foundation to wall connections (bolted/reinforcing bar dowels) </v>
      </c>
      <c r="I261" s="184"/>
      <c r="J261" s="578" t="str">
        <f>IF('C-Design&amp;Const'!AE261="","",'C-Design&amp;Const'!AE261)</f>
        <v>(Preliminary)</v>
      </c>
      <c r="K261" s="246" t="str">
        <f t="shared" si="26"/>
        <v/>
      </c>
      <c r="L261" s="1410" t="str">
        <f t="shared" si="26"/>
        <v>&lt;---PM/Planner may hide PLACEHOLDER ROW</v>
      </c>
      <c r="M261" s="1382"/>
      <c r="N261" s="1382"/>
      <c r="O261" s="1382"/>
      <c r="P261" s="1382"/>
      <c r="Q261" s="1382"/>
      <c r="R261" s="1382"/>
      <c r="S261" s="1382"/>
      <c r="T261" s="1382"/>
      <c r="U261" s="1382"/>
      <c r="V261" s="1382"/>
      <c r="W261" s="1382"/>
      <c r="X261" s="1382"/>
      <c r="Y261" s="1382"/>
      <c r="Z261" s="1382"/>
      <c r="AA261" s="1382"/>
      <c r="AB261" s="1382"/>
      <c r="AC261" s="1382"/>
      <c r="AD261" s="1382"/>
      <c r="AE261" s="1382"/>
      <c r="AF261" s="1382"/>
      <c r="AG261" s="1382"/>
      <c r="AH261" s="1382"/>
      <c r="AI261" s="1382"/>
      <c r="AJ261" s="1382"/>
      <c r="AK261" s="181"/>
      <c r="AL261" s="181"/>
      <c r="AM261" s="181"/>
      <c r="AN261" s="181"/>
      <c r="AO261" s="181"/>
      <c r="AP261" s="181"/>
      <c r="AQ261" s="181"/>
      <c r="AR261" s="181"/>
      <c r="AS261" s="181"/>
      <c r="AT261" s="181"/>
      <c r="AU261" s="181"/>
      <c r="AV261" s="181"/>
    </row>
    <row r="262" spans="1:48" s="30" customFormat="1" ht="15.75" customHeight="1" x14ac:dyDescent="0.25">
      <c r="A262" s="1462"/>
      <c r="B262" s="191"/>
      <c r="C262" s="944"/>
      <c r="D262" s="463"/>
      <c r="E262" s="467"/>
      <c r="F262" s="559" t="str">
        <f>IF('C-Design&amp;Const'!$I262="","",'C-Design&amp;Const'!$I262)</f>
        <v>N</v>
      </c>
      <c r="G262" s="291"/>
      <c r="H262" s="469" t="str">
        <f>CONCATENATE(IF(F262="N","PLACEHOLDER ROW - ",""),'C-Design&amp;Const'!Z262,IF(F262="N","",J262))</f>
        <v xml:space="preserve">PLACEHOLDER ROW - Column and Base Plate Schedule </v>
      </c>
      <c r="I262" s="184"/>
      <c r="J262" s="578" t="str">
        <f>IF('C-Design&amp;Const'!AE262="","",'C-Design&amp;Const'!AE262)</f>
        <v/>
      </c>
      <c r="K262" s="246" t="str">
        <f t="shared" si="26"/>
        <v/>
      </c>
      <c r="L262" s="1410" t="str">
        <f t="shared" si="26"/>
        <v>&lt;---PM/Planner may hide PLACEHOLDER ROW</v>
      </c>
      <c r="M262" s="1382"/>
      <c r="N262" s="1382"/>
      <c r="O262" s="1382"/>
      <c r="P262" s="1382"/>
      <c r="Q262" s="1382"/>
      <c r="R262" s="1382"/>
      <c r="S262" s="1382"/>
      <c r="T262" s="1382"/>
      <c r="U262" s="1382"/>
      <c r="V262" s="1382"/>
      <c r="W262" s="1382"/>
      <c r="X262" s="1382"/>
      <c r="Y262" s="1382"/>
      <c r="Z262" s="1382"/>
      <c r="AA262" s="1382"/>
      <c r="AB262" s="1382"/>
      <c r="AC262" s="1382"/>
      <c r="AD262" s="1382"/>
      <c r="AE262" s="1382"/>
      <c r="AF262" s="1382"/>
      <c r="AG262" s="1382"/>
      <c r="AH262" s="1382"/>
      <c r="AI262" s="1382"/>
      <c r="AJ262" s="1382"/>
      <c r="AK262" s="181"/>
      <c r="AL262" s="181"/>
      <c r="AM262" s="181"/>
      <c r="AN262" s="181"/>
      <c r="AO262" s="181"/>
      <c r="AP262" s="181"/>
      <c r="AQ262" s="181"/>
      <c r="AR262" s="181"/>
      <c r="AS262" s="181"/>
      <c r="AT262" s="181"/>
      <c r="AU262" s="181"/>
      <c r="AV262" s="181"/>
    </row>
    <row r="263" spans="1:48" s="30" customFormat="1" ht="15.75" customHeight="1" x14ac:dyDescent="0.25">
      <c r="A263" s="1462"/>
      <c r="B263" s="191"/>
      <c r="C263" s="944"/>
      <c r="D263" s="463"/>
      <c r="E263" s="467"/>
      <c r="F263" s="559" t="str">
        <f>IF('C-Design&amp;Const'!$I263="","",'C-Design&amp;Const'!$I263)</f>
        <v>N</v>
      </c>
      <c r="G263" s="291"/>
      <c r="H263" s="469" t="str">
        <f>CONCATENATE(IF(F263="N","PLACEHOLDER ROW - ",""),'C-Design&amp;Const'!Z263,IF(F263="N","",J263))</f>
        <v xml:space="preserve">PLACEHOLDER ROW - Foundation Individual Details </v>
      </c>
      <c r="I263" s="184"/>
      <c r="J263" s="578" t="str">
        <f>IF('C-Design&amp;Const'!AE263="","",'C-Design&amp;Const'!AE263)</f>
        <v>(Preliminary)</v>
      </c>
      <c r="K263" s="246" t="str">
        <f t="shared" si="26"/>
        <v/>
      </c>
      <c r="L263" s="1410" t="str">
        <f t="shared" si="26"/>
        <v>&lt;---PM/Planner may hide PLACEHOLDER ROW</v>
      </c>
      <c r="M263" s="1382"/>
      <c r="N263" s="1382"/>
      <c r="O263" s="1382"/>
      <c r="P263" s="1382"/>
      <c r="Q263" s="1382"/>
      <c r="R263" s="1382"/>
      <c r="S263" s="1382"/>
      <c r="T263" s="1382"/>
      <c r="U263" s="1382"/>
      <c r="V263" s="1382"/>
      <c r="W263" s="1382"/>
      <c r="X263" s="1382"/>
      <c r="Y263" s="1382"/>
      <c r="Z263" s="1382"/>
      <c r="AA263" s="1382"/>
      <c r="AB263" s="1382"/>
      <c r="AC263" s="1382"/>
      <c r="AD263" s="1382"/>
      <c r="AE263" s="1382"/>
      <c r="AF263" s="1382"/>
      <c r="AG263" s="1382"/>
      <c r="AH263" s="1382"/>
      <c r="AI263" s="1382"/>
      <c r="AJ263" s="1382"/>
      <c r="AK263" s="181"/>
      <c r="AL263" s="181"/>
      <c r="AM263" s="181"/>
      <c r="AN263" s="181"/>
      <c r="AO263" s="181"/>
      <c r="AP263" s="181"/>
      <c r="AQ263" s="181"/>
      <c r="AR263" s="181"/>
      <c r="AS263" s="181"/>
      <c r="AT263" s="181"/>
      <c r="AU263" s="181"/>
      <c r="AV263" s="181"/>
    </row>
    <row r="264" spans="1:48" x14ac:dyDescent="0.25">
      <c r="A264" s="1462"/>
      <c r="B264" s="125"/>
      <c r="C264" s="944"/>
      <c r="D264" s="411"/>
      <c r="E264" s="466"/>
      <c r="F264" s="559" t="str">
        <f>IF('C-Design&amp;Const'!$I264="","",'C-Design&amp;Const'!$I264)</f>
        <v>Y</v>
      </c>
      <c r="G264" s="485"/>
      <c r="H264" s="469" t="str">
        <f>CONCATENATE(IF(F264="N","PLACEHOLDER ROW - ",""),'C-Design&amp;Const'!Z264,IF(F264="N","",J264))</f>
        <v>Structural Masonry Wall Plan (Preliminary)</v>
      </c>
      <c r="I264" s="136"/>
      <c r="J264" s="578" t="str">
        <f>IF('C-Design&amp;Const'!AE264="","",'C-Design&amp;Const'!AE264)</f>
        <v>(Preliminary)</v>
      </c>
      <c r="K264" s="246" t="str">
        <f t="shared" si="26"/>
        <v/>
      </c>
      <c r="L264" s="1410" t="str">
        <f t="shared" si="26"/>
        <v/>
      </c>
      <c r="M264" s="1333"/>
      <c r="N264" s="1333"/>
      <c r="O264" s="1382"/>
      <c r="P264" s="1333"/>
      <c r="Q264" s="1453"/>
      <c r="R264" s="1284"/>
      <c r="S264" s="1284"/>
      <c r="T264" s="1333"/>
      <c r="U264" s="1333"/>
      <c r="V264" s="1333"/>
      <c r="W264" s="1333"/>
      <c r="X264" s="1333"/>
      <c r="Y264" s="1333"/>
      <c r="Z264" s="1333"/>
      <c r="AA264" s="1333"/>
      <c r="AB264" s="1333"/>
      <c r="AC264" s="1333"/>
      <c r="AD264" s="1333"/>
      <c r="AE264" s="1333"/>
      <c r="AF264" s="1333"/>
      <c r="AG264" s="1333"/>
      <c r="AH264" s="1333"/>
      <c r="AI264" s="1333"/>
      <c r="AJ264" s="1333"/>
    </row>
    <row r="265" spans="1:48" x14ac:dyDescent="0.25">
      <c r="A265" s="1462"/>
      <c r="B265" s="125"/>
      <c r="C265" s="944"/>
      <c r="D265" s="411"/>
      <c r="E265" s="466"/>
      <c r="F265" s="559" t="str">
        <f>IF('C-Design&amp;Const'!$I265="","",'C-Design&amp;Const'!$I265)</f>
        <v>N</v>
      </c>
      <c r="G265" s="485"/>
      <c r="H265" s="469" t="str">
        <f>CONCATENATE(IF(F265="N","PLACEHOLDER ROW - ",""),'C-Design&amp;Const'!Z265,IF(F265="N","",J265))</f>
        <v xml:space="preserve">PLACEHOLDER ROW - Structural Masonry Details </v>
      </c>
      <c r="I265" s="136"/>
      <c r="J265" s="578" t="str">
        <f>IF('C-Design&amp;Const'!AE265="","",'C-Design&amp;Const'!AE265)</f>
        <v>(Preliminary)</v>
      </c>
      <c r="K265" s="246" t="str">
        <f t="shared" si="26"/>
        <v/>
      </c>
      <c r="L265" s="1410" t="str">
        <f t="shared" si="26"/>
        <v>&lt;---PM/Planner may hide PLACEHOLDER ROW</v>
      </c>
      <c r="M265" s="1333"/>
      <c r="N265" s="1333"/>
      <c r="O265" s="1382"/>
      <c r="P265" s="1333"/>
      <c r="Q265" s="1453"/>
      <c r="R265" s="1284"/>
      <c r="S265" s="1284"/>
      <c r="T265" s="1333"/>
      <c r="U265" s="1333"/>
      <c r="V265" s="1333"/>
      <c r="W265" s="1333"/>
      <c r="X265" s="1333"/>
      <c r="Y265" s="1333"/>
      <c r="Z265" s="1333"/>
      <c r="AA265" s="1333"/>
      <c r="AB265" s="1333"/>
      <c r="AC265" s="1333"/>
      <c r="AD265" s="1333"/>
      <c r="AE265" s="1333"/>
      <c r="AF265" s="1333"/>
      <c r="AG265" s="1333"/>
      <c r="AH265" s="1333"/>
      <c r="AI265" s="1333"/>
      <c r="AJ265" s="1333"/>
    </row>
    <row r="266" spans="1:48" x14ac:dyDescent="0.25">
      <c r="A266" s="1462"/>
      <c r="B266" s="125"/>
      <c r="C266" s="944"/>
      <c r="D266" s="411"/>
      <c r="E266" s="466"/>
      <c r="F266" s="559" t="str">
        <f>IF('C-Design&amp;Const'!$I266="","",'C-Design&amp;Const'!$I266)</f>
        <v>N</v>
      </c>
      <c r="G266" s="485"/>
      <c r="H266" s="469" t="str">
        <f>CONCATENATE(IF(F266="N","PLACEHOLDER ROW - ",""),'C-Design&amp;Const'!Z266,IF(F266="N","",J266))</f>
        <v xml:space="preserve">PLACEHOLDER ROW - Lintel Details </v>
      </c>
      <c r="I266" s="136"/>
      <c r="J266" s="578" t="str">
        <f>IF('C-Design&amp;Const'!AE266="","",'C-Design&amp;Const'!AE266)</f>
        <v/>
      </c>
      <c r="K266" s="246" t="str">
        <f t="shared" si="26"/>
        <v/>
      </c>
      <c r="L266" s="1410" t="str">
        <f t="shared" si="26"/>
        <v>&lt;---PM/Planner may hide PLACEHOLDER ROW</v>
      </c>
      <c r="M266" s="1333"/>
      <c r="N266" s="1333"/>
      <c r="O266" s="1382"/>
      <c r="P266" s="1333"/>
      <c r="Q266" s="1453"/>
      <c r="R266" s="1284"/>
      <c r="S266" s="1284"/>
      <c r="T266" s="1333"/>
      <c r="U266" s="1333"/>
      <c r="V266" s="1333"/>
      <c r="W266" s="1333"/>
      <c r="X266" s="1333"/>
      <c r="Y266" s="1333"/>
      <c r="Z266" s="1333"/>
      <c r="AA266" s="1333"/>
      <c r="AB266" s="1333"/>
      <c r="AC266" s="1333"/>
      <c r="AD266" s="1333"/>
      <c r="AE266" s="1333"/>
      <c r="AF266" s="1333"/>
      <c r="AG266" s="1333"/>
      <c r="AH266" s="1333"/>
      <c r="AI266" s="1333"/>
      <c r="AJ266" s="1333"/>
    </row>
    <row r="267" spans="1:48" x14ac:dyDescent="0.25">
      <c r="A267" s="1462"/>
      <c r="B267" s="125"/>
      <c r="C267" s="944"/>
      <c r="D267" s="411"/>
      <c r="E267" s="466"/>
      <c r="F267" s="559" t="str">
        <f>IF('C-Design&amp;Const'!$I267="","",'C-Design&amp;Const'!$I267)</f>
        <v>Y</v>
      </c>
      <c r="G267" s="485"/>
      <c r="H267" s="469" t="str">
        <f>CONCATENATE(IF(F267="N","PLACEHOLDER ROW - ",""),'C-Design&amp;Const'!Z267,IF(F267="N","",J267))</f>
        <v>Lateral Force Resisting System Plan and Details (Preliminary)</v>
      </c>
      <c r="I267" s="136"/>
      <c r="J267" s="578" t="str">
        <f>IF('C-Design&amp;Const'!AE267="","",'C-Design&amp;Const'!AE267)</f>
        <v>(Preliminary)</v>
      </c>
      <c r="K267" s="246" t="str">
        <f t="shared" si="26"/>
        <v/>
      </c>
      <c r="L267" s="1410" t="str">
        <f t="shared" si="26"/>
        <v/>
      </c>
      <c r="M267" s="1333"/>
      <c r="N267" s="1333"/>
      <c r="O267" s="1382"/>
      <c r="P267" s="1333"/>
      <c r="Q267" s="1453"/>
      <c r="R267" s="1284"/>
      <c r="S267" s="1284"/>
      <c r="T267" s="1333"/>
      <c r="U267" s="1333"/>
      <c r="V267" s="1333"/>
      <c r="W267" s="1333"/>
      <c r="X267" s="1333"/>
      <c r="Y267" s="1333"/>
      <c r="Z267" s="1333"/>
      <c r="AA267" s="1333"/>
      <c r="AB267" s="1333"/>
      <c r="AC267" s="1333"/>
      <c r="AD267" s="1333"/>
      <c r="AE267" s="1333"/>
      <c r="AF267" s="1333"/>
      <c r="AG267" s="1333"/>
      <c r="AH267" s="1333"/>
      <c r="AI267" s="1333"/>
      <c r="AJ267" s="1333"/>
    </row>
    <row r="268" spans="1:48" x14ac:dyDescent="0.25">
      <c r="A268" s="1462"/>
      <c r="B268" s="125"/>
      <c r="C268" s="944"/>
      <c r="D268" s="411"/>
      <c r="E268" s="466"/>
      <c r="F268" s="559" t="str">
        <f>IF('C-Design&amp;Const'!$I268="","",'C-Design&amp;Const'!$I268)</f>
        <v>Y</v>
      </c>
      <c r="G268" s="485"/>
      <c r="H268" s="469" t="str">
        <f>CONCATENATE(IF(F268="N","PLACEHOLDER ROW - ",""),'C-Design&amp;Const'!Z268,IF(F268="N","",J268))</f>
        <v>Floor Framing Plans (Preliminary)</v>
      </c>
      <c r="I268" s="136"/>
      <c r="J268" s="578" t="str">
        <f>IF('C-Design&amp;Const'!AE268="","",'C-Design&amp;Const'!AE268)</f>
        <v>(Preliminary)</v>
      </c>
      <c r="K268" s="246" t="str">
        <f t="shared" si="26"/>
        <v/>
      </c>
      <c r="L268" s="1410" t="str">
        <f t="shared" si="26"/>
        <v/>
      </c>
      <c r="M268" s="1333"/>
      <c r="N268" s="1333"/>
      <c r="O268" s="1382"/>
      <c r="P268" s="1333"/>
      <c r="Q268" s="1453"/>
      <c r="R268" s="1284"/>
      <c r="S268" s="1284"/>
      <c r="T268" s="1333"/>
      <c r="U268" s="1333"/>
      <c r="V268" s="1333"/>
      <c r="W268" s="1333"/>
      <c r="X268" s="1333"/>
      <c r="Y268" s="1333"/>
      <c r="Z268" s="1333"/>
      <c r="AA268" s="1333"/>
      <c r="AB268" s="1333"/>
      <c r="AC268" s="1333"/>
      <c r="AD268" s="1333"/>
      <c r="AE268" s="1333"/>
      <c r="AF268" s="1333"/>
      <c r="AG268" s="1333"/>
      <c r="AH268" s="1333"/>
      <c r="AI268" s="1333"/>
      <c r="AJ268" s="1333"/>
    </row>
    <row r="269" spans="1:48" s="30" customFormat="1" ht="15" customHeight="1" x14ac:dyDescent="0.25">
      <c r="A269" s="1462"/>
      <c r="B269" s="191"/>
      <c r="C269" s="944"/>
      <c r="D269" s="463"/>
      <c r="E269" s="467"/>
      <c r="F269" s="559" t="str">
        <f>IF('C-Design&amp;Const'!$I269="","",'C-Design&amp;Const'!$I269)</f>
        <v>Y</v>
      </c>
      <c r="G269" s="291"/>
      <c r="H269" s="469" t="str">
        <f>CONCATENATE(IF(F269="N","PLACEHOLDER ROW - ",""),'C-Design&amp;Const'!Z269,IF(F269="N","",J269))</f>
        <v>Roof Framing Details (Preliminary)</v>
      </c>
      <c r="I269" s="184"/>
      <c r="J269" s="578" t="str">
        <f>IF('C-Design&amp;Const'!AE269="","",'C-Design&amp;Const'!AE269)</f>
        <v>(Preliminary)</v>
      </c>
      <c r="K269" s="246" t="str">
        <f t="shared" si="26"/>
        <v/>
      </c>
      <c r="L269" s="1410" t="str">
        <f t="shared" si="26"/>
        <v/>
      </c>
      <c r="M269" s="1382"/>
      <c r="N269" s="1382"/>
      <c r="O269" s="1382"/>
      <c r="P269" s="1382"/>
      <c r="Q269" s="1382"/>
      <c r="R269" s="1382"/>
      <c r="S269" s="1382"/>
      <c r="T269" s="1382"/>
      <c r="U269" s="1382"/>
      <c r="V269" s="1382"/>
      <c r="W269" s="1382"/>
      <c r="X269" s="1382"/>
      <c r="Y269" s="1382"/>
      <c r="Z269" s="1382"/>
      <c r="AA269" s="1382"/>
      <c r="AB269" s="1382"/>
      <c r="AC269" s="1382"/>
      <c r="AD269" s="1382"/>
      <c r="AE269" s="1382"/>
      <c r="AF269" s="1382"/>
      <c r="AG269" s="1382"/>
      <c r="AH269" s="1382"/>
      <c r="AI269" s="1382"/>
      <c r="AJ269" s="1382"/>
      <c r="AK269" s="181"/>
      <c r="AL269" s="181"/>
      <c r="AM269" s="181"/>
      <c r="AN269" s="181"/>
      <c r="AO269" s="181"/>
      <c r="AP269" s="181"/>
      <c r="AQ269" s="181"/>
      <c r="AR269" s="181"/>
      <c r="AS269" s="181"/>
      <c r="AT269" s="181"/>
      <c r="AU269" s="181"/>
      <c r="AV269" s="181"/>
    </row>
    <row r="270" spans="1:48" s="30" customFormat="1" ht="15.75" customHeight="1" x14ac:dyDescent="0.25">
      <c r="A270" s="1462"/>
      <c r="B270" s="191"/>
      <c r="C270" s="944"/>
      <c r="D270" s="463"/>
      <c r="E270" s="359" t="str">
        <f>IF('C-Design&amp;Const'!$I270="","",'C-Design&amp;Const'!$I270)</f>
        <v>Y</v>
      </c>
      <c r="F270" s="487"/>
      <c r="G270" s="291"/>
      <c r="H270" s="244" t="str">
        <f>CONCATENATE(IF(F270="N","PLACEHOLDER ROW - ",""),'C-Design&amp;Const'!Z270,IF(F270="N","",J270))</f>
        <v>Plumbing Drawings</v>
      </c>
      <c r="I270" s="184"/>
      <c r="J270" s="578" t="str">
        <f>IF('C-Design&amp;Const'!AE270="","",'C-Design&amp;Const'!AE270)</f>
        <v/>
      </c>
      <c r="K270" s="246" t="str">
        <f t="shared" si="26"/>
        <v/>
      </c>
      <c r="L270" s="1410" t="str">
        <f t="shared" si="26"/>
        <v/>
      </c>
      <c r="M270" s="1382"/>
      <c r="N270" s="1382"/>
      <c r="O270" s="1382"/>
      <c r="P270" s="1382"/>
      <c r="Q270" s="1382"/>
      <c r="R270" s="1382"/>
      <c r="S270" s="1382"/>
      <c r="T270" s="1382"/>
      <c r="U270" s="1382"/>
      <c r="V270" s="1382"/>
      <c r="W270" s="1382"/>
      <c r="X270" s="1382"/>
      <c r="Y270" s="1382"/>
      <c r="Z270" s="1382"/>
      <c r="AA270" s="1382"/>
      <c r="AB270" s="1382"/>
      <c r="AC270" s="1382"/>
      <c r="AD270" s="1382"/>
      <c r="AE270" s="1382"/>
      <c r="AF270" s="1382"/>
      <c r="AG270" s="1382"/>
      <c r="AH270" s="1382"/>
      <c r="AI270" s="1382"/>
      <c r="AJ270" s="1382"/>
      <c r="AK270" s="181"/>
      <c r="AL270" s="181"/>
      <c r="AM270" s="181"/>
      <c r="AN270" s="181"/>
      <c r="AO270" s="181"/>
      <c r="AP270" s="181"/>
      <c r="AQ270" s="181"/>
      <c r="AR270" s="181"/>
      <c r="AS270" s="181"/>
      <c r="AT270" s="181"/>
      <c r="AU270" s="181"/>
      <c r="AV270" s="181"/>
    </row>
    <row r="271" spans="1:48" ht="15" customHeight="1" x14ac:dyDescent="0.25">
      <c r="A271" s="1462"/>
      <c r="B271" s="191"/>
      <c r="C271" s="1654"/>
      <c r="D271" s="411"/>
      <c r="E271" s="466"/>
      <c r="F271" s="559" t="str">
        <f>IF('C-Design&amp;Const'!$I271="","",'C-Design&amp;Const'!$I271)</f>
        <v>N</v>
      </c>
      <c r="G271" s="491"/>
      <c r="H271" s="469" t="str">
        <f>CONCATENATE(IF(F271="N","PLACEHOLDER ROW - ",""),'C-Design&amp;Const'!Z271,IF(F271="N","",J271))</f>
        <v xml:space="preserve">PLACEHOLDER ROW - CUSTOM - Plumbing  </v>
      </c>
      <c r="I271" s="184"/>
      <c r="J271" s="578" t="str">
        <f>IF('C-Design&amp;Const'!AE271="","",'C-Design&amp;Const'!AE271)</f>
        <v>(Preliminary)</v>
      </c>
      <c r="K271" s="246" t="str">
        <f t="shared" si="26"/>
        <v/>
      </c>
      <c r="L271" s="1410" t="str">
        <f t="shared" si="26"/>
        <v>&lt;---PM/Planner may hide PLACEHOLDER ROW</v>
      </c>
      <c r="M271" s="1333"/>
      <c r="N271" s="1333"/>
      <c r="O271" s="1333"/>
      <c r="P271" s="1333"/>
      <c r="Q271" s="1333"/>
      <c r="R271" s="1333"/>
      <c r="S271" s="1333"/>
      <c r="T271" s="1333"/>
      <c r="U271" s="1333"/>
      <c r="V271" s="1333"/>
      <c r="W271" s="1333"/>
      <c r="X271" s="1333"/>
      <c r="Y271" s="1333"/>
      <c r="Z271" s="1333"/>
      <c r="AA271" s="1333"/>
      <c r="AB271" s="1333"/>
      <c r="AC271" s="1333"/>
      <c r="AD271" s="1333"/>
      <c r="AE271" s="1333"/>
      <c r="AF271" s="1333"/>
      <c r="AG271" s="1333"/>
      <c r="AH271" s="1333"/>
      <c r="AI271" s="1333"/>
      <c r="AJ271" s="1333"/>
    </row>
    <row r="272" spans="1:48" ht="15" customHeight="1" x14ac:dyDescent="0.25">
      <c r="A272" s="1462"/>
      <c r="B272" s="191"/>
      <c r="C272" s="1654"/>
      <c r="D272" s="411"/>
      <c r="E272" s="466"/>
      <c r="F272" s="559" t="str">
        <f>IF('C-Design&amp;Const'!$I272="","",'C-Design&amp;Const'!$I272)</f>
        <v>N</v>
      </c>
      <c r="G272" s="491"/>
      <c r="H272" s="469" t="str">
        <f>CONCATENATE(IF(F272="N","PLACEHOLDER ROW - ",""),'C-Design&amp;Const'!Z272,IF(F272="N","",J272))</f>
        <v xml:space="preserve">PLACEHOLDER ROW - CUSTOM - Plumbing  </v>
      </c>
      <c r="I272" s="184"/>
      <c r="J272" s="578" t="str">
        <f>IF('C-Design&amp;Const'!AE272="","",'C-Design&amp;Const'!AE272)</f>
        <v>(Preliminary)</v>
      </c>
      <c r="K272" s="246" t="str">
        <f t="shared" si="26"/>
        <v/>
      </c>
      <c r="L272" s="1410" t="str">
        <f t="shared" si="26"/>
        <v>&lt;---PM/Planner may hide PLACEHOLDER ROW</v>
      </c>
      <c r="M272" s="1333"/>
      <c r="N272" s="1333"/>
      <c r="O272" s="1333"/>
      <c r="P272" s="1333"/>
      <c r="Q272" s="1333"/>
      <c r="R272" s="1333"/>
      <c r="S272" s="1333"/>
      <c r="T272" s="1333"/>
      <c r="U272" s="1333"/>
      <c r="V272" s="1333"/>
      <c r="W272" s="1333"/>
      <c r="X272" s="1333"/>
      <c r="Y272" s="1333"/>
      <c r="Z272" s="1333"/>
      <c r="AA272" s="1333"/>
      <c r="AB272" s="1333"/>
      <c r="AC272" s="1333"/>
      <c r="AD272" s="1333"/>
      <c r="AE272" s="1333"/>
      <c r="AF272" s="1333"/>
      <c r="AG272" s="1333"/>
      <c r="AH272" s="1333"/>
      <c r="AI272" s="1333"/>
      <c r="AJ272" s="1333"/>
    </row>
    <row r="273" spans="1:48" x14ac:dyDescent="0.25">
      <c r="A273" s="1462"/>
      <c r="B273" s="125"/>
      <c r="C273" s="944"/>
      <c r="D273" s="411"/>
      <c r="E273" s="466"/>
      <c r="F273" s="559" t="str">
        <f>IF('C-Design&amp;Const'!$I273="","",'C-Design&amp;Const'!$I273)</f>
        <v>Y</v>
      </c>
      <c r="G273" s="485"/>
      <c r="H273" s="469" t="str">
        <f>CONCATENATE(IF(F273="N","PLACEHOLDER ROW - ",""),'C-Design&amp;Const'!Z273,IF(F273="N","",J273))</f>
        <v>Plumbing Symbols, Abbreviations, and General Notes (Approx. 50% Complete)</v>
      </c>
      <c r="I273" s="136"/>
      <c r="J273" s="578" t="str">
        <f>IF('C-Design&amp;Const'!AE273="","",'C-Design&amp;Const'!AE273)</f>
        <v>(Approx. 50% Complete)</v>
      </c>
      <c r="K273" s="246" t="str">
        <f t="shared" si="26"/>
        <v/>
      </c>
      <c r="L273" s="1410" t="str">
        <f t="shared" si="26"/>
        <v/>
      </c>
      <c r="M273" s="1333"/>
      <c r="N273" s="1333"/>
      <c r="O273" s="1382"/>
      <c r="P273" s="1333"/>
      <c r="Q273" s="1453"/>
      <c r="R273" s="1284"/>
      <c r="S273" s="1284"/>
      <c r="T273" s="1333"/>
      <c r="U273" s="1333"/>
      <c r="V273" s="1333"/>
      <c r="W273" s="1333"/>
      <c r="X273" s="1333"/>
      <c r="Y273" s="1333"/>
      <c r="Z273" s="1333"/>
      <c r="AA273" s="1333"/>
      <c r="AB273" s="1333"/>
      <c r="AC273" s="1333"/>
      <c r="AD273" s="1333"/>
      <c r="AE273" s="1333"/>
      <c r="AF273" s="1333"/>
      <c r="AG273" s="1333"/>
      <c r="AH273" s="1333"/>
      <c r="AI273" s="1333"/>
      <c r="AJ273" s="1333"/>
    </row>
    <row r="274" spans="1:48" s="542" customFormat="1" ht="15" customHeight="1" x14ac:dyDescent="0.25">
      <c r="A274" s="1462"/>
      <c r="B274" s="554"/>
      <c r="C274" s="1654"/>
      <c r="D274" s="411"/>
      <c r="E274" s="466"/>
      <c r="F274" s="559" t="str">
        <f>IF('C-Design&amp;Const'!$I274="","",'C-Design&amp;Const'!$I274)</f>
        <v>N</v>
      </c>
      <c r="G274" s="558"/>
      <c r="H274" s="469" t="str">
        <f>CONCATENATE(IF(F274="N","PLACEHOLDER ROW - ",""),'C-Design&amp;Const'!Z274,IF(F274="N","",J274))</f>
        <v xml:space="preserve">PLACEHOLDER ROW - Plumbing Demolition(s) </v>
      </c>
      <c r="I274" s="552"/>
      <c r="J274" s="578" t="str">
        <f>IF('C-Design&amp;Const'!AE274="","",'C-Design&amp;Const'!AE274)</f>
        <v>(Preliminary with Options)</v>
      </c>
      <c r="K274" s="246" t="str">
        <f t="shared" ref="K274" si="27">CONCATENATE(IF(ISNUMBER(SEARCH("Placeholder",G274))=TRUE,"&lt;---PM/Planner may hide PLACEHOLDER ROW",""))</f>
        <v/>
      </c>
      <c r="L274" s="1410" t="str">
        <f t="shared" ref="L274" si="28">CONCATENATE(IF(ISNUMBER(SEARCH("Placeholder",H274))=TRUE,"&lt;---PM/Planner may hide PLACEHOLDER ROW",""))</f>
        <v>&lt;---PM/Planner may hide PLACEHOLDER ROW</v>
      </c>
      <c r="M274" s="1333"/>
      <c r="N274" s="1333"/>
      <c r="O274" s="1333"/>
      <c r="P274" s="1333"/>
      <c r="Q274" s="1333"/>
      <c r="R274" s="1333"/>
      <c r="S274" s="1333"/>
      <c r="T274" s="1333"/>
      <c r="U274" s="1333"/>
      <c r="V274" s="1333"/>
      <c r="W274" s="1333"/>
      <c r="X274" s="1333"/>
      <c r="Y274" s="1333"/>
      <c r="Z274" s="1333"/>
      <c r="AA274" s="1333"/>
      <c r="AB274" s="1333"/>
      <c r="AC274" s="1333"/>
      <c r="AD274" s="1333"/>
      <c r="AE274" s="1333"/>
      <c r="AF274" s="1333"/>
      <c r="AG274" s="1333"/>
      <c r="AH274" s="1333"/>
      <c r="AI274" s="1333"/>
      <c r="AJ274" s="1333"/>
      <c r="AK274" s="17"/>
      <c r="AL274" s="17"/>
      <c r="AM274" s="17"/>
      <c r="AN274" s="17"/>
      <c r="AO274" s="17"/>
      <c r="AP274" s="17"/>
      <c r="AQ274" s="17"/>
      <c r="AR274" s="17"/>
      <c r="AS274" s="17"/>
      <c r="AT274" s="17"/>
      <c r="AU274" s="17"/>
      <c r="AV274" s="17"/>
    </row>
    <row r="275" spans="1:48" x14ac:dyDescent="0.25">
      <c r="A275" s="1462"/>
      <c r="B275" s="125"/>
      <c r="C275" s="944"/>
      <c r="D275" s="411"/>
      <c r="E275" s="466"/>
      <c r="F275" s="559" t="str">
        <f>IF('C-Design&amp;Const'!$I275="","",'C-Design&amp;Const'!$I275)</f>
        <v>Y</v>
      </c>
      <c r="G275" s="485"/>
      <c r="H275" s="469" t="str">
        <f>CONCATENATE(IF(F275="N","PLACEHOLDER ROW - ",""),'C-Design&amp;Const'!Z275,IF(F275="N","",J275))</f>
        <v>Plumbing Floor Plans and Roof Plan (Preliminary)</v>
      </c>
      <c r="I275" s="136"/>
      <c r="J275" s="578" t="str">
        <f>IF('C-Design&amp;Const'!AE275="","",'C-Design&amp;Const'!AE275)</f>
        <v>(Preliminary)</v>
      </c>
      <c r="K275" s="246" t="str">
        <f t="shared" si="26"/>
        <v/>
      </c>
      <c r="L275" s="1410" t="str">
        <f t="shared" si="26"/>
        <v/>
      </c>
      <c r="M275" s="1333"/>
      <c r="N275" s="1333"/>
      <c r="O275" s="1382"/>
      <c r="P275" s="1333"/>
      <c r="Q275" s="1453"/>
      <c r="R275" s="1284"/>
      <c r="S275" s="1284"/>
      <c r="T275" s="1333"/>
      <c r="U275" s="1333"/>
      <c r="V275" s="1333"/>
      <c r="W275" s="1333"/>
      <c r="X275" s="1333"/>
      <c r="Y275" s="1333"/>
      <c r="Z275" s="1333"/>
      <c r="AA275" s="1333"/>
      <c r="AB275" s="1333"/>
      <c r="AC275" s="1333"/>
      <c r="AD275" s="1333"/>
      <c r="AE275" s="1333"/>
      <c r="AF275" s="1333"/>
      <c r="AG275" s="1333"/>
      <c r="AH275" s="1333"/>
      <c r="AI275" s="1333"/>
      <c r="AJ275" s="1333"/>
    </row>
    <row r="276" spans="1:48" x14ac:dyDescent="0.25">
      <c r="A276" s="1462"/>
      <c r="B276" s="125"/>
      <c r="C276" s="944"/>
      <c r="D276" s="411"/>
      <c r="E276" s="466"/>
      <c r="F276" s="559" t="str">
        <f>IF('C-Design&amp;Const'!$I276="","",'C-Design&amp;Const'!$I276)</f>
        <v>N</v>
      </c>
      <c r="G276" s="485"/>
      <c r="H276" s="469" t="str">
        <f>CONCATENATE(IF(F276="N","PLACEHOLDER ROW - ",""),'C-Design&amp;Const'!Z276,IF(F276="N","",J276))</f>
        <v xml:space="preserve">PLACEHOLDER ROW - Plumbing Sanitary, Vent, Storm, Water Riser Diagram </v>
      </c>
      <c r="I276" s="136"/>
      <c r="J276" s="578" t="str">
        <f>IF('C-Design&amp;Const'!AE276="","",'C-Design&amp;Const'!AE276)</f>
        <v>(Preliminary)</v>
      </c>
      <c r="K276" s="246" t="str">
        <f t="shared" si="26"/>
        <v/>
      </c>
      <c r="L276" s="1410" t="str">
        <f t="shared" si="26"/>
        <v>&lt;---PM/Planner may hide PLACEHOLDER ROW</v>
      </c>
      <c r="M276" s="1333"/>
      <c r="N276" s="1333"/>
      <c r="O276" s="1382"/>
      <c r="P276" s="1333"/>
      <c r="Q276" s="1453"/>
      <c r="R276" s="1284"/>
      <c r="S276" s="1284"/>
      <c r="T276" s="1333"/>
      <c r="U276" s="1333"/>
      <c r="V276" s="1333"/>
      <c r="W276" s="1333"/>
      <c r="X276" s="1333"/>
      <c r="Y276" s="1333"/>
      <c r="Z276" s="1333"/>
      <c r="AA276" s="1333"/>
      <c r="AB276" s="1333"/>
      <c r="AC276" s="1333"/>
      <c r="AD276" s="1333"/>
      <c r="AE276" s="1333"/>
      <c r="AF276" s="1333"/>
      <c r="AG276" s="1333"/>
      <c r="AH276" s="1333"/>
      <c r="AI276" s="1333"/>
      <c r="AJ276" s="1333"/>
    </row>
    <row r="277" spans="1:48" x14ac:dyDescent="0.25">
      <c r="A277" s="1462"/>
      <c r="B277" s="125"/>
      <c r="C277" s="944"/>
      <c r="D277" s="411"/>
      <c r="E277" s="466"/>
      <c r="F277" s="559" t="str">
        <f>IF('C-Design&amp;Const'!$I277="","",'C-Design&amp;Const'!$I277)</f>
        <v>N</v>
      </c>
      <c r="G277" s="485"/>
      <c r="H277" s="469" t="str">
        <f>CONCATENATE(IF(F277="N","PLACEHOLDER ROW - ",""),'C-Design&amp;Const'!Z277,IF(F277="N","",J277))</f>
        <v xml:space="preserve">PLACEHOLDER ROW - Plumbing Details and Sections </v>
      </c>
      <c r="I277" s="136"/>
      <c r="J277" s="578" t="str">
        <f>IF('C-Design&amp;Const'!AE277="","",'C-Design&amp;Const'!AE277)</f>
        <v>(Preliminary)</v>
      </c>
      <c r="K277" s="246" t="str">
        <f t="shared" si="26"/>
        <v/>
      </c>
      <c r="L277" s="1410" t="str">
        <f t="shared" si="26"/>
        <v>&lt;---PM/Planner may hide PLACEHOLDER ROW</v>
      </c>
      <c r="M277" s="1333"/>
      <c r="N277" s="1333"/>
      <c r="O277" s="1382"/>
      <c r="P277" s="1333"/>
      <c r="Q277" s="1453"/>
      <c r="R277" s="1284"/>
      <c r="S277" s="1284"/>
      <c r="T277" s="1333"/>
      <c r="U277" s="1333"/>
      <c r="V277" s="1333"/>
      <c r="W277" s="1333"/>
      <c r="X277" s="1333"/>
      <c r="Y277" s="1333"/>
      <c r="Z277" s="1333"/>
      <c r="AA277" s="1333"/>
      <c r="AB277" s="1333"/>
      <c r="AC277" s="1333"/>
      <c r="AD277" s="1333"/>
      <c r="AE277" s="1333"/>
      <c r="AF277" s="1333"/>
      <c r="AG277" s="1333"/>
      <c r="AH277" s="1333"/>
      <c r="AI277" s="1333"/>
      <c r="AJ277" s="1333"/>
    </row>
    <row r="278" spans="1:48" x14ac:dyDescent="0.25">
      <c r="A278" s="1462"/>
      <c r="B278" s="125"/>
      <c r="C278" s="944"/>
      <c r="D278" s="411"/>
      <c r="E278" s="466"/>
      <c r="F278" s="559" t="str">
        <f>IF('C-Design&amp;Const'!$I278="","",'C-Design&amp;Const'!$I278)</f>
        <v>N</v>
      </c>
      <c r="G278" s="485"/>
      <c r="H278" s="469" t="str">
        <f>CONCATENATE(IF(F278="N","PLACEHOLDER ROW - ",""),'C-Design&amp;Const'!Z278,IF(F278="N","",J278))</f>
        <v xml:space="preserve">PLACEHOLDER ROW - Plumbing Fixture Schedule </v>
      </c>
      <c r="I278" s="136"/>
      <c r="J278" s="578" t="str">
        <f>IF('C-Design&amp;Const'!AE278="","",'C-Design&amp;Const'!AE278)</f>
        <v/>
      </c>
      <c r="K278" s="246" t="str">
        <f t="shared" si="26"/>
        <v/>
      </c>
      <c r="L278" s="1410" t="str">
        <f t="shared" si="26"/>
        <v>&lt;---PM/Planner may hide PLACEHOLDER ROW</v>
      </c>
      <c r="M278" s="1333"/>
      <c r="N278" s="1333"/>
      <c r="O278" s="1382"/>
      <c r="P278" s="1333"/>
      <c r="Q278" s="1453"/>
      <c r="R278" s="1284"/>
      <c r="S278" s="1284"/>
      <c r="T278" s="1333"/>
      <c r="U278" s="1333"/>
      <c r="V278" s="1333"/>
      <c r="W278" s="1333"/>
      <c r="X278" s="1333"/>
      <c r="Y278" s="1333"/>
      <c r="Z278" s="1333"/>
      <c r="AA278" s="1333"/>
      <c r="AB278" s="1333"/>
      <c r="AC278" s="1333"/>
      <c r="AD278" s="1333"/>
      <c r="AE278" s="1333"/>
      <c r="AF278" s="1333"/>
      <c r="AG278" s="1333"/>
      <c r="AH278" s="1333"/>
      <c r="AI278" s="1333"/>
      <c r="AJ278" s="1333"/>
    </row>
    <row r="279" spans="1:48" ht="14.25" customHeight="1" x14ac:dyDescent="0.25">
      <c r="A279" s="1462"/>
      <c r="B279" s="125"/>
      <c r="C279" s="944"/>
      <c r="D279" s="411"/>
      <c r="E279" s="559" t="str">
        <f>IF('C-Design&amp;Const'!$I279="","",'C-Design&amp;Const'!$I279)</f>
        <v>Y</v>
      </c>
      <c r="F279" s="460"/>
      <c r="G279" s="485"/>
      <c r="H279" s="244" t="str">
        <f>CONCATENATE(IF(F279="N","PLACEHOLDER ROW - ",""),'C-Design&amp;Const'!Z279,IF(F279="N","",J279))</f>
        <v>Fire Protection / Fire Suppression Drawings</v>
      </c>
      <c r="I279" s="136"/>
      <c r="J279" s="578" t="str">
        <f>IF('C-Design&amp;Const'!AE279="","",'C-Design&amp;Const'!AE279)</f>
        <v/>
      </c>
      <c r="K279" s="246" t="str">
        <f t="shared" si="26"/>
        <v/>
      </c>
      <c r="L279" s="1410" t="str">
        <f t="shared" si="26"/>
        <v/>
      </c>
      <c r="M279" s="1333"/>
      <c r="N279" s="1333"/>
      <c r="O279" s="1382"/>
      <c r="P279" s="1333"/>
      <c r="Q279" s="1453"/>
      <c r="R279" s="1284"/>
      <c r="S279" s="1284"/>
      <c r="T279" s="1333"/>
      <c r="U279" s="1333"/>
      <c r="V279" s="1333"/>
      <c r="W279" s="1333"/>
      <c r="X279" s="1333"/>
      <c r="Y279" s="1333"/>
      <c r="Z279" s="1333"/>
      <c r="AA279" s="1333"/>
      <c r="AB279" s="1333"/>
      <c r="AC279" s="1333"/>
      <c r="AD279" s="1333"/>
      <c r="AE279" s="1333"/>
      <c r="AF279" s="1333"/>
      <c r="AG279" s="1333"/>
      <c r="AH279" s="1333"/>
      <c r="AI279" s="1333"/>
      <c r="AJ279" s="1333"/>
    </row>
    <row r="280" spans="1:48" ht="15" customHeight="1" x14ac:dyDescent="0.25">
      <c r="A280" s="1462"/>
      <c r="B280" s="191"/>
      <c r="C280" s="1654"/>
      <c r="D280" s="411"/>
      <c r="E280" s="466"/>
      <c r="F280" s="559" t="str">
        <f>IF('C-Design&amp;Const'!$I280="","",'C-Design&amp;Const'!$I280)</f>
        <v>N</v>
      </c>
      <c r="G280" s="491"/>
      <c r="H280" s="469" t="str">
        <f>CONCATENATE(IF(F280="N","PLACEHOLDER ROW - ",""),'C-Design&amp;Const'!Z280,IF(F280="N","",J280))</f>
        <v xml:space="preserve">PLACEHOLDER ROW - CUSTOM - Fire Suppression  </v>
      </c>
      <c r="I280" s="184"/>
      <c r="J280" s="578" t="str">
        <f>IF('C-Design&amp;Const'!AE280="","",'C-Design&amp;Const'!AE280)</f>
        <v>(Preliminary)</v>
      </c>
      <c r="K280" s="246" t="str">
        <f t="shared" si="26"/>
        <v/>
      </c>
      <c r="L280" s="1410" t="str">
        <f t="shared" si="26"/>
        <v>&lt;---PM/Planner may hide PLACEHOLDER ROW</v>
      </c>
      <c r="M280" s="1333"/>
      <c r="N280" s="1333"/>
      <c r="O280" s="1333"/>
      <c r="P280" s="1333"/>
      <c r="Q280" s="1333"/>
      <c r="R280" s="1333"/>
      <c r="S280" s="1333"/>
      <c r="T280" s="1333"/>
      <c r="U280" s="1333"/>
      <c r="V280" s="1333"/>
      <c r="W280" s="1333"/>
      <c r="X280" s="1333"/>
      <c r="Y280" s="1333"/>
      <c r="Z280" s="1333"/>
      <c r="AA280" s="1333"/>
      <c r="AB280" s="1333"/>
      <c r="AC280" s="1333"/>
      <c r="AD280" s="1333"/>
      <c r="AE280" s="1333"/>
      <c r="AF280" s="1333"/>
      <c r="AG280" s="1333"/>
      <c r="AH280" s="1333"/>
      <c r="AI280" s="1333"/>
      <c r="AJ280" s="1333"/>
    </row>
    <row r="281" spans="1:48" ht="15" customHeight="1" x14ac:dyDescent="0.25">
      <c r="A281" s="1462"/>
      <c r="B281" s="191"/>
      <c r="C281" s="1654"/>
      <c r="D281" s="411"/>
      <c r="E281" s="466"/>
      <c r="F281" s="559" t="str">
        <f>IF('C-Design&amp;Const'!$I281="","",'C-Design&amp;Const'!$I281)</f>
        <v>N</v>
      </c>
      <c r="G281" s="491"/>
      <c r="H281" s="469" t="str">
        <f>CONCATENATE(IF(F281="N","PLACEHOLDER ROW - ",""),'C-Design&amp;Const'!Z281,IF(F281="N","",J281))</f>
        <v xml:space="preserve">PLACEHOLDER ROW - CUSTOM - Fire Suppression  </v>
      </c>
      <c r="I281" s="184"/>
      <c r="J281" s="578" t="str">
        <f>IF('C-Design&amp;Const'!AE281="","",'C-Design&amp;Const'!AE281)</f>
        <v>(Preliminary)</v>
      </c>
      <c r="K281" s="246" t="str">
        <f t="shared" si="26"/>
        <v/>
      </c>
      <c r="L281" s="1410" t="str">
        <f t="shared" si="26"/>
        <v>&lt;---PM/Planner may hide PLACEHOLDER ROW</v>
      </c>
      <c r="M281" s="1333"/>
      <c r="N281" s="1333"/>
      <c r="O281" s="1333"/>
      <c r="P281" s="1333"/>
      <c r="Q281" s="1333"/>
      <c r="R281" s="1333"/>
      <c r="S281" s="1333"/>
      <c r="T281" s="1333"/>
      <c r="U281" s="1333"/>
      <c r="V281" s="1333"/>
      <c r="W281" s="1333"/>
      <c r="X281" s="1333"/>
      <c r="Y281" s="1333"/>
      <c r="Z281" s="1333"/>
      <c r="AA281" s="1333"/>
      <c r="AB281" s="1333"/>
      <c r="AC281" s="1333"/>
      <c r="AD281" s="1333"/>
      <c r="AE281" s="1333"/>
      <c r="AF281" s="1333"/>
      <c r="AG281" s="1333"/>
      <c r="AH281" s="1333"/>
      <c r="AI281" s="1333"/>
      <c r="AJ281" s="1333"/>
    </row>
    <row r="282" spans="1:48" x14ac:dyDescent="0.25">
      <c r="A282" s="1462"/>
      <c r="B282" s="125"/>
      <c r="C282" s="944"/>
      <c r="D282" s="411"/>
      <c r="E282" s="466"/>
      <c r="F282" s="559" t="str">
        <f>IF('C-Design&amp;Const'!$I282="","",'C-Design&amp;Const'!$I282)</f>
        <v>Y</v>
      </c>
      <c r="G282" s="485"/>
      <c r="H282" s="469" t="str">
        <f>CONCATENATE(IF(F282="N","PLACEHOLDER ROW - ",""),'C-Design&amp;Const'!Z282,IF(F282="N","",J282))</f>
        <v>Sprinkler System Symbols, Abbreviations, and General Notes (Approx. 50% Complete)</v>
      </c>
      <c r="I282" s="136"/>
      <c r="J282" s="578" t="str">
        <f>IF('C-Design&amp;Const'!AE282="","",'C-Design&amp;Const'!AE282)</f>
        <v>(Approx. 50% Complete)</v>
      </c>
      <c r="K282" s="246" t="str">
        <f t="shared" si="26"/>
        <v/>
      </c>
      <c r="L282" s="1410" t="str">
        <f t="shared" si="26"/>
        <v/>
      </c>
      <c r="M282" s="1333"/>
      <c r="N282" s="1333"/>
      <c r="O282" s="1382"/>
      <c r="P282" s="1333"/>
      <c r="Q282" s="1453"/>
      <c r="R282" s="1284"/>
      <c r="S282" s="1284"/>
      <c r="T282" s="1333"/>
      <c r="U282" s="1333"/>
      <c r="V282" s="1333"/>
      <c r="W282" s="1333"/>
      <c r="X282" s="1333"/>
      <c r="Y282" s="1333"/>
      <c r="Z282" s="1333"/>
      <c r="AA282" s="1333"/>
      <c r="AB282" s="1333"/>
      <c r="AC282" s="1333"/>
      <c r="AD282" s="1333"/>
      <c r="AE282" s="1333"/>
      <c r="AF282" s="1333"/>
      <c r="AG282" s="1333"/>
      <c r="AH282" s="1333"/>
      <c r="AI282" s="1333"/>
      <c r="AJ282" s="1333"/>
    </row>
    <row r="283" spans="1:48" s="542" customFormat="1" ht="15" customHeight="1" x14ac:dyDescent="0.25">
      <c r="A283" s="1462"/>
      <c r="B283" s="554"/>
      <c r="C283" s="1654"/>
      <c r="D283" s="411"/>
      <c r="E283" s="466"/>
      <c r="F283" s="559" t="str">
        <f>IF('C-Design&amp;Const'!$I283="","",'C-Design&amp;Const'!$I283)</f>
        <v>N</v>
      </c>
      <c r="G283" s="558"/>
      <c r="H283" s="469" t="str">
        <f>CONCATENATE(IF(F283="N","PLACEHOLDER ROW - ",""),'C-Design&amp;Const'!Z283,IF(F283="N","",J283))</f>
        <v xml:space="preserve">PLACEHOLDER ROW - Sprinkler System Demolition(s) </v>
      </c>
      <c r="I283" s="552"/>
      <c r="J283" s="578" t="str">
        <f>IF('C-Design&amp;Const'!AE283="","",'C-Design&amp;Const'!AE283)</f>
        <v>(Preliminary with Options)</v>
      </c>
      <c r="K283" s="246" t="str">
        <f t="shared" si="26"/>
        <v/>
      </c>
      <c r="L283" s="1410" t="str">
        <f t="shared" si="26"/>
        <v>&lt;---PM/Planner may hide PLACEHOLDER ROW</v>
      </c>
      <c r="M283" s="1333"/>
      <c r="N283" s="1333"/>
      <c r="O283" s="1333"/>
      <c r="P283" s="1333"/>
      <c r="Q283" s="1333"/>
      <c r="R283" s="1333"/>
      <c r="S283" s="1333"/>
      <c r="T283" s="1333"/>
      <c r="U283" s="1333"/>
      <c r="V283" s="1333"/>
      <c r="W283" s="1333"/>
      <c r="X283" s="1333"/>
      <c r="Y283" s="1333"/>
      <c r="Z283" s="1333"/>
      <c r="AA283" s="1333"/>
      <c r="AB283" s="1333"/>
      <c r="AC283" s="1333"/>
      <c r="AD283" s="1333"/>
      <c r="AE283" s="1333"/>
      <c r="AF283" s="1333"/>
      <c r="AG283" s="1333"/>
      <c r="AH283" s="1333"/>
      <c r="AI283" s="1333"/>
      <c r="AJ283" s="1333"/>
      <c r="AK283" s="17"/>
      <c r="AL283" s="17"/>
      <c r="AM283" s="17"/>
      <c r="AN283" s="17"/>
      <c r="AO283" s="17"/>
      <c r="AP283" s="17"/>
      <c r="AQ283" s="17"/>
      <c r="AR283" s="17"/>
      <c r="AS283" s="17"/>
      <c r="AT283" s="17"/>
      <c r="AU283" s="17"/>
      <c r="AV283" s="17"/>
    </row>
    <row r="284" spans="1:48" x14ac:dyDescent="0.25">
      <c r="A284" s="1462"/>
      <c r="B284" s="125"/>
      <c r="C284" s="944"/>
      <c r="D284" s="411"/>
      <c r="E284" s="466"/>
      <c r="F284" s="559" t="str">
        <f>IF('C-Design&amp;Const'!$I284="","",'C-Design&amp;Const'!$I284)</f>
        <v>Y</v>
      </c>
      <c r="G284" s="485"/>
      <c r="H284" s="469" t="str">
        <f>CONCATENATE(IF(F284="N","PLACEHOLDER ROW - ",""),'C-Design&amp;Const'!Z284,IF(F284="N","",J284))</f>
        <v>Sprinkler System Floor Plans (Preliminary)</v>
      </c>
      <c r="I284" s="136"/>
      <c r="J284" s="578" t="str">
        <f>IF('C-Design&amp;Const'!AE284="","",'C-Design&amp;Const'!AE284)</f>
        <v>(Preliminary)</v>
      </c>
      <c r="K284" s="246" t="str">
        <f t="shared" si="26"/>
        <v/>
      </c>
      <c r="L284" s="1410" t="str">
        <f t="shared" si="26"/>
        <v/>
      </c>
      <c r="M284" s="1333"/>
      <c r="N284" s="1333"/>
      <c r="O284" s="1382"/>
      <c r="P284" s="1333"/>
      <c r="Q284" s="1453"/>
      <c r="R284" s="1284"/>
      <c r="S284" s="1284"/>
      <c r="T284" s="1333"/>
      <c r="U284" s="1333"/>
      <c r="V284" s="1333"/>
      <c r="W284" s="1333"/>
      <c r="X284" s="1333"/>
      <c r="Y284" s="1333"/>
      <c r="Z284" s="1333"/>
      <c r="AA284" s="1333"/>
      <c r="AB284" s="1333"/>
      <c r="AC284" s="1333"/>
      <c r="AD284" s="1333"/>
      <c r="AE284" s="1333"/>
      <c r="AF284" s="1333"/>
      <c r="AG284" s="1333"/>
      <c r="AH284" s="1333"/>
      <c r="AI284" s="1333"/>
      <c r="AJ284" s="1333"/>
    </row>
    <row r="285" spans="1:48" x14ac:dyDescent="0.25">
      <c r="A285" s="1462"/>
      <c r="B285" s="125"/>
      <c r="C285" s="944"/>
      <c r="D285" s="411"/>
      <c r="E285" s="466"/>
      <c r="F285" s="559" t="str">
        <f>IF('C-Design&amp;Const'!$I285="","",'C-Design&amp;Const'!$I285)</f>
        <v>N</v>
      </c>
      <c r="G285" s="485"/>
      <c r="H285" s="469" t="str">
        <f>CONCATENATE(IF(F285="N","PLACEHOLDER ROW - ",""),'C-Design&amp;Const'!Z285,IF(F285="N","",J285))</f>
        <v xml:space="preserve">PLACEHOLDER ROW - Sprinkler System Flow and Riser Diagrams </v>
      </c>
      <c r="I285" s="136"/>
      <c r="J285" s="578" t="str">
        <f>IF('C-Design&amp;Const'!AE285="","",'C-Design&amp;Const'!AE285)</f>
        <v>(Preliminary)</v>
      </c>
      <c r="K285" s="246" t="str">
        <f t="shared" si="26"/>
        <v/>
      </c>
      <c r="L285" s="1410" t="str">
        <f t="shared" si="26"/>
        <v>&lt;---PM/Planner may hide PLACEHOLDER ROW</v>
      </c>
      <c r="M285" s="1333"/>
      <c r="N285" s="1333"/>
      <c r="O285" s="1382"/>
      <c r="P285" s="1333"/>
      <c r="Q285" s="1453"/>
      <c r="R285" s="1284"/>
      <c r="S285" s="1284"/>
      <c r="T285" s="1333"/>
      <c r="U285" s="1333"/>
      <c r="V285" s="1333"/>
      <c r="W285" s="1333"/>
      <c r="X285" s="1333"/>
      <c r="Y285" s="1333"/>
      <c r="Z285" s="1333"/>
      <c r="AA285" s="1333"/>
      <c r="AB285" s="1333"/>
      <c r="AC285" s="1333"/>
      <c r="AD285" s="1333"/>
      <c r="AE285" s="1333"/>
      <c r="AF285" s="1333"/>
      <c r="AG285" s="1333"/>
      <c r="AH285" s="1333"/>
      <c r="AI285" s="1333"/>
      <c r="AJ285" s="1333"/>
    </row>
    <row r="286" spans="1:48" x14ac:dyDescent="0.25">
      <c r="A286" s="1462"/>
      <c r="B286" s="125"/>
      <c r="C286" s="944"/>
      <c r="D286" s="411"/>
      <c r="E286" s="466"/>
      <c r="F286" s="559" t="str">
        <f>IF('C-Design&amp;Const'!$I286="","",'C-Design&amp;Const'!$I286)</f>
        <v>N</v>
      </c>
      <c r="G286" s="485"/>
      <c r="H286" s="469" t="str">
        <f>CONCATENATE(IF(F286="N","PLACEHOLDER ROW - ",""),'C-Design&amp;Const'!Z286,IF(F286="N","",J286))</f>
        <v xml:space="preserve">PLACEHOLDER ROW - Sprinkler/Fire Pump Room Large Scale Plan </v>
      </c>
      <c r="I286" s="136"/>
      <c r="J286" s="578" t="str">
        <f>IF('C-Design&amp;Const'!AE286="","",'C-Design&amp;Const'!AE286)</f>
        <v>(Preliminary)</v>
      </c>
      <c r="K286" s="246" t="str">
        <f t="shared" si="26"/>
        <v/>
      </c>
      <c r="L286" s="1410" t="str">
        <f t="shared" si="26"/>
        <v>&lt;---PM/Planner may hide PLACEHOLDER ROW</v>
      </c>
      <c r="M286" s="1333"/>
      <c r="N286" s="1333"/>
      <c r="O286" s="1382"/>
      <c r="P286" s="1333"/>
      <c r="Q286" s="1453"/>
      <c r="R286" s="1284"/>
      <c r="S286" s="1284"/>
      <c r="T286" s="1333"/>
      <c r="U286" s="1333"/>
      <c r="V286" s="1333"/>
      <c r="W286" s="1333"/>
      <c r="X286" s="1333"/>
      <c r="Y286" s="1333"/>
      <c r="Z286" s="1333"/>
      <c r="AA286" s="1333"/>
      <c r="AB286" s="1333"/>
      <c r="AC286" s="1333"/>
      <c r="AD286" s="1333"/>
      <c r="AE286" s="1333"/>
      <c r="AF286" s="1333"/>
      <c r="AG286" s="1333"/>
      <c r="AH286" s="1333"/>
      <c r="AI286" s="1333"/>
      <c r="AJ286" s="1333"/>
    </row>
    <row r="287" spans="1:48" x14ac:dyDescent="0.25">
      <c r="A287" s="1462"/>
      <c r="B287" s="125"/>
      <c r="C287" s="944"/>
      <c r="D287" s="411"/>
      <c r="E287" s="466"/>
      <c r="F287" s="559" t="str">
        <f>IF('C-Design&amp;Const'!$I287="","",'C-Design&amp;Const'!$I287)</f>
        <v>N</v>
      </c>
      <c r="G287" s="485"/>
      <c r="H287" s="469" t="str">
        <f>CONCATENATE(IF(F287="N","PLACEHOLDER ROW - ",""),'C-Design&amp;Const'!Z287,IF(F287="N","",J287))</f>
        <v xml:space="preserve">PLACEHOLDER ROW - Sprinkler System Equipment Schedule </v>
      </c>
      <c r="I287" s="136"/>
      <c r="J287" s="578" t="str">
        <f>IF('C-Design&amp;Const'!AE287="","",'C-Design&amp;Const'!AE287)</f>
        <v/>
      </c>
      <c r="K287" s="246" t="str">
        <f t="shared" si="26"/>
        <v/>
      </c>
      <c r="L287" s="1410" t="str">
        <f t="shared" si="26"/>
        <v>&lt;---PM/Planner may hide PLACEHOLDER ROW</v>
      </c>
      <c r="M287" s="1333"/>
      <c r="N287" s="1333"/>
      <c r="O287" s="1382"/>
      <c r="P287" s="1333"/>
      <c r="Q287" s="1453"/>
      <c r="R287" s="1284"/>
      <c r="S287" s="1284"/>
      <c r="T287" s="1333"/>
      <c r="U287" s="1333"/>
      <c r="V287" s="1333"/>
      <c r="W287" s="1333"/>
      <c r="X287" s="1333"/>
      <c r="Y287" s="1333"/>
      <c r="Z287" s="1333"/>
      <c r="AA287" s="1333"/>
      <c r="AB287" s="1333"/>
      <c r="AC287" s="1333"/>
      <c r="AD287" s="1333"/>
      <c r="AE287" s="1333"/>
      <c r="AF287" s="1333"/>
      <c r="AG287" s="1333"/>
      <c r="AH287" s="1333"/>
      <c r="AI287" s="1333"/>
      <c r="AJ287" s="1333"/>
    </row>
    <row r="288" spans="1:48" x14ac:dyDescent="0.25">
      <c r="A288" s="1462"/>
      <c r="B288" s="125"/>
      <c r="C288" s="944"/>
      <c r="D288" s="411"/>
      <c r="E288" s="466"/>
      <c r="F288" s="559" t="str">
        <f>IF('C-Design&amp;Const'!$I288="","",'C-Design&amp;Const'!$I288)</f>
        <v>N</v>
      </c>
      <c r="G288" s="485"/>
      <c r="H288" s="469" t="str">
        <f>CONCATENATE(IF(F288="N","PLACEHOLDER ROW - ",""),'C-Design&amp;Const'!Z288,IF(F288="N","",J288))</f>
        <v xml:space="preserve">PLACEHOLDER ROW - Sprinkler System Details and Sections </v>
      </c>
      <c r="I288" s="136"/>
      <c r="J288" s="578" t="str">
        <f>IF('C-Design&amp;Const'!AE288="","",'C-Design&amp;Const'!AE288)</f>
        <v>(Preliminary)</v>
      </c>
      <c r="K288" s="246" t="str">
        <f t="shared" si="26"/>
        <v/>
      </c>
      <c r="L288" s="1410" t="str">
        <f t="shared" si="26"/>
        <v>&lt;---PM/Planner may hide PLACEHOLDER ROW</v>
      </c>
      <c r="M288" s="1333"/>
      <c r="N288" s="1333"/>
      <c r="O288" s="1382"/>
      <c r="P288" s="1333"/>
      <c r="Q288" s="1453"/>
      <c r="R288" s="1284"/>
      <c r="S288" s="1284"/>
      <c r="T288" s="1333"/>
      <c r="U288" s="1333"/>
      <c r="V288" s="1333"/>
      <c r="W288" s="1333"/>
      <c r="X288" s="1333"/>
      <c r="Y288" s="1333"/>
      <c r="Z288" s="1333"/>
      <c r="AA288" s="1333"/>
      <c r="AB288" s="1333"/>
      <c r="AC288" s="1333"/>
      <c r="AD288" s="1333"/>
      <c r="AE288" s="1333"/>
      <c r="AF288" s="1333"/>
      <c r="AG288" s="1333"/>
      <c r="AH288" s="1333"/>
      <c r="AI288" s="1333"/>
      <c r="AJ288" s="1333"/>
    </row>
    <row r="289" spans="1:48" x14ac:dyDescent="0.25">
      <c r="A289" s="1462"/>
      <c r="B289" s="125"/>
      <c r="C289" s="944"/>
      <c r="D289" s="411"/>
      <c r="E289" s="559" t="str">
        <f>IF('C-Design&amp;Const'!$I289="","",'C-Design&amp;Const'!$I289)</f>
        <v>Y</v>
      </c>
      <c r="F289" s="460"/>
      <c r="G289" s="485"/>
      <c r="H289" s="244" t="str">
        <f>CONCATENATE(IF(F289="N","PLACEHOLDER ROW - ",""),'C-Design&amp;Const'!Z289,IF(F289="N","",J289))</f>
        <v>Heating Drawings</v>
      </c>
      <c r="I289" s="136"/>
      <c r="J289" s="578" t="str">
        <f>IF('C-Design&amp;Const'!AE289="","",'C-Design&amp;Const'!AE289)</f>
        <v/>
      </c>
      <c r="K289" s="246" t="str">
        <f t="shared" si="26"/>
        <v/>
      </c>
      <c r="L289" s="1410" t="str">
        <f t="shared" si="26"/>
        <v/>
      </c>
      <c r="M289" s="1333"/>
      <c r="N289" s="1333"/>
      <c r="O289" s="1382"/>
      <c r="P289" s="1333"/>
      <c r="Q289" s="1453"/>
      <c r="R289" s="1284"/>
      <c r="S289" s="1284"/>
      <c r="T289" s="1333"/>
      <c r="U289" s="1333"/>
      <c r="V289" s="1333"/>
      <c r="W289" s="1333"/>
      <c r="X289" s="1333"/>
      <c r="Y289" s="1333"/>
      <c r="Z289" s="1333"/>
      <c r="AA289" s="1333"/>
      <c r="AB289" s="1333"/>
      <c r="AC289" s="1333"/>
      <c r="AD289" s="1333"/>
      <c r="AE289" s="1333"/>
      <c r="AF289" s="1333"/>
      <c r="AG289" s="1333"/>
      <c r="AH289" s="1333"/>
      <c r="AI289" s="1333"/>
      <c r="AJ289" s="1333"/>
    </row>
    <row r="290" spans="1:48" ht="15" customHeight="1" x14ac:dyDescent="0.25">
      <c r="A290" s="1462"/>
      <c r="B290" s="191"/>
      <c r="C290" s="1654"/>
      <c r="D290" s="411"/>
      <c r="E290" s="466"/>
      <c r="F290" s="559" t="str">
        <f>IF('C-Design&amp;Const'!$I290="","",'C-Design&amp;Const'!$I290)</f>
        <v>N</v>
      </c>
      <c r="G290" s="491"/>
      <c r="H290" s="469" t="str">
        <f>CONCATENATE(IF(F290="N","PLACEHOLDER ROW - ",""),'C-Design&amp;Const'!Z290,IF(F290="N","",J290))</f>
        <v xml:space="preserve">PLACEHOLDER ROW - CUSTOM - Heating  </v>
      </c>
      <c r="I290" s="184"/>
      <c r="J290" s="578" t="str">
        <f>IF('C-Design&amp;Const'!AE290="","",'C-Design&amp;Const'!AE290)</f>
        <v>(Preliminary)</v>
      </c>
      <c r="K290" s="246" t="str">
        <f t="shared" si="26"/>
        <v/>
      </c>
      <c r="L290" s="1410" t="str">
        <f t="shared" si="26"/>
        <v>&lt;---PM/Planner may hide PLACEHOLDER ROW</v>
      </c>
      <c r="M290" s="1333"/>
      <c r="N290" s="1333"/>
      <c r="O290" s="1333"/>
      <c r="P290" s="1333"/>
      <c r="Q290" s="1333"/>
      <c r="R290" s="1333"/>
      <c r="S290" s="1333"/>
      <c r="T290" s="1333"/>
      <c r="U290" s="1333"/>
      <c r="V290" s="1333"/>
      <c r="W290" s="1333"/>
      <c r="X290" s="1333"/>
      <c r="Y290" s="1333"/>
      <c r="Z290" s="1333"/>
      <c r="AA290" s="1333"/>
      <c r="AB290" s="1333"/>
      <c r="AC290" s="1333"/>
      <c r="AD290" s="1333"/>
      <c r="AE290" s="1333"/>
      <c r="AF290" s="1333"/>
      <c r="AG290" s="1333"/>
      <c r="AH290" s="1333"/>
      <c r="AI290" s="1333"/>
      <c r="AJ290" s="1333"/>
    </row>
    <row r="291" spans="1:48" ht="15" customHeight="1" x14ac:dyDescent="0.25">
      <c r="A291" s="1462"/>
      <c r="B291" s="191"/>
      <c r="C291" s="1654"/>
      <c r="D291" s="411"/>
      <c r="E291" s="466"/>
      <c r="F291" s="559" t="str">
        <f>IF('C-Design&amp;Const'!$I291="","",'C-Design&amp;Const'!$I291)</f>
        <v>N</v>
      </c>
      <c r="G291" s="491"/>
      <c r="H291" s="469" t="str">
        <f>CONCATENATE(IF(F291="N","PLACEHOLDER ROW - ",""),'C-Design&amp;Const'!Z291,IF(F291="N","",J291))</f>
        <v xml:space="preserve">PLACEHOLDER ROW - CUSTOM - Heating  </v>
      </c>
      <c r="I291" s="184"/>
      <c r="J291" s="578" t="str">
        <f>IF('C-Design&amp;Const'!AE291="","",'C-Design&amp;Const'!AE291)</f>
        <v>(Preliminary)</v>
      </c>
      <c r="K291" s="246" t="str">
        <f t="shared" si="26"/>
        <v/>
      </c>
      <c r="L291" s="1410" t="str">
        <f t="shared" si="26"/>
        <v>&lt;---PM/Planner may hide PLACEHOLDER ROW</v>
      </c>
      <c r="M291" s="1333"/>
      <c r="N291" s="1333"/>
      <c r="O291" s="1333"/>
      <c r="P291" s="1333"/>
      <c r="Q291" s="1333"/>
      <c r="R291" s="1333"/>
      <c r="S291" s="1333"/>
      <c r="T291" s="1333"/>
      <c r="U291" s="1333"/>
      <c r="V291" s="1333"/>
      <c r="W291" s="1333"/>
      <c r="X291" s="1333"/>
      <c r="Y291" s="1333"/>
      <c r="Z291" s="1333"/>
      <c r="AA291" s="1333"/>
      <c r="AB291" s="1333"/>
      <c r="AC291" s="1333"/>
      <c r="AD291" s="1333"/>
      <c r="AE291" s="1333"/>
      <c r="AF291" s="1333"/>
      <c r="AG291" s="1333"/>
      <c r="AH291" s="1333"/>
      <c r="AI291" s="1333"/>
      <c r="AJ291" s="1333"/>
    </row>
    <row r="292" spans="1:48" x14ac:dyDescent="0.25">
      <c r="A292" s="1462"/>
      <c r="B292" s="125"/>
      <c r="C292" s="944"/>
      <c r="D292" s="411"/>
      <c r="E292" s="466"/>
      <c r="F292" s="559" t="str">
        <f>IF('C-Design&amp;Const'!$I292="","",'C-Design&amp;Const'!$I292)</f>
        <v>Y</v>
      </c>
      <c r="G292" s="485"/>
      <c r="H292" s="469" t="str">
        <f>CONCATENATE(IF(F292="N","PLACEHOLDER ROW - ",""),'C-Design&amp;Const'!Z292,IF(F292="N","",J292))</f>
        <v>Heating and A/C Symbols, Abbreviations, and General Notes (Preliminary)</v>
      </c>
      <c r="I292" s="136"/>
      <c r="J292" s="578" t="str">
        <f>IF('C-Design&amp;Const'!AE292="","",'C-Design&amp;Const'!AE292)</f>
        <v>(Preliminary)</v>
      </c>
      <c r="K292" s="246" t="str">
        <f t="shared" si="26"/>
        <v/>
      </c>
      <c r="L292" s="1410" t="str">
        <f t="shared" si="26"/>
        <v/>
      </c>
      <c r="M292" s="1333"/>
      <c r="N292" s="1333"/>
      <c r="O292" s="1382"/>
      <c r="P292" s="1333"/>
      <c r="Q292" s="1453"/>
      <c r="R292" s="1284"/>
      <c r="S292" s="1284"/>
      <c r="T292" s="1333"/>
      <c r="U292" s="1333"/>
      <c r="V292" s="1333"/>
      <c r="W292" s="1333"/>
      <c r="X292" s="1333"/>
      <c r="Y292" s="1333"/>
      <c r="Z292" s="1333"/>
      <c r="AA292" s="1333"/>
      <c r="AB292" s="1333"/>
      <c r="AC292" s="1333"/>
      <c r="AD292" s="1333"/>
      <c r="AE292" s="1333"/>
      <c r="AF292" s="1333"/>
      <c r="AG292" s="1333"/>
      <c r="AH292" s="1333"/>
      <c r="AI292" s="1333"/>
      <c r="AJ292" s="1333"/>
    </row>
    <row r="293" spans="1:48" s="542" customFormat="1" ht="15" customHeight="1" x14ac:dyDescent="0.25">
      <c r="A293" s="1462"/>
      <c r="B293" s="554"/>
      <c r="C293" s="1654"/>
      <c r="D293" s="411"/>
      <c r="E293" s="466"/>
      <c r="F293" s="559" t="str">
        <f>IF('C-Design&amp;Const'!$I293="","",'C-Design&amp;Const'!$I293)</f>
        <v>N</v>
      </c>
      <c r="G293" s="558"/>
      <c r="H293" s="469" t="str">
        <f>CONCATENATE(IF(F293="N","PLACEHOLDER ROW - ",""),'C-Design&amp;Const'!Z293,IF(F293="N","",J293))</f>
        <v xml:space="preserve">PLACEHOLDER ROW - Heating and A/C Demolition(s) </v>
      </c>
      <c r="I293" s="552"/>
      <c r="J293" s="578" t="str">
        <f>IF('C-Design&amp;Const'!AE293="","",'C-Design&amp;Const'!AE293)</f>
        <v>(Preliminary with Options)</v>
      </c>
      <c r="K293" s="246" t="str">
        <f t="shared" ref="K293" si="29">CONCATENATE(IF(ISNUMBER(SEARCH("Placeholder",G293))=TRUE,"&lt;---PM/Planner may hide PLACEHOLDER ROW",""))</f>
        <v/>
      </c>
      <c r="L293" s="1410" t="str">
        <f t="shared" ref="L293" si="30">CONCATENATE(IF(ISNUMBER(SEARCH("Placeholder",H293))=TRUE,"&lt;---PM/Planner may hide PLACEHOLDER ROW",""))</f>
        <v>&lt;---PM/Planner may hide PLACEHOLDER ROW</v>
      </c>
      <c r="M293" s="1333"/>
      <c r="N293" s="1333"/>
      <c r="O293" s="1333"/>
      <c r="P293" s="1333"/>
      <c r="Q293" s="1333"/>
      <c r="R293" s="1333"/>
      <c r="S293" s="1333"/>
      <c r="T293" s="1333"/>
      <c r="U293" s="1333"/>
      <c r="V293" s="1333"/>
      <c r="W293" s="1333"/>
      <c r="X293" s="1333"/>
      <c r="Y293" s="1333"/>
      <c r="Z293" s="1333"/>
      <c r="AA293" s="1333"/>
      <c r="AB293" s="1333"/>
      <c r="AC293" s="1333"/>
      <c r="AD293" s="1333"/>
      <c r="AE293" s="1333"/>
      <c r="AF293" s="1333"/>
      <c r="AG293" s="1333"/>
      <c r="AH293" s="1333"/>
      <c r="AI293" s="1333"/>
      <c r="AJ293" s="1333"/>
      <c r="AK293" s="17"/>
      <c r="AL293" s="17"/>
      <c r="AM293" s="17"/>
      <c r="AN293" s="17"/>
      <c r="AO293" s="17"/>
      <c r="AP293" s="17"/>
      <c r="AQ293" s="17"/>
      <c r="AR293" s="17"/>
      <c r="AS293" s="17"/>
      <c r="AT293" s="17"/>
      <c r="AU293" s="17"/>
      <c r="AV293" s="17"/>
    </row>
    <row r="294" spans="1:48" x14ac:dyDescent="0.25">
      <c r="A294" s="1462"/>
      <c r="B294" s="125"/>
      <c r="C294" s="944"/>
      <c r="D294" s="411"/>
      <c r="E294" s="466"/>
      <c r="F294" s="559" t="str">
        <f>IF('C-Design&amp;Const'!$I294="","",'C-Design&amp;Const'!$I294)</f>
        <v>Y</v>
      </c>
      <c r="G294" s="485"/>
      <c r="H294" s="469" t="str">
        <f>CONCATENATE(IF(F294="N","PLACEHOLDER ROW - ",""),'C-Design&amp;Const'!Z294,IF(F294="N","",J294))</f>
        <v>Heating and A/C Floor Plans (Preliminary)</v>
      </c>
      <c r="I294" s="136"/>
      <c r="J294" s="578" t="str">
        <f>IF('C-Design&amp;Const'!AE294="","",'C-Design&amp;Const'!AE294)</f>
        <v>(Preliminary)</v>
      </c>
      <c r="K294" s="246" t="str">
        <f t="shared" si="26"/>
        <v/>
      </c>
      <c r="L294" s="1410" t="str">
        <f t="shared" si="26"/>
        <v/>
      </c>
      <c r="M294" s="1333"/>
      <c r="N294" s="1333"/>
      <c r="O294" s="1382"/>
      <c r="P294" s="1333"/>
      <c r="Q294" s="1453"/>
      <c r="R294" s="1284"/>
      <c r="S294" s="1284"/>
      <c r="T294" s="1333"/>
      <c r="U294" s="1333"/>
      <c r="V294" s="1333"/>
      <c r="W294" s="1333"/>
      <c r="X294" s="1333"/>
      <c r="Y294" s="1333"/>
      <c r="Z294" s="1333"/>
      <c r="AA294" s="1333"/>
      <c r="AB294" s="1333"/>
      <c r="AC294" s="1333"/>
      <c r="AD294" s="1333"/>
      <c r="AE294" s="1333"/>
      <c r="AF294" s="1333"/>
      <c r="AG294" s="1333"/>
      <c r="AH294" s="1333"/>
      <c r="AI294" s="1333"/>
      <c r="AJ294" s="1333"/>
    </row>
    <row r="295" spans="1:48" x14ac:dyDescent="0.25">
      <c r="A295" s="1462"/>
      <c r="B295" s="125"/>
      <c r="C295" s="944"/>
      <c r="D295" s="411"/>
      <c r="E295" s="466"/>
      <c r="F295" s="559" t="str">
        <f>IF('C-Design&amp;Const'!$I295="","",'C-Design&amp;Const'!$I295)</f>
        <v>N</v>
      </c>
      <c r="G295" s="485"/>
      <c r="H295" s="469" t="str">
        <f>CONCATENATE(IF(F295="N","PLACEHOLDER ROW - ",""),'C-Design&amp;Const'!Z295,IF(F295="N","",J295))</f>
        <v xml:space="preserve">PLACEHOLDER ROW - Heating and Cooling Piping Isometrics/Flow Diagrams </v>
      </c>
      <c r="I295" s="136"/>
      <c r="J295" s="578" t="str">
        <f>IF('C-Design&amp;Const'!AE295="","",'C-Design&amp;Const'!AE295)</f>
        <v>(Preliminary)</v>
      </c>
      <c r="K295" s="246" t="str">
        <f t="shared" si="26"/>
        <v/>
      </c>
      <c r="L295" s="1410" t="str">
        <f t="shared" si="26"/>
        <v>&lt;---PM/Planner may hide PLACEHOLDER ROW</v>
      </c>
      <c r="M295" s="1333"/>
      <c r="N295" s="1333"/>
      <c r="O295" s="1382"/>
      <c r="P295" s="1333"/>
      <c r="Q295" s="1453"/>
      <c r="R295" s="1284"/>
      <c r="S295" s="1284"/>
      <c r="T295" s="1333"/>
      <c r="U295" s="1333"/>
      <c r="V295" s="1333"/>
      <c r="W295" s="1333"/>
      <c r="X295" s="1333"/>
      <c r="Y295" s="1333"/>
      <c r="Z295" s="1333"/>
      <c r="AA295" s="1333"/>
      <c r="AB295" s="1333"/>
      <c r="AC295" s="1333"/>
      <c r="AD295" s="1333"/>
      <c r="AE295" s="1333"/>
      <c r="AF295" s="1333"/>
      <c r="AG295" s="1333"/>
      <c r="AH295" s="1333"/>
      <c r="AI295" s="1333"/>
      <c r="AJ295" s="1333"/>
    </row>
    <row r="296" spans="1:48" x14ac:dyDescent="0.25">
      <c r="A296" s="1462"/>
      <c r="B296" s="125"/>
      <c r="C296" s="944"/>
      <c r="D296" s="411"/>
      <c r="E296" s="466"/>
      <c r="F296" s="559" t="str">
        <f>IF('C-Design&amp;Const'!$I296="","",'C-Design&amp;Const'!$I296)</f>
        <v>N</v>
      </c>
      <c r="G296" s="485"/>
      <c r="H296" s="469" t="str">
        <f>CONCATENATE(IF(F296="N","PLACEHOLDER ROW - ",""),'C-Design&amp;Const'!Z296,IF(F296="N","",J296))</f>
        <v xml:space="preserve">PLACEHOLDER ROW - Heating and A/C Large Scale Mechanical Room Plans </v>
      </c>
      <c r="I296" s="136"/>
      <c r="J296" s="578" t="str">
        <f>IF('C-Design&amp;Const'!AE296="","",'C-Design&amp;Const'!AE296)</f>
        <v>(Preliminary)</v>
      </c>
      <c r="K296" s="246" t="str">
        <f t="shared" si="26"/>
        <v/>
      </c>
      <c r="L296" s="1410" t="str">
        <f t="shared" si="26"/>
        <v>&lt;---PM/Planner may hide PLACEHOLDER ROW</v>
      </c>
      <c r="M296" s="1333"/>
      <c r="N296" s="1333"/>
      <c r="O296" s="1382"/>
      <c r="P296" s="1333"/>
      <c r="Q296" s="1453"/>
      <c r="R296" s="1284"/>
      <c r="S296" s="1284"/>
      <c r="T296" s="1333"/>
      <c r="U296" s="1333"/>
      <c r="V296" s="1333"/>
      <c r="W296" s="1333"/>
      <c r="X296" s="1333"/>
      <c r="Y296" s="1333"/>
      <c r="Z296" s="1333"/>
      <c r="AA296" s="1333"/>
      <c r="AB296" s="1333"/>
      <c r="AC296" s="1333"/>
      <c r="AD296" s="1333"/>
      <c r="AE296" s="1333"/>
      <c r="AF296" s="1333"/>
      <c r="AG296" s="1333"/>
      <c r="AH296" s="1333"/>
      <c r="AI296" s="1333"/>
      <c r="AJ296" s="1333"/>
    </row>
    <row r="297" spans="1:48" x14ac:dyDescent="0.25">
      <c r="A297" s="1462"/>
      <c r="B297" s="125"/>
      <c r="C297" s="944"/>
      <c r="D297" s="411"/>
      <c r="E297" s="466"/>
      <c r="F297" s="559" t="str">
        <f>IF('C-Design&amp;Const'!$I297="","",'C-Design&amp;Const'!$I297)</f>
        <v>N</v>
      </c>
      <c r="G297" s="485"/>
      <c r="H297" s="469" t="str">
        <f>CONCATENATE(IF(F297="N","PLACEHOLDER ROW - ",""),'C-Design&amp;Const'!Z297,IF(F297="N","",J297))</f>
        <v xml:space="preserve">PLACEHOLDER ROW - Heating and A/C Equipment Schedule </v>
      </c>
      <c r="I297" s="136"/>
      <c r="J297" s="578" t="str">
        <f>IF('C-Design&amp;Const'!AE297="","",'C-Design&amp;Const'!AE297)</f>
        <v/>
      </c>
      <c r="K297" s="246" t="str">
        <f t="shared" si="26"/>
        <v/>
      </c>
      <c r="L297" s="1410" t="str">
        <f t="shared" si="26"/>
        <v>&lt;---PM/Planner may hide PLACEHOLDER ROW</v>
      </c>
      <c r="M297" s="1333"/>
      <c r="N297" s="1333"/>
      <c r="O297" s="1382"/>
      <c r="P297" s="1333"/>
      <c r="Q297" s="1453"/>
      <c r="R297" s="1284"/>
      <c r="S297" s="1284"/>
      <c r="T297" s="1333"/>
      <c r="U297" s="1333"/>
      <c r="V297" s="1333"/>
      <c r="W297" s="1333"/>
      <c r="X297" s="1333"/>
      <c r="Y297" s="1333"/>
      <c r="Z297" s="1333"/>
      <c r="AA297" s="1333"/>
      <c r="AB297" s="1333"/>
      <c r="AC297" s="1333"/>
      <c r="AD297" s="1333"/>
      <c r="AE297" s="1333"/>
      <c r="AF297" s="1333"/>
      <c r="AG297" s="1333"/>
      <c r="AH297" s="1333"/>
      <c r="AI297" s="1333"/>
      <c r="AJ297" s="1333"/>
    </row>
    <row r="298" spans="1:48" x14ac:dyDescent="0.25">
      <c r="A298" s="1462"/>
      <c r="B298" s="125"/>
      <c r="C298" s="944"/>
      <c r="D298" s="411"/>
      <c r="E298" s="466"/>
      <c r="F298" s="559" t="str">
        <f>IF('C-Design&amp;Const'!$I298="","",'C-Design&amp;Const'!$I298)</f>
        <v>N</v>
      </c>
      <c r="G298" s="485"/>
      <c r="H298" s="469" t="str">
        <f>CONCATENATE(IF(F298="N","PLACEHOLDER ROW - ",""),'C-Design&amp;Const'!Z298,IF(F298="N","",J298))</f>
        <v xml:space="preserve">PLACEHOLDER ROW - Heating and A/C Details and Sections </v>
      </c>
      <c r="I298" s="136"/>
      <c r="J298" s="578" t="str">
        <f>IF('C-Design&amp;Const'!AE298="","",'C-Design&amp;Const'!AE298)</f>
        <v>(Preliminary)</v>
      </c>
      <c r="K298" s="246" t="str">
        <f t="shared" si="26"/>
        <v/>
      </c>
      <c r="L298" s="1410" t="str">
        <f t="shared" si="26"/>
        <v>&lt;---PM/Planner may hide PLACEHOLDER ROW</v>
      </c>
      <c r="M298" s="1333"/>
      <c r="N298" s="1333"/>
      <c r="O298" s="1382"/>
      <c r="P298" s="1333"/>
      <c r="Q298" s="1453"/>
      <c r="R298" s="1284"/>
      <c r="S298" s="1284"/>
      <c r="T298" s="1333"/>
      <c r="U298" s="1333"/>
      <c r="V298" s="1333"/>
      <c r="W298" s="1333"/>
      <c r="X298" s="1333"/>
      <c r="Y298" s="1333"/>
      <c r="Z298" s="1333"/>
      <c r="AA298" s="1333"/>
      <c r="AB298" s="1333"/>
      <c r="AC298" s="1333"/>
      <c r="AD298" s="1333"/>
      <c r="AE298" s="1333"/>
      <c r="AF298" s="1333"/>
      <c r="AG298" s="1333"/>
      <c r="AH298" s="1333"/>
      <c r="AI298" s="1333"/>
      <c r="AJ298" s="1333"/>
    </row>
    <row r="299" spans="1:48" x14ac:dyDescent="0.25">
      <c r="A299" s="1462"/>
      <c r="B299" s="125"/>
      <c r="C299" s="944"/>
      <c r="D299" s="411"/>
      <c r="E299" s="559" t="str">
        <f>IF('C-Design&amp;Const'!$I299="","",'C-Design&amp;Const'!$I299)</f>
        <v>Y</v>
      </c>
      <c r="F299" s="460"/>
      <c r="G299" s="485"/>
      <c r="H299" s="244" t="str">
        <f>CONCATENATE(IF(F299="N","PLACEHOLDER ROW - ",""),'C-Design&amp;Const'!Z299,IF(F299="N","",J299))</f>
        <v>Ventilation Drawings</v>
      </c>
      <c r="I299" s="136"/>
      <c r="J299" s="578" t="str">
        <f>IF('C-Design&amp;Const'!AE299="","",'C-Design&amp;Const'!AE299)</f>
        <v/>
      </c>
      <c r="K299" s="246" t="str">
        <f t="shared" si="26"/>
        <v/>
      </c>
      <c r="L299" s="1410" t="str">
        <f t="shared" si="26"/>
        <v/>
      </c>
      <c r="M299" s="1333"/>
      <c r="N299" s="1333"/>
      <c r="O299" s="1382"/>
      <c r="P299" s="1333"/>
      <c r="Q299" s="1453"/>
      <c r="R299" s="1284"/>
      <c r="S299" s="1284"/>
      <c r="T299" s="1333"/>
      <c r="U299" s="1333"/>
      <c r="V299" s="1333"/>
      <c r="W299" s="1333"/>
      <c r="X299" s="1333"/>
      <c r="Y299" s="1333"/>
      <c r="Z299" s="1333"/>
      <c r="AA299" s="1333"/>
      <c r="AB299" s="1333"/>
      <c r="AC299" s="1333"/>
      <c r="AD299" s="1333"/>
      <c r="AE299" s="1333"/>
      <c r="AF299" s="1333"/>
      <c r="AG299" s="1333"/>
      <c r="AH299" s="1333"/>
      <c r="AI299" s="1333"/>
      <c r="AJ299" s="1333"/>
    </row>
    <row r="300" spans="1:48" ht="15" customHeight="1" x14ac:dyDescent="0.25">
      <c r="A300" s="1462"/>
      <c r="B300" s="191"/>
      <c r="C300" s="1654"/>
      <c r="D300" s="411"/>
      <c r="E300" s="466"/>
      <c r="F300" s="559" t="str">
        <f>IF('C-Design&amp;Const'!$I300="","",'C-Design&amp;Const'!$I300)</f>
        <v>N</v>
      </c>
      <c r="G300" s="491"/>
      <c r="H300" s="469" t="str">
        <f>CONCATENATE(IF(F300="N","PLACEHOLDER ROW - ",""),'C-Design&amp;Const'!Z300,IF(F300="N","",J300))</f>
        <v xml:space="preserve">PLACEHOLDER ROW - CUSTOM - Ventilation  </v>
      </c>
      <c r="I300" s="184"/>
      <c r="J300" s="578" t="str">
        <f>IF('C-Design&amp;Const'!AE300="","",'C-Design&amp;Const'!AE300)</f>
        <v>(Preliminary)</v>
      </c>
      <c r="K300" s="246" t="str">
        <f t="shared" si="26"/>
        <v/>
      </c>
      <c r="L300" s="1410" t="str">
        <f t="shared" si="26"/>
        <v>&lt;---PM/Planner may hide PLACEHOLDER ROW</v>
      </c>
      <c r="M300" s="1333"/>
      <c r="N300" s="1333"/>
      <c r="O300" s="1333"/>
      <c r="P300" s="1333"/>
      <c r="Q300" s="1333"/>
      <c r="R300" s="1333"/>
      <c r="S300" s="1333"/>
      <c r="T300" s="1333"/>
      <c r="U300" s="1333"/>
      <c r="V300" s="1333"/>
      <c r="W300" s="1333"/>
      <c r="X300" s="1333"/>
      <c r="Y300" s="1333"/>
      <c r="Z300" s="1333"/>
      <c r="AA300" s="1333"/>
      <c r="AB300" s="1333"/>
      <c r="AC300" s="1333"/>
      <c r="AD300" s="1333"/>
      <c r="AE300" s="1333"/>
      <c r="AF300" s="1333"/>
      <c r="AG300" s="1333"/>
      <c r="AH300" s="1333"/>
      <c r="AI300" s="1333"/>
      <c r="AJ300" s="1333"/>
    </row>
    <row r="301" spans="1:48" ht="15" customHeight="1" x14ac:dyDescent="0.25">
      <c r="A301" s="1462"/>
      <c r="B301" s="191"/>
      <c r="C301" s="1654"/>
      <c r="D301" s="411"/>
      <c r="E301" s="466"/>
      <c r="F301" s="559" t="str">
        <f>IF('C-Design&amp;Const'!$I301="","",'C-Design&amp;Const'!$I301)</f>
        <v>N</v>
      </c>
      <c r="G301" s="491"/>
      <c r="H301" s="469" t="str">
        <f>CONCATENATE(IF(F301="N","PLACEHOLDER ROW - ",""),'C-Design&amp;Const'!Z301,IF(F301="N","",J301))</f>
        <v xml:space="preserve">PLACEHOLDER ROW - CUSTOM - Ventilation  </v>
      </c>
      <c r="I301" s="184"/>
      <c r="J301" s="578" t="str">
        <f>IF('C-Design&amp;Const'!AE301="","",'C-Design&amp;Const'!AE301)</f>
        <v>(Preliminary)</v>
      </c>
      <c r="K301" s="246" t="str">
        <f t="shared" si="26"/>
        <v/>
      </c>
      <c r="L301" s="1410" t="str">
        <f t="shared" si="26"/>
        <v>&lt;---PM/Planner may hide PLACEHOLDER ROW</v>
      </c>
      <c r="M301" s="1333"/>
      <c r="N301" s="1333"/>
      <c r="O301" s="1333"/>
      <c r="P301" s="1333"/>
      <c r="Q301" s="1333"/>
      <c r="R301" s="1333"/>
      <c r="S301" s="1333"/>
      <c r="T301" s="1333"/>
      <c r="U301" s="1333"/>
      <c r="V301" s="1333"/>
      <c r="W301" s="1333"/>
      <c r="X301" s="1333"/>
      <c r="Y301" s="1333"/>
      <c r="Z301" s="1333"/>
      <c r="AA301" s="1333"/>
      <c r="AB301" s="1333"/>
      <c r="AC301" s="1333"/>
      <c r="AD301" s="1333"/>
      <c r="AE301" s="1333"/>
      <c r="AF301" s="1333"/>
      <c r="AG301" s="1333"/>
      <c r="AH301" s="1333"/>
      <c r="AI301" s="1333"/>
      <c r="AJ301" s="1333"/>
    </row>
    <row r="302" spans="1:48" x14ac:dyDescent="0.25">
      <c r="A302" s="1462"/>
      <c r="B302" s="125"/>
      <c r="C302" s="944"/>
      <c r="D302" s="411"/>
      <c r="E302" s="466"/>
      <c r="F302" s="559" t="str">
        <f>IF('C-Design&amp;Const'!$I302="","",'C-Design&amp;Const'!$I302)</f>
        <v>Y</v>
      </c>
      <c r="G302" s="485"/>
      <c r="H302" s="469" t="str">
        <f>CONCATENATE(IF(F302="N","PLACEHOLDER ROW - ",""),'C-Design&amp;Const'!Z302,IF(F302="N","",J302))</f>
        <v>Ventilation Symbols, Abbreviations, and General Notes (Approx. 50% Complete)</v>
      </c>
      <c r="I302" s="136"/>
      <c r="J302" s="578" t="str">
        <f>IF('C-Design&amp;Const'!AE302="","",'C-Design&amp;Const'!AE302)</f>
        <v>(Approx. 50% Complete)</v>
      </c>
      <c r="K302" s="246" t="str">
        <f t="shared" si="26"/>
        <v/>
      </c>
      <c r="L302" s="1410" t="str">
        <f t="shared" si="26"/>
        <v/>
      </c>
      <c r="M302" s="1333"/>
      <c r="N302" s="1333"/>
      <c r="O302" s="1382"/>
      <c r="P302" s="1333"/>
      <c r="Q302" s="1453"/>
      <c r="R302" s="1284"/>
      <c r="S302" s="1284"/>
      <c r="T302" s="1333"/>
      <c r="U302" s="1333"/>
      <c r="V302" s="1333"/>
      <c r="W302" s="1333"/>
      <c r="X302" s="1333"/>
      <c r="Y302" s="1333"/>
      <c r="Z302" s="1333"/>
      <c r="AA302" s="1333"/>
      <c r="AB302" s="1333"/>
      <c r="AC302" s="1333"/>
      <c r="AD302" s="1333"/>
      <c r="AE302" s="1333"/>
      <c r="AF302" s="1333"/>
      <c r="AG302" s="1333"/>
      <c r="AH302" s="1333"/>
      <c r="AI302" s="1333"/>
      <c r="AJ302" s="1333"/>
    </row>
    <row r="303" spans="1:48" s="542" customFormat="1" ht="15" customHeight="1" x14ac:dyDescent="0.25">
      <c r="A303" s="1462"/>
      <c r="B303" s="554"/>
      <c r="C303" s="1654"/>
      <c r="D303" s="411"/>
      <c r="E303" s="466"/>
      <c r="F303" s="559" t="str">
        <f>IF('C-Design&amp;Const'!$I303="","",'C-Design&amp;Const'!$I303)</f>
        <v>N</v>
      </c>
      <c r="G303" s="558"/>
      <c r="H303" s="469" t="str">
        <f>CONCATENATE(IF(F303="N","PLACEHOLDER ROW - ",""),'C-Design&amp;Const'!Z303,IF(F303="N","",J303))</f>
        <v xml:space="preserve">PLACEHOLDER ROW - Ventilation Demolition(s) </v>
      </c>
      <c r="I303" s="552"/>
      <c r="J303" s="578" t="str">
        <f>IF('C-Design&amp;Const'!AE303="","",'C-Design&amp;Const'!AE303)</f>
        <v>(Preliminary with Options)</v>
      </c>
      <c r="K303" s="246" t="str">
        <f t="shared" si="26"/>
        <v/>
      </c>
      <c r="L303" s="1410" t="str">
        <f t="shared" si="26"/>
        <v>&lt;---PM/Planner may hide PLACEHOLDER ROW</v>
      </c>
      <c r="M303" s="1333"/>
      <c r="N303" s="1333"/>
      <c r="O303" s="1333"/>
      <c r="P303" s="1333"/>
      <c r="Q303" s="1333"/>
      <c r="R303" s="1333"/>
      <c r="S303" s="1333"/>
      <c r="T303" s="1333"/>
      <c r="U303" s="1333"/>
      <c r="V303" s="1333"/>
      <c r="W303" s="1333"/>
      <c r="X303" s="1333"/>
      <c r="Y303" s="1333"/>
      <c r="Z303" s="1333"/>
      <c r="AA303" s="1333"/>
      <c r="AB303" s="1333"/>
      <c r="AC303" s="1333"/>
      <c r="AD303" s="1333"/>
      <c r="AE303" s="1333"/>
      <c r="AF303" s="1333"/>
      <c r="AG303" s="1333"/>
      <c r="AH303" s="1333"/>
      <c r="AI303" s="1333"/>
      <c r="AJ303" s="1333"/>
      <c r="AK303" s="17"/>
      <c r="AL303" s="17"/>
      <c r="AM303" s="17"/>
      <c r="AN303" s="17"/>
      <c r="AO303" s="17"/>
      <c r="AP303" s="17"/>
      <c r="AQ303" s="17"/>
      <c r="AR303" s="17"/>
      <c r="AS303" s="17"/>
      <c r="AT303" s="17"/>
      <c r="AU303" s="17"/>
      <c r="AV303" s="17"/>
    </row>
    <row r="304" spans="1:48" x14ac:dyDescent="0.25">
      <c r="A304" s="1462"/>
      <c r="B304" s="125"/>
      <c r="C304" s="944"/>
      <c r="D304" s="411"/>
      <c r="E304" s="466"/>
      <c r="F304" s="559" t="str">
        <f>IF('C-Design&amp;Const'!$I304="","",'C-Design&amp;Const'!$I304)</f>
        <v>Y</v>
      </c>
      <c r="G304" s="485"/>
      <c r="H304" s="469" t="str">
        <f>CONCATENATE(IF(F304="N","PLACEHOLDER ROW - ",""),'C-Design&amp;Const'!Z304,IF(F304="N","",J304))</f>
        <v>Ventilation Floor Plans (Preliminary)</v>
      </c>
      <c r="I304" s="136"/>
      <c r="J304" s="578" t="str">
        <f>IF('C-Design&amp;Const'!AE304="","",'C-Design&amp;Const'!AE304)</f>
        <v>(Preliminary)</v>
      </c>
      <c r="K304" s="246" t="str">
        <f t="shared" si="26"/>
        <v/>
      </c>
      <c r="L304" s="1410" t="str">
        <f t="shared" si="26"/>
        <v/>
      </c>
      <c r="M304" s="1333"/>
      <c r="N304" s="1333"/>
      <c r="O304" s="1382"/>
      <c r="P304" s="1333"/>
      <c r="Q304" s="1453"/>
      <c r="R304" s="1284"/>
      <c r="S304" s="1284"/>
      <c r="T304" s="1333"/>
      <c r="U304" s="1333"/>
      <c r="V304" s="1333"/>
      <c r="W304" s="1333"/>
      <c r="X304" s="1333"/>
      <c r="Y304" s="1333"/>
      <c r="Z304" s="1333"/>
      <c r="AA304" s="1333"/>
      <c r="AB304" s="1333"/>
      <c r="AC304" s="1333"/>
      <c r="AD304" s="1333"/>
      <c r="AE304" s="1333"/>
      <c r="AF304" s="1333"/>
      <c r="AG304" s="1333"/>
      <c r="AH304" s="1333"/>
      <c r="AI304" s="1333"/>
      <c r="AJ304" s="1333"/>
    </row>
    <row r="305" spans="1:48" x14ac:dyDescent="0.25">
      <c r="A305" s="1462"/>
      <c r="B305" s="125"/>
      <c r="C305" s="944"/>
      <c r="D305" s="411"/>
      <c r="E305" s="466"/>
      <c r="F305" s="559" t="str">
        <f>IF('C-Design&amp;Const'!$I305="","",'C-Design&amp;Const'!$I305)</f>
        <v>N</v>
      </c>
      <c r="G305" s="485"/>
      <c r="H305" s="469" t="str">
        <f>CONCATENATE(IF(F305="N","PLACEHOLDER ROW - ",""),'C-Design&amp;Const'!Z305,IF(F305="N","",J305))</f>
        <v xml:space="preserve">PLACEHOLDER ROW - Ventilation Air Flow Diagrams </v>
      </c>
      <c r="I305" s="136"/>
      <c r="J305" s="578" t="str">
        <f>IF('C-Design&amp;Const'!AE305="","",'C-Design&amp;Const'!AE305)</f>
        <v>(Preliminary)</v>
      </c>
      <c r="K305" s="246" t="str">
        <f t="shared" si="26"/>
        <v/>
      </c>
      <c r="L305" s="1410" t="str">
        <f t="shared" si="26"/>
        <v>&lt;---PM/Planner may hide PLACEHOLDER ROW</v>
      </c>
      <c r="M305" s="1333"/>
      <c r="N305" s="1333"/>
      <c r="O305" s="1382"/>
      <c r="P305" s="1333"/>
      <c r="Q305" s="1453"/>
      <c r="R305" s="1284"/>
      <c r="S305" s="1284"/>
      <c r="T305" s="1333"/>
      <c r="U305" s="1333"/>
      <c r="V305" s="1333"/>
      <c r="W305" s="1333"/>
      <c r="X305" s="1333"/>
      <c r="Y305" s="1333"/>
      <c r="Z305" s="1333"/>
      <c r="AA305" s="1333"/>
      <c r="AB305" s="1333"/>
      <c r="AC305" s="1333"/>
      <c r="AD305" s="1333"/>
      <c r="AE305" s="1333"/>
      <c r="AF305" s="1333"/>
      <c r="AG305" s="1333"/>
      <c r="AH305" s="1333"/>
      <c r="AI305" s="1333"/>
      <c r="AJ305" s="1333"/>
    </row>
    <row r="306" spans="1:48" x14ac:dyDescent="0.25">
      <c r="A306" s="1462"/>
      <c r="B306" s="125"/>
      <c r="C306" s="944"/>
      <c r="D306" s="411"/>
      <c r="E306" s="466"/>
      <c r="F306" s="559" t="str">
        <f>IF('C-Design&amp;Const'!$I306="","",'C-Design&amp;Const'!$I306)</f>
        <v>N</v>
      </c>
      <c r="G306" s="485"/>
      <c r="H306" s="469" t="str">
        <f>CONCATENATE(IF(F306="N","PLACEHOLDER ROW - ",""),'C-Design&amp;Const'!Z306,IF(F306="N","",J306))</f>
        <v xml:space="preserve">PLACEHOLDER ROW - Ventilation Large Scale Mechanical Room Plans </v>
      </c>
      <c r="I306" s="136"/>
      <c r="J306" s="578" t="str">
        <f>IF('C-Design&amp;Const'!AE306="","",'C-Design&amp;Const'!AE306)</f>
        <v>(Preliminary)</v>
      </c>
      <c r="K306" s="246" t="str">
        <f t="shared" si="26"/>
        <v/>
      </c>
      <c r="L306" s="1410" t="str">
        <f t="shared" si="26"/>
        <v>&lt;---PM/Planner may hide PLACEHOLDER ROW</v>
      </c>
      <c r="M306" s="1333"/>
      <c r="N306" s="1333"/>
      <c r="O306" s="1382"/>
      <c r="P306" s="1333"/>
      <c r="Q306" s="1453"/>
      <c r="R306" s="1284"/>
      <c r="S306" s="1284"/>
      <c r="T306" s="1333"/>
      <c r="U306" s="1333"/>
      <c r="V306" s="1333"/>
      <c r="W306" s="1333"/>
      <c r="X306" s="1333"/>
      <c r="Y306" s="1333"/>
      <c r="Z306" s="1333"/>
      <c r="AA306" s="1333"/>
      <c r="AB306" s="1333"/>
      <c r="AC306" s="1333"/>
      <c r="AD306" s="1333"/>
      <c r="AE306" s="1333"/>
      <c r="AF306" s="1333"/>
      <c r="AG306" s="1333"/>
      <c r="AH306" s="1333"/>
      <c r="AI306" s="1333"/>
      <c r="AJ306" s="1333"/>
    </row>
    <row r="307" spans="1:48" x14ac:dyDescent="0.25">
      <c r="A307" s="1462"/>
      <c r="B307" s="125"/>
      <c r="C307" s="944"/>
      <c r="D307" s="411"/>
      <c r="E307" s="466"/>
      <c r="F307" s="559" t="str">
        <f>IF('C-Design&amp;Const'!$I307="","",'C-Design&amp;Const'!$I307)</f>
        <v>N</v>
      </c>
      <c r="G307" s="485"/>
      <c r="H307" s="469" t="str">
        <f>CONCATENATE(IF(F307="N","PLACEHOLDER ROW - ",""),'C-Design&amp;Const'!Z307,IF(F307="N","",J307))</f>
        <v xml:space="preserve">PLACEHOLDER ROW - Ventilation Details and Sections </v>
      </c>
      <c r="I307" s="136"/>
      <c r="J307" s="578" t="str">
        <f>IF('C-Design&amp;Const'!AE307="","",'C-Design&amp;Const'!AE307)</f>
        <v>(Preliminary)</v>
      </c>
      <c r="K307" s="246" t="str">
        <f t="shared" si="26"/>
        <v/>
      </c>
      <c r="L307" s="1410" t="str">
        <f t="shared" si="26"/>
        <v>&lt;---PM/Planner may hide PLACEHOLDER ROW</v>
      </c>
      <c r="M307" s="1333"/>
      <c r="N307" s="1333"/>
      <c r="O307" s="1382"/>
      <c r="P307" s="1333"/>
      <c r="Q307" s="1453"/>
      <c r="R307" s="1284"/>
      <c r="S307" s="1284"/>
      <c r="T307" s="1333"/>
      <c r="U307" s="1333"/>
      <c r="V307" s="1333"/>
      <c r="W307" s="1333"/>
      <c r="X307" s="1333"/>
      <c r="Y307" s="1333"/>
      <c r="Z307" s="1333"/>
      <c r="AA307" s="1333"/>
      <c r="AB307" s="1333"/>
      <c r="AC307" s="1333"/>
      <c r="AD307" s="1333"/>
      <c r="AE307" s="1333"/>
      <c r="AF307" s="1333"/>
      <c r="AG307" s="1333"/>
      <c r="AH307" s="1333"/>
      <c r="AI307" s="1333"/>
      <c r="AJ307" s="1333"/>
    </row>
    <row r="308" spans="1:48" x14ac:dyDescent="0.25">
      <c r="A308" s="1462"/>
      <c r="B308" s="125"/>
      <c r="C308" s="944"/>
      <c r="D308" s="411"/>
      <c r="E308" s="466"/>
      <c r="F308" s="559" t="str">
        <f>IF('C-Design&amp;Const'!$I308="","",'C-Design&amp;Const'!$I308)</f>
        <v>N</v>
      </c>
      <c r="G308" s="485"/>
      <c r="H308" s="469" t="str">
        <f>CONCATENATE(IF(F308="N","PLACEHOLDER ROW - ",""),'C-Design&amp;Const'!Z308,IF(F308="N","",J308))</f>
        <v xml:space="preserve">PLACEHOLDER ROW - Ventilation Equipment Schedule </v>
      </c>
      <c r="I308" s="136"/>
      <c r="J308" s="578" t="str">
        <f>IF('C-Design&amp;Const'!AE308="","",'C-Design&amp;Const'!AE308)</f>
        <v/>
      </c>
      <c r="K308" s="246" t="str">
        <f t="shared" si="26"/>
        <v/>
      </c>
      <c r="L308" s="1410" t="str">
        <f t="shared" si="26"/>
        <v>&lt;---PM/Planner may hide PLACEHOLDER ROW</v>
      </c>
      <c r="M308" s="1333"/>
      <c r="N308" s="1333"/>
      <c r="O308" s="1382"/>
      <c r="P308" s="1333"/>
      <c r="Q308" s="1453"/>
      <c r="R308" s="1284"/>
      <c r="S308" s="1284"/>
      <c r="T308" s="1333"/>
      <c r="U308" s="1333"/>
      <c r="V308" s="1333"/>
      <c r="W308" s="1333"/>
      <c r="X308" s="1333"/>
      <c r="Y308" s="1333"/>
      <c r="Z308" s="1333"/>
      <c r="AA308" s="1333"/>
      <c r="AB308" s="1333"/>
      <c r="AC308" s="1333"/>
      <c r="AD308" s="1333"/>
      <c r="AE308" s="1333"/>
      <c r="AF308" s="1333"/>
      <c r="AG308" s="1333"/>
      <c r="AH308" s="1333"/>
      <c r="AI308" s="1333"/>
      <c r="AJ308" s="1333"/>
    </row>
    <row r="309" spans="1:48" s="542" customFormat="1" x14ac:dyDescent="0.25">
      <c r="A309" s="1462"/>
      <c r="B309" s="125"/>
      <c r="C309" s="944"/>
      <c r="D309" s="411"/>
      <c r="E309" s="559" t="str">
        <f>IF('C-Design&amp;Const'!$I309="","",'C-Design&amp;Const'!$I309)</f>
        <v>Y</v>
      </c>
      <c r="F309" s="460"/>
      <c r="G309" s="485"/>
      <c r="H309" s="244" t="str">
        <f>CONCATENATE(IF(F309="N","PLACEHOLDER ROW - ",""),'C-Design&amp;Const'!Z309,IF(F309="N","",J309))</f>
        <v>Temperature Control Drawings</v>
      </c>
      <c r="I309" s="136"/>
      <c r="J309" s="578" t="str">
        <f>IF('C-Design&amp;Const'!AE309="","",'C-Design&amp;Const'!AE309)</f>
        <v/>
      </c>
      <c r="K309" s="246" t="str">
        <f t="shared" ref="K309:K315" si="31">CONCATENATE(IF(ISNUMBER(SEARCH("Placeholder",G309))=TRUE,"&lt;---PM/Planner may hide PLACEHOLDER ROW",""))</f>
        <v/>
      </c>
      <c r="L309" s="1410" t="str">
        <f t="shared" ref="L309:L315" si="32">CONCATENATE(IF(ISNUMBER(SEARCH("Placeholder",H309))=TRUE,"&lt;---PM/Planner may hide PLACEHOLDER ROW",""))</f>
        <v/>
      </c>
      <c r="M309" s="1333"/>
      <c r="N309" s="1333"/>
      <c r="O309" s="1382"/>
      <c r="P309" s="1333"/>
      <c r="Q309" s="1453"/>
      <c r="R309" s="1284"/>
      <c r="S309" s="1284"/>
      <c r="T309" s="1333"/>
      <c r="U309" s="1333"/>
      <c r="V309" s="1333"/>
      <c r="W309" s="1333"/>
      <c r="X309" s="1333"/>
      <c r="Y309" s="1333"/>
      <c r="Z309" s="1333"/>
      <c r="AA309" s="1333"/>
      <c r="AB309" s="1333"/>
      <c r="AC309" s="1333"/>
      <c r="AD309" s="1333"/>
      <c r="AE309" s="1333"/>
      <c r="AF309" s="1333"/>
      <c r="AG309" s="1333"/>
      <c r="AH309" s="1333"/>
      <c r="AI309" s="1333"/>
      <c r="AJ309" s="1333"/>
      <c r="AK309" s="17"/>
      <c r="AL309" s="17"/>
      <c r="AM309" s="17"/>
      <c r="AN309" s="17"/>
      <c r="AO309" s="17"/>
      <c r="AP309" s="17"/>
      <c r="AQ309" s="17"/>
      <c r="AR309" s="17"/>
      <c r="AS309" s="17"/>
      <c r="AT309" s="17"/>
      <c r="AU309" s="17"/>
      <c r="AV309" s="17"/>
    </row>
    <row r="310" spans="1:48" s="542" customFormat="1" ht="15" customHeight="1" x14ac:dyDescent="0.25">
      <c r="A310" s="1462"/>
      <c r="B310" s="554"/>
      <c r="C310" s="1654"/>
      <c r="D310" s="411"/>
      <c r="E310" s="466"/>
      <c r="F310" s="559" t="str">
        <f>IF('C-Design&amp;Const'!$I310="","",'C-Design&amp;Const'!$I310)</f>
        <v>N</v>
      </c>
      <c r="G310" s="491"/>
      <c r="H310" s="469" t="str">
        <f>CONCATENATE(IF(F310="N","PLACEHOLDER ROW - ",""),'C-Design&amp;Const'!Z310,IF(F310="N","",J310))</f>
        <v>PLACEHOLDER ROW - CUSTOM - Temperature Control</v>
      </c>
      <c r="I310" s="552"/>
      <c r="J310" s="578" t="str">
        <f>IF('C-Design&amp;Const'!AE310="","",'C-Design&amp;Const'!AE310)</f>
        <v>(Preliminary)</v>
      </c>
      <c r="K310" s="246" t="str">
        <f t="shared" si="31"/>
        <v/>
      </c>
      <c r="L310" s="1410" t="str">
        <f t="shared" si="32"/>
        <v>&lt;---PM/Planner may hide PLACEHOLDER ROW</v>
      </c>
      <c r="M310" s="1333"/>
      <c r="N310" s="1333"/>
      <c r="O310" s="1333"/>
      <c r="P310" s="1333"/>
      <c r="Q310" s="1333"/>
      <c r="R310" s="1333"/>
      <c r="S310" s="1333"/>
      <c r="T310" s="1333"/>
      <c r="U310" s="1333"/>
      <c r="V310" s="1333"/>
      <c r="W310" s="1333"/>
      <c r="X310" s="1333"/>
      <c r="Y310" s="1333"/>
      <c r="Z310" s="1333"/>
      <c r="AA310" s="1333"/>
      <c r="AB310" s="1333"/>
      <c r="AC310" s="1333"/>
      <c r="AD310" s="1333"/>
      <c r="AE310" s="1333"/>
      <c r="AF310" s="1333"/>
      <c r="AG310" s="1333"/>
      <c r="AH310" s="1333"/>
      <c r="AI310" s="1333"/>
      <c r="AJ310" s="1333"/>
      <c r="AK310" s="17"/>
      <c r="AL310" s="17"/>
      <c r="AM310" s="17"/>
      <c r="AN310" s="17"/>
      <c r="AO310" s="17"/>
      <c r="AP310" s="17"/>
      <c r="AQ310" s="17"/>
      <c r="AR310" s="17"/>
      <c r="AS310" s="17"/>
      <c r="AT310" s="17"/>
      <c r="AU310" s="17"/>
      <c r="AV310" s="17"/>
    </row>
    <row r="311" spans="1:48" s="542" customFormat="1" ht="15" customHeight="1" x14ac:dyDescent="0.25">
      <c r="A311" s="1462"/>
      <c r="B311" s="554"/>
      <c r="C311" s="1654"/>
      <c r="D311" s="411"/>
      <c r="E311" s="466"/>
      <c r="F311" s="559" t="str">
        <f>IF('C-Design&amp;Const'!$I311="","",'C-Design&amp;Const'!$I311)</f>
        <v>N</v>
      </c>
      <c r="G311" s="491"/>
      <c r="H311" s="469" t="str">
        <f>CONCATENATE(IF(F311="N","PLACEHOLDER ROW - ",""),'C-Design&amp;Const'!Z311,IF(F311="N","",J311))</f>
        <v>PLACEHOLDER ROW - CUSTOM - Temperature Control</v>
      </c>
      <c r="I311" s="552"/>
      <c r="J311" s="578" t="str">
        <f>IF('C-Design&amp;Const'!AE311="","",'C-Design&amp;Const'!AE311)</f>
        <v>(Preliminary)</v>
      </c>
      <c r="K311" s="246" t="str">
        <f t="shared" si="31"/>
        <v/>
      </c>
      <c r="L311" s="1410" t="str">
        <f t="shared" si="32"/>
        <v>&lt;---PM/Planner may hide PLACEHOLDER ROW</v>
      </c>
      <c r="M311" s="1333"/>
      <c r="N311" s="1333"/>
      <c r="O311" s="1333"/>
      <c r="P311" s="1333"/>
      <c r="Q311" s="1333"/>
      <c r="R311" s="1333"/>
      <c r="S311" s="1333"/>
      <c r="T311" s="1333"/>
      <c r="U311" s="1333"/>
      <c r="V311" s="1333"/>
      <c r="W311" s="1333"/>
      <c r="X311" s="1333"/>
      <c r="Y311" s="1333"/>
      <c r="Z311" s="1333"/>
      <c r="AA311" s="1333"/>
      <c r="AB311" s="1333"/>
      <c r="AC311" s="1333"/>
      <c r="AD311" s="1333"/>
      <c r="AE311" s="1333"/>
      <c r="AF311" s="1333"/>
      <c r="AG311" s="1333"/>
      <c r="AH311" s="1333"/>
      <c r="AI311" s="1333"/>
      <c r="AJ311" s="1333"/>
      <c r="AK311" s="17"/>
      <c r="AL311" s="17"/>
      <c r="AM311" s="17"/>
      <c r="AN311" s="17"/>
      <c r="AO311" s="17"/>
      <c r="AP311" s="17"/>
      <c r="AQ311" s="17"/>
      <c r="AR311" s="17"/>
      <c r="AS311" s="17"/>
      <c r="AT311" s="17"/>
      <c r="AU311" s="17"/>
      <c r="AV311" s="17"/>
    </row>
    <row r="312" spans="1:48" s="542" customFormat="1" ht="30" x14ac:dyDescent="0.25">
      <c r="A312" s="1462"/>
      <c r="B312" s="125"/>
      <c r="C312" s="944"/>
      <c r="D312" s="411"/>
      <c r="E312" s="466"/>
      <c r="F312" s="559" t="str">
        <f>IF('C-Design&amp;Const'!$I312="","",'C-Design&amp;Const'!$I312)</f>
        <v>Y</v>
      </c>
      <c r="G312" s="485"/>
      <c r="H312" s="469" t="str">
        <f>CONCATENATE(IF(F312="N","PLACEHOLDER ROW - ",""),'C-Design&amp;Const'!Z312,IF(F312="N","",J312))</f>
        <v>Temperature Control Symbols, Abbreviations, and General Notes (Approx. 50% Complete)</v>
      </c>
      <c r="I312" s="136"/>
      <c r="J312" s="578" t="str">
        <f>IF('C-Design&amp;Const'!AE312="","",'C-Design&amp;Const'!AE312)</f>
        <v>(Approx. 50% Complete)</v>
      </c>
      <c r="K312" s="246" t="str">
        <f t="shared" si="31"/>
        <v/>
      </c>
      <c r="L312" s="1410" t="str">
        <f t="shared" si="32"/>
        <v/>
      </c>
      <c r="M312" s="1333"/>
      <c r="N312" s="1333"/>
      <c r="O312" s="1382"/>
      <c r="P312" s="1333"/>
      <c r="Q312" s="1453"/>
      <c r="R312" s="1284"/>
      <c r="S312" s="1284"/>
      <c r="T312" s="1333"/>
      <c r="U312" s="1333"/>
      <c r="V312" s="1333"/>
      <c r="W312" s="1333"/>
      <c r="X312" s="1333"/>
      <c r="Y312" s="1333"/>
      <c r="Z312" s="1333"/>
      <c r="AA312" s="1333"/>
      <c r="AB312" s="1333"/>
      <c r="AC312" s="1333"/>
      <c r="AD312" s="1333"/>
      <c r="AE312" s="1333"/>
      <c r="AF312" s="1333"/>
      <c r="AG312" s="1333"/>
      <c r="AH312" s="1333"/>
      <c r="AI312" s="1333"/>
      <c r="AJ312" s="1333"/>
      <c r="AK312" s="17"/>
      <c r="AL312" s="17"/>
      <c r="AM312" s="17"/>
      <c r="AN312" s="17"/>
      <c r="AO312" s="17"/>
      <c r="AP312" s="17"/>
      <c r="AQ312" s="17"/>
      <c r="AR312" s="17"/>
      <c r="AS312" s="17"/>
      <c r="AT312" s="17"/>
      <c r="AU312" s="17"/>
      <c r="AV312" s="17"/>
    </row>
    <row r="313" spans="1:48" s="542" customFormat="1" ht="15" customHeight="1" x14ac:dyDescent="0.25">
      <c r="A313" s="1462"/>
      <c r="B313" s="554"/>
      <c r="C313" s="1654"/>
      <c r="D313" s="411"/>
      <c r="E313" s="466"/>
      <c r="F313" s="559" t="str">
        <f>IF('C-Design&amp;Const'!$I313="","",'C-Design&amp;Const'!$I313)</f>
        <v>N</v>
      </c>
      <c r="G313" s="558"/>
      <c r="H313" s="469" t="str">
        <f>CONCATENATE(IF(F313="N","PLACEHOLDER ROW - ",""),'C-Design&amp;Const'!Z313,IF(F313="N","",J313))</f>
        <v xml:space="preserve">PLACEHOLDER ROW - Temperature Control Demolition(s) </v>
      </c>
      <c r="I313" s="552"/>
      <c r="J313" s="578" t="str">
        <f>IF('C-Design&amp;Const'!AE313="","",'C-Design&amp;Const'!AE313)</f>
        <v>(Preliminary with Options)</v>
      </c>
      <c r="K313" s="246" t="str">
        <f t="shared" si="31"/>
        <v/>
      </c>
      <c r="L313" s="1410" t="str">
        <f t="shared" si="32"/>
        <v>&lt;---PM/Planner may hide PLACEHOLDER ROW</v>
      </c>
      <c r="M313" s="1333"/>
      <c r="N313" s="1333"/>
      <c r="O313" s="1333"/>
      <c r="P313" s="1333"/>
      <c r="Q313" s="1333"/>
      <c r="R313" s="1333"/>
      <c r="S313" s="1333"/>
      <c r="T313" s="1333"/>
      <c r="U313" s="1333"/>
      <c r="V313" s="1333"/>
      <c r="W313" s="1333"/>
      <c r="X313" s="1333"/>
      <c r="Y313" s="1333"/>
      <c r="Z313" s="1333"/>
      <c r="AA313" s="1333"/>
      <c r="AB313" s="1333"/>
      <c r="AC313" s="1333"/>
      <c r="AD313" s="1333"/>
      <c r="AE313" s="1333"/>
      <c r="AF313" s="1333"/>
      <c r="AG313" s="1333"/>
      <c r="AH313" s="1333"/>
      <c r="AI313" s="1333"/>
      <c r="AJ313" s="1333"/>
      <c r="AK313" s="17"/>
      <c r="AL313" s="17"/>
      <c r="AM313" s="17"/>
      <c r="AN313" s="17"/>
      <c r="AO313" s="17"/>
      <c r="AP313" s="17"/>
      <c r="AQ313" s="17"/>
      <c r="AR313" s="17"/>
      <c r="AS313" s="17"/>
      <c r="AT313" s="17"/>
      <c r="AU313" s="17"/>
      <c r="AV313" s="17"/>
    </row>
    <row r="314" spans="1:48" s="542" customFormat="1" x14ac:dyDescent="0.25">
      <c r="A314" s="1462"/>
      <c r="B314" s="125"/>
      <c r="C314" s="944"/>
      <c r="D314" s="411"/>
      <c r="E314" s="466"/>
      <c r="F314" s="559" t="str">
        <f>IF('C-Design&amp;Const'!$I314="","",'C-Design&amp;Const'!$I314)</f>
        <v>Y</v>
      </c>
      <c r="G314" s="485"/>
      <c r="H314" s="469" t="str">
        <f>CONCATENATE(IF(F314="N","PLACEHOLDER ROW - ",""),'C-Design&amp;Const'!Z314,IF(F314="N","",J314))</f>
        <v>Temperature Control Floor Plans (Preliminary)</v>
      </c>
      <c r="I314" s="136"/>
      <c r="J314" s="578" t="str">
        <f>IF('C-Design&amp;Const'!AE314="","",'C-Design&amp;Const'!AE314)</f>
        <v>(Preliminary)</v>
      </c>
      <c r="K314" s="246" t="str">
        <f t="shared" si="31"/>
        <v/>
      </c>
      <c r="L314" s="1410" t="str">
        <f t="shared" si="32"/>
        <v/>
      </c>
      <c r="M314" s="1333"/>
      <c r="N314" s="1333"/>
      <c r="O314" s="1382"/>
      <c r="P314" s="1333"/>
      <c r="Q314" s="1453"/>
      <c r="R314" s="1284"/>
      <c r="S314" s="1284"/>
      <c r="T314" s="1333"/>
      <c r="U314" s="1333"/>
      <c r="V314" s="1333"/>
      <c r="W314" s="1333"/>
      <c r="X314" s="1333"/>
      <c r="Y314" s="1333"/>
      <c r="Z314" s="1333"/>
      <c r="AA314" s="1333"/>
      <c r="AB314" s="1333"/>
      <c r="AC314" s="1333"/>
      <c r="AD314" s="1333"/>
      <c r="AE314" s="1333"/>
      <c r="AF314" s="1333"/>
      <c r="AG314" s="1333"/>
      <c r="AH314" s="1333"/>
      <c r="AI314" s="1333"/>
      <c r="AJ314" s="1333"/>
      <c r="AK314" s="17"/>
      <c r="AL314" s="17"/>
      <c r="AM314" s="17"/>
      <c r="AN314" s="17"/>
      <c r="AO314" s="17"/>
      <c r="AP314" s="17"/>
      <c r="AQ314" s="17"/>
      <c r="AR314" s="17"/>
      <c r="AS314" s="17"/>
      <c r="AT314" s="17"/>
      <c r="AU314" s="17"/>
      <c r="AV314" s="17"/>
    </row>
    <row r="315" spans="1:48" s="542" customFormat="1" x14ac:dyDescent="0.25">
      <c r="A315" s="1462"/>
      <c r="B315" s="125"/>
      <c r="C315" s="944"/>
      <c r="D315" s="411"/>
      <c r="E315" s="466"/>
      <c r="F315" s="559" t="str">
        <f>IF('C-Design&amp;Const'!$I315="","",'C-Design&amp;Const'!$I315)</f>
        <v>N</v>
      </c>
      <c r="G315" s="485"/>
      <c r="H315" s="469" t="str">
        <f>CONCATENATE(IF(F315="N","PLACEHOLDER ROW - ",""),'C-Design&amp;Const'!Z315,IF(F315="N","",J315))</f>
        <v>PLACEHOLDER ROW - Temperature Control Sequences, Schedules, and Diagrams</v>
      </c>
      <c r="I315" s="136"/>
      <c r="J315" s="578" t="str">
        <f>IF('C-Design&amp;Const'!AE315="","",'C-Design&amp;Const'!AE315)</f>
        <v/>
      </c>
      <c r="K315" s="246" t="str">
        <f t="shared" si="31"/>
        <v/>
      </c>
      <c r="L315" s="1410" t="str">
        <f t="shared" si="32"/>
        <v>&lt;---PM/Planner may hide PLACEHOLDER ROW</v>
      </c>
      <c r="M315" s="1333"/>
      <c r="N315" s="1333"/>
      <c r="O315" s="1382"/>
      <c r="P315" s="1333"/>
      <c r="Q315" s="1453"/>
      <c r="R315" s="1284"/>
      <c r="S315" s="1284"/>
      <c r="T315" s="1333"/>
      <c r="U315" s="1333"/>
      <c r="V315" s="1333"/>
      <c r="W315" s="1333"/>
      <c r="X315" s="1333"/>
      <c r="Y315" s="1333"/>
      <c r="Z315" s="1333"/>
      <c r="AA315" s="1333"/>
      <c r="AB315" s="1333"/>
      <c r="AC315" s="1333"/>
      <c r="AD315" s="1333"/>
      <c r="AE315" s="1333"/>
      <c r="AF315" s="1333"/>
      <c r="AG315" s="1333"/>
      <c r="AH315" s="1333"/>
      <c r="AI315" s="1333"/>
      <c r="AJ315" s="1333"/>
      <c r="AK315" s="17"/>
      <c r="AL315" s="17"/>
      <c r="AM315" s="17"/>
      <c r="AN315" s="17"/>
      <c r="AO315" s="17"/>
      <c r="AP315" s="17"/>
      <c r="AQ315" s="17"/>
      <c r="AR315" s="17"/>
      <c r="AS315" s="17"/>
      <c r="AT315" s="17"/>
      <c r="AU315" s="17"/>
      <c r="AV315" s="17"/>
    </row>
    <row r="316" spans="1:48" x14ac:dyDescent="0.25">
      <c r="A316" s="1462"/>
      <c r="B316" s="125"/>
      <c r="C316" s="944"/>
      <c r="D316" s="411"/>
      <c r="E316" s="559" t="str">
        <f>IF('C-Design&amp;Const'!$I316="","",'C-Design&amp;Const'!$I316)</f>
        <v>Y</v>
      </c>
      <c r="F316" s="460"/>
      <c r="G316" s="485"/>
      <c r="H316" s="244" t="str">
        <f>CONCATENATE(IF(F316="N","PLACEHOLDER ROW - ",""),'C-Design&amp;Const'!Z316,IF(F316="N","",J316))</f>
        <v>Electrical Drawings</v>
      </c>
      <c r="I316" s="136"/>
      <c r="J316" s="578" t="str">
        <f>IF('C-Design&amp;Const'!AE316="","",'C-Design&amp;Const'!AE316)</f>
        <v/>
      </c>
      <c r="K316" s="246" t="str">
        <f t="shared" si="26"/>
        <v/>
      </c>
      <c r="L316" s="1410" t="str">
        <f t="shared" si="26"/>
        <v/>
      </c>
      <c r="M316" s="1333"/>
      <c r="N316" s="1333"/>
      <c r="O316" s="1382"/>
      <c r="P316" s="1333"/>
      <c r="Q316" s="1453"/>
      <c r="R316" s="1284"/>
      <c r="S316" s="1284"/>
      <c r="T316" s="1333"/>
      <c r="U316" s="1333"/>
      <c r="V316" s="1333"/>
      <c r="W316" s="1333"/>
      <c r="X316" s="1333"/>
      <c r="Y316" s="1333"/>
      <c r="Z316" s="1333"/>
      <c r="AA316" s="1333"/>
      <c r="AB316" s="1333"/>
      <c r="AC316" s="1333"/>
      <c r="AD316" s="1333"/>
      <c r="AE316" s="1333"/>
      <c r="AF316" s="1333"/>
      <c r="AG316" s="1333"/>
      <c r="AH316" s="1333"/>
      <c r="AI316" s="1333"/>
      <c r="AJ316" s="1333"/>
    </row>
    <row r="317" spans="1:48" ht="15" customHeight="1" x14ac:dyDescent="0.25">
      <c r="A317" s="1462"/>
      <c r="B317" s="191"/>
      <c r="C317" s="1654"/>
      <c r="D317" s="411"/>
      <c r="E317" s="466"/>
      <c r="F317" s="559" t="str">
        <f>IF('C-Design&amp;Const'!$I317="","",'C-Design&amp;Const'!$I317)</f>
        <v>N</v>
      </c>
      <c r="G317" s="491"/>
      <c r="H317" s="469" t="str">
        <f>CONCATENATE(IF(F317="N","PLACEHOLDER ROW - ",""),'C-Design&amp;Const'!Z317,IF(F317="N","",J317))</f>
        <v xml:space="preserve">PLACEHOLDER ROW - CUSTOM - Electrical  </v>
      </c>
      <c r="I317" s="184"/>
      <c r="J317" s="578" t="str">
        <f>IF('C-Design&amp;Const'!AE317="","",'C-Design&amp;Const'!AE317)</f>
        <v>(Preliminary)</v>
      </c>
      <c r="K317" s="246" t="str">
        <f t="shared" si="26"/>
        <v/>
      </c>
      <c r="L317" s="1410" t="str">
        <f t="shared" si="26"/>
        <v>&lt;---PM/Planner may hide PLACEHOLDER ROW</v>
      </c>
      <c r="M317" s="1333"/>
      <c r="N317" s="1333"/>
      <c r="O317" s="1333"/>
      <c r="P317" s="1333"/>
      <c r="Q317" s="1333"/>
      <c r="R317" s="1333"/>
      <c r="S317" s="1333"/>
      <c r="T317" s="1333"/>
      <c r="U317" s="1333"/>
      <c r="V317" s="1333"/>
      <c r="W317" s="1333"/>
      <c r="X317" s="1333"/>
      <c r="Y317" s="1333"/>
      <c r="Z317" s="1333"/>
      <c r="AA317" s="1333"/>
      <c r="AB317" s="1333"/>
      <c r="AC317" s="1333"/>
      <c r="AD317" s="1333"/>
      <c r="AE317" s="1333"/>
      <c r="AF317" s="1333"/>
      <c r="AG317" s="1333"/>
      <c r="AH317" s="1333"/>
      <c r="AI317" s="1333"/>
      <c r="AJ317" s="1333"/>
    </row>
    <row r="318" spans="1:48" ht="15" customHeight="1" x14ac:dyDescent="0.25">
      <c r="A318" s="1462"/>
      <c r="B318" s="191"/>
      <c r="C318" s="1654"/>
      <c r="D318" s="411"/>
      <c r="E318" s="466"/>
      <c r="F318" s="559" t="str">
        <f>IF('C-Design&amp;Const'!$I318="","",'C-Design&amp;Const'!$I318)</f>
        <v>N</v>
      </c>
      <c r="G318" s="491"/>
      <c r="H318" s="469" t="str">
        <f>CONCATENATE(IF(F318="N","PLACEHOLDER ROW - ",""),'C-Design&amp;Const'!Z318,IF(F318="N","",J318))</f>
        <v xml:space="preserve">PLACEHOLDER ROW - CUSTOM - Electrical  </v>
      </c>
      <c r="I318" s="184"/>
      <c r="J318" s="578" t="str">
        <f>IF('C-Design&amp;Const'!AE318="","",'C-Design&amp;Const'!AE318)</f>
        <v>(Preliminary)</v>
      </c>
      <c r="K318" s="246" t="str">
        <f t="shared" si="26"/>
        <v/>
      </c>
      <c r="L318" s="1410" t="str">
        <f t="shared" si="26"/>
        <v>&lt;---PM/Planner may hide PLACEHOLDER ROW</v>
      </c>
      <c r="M318" s="1333"/>
      <c r="N318" s="1333"/>
      <c r="O318" s="1333"/>
      <c r="P318" s="1333"/>
      <c r="Q318" s="1333"/>
      <c r="R318" s="1333"/>
      <c r="S318" s="1333"/>
      <c r="T318" s="1333"/>
      <c r="U318" s="1333"/>
      <c r="V318" s="1333"/>
      <c r="W318" s="1333"/>
      <c r="X318" s="1333"/>
      <c r="Y318" s="1333"/>
      <c r="Z318" s="1333"/>
      <c r="AA318" s="1333"/>
      <c r="AB318" s="1333"/>
      <c r="AC318" s="1333"/>
      <c r="AD318" s="1333"/>
      <c r="AE318" s="1333"/>
      <c r="AF318" s="1333"/>
      <c r="AG318" s="1333"/>
      <c r="AH318" s="1333"/>
      <c r="AI318" s="1333"/>
      <c r="AJ318" s="1333"/>
    </row>
    <row r="319" spans="1:48" x14ac:dyDescent="0.25">
      <c r="A319" s="1462"/>
      <c r="B319" s="125"/>
      <c r="C319" s="944"/>
      <c r="D319" s="411"/>
      <c r="E319" s="466"/>
      <c r="F319" s="559" t="str">
        <f>IF('C-Design&amp;Const'!$I319="","",'C-Design&amp;Const'!$I319)</f>
        <v>Y</v>
      </c>
      <c r="G319" s="485"/>
      <c r="H319" s="469" t="str">
        <f>CONCATENATE(IF(F319="N","PLACEHOLDER ROW - ",""),'C-Design&amp;Const'!Z319,IF(F319="N","",J319))</f>
        <v>Electrical Symbols, Abbreviations, and General Notes (Approx. 50% Complete)</v>
      </c>
      <c r="I319" s="136"/>
      <c r="J319" s="578" t="str">
        <f>IF('C-Design&amp;Const'!AE319="","",'C-Design&amp;Const'!AE319)</f>
        <v>(Approx. 50% Complete)</v>
      </c>
      <c r="K319" s="246" t="str">
        <f t="shared" si="26"/>
        <v/>
      </c>
      <c r="L319" s="1410" t="str">
        <f t="shared" si="26"/>
        <v/>
      </c>
      <c r="M319" s="1333"/>
      <c r="N319" s="1333"/>
      <c r="O319" s="1382"/>
      <c r="P319" s="1333"/>
      <c r="Q319" s="1453"/>
      <c r="R319" s="1284"/>
      <c r="S319" s="1284"/>
      <c r="T319" s="1333"/>
      <c r="U319" s="1333"/>
      <c r="V319" s="1333"/>
      <c r="W319" s="1333"/>
      <c r="X319" s="1333"/>
      <c r="Y319" s="1333"/>
      <c r="Z319" s="1333"/>
      <c r="AA319" s="1333"/>
      <c r="AB319" s="1333"/>
      <c r="AC319" s="1333"/>
      <c r="AD319" s="1333"/>
      <c r="AE319" s="1333"/>
      <c r="AF319" s="1333"/>
      <c r="AG319" s="1333"/>
      <c r="AH319" s="1333"/>
      <c r="AI319" s="1333"/>
      <c r="AJ319" s="1333"/>
    </row>
    <row r="320" spans="1:48" s="542" customFormat="1" ht="15" customHeight="1" x14ac:dyDescent="0.25">
      <c r="A320" s="1462"/>
      <c r="B320" s="554"/>
      <c r="C320" s="1654"/>
      <c r="D320" s="411"/>
      <c r="E320" s="466"/>
      <c r="F320" s="559" t="str">
        <f>IF('C-Design&amp;Const'!$I320="","",'C-Design&amp;Const'!$I320)</f>
        <v>N</v>
      </c>
      <c r="G320" s="558"/>
      <c r="H320" s="469" t="str">
        <f>CONCATENATE(IF(F320="N","PLACEHOLDER ROW - ",""),'C-Design&amp;Const'!Z320,IF(F320="N","",J320))</f>
        <v xml:space="preserve">PLACEHOLDER ROW - Electrical Demolition(s) </v>
      </c>
      <c r="I320" s="552"/>
      <c r="J320" s="578" t="str">
        <f>IF('C-Design&amp;Const'!AE320="","",'C-Design&amp;Const'!AE320)</f>
        <v>(Preliminary with Options)</v>
      </c>
      <c r="K320" s="246" t="str">
        <f t="shared" si="26"/>
        <v/>
      </c>
      <c r="L320" s="1410" t="str">
        <f t="shared" si="26"/>
        <v>&lt;---PM/Planner may hide PLACEHOLDER ROW</v>
      </c>
      <c r="M320" s="1333"/>
      <c r="N320" s="1333"/>
      <c r="O320" s="1333"/>
      <c r="P320" s="1333"/>
      <c r="Q320" s="1333"/>
      <c r="R320" s="1333"/>
      <c r="S320" s="1333"/>
      <c r="T320" s="1333"/>
      <c r="U320" s="1333"/>
      <c r="V320" s="1333"/>
      <c r="W320" s="1333"/>
      <c r="X320" s="1333"/>
      <c r="Y320" s="1333"/>
      <c r="Z320" s="1333"/>
      <c r="AA320" s="1333"/>
      <c r="AB320" s="1333"/>
      <c r="AC320" s="1333"/>
      <c r="AD320" s="1333"/>
      <c r="AE320" s="1333"/>
      <c r="AF320" s="1333"/>
      <c r="AG320" s="1333"/>
      <c r="AH320" s="1333"/>
      <c r="AI320" s="1333"/>
      <c r="AJ320" s="1333"/>
      <c r="AK320" s="17"/>
      <c r="AL320" s="17"/>
      <c r="AM320" s="17"/>
      <c r="AN320" s="17"/>
      <c r="AO320" s="17"/>
      <c r="AP320" s="17"/>
      <c r="AQ320" s="17"/>
      <c r="AR320" s="17"/>
      <c r="AS320" s="17"/>
      <c r="AT320" s="17"/>
      <c r="AU320" s="17"/>
      <c r="AV320" s="17"/>
    </row>
    <row r="321" spans="1:48" x14ac:dyDescent="0.25">
      <c r="A321" s="1462"/>
      <c r="B321" s="125"/>
      <c r="C321" s="944"/>
      <c r="D321" s="411"/>
      <c r="E321" s="466"/>
      <c r="F321" s="559" t="str">
        <f>IF('C-Design&amp;Const'!$I321="","",'C-Design&amp;Const'!$I321)</f>
        <v>Y</v>
      </c>
      <c r="G321" s="485"/>
      <c r="H321" s="469" t="str">
        <f>CONCATENATE(IF(F321="N","PLACEHOLDER ROW - ",""),'C-Design&amp;Const'!Z321,IF(F321="N","",J321))</f>
        <v>Electrical Floor Plans w/ Devices for Power (Preliminary)</v>
      </c>
      <c r="I321" s="136"/>
      <c r="J321" s="578" t="str">
        <f>IF('C-Design&amp;Const'!AE321="","",'C-Design&amp;Const'!AE321)</f>
        <v>(Preliminary)</v>
      </c>
      <c r="K321" s="246" t="str">
        <f t="shared" si="26"/>
        <v/>
      </c>
      <c r="L321" s="1410" t="str">
        <f t="shared" si="26"/>
        <v/>
      </c>
      <c r="M321" s="1333"/>
      <c r="N321" s="1333"/>
      <c r="O321" s="1382"/>
      <c r="P321" s="1333"/>
      <c r="Q321" s="1453"/>
      <c r="R321" s="1284"/>
      <c r="S321" s="1284"/>
      <c r="T321" s="1333"/>
      <c r="U321" s="1333"/>
      <c r="V321" s="1333"/>
      <c r="W321" s="1333"/>
      <c r="X321" s="1333"/>
      <c r="Y321" s="1333"/>
      <c r="Z321" s="1333"/>
      <c r="AA321" s="1333"/>
      <c r="AB321" s="1333"/>
      <c r="AC321" s="1333"/>
      <c r="AD321" s="1333"/>
      <c r="AE321" s="1333"/>
      <c r="AF321" s="1333"/>
      <c r="AG321" s="1333"/>
      <c r="AH321" s="1333"/>
      <c r="AI321" s="1333"/>
      <c r="AJ321" s="1333"/>
    </row>
    <row r="322" spans="1:48" x14ac:dyDescent="0.25">
      <c r="A322" s="1462"/>
      <c r="B322" s="125"/>
      <c r="C322" s="944"/>
      <c r="D322" s="411"/>
      <c r="E322" s="466"/>
      <c r="F322" s="559" t="str">
        <f>IF('C-Design&amp;Const'!$I322="","",'C-Design&amp;Const'!$I322)</f>
        <v>N</v>
      </c>
      <c r="G322" s="485"/>
      <c r="H322" s="469" t="str">
        <f>CONCATENATE(IF(F322="N","PLACEHOLDER ROW - ",""),'C-Design&amp;Const'!Z322,IF(F322="N","",J322))</f>
        <v xml:space="preserve">PLACEHOLDER ROW - Electrical Lighting Plans; Power Plans </v>
      </c>
      <c r="I322" s="136"/>
      <c r="J322" s="578" t="str">
        <f>IF('C-Design&amp;Const'!AE322="","",'C-Design&amp;Const'!AE322)</f>
        <v>(Preliminary)</v>
      </c>
      <c r="K322" s="246" t="str">
        <f t="shared" si="26"/>
        <v/>
      </c>
      <c r="L322" s="1410" t="str">
        <f t="shared" si="26"/>
        <v>&lt;---PM/Planner may hide PLACEHOLDER ROW</v>
      </c>
      <c r="M322" s="1333"/>
      <c r="N322" s="1333"/>
      <c r="O322" s="1382"/>
      <c r="P322" s="1333"/>
      <c r="Q322" s="1453"/>
      <c r="R322" s="1284"/>
      <c r="S322" s="1284"/>
      <c r="T322" s="1333"/>
      <c r="U322" s="1333"/>
      <c r="V322" s="1333"/>
      <c r="W322" s="1333"/>
      <c r="X322" s="1333"/>
      <c r="Y322" s="1333"/>
      <c r="Z322" s="1333"/>
      <c r="AA322" s="1333"/>
      <c r="AB322" s="1333"/>
      <c r="AC322" s="1333"/>
      <c r="AD322" s="1333"/>
      <c r="AE322" s="1333"/>
      <c r="AF322" s="1333"/>
      <c r="AG322" s="1333"/>
      <c r="AH322" s="1333"/>
      <c r="AI322" s="1333"/>
      <c r="AJ322" s="1333"/>
    </row>
    <row r="323" spans="1:48" x14ac:dyDescent="0.25">
      <c r="A323" s="1462"/>
      <c r="B323" s="125"/>
      <c r="C323" s="944"/>
      <c r="D323" s="411"/>
      <c r="E323" s="466"/>
      <c r="F323" s="559" t="str">
        <f>IF('C-Design&amp;Const'!$I323="","",'C-Design&amp;Const'!$I323)</f>
        <v>N</v>
      </c>
      <c r="G323" s="485"/>
      <c r="H323" s="469" t="str">
        <f>CONCATENATE(IF(F323="N","PLACEHOLDER ROW - ",""),'C-Design&amp;Const'!Z323,IF(F323="N","",J323))</f>
        <v xml:space="preserve">PLACEHOLDER ROW - Electrical Primary Feed Diagrams </v>
      </c>
      <c r="I323" s="136"/>
      <c r="J323" s="578" t="str">
        <f>IF('C-Design&amp;Const'!AE323="","",'C-Design&amp;Const'!AE323)</f>
        <v>(Preliminary)</v>
      </c>
      <c r="K323" s="246" t="str">
        <f t="shared" si="26"/>
        <v/>
      </c>
      <c r="L323" s="1410" t="str">
        <f t="shared" si="26"/>
        <v>&lt;---PM/Planner may hide PLACEHOLDER ROW</v>
      </c>
      <c r="M323" s="1333"/>
      <c r="N323" s="1333"/>
      <c r="O323" s="1382"/>
      <c r="P323" s="1333"/>
      <c r="Q323" s="1453"/>
      <c r="R323" s="1284"/>
      <c r="S323" s="1284"/>
      <c r="T323" s="1333"/>
      <c r="U323" s="1333"/>
      <c r="V323" s="1333"/>
      <c r="W323" s="1333"/>
      <c r="X323" s="1333"/>
      <c r="Y323" s="1333"/>
      <c r="Z323" s="1333"/>
      <c r="AA323" s="1333"/>
      <c r="AB323" s="1333"/>
      <c r="AC323" s="1333"/>
      <c r="AD323" s="1333"/>
      <c r="AE323" s="1333"/>
      <c r="AF323" s="1333"/>
      <c r="AG323" s="1333"/>
      <c r="AH323" s="1333"/>
      <c r="AI323" s="1333"/>
      <c r="AJ323" s="1333"/>
    </row>
    <row r="324" spans="1:48" x14ac:dyDescent="0.25">
      <c r="A324" s="1462"/>
      <c r="B324" s="125"/>
      <c r="C324" s="944"/>
      <c r="D324" s="411"/>
      <c r="E324" s="466"/>
      <c r="F324" s="559" t="str">
        <f>IF('C-Design&amp;Const'!$I324="","",'C-Design&amp;Const'!$I324)</f>
        <v>N</v>
      </c>
      <c r="G324" s="485"/>
      <c r="H324" s="469" t="str">
        <f>CONCATENATE(IF(F324="N","PLACEHOLDER ROW - ",""),'C-Design&amp;Const'!Z324,IF(F324="N","",J324))</f>
        <v xml:space="preserve">PLACEHOLDER ROW - Electrical Feeder Schedule </v>
      </c>
      <c r="I324" s="136"/>
      <c r="J324" s="578" t="str">
        <f>IF('C-Design&amp;Const'!AE324="","",'C-Design&amp;Const'!AE324)</f>
        <v/>
      </c>
      <c r="K324" s="246" t="str">
        <f t="shared" si="26"/>
        <v/>
      </c>
      <c r="L324" s="1410" t="str">
        <f t="shared" si="26"/>
        <v>&lt;---PM/Planner may hide PLACEHOLDER ROW</v>
      </c>
      <c r="M324" s="1333"/>
      <c r="N324" s="1333"/>
      <c r="O324" s="1382"/>
      <c r="P324" s="1333"/>
      <c r="Q324" s="1453"/>
      <c r="R324" s="1284"/>
      <c r="S324" s="1284"/>
      <c r="T324" s="1333"/>
      <c r="U324" s="1333"/>
      <c r="V324" s="1333"/>
      <c r="W324" s="1333"/>
      <c r="X324" s="1333"/>
      <c r="Y324" s="1333"/>
      <c r="Z324" s="1333"/>
      <c r="AA324" s="1333"/>
      <c r="AB324" s="1333"/>
      <c r="AC324" s="1333"/>
      <c r="AD324" s="1333"/>
      <c r="AE324" s="1333"/>
      <c r="AF324" s="1333"/>
      <c r="AG324" s="1333"/>
      <c r="AH324" s="1333"/>
      <c r="AI324" s="1333"/>
      <c r="AJ324" s="1333"/>
    </row>
    <row r="325" spans="1:48" x14ac:dyDescent="0.25">
      <c r="A325" s="1462"/>
      <c r="B325" s="125"/>
      <c r="C325" s="944"/>
      <c r="D325" s="411"/>
      <c r="E325" s="466"/>
      <c r="F325" s="559" t="str">
        <f>IF('C-Design&amp;Const'!$I325="","",'C-Design&amp;Const'!$I325)</f>
        <v>N</v>
      </c>
      <c r="G325" s="485"/>
      <c r="H325" s="469" t="str">
        <f>CONCATENATE(IF(F325="N","PLACEHOLDER ROW - ",""),'C-Design&amp;Const'!Z325,IF(F325="N","",J325))</f>
        <v xml:space="preserve">PLACEHOLDER ROW - Electrical Secondary Riser Diagrams </v>
      </c>
      <c r="I325" s="136"/>
      <c r="J325" s="578" t="str">
        <f>IF('C-Design&amp;Const'!AE325="","",'C-Design&amp;Const'!AE325)</f>
        <v>(Preliminary)</v>
      </c>
      <c r="K325" s="246" t="str">
        <f t="shared" si="26"/>
        <v/>
      </c>
      <c r="L325" s="1410" t="str">
        <f t="shared" si="26"/>
        <v>&lt;---PM/Planner may hide PLACEHOLDER ROW</v>
      </c>
      <c r="M325" s="1333"/>
      <c r="N325" s="1333"/>
      <c r="O325" s="1382"/>
      <c r="P325" s="1333"/>
      <c r="Q325" s="1453"/>
      <c r="R325" s="1284"/>
      <c r="S325" s="1284"/>
      <c r="T325" s="1333"/>
      <c r="U325" s="1333"/>
      <c r="V325" s="1333"/>
      <c r="W325" s="1333"/>
      <c r="X325" s="1333"/>
      <c r="Y325" s="1333"/>
      <c r="Z325" s="1333"/>
      <c r="AA325" s="1333"/>
      <c r="AB325" s="1333"/>
      <c r="AC325" s="1333"/>
      <c r="AD325" s="1333"/>
      <c r="AE325" s="1333"/>
      <c r="AF325" s="1333"/>
      <c r="AG325" s="1333"/>
      <c r="AH325" s="1333"/>
      <c r="AI325" s="1333"/>
      <c r="AJ325" s="1333"/>
    </row>
    <row r="326" spans="1:48" x14ac:dyDescent="0.25">
      <c r="A326" s="1462"/>
      <c r="B326" s="125"/>
      <c r="C326" s="944"/>
      <c r="D326" s="411"/>
      <c r="E326" s="466"/>
      <c r="F326" s="559" t="str">
        <f>IF('C-Design&amp;Const'!$I326="","",'C-Design&amp;Const'!$I326)</f>
        <v>N</v>
      </c>
      <c r="G326" s="485"/>
      <c r="H326" s="469" t="str">
        <f>CONCATENATE(IF(F326="N","PLACEHOLDER ROW - ",""),'C-Design&amp;Const'!Z326,IF(F326="N","",J326))</f>
        <v xml:space="preserve">PLACEHOLDER ROW - Electrical Power Distribution Schedule </v>
      </c>
      <c r="I326" s="136"/>
      <c r="J326" s="578" t="str">
        <f>IF('C-Design&amp;Const'!AE326="","",'C-Design&amp;Const'!AE326)</f>
        <v>(Preliminary)</v>
      </c>
      <c r="K326" s="246" t="str">
        <f t="shared" si="26"/>
        <v/>
      </c>
      <c r="L326" s="1410" t="str">
        <f t="shared" si="26"/>
        <v>&lt;---PM/Planner may hide PLACEHOLDER ROW</v>
      </c>
      <c r="M326" s="1333"/>
      <c r="N326" s="1333"/>
      <c r="O326" s="1382"/>
      <c r="P326" s="1333"/>
      <c r="Q326" s="1453"/>
      <c r="R326" s="1284"/>
      <c r="S326" s="1284"/>
      <c r="T326" s="1333"/>
      <c r="U326" s="1333"/>
      <c r="V326" s="1333"/>
      <c r="W326" s="1333"/>
      <c r="X326" s="1333"/>
      <c r="Y326" s="1333"/>
      <c r="Z326" s="1333"/>
      <c r="AA326" s="1333"/>
      <c r="AB326" s="1333"/>
      <c r="AC326" s="1333"/>
      <c r="AD326" s="1333"/>
      <c r="AE326" s="1333"/>
      <c r="AF326" s="1333"/>
      <c r="AG326" s="1333"/>
      <c r="AH326" s="1333"/>
      <c r="AI326" s="1333"/>
      <c r="AJ326" s="1333"/>
    </row>
    <row r="327" spans="1:48" x14ac:dyDescent="0.25">
      <c r="A327" s="1462"/>
      <c r="B327" s="125"/>
      <c r="C327" s="944"/>
      <c r="D327" s="411"/>
      <c r="E327" s="466"/>
      <c r="F327" s="559" t="str">
        <f>IF('C-Design&amp;Const'!$I327="","",'C-Design&amp;Const'!$I327)</f>
        <v>N</v>
      </c>
      <c r="G327" s="485"/>
      <c r="H327" s="469" t="str">
        <f>CONCATENATE(IF(F327="N","PLACEHOLDER ROW - ",""),'C-Design&amp;Const'!Z327,IF(F327="N","",J327))</f>
        <v xml:space="preserve">PLACEHOLDER ROW - Electrical Grounding Riser Diagram </v>
      </c>
      <c r="I327" s="136"/>
      <c r="J327" s="578" t="str">
        <f>IF('C-Design&amp;Const'!AE327="","",'C-Design&amp;Const'!AE327)</f>
        <v>(Preliminary)</v>
      </c>
      <c r="K327" s="246" t="str">
        <f t="shared" ref="K327:L400" si="33">CONCATENATE(IF(ISNUMBER(SEARCH("Placeholder",G327))=TRUE,"&lt;---PM/Planner may hide PLACEHOLDER ROW",""))</f>
        <v/>
      </c>
      <c r="L327" s="1410" t="str">
        <f t="shared" si="33"/>
        <v>&lt;---PM/Planner may hide PLACEHOLDER ROW</v>
      </c>
      <c r="M327" s="1333"/>
      <c r="N327" s="1333"/>
      <c r="O327" s="1382"/>
      <c r="P327" s="1333"/>
      <c r="Q327" s="1453"/>
      <c r="R327" s="1284"/>
      <c r="S327" s="1284"/>
      <c r="T327" s="1333"/>
      <c r="U327" s="1333"/>
      <c r="V327" s="1333"/>
      <c r="W327" s="1333"/>
      <c r="X327" s="1333"/>
      <c r="Y327" s="1333"/>
      <c r="Z327" s="1333"/>
      <c r="AA327" s="1333"/>
      <c r="AB327" s="1333"/>
      <c r="AC327" s="1333"/>
      <c r="AD327" s="1333"/>
      <c r="AE327" s="1333"/>
      <c r="AF327" s="1333"/>
      <c r="AG327" s="1333"/>
      <c r="AH327" s="1333"/>
      <c r="AI327" s="1333"/>
      <c r="AJ327" s="1333"/>
    </row>
    <row r="328" spans="1:48" x14ac:dyDescent="0.25">
      <c r="A328" s="1462"/>
      <c r="B328" s="125"/>
      <c r="C328" s="944"/>
      <c r="D328" s="411"/>
      <c r="E328" s="466"/>
      <c r="F328" s="559" t="str">
        <f>IF('C-Design&amp;Const'!$I328="","",'C-Design&amp;Const'!$I328)</f>
        <v>N</v>
      </c>
      <c r="G328" s="485"/>
      <c r="H328" s="469" t="str">
        <f>CONCATENATE(IF(F328="N","PLACEHOLDER ROW - ",""),'C-Design&amp;Const'!Z328,IF(F328="N","",J328))</f>
        <v xml:space="preserve">PLACEHOLDER ROW - Electrical Details </v>
      </c>
      <c r="I328" s="136"/>
      <c r="J328" s="578" t="str">
        <f>IF('C-Design&amp;Const'!AE328="","",'C-Design&amp;Const'!AE328)</f>
        <v>(Preliminary)</v>
      </c>
      <c r="K328" s="246" t="str">
        <f t="shared" si="33"/>
        <v/>
      </c>
      <c r="L328" s="1410" t="str">
        <f t="shared" si="33"/>
        <v>&lt;---PM/Planner may hide PLACEHOLDER ROW</v>
      </c>
      <c r="M328" s="1333"/>
      <c r="N328" s="1333"/>
      <c r="O328" s="1382"/>
      <c r="P328" s="1333"/>
      <c r="Q328" s="1453"/>
      <c r="R328" s="1284"/>
      <c r="S328" s="1284"/>
      <c r="T328" s="1333"/>
      <c r="U328" s="1333"/>
      <c r="V328" s="1333"/>
      <c r="W328" s="1333"/>
      <c r="X328" s="1333"/>
      <c r="Y328" s="1333"/>
      <c r="Z328" s="1333"/>
      <c r="AA328" s="1333"/>
      <c r="AB328" s="1333"/>
      <c r="AC328" s="1333"/>
      <c r="AD328" s="1333"/>
      <c r="AE328" s="1333"/>
      <c r="AF328" s="1333"/>
      <c r="AG328" s="1333"/>
      <c r="AH328" s="1333"/>
      <c r="AI328" s="1333"/>
      <c r="AJ328" s="1333"/>
    </row>
    <row r="329" spans="1:48" x14ac:dyDescent="0.25">
      <c r="A329" s="1462"/>
      <c r="B329" s="125"/>
      <c r="C329" s="944"/>
      <c r="D329" s="411"/>
      <c r="E329" s="466"/>
      <c r="F329" s="559" t="str">
        <f>IF('C-Design&amp;Const'!$I329="","",'C-Design&amp;Const'!$I329)</f>
        <v>N</v>
      </c>
      <c r="G329" s="485"/>
      <c r="H329" s="469" t="str">
        <f>CONCATENATE(IF(F329="N","PLACEHOLDER ROW - ",""),'C-Design&amp;Const'!Z329,IF(F329="N","",J329))</f>
        <v xml:space="preserve">PLACEHOLDER ROW - Electrical Fixture Schedule and Equipment </v>
      </c>
      <c r="I329" s="136"/>
      <c r="J329" s="578" t="str">
        <f>IF('C-Design&amp;Const'!AE329="","",'C-Design&amp;Const'!AE329)</f>
        <v>(Preliminary)</v>
      </c>
      <c r="K329" s="246" t="str">
        <f t="shared" si="33"/>
        <v/>
      </c>
      <c r="L329" s="1410" t="str">
        <f t="shared" si="33"/>
        <v>&lt;---PM/Planner may hide PLACEHOLDER ROW</v>
      </c>
      <c r="M329" s="1333"/>
      <c r="N329" s="1333"/>
      <c r="O329" s="1382"/>
      <c r="P329" s="1333"/>
      <c r="Q329" s="1453"/>
      <c r="R329" s="1284"/>
      <c r="S329" s="1284"/>
      <c r="T329" s="1333"/>
      <c r="U329" s="1333"/>
      <c r="V329" s="1333"/>
      <c r="W329" s="1333"/>
      <c r="X329" s="1333"/>
      <c r="Y329" s="1333"/>
      <c r="Z329" s="1333"/>
      <c r="AA329" s="1333"/>
      <c r="AB329" s="1333"/>
      <c r="AC329" s="1333"/>
      <c r="AD329" s="1333"/>
      <c r="AE329" s="1333"/>
      <c r="AF329" s="1333"/>
      <c r="AG329" s="1333"/>
      <c r="AH329" s="1333"/>
      <c r="AI329" s="1333"/>
      <c r="AJ329" s="1333"/>
    </row>
    <row r="330" spans="1:48" x14ac:dyDescent="0.25">
      <c r="A330" s="1462"/>
      <c r="B330" s="125"/>
      <c r="C330" s="944"/>
      <c r="D330" s="411"/>
      <c r="E330" s="466"/>
      <c r="F330" s="559" t="str">
        <f>IF('C-Design&amp;Const'!$I330="","",'C-Design&amp;Const'!$I330)</f>
        <v>N</v>
      </c>
      <c r="G330" s="485"/>
      <c r="H330" s="469" t="str">
        <f>CONCATENATE(IF(F330="N","PLACEHOLDER ROW - ",""),'C-Design&amp;Const'!Z330,IF(F330="N","",J330))</f>
        <v>PLACEHOLDER ROW - Electrical Lightning Protection Sections / Diagrams</v>
      </c>
      <c r="I330" s="136"/>
      <c r="J330" s="578" t="str">
        <f>IF('C-Design&amp;Const'!AE330="","",'C-Design&amp;Const'!AE330)</f>
        <v>(Preliminary)</v>
      </c>
      <c r="K330" s="246" t="str">
        <f t="shared" si="33"/>
        <v/>
      </c>
      <c r="L330" s="1410" t="str">
        <f t="shared" si="33"/>
        <v>&lt;---PM/Planner may hide PLACEHOLDER ROW</v>
      </c>
      <c r="M330" s="1333"/>
      <c r="N330" s="1333"/>
      <c r="O330" s="1382"/>
      <c r="P330" s="1333"/>
      <c r="Q330" s="1453"/>
      <c r="R330" s="1284"/>
      <c r="S330" s="1284"/>
      <c r="T330" s="1333"/>
      <c r="U330" s="1333"/>
      <c r="V330" s="1333"/>
      <c r="W330" s="1333"/>
      <c r="X330" s="1333"/>
      <c r="Y330" s="1333"/>
      <c r="Z330" s="1333"/>
      <c r="AA330" s="1333"/>
      <c r="AB330" s="1333"/>
      <c r="AC330" s="1333"/>
      <c r="AD330" s="1333"/>
      <c r="AE330" s="1333"/>
      <c r="AF330" s="1333"/>
      <c r="AG330" s="1333"/>
      <c r="AH330" s="1333"/>
      <c r="AI330" s="1333"/>
      <c r="AJ330" s="1333"/>
    </row>
    <row r="331" spans="1:48" x14ac:dyDescent="0.25">
      <c r="A331" s="1462"/>
      <c r="B331" s="125"/>
      <c r="C331" s="944"/>
      <c r="D331" s="411"/>
      <c r="E331" s="466"/>
      <c r="F331" s="559" t="str">
        <f>IF('C-Design&amp;Const'!$I331="","",'C-Design&amp;Const'!$I331)</f>
        <v>N</v>
      </c>
      <c r="G331" s="485"/>
      <c r="H331" s="469" t="str">
        <f>IF(F331="N","PLACEHOLDER ROW - Electrical Lightning Protection Details","Electrical Lightning Protection Details (Preliminary)")</f>
        <v>PLACEHOLDER ROW - Electrical Lightning Protection Details</v>
      </c>
      <c r="I331" s="136"/>
      <c r="J331" s="578" t="str">
        <f>IF('C-Design&amp;Const'!AE331="","",'C-Design&amp;Const'!AE331)</f>
        <v>(Preliminary)</v>
      </c>
      <c r="K331" s="246" t="str">
        <f t="shared" si="33"/>
        <v/>
      </c>
      <c r="L331" s="1410" t="str">
        <f t="shared" si="33"/>
        <v>&lt;---PM/Planner may hide PLACEHOLDER ROW</v>
      </c>
      <c r="M331" s="1333"/>
      <c r="N331" s="1333"/>
      <c r="O331" s="1382"/>
      <c r="P331" s="1333"/>
      <c r="Q331" s="1453"/>
      <c r="R331" s="1284"/>
      <c r="S331" s="1284"/>
      <c r="T331" s="1333"/>
      <c r="U331" s="1333"/>
      <c r="V331" s="1333"/>
      <c r="W331" s="1333"/>
      <c r="X331" s="1333"/>
      <c r="Y331" s="1333"/>
      <c r="Z331" s="1333"/>
      <c r="AA331" s="1333"/>
      <c r="AB331" s="1333"/>
      <c r="AC331" s="1333"/>
      <c r="AD331" s="1333"/>
      <c r="AE331" s="1333"/>
      <c r="AF331" s="1333"/>
      <c r="AG331" s="1333"/>
      <c r="AH331" s="1333"/>
      <c r="AI331" s="1333"/>
      <c r="AJ331" s="1333"/>
    </row>
    <row r="332" spans="1:48" x14ac:dyDescent="0.25">
      <c r="A332" s="1462"/>
      <c r="B332" s="125"/>
      <c r="C332" s="944"/>
      <c r="D332" s="411"/>
      <c r="E332" s="559" t="str">
        <f>IF('C-Design&amp;Const'!$I332="","",'C-Design&amp;Const'!$I332)</f>
        <v>Y</v>
      </c>
      <c r="F332" s="460"/>
      <c r="G332" s="485"/>
      <c r="H332" s="244" t="str">
        <f>CONCATENATE(IF(F332="N","PLACEHOLDER ROW - ",""),'C-Design&amp;Const'!Z332,IF(F332="N","",J332))</f>
        <v>Fire Alarm Drawings</v>
      </c>
      <c r="I332" s="136"/>
      <c r="J332" s="578" t="str">
        <f>IF('C-Design&amp;Const'!AE332="","",'C-Design&amp;Const'!AE332)</f>
        <v/>
      </c>
      <c r="K332" s="246" t="str">
        <f t="shared" si="33"/>
        <v/>
      </c>
      <c r="L332" s="1410" t="str">
        <f t="shared" si="33"/>
        <v/>
      </c>
      <c r="M332" s="1333"/>
      <c r="N332" s="1333"/>
      <c r="O332" s="1382"/>
      <c r="P332" s="1333"/>
      <c r="Q332" s="1453"/>
      <c r="R332" s="1284"/>
      <c r="S332" s="1284"/>
      <c r="T332" s="1333"/>
      <c r="U332" s="1333"/>
      <c r="V332" s="1333"/>
      <c r="W332" s="1333"/>
      <c r="X332" s="1333"/>
      <c r="Y332" s="1333"/>
      <c r="Z332" s="1333"/>
      <c r="AA332" s="1333"/>
      <c r="AB332" s="1333"/>
      <c r="AC332" s="1333"/>
      <c r="AD332" s="1333"/>
      <c r="AE332" s="1333"/>
      <c r="AF332" s="1333"/>
      <c r="AG332" s="1333"/>
      <c r="AH332" s="1333"/>
      <c r="AI332" s="1333"/>
      <c r="AJ332" s="1333"/>
    </row>
    <row r="333" spans="1:48" ht="15" customHeight="1" x14ac:dyDescent="0.25">
      <c r="A333" s="1462"/>
      <c r="B333" s="191"/>
      <c r="C333" s="1654"/>
      <c r="D333" s="411"/>
      <c r="E333" s="466"/>
      <c r="F333" s="559" t="str">
        <f>IF('C-Design&amp;Const'!$I333="","",'C-Design&amp;Const'!$I333)</f>
        <v>N</v>
      </c>
      <c r="G333" s="491"/>
      <c r="H333" s="469" t="str">
        <f>CONCATENATE(IF(F333="N","PLACEHOLDER ROW - ",""),'C-Design&amp;Const'!Z333,IF(F333="N","",J333))</f>
        <v xml:space="preserve">PLACEHOLDER ROW - CUSTOM - Fire Alarm  </v>
      </c>
      <c r="I333" s="184"/>
      <c r="J333" s="578" t="str">
        <f>IF('C-Design&amp;Const'!AE333="","",'C-Design&amp;Const'!AE333)</f>
        <v>(Preliminary)</v>
      </c>
      <c r="K333" s="246" t="str">
        <f t="shared" si="33"/>
        <v/>
      </c>
      <c r="L333" s="1410" t="str">
        <f t="shared" si="33"/>
        <v>&lt;---PM/Planner may hide PLACEHOLDER ROW</v>
      </c>
      <c r="M333" s="1333"/>
      <c r="N333" s="1333"/>
      <c r="O333" s="1333"/>
      <c r="P333" s="1333"/>
      <c r="Q333" s="1333"/>
      <c r="R333" s="1333"/>
      <c r="S333" s="1333"/>
      <c r="T333" s="1333"/>
      <c r="U333" s="1333"/>
      <c r="V333" s="1333"/>
      <c r="W333" s="1333"/>
      <c r="X333" s="1333"/>
      <c r="Y333" s="1333"/>
      <c r="Z333" s="1333"/>
      <c r="AA333" s="1333"/>
      <c r="AB333" s="1333"/>
      <c r="AC333" s="1333"/>
      <c r="AD333" s="1333"/>
      <c r="AE333" s="1333"/>
      <c r="AF333" s="1333"/>
      <c r="AG333" s="1333"/>
      <c r="AH333" s="1333"/>
      <c r="AI333" s="1333"/>
      <c r="AJ333" s="1333"/>
    </row>
    <row r="334" spans="1:48" ht="15" customHeight="1" x14ac:dyDescent="0.25">
      <c r="A334" s="1462"/>
      <c r="B334" s="191"/>
      <c r="C334" s="1654"/>
      <c r="D334" s="411"/>
      <c r="E334" s="466"/>
      <c r="F334" s="559" t="str">
        <f>IF('C-Design&amp;Const'!$I334="","",'C-Design&amp;Const'!$I334)</f>
        <v>N</v>
      </c>
      <c r="G334" s="491"/>
      <c r="H334" s="469" t="str">
        <f>CONCATENATE(IF(F334="N","PLACEHOLDER ROW - ",""),'C-Design&amp;Const'!Z334,IF(F334="N","",J334))</f>
        <v xml:space="preserve">PLACEHOLDER ROW - CUSTOM - Fire Alarm  </v>
      </c>
      <c r="I334" s="184"/>
      <c r="J334" s="578" t="str">
        <f>IF('C-Design&amp;Const'!AE334="","",'C-Design&amp;Const'!AE334)</f>
        <v>(Preliminary)</v>
      </c>
      <c r="K334" s="246" t="str">
        <f t="shared" si="33"/>
        <v/>
      </c>
      <c r="L334" s="1410" t="str">
        <f t="shared" si="33"/>
        <v>&lt;---PM/Planner may hide PLACEHOLDER ROW</v>
      </c>
      <c r="M334" s="1333"/>
      <c r="N334" s="1333"/>
      <c r="O334" s="1333"/>
      <c r="P334" s="1333"/>
      <c r="Q334" s="1333"/>
      <c r="R334" s="1333"/>
      <c r="S334" s="1333"/>
      <c r="T334" s="1333"/>
      <c r="U334" s="1333"/>
      <c r="V334" s="1333"/>
      <c r="W334" s="1333"/>
      <c r="X334" s="1333"/>
      <c r="Y334" s="1333"/>
      <c r="Z334" s="1333"/>
      <c r="AA334" s="1333"/>
      <c r="AB334" s="1333"/>
      <c r="AC334" s="1333"/>
      <c r="AD334" s="1333"/>
      <c r="AE334" s="1333"/>
      <c r="AF334" s="1333"/>
      <c r="AG334" s="1333"/>
      <c r="AH334" s="1333"/>
      <c r="AI334" s="1333"/>
      <c r="AJ334" s="1333"/>
    </row>
    <row r="335" spans="1:48" s="542" customFormat="1" ht="15" customHeight="1" x14ac:dyDescent="0.25">
      <c r="A335" s="1462"/>
      <c r="B335" s="554"/>
      <c r="C335" s="1654"/>
      <c r="D335" s="411"/>
      <c r="E335" s="466"/>
      <c r="F335" s="559" t="str">
        <f>IF('C-Design&amp;Const'!$I335="","",'C-Design&amp;Const'!$I335)</f>
        <v>N</v>
      </c>
      <c r="G335" s="558"/>
      <c r="H335" s="469" t="str">
        <f>CONCATENATE(IF(F335="N","PLACEHOLDER ROW - ",""),'C-Design&amp;Const'!Z335,IF(F335="N","",J335))</f>
        <v xml:space="preserve">PLACEHOLDER ROW - Fire Alarm Symbols, Abbreviations, and General Notes </v>
      </c>
      <c r="I335" s="552"/>
      <c r="J335" s="578" t="str">
        <f>IF('C-Design&amp;Const'!AE335="","",'C-Design&amp;Const'!AE335)</f>
        <v>(Approx. 50% Complete)</v>
      </c>
      <c r="K335" s="246" t="str">
        <f t="shared" si="33"/>
        <v/>
      </c>
      <c r="L335" s="1410" t="str">
        <f t="shared" si="33"/>
        <v>&lt;---PM/Planner may hide PLACEHOLDER ROW</v>
      </c>
      <c r="M335" s="1333"/>
      <c r="N335" s="1333"/>
      <c r="O335" s="1333"/>
      <c r="P335" s="1333"/>
      <c r="Q335" s="1333"/>
      <c r="R335" s="1333"/>
      <c r="S335" s="1333"/>
      <c r="T335" s="1333"/>
      <c r="U335" s="1333"/>
      <c r="V335" s="1333"/>
      <c r="W335" s="1333"/>
      <c r="X335" s="1333"/>
      <c r="Y335" s="1333"/>
      <c r="Z335" s="1333"/>
      <c r="AA335" s="1333"/>
      <c r="AB335" s="1333"/>
      <c r="AC335" s="1333"/>
      <c r="AD335" s="1333"/>
      <c r="AE335" s="1333"/>
      <c r="AF335" s="1333"/>
      <c r="AG335" s="1333"/>
      <c r="AH335" s="1333"/>
      <c r="AI335" s="1333"/>
      <c r="AJ335" s="1333"/>
      <c r="AK335" s="17"/>
      <c r="AL335" s="17"/>
      <c r="AM335" s="17"/>
      <c r="AN335" s="17"/>
      <c r="AO335" s="17"/>
      <c r="AP335" s="17"/>
      <c r="AQ335" s="17"/>
      <c r="AR335" s="17"/>
      <c r="AS335" s="17"/>
      <c r="AT335" s="17"/>
      <c r="AU335" s="17"/>
      <c r="AV335" s="17"/>
    </row>
    <row r="336" spans="1:48" s="542" customFormat="1" ht="15" customHeight="1" x14ac:dyDescent="0.25">
      <c r="A336" s="1462"/>
      <c r="B336" s="554"/>
      <c r="C336" s="1654"/>
      <c r="D336" s="411"/>
      <c r="E336" s="466"/>
      <c r="F336" s="559" t="str">
        <f>IF('C-Design&amp;Const'!$I336="","",'C-Design&amp;Const'!$I336)</f>
        <v>N</v>
      </c>
      <c r="G336" s="558"/>
      <c r="H336" s="469" t="str">
        <f>CONCATENATE(IF(F336="N","PLACEHOLDER ROW - ",""),'C-Design&amp;Const'!Z336,IF(F336="N","",J336))</f>
        <v xml:space="preserve">PLACEHOLDER ROW - Fire Alarm Demolition(s) </v>
      </c>
      <c r="I336" s="552"/>
      <c r="J336" s="578" t="str">
        <f>IF('C-Design&amp;Const'!AE336="","",'C-Design&amp;Const'!AE336)</f>
        <v>(Preliminary with Options)</v>
      </c>
      <c r="K336" s="246" t="str">
        <f t="shared" si="33"/>
        <v/>
      </c>
      <c r="L336" s="1410" t="str">
        <f t="shared" si="33"/>
        <v>&lt;---PM/Planner may hide PLACEHOLDER ROW</v>
      </c>
      <c r="M336" s="1333"/>
      <c r="N336" s="1333"/>
      <c r="O336" s="1333"/>
      <c r="P336" s="1333"/>
      <c r="Q336" s="1333"/>
      <c r="R336" s="1333"/>
      <c r="S336" s="1333"/>
      <c r="T336" s="1333"/>
      <c r="U336" s="1333"/>
      <c r="V336" s="1333"/>
      <c r="W336" s="1333"/>
      <c r="X336" s="1333"/>
      <c r="Y336" s="1333"/>
      <c r="Z336" s="1333"/>
      <c r="AA336" s="1333"/>
      <c r="AB336" s="1333"/>
      <c r="AC336" s="1333"/>
      <c r="AD336" s="1333"/>
      <c r="AE336" s="1333"/>
      <c r="AF336" s="1333"/>
      <c r="AG336" s="1333"/>
      <c r="AH336" s="1333"/>
      <c r="AI336" s="1333"/>
      <c r="AJ336" s="1333"/>
      <c r="AK336" s="17"/>
      <c r="AL336" s="17"/>
      <c r="AM336" s="17"/>
      <c r="AN336" s="17"/>
      <c r="AO336" s="17"/>
      <c r="AP336" s="17"/>
      <c r="AQ336" s="17"/>
      <c r="AR336" s="17"/>
      <c r="AS336" s="17"/>
      <c r="AT336" s="17"/>
      <c r="AU336" s="17"/>
      <c r="AV336" s="17"/>
    </row>
    <row r="337" spans="1:48" x14ac:dyDescent="0.25">
      <c r="A337" s="1462"/>
      <c r="B337" s="125"/>
      <c r="C337" s="944"/>
      <c r="D337" s="411"/>
      <c r="E337" s="466"/>
      <c r="F337" s="559" t="str">
        <f>IF('C-Design&amp;Const'!$I337="","",'C-Design&amp;Const'!$I337)</f>
        <v>Y</v>
      </c>
      <c r="G337" s="485"/>
      <c r="H337" s="243" t="str">
        <f>CONCATENATE(IF(F337="N","PLACEHOLDER ROW - ",""),'C-Design&amp;Const'!Z337,IF(F337="N","",J337))</f>
        <v>Fire Alarm Floor Plans (Preliminary)</v>
      </c>
      <c r="I337" s="136"/>
      <c r="J337" s="578" t="str">
        <f>IF('C-Design&amp;Const'!AE337="","",'C-Design&amp;Const'!AE337)</f>
        <v>(Preliminary)</v>
      </c>
      <c r="K337" s="246" t="str">
        <f t="shared" si="33"/>
        <v/>
      </c>
      <c r="L337" s="1410" t="str">
        <f t="shared" si="33"/>
        <v/>
      </c>
      <c r="M337" s="1333"/>
      <c r="N337" s="1333"/>
      <c r="O337" s="1382"/>
      <c r="P337" s="1333"/>
      <c r="Q337" s="1453"/>
      <c r="R337" s="1284"/>
      <c r="S337" s="1284"/>
      <c r="T337" s="1333"/>
      <c r="U337" s="1333"/>
      <c r="V337" s="1333"/>
      <c r="W337" s="1333"/>
      <c r="X337" s="1333"/>
      <c r="Y337" s="1333"/>
      <c r="Z337" s="1333"/>
      <c r="AA337" s="1333"/>
      <c r="AB337" s="1333"/>
      <c r="AC337" s="1333"/>
      <c r="AD337" s="1333"/>
      <c r="AE337" s="1333"/>
      <c r="AF337" s="1333"/>
      <c r="AG337" s="1333"/>
      <c r="AH337" s="1333"/>
      <c r="AI337" s="1333"/>
      <c r="AJ337" s="1333"/>
    </row>
    <row r="338" spans="1:48" x14ac:dyDescent="0.25">
      <c r="A338" s="1462"/>
      <c r="B338" s="125"/>
      <c r="C338" s="944"/>
      <c r="D338" s="411"/>
      <c r="E338" s="466"/>
      <c r="F338" s="559" t="str">
        <f>IF('C-Design&amp;Const'!$I338="","",'C-Design&amp;Const'!$I338)</f>
        <v>N</v>
      </c>
      <c r="G338" s="485"/>
      <c r="H338" s="243" t="str">
        <f>CONCATENATE(IF(F338="N","PLACEHOLDER ROW - ",""),'C-Design&amp;Const'!Z338,IF(F338="N","",J338))</f>
        <v xml:space="preserve">PLACEHOLDER ROW - Fire Alarm Riser Diagrams and Connections </v>
      </c>
      <c r="I338" s="136"/>
      <c r="J338" s="578" t="str">
        <f>IF('C-Design&amp;Const'!AE338="","",'C-Design&amp;Const'!AE338)</f>
        <v>(Preliminary)</v>
      </c>
      <c r="K338" s="246" t="str">
        <f t="shared" si="33"/>
        <v/>
      </c>
      <c r="L338" s="1410" t="str">
        <f t="shared" si="33"/>
        <v>&lt;---PM/Planner may hide PLACEHOLDER ROW</v>
      </c>
      <c r="M338" s="1333"/>
      <c r="N338" s="1333"/>
      <c r="O338" s="1382"/>
      <c r="P338" s="1333"/>
      <c r="Q338" s="1453"/>
      <c r="R338" s="1284"/>
      <c r="S338" s="1284"/>
      <c r="T338" s="1333"/>
      <c r="U338" s="1333"/>
      <c r="V338" s="1333"/>
      <c r="W338" s="1333"/>
      <c r="X338" s="1333"/>
      <c r="Y338" s="1333"/>
      <c r="Z338" s="1333"/>
      <c r="AA338" s="1333"/>
      <c r="AB338" s="1333"/>
      <c r="AC338" s="1333"/>
      <c r="AD338" s="1333"/>
      <c r="AE338" s="1333"/>
      <c r="AF338" s="1333"/>
      <c r="AG338" s="1333"/>
      <c r="AH338" s="1333"/>
      <c r="AI338" s="1333"/>
      <c r="AJ338" s="1333"/>
    </row>
    <row r="339" spans="1:48" x14ac:dyDescent="0.25">
      <c r="A339" s="1462"/>
      <c r="B339" s="125"/>
      <c r="C339" s="944"/>
      <c r="D339" s="411"/>
      <c r="E339" s="466"/>
      <c r="F339" s="559" t="str">
        <f>IF('C-Design&amp;Const'!$I339="","",'C-Design&amp;Const'!$I339)</f>
        <v>N</v>
      </c>
      <c r="G339" s="485"/>
      <c r="H339" s="243" t="str">
        <f>CONCATENATE(IF(F339="N","PLACEHOLDER ROW - ",""),'C-Design&amp;Const'!Z339,IF(F339="N","",J339))</f>
        <v xml:space="preserve">PLACEHOLDER ROW - Fire Alarm Details </v>
      </c>
      <c r="I339" s="136"/>
      <c r="J339" s="578" t="str">
        <f>IF('C-Design&amp;Const'!AE339="","",'C-Design&amp;Const'!AE339)</f>
        <v>(Preliminary)</v>
      </c>
      <c r="K339" s="246" t="str">
        <f t="shared" si="33"/>
        <v/>
      </c>
      <c r="L339" s="1410" t="str">
        <f t="shared" si="33"/>
        <v>&lt;---PM/Planner may hide PLACEHOLDER ROW</v>
      </c>
      <c r="M339" s="1333"/>
      <c r="N339" s="1333"/>
      <c r="O339" s="1382"/>
      <c r="P339" s="1333"/>
      <c r="Q339" s="1453"/>
      <c r="R339" s="1284"/>
      <c r="S339" s="1284"/>
      <c r="T339" s="1333"/>
      <c r="U339" s="1333"/>
      <c r="V339" s="1333"/>
      <c r="W339" s="1333"/>
      <c r="X339" s="1333"/>
      <c r="Y339" s="1333"/>
      <c r="Z339" s="1333"/>
      <c r="AA339" s="1333"/>
      <c r="AB339" s="1333"/>
      <c r="AC339" s="1333"/>
      <c r="AD339" s="1333"/>
      <c r="AE339" s="1333"/>
      <c r="AF339" s="1333"/>
      <c r="AG339" s="1333"/>
      <c r="AH339" s="1333"/>
      <c r="AI339" s="1333"/>
      <c r="AJ339" s="1333"/>
    </row>
    <row r="340" spans="1:48" x14ac:dyDescent="0.25">
      <c r="A340" s="1462"/>
      <c r="B340" s="125"/>
      <c r="C340" s="944"/>
      <c r="D340" s="411"/>
      <c r="E340" s="559" t="str">
        <f>IF('C-Design&amp;Const'!$I340="","",'C-Design&amp;Const'!$I340)</f>
        <v>Y</v>
      </c>
      <c r="F340" s="460"/>
      <c r="G340" s="485"/>
      <c r="H340" s="244" t="str">
        <f>CONCATENATE(IF(F340="N","PLACEHOLDER ROW - ",""),'C-Design&amp;Const'!Z340,IF(F340="N","",J340))</f>
        <v>Building Automation Systems Drawings (HVAC Instrumentation and Control)</v>
      </c>
      <c r="I340" s="136"/>
      <c r="J340" s="578" t="str">
        <f>IF('C-Design&amp;Const'!AE340="","",'C-Design&amp;Const'!AE340)</f>
        <v/>
      </c>
      <c r="K340" s="246" t="str">
        <f t="shared" ref="K340" si="34">CONCATENATE(IF(ISNUMBER(SEARCH("Placeholder",G340))=TRUE,"&lt;---PM/Planner may hide PLACEHOLDER ROW",""))</f>
        <v/>
      </c>
      <c r="L340" s="1410" t="str">
        <f t="shared" si="33"/>
        <v/>
      </c>
      <c r="M340" s="1333"/>
      <c r="N340" s="1333"/>
      <c r="O340" s="1382"/>
      <c r="P340" s="1333"/>
      <c r="Q340" s="1453"/>
      <c r="R340" s="1284"/>
      <c r="S340" s="1284"/>
      <c r="T340" s="1333"/>
      <c r="U340" s="1333"/>
      <c r="V340" s="1333"/>
      <c r="W340" s="1333"/>
      <c r="X340" s="1333"/>
      <c r="Y340" s="1333"/>
      <c r="Z340" s="1333"/>
      <c r="AA340" s="1333"/>
      <c r="AB340" s="1333"/>
      <c r="AC340" s="1333"/>
      <c r="AD340" s="1333"/>
      <c r="AE340" s="1333"/>
      <c r="AF340" s="1333"/>
      <c r="AG340" s="1333"/>
      <c r="AH340" s="1333"/>
      <c r="AI340" s="1333"/>
      <c r="AJ340" s="1333"/>
    </row>
    <row r="341" spans="1:48" ht="15" customHeight="1" x14ac:dyDescent="0.25">
      <c r="A341" s="1462"/>
      <c r="B341" s="191"/>
      <c r="C341" s="1654"/>
      <c r="D341" s="411"/>
      <c r="E341" s="466"/>
      <c r="F341" s="559" t="str">
        <f>IF('C-Design&amp;Const'!$I341="","",'C-Design&amp;Const'!$I341)</f>
        <v>N</v>
      </c>
      <c r="G341" s="491"/>
      <c r="H341" s="469" t="str">
        <f>CONCATENATE(IF(F341="N","PLACEHOLDER ROW - ",""),'C-Design&amp;Const'!Z341,IF(F341="N","",J341))</f>
        <v>PLACEHOLDER ROW - CUSTOM - Building Automation Systems</v>
      </c>
      <c r="I341" s="184"/>
      <c r="J341" s="578" t="str">
        <f>IF('C-Design&amp;Const'!AE341="","",'C-Design&amp;Const'!AE341)</f>
        <v>(Preliminary)</v>
      </c>
      <c r="K341" s="246" t="str">
        <f t="shared" si="33"/>
        <v/>
      </c>
      <c r="L341" s="1410" t="str">
        <f t="shared" si="33"/>
        <v>&lt;---PM/Planner may hide PLACEHOLDER ROW</v>
      </c>
      <c r="M341" s="1333"/>
      <c r="N341" s="1333"/>
      <c r="O341" s="1333"/>
      <c r="P341" s="1333"/>
      <c r="Q341" s="1333"/>
      <c r="R341" s="1333"/>
      <c r="S341" s="1333"/>
      <c r="T341" s="1333"/>
      <c r="U341" s="1333"/>
      <c r="V341" s="1333"/>
      <c r="W341" s="1333"/>
      <c r="X341" s="1333"/>
      <c r="Y341" s="1333"/>
      <c r="Z341" s="1333"/>
      <c r="AA341" s="1333"/>
      <c r="AB341" s="1333"/>
      <c r="AC341" s="1333"/>
      <c r="AD341" s="1333"/>
      <c r="AE341" s="1333"/>
      <c r="AF341" s="1333"/>
      <c r="AG341" s="1333"/>
      <c r="AH341" s="1333"/>
      <c r="AI341" s="1333"/>
      <c r="AJ341" s="1333"/>
    </row>
    <row r="342" spans="1:48" ht="15" customHeight="1" x14ac:dyDescent="0.25">
      <c r="A342" s="1462"/>
      <c r="B342" s="191"/>
      <c r="C342" s="1654"/>
      <c r="D342" s="411"/>
      <c r="E342" s="466"/>
      <c r="F342" s="559" t="str">
        <f>IF('C-Design&amp;Const'!$I342="","",'C-Design&amp;Const'!$I342)</f>
        <v>N</v>
      </c>
      <c r="G342" s="491"/>
      <c r="H342" s="469" t="str">
        <f>CONCATENATE(IF(F342="N","PLACEHOLDER ROW - ",""),'C-Design&amp;Const'!Z342,IF(F342="N","",J342))</f>
        <v>PLACEHOLDER ROW - CUSTOM - Building Automation Systems</v>
      </c>
      <c r="I342" s="184"/>
      <c r="J342" s="578" t="str">
        <f>IF('C-Design&amp;Const'!AE342="","",'C-Design&amp;Const'!AE342)</f>
        <v>(Preliminary)</v>
      </c>
      <c r="K342" s="246" t="str">
        <f t="shared" si="33"/>
        <v/>
      </c>
      <c r="L342" s="1410" t="str">
        <f t="shared" si="33"/>
        <v>&lt;---PM/Planner may hide PLACEHOLDER ROW</v>
      </c>
      <c r="M342" s="1333"/>
      <c r="N342" s="1333"/>
      <c r="O342" s="1333"/>
      <c r="P342" s="1333"/>
      <c r="Q342" s="1333"/>
      <c r="R342" s="1333"/>
      <c r="S342" s="1333"/>
      <c r="T342" s="1333"/>
      <c r="U342" s="1333"/>
      <c r="V342" s="1333"/>
      <c r="W342" s="1333"/>
      <c r="X342" s="1333"/>
      <c r="Y342" s="1333"/>
      <c r="Z342" s="1333"/>
      <c r="AA342" s="1333"/>
      <c r="AB342" s="1333"/>
      <c r="AC342" s="1333"/>
      <c r="AD342" s="1333"/>
      <c r="AE342" s="1333"/>
      <c r="AF342" s="1333"/>
      <c r="AG342" s="1333"/>
      <c r="AH342" s="1333"/>
      <c r="AI342" s="1333"/>
      <c r="AJ342" s="1333"/>
    </row>
    <row r="343" spans="1:48" s="542" customFormat="1" ht="15" customHeight="1" x14ac:dyDescent="0.25">
      <c r="A343" s="1462"/>
      <c r="B343" s="554"/>
      <c r="C343" s="1654"/>
      <c r="D343" s="411"/>
      <c r="E343" s="466"/>
      <c r="F343" s="559" t="str">
        <f>IF('C-Design&amp;Const'!$I343="","",'C-Design&amp;Const'!$I343)</f>
        <v>N</v>
      </c>
      <c r="G343" s="558"/>
      <c r="H343" s="469" t="str">
        <f>CONCATENATE(IF(F343="N","PLACEHOLDER ROW - ",""),'C-Design&amp;Const'!Z343,IF(F343="N","",J343))</f>
        <v xml:space="preserve">PLACEHOLDER ROW - Building Automation Symbols, Abbreviations, and General Notes </v>
      </c>
      <c r="I343" s="552"/>
      <c r="J343" s="578" t="str">
        <f>IF('C-Design&amp;Const'!AE343="","",'C-Design&amp;Const'!AE343)</f>
        <v>(Approx. 50% Complete)</v>
      </c>
      <c r="K343" s="246" t="str">
        <f t="shared" ref="K343:K344" si="35">CONCATENATE(IF(ISNUMBER(SEARCH("Placeholder",G343))=TRUE,"&lt;---PM/Planner may hide PLACEHOLDER ROW",""))</f>
        <v/>
      </c>
      <c r="L343" s="1410" t="str">
        <f t="shared" ref="L343:L344" si="36">CONCATENATE(IF(ISNUMBER(SEARCH("Placeholder",H343))=TRUE,"&lt;---PM/Planner may hide PLACEHOLDER ROW",""))</f>
        <v>&lt;---PM/Planner may hide PLACEHOLDER ROW</v>
      </c>
      <c r="M343" s="1333"/>
      <c r="N343" s="1333"/>
      <c r="O343" s="1333"/>
      <c r="P343" s="1333"/>
      <c r="Q343" s="1333"/>
      <c r="R343" s="1333"/>
      <c r="S343" s="1333"/>
      <c r="T343" s="1333"/>
      <c r="U343" s="1333"/>
      <c r="V343" s="1333"/>
      <c r="W343" s="1333"/>
      <c r="X343" s="1333"/>
      <c r="Y343" s="1333"/>
      <c r="Z343" s="1333"/>
      <c r="AA343" s="1333"/>
      <c r="AB343" s="1333"/>
      <c r="AC343" s="1333"/>
      <c r="AD343" s="1333"/>
      <c r="AE343" s="1333"/>
      <c r="AF343" s="1333"/>
      <c r="AG343" s="1333"/>
      <c r="AH343" s="1333"/>
      <c r="AI343" s="1333"/>
      <c r="AJ343" s="1333"/>
      <c r="AK343" s="17"/>
      <c r="AL343" s="17"/>
      <c r="AM343" s="17"/>
      <c r="AN343" s="17"/>
      <c r="AO343" s="17"/>
      <c r="AP343" s="17"/>
      <c r="AQ343" s="17"/>
      <c r="AR343" s="17"/>
      <c r="AS343" s="17"/>
      <c r="AT343" s="17"/>
      <c r="AU343" s="17"/>
      <c r="AV343" s="17"/>
    </row>
    <row r="344" spans="1:48" s="542" customFormat="1" ht="15" customHeight="1" x14ac:dyDescent="0.25">
      <c r="A344" s="1462"/>
      <c r="B344" s="554"/>
      <c r="C344" s="1654"/>
      <c r="D344" s="411"/>
      <c r="E344" s="466"/>
      <c r="F344" s="559" t="str">
        <f>IF('C-Design&amp;Const'!$I344="","",'C-Design&amp;Const'!$I344)</f>
        <v>N</v>
      </c>
      <c r="G344" s="558"/>
      <c r="H344" s="469" t="str">
        <f>CONCATENATE(IF(F344="N","PLACEHOLDER ROW - ",""),'C-Design&amp;Const'!Z344,IF(F344="N","",J344))</f>
        <v xml:space="preserve">PLACEHOLDER ROW - Building Automation Systems Demolition(s) </v>
      </c>
      <c r="I344" s="552"/>
      <c r="J344" s="578" t="str">
        <f>IF('C-Design&amp;Const'!AE344="","",'C-Design&amp;Const'!AE344)</f>
        <v>(Preliminary with Options)</v>
      </c>
      <c r="K344" s="246" t="str">
        <f t="shared" si="35"/>
        <v/>
      </c>
      <c r="L344" s="1410" t="str">
        <f t="shared" si="36"/>
        <v>&lt;---PM/Planner may hide PLACEHOLDER ROW</v>
      </c>
      <c r="M344" s="1333"/>
      <c r="N344" s="1333"/>
      <c r="O344" s="1333"/>
      <c r="P344" s="1333"/>
      <c r="Q344" s="1333"/>
      <c r="R344" s="1333"/>
      <c r="S344" s="1333"/>
      <c r="T344" s="1333"/>
      <c r="U344" s="1333"/>
      <c r="V344" s="1333"/>
      <c r="W344" s="1333"/>
      <c r="X344" s="1333"/>
      <c r="Y344" s="1333"/>
      <c r="Z344" s="1333"/>
      <c r="AA344" s="1333"/>
      <c r="AB344" s="1333"/>
      <c r="AC344" s="1333"/>
      <c r="AD344" s="1333"/>
      <c r="AE344" s="1333"/>
      <c r="AF344" s="1333"/>
      <c r="AG344" s="1333"/>
      <c r="AH344" s="1333"/>
      <c r="AI344" s="1333"/>
      <c r="AJ344" s="1333"/>
      <c r="AK344" s="17"/>
      <c r="AL344" s="17"/>
      <c r="AM344" s="17"/>
      <c r="AN344" s="17"/>
      <c r="AO344" s="17"/>
      <c r="AP344" s="17"/>
      <c r="AQ344" s="17"/>
      <c r="AR344" s="17"/>
      <c r="AS344" s="17"/>
      <c r="AT344" s="17"/>
      <c r="AU344" s="17"/>
      <c r="AV344" s="17"/>
    </row>
    <row r="345" spans="1:48" ht="30" x14ac:dyDescent="0.25">
      <c r="A345" s="1462"/>
      <c r="B345" s="125"/>
      <c r="C345" s="944"/>
      <c r="D345" s="411"/>
      <c r="E345" s="466"/>
      <c r="F345" s="559" t="str">
        <f>IF('C-Design&amp;Const'!$I345="","",'C-Design&amp;Const'!$I345)</f>
        <v>Y</v>
      </c>
      <c r="G345" s="485"/>
      <c r="H345" s="469" t="str">
        <f>CONCATENATE(IF(F345="N","PLACEHOLDER ROW - ",""),'C-Design&amp;Const'!Z345,IF(F345="N","",J345))</f>
        <v>Building Automation Floor Plans and Approximate Control Panel Locations &amp; Other Instruments or Device Locations (Preliminary)</v>
      </c>
      <c r="I345" s="136"/>
      <c r="J345" s="578" t="str">
        <f>IF('C-Design&amp;Const'!AE345="","",'C-Design&amp;Const'!AE345)</f>
        <v>(Preliminary)</v>
      </c>
      <c r="K345" s="246" t="str">
        <f t="shared" si="33"/>
        <v/>
      </c>
      <c r="L345" s="1410" t="str">
        <f t="shared" si="33"/>
        <v/>
      </c>
      <c r="M345" s="1333"/>
      <c r="N345" s="1333"/>
      <c r="O345" s="1382"/>
      <c r="P345" s="1333"/>
      <c r="Q345" s="1453"/>
      <c r="R345" s="1284"/>
      <c r="S345" s="1284"/>
      <c r="T345" s="1333"/>
      <c r="U345" s="1333"/>
      <c r="V345" s="1333"/>
      <c r="W345" s="1333"/>
      <c r="X345" s="1333"/>
      <c r="Y345" s="1333"/>
      <c r="Z345" s="1333"/>
      <c r="AA345" s="1333"/>
      <c r="AB345" s="1333"/>
      <c r="AC345" s="1333"/>
      <c r="AD345" s="1333"/>
      <c r="AE345" s="1333"/>
      <c r="AF345" s="1333"/>
      <c r="AG345" s="1333"/>
      <c r="AH345" s="1333"/>
      <c r="AI345" s="1333"/>
      <c r="AJ345" s="1333"/>
    </row>
    <row r="346" spans="1:48" ht="30" x14ac:dyDescent="0.25">
      <c r="A346" s="1462"/>
      <c r="B346" s="125"/>
      <c r="C346" s="944"/>
      <c r="D346" s="411"/>
      <c r="E346" s="466"/>
      <c r="F346" s="559" t="str">
        <f>IF('C-Design&amp;Const'!$I346="","",'C-Design&amp;Const'!$I346)</f>
        <v>N</v>
      </c>
      <c r="G346" s="485"/>
      <c r="H346" s="469" t="str">
        <f>CONCATENATE(IF(F346="N","PLACEHOLDER ROW - ",""),'C-Design&amp;Const'!Z346,IF(F346="N","",J346))</f>
        <v xml:space="preserve">PLACEHOLDER ROW - Building Automation Systems Diagrams, Points List (Diagrammatical or Spreadsheet), Device Schedule, and Sequences of Operation </v>
      </c>
      <c r="I346" s="136"/>
      <c r="J346" s="578" t="str">
        <f>IF('C-Design&amp;Const'!AE346="","",'C-Design&amp;Const'!AE346)</f>
        <v/>
      </c>
      <c r="K346" s="246" t="str">
        <f t="shared" si="33"/>
        <v/>
      </c>
      <c r="L346" s="1410" t="str">
        <f t="shared" si="33"/>
        <v>&lt;---PM/Planner may hide PLACEHOLDER ROW</v>
      </c>
      <c r="M346" s="1333"/>
      <c r="N346" s="1333"/>
      <c r="O346" s="1382"/>
      <c r="P346" s="1333"/>
      <c r="Q346" s="1453"/>
      <c r="R346" s="1284"/>
      <c r="S346" s="1284"/>
      <c r="T346" s="1333"/>
      <c r="U346" s="1333"/>
      <c r="V346" s="1333"/>
      <c r="W346" s="1333"/>
      <c r="X346" s="1333"/>
      <c r="Y346" s="1333"/>
      <c r="Z346" s="1333"/>
      <c r="AA346" s="1333"/>
      <c r="AB346" s="1333"/>
      <c r="AC346" s="1333"/>
      <c r="AD346" s="1333"/>
      <c r="AE346" s="1333"/>
      <c r="AF346" s="1333"/>
      <c r="AG346" s="1333"/>
      <c r="AH346" s="1333"/>
      <c r="AI346" s="1333"/>
      <c r="AJ346" s="1333"/>
    </row>
    <row r="347" spans="1:48" x14ac:dyDescent="0.25">
      <c r="A347" s="1462"/>
      <c r="B347" s="125"/>
      <c r="C347" s="944"/>
      <c r="D347" s="411"/>
      <c r="E347" s="466"/>
      <c r="F347" s="559" t="str">
        <f>IF('C-Design&amp;Const'!$I347="","",'C-Design&amp;Const'!$I347)</f>
        <v>N</v>
      </c>
      <c r="G347" s="485"/>
      <c r="H347" s="469" t="str">
        <f>CONCATENATE(IF(F347="N","PLACEHOLDER ROW - ",""),'C-Design&amp;Const'!Z347,IF(F347="N","",J347))</f>
        <v xml:space="preserve">PLACEHOLDER ROW - Building Network Connections and Integration </v>
      </c>
      <c r="I347" s="136"/>
      <c r="J347" s="578" t="str">
        <f>IF('C-Design&amp;Const'!AE347="","",'C-Design&amp;Const'!AE347)</f>
        <v>(Preliminary)</v>
      </c>
      <c r="K347" s="246" t="str">
        <f t="shared" si="33"/>
        <v/>
      </c>
      <c r="L347" s="1410" t="str">
        <f t="shared" si="33"/>
        <v>&lt;---PM/Planner may hide PLACEHOLDER ROW</v>
      </c>
      <c r="M347" s="1333"/>
      <c r="N347" s="1333"/>
      <c r="O347" s="1382"/>
      <c r="P347" s="1333"/>
      <c r="Q347" s="1453"/>
      <c r="R347" s="1284"/>
      <c r="S347" s="1284"/>
      <c r="T347" s="1333"/>
      <c r="U347" s="1333"/>
      <c r="V347" s="1333"/>
      <c r="W347" s="1333"/>
      <c r="X347" s="1333"/>
      <c r="Y347" s="1333"/>
      <c r="Z347" s="1333"/>
      <c r="AA347" s="1333"/>
      <c r="AB347" s="1333"/>
      <c r="AC347" s="1333"/>
      <c r="AD347" s="1333"/>
      <c r="AE347" s="1333"/>
      <c r="AF347" s="1333"/>
      <c r="AG347" s="1333"/>
      <c r="AH347" s="1333"/>
      <c r="AI347" s="1333"/>
      <c r="AJ347" s="1333"/>
    </row>
    <row r="348" spans="1:48" ht="30" x14ac:dyDescent="0.25">
      <c r="A348" s="1462"/>
      <c r="B348" s="125"/>
      <c r="C348" s="944"/>
      <c r="D348" s="411"/>
      <c r="E348" s="466"/>
      <c r="F348" s="559" t="str">
        <f>IF('C-Design&amp;Const'!$I348="","",'C-Design&amp;Const'!$I348)</f>
        <v>N</v>
      </c>
      <c r="G348" s="485"/>
      <c r="H348" s="469" t="str">
        <f>CONCATENATE(IF(F348="N","PLACEHOLDER ROW - ",""),'C-Design&amp;Const'!Z348,IF(F348="N","",J348))</f>
        <v xml:space="preserve">PLACEHOLDER ROW - Temperature Controls Building Automation Systems - Sequence of Operation </v>
      </c>
      <c r="I348" s="136"/>
      <c r="J348" s="578" t="str">
        <f>IF('C-Design&amp;Const'!AE348="","",'C-Design&amp;Const'!AE348)</f>
        <v>(Preliminary)</v>
      </c>
      <c r="K348" s="246" t="str">
        <f t="shared" si="33"/>
        <v/>
      </c>
      <c r="L348" s="1410" t="str">
        <f t="shared" si="33"/>
        <v>&lt;---PM/Planner may hide PLACEHOLDER ROW</v>
      </c>
      <c r="M348" s="1333"/>
      <c r="N348" s="1333"/>
      <c r="O348" s="1382"/>
      <c r="P348" s="1333"/>
      <c r="Q348" s="1453"/>
      <c r="R348" s="1284"/>
      <c r="S348" s="1284"/>
      <c r="T348" s="1333"/>
      <c r="U348" s="1333"/>
      <c r="V348" s="1333"/>
      <c r="W348" s="1333"/>
      <c r="X348" s="1333"/>
      <c r="Y348" s="1333"/>
      <c r="Z348" s="1333"/>
      <c r="AA348" s="1333"/>
      <c r="AB348" s="1333"/>
      <c r="AC348" s="1333"/>
      <c r="AD348" s="1333"/>
      <c r="AE348" s="1333"/>
      <c r="AF348" s="1333"/>
      <c r="AG348" s="1333"/>
      <c r="AH348" s="1333"/>
      <c r="AI348" s="1333"/>
      <c r="AJ348" s="1333"/>
    </row>
    <row r="349" spans="1:48" x14ac:dyDescent="0.25">
      <c r="A349" s="1462"/>
      <c r="B349" s="125"/>
      <c r="C349" s="944"/>
      <c r="D349" s="411"/>
      <c r="E349" s="466"/>
      <c r="F349" s="559" t="str">
        <f>IF('C-Design&amp;Const'!$I349="","",'C-Design&amp;Const'!$I349)</f>
        <v>N</v>
      </c>
      <c r="G349" s="485"/>
      <c r="H349" s="469" t="str">
        <f>CONCATENATE(IF(F349="N","PLACEHOLDER ROW - ",""),'C-Design&amp;Const'!Z349,IF(F349="N","",J349))</f>
        <v xml:space="preserve">PLACEHOLDER ROW - Building Automation Systems Details </v>
      </c>
      <c r="I349" s="136"/>
      <c r="J349" s="578" t="str">
        <f>IF('C-Design&amp;Const'!AE349="","",'C-Design&amp;Const'!AE349)</f>
        <v>(Preliminary)</v>
      </c>
      <c r="K349" s="246" t="str">
        <f t="shared" si="33"/>
        <v/>
      </c>
      <c r="L349" s="1410" t="str">
        <f t="shared" si="33"/>
        <v>&lt;---PM/Planner may hide PLACEHOLDER ROW</v>
      </c>
      <c r="M349" s="1333"/>
      <c r="N349" s="1333"/>
      <c r="O349" s="1382"/>
      <c r="P349" s="1333"/>
      <c r="Q349" s="1453"/>
      <c r="R349" s="1284"/>
      <c r="S349" s="1284"/>
      <c r="T349" s="1333"/>
      <c r="U349" s="1333"/>
      <c r="V349" s="1333"/>
      <c r="W349" s="1333"/>
      <c r="X349" s="1333"/>
      <c r="Y349" s="1333"/>
      <c r="Z349" s="1333"/>
      <c r="AA349" s="1333"/>
      <c r="AB349" s="1333"/>
      <c r="AC349" s="1333"/>
      <c r="AD349" s="1333"/>
      <c r="AE349" s="1333"/>
      <c r="AF349" s="1333"/>
      <c r="AG349" s="1333"/>
      <c r="AH349" s="1333"/>
      <c r="AI349" s="1333"/>
      <c r="AJ349" s="1333"/>
    </row>
    <row r="350" spans="1:48" x14ac:dyDescent="0.25">
      <c r="A350" s="1462"/>
      <c r="B350" s="125"/>
      <c r="C350" s="944"/>
      <c r="D350" s="411"/>
      <c r="E350" s="559" t="str">
        <f>IF('C-Design&amp;Const'!$I350="","",'C-Design&amp;Const'!$I350)</f>
        <v>Y</v>
      </c>
      <c r="F350" s="460"/>
      <c r="G350" s="485"/>
      <c r="H350" s="244" t="str">
        <f>CONCATENATE(IF(F350="N","PLACEHOLDER ROW - ",""),'C-Design&amp;Const'!Z350,IF(F350="N","",J350))</f>
        <v>Access Controls Drawings</v>
      </c>
      <c r="I350" s="136"/>
      <c r="J350" s="578" t="str">
        <f>IF('C-Design&amp;Const'!AE350="","",'C-Design&amp;Const'!AE350)</f>
        <v/>
      </c>
      <c r="K350" s="246" t="str">
        <f t="shared" si="33"/>
        <v/>
      </c>
      <c r="L350" s="1410" t="str">
        <f t="shared" si="33"/>
        <v/>
      </c>
      <c r="M350" s="1333"/>
      <c r="N350" s="1333"/>
      <c r="O350" s="1382"/>
      <c r="P350" s="1333"/>
      <c r="Q350" s="1453"/>
      <c r="R350" s="1284"/>
      <c r="S350" s="1284"/>
      <c r="T350" s="1333"/>
      <c r="U350" s="1333"/>
      <c r="V350" s="1333"/>
      <c r="W350" s="1333"/>
      <c r="X350" s="1333"/>
      <c r="Y350" s="1333"/>
      <c r="Z350" s="1333"/>
      <c r="AA350" s="1333"/>
      <c r="AB350" s="1333"/>
      <c r="AC350" s="1333"/>
      <c r="AD350" s="1333"/>
      <c r="AE350" s="1333"/>
      <c r="AF350" s="1333"/>
      <c r="AG350" s="1333"/>
      <c r="AH350" s="1333"/>
      <c r="AI350" s="1333"/>
      <c r="AJ350" s="1333"/>
    </row>
    <row r="351" spans="1:48" ht="15" customHeight="1" x14ac:dyDescent="0.25">
      <c r="A351" s="1462"/>
      <c r="B351" s="191"/>
      <c r="C351" s="1654"/>
      <c r="D351" s="411"/>
      <c r="E351" s="466"/>
      <c r="F351" s="559" t="str">
        <f>IF('C-Design&amp;Const'!$I351="","",'C-Design&amp;Const'!$I351)</f>
        <v>N</v>
      </c>
      <c r="G351" s="491"/>
      <c r="H351" s="469" t="str">
        <f>CONCATENATE(IF(F351="N","PLACEHOLDER ROW - ",""),'C-Design&amp;Const'!Z351,IF(F351="N","",J351))</f>
        <v xml:space="preserve">PLACEHOLDER ROW - CUSTOM Access Controls </v>
      </c>
      <c r="I351" s="184"/>
      <c r="J351" s="578" t="str">
        <f>IF('C-Design&amp;Const'!AE351="","",'C-Design&amp;Const'!AE351)</f>
        <v>(Preliminary)</v>
      </c>
      <c r="K351" s="246" t="str">
        <f t="shared" si="33"/>
        <v/>
      </c>
      <c r="L351" s="1410" t="str">
        <f t="shared" si="33"/>
        <v>&lt;---PM/Planner may hide PLACEHOLDER ROW</v>
      </c>
      <c r="M351" s="1333"/>
      <c r="N351" s="1333"/>
      <c r="O351" s="1333"/>
      <c r="P351" s="1333"/>
      <c r="Q351" s="1333"/>
      <c r="R351" s="1333"/>
      <c r="S351" s="1333"/>
      <c r="T351" s="1333"/>
      <c r="U351" s="1333"/>
      <c r="V351" s="1333"/>
      <c r="W351" s="1333"/>
      <c r="X351" s="1333"/>
      <c r="Y351" s="1333"/>
      <c r="Z351" s="1333"/>
      <c r="AA351" s="1333"/>
      <c r="AB351" s="1333"/>
      <c r="AC351" s="1333"/>
      <c r="AD351" s="1333"/>
      <c r="AE351" s="1333"/>
      <c r="AF351" s="1333"/>
      <c r="AG351" s="1333"/>
      <c r="AH351" s="1333"/>
      <c r="AI351" s="1333"/>
      <c r="AJ351" s="1333"/>
    </row>
    <row r="352" spans="1:48" ht="15" customHeight="1" x14ac:dyDescent="0.25">
      <c r="A352" s="1462"/>
      <c r="B352" s="191"/>
      <c r="C352" s="1654"/>
      <c r="D352" s="411"/>
      <c r="E352" s="466"/>
      <c r="F352" s="559" t="str">
        <f>IF('C-Design&amp;Const'!$I352="","",'C-Design&amp;Const'!$I352)</f>
        <v>N</v>
      </c>
      <c r="G352" s="491"/>
      <c r="H352" s="469" t="str">
        <f>CONCATENATE(IF(F352="N","PLACEHOLDER ROW - ",""),'C-Design&amp;Const'!Z352,IF(F352="N","",J352))</f>
        <v xml:space="preserve">PLACEHOLDER ROW - CUSTOM Access Controls </v>
      </c>
      <c r="I352" s="184"/>
      <c r="J352" s="578" t="str">
        <f>IF('C-Design&amp;Const'!AE352="","",'C-Design&amp;Const'!AE352)</f>
        <v>(Preliminary)</v>
      </c>
      <c r="K352" s="246" t="str">
        <f t="shared" si="33"/>
        <v/>
      </c>
      <c r="L352" s="1410" t="str">
        <f t="shared" si="33"/>
        <v>&lt;---PM/Planner may hide PLACEHOLDER ROW</v>
      </c>
      <c r="M352" s="1333"/>
      <c r="N352" s="1333"/>
      <c r="O352" s="1333"/>
      <c r="P352" s="1333"/>
      <c r="Q352" s="1333"/>
      <c r="R352" s="1333"/>
      <c r="S352" s="1333"/>
      <c r="T352" s="1333"/>
      <c r="U352" s="1333"/>
      <c r="V352" s="1333"/>
      <c r="W352" s="1333"/>
      <c r="X352" s="1333"/>
      <c r="Y352" s="1333"/>
      <c r="Z352" s="1333"/>
      <c r="AA352" s="1333"/>
      <c r="AB352" s="1333"/>
      <c r="AC352" s="1333"/>
      <c r="AD352" s="1333"/>
      <c r="AE352" s="1333"/>
      <c r="AF352" s="1333"/>
      <c r="AG352" s="1333"/>
      <c r="AH352" s="1333"/>
      <c r="AI352" s="1333"/>
      <c r="AJ352" s="1333"/>
    </row>
    <row r="353" spans="1:48" s="542" customFormat="1" ht="15" customHeight="1" x14ac:dyDescent="0.25">
      <c r="A353" s="1462"/>
      <c r="B353" s="554"/>
      <c r="C353" s="1654"/>
      <c r="D353" s="411"/>
      <c r="E353" s="466"/>
      <c r="F353" s="559" t="str">
        <f>IF('C-Design&amp;Const'!$I353="","",'C-Design&amp;Const'!$I353)</f>
        <v>N</v>
      </c>
      <c r="G353" s="558"/>
      <c r="H353" s="469" t="str">
        <f>CONCATENATE(IF(F353="N","PLACEHOLDER ROW - ",""),'C-Design&amp;Const'!Z353,IF(F353="N","",J353))</f>
        <v xml:space="preserve">PLACEHOLDER ROW - Access Control Symbols, Abbreviations, and General Notes </v>
      </c>
      <c r="I353" s="552"/>
      <c r="J353" s="578" t="str">
        <f>IF('C-Design&amp;Const'!AE353="","",'C-Design&amp;Const'!AE353)</f>
        <v>(Approx. 50% Complete)</v>
      </c>
      <c r="K353" s="246" t="str">
        <f t="shared" si="33"/>
        <v/>
      </c>
      <c r="L353" s="1410" t="str">
        <f t="shared" si="33"/>
        <v>&lt;---PM/Planner may hide PLACEHOLDER ROW</v>
      </c>
      <c r="M353" s="1333"/>
      <c r="N353" s="1333"/>
      <c r="O353" s="1333"/>
      <c r="P353" s="1333"/>
      <c r="Q353" s="1333"/>
      <c r="R353" s="1333"/>
      <c r="S353" s="1333"/>
      <c r="T353" s="1333"/>
      <c r="U353" s="1333"/>
      <c r="V353" s="1333"/>
      <c r="W353" s="1333"/>
      <c r="X353" s="1333"/>
      <c r="Y353" s="1333"/>
      <c r="Z353" s="1333"/>
      <c r="AA353" s="1333"/>
      <c r="AB353" s="1333"/>
      <c r="AC353" s="1333"/>
      <c r="AD353" s="1333"/>
      <c r="AE353" s="1333"/>
      <c r="AF353" s="1333"/>
      <c r="AG353" s="1333"/>
      <c r="AH353" s="1333"/>
      <c r="AI353" s="1333"/>
      <c r="AJ353" s="1333"/>
      <c r="AK353" s="17"/>
      <c r="AL353" s="17"/>
      <c r="AM353" s="17"/>
      <c r="AN353" s="17"/>
      <c r="AO353" s="17"/>
      <c r="AP353" s="17"/>
      <c r="AQ353" s="17"/>
      <c r="AR353" s="17"/>
      <c r="AS353" s="17"/>
      <c r="AT353" s="17"/>
      <c r="AU353" s="17"/>
      <c r="AV353" s="17"/>
    </row>
    <row r="354" spans="1:48" s="542" customFormat="1" ht="15" customHeight="1" x14ac:dyDescent="0.25">
      <c r="A354" s="1462"/>
      <c r="B354" s="554"/>
      <c r="C354" s="1654"/>
      <c r="D354" s="411"/>
      <c r="E354" s="466"/>
      <c r="F354" s="559" t="str">
        <f>IF('C-Design&amp;Const'!$I354="","",'C-Design&amp;Const'!$I354)</f>
        <v>N</v>
      </c>
      <c r="G354" s="558"/>
      <c r="H354" s="469" t="str">
        <f>CONCATENATE(IF(F354="N","PLACEHOLDER ROW - ",""),'C-Design&amp;Const'!Z354,IF(F354="N","",J354))</f>
        <v xml:space="preserve">PLACEHOLDER ROW - Access Control Demolition(s) </v>
      </c>
      <c r="I354" s="552"/>
      <c r="J354" s="578" t="str">
        <f>IF('C-Design&amp;Const'!AE354="","",'C-Design&amp;Const'!AE354)</f>
        <v>(Preliminary with Options)</v>
      </c>
      <c r="K354" s="246" t="str">
        <f t="shared" si="33"/>
        <v/>
      </c>
      <c r="L354" s="1410" t="str">
        <f t="shared" si="33"/>
        <v>&lt;---PM/Planner may hide PLACEHOLDER ROW</v>
      </c>
      <c r="M354" s="1333"/>
      <c r="N354" s="1333"/>
      <c r="O354" s="1333"/>
      <c r="P354" s="1333"/>
      <c r="Q354" s="1333"/>
      <c r="R354" s="1333"/>
      <c r="S354" s="1333"/>
      <c r="T354" s="1333"/>
      <c r="U354" s="1333"/>
      <c r="V354" s="1333"/>
      <c r="W354" s="1333"/>
      <c r="X354" s="1333"/>
      <c r="Y354" s="1333"/>
      <c r="Z354" s="1333"/>
      <c r="AA354" s="1333"/>
      <c r="AB354" s="1333"/>
      <c r="AC354" s="1333"/>
      <c r="AD354" s="1333"/>
      <c r="AE354" s="1333"/>
      <c r="AF354" s="1333"/>
      <c r="AG354" s="1333"/>
      <c r="AH354" s="1333"/>
      <c r="AI354" s="1333"/>
      <c r="AJ354" s="1333"/>
      <c r="AK354" s="17"/>
      <c r="AL354" s="17"/>
      <c r="AM354" s="17"/>
      <c r="AN354" s="17"/>
      <c r="AO354" s="17"/>
      <c r="AP354" s="17"/>
      <c r="AQ354" s="17"/>
      <c r="AR354" s="17"/>
      <c r="AS354" s="17"/>
      <c r="AT354" s="17"/>
      <c r="AU354" s="17"/>
      <c r="AV354" s="17"/>
    </row>
    <row r="355" spans="1:48" x14ac:dyDescent="0.25">
      <c r="A355" s="1462"/>
      <c r="B355" s="125"/>
      <c r="C355" s="944"/>
      <c r="D355" s="411"/>
      <c r="E355" s="466"/>
      <c r="F355" s="559" t="str">
        <f>IF('C-Design&amp;Const'!$I355="","",'C-Design&amp;Const'!$I355)</f>
        <v>Y</v>
      </c>
      <c r="G355" s="485"/>
      <c r="H355" s="469" t="str">
        <f>CONCATENATE(IF(F355="N","PLACEHOLDER ROW - ",""),'C-Design&amp;Const'!Z355,IF(F355="N","",J355))</f>
        <v>Access Control Floor Plans (Preliminary)</v>
      </c>
      <c r="I355" s="136"/>
      <c r="J355" s="578" t="str">
        <f>IF('C-Design&amp;Const'!AE355="","",'C-Design&amp;Const'!AE355)</f>
        <v>(Preliminary)</v>
      </c>
      <c r="K355" s="246" t="str">
        <f t="shared" si="33"/>
        <v/>
      </c>
      <c r="L355" s="1410" t="str">
        <f t="shared" si="33"/>
        <v/>
      </c>
      <c r="M355" s="1333"/>
      <c r="N355" s="1333"/>
      <c r="O355" s="1382"/>
      <c r="P355" s="1333"/>
      <c r="Q355" s="1453"/>
      <c r="R355" s="1284"/>
      <c r="S355" s="1284"/>
      <c r="T355" s="1333"/>
      <c r="U355" s="1333"/>
      <c r="V355" s="1333"/>
      <c r="W355" s="1333"/>
      <c r="X355" s="1333"/>
      <c r="Y355" s="1333"/>
      <c r="Z355" s="1333"/>
      <c r="AA355" s="1333"/>
      <c r="AB355" s="1333"/>
      <c r="AC355" s="1333"/>
      <c r="AD355" s="1333"/>
      <c r="AE355" s="1333"/>
      <c r="AF355" s="1333"/>
      <c r="AG355" s="1333"/>
      <c r="AH355" s="1333"/>
      <c r="AI355" s="1333"/>
      <c r="AJ355" s="1333"/>
    </row>
    <row r="356" spans="1:48" x14ac:dyDescent="0.25">
      <c r="A356" s="1462"/>
      <c r="B356" s="125"/>
      <c r="C356" s="944"/>
      <c r="D356" s="411"/>
      <c r="E356" s="466"/>
      <c r="F356" s="559" t="str">
        <f>IF('C-Design&amp;Const'!$I356="","",'C-Design&amp;Const'!$I356)</f>
        <v>N</v>
      </c>
      <c r="G356" s="485"/>
      <c r="H356" s="469" t="str">
        <f>CONCATENATE(IF(F356="N","PLACEHOLDER ROW - ",""),'C-Design&amp;Const'!Z356,IF(F356="N","",J356))</f>
        <v xml:space="preserve">PLACEHOLDER ROW - Access Control Logic Diagrams, Points Lists and Device Schedule </v>
      </c>
      <c r="I356" s="136"/>
      <c r="J356" s="578" t="str">
        <f>IF('C-Design&amp;Const'!AE356="","",'C-Design&amp;Const'!AE356)</f>
        <v/>
      </c>
      <c r="K356" s="246" t="str">
        <f t="shared" si="33"/>
        <v/>
      </c>
      <c r="L356" s="1410" t="str">
        <f t="shared" si="33"/>
        <v>&lt;---PM/Planner may hide PLACEHOLDER ROW</v>
      </c>
      <c r="M356" s="1333"/>
      <c r="N356" s="1333"/>
      <c r="O356" s="1382"/>
      <c r="P356" s="1333"/>
      <c r="Q356" s="1453"/>
      <c r="R356" s="1284"/>
      <c r="S356" s="1284"/>
      <c r="T356" s="1333"/>
      <c r="U356" s="1333"/>
      <c r="V356" s="1333"/>
      <c r="W356" s="1333"/>
      <c r="X356" s="1333"/>
      <c r="Y356" s="1333"/>
      <c r="Z356" s="1333"/>
      <c r="AA356" s="1333"/>
      <c r="AB356" s="1333"/>
      <c r="AC356" s="1333"/>
      <c r="AD356" s="1333"/>
      <c r="AE356" s="1333"/>
      <c r="AF356" s="1333"/>
      <c r="AG356" s="1333"/>
      <c r="AH356" s="1333"/>
      <c r="AI356" s="1333"/>
      <c r="AJ356" s="1333"/>
    </row>
    <row r="357" spans="1:48" x14ac:dyDescent="0.25">
      <c r="A357" s="1462"/>
      <c r="B357" s="125"/>
      <c r="C357" s="944"/>
      <c r="D357" s="411"/>
      <c r="E357" s="466"/>
      <c r="F357" s="559" t="str">
        <f>IF('C-Design&amp;Const'!$I357="","",'C-Design&amp;Const'!$I357)</f>
        <v>N</v>
      </c>
      <c r="G357" s="485"/>
      <c r="H357" s="469" t="str">
        <f>CONCATENATE(IF(F357="N","PLACEHOLDER ROW - ",""),'C-Design&amp;Const'!Z357,IF(F357="N","",J357))</f>
        <v xml:space="preserve">PLACEHOLDER ROW - Access Control Details </v>
      </c>
      <c r="I357" s="136"/>
      <c r="J357" s="578" t="str">
        <f>IF('C-Design&amp;Const'!AE357="","",'C-Design&amp;Const'!AE357)</f>
        <v>(Preliminary)</v>
      </c>
      <c r="K357" s="246" t="str">
        <f t="shared" si="33"/>
        <v/>
      </c>
      <c r="L357" s="1410" t="str">
        <f t="shared" si="33"/>
        <v>&lt;---PM/Planner may hide PLACEHOLDER ROW</v>
      </c>
      <c r="M357" s="1333"/>
      <c r="N357" s="1333"/>
      <c r="O357" s="1382"/>
      <c r="P357" s="1333"/>
      <c r="Q357" s="1453"/>
      <c r="R357" s="1284"/>
      <c r="S357" s="1284"/>
      <c r="T357" s="1333"/>
      <c r="U357" s="1333"/>
      <c r="V357" s="1333"/>
      <c r="W357" s="1333"/>
      <c r="X357" s="1333"/>
      <c r="Y357" s="1333"/>
      <c r="Z357" s="1333"/>
      <c r="AA357" s="1333"/>
      <c r="AB357" s="1333"/>
      <c r="AC357" s="1333"/>
      <c r="AD357" s="1333"/>
      <c r="AE357" s="1333"/>
      <c r="AF357" s="1333"/>
      <c r="AG357" s="1333"/>
      <c r="AH357" s="1333"/>
      <c r="AI357" s="1333"/>
      <c r="AJ357" s="1333"/>
    </row>
    <row r="358" spans="1:48" x14ac:dyDescent="0.25">
      <c r="A358" s="1462"/>
      <c r="B358" s="125"/>
      <c r="C358" s="944"/>
      <c r="D358" s="411"/>
      <c r="E358" s="559" t="str">
        <f>IF('C-Design&amp;Const'!$I358="","",'C-Design&amp;Const'!$I358)</f>
        <v>Y</v>
      </c>
      <c r="F358" s="460"/>
      <c r="G358" s="485"/>
      <c r="H358" s="244" t="str">
        <f>CONCATENATE(IF(F358="N","PLACEHOLDER ROW - ",""),'C-Design&amp;Const'!Z358,IF(F358="N","",J358))</f>
        <v>Telecom Drawings</v>
      </c>
      <c r="I358" s="136"/>
      <c r="J358" s="578" t="str">
        <f>IF('C-Design&amp;Const'!AE358="","",'C-Design&amp;Const'!AE358)</f>
        <v/>
      </c>
      <c r="K358" s="246" t="str">
        <f t="shared" si="33"/>
        <v/>
      </c>
      <c r="L358" s="1410" t="str">
        <f t="shared" si="33"/>
        <v/>
      </c>
      <c r="M358" s="1333"/>
      <c r="N358" s="1333"/>
      <c r="O358" s="1382"/>
      <c r="P358" s="1333"/>
      <c r="Q358" s="1453"/>
      <c r="R358" s="1284"/>
      <c r="S358" s="1284"/>
      <c r="T358" s="1333"/>
      <c r="U358" s="1333"/>
      <c r="V358" s="1333"/>
      <c r="W358" s="1333"/>
      <c r="X358" s="1333"/>
      <c r="Y358" s="1333"/>
      <c r="Z358" s="1333"/>
      <c r="AA358" s="1333"/>
      <c r="AB358" s="1333"/>
      <c r="AC358" s="1333"/>
      <c r="AD358" s="1333"/>
      <c r="AE358" s="1333"/>
      <c r="AF358" s="1333"/>
      <c r="AG358" s="1333"/>
      <c r="AH358" s="1333"/>
      <c r="AI358" s="1333"/>
      <c r="AJ358" s="1333"/>
    </row>
    <row r="359" spans="1:48" ht="15" customHeight="1" x14ac:dyDescent="0.25">
      <c r="A359" s="1462"/>
      <c r="B359" s="191"/>
      <c r="C359" s="1654"/>
      <c r="D359" s="411"/>
      <c r="E359" s="466"/>
      <c r="F359" s="559" t="str">
        <f>IF('C-Design&amp;Const'!$I359="","",'C-Design&amp;Const'!$I359)</f>
        <v>N</v>
      </c>
      <c r="G359" s="491"/>
      <c r="H359" s="469" t="str">
        <f>CONCATENATE(IF(F359="N","PLACEHOLDER ROW - ",""),'C-Design&amp;Const'!Z359,IF(F359="N","",J359))</f>
        <v xml:space="preserve">PLACEHOLDER ROW - CUSTOM - Telecom  </v>
      </c>
      <c r="I359" s="184"/>
      <c r="J359" s="578" t="str">
        <f>IF('C-Design&amp;Const'!AE359="","",'C-Design&amp;Const'!AE359)</f>
        <v>(Preliminary)</v>
      </c>
      <c r="K359" s="246" t="str">
        <f t="shared" si="33"/>
        <v/>
      </c>
      <c r="L359" s="1410" t="str">
        <f t="shared" si="33"/>
        <v>&lt;---PM/Planner may hide PLACEHOLDER ROW</v>
      </c>
      <c r="M359" s="1333"/>
      <c r="N359" s="1333"/>
      <c r="O359" s="1333"/>
      <c r="P359" s="1333"/>
      <c r="Q359" s="1333"/>
      <c r="R359" s="1333"/>
      <c r="S359" s="1333"/>
      <c r="T359" s="1333"/>
      <c r="U359" s="1333"/>
      <c r="V359" s="1333"/>
      <c r="W359" s="1333"/>
      <c r="X359" s="1333"/>
      <c r="Y359" s="1333"/>
      <c r="Z359" s="1333"/>
      <c r="AA359" s="1333"/>
      <c r="AB359" s="1333"/>
      <c r="AC359" s="1333"/>
      <c r="AD359" s="1333"/>
      <c r="AE359" s="1333"/>
      <c r="AF359" s="1333"/>
      <c r="AG359" s="1333"/>
      <c r="AH359" s="1333"/>
      <c r="AI359" s="1333"/>
      <c r="AJ359" s="1333"/>
    </row>
    <row r="360" spans="1:48" ht="15" customHeight="1" x14ac:dyDescent="0.25">
      <c r="A360" s="1462"/>
      <c r="B360" s="191"/>
      <c r="C360" s="1654"/>
      <c r="D360" s="411"/>
      <c r="E360" s="466"/>
      <c r="F360" s="559" t="str">
        <f>IF('C-Design&amp;Const'!$I360="","",'C-Design&amp;Const'!$I360)</f>
        <v>N</v>
      </c>
      <c r="G360" s="491"/>
      <c r="H360" s="469" t="str">
        <f>CONCATENATE(IF(F360="N","PLACEHOLDER ROW - ",""),'C-Design&amp;Const'!Z360,IF(F360="N","",J360))</f>
        <v xml:space="preserve">PLACEHOLDER ROW - CUSTOM - Telecom  </v>
      </c>
      <c r="I360" s="184"/>
      <c r="J360" s="578" t="str">
        <f>IF('C-Design&amp;Const'!AE360="","",'C-Design&amp;Const'!AE360)</f>
        <v>(Preliminary)</v>
      </c>
      <c r="K360" s="246" t="str">
        <f t="shared" si="33"/>
        <v/>
      </c>
      <c r="L360" s="1410" t="str">
        <f t="shared" si="33"/>
        <v>&lt;---PM/Planner may hide PLACEHOLDER ROW</v>
      </c>
      <c r="M360" s="1333"/>
      <c r="N360" s="1333"/>
      <c r="O360" s="1333"/>
      <c r="P360" s="1333"/>
      <c r="Q360" s="1333"/>
      <c r="R360" s="1333"/>
      <c r="S360" s="1333"/>
      <c r="T360" s="1333"/>
      <c r="U360" s="1333"/>
      <c r="V360" s="1333"/>
      <c r="W360" s="1333"/>
      <c r="X360" s="1333"/>
      <c r="Y360" s="1333"/>
      <c r="Z360" s="1333"/>
      <c r="AA360" s="1333"/>
      <c r="AB360" s="1333"/>
      <c r="AC360" s="1333"/>
      <c r="AD360" s="1333"/>
      <c r="AE360" s="1333"/>
      <c r="AF360" s="1333"/>
      <c r="AG360" s="1333"/>
      <c r="AH360" s="1333"/>
      <c r="AI360" s="1333"/>
      <c r="AJ360" s="1333"/>
    </row>
    <row r="361" spans="1:48" s="542" customFormat="1" ht="15" customHeight="1" x14ac:dyDescent="0.25">
      <c r="A361" s="1462"/>
      <c r="B361" s="554"/>
      <c r="C361" s="1654"/>
      <c r="D361" s="411"/>
      <c r="E361" s="466"/>
      <c r="F361" s="559" t="str">
        <f>IF('C-Design&amp;Const'!$I361="","",'C-Design&amp;Const'!$I361)</f>
        <v>N</v>
      </c>
      <c r="G361" s="558"/>
      <c r="H361" s="469" t="str">
        <f>CONCATENATE(IF(F361="N","PLACEHOLDER ROW - ",""),'C-Design&amp;Const'!Z361,IF(F361="N","",J361))</f>
        <v xml:space="preserve">PLACEHOLDER ROW - Telecom Symbols, Abbreviations, and General Notes </v>
      </c>
      <c r="I361" s="552"/>
      <c r="J361" s="578" t="str">
        <f>IF('C-Design&amp;Const'!AE361="","",'C-Design&amp;Const'!AE361)</f>
        <v>(Approx. 50% Complete)</v>
      </c>
      <c r="K361" s="246" t="str">
        <f t="shared" ref="K361:K362" si="37">CONCATENATE(IF(ISNUMBER(SEARCH("Placeholder",G361))=TRUE,"&lt;---PM/Planner may hide PLACEHOLDER ROW",""))</f>
        <v/>
      </c>
      <c r="L361" s="1410" t="str">
        <f t="shared" ref="L361:L362" si="38">CONCATENATE(IF(ISNUMBER(SEARCH("Placeholder",H361))=TRUE,"&lt;---PM/Planner may hide PLACEHOLDER ROW",""))</f>
        <v>&lt;---PM/Planner may hide PLACEHOLDER ROW</v>
      </c>
      <c r="M361" s="1333"/>
      <c r="N361" s="1333"/>
      <c r="O361" s="1333"/>
      <c r="P361" s="1333"/>
      <c r="Q361" s="1333"/>
      <c r="R361" s="1333"/>
      <c r="S361" s="1333"/>
      <c r="T361" s="1333"/>
      <c r="U361" s="1333"/>
      <c r="V361" s="1333"/>
      <c r="W361" s="1333"/>
      <c r="X361" s="1333"/>
      <c r="Y361" s="1333"/>
      <c r="Z361" s="1333"/>
      <c r="AA361" s="1333"/>
      <c r="AB361" s="1333"/>
      <c r="AC361" s="1333"/>
      <c r="AD361" s="1333"/>
      <c r="AE361" s="1333"/>
      <c r="AF361" s="1333"/>
      <c r="AG361" s="1333"/>
      <c r="AH361" s="1333"/>
      <c r="AI361" s="1333"/>
      <c r="AJ361" s="1333"/>
      <c r="AK361" s="17"/>
      <c r="AL361" s="17"/>
      <c r="AM361" s="17"/>
      <c r="AN361" s="17"/>
      <c r="AO361" s="17"/>
      <c r="AP361" s="17"/>
      <c r="AQ361" s="17"/>
      <c r="AR361" s="17"/>
      <c r="AS361" s="17"/>
      <c r="AT361" s="17"/>
      <c r="AU361" s="17"/>
      <c r="AV361" s="17"/>
    </row>
    <row r="362" spans="1:48" s="542" customFormat="1" ht="15" customHeight="1" x14ac:dyDescent="0.25">
      <c r="A362" s="1462"/>
      <c r="B362" s="554"/>
      <c r="C362" s="1654"/>
      <c r="D362" s="411"/>
      <c r="E362" s="466"/>
      <c r="F362" s="559" t="str">
        <f>IF('C-Design&amp;Const'!$I362="","",'C-Design&amp;Const'!$I362)</f>
        <v>N</v>
      </c>
      <c r="G362" s="558"/>
      <c r="H362" s="469" t="str">
        <f>CONCATENATE(IF(F362="N","PLACEHOLDER ROW - ",""),'C-Design&amp;Const'!Z362,IF(F362="N","",J362))</f>
        <v xml:space="preserve">PLACEHOLDER ROW - Telecom Demolition(s) </v>
      </c>
      <c r="I362" s="552"/>
      <c r="J362" s="578" t="str">
        <f>IF('C-Design&amp;Const'!AE362="","",'C-Design&amp;Const'!AE362)</f>
        <v>(Preliminary with Options)</v>
      </c>
      <c r="K362" s="246" t="str">
        <f t="shared" si="37"/>
        <v/>
      </c>
      <c r="L362" s="1410" t="str">
        <f t="shared" si="38"/>
        <v>&lt;---PM/Planner may hide PLACEHOLDER ROW</v>
      </c>
      <c r="M362" s="1333"/>
      <c r="N362" s="1333"/>
      <c r="O362" s="1333"/>
      <c r="P362" s="1333"/>
      <c r="Q362" s="1333"/>
      <c r="R362" s="1333"/>
      <c r="S362" s="1333"/>
      <c r="T362" s="1333"/>
      <c r="U362" s="1333"/>
      <c r="V362" s="1333"/>
      <c r="W362" s="1333"/>
      <c r="X362" s="1333"/>
      <c r="Y362" s="1333"/>
      <c r="Z362" s="1333"/>
      <c r="AA362" s="1333"/>
      <c r="AB362" s="1333"/>
      <c r="AC362" s="1333"/>
      <c r="AD362" s="1333"/>
      <c r="AE362" s="1333"/>
      <c r="AF362" s="1333"/>
      <c r="AG362" s="1333"/>
      <c r="AH362" s="1333"/>
      <c r="AI362" s="1333"/>
      <c r="AJ362" s="1333"/>
      <c r="AK362" s="17"/>
      <c r="AL362" s="17"/>
      <c r="AM362" s="17"/>
      <c r="AN362" s="17"/>
      <c r="AO362" s="17"/>
      <c r="AP362" s="17"/>
      <c r="AQ362" s="17"/>
      <c r="AR362" s="17"/>
      <c r="AS362" s="17"/>
      <c r="AT362" s="17"/>
      <c r="AU362" s="17"/>
      <c r="AV362" s="17"/>
    </row>
    <row r="363" spans="1:48" x14ac:dyDescent="0.25">
      <c r="A363" s="1462"/>
      <c r="B363" s="125"/>
      <c r="C363" s="944"/>
      <c r="D363" s="411"/>
      <c r="E363" s="466"/>
      <c r="F363" s="559" t="str">
        <f>IF('C-Design&amp;Const'!$I363="","",'C-Design&amp;Const'!$I363)</f>
        <v>Y</v>
      </c>
      <c r="G363" s="485"/>
      <c r="H363" s="243" t="str">
        <f>CONCATENATE(IF(F363="N","PLACEHOLDER ROW - ",""),'C-Design&amp;Const'!Z363,IF(F363="N","",J363))</f>
        <v>Telecom/Data Floor Plans w/ Devices   (Preliminary)</v>
      </c>
      <c r="I363" s="136"/>
      <c r="J363" s="578" t="str">
        <f>IF('C-Design&amp;Const'!AE363="","",'C-Design&amp;Const'!AE363)</f>
        <v>(Preliminary)</v>
      </c>
      <c r="K363" s="246" t="str">
        <f t="shared" si="33"/>
        <v/>
      </c>
      <c r="L363" s="1410" t="str">
        <f t="shared" si="33"/>
        <v/>
      </c>
      <c r="M363" s="1333"/>
      <c r="N363" s="1333"/>
      <c r="O363" s="1382"/>
      <c r="P363" s="1333"/>
      <c r="Q363" s="1453"/>
      <c r="R363" s="1284"/>
      <c r="S363" s="1284"/>
      <c r="T363" s="1333"/>
      <c r="U363" s="1333"/>
      <c r="V363" s="1333"/>
      <c r="W363" s="1333"/>
      <c r="X363" s="1333"/>
      <c r="Y363" s="1333"/>
      <c r="Z363" s="1333"/>
      <c r="AA363" s="1333"/>
      <c r="AB363" s="1333"/>
      <c r="AC363" s="1333"/>
      <c r="AD363" s="1333"/>
      <c r="AE363" s="1333"/>
      <c r="AF363" s="1333"/>
      <c r="AG363" s="1333"/>
      <c r="AH363" s="1333"/>
      <c r="AI363" s="1333"/>
      <c r="AJ363" s="1333"/>
    </row>
    <row r="364" spans="1:48" x14ac:dyDescent="0.25">
      <c r="A364" s="1462"/>
      <c r="B364" s="125"/>
      <c r="C364" s="944"/>
      <c r="D364" s="411"/>
      <c r="E364" s="466"/>
      <c r="F364" s="559" t="str">
        <f>IF('C-Design&amp;Const'!$I364="","",'C-Design&amp;Const'!$I364)</f>
        <v>N</v>
      </c>
      <c r="G364" s="485"/>
      <c r="H364" s="243" t="str">
        <f>CONCATENATE(IF(F364="N","PLACEHOLDER ROW - ",""),'C-Design&amp;Const'!Z364,IF(F364="N","",J364))</f>
        <v xml:space="preserve">PLACEHOLDER ROW - Telecom/Data Raceway Distribution   </v>
      </c>
      <c r="I364" s="136"/>
      <c r="J364" s="578" t="str">
        <f>IF('C-Design&amp;Const'!AE364="","",'C-Design&amp;Const'!AE364)</f>
        <v>(Preliminary)</v>
      </c>
      <c r="K364" s="246" t="str">
        <f t="shared" si="33"/>
        <v/>
      </c>
      <c r="L364" s="1410" t="str">
        <f t="shared" si="33"/>
        <v>&lt;---PM/Planner may hide PLACEHOLDER ROW</v>
      </c>
      <c r="M364" s="1333"/>
      <c r="N364" s="1333"/>
      <c r="O364" s="1382"/>
      <c r="P364" s="1333"/>
      <c r="Q364" s="1453"/>
      <c r="R364" s="1284"/>
      <c r="S364" s="1284"/>
      <c r="T364" s="1333"/>
      <c r="U364" s="1333"/>
      <c r="V364" s="1333"/>
      <c r="W364" s="1333"/>
      <c r="X364" s="1333"/>
      <c r="Y364" s="1333"/>
      <c r="Z364" s="1333"/>
      <c r="AA364" s="1333"/>
      <c r="AB364" s="1333"/>
      <c r="AC364" s="1333"/>
      <c r="AD364" s="1333"/>
      <c r="AE364" s="1333"/>
      <c r="AF364" s="1333"/>
      <c r="AG364" s="1333"/>
      <c r="AH364" s="1333"/>
      <c r="AI364" s="1333"/>
      <c r="AJ364" s="1333"/>
    </row>
    <row r="365" spans="1:48" x14ac:dyDescent="0.25">
      <c r="A365" s="1462"/>
      <c r="B365" s="125"/>
      <c r="C365" s="944"/>
      <c r="D365" s="411"/>
      <c r="E365" s="466"/>
      <c r="F365" s="559" t="str">
        <f>IF('C-Design&amp;Const'!$I365="","",'C-Design&amp;Const'!$I365)</f>
        <v>N</v>
      </c>
      <c r="G365" s="485"/>
      <c r="H365" s="469" t="str">
        <f>CONCATENATE(IF(F365="N","PLACEHOLDER ROW - ",""),'C-Design&amp;Const'!Z365,IF(F365="N","",J365))</f>
        <v xml:space="preserve">PLACEHOLDER ROW - Telecom/Data Riser Diagram   </v>
      </c>
      <c r="I365" s="136"/>
      <c r="J365" s="578" t="str">
        <f>IF('C-Design&amp;Const'!AE365="","",'C-Design&amp;Const'!AE365)</f>
        <v>(Preliminary)</v>
      </c>
      <c r="K365" s="246" t="str">
        <f t="shared" si="33"/>
        <v/>
      </c>
      <c r="L365" s="1410" t="str">
        <f t="shared" si="33"/>
        <v>&lt;---PM/Planner may hide PLACEHOLDER ROW</v>
      </c>
      <c r="M365" s="1333"/>
      <c r="N365" s="1333"/>
      <c r="O365" s="1382"/>
      <c r="P365" s="1333"/>
      <c r="Q365" s="1453"/>
      <c r="R365" s="1284"/>
      <c r="S365" s="1284"/>
      <c r="T365" s="1333"/>
      <c r="U365" s="1333"/>
      <c r="V365" s="1333"/>
      <c r="W365" s="1333"/>
      <c r="X365" s="1333"/>
      <c r="Y365" s="1333"/>
      <c r="Z365" s="1333"/>
      <c r="AA365" s="1333"/>
      <c r="AB365" s="1333"/>
      <c r="AC365" s="1333"/>
      <c r="AD365" s="1333"/>
      <c r="AE365" s="1333"/>
      <c r="AF365" s="1333"/>
      <c r="AG365" s="1333"/>
      <c r="AH365" s="1333"/>
      <c r="AI365" s="1333"/>
      <c r="AJ365" s="1333"/>
    </row>
    <row r="366" spans="1:48" x14ac:dyDescent="0.25">
      <c r="A366" s="1462"/>
      <c r="B366" s="125"/>
      <c r="C366" s="944"/>
      <c r="D366" s="411"/>
      <c r="E366" s="466"/>
      <c r="F366" s="559" t="str">
        <f>IF('C-Design&amp;Const'!$I366="","",'C-Design&amp;Const'!$I366)</f>
        <v>N</v>
      </c>
      <c r="G366" s="485"/>
      <c r="H366" s="469" t="str">
        <f>CONCATENATE(IF(F366="N","PLACEHOLDER ROW - ",""),'C-Design&amp;Const'!Z366,IF(F366="N","",J366))</f>
        <v xml:space="preserve">PLACEHOLDER ROW - Telecom/Data Details and Sections </v>
      </c>
      <c r="I366" s="136"/>
      <c r="J366" s="578" t="str">
        <f>IF('C-Design&amp;Const'!AE366="","",'C-Design&amp;Const'!AE366)</f>
        <v>(Preliminary)</v>
      </c>
      <c r="K366" s="246" t="str">
        <f t="shared" si="33"/>
        <v/>
      </c>
      <c r="L366" s="1410" t="str">
        <f t="shared" si="33"/>
        <v>&lt;---PM/Planner may hide PLACEHOLDER ROW</v>
      </c>
      <c r="M366" s="1333"/>
      <c r="N366" s="1333"/>
      <c r="O366" s="1382"/>
      <c r="P366" s="1333"/>
      <c r="Q366" s="1453"/>
      <c r="R366" s="1284"/>
      <c r="S366" s="1284"/>
      <c r="T366" s="1333"/>
      <c r="U366" s="1333"/>
      <c r="V366" s="1333"/>
      <c r="W366" s="1333"/>
      <c r="X366" s="1333"/>
      <c r="Y366" s="1333"/>
      <c r="Z366" s="1333"/>
      <c r="AA366" s="1333"/>
      <c r="AB366" s="1333"/>
      <c r="AC366" s="1333"/>
      <c r="AD366" s="1333"/>
      <c r="AE366" s="1333"/>
      <c r="AF366" s="1333"/>
      <c r="AG366" s="1333"/>
      <c r="AH366" s="1333"/>
      <c r="AI366" s="1333"/>
      <c r="AJ366" s="1333"/>
    </row>
    <row r="367" spans="1:48" x14ac:dyDescent="0.25">
      <c r="A367" s="1462"/>
      <c r="B367" s="125"/>
      <c r="C367" s="944"/>
      <c r="D367" s="411"/>
      <c r="E367" s="559" t="s">
        <v>38</v>
      </c>
      <c r="F367" s="460"/>
      <c r="G367" s="485"/>
      <c r="H367" s="242" t="str">
        <f>CONCATENATE(IF(E367="N","PLACEHOLDER ROW - ",""),'C-Design&amp;Const'!Z367,IF(F367="N","",J367))</f>
        <v>PLACEHOLDER ROW - Audio Visual Drawings</v>
      </c>
      <c r="I367" s="136"/>
      <c r="J367" s="578" t="str">
        <f>IF('C-Design&amp;Const'!AE367="","",'C-Design&amp;Const'!AE367)</f>
        <v/>
      </c>
      <c r="K367" s="246" t="str">
        <f t="shared" si="33"/>
        <v/>
      </c>
      <c r="L367" s="1410" t="str">
        <f t="shared" si="33"/>
        <v>&lt;---PM/Planner may hide PLACEHOLDER ROW</v>
      </c>
      <c r="M367" s="1333"/>
      <c r="N367" s="1333"/>
      <c r="O367" s="1382"/>
      <c r="P367" s="1333"/>
      <c r="Q367" s="1453"/>
      <c r="R367" s="1284"/>
      <c r="S367" s="1284"/>
      <c r="T367" s="1333"/>
      <c r="U367" s="1333"/>
      <c r="V367" s="1333"/>
      <c r="W367" s="1333"/>
      <c r="X367" s="1333"/>
      <c r="Y367" s="1333"/>
      <c r="Z367" s="1333"/>
      <c r="AA367" s="1333"/>
      <c r="AB367" s="1333"/>
      <c r="AC367" s="1333"/>
      <c r="AD367" s="1333"/>
      <c r="AE367" s="1333"/>
      <c r="AF367" s="1333"/>
      <c r="AG367" s="1333"/>
      <c r="AH367" s="1333"/>
      <c r="AI367" s="1333"/>
      <c r="AJ367" s="1333"/>
    </row>
    <row r="368" spans="1:48" s="542" customFormat="1" ht="15" customHeight="1" x14ac:dyDescent="0.25">
      <c r="A368" s="1462"/>
      <c r="B368" s="554"/>
      <c r="C368" s="1654"/>
      <c r="D368" s="411"/>
      <c r="E368" s="466"/>
      <c r="F368" s="559" t="str">
        <f>IF('C-Design&amp;Const'!$I368="","",'C-Design&amp;Const'!$I368)</f>
        <v>N</v>
      </c>
      <c r="G368" s="558"/>
      <c r="H368" s="469" t="str">
        <f>CONCATENATE(IF(F368="N","PLACEHOLDER ROW - ",""),'C-Design&amp;Const'!Z368,IF(F368="N","",J368))</f>
        <v xml:space="preserve">PLACEHOLDER ROW - Audio Visual Symbols, Abbreviations, and General Notes </v>
      </c>
      <c r="I368" s="552"/>
      <c r="J368" s="578" t="str">
        <f>IF('C-Design&amp;Const'!AE368="","",'C-Design&amp;Const'!AE368)</f>
        <v>(Approx. 50% Complete)</v>
      </c>
      <c r="K368" s="246" t="str">
        <f t="shared" si="33"/>
        <v/>
      </c>
      <c r="L368" s="1410" t="str">
        <f t="shared" si="33"/>
        <v>&lt;---PM/Planner may hide PLACEHOLDER ROW</v>
      </c>
      <c r="M368" s="1333"/>
      <c r="N368" s="1333"/>
      <c r="O368" s="1333"/>
      <c r="P368" s="1333"/>
      <c r="Q368" s="1333"/>
      <c r="R368" s="1333"/>
      <c r="S368" s="1333"/>
      <c r="T368" s="1333"/>
      <c r="U368" s="1333"/>
      <c r="V368" s="1333"/>
      <c r="W368" s="1333"/>
      <c r="X368" s="1333"/>
      <c r="Y368" s="1333"/>
      <c r="Z368" s="1333"/>
      <c r="AA368" s="1333"/>
      <c r="AB368" s="1333"/>
      <c r="AC368" s="1333"/>
      <c r="AD368" s="1333"/>
      <c r="AE368" s="1333"/>
      <c r="AF368" s="1333"/>
      <c r="AG368" s="1333"/>
      <c r="AH368" s="1333"/>
      <c r="AI368" s="1333"/>
      <c r="AJ368" s="1333"/>
      <c r="AK368" s="17"/>
      <c r="AL368" s="17"/>
      <c r="AM368" s="17"/>
      <c r="AN368" s="17"/>
      <c r="AO368" s="17"/>
      <c r="AP368" s="17"/>
      <c r="AQ368" s="17"/>
      <c r="AR368" s="17"/>
      <c r="AS368" s="17"/>
      <c r="AT368" s="17"/>
      <c r="AU368" s="17"/>
      <c r="AV368" s="17"/>
    </row>
    <row r="369" spans="1:48" s="542" customFormat="1" ht="15" customHeight="1" x14ac:dyDescent="0.25">
      <c r="A369" s="1462"/>
      <c r="B369" s="554"/>
      <c r="C369" s="1654"/>
      <c r="D369" s="411"/>
      <c r="E369" s="466"/>
      <c r="F369" s="559" t="str">
        <f>IF('C-Design&amp;Const'!$I369="","",'C-Design&amp;Const'!$I369)</f>
        <v>N</v>
      </c>
      <c r="G369" s="558"/>
      <c r="H369" s="469" t="str">
        <f>CONCATENATE(IF(F369="N","PLACEHOLDER ROW - ",""),'C-Design&amp;Const'!Z369,IF(F369="N","",J369))</f>
        <v xml:space="preserve">PLACEHOLDER ROW - A/V Demolition(s) </v>
      </c>
      <c r="I369" s="552"/>
      <c r="J369" s="578" t="str">
        <f>IF('C-Design&amp;Const'!AE369="","",'C-Design&amp;Const'!AE369)</f>
        <v>(Preliminary with Options)</v>
      </c>
      <c r="K369" s="246" t="str">
        <f t="shared" si="33"/>
        <v/>
      </c>
      <c r="L369" s="1410" t="str">
        <f t="shared" si="33"/>
        <v>&lt;---PM/Planner may hide PLACEHOLDER ROW</v>
      </c>
      <c r="M369" s="1333"/>
      <c r="N369" s="1333"/>
      <c r="O369" s="1333"/>
      <c r="P369" s="1333"/>
      <c r="Q369" s="1333"/>
      <c r="R369" s="1333"/>
      <c r="S369" s="1333"/>
      <c r="T369" s="1333"/>
      <c r="U369" s="1333"/>
      <c r="V369" s="1333"/>
      <c r="W369" s="1333"/>
      <c r="X369" s="1333"/>
      <c r="Y369" s="1333"/>
      <c r="Z369" s="1333"/>
      <c r="AA369" s="1333"/>
      <c r="AB369" s="1333"/>
      <c r="AC369" s="1333"/>
      <c r="AD369" s="1333"/>
      <c r="AE369" s="1333"/>
      <c r="AF369" s="1333"/>
      <c r="AG369" s="1333"/>
      <c r="AH369" s="1333"/>
      <c r="AI369" s="1333"/>
      <c r="AJ369" s="1333"/>
      <c r="AK369" s="17"/>
      <c r="AL369" s="17"/>
      <c r="AM369" s="17"/>
      <c r="AN369" s="17"/>
      <c r="AO369" s="17"/>
      <c r="AP369" s="17"/>
      <c r="AQ369" s="17"/>
      <c r="AR369" s="17"/>
      <c r="AS369" s="17"/>
      <c r="AT369" s="17"/>
      <c r="AU369" s="17"/>
      <c r="AV369" s="17"/>
    </row>
    <row r="370" spans="1:48" ht="45" x14ac:dyDescent="0.25">
      <c r="A370" s="1462"/>
      <c r="B370" s="125"/>
      <c r="C370" s="944"/>
      <c r="D370" s="411"/>
      <c r="E370" s="466"/>
      <c r="F370" s="559" t="str">
        <f>IF('C-Design&amp;Const'!$I370="","",'C-Design&amp;Const'!$I370)</f>
        <v>N</v>
      </c>
      <c r="G370" s="485"/>
      <c r="H370" s="469" t="str">
        <f>CONCATENATE(IF(F370="N","PLACEHOLDER ROW - ",""),'C-Design&amp;Const'!Z370,IF(F370="N","",J370))</f>
        <v xml:space="preserve">PLACEHOLDER ROW - AV System Floor Plans.  Equipment identified, Equipment Clearance &amp; Throw Distances Dimensioned, Power, Conduit &amp; Backbox Layouts Shown.  Cables shown separated by type/signal level; all Cables Leaving Room Clearly Shown. </v>
      </c>
      <c r="I370" s="136"/>
      <c r="J370" s="578" t="str">
        <f>IF('C-Design&amp;Const'!AE370="","",'C-Design&amp;Const'!AE370)</f>
        <v/>
      </c>
      <c r="K370" s="246" t="str">
        <f t="shared" si="33"/>
        <v/>
      </c>
      <c r="L370" s="1410" t="str">
        <f t="shared" si="33"/>
        <v>&lt;---PM/Planner may hide PLACEHOLDER ROW</v>
      </c>
      <c r="M370" s="1333"/>
      <c r="N370" s="1333"/>
      <c r="O370" s="1382"/>
      <c r="P370" s="1333"/>
      <c r="Q370" s="1453"/>
      <c r="R370" s="1284"/>
      <c r="S370" s="1284"/>
      <c r="T370" s="1333"/>
      <c r="U370" s="1333"/>
      <c r="V370" s="1333"/>
      <c r="W370" s="1333"/>
      <c r="X370" s="1333"/>
      <c r="Y370" s="1333"/>
      <c r="Z370" s="1333"/>
      <c r="AA370" s="1333"/>
      <c r="AB370" s="1333"/>
      <c r="AC370" s="1333"/>
      <c r="AD370" s="1333"/>
      <c r="AE370" s="1333"/>
      <c r="AF370" s="1333"/>
      <c r="AG370" s="1333"/>
      <c r="AH370" s="1333"/>
      <c r="AI370" s="1333"/>
      <c r="AJ370" s="1333"/>
    </row>
    <row r="371" spans="1:48" ht="75" x14ac:dyDescent="0.25">
      <c r="A371" s="1462"/>
      <c r="B371" s="125"/>
      <c r="C371" s="944"/>
      <c r="D371" s="411"/>
      <c r="E371" s="466"/>
      <c r="F371" s="559" t="str">
        <f>IF('C-Design&amp;Const'!$I371="","",'C-Design&amp;Const'!$I371)</f>
        <v>N</v>
      </c>
      <c r="G371" s="485"/>
      <c r="H371" s="469" t="str">
        <f>CONCATENATE(IF(F371="N","PLACEHOLDER ROW - ",""),'C-Design&amp;Const'!Z371,IF(F371="N","",J371))</f>
        <v xml:space="preserve">PLACEHOLDER ROW - AV System Details:  Equipment Installation Details, AV Rack Elevations for each Rack, Major Equipment Components Located in the Rack, Custom Plate Details, and Plates Associated with Equipment Plans and System Line Diagrams.  Equipment Mounting Details which Support More than 40 Pounds shall be stamped by a Licensed Structural Engineer. </v>
      </c>
      <c r="I371" s="136"/>
      <c r="J371" s="578" t="str">
        <f>IF('C-Design&amp;Const'!AE371="","",'C-Design&amp;Const'!AE371)</f>
        <v/>
      </c>
      <c r="K371" s="246" t="str">
        <f t="shared" si="33"/>
        <v/>
      </c>
      <c r="L371" s="1410" t="str">
        <f t="shared" si="33"/>
        <v>&lt;---PM/Planner may hide PLACEHOLDER ROW</v>
      </c>
      <c r="M371" s="1333"/>
      <c r="N371" s="1333"/>
      <c r="O371" s="1382"/>
      <c r="P371" s="1333"/>
      <c r="Q371" s="1453"/>
      <c r="R371" s="1284"/>
      <c r="S371" s="1284"/>
      <c r="T371" s="1333"/>
      <c r="U371" s="1333"/>
      <c r="V371" s="1333"/>
      <c r="W371" s="1333"/>
      <c r="X371" s="1333"/>
      <c r="Y371" s="1333"/>
      <c r="Z371" s="1333"/>
      <c r="AA371" s="1333"/>
      <c r="AB371" s="1333"/>
      <c r="AC371" s="1333"/>
      <c r="AD371" s="1333"/>
      <c r="AE371" s="1333"/>
      <c r="AF371" s="1333"/>
      <c r="AG371" s="1333"/>
      <c r="AH371" s="1333"/>
      <c r="AI371" s="1333"/>
      <c r="AJ371" s="1333"/>
    </row>
    <row r="372" spans="1:48" x14ac:dyDescent="0.25">
      <c r="A372" s="1462"/>
      <c r="B372" s="125"/>
      <c r="C372" s="944"/>
      <c r="D372" s="411"/>
      <c r="E372" s="466"/>
      <c r="F372" s="559" t="str">
        <f>IF('C-Design&amp;Const'!$I372="","",'C-Design&amp;Const'!$I372)</f>
        <v>N</v>
      </c>
      <c r="G372" s="485"/>
      <c r="H372" s="1015" t="str">
        <f>CONCATENATE(IF(F372="N","PLACEHOLDER ROW - ",""),'C-Design&amp;Const'!Z372,IF(F372="N","",J372))</f>
        <v xml:space="preserve">PLACEHOLDER ROW - AV System Line Diagrams, showing: </v>
      </c>
      <c r="I372" s="136"/>
      <c r="J372" s="578" t="str">
        <f>IF('C-Design&amp;Const'!AE372="","",'C-Design&amp;Const'!AE372)</f>
        <v/>
      </c>
      <c r="K372" s="246" t="str">
        <f t="shared" si="33"/>
        <v/>
      </c>
      <c r="L372" s="1410" t="str">
        <f t="shared" si="33"/>
        <v>&lt;---PM/Planner may hide PLACEHOLDER ROW</v>
      </c>
      <c r="M372" s="1333"/>
      <c r="N372" s="1333"/>
      <c r="O372" s="1382"/>
      <c r="P372" s="1333"/>
      <c r="Q372" s="1453"/>
      <c r="R372" s="1284"/>
      <c r="S372" s="1284"/>
      <c r="T372" s="1333"/>
      <c r="U372" s="1333"/>
      <c r="V372" s="1333"/>
      <c r="W372" s="1333"/>
      <c r="X372" s="1333"/>
      <c r="Y372" s="1333"/>
      <c r="Z372" s="1333"/>
      <c r="AA372" s="1333"/>
      <c r="AB372" s="1333"/>
      <c r="AC372" s="1333"/>
      <c r="AD372" s="1333"/>
      <c r="AE372" s="1333"/>
      <c r="AF372" s="1333"/>
      <c r="AG372" s="1333"/>
      <c r="AH372" s="1333"/>
      <c r="AI372" s="1333"/>
      <c r="AJ372" s="1333"/>
    </row>
    <row r="373" spans="1:48" x14ac:dyDescent="0.25">
      <c r="A373" s="1462"/>
      <c r="B373" s="125"/>
      <c r="C373" s="944"/>
      <c r="D373" s="411"/>
      <c r="E373" s="499"/>
      <c r="F373" s="473"/>
      <c r="G373" s="794" t="str">
        <f>IF('C-Design&amp;Const'!$I373="","",'C-Design&amp;Const'!$I373)</f>
        <v>N</v>
      </c>
      <c r="H373" s="1016" t="str">
        <f>CONCATENATE(IF(G373="N","PLACEHOLDER ROW - ",""),'C-Design&amp;Const'!Z373,IF(F373="N","",J373))</f>
        <v xml:space="preserve">PLACEHOLDER ROW - Signal flow from input to output, left to right </v>
      </c>
      <c r="I373" s="136"/>
      <c r="J373" s="578" t="str">
        <f>IF('C-Design&amp;Const'!AE373="","",'C-Design&amp;Const'!AE373)</f>
        <v/>
      </c>
      <c r="K373" s="246" t="str">
        <f t="shared" si="33"/>
        <v/>
      </c>
      <c r="L373" s="1410" t="str">
        <f t="shared" si="33"/>
        <v>&lt;---PM/Planner may hide PLACEHOLDER ROW</v>
      </c>
      <c r="M373" s="1333"/>
      <c r="N373" s="1333"/>
      <c r="O373" s="1382"/>
      <c r="P373" s="1333"/>
      <c r="Q373" s="1453"/>
      <c r="R373" s="1284"/>
      <c r="S373" s="1284"/>
      <c r="T373" s="1333"/>
      <c r="U373" s="1333"/>
      <c r="V373" s="1333"/>
      <c r="W373" s="1333"/>
      <c r="X373" s="1333"/>
      <c r="Y373" s="1333"/>
      <c r="Z373" s="1333"/>
      <c r="AA373" s="1333"/>
      <c r="AB373" s="1333"/>
      <c r="AC373" s="1333"/>
      <c r="AD373" s="1333"/>
      <c r="AE373" s="1333"/>
      <c r="AF373" s="1333"/>
      <c r="AG373" s="1333"/>
      <c r="AH373" s="1333"/>
      <c r="AI373" s="1333"/>
      <c r="AJ373" s="1333"/>
    </row>
    <row r="374" spans="1:48" ht="30" x14ac:dyDescent="0.25">
      <c r="A374" s="1462"/>
      <c r="B374" s="125"/>
      <c r="C374" s="944"/>
      <c r="D374" s="411"/>
      <c r="E374" s="499"/>
      <c r="F374" s="466"/>
      <c r="G374" s="794" t="str">
        <f>IF('C-Design&amp;Const'!$I374="","",'C-Design&amp;Const'!$I374)</f>
        <v>N</v>
      </c>
      <c r="H374" s="1016" t="str">
        <f>CONCATENATE(IF(G374="N","PLACEHOLDER ROW - ",""),'C-Design&amp;Const'!Z374,IF(F374="N","",J374))</f>
        <v xml:space="preserve">PLACEHOLDER ROW - Major pieces of equipment identified by manufacturer, model number &amp; description </v>
      </c>
      <c r="I374" s="136"/>
      <c r="J374" s="578" t="str">
        <f>IF('C-Design&amp;Const'!AE374="","",'C-Design&amp;Const'!AE374)</f>
        <v/>
      </c>
      <c r="K374" s="246" t="str">
        <f t="shared" si="33"/>
        <v/>
      </c>
      <c r="L374" s="1410" t="str">
        <f t="shared" si="33"/>
        <v>&lt;---PM/Planner may hide PLACEHOLDER ROW</v>
      </c>
      <c r="M374" s="1333"/>
      <c r="N374" s="1333"/>
      <c r="O374" s="1382"/>
      <c r="P374" s="1333"/>
      <c r="Q374" s="1453"/>
      <c r="R374" s="1284"/>
      <c r="S374" s="1284"/>
      <c r="T374" s="1333"/>
      <c r="U374" s="1333"/>
      <c r="V374" s="1333"/>
      <c r="W374" s="1333"/>
      <c r="X374" s="1333"/>
      <c r="Y374" s="1333"/>
      <c r="Z374" s="1333"/>
      <c r="AA374" s="1333"/>
      <c r="AB374" s="1333"/>
      <c r="AC374" s="1333"/>
      <c r="AD374" s="1333"/>
      <c r="AE374" s="1333"/>
      <c r="AF374" s="1333"/>
      <c r="AG374" s="1333"/>
      <c r="AH374" s="1333"/>
      <c r="AI374" s="1333"/>
      <c r="AJ374" s="1333"/>
    </row>
    <row r="375" spans="1:48" x14ac:dyDescent="0.25">
      <c r="A375" s="1462"/>
      <c r="B375" s="125"/>
      <c r="C375" s="944"/>
      <c r="D375" s="411"/>
      <c r="E375" s="499"/>
      <c r="F375" s="466"/>
      <c r="G375" s="794" t="str">
        <f>IF('C-Design&amp;Const'!$I375="","",'C-Design&amp;Const'!$I375)</f>
        <v>N</v>
      </c>
      <c r="H375" s="1016" t="str">
        <f>CONCATENATE(IF(G375="N","PLACEHOLDER ROW - ",""),'C-Design&amp;Const'!Z375,IF(F375="N","",J375))</f>
        <v xml:space="preserve">PLACEHOLDER ROW - Equipment associated with plans and details </v>
      </c>
      <c r="I375" s="136"/>
      <c r="J375" s="578" t="str">
        <f>IF('C-Design&amp;Const'!AE375="","",'C-Design&amp;Const'!AE375)</f>
        <v/>
      </c>
      <c r="K375" s="246" t="str">
        <f t="shared" si="33"/>
        <v/>
      </c>
      <c r="L375" s="1410" t="str">
        <f t="shared" si="33"/>
        <v>&lt;---PM/Planner may hide PLACEHOLDER ROW</v>
      </c>
      <c r="M375" s="1333"/>
      <c r="N375" s="1333"/>
      <c r="O375" s="1382"/>
      <c r="P375" s="1333"/>
      <c r="Q375" s="1453"/>
      <c r="R375" s="1284"/>
      <c r="S375" s="1284"/>
      <c r="T375" s="1333"/>
      <c r="U375" s="1333"/>
      <c r="V375" s="1333"/>
      <c r="W375" s="1333"/>
      <c r="X375" s="1333"/>
      <c r="Y375" s="1333"/>
      <c r="Z375" s="1333"/>
      <c r="AA375" s="1333"/>
      <c r="AB375" s="1333"/>
      <c r="AC375" s="1333"/>
      <c r="AD375" s="1333"/>
      <c r="AE375" s="1333"/>
      <c r="AF375" s="1333"/>
      <c r="AG375" s="1333"/>
      <c r="AH375" s="1333"/>
      <c r="AI375" s="1333"/>
      <c r="AJ375" s="1333"/>
    </row>
    <row r="376" spans="1:48" x14ac:dyDescent="0.25">
      <c r="A376" s="1462"/>
      <c r="B376" s="125"/>
      <c r="C376" s="944"/>
      <c r="D376" s="411"/>
      <c r="E376" s="499"/>
      <c r="F376" s="466"/>
      <c r="G376" s="794" t="str">
        <f>IF('C-Design&amp;Const'!$I376="","",'C-Design&amp;Const'!$I376)</f>
        <v>N</v>
      </c>
      <c r="H376" s="1016" t="str">
        <f>CONCATENATE(IF(G376="N","PLACEHOLDER ROW - ",""),'C-Design&amp;Const'!Z376,IF(F376="N","",J376))</f>
        <v xml:space="preserve">PLACEHOLDER ROW - All field and rack cabling and signal type </v>
      </c>
      <c r="I376" s="136"/>
      <c r="J376" s="578" t="str">
        <f>IF('C-Design&amp;Const'!AE376="","",'C-Design&amp;Const'!AE376)</f>
        <v/>
      </c>
      <c r="K376" s="246" t="str">
        <f t="shared" si="33"/>
        <v/>
      </c>
      <c r="L376" s="1410" t="str">
        <f t="shared" si="33"/>
        <v>&lt;---PM/Planner may hide PLACEHOLDER ROW</v>
      </c>
      <c r="M376" s="1333"/>
      <c r="N376" s="1333"/>
      <c r="O376" s="1382"/>
      <c r="P376" s="1333"/>
      <c r="Q376" s="1453"/>
      <c r="R376" s="1284"/>
      <c r="S376" s="1284"/>
      <c r="T376" s="1333"/>
      <c r="U376" s="1333"/>
      <c r="V376" s="1333"/>
      <c r="W376" s="1333"/>
      <c r="X376" s="1333"/>
      <c r="Y376" s="1333"/>
      <c r="Z376" s="1333"/>
      <c r="AA376" s="1333"/>
      <c r="AB376" s="1333"/>
      <c r="AC376" s="1333"/>
      <c r="AD376" s="1333"/>
      <c r="AE376" s="1333"/>
      <c r="AF376" s="1333"/>
      <c r="AG376" s="1333"/>
      <c r="AH376" s="1333"/>
      <c r="AI376" s="1333"/>
      <c r="AJ376" s="1333"/>
    </row>
    <row r="377" spans="1:48" x14ac:dyDescent="0.25">
      <c r="A377" s="1462"/>
      <c r="B377" s="125"/>
      <c r="C377" s="944"/>
      <c r="D377" s="411"/>
      <c r="E377" s="499"/>
      <c r="F377" s="466"/>
      <c r="G377" s="794" t="str">
        <f>IF('C-Design&amp;Const'!$I377="","",'C-Design&amp;Const'!$I377)</f>
        <v>N</v>
      </c>
      <c r="H377" s="1016" t="str">
        <f>CONCATENATE(IF(G377="N","PLACEHOLDER ROW - ",""),'C-Design&amp;Const'!Z377,IF(F377="N","",J377))</f>
        <v xml:space="preserve">PLACEHOLDER ROW - Video signal resolutions </v>
      </c>
      <c r="I377" s="136"/>
      <c r="J377" s="578" t="str">
        <f>IF('C-Design&amp;Const'!AE377="","",'C-Design&amp;Const'!AE377)</f>
        <v/>
      </c>
      <c r="K377" s="246" t="str">
        <f t="shared" si="33"/>
        <v/>
      </c>
      <c r="L377" s="1410" t="str">
        <f t="shared" si="33"/>
        <v>&lt;---PM/Planner may hide PLACEHOLDER ROW</v>
      </c>
      <c r="M377" s="1333"/>
      <c r="N377" s="1333"/>
      <c r="O377" s="1382"/>
      <c r="P377" s="1333"/>
      <c r="Q377" s="1453"/>
      <c r="R377" s="1284"/>
      <c r="S377" s="1284"/>
      <c r="T377" s="1333"/>
      <c r="U377" s="1333"/>
      <c r="V377" s="1333"/>
      <c r="W377" s="1333"/>
      <c r="X377" s="1333"/>
      <c r="Y377" s="1333"/>
      <c r="Z377" s="1333"/>
      <c r="AA377" s="1333"/>
      <c r="AB377" s="1333"/>
      <c r="AC377" s="1333"/>
      <c r="AD377" s="1333"/>
      <c r="AE377" s="1333"/>
      <c r="AF377" s="1333"/>
      <c r="AG377" s="1333"/>
      <c r="AH377" s="1333"/>
      <c r="AI377" s="1333"/>
      <c r="AJ377" s="1333"/>
    </row>
    <row r="378" spans="1:48" x14ac:dyDescent="0.25">
      <c r="A378" s="1462"/>
      <c r="B378" s="125"/>
      <c r="C378" s="944"/>
      <c r="D378" s="411"/>
      <c r="E378" s="499"/>
      <c r="F378" s="466"/>
      <c r="G378" s="794" t="str">
        <f>IF('C-Design&amp;Const'!$I378="","",'C-Design&amp;Const'!$I378)</f>
        <v>N</v>
      </c>
      <c r="H378" s="1016" t="str">
        <f>CONCATENATE(IF(G378="N","PLACEHOLDER ROW - ",""),'C-Design&amp;Const'!Z378,IF(F378="N","",J378))</f>
        <v xml:space="preserve">PLACEHOLDER ROW - Manufacturer &amp; model number of all premade cables  </v>
      </c>
      <c r="I378" s="136"/>
      <c r="J378" s="578" t="str">
        <f>IF('C-Design&amp;Const'!AE378="","",'C-Design&amp;Const'!AE378)</f>
        <v/>
      </c>
      <c r="K378" s="246" t="str">
        <f t="shared" si="33"/>
        <v/>
      </c>
      <c r="L378" s="1410" t="str">
        <f t="shared" si="33"/>
        <v>&lt;---PM/Planner may hide PLACEHOLDER ROW</v>
      </c>
      <c r="M378" s="1333"/>
      <c r="N378" s="1333"/>
      <c r="O378" s="1382"/>
      <c r="P378" s="1333"/>
      <c r="Q378" s="1453"/>
      <c r="R378" s="1284"/>
      <c r="S378" s="1284"/>
      <c r="T378" s="1333"/>
      <c r="U378" s="1333"/>
      <c r="V378" s="1333"/>
      <c r="W378" s="1333"/>
      <c r="X378" s="1333"/>
      <c r="Y378" s="1333"/>
      <c r="Z378" s="1333"/>
      <c r="AA378" s="1333"/>
      <c r="AB378" s="1333"/>
      <c r="AC378" s="1333"/>
      <c r="AD378" s="1333"/>
      <c r="AE378" s="1333"/>
      <c r="AF378" s="1333"/>
      <c r="AG378" s="1333"/>
      <c r="AH378" s="1333"/>
      <c r="AI378" s="1333"/>
      <c r="AJ378" s="1333"/>
    </row>
    <row r="379" spans="1:48" x14ac:dyDescent="0.25">
      <c r="A379" s="1462"/>
      <c r="B379" s="125"/>
      <c r="C379" s="944"/>
      <c r="D379" s="411"/>
      <c r="E379" s="499"/>
      <c r="F379" s="466"/>
      <c r="G379" s="794" t="str">
        <f>IF('C-Design&amp;Const'!$I379="","",'C-Design&amp;Const'!$I379)</f>
        <v>N</v>
      </c>
      <c r="H379" s="1016" t="str">
        <f>CONCATENATE(IF(G379="N","PLACEHOLDER ROW - ",""),'C-Design&amp;Const'!Z379,IF(F379="N","",J379))</f>
        <v xml:space="preserve">PLACEHOLDER ROW - Typical pin out details </v>
      </c>
      <c r="I379" s="136"/>
      <c r="J379" s="578" t="str">
        <f>IF('C-Design&amp;Const'!AE379="","",'C-Design&amp;Const'!AE379)</f>
        <v/>
      </c>
      <c r="K379" s="246" t="str">
        <f t="shared" si="33"/>
        <v/>
      </c>
      <c r="L379" s="1410" t="str">
        <f t="shared" si="33"/>
        <v>&lt;---PM/Planner may hide PLACEHOLDER ROW</v>
      </c>
      <c r="M379" s="1333"/>
      <c r="N379" s="1333"/>
      <c r="O379" s="1382"/>
      <c r="P379" s="1333"/>
      <c r="Q379" s="1453"/>
      <c r="R379" s="1284"/>
      <c r="S379" s="1284"/>
      <c r="T379" s="1333"/>
      <c r="U379" s="1333"/>
      <c r="V379" s="1333"/>
      <c r="W379" s="1333"/>
      <c r="X379" s="1333"/>
      <c r="Y379" s="1333"/>
      <c r="Z379" s="1333"/>
      <c r="AA379" s="1333"/>
      <c r="AB379" s="1333"/>
      <c r="AC379" s="1333"/>
      <c r="AD379" s="1333"/>
      <c r="AE379" s="1333"/>
      <c r="AF379" s="1333"/>
      <c r="AG379" s="1333"/>
      <c r="AH379" s="1333"/>
      <c r="AI379" s="1333"/>
      <c r="AJ379" s="1333"/>
    </row>
    <row r="380" spans="1:48" ht="15.75" customHeight="1" x14ac:dyDescent="0.25">
      <c r="A380" s="1462"/>
      <c r="B380" s="125"/>
      <c r="C380" s="944"/>
      <c r="D380" s="411"/>
      <c r="E380" s="499"/>
      <c r="F380" s="466"/>
      <c r="G380" s="844" t="str">
        <f>IF('C-Design&amp;Const'!$I380="","",'C-Design&amp;Const'!$I380)</f>
        <v>N</v>
      </c>
      <c r="H380" s="469" t="str">
        <f>CONCATENATE(IF(G380="N","PLACEHOLDER ROW - ",""),'C-Design&amp;Const'!Z380,IF(F380="N","",J380))</f>
        <v xml:space="preserve">PLACEHOLDER ROW - Video Security System – Approved Camera Locations </v>
      </c>
      <c r="I380" s="136"/>
      <c r="J380" s="578" t="str">
        <f>IF('C-Design&amp;Const'!AE380="","",'C-Design&amp;Const'!AE380)</f>
        <v/>
      </c>
      <c r="K380" s="246" t="str">
        <f t="shared" si="33"/>
        <v/>
      </c>
      <c r="L380" s="1410" t="str">
        <f t="shared" si="33"/>
        <v>&lt;---PM/Planner may hide PLACEHOLDER ROW</v>
      </c>
      <c r="M380" s="1333"/>
      <c r="N380" s="1333"/>
      <c r="O380" s="1382"/>
      <c r="P380" s="1333"/>
      <c r="Q380" s="1453"/>
      <c r="R380" s="1284"/>
      <c r="S380" s="1284"/>
      <c r="T380" s="1333"/>
      <c r="U380" s="1333"/>
      <c r="V380" s="1333"/>
      <c r="W380" s="1333"/>
      <c r="X380" s="1333"/>
      <c r="Y380" s="1333"/>
      <c r="Z380" s="1333"/>
      <c r="AA380" s="1333"/>
      <c r="AB380" s="1333"/>
      <c r="AC380" s="1333"/>
      <c r="AD380" s="1333"/>
      <c r="AE380" s="1333"/>
      <c r="AF380" s="1333"/>
      <c r="AG380" s="1333"/>
      <c r="AH380" s="1333"/>
      <c r="AI380" s="1333"/>
      <c r="AJ380" s="1333"/>
    </row>
    <row r="381" spans="1:48" ht="15.75" x14ac:dyDescent="0.25">
      <c r="A381" s="1462"/>
      <c r="B381" s="125"/>
      <c r="C381" s="944"/>
      <c r="D381" s="488"/>
      <c r="E381" s="411"/>
      <c r="F381" s="321"/>
      <c r="G381" s="294"/>
      <c r="H381" s="296"/>
      <c r="I381" s="130"/>
      <c r="J381" s="578" t="str">
        <f>IF('C-Design&amp;Const'!AE381="","",'C-Design&amp;Const'!AE381)</f>
        <v/>
      </c>
      <c r="K381" s="246" t="str">
        <f t="shared" si="33"/>
        <v/>
      </c>
      <c r="L381" s="1410" t="str">
        <f t="shared" si="33"/>
        <v/>
      </c>
      <c r="M381" s="1333"/>
      <c r="N381" s="1333"/>
      <c r="O381" s="1333"/>
      <c r="P381" s="1333"/>
      <c r="Q381" s="1456"/>
      <c r="R381" s="1284"/>
      <c r="S381" s="1284"/>
      <c r="T381" s="1333"/>
      <c r="U381" s="1333"/>
      <c r="V381" s="1333"/>
      <c r="W381" s="1333"/>
      <c r="X381" s="1333"/>
      <c r="Y381" s="1333"/>
      <c r="Z381" s="1333"/>
      <c r="AA381" s="1333"/>
      <c r="AB381" s="1333"/>
      <c r="AC381" s="1333"/>
      <c r="AD381" s="1333"/>
      <c r="AE381" s="1333"/>
      <c r="AF381" s="1333"/>
      <c r="AG381" s="1333"/>
      <c r="AH381" s="1333"/>
      <c r="AI381" s="1333"/>
      <c r="AJ381" s="1333"/>
    </row>
    <row r="382" spans="1:48" ht="18.75" x14ac:dyDescent="0.25">
      <c r="A382" s="1462" t="str">
        <f>'C-Design&amp;Const'!J382</f>
        <v>N</v>
      </c>
      <c r="B382" s="125"/>
      <c r="C382" s="944"/>
      <c r="D382" s="359" t="str">
        <f>IF('C-Design&amp;Const'!$I382="","",'C-Design&amp;Const'!$I382)</f>
        <v>N</v>
      </c>
      <c r="E382" s="234"/>
      <c r="F382" s="444"/>
      <c r="G382" s="173" t="str">
        <f>IF('C-Design&amp;Const'!Y382="","",'C-Design&amp;Const'!Y382)</f>
        <v>07b.</v>
      </c>
      <c r="H382" s="115" t="str">
        <f>CONCATENATE('C-Design&amp;Const'!Z382,IF(Applies_BIM_SD="N"," Not Used In This Design Phase",J382))</f>
        <v>Building Information Model (BIM) Not Used In This Design Phase</v>
      </c>
      <c r="I382" s="133"/>
      <c r="J382" s="578" t="str">
        <f>IF('C-Design&amp;Const'!AE382="","",'C-Design&amp;Const'!AE382)</f>
        <v xml:space="preserve"> (LOD of 100)</v>
      </c>
      <c r="K382" s="246" t="str">
        <f t="shared" si="33"/>
        <v/>
      </c>
      <c r="L382" s="1410" t="str">
        <f t="shared" si="33"/>
        <v/>
      </c>
      <c r="M382" s="1333"/>
      <c r="N382" s="1333"/>
      <c r="O382" s="1333"/>
      <c r="P382" s="1333"/>
      <c r="Q382" s="1444"/>
      <c r="R382" s="1445"/>
      <c r="S382" s="1284"/>
      <c r="T382" s="1333"/>
      <c r="U382" s="1333"/>
      <c r="V382" s="1333"/>
      <c r="W382" s="1333"/>
      <c r="X382" s="1333"/>
      <c r="Y382" s="1333"/>
      <c r="Z382" s="1333"/>
      <c r="AA382" s="1333"/>
      <c r="AB382" s="1333"/>
      <c r="AC382" s="1333"/>
      <c r="AD382" s="1333"/>
      <c r="AE382" s="1333"/>
      <c r="AF382" s="1333"/>
      <c r="AG382" s="1333"/>
      <c r="AH382" s="1333"/>
      <c r="AI382" s="1333"/>
      <c r="AJ382" s="1333"/>
    </row>
    <row r="383" spans="1:48" x14ac:dyDescent="0.25">
      <c r="A383" s="1462"/>
      <c r="B383" s="125"/>
      <c r="C383" s="944"/>
      <c r="D383" s="321"/>
      <c r="E383" s="321"/>
      <c r="F383" s="321"/>
      <c r="G383" s="294"/>
      <c r="H383" s="296"/>
      <c r="I383" s="130"/>
      <c r="J383" s="578" t="str">
        <f>IF('C-Design&amp;Const'!AE383="","",'C-Design&amp;Const'!AE383)</f>
        <v/>
      </c>
      <c r="K383" s="246" t="str">
        <f t="shared" si="33"/>
        <v/>
      </c>
      <c r="L383" s="1410" t="str">
        <f t="shared" si="33"/>
        <v/>
      </c>
      <c r="M383" s="1333"/>
      <c r="N383" s="1333"/>
      <c r="O383" s="1333"/>
      <c r="P383" s="1333"/>
      <c r="Q383" s="1446"/>
      <c r="R383" s="1284"/>
      <c r="S383" s="1284"/>
      <c r="T383" s="1333"/>
      <c r="U383" s="1333"/>
      <c r="V383" s="1333"/>
      <c r="W383" s="1333"/>
      <c r="X383" s="1333"/>
      <c r="Y383" s="1333"/>
      <c r="Z383" s="1333"/>
      <c r="AA383" s="1333"/>
      <c r="AB383" s="1333"/>
      <c r="AC383" s="1333"/>
      <c r="AD383" s="1333"/>
      <c r="AE383" s="1333"/>
      <c r="AF383" s="1333"/>
      <c r="AG383" s="1333"/>
      <c r="AH383" s="1333"/>
      <c r="AI383" s="1333"/>
      <c r="AJ383" s="1333"/>
    </row>
    <row r="384" spans="1:48" ht="15.75" x14ac:dyDescent="0.25">
      <c r="A384" s="1462"/>
      <c r="B384" s="125"/>
      <c r="C384" s="2289" t="str">
        <f>IF(BOT_project="No","Presentations beyond ARC may not applicable for this non-Board of Trustees approval project","Presentations beyond ARC are only applicable for Board of Trustee approval projects")</f>
        <v>Presentations beyond ARC are only applicable for Board of Trustee approval projects</v>
      </c>
      <c r="D384" s="2290"/>
      <c r="E384" s="2290"/>
      <c r="F384" s="2290"/>
      <c r="G384" s="2290"/>
      <c r="H384" s="2290"/>
      <c r="I384" s="130"/>
      <c r="J384" s="578" t="str">
        <f>IF('C-Design&amp;Const'!AE384="","",'C-Design&amp;Const'!AE384)</f>
        <v/>
      </c>
      <c r="K384" s="246" t="str">
        <f t="shared" si="33"/>
        <v/>
      </c>
      <c r="L384" s="1410" t="str">
        <f t="shared" si="33"/>
        <v/>
      </c>
      <c r="M384" s="1333"/>
      <c r="N384" s="1333"/>
      <c r="O384" s="1333"/>
      <c r="P384" s="1333"/>
      <c r="Q384" s="1446"/>
      <c r="R384" s="1284"/>
      <c r="S384" s="1284"/>
      <c r="T384" s="1333"/>
      <c r="U384" s="1333"/>
      <c r="V384" s="1333"/>
      <c r="W384" s="1333"/>
      <c r="X384" s="1333"/>
      <c r="Y384" s="1333"/>
      <c r="Z384" s="1333"/>
      <c r="AA384" s="1333"/>
      <c r="AB384" s="1333"/>
      <c r="AC384" s="1333"/>
      <c r="AD384" s="1333"/>
      <c r="AE384" s="1333"/>
      <c r="AF384" s="1333"/>
      <c r="AG384" s="1333"/>
      <c r="AH384" s="1333"/>
      <c r="AI384" s="1333"/>
      <c r="AJ384" s="1333"/>
    </row>
    <row r="385" spans="1:36" ht="18.75" x14ac:dyDescent="0.25">
      <c r="A385" s="1462" t="str">
        <f>'C-Design&amp;Const'!J385</f>
        <v>Y</v>
      </c>
      <c r="B385" s="125"/>
      <c r="C385" s="944"/>
      <c r="D385" s="359" t="str">
        <f>IF('C-Design&amp;Const'!$I385="","",'C-Design&amp;Const'!$I385)</f>
        <v>Y</v>
      </c>
      <c r="E385" s="234"/>
      <c r="F385" s="444"/>
      <c r="G385" s="173" t="str">
        <f>IF('C-Design&amp;Const'!Y385="","",'C-Design&amp;Const'!Y385)</f>
        <v>08a.</v>
      </c>
      <c r="H385" s="115" t="str">
        <f>CONCATENATE('C-Design&amp;Const'!Z385,IF(Applies_Presentation_SD="N"," Not Used In This Design Phase",J385))</f>
        <v>Design Presentationto Architectural Review Committee (ARC)</v>
      </c>
      <c r="I385" s="133"/>
      <c r="J385" s="578" t="str">
        <f>IF('C-Design&amp;Const'!AE385="","",'C-Design&amp;Const'!AE385)</f>
        <v>to Architectural Review Committee (ARC)</v>
      </c>
      <c r="K385" s="246" t="str">
        <f t="shared" si="33"/>
        <v/>
      </c>
      <c r="L385" s="1410" t="str">
        <f t="shared" si="33"/>
        <v/>
      </c>
      <c r="M385" s="1333"/>
      <c r="N385" s="1333"/>
      <c r="O385" s="1333"/>
      <c r="P385" s="1333"/>
      <c r="Q385" s="1446"/>
      <c r="R385" s="1445"/>
      <c r="S385" s="1458"/>
      <c r="T385" s="1333"/>
      <c r="U385" s="1333"/>
      <c r="V385" s="1333"/>
      <c r="W385" s="1333"/>
      <c r="X385" s="1333"/>
      <c r="Y385" s="1333"/>
      <c r="Z385" s="1333"/>
      <c r="AA385" s="1333"/>
      <c r="AB385" s="1333"/>
      <c r="AC385" s="1333"/>
      <c r="AD385" s="1333"/>
      <c r="AE385" s="1333"/>
      <c r="AF385" s="1333"/>
      <c r="AG385" s="1333"/>
      <c r="AH385" s="1333"/>
      <c r="AI385" s="1333"/>
      <c r="AJ385" s="1333"/>
    </row>
    <row r="386" spans="1:36" x14ac:dyDescent="0.25">
      <c r="A386" s="1462"/>
      <c r="B386" s="125"/>
      <c r="C386" s="944"/>
      <c r="D386" s="321"/>
      <c r="E386" s="559" t="str">
        <f>IF('C-Design&amp;Const'!$I386="","",'C-Design&amp;Const'!$I386)</f>
        <v>Y</v>
      </c>
      <c r="F386" s="478"/>
      <c r="G386" s="485"/>
      <c r="H386" s="238" t="str">
        <f>CONCATENATE(IF(E386="N","PLACEHOLDER ROW - ",""),IF(E386="N","",J386),'C-Design&amp;Const'!Z386,)</f>
        <v xml:space="preserve">Overall Campus Map next to zoomed in aerial image map </v>
      </c>
      <c r="I386" s="135"/>
      <c r="J386" s="578" t="str">
        <f>IF('C-Design&amp;Const'!AE386="","",'C-Design&amp;Const'!AE386)</f>
        <v/>
      </c>
      <c r="K386" s="246" t="str">
        <f t="shared" si="33"/>
        <v/>
      </c>
      <c r="L386" s="1410" t="str">
        <f t="shared" si="33"/>
        <v/>
      </c>
      <c r="M386" s="1333"/>
      <c r="N386" s="1333"/>
      <c r="O386" s="1333"/>
      <c r="P386" s="1333"/>
      <c r="Q386" s="1446"/>
      <c r="R386" s="1284"/>
      <c r="S386" s="1284"/>
      <c r="T386" s="1333"/>
      <c r="U386" s="1333"/>
      <c r="V386" s="1333"/>
      <c r="W386" s="1333"/>
      <c r="X386" s="1333"/>
      <c r="Y386" s="1333"/>
      <c r="Z386" s="1333"/>
      <c r="AA386" s="1333"/>
      <c r="AB386" s="1333"/>
      <c r="AC386" s="1333"/>
      <c r="AD386" s="1333"/>
      <c r="AE386" s="1333"/>
      <c r="AF386" s="1333"/>
      <c r="AG386" s="1333"/>
      <c r="AH386" s="1333"/>
      <c r="AI386" s="1333"/>
      <c r="AJ386" s="1333"/>
    </row>
    <row r="387" spans="1:36" x14ac:dyDescent="0.25">
      <c r="A387" s="1462"/>
      <c r="B387" s="125"/>
      <c r="C387" s="944"/>
      <c r="D387" s="321"/>
      <c r="E387" s="559" t="str">
        <f>IF('C-Design&amp;Const'!$I387="","",'C-Design&amp;Const'!$I387)</f>
        <v>Y</v>
      </c>
      <c r="F387" s="478"/>
      <c r="G387" s="485"/>
      <c r="H387" s="238" t="str">
        <f>CONCATENATE(IF(E387="N","PLACEHOLDER ROW - ",""),IF(E387="N","",J387),'C-Design&amp;Const'!Z387,)</f>
        <v>Building Footprint on Master Plan</v>
      </c>
      <c r="I387" s="135"/>
      <c r="J387" s="578" t="str">
        <f>IF('C-Design&amp;Const'!AE387="","",'C-Design&amp;Const'!AE387)</f>
        <v/>
      </c>
      <c r="K387" s="246" t="str">
        <f t="shared" si="33"/>
        <v/>
      </c>
      <c r="L387" s="1410" t="str">
        <f t="shared" si="33"/>
        <v/>
      </c>
      <c r="M387" s="1333"/>
      <c r="N387" s="1333"/>
      <c r="O387" s="1333"/>
      <c r="P387" s="1333"/>
      <c r="Q387" s="1446"/>
      <c r="R387" s="1284"/>
      <c r="S387" s="1284"/>
      <c r="T387" s="1333"/>
      <c r="U387" s="1333"/>
      <c r="V387" s="1333"/>
      <c r="W387" s="1333"/>
      <c r="X387" s="1333"/>
      <c r="Y387" s="1333"/>
      <c r="Z387" s="1333"/>
      <c r="AA387" s="1333"/>
      <c r="AB387" s="1333"/>
      <c r="AC387" s="1333"/>
      <c r="AD387" s="1333"/>
      <c r="AE387" s="1333"/>
      <c r="AF387" s="1333"/>
      <c r="AG387" s="1333"/>
      <c r="AH387" s="1333"/>
      <c r="AI387" s="1333"/>
      <c r="AJ387" s="1333"/>
    </row>
    <row r="388" spans="1:36" x14ac:dyDescent="0.25">
      <c r="A388" s="1462"/>
      <c r="B388" s="125"/>
      <c r="C388" s="944"/>
      <c r="D388" s="321"/>
      <c r="E388" s="559" t="str">
        <f>IF('C-Design&amp;Const'!$I388="","",'C-Design&amp;Const'!$I388)</f>
        <v>Y</v>
      </c>
      <c r="F388" s="478"/>
      <c r="G388" s="485"/>
      <c r="H388" s="238" t="str">
        <f>CONCATENATE(IF(E388="N","PLACEHOLDER ROW - ",""),IF(E388="N","",J388),'C-Design&amp;Const'!Z388,)</f>
        <v>**Bullet Points of Major Project Goals &amp; Objectives, New GSF, Renovated GSF, Demolished GSF</v>
      </c>
      <c r="I388" s="135"/>
      <c r="J388" s="578" t="str">
        <f>IF('C-Design&amp;Const'!AE388="","",'C-Design&amp;Const'!AE388)</f>
        <v/>
      </c>
      <c r="K388" s="246" t="str">
        <f t="shared" si="33"/>
        <v/>
      </c>
      <c r="L388" s="1410" t="str">
        <f t="shared" si="33"/>
        <v/>
      </c>
      <c r="M388" s="1333"/>
      <c r="N388" s="1333"/>
      <c r="O388" s="1333"/>
      <c r="P388" s="1333"/>
      <c r="Q388" s="1446"/>
      <c r="R388" s="1284"/>
      <c r="S388" s="1284"/>
      <c r="T388" s="1333"/>
      <c r="U388" s="1333"/>
      <c r="V388" s="1333"/>
      <c r="W388" s="1333"/>
      <c r="X388" s="1333"/>
      <c r="Y388" s="1333"/>
      <c r="Z388" s="1333"/>
      <c r="AA388" s="1333"/>
      <c r="AB388" s="1333"/>
      <c r="AC388" s="1333"/>
      <c r="AD388" s="1333"/>
      <c r="AE388" s="1333"/>
      <c r="AF388" s="1333"/>
      <c r="AG388" s="1333"/>
      <c r="AH388" s="1333"/>
      <c r="AI388" s="1333"/>
      <c r="AJ388" s="1333"/>
    </row>
    <row r="389" spans="1:36" x14ac:dyDescent="0.25">
      <c r="A389" s="1462"/>
      <c r="B389" s="125"/>
      <c r="C389" s="944"/>
      <c r="D389" s="321"/>
      <c r="E389" s="559" t="str">
        <f>IF('C-Design&amp;Const'!$I389="","",'C-Design&amp;Const'!$I389)</f>
        <v>Y</v>
      </c>
      <c r="F389" s="478"/>
      <c r="G389" s="485"/>
      <c r="H389" s="238" t="str">
        <f>CONCATENATE(IF(E389="N","PLACEHOLDER ROW - ",""),IF(E389="N","",J389),'C-Design&amp;Const'!Z389,)</f>
        <v>**Overall Construction Budget, Construction Begin &amp; End</v>
      </c>
      <c r="I389" s="135"/>
      <c r="J389" s="578" t="str">
        <f>IF('C-Design&amp;Const'!AE389="","",'C-Design&amp;Const'!AE389)</f>
        <v/>
      </c>
      <c r="K389" s="246" t="str">
        <f t="shared" si="33"/>
        <v/>
      </c>
      <c r="L389" s="1410" t="str">
        <f t="shared" si="33"/>
        <v/>
      </c>
      <c r="M389" s="1333"/>
      <c r="N389" s="1333"/>
      <c r="O389" s="1333"/>
      <c r="P389" s="1333"/>
      <c r="Q389" s="1446"/>
      <c r="R389" s="1284"/>
      <c r="S389" s="1284"/>
      <c r="T389" s="1333"/>
      <c r="U389" s="1333"/>
      <c r="V389" s="1333"/>
      <c r="W389" s="1333"/>
      <c r="X389" s="1333"/>
      <c r="Y389" s="1333"/>
      <c r="Z389" s="1333"/>
      <c r="AA389" s="1333"/>
      <c r="AB389" s="1333"/>
      <c r="AC389" s="1333"/>
      <c r="AD389" s="1333"/>
      <c r="AE389" s="1333"/>
      <c r="AF389" s="1333"/>
      <c r="AG389" s="1333"/>
      <c r="AH389" s="1333"/>
      <c r="AI389" s="1333"/>
      <c r="AJ389" s="1333"/>
    </row>
    <row r="390" spans="1:36" x14ac:dyDescent="0.25">
      <c r="A390" s="1462"/>
      <c r="B390" s="125"/>
      <c r="C390" s="944"/>
      <c r="D390" s="321"/>
      <c r="E390" s="559" t="str">
        <f>IF('C-Design&amp;Const'!$I390="","",'C-Design&amp;Const'!$I390)</f>
        <v>Y</v>
      </c>
      <c r="F390" s="478"/>
      <c r="G390" s="485"/>
      <c r="H390" s="238" t="str">
        <f>CONCATENATE(IF(E390="N","PLACEHOLDER ROW - ",""),IF(E390="N","",J390),'C-Design&amp;Const'!Z390,)</f>
        <v>**LEED Goal (and LEED Project Checklist - for client presentations only)</v>
      </c>
      <c r="I390" s="135"/>
      <c r="J390" s="578" t="str">
        <f>IF('C-Design&amp;Const'!AE390="","",'C-Design&amp;Const'!AE390)</f>
        <v/>
      </c>
      <c r="K390" s="246" t="str">
        <f t="shared" si="33"/>
        <v/>
      </c>
      <c r="L390" s="1410" t="str">
        <f t="shared" si="33"/>
        <v/>
      </c>
      <c r="M390" s="1333"/>
      <c r="N390" s="1333"/>
      <c r="O390" s="1333"/>
      <c r="P390" s="1333"/>
      <c r="Q390" s="1446"/>
      <c r="R390" s="1284"/>
      <c r="S390" s="1284"/>
      <c r="T390" s="1333"/>
      <c r="U390" s="1333"/>
      <c r="V390" s="1333"/>
      <c r="W390" s="1333"/>
      <c r="X390" s="1333"/>
      <c r="Y390" s="1333"/>
      <c r="Z390" s="1333"/>
      <c r="AA390" s="1333"/>
      <c r="AB390" s="1333"/>
      <c r="AC390" s="1333"/>
      <c r="AD390" s="1333"/>
      <c r="AE390" s="1333"/>
      <c r="AF390" s="1333"/>
      <c r="AG390" s="1333"/>
      <c r="AH390" s="1333"/>
      <c r="AI390" s="1333"/>
      <c r="AJ390" s="1333"/>
    </row>
    <row r="391" spans="1:36" x14ac:dyDescent="0.25">
      <c r="A391" s="1462"/>
      <c r="B391" s="125"/>
      <c r="C391" s="944"/>
      <c r="D391" s="321"/>
      <c r="E391" s="559" t="str">
        <f>IF('C-Design&amp;Const'!$I391="","",'C-Design&amp;Const'!$I391)</f>
        <v>Y</v>
      </c>
      <c r="F391" s="478"/>
      <c r="G391" s="485"/>
      <c r="H391" s="238" t="str">
        <f>CONCATENATE(IF(E391="N","PLACEHOLDER ROW - ",""),IF(E391="N","",J391),'C-Design&amp;Const'!Z391,)</f>
        <v>Proposed combined Site / Landscape Plan</v>
      </c>
      <c r="I391" s="135"/>
      <c r="J391" s="578" t="str">
        <f>IF('C-Design&amp;Const'!AE391="","",'C-Design&amp;Const'!AE391)</f>
        <v/>
      </c>
      <c r="K391" s="246" t="str">
        <f t="shared" si="33"/>
        <v/>
      </c>
      <c r="L391" s="1410" t="str">
        <f t="shared" si="33"/>
        <v/>
      </c>
      <c r="M391" s="1333"/>
      <c r="N391" s="1333"/>
      <c r="O391" s="1333"/>
      <c r="P391" s="1333"/>
      <c r="Q391" s="1446"/>
      <c r="R391" s="1284"/>
      <c r="S391" s="1284"/>
      <c r="T391" s="1333"/>
      <c r="U391" s="1333"/>
      <c r="V391" s="1333"/>
      <c r="W391" s="1333"/>
      <c r="X391" s="1333"/>
      <c r="Y391" s="1333"/>
      <c r="Z391" s="1333"/>
      <c r="AA391" s="1333"/>
      <c r="AB391" s="1333"/>
      <c r="AC391" s="1333"/>
      <c r="AD391" s="1333"/>
      <c r="AE391" s="1333"/>
      <c r="AF391" s="1333"/>
      <c r="AG391" s="1333"/>
      <c r="AH391" s="1333"/>
      <c r="AI391" s="1333"/>
      <c r="AJ391" s="1333"/>
    </row>
    <row r="392" spans="1:36" x14ac:dyDescent="0.25">
      <c r="A392" s="1462"/>
      <c r="B392" s="125"/>
      <c r="C392" s="944"/>
      <c r="D392" s="321"/>
      <c r="E392" s="559" t="str">
        <f>IF('C-Design&amp;Const'!$I392="","",'C-Design&amp;Const'!$I392)</f>
        <v>Y</v>
      </c>
      <c r="F392" s="478"/>
      <c r="G392" s="485"/>
      <c r="H392" s="238" t="str">
        <f>CONCATENATE(IF(E392="N","PLACEHOLDER ROW - ",""),IF(E392="N","",J392),'C-Design&amp;Const'!Z392,)</f>
        <v xml:space="preserve">Massing or Renderings of </v>
      </c>
      <c r="I392" s="135"/>
      <c r="J392" s="578" t="str">
        <f>IF('C-Design&amp;Const'!AE392="","",'C-Design&amp;Const'!AE392)</f>
        <v/>
      </c>
      <c r="K392" s="246" t="str">
        <f t="shared" ref="K392:L394" si="39">CONCATENATE(IF(ISNUMBER(SEARCH("Placeholder",G392))=TRUE,"&lt;---PM/Planner may hide PLACEHOLDER ROW",""))</f>
        <v/>
      </c>
      <c r="L392" s="1410" t="str">
        <f t="shared" si="39"/>
        <v/>
      </c>
      <c r="M392" s="1333"/>
      <c r="N392" s="1333"/>
      <c r="O392" s="1333"/>
      <c r="P392" s="1333"/>
      <c r="Q392" s="1446"/>
      <c r="R392" s="1284"/>
      <c r="S392" s="1284"/>
      <c r="T392" s="1333"/>
      <c r="U392" s="1333"/>
      <c r="V392" s="1333"/>
      <c r="W392" s="1333"/>
      <c r="X392" s="1333"/>
      <c r="Y392" s="1333"/>
      <c r="Z392" s="1333"/>
      <c r="AA392" s="1333"/>
      <c r="AB392" s="1333"/>
      <c r="AC392" s="1333"/>
      <c r="AD392" s="1333"/>
      <c r="AE392" s="1333"/>
      <c r="AF392" s="1333"/>
      <c r="AG392" s="1333"/>
      <c r="AH392" s="1333"/>
      <c r="AI392" s="1333"/>
      <c r="AJ392" s="1333"/>
    </row>
    <row r="393" spans="1:36" x14ac:dyDescent="0.25">
      <c r="A393" s="1462"/>
      <c r="B393" s="125"/>
      <c r="C393" s="944"/>
      <c r="D393" s="321"/>
      <c r="E393" s="321"/>
      <c r="F393" s="559" t="str">
        <f>IF('C-Design&amp;Const'!$I393="","",'C-Design&amp;Const'!$I393)</f>
        <v>Y</v>
      </c>
      <c r="G393" s="485"/>
      <c r="H393" s="504" t="str">
        <f>CONCATENATE(IF(E393="N","PLACEHOLDER ROW - ",""),IF(E393="N","",J393),'C-Design&amp;Const'!Z393,)</f>
        <v>All Exterior Elevations with materials identified</v>
      </c>
      <c r="I393" s="135"/>
      <c r="J393" s="578" t="str">
        <f>IF('C-Design&amp;Const'!AE393="","",'C-Design&amp;Const'!AE393)</f>
        <v/>
      </c>
      <c r="K393" s="246" t="str">
        <f t="shared" si="39"/>
        <v/>
      </c>
      <c r="L393" s="1410" t="str">
        <f t="shared" si="39"/>
        <v/>
      </c>
      <c r="M393" s="1333"/>
      <c r="N393" s="1333"/>
      <c r="O393" s="1333"/>
      <c r="P393" s="1333"/>
      <c r="Q393" s="1446"/>
      <c r="R393" s="1284"/>
      <c r="S393" s="1284"/>
      <c r="T393" s="1333"/>
      <c r="U393" s="1333"/>
      <c r="V393" s="1333"/>
      <c r="W393" s="1333"/>
      <c r="X393" s="1333"/>
      <c r="Y393" s="1333"/>
      <c r="Z393" s="1333"/>
      <c r="AA393" s="1333"/>
      <c r="AB393" s="1333"/>
      <c r="AC393" s="1333"/>
      <c r="AD393" s="1333"/>
      <c r="AE393" s="1333"/>
      <c r="AF393" s="1333"/>
      <c r="AG393" s="1333"/>
      <c r="AH393" s="1333"/>
      <c r="AI393" s="1333"/>
      <c r="AJ393" s="1333"/>
    </row>
    <row r="394" spans="1:36" ht="28.5" x14ac:dyDescent="0.25">
      <c r="A394" s="1462"/>
      <c r="B394" s="125"/>
      <c r="C394" s="944"/>
      <c r="D394" s="321"/>
      <c r="E394" s="321"/>
      <c r="F394" s="559" t="str">
        <f>IF('C-Design&amp;Const'!$I394="","",'C-Design&amp;Const'!$I394)</f>
        <v>Y</v>
      </c>
      <c r="G394" s="485"/>
      <c r="H394" s="504" t="str">
        <f>CONCATENATE(IF(E394="N","PLACEHOLDER ROW - ",""),IF(E394="N","",J394),'C-Design&amp;Const'!Z394,)</f>
        <v>All major public spaces (entrances, galleries, auditoriums, lecture halls, etc…) with materials identified</v>
      </c>
      <c r="I394" s="135"/>
      <c r="J394" s="578" t="str">
        <f>IF('C-Design&amp;Const'!AE394="","",'C-Design&amp;Const'!AE394)</f>
        <v/>
      </c>
      <c r="K394" s="246" t="str">
        <f t="shared" si="39"/>
        <v/>
      </c>
      <c r="L394" s="1410" t="str">
        <f t="shared" si="39"/>
        <v/>
      </c>
      <c r="M394" s="1333"/>
      <c r="N394" s="1333"/>
      <c r="O394" s="1333"/>
      <c r="P394" s="1333"/>
      <c r="Q394" s="1446"/>
      <c r="R394" s="1284"/>
      <c r="S394" s="1284"/>
      <c r="T394" s="1333"/>
      <c r="U394" s="1333"/>
      <c r="V394" s="1333"/>
      <c r="W394" s="1333"/>
      <c r="X394" s="1333"/>
      <c r="Y394" s="1333"/>
      <c r="Z394" s="1333"/>
      <c r="AA394" s="1333"/>
      <c r="AB394" s="1333"/>
      <c r="AC394" s="1333"/>
      <c r="AD394" s="1333"/>
      <c r="AE394" s="1333"/>
      <c r="AF394" s="1333"/>
      <c r="AG394" s="1333"/>
      <c r="AH394" s="1333"/>
      <c r="AI394" s="1333"/>
      <c r="AJ394" s="1333"/>
    </row>
    <row r="395" spans="1:36" x14ac:dyDescent="0.25">
      <c r="A395" s="1462"/>
      <c r="B395" s="125"/>
      <c r="C395" s="944"/>
      <c r="D395" s="321"/>
      <c r="E395" s="559" t="str">
        <f>IF('C-Design&amp;Const'!$I395="","",'C-Design&amp;Const'!$I395)</f>
        <v>Y</v>
      </c>
      <c r="F395" s="478"/>
      <c r="G395" s="485"/>
      <c r="H395" s="238" t="str">
        <f>CONCATENATE(IF(E395="N","PLACEHOLDER ROW - ",""),IF(E395="N","",J395),'C-Design&amp;Const'!Z395,)</f>
        <v>Stacked Floor Plans with space types show by color (include key)</v>
      </c>
      <c r="I395" s="135"/>
      <c r="J395" s="578" t="str">
        <f>IF('C-Design&amp;Const'!AE395="","",'C-Design&amp;Const'!AE395)</f>
        <v/>
      </c>
      <c r="K395" s="246" t="str">
        <f t="shared" si="33"/>
        <v/>
      </c>
      <c r="L395" s="1410" t="str">
        <f t="shared" si="33"/>
        <v/>
      </c>
      <c r="M395" s="1333"/>
      <c r="N395" s="1333"/>
      <c r="O395" s="1333"/>
      <c r="P395" s="1333"/>
      <c r="Q395" s="1446"/>
      <c r="R395" s="1284"/>
      <c r="S395" s="1284"/>
      <c r="T395" s="1333"/>
      <c r="U395" s="1333"/>
      <c r="V395" s="1333"/>
      <c r="W395" s="1333"/>
      <c r="X395" s="1333"/>
      <c r="Y395" s="1333"/>
      <c r="Z395" s="1333"/>
      <c r="AA395" s="1333"/>
      <c r="AB395" s="1333"/>
      <c r="AC395" s="1333"/>
      <c r="AD395" s="1333"/>
      <c r="AE395" s="1333"/>
      <c r="AF395" s="1333"/>
      <c r="AG395" s="1333"/>
      <c r="AH395" s="1333"/>
      <c r="AI395" s="1333"/>
      <c r="AJ395" s="1333"/>
    </row>
    <row r="396" spans="1:36" x14ac:dyDescent="0.25">
      <c r="A396" s="1462"/>
      <c r="B396" s="125"/>
      <c r="C396" s="944"/>
      <c r="D396" s="321"/>
      <c r="E396" s="559" t="str">
        <f>IF('C-Design&amp;Const'!$I396="","",'C-Design&amp;Const'!$I396)</f>
        <v>Y</v>
      </c>
      <c r="F396" s="478"/>
      <c r="G396" s="485"/>
      <c r="H396" s="238" t="str">
        <f>CONCATENATE(IF(E396="N","PLACEHOLDER ROW - ",""),IF(E396="N","",J396),'C-Design&amp;Const'!Z396,)</f>
        <v>Simple full building sections showing relative spaces and framing from floor to floor.</v>
      </c>
      <c r="I396" s="135"/>
      <c r="J396" s="578" t="str">
        <f>IF('C-Design&amp;Const'!AE396="","",'C-Design&amp;Const'!AE396)</f>
        <v/>
      </c>
      <c r="K396" s="246" t="str">
        <f t="shared" si="33"/>
        <v/>
      </c>
      <c r="L396" s="1410" t="str">
        <f t="shared" si="33"/>
        <v/>
      </c>
      <c r="M396" s="1333"/>
      <c r="N396" s="1333"/>
      <c r="O396" s="1333"/>
      <c r="P396" s="1333"/>
      <c r="Q396" s="1446"/>
      <c r="R396" s="1284"/>
      <c r="S396" s="1284"/>
      <c r="T396" s="1333"/>
      <c r="U396" s="1333"/>
      <c r="V396" s="1333"/>
      <c r="W396" s="1333"/>
      <c r="X396" s="1333"/>
      <c r="Y396" s="1333"/>
      <c r="Z396" s="1333"/>
      <c r="AA396" s="1333"/>
      <c r="AB396" s="1333"/>
      <c r="AC396" s="1333"/>
      <c r="AD396" s="1333"/>
      <c r="AE396" s="1333"/>
      <c r="AF396" s="1333"/>
      <c r="AG396" s="1333"/>
      <c r="AH396" s="1333"/>
      <c r="AI396" s="1333"/>
      <c r="AJ396" s="1333"/>
    </row>
    <row r="397" spans="1:36" x14ac:dyDescent="0.25">
      <c r="A397" s="1462"/>
      <c r="B397" s="125"/>
      <c r="C397" s="944"/>
      <c r="D397" s="321"/>
      <c r="E397" s="559" t="str">
        <f>IF('C-Design&amp;Const'!$I397="","",'C-Design&amp;Const'!$I397)</f>
        <v>Y</v>
      </c>
      <c r="F397" s="478"/>
      <c r="G397" s="485"/>
      <c r="H397" s="238" t="str">
        <f>CONCATENATE(IF(E397="N","PLACEHOLDER ROW - ",""),IF(E397="N","",J397),'C-Design&amp;Const'!Z397,)</f>
        <v>General Air Handling Unit Fan Maps (verify with PM if necessary)</v>
      </c>
      <c r="I397" s="135"/>
      <c r="J397" s="578" t="str">
        <f>IF('C-Design&amp;Const'!AE397="","",'C-Design&amp;Const'!AE397)</f>
        <v/>
      </c>
      <c r="K397" s="246" t="str">
        <f t="shared" si="33"/>
        <v/>
      </c>
      <c r="L397" s="1410" t="str">
        <f t="shared" si="33"/>
        <v/>
      </c>
      <c r="M397" s="1333"/>
      <c r="N397" s="1333"/>
      <c r="O397" s="1333"/>
      <c r="P397" s="1333"/>
      <c r="Q397" s="1446"/>
      <c r="R397" s="1284"/>
      <c r="S397" s="1284"/>
      <c r="T397" s="1333"/>
      <c r="U397" s="1333"/>
      <c r="V397" s="1333"/>
      <c r="W397" s="1333"/>
      <c r="X397" s="1333"/>
      <c r="Y397" s="1333"/>
      <c r="Z397" s="1333"/>
      <c r="AA397" s="1333"/>
      <c r="AB397" s="1333"/>
      <c r="AC397" s="1333"/>
      <c r="AD397" s="1333"/>
      <c r="AE397" s="1333"/>
      <c r="AF397" s="1333"/>
      <c r="AG397" s="1333"/>
      <c r="AH397" s="1333"/>
      <c r="AI397" s="1333"/>
      <c r="AJ397" s="1333"/>
    </row>
    <row r="398" spans="1:36" x14ac:dyDescent="0.25">
      <c r="A398" s="1462"/>
      <c r="B398" s="125"/>
      <c r="C398" s="944"/>
      <c r="D398" s="321"/>
      <c r="E398" s="559" t="str">
        <f>IF('C-Design&amp;Const'!$I398="","",'C-Design&amp;Const'!$I398)</f>
        <v>Y</v>
      </c>
      <c r="F398" s="478"/>
      <c r="G398" s="485"/>
      <c r="H398" s="238" t="str">
        <f>CONCATENATE(IF(E398="N","PLACEHOLDER ROW - ",""),IF(E398="N","",J398),'C-Design&amp;Const'!Z398,)</f>
        <v>Design Concept(s) Considered and Design Concept(s) Selected w/ Construction Budget</v>
      </c>
      <c r="I398" s="135"/>
      <c r="J398" s="578" t="str">
        <f>IF('C-Design&amp;Const'!AE398="","",'C-Design&amp;Const'!AE398)</f>
        <v/>
      </c>
      <c r="K398" s="246" t="str">
        <f t="shared" si="33"/>
        <v/>
      </c>
      <c r="L398" s="1410" t="str">
        <f t="shared" si="33"/>
        <v/>
      </c>
      <c r="M398" s="1333"/>
      <c r="N398" s="1333"/>
      <c r="O398" s="1333"/>
      <c r="P398" s="1333"/>
      <c r="Q398" s="1446"/>
      <c r="R398" s="1284"/>
      <c r="S398" s="1284"/>
      <c r="T398" s="1333"/>
      <c r="U398" s="1333"/>
      <c r="V398" s="1333"/>
      <c r="W398" s="1333"/>
      <c r="X398" s="1333"/>
      <c r="Y398" s="1333"/>
      <c r="Z398" s="1333"/>
      <c r="AA398" s="1333"/>
      <c r="AB398" s="1333"/>
      <c r="AC398" s="1333"/>
      <c r="AD398" s="1333"/>
      <c r="AE398" s="1333"/>
      <c r="AF398" s="1333"/>
      <c r="AG398" s="1333"/>
      <c r="AH398" s="1333"/>
      <c r="AI398" s="1333"/>
      <c r="AJ398" s="1333"/>
    </row>
    <row r="399" spans="1:36" x14ac:dyDescent="0.25">
      <c r="A399" s="1462"/>
      <c r="B399" s="125"/>
      <c r="C399" s="944"/>
      <c r="D399" s="321"/>
      <c r="E399" s="559" t="str">
        <f>IF('C-Design&amp;Const'!$I399="","",'C-Design&amp;Const'!$I399)</f>
        <v>N</v>
      </c>
      <c r="F399" s="478"/>
      <c r="G399" s="485"/>
      <c r="H399" s="238" t="str">
        <f>CONCATENATE(IF(E399="N","PLACEHOLDER ROW - ",""),IF(E399="N","",J399),'C-Design&amp;Const'!Z399,)</f>
        <v>PLACEHOLDER ROW - CUSTOM ROW - OPTIONAL CLIENT ITEM</v>
      </c>
      <c r="I399" s="135"/>
      <c r="J399" s="578" t="str">
        <f>IF('C-Design&amp;Const'!AE399="","",'C-Design&amp;Const'!AE399)</f>
        <v/>
      </c>
      <c r="K399" s="246" t="str">
        <f t="shared" si="33"/>
        <v/>
      </c>
      <c r="L399" s="1410" t="str">
        <f t="shared" si="33"/>
        <v>&lt;---PM/Planner may hide PLACEHOLDER ROW</v>
      </c>
      <c r="M399" s="1333"/>
      <c r="N399" s="1333"/>
      <c r="O399" s="1333"/>
      <c r="P399" s="1333"/>
      <c r="Q399" s="1446"/>
      <c r="R399" s="1284"/>
      <c r="S399" s="1284"/>
      <c r="T399" s="1333"/>
      <c r="U399" s="1333"/>
      <c r="V399" s="1333"/>
      <c r="W399" s="1333"/>
      <c r="X399" s="1333"/>
      <c r="Y399" s="1333"/>
      <c r="Z399" s="1333"/>
      <c r="AA399" s="1333"/>
      <c r="AB399" s="1333"/>
      <c r="AC399" s="1333"/>
      <c r="AD399" s="1333"/>
      <c r="AE399" s="1333"/>
      <c r="AF399" s="1333"/>
      <c r="AG399" s="1333"/>
      <c r="AH399" s="1333"/>
      <c r="AI399" s="1333"/>
      <c r="AJ399" s="1333"/>
    </row>
    <row r="400" spans="1:36" x14ac:dyDescent="0.25">
      <c r="A400" s="1462"/>
      <c r="B400" s="125"/>
      <c r="C400" s="944"/>
      <c r="D400" s="321"/>
      <c r="E400" s="559" t="str">
        <f>IF('C-Design&amp;Const'!$I400="","",'C-Design&amp;Const'!$I400)</f>
        <v>N</v>
      </c>
      <c r="F400" s="478"/>
      <c r="G400" s="485"/>
      <c r="H400" s="238" t="str">
        <f>CONCATENATE(IF(E400="N","PLACEHOLDER ROW - ",""),IF(E400="N","",J400),'C-Design&amp;Const'!Z400,)</f>
        <v>PLACEHOLDER ROW - CUSTOM ROW - OPTIONAL CLIENT ITEM</v>
      </c>
      <c r="I400" s="135"/>
      <c r="J400" s="578" t="str">
        <f>IF('C-Design&amp;Const'!AE400="","",'C-Design&amp;Const'!AE400)</f>
        <v/>
      </c>
      <c r="K400" s="246" t="str">
        <f t="shared" si="33"/>
        <v/>
      </c>
      <c r="L400" s="1410" t="str">
        <f t="shared" si="33"/>
        <v>&lt;---PM/Planner may hide PLACEHOLDER ROW</v>
      </c>
      <c r="M400" s="1333"/>
      <c r="N400" s="1333"/>
      <c r="O400" s="1333"/>
      <c r="P400" s="1333"/>
      <c r="Q400" s="1446"/>
      <c r="R400" s="1284"/>
      <c r="S400" s="1284"/>
      <c r="T400" s="1333"/>
      <c r="U400" s="1333"/>
      <c r="V400" s="1333"/>
      <c r="W400" s="1333"/>
      <c r="X400" s="1333"/>
      <c r="Y400" s="1333"/>
      <c r="Z400" s="1333"/>
      <c r="AA400" s="1333"/>
      <c r="AB400" s="1333"/>
      <c r="AC400" s="1333"/>
      <c r="AD400" s="1333"/>
      <c r="AE400" s="1333"/>
      <c r="AF400" s="1333"/>
      <c r="AG400" s="1333"/>
      <c r="AH400" s="1333"/>
      <c r="AI400" s="1333"/>
      <c r="AJ400" s="1333"/>
    </row>
    <row r="401" spans="1:36" x14ac:dyDescent="0.25">
      <c r="A401" s="1462"/>
      <c r="B401" s="125"/>
      <c r="C401" s="944"/>
      <c r="D401" s="321"/>
      <c r="E401" s="559" t="str">
        <f>IF('C-Design&amp;Const'!$I401="","",'C-Design&amp;Const'!$I401)</f>
        <v>N</v>
      </c>
      <c r="F401" s="478"/>
      <c r="G401" s="485"/>
      <c r="H401" s="238" t="str">
        <f>CONCATENATE(IF(E401="N","PLACEHOLDER ROW - ",""),IF(E401="N","",J401),'C-Design&amp;Const'!Z401,)</f>
        <v>PLACEHOLDER ROW - CUSTOM ROW - OPTIONAL CLIENT ITEM</v>
      </c>
      <c r="I401" s="135"/>
      <c r="J401" s="578" t="str">
        <f>IF('C-Design&amp;Const'!AE401="","",'C-Design&amp;Const'!AE401)</f>
        <v/>
      </c>
      <c r="K401" s="246" t="str">
        <f t="shared" ref="K401:L454" si="40">CONCATENATE(IF(ISNUMBER(SEARCH("Placeholder",G401))=TRUE,"&lt;---PM/Planner may hide PLACEHOLDER ROW",""))</f>
        <v/>
      </c>
      <c r="L401" s="1410" t="str">
        <f t="shared" si="40"/>
        <v>&lt;---PM/Planner may hide PLACEHOLDER ROW</v>
      </c>
      <c r="M401" s="1333"/>
      <c r="N401" s="1333"/>
      <c r="O401" s="1333"/>
      <c r="P401" s="1333"/>
      <c r="Q401" s="1446"/>
      <c r="R401" s="1284"/>
      <c r="S401" s="1284"/>
      <c r="T401" s="1333"/>
      <c r="U401" s="1333"/>
      <c r="V401" s="1333"/>
      <c r="W401" s="1333"/>
      <c r="X401" s="1333"/>
      <c r="Y401" s="1333"/>
      <c r="Z401" s="1333"/>
      <c r="AA401" s="1333"/>
      <c r="AB401" s="1333"/>
      <c r="AC401" s="1333"/>
      <c r="AD401" s="1333"/>
      <c r="AE401" s="1333"/>
      <c r="AF401" s="1333"/>
      <c r="AG401" s="1333"/>
      <c r="AH401" s="1333"/>
      <c r="AI401" s="1333"/>
      <c r="AJ401" s="1333"/>
    </row>
    <row r="402" spans="1:36" ht="24.75" customHeight="1" x14ac:dyDescent="0.25">
      <c r="A402" s="1462"/>
      <c r="B402" s="125"/>
      <c r="C402" s="944"/>
      <c r="D402" s="321"/>
      <c r="E402" s="321"/>
      <c r="F402" s="321"/>
      <c r="G402" s="294"/>
      <c r="H402" s="512" t="str">
        <f>CONCATENATE(IF(E402="N","PLACEHOLDER ROW - ",""),IF(E402="N","",J402),'C-Design&amp;Const'!Z402,)</f>
        <v>**  - For ARC, combine these items on to 1 or 2 total slides.</v>
      </c>
      <c r="I402" s="130"/>
      <c r="J402" s="578" t="str">
        <f>IF('C-Design&amp;Const'!AE402="","",'C-Design&amp;Const'!AE402)</f>
        <v/>
      </c>
      <c r="K402" s="246" t="str">
        <f t="shared" si="40"/>
        <v/>
      </c>
      <c r="L402" s="1410" t="str">
        <f t="shared" si="40"/>
        <v/>
      </c>
      <c r="M402" s="1333"/>
      <c r="N402" s="1333"/>
      <c r="O402" s="1333"/>
      <c r="P402" s="1333"/>
      <c r="Q402" s="1446"/>
      <c r="R402" s="1284"/>
      <c r="S402" s="1284"/>
      <c r="T402" s="1333"/>
      <c r="U402" s="1333"/>
      <c r="V402" s="1333"/>
      <c r="W402" s="1333"/>
      <c r="X402" s="1333"/>
      <c r="Y402" s="1333"/>
      <c r="Z402" s="1333"/>
      <c r="AA402" s="1333"/>
      <c r="AB402" s="1333"/>
      <c r="AC402" s="1333"/>
      <c r="AD402" s="1333"/>
      <c r="AE402" s="1333"/>
      <c r="AF402" s="1333"/>
      <c r="AG402" s="1333"/>
      <c r="AH402" s="1333"/>
      <c r="AI402" s="1333"/>
      <c r="AJ402" s="1333"/>
    </row>
    <row r="403" spans="1:36" ht="18.75" x14ac:dyDescent="0.25">
      <c r="A403" s="1462" t="str">
        <f>'C-Design&amp;Const'!J403</f>
        <v>Y</v>
      </c>
      <c r="B403" s="125"/>
      <c r="C403" s="944"/>
      <c r="D403" s="359" t="str">
        <f>IF('C-Design&amp;Const'!$I403="","",'C-Design&amp;Const'!$I403)</f>
        <v>Y</v>
      </c>
      <c r="E403" s="234"/>
      <c r="F403" s="444"/>
      <c r="G403" s="173" t="str">
        <f>IF('C-Design&amp;Const'!Y403="","",'C-Design&amp;Const'!Y403)</f>
        <v>08b.</v>
      </c>
      <c r="H403" s="115" t="str">
        <f>CONCATENATE('C-Design&amp;Const'!Z403,IF(D403="N"," Not Used In This Design Phase",""))</f>
        <v>Design Presentation - Chancellor's Design Advisory Committee (CDAC)</v>
      </c>
      <c r="I403" s="133"/>
      <c r="J403" s="578" t="str">
        <f>IF('C-Design&amp;Const'!AE403="","",'C-Design&amp;Const'!AE403)</f>
        <v/>
      </c>
      <c r="K403" s="246" t="str">
        <f t="shared" si="40"/>
        <v/>
      </c>
      <c r="L403" s="1410" t="str">
        <f t="shared" si="40"/>
        <v/>
      </c>
      <c r="M403" s="1333"/>
      <c r="N403" s="1333"/>
      <c r="O403" s="1333"/>
      <c r="P403" s="1333"/>
      <c r="Q403" s="1446"/>
      <c r="R403" s="1445"/>
      <c r="S403" s="1458"/>
      <c r="T403" s="1333"/>
      <c r="U403" s="1333"/>
      <c r="V403" s="1333"/>
      <c r="W403" s="1333"/>
      <c r="X403" s="1333"/>
      <c r="Y403" s="1333"/>
      <c r="Z403" s="1333"/>
      <c r="AA403" s="1333"/>
      <c r="AB403" s="1333"/>
      <c r="AC403" s="1333"/>
      <c r="AD403" s="1333"/>
      <c r="AE403" s="1333"/>
      <c r="AF403" s="1333"/>
      <c r="AG403" s="1333"/>
      <c r="AH403" s="1333"/>
      <c r="AI403" s="1333"/>
      <c r="AJ403" s="1333"/>
    </row>
    <row r="404" spans="1:36" x14ac:dyDescent="0.25">
      <c r="A404" s="1462"/>
      <c r="B404" s="125"/>
      <c r="C404" s="944"/>
      <c r="D404" s="321"/>
      <c r="E404" s="559" t="str">
        <f>IF('C-Design&amp;Const'!$I404="","",'C-Design&amp;Const'!$I404)</f>
        <v>Y</v>
      </c>
      <c r="F404" s="478"/>
      <c r="G404" s="485"/>
      <c r="H404" s="340" t="str">
        <f>CONCATENATE(IF(E404="N","PLACEHOLDER ROW - ",""),IF(E404="N","",J404),'C-Design&amp;Const'!Z404,)</f>
        <v xml:space="preserve">Overall Campus Map next to zoomed in aerial image map </v>
      </c>
      <c r="I404" s="135"/>
      <c r="J404" s="578" t="str">
        <f>IF('C-Design&amp;Const'!AE404="","",'C-Design&amp;Const'!AE404)</f>
        <v/>
      </c>
      <c r="K404" s="246" t="str">
        <f t="shared" si="40"/>
        <v/>
      </c>
      <c r="L404" s="1410" t="str">
        <f t="shared" si="40"/>
        <v/>
      </c>
      <c r="M404" s="1333"/>
      <c r="N404" s="1333"/>
      <c r="O404" s="1333"/>
      <c r="P404" s="1333"/>
      <c r="Q404" s="1446"/>
      <c r="R404" s="1284"/>
      <c r="S404" s="1284"/>
      <c r="T404" s="1333"/>
      <c r="U404" s="1333"/>
      <c r="V404" s="1333"/>
      <c r="W404" s="1333"/>
      <c r="X404" s="1333"/>
      <c r="Y404" s="1333"/>
      <c r="Z404" s="1333"/>
      <c r="AA404" s="1333"/>
      <c r="AB404" s="1333"/>
      <c r="AC404" s="1333"/>
      <c r="AD404" s="1333"/>
      <c r="AE404" s="1333"/>
      <c r="AF404" s="1333"/>
      <c r="AG404" s="1333"/>
      <c r="AH404" s="1333"/>
      <c r="AI404" s="1333"/>
      <c r="AJ404" s="1333"/>
    </row>
    <row r="405" spans="1:36" x14ac:dyDescent="0.25">
      <c r="A405" s="1462"/>
      <c r="B405" s="125"/>
      <c r="C405" s="944"/>
      <c r="D405" s="321"/>
      <c r="E405" s="559" t="str">
        <f>IF('C-Design&amp;Const'!$I405="","",'C-Design&amp;Const'!$I405)</f>
        <v>Y</v>
      </c>
      <c r="F405" s="478"/>
      <c r="G405" s="485"/>
      <c r="H405" s="340" t="str">
        <f>CONCATENATE(IF(E405="N","PLACEHOLDER ROW - ",""),IF(E405="N","",J405),'C-Design&amp;Const'!Z405,)</f>
        <v>Building Footprint on Master Plan</v>
      </c>
      <c r="I405" s="135"/>
      <c r="J405" s="578" t="str">
        <f>IF('C-Design&amp;Const'!AE405="","",'C-Design&amp;Const'!AE405)</f>
        <v/>
      </c>
      <c r="K405" s="246" t="str">
        <f t="shared" si="40"/>
        <v/>
      </c>
      <c r="L405" s="1410" t="str">
        <f t="shared" si="40"/>
        <v/>
      </c>
      <c r="M405" s="1333"/>
      <c r="N405" s="1333"/>
      <c r="O405" s="1333"/>
      <c r="P405" s="1333"/>
      <c r="Q405" s="1446"/>
      <c r="R405" s="1284"/>
      <c r="S405" s="1284"/>
      <c r="T405" s="1333"/>
      <c r="U405" s="1333"/>
      <c r="V405" s="1333"/>
      <c r="W405" s="1333"/>
      <c r="X405" s="1333"/>
      <c r="Y405" s="1333"/>
      <c r="Z405" s="1333"/>
      <c r="AA405" s="1333"/>
      <c r="AB405" s="1333"/>
      <c r="AC405" s="1333"/>
      <c r="AD405" s="1333"/>
      <c r="AE405" s="1333"/>
      <c r="AF405" s="1333"/>
      <c r="AG405" s="1333"/>
      <c r="AH405" s="1333"/>
      <c r="AI405" s="1333"/>
      <c r="AJ405" s="1333"/>
    </row>
    <row r="406" spans="1:36" x14ac:dyDescent="0.25">
      <c r="A406" s="1462"/>
      <c r="B406" s="125"/>
      <c r="C406" s="944"/>
      <c r="D406" s="321"/>
      <c r="E406" s="559" t="str">
        <f>IF('C-Design&amp;Const'!$I406="","",'C-Design&amp;Const'!$I406)</f>
        <v>Y</v>
      </c>
      <c r="F406" s="478"/>
      <c r="G406" s="485"/>
      <c r="H406" s="340" t="str">
        <f>CONCATENATE(IF(E406="N","PLACEHOLDER ROW - ",""),IF(E406="N","",J406),'C-Design&amp;Const'!Z406,)</f>
        <v>**Bullet Points of Major Project Goals &amp; Objectives, New GSF, Renovated GSF, Demolished GSF</v>
      </c>
      <c r="I406" s="135"/>
      <c r="J406" s="578" t="str">
        <f>IF('C-Design&amp;Const'!AE406="","",'C-Design&amp;Const'!AE406)</f>
        <v/>
      </c>
      <c r="K406" s="246" t="str">
        <f t="shared" si="40"/>
        <v/>
      </c>
      <c r="L406" s="1410" t="str">
        <f t="shared" si="40"/>
        <v/>
      </c>
      <c r="M406" s="1333"/>
      <c r="N406" s="1333"/>
      <c r="O406" s="1333"/>
      <c r="P406" s="1333"/>
      <c r="Q406" s="1446"/>
      <c r="R406" s="1284"/>
      <c r="S406" s="1284"/>
      <c r="T406" s="1333"/>
      <c r="U406" s="1333"/>
      <c r="V406" s="1333"/>
      <c r="W406" s="1333"/>
      <c r="X406" s="1333"/>
      <c r="Y406" s="1333"/>
      <c r="Z406" s="1333"/>
      <c r="AA406" s="1333"/>
      <c r="AB406" s="1333"/>
      <c r="AC406" s="1333"/>
      <c r="AD406" s="1333"/>
      <c r="AE406" s="1333"/>
      <c r="AF406" s="1333"/>
      <c r="AG406" s="1333"/>
      <c r="AH406" s="1333"/>
      <c r="AI406" s="1333"/>
      <c r="AJ406" s="1333"/>
    </row>
    <row r="407" spans="1:36" x14ac:dyDescent="0.25">
      <c r="A407" s="1462"/>
      <c r="B407" s="125"/>
      <c r="C407" s="944"/>
      <c r="D407" s="321"/>
      <c r="E407" s="559" t="str">
        <f>IF('C-Design&amp;Const'!$I407="","",'C-Design&amp;Const'!$I407)</f>
        <v>Y</v>
      </c>
      <c r="F407" s="478"/>
      <c r="G407" s="485"/>
      <c r="H407" s="340" t="str">
        <f>CONCATENATE(IF(E407="N","PLACEHOLDER ROW - ",""),IF(E407="N","",J407),'C-Design&amp;Const'!Z407,)</f>
        <v>**Overall Construction Budget, Construction Begin &amp; End</v>
      </c>
      <c r="I407" s="135"/>
      <c r="J407" s="578" t="str">
        <f>IF('C-Design&amp;Const'!AE407="","",'C-Design&amp;Const'!AE407)</f>
        <v/>
      </c>
      <c r="K407" s="246" t="str">
        <f t="shared" si="40"/>
        <v/>
      </c>
      <c r="L407" s="1410" t="str">
        <f t="shared" si="40"/>
        <v/>
      </c>
      <c r="M407" s="1333"/>
      <c r="N407" s="1333"/>
      <c r="O407" s="1333"/>
      <c r="P407" s="1333"/>
      <c r="Q407" s="1446"/>
      <c r="R407" s="1284"/>
      <c r="S407" s="1284"/>
      <c r="T407" s="1333"/>
      <c r="U407" s="1333"/>
      <c r="V407" s="1333"/>
      <c r="W407" s="1333"/>
      <c r="X407" s="1333"/>
      <c r="Y407" s="1333"/>
      <c r="Z407" s="1333"/>
      <c r="AA407" s="1333"/>
      <c r="AB407" s="1333"/>
      <c r="AC407" s="1333"/>
      <c r="AD407" s="1333"/>
      <c r="AE407" s="1333"/>
      <c r="AF407" s="1333"/>
      <c r="AG407" s="1333"/>
      <c r="AH407" s="1333"/>
      <c r="AI407" s="1333"/>
      <c r="AJ407" s="1333"/>
    </row>
    <row r="408" spans="1:36" x14ac:dyDescent="0.25">
      <c r="A408" s="1462"/>
      <c r="B408" s="125"/>
      <c r="C408" s="944"/>
      <c r="D408" s="321"/>
      <c r="E408" s="559" t="str">
        <f>IF('C-Design&amp;Const'!$I408="","",'C-Design&amp;Const'!$I408)</f>
        <v>Y</v>
      </c>
      <c r="F408" s="478"/>
      <c r="G408" s="485"/>
      <c r="H408" s="340" t="str">
        <f>CONCATENATE(IF(E408="N","PLACEHOLDER ROW - ",""),IF(E408="N","",J408),'C-Design&amp;Const'!Z408,)</f>
        <v>**LEED Goal and highlights of LEED measures</v>
      </c>
      <c r="I408" s="135"/>
      <c r="J408" s="578" t="str">
        <f>IF('C-Design&amp;Const'!AE408="","",'C-Design&amp;Const'!AE408)</f>
        <v/>
      </c>
      <c r="K408" s="246" t="str">
        <f t="shared" si="40"/>
        <v/>
      </c>
      <c r="L408" s="1410" t="str">
        <f t="shared" si="40"/>
        <v/>
      </c>
      <c r="M408" s="1333"/>
      <c r="N408" s="1333"/>
      <c r="O408" s="1333"/>
      <c r="P408" s="1333"/>
      <c r="Q408" s="1446"/>
      <c r="R408" s="1284"/>
      <c r="S408" s="1284"/>
      <c r="T408" s="1333"/>
      <c r="U408" s="1333"/>
      <c r="V408" s="1333"/>
      <c r="W408" s="1333"/>
      <c r="X408" s="1333"/>
      <c r="Y408" s="1333"/>
      <c r="Z408" s="1333"/>
      <c r="AA408" s="1333"/>
      <c r="AB408" s="1333"/>
      <c r="AC408" s="1333"/>
      <c r="AD408" s="1333"/>
      <c r="AE408" s="1333"/>
      <c r="AF408" s="1333"/>
      <c r="AG408" s="1333"/>
      <c r="AH408" s="1333"/>
      <c r="AI408" s="1333"/>
      <c r="AJ408" s="1333"/>
    </row>
    <row r="409" spans="1:36" x14ac:dyDescent="0.25">
      <c r="A409" s="1462"/>
      <c r="B409" s="125"/>
      <c r="C409" s="944"/>
      <c r="D409" s="321"/>
      <c r="E409" s="559" t="str">
        <f>IF('C-Design&amp;Const'!$I409="","",'C-Design&amp;Const'!$I409)</f>
        <v>Y</v>
      </c>
      <c r="F409" s="478"/>
      <c r="G409" s="485"/>
      <c r="H409" s="340" t="str">
        <f>CONCATENATE(IF(E409="N","PLACEHOLDER ROW - ",""),IF(E409="N","",J409),'C-Design&amp;Const'!Z409,)</f>
        <v>Proposed combined Site / Landscape Plan</v>
      </c>
      <c r="I409" s="135"/>
      <c r="J409" s="578" t="str">
        <f>IF('C-Design&amp;Const'!AE409="","",'C-Design&amp;Const'!AE409)</f>
        <v/>
      </c>
      <c r="K409" s="246" t="str">
        <f t="shared" si="40"/>
        <v/>
      </c>
      <c r="L409" s="1410" t="str">
        <f t="shared" si="40"/>
        <v/>
      </c>
      <c r="M409" s="1333"/>
      <c r="N409" s="1333"/>
      <c r="O409" s="1333"/>
      <c r="P409" s="1333"/>
      <c r="Q409" s="1446"/>
      <c r="R409" s="1284"/>
      <c r="S409" s="1284"/>
      <c r="T409" s="1333"/>
      <c r="U409" s="1333"/>
      <c r="V409" s="1333"/>
      <c r="W409" s="1333"/>
      <c r="X409" s="1333"/>
      <c r="Y409" s="1333"/>
      <c r="Z409" s="1333"/>
      <c r="AA409" s="1333"/>
      <c r="AB409" s="1333"/>
      <c r="AC409" s="1333"/>
      <c r="AD409" s="1333"/>
      <c r="AE409" s="1333"/>
      <c r="AF409" s="1333"/>
      <c r="AG409" s="1333"/>
      <c r="AH409" s="1333"/>
      <c r="AI409" s="1333"/>
      <c r="AJ409" s="1333"/>
    </row>
    <row r="410" spans="1:36" x14ac:dyDescent="0.25">
      <c r="A410" s="1462"/>
      <c r="B410" s="125"/>
      <c r="C410" s="944"/>
      <c r="D410" s="321"/>
      <c r="E410" s="559" t="str">
        <f>IF('C-Design&amp;Const'!$I410="","",'C-Design&amp;Const'!$I410)</f>
        <v>Y</v>
      </c>
      <c r="F410" s="478"/>
      <c r="G410" s="485"/>
      <c r="H410" s="340" t="str">
        <f>CONCATENATE(IF(E410="N","PLACEHOLDER ROW - ",""),IF(E410="N","",J410),'C-Design&amp;Const'!Z410,)</f>
        <v xml:space="preserve">Massing or Renderings of </v>
      </c>
      <c r="I410" s="135"/>
      <c r="J410" s="578" t="str">
        <f>IF('C-Design&amp;Const'!AE410="","",'C-Design&amp;Const'!AE410)</f>
        <v/>
      </c>
      <c r="K410" s="246" t="str">
        <f t="shared" ref="K410:L412" si="41">CONCATENATE(IF(ISNUMBER(SEARCH("Placeholder",G410))=TRUE,"&lt;---PM/Planner may hide PLACEHOLDER ROW",""))</f>
        <v/>
      </c>
      <c r="L410" s="1410" t="str">
        <f t="shared" si="41"/>
        <v/>
      </c>
      <c r="M410" s="1333"/>
      <c r="N410" s="1333"/>
      <c r="O410" s="1333"/>
      <c r="P410" s="1333"/>
      <c r="Q410" s="1446"/>
      <c r="R410" s="1284"/>
      <c r="S410" s="1284"/>
      <c r="T410" s="1333"/>
      <c r="U410" s="1333"/>
      <c r="V410" s="1333"/>
      <c r="W410" s="1333"/>
      <c r="X410" s="1333"/>
      <c r="Y410" s="1333"/>
      <c r="Z410" s="1333"/>
      <c r="AA410" s="1333"/>
      <c r="AB410" s="1333"/>
      <c r="AC410" s="1333"/>
      <c r="AD410" s="1333"/>
      <c r="AE410" s="1333"/>
      <c r="AF410" s="1333"/>
      <c r="AG410" s="1333"/>
      <c r="AH410" s="1333"/>
      <c r="AI410" s="1333"/>
      <c r="AJ410" s="1333"/>
    </row>
    <row r="411" spans="1:36" x14ac:dyDescent="0.25">
      <c r="A411" s="1462"/>
      <c r="B411" s="125"/>
      <c r="C411" s="944"/>
      <c r="D411" s="321"/>
      <c r="E411" s="321"/>
      <c r="F411" s="559" t="str">
        <f>IF('C-Design&amp;Const'!$I411="","",'C-Design&amp;Const'!$I411)</f>
        <v>Y</v>
      </c>
      <c r="G411" s="485"/>
      <c r="H411" s="361" t="str">
        <f>CONCATENATE(IF(E411="N","PLACEHOLDER ROW - ",""),IF(E411="N","",J411),'C-Design&amp;Const'!Z411,)</f>
        <v>All Exterior Elevations with materials identified</v>
      </c>
      <c r="I411" s="135"/>
      <c r="J411" s="578" t="str">
        <f>IF('C-Design&amp;Const'!AE411="","",'C-Design&amp;Const'!AE411)</f>
        <v/>
      </c>
      <c r="K411" s="246" t="str">
        <f t="shared" si="41"/>
        <v/>
      </c>
      <c r="L411" s="1410" t="str">
        <f t="shared" si="41"/>
        <v/>
      </c>
      <c r="M411" s="1333"/>
      <c r="N411" s="1333"/>
      <c r="O411" s="1333"/>
      <c r="P411" s="1333"/>
      <c r="Q411" s="1446"/>
      <c r="R411" s="1284"/>
      <c r="S411" s="1284"/>
      <c r="T411" s="1333"/>
      <c r="U411" s="1333"/>
      <c r="V411" s="1333"/>
      <c r="W411" s="1333"/>
      <c r="X411" s="1333"/>
      <c r="Y411" s="1333"/>
      <c r="Z411" s="1333"/>
      <c r="AA411" s="1333"/>
      <c r="AB411" s="1333"/>
      <c r="AC411" s="1333"/>
      <c r="AD411" s="1333"/>
      <c r="AE411" s="1333"/>
      <c r="AF411" s="1333"/>
      <c r="AG411" s="1333"/>
      <c r="AH411" s="1333"/>
      <c r="AI411" s="1333"/>
      <c r="AJ411" s="1333"/>
    </row>
    <row r="412" spans="1:36" ht="28.5" x14ac:dyDescent="0.25">
      <c r="A412" s="1462"/>
      <c r="B412" s="125"/>
      <c r="C412" s="944"/>
      <c r="D412" s="321"/>
      <c r="E412" s="321"/>
      <c r="F412" s="559" t="str">
        <f>IF('C-Design&amp;Const'!$I412="","",'C-Design&amp;Const'!$I412)</f>
        <v>Y</v>
      </c>
      <c r="G412" s="485"/>
      <c r="H412" s="361" t="str">
        <f>CONCATENATE(IF(E412="N","PLACEHOLDER ROW - ",""),IF(E412="N","",J412),'C-Design&amp;Const'!Z412,)</f>
        <v>All major public spaces (entrances, galleries, auditoriums, lecture halls, etc…) with materials identified</v>
      </c>
      <c r="I412" s="135"/>
      <c r="J412" s="578" t="str">
        <f>IF('C-Design&amp;Const'!AE412="","",'C-Design&amp;Const'!AE412)</f>
        <v/>
      </c>
      <c r="K412" s="246" t="str">
        <f t="shared" si="41"/>
        <v/>
      </c>
      <c r="L412" s="1410" t="str">
        <f t="shared" si="41"/>
        <v/>
      </c>
      <c r="M412" s="1333"/>
      <c r="N412" s="1333"/>
      <c r="O412" s="1333"/>
      <c r="P412" s="1333"/>
      <c r="Q412" s="1446"/>
      <c r="R412" s="1284"/>
      <c r="S412" s="1284"/>
      <c r="T412" s="1333"/>
      <c r="U412" s="1333"/>
      <c r="V412" s="1333"/>
      <c r="W412" s="1333"/>
      <c r="X412" s="1333"/>
      <c r="Y412" s="1333"/>
      <c r="Z412" s="1333"/>
      <c r="AA412" s="1333"/>
      <c r="AB412" s="1333"/>
      <c r="AC412" s="1333"/>
      <c r="AD412" s="1333"/>
      <c r="AE412" s="1333"/>
      <c r="AF412" s="1333"/>
      <c r="AG412" s="1333"/>
      <c r="AH412" s="1333"/>
      <c r="AI412" s="1333"/>
      <c r="AJ412" s="1333"/>
    </row>
    <row r="413" spans="1:36" x14ac:dyDescent="0.25">
      <c r="A413" s="1462"/>
      <c r="B413" s="125"/>
      <c r="C413" s="944"/>
      <c r="D413" s="321"/>
      <c r="E413" s="559" t="str">
        <f>IF('C-Design&amp;Const'!$I413="","",'C-Design&amp;Const'!$I413)</f>
        <v>Y</v>
      </c>
      <c r="F413" s="478"/>
      <c r="G413" s="485"/>
      <c r="H413" s="340" t="str">
        <f>CONCATENATE(IF(E413="N","PLACEHOLDER ROW - ",""),IF(E413="N","",J413),'C-Design&amp;Const'!Z413,)</f>
        <v>Stacked Floor Plans with space types show by color (include key)</v>
      </c>
      <c r="I413" s="135"/>
      <c r="J413" s="578" t="str">
        <f>IF('C-Design&amp;Const'!AE413="","",'C-Design&amp;Const'!AE413)</f>
        <v/>
      </c>
      <c r="K413" s="246" t="str">
        <f t="shared" si="40"/>
        <v/>
      </c>
      <c r="L413" s="1410" t="str">
        <f t="shared" si="40"/>
        <v/>
      </c>
      <c r="M413" s="1333"/>
      <c r="N413" s="1333"/>
      <c r="O413" s="1333"/>
      <c r="P413" s="1333"/>
      <c r="Q413" s="1446"/>
      <c r="R413" s="1284"/>
      <c r="S413" s="1284"/>
      <c r="T413" s="1333"/>
      <c r="U413" s="1333"/>
      <c r="V413" s="1333"/>
      <c r="W413" s="1333"/>
      <c r="X413" s="1333"/>
      <c r="Y413" s="1333"/>
      <c r="Z413" s="1333"/>
      <c r="AA413" s="1333"/>
      <c r="AB413" s="1333"/>
      <c r="AC413" s="1333"/>
      <c r="AD413" s="1333"/>
      <c r="AE413" s="1333"/>
      <c r="AF413" s="1333"/>
      <c r="AG413" s="1333"/>
      <c r="AH413" s="1333"/>
      <c r="AI413" s="1333"/>
      <c r="AJ413" s="1333"/>
    </row>
    <row r="414" spans="1:36" x14ac:dyDescent="0.25">
      <c r="A414" s="1462"/>
      <c r="B414" s="125"/>
      <c r="C414" s="944"/>
      <c r="D414" s="321"/>
      <c r="E414" s="559" t="str">
        <f>IF('C-Design&amp;Const'!$I414="","",'C-Design&amp;Const'!$I414)</f>
        <v>Y</v>
      </c>
      <c r="F414" s="478"/>
      <c r="G414" s="485"/>
      <c r="H414" s="340" t="str">
        <f>CONCATENATE(IF(E414="N","PLACEHOLDER ROW - ",""),IF(E414="N","",J414),'C-Design&amp;Const'!Z414,)</f>
        <v>Simple full building sections showing relative spaces and framing from floor to floor.</v>
      </c>
      <c r="I414" s="135"/>
      <c r="J414" s="578" t="str">
        <f>IF('C-Design&amp;Const'!AE414="","",'C-Design&amp;Const'!AE414)</f>
        <v/>
      </c>
      <c r="K414" s="246" t="str">
        <f t="shared" si="40"/>
        <v/>
      </c>
      <c r="L414" s="1410" t="str">
        <f t="shared" si="40"/>
        <v/>
      </c>
      <c r="M414" s="1333"/>
      <c r="N414" s="1333"/>
      <c r="O414" s="1333"/>
      <c r="P414" s="1333"/>
      <c r="Q414" s="1446"/>
      <c r="R414" s="1284"/>
      <c r="S414" s="1284"/>
      <c r="T414" s="1333"/>
      <c r="U414" s="1333"/>
      <c r="V414" s="1333"/>
      <c r="W414" s="1333"/>
      <c r="X414" s="1333"/>
      <c r="Y414" s="1333"/>
      <c r="Z414" s="1333"/>
      <c r="AA414" s="1333"/>
      <c r="AB414" s="1333"/>
      <c r="AC414" s="1333"/>
      <c r="AD414" s="1333"/>
      <c r="AE414" s="1333"/>
      <c r="AF414" s="1333"/>
      <c r="AG414" s="1333"/>
      <c r="AH414" s="1333"/>
      <c r="AI414" s="1333"/>
      <c r="AJ414" s="1333"/>
    </row>
    <row r="415" spans="1:36" x14ac:dyDescent="0.25">
      <c r="A415" s="1462"/>
      <c r="B415" s="125"/>
      <c r="C415" s="944"/>
      <c r="D415" s="321"/>
      <c r="E415" s="559" t="str">
        <f>IF('C-Design&amp;Const'!$I415="","",'C-Design&amp;Const'!$I415)</f>
        <v>N</v>
      </c>
      <c r="F415" s="478"/>
      <c r="G415" s="485"/>
      <c r="H415" s="340" t="str">
        <f>CONCATENATE(IF(E415="N","PLACEHOLDER ROW - ",""),IF(E415="N","",J415),'C-Design&amp;Const'!Z415,)</f>
        <v>PLACEHOLDER ROW - General Air Handling Unit Fan Maps</v>
      </c>
      <c r="I415" s="135"/>
      <c r="J415" s="578" t="str">
        <f>IF('C-Design&amp;Const'!AE415="","",'C-Design&amp;Const'!AE415)</f>
        <v/>
      </c>
      <c r="K415" s="246" t="str">
        <f t="shared" si="40"/>
        <v/>
      </c>
      <c r="L415" s="1410" t="str">
        <f t="shared" si="40"/>
        <v>&lt;---PM/Planner may hide PLACEHOLDER ROW</v>
      </c>
      <c r="M415" s="1333"/>
      <c r="N415" s="1333"/>
      <c r="O415" s="1333"/>
      <c r="P415" s="1333"/>
      <c r="Q415" s="1446"/>
      <c r="R415" s="1284"/>
      <c r="S415" s="1284"/>
      <c r="T415" s="1333"/>
      <c r="U415" s="1333"/>
      <c r="V415" s="1333"/>
      <c r="W415" s="1333"/>
      <c r="X415" s="1333"/>
      <c r="Y415" s="1333"/>
      <c r="Z415" s="1333"/>
      <c r="AA415" s="1333"/>
      <c r="AB415" s="1333"/>
      <c r="AC415" s="1333"/>
      <c r="AD415" s="1333"/>
      <c r="AE415" s="1333"/>
      <c r="AF415" s="1333"/>
      <c r="AG415" s="1333"/>
      <c r="AH415" s="1333"/>
      <c r="AI415" s="1333"/>
      <c r="AJ415" s="1333"/>
    </row>
    <row r="416" spans="1:36" x14ac:dyDescent="0.25">
      <c r="A416" s="1462"/>
      <c r="B416" s="125"/>
      <c r="C416" s="944"/>
      <c r="D416" s="321"/>
      <c r="E416" s="559" t="str">
        <f>IF('C-Design&amp;Const'!$I416="","",'C-Design&amp;Const'!$I416)</f>
        <v>Y</v>
      </c>
      <c r="F416" s="478"/>
      <c r="G416" s="485"/>
      <c r="H416" s="340" t="str">
        <f>CONCATENATE(IF(E416="N","PLACEHOLDER ROW - ",""),IF(E416="N","",J416),'C-Design&amp;Const'!Z416,)</f>
        <v>Incorporated Comments from ARC</v>
      </c>
      <c r="I416" s="135"/>
      <c r="J416" s="578" t="str">
        <f>IF('C-Design&amp;Const'!AE416="","",'C-Design&amp;Const'!AE416)</f>
        <v/>
      </c>
      <c r="K416" s="246" t="str">
        <f t="shared" si="40"/>
        <v/>
      </c>
      <c r="L416" s="1410" t="str">
        <f t="shared" si="40"/>
        <v/>
      </c>
      <c r="M416" s="1333"/>
      <c r="N416" s="1333"/>
      <c r="O416" s="1333"/>
      <c r="P416" s="1333"/>
      <c r="Q416" s="1446"/>
      <c r="R416" s="1284"/>
      <c r="S416" s="1284"/>
      <c r="T416" s="1333"/>
      <c r="U416" s="1333"/>
      <c r="V416" s="1333"/>
      <c r="W416" s="1333"/>
      <c r="X416" s="1333"/>
      <c r="Y416" s="1333"/>
      <c r="Z416" s="1333"/>
      <c r="AA416" s="1333"/>
      <c r="AB416" s="1333"/>
      <c r="AC416" s="1333"/>
      <c r="AD416" s="1333"/>
      <c r="AE416" s="1333"/>
      <c r="AF416" s="1333"/>
      <c r="AG416" s="1333"/>
      <c r="AH416" s="1333"/>
      <c r="AI416" s="1333"/>
      <c r="AJ416" s="1333"/>
    </row>
    <row r="417" spans="1:36" x14ac:dyDescent="0.25">
      <c r="A417" s="1462"/>
      <c r="B417" s="125"/>
      <c r="C417" s="944"/>
      <c r="D417" s="321"/>
      <c r="E417" s="559" t="str">
        <f>IF('C-Design&amp;Const'!$I417="","",'C-Design&amp;Const'!$I417)</f>
        <v>N</v>
      </c>
      <c r="F417" s="478"/>
      <c r="G417" s="485"/>
      <c r="H417" s="340" t="str">
        <f>CONCATENATE(IF(E417="N","PLACEHOLDER ROW - ",""),IF(E417="N","",J417),'C-Design&amp;Const'!Z417,)</f>
        <v>PLACEHOLDER ROW - CUSTOM ROW - OPTIONAL CLIENT ITEM</v>
      </c>
      <c r="I417" s="135"/>
      <c r="J417" s="578" t="str">
        <f>IF('C-Design&amp;Const'!AE417="","",'C-Design&amp;Const'!AE417)</f>
        <v/>
      </c>
      <c r="K417" s="246" t="str">
        <f t="shared" si="40"/>
        <v/>
      </c>
      <c r="L417" s="1410" t="str">
        <f t="shared" si="40"/>
        <v>&lt;---PM/Planner may hide PLACEHOLDER ROW</v>
      </c>
      <c r="M417" s="1333"/>
      <c r="N417" s="1333"/>
      <c r="O417" s="1333"/>
      <c r="P417" s="1333"/>
      <c r="Q417" s="1446"/>
      <c r="R417" s="1284"/>
      <c r="S417" s="1284"/>
      <c r="T417" s="1333"/>
      <c r="U417" s="1333"/>
      <c r="V417" s="1333"/>
      <c r="W417" s="1333"/>
      <c r="X417" s="1333"/>
      <c r="Y417" s="1333"/>
      <c r="Z417" s="1333"/>
      <c r="AA417" s="1333"/>
      <c r="AB417" s="1333"/>
      <c r="AC417" s="1333"/>
      <c r="AD417" s="1333"/>
      <c r="AE417" s="1333"/>
      <c r="AF417" s="1333"/>
      <c r="AG417" s="1333"/>
      <c r="AH417" s="1333"/>
      <c r="AI417" s="1333"/>
      <c r="AJ417" s="1333"/>
    </row>
    <row r="418" spans="1:36" x14ac:dyDescent="0.25">
      <c r="A418" s="1462"/>
      <c r="B418" s="125"/>
      <c r="C418" s="944"/>
      <c r="D418" s="321"/>
      <c r="E418" s="559" t="str">
        <f>IF('C-Design&amp;Const'!$I418="","",'C-Design&amp;Const'!$I418)</f>
        <v>N</v>
      </c>
      <c r="F418" s="478"/>
      <c r="G418" s="485"/>
      <c r="H418" s="340" t="str">
        <f>CONCATENATE(IF(E418="N","PLACEHOLDER ROW - ",""),IF(E418="N","",J418),'C-Design&amp;Const'!Z418,)</f>
        <v>PLACEHOLDER ROW - CUSTOM ROW - OPTIONAL CLIENT ITEM</v>
      </c>
      <c r="I418" s="135"/>
      <c r="J418" s="578" t="str">
        <f>IF('C-Design&amp;Const'!AE418="","",'C-Design&amp;Const'!AE418)</f>
        <v/>
      </c>
      <c r="K418" s="246" t="str">
        <f t="shared" si="40"/>
        <v/>
      </c>
      <c r="L418" s="1410" t="str">
        <f t="shared" si="40"/>
        <v>&lt;---PM/Planner may hide PLACEHOLDER ROW</v>
      </c>
      <c r="M418" s="1333"/>
      <c r="N418" s="1333"/>
      <c r="O418" s="1333"/>
      <c r="P418" s="1333"/>
      <c r="Q418" s="1446"/>
      <c r="R418" s="1284"/>
      <c r="S418" s="1284"/>
      <c r="T418" s="1333"/>
      <c r="U418" s="1333"/>
      <c r="V418" s="1333"/>
      <c r="W418" s="1333"/>
      <c r="X418" s="1333"/>
      <c r="Y418" s="1333"/>
      <c r="Z418" s="1333"/>
      <c r="AA418" s="1333"/>
      <c r="AB418" s="1333"/>
      <c r="AC418" s="1333"/>
      <c r="AD418" s="1333"/>
      <c r="AE418" s="1333"/>
      <c r="AF418" s="1333"/>
      <c r="AG418" s="1333"/>
      <c r="AH418" s="1333"/>
      <c r="AI418" s="1333"/>
      <c r="AJ418" s="1333"/>
    </row>
    <row r="419" spans="1:36" x14ac:dyDescent="0.25">
      <c r="A419" s="1462"/>
      <c r="B419" s="125"/>
      <c r="C419" s="944"/>
      <c r="D419" s="321"/>
      <c r="E419" s="559" t="str">
        <f>IF('C-Design&amp;Const'!$I419="","",'C-Design&amp;Const'!$I419)</f>
        <v>N</v>
      </c>
      <c r="F419" s="478"/>
      <c r="G419" s="485"/>
      <c r="H419" s="340" t="str">
        <f>CONCATENATE(IF(E419="N","PLACEHOLDER ROW - ",""),IF(E419="N","",J419),'C-Design&amp;Const'!Z419,)</f>
        <v>PLACEHOLDER ROW - CUSTOM ROW - OPTIONAL CLIENT ITEM</v>
      </c>
      <c r="I419" s="135"/>
      <c r="J419" s="578" t="str">
        <f>IF('C-Design&amp;Const'!AE419="","",'C-Design&amp;Const'!AE419)</f>
        <v/>
      </c>
      <c r="K419" s="246" t="str">
        <f t="shared" si="40"/>
        <v/>
      </c>
      <c r="L419" s="1410" t="str">
        <f t="shared" si="40"/>
        <v>&lt;---PM/Planner may hide PLACEHOLDER ROW</v>
      </c>
      <c r="M419" s="1333"/>
      <c r="N419" s="1333"/>
      <c r="O419" s="1333"/>
      <c r="P419" s="1333"/>
      <c r="Q419" s="1446"/>
      <c r="R419" s="1284"/>
      <c r="S419" s="1284"/>
      <c r="T419" s="1333"/>
      <c r="U419" s="1333"/>
      <c r="V419" s="1333"/>
      <c r="W419" s="1333"/>
      <c r="X419" s="1333"/>
      <c r="Y419" s="1333"/>
      <c r="Z419" s="1333"/>
      <c r="AA419" s="1333"/>
      <c r="AB419" s="1333"/>
      <c r="AC419" s="1333"/>
      <c r="AD419" s="1333"/>
      <c r="AE419" s="1333"/>
      <c r="AF419" s="1333"/>
      <c r="AG419" s="1333"/>
      <c r="AH419" s="1333"/>
      <c r="AI419" s="1333"/>
      <c r="AJ419" s="1333"/>
    </row>
    <row r="420" spans="1:36" x14ac:dyDescent="0.25">
      <c r="A420" s="1462"/>
      <c r="B420" s="125"/>
      <c r="C420" s="944"/>
      <c r="D420" s="321"/>
      <c r="E420" s="559" t="str">
        <f>IF('C-Design&amp;Const'!$I420="","",'C-Design&amp;Const'!$I420)</f>
        <v>N</v>
      </c>
      <c r="F420" s="478"/>
      <c r="G420" s="485"/>
      <c r="H420" s="340" t="str">
        <f>CONCATENATE(IF(E420="N","PLACEHOLDER ROW - ",""),IF(E420="N","",J420),'C-Design&amp;Const'!Z420,)</f>
        <v>PLACEHOLDER ROW - CUSTOM ROW - OPTIONAL CLIENT ITEM</v>
      </c>
      <c r="I420" s="135"/>
      <c r="J420" s="578" t="str">
        <f>IF('C-Design&amp;Const'!AE420="","",'C-Design&amp;Const'!AE420)</f>
        <v/>
      </c>
      <c r="K420" s="246" t="str">
        <f t="shared" si="40"/>
        <v/>
      </c>
      <c r="L420" s="1410" t="str">
        <f t="shared" si="40"/>
        <v>&lt;---PM/Planner may hide PLACEHOLDER ROW</v>
      </c>
      <c r="M420" s="1333"/>
      <c r="N420" s="1333"/>
      <c r="O420" s="1333"/>
      <c r="P420" s="1333"/>
      <c r="Q420" s="1446"/>
      <c r="R420" s="1284"/>
      <c r="S420" s="1284"/>
      <c r="T420" s="1333"/>
      <c r="U420" s="1333"/>
      <c r="V420" s="1333"/>
      <c r="W420" s="1333"/>
      <c r="X420" s="1333"/>
      <c r="Y420" s="1333"/>
      <c r="Z420" s="1333"/>
      <c r="AA420" s="1333"/>
      <c r="AB420" s="1333"/>
      <c r="AC420" s="1333"/>
      <c r="AD420" s="1333"/>
      <c r="AE420" s="1333"/>
      <c r="AF420" s="1333"/>
      <c r="AG420" s="1333"/>
      <c r="AH420" s="1333"/>
      <c r="AI420" s="1333"/>
      <c r="AJ420" s="1333"/>
    </row>
    <row r="421" spans="1:36" ht="25.5" customHeight="1" x14ac:dyDescent="0.25">
      <c r="A421" s="1462"/>
      <c r="B421" s="125"/>
      <c r="C421" s="944"/>
      <c r="D421" s="321"/>
      <c r="E421" s="321"/>
      <c r="F421" s="321"/>
      <c r="G421" s="294"/>
      <c r="H421" s="512" t="str">
        <f>CONCATENATE(IF(E421="N","PLACEHOLDER ROW - ",""),IF(E421="N","",J421),'C-Design&amp;Const'!Z421,)</f>
        <v>**  - For CDAC, combine these items on to 1 or 2 total slides.</v>
      </c>
      <c r="I421" s="130"/>
      <c r="J421" s="578" t="str">
        <f>IF('C-Design&amp;Const'!AE421="","",'C-Design&amp;Const'!AE421)</f>
        <v/>
      </c>
      <c r="K421" s="246" t="str">
        <f t="shared" si="40"/>
        <v/>
      </c>
      <c r="L421" s="1410" t="str">
        <f t="shared" si="40"/>
        <v/>
      </c>
      <c r="M421" s="1333"/>
      <c r="N421" s="1333"/>
      <c r="O421" s="1333"/>
      <c r="P421" s="1333"/>
      <c r="Q421" s="1446"/>
      <c r="R421" s="1284"/>
      <c r="S421" s="1284"/>
      <c r="T421" s="1333"/>
      <c r="U421" s="1333"/>
      <c r="V421" s="1333"/>
      <c r="W421" s="1333"/>
      <c r="X421" s="1333"/>
      <c r="Y421" s="1333"/>
      <c r="Z421" s="1333"/>
      <c r="AA421" s="1333"/>
      <c r="AB421" s="1333"/>
      <c r="AC421" s="1333"/>
      <c r="AD421" s="1333"/>
      <c r="AE421" s="1333"/>
      <c r="AF421" s="1333"/>
      <c r="AG421" s="1333"/>
      <c r="AH421" s="1333"/>
      <c r="AI421" s="1333"/>
      <c r="AJ421" s="1333"/>
    </row>
    <row r="422" spans="1:36" ht="18.75" x14ac:dyDescent="0.25">
      <c r="A422" s="1462" t="str">
        <f>'C-Design&amp;Const'!J422</f>
        <v>Y</v>
      </c>
      <c r="B422" s="125"/>
      <c r="C422" s="943"/>
      <c r="D422" s="359" t="str">
        <f>IF('C-Design&amp;Const'!$I422="","",'C-Design&amp;Const'!$I422)</f>
        <v>Y</v>
      </c>
      <c r="E422" s="492"/>
      <c r="F422" s="493"/>
      <c r="G422" s="449" t="str">
        <f>IF('C-Design&amp;Const'!Y422="","",'C-Design&amp;Const'!Y422)</f>
        <v>08c.</v>
      </c>
      <c r="H422" s="115" t="str">
        <f>CONCATENATE('C-Design&amp;Const'!Z422,IF(Applies_BOT_Presentation_SD="N"," Not Used In This Design Phase",""))</f>
        <v>Design Presentation - President and Chancellor</v>
      </c>
      <c r="I422" s="133"/>
      <c r="J422" s="578" t="str">
        <f>IF('C-Design&amp;Const'!AE422="","",'C-Design&amp;Const'!AE422)</f>
        <v/>
      </c>
      <c r="K422" s="246" t="str">
        <f t="shared" si="40"/>
        <v/>
      </c>
      <c r="L422" s="1410" t="str">
        <f t="shared" si="40"/>
        <v/>
      </c>
      <c r="M422" s="1333"/>
      <c r="N422" s="1333"/>
      <c r="O422" s="1333"/>
      <c r="P422" s="1333"/>
      <c r="Q422" s="1446"/>
      <c r="R422" s="1445"/>
      <c r="S422" s="1458"/>
      <c r="T422" s="1333"/>
      <c r="U422" s="1333"/>
      <c r="V422" s="1333"/>
      <c r="W422" s="1333"/>
      <c r="X422" s="1333"/>
      <c r="Y422" s="1333"/>
      <c r="Z422" s="1333"/>
      <c r="AA422" s="1333"/>
      <c r="AB422" s="1333"/>
      <c r="AC422" s="1333"/>
      <c r="AD422" s="1333"/>
      <c r="AE422" s="1333"/>
      <c r="AF422" s="1333"/>
      <c r="AG422" s="1333"/>
      <c r="AH422" s="1333"/>
      <c r="AI422" s="1333"/>
      <c r="AJ422" s="1333"/>
    </row>
    <row r="423" spans="1:36" ht="18.75" x14ac:dyDescent="0.25">
      <c r="A423" s="1462"/>
      <c r="B423" s="125"/>
      <c r="C423" s="943"/>
      <c r="D423" s="297"/>
      <c r="E423" s="496"/>
      <c r="F423" s="497" t="s">
        <v>135</v>
      </c>
      <c r="G423" s="1661" t="str">
        <f>IF('C-Design&amp;Const'!Y423="","",'C-Design&amp;Const'!Y423)</f>
        <v/>
      </c>
      <c r="H423" s="115" t="str">
        <f>CONCATENATE('C-Design&amp;Const'!Z423,IF(Applies_BOT_Presentation_SD="N"," Not Used In This Design Phase",""))</f>
        <v>Brochures for Board of Trustees</v>
      </c>
      <c r="I423" s="133"/>
      <c r="J423" s="578" t="str">
        <f>IF('C-Design&amp;Const'!AE423="","",'C-Design&amp;Const'!AE423)</f>
        <v/>
      </c>
      <c r="K423" s="246" t="str">
        <f t="shared" si="40"/>
        <v/>
      </c>
      <c r="L423" s="1410" t="str">
        <f t="shared" si="40"/>
        <v/>
      </c>
      <c r="M423" s="1333"/>
      <c r="N423" s="1333"/>
      <c r="O423" s="1333"/>
      <c r="P423" s="1333"/>
      <c r="Q423" s="1446"/>
      <c r="R423" s="1445"/>
      <c r="S423" s="1458"/>
      <c r="T423" s="1333"/>
      <c r="U423" s="1333"/>
      <c r="V423" s="1333"/>
      <c r="W423" s="1333"/>
      <c r="X423" s="1333"/>
      <c r="Y423" s="1333"/>
      <c r="Z423" s="1333"/>
      <c r="AA423" s="1333"/>
      <c r="AB423" s="1333"/>
      <c r="AC423" s="1333"/>
      <c r="AD423" s="1333"/>
      <c r="AE423" s="1333"/>
      <c r="AF423" s="1333"/>
      <c r="AG423" s="1333"/>
      <c r="AH423" s="1333"/>
      <c r="AI423" s="1333"/>
      <c r="AJ423" s="1333"/>
    </row>
    <row r="424" spans="1:36" ht="37.5" x14ac:dyDescent="0.25">
      <c r="A424" s="1462"/>
      <c r="B424" s="125"/>
      <c r="C424" s="943"/>
      <c r="D424" s="297"/>
      <c r="E424" s="496"/>
      <c r="F424" s="497" t="s">
        <v>135</v>
      </c>
      <c r="G424" s="1661" t="str">
        <f>IF('C-Design&amp;Const'!Y424="","",'C-Design&amp;Const'!Y424)</f>
        <v>08d.</v>
      </c>
      <c r="H424" s="115" t="str">
        <f>CONCATENATE('C-Design&amp;Const'!Z424,IF(Applies_BOT_Presentation_SD="N"," Not Used In This Design Phase",""))</f>
        <v>Design Presentation - Board of Trustees - Audit, Budget, Finance, &amp; Facilities Committee</v>
      </c>
      <c r="I424" s="133"/>
      <c r="J424" s="578" t="str">
        <f>IF('C-Design&amp;Const'!AE424="","",'C-Design&amp;Const'!AE424)</f>
        <v/>
      </c>
      <c r="K424" s="246" t="str">
        <f t="shared" si="40"/>
        <v/>
      </c>
      <c r="L424" s="1410" t="str">
        <f t="shared" si="40"/>
        <v/>
      </c>
      <c r="M424" s="1333"/>
      <c r="N424" s="1333"/>
      <c r="O424" s="1333"/>
      <c r="P424" s="1333"/>
      <c r="Q424" s="1446"/>
      <c r="R424" s="1445"/>
      <c r="S424" s="1458"/>
      <c r="T424" s="1333"/>
      <c r="U424" s="1333"/>
      <c r="V424" s="1333"/>
      <c r="W424" s="1333"/>
      <c r="X424" s="1333"/>
      <c r="Y424" s="1333"/>
      <c r="Z424" s="1333"/>
      <c r="AA424" s="1333"/>
      <c r="AB424" s="1333"/>
      <c r="AC424" s="1333"/>
      <c r="AD424" s="1333"/>
      <c r="AE424" s="1333"/>
      <c r="AF424" s="1333"/>
      <c r="AG424" s="1333"/>
      <c r="AH424" s="1333"/>
      <c r="AI424" s="1333"/>
      <c r="AJ424" s="1333"/>
    </row>
    <row r="425" spans="1:36" x14ac:dyDescent="0.25">
      <c r="A425" s="1462"/>
      <c r="B425" s="125"/>
      <c r="C425" s="943"/>
      <c r="D425" s="297"/>
      <c r="E425" s="559" t="str">
        <f>IF('C-Design&amp;Const'!$I425="","",'C-Design&amp;Const'!$I425)</f>
        <v>Y</v>
      </c>
      <c r="F425" s="494"/>
      <c r="G425" s="495"/>
      <c r="H425" s="1017" t="str">
        <f>CONCATENATE(IF(E425="N","PLACEHOLDER ROW - ",""),IF(E425="N","",J425),'C-Design&amp;Const'!Z425,)</f>
        <v xml:space="preserve">Overall Campus Map next to zoomed in aerial image map </v>
      </c>
      <c r="I425" s="135"/>
      <c r="J425" s="578" t="str">
        <f>IF('C-Design&amp;Const'!AE425="","",'C-Design&amp;Const'!AE425)</f>
        <v/>
      </c>
      <c r="K425" s="246" t="str">
        <f t="shared" si="40"/>
        <v/>
      </c>
      <c r="L425" s="1410" t="str">
        <f t="shared" si="40"/>
        <v/>
      </c>
      <c r="M425" s="1333"/>
      <c r="N425" s="1333"/>
      <c r="O425" s="1333"/>
      <c r="P425" s="1333"/>
      <c r="Q425" s="1446"/>
      <c r="R425" s="1284"/>
      <c r="S425" s="1458"/>
      <c r="T425" s="1333"/>
      <c r="U425" s="1333"/>
      <c r="V425" s="1333"/>
      <c r="W425" s="1333"/>
      <c r="X425" s="1333"/>
      <c r="Y425" s="1333"/>
      <c r="Z425" s="1333"/>
      <c r="AA425" s="1333"/>
      <c r="AB425" s="1333"/>
      <c r="AC425" s="1333"/>
      <c r="AD425" s="1333"/>
      <c r="AE425" s="1333"/>
      <c r="AF425" s="1333"/>
      <c r="AG425" s="1333"/>
      <c r="AH425" s="1333"/>
      <c r="AI425" s="1333"/>
      <c r="AJ425" s="1333"/>
    </row>
    <row r="426" spans="1:36" x14ac:dyDescent="0.25">
      <c r="A426" s="1462"/>
      <c r="B426" s="125"/>
      <c r="C426" s="943"/>
      <c r="D426" s="297"/>
      <c r="E426" s="559" t="str">
        <f>IF('C-Design&amp;Const'!$I426="","",'C-Design&amp;Const'!$I426)</f>
        <v>Y</v>
      </c>
      <c r="F426" s="494"/>
      <c r="G426" s="495"/>
      <c r="H426" s="1017" t="str">
        <f>CONCATENATE(IF(E426="N","PLACEHOLDER ROW - ",""),IF(E426="N","",J426),'C-Design&amp;Const'!Z426,)</f>
        <v>Building Footprint on Master Plan</v>
      </c>
      <c r="I426" s="135"/>
      <c r="J426" s="578" t="str">
        <f>IF('C-Design&amp;Const'!AE426="","",'C-Design&amp;Const'!AE426)</f>
        <v/>
      </c>
      <c r="K426" s="246" t="str">
        <f t="shared" si="40"/>
        <v/>
      </c>
      <c r="L426" s="1410" t="str">
        <f t="shared" si="40"/>
        <v/>
      </c>
      <c r="M426" s="1333"/>
      <c r="N426" s="1333"/>
      <c r="O426" s="1333"/>
      <c r="P426" s="1333"/>
      <c r="Q426" s="1446"/>
      <c r="R426" s="1284"/>
      <c r="S426" s="1458"/>
      <c r="T426" s="1333"/>
      <c r="U426" s="1333"/>
      <c r="V426" s="1333"/>
      <c r="W426" s="1333"/>
      <c r="X426" s="1333"/>
      <c r="Y426" s="1333"/>
      <c r="Z426" s="1333"/>
      <c r="AA426" s="1333"/>
      <c r="AB426" s="1333"/>
      <c r="AC426" s="1333"/>
      <c r="AD426" s="1333"/>
      <c r="AE426" s="1333"/>
      <c r="AF426" s="1333"/>
      <c r="AG426" s="1333"/>
      <c r="AH426" s="1333"/>
      <c r="AI426" s="1333"/>
      <c r="AJ426" s="1333"/>
    </row>
    <row r="427" spans="1:36" x14ac:dyDescent="0.25">
      <c r="A427" s="1462"/>
      <c r="B427" s="125"/>
      <c r="C427" s="943"/>
      <c r="D427" s="297"/>
      <c r="E427" s="559" t="str">
        <f>IF('C-Design&amp;Const'!$I427="","",'C-Design&amp;Const'!$I427)</f>
        <v>Y</v>
      </c>
      <c r="F427" s="494"/>
      <c r="G427" s="495"/>
      <c r="H427" s="1017" t="str">
        <f>CONCATENATE(IF(E427="N","PLACEHOLDER ROW - ",""),IF(E427="N","",J427),'C-Design&amp;Const'!Z427,)</f>
        <v>**Bullet Points of Major Project Goals &amp; Objectives, New GSF, Renovated GSF, Demolished GSF</v>
      </c>
      <c r="I427" s="135"/>
      <c r="J427" s="578" t="str">
        <f>IF('C-Design&amp;Const'!AE427="","",'C-Design&amp;Const'!AE427)</f>
        <v/>
      </c>
      <c r="K427" s="246" t="str">
        <f t="shared" si="40"/>
        <v/>
      </c>
      <c r="L427" s="1410" t="str">
        <f t="shared" si="40"/>
        <v/>
      </c>
      <c r="M427" s="1333"/>
      <c r="N427" s="1333"/>
      <c r="O427" s="1333"/>
      <c r="P427" s="1333"/>
      <c r="Q427" s="1446"/>
      <c r="R427" s="1284"/>
      <c r="S427" s="1458"/>
      <c r="T427" s="1333"/>
      <c r="U427" s="1333"/>
      <c r="V427" s="1333"/>
      <c r="W427" s="1333"/>
      <c r="X427" s="1333"/>
      <c r="Y427" s="1333"/>
      <c r="Z427" s="1333"/>
      <c r="AA427" s="1333"/>
      <c r="AB427" s="1333"/>
      <c r="AC427" s="1333"/>
      <c r="AD427" s="1333"/>
      <c r="AE427" s="1333"/>
      <c r="AF427" s="1333"/>
      <c r="AG427" s="1333"/>
      <c r="AH427" s="1333"/>
      <c r="AI427" s="1333"/>
      <c r="AJ427" s="1333"/>
    </row>
    <row r="428" spans="1:36" x14ac:dyDescent="0.25">
      <c r="A428" s="1462"/>
      <c r="B428" s="125"/>
      <c r="C428" s="943"/>
      <c r="D428" s="297"/>
      <c r="E428" s="559" t="str">
        <f>IF('C-Design&amp;Const'!$I428="","",'C-Design&amp;Const'!$I428)</f>
        <v>N</v>
      </c>
      <c r="F428" s="494"/>
      <c r="G428" s="495"/>
      <c r="H428" s="1017" t="str">
        <f>CONCATENATE(IF(E428="N","PLACEHOLDER ROW - ",""),IF(E428="N","",J428),'C-Design&amp;Const'!Z428,)</f>
        <v>PLACEHOLDER ROW - **Overall Construction Budget, Construction Begin &amp; End</v>
      </c>
      <c r="I428" s="135"/>
      <c r="J428" s="578" t="str">
        <f>IF('C-Design&amp;Const'!AE428="","",'C-Design&amp;Const'!AE428)</f>
        <v/>
      </c>
      <c r="K428" s="246" t="str">
        <f t="shared" si="40"/>
        <v/>
      </c>
      <c r="L428" s="1410" t="str">
        <f t="shared" si="40"/>
        <v>&lt;---PM/Planner may hide PLACEHOLDER ROW</v>
      </c>
      <c r="M428" s="1333"/>
      <c r="N428" s="1333"/>
      <c r="O428" s="1333"/>
      <c r="P428" s="1333"/>
      <c r="Q428" s="1446"/>
      <c r="R428" s="1284"/>
      <c r="S428" s="1284"/>
      <c r="T428" s="1333"/>
      <c r="U428" s="1333"/>
      <c r="V428" s="1333"/>
      <c r="W428" s="1333"/>
      <c r="X428" s="1333"/>
      <c r="Y428" s="1333"/>
      <c r="Z428" s="1333"/>
      <c r="AA428" s="1333"/>
      <c r="AB428" s="1333"/>
      <c r="AC428" s="1333"/>
      <c r="AD428" s="1333"/>
      <c r="AE428" s="1333"/>
      <c r="AF428" s="1333"/>
      <c r="AG428" s="1333"/>
      <c r="AH428" s="1333"/>
      <c r="AI428" s="1333"/>
      <c r="AJ428" s="1333"/>
    </row>
    <row r="429" spans="1:36" x14ac:dyDescent="0.25">
      <c r="A429" s="1462"/>
      <c r="B429" s="125"/>
      <c r="C429" s="943"/>
      <c r="D429" s="297"/>
      <c r="E429" s="559" t="str">
        <f>IF('C-Design&amp;Const'!$I429="","",'C-Design&amp;Const'!$I429)</f>
        <v>N</v>
      </c>
      <c r="F429" s="494"/>
      <c r="G429" s="495"/>
      <c r="H429" s="1017" t="str">
        <f>CONCATENATE(IF(E429="N","PLACEHOLDER ROW - ",""),IF(E429="N","",J429),'C-Design&amp;Const'!Z429,)</f>
        <v>PLACEHOLDER ROW - **LEED Goal and highlights of LEED measures</v>
      </c>
      <c r="I429" s="135"/>
      <c r="J429" s="578" t="str">
        <f>IF('C-Design&amp;Const'!AE429="","",'C-Design&amp;Const'!AE429)</f>
        <v/>
      </c>
      <c r="K429" s="246" t="str">
        <f t="shared" si="40"/>
        <v/>
      </c>
      <c r="L429" s="1410" t="str">
        <f t="shared" si="40"/>
        <v>&lt;---PM/Planner may hide PLACEHOLDER ROW</v>
      </c>
      <c r="M429" s="1333"/>
      <c r="N429" s="1333"/>
      <c r="O429" s="1333"/>
      <c r="P429" s="1333"/>
      <c r="Q429" s="1446"/>
      <c r="R429" s="1284"/>
      <c r="S429" s="1284"/>
      <c r="T429" s="1333"/>
      <c r="U429" s="1333"/>
      <c r="V429" s="1333"/>
      <c r="W429" s="1333"/>
      <c r="X429" s="1333"/>
      <c r="Y429" s="1333"/>
      <c r="Z429" s="1333"/>
      <c r="AA429" s="1333"/>
      <c r="AB429" s="1333"/>
      <c r="AC429" s="1333"/>
      <c r="AD429" s="1333"/>
      <c r="AE429" s="1333"/>
      <c r="AF429" s="1333"/>
      <c r="AG429" s="1333"/>
      <c r="AH429" s="1333"/>
      <c r="AI429" s="1333"/>
      <c r="AJ429" s="1333"/>
    </row>
    <row r="430" spans="1:36" x14ac:dyDescent="0.25">
      <c r="A430" s="1462"/>
      <c r="B430" s="125"/>
      <c r="C430" s="943"/>
      <c r="D430" s="297"/>
      <c r="E430" s="559" t="str">
        <f>IF('C-Design&amp;Const'!$I430="","",'C-Design&amp;Const'!$I430)</f>
        <v>Y</v>
      </c>
      <c r="F430" s="494"/>
      <c r="G430" s="495"/>
      <c r="H430" s="1017" t="str">
        <f>CONCATENATE(IF(E430="N","PLACEHOLDER ROW - ",""),IF(E430="N","",J430),'C-Design&amp;Const'!Z430,)</f>
        <v>Proposed combined Site / Landscape Plan</v>
      </c>
      <c r="I430" s="135"/>
      <c r="J430" s="578" t="str">
        <f>IF('C-Design&amp;Const'!AE430="","",'C-Design&amp;Const'!AE430)</f>
        <v/>
      </c>
      <c r="K430" s="246" t="str">
        <f t="shared" si="40"/>
        <v/>
      </c>
      <c r="L430" s="1410" t="str">
        <f t="shared" si="40"/>
        <v/>
      </c>
      <c r="M430" s="1333"/>
      <c r="N430" s="1333"/>
      <c r="O430" s="1333"/>
      <c r="P430" s="1333"/>
      <c r="Q430" s="1446"/>
      <c r="R430" s="1284"/>
      <c r="S430" s="1284"/>
      <c r="T430" s="1333"/>
      <c r="U430" s="1333"/>
      <c r="V430" s="1333"/>
      <c r="W430" s="1333"/>
      <c r="X430" s="1333"/>
      <c r="Y430" s="1333"/>
      <c r="Z430" s="1333"/>
      <c r="AA430" s="1333"/>
      <c r="AB430" s="1333"/>
      <c r="AC430" s="1333"/>
      <c r="AD430" s="1333"/>
      <c r="AE430" s="1333"/>
      <c r="AF430" s="1333"/>
      <c r="AG430" s="1333"/>
      <c r="AH430" s="1333"/>
      <c r="AI430" s="1333"/>
      <c r="AJ430" s="1333"/>
    </row>
    <row r="431" spans="1:36" x14ac:dyDescent="0.25">
      <c r="A431" s="1462"/>
      <c r="B431" s="125"/>
      <c r="C431" s="943"/>
      <c r="D431" s="297"/>
      <c r="E431" s="559" t="str">
        <f>IF('C-Design&amp;Const'!$I431="","",'C-Design&amp;Const'!$I431)</f>
        <v>Y</v>
      </c>
      <c r="F431" s="494"/>
      <c r="G431" s="495"/>
      <c r="H431" s="1017" t="str">
        <f>CONCATENATE(IF(E431="N","PLACEHOLDER ROW - ",""),IF(E431="N","",J431),'C-Design&amp;Const'!Z431,)</f>
        <v xml:space="preserve">Massing or Renderings of </v>
      </c>
      <c r="I431" s="135"/>
      <c r="J431" s="578" t="str">
        <f>IF('C-Design&amp;Const'!AE431="","",'C-Design&amp;Const'!AE431)</f>
        <v/>
      </c>
      <c r="K431" s="246" t="str">
        <f t="shared" ref="K431:L433" si="42">CONCATENATE(IF(ISNUMBER(SEARCH("Placeholder",G431))=TRUE,"&lt;---PM/Planner may hide PLACEHOLDER ROW",""))</f>
        <v/>
      </c>
      <c r="L431" s="1410" t="str">
        <f t="shared" si="42"/>
        <v/>
      </c>
      <c r="M431" s="1333"/>
      <c r="N431" s="1333"/>
      <c r="O431" s="1333"/>
      <c r="P431" s="1333"/>
      <c r="Q431" s="1446"/>
      <c r="R431" s="1284"/>
      <c r="S431" s="1284"/>
      <c r="T431" s="1333"/>
      <c r="U431" s="1333"/>
      <c r="V431" s="1333"/>
      <c r="W431" s="1333"/>
      <c r="X431" s="1333"/>
      <c r="Y431" s="1333"/>
      <c r="Z431" s="1333"/>
      <c r="AA431" s="1333"/>
      <c r="AB431" s="1333"/>
      <c r="AC431" s="1333"/>
      <c r="AD431" s="1333"/>
      <c r="AE431" s="1333"/>
      <c r="AF431" s="1333"/>
      <c r="AG431" s="1333"/>
      <c r="AH431" s="1333"/>
      <c r="AI431" s="1333"/>
      <c r="AJ431" s="1333"/>
    </row>
    <row r="432" spans="1:36" x14ac:dyDescent="0.25">
      <c r="A432" s="1462"/>
      <c r="B432" s="125"/>
      <c r="C432" s="943"/>
      <c r="D432" s="297"/>
      <c r="E432" s="297"/>
      <c r="F432" s="559" t="str">
        <f>IF('C-Design&amp;Const'!$I432="","",'C-Design&amp;Const'!$I432)</f>
        <v>Y</v>
      </c>
      <c r="G432" s="495"/>
      <c r="H432" s="1018" t="str">
        <f>CONCATENATE(IF(E432="N","PLACEHOLDER ROW - ",""),IF(E432="N","",J432),'C-Design&amp;Const'!Z432,)</f>
        <v>All Exterior Elevations with materials identified</v>
      </c>
      <c r="I432" s="135"/>
      <c r="J432" s="578" t="str">
        <f>IF('C-Design&amp;Const'!AE432="","",'C-Design&amp;Const'!AE432)</f>
        <v/>
      </c>
      <c r="K432" s="246" t="str">
        <f t="shared" si="42"/>
        <v/>
      </c>
      <c r="L432" s="1410" t="str">
        <f t="shared" si="42"/>
        <v/>
      </c>
      <c r="M432" s="1333"/>
      <c r="N432" s="1333"/>
      <c r="O432" s="1333"/>
      <c r="P432" s="1333"/>
      <c r="Q432" s="1446"/>
      <c r="R432" s="1284"/>
      <c r="S432" s="1284"/>
      <c r="T432" s="1333"/>
      <c r="U432" s="1333"/>
      <c r="V432" s="1333"/>
      <c r="W432" s="1333"/>
      <c r="X432" s="1333"/>
      <c r="Y432" s="1333"/>
      <c r="Z432" s="1333"/>
      <c r="AA432" s="1333"/>
      <c r="AB432" s="1333"/>
      <c r="AC432" s="1333"/>
      <c r="AD432" s="1333"/>
      <c r="AE432" s="1333"/>
      <c r="AF432" s="1333"/>
      <c r="AG432" s="1333"/>
      <c r="AH432" s="1333"/>
      <c r="AI432" s="1333"/>
      <c r="AJ432" s="1333"/>
    </row>
    <row r="433" spans="1:36" ht="28.5" x14ac:dyDescent="0.25">
      <c r="A433" s="1462"/>
      <c r="B433" s="125"/>
      <c r="C433" s="943"/>
      <c r="D433" s="297"/>
      <c r="E433" s="297"/>
      <c r="F433" s="559" t="str">
        <f>IF('C-Design&amp;Const'!$I433="","",'C-Design&amp;Const'!$I433)</f>
        <v>Y</v>
      </c>
      <c r="G433" s="495"/>
      <c r="H433" s="1018" t="str">
        <f>CONCATENATE(IF(E433="N","PLACEHOLDER ROW - ",""),IF(E433="N","",J433),'C-Design&amp;Const'!Z433,)</f>
        <v>All major public spaces (entrances, galleries, auditoriums, lecture halls, etc…) with materials identified</v>
      </c>
      <c r="I433" s="135"/>
      <c r="J433" s="578" t="str">
        <f>IF('C-Design&amp;Const'!AE433="","",'C-Design&amp;Const'!AE433)</f>
        <v/>
      </c>
      <c r="K433" s="246" t="str">
        <f t="shared" si="42"/>
        <v/>
      </c>
      <c r="L433" s="1410" t="str">
        <f t="shared" si="42"/>
        <v/>
      </c>
      <c r="M433" s="1333"/>
      <c r="N433" s="1333"/>
      <c r="O433" s="1333"/>
      <c r="P433" s="1333"/>
      <c r="Q433" s="1446"/>
      <c r="R433" s="1284"/>
      <c r="S433" s="1284"/>
      <c r="T433" s="1333"/>
      <c r="U433" s="1333"/>
      <c r="V433" s="1333"/>
      <c r="W433" s="1333"/>
      <c r="X433" s="1333"/>
      <c r="Y433" s="1333"/>
      <c r="Z433" s="1333"/>
      <c r="AA433" s="1333"/>
      <c r="AB433" s="1333"/>
      <c r="AC433" s="1333"/>
      <c r="AD433" s="1333"/>
      <c r="AE433" s="1333"/>
      <c r="AF433" s="1333"/>
      <c r="AG433" s="1333"/>
      <c r="AH433" s="1333"/>
      <c r="AI433" s="1333"/>
      <c r="AJ433" s="1333"/>
    </row>
    <row r="434" spans="1:36" x14ac:dyDescent="0.25">
      <c r="A434" s="1462"/>
      <c r="B434" s="125"/>
      <c r="C434" s="943"/>
      <c r="D434" s="297"/>
      <c r="E434" s="559" t="str">
        <f>IF('C-Design&amp;Const'!$I434="","",'C-Design&amp;Const'!$I434)</f>
        <v>Y</v>
      </c>
      <c r="F434" s="494"/>
      <c r="G434" s="495"/>
      <c r="H434" s="1017" t="str">
        <f>CONCATENATE(IF(E434="N","PLACEHOLDER ROW - ",""),IF(E434="N","",J434),'C-Design&amp;Const'!Z434,)</f>
        <v>Stacked Floor Plans with space types show by color (include key)</v>
      </c>
      <c r="I434" s="135"/>
      <c r="J434" s="578" t="str">
        <f>IF('C-Design&amp;Const'!AE434="","",'C-Design&amp;Const'!AE434)</f>
        <v/>
      </c>
      <c r="K434" s="246" t="str">
        <f t="shared" si="40"/>
        <v/>
      </c>
      <c r="L434" s="1410" t="str">
        <f t="shared" si="40"/>
        <v/>
      </c>
      <c r="M434" s="1333"/>
      <c r="N434" s="1333"/>
      <c r="O434" s="1333"/>
      <c r="P434" s="1333"/>
      <c r="Q434" s="1446"/>
      <c r="R434" s="1284"/>
      <c r="S434" s="1284"/>
      <c r="T434" s="1333"/>
      <c r="U434" s="1333"/>
      <c r="V434" s="1333"/>
      <c r="W434" s="1333"/>
      <c r="X434" s="1333"/>
      <c r="Y434" s="1333"/>
      <c r="Z434" s="1333"/>
      <c r="AA434" s="1333"/>
      <c r="AB434" s="1333"/>
      <c r="AC434" s="1333"/>
      <c r="AD434" s="1333"/>
      <c r="AE434" s="1333"/>
      <c r="AF434" s="1333"/>
      <c r="AG434" s="1333"/>
      <c r="AH434" s="1333"/>
      <c r="AI434" s="1333"/>
      <c r="AJ434" s="1333"/>
    </row>
    <row r="435" spans="1:36" ht="28.5" x14ac:dyDescent="0.25">
      <c r="A435" s="1462"/>
      <c r="B435" s="125"/>
      <c r="C435" s="943"/>
      <c r="D435" s="297"/>
      <c r="E435" s="559" t="str">
        <f>IF('C-Design&amp;Const'!$I435="","",'C-Design&amp;Const'!$I435)</f>
        <v>N</v>
      </c>
      <c r="F435" s="494"/>
      <c r="G435" s="495"/>
      <c r="H435" s="1017" t="str">
        <f>CONCATENATE(IF(E435="N","PLACEHOLDER ROW - ",""),IF(E435="N","",J435),'C-Design&amp;Const'!Z435,)</f>
        <v>PLACEHOLDER ROW - Simple full building sections showing relative spaces and framing from floor to floor.</v>
      </c>
      <c r="I435" s="135"/>
      <c r="J435" s="578" t="str">
        <f>IF('C-Design&amp;Const'!AE435="","",'C-Design&amp;Const'!AE435)</f>
        <v/>
      </c>
      <c r="K435" s="246" t="str">
        <f t="shared" si="40"/>
        <v/>
      </c>
      <c r="L435" s="1410" t="str">
        <f t="shared" si="40"/>
        <v>&lt;---PM/Planner may hide PLACEHOLDER ROW</v>
      </c>
      <c r="M435" s="1333"/>
      <c r="N435" s="1333"/>
      <c r="O435" s="1333"/>
      <c r="P435" s="1333"/>
      <c r="Q435" s="1446"/>
      <c r="R435" s="1284"/>
      <c r="S435" s="1284"/>
      <c r="T435" s="1333"/>
      <c r="U435" s="1333"/>
      <c r="V435" s="1333"/>
      <c r="W435" s="1333"/>
      <c r="X435" s="1333"/>
      <c r="Y435" s="1333"/>
      <c r="Z435" s="1333"/>
      <c r="AA435" s="1333"/>
      <c r="AB435" s="1333"/>
      <c r="AC435" s="1333"/>
      <c r="AD435" s="1333"/>
      <c r="AE435" s="1333"/>
      <c r="AF435" s="1333"/>
      <c r="AG435" s="1333"/>
      <c r="AH435" s="1333"/>
      <c r="AI435" s="1333"/>
      <c r="AJ435" s="1333"/>
    </row>
    <row r="436" spans="1:36" x14ac:dyDescent="0.25">
      <c r="A436" s="1462"/>
      <c r="B436" s="125"/>
      <c r="C436" s="943"/>
      <c r="D436" s="297"/>
      <c r="E436" s="559" t="str">
        <f>IF('C-Design&amp;Const'!$I436="","",'C-Design&amp;Const'!$I436)</f>
        <v>N</v>
      </c>
      <c r="F436" s="494"/>
      <c r="G436" s="495"/>
      <c r="H436" s="1017" t="str">
        <f>CONCATENATE(IF(E436="N","PLACEHOLDER ROW - ",""),IF(E436="N","",J436),'C-Design&amp;Const'!Z436,)</f>
        <v>PLACEHOLDER ROW - General Air Handling Unit Fan Maps</v>
      </c>
      <c r="I436" s="135"/>
      <c r="J436" s="578" t="str">
        <f>IF('C-Design&amp;Const'!AE436="","",'C-Design&amp;Const'!AE436)</f>
        <v/>
      </c>
      <c r="K436" s="246" t="str">
        <f t="shared" si="40"/>
        <v/>
      </c>
      <c r="L436" s="1410" t="str">
        <f t="shared" si="40"/>
        <v>&lt;---PM/Planner may hide PLACEHOLDER ROW</v>
      </c>
      <c r="M436" s="1333"/>
      <c r="N436" s="1333"/>
      <c r="O436" s="1333"/>
      <c r="P436" s="1333"/>
      <c r="Q436" s="1446"/>
      <c r="R436" s="1284"/>
      <c r="S436" s="1284"/>
      <c r="T436" s="1333"/>
      <c r="U436" s="1333"/>
      <c r="V436" s="1333"/>
      <c r="W436" s="1333"/>
      <c r="X436" s="1333"/>
      <c r="Y436" s="1333"/>
      <c r="Z436" s="1333"/>
      <c r="AA436" s="1333"/>
      <c r="AB436" s="1333"/>
      <c r="AC436" s="1333"/>
      <c r="AD436" s="1333"/>
      <c r="AE436" s="1333"/>
      <c r="AF436" s="1333"/>
      <c r="AG436" s="1333"/>
      <c r="AH436" s="1333"/>
      <c r="AI436" s="1333"/>
      <c r="AJ436" s="1333"/>
    </row>
    <row r="437" spans="1:36" x14ac:dyDescent="0.25">
      <c r="A437" s="1462"/>
      <c r="B437" s="125"/>
      <c r="C437" s="943"/>
      <c r="D437" s="297"/>
      <c r="E437" s="559" t="str">
        <f>IF('C-Design&amp;Const'!$I437="","",'C-Design&amp;Const'!$I437)</f>
        <v>Y</v>
      </c>
      <c r="F437" s="494"/>
      <c r="G437" s="495"/>
      <c r="H437" s="1017" t="str">
        <f>CONCATENATE(IF(E437="N","PLACEHOLDER ROW - ",""),IF(E437="N","",J437),'C-Design&amp;Const'!Z437,)</f>
        <v>Incorporated Comments from CDAC</v>
      </c>
      <c r="I437" s="135"/>
      <c r="J437" s="578" t="str">
        <f>IF('C-Design&amp;Const'!AE437="","",'C-Design&amp;Const'!AE437)</f>
        <v/>
      </c>
      <c r="K437" s="246" t="str">
        <f t="shared" si="40"/>
        <v/>
      </c>
      <c r="L437" s="1410" t="str">
        <f t="shared" si="40"/>
        <v/>
      </c>
      <c r="M437" s="1333"/>
      <c r="N437" s="1333"/>
      <c r="O437" s="1333"/>
      <c r="P437" s="1333"/>
      <c r="Q437" s="1446"/>
      <c r="R437" s="1284"/>
      <c r="S437" s="1284"/>
      <c r="T437" s="1333"/>
      <c r="U437" s="1333"/>
      <c r="V437" s="1333"/>
      <c r="W437" s="1333"/>
      <c r="X437" s="1333"/>
      <c r="Y437" s="1333"/>
      <c r="Z437" s="1333"/>
      <c r="AA437" s="1333"/>
      <c r="AB437" s="1333"/>
      <c r="AC437" s="1333"/>
      <c r="AD437" s="1333"/>
      <c r="AE437" s="1333"/>
      <c r="AF437" s="1333"/>
      <c r="AG437" s="1333"/>
      <c r="AH437" s="1333"/>
      <c r="AI437" s="1333"/>
      <c r="AJ437" s="1333"/>
    </row>
    <row r="438" spans="1:36" x14ac:dyDescent="0.25">
      <c r="A438" s="1462"/>
      <c r="B438" s="125"/>
      <c r="C438" s="943"/>
      <c r="D438" s="297"/>
      <c r="E438" s="559" t="str">
        <f>IF('C-Design&amp;Const'!$I438="","",'C-Design&amp;Const'!$I438)</f>
        <v>N</v>
      </c>
      <c r="F438" s="494"/>
      <c r="G438" s="495"/>
      <c r="H438" s="1017" t="str">
        <f>CONCATENATE(IF(E438="N","PLACEHOLDER ROW - ",""),IF(E438="N","",J438),'C-Design&amp;Const'!Z438,)</f>
        <v>PLACEHOLDER ROW - CUSTOM ROW - OPTIONAL CLIENT ITEM</v>
      </c>
      <c r="I438" s="135"/>
      <c r="J438" s="578" t="str">
        <f>IF('C-Design&amp;Const'!AE438="","",'C-Design&amp;Const'!AE438)</f>
        <v/>
      </c>
      <c r="K438" s="246" t="str">
        <f t="shared" si="40"/>
        <v/>
      </c>
      <c r="L438" s="1410" t="str">
        <f t="shared" si="40"/>
        <v>&lt;---PM/Planner may hide PLACEHOLDER ROW</v>
      </c>
      <c r="M438" s="1333"/>
      <c r="N438" s="1333"/>
      <c r="O438" s="1333"/>
      <c r="P438" s="1333"/>
      <c r="Q438" s="1446"/>
      <c r="R438" s="1284"/>
      <c r="S438" s="1284"/>
      <c r="T438" s="1333"/>
      <c r="U438" s="1333"/>
      <c r="V438" s="1333"/>
      <c r="W438" s="1333"/>
      <c r="X438" s="1333"/>
      <c r="Y438" s="1333"/>
      <c r="Z438" s="1333"/>
      <c r="AA438" s="1333"/>
      <c r="AB438" s="1333"/>
      <c r="AC438" s="1333"/>
      <c r="AD438" s="1333"/>
      <c r="AE438" s="1333"/>
      <c r="AF438" s="1333"/>
      <c r="AG438" s="1333"/>
      <c r="AH438" s="1333"/>
      <c r="AI438" s="1333"/>
      <c r="AJ438" s="1333"/>
    </row>
    <row r="439" spans="1:36" x14ac:dyDescent="0.25">
      <c r="A439" s="1462"/>
      <c r="B439" s="125"/>
      <c r="C439" s="943"/>
      <c r="D439" s="297"/>
      <c r="E439" s="559" t="str">
        <f>IF('C-Design&amp;Const'!$I439="","",'C-Design&amp;Const'!$I439)</f>
        <v>N</v>
      </c>
      <c r="F439" s="494"/>
      <c r="G439" s="495"/>
      <c r="H439" s="1017" t="str">
        <f>CONCATENATE(IF(E439="N","PLACEHOLDER ROW - ",""),IF(E439="N","",J439),'C-Design&amp;Const'!Z439,)</f>
        <v>PLACEHOLDER ROW - CUSTOM ROW - OPTIONAL CLIENT ITEM</v>
      </c>
      <c r="I439" s="135"/>
      <c r="J439" s="578" t="str">
        <f>IF('C-Design&amp;Const'!AE439="","",'C-Design&amp;Const'!AE439)</f>
        <v/>
      </c>
      <c r="K439" s="246" t="str">
        <f t="shared" si="40"/>
        <v/>
      </c>
      <c r="L439" s="1410" t="str">
        <f t="shared" si="40"/>
        <v>&lt;---PM/Planner may hide PLACEHOLDER ROW</v>
      </c>
      <c r="M439" s="1333"/>
      <c r="N439" s="1333"/>
      <c r="O439" s="1333"/>
      <c r="P439" s="1333"/>
      <c r="Q439" s="1446"/>
      <c r="R439" s="1284"/>
      <c r="S439" s="1284"/>
      <c r="T439" s="1333"/>
      <c r="U439" s="1333"/>
      <c r="V439" s="1333"/>
      <c r="W439" s="1333"/>
      <c r="X439" s="1333"/>
      <c r="Y439" s="1333"/>
      <c r="Z439" s="1333"/>
      <c r="AA439" s="1333"/>
      <c r="AB439" s="1333"/>
      <c r="AC439" s="1333"/>
      <c r="AD439" s="1333"/>
      <c r="AE439" s="1333"/>
      <c r="AF439" s="1333"/>
      <c r="AG439" s="1333"/>
      <c r="AH439" s="1333"/>
      <c r="AI439" s="1333"/>
      <c r="AJ439" s="1333"/>
    </row>
    <row r="440" spans="1:36" x14ac:dyDescent="0.25">
      <c r="A440" s="1462"/>
      <c r="B440" s="125"/>
      <c r="C440" s="943"/>
      <c r="D440" s="297"/>
      <c r="E440" s="559" t="str">
        <f>IF('C-Design&amp;Const'!$I440="","",'C-Design&amp;Const'!$I440)</f>
        <v>N</v>
      </c>
      <c r="F440" s="494"/>
      <c r="G440" s="495"/>
      <c r="H440" s="1017" t="str">
        <f>CONCATENATE(IF(E440="N","PLACEHOLDER ROW - ",""),IF(E440="N","",J440),'C-Design&amp;Const'!Z440,)</f>
        <v>PLACEHOLDER ROW - CUSTOM ROW - OPTIONAL CLIENT ITEM</v>
      </c>
      <c r="I440" s="135"/>
      <c r="J440" s="578" t="str">
        <f>IF('C-Design&amp;Const'!AE440="","",'C-Design&amp;Const'!AE440)</f>
        <v/>
      </c>
      <c r="K440" s="246" t="str">
        <f t="shared" si="40"/>
        <v/>
      </c>
      <c r="L440" s="1410" t="str">
        <f t="shared" si="40"/>
        <v>&lt;---PM/Planner may hide PLACEHOLDER ROW</v>
      </c>
      <c r="M440" s="1333"/>
      <c r="N440" s="1333"/>
      <c r="O440" s="1333"/>
      <c r="P440" s="1333"/>
      <c r="Q440" s="1446"/>
      <c r="R440" s="1284"/>
      <c r="S440" s="1284"/>
      <c r="T440" s="1333"/>
      <c r="U440" s="1333"/>
      <c r="V440" s="1333"/>
      <c r="W440" s="1333"/>
      <c r="X440" s="1333"/>
      <c r="Y440" s="1333"/>
      <c r="Z440" s="1333"/>
      <c r="AA440" s="1333"/>
      <c r="AB440" s="1333"/>
      <c r="AC440" s="1333"/>
      <c r="AD440" s="1333"/>
      <c r="AE440" s="1333"/>
      <c r="AF440" s="1333"/>
      <c r="AG440" s="1333"/>
      <c r="AH440" s="1333"/>
      <c r="AI440" s="1333"/>
      <c r="AJ440" s="1333"/>
    </row>
    <row r="441" spans="1:36" x14ac:dyDescent="0.25">
      <c r="A441" s="1462"/>
      <c r="B441" s="125"/>
      <c r="C441" s="943"/>
      <c r="D441" s="297"/>
      <c r="E441" s="559" t="str">
        <f>IF('C-Design&amp;Const'!$I441="","",'C-Design&amp;Const'!$I441)</f>
        <v>N</v>
      </c>
      <c r="F441" s="494"/>
      <c r="G441" s="495"/>
      <c r="H441" s="1017" t="str">
        <f>CONCATENATE(IF(E441="N","PLACEHOLDER ROW - ",""),IF(E441="N","",J441),'C-Design&amp;Const'!Z441,)</f>
        <v>PLACEHOLDER ROW - CUSTOM ROW - OPTIONAL CLIENT ITEM</v>
      </c>
      <c r="I441" s="135"/>
      <c r="J441" s="578" t="str">
        <f>IF('C-Design&amp;Const'!AE441="","",'C-Design&amp;Const'!AE441)</f>
        <v/>
      </c>
      <c r="K441" s="246" t="str">
        <f t="shared" si="40"/>
        <v/>
      </c>
      <c r="L441" s="1410" t="str">
        <f t="shared" si="40"/>
        <v>&lt;---PM/Planner may hide PLACEHOLDER ROW</v>
      </c>
      <c r="M441" s="1333"/>
      <c r="N441" s="1333"/>
      <c r="O441" s="1333"/>
      <c r="P441" s="1333"/>
      <c r="Q441" s="1446"/>
      <c r="R441" s="1284"/>
      <c r="S441" s="1284"/>
      <c r="T441" s="1333"/>
      <c r="U441" s="1333"/>
      <c r="V441" s="1333"/>
      <c r="W441" s="1333"/>
      <c r="X441" s="1333"/>
      <c r="Y441" s="1333"/>
      <c r="Z441" s="1333"/>
      <c r="AA441" s="1333"/>
      <c r="AB441" s="1333"/>
      <c r="AC441" s="1333"/>
      <c r="AD441" s="1333"/>
      <c r="AE441" s="1333"/>
      <c r="AF441" s="1333"/>
      <c r="AG441" s="1333"/>
      <c r="AH441" s="1333"/>
      <c r="AI441" s="1333"/>
      <c r="AJ441" s="1333"/>
    </row>
    <row r="442" spans="1:36" ht="20.25" customHeight="1" x14ac:dyDescent="0.25">
      <c r="A442" s="1462"/>
      <c r="B442" s="125"/>
      <c r="C442" s="943"/>
      <c r="D442" s="297"/>
      <c r="E442" s="297"/>
      <c r="F442" s="297"/>
      <c r="G442" s="447"/>
      <c r="H442" s="1638" t="str">
        <f>CONCATENATE(IF(E442="N","PLACEHOLDER ROW - ",""),IF(E442="N","",J442),'C-Design&amp;Const'!Z442,)</f>
        <v>**  - For presentations, combine these items on to 1 or 2 total slides.</v>
      </c>
      <c r="I442" s="130"/>
      <c r="J442" s="578" t="str">
        <f>IF('C-Design&amp;Const'!AE442="","",'C-Design&amp;Const'!AE442)</f>
        <v/>
      </c>
      <c r="K442" s="246" t="str">
        <f t="shared" si="40"/>
        <v/>
      </c>
      <c r="L442" s="1410" t="str">
        <f t="shared" si="40"/>
        <v/>
      </c>
      <c r="M442" s="1333"/>
      <c r="N442" s="1333"/>
      <c r="O442" s="1333"/>
      <c r="P442" s="1333"/>
      <c r="Q442" s="1444"/>
      <c r="R442" s="1284"/>
      <c r="S442" s="1284"/>
      <c r="T442" s="1333"/>
      <c r="U442" s="1333"/>
      <c r="V442" s="1333"/>
      <c r="W442" s="1333"/>
      <c r="X442" s="1333"/>
      <c r="Y442" s="1333"/>
      <c r="Z442" s="1333"/>
      <c r="AA442" s="1333"/>
      <c r="AB442" s="1333"/>
      <c r="AC442" s="1333"/>
      <c r="AD442" s="1333"/>
      <c r="AE442" s="1333"/>
      <c r="AF442" s="1333"/>
      <c r="AG442" s="1333"/>
      <c r="AH442" s="1333"/>
      <c r="AI442" s="1333"/>
      <c r="AJ442" s="1333"/>
    </row>
    <row r="443" spans="1:36" ht="23.25" customHeight="1" x14ac:dyDescent="0.25">
      <c r="A443" s="1462" t="str">
        <f>'C-Design&amp;Const'!J443</f>
        <v>N</v>
      </c>
      <c r="B443" s="125"/>
      <c r="C443" s="943"/>
      <c r="D443" s="359" t="str">
        <f>IF('C-Design&amp;Const'!$I443="","",'C-Design&amp;Const'!$I443)</f>
        <v>Y</v>
      </c>
      <c r="E443" s="492"/>
      <c r="F443" s="493"/>
      <c r="G443" s="449" t="str">
        <f>IF('C-Design&amp;Const'!Y443="","",'C-Design&amp;Const'!Y443)</f>
        <v>09.</v>
      </c>
      <c r="H443" s="239" t="str">
        <f>(CONCATENATE('C-Design&amp;Const'!Z443,IF(D443="N"," Not Used In This Design Phase",J443)))</f>
        <v>Illinois State Historic Preservation Office (ISHPO)</v>
      </c>
      <c r="I443" s="133"/>
      <c r="J443" s="578" t="str">
        <f>IF('C-Design&amp;Const'!AE443="","",'C-Design&amp;Const'!AE443)</f>
        <v/>
      </c>
      <c r="K443" s="246" t="str">
        <f t="shared" si="40"/>
        <v/>
      </c>
      <c r="L443" s="1410" t="str">
        <f t="shared" si="40"/>
        <v/>
      </c>
      <c r="M443" s="1333"/>
      <c r="N443" s="1333"/>
      <c r="O443" s="1333"/>
      <c r="P443" s="1333"/>
      <c r="Q443" s="1446"/>
      <c r="R443" s="1445"/>
      <c r="S443" s="1284"/>
      <c r="T443" s="1333"/>
      <c r="U443" s="1333"/>
      <c r="V443" s="1333"/>
      <c r="W443" s="1333"/>
      <c r="X443" s="1333"/>
      <c r="Y443" s="1333"/>
      <c r="Z443" s="1333"/>
      <c r="AA443" s="1333"/>
      <c r="AB443" s="1333"/>
      <c r="AC443" s="1333"/>
      <c r="AD443" s="1333"/>
      <c r="AE443" s="1333"/>
      <c r="AF443" s="1333"/>
      <c r="AG443" s="1333"/>
      <c r="AH443" s="1333"/>
      <c r="AI443" s="1333"/>
      <c r="AJ443" s="1333"/>
    </row>
    <row r="444" spans="1:36" x14ac:dyDescent="0.25">
      <c r="A444" s="1483"/>
      <c r="B444" s="125"/>
      <c r="C444" s="943"/>
      <c r="D444" s="297"/>
      <c r="E444" s="559" t="str">
        <f>IF('C-Design&amp;Const'!$I444="","",'C-Design&amp;Const'!$I444)</f>
        <v>Y</v>
      </c>
      <c r="F444" s="494"/>
      <c r="G444" s="495"/>
      <c r="H444" s="1017" t="str">
        <f>CONCATENATE(IF(E444="N","PLACEHOLDER ROW - ",""),IF(E444="N","",J444),'C-Design&amp;Const'!Z444,)</f>
        <v>Meeting notes from walk through with ISHPO</v>
      </c>
      <c r="I444" s="135"/>
      <c r="J444" s="578" t="str">
        <f>IF('C-Design&amp;Const'!AE444="","",'C-Design&amp;Const'!AE444)</f>
        <v/>
      </c>
      <c r="K444" s="246" t="str">
        <f t="shared" si="40"/>
        <v/>
      </c>
      <c r="L444" s="1410" t="str">
        <f t="shared" si="40"/>
        <v/>
      </c>
      <c r="M444" s="1333"/>
      <c r="N444" s="1333"/>
      <c r="O444" s="1333"/>
      <c r="P444" s="1333"/>
      <c r="Q444" s="1446"/>
      <c r="R444" s="1284"/>
      <c r="S444" s="1284"/>
      <c r="T444" s="1333"/>
      <c r="U444" s="1333"/>
      <c r="V444" s="1333"/>
      <c r="W444" s="1333"/>
      <c r="X444" s="1333"/>
      <c r="Y444" s="1333"/>
      <c r="Z444" s="1333"/>
      <c r="AA444" s="1333"/>
      <c r="AB444" s="1333"/>
      <c r="AC444" s="1333"/>
      <c r="AD444" s="1333"/>
      <c r="AE444" s="1333"/>
      <c r="AF444" s="1333"/>
      <c r="AG444" s="1333"/>
      <c r="AH444" s="1333"/>
      <c r="AI444" s="1333"/>
      <c r="AJ444" s="1333"/>
    </row>
    <row r="445" spans="1:36" x14ac:dyDescent="0.25">
      <c r="A445" s="1483"/>
      <c r="B445" s="125"/>
      <c r="C445" s="943"/>
      <c r="D445" s="297"/>
      <c r="E445" s="559" t="str">
        <f>IF('C-Design&amp;Const'!$I445="","",'C-Design&amp;Const'!$I445)</f>
        <v>Y</v>
      </c>
      <c r="F445" s="494"/>
      <c r="G445" s="495"/>
      <c r="H445" s="1017" t="str">
        <f>CONCATENATE(IF(E445="N","PLACEHOLDER ROW - ",""),IF(E445="N","",J445),'C-Design&amp;Const'!Z445,)</f>
        <v>Narrative on building and historical significance</v>
      </c>
      <c r="I445" s="135"/>
      <c r="J445" s="578" t="str">
        <f>IF('C-Design&amp;Const'!AE445="","",'C-Design&amp;Const'!AE445)</f>
        <v/>
      </c>
      <c r="K445" s="246" t="str">
        <f t="shared" si="40"/>
        <v/>
      </c>
      <c r="L445" s="1410" t="str">
        <f t="shared" si="40"/>
        <v/>
      </c>
      <c r="M445" s="1333"/>
      <c r="N445" s="1333"/>
      <c r="O445" s="1333"/>
      <c r="P445" s="1333"/>
      <c r="Q445" s="1446"/>
      <c r="R445" s="1284"/>
      <c r="S445" s="1284"/>
      <c r="T445" s="1333"/>
      <c r="U445" s="1333"/>
      <c r="V445" s="1333"/>
      <c r="W445" s="1333"/>
      <c r="X445" s="1333"/>
      <c r="Y445" s="1333"/>
      <c r="Z445" s="1333"/>
      <c r="AA445" s="1333"/>
      <c r="AB445" s="1333"/>
      <c r="AC445" s="1333"/>
      <c r="AD445" s="1333"/>
      <c r="AE445" s="1333"/>
      <c r="AF445" s="1333"/>
      <c r="AG445" s="1333"/>
      <c r="AH445" s="1333"/>
      <c r="AI445" s="1333"/>
      <c r="AJ445" s="1333"/>
    </row>
    <row r="446" spans="1:36" x14ac:dyDescent="0.25">
      <c r="A446" s="1483"/>
      <c r="B446" s="125"/>
      <c r="C446" s="943"/>
      <c r="D446" s="297"/>
      <c r="E446" s="559" t="str">
        <f>IF('C-Design&amp;Const'!$I446="","",'C-Design&amp;Const'!$I446)</f>
        <v>Y</v>
      </c>
      <c r="F446" s="494"/>
      <c r="G446" s="495"/>
      <c r="H446" s="1017" t="str">
        <f>CONCATENATE(IF(E446="N","PLACEHOLDER ROW - ",""),IF(E446="N","",J446),'C-Design&amp;Const'!Z446,)</f>
        <v>Exterior Photographic Documentation</v>
      </c>
      <c r="I446" s="135"/>
      <c r="J446" s="578" t="str">
        <f>IF('C-Design&amp;Const'!AE446="","",'C-Design&amp;Const'!AE446)</f>
        <v/>
      </c>
      <c r="K446" s="246" t="str">
        <f t="shared" si="40"/>
        <v/>
      </c>
      <c r="L446" s="1410" t="str">
        <f t="shared" si="40"/>
        <v/>
      </c>
      <c r="M446" s="1333"/>
      <c r="N446" s="1333"/>
      <c r="O446" s="1333"/>
      <c r="P446" s="1333"/>
      <c r="Q446" s="1446"/>
      <c r="R446" s="1284"/>
      <c r="S446" s="1284"/>
      <c r="T446" s="1333"/>
      <c r="U446" s="1333"/>
      <c r="V446" s="1333"/>
      <c r="W446" s="1333"/>
      <c r="X446" s="1333"/>
      <c r="Y446" s="1333"/>
      <c r="Z446" s="1333"/>
      <c r="AA446" s="1333"/>
      <c r="AB446" s="1333"/>
      <c r="AC446" s="1333"/>
      <c r="AD446" s="1333"/>
      <c r="AE446" s="1333"/>
      <c r="AF446" s="1333"/>
      <c r="AG446" s="1333"/>
      <c r="AH446" s="1333"/>
      <c r="AI446" s="1333"/>
      <c r="AJ446" s="1333"/>
    </row>
    <row r="447" spans="1:36" x14ac:dyDescent="0.25">
      <c r="A447" s="1483"/>
      <c r="B447" s="125"/>
      <c r="C447" s="943"/>
      <c r="D447" s="297"/>
      <c r="E447" s="559" t="str">
        <f>IF('C-Design&amp;Const'!$I447="","",'C-Design&amp;Const'!$I447)</f>
        <v>Y</v>
      </c>
      <c r="F447" s="494"/>
      <c r="G447" s="495"/>
      <c r="H447" s="1017" t="str">
        <f>CONCATENATE(IF(E447="N","PLACEHOLDER ROW - ",""),IF(E447="N","",J447),'C-Design&amp;Const'!Z447,)</f>
        <v>Exterior preservation drawings</v>
      </c>
      <c r="I447" s="135"/>
      <c r="J447" s="578" t="str">
        <f>IF('C-Design&amp;Const'!AE447="","",'C-Design&amp;Const'!AE447)</f>
        <v/>
      </c>
      <c r="K447" s="246" t="str">
        <f t="shared" si="40"/>
        <v/>
      </c>
      <c r="L447" s="1410" t="str">
        <f t="shared" si="40"/>
        <v/>
      </c>
      <c r="M447" s="1333"/>
      <c r="N447" s="1333"/>
      <c r="O447" s="1333"/>
      <c r="P447" s="1333"/>
      <c r="Q447" s="1446"/>
      <c r="R447" s="1284"/>
      <c r="S447" s="1284"/>
      <c r="T447" s="1333"/>
      <c r="U447" s="1333"/>
      <c r="V447" s="1333"/>
      <c r="W447" s="1333"/>
      <c r="X447" s="1333"/>
      <c r="Y447" s="1333"/>
      <c r="Z447" s="1333"/>
      <c r="AA447" s="1333"/>
      <c r="AB447" s="1333"/>
      <c r="AC447" s="1333"/>
      <c r="AD447" s="1333"/>
      <c r="AE447" s="1333"/>
      <c r="AF447" s="1333"/>
      <c r="AG447" s="1333"/>
      <c r="AH447" s="1333"/>
      <c r="AI447" s="1333"/>
      <c r="AJ447" s="1333"/>
    </row>
    <row r="448" spans="1:36" x14ac:dyDescent="0.25">
      <c r="A448" s="1483"/>
      <c r="B448" s="125"/>
      <c r="C448" s="943"/>
      <c r="D448" s="297"/>
      <c r="E448" s="559" t="str">
        <f>IF('C-Design&amp;Const'!$I448="","",'C-Design&amp;Const'!$I448)</f>
        <v>Y</v>
      </c>
      <c r="F448" s="494"/>
      <c r="G448" s="495"/>
      <c r="H448" s="1017" t="str">
        <f>CONCATENATE(IF(E448="N","PLACEHOLDER ROW - ",""),IF(E448="N","",J448),'C-Design&amp;Const'!Z448,)</f>
        <v>Interior Photographic Documentation</v>
      </c>
      <c r="I448" s="135"/>
      <c r="J448" s="578" t="str">
        <f>IF('C-Design&amp;Const'!AE448="","",'C-Design&amp;Const'!AE448)</f>
        <v/>
      </c>
      <c r="K448" s="246" t="str">
        <f t="shared" si="40"/>
        <v/>
      </c>
      <c r="L448" s="1410" t="str">
        <f t="shared" si="40"/>
        <v/>
      </c>
      <c r="M448" s="1333"/>
      <c r="N448" s="1333"/>
      <c r="O448" s="1333"/>
      <c r="P448" s="1333"/>
      <c r="Q448" s="1446"/>
      <c r="R448" s="1284"/>
      <c r="S448" s="1284"/>
      <c r="T448" s="1333"/>
      <c r="U448" s="1333"/>
      <c r="V448" s="1333"/>
      <c r="W448" s="1333"/>
      <c r="X448" s="1333"/>
      <c r="Y448" s="1333"/>
      <c r="Z448" s="1333"/>
      <c r="AA448" s="1333"/>
      <c r="AB448" s="1333"/>
      <c r="AC448" s="1333"/>
      <c r="AD448" s="1333"/>
      <c r="AE448" s="1333"/>
      <c r="AF448" s="1333"/>
      <c r="AG448" s="1333"/>
      <c r="AH448" s="1333"/>
      <c r="AI448" s="1333"/>
      <c r="AJ448" s="1333"/>
    </row>
    <row r="449" spans="1:48" x14ac:dyDescent="0.25">
      <c r="A449" s="1483"/>
      <c r="B449" s="125"/>
      <c r="C449" s="943"/>
      <c r="D449" s="297"/>
      <c r="E449" s="559" t="str">
        <f>IF('C-Design&amp;Const'!$I449="","",'C-Design&amp;Const'!$I449)</f>
        <v>Y</v>
      </c>
      <c r="F449" s="494"/>
      <c r="G449" s="495"/>
      <c r="H449" s="1017" t="str">
        <f>CONCATENATE(IF(E449="N","PLACEHOLDER ROW - ",""),IF(E449="N","",J449),'C-Design&amp;Const'!Z449,)</f>
        <v>Interior preservation drawings</v>
      </c>
      <c r="I449" s="135"/>
      <c r="J449" s="578" t="str">
        <f>IF('C-Design&amp;Const'!AE449="","",'C-Design&amp;Const'!AE449)</f>
        <v/>
      </c>
      <c r="K449" s="246" t="str">
        <f t="shared" si="40"/>
        <v/>
      </c>
      <c r="L449" s="1410" t="str">
        <f t="shared" si="40"/>
        <v/>
      </c>
      <c r="M449" s="1333"/>
      <c r="N449" s="1333"/>
      <c r="O449" s="1333"/>
      <c r="P449" s="1333"/>
      <c r="Q449" s="1446"/>
      <c r="R449" s="1284"/>
      <c r="S449" s="1284"/>
      <c r="T449" s="1333"/>
      <c r="U449" s="1333"/>
      <c r="V449" s="1333"/>
      <c r="W449" s="1333"/>
      <c r="X449" s="1333"/>
      <c r="Y449" s="1333"/>
      <c r="Z449" s="1333"/>
      <c r="AA449" s="1333"/>
      <c r="AB449" s="1333"/>
      <c r="AC449" s="1333"/>
      <c r="AD449" s="1333"/>
      <c r="AE449" s="1333"/>
      <c r="AF449" s="1333"/>
      <c r="AG449" s="1333"/>
      <c r="AH449" s="1333"/>
      <c r="AI449" s="1333"/>
      <c r="AJ449" s="1333"/>
    </row>
    <row r="450" spans="1:48" x14ac:dyDescent="0.25">
      <c r="A450" s="1483"/>
      <c r="B450" s="125"/>
      <c r="C450" s="943"/>
      <c r="D450" s="297"/>
      <c r="E450" s="559" t="str">
        <f>IF('C-Design&amp;Const'!$I450="","",'C-Design&amp;Const'!$I450)</f>
        <v>N</v>
      </c>
      <c r="F450" s="494"/>
      <c r="G450" s="495"/>
      <c r="H450" s="1019" t="str">
        <f>CONCATENATE(IF(E450="N","PLACEHOLDER ROW - ",""),IF(E450="N","",J450),'C-Design&amp;Const'!Z450,)</f>
        <v>PLACEHOLDER ROW - Historic Illinois Building Survey</v>
      </c>
      <c r="I450" s="135"/>
      <c r="J450" s="578" t="str">
        <f>IF('C-Design&amp;Const'!AE450="","",'C-Design&amp;Const'!AE450)</f>
        <v/>
      </c>
      <c r="K450" s="246" t="str">
        <f t="shared" si="40"/>
        <v/>
      </c>
      <c r="L450" s="1410" t="str">
        <f t="shared" si="40"/>
        <v>&lt;---PM/Planner may hide PLACEHOLDER ROW</v>
      </c>
      <c r="M450" s="1333"/>
      <c r="N450" s="1333"/>
      <c r="O450" s="1333"/>
      <c r="P450" s="1333"/>
      <c r="Q450" s="1446"/>
      <c r="R450" s="1284"/>
      <c r="S450" s="1284"/>
      <c r="T450" s="1333"/>
      <c r="U450" s="1333"/>
      <c r="V450" s="1333"/>
      <c r="W450" s="1333"/>
      <c r="X450" s="1333"/>
      <c r="Y450" s="1333"/>
      <c r="Z450" s="1333"/>
      <c r="AA450" s="1333"/>
      <c r="AB450" s="1333"/>
      <c r="AC450" s="1333"/>
      <c r="AD450" s="1333"/>
      <c r="AE450" s="1333"/>
      <c r="AF450" s="1333"/>
      <c r="AG450" s="1333"/>
      <c r="AH450" s="1333"/>
      <c r="AI450" s="1333"/>
      <c r="AJ450" s="1333"/>
    </row>
    <row r="451" spans="1:48" x14ac:dyDescent="0.25">
      <c r="A451" s="1483"/>
      <c r="B451" s="125"/>
      <c r="C451" s="943"/>
      <c r="D451" s="297"/>
      <c r="E451" s="559" t="str">
        <f>IF('C-Design&amp;Const'!$I451="","",'C-Design&amp;Const'!$I451)</f>
        <v>N</v>
      </c>
      <c r="F451" s="494"/>
      <c r="G451" s="495"/>
      <c r="H451" s="1019" t="str">
        <f>CONCATENATE(IF(E451="N","PLACEHOLDER ROW - ",""),IF(E451="N","",J451),'C-Design&amp;Const'!Z451,)</f>
        <v>PLACEHOLDER ROW - Historic Illinois Engineering Record</v>
      </c>
      <c r="I451" s="135"/>
      <c r="J451" s="578" t="str">
        <f>IF('C-Design&amp;Const'!AE451="","",'C-Design&amp;Const'!AE451)</f>
        <v/>
      </c>
      <c r="K451" s="246" t="str">
        <f t="shared" si="40"/>
        <v/>
      </c>
      <c r="L451" s="1410" t="str">
        <f t="shared" si="40"/>
        <v>&lt;---PM/Planner may hide PLACEHOLDER ROW</v>
      </c>
      <c r="M451" s="1333"/>
      <c r="N451" s="1333"/>
      <c r="O451" s="1333"/>
      <c r="P451" s="1333"/>
      <c r="Q451" s="1446"/>
      <c r="R451" s="1284"/>
      <c r="S451" s="1284"/>
      <c r="T451" s="1333"/>
      <c r="U451" s="1333"/>
      <c r="V451" s="1333"/>
      <c r="W451" s="1333"/>
      <c r="X451" s="1333"/>
      <c r="Y451" s="1333"/>
      <c r="Z451" s="1333"/>
      <c r="AA451" s="1333"/>
      <c r="AB451" s="1333"/>
      <c r="AC451" s="1333"/>
      <c r="AD451" s="1333"/>
      <c r="AE451" s="1333"/>
      <c r="AF451" s="1333"/>
      <c r="AG451" s="1333"/>
      <c r="AH451" s="1333"/>
      <c r="AI451" s="1333"/>
      <c r="AJ451" s="1333"/>
    </row>
    <row r="452" spans="1:48" x14ac:dyDescent="0.25">
      <c r="A452" s="1483"/>
      <c r="B452" s="125"/>
      <c r="C452" s="943"/>
      <c r="D452" s="297"/>
      <c r="E452" s="559" t="str">
        <f>IF('C-Design&amp;Const'!$I452="","",'C-Design&amp;Const'!$I452)</f>
        <v>N</v>
      </c>
      <c r="F452" s="494"/>
      <c r="G452" s="495"/>
      <c r="H452" s="1019" t="str">
        <f>CONCATENATE(IF(E452="N","PLACEHOLDER ROW - ",""),IF(E452="N","",J452),'C-Design&amp;Const'!Z452,)</f>
        <v>PLACEHOLDER ROW - ISHPO item to be determined per project</v>
      </c>
      <c r="I452" s="135"/>
      <c r="J452" s="578" t="str">
        <f>IF('C-Design&amp;Const'!AE452="","",'C-Design&amp;Const'!AE452)</f>
        <v/>
      </c>
      <c r="K452" s="246" t="str">
        <f t="shared" si="40"/>
        <v/>
      </c>
      <c r="L452" s="1410" t="str">
        <f t="shared" si="40"/>
        <v>&lt;---PM/Planner may hide PLACEHOLDER ROW</v>
      </c>
      <c r="M452" s="1333"/>
      <c r="N452" s="1333"/>
      <c r="O452" s="1333"/>
      <c r="P452" s="1333"/>
      <c r="Q452" s="1446"/>
      <c r="R452" s="1284"/>
      <c r="S452" s="1284"/>
      <c r="T452" s="1333"/>
      <c r="U452" s="1333"/>
      <c r="V452" s="1333"/>
      <c r="W452" s="1333"/>
      <c r="X452" s="1333"/>
      <c r="Y452" s="1333"/>
      <c r="Z452" s="1333"/>
      <c r="AA452" s="1333"/>
      <c r="AB452" s="1333"/>
      <c r="AC452" s="1333"/>
      <c r="AD452" s="1333"/>
      <c r="AE452" s="1333"/>
      <c r="AF452" s="1333"/>
      <c r="AG452" s="1333"/>
      <c r="AH452" s="1333"/>
      <c r="AI452" s="1333"/>
      <c r="AJ452" s="1333"/>
    </row>
    <row r="453" spans="1:48" x14ac:dyDescent="0.25">
      <c r="A453" s="1483"/>
      <c r="B453" s="125"/>
      <c r="C453" s="943"/>
      <c r="D453" s="297"/>
      <c r="E453" s="559" t="str">
        <f>IF('C-Design&amp;Const'!$I453="","",'C-Design&amp;Const'!$I453)</f>
        <v>N</v>
      </c>
      <c r="F453" s="494"/>
      <c r="G453" s="495"/>
      <c r="H453" s="1019" t="str">
        <f>CONCATENATE(IF(E453="N","PLACEHOLDER ROW - ",""),IF(E453="N","",J453),'C-Design&amp;Const'!Z453,)</f>
        <v>PLACEHOLDER ROW - ISHPO item to be determined per project</v>
      </c>
      <c r="I453" s="135"/>
      <c r="J453" s="578" t="str">
        <f>IF('C-Design&amp;Const'!AE453="","",'C-Design&amp;Const'!AE453)</f>
        <v/>
      </c>
      <c r="K453" s="246" t="str">
        <f t="shared" si="40"/>
        <v/>
      </c>
      <c r="L453" s="1410" t="str">
        <f t="shared" si="40"/>
        <v>&lt;---PM/Planner may hide PLACEHOLDER ROW</v>
      </c>
      <c r="M453" s="1333"/>
      <c r="N453" s="1333"/>
      <c r="O453" s="1333"/>
      <c r="P453" s="1333"/>
      <c r="Q453" s="1446"/>
      <c r="R453" s="1284"/>
      <c r="S453" s="1284"/>
      <c r="T453" s="1333"/>
      <c r="U453" s="1333"/>
      <c r="V453" s="1333"/>
      <c r="W453" s="1333"/>
      <c r="X453" s="1333"/>
      <c r="Y453" s="1333"/>
      <c r="Z453" s="1333"/>
      <c r="AA453" s="1333"/>
      <c r="AB453" s="1333"/>
      <c r="AC453" s="1333"/>
      <c r="AD453" s="1333"/>
      <c r="AE453" s="1333"/>
      <c r="AF453" s="1333"/>
      <c r="AG453" s="1333"/>
      <c r="AH453" s="1333"/>
      <c r="AI453" s="1333"/>
      <c r="AJ453" s="1333"/>
    </row>
    <row r="454" spans="1:48" x14ac:dyDescent="0.25">
      <c r="A454" s="1483"/>
      <c r="B454" s="125"/>
      <c r="C454" s="943"/>
      <c r="D454" s="297"/>
      <c r="E454" s="559" t="str">
        <f>IF('C-Design&amp;Const'!$I454="","",'C-Design&amp;Const'!$I454)</f>
        <v>N</v>
      </c>
      <c r="F454" s="494"/>
      <c r="G454" s="495"/>
      <c r="H454" s="1019" t="str">
        <f>CONCATENATE(IF(E454="N","PLACEHOLDER ROW - ",""),IF(E454="N","",J454),'C-Design&amp;Const'!Z454,)</f>
        <v>PLACEHOLDER ROW - ISHPO item to be determined per project</v>
      </c>
      <c r="I454" s="135"/>
      <c r="J454" s="578" t="str">
        <f>IF('C-Design&amp;Const'!AE454="","",'C-Design&amp;Const'!AE454)</f>
        <v/>
      </c>
      <c r="K454" s="246" t="str">
        <f t="shared" si="40"/>
        <v/>
      </c>
      <c r="L454" s="1410" t="str">
        <f t="shared" si="40"/>
        <v>&lt;---PM/Planner may hide PLACEHOLDER ROW</v>
      </c>
      <c r="M454" s="1333"/>
      <c r="N454" s="1333"/>
      <c r="O454" s="1333"/>
      <c r="P454" s="1333"/>
      <c r="Q454" s="1446"/>
      <c r="R454" s="1284"/>
      <c r="S454" s="1284"/>
      <c r="T454" s="1333"/>
      <c r="U454" s="1333"/>
      <c r="V454" s="1333"/>
      <c r="W454" s="1333"/>
      <c r="X454" s="1333"/>
      <c r="Y454" s="1333"/>
      <c r="Z454" s="1333"/>
      <c r="AA454" s="1333"/>
      <c r="AB454" s="1333"/>
      <c r="AC454" s="1333"/>
      <c r="AD454" s="1333"/>
      <c r="AE454" s="1333"/>
      <c r="AF454" s="1333"/>
      <c r="AG454" s="1333"/>
      <c r="AH454" s="1333"/>
      <c r="AI454" s="1333"/>
      <c r="AJ454" s="1333"/>
    </row>
    <row r="455" spans="1:48" x14ac:dyDescent="0.25">
      <c r="A455" s="1462"/>
      <c r="B455" s="1393"/>
      <c r="C455" s="1463"/>
      <c r="D455" s="1464"/>
      <c r="E455" s="1464"/>
      <c r="F455" s="1464"/>
      <c r="G455" s="1465"/>
      <c r="H455" s="1466"/>
      <c r="I455" s="1467"/>
      <c r="J455" s="1468" t="str">
        <f>IF('C-Design&amp;Const'!AE455="","",'C-Design&amp;Const'!AE455)</f>
        <v/>
      </c>
      <c r="K455" s="1333"/>
      <c r="L455" s="1410" t="str">
        <f t="shared" ref="L455" si="43">CONCATENATE(IF(ISNUMBER(SEARCH("Placeholder",H455))=TRUE,"&lt;---PM/Planner may hide PLACEHOLDER ROW",""))</f>
        <v/>
      </c>
      <c r="M455" s="1333"/>
      <c r="N455" s="1333"/>
      <c r="O455" s="1333"/>
      <c r="P455" s="1333"/>
      <c r="Q455" s="1444"/>
      <c r="R455" s="1333"/>
      <c r="S455" s="1333"/>
      <c r="T455" s="1333"/>
      <c r="U455" s="1333"/>
      <c r="V455" s="1333"/>
      <c r="W455" s="1333"/>
      <c r="X455" s="1333"/>
      <c r="Y455" s="1333"/>
      <c r="Z455" s="1333"/>
      <c r="AA455" s="1333"/>
      <c r="AB455" s="1333"/>
      <c r="AC455" s="1333"/>
      <c r="AD455" s="1333"/>
      <c r="AE455" s="1333"/>
      <c r="AF455" s="1333"/>
      <c r="AG455" s="1333"/>
      <c r="AH455" s="1333"/>
      <c r="AI455" s="1333"/>
      <c r="AJ455" s="1333"/>
    </row>
    <row r="456" spans="1:48" s="30" customFormat="1" ht="18.75" x14ac:dyDescent="0.25">
      <c r="A456" s="1462"/>
      <c r="B456" s="1273"/>
      <c r="C456" s="1284"/>
      <c r="D456" s="1364"/>
      <c r="E456" s="1364"/>
      <c r="F456" s="1364"/>
      <c r="G456" s="1365"/>
      <c r="H456" s="1333"/>
      <c r="I456" s="1469"/>
      <c r="J456" s="1470"/>
      <c r="K456" s="1384"/>
      <c r="L456" s="1382"/>
      <c r="M456" s="1382"/>
      <c r="N456" s="1382"/>
      <c r="O456" s="1382"/>
      <c r="P456" s="1382"/>
      <c r="Q456" s="1382"/>
      <c r="R456" s="1382"/>
      <c r="S456" s="1382"/>
      <c r="T456" s="1382"/>
      <c r="U456" s="1382"/>
      <c r="V456" s="1382"/>
      <c r="W456" s="1382"/>
      <c r="X456" s="1382"/>
      <c r="Y456" s="1382"/>
      <c r="Z456" s="1382"/>
      <c r="AA456" s="1382"/>
      <c r="AB456" s="1382"/>
      <c r="AC456" s="1382"/>
      <c r="AD456" s="1382"/>
      <c r="AE456" s="1382"/>
      <c r="AF456" s="1382"/>
      <c r="AG456" s="1382"/>
      <c r="AH456" s="1382"/>
      <c r="AI456" s="1382"/>
      <c r="AJ456" s="1382"/>
      <c r="AK456" s="181"/>
      <c r="AL456" s="181"/>
      <c r="AM456" s="181"/>
      <c r="AN456" s="181"/>
      <c r="AO456" s="181"/>
      <c r="AP456" s="181"/>
      <c r="AQ456" s="181"/>
      <c r="AR456" s="181"/>
      <c r="AS456" s="181"/>
      <c r="AT456" s="181"/>
      <c r="AU456" s="181"/>
      <c r="AV456" s="181"/>
    </row>
    <row r="457" spans="1:48" s="30" customFormat="1" ht="15" customHeight="1" x14ac:dyDescent="0.25">
      <c r="A457" s="1462"/>
      <c r="B457" s="1273"/>
      <c r="C457" s="1284"/>
      <c r="D457" s="1364"/>
      <c r="E457" s="1364"/>
      <c r="F457" s="1364"/>
      <c r="G457" s="1365"/>
      <c r="H457" s="1333"/>
      <c r="I457" s="1469"/>
      <c r="J457" s="1470"/>
      <c r="K457" s="1471"/>
      <c r="L457" s="1382"/>
      <c r="M457" s="1382"/>
      <c r="N457" s="1382"/>
      <c r="O457" s="1382"/>
      <c r="P457" s="1382"/>
      <c r="Q457" s="1382"/>
      <c r="R457" s="1382"/>
      <c r="S457" s="1382"/>
      <c r="T457" s="1382"/>
      <c r="U457" s="1382"/>
      <c r="V457" s="1382"/>
      <c r="W457" s="1382"/>
      <c r="X457" s="1382"/>
      <c r="Y457" s="1382"/>
      <c r="Z457" s="1382"/>
      <c r="AA457" s="1382"/>
      <c r="AB457" s="1382"/>
      <c r="AC457" s="1382"/>
      <c r="AD457" s="1382"/>
      <c r="AE457" s="1382"/>
      <c r="AF457" s="1382"/>
      <c r="AG457" s="1382"/>
      <c r="AH457" s="1382"/>
      <c r="AI457" s="1382"/>
      <c r="AJ457" s="1382"/>
      <c r="AK457" s="181"/>
      <c r="AL457" s="181"/>
      <c r="AM457" s="181"/>
      <c r="AN457" s="181"/>
      <c r="AO457" s="181"/>
      <c r="AP457" s="181"/>
      <c r="AQ457" s="181"/>
      <c r="AR457" s="181"/>
      <c r="AS457" s="181"/>
      <c r="AT457" s="181"/>
      <c r="AU457" s="181"/>
      <c r="AV457" s="181"/>
    </row>
    <row r="458" spans="1:48" s="30" customFormat="1" ht="15" customHeight="1" x14ac:dyDescent="0.25">
      <c r="A458" s="1462"/>
      <c r="B458" s="1273"/>
      <c r="C458" s="1284"/>
      <c r="D458" s="1364"/>
      <c r="E458" s="1364"/>
      <c r="F458" s="1364"/>
      <c r="G458" s="1365"/>
      <c r="H458" s="1333"/>
      <c r="I458" s="1469"/>
      <c r="J458" s="1470"/>
      <c r="K458" s="1472"/>
      <c r="L458" s="1382"/>
      <c r="M458" s="1382"/>
      <c r="N458" s="1382"/>
      <c r="O458" s="1382"/>
      <c r="P458" s="1382"/>
      <c r="Q458" s="1382"/>
      <c r="R458" s="1382"/>
      <c r="S458" s="1382"/>
      <c r="T458" s="1382"/>
      <c r="U458" s="1382"/>
      <c r="V458" s="1382"/>
      <c r="W458" s="1382"/>
      <c r="X458" s="1382"/>
      <c r="Y458" s="1382"/>
      <c r="Z458" s="1382"/>
      <c r="AA458" s="1382"/>
      <c r="AB458" s="1382"/>
      <c r="AC458" s="1382"/>
      <c r="AD458" s="1382"/>
      <c r="AE458" s="1382"/>
      <c r="AF458" s="1382"/>
      <c r="AG458" s="1382"/>
      <c r="AH458" s="1382"/>
      <c r="AI458" s="1382"/>
      <c r="AJ458" s="1382"/>
      <c r="AK458" s="181"/>
      <c r="AL458" s="181"/>
      <c r="AM458" s="181"/>
      <c r="AN458" s="181"/>
      <c r="AO458" s="181"/>
      <c r="AP458" s="181"/>
      <c r="AQ458" s="181"/>
      <c r="AR458" s="181"/>
      <c r="AS458" s="181"/>
      <c r="AT458" s="181"/>
      <c r="AU458" s="181"/>
      <c r="AV458" s="181"/>
    </row>
    <row r="459" spans="1:48" ht="17.25" customHeight="1" x14ac:dyDescent="0.25">
      <c r="A459" s="1462"/>
      <c r="B459" s="1405"/>
      <c r="C459" s="1473"/>
      <c r="D459" s="1474"/>
      <c r="E459" s="1474"/>
      <c r="F459" s="1474"/>
      <c r="G459" s="1475"/>
      <c r="H459" s="1369"/>
      <c r="I459" s="1406"/>
      <c r="J459" s="1404"/>
      <c r="K459" s="1333"/>
      <c r="L459" s="1333"/>
      <c r="M459" s="1333"/>
      <c r="N459" s="1333"/>
      <c r="O459" s="1333"/>
      <c r="P459" s="1333"/>
      <c r="Q459" s="1452"/>
      <c r="R459" s="1333"/>
      <c r="S459" s="1333"/>
      <c r="T459" s="1333"/>
      <c r="U459" s="1333"/>
      <c r="V459" s="1333"/>
      <c r="W459" s="1333"/>
      <c r="X459" s="1333"/>
      <c r="Y459" s="1333"/>
      <c r="Z459" s="1333"/>
      <c r="AA459" s="1333"/>
      <c r="AB459" s="1333"/>
      <c r="AC459" s="1333"/>
      <c r="AD459" s="1333"/>
      <c r="AE459" s="1333"/>
      <c r="AF459" s="1333"/>
      <c r="AG459" s="1333"/>
      <c r="AH459" s="1333"/>
      <c r="AI459" s="1333"/>
      <c r="AJ459" s="1333"/>
    </row>
    <row r="460" spans="1:48" x14ac:dyDescent="0.25">
      <c r="A460" s="1476"/>
      <c r="B460" s="1285"/>
      <c r="C460" s="1284"/>
      <c r="D460" s="1364"/>
      <c r="E460" s="1364"/>
      <c r="F460" s="1364"/>
      <c r="G460" s="1365"/>
      <c r="H460" s="1333"/>
      <c r="I460" s="1351"/>
      <c r="J460" s="1477"/>
      <c r="K460" s="1392"/>
      <c r="L460" s="1374"/>
      <c r="M460" s="1333"/>
      <c r="N460" s="1333"/>
      <c r="O460" s="1333"/>
      <c r="P460" s="1333"/>
      <c r="Q460" s="1452"/>
      <c r="R460" s="1333"/>
      <c r="S460" s="1333"/>
      <c r="T460" s="1333"/>
      <c r="U460" s="1333"/>
      <c r="V460" s="1333"/>
      <c r="W460" s="1333"/>
      <c r="X460" s="1333"/>
      <c r="Y460" s="1333"/>
      <c r="Z460" s="1333"/>
      <c r="AA460" s="1333"/>
      <c r="AB460" s="1333"/>
      <c r="AC460" s="1333"/>
      <c r="AD460" s="1333"/>
      <c r="AE460" s="1333"/>
      <c r="AF460" s="1333"/>
      <c r="AG460" s="1333"/>
      <c r="AH460" s="1333"/>
      <c r="AI460" s="1333"/>
      <c r="AJ460" s="1333"/>
    </row>
    <row r="461" spans="1:48" x14ac:dyDescent="0.25">
      <c r="A461" s="1478"/>
      <c r="B461" s="1285"/>
      <c r="C461" s="1284"/>
      <c r="D461" s="1364"/>
      <c r="E461" s="1364"/>
      <c r="F461" s="1364"/>
      <c r="G461" s="1365"/>
      <c r="H461" s="1333"/>
      <c r="I461" s="1351"/>
      <c r="J461" s="1404"/>
      <c r="K461" s="1358"/>
      <c r="L461" s="1351"/>
      <c r="M461" s="1333"/>
      <c r="N461" s="1333"/>
      <c r="O461" s="1333"/>
      <c r="P461" s="1333"/>
      <c r="Q461" s="1452"/>
      <c r="R461" s="1333"/>
      <c r="S461" s="1333"/>
      <c r="T461" s="1333"/>
      <c r="U461" s="1333"/>
      <c r="V461" s="1333"/>
      <c r="W461" s="1333"/>
      <c r="X461" s="1333"/>
      <c r="Y461" s="1333"/>
      <c r="Z461" s="1333"/>
      <c r="AA461" s="1333"/>
      <c r="AB461" s="1333"/>
      <c r="AC461" s="1333"/>
      <c r="AD461" s="1333"/>
      <c r="AE461" s="1333"/>
      <c r="AF461" s="1333"/>
      <c r="AG461" s="1333"/>
      <c r="AH461" s="1333"/>
      <c r="AI461" s="1333"/>
      <c r="AJ461" s="1333"/>
    </row>
    <row r="462" spans="1:48" x14ac:dyDescent="0.25">
      <c r="A462" s="1478"/>
      <c r="B462" s="1285"/>
      <c r="C462" s="1287" t="str">
        <f ca="1">CONCATENATE("UIUC Template Change Log hidden below for TAB [",MID(CELL("filename",C15),FIND("]",CELL("filename",C15))+1,255),"] :")</f>
        <v>UIUC Template Change Log hidden below for TAB [01 - SD] :</v>
      </c>
      <c r="D462" s="1364"/>
      <c r="E462" s="1364"/>
      <c r="F462" s="1364"/>
      <c r="G462" s="1365"/>
      <c r="H462" s="1333"/>
      <c r="I462" s="1351"/>
      <c r="J462" s="1404"/>
      <c r="K462" s="1358"/>
      <c r="L462" s="1351"/>
      <c r="M462" s="1333"/>
      <c r="N462" s="1333"/>
      <c r="O462" s="1333"/>
      <c r="P462" s="1333"/>
      <c r="Q462" s="1333"/>
      <c r="R462" s="1333"/>
      <c r="S462" s="1333"/>
      <c r="T462" s="1333"/>
      <c r="U462" s="1333"/>
      <c r="V462" s="1333"/>
      <c r="W462" s="1333"/>
      <c r="X462" s="1333"/>
      <c r="Y462" s="1333"/>
      <c r="Z462" s="1333"/>
      <c r="AA462" s="1333"/>
      <c r="AB462" s="1333"/>
      <c r="AC462" s="1333"/>
      <c r="AD462" s="1333"/>
      <c r="AE462" s="1333"/>
      <c r="AF462" s="1333"/>
      <c r="AG462" s="1333"/>
      <c r="AH462" s="1333"/>
      <c r="AI462" s="1333"/>
      <c r="AJ462" s="1333"/>
    </row>
    <row r="463" spans="1:48" x14ac:dyDescent="0.25">
      <c r="A463" s="1478"/>
      <c r="B463" s="1285"/>
      <c r="C463" s="1284"/>
      <c r="D463" s="1364"/>
      <c r="E463" s="1364"/>
      <c r="F463" s="1364"/>
      <c r="G463" s="1365"/>
      <c r="H463" s="1333"/>
      <c r="I463" s="1351"/>
      <c r="J463" s="1404"/>
      <c r="K463" s="1358"/>
      <c r="L463" s="1351"/>
      <c r="M463" s="1333"/>
      <c r="N463" s="1333"/>
      <c r="O463" s="1333"/>
      <c r="P463" s="1333"/>
      <c r="Q463" s="1444"/>
      <c r="R463" s="1333"/>
      <c r="S463" s="1333"/>
      <c r="T463" s="1333"/>
      <c r="U463" s="1333"/>
      <c r="V463" s="1333"/>
      <c r="W463" s="1333"/>
      <c r="X463" s="1333"/>
      <c r="Y463" s="1333"/>
      <c r="Z463" s="1333"/>
      <c r="AA463" s="1333"/>
      <c r="AB463" s="1333"/>
      <c r="AC463" s="1333"/>
      <c r="AD463" s="1333"/>
      <c r="AE463" s="1333"/>
      <c r="AF463" s="1333"/>
      <c r="AG463" s="1333"/>
      <c r="AH463" s="1333"/>
      <c r="AI463" s="1333"/>
      <c r="AJ463" s="1333"/>
    </row>
    <row r="464" spans="1:48" hidden="1" x14ac:dyDescent="0.25">
      <c r="A464" s="1478"/>
      <c r="B464" s="1285"/>
      <c r="C464" s="2062">
        <v>42486</v>
      </c>
      <c r="D464" s="2062"/>
      <c r="E464" s="2062"/>
      <c r="F464" s="1297"/>
      <c r="G464" s="1297" t="s">
        <v>639</v>
      </c>
      <c r="H464" s="1333"/>
      <c r="I464" s="1351"/>
      <c r="J464" s="1404"/>
      <c r="K464" s="1358"/>
      <c r="L464" s="1351"/>
      <c r="M464" s="1333"/>
      <c r="N464" s="1333"/>
      <c r="O464" s="1333"/>
      <c r="P464" s="1333"/>
      <c r="Q464" s="1333"/>
      <c r="R464" s="1333"/>
      <c r="S464" s="1333"/>
      <c r="T464" s="1333"/>
      <c r="U464" s="1333"/>
      <c r="V464" s="1333"/>
      <c r="W464" s="1333"/>
      <c r="X464" s="1333"/>
      <c r="Y464" s="1333"/>
      <c r="Z464" s="1333"/>
      <c r="AA464" s="1333"/>
      <c r="AB464" s="1333"/>
      <c r="AC464" s="1333"/>
      <c r="AD464" s="1333"/>
      <c r="AE464" s="1333"/>
      <c r="AF464" s="1333"/>
      <c r="AG464" s="1333"/>
      <c r="AH464" s="1333"/>
      <c r="AI464" s="1333"/>
      <c r="AJ464" s="1333"/>
    </row>
    <row r="465" spans="1:36" ht="15" hidden="1" customHeight="1" x14ac:dyDescent="0.25">
      <c r="A465" s="1478"/>
      <c r="B465" s="1285"/>
      <c r="C465" s="2062"/>
      <c r="D465" s="2062"/>
      <c r="E465" s="2062"/>
      <c r="F465" s="1297"/>
      <c r="G465" s="1297" t="s">
        <v>675</v>
      </c>
      <c r="H465" s="1333"/>
      <c r="I465" s="1351"/>
      <c r="J465" s="1404"/>
      <c r="K465" s="1358"/>
      <c r="L465" s="1351"/>
      <c r="M465" s="1333"/>
      <c r="N465" s="1333"/>
      <c r="O465" s="1333"/>
      <c r="P465" s="1333"/>
      <c r="Q465" s="1333"/>
      <c r="R465" s="1333"/>
      <c r="S465" s="1333"/>
      <c r="T465" s="1333"/>
      <c r="U465" s="1333"/>
      <c r="V465" s="1333"/>
      <c r="W465" s="1333"/>
      <c r="X465" s="1333"/>
      <c r="Y465" s="1333"/>
      <c r="Z465" s="1333"/>
      <c r="AA465" s="1333"/>
      <c r="AB465" s="1333"/>
      <c r="AC465" s="1333"/>
      <c r="AD465" s="1333"/>
      <c r="AE465" s="1333"/>
      <c r="AF465" s="1333"/>
      <c r="AG465" s="1333"/>
      <c r="AH465" s="1333"/>
      <c r="AI465" s="1333"/>
      <c r="AJ465" s="1333"/>
    </row>
    <row r="466" spans="1:36" hidden="1" x14ac:dyDescent="0.25">
      <c r="A466" s="1478"/>
      <c r="B466" s="1285"/>
      <c r="C466" s="1284"/>
      <c r="D466" s="1364"/>
      <c r="E466" s="1364"/>
      <c r="F466" s="1364"/>
      <c r="G466" s="1297" t="s">
        <v>680</v>
      </c>
      <c r="H466" s="1333"/>
      <c r="I466" s="1351"/>
      <c r="J466" s="1404"/>
      <c r="K466" s="1358"/>
      <c r="L466" s="1351"/>
      <c r="M466" s="1333"/>
      <c r="N466" s="1333"/>
      <c r="O466" s="1333"/>
      <c r="P466" s="1333"/>
      <c r="Q466" s="1333"/>
      <c r="R466" s="1333"/>
      <c r="S466" s="1333"/>
      <c r="T466" s="1333"/>
      <c r="U466" s="1333"/>
      <c r="V466" s="1333"/>
      <c r="W466" s="1333"/>
      <c r="X466" s="1333"/>
      <c r="Y466" s="1333"/>
      <c r="Z466" s="1333"/>
      <c r="AA466" s="1333"/>
      <c r="AB466" s="1333"/>
      <c r="AC466" s="1333"/>
      <c r="AD466" s="1333"/>
      <c r="AE466" s="1333"/>
      <c r="AF466" s="1333"/>
      <c r="AG466" s="1333"/>
      <c r="AH466" s="1333"/>
      <c r="AI466" s="1333"/>
      <c r="AJ466" s="1333"/>
    </row>
    <row r="467" spans="1:36" hidden="1" x14ac:dyDescent="0.25">
      <c r="A467" s="1479"/>
      <c r="B467" s="1284"/>
      <c r="C467" s="1291"/>
      <c r="D467" s="1284"/>
      <c r="E467" s="1303"/>
      <c r="F467" s="1364"/>
      <c r="G467" s="1365"/>
      <c r="H467" s="1333"/>
      <c r="I467" s="1333"/>
      <c r="J467" s="1404"/>
      <c r="K467" s="1333"/>
      <c r="L467" s="1333"/>
      <c r="M467" s="1333"/>
      <c r="N467" s="1333"/>
      <c r="O467" s="1333"/>
      <c r="P467" s="1333"/>
      <c r="Q467" s="1333"/>
      <c r="R467" s="1333"/>
      <c r="S467" s="1333"/>
      <c r="T467" s="1333"/>
      <c r="U467" s="1333"/>
      <c r="V467" s="1333"/>
      <c r="W467" s="1333"/>
      <c r="X467" s="1333"/>
      <c r="Y467" s="1333"/>
      <c r="Z467" s="1333"/>
      <c r="AA467" s="1333"/>
      <c r="AB467" s="1333"/>
      <c r="AC467" s="1333"/>
      <c r="AD467" s="1333"/>
      <c r="AE467" s="1333"/>
      <c r="AF467" s="1333"/>
      <c r="AG467" s="1333"/>
      <c r="AH467" s="1333"/>
      <c r="AI467" s="1333"/>
      <c r="AJ467" s="1333"/>
    </row>
    <row r="468" spans="1:36" hidden="1" x14ac:dyDescent="0.25">
      <c r="A468" s="1479"/>
      <c r="B468" s="1284"/>
      <c r="C468" s="2062">
        <v>42490</v>
      </c>
      <c r="D468" s="2062"/>
      <c r="E468" s="2062"/>
      <c r="F468" s="1297"/>
      <c r="G468" s="1297" t="s">
        <v>684</v>
      </c>
      <c r="H468" s="1333"/>
      <c r="I468" s="1333"/>
      <c r="J468" s="1404"/>
      <c r="K468" s="1333"/>
      <c r="L468" s="1333"/>
      <c r="M468" s="1333"/>
      <c r="N468" s="1333"/>
      <c r="O468" s="1333"/>
      <c r="P468" s="1333"/>
      <c r="Q468" s="1333"/>
      <c r="R468" s="1333"/>
      <c r="S468" s="1333"/>
      <c r="T468" s="1333"/>
      <c r="U468" s="1333"/>
      <c r="V468" s="1333"/>
      <c r="W468" s="1333"/>
      <c r="X468" s="1333"/>
      <c r="Y468" s="1333"/>
      <c r="Z468" s="1333"/>
      <c r="AA468" s="1333"/>
      <c r="AB468" s="1333"/>
      <c r="AC468" s="1333"/>
      <c r="AD468" s="1333"/>
      <c r="AE468" s="1333"/>
      <c r="AF468" s="1333"/>
      <c r="AG468" s="1333"/>
      <c r="AH468" s="1333"/>
      <c r="AI468" s="1333"/>
      <c r="AJ468" s="1333"/>
    </row>
    <row r="469" spans="1:36" hidden="1" x14ac:dyDescent="0.25">
      <c r="A469" s="1479"/>
      <c r="B469" s="1284"/>
      <c r="C469" s="1291"/>
      <c r="D469" s="1284"/>
      <c r="E469" s="1303"/>
      <c r="F469" s="1364"/>
      <c r="G469" s="1291" t="s">
        <v>688</v>
      </c>
      <c r="H469" s="1333"/>
      <c r="I469" s="1333"/>
      <c r="J469" s="1404"/>
      <c r="K469" s="1333"/>
      <c r="L469" s="1333"/>
      <c r="M469" s="1333"/>
      <c r="N469" s="1333"/>
      <c r="O469" s="1333"/>
      <c r="P469" s="1333"/>
      <c r="Q469" s="1333"/>
      <c r="R469" s="1333"/>
      <c r="S469" s="1333"/>
      <c r="T469" s="1333"/>
      <c r="U469" s="1333"/>
      <c r="V469" s="1333"/>
      <c r="W469" s="1333"/>
      <c r="X469" s="1333"/>
      <c r="Y469" s="1333"/>
      <c r="Z469" s="1333"/>
      <c r="AA469" s="1333"/>
      <c r="AB469" s="1333"/>
      <c r="AC469" s="1333"/>
      <c r="AD469" s="1333"/>
      <c r="AE469" s="1333"/>
      <c r="AF469" s="1333"/>
      <c r="AG469" s="1333"/>
      <c r="AH469" s="1333"/>
      <c r="AI469" s="1333"/>
      <c r="AJ469" s="1333"/>
    </row>
    <row r="470" spans="1:36" hidden="1" x14ac:dyDescent="0.25">
      <c r="A470" s="1479"/>
      <c r="B470" s="1284"/>
      <c r="C470" s="1291"/>
      <c r="D470" s="1284"/>
      <c r="E470" s="1303"/>
      <c r="F470" s="1364"/>
      <c r="G470" s="1291" t="s">
        <v>689</v>
      </c>
      <c r="H470" s="1303"/>
      <c r="I470" s="1333"/>
      <c r="J470" s="1404"/>
      <c r="K470" s="1333"/>
      <c r="L470" s="1333"/>
      <c r="M470" s="1333"/>
      <c r="N470" s="1333"/>
      <c r="O470" s="1333"/>
      <c r="P470" s="1333"/>
      <c r="Q470" s="1333"/>
      <c r="R470" s="1333"/>
      <c r="S470" s="1333"/>
      <c r="T470" s="1333"/>
      <c r="U470" s="1333"/>
      <c r="V470" s="1333"/>
      <c r="W470" s="1333"/>
      <c r="X470" s="1333"/>
      <c r="Y470" s="1333"/>
      <c r="Z470" s="1333"/>
      <c r="AA470" s="1333"/>
      <c r="AB470" s="1333"/>
      <c r="AC470" s="1333"/>
      <c r="AD470" s="1333"/>
      <c r="AE470" s="1333"/>
      <c r="AF470" s="1333"/>
      <c r="AG470" s="1333"/>
      <c r="AH470" s="1333"/>
      <c r="AI470" s="1333"/>
      <c r="AJ470" s="1333"/>
    </row>
    <row r="471" spans="1:36" hidden="1" x14ac:dyDescent="0.25">
      <c r="A471" s="1479"/>
      <c r="B471" s="1284"/>
      <c r="C471" s="1291"/>
      <c r="D471" s="1284"/>
      <c r="E471" s="1303"/>
      <c r="F471" s="1364"/>
      <c r="G471" s="1291"/>
      <c r="H471" s="1284"/>
      <c r="I471" s="1333"/>
      <c r="J471" s="1404"/>
      <c r="K471" s="1333"/>
      <c r="L471" s="1333"/>
      <c r="M471" s="1333"/>
      <c r="N471" s="1333"/>
      <c r="O471" s="1333"/>
      <c r="P471" s="1333"/>
      <c r="Q471" s="1333"/>
      <c r="R471" s="1333"/>
      <c r="S471" s="1333"/>
      <c r="T471" s="1333"/>
      <c r="U471" s="1333"/>
      <c r="V471" s="1333"/>
      <c r="W471" s="1333"/>
      <c r="X471" s="1333"/>
      <c r="Y471" s="1333"/>
      <c r="Z471" s="1333"/>
      <c r="AA471" s="1333"/>
      <c r="AB471" s="1333"/>
      <c r="AC471" s="1333"/>
      <c r="AD471" s="1333"/>
      <c r="AE471" s="1333"/>
      <c r="AF471" s="1333"/>
      <c r="AG471" s="1333"/>
      <c r="AH471" s="1333"/>
      <c r="AI471" s="1333"/>
      <c r="AJ471" s="1333"/>
    </row>
    <row r="472" spans="1:36" hidden="1" x14ac:dyDescent="0.25">
      <c r="A472" s="1479"/>
      <c r="B472" s="1284"/>
      <c r="C472" s="2062">
        <v>42492</v>
      </c>
      <c r="D472" s="2062"/>
      <c r="E472" s="2062"/>
      <c r="F472" s="1297"/>
      <c r="G472" s="1297" t="s">
        <v>695</v>
      </c>
      <c r="H472" s="1284"/>
      <c r="I472" s="1333"/>
      <c r="J472" s="1404"/>
      <c r="K472" s="1333"/>
      <c r="L472" s="1333"/>
      <c r="M472" s="1459"/>
      <c r="N472" s="1364"/>
      <c r="O472" s="1333"/>
      <c r="P472" s="1333"/>
      <c r="Q472" s="1333"/>
      <c r="R472" s="1333"/>
      <c r="S472" s="1333"/>
      <c r="T472" s="1333"/>
      <c r="U472" s="1333"/>
      <c r="V472" s="1333"/>
      <c r="W472" s="1333"/>
      <c r="X472" s="1333"/>
      <c r="Y472" s="1333"/>
      <c r="Z472" s="1333"/>
      <c r="AA472" s="1333"/>
      <c r="AB472" s="1333"/>
      <c r="AC472" s="1333"/>
      <c r="AD472" s="1333"/>
      <c r="AE472" s="1333"/>
      <c r="AF472" s="1333"/>
      <c r="AG472" s="1333"/>
      <c r="AH472" s="1333"/>
      <c r="AI472" s="1333"/>
      <c r="AJ472" s="1333"/>
    </row>
    <row r="473" spans="1:36" hidden="1" x14ac:dyDescent="0.25">
      <c r="A473" s="1479"/>
      <c r="B473" s="1284"/>
      <c r="C473" s="1291"/>
      <c r="D473" s="1284"/>
      <c r="E473" s="1291"/>
      <c r="F473" s="1284"/>
      <c r="G473" s="1291"/>
      <c r="H473" s="1284"/>
      <c r="I473" s="1333"/>
      <c r="J473" s="1404"/>
      <c r="K473" s="1333"/>
      <c r="L473" s="1333"/>
      <c r="M473" s="1303"/>
      <c r="N473" s="1364"/>
      <c r="O473" s="1333"/>
      <c r="P473" s="1333"/>
      <c r="Q473" s="1333"/>
      <c r="R473" s="1333"/>
      <c r="S473" s="1333"/>
      <c r="T473" s="1333"/>
      <c r="U473" s="1333"/>
      <c r="V473" s="1333"/>
      <c r="W473" s="1333"/>
      <c r="X473" s="1333"/>
      <c r="Y473" s="1333"/>
      <c r="Z473" s="1333"/>
      <c r="AA473" s="1333"/>
      <c r="AB473" s="1333"/>
      <c r="AC473" s="1333"/>
      <c r="AD473" s="1333"/>
      <c r="AE473" s="1333"/>
      <c r="AF473" s="1333"/>
      <c r="AG473" s="1333"/>
      <c r="AH473" s="1333"/>
      <c r="AI473" s="1333"/>
      <c r="AJ473" s="1333"/>
    </row>
    <row r="474" spans="1:36" hidden="1" x14ac:dyDescent="0.25">
      <c r="A474" s="1479"/>
      <c r="B474" s="1284"/>
      <c r="C474" s="2062">
        <v>42496</v>
      </c>
      <c r="D474" s="2062"/>
      <c r="E474" s="2062"/>
      <c r="F474" s="1297"/>
      <c r="G474" s="1297" t="s">
        <v>713</v>
      </c>
      <c r="H474" s="1284"/>
      <c r="I474" s="1333"/>
      <c r="J474" s="1404"/>
      <c r="K474" s="1333"/>
      <c r="L474" s="1333"/>
      <c r="M474" s="1460"/>
      <c r="N474" s="1364"/>
      <c r="O474" s="1333"/>
      <c r="P474" s="1333"/>
      <c r="Q474" s="1333"/>
      <c r="R474" s="1333"/>
      <c r="S474" s="1333"/>
      <c r="T474" s="1333"/>
      <c r="U474" s="1333"/>
      <c r="V474" s="1333"/>
      <c r="W474" s="1333"/>
      <c r="X474" s="1333"/>
      <c r="Y474" s="1333"/>
      <c r="Z474" s="1333"/>
      <c r="AA474" s="1333"/>
      <c r="AB474" s="1333"/>
      <c r="AC474" s="1333"/>
      <c r="AD474" s="1333"/>
      <c r="AE474" s="1333"/>
      <c r="AF474" s="1333"/>
      <c r="AG474" s="1333"/>
      <c r="AH474" s="1333"/>
      <c r="AI474" s="1333"/>
      <c r="AJ474" s="1333"/>
    </row>
    <row r="475" spans="1:36" hidden="1" x14ac:dyDescent="0.25">
      <c r="A475" s="1479"/>
      <c r="B475" s="1284"/>
      <c r="C475" s="2062"/>
      <c r="D475" s="2062"/>
      <c r="E475" s="2062"/>
      <c r="F475" s="1297"/>
      <c r="G475" s="1297"/>
      <c r="H475" s="1284"/>
      <c r="I475" s="1333"/>
      <c r="J475" s="1404"/>
      <c r="K475" s="1333"/>
      <c r="L475" s="1333"/>
      <c r="M475" s="1461"/>
      <c r="N475" s="1364"/>
      <c r="O475" s="1333"/>
      <c r="P475" s="1333"/>
      <c r="Q475" s="1333"/>
      <c r="R475" s="1333"/>
      <c r="S475" s="1333"/>
      <c r="T475" s="1333"/>
      <c r="U475" s="1333"/>
      <c r="V475" s="1333"/>
      <c r="W475" s="1333"/>
      <c r="X475" s="1333"/>
      <c r="Y475" s="1333"/>
      <c r="Z475" s="1333"/>
      <c r="AA475" s="1333"/>
      <c r="AB475" s="1333"/>
      <c r="AC475" s="1333"/>
      <c r="AD475" s="1333"/>
      <c r="AE475" s="1333"/>
      <c r="AF475" s="1333"/>
      <c r="AG475" s="1333"/>
      <c r="AH475" s="1333"/>
      <c r="AI475" s="1333"/>
      <c r="AJ475" s="1333"/>
    </row>
    <row r="476" spans="1:36" hidden="1" x14ac:dyDescent="0.25">
      <c r="A476" s="1479"/>
      <c r="B476" s="1284"/>
      <c r="C476" s="2062">
        <v>42635</v>
      </c>
      <c r="D476" s="2062"/>
      <c r="E476" s="2062"/>
      <c r="F476" s="1297"/>
      <c r="G476" s="1297" t="s">
        <v>838</v>
      </c>
      <c r="H476" s="1284"/>
      <c r="I476" s="1333"/>
      <c r="J476" s="1404"/>
      <c r="K476" s="1333"/>
      <c r="L476" s="1333"/>
      <c r="M476" s="1333"/>
      <c r="N476" s="1333"/>
      <c r="O476" s="1333"/>
      <c r="P476" s="1333"/>
      <c r="Q476" s="1333"/>
      <c r="R476" s="1333"/>
      <c r="S476" s="1333"/>
      <c r="T476" s="1333"/>
      <c r="U476" s="1333"/>
      <c r="V476" s="1333"/>
      <c r="W476" s="1333"/>
      <c r="X476" s="1333"/>
      <c r="Y476" s="1333"/>
      <c r="Z476" s="1333"/>
      <c r="AA476" s="1333"/>
      <c r="AB476" s="1333"/>
      <c r="AC476" s="1333"/>
      <c r="AD476" s="1333"/>
      <c r="AE476" s="1333"/>
      <c r="AF476" s="1333"/>
      <c r="AG476" s="1333"/>
      <c r="AH476" s="1333"/>
      <c r="AI476" s="1333"/>
      <c r="AJ476" s="1333"/>
    </row>
    <row r="477" spans="1:36" hidden="1" x14ac:dyDescent="0.25">
      <c r="A477" s="1479"/>
      <c r="B477" s="1284"/>
      <c r="C477" s="2062"/>
      <c r="D477" s="2062"/>
      <c r="E477" s="2062"/>
      <c r="F477" s="1297"/>
      <c r="G477" s="1297" t="s">
        <v>837</v>
      </c>
      <c r="H477" s="1284"/>
      <c r="I477" s="1333"/>
      <c r="J477" s="1404"/>
      <c r="K477" s="1333"/>
      <c r="L477" s="1333"/>
      <c r="M477" s="1333"/>
      <c r="N477" s="1333"/>
      <c r="O477" s="1333"/>
      <c r="P477" s="1333"/>
      <c r="Q477" s="1333"/>
      <c r="R477" s="1333"/>
      <c r="S477" s="1333"/>
      <c r="T477" s="1333"/>
      <c r="U477" s="1333"/>
      <c r="V477" s="1333"/>
      <c r="W477" s="1333"/>
      <c r="X477" s="1333"/>
      <c r="Y477" s="1333"/>
      <c r="Z477" s="1333"/>
      <c r="AA477" s="1333"/>
      <c r="AB477" s="1333"/>
      <c r="AC477" s="1333"/>
      <c r="AD477" s="1333"/>
      <c r="AE477" s="1333"/>
      <c r="AF477" s="1333"/>
      <c r="AG477" s="1333"/>
      <c r="AH477" s="1333"/>
      <c r="AI477" s="1333"/>
      <c r="AJ477" s="1333"/>
    </row>
    <row r="478" spans="1:36" hidden="1" x14ac:dyDescent="0.25">
      <c r="A478" s="1479"/>
      <c r="B478" s="1284"/>
      <c r="C478" s="2062"/>
      <c r="D478" s="2062"/>
      <c r="E478" s="2062"/>
      <c r="F478" s="1297"/>
      <c r="G478" s="1297"/>
      <c r="H478" s="1284"/>
      <c r="I478" s="1333"/>
      <c r="J478" s="1404"/>
      <c r="K478" s="1333"/>
      <c r="L478" s="1333"/>
      <c r="M478" s="1333"/>
      <c r="N478" s="1333"/>
      <c r="O478" s="1333"/>
      <c r="P478" s="1333"/>
      <c r="Q478" s="1333"/>
      <c r="R478" s="1333"/>
      <c r="S478" s="1333"/>
      <c r="T478" s="1333"/>
      <c r="U478" s="1333"/>
      <c r="V478" s="1333"/>
      <c r="W478" s="1333"/>
      <c r="X478" s="1333"/>
      <c r="Y478" s="1333"/>
      <c r="Z478" s="1333"/>
      <c r="AA478" s="1333"/>
      <c r="AB478" s="1333"/>
      <c r="AC478" s="1333"/>
      <c r="AD478" s="1333"/>
      <c r="AE478" s="1333"/>
      <c r="AF478" s="1333"/>
      <c r="AG478" s="1333"/>
      <c r="AH478" s="1333"/>
      <c r="AI478" s="1333"/>
      <c r="AJ478" s="1333"/>
    </row>
    <row r="479" spans="1:36" hidden="1" x14ac:dyDescent="0.25">
      <c r="A479" s="1479"/>
      <c r="B479" s="1284"/>
      <c r="C479" s="2062">
        <v>42696</v>
      </c>
      <c r="D479" s="2062"/>
      <c r="E479" s="2062"/>
      <c r="F479" s="1297"/>
      <c r="G479" s="1418" t="s">
        <v>890</v>
      </c>
      <c r="H479" s="1303"/>
      <c r="I479" s="1333"/>
      <c r="J479" s="1404"/>
      <c r="K479" s="1333"/>
      <c r="L479" s="1333"/>
      <c r="M479" s="1333"/>
      <c r="N479" s="1333"/>
      <c r="O479" s="1333"/>
      <c r="P479" s="1333"/>
      <c r="Q479" s="1333"/>
      <c r="R479" s="1333"/>
      <c r="S479" s="1333"/>
      <c r="T479" s="1333"/>
      <c r="U479" s="1333"/>
      <c r="V479" s="1333"/>
      <c r="W479" s="1333"/>
      <c r="X479" s="1333"/>
      <c r="Y479" s="1333"/>
      <c r="Z479" s="1333"/>
      <c r="AA479" s="1333"/>
      <c r="AB479" s="1333"/>
      <c r="AC479" s="1333"/>
      <c r="AD479" s="1333"/>
      <c r="AE479" s="1333"/>
      <c r="AF479" s="1333"/>
      <c r="AG479" s="1333"/>
      <c r="AH479" s="1333"/>
      <c r="AI479" s="1333"/>
      <c r="AJ479" s="1333"/>
    </row>
    <row r="480" spans="1:36" hidden="1" x14ac:dyDescent="0.25">
      <c r="A480" s="1479"/>
      <c r="B480" s="1284"/>
      <c r="C480" s="2062"/>
      <c r="D480" s="2062"/>
      <c r="E480" s="2062"/>
      <c r="F480" s="1297"/>
      <c r="G480" s="1297"/>
      <c r="H480" s="1303"/>
      <c r="I480" s="1333"/>
      <c r="J480" s="1404"/>
      <c r="K480" s="1333"/>
      <c r="L480" s="1333"/>
      <c r="M480" s="1333"/>
      <c r="N480" s="1333"/>
      <c r="O480" s="1333"/>
      <c r="P480" s="1333"/>
      <c r="Q480" s="1333"/>
      <c r="R480" s="1333"/>
      <c r="S480" s="1333"/>
      <c r="T480" s="1333"/>
      <c r="U480" s="1333"/>
      <c r="V480" s="1333"/>
      <c r="W480" s="1333"/>
      <c r="X480" s="1333"/>
      <c r="Y480" s="1333"/>
      <c r="Z480" s="1333"/>
      <c r="AA480" s="1333"/>
      <c r="AB480" s="1333"/>
      <c r="AC480" s="1333"/>
      <c r="AD480" s="1333"/>
      <c r="AE480" s="1333"/>
      <c r="AF480" s="1333"/>
      <c r="AG480" s="1333"/>
      <c r="AH480" s="1333"/>
      <c r="AI480" s="1333"/>
      <c r="AJ480" s="1333"/>
    </row>
    <row r="481" spans="1:36" hidden="1" x14ac:dyDescent="0.25">
      <c r="A481" s="1479"/>
      <c r="B481" s="1284"/>
      <c r="C481" s="2062">
        <v>42702</v>
      </c>
      <c r="D481" s="2062"/>
      <c r="E481" s="2062"/>
      <c r="F481" s="1297"/>
      <c r="G481" s="1418" t="s">
        <v>896</v>
      </c>
      <c r="H481" s="1303"/>
      <c r="I481" s="1333"/>
      <c r="J481" s="1404"/>
      <c r="K481" s="1333"/>
      <c r="L481" s="1333"/>
      <c r="M481" s="1333"/>
      <c r="N481" s="1333"/>
      <c r="O481" s="1333"/>
      <c r="P481" s="1333"/>
      <c r="Q481" s="1333"/>
      <c r="R481" s="1333"/>
      <c r="S481" s="1333"/>
      <c r="T481" s="1333"/>
      <c r="U481" s="1333"/>
      <c r="V481" s="1333"/>
      <c r="W481" s="1333"/>
      <c r="X481" s="1333"/>
      <c r="Y481" s="1333"/>
      <c r="Z481" s="1333"/>
      <c r="AA481" s="1333"/>
      <c r="AB481" s="1333"/>
      <c r="AC481" s="1333"/>
      <c r="AD481" s="1333"/>
      <c r="AE481" s="1333"/>
      <c r="AF481" s="1333"/>
      <c r="AG481" s="1333"/>
      <c r="AH481" s="1333"/>
      <c r="AI481" s="1333"/>
      <c r="AJ481" s="1333"/>
    </row>
    <row r="482" spans="1:36" hidden="1" x14ac:dyDescent="0.25">
      <c r="A482" s="1479"/>
      <c r="B482" s="1284"/>
      <c r="C482" s="2062"/>
      <c r="D482" s="2062"/>
      <c r="E482" s="2062"/>
      <c r="F482" s="1297"/>
      <c r="G482" s="1418" t="s">
        <v>899</v>
      </c>
      <c r="H482" s="1303"/>
      <c r="I482" s="1333"/>
      <c r="J482" s="1404"/>
      <c r="K482" s="1333"/>
      <c r="L482" s="1333"/>
      <c r="M482" s="1333"/>
      <c r="N482" s="1333"/>
      <c r="O482" s="1333"/>
      <c r="P482" s="1333"/>
      <c r="Q482" s="1333"/>
      <c r="R482" s="1333"/>
      <c r="S482" s="1333"/>
      <c r="T482" s="1333"/>
      <c r="U482" s="1333"/>
      <c r="V482" s="1333"/>
      <c r="W482" s="1333"/>
      <c r="X482" s="1333"/>
      <c r="Y482" s="1333"/>
      <c r="Z482" s="1333"/>
      <c r="AA482" s="1333"/>
      <c r="AB482" s="1333"/>
      <c r="AC482" s="1333"/>
      <c r="AD482" s="1333"/>
      <c r="AE482" s="1333"/>
      <c r="AF482" s="1333"/>
      <c r="AG482" s="1333"/>
      <c r="AH482" s="1333"/>
      <c r="AI482" s="1333"/>
      <c r="AJ482" s="1333"/>
    </row>
    <row r="483" spans="1:36" hidden="1" x14ac:dyDescent="0.25">
      <c r="A483" s="1479"/>
      <c r="B483" s="1284"/>
      <c r="C483" s="2062"/>
      <c r="D483" s="2062"/>
      <c r="E483" s="2062"/>
      <c r="F483" s="1297"/>
      <c r="G483" s="1297"/>
      <c r="H483" s="1333"/>
      <c r="I483" s="1333"/>
      <c r="J483" s="1404"/>
      <c r="K483" s="1333"/>
      <c r="L483" s="1333"/>
      <c r="M483" s="1333"/>
      <c r="N483" s="1333"/>
      <c r="O483" s="1333"/>
      <c r="P483" s="1333"/>
      <c r="Q483" s="1333"/>
      <c r="R483" s="1333"/>
      <c r="S483" s="1333"/>
      <c r="T483" s="1333"/>
      <c r="U483" s="1333"/>
      <c r="V483" s="1333"/>
      <c r="W483" s="1333"/>
      <c r="X483" s="1333"/>
      <c r="Y483" s="1333"/>
      <c r="Z483" s="1333"/>
      <c r="AA483" s="1333"/>
      <c r="AB483" s="1333"/>
      <c r="AC483" s="1333"/>
      <c r="AD483" s="1333"/>
      <c r="AE483" s="1333"/>
      <c r="AF483" s="1333"/>
      <c r="AG483" s="1333"/>
      <c r="AH483" s="1333"/>
      <c r="AI483" s="1333"/>
      <c r="AJ483" s="1333"/>
    </row>
    <row r="484" spans="1:36" hidden="1" x14ac:dyDescent="0.25">
      <c r="A484" s="1479"/>
      <c r="B484" s="1284"/>
      <c r="C484" s="2062">
        <v>42947</v>
      </c>
      <c r="D484" s="2062"/>
      <c r="E484" s="2062"/>
      <c r="F484" s="1297"/>
      <c r="G484" s="1297" t="s">
        <v>962</v>
      </c>
      <c r="H484" s="1333"/>
      <c r="I484" s="1333"/>
      <c r="J484" s="1404"/>
      <c r="K484" s="1333"/>
      <c r="L484" s="1333"/>
      <c r="M484" s="1333"/>
      <c r="N484" s="1333"/>
      <c r="O484" s="1333"/>
      <c r="P484" s="1333"/>
      <c r="Q484" s="1333"/>
      <c r="R484" s="1333"/>
      <c r="S484" s="1333"/>
      <c r="T484" s="1333"/>
      <c r="U484" s="1333"/>
      <c r="V484" s="1333"/>
      <c r="W484" s="1333"/>
      <c r="X484" s="1333"/>
      <c r="Y484" s="1333"/>
      <c r="Z484" s="1333"/>
      <c r="AA484" s="1333"/>
      <c r="AB484" s="1333"/>
      <c r="AC484" s="1333"/>
      <c r="AD484" s="1333"/>
      <c r="AE484" s="1333"/>
      <c r="AF484" s="1333"/>
      <c r="AG484" s="1333"/>
      <c r="AH484" s="1333"/>
      <c r="AI484" s="1333"/>
      <c r="AJ484" s="1333"/>
    </row>
    <row r="485" spans="1:36" hidden="1" x14ac:dyDescent="0.25">
      <c r="A485" s="1479"/>
      <c r="B485" s="1284"/>
      <c r="C485" s="2062"/>
      <c r="D485" s="2062"/>
      <c r="E485" s="2062"/>
      <c r="F485" s="1297"/>
      <c r="G485" s="1297" t="s">
        <v>1018</v>
      </c>
      <c r="H485" s="1333"/>
      <c r="I485" s="1333"/>
      <c r="J485" s="1404"/>
      <c r="K485" s="1333"/>
      <c r="L485" s="1333"/>
      <c r="M485" s="1333"/>
      <c r="N485" s="1333"/>
      <c r="O485" s="1333"/>
      <c r="P485" s="1333"/>
      <c r="Q485" s="1333"/>
      <c r="R485" s="1333"/>
      <c r="S485" s="1333"/>
      <c r="T485" s="1333"/>
      <c r="U485" s="1333"/>
      <c r="V485" s="1333"/>
      <c r="W485" s="1333"/>
      <c r="X485" s="1333"/>
      <c r="Y485" s="1333"/>
      <c r="Z485" s="1333"/>
      <c r="AA485" s="1333"/>
      <c r="AB485" s="1333"/>
      <c r="AC485" s="1333"/>
      <c r="AD485" s="1333"/>
      <c r="AE485" s="1333"/>
      <c r="AF485" s="1333"/>
      <c r="AG485" s="1333"/>
      <c r="AH485" s="1333"/>
      <c r="AI485" s="1333"/>
      <c r="AJ485" s="1333"/>
    </row>
    <row r="486" spans="1:36" hidden="1" x14ac:dyDescent="0.25">
      <c r="A486" s="1479"/>
      <c r="B486" s="1284"/>
      <c r="C486" s="2062"/>
      <c r="D486" s="2062"/>
      <c r="E486" s="2062"/>
      <c r="F486" s="1297"/>
      <c r="G486" s="1418" t="s">
        <v>1015</v>
      </c>
      <c r="H486" s="1333"/>
      <c r="I486" s="1333"/>
      <c r="J486" s="1404"/>
      <c r="K486" s="1333"/>
      <c r="L486" s="1333"/>
      <c r="M486" s="1333"/>
      <c r="N486" s="1333"/>
      <c r="O486" s="1333"/>
      <c r="P486" s="1333"/>
      <c r="Q486" s="1333"/>
      <c r="R486" s="1333"/>
      <c r="S486" s="1333"/>
      <c r="T486" s="1333"/>
      <c r="U486" s="1333"/>
      <c r="V486" s="1333"/>
      <c r="W486" s="1333"/>
      <c r="X486" s="1333"/>
      <c r="Y486" s="1333"/>
      <c r="Z486" s="1333"/>
      <c r="AA486" s="1333"/>
      <c r="AB486" s="1333"/>
      <c r="AC486" s="1333"/>
      <c r="AD486" s="1333"/>
      <c r="AE486" s="1333"/>
      <c r="AF486" s="1333"/>
      <c r="AG486" s="1333"/>
      <c r="AH486" s="1333"/>
      <c r="AI486" s="1333"/>
      <c r="AJ486" s="1333"/>
    </row>
    <row r="487" spans="1:36" hidden="1" x14ac:dyDescent="0.25">
      <c r="A487" s="1479"/>
      <c r="B487" s="1284"/>
      <c r="C487" s="2062"/>
      <c r="D487" s="2062"/>
      <c r="E487" s="2062"/>
      <c r="F487" s="1297"/>
      <c r="G487" s="1418" t="s">
        <v>1012</v>
      </c>
      <c r="H487" s="1333"/>
      <c r="I487" s="1333"/>
      <c r="J487" s="1404"/>
      <c r="K487" s="1333"/>
      <c r="L487" s="1333"/>
      <c r="M487" s="1333"/>
      <c r="N487" s="1333"/>
      <c r="O487" s="1333"/>
      <c r="P487" s="1333"/>
      <c r="Q487" s="1333"/>
      <c r="R487" s="1333"/>
      <c r="S487" s="1333"/>
      <c r="T487" s="1333"/>
      <c r="U487" s="1333"/>
      <c r="V487" s="1333"/>
      <c r="W487" s="1333"/>
      <c r="X487" s="1333"/>
      <c r="Y487" s="1333"/>
      <c r="Z487" s="1333"/>
      <c r="AA487" s="1333"/>
      <c r="AB487" s="1333"/>
      <c r="AC487" s="1333"/>
      <c r="AD487" s="1333"/>
      <c r="AE487" s="1333"/>
      <c r="AF487" s="1333"/>
      <c r="AG487" s="1333"/>
      <c r="AH487" s="1333"/>
      <c r="AI487" s="1333"/>
      <c r="AJ487" s="1333"/>
    </row>
    <row r="488" spans="1:36" hidden="1" x14ac:dyDescent="0.25">
      <c r="A488" s="1479"/>
      <c r="B488" s="1284"/>
      <c r="C488" s="2062"/>
      <c r="D488" s="2062"/>
      <c r="E488" s="2062"/>
      <c r="F488" s="1297"/>
      <c r="G488" s="1660" t="s">
        <v>1013</v>
      </c>
      <c r="H488" s="1333"/>
      <c r="I488" s="1333"/>
      <c r="J488" s="1404"/>
      <c r="K488" s="1333"/>
      <c r="L488" s="1333"/>
      <c r="M488" s="1333"/>
      <c r="N488" s="1333"/>
      <c r="O488" s="1333"/>
      <c r="P488" s="1333"/>
      <c r="Q488" s="1333"/>
      <c r="R488" s="1333"/>
      <c r="S488" s="1333"/>
      <c r="T488" s="1333"/>
      <c r="U488" s="1333"/>
      <c r="V488" s="1333"/>
      <c r="W488" s="1333"/>
      <c r="X488" s="1333"/>
      <c r="Y488" s="1333"/>
      <c r="Z488" s="1333"/>
      <c r="AA488" s="1333"/>
      <c r="AB488" s="1333"/>
      <c r="AC488" s="1333"/>
      <c r="AD488" s="1333"/>
      <c r="AE488" s="1333"/>
      <c r="AF488" s="1333"/>
      <c r="AG488" s="1333"/>
      <c r="AH488" s="1333"/>
      <c r="AI488" s="1333"/>
      <c r="AJ488" s="1333"/>
    </row>
    <row r="489" spans="1:36" hidden="1" x14ac:dyDescent="0.25">
      <c r="A489" s="1479"/>
      <c r="B489" s="1284"/>
      <c r="C489" s="2062"/>
      <c r="D489" s="2062"/>
      <c r="E489" s="2062"/>
      <c r="F489" s="1297"/>
      <c r="G489" s="1660" t="s">
        <v>1014</v>
      </c>
      <c r="H489" s="1333"/>
      <c r="I489" s="1333"/>
      <c r="J489" s="1404"/>
      <c r="K489" s="1333"/>
      <c r="L489" s="1333"/>
      <c r="M489" s="1333"/>
      <c r="N489" s="1333"/>
      <c r="O489" s="1333"/>
      <c r="P489" s="1333"/>
      <c r="Q489" s="1333"/>
      <c r="R489" s="1333"/>
      <c r="S489" s="1333"/>
      <c r="T489" s="1333"/>
      <c r="U489" s="1333"/>
      <c r="V489" s="1333"/>
      <c r="W489" s="1333"/>
      <c r="X489" s="1333"/>
      <c r="Y489" s="1333"/>
      <c r="Z489" s="1333"/>
      <c r="AA489" s="1333"/>
      <c r="AB489" s="1333"/>
      <c r="AC489" s="1333"/>
      <c r="AD489" s="1333"/>
      <c r="AE489" s="1333"/>
      <c r="AF489" s="1333"/>
      <c r="AG489" s="1333"/>
      <c r="AH489" s="1333"/>
      <c r="AI489" s="1333"/>
      <c r="AJ489" s="1333"/>
    </row>
    <row r="490" spans="1:36" hidden="1" x14ac:dyDescent="0.25">
      <c r="A490" s="1479"/>
      <c r="B490" s="1284"/>
      <c r="C490" s="2062"/>
      <c r="D490" s="2062"/>
      <c r="E490" s="2062"/>
      <c r="F490" s="1297"/>
      <c r="G490" s="1418"/>
      <c r="H490" s="1333"/>
      <c r="I490" s="1333"/>
      <c r="J490" s="1404"/>
      <c r="K490" s="1333"/>
      <c r="L490" s="1333"/>
      <c r="M490" s="1333"/>
      <c r="N490" s="1333"/>
      <c r="O490" s="1333"/>
      <c r="P490" s="1333"/>
      <c r="Q490" s="1333"/>
      <c r="R490" s="1333"/>
      <c r="S490" s="1333"/>
      <c r="T490" s="1333"/>
      <c r="U490" s="1333"/>
      <c r="V490" s="1333"/>
      <c r="W490" s="1333"/>
      <c r="X490" s="1333"/>
      <c r="Y490" s="1333"/>
      <c r="Z490" s="1333"/>
      <c r="AA490" s="1333"/>
      <c r="AB490" s="1333"/>
      <c r="AC490" s="1333"/>
      <c r="AD490" s="1333"/>
      <c r="AE490" s="1333"/>
      <c r="AF490" s="1333"/>
      <c r="AG490" s="1333"/>
      <c r="AH490" s="1333"/>
      <c r="AI490" s="1333"/>
      <c r="AJ490" s="1333"/>
    </row>
    <row r="491" spans="1:36" hidden="1" x14ac:dyDescent="0.25">
      <c r="A491" s="1479"/>
      <c r="B491" s="1284"/>
      <c r="C491" s="2062">
        <v>42993</v>
      </c>
      <c r="D491" s="2062"/>
      <c r="E491" s="2062"/>
      <c r="F491" s="1297"/>
      <c r="G491" s="1297" t="s">
        <v>1084</v>
      </c>
      <c r="H491" s="1333"/>
      <c r="I491" s="1333"/>
      <c r="J491" s="1404"/>
      <c r="K491" s="1333"/>
      <c r="L491" s="1333"/>
      <c r="M491" s="1333"/>
      <c r="N491" s="1333"/>
      <c r="O491" s="1333"/>
      <c r="P491" s="1333"/>
      <c r="Q491" s="1333"/>
      <c r="R491" s="1333"/>
      <c r="S491" s="1333"/>
      <c r="T491" s="1333"/>
      <c r="U491" s="1333"/>
      <c r="V491" s="1333"/>
      <c r="W491" s="1333"/>
      <c r="X491" s="1333"/>
      <c r="Y491" s="1333"/>
      <c r="Z491" s="1333"/>
      <c r="AA491" s="1333"/>
      <c r="AB491" s="1333"/>
      <c r="AC491" s="1333"/>
      <c r="AD491" s="1333"/>
      <c r="AE491" s="1333"/>
      <c r="AF491" s="1333"/>
      <c r="AG491" s="1333"/>
      <c r="AH491" s="1333"/>
      <c r="AI491" s="1333"/>
      <c r="AJ491" s="1333"/>
    </row>
    <row r="492" spans="1:36" hidden="1" x14ac:dyDescent="0.25">
      <c r="A492" s="1479"/>
      <c r="B492" s="1284"/>
      <c r="C492" s="2062"/>
      <c r="D492" s="2062"/>
      <c r="E492" s="2062"/>
      <c r="F492" s="1297"/>
      <c r="G492" s="1297"/>
      <c r="H492" s="1333"/>
      <c r="I492" s="1333"/>
      <c r="J492" s="1404"/>
      <c r="K492" s="1333"/>
      <c r="L492" s="1333"/>
      <c r="M492" s="1333"/>
      <c r="N492" s="1333"/>
      <c r="O492" s="1333"/>
      <c r="P492" s="1333"/>
      <c r="Q492" s="1333"/>
      <c r="R492" s="1333"/>
      <c r="S492" s="1333"/>
      <c r="T492" s="1333"/>
      <c r="U492" s="1333"/>
      <c r="V492" s="1333"/>
      <c r="W492" s="1333"/>
      <c r="X492" s="1333"/>
      <c r="Y492" s="1333"/>
      <c r="Z492" s="1333"/>
      <c r="AA492" s="1333"/>
      <c r="AB492" s="1333"/>
      <c r="AC492" s="1333"/>
      <c r="AD492" s="1333"/>
      <c r="AE492" s="1333"/>
      <c r="AF492" s="1333"/>
      <c r="AG492" s="1333"/>
      <c r="AH492" s="1333"/>
      <c r="AI492" s="1333"/>
      <c r="AJ492" s="1333"/>
    </row>
    <row r="493" spans="1:36" hidden="1" x14ac:dyDescent="0.25">
      <c r="A493" s="1479"/>
      <c r="B493" s="1284"/>
      <c r="C493" s="2062">
        <v>43084</v>
      </c>
      <c r="D493" s="2062"/>
      <c r="E493" s="2062"/>
      <c r="F493" s="1297"/>
      <c r="G493" s="1297" t="s">
        <v>1127</v>
      </c>
      <c r="H493" s="1333"/>
      <c r="I493" s="1333"/>
      <c r="J493" s="1333"/>
      <c r="K493" s="1333"/>
      <c r="L493" s="1333"/>
      <c r="M493" s="1333"/>
      <c r="N493" s="1333"/>
      <c r="O493" s="1333"/>
      <c r="P493" s="1333"/>
      <c r="Q493" s="1333"/>
      <c r="R493" s="1333"/>
      <c r="S493" s="1333"/>
      <c r="T493" s="1333"/>
      <c r="U493" s="1333"/>
      <c r="V493" s="1333"/>
      <c r="W493" s="1333"/>
      <c r="X493" s="1333"/>
      <c r="Y493" s="1333"/>
      <c r="Z493" s="1333"/>
      <c r="AA493" s="1333"/>
      <c r="AB493" s="1333"/>
      <c r="AC493" s="1333"/>
      <c r="AD493" s="1333"/>
      <c r="AE493" s="1333"/>
      <c r="AF493" s="1333"/>
      <c r="AG493" s="1333"/>
      <c r="AH493" s="1333"/>
      <c r="AI493" s="1333"/>
      <c r="AJ493" s="1333"/>
    </row>
    <row r="494" spans="1:36" hidden="1" x14ac:dyDescent="0.25">
      <c r="A494" s="1479"/>
      <c r="B494" s="1284"/>
      <c r="C494" s="2062"/>
      <c r="D494" s="2062"/>
      <c r="E494" s="2062"/>
      <c r="F494" s="1297"/>
      <c r="G494" s="1297"/>
      <c r="H494" s="1333"/>
      <c r="I494" s="1333"/>
      <c r="J494" s="1333"/>
      <c r="K494" s="1333"/>
      <c r="L494" s="1333"/>
      <c r="M494" s="1333"/>
      <c r="N494" s="1333"/>
      <c r="O494" s="1333"/>
      <c r="P494" s="1333"/>
      <c r="Q494" s="1333"/>
      <c r="R494" s="1333"/>
      <c r="S494" s="1333"/>
      <c r="T494" s="1333"/>
      <c r="U494" s="1333"/>
      <c r="V494" s="1333"/>
      <c r="W494" s="1333"/>
      <c r="X494" s="1333"/>
      <c r="Y494" s="1333"/>
      <c r="Z494" s="1333"/>
      <c r="AA494" s="1333"/>
      <c r="AB494" s="1333"/>
      <c r="AC494" s="1333"/>
      <c r="AD494" s="1333"/>
      <c r="AE494" s="1333"/>
      <c r="AF494" s="1333"/>
      <c r="AG494" s="1333"/>
      <c r="AH494" s="1333"/>
      <c r="AI494" s="1333"/>
      <c r="AJ494" s="1333"/>
    </row>
    <row r="495" spans="1:36" x14ac:dyDescent="0.25">
      <c r="A495" s="1479"/>
      <c r="B495" s="1284"/>
      <c r="C495" s="2062"/>
      <c r="D495" s="2062"/>
      <c r="E495" s="2062"/>
      <c r="F495" s="1297"/>
      <c r="G495" s="1297"/>
      <c r="H495" s="1333"/>
      <c r="I495" s="1333"/>
      <c r="J495" s="1333"/>
      <c r="K495" s="1333"/>
      <c r="L495" s="1333"/>
      <c r="M495" s="1333"/>
      <c r="N495" s="1333"/>
      <c r="O495" s="1333"/>
      <c r="P495" s="1333"/>
      <c r="Q495" s="1333"/>
      <c r="R495" s="1333"/>
      <c r="S495" s="1333"/>
      <c r="T495" s="1333"/>
      <c r="U495" s="1333"/>
      <c r="V495" s="1333"/>
      <c r="W495" s="1333"/>
      <c r="X495" s="1333"/>
      <c r="Y495" s="1333"/>
      <c r="Z495" s="1333"/>
      <c r="AA495" s="1333"/>
      <c r="AB495" s="1333"/>
      <c r="AC495" s="1333"/>
      <c r="AD495" s="1333"/>
      <c r="AE495" s="1333"/>
      <c r="AF495" s="1333"/>
      <c r="AG495" s="1333"/>
      <c r="AH495" s="1333"/>
      <c r="AI495" s="1333"/>
      <c r="AJ495" s="1333"/>
    </row>
    <row r="496" spans="1:36" x14ac:dyDescent="0.25">
      <c r="A496" s="1479"/>
      <c r="B496" s="1284"/>
      <c r="C496" s="2062"/>
      <c r="D496" s="2062"/>
      <c r="E496" s="2062"/>
      <c r="F496" s="1297"/>
      <c r="G496" s="1297"/>
      <c r="H496" s="1333"/>
      <c r="I496" s="1333"/>
      <c r="J496" s="1333"/>
      <c r="K496" s="1333"/>
      <c r="L496" s="1333"/>
      <c r="M496" s="1333"/>
      <c r="N496" s="1333"/>
      <c r="O496" s="1333"/>
      <c r="P496" s="1333"/>
      <c r="Q496" s="1333"/>
      <c r="R496" s="1333"/>
      <c r="S496" s="1333"/>
      <c r="T496" s="1333"/>
      <c r="U496" s="1333"/>
      <c r="V496" s="1333"/>
      <c r="W496" s="1333"/>
      <c r="X496" s="1333"/>
      <c r="Y496" s="1333"/>
      <c r="Z496" s="1333"/>
      <c r="AA496" s="1333"/>
      <c r="AB496" s="1333"/>
      <c r="AC496" s="1333"/>
      <c r="AD496" s="1333"/>
      <c r="AE496" s="1333"/>
      <c r="AF496" s="1333"/>
      <c r="AG496" s="1333"/>
      <c r="AH496" s="1333"/>
      <c r="AI496" s="1333"/>
      <c r="AJ496" s="1333"/>
    </row>
    <row r="497" spans="1:36" x14ac:dyDescent="0.25">
      <c r="A497" s="1479"/>
      <c r="B497" s="1284"/>
      <c r="C497" s="2062"/>
      <c r="D497" s="2062"/>
      <c r="E497" s="2062"/>
      <c r="F497" s="1297"/>
      <c r="G497" s="1297"/>
      <c r="H497" s="1333"/>
      <c r="I497" s="1333"/>
      <c r="J497" s="1333"/>
      <c r="K497" s="1333"/>
      <c r="L497" s="1333"/>
      <c r="M497" s="1333"/>
      <c r="N497" s="1333"/>
      <c r="O497" s="1333"/>
      <c r="P497" s="1333"/>
      <c r="Q497" s="1333"/>
      <c r="R497" s="1333"/>
      <c r="S497" s="1333"/>
      <c r="T497" s="1333"/>
      <c r="U497" s="1333"/>
      <c r="V497" s="1333"/>
      <c r="W497" s="1333"/>
      <c r="X497" s="1333"/>
      <c r="Y497" s="1333"/>
      <c r="Z497" s="1333"/>
      <c r="AA497" s="1333"/>
      <c r="AB497" s="1333"/>
      <c r="AC497" s="1333"/>
      <c r="AD497" s="1333"/>
      <c r="AE497" s="1333"/>
      <c r="AF497" s="1333"/>
      <c r="AG497" s="1333"/>
      <c r="AH497" s="1333"/>
      <c r="AI497" s="1333"/>
      <c r="AJ497" s="1333"/>
    </row>
    <row r="498" spans="1:36" x14ac:dyDescent="0.25">
      <c r="A498" s="1479"/>
      <c r="B498" s="1284"/>
      <c r="C498" s="2062"/>
      <c r="D498" s="2062"/>
      <c r="E498" s="2062"/>
      <c r="F498" s="1297"/>
      <c r="G498" s="1297"/>
      <c r="H498" s="1333"/>
      <c r="I498" s="1333"/>
      <c r="J498" s="1333"/>
      <c r="K498" s="1333"/>
      <c r="L498" s="1333"/>
      <c r="M498" s="1333"/>
      <c r="N498" s="1333"/>
      <c r="O498" s="1333"/>
      <c r="P498" s="1333"/>
      <c r="Q498" s="1333"/>
      <c r="R498" s="1333"/>
      <c r="S498" s="1333"/>
      <c r="T498" s="1333"/>
      <c r="U498" s="1333"/>
      <c r="V498" s="1333"/>
      <c r="W498" s="1333"/>
      <c r="X498" s="1333"/>
      <c r="Y498" s="1333"/>
      <c r="Z498" s="1333"/>
      <c r="AA498" s="1333"/>
      <c r="AB498" s="1333"/>
      <c r="AC498" s="1333"/>
      <c r="AD498" s="1333"/>
      <c r="AE498" s="1333"/>
      <c r="AF498" s="1333"/>
      <c r="AG498" s="1333"/>
      <c r="AH498" s="1333"/>
      <c r="AI498" s="1333"/>
      <c r="AJ498" s="1333"/>
    </row>
    <row r="499" spans="1:36" x14ac:dyDescent="0.25">
      <c r="A499" s="1479"/>
      <c r="B499" s="1284"/>
      <c r="C499" s="2062"/>
      <c r="D499" s="2062"/>
      <c r="E499" s="2062"/>
      <c r="F499" s="1297"/>
      <c r="G499" s="1297"/>
      <c r="H499" s="1333"/>
      <c r="I499" s="1333"/>
      <c r="J499" s="1333"/>
      <c r="K499" s="1333"/>
      <c r="L499" s="1333"/>
      <c r="M499" s="1333"/>
      <c r="N499" s="1333"/>
      <c r="O499" s="1333"/>
      <c r="P499" s="1333"/>
      <c r="Q499" s="1333"/>
      <c r="R499" s="1333"/>
      <c r="S499" s="1333"/>
      <c r="T499" s="1333"/>
      <c r="U499" s="1333"/>
      <c r="V499" s="1333"/>
      <c r="W499" s="1333"/>
      <c r="X499" s="1333"/>
      <c r="Y499" s="1333"/>
      <c r="Z499" s="1333"/>
      <c r="AA499" s="1333"/>
      <c r="AB499" s="1333"/>
      <c r="AC499" s="1333"/>
      <c r="AD499" s="1333"/>
      <c r="AE499" s="1333"/>
      <c r="AF499" s="1333"/>
      <c r="AG499" s="1333"/>
      <c r="AH499" s="1333"/>
      <c r="AI499" s="1333"/>
      <c r="AJ499" s="1333"/>
    </row>
    <row r="500" spans="1:36" x14ac:dyDescent="0.25">
      <c r="A500" s="1479"/>
      <c r="B500" s="1284"/>
      <c r="C500" s="2062"/>
      <c r="D500" s="2062"/>
      <c r="E500" s="2062"/>
      <c r="F500" s="1297"/>
      <c r="G500" s="1297"/>
      <c r="H500" s="1333"/>
      <c r="I500" s="1333"/>
      <c r="J500" s="1333"/>
      <c r="K500" s="1333"/>
      <c r="L500" s="1333"/>
      <c r="M500" s="1333"/>
      <c r="N500" s="1333"/>
      <c r="O500" s="1333"/>
      <c r="P500" s="1333"/>
      <c r="Q500" s="1333"/>
      <c r="R500" s="1333"/>
      <c r="S500" s="1333"/>
      <c r="T500" s="1333"/>
      <c r="U500" s="1333"/>
      <c r="V500" s="1333"/>
      <c r="W500" s="1333"/>
      <c r="X500" s="1333"/>
      <c r="Y500" s="1333"/>
      <c r="Z500" s="1333"/>
      <c r="AA500" s="1333"/>
      <c r="AB500" s="1333"/>
      <c r="AC500" s="1333"/>
      <c r="AD500" s="1333"/>
      <c r="AE500" s="1333"/>
      <c r="AF500" s="1333"/>
      <c r="AG500" s="1333"/>
      <c r="AH500" s="1333"/>
      <c r="AI500" s="1333"/>
      <c r="AJ500" s="1333"/>
    </row>
    <row r="501" spans="1:36" x14ac:dyDescent="0.25">
      <c r="A501" s="1479"/>
      <c r="B501" s="1284"/>
      <c r="C501" s="1284"/>
      <c r="D501" s="1364"/>
      <c r="E501" s="1364"/>
      <c r="F501" s="1364"/>
      <c r="G501" s="1365"/>
      <c r="H501" s="1333"/>
      <c r="I501" s="1333"/>
      <c r="J501" s="1333"/>
      <c r="K501" s="1333"/>
      <c r="L501" s="1333"/>
      <c r="M501" s="1333"/>
      <c r="N501" s="1333"/>
      <c r="O501" s="1333"/>
      <c r="P501" s="1333"/>
      <c r="Q501" s="1333"/>
      <c r="R501" s="1333"/>
      <c r="S501" s="1333"/>
      <c r="T501" s="1333"/>
      <c r="U501" s="1333"/>
      <c r="V501" s="1333"/>
      <c r="W501" s="1333"/>
      <c r="X501" s="1333"/>
      <c r="Y501" s="1333"/>
      <c r="Z501" s="1333"/>
      <c r="AA501" s="1333"/>
      <c r="AB501" s="1333"/>
      <c r="AC501" s="1333"/>
      <c r="AD501" s="1333"/>
      <c r="AE501" s="1333"/>
      <c r="AF501" s="1333"/>
      <c r="AG501" s="1333"/>
      <c r="AH501" s="1333"/>
      <c r="AI501" s="1333"/>
      <c r="AJ501" s="1333"/>
    </row>
    <row r="502" spans="1:36" x14ac:dyDescent="0.25">
      <c r="A502" s="1479"/>
      <c r="B502" s="1284"/>
      <c r="C502" s="1284"/>
      <c r="D502" s="1364"/>
      <c r="E502" s="1364"/>
      <c r="F502" s="1364"/>
      <c r="G502" s="1365"/>
      <c r="H502" s="1333"/>
      <c r="I502" s="1333"/>
      <c r="J502" s="1333"/>
      <c r="K502" s="1333"/>
      <c r="L502" s="1333"/>
      <c r="M502" s="1333"/>
      <c r="N502" s="1333"/>
      <c r="O502" s="1333"/>
      <c r="P502" s="1333"/>
      <c r="Q502" s="1333"/>
      <c r="R502" s="1333"/>
      <c r="S502" s="1333"/>
      <c r="T502" s="1333"/>
      <c r="U502" s="1333"/>
      <c r="V502" s="1333"/>
      <c r="W502" s="1333"/>
      <c r="X502" s="1333"/>
      <c r="Y502" s="1333"/>
      <c r="Z502" s="1333"/>
      <c r="AA502" s="1333"/>
      <c r="AB502" s="1333"/>
      <c r="AC502" s="1333"/>
      <c r="AD502" s="1333"/>
      <c r="AE502" s="1333"/>
      <c r="AF502" s="1333"/>
      <c r="AG502" s="1333"/>
      <c r="AH502" s="1333"/>
      <c r="AI502" s="1333"/>
      <c r="AJ502" s="1333"/>
    </row>
    <row r="503" spans="1:36" x14ac:dyDescent="0.25">
      <c r="A503" s="1479"/>
      <c r="B503" s="1284"/>
      <c r="C503" s="1284"/>
      <c r="D503" s="1364"/>
      <c r="E503" s="1364"/>
      <c r="F503" s="1364"/>
      <c r="G503" s="1365"/>
      <c r="H503" s="1333"/>
      <c r="I503" s="1333"/>
      <c r="J503" s="1333"/>
      <c r="K503" s="1333"/>
      <c r="L503" s="1333"/>
      <c r="M503" s="1333"/>
      <c r="N503" s="1333"/>
      <c r="O503" s="1333"/>
      <c r="P503" s="1333"/>
      <c r="Q503" s="1333"/>
      <c r="R503" s="1333"/>
      <c r="S503" s="1333"/>
      <c r="T503" s="1333"/>
      <c r="U503" s="1333"/>
      <c r="V503" s="1333"/>
      <c r="W503" s="1333"/>
      <c r="X503" s="1333"/>
      <c r="Y503" s="1333"/>
      <c r="Z503" s="1333"/>
      <c r="AA503" s="1333"/>
      <c r="AB503" s="1333"/>
      <c r="AC503" s="1333"/>
      <c r="AD503" s="1333"/>
      <c r="AE503" s="1333"/>
      <c r="AF503" s="1333"/>
      <c r="AG503" s="1333"/>
      <c r="AH503" s="1333"/>
      <c r="AI503" s="1333"/>
      <c r="AJ503" s="1333"/>
    </row>
    <row r="504" spans="1:36" x14ac:dyDescent="0.25">
      <c r="A504" s="1479"/>
      <c r="B504" s="1284"/>
      <c r="C504" s="1284"/>
      <c r="D504" s="1364"/>
      <c r="E504" s="1364"/>
      <c r="F504" s="1364"/>
      <c r="G504" s="1365"/>
      <c r="H504" s="1333"/>
      <c r="I504" s="1333"/>
      <c r="J504" s="1333"/>
      <c r="K504" s="1333"/>
      <c r="L504" s="1333"/>
      <c r="M504" s="1333"/>
      <c r="N504" s="1333"/>
      <c r="O504" s="1333"/>
      <c r="P504" s="1333"/>
      <c r="Q504" s="1333"/>
      <c r="R504" s="1333"/>
      <c r="S504" s="1333"/>
      <c r="T504" s="1333"/>
      <c r="U504" s="1333"/>
      <c r="V504" s="1333"/>
      <c r="W504" s="1333"/>
      <c r="X504" s="1333"/>
      <c r="Y504" s="1333"/>
      <c r="Z504" s="1333"/>
      <c r="AA504" s="1333"/>
      <c r="AB504" s="1333"/>
      <c r="AC504" s="1333"/>
      <c r="AD504" s="1333"/>
      <c r="AE504" s="1333"/>
      <c r="AF504" s="1333"/>
      <c r="AG504" s="1333"/>
      <c r="AH504" s="1333"/>
      <c r="AI504" s="1333"/>
      <c r="AJ504" s="1333"/>
    </row>
    <row r="505" spans="1:36" x14ac:dyDescent="0.25">
      <c r="A505" s="1479"/>
      <c r="B505" s="1284"/>
      <c r="C505" s="1284"/>
      <c r="D505" s="1364"/>
      <c r="E505" s="1364"/>
      <c r="F505" s="1364"/>
      <c r="G505" s="1365"/>
      <c r="H505" s="1333"/>
      <c r="I505" s="1333"/>
      <c r="J505" s="1333"/>
      <c r="K505" s="1333"/>
      <c r="L505" s="1333"/>
      <c r="M505" s="1333"/>
      <c r="N505" s="1333"/>
      <c r="O505" s="1333"/>
      <c r="P505" s="1333"/>
      <c r="Q505" s="1333"/>
      <c r="R505" s="1333"/>
      <c r="S505" s="1333"/>
      <c r="T505" s="1333"/>
      <c r="U505" s="1333"/>
      <c r="V505" s="1333"/>
      <c r="W505" s="1333"/>
      <c r="X505" s="1333"/>
      <c r="Y505" s="1333"/>
      <c r="Z505" s="1333"/>
      <c r="AA505" s="1333"/>
      <c r="AB505" s="1333"/>
      <c r="AC505" s="1333"/>
      <c r="AD505" s="1333"/>
      <c r="AE505" s="1333"/>
      <c r="AF505" s="1333"/>
      <c r="AG505" s="1333"/>
      <c r="AH505" s="1333"/>
      <c r="AI505" s="1333"/>
      <c r="AJ505" s="1333"/>
    </row>
    <row r="506" spans="1:36" x14ac:dyDescent="0.25">
      <c r="A506" s="1479"/>
      <c r="B506" s="1284"/>
      <c r="C506" s="1284"/>
      <c r="D506" s="1364"/>
      <c r="E506" s="1364"/>
      <c r="F506" s="1364"/>
      <c r="G506" s="1365"/>
      <c r="H506" s="1333"/>
      <c r="I506" s="1333"/>
      <c r="J506" s="1333"/>
      <c r="K506" s="1333"/>
      <c r="L506" s="1333"/>
      <c r="M506" s="1333"/>
      <c r="N506" s="1333"/>
      <c r="O506" s="1333"/>
      <c r="P506" s="1333"/>
      <c r="Q506" s="1333"/>
      <c r="R506" s="1333"/>
      <c r="S506" s="1333"/>
      <c r="T506" s="1333"/>
      <c r="U506" s="1333"/>
      <c r="V506" s="1333"/>
      <c r="W506" s="1333"/>
      <c r="X506" s="1333"/>
      <c r="Y506" s="1333"/>
      <c r="Z506" s="1333"/>
      <c r="AA506" s="1333"/>
      <c r="AB506" s="1333"/>
      <c r="AC506" s="1333"/>
      <c r="AD506" s="1333"/>
      <c r="AE506" s="1333"/>
      <c r="AF506" s="1333"/>
      <c r="AG506" s="1333"/>
      <c r="AH506" s="1333"/>
      <c r="AI506" s="1333"/>
      <c r="AJ506" s="1333"/>
    </row>
    <row r="507" spans="1:36" x14ac:dyDescent="0.25">
      <c r="A507" s="1479"/>
      <c r="B507" s="1284"/>
      <c r="C507" s="1284"/>
      <c r="D507" s="1364"/>
      <c r="E507" s="1364"/>
      <c r="F507" s="1364"/>
      <c r="G507" s="1365"/>
      <c r="H507" s="1333"/>
      <c r="I507" s="1333"/>
      <c r="J507" s="1333"/>
      <c r="K507" s="1333"/>
      <c r="L507" s="1333"/>
      <c r="M507" s="1333"/>
      <c r="N507" s="1333"/>
      <c r="O507" s="1333"/>
      <c r="P507" s="1333"/>
      <c r="Q507" s="1333"/>
      <c r="R507" s="1333"/>
      <c r="S507" s="1333"/>
      <c r="T507" s="1333"/>
      <c r="U507" s="1333"/>
      <c r="V507" s="1333"/>
      <c r="W507" s="1333"/>
      <c r="X507" s="1333"/>
      <c r="Y507" s="1333"/>
      <c r="Z507" s="1333"/>
      <c r="AA507" s="1333"/>
      <c r="AB507" s="1333"/>
      <c r="AC507" s="1333"/>
      <c r="AD507" s="1333"/>
      <c r="AE507" s="1333"/>
      <c r="AF507" s="1333"/>
      <c r="AG507" s="1333"/>
      <c r="AH507" s="1333"/>
      <c r="AI507" s="1333"/>
      <c r="AJ507" s="1333"/>
    </row>
    <row r="508" spans="1:36" x14ac:dyDescent="0.25">
      <c r="A508" s="1479"/>
      <c r="B508" s="1284"/>
      <c r="C508" s="1284"/>
      <c r="D508" s="1364"/>
      <c r="E508" s="1364"/>
      <c r="F508" s="1364"/>
      <c r="G508" s="1365"/>
      <c r="H508" s="1333"/>
      <c r="I508" s="1333"/>
      <c r="J508" s="1333"/>
      <c r="K508" s="1333"/>
      <c r="L508" s="1333"/>
      <c r="M508" s="1333"/>
      <c r="N508" s="1333"/>
      <c r="O508" s="1333"/>
      <c r="P508" s="1333"/>
      <c r="Q508" s="1333"/>
      <c r="R508" s="1333"/>
      <c r="S508" s="1333"/>
      <c r="T508" s="1333"/>
      <c r="U508" s="1333"/>
      <c r="V508" s="1333"/>
      <c r="W508" s="1333"/>
      <c r="X508" s="1333"/>
      <c r="Y508" s="1333"/>
      <c r="Z508" s="1333"/>
      <c r="AA508" s="1333"/>
      <c r="AB508" s="1333"/>
      <c r="AC508" s="1333"/>
      <c r="AD508" s="1333"/>
      <c r="AE508" s="1333"/>
      <c r="AF508" s="1333"/>
      <c r="AG508" s="1333"/>
      <c r="AH508" s="1333"/>
      <c r="AI508" s="1333"/>
      <c r="AJ508" s="1333"/>
    </row>
    <row r="509" spans="1:36" x14ac:dyDescent="0.25">
      <c r="A509" s="1479"/>
      <c r="B509" s="1284"/>
      <c r="C509" s="1284"/>
      <c r="D509" s="1364"/>
      <c r="E509" s="1364"/>
      <c r="F509" s="1364"/>
      <c r="G509" s="1365"/>
      <c r="H509" s="1333"/>
      <c r="I509" s="1333"/>
      <c r="J509" s="1333"/>
      <c r="K509" s="1333"/>
      <c r="L509" s="1333"/>
      <c r="M509" s="1333"/>
      <c r="N509" s="1333"/>
      <c r="O509" s="1333"/>
      <c r="P509" s="1333"/>
      <c r="Q509" s="1333"/>
      <c r="R509" s="1333"/>
      <c r="S509" s="1333"/>
      <c r="T509" s="1333"/>
      <c r="U509" s="1333"/>
      <c r="V509" s="1333"/>
      <c r="W509" s="1333"/>
      <c r="X509" s="1333"/>
      <c r="Y509" s="1333"/>
      <c r="Z509" s="1333"/>
      <c r="AA509" s="1333"/>
      <c r="AB509" s="1333"/>
      <c r="AC509" s="1333"/>
      <c r="AD509" s="1333"/>
      <c r="AE509" s="1333"/>
      <c r="AF509" s="1333"/>
      <c r="AG509" s="1333"/>
      <c r="AH509" s="1333"/>
      <c r="AI509" s="1333"/>
      <c r="AJ509" s="1333"/>
    </row>
    <row r="510" spans="1:36" x14ac:dyDescent="0.25">
      <c r="A510" s="1479"/>
      <c r="B510" s="1284"/>
      <c r="C510" s="1284"/>
      <c r="D510" s="1364"/>
      <c r="E510" s="1364"/>
      <c r="F510" s="1364"/>
      <c r="G510" s="1365"/>
      <c r="H510" s="1333"/>
      <c r="I510" s="1333"/>
      <c r="J510" s="1333"/>
      <c r="K510" s="1333"/>
      <c r="L510" s="1333"/>
      <c r="M510" s="1333"/>
      <c r="N510" s="1333"/>
      <c r="O510" s="1333"/>
      <c r="P510" s="1333"/>
      <c r="Q510" s="1333"/>
      <c r="R510" s="1333"/>
      <c r="S510" s="1333"/>
      <c r="T510" s="1333"/>
      <c r="U510" s="1333"/>
      <c r="V510" s="1333"/>
      <c r="W510" s="1333"/>
      <c r="X510" s="1333"/>
      <c r="Y510" s="1333"/>
      <c r="Z510" s="1333"/>
      <c r="AA510" s="1333"/>
      <c r="AB510" s="1333"/>
      <c r="AC510" s="1333"/>
      <c r="AD510" s="1333"/>
      <c r="AE510" s="1333"/>
      <c r="AF510" s="1333"/>
      <c r="AG510" s="1333"/>
      <c r="AH510" s="1333"/>
      <c r="AI510" s="1333"/>
      <c r="AJ510" s="1333"/>
    </row>
    <row r="511" spans="1:36" x14ac:dyDescent="0.25">
      <c r="A511" s="1479"/>
      <c r="B511" s="1284"/>
      <c r="C511" s="1284"/>
      <c r="D511" s="1364"/>
      <c r="E511" s="1364"/>
      <c r="F511" s="1364"/>
      <c r="G511" s="1365"/>
      <c r="H511" s="1333"/>
      <c r="I511" s="1333"/>
      <c r="J511" s="1333"/>
      <c r="K511" s="1333"/>
      <c r="L511" s="1333"/>
      <c r="M511" s="1333"/>
      <c r="N511" s="1333"/>
      <c r="O511" s="1333"/>
      <c r="P511" s="1333"/>
      <c r="Q511" s="1333"/>
      <c r="R511" s="1333"/>
      <c r="S511" s="1333"/>
      <c r="T511" s="1333"/>
      <c r="U511" s="1333"/>
      <c r="V511" s="1333"/>
      <c r="W511" s="1333"/>
      <c r="X511" s="1333"/>
      <c r="Y511" s="1333"/>
      <c r="Z511" s="1333"/>
      <c r="AA511" s="1333"/>
      <c r="AB511" s="1333"/>
      <c r="AC511" s="1333"/>
      <c r="AD511" s="1333"/>
      <c r="AE511" s="1333"/>
      <c r="AF511" s="1333"/>
      <c r="AG511" s="1333"/>
      <c r="AH511" s="1333"/>
      <c r="AI511" s="1333"/>
      <c r="AJ511" s="1333"/>
    </row>
    <row r="512" spans="1:36" x14ac:dyDescent="0.25">
      <c r="A512" s="1479"/>
      <c r="B512" s="1284"/>
      <c r="C512" s="1284"/>
      <c r="D512" s="1364"/>
      <c r="E512" s="1364"/>
      <c r="F512" s="1364"/>
      <c r="G512" s="1365"/>
      <c r="H512" s="1333"/>
      <c r="I512" s="1333"/>
      <c r="J512" s="1333"/>
      <c r="K512" s="1333"/>
      <c r="L512" s="1333"/>
      <c r="M512" s="1333"/>
      <c r="N512" s="1333"/>
      <c r="O512" s="1333"/>
      <c r="P512" s="1333"/>
      <c r="Q512" s="1333"/>
      <c r="R512" s="1333"/>
      <c r="S512" s="1333"/>
      <c r="T512" s="1333"/>
      <c r="U512" s="1333"/>
      <c r="V512" s="1333"/>
      <c r="W512" s="1333"/>
      <c r="X512" s="1333"/>
      <c r="Y512" s="1333"/>
      <c r="Z512" s="1333"/>
      <c r="AA512" s="1333"/>
      <c r="AB512" s="1333"/>
      <c r="AC512" s="1333"/>
      <c r="AD512" s="1333"/>
      <c r="AE512" s="1333"/>
      <c r="AF512" s="1333"/>
      <c r="AG512" s="1333"/>
      <c r="AH512" s="1333"/>
      <c r="AI512" s="1333"/>
      <c r="AJ512" s="1333"/>
    </row>
    <row r="513" spans="1:36" x14ac:dyDescent="0.25">
      <c r="A513" s="1479"/>
      <c r="B513" s="1284"/>
      <c r="C513" s="1284"/>
      <c r="D513" s="1364"/>
      <c r="E513" s="1364"/>
      <c r="F513" s="1364"/>
      <c r="G513" s="1365"/>
      <c r="H513" s="1333"/>
      <c r="I513" s="1333"/>
      <c r="J513" s="1333"/>
      <c r="K513" s="1333"/>
      <c r="L513" s="1333"/>
      <c r="M513" s="1333"/>
      <c r="N513" s="1333"/>
      <c r="O513" s="1333"/>
      <c r="P513" s="1333"/>
      <c r="Q513" s="1333"/>
      <c r="R513" s="1333"/>
      <c r="S513" s="1333"/>
      <c r="T513" s="1333"/>
      <c r="U513" s="1333"/>
      <c r="V513" s="1333"/>
      <c r="W513" s="1333"/>
      <c r="X513" s="1333"/>
      <c r="Y513" s="1333"/>
      <c r="Z513" s="1333"/>
      <c r="AA513" s="1333"/>
      <c r="AB513" s="1333"/>
      <c r="AC513" s="1333"/>
      <c r="AD513" s="1333"/>
      <c r="AE513" s="1333"/>
      <c r="AF513" s="1333"/>
      <c r="AG513" s="1333"/>
      <c r="AH513" s="1333"/>
      <c r="AI513" s="1333"/>
      <c r="AJ513" s="1333"/>
    </row>
    <row r="514" spans="1:36" x14ac:dyDescent="0.25">
      <c r="A514" s="1479"/>
      <c r="B514" s="1284"/>
      <c r="C514" s="1284"/>
      <c r="D514" s="1364"/>
      <c r="E514" s="1364"/>
      <c r="F514" s="1364"/>
      <c r="G514" s="1365"/>
      <c r="H514" s="1333"/>
      <c r="I514" s="1333"/>
      <c r="J514" s="1333"/>
      <c r="K514" s="1333"/>
      <c r="L514" s="1333"/>
      <c r="M514" s="1333"/>
      <c r="N514" s="1333"/>
      <c r="O514" s="1333"/>
      <c r="P514" s="1333"/>
      <c r="Q514" s="1333"/>
      <c r="R514" s="1333"/>
      <c r="S514" s="1333"/>
      <c r="T514" s="1333"/>
      <c r="U514" s="1333"/>
      <c r="V514" s="1333"/>
      <c r="W514" s="1333"/>
      <c r="X514" s="1333"/>
      <c r="Y514" s="1333"/>
      <c r="Z514" s="1333"/>
      <c r="AA514" s="1333"/>
      <c r="AB514" s="1333"/>
      <c r="AC514" s="1333"/>
      <c r="AD514" s="1333"/>
      <c r="AE514" s="1333"/>
      <c r="AF514" s="1333"/>
      <c r="AG514" s="1333"/>
      <c r="AH514" s="1333"/>
      <c r="AI514" s="1333"/>
      <c r="AJ514" s="1333"/>
    </row>
    <row r="515" spans="1:36" x14ac:dyDescent="0.25">
      <c r="A515" s="1479"/>
      <c r="B515" s="1284"/>
      <c r="C515" s="1284"/>
      <c r="D515" s="1364"/>
      <c r="E515" s="1364"/>
      <c r="F515" s="1364"/>
      <c r="G515" s="1365"/>
      <c r="H515" s="1333"/>
      <c r="I515" s="1333"/>
      <c r="J515" s="1333"/>
      <c r="K515" s="1333"/>
      <c r="L515" s="1333"/>
      <c r="M515" s="1333"/>
      <c r="N515" s="1333"/>
      <c r="O515" s="1333"/>
      <c r="P515" s="1333"/>
      <c r="Q515" s="1333"/>
      <c r="R515" s="1333"/>
      <c r="S515" s="1333"/>
      <c r="T515" s="1333"/>
      <c r="U515" s="1333"/>
      <c r="V515" s="1333"/>
      <c r="W515" s="1333"/>
      <c r="X515" s="1333"/>
      <c r="Y515" s="1333"/>
      <c r="Z515" s="1333"/>
      <c r="AA515" s="1333"/>
      <c r="AB515" s="1333"/>
      <c r="AC515" s="1333"/>
      <c r="AD515" s="1333"/>
      <c r="AE515" s="1333"/>
      <c r="AF515" s="1333"/>
      <c r="AG515" s="1333"/>
      <c r="AH515" s="1333"/>
      <c r="AI515" s="1333"/>
      <c r="AJ515" s="1333"/>
    </row>
    <row r="516" spans="1:36" x14ac:dyDescent="0.25">
      <c r="A516" s="1479"/>
      <c r="B516" s="1284"/>
      <c r="C516" s="1284"/>
      <c r="D516" s="1364"/>
      <c r="E516" s="1364"/>
      <c r="F516" s="1364"/>
      <c r="G516" s="1365"/>
      <c r="H516" s="1333"/>
      <c r="I516" s="1333"/>
      <c r="J516" s="1333"/>
      <c r="K516" s="1333"/>
      <c r="L516" s="1333"/>
      <c r="M516" s="1333"/>
      <c r="N516" s="1333"/>
      <c r="O516" s="1333"/>
      <c r="P516" s="1333"/>
      <c r="Q516" s="1333"/>
      <c r="R516" s="1333"/>
      <c r="S516" s="1333"/>
      <c r="T516" s="1333"/>
      <c r="U516" s="1333"/>
      <c r="V516" s="1333"/>
      <c r="W516" s="1333"/>
      <c r="X516" s="1333"/>
      <c r="Y516" s="1333"/>
      <c r="Z516" s="1333"/>
      <c r="AA516" s="1333"/>
      <c r="AB516" s="1333"/>
      <c r="AC516" s="1333"/>
      <c r="AD516" s="1333"/>
      <c r="AE516" s="1333"/>
      <c r="AF516" s="1333"/>
      <c r="AG516" s="1333"/>
      <c r="AH516" s="1333"/>
      <c r="AI516" s="1333"/>
      <c r="AJ516" s="1333"/>
    </row>
    <row r="517" spans="1:36" x14ac:dyDescent="0.25">
      <c r="A517" s="1479"/>
      <c r="B517" s="1284"/>
      <c r="C517" s="1284"/>
      <c r="D517" s="1364"/>
      <c r="E517" s="1364"/>
      <c r="F517" s="1364"/>
      <c r="G517" s="1365"/>
      <c r="H517" s="1333"/>
      <c r="I517" s="1333"/>
      <c r="J517" s="1333"/>
      <c r="K517" s="1333"/>
      <c r="L517" s="1333"/>
      <c r="M517" s="1333"/>
      <c r="N517" s="1333"/>
      <c r="O517" s="1333"/>
      <c r="P517" s="1333"/>
      <c r="Q517" s="1333"/>
      <c r="R517" s="1333"/>
      <c r="S517" s="1333"/>
      <c r="T517" s="1333"/>
      <c r="U517" s="1333"/>
      <c r="V517" s="1333"/>
      <c r="W517" s="1333"/>
      <c r="X517" s="1333"/>
      <c r="Y517" s="1333"/>
      <c r="Z517" s="1333"/>
      <c r="AA517" s="1333"/>
      <c r="AB517" s="1333"/>
      <c r="AC517" s="1333"/>
      <c r="AD517" s="1333"/>
      <c r="AE517" s="1333"/>
      <c r="AF517" s="1333"/>
      <c r="AG517" s="1333"/>
      <c r="AH517" s="1333"/>
      <c r="AI517" s="1333"/>
      <c r="AJ517" s="1333"/>
    </row>
    <row r="518" spans="1:36" x14ac:dyDescent="0.25">
      <c r="A518" s="1479"/>
      <c r="B518" s="1284"/>
      <c r="C518" s="1284"/>
      <c r="D518" s="1364"/>
      <c r="E518" s="1364"/>
      <c r="F518" s="1364"/>
      <c r="G518" s="1365"/>
      <c r="H518" s="1333"/>
      <c r="I518" s="1333"/>
      <c r="J518" s="1333"/>
      <c r="K518" s="1333"/>
      <c r="L518" s="1333"/>
      <c r="M518" s="1333"/>
      <c r="N518" s="1333"/>
      <c r="O518" s="1333"/>
      <c r="P518" s="1333"/>
      <c r="Q518" s="1333"/>
      <c r="R518" s="1333"/>
      <c r="S518" s="1333"/>
      <c r="T518" s="1333"/>
      <c r="U518" s="1333"/>
      <c r="V518" s="1333"/>
      <c r="W518" s="1333"/>
      <c r="X518" s="1333"/>
      <c r="Y518" s="1333"/>
      <c r="Z518" s="1333"/>
      <c r="AA518" s="1333"/>
      <c r="AB518" s="1333"/>
      <c r="AC518" s="1333"/>
      <c r="AD518" s="1333"/>
      <c r="AE518" s="1333"/>
      <c r="AF518" s="1333"/>
      <c r="AG518" s="1333"/>
      <c r="AH518" s="1333"/>
      <c r="AI518" s="1333"/>
      <c r="AJ518" s="1333"/>
    </row>
    <row r="519" spans="1:36" x14ac:dyDescent="0.25">
      <c r="A519" s="1479"/>
      <c r="B519" s="1284"/>
      <c r="C519" s="1284"/>
      <c r="D519" s="1364"/>
      <c r="E519" s="1364"/>
      <c r="F519" s="1364"/>
      <c r="G519" s="1365"/>
      <c r="H519" s="1333"/>
      <c r="I519" s="1333"/>
      <c r="J519" s="1333"/>
      <c r="K519" s="1333"/>
      <c r="L519" s="1333"/>
      <c r="M519" s="1333"/>
      <c r="N519" s="1333"/>
      <c r="O519" s="1333"/>
      <c r="P519" s="1333"/>
      <c r="Q519" s="1333"/>
      <c r="R519" s="1333"/>
      <c r="S519" s="1333"/>
      <c r="T519" s="1333"/>
      <c r="U519" s="1333"/>
      <c r="V519" s="1333"/>
      <c r="W519" s="1333"/>
      <c r="X519" s="1333"/>
      <c r="Y519" s="1333"/>
      <c r="Z519" s="1333"/>
      <c r="AA519" s="1333"/>
      <c r="AB519" s="1333"/>
      <c r="AC519" s="1333"/>
      <c r="AD519" s="1333"/>
      <c r="AE519" s="1333"/>
      <c r="AF519" s="1333"/>
      <c r="AG519" s="1333"/>
      <c r="AH519" s="1333"/>
      <c r="AI519" s="1333"/>
      <c r="AJ519" s="1333"/>
    </row>
    <row r="520" spans="1:36" x14ac:dyDescent="0.25">
      <c r="A520" s="1479"/>
      <c r="B520" s="1284"/>
      <c r="C520" s="1284"/>
      <c r="D520" s="1364"/>
      <c r="E520" s="1364"/>
      <c r="F520" s="1364"/>
      <c r="G520" s="1365"/>
      <c r="H520" s="1333"/>
      <c r="I520" s="1333"/>
      <c r="J520" s="1333"/>
      <c r="K520" s="1333"/>
      <c r="L520" s="1333"/>
      <c r="M520" s="1333"/>
      <c r="N520" s="1333"/>
      <c r="O520" s="1333"/>
      <c r="P520" s="1333"/>
      <c r="Q520" s="1333"/>
      <c r="R520" s="1333"/>
      <c r="S520" s="1333"/>
      <c r="T520" s="1333"/>
      <c r="U520" s="1333"/>
      <c r="V520" s="1333"/>
      <c r="W520" s="1333"/>
      <c r="X520" s="1333"/>
      <c r="Y520" s="1333"/>
      <c r="Z520" s="1333"/>
      <c r="AA520" s="1333"/>
      <c r="AB520" s="1333"/>
      <c r="AC520" s="1333"/>
      <c r="AD520" s="1333"/>
      <c r="AE520" s="1333"/>
      <c r="AF520" s="1333"/>
      <c r="AG520" s="1333"/>
      <c r="AH520" s="1333"/>
      <c r="AI520" s="1333"/>
      <c r="AJ520" s="1333"/>
    </row>
    <row r="521" spans="1:36" x14ac:dyDescent="0.25">
      <c r="A521" s="1479"/>
      <c r="B521" s="1284"/>
      <c r="C521" s="1284"/>
      <c r="D521" s="1364"/>
      <c r="E521" s="1364"/>
      <c r="F521" s="1364"/>
      <c r="G521" s="1365"/>
      <c r="H521" s="1333"/>
      <c r="I521" s="1333"/>
      <c r="J521" s="1333"/>
      <c r="K521" s="1333"/>
      <c r="L521" s="1333"/>
      <c r="M521" s="1333"/>
      <c r="N521" s="1333"/>
      <c r="O521" s="1333"/>
      <c r="P521" s="1333"/>
      <c r="Q521" s="1333"/>
      <c r="R521" s="1333"/>
      <c r="S521" s="1333"/>
      <c r="T521" s="1333"/>
      <c r="U521" s="1333"/>
      <c r="V521" s="1333"/>
      <c r="W521" s="1333"/>
      <c r="X521" s="1333"/>
      <c r="Y521" s="1333"/>
      <c r="Z521" s="1333"/>
      <c r="AA521" s="1333"/>
      <c r="AB521" s="1333"/>
      <c r="AC521" s="1333"/>
      <c r="AD521" s="1333"/>
      <c r="AE521" s="1333"/>
      <c r="AF521" s="1333"/>
      <c r="AG521" s="1333"/>
      <c r="AH521" s="1333"/>
      <c r="AI521" s="1333"/>
      <c r="AJ521" s="1333"/>
    </row>
    <row r="522" spans="1:36" x14ac:dyDescent="0.25">
      <c r="A522" s="1479"/>
      <c r="B522" s="1284"/>
      <c r="C522" s="1284"/>
      <c r="D522" s="1364"/>
      <c r="E522" s="1364"/>
      <c r="F522" s="1364"/>
      <c r="G522" s="1365"/>
      <c r="H522" s="1333"/>
      <c r="I522" s="1333"/>
      <c r="J522" s="1333"/>
      <c r="K522" s="1333"/>
      <c r="L522" s="1333"/>
      <c r="M522" s="1333"/>
      <c r="N522" s="1333"/>
      <c r="O522" s="1333"/>
      <c r="P522" s="1333"/>
      <c r="Q522" s="1333"/>
      <c r="R522" s="1333"/>
      <c r="S522" s="1333"/>
      <c r="T522" s="1333"/>
      <c r="U522" s="1333"/>
      <c r="V522" s="1333"/>
      <c r="W522" s="1333"/>
      <c r="X522" s="1333"/>
      <c r="Y522" s="1333"/>
      <c r="Z522" s="1333"/>
      <c r="AA522" s="1333"/>
      <c r="AB522" s="1333"/>
      <c r="AC522" s="1333"/>
      <c r="AD522" s="1333"/>
      <c r="AE522" s="1333"/>
      <c r="AF522" s="1333"/>
      <c r="AG522" s="1333"/>
      <c r="AH522" s="1333"/>
      <c r="AI522" s="1333"/>
      <c r="AJ522" s="1333"/>
    </row>
    <row r="523" spans="1:36" x14ac:dyDescent="0.25">
      <c r="A523" s="1479"/>
      <c r="B523" s="1284"/>
      <c r="C523" s="1284"/>
      <c r="D523" s="1364"/>
      <c r="E523" s="1364"/>
      <c r="F523" s="1364"/>
      <c r="G523" s="1365"/>
      <c r="H523" s="1333"/>
      <c r="I523" s="1333"/>
      <c r="J523" s="1333"/>
      <c r="K523" s="1333"/>
      <c r="L523" s="1333"/>
      <c r="M523" s="1333"/>
      <c r="N523" s="1333"/>
      <c r="O523" s="1333"/>
      <c r="P523" s="1333"/>
      <c r="Q523" s="1333"/>
      <c r="R523" s="1333"/>
      <c r="S523" s="1333"/>
      <c r="T523" s="1333"/>
      <c r="U523" s="1333"/>
      <c r="V523" s="1333"/>
      <c r="W523" s="1333"/>
      <c r="X523" s="1333"/>
      <c r="Y523" s="1333"/>
      <c r="Z523" s="1333"/>
      <c r="AA523" s="1333"/>
      <c r="AB523" s="1333"/>
      <c r="AC523" s="1333"/>
      <c r="AD523" s="1333"/>
      <c r="AE523" s="1333"/>
      <c r="AF523" s="1333"/>
      <c r="AG523" s="1333"/>
      <c r="AH523" s="1333"/>
      <c r="AI523" s="1333"/>
      <c r="AJ523" s="1333"/>
    </row>
    <row r="524" spans="1:36" x14ac:dyDescent="0.25">
      <c r="A524" s="1479"/>
      <c r="B524" s="1284"/>
      <c r="C524" s="1284"/>
      <c r="D524" s="1364"/>
      <c r="E524" s="1364"/>
      <c r="F524" s="1364"/>
      <c r="G524" s="1365"/>
      <c r="H524" s="1333"/>
      <c r="I524" s="1333"/>
      <c r="J524" s="1333"/>
      <c r="K524" s="1333"/>
      <c r="L524" s="1333"/>
      <c r="M524" s="1333"/>
      <c r="N524" s="1333"/>
      <c r="O524" s="1333"/>
      <c r="P524" s="1333"/>
      <c r="Q524" s="1333"/>
      <c r="R524" s="1333"/>
      <c r="S524" s="1333"/>
      <c r="T524" s="1333"/>
      <c r="U524" s="1333"/>
      <c r="V524" s="1333"/>
      <c r="W524" s="1333"/>
      <c r="X524" s="1333"/>
      <c r="Y524" s="1333"/>
      <c r="Z524" s="1333"/>
      <c r="AA524" s="1333"/>
      <c r="AB524" s="1333"/>
      <c r="AC524" s="1333"/>
      <c r="AD524" s="1333"/>
      <c r="AE524" s="1333"/>
      <c r="AF524" s="1333"/>
      <c r="AG524" s="1333"/>
      <c r="AH524" s="1333"/>
      <c r="AI524" s="1333"/>
      <c r="AJ524" s="1333"/>
    </row>
    <row r="525" spans="1:36" x14ac:dyDescent="0.25">
      <c r="A525" s="1479"/>
      <c r="B525" s="1284"/>
      <c r="C525" s="1284"/>
      <c r="D525" s="1364"/>
      <c r="E525" s="1364"/>
      <c r="F525" s="1364"/>
      <c r="G525" s="1365"/>
      <c r="H525" s="1333"/>
      <c r="I525" s="1333"/>
      <c r="J525" s="1333"/>
      <c r="K525" s="1333"/>
      <c r="L525" s="1333"/>
      <c r="M525" s="1333"/>
      <c r="N525" s="1333"/>
      <c r="O525" s="1333"/>
      <c r="P525" s="1333"/>
      <c r="Q525" s="1333"/>
      <c r="R525" s="1333"/>
      <c r="S525" s="1333"/>
      <c r="T525" s="1333"/>
      <c r="U525" s="1333"/>
      <c r="V525" s="1333"/>
      <c r="W525" s="1333"/>
      <c r="X525" s="1333"/>
      <c r="Y525" s="1333"/>
      <c r="Z525" s="1333"/>
      <c r="AA525" s="1333"/>
      <c r="AB525" s="1333"/>
      <c r="AC525" s="1333"/>
      <c r="AD525" s="1333"/>
      <c r="AE525" s="1333"/>
      <c r="AF525" s="1333"/>
      <c r="AG525" s="1333"/>
      <c r="AH525" s="1333"/>
      <c r="AI525" s="1333"/>
      <c r="AJ525" s="1333"/>
    </row>
    <row r="526" spans="1:36" x14ac:dyDescent="0.25">
      <c r="A526" s="1479"/>
      <c r="B526" s="1284"/>
      <c r="C526" s="1284"/>
      <c r="D526" s="1364"/>
      <c r="E526" s="1364"/>
      <c r="F526" s="1364"/>
      <c r="G526" s="1365"/>
      <c r="H526" s="1333"/>
      <c r="I526" s="1333"/>
      <c r="J526" s="1333"/>
      <c r="K526" s="1333"/>
      <c r="L526" s="1333"/>
      <c r="M526" s="1333"/>
      <c r="N526" s="1333"/>
      <c r="O526" s="1333"/>
      <c r="P526" s="1333"/>
      <c r="Q526" s="1333"/>
      <c r="R526" s="1333"/>
      <c r="S526" s="1333"/>
      <c r="T526" s="1333"/>
      <c r="U526" s="1333"/>
      <c r="V526" s="1333"/>
      <c r="W526" s="1333"/>
      <c r="X526" s="1333"/>
      <c r="Y526" s="1333"/>
      <c r="Z526" s="1333"/>
      <c r="AA526" s="1333"/>
      <c r="AB526" s="1333"/>
      <c r="AC526" s="1333"/>
      <c r="AD526" s="1333"/>
      <c r="AE526" s="1333"/>
      <c r="AF526" s="1333"/>
      <c r="AG526" s="1333"/>
      <c r="AH526" s="1333"/>
      <c r="AI526" s="1333"/>
      <c r="AJ526" s="1333"/>
    </row>
    <row r="527" spans="1:36" x14ac:dyDescent="0.25">
      <c r="A527" s="1479"/>
      <c r="B527" s="1284"/>
      <c r="C527" s="1284"/>
      <c r="D527" s="1364"/>
      <c r="E527" s="1364"/>
      <c r="F527" s="1364"/>
      <c r="G527" s="1365"/>
      <c r="H527" s="1333"/>
      <c r="I527" s="1333"/>
      <c r="J527" s="1333"/>
      <c r="K527" s="1333"/>
      <c r="L527" s="1333"/>
      <c r="M527" s="1333"/>
      <c r="N527" s="1333"/>
      <c r="O527" s="1333"/>
      <c r="P527" s="1333"/>
      <c r="Q527" s="1333"/>
      <c r="R527" s="1333"/>
      <c r="S527" s="1333"/>
      <c r="T527" s="1333"/>
      <c r="U527" s="1333"/>
      <c r="V527" s="1333"/>
      <c r="W527" s="1333"/>
      <c r="X527" s="1333"/>
      <c r="Y527" s="1333"/>
      <c r="Z527" s="1333"/>
      <c r="AA527" s="1333"/>
      <c r="AB527" s="1333"/>
      <c r="AC527" s="1333"/>
      <c r="AD527" s="1333"/>
      <c r="AE527" s="1333"/>
      <c r="AF527" s="1333"/>
      <c r="AG527" s="1333"/>
      <c r="AH527" s="1333"/>
      <c r="AI527" s="1333"/>
      <c r="AJ527" s="1333"/>
    </row>
    <row r="528" spans="1:36" x14ac:dyDescent="0.25">
      <c r="A528" s="1479"/>
      <c r="B528" s="1284"/>
      <c r="C528" s="1284"/>
      <c r="D528" s="1364"/>
      <c r="E528" s="1364"/>
      <c r="F528" s="1364"/>
      <c r="G528" s="1365"/>
      <c r="H528" s="1333"/>
      <c r="I528" s="1333"/>
      <c r="J528" s="1333"/>
      <c r="K528" s="1333"/>
      <c r="L528" s="1333"/>
      <c r="M528" s="1333"/>
      <c r="N528" s="1333"/>
      <c r="O528" s="1333"/>
      <c r="P528" s="1333"/>
      <c r="Q528" s="1333"/>
      <c r="R528" s="1333"/>
      <c r="S528" s="1333"/>
      <c r="T528" s="1333"/>
      <c r="U528" s="1333"/>
      <c r="V528" s="1333"/>
      <c r="W528" s="1333"/>
      <c r="X528" s="1333"/>
      <c r="Y528" s="1333"/>
      <c r="Z528" s="1333"/>
      <c r="AA528" s="1333"/>
      <c r="AB528" s="1333"/>
      <c r="AC528" s="1333"/>
      <c r="AD528" s="1333"/>
      <c r="AE528" s="1333"/>
      <c r="AF528" s="1333"/>
      <c r="AG528" s="1333"/>
      <c r="AH528" s="1333"/>
      <c r="AI528" s="1333"/>
      <c r="AJ528" s="1333"/>
    </row>
    <row r="529" spans="1:36" x14ac:dyDescent="0.25">
      <c r="A529" s="1479"/>
      <c r="B529" s="1284"/>
      <c r="C529" s="1284"/>
      <c r="D529" s="1364"/>
      <c r="E529" s="1364"/>
      <c r="F529" s="1364"/>
      <c r="G529" s="1365"/>
      <c r="H529" s="1333"/>
      <c r="I529" s="1333"/>
      <c r="J529" s="1333"/>
      <c r="K529" s="1333"/>
      <c r="L529" s="1333"/>
      <c r="M529" s="1333"/>
      <c r="N529" s="1333"/>
      <c r="O529" s="1333"/>
      <c r="P529" s="1333"/>
      <c r="Q529" s="1333"/>
      <c r="R529" s="1333"/>
      <c r="S529" s="1333"/>
      <c r="T529" s="1333"/>
      <c r="U529" s="1333"/>
      <c r="V529" s="1333"/>
      <c r="W529" s="1333"/>
      <c r="X529" s="1333"/>
      <c r="Y529" s="1333"/>
      <c r="Z529" s="1333"/>
      <c r="AA529" s="1333"/>
      <c r="AB529" s="1333"/>
      <c r="AC529" s="1333"/>
      <c r="AD529" s="1333"/>
      <c r="AE529" s="1333"/>
      <c r="AF529" s="1333"/>
      <c r="AG529" s="1333"/>
      <c r="AH529" s="1333"/>
      <c r="AI529" s="1333"/>
      <c r="AJ529" s="1333"/>
    </row>
    <row r="530" spans="1:36" x14ac:dyDescent="0.25">
      <c r="A530" s="1479"/>
      <c r="B530" s="1284"/>
      <c r="C530" s="1284"/>
      <c r="D530" s="1364"/>
      <c r="E530" s="1364"/>
      <c r="F530" s="1364"/>
      <c r="G530" s="1365"/>
      <c r="H530" s="1333"/>
      <c r="I530" s="1333"/>
      <c r="J530" s="1333"/>
      <c r="K530" s="1333"/>
      <c r="L530" s="1333"/>
      <c r="M530" s="1333"/>
      <c r="N530" s="1333"/>
      <c r="O530" s="1333"/>
      <c r="P530" s="1333"/>
      <c r="Q530" s="1333"/>
      <c r="R530" s="1333"/>
      <c r="S530" s="1333"/>
      <c r="T530" s="1333"/>
      <c r="U530" s="1333"/>
      <c r="V530" s="1333"/>
      <c r="W530" s="1333"/>
      <c r="X530" s="1333"/>
      <c r="Y530" s="1333"/>
      <c r="Z530" s="1333"/>
      <c r="AA530" s="1333"/>
      <c r="AB530" s="1333"/>
      <c r="AC530" s="1333"/>
      <c r="AD530" s="1333"/>
      <c r="AE530" s="1333"/>
      <c r="AF530" s="1333"/>
      <c r="AG530" s="1333"/>
      <c r="AH530" s="1333"/>
      <c r="AI530" s="1333"/>
      <c r="AJ530" s="1333"/>
    </row>
    <row r="531" spans="1:36" x14ac:dyDescent="0.25">
      <c r="A531" s="1479"/>
      <c r="B531" s="1284"/>
      <c r="C531" s="1284"/>
      <c r="D531" s="1364"/>
      <c r="E531" s="1364"/>
      <c r="F531" s="1364"/>
      <c r="G531" s="1365"/>
      <c r="H531" s="1333"/>
      <c r="I531" s="1333"/>
      <c r="J531" s="1333"/>
      <c r="K531" s="1333"/>
      <c r="L531" s="1333"/>
      <c r="M531" s="1333"/>
      <c r="N531" s="1333"/>
      <c r="O531" s="1333"/>
      <c r="P531" s="1333"/>
      <c r="Q531" s="1333"/>
      <c r="R531" s="1333"/>
      <c r="S531" s="1333"/>
      <c r="T531" s="1333"/>
      <c r="U531" s="1333"/>
      <c r="V531" s="1333"/>
      <c r="W531" s="1333"/>
      <c r="X531" s="1333"/>
      <c r="Y531" s="1333"/>
      <c r="Z531" s="1333"/>
      <c r="AA531" s="1333"/>
      <c r="AB531" s="1333"/>
      <c r="AC531" s="1333"/>
      <c r="AD531" s="1333"/>
      <c r="AE531" s="1333"/>
      <c r="AF531" s="1333"/>
      <c r="AG531" s="1333"/>
      <c r="AH531" s="1333"/>
      <c r="AI531" s="1333"/>
      <c r="AJ531" s="1333"/>
    </row>
    <row r="532" spans="1:36" x14ac:dyDescent="0.25">
      <c r="A532" s="1479"/>
      <c r="B532" s="1284"/>
      <c r="C532" s="1284"/>
      <c r="D532" s="1364"/>
      <c r="E532" s="1364"/>
      <c r="F532" s="1364"/>
      <c r="G532" s="1365"/>
      <c r="H532" s="1333"/>
      <c r="I532" s="1333"/>
      <c r="J532" s="1333"/>
      <c r="K532" s="1333"/>
      <c r="L532" s="1333"/>
      <c r="M532" s="1333"/>
      <c r="N532" s="1333"/>
      <c r="O532" s="1333"/>
      <c r="P532" s="1333"/>
      <c r="Q532" s="1333"/>
      <c r="R532" s="1333"/>
      <c r="S532" s="1333"/>
      <c r="T532" s="1333"/>
      <c r="U532" s="1333"/>
      <c r="V532" s="1333"/>
      <c r="W532" s="1333"/>
      <c r="X532" s="1333"/>
      <c r="Y532" s="1333"/>
      <c r="Z532" s="1333"/>
      <c r="AA532" s="1333"/>
      <c r="AB532" s="1333"/>
      <c r="AC532" s="1333"/>
      <c r="AD532" s="1333"/>
      <c r="AE532" s="1333"/>
      <c r="AF532" s="1333"/>
      <c r="AG532" s="1333"/>
      <c r="AH532" s="1333"/>
      <c r="AI532" s="1333"/>
      <c r="AJ532" s="1333"/>
    </row>
    <row r="533" spans="1:36" x14ac:dyDescent="0.25">
      <c r="A533" s="1479"/>
      <c r="B533" s="1284"/>
      <c r="C533" s="1284"/>
      <c r="D533" s="1364"/>
      <c r="E533" s="1364"/>
      <c r="F533" s="1364"/>
      <c r="G533" s="1365"/>
      <c r="H533" s="1333"/>
      <c r="I533" s="1333"/>
      <c r="J533" s="1333"/>
      <c r="K533" s="1333"/>
      <c r="L533" s="1333"/>
      <c r="M533" s="1333"/>
      <c r="N533" s="1333"/>
      <c r="O533" s="1333"/>
      <c r="P533" s="1333"/>
      <c r="Q533" s="1333"/>
      <c r="R533" s="1333"/>
      <c r="S533" s="1333"/>
      <c r="T533" s="1333"/>
      <c r="U533" s="1333"/>
      <c r="V533" s="1333"/>
      <c r="W533" s="1333"/>
      <c r="X533" s="1333"/>
      <c r="Y533" s="1333"/>
      <c r="Z533" s="1333"/>
      <c r="AA533" s="1333"/>
      <c r="AB533" s="1333"/>
      <c r="AC533" s="1333"/>
      <c r="AD533" s="1333"/>
      <c r="AE533" s="1333"/>
      <c r="AF533" s="1333"/>
      <c r="AG533" s="1333"/>
      <c r="AH533" s="1333"/>
      <c r="AI533" s="1333"/>
      <c r="AJ533" s="1333"/>
    </row>
    <row r="534" spans="1:36" x14ac:dyDescent="0.25">
      <c r="A534" s="1479"/>
      <c r="B534" s="1284"/>
      <c r="C534" s="1284"/>
      <c r="D534" s="1364"/>
      <c r="E534" s="1364"/>
      <c r="F534" s="1364"/>
      <c r="G534" s="1365"/>
      <c r="H534" s="1333"/>
      <c r="I534" s="1333"/>
      <c r="J534" s="1333"/>
      <c r="K534" s="1333"/>
      <c r="L534" s="1333"/>
      <c r="M534" s="1333"/>
      <c r="N534" s="1333"/>
      <c r="O534" s="1333"/>
      <c r="P534" s="1333"/>
      <c r="Q534" s="1333"/>
      <c r="R534" s="1333"/>
      <c r="S534" s="1333"/>
      <c r="T534" s="1333"/>
      <c r="U534" s="1333"/>
      <c r="V534" s="1333"/>
      <c r="W534" s="1333"/>
      <c r="X534" s="1333"/>
      <c r="Y534" s="1333"/>
      <c r="Z534" s="1333"/>
      <c r="AA534" s="1333"/>
      <c r="AB534" s="1333"/>
      <c r="AC534" s="1333"/>
      <c r="AD534" s="1333"/>
      <c r="AE534" s="1333"/>
      <c r="AF534" s="1333"/>
      <c r="AG534" s="1333"/>
      <c r="AH534" s="1333"/>
      <c r="AI534" s="1333"/>
      <c r="AJ534" s="1333"/>
    </row>
    <row r="535" spans="1:36" x14ac:dyDescent="0.25">
      <c r="A535" s="1479"/>
      <c r="B535" s="1284"/>
      <c r="C535" s="1284"/>
      <c r="D535" s="1364"/>
      <c r="E535" s="1364"/>
      <c r="F535" s="1364"/>
      <c r="G535" s="1365"/>
      <c r="H535" s="1333"/>
      <c r="I535" s="1333"/>
      <c r="J535" s="1333"/>
      <c r="K535" s="1333"/>
      <c r="L535" s="1333"/>
      <c r="M535" s="1333"/>
      <c r="N535" s="1333"/>
      <c r="O535" s="1333"/>
      <c r="P535" s="1333"/>
      <c r="Q535" s="1333"/>
      <c r="R535" s="1333"/>
      <c r="S535" s="1333"/>
      <c r="T535" s="1333"/>
      <c r="U535" s="1333"/>
      <c r="V535" s="1333"/>
      <c r="W535" s="1333"/>
      <c r="X535" s="1333"/>
      <c r="Y535" s="1333"/>
      <c r="Z535" s="1333"/>
      <c r="AA535" s="1333"/>
      <c r="AB535" s="1333"/>
      <c r="AC535" s="1333"/>
      <c r="AD535" s="1333"/>
      <c r="AE535" s="1333"/>
      <c r="AF535" s="1333"/>
      <c r="AG535" s="1333"/>
      <c r="AH535" s="1333"/>
      <c r="AI535" s="1333"/>
      <c r="AJ535" s="1333"/>
    </row>
    <row r="536" spans="1:36" x14ac:dyDescent="0.25">
      <c r="A536" s="1479"/>
      <c r="B536" s="1284"/>
      <c r="C536" s="1284"/>
      <c r="D536" s="1364"/>
      <c r="E536" s="1364"/>
      <c r="F536" s="1364"/>
      <c r="G536" s="1365"/>
      <c r="H536" s="1333"/>
      <c r="I536" s="1333"/>
      <c r="J536" s="1333"/>
      <c r="K536" s="1333"/>
      <c r="L536" s="1333"/>
      <c r="M536" s="1333"/>
      <c r="N536" s="1333"/>
      <c r="O536" s="1333"/>
      <c r="P536" s="1333"/>
      <c r="Q536" s="1333"/>
      <c r="R536" s="1333"/>
      <c r="S536" s="1333"/>
      <c r="T536" s="1333"/>
      <c r="U536" s="1333"/>
      <c r="V536" s="1333"/>
      <c r="W536" s="1333"/>
      <c r="X536" s="1333"/>
      <c r="Y536" s="1333"/>
      <c r="Z536" s="1333"/>
      <c r="AA536" s="1333"/>
      <c r="AB536" s="1333"/>
      <c r="AC536" s="1333"/>
      <c r="AD536" s="1333"/>
      <c r="AE536" s="1333"/>
      <c r="AF536" s="1333"/>
      <c r="AG536" s="1333"/>
      <c r="AH536" s="1333"/>
      <c r="AI536" s="1333"/>
      <c r="AJ536" s="1333"/>
    </row>
    <row r="537" spans="1:36" x14ac:dyDescent="0.25">
      <c r="A537" s="1479"/>
      <c r="B537" s="1284"/>
      <c r="C537" s="1284"/>
      <c r="D537" s="1364"/>
      <c r="E537" s="1364"/>
      <c r="F537" s="1364"/>
      <c r="G537" s="1365"/>
      <c r="H537" s="1333"/>
      <c r="I537" s="1333"/>
      <c r="J537" s="1333"/>
      <c r="K537" s="1333"/>
      <c r="L537" s="1333"/>
      <c r="M537" s="1333"/>
      <c r="N537" s="1333"/>
      <c r="O537" s="1333"/>
      <c r="P537" s="1333"/>
      <c r="Q537" s="1333"/>
      <c r="R537" s="1333"/>
      <c r="S537" s="1333"/>
      <c r="T537" s="1333"/>
      <c r="U537" s="1333"/>
      <c r="V537" s="1333"/>
      <c r="W537" s="1333"/>
      <c r="X537" s="1333"/>
      <c r="Y537" s="1333"/>
      <c r="Z537" s="1333"/>
      <c r="AA537" s="1333"/>
      <c r="AB537" s="1333"/>
      <c r="AC537" s="1333"/>
      <c r="AD537" s="1333"/>
      <c r="AE537" s="1333"/>
      <c r="AF537" s="1333"/>
      <c r="AG537" s="1333"/>
      <c r="AH537" s="1333"/>
      <c r="AI537" s="1333"/>
      <c r="AJ537" s="1333"/>
    </row>
    <row r="538" spans="1:36" x14ac:dyDescent="0.25">
      <c r="A538" s="1479"/>
      <c r="B538" s="1284"/>
      <c r="C538" s="1284"/>
      <c r="D538" s="1364"/>
      <c r="E538" s="1364"/>
      <c r="F538" s="1364"/>
      <c r="G538" s="1365"/>
      <c r="H538" s="1333"/>
      <c r="I538" s="1333"/>
      <c r="J538" s="1333"/>
      <c r="K538" s="1333"/>
      <c r="L538" s="1333"/>
      <c r="M538" s="1333"/>
      <c r="N538" s="1333"/>
      <c r="O538" s="1333"/>
      <c r="P538" s="1333"/>
      <c r="Q538" s="1333"/>
      <c r="R538" s="1333"/>
      <c r="S538" s="1333"/>
      <c r="T538" s="1333"/>
      <c r="U538" s="1333"/>
      <c r="V538" s="1333"/>
      <c r="W538" s="1333"/>
      <c r="X538" s="1333"/>
      <c r="Y538" s="1333"/>
      <c r="Z538" s="1333"/>
      <c r="AA538" s="1333"/>
      <c r="AB538" s="1333"/>
      <c r="AC538" s="1333"/>
      <c r="AD538" s="1333"/>
      <c r="AE538" s="1333"/>
      <c r="AF538" s="1333"/>
      <c r="AG538" s="1333"/>
      <c r="AH538" s="1333"/>
      <c r="AI538" s="1333"/>
      <c r="AJ538" s="1333"/>
    </row>
    <row r="539" spans="1:36" x14ac:dyDescent="0.25">
      <c r="A539" s="1479"/>
      <c r="B539" s="1284"/>
      <c r="C539" s="1284"/>
      <c r="D539" s="1364"/>
      <c r="E539" s="1364"/>
      <c r="F539" s="1364"/>
      <c r="G539" s="1365"/>
      <c r="H539" s="1333"/>
      <c r="I539" s="1333"/>
      <c r="J539" s="1333"/>
      <c r="K539" s="1333"/>
      <c r="L539" s="1333"/>
      <c r="M539" s="1333"/>
      <c r="N539" s="1333"/>
      <c r="O539" s="1333"/>
      <c r="P539" s="1333"/>
      <c r="Q539" s="1333"/>
      <c r="R539" s="1333"/>
      <c r="S539" s="1333"/>
      <c r="T539" s="1333"/>
      <c r="U539" s="1333"/>
      <c r="V539" s="1333"/>
      <c r="W539" s="1333"/>
      <c r="X539" s="1333"/>
      <c r="Y539" s="1333"/>
      <c r="Z539" s="1333"/>
      <c r="AA539" s="1333"/>
      <c r="AB539" s="1333"/>
      <c r="AC539" s="1333"/>
      <c r="AD539" s="1333"/>
      <c r="AE539" s="1333"/>
      <c r="AF539" s="1333"/>
      <c r="AG539" s="1333"/>
      <c r="AH539" s="1333"/>
      <c r="AI539" s="1333"/>
      <c r="AJ539" s="1333"/>
    </row>
    <row r="540" spans="1:36" x14ac:dyDescent="0.25">
      <c r="A540" s="1479"/>
      <c r="B540" s="1284"/>
      <c r="C540" s="1284"/>
      <c r="D540" s="1364"/>
      <c r="E540" s="1364"/>
      <c r="F540" s="1364"/>
      <c r="G540" s="1365"/>
      <c r="H540" s="1333"/>
      <c r="I540" s="1333"/>
      <c r="J540" s="1333"/>
      <c r="K540" s="1333"/>
      <c r="L540" s="1333"/>
      <c r="M540" s="1333"/>
      <c r="N540" s="1333"/>
      <c r="O540" s="1333"/>
      <c r="P540" s="1333"/>
      <c r="Q540" s="1333"/>
      <c r="R540" s="1333"/>
      <c r="S540" s="1333"/>
      <c r="T540" s="1333"/>
      <c r="U540" s="1333"/>
      <c r="V540" s="1333"/>
      <c r="W540" s="1333"/>
      <c r="X540" s="1333"/>
      <c r="Y540" s="1333"/>
      <c r="Z540" s="1333"/>
      <c r="AA540" s="1333"/>
      <c r="AB540" s="1333"/>
      <c r="AC540" s="1333"/>
      <c r="AD540" s="1333"/>
      <c r="AE540" s="1333"/>
      <c r="AF540" s="1333"/>
      <c r="AG540" s="1333"/>
      <c r="AH540" s="1333"/>
      <c r="AI540" s="1333"/>
      <c r="AJ540" s="1333"/>
    </row>
    <row r="541" spans="1:36" x14ac:dyDescent="0.25">
      <c r="A541" s="1479"/>
      <c r="B541" s="1284"/>
      <c r="C541" s="1284"/>
      <c r="D541" s="1364"/>
      <c r="E541" s="1364"/>
      <c r="F541" s="1364"/>
      <c r="G541" s="1365"/>
      <c r="H541" s="1333"/>
      <c r="I541" s="1333"/>
      <c r="J541" s="1333"/>
      <c r="K541" s="1333"/>
      <c r="L541" s="1333"/>
      <c r="M541" s="1333"/>
      <c r="N541" s="1333"/>
      <c r="O541" s="1333"/>
      <c r="P541" s="1333"/>
      <c r="Q541" s="1333"/>
      <c r="R541" s="1333"/>
      <c r="S541" s="1333"/>
      <c r="T541" s="1333"/>
      <c r="U541" s="1333"/>
      <c r="V541" s="1333"/>
      <c r="W541" s="1333"/>
      <c r="X541" s="1333"/>
      <c r="Y541" s="1333"/>
      <c r="Z541" s="1333"/>
      <c r="AA541" s="1333"/>
      <c r="AB541" s="1333"/>
      <c r="AC541" s="1333"/>
      <c r="AD541" s="1333"/>
      <c r="AE541" s="1333"/>
      <c r="AF541" s="1333"/>
      <c r="AG541" s="1333"/>
      <c r="AH541" s="1333"/>
      <c r="AI541" s="1333"/>
      <c r="AJ541" s="1333"/>
    </row>
    <row r="542" spans="1:36" x14ac:dyDescent="0.25">
      <c r="A542" s="1479"/>
      <c r="B542" s="1284"/>
      <c r="C542" s="1284"/>
      <c r="D542" s="1364"/>
      <c r="E542" s="1364"/>
      <c r="F542" s="1364"/>
      <c r="G542" s="1365"/>
      <c r="H542" s="1333"/>
      <c r="I542" s="1333"/>
      <c r="J542" s="1333"/>
      <c r="K542" s="1333"/>
      <c r="L542" s="1333"/>
      <c r="M542" s="1333"/>
      <c r="N542" s="1333"/>
      <c r="O542" s="1333"/>
      <c r="P542" s="1333"/>
      <c r="Q542" s="1333"/>
      <c r="R542" s="1333"/>
      <c r="S542" s="1333"/>
      <c r="T542" s="1333"/>
      <c r="U542" s="1333"/>
      <c r="V542" s="1333"/>
      <c r="W542" s="1333"/>
      <c r="X542" s="1333"/>
      <c r="Y542" s="1333"/>
      <c r="Z542" s="1333"/>
      <c r="AA542" s="1333"/>
      <c r="AB542" s="1333"/>
      <c r="AC542" s="1333"/>
      <c r="AD542" s="1333"/>
      <c r="AE542" s="1333"/>
      <c r="AF542" s="1333"/>
      <c r="AG542" s="1333"/>
      <c r="AH542" s="1333"/>
      <c r="AI542" s="1333"/>
      <c r="AJ542" s="1333"/>
    </row>
    <row r="543" spans="1:36" x14ac:dyDescent="0.25">
      <c r="A543" s="1479"/>
      <c r="B543" s="1284"/>
      <c r="C543" s="1284"/>
      <c r="D543" s="1364"/>
      <c r="E543" s="1364"/>
      <c r="F543" s="1364"/>
      <c r="G543" s="1365"/>
      <c r="H543" s="1333"/>
      <c r="I543" s="1333"/>
      <c r="J543" s="1333"/>
      <c r="K543" s="1333"/>
      <c r="L543" s="1333"/>
      <c r="M543" s="1333"/>
      <c r="N543" s="1333"/>
      <c r="O543" s="1333"/>
      <c r="P543" s="1333"/>
      <c r="Q543" s="1333"/>
      <c r="R543" s="1333"/>
      <c r="S543" s="1333"/>
      <c r="T543" s="1333"/>
      <c r="U543" s="1333"/>
      <c r="V543" s="1333"/>
      <c r="W543" s="1333"/>
      <c r="X543" s="1333"/>
      <c r="Y543" s="1333"/>
      <c r="Z543" s="1333"/>
      <c r="AA543" s="1333"/>
      <c r="AB543" s="1333"/>
      <c r="AC543" s="1333"/>
      <c r="AD543" s="1333"/>
      <c r="AE543" s="1333"/>
      <c r="AF543" s="1333"/>
      <c r="AG543" s="1333"/>
      <c r="AH543" s="1333"/>
      <c r="AI543" s="1333"/>
      <c r="AJ543" s="1333"/>
    </row>
    <row r="544" spans="1:36" x14ac:dyDescent="0.25">
      <c r="A544" s="1479"/>
      <c r="B544" s="1284"/>
      <c r="C544" s="1284"/>
      <c r="D544" s="1364"/>
      <c r="E544" s="1364"/>
      <c r="F544" s="1364"/>
      <c r="G544" s="1365"/>
      <c r="H544" s="1333"/>
      <c r="I544" s="1333"/>
      <c r="J544" s="1333"/>
      <c r="K544" s="1333"/>
      <c r="L544" s="1333"/>
      <c r="M544" s="1333"/>
      <c r="N544" s="1333"/>
      <c r="O544" s="1333"/>
      <c r="P544" s="1333"/>
      <c r="Q544" s="1333"/>
      <c r="R544" s="1333"/>
      <c r="S544" s="1333"/>
      <c r="T544" s="1333"/>
      <c r="U544" s="1333"/>
      <c r="V544" s="1333"/>
      <c r="W544" s="1333"/>
      <c r="X544" s="1333"/>
      <c r="Y544" s="1333"/>
      <c r="Z544" s="1333"/>
      <c r="AA544" s="1333"/>
      <c r="AB544" s="1333"/>
      <c r="AC544" s="1333"/>
      <c r="AD544" s="1333"/>
      <c r="AE544" s="1333"/>
      <c r="AF544" s="1333"/>
      <c r="AG544" s="1333"/>
      <c r="AH544" s="1333"/>
      <c r="AI544" s="1333"/>
      <c r="AJ544" s="1333"/>
    </row>
    <row r="545" spans="1:36" x14ac:dyDescent="0.25">
      <c r="A545" s="1479"/>
      <c r="B545" s="1284"/>
      <c r="C545" s="1284"/>
      <c r="D545" s="1364"/>
      <c r="E545" s="1364"/>
      <c r="F545" s="1364"/>
      <c r="G545" s="1365"/>
      <c r="H545" s="1333"/>
      <c r="I545" s="1333"/>
      <c r="J545" s="1333"/>
      <c r="K545" s="1333"/>
      <c r="L545" s="1333"/>
      <c r="M545" s="1333"/>
      <c r="N545" s="1333"/>
      <c r="O545" s="1333"/>
      <c r="P545" s="1333"/>
      <c r="Q545" s="1333"/>
      <c r="R545" s="1333"/>
      <c r="S545" s="1333"/>
      <c r="T545" s="1333"/>
      <c r="U545" s="1333"/>
      <c r="V545" s="1333"/>
      <c r="W545" s="1333"/>
      <c r="X545" s="1333"/>
      <c r="Y545" s="1333"/>
      <c r="Z545" s="1333"/>
      <c r="AA545" s="1333"/>
      <c r="AB545" s="1333"/>
      <c r="AC545" s="1333"/>
      <c r="AD545" s="1333"/>
      <c r="AE545" s="1333"/>
      <c r="AF545" s="1333"/>
      <c r="AG545" s="1333"/>
      <c r="AH545" s="1333"/>
      <c r="AI545" s="1333"/>
      <c r="AJ545" s="1333"/>
    </row>
    <row r="546" spans="1:36" x14ac:dyDescent="0.25">
      <c r="A546" s="1479"/>
      <c r="B546" s="1284"/>
      <c r="C546" s="1284"/>
      <c r="D546" s="1364"/>
      <c r="E546" s="1364"/>
      <c r="F546" s="1364"/>
      <c r="G546" s="1365"/>
      <c r="H546" s="1333"/>
      <c r="I546" s="1333"/>
      <c r="J546" s="1333"/>
      <c r="K546" s="1333"/>
      <c r="L546" s="1333"/>
      <c r="M546" s="1333"/>
      <c r="N546" s="1333"/>
      <c r="O546" s="1333"/>
      <c r="P546" s="1333"/>
      <c r="Q546" s="1333"/>
      <c r="R546" s="1333"/>
      <c r="S546" s="1333"/>
      <c r="T546" s="1333"/>
      <c r="U546" s="1333"/>
      <c r="V546" s="1333"/>
      <c r="W546" s="1333"/>
      <c r="X546" s="1333"/>
      <c r="Y546" s="1333"/>
      <c r="Z546" s="1333"/>
      <c r="AA546" s="1333"/>
      <c r="AB546" s="1333"/>
      <c r="AC546" s="1333"/>
      <c r="AD546" s="1333"/>
      <c r="AE546" s="1333"/>
      <c r="AF546" s="1333"/>
      <c r="AG546" s="1333"/>
      <c r="AH546" s="1333"/>
      <c r="AI546" s="1333"/>
      <c r="AJ546" s="1333"/>
    </row>
    <row r="547" spans="1:36" x14ac:dyDescent="0.25">
      <c r="A547" s="1479"/>
      <c r="B547" s="1284"/>
      <c r="C547" s="1284"/>
      <c r="D547" s="1364"/>
      <c r="E547" s="1364"/>
      <c r="F547" s="1364"/>
      <c r="G547" s="1365"/>
      <c r="H547" s="1333"/>
      <c r="I547" s="1333"/>
      <c r="J547" s="1333"/>
      <c r="K547" s="1333"/>
      <c r="L547" s="1333"/>
      <c r="M547" s="1333"/>
      <c r="N547" s="1333"/>
      <c r="O547" s="1333"/>
      <c r="P547" s="1333"/>
      <c r="Q547" s="1333"/>
      <c r="R547" s="1333"/>
      <c r="S547" s="1333"/>
      <c r="T547" s="1333"/>
      <c r="U547" s="1333"/>
      <c r="V547" s="1333"/>
      <c r="W547" s="1333"/>
      <c r="X547" s="1333"/>
      <c r="Y547" s="1333"/>
      <c r="Z547" s="1333"/>
      <c r="AA547" s="1333"/>
      <c r="AB547" s="1333"/>
      <c r="AC547" s="1333"/>
      <c r="AD547" s="1333"/>
      <c r="AE547" s="1333"/>
      <c r="AF547" s="1333"/>
      <c r="AG547" s="1333"/>
      <c r="AH547" s="1333"/>
      <c r="AI547" s="1333"/>
      <c r="AJ547" s="1333"/>
    </row>
    <row r="548" spans="1:36" x14ac:dyDescent="0.25">
      <c r="A548" s="1479"/>
      <c r="B548" s="1284"/>
      <c r="C548" s="1284"/>
      <c r="D548" s="1364"/>
      <c r="E548" s="1364"/>
      <c r="F548" s="1364"/>
      <c r="G548" s="1365"/>
      <c r="H548" s="1333"/>
      <c r="I548" s="1333"/>
      <c r="J548" s="1333"/>
      <c r="K548" s="1333"/>
      <c r="L548" s="1333"/>
      <c r="M548" s="1333"/>
      <c r="N548" s="1333"/>
      <c r="O548" s="1333"/>
      <c r="P548" s="1333"/>
      <c r="Q548" s="1333"/>
      <c r="R548" s="1333"/>
      <c r="S548" s="1333"/>
      <c r="T548" s="1333"/>
      <c r="U548" s="1333"/>
      <c r="V548" s="1333"/>
      <c r="W548" s="1333"/>
      <c r="X548" s="1333"/>
      <c r="Y548" s="1333"/>
      <c r="Z548" s="1333"/>
      <c r="AA548" s="1333"/>
      <c r="AB548" s="1333"/>
      <c r="AC548" s="1333"/>
      <c r="AD548" s="1333"/>
      <c r="AE548" s="1333"/>
      <c r="AF548" s="1333"/>
      <c r="AG548" s="1333"/>
      <c r="AH548" s="1333"/>
      <c r="AI548" s="1333"/>
      <c r="AJ548" s="1333"/>
    </row>
    <row r="549" spans="1:36" x14ac:dyDescent="0.25">
      <c r="A549" s="1479"/>
      <c r="B549" s="1284"/>
      <c r="C549" s="1284"/>
      <c r="D549" s="1364"/>
      <c r="E549" s="1364"/>
      <c r="F549" s="1364"/>
      <c r="G549" s="1365"/>
      <c r="H549" s="1333"/>
      <c r="I549" s="1333"/>
      <c r="J549" s="1333"/>
      <c r="K549" s="1333"/>
      <c r="L549" s="1333"/>
      <c r="M549" s="1333"/>
      <c r="N549" s="1333"/>
      <c r="O549" s="1333"/>
      <c r="P549" s="1333"/>
      <c r="Q549" s="1333"/>
      <c r="R549" s="1333"/>
      <c r="S549" s="1333"/>
      <c r="T549" s="1333"/>
      <c r="U549" s="1333"/>
      <c r="V549" s="1333"/>
      <c r="W549" s="1333"/>
      <c r="X549" s="1333"/>
      <c r="Y549" s="1333"/>
      <c r="Z549" s="1333"/>
      <c r="AA549" s="1333"/>
      <c r="AB549" s="1333"/>
      <c r="AC549" s="1333"/>
      <c r="AD549" s="1333"/>
      <c r="AE549" s="1333"/>
      <c r="AF549" s="1333"/>
      <c r="AG549" s="1333"/>
      <c r="AH549" s="1333"/>
      <c r="AI549" s="1333"/>
      <c r="AJ549" s="1333"/>
    </row>
    <row r="550" spans="1:36" x14ac:dyDescent="0.25">
      <c r="A550" s="1479"/>
      <c r="B550" s="1284"/>
      <c r="C550" s="1284"/>
      <c r="D550" s="1364"/>
      <c r="E550" s="1364"/>
      <c r="F550" s="1364"/>
      <c r="G550" s="1365"/>
      <c r="H550" s="1333"/>
      <c r="I550" s="1333"/>
      <c r="J550" s="1333"/>
      <c r="K550" s="1333"/>
      <c r="L550" s="1333"/>
      <c r="M550" s="1333"/>
      <c r="N550" s="1333"/>
      <c r="O550" s="1333"/>
      <c r="P550" s="1333"/>
      <c r="Q550" s="1333"/>
      <c r="R550" s="1333"/>
      <c r="S550" s="1333"/>
      <c r="T550" s="1333"/>
      <c r="U550" s="1333"/>
      <c r="V550" s="1333"/>
      <c r="W550" s="1333"/>
      <c r="X550" s="1333"/>
      <c r="Y550" s="1333"/>
      <c r="Z550" s="1333"/>
      <c r="AA550" s="1333"/>
      <c r="AB550" s="1333"/>
      <c r="AC550" s="1333"/>
      <c r="AD550" s="1333"/>
      <c r="AE550" s="1333"/>
      <c r="AF550" s="1333"/>
      <c r="AG550" s="1333"/>
      <c r="AH550" s="1333"/>
      <c r="AI550" s="1333"/>
      <c r="AJ550" s="1333"/>
    </row>
    <row r="551" spans="1:36" x14ac:dyDescent="0.25">
      <c r="A551" s="1479"/>
      <c r="B551" s="1284"/>
      <c r="C551" s="1284"/>
      <c r="D551" s="1364"/>
      <c r="E551" s="1364"/>
      <c r="F551" s="1364"/>
      <c r="G551" s="1365"/>
      <c r="H551" s="1333"/>
      <c r="I551" s="1333"/>
      <c r="J551" s="1333"/>
      <c r="K551" s="1333"/>
      <c r="L551" s="1333"/>
      <c r="M551" s="1333"/>
      <c r="N551" s="1333"/>
      <c r="O551" s="1333"/>
      <c r="P551" s="1333"/>
      <c r="Q551" s="1333"/>
      <c r="R551" s="1333"/>
      <c r="S551" s="1333"/>
      <c r="T551" s="1333"/>
      <c r="U551" s="1333"/>
      <c r="V551" s="1333"/>
      <c r="W551" s="1333"/>
      <c r="X551" s="1333"/>
      <c r="Y551" s="1333"/>
      <c r="Z551" s="1333"/>
      <c r="AA551" s="1333"/>
      <c r="AB551" s="1333"/>
      <c r="AC551" s="1333"/>
      <c r="AD551" s="1333"/>
      <c r="AE551" s="1333"/>
      <c r="AF551" s="1333"/>
      <c r="AG551" s="1333"/>
      <c r="AH551" s="1333"/>
      <c r="AI551" s="1333"/>
      <c r="AJ551" s="1333"/>
    </row>
    <row r="552" spans="1:36" x14ac:dyDescent="0.25">
      <c r="A552" s="1479"/>
      <c r="B552" s="1284"/>
      <c r="C552" s="1284"/>
      <c r="D552" s="1364"/>
      <c r="E552" s="1364"/>
      <c r="F552" s="1364"/>
      <c r="G552" s="1365"/>
      <c r="H552" s="1333"/>
      <c r="I552" s="1333"/>
      <c r="J552" s="1333"/>
      <c r="K552" s="1333"/>
      <c r="L552" s="1333"/>
      <c r="M552" s="1333"/>
      <c r="N552" s="1333"/>
      <c r="O552" s="1333"/>
      <c r="P552" s="1333"/>
      <c r="Q552" s="1333"/>
      <c r="R552" s="1333"/>
      <c r="S552" s="1333"/>
      <c r="T552" s="1333"/>
      <c r="U552" s="1333"/>
      <c r="V552" s="1333"/>
      <c r="W552" s="1333"/>
      <c r="X552" s="1333"/>
      <c r="Y552" s="1333"/>
      <c r="Z552" s="1333"/>
      <c r="AA552" s="1333"/>
      <c r="AB552" s="1333"/>
      <c r="AC552" s="1333"/>
      <c r="AD552" s="1333"/>
      <c r="AE552" s="1333"/>
      <c r="AF552" s="1333"/>
      <c r="AG552" s="1333"/>
      <c r="AH552" s="1333"/>
      <c r="AI552" s="1333"/>
      <c r="AJ552" s="1333"/>
    </row>
    <row r="553" spans="1:36" x14ac:dyDescent="0.25">
      <c r="A553" s="1479"/>
      <c r="B553" s="1284"/>
      <c r="C553" s="1284"/>
      <c r="D553" s="1364"/>
      <c r="E553" s="1364"/>
      <c r="F553" s="1364"/>
      <c r="G553" s="1365"/>
      <c r="H553" s="1333"/>
      <c r="I553" s="1333"/>
      <c r="J553" s="1333"/>
      <c r="K553" s="1333"/>
      <c r="L553" s="1333"/>
      <c r="M553" s="1333"/>
      <c r="N553" s="1333"/>
      <c r="O553" s="1333"/>
      <c r="P553" s="1333"/>
      <c r="Q553" s="1333"/>
      <c r="R553" s="1333"/>
      <c r="S553" s="1333"/>
      <c r="T553" s="1333"/>
      <c r="U553" s="1333"/>
      <c r="V553" s="1333"/>
      <c r="W553" s="1333"/>
      <c r="X553" s="1333"/>
      <c r="Y553" s="1333"/>
      <c r="Z553" s="1333"/>
      <c r="AA553" s="1333"/>
      <c r="AB553" s="1333"/>
      <c r="AC553" s="1333"/>
      <c r="AD553" s="1333"/>
      <c r="AE553" s="1333"/>
      <c r="AF553" s="1333"/>
      <c r="AG553" s="1333"/>
      <c r="AH553" s="1333"/>
      <c r="AI553" s="1333"/>
      <c r="AJ553" s="1333"/>
    </row>
    <row r="554" spans="1:36" x14ac:dyDescent="0.25">
      <c r="A554" s="1479"/>
      <c r="B554" s="1284"/>
      <c r="C554" s="1284"/>
      <c r="D554" s="1364"/>
      <c r="E554" s="1364"/>
      <c r="F554" s="1364"/>
      <c r="G554" s="1365"/>
      <c r="H554" s="1333"/>
      <c r="I554" s="1333"/>
      <c r="J554" s="1333"/>
      <c r="K554" s="1333"/>
      <c r="L554" s="1333"/>
      <c r="M554" s="1333"/>
      <c r="N554" s="1333"/>
      <c r="O554" s="1333"/>
      <c r="P554" s="1333"/>
      <c r="Q554" s="1333"/>
      <c r="R554" s="1333"/>
      <c r="S554" s="1333"/>
      <c r="T554" s="1333"/>
      <c r="U554" s="1333"/>
      <c r="V554" s="1333"/>
      <c r="W554" s="1333"/>
      <c r="X554" s="1333"/>
      <c r="Y554" s="1333"/>
      <c r="Z554" s="1333"/>
      <c r="AA554" s="1333"/>
      <c r="AB554" s="1333"/>
      <c r="AC554" s="1333"/>
      <c r="AD554" s="1333"/>
      <c r="AE554" s="1333"/>
      <c r="AF554" s="1333"/>
      <c r="AG554" s="1333"/>
      <c r="AH554" s="1333"/>
      <c r="AI554" s="1333"/>
      <c r="AJ554" s="1333"/>
    </row>
    <row r="555" spans="1:36" x14ac:dyDescent="0.25">
      <c r="A555" s="1479"/>
      <c r="B555" s="1284"/>
      <c r="C555" s="1284"/>
      <c r="D555" s="1364"/>
      <c r="E555" s="1364"/>
      <c r="F555" s="1364"/>
      <c r="G555" s="1365"/>
      <c r="H555" s="1333"/>
      <c r="I555" s="1333"/>
      <c r="J555" s="1333"/>
      <c r="K555" s="1333"/>
      <c r="L555" s="1333"/>
      <c r="M555" s="1333"/>
      <c r="N555" s="1333"/>
      <c r="O555" s="1333"/>
      <c r="P555" s="1333"/>
      <c r="Q555" s="1333"/>
      <c r="R555" s="1333"/>
      <c r="S555" s="1333"/>
      <c r="T555" s="1333"/>
      <c r="U555" s="1333"/>
      <c r="V555" s="1333"/>
      <c r="W555" s="1333"/>
      <c r="X555" s="1333"/>
      <c r="Y555" s="1333"/>
      <c r="Z555" s="1333"/>
      <c r="AA555" s="1333"/>
      <c r="AB555" s="1333"/>
      <c r="AC555" s="1333"/>
      <c r="AD555" s="1333"/>
      <c r="AE555" s="1333"/>
      <c r="AF555" s="1333"/>
      <c r="AG555" s="1333"/>
      <c r="AH555" s="1333"/>
      <c r="AI555" s="1333"/>
      <c r="AJ555" s="1333"/>
    </row>
    <row r="556" spans="1:36" x14ac:dyDescent="0.25">
      <c r="A556" s="1479"/>
      <c r="B556" s="1284"/>
      <c r="C556" s="1284"/>
      <c r="D556" s="1364"/>
      <c r="E556" s="1364"/>
      <c r="F556" s="1364"/>
      <c r="G556" s="1365"/>
      <c r="H556" s="1333"/>
      <c r="I556" s="1333"/>
      <c r="J556" s="1333"/>
      <c r="K556" s="1333"/>
      <c r="L556" s="1333"/>
      <c r="M556" s="1333"/>
      <c r="N556" s="1333"/>
      <c r="O556" s="1333"/>
      <c r="P556" s="1333"/>
      <c r="Q556" s="1333"/>
      <c r="R556" s="1333"/>
      <c r="S556" s="1333"/>
      <c r="T556" s="1333"/>
      <c r="U556" s="1333"/>
      <c r="V556" s="1333"/>
      <c r="W556" s="1333"/>
      <c r="X556" s="1333"/>
      <c r="Y556" s="1333"/>
      <c r="Z556" s="1333"/>
      <c r="AA556" s="1333"/>
      <c r="AB556" s="1333"/>
      <c r="AC556" s="1333"/>
      <c r="AD556" s="1333"/>
      <c r="AE556" s="1333"/>
      <c r="AF556" s="1333"/>
      <c r="AG556" s="1333"/>
      <c r="AH556" s="1333"/>
      <c r="AI556" s="1333"/>
      <c r="AJ556" s="1333"/>
    </row>
    <row r="557" spans="1:36" x14ac:dyDescent="0.25">
      <c r="A557" s="1479"/>
      <c r="B557" s="1284"/>
      <c r="C557" s="1284"/>
      <c r="D557" s="1364"/>
      <c r="E557" s="1364"/>
      <c r="F557" s="1364"/>
      <c r="G557" s="1365"/>
      <c r="H557" s="1333"/>
      <c r="I557" s="1333"/>
      <c r="J557" s="1333"/>
      <c r="K557" s="1333"/>
      <c r="L557" s="1333"/>
      <c r="M557" s="1333"/>
      <c r="N557" s="1333"/>
      <c r="O557" s="1333"/>
      <c r="P557" s="1333"/>
      <c r="Q557" s="1333"/>
      <c r="R557" s="1333"/>
      <c r="S557" s="1333"/>
      <c r="T557" s="1333"/>
      <c r="U557" s="1333"/>
      <c r="V557" s="1333"/>
      <c r="W557" s="1333"/>
      <c r="X557" s="1333"/>
      <c r="Y557" s="1333"/>
      <c r="Z557" s="1333"/>
      <c r="AA557" s="1333"/>
      <c r="AB557" s="1333"/>
      <c r="AC557" s="1333"/>
      <c r="AD557" s="1333"/>
      <c r="AE557" s="1333"/>
      <c r="AF557" s="1333"/>
      <c r="AG557" s="1333"/>
      <c r="AH557" s="1333"/>
      <c r="AI557" s="1333"/>
      <c r="AJ557" s="1333"/>
    </row>
    <row r="558" spans="1:36" x14ac:dyDescent="0.25">
      <c r="A558" s="1479"/>
      <c r="B558" s="1284"/>
      <c r="C558" s="1284"/>
      <c r="D558" s="1364"/>
      <c r="E558" s="1364"/>
      <c r="F558" s="1364"/>
      <c r="G558" s="1365"/>
      <c r="H558" s="1333"/>
      <c r="I558" s="1333"/>
      <c r="J558" s="1333"/>
      <c r="K558" s="1333"/>
      <c r="L558" s="1333"/>
      <c r="M558" s="1333"/>
      <c r="N558" s="1333"/>
      <c r="O558" s="1333"/>
      <c r="P558" s="1333"/>
      <c r="Q558" s="1333"/>
      <c r="R558" s="1333"/>
      <c r="S558" s="1333"/>
      <c r="T558" s="1333"/>
      <c r="U558" s="1333"/>
      <c r="V558" s="1333"/>
      <c r="W558" s="1333"/>
      <c r="X558" s="1333"/>
      <c r="Y558" s="1333"/>
      <c r="Z558" s="1333"/>
      <c r="AA558" s="1333"/>
      <c r="AB558" s="1333"/>
      <c r="AC558" s="1333"/>
      <c r="AD558" s="1333"/>
      <c r="AE558" s="1333"/>
      <c r="AF558" s="1333"/>
      <c r="AG558" s="1333"/>
      <c r="AH558" s="1333"/>
      <c r="AI558" s="1333"/>
      <c r="AJ558" s="1333"/>
    </row>
    <row r="559" spans="1:36" x14ac:dyDescent="0.25">
      <c r="A559" s="1479"/>
      <c r="B559" s="1284"/>
      <c r="C559" s="1284"/>
      <c r="D559" s="1364"/>
      <c r="E559" s="1364"/>
      <c r="F559" s="1364"/>
      <c r="G559" s="1365"/>
      <c r="H559" s="1333"/>
      <c r="I559" s="1333"/>
      <c r="J559" s="1333"/>
      <c r="K559" s="1333"/>
      <c r="L559" s="1333"/>
      <c r="M559" s="1333"/>
      <c r="N559" s="1333"/>
      <c r="O559" s="1333"/>
      <c r="P559" s="1333"/>
      <c r="Q559" s="1333"/>
      <c r="R559" s="1333"/>
      <c r="S559" s="1333"/>
      <c r="T559" s="1333"/>
      <c r="U559" s="1333"/>
      <c r="V559" s="1333"/>
      <c r="W559" s="1333"/>
      <c r="X559" s="1333"/>
      <c r="Y559" s="1333"/>
      <c r="Z559" s="1333"/>
      <c r="AA559" s="1333"/>
      <c r="AB559" s="1333"/>
      <c r="AC559" s="1333"/>
      <c r="AD559" s="1333"/>
      <c r="AE559" s="1333"/>
      <c r="AF559" s="1333"/>
      <c r="AG559" s="1333"/>
      <c r="AH559" s="1333"/>
      <c r="AI559" s="1333"/>
      <c r="AJ559" s="1333"/>
    </row>
    <row r="560" spans="1:36" x14ac:dyDescent="0.25">
      <c r="A560" s="1479"/>
      <c r="B560" s="1284"/>
      <c r="C560" s="1284"/>
      <c r="D560" s="1364"/>
      <c r="E560" s="1364"/>
      <c r="F560" s="1364"/>
      <c r="G560" s="1365"/>
      <c r="H560" s="1333"/>
      <c r="I560" s="1333"/>
      <c r="J560" s="1333"/>
      <c r="K560" s="1333"/>
      <c r="L560" s="1333"/>
      <c r="M560" s="1333"/>
      <c r="N560" s="1333"/>
      <c r="O560" s="1333"/>
      <c r="P560" s="1333"/>
      <c r="Q560" s="1333"/>
      <c r="R560" s="1333"/>
      <c r="S560" s="1333"/>
      <c r="T560" s="1333"/>
      <c r="U560" s="1333"/>
      <c r="V560" s="1333"/>
      <c r="W560" s="1333"/>
      <c r="X560" s="1333"/>
      <c r="Y560" s="1333"/>
      <c r="Z560" s="1333"/>
      <c r="AA560" s="1333"/>
      <c r="AB560" s="1333"/>
      <c r="AC560" s="1333"/>
      <c r="AD560" s="1333"/>
      <c r="AE560" s="1333"/>
      <c r="AF560" s="1333"/>
      <c r="AG560" s="1333"/>
      <c r="AH560" s="1333"/>
      <c r="AI560" s="1333"/>
      <c r="AJ560" s="1333"/>
    </row>
    <row r="561" spans="1:36" x14ac:dyDescent="0.25">
      <c r="A561" s="1479"/>
      <c r="B561" s="1284"/>
      <c r="C561" s="1284"/>
      <c r="D561" s="1364"/>
      <c r="E561" s="1364"/>
      <c r="F561" s="1364"/>
      <c r="G561" s="1365"/>
      <c r="H561" s="1333"/>
      <c r="I561" s="1333"/>
      <c r="J561" s="1333"/>
      <c r="K561" s="1333"/>
      <c r="L561" s="1333"/>
      <c r="M561" s="1333"/>
      <c r="N561" s="1333"/>
      <c r="O561" s="1333"/>
      <c r="P561" s="1333"/>
      <c r="Q561" s="1333"/>
      <c r="R561" s="1333"/>
      <c r="S561" s="1333"/>
      <c r="T561" s="1333"/>
      <c r="U561" s="1333"/>
      <c r="V561" s="1333"/>
      <c r="W561" s="1333"/>
      <c r="X561" s="1333"/>
      <c r="Y561" s="1333"/>
      <c r="Z561" s="1333"/>
      <c r="AA561" s="1333"/>
      <c r="AB561" s="1333"/>
      <c r="AC561" s="1333"/>
      <c r="AD561" s="1333"/>
      <c r="AE561" s="1333"/>
      <c r="AF561" s="1333"/>
      <c r="AG561" s="1333"/>
      <c r="AH561" s="1333"/>
      <c r="AI561" s="1333"/>
      <c r="AJ561" s="1333"/>
    </row>
    <row r="562" spans="1:36" x14ac:dyDescent="0.25">
      <c r="A562" s="1479"/>
      <c r="B562" s="1284"/>
      <c r="C562" s="1284"/>
      <c r="D562" s="1364"/>
      <c r="E562" s="1364"/>
      <c r="F562" s="1364"/>
      <c r="G562" s="1365"/>
      <c r="H562" s="1333"/>
      <c r="I562" s="1333"/>
      <c r="J562" s="1333"/>
      <c r="K562" s="1333"/>
      <c r="L562" s="1333"/>
      <c r="M562" s="1333"/>
      <c r="N562" s="1333"/>
      <c r="O562" s="1333"/>
      <c r="P562" s="1333"/>
      <c r="Q562" s="1333"/>
      <c r="R562" s="1333"/>
      <c r="S562" s="1333"/>
      <c r="T562" s="1333"/>
      <c r="U562" s="1333"/>
      <c r="V562" s="1333"/>
      <c r="W562" s="1333"/>
      <c r="X562" s="1333"/>
      <c r="Y562" s="1333"/>
      <c r="Z562" s="1333"/>
      <c r="AA562" s="1333"/>
      <c r="AB562" s="1333"/>
      <c r="AC562" s="1333"/>
      <c r="AD562" s="1333"/>
      <c r="AE562" s="1333"/>
      <c r="AF562" s="1333"/>
      <c r="AG562" s="1333"/>
      <c r="AH562" s="1333"/>
      <c r="AI562" s="1333"/>
      <c r="AJ562" s="1333"/>
    </row>
    <row r="563" spans="1:36" x14ac:dyDescent="0.25">
      <c r="A563" s="1479"/>
      <c r="B563" s="1284"/>
      <c r="C563" s="1284"/>
      <c r="D563" s="1364"/>
      <c r="E563" s="1364"/>
      <c r="F563" s="1364"/>
      <c r="G563" s="1365"/>
      <c r="H563" s="1333"/>
      <c r="I563" s="1333"/>
      <c r="J563" s="1333"/>
      <c r="K563" s="1333"/>
      <c r="L563" s="1333"/>
      <c r="M563" s="1333"/>
      <c r="N563" s="1333"/>
      <c r="O563" s="1333"/>
      <c r="P563" s="1333"/>
      <c r="Q563" s="1333"/>
      <c r="R563" s="1333"/>
      <c r="S563" s="1333"/>
      <c r="T563" s="1333"/>
      <c r="U563" s="1333"/>
      <c r="V563" s="1333"/>
      <c r="W563" s="1333"/>
      <c r="X563" s="1333"/>
      <c r="Y563" s="1333"/>
      <c r="Z563" s="1333"/>
      <c r="AA563" s="1333"/>
      <c r="AB563" s="1333"/>
      <c r="AC563" s="1333"/>
      <c r="AD563" s="1333"/>
      <c r="AE563" s="1333"/>
      <c r="AF563" s="1333"/>
      <c r="AG563" s="1333"/>
      <c r="AH563" s="1333"/>
      <c r="AI563" s="1333"/>
      <c r="AJ563" s="1333"/>
    </row>
    <row r="564" spans="1:36" x14ac:dyDescent="0.25">
      <c r="A564" s="1479"/>
      <c r="B564" s="1284"/>
      <c r="C564" s="1284"/>
      <c r="D564" s="1364"/>
      <c r="E564" s="1364"/>
      <c r="F564" s="1364"/>
      <c r="G564" s="1365"/>
      <c r="H564" s="1333"/>
      <c r="I564" s="1333"/>
      <c r="J564" s="1333"/>
      <c r="K564" s="1333"/>
      <c r="L564" s="1333"/>
      <c r="M564" s="1333"/>
      <c r="N564" s="1333"/>
      <c r="O564" s="1333"/>
      <c r="P564" s="1333"/>
      <c r="Q564" s="1333"/>
      <c r="R564" s="1333"/>
      <c r="S564" s="1333"/>
      <c r="T564" s="1333"/>
      <c r="U564" s="1333"/>
      <c r="V564" s="1333"/>
      <c r="W564" s="1333"/>
      <c r="X564" s="1333"/>
      <c r="Y564" s="1333"/>
      <c r="Z564" s="1333"/>
      <c r="AA564" s="1333"/>
      <c r="AB564" s="1333"/>
      <c r="AC564" s="1333"/>
      <c r="AD564" s="1333"/>
      <c r="AE564" s="1333"/>
      <c r="AF564" s="1333"/>
      <c r="AG564" s="1333"/>
      <c r="AH564" s="1333"/>
      <c r="AI564" s="1333"/>
      <c r="AJ564" s="1333"/>
    </row>
    <row r="565" spans="1:36" x14ac:dyDescent="0.25">
      <c r="A565" s="1479"/>
      <c r="B565" s="1284"/>
      <c r="C565" s="1284"/>
      <c r="D565" s="1364"/>
      <c r="E565" s="1364"/>
      <c r="F565" s="1364"/>
      <c r="G565" s="1365"/>
      <c r="H565" s="1333"/>
      <c r="I565" s="1333"/>
      <c r="J565" s="1333"/>
      <c r="K565" s="1333"/>
      <c r="L565" s="1333"/>
      <c r="M565" s="1333"/>
      <c r="N565" s="1333"/>
      <c r="O565" s="1333"/>
      <c r="P565" s="1333"/>
      <c r="Q565" s="1333"/>
      <c r="R565" s="1333"/>
      <c r="S565" s="1333"/>
      <c r="T565" s="1333"/>
      <c r="U565" s="1333"/>
      <c r="V565" s="1333"/>
      <c r="W565" s="1333"/>
      <c r="X565" s="1333"/>
      <c r="Y565" s="1333"/>
      <c r="Z565" s="1333"/>
      <c r="AA565" s="1333"/>
      <c r="AB565" s="1333"/>
      <c r="AC565" s="1333"/>
      <c r="AD565" s="1333"/>
      <c r="AE565" s="1333"/>
      <c r="AF565" s="1333"/>
      <c r="AG565" s="1333"/>
      <c r="AH565" s="1333"/>
      <c r="AI565" s="1333"/>
      <c r="AJ565" s="1333"/>
    </row>
    <row r="566" spans="1:36" x14ac:dyDescent="0.25">
      <c r="A566" s="1479"/>
      <c r="B566" s="1284"/>
      <c r="C566" s="1284"/>
      <c r="D566" s="1364"/>
      <c r="E566" s="1364"/>
      <c r="F566" s="1364"/>
      <c r="G566" s="1365"/>
      <c r="H566" s="1333"/>
      <c r="I566" s="1333"/>
      <c r="J566" s="1333"/>
      <c r="K566" s="1333"/>
      <c r="L566" s="1333"/>
      <c r="M566" s="1333"/>
      <c r="N566" s="1333"/>
      <c r="O566" s="1333"/>
      <c r="P566" s="1333"/>
      <c r="Q566" s="1333"/>
      <c r="R566" s="1333"/>
      <c r="S566" s="1333"/>
      <c r="T566" s="1333"/>
      <c r="U566" s="1333"/>
      <c r="V566" s="1333"/>
      <c r="W566" s="1333"/>
      <c r="X566" s="1333"/>
      <c r="Y566" s="1333"/>
      <c r="Z566" s="1333"/>
      <c r="AA566" s="1333"/>
      <c r="AB566" s="1333"/>
      <c r="AC566" s="1333"/>
      <c r="AD566" s="1333"/>
      <c r="AE566" s="1333"/>
      <c r="AF566" s="1333"/>
      <c r="AG566" s="1333"/>
      <c r="AH566" s="1333"/>
      <c r="AI566" s="1333"/>
      <c r="AJ566" s="1333"/>
    </row>
    <row r="567" spans="1:36" x14ac:dyDescent="0.25">
      <c r="A567" s="1479"/>
      <c r="B567" s="1284"/>
      <c r="C567" s="1284"/>
      <c r="D567" s="1364"/>
      <c r="E567" s="1364"/>
      <c r="F567" s="1364"/>
      <c r="G567" s="1365"/>
      <c r="H567" s="1333"/>
      <c r="I567" s="1333"/>
      <c r="J567" s="1333"/>
      <c r="K567" s="1333"/>
      <c r="L567" s="1333"/>
      <c r="M567" s="1333"/>
      <c r="N567" s="1333"/>
      <c r="O567" s="1333"/>
      <c r="P567" s="1333"/>
      <c r="Q567" s="1333"/>
      <c r="R567" s="1333"/>
      <c r="S567" s="1333"/>
      <c r="T567" s="1333"/>
      <c r="U567" s="1333"/>
      <c r="V567" s="1333"/>
      <c r="W567" s="1333"/>
      <c r="X567" s="1333"/>
      <c r="Y567" s="1333"/>
      <c r="Z567" s="1333"/>
      <c r="AA567" s="1333"/>
      <c r="AB567" s="1333"/>
      <c r="AC567" s="1333"/>
      <c r="AD567" s="1333"/>
      <c r="AE567" s="1333"/>
      <c r="AF567" s="1333"/>
      <c r="AG567" s="1333"/>
      <c r="AH567" s="1333"/>
      <c r="AI567" s="1333"/>
      <c r="AJ567" s="1333"/>
    </row>
    <row r="568" spans="1:36" x14ac:dyDescent="0.25">
      <c r="A568" s="1479"/>
      <c r="B568" s="1284"/>
      <c r="C568" s="1284"/>
      <c r="D568" s="1364"/>
      <c r="E568" s="1364"/>
      <c r="F568" s="1364"/>
      <c r="G568" s="1365"/>
      <c r="H568" s="1333"/>
      <c r="I568" s="1333"/>
      <c r="J568" s="1333"/>
      <c r="K568" s="1333"/>
      <c r="L568" s="1333"/>
      <c r="M568" s="1333"/>
      <c r="N568" s="1333"/>
      <c r="O568" s="1333"/>
      <c r="P568" s="1333"/>
      <c r="Q568" s="1333"/>
      <c r="R568" s="1333"/>
      <c r="S568" s="1333"/>
      <c r="T568" s="1333"/>
      <c r="U568" s="1333"/>
      <c r="V568" s="1333"/>
      <c r="W568" s="1333"/>
      <c r="X568" s="1333"/>
      <c r="Y568" s="1333"/>
      <c r="Z568" s="1333"/>
      <c r="AA568" s="1333"/>
      <c r="AB568" s="1333"/>
      <c r="AC568" s="1333"/>
      <c r="AD568" s="1333"/>
      <c r="AE568" s="1333"/>
      <c r="AF568" s="1333"/>
      <c r="AG568" s="1333"/>
      <c r="AH568" s="1333"/>
      <c r="AI568" s="1333"/>
      <c r="AJ568" s="1333"/>
    </row>
    <row r="569" spans="1:36" x14ac:dyDescent="0.25">
      <c r="A569" s="1479"/>
      <c r="B569" s="1284"/>
      <c r="C569" s="1284"/>
      <c r="D569" s="1364"/>
      <c r="E569" s="1364"/>
      <c r="F569" s="1364"/>
      <c r="G569" s="1365"/>
      <c r="H569" s="1333"/>
      <c r="I569" s="1333"/>
      <c r="J569" s="1333"/>
      <c r="K569" s="1333"/>
      <c r="L569" s="1333"/>
      <c r="M569" s="1333"/>
      <c r="N569" s="1333"/>
      <c r="O569" s="1333"/>
      <c r="P569" s="1333"/>
      <c r="Q569" s="1333"/>
      <c r="R569" s="1333"/>
      <c r="S569" s="1333"/>
      <c r="T569" s="1333"/>
      <c r="U569" s="1333"/>
      <c r="V569" s="1333"/>
      <c r="W569" s="1333"/>
      <c r="X569" s="1333"/>
      <c r="Y569" s="1333"/>
      <c r="Z569" s="1333"/>
      <c r="AA569" s="1333"/>
      <c r="AB569" s="1333"/>
      <c r="AC569" s="1333"/>
      <c r="AD569" s="1333"/>
      <c r="AE569" s="1333"/>
      <c r="AF569" s="1333"/>
      <c r="AG569" s="1333"/>
      <c r="AH569" s="1333"/>
      <c r="AI569" s="1333"/>
      <c r="AJ569" s="1333"/>
    </row>
    <row r="570" spans="1:36" x14ac:dyDescent="0.25">
      <c r="A570" s="1479"/>
      <c r="B570" s="1284"/>
      <c r="C570" s="1284"/>
      <c r="D570" s="1364"/>
      <c r="E570" s="1364"/>
      <c r="F570" s="1364"/>
      <c r="G570" s="1365"/>
      <c r="H570" s="1333"/>
      <c r="I570" s="1333"/>
      <c r="J570" s="1333"/>
      <c r="K570" s="1333"/>
      <c r="L570" s="1333"/>
      <c r="M570" s="1333"/>
      <c r="N570" s="1333"/>
      <c r="O570" s="1333"/>
      <c r="P570" s="1333"/>
      <c r="Q570" s="1333"/>
      <c r="R570" s="1333"/>
      <c r="S570" s="1333"/>
      <c r="T570" s="1333"/>
      <c r="U570" s="1333"/>
      <c r="V570" s="1333"/>
      <c r="W570" s="1333"/>
      <c r="X570" s="1333"/>
      <c r="Y570" s="1333"/>
      <c r="Z570" s="1333"/>
      <c r="AA570" s="1333"/>
      <c r="AB570" s="1333"/>
      <c r="AC570" s="1333"/>
      <c r="AD570" s="1333"/>
      <c r="AE570" s="1333"/>
      <c r="AF570" s="1333"/>
      <c r="AG570" s="1333"/>
      <c r="AH570" s="1333"/>
      <c r="AI570" s="1333"/>
      <c r="AJ570" s="1333"/>
    </row>
    <row r="571" spans="1:36" x14ac:dyDescent="0.25">
      <c r="A571" s="1479"/>
      <c r="B571" s="1284"/>
      <c r="C571" s="1284"/>
      <c r="D571" s="1364"/>
      <c r="E571" s="1364"/>
      <c r="F571" s="1364"/>
      <c r="G571" s="1365"/>
      <c r="H571" s="1333"/>
      <c r="I571" s="1333"/>
      <c r="J571" s="1333"/>
      <c r="K571" s="1333"/>
      <c r="L571" s="1333"/>
      <c r="M571" s="1333"/>
      <c r="N571" s="1333"/>
      <c r="O571" s="1333"/>
      <c r="P571" s="1333"/>
      <c r="Q571" s="1333"/>
      <c r="R571" s="1333"/>
      <c r="S571" s="1333"/>
      <c r="T571" s="1333"/>
      <c r="U571" s="1333"/>
      <c r="V571" s="1333"/>
      <c r="W571" s="1333"/>
      <c r="X571" s="1333"/>
      <c r="Y571" s="1333"/>
      <c r="Z571" s="1333"/>
      <c r="AA571" s="1333"/>
      <c r="AB571" s="1333"/>
      <c r="AC571" s="1333"/>
      <c r="AD571" s="1333"/>
      <c r="AE571" s="1333"/>
      <c r="AF571" s="1333"/>
      <c r="AG571" s="1333"/>
      <c r="AH571" s="1333"/>
      <c r="AI571" s="1333"/>
      <c r="AJ571" s="1333"/>
    </row>
    <row r="572" spans="1:36" x14ac:dyDescent="0.25">
      <c r="A572" s="1479"/>
      <c r="B572" s="1284"/>
      <c r="C572" s="1284"/>
      <c r="D572" s="1364"/>
      <c r="E572" s="1364"/>
      <c r="F572" s="1364"/>
      <c r="G572" s="1365"/>
      <c r="H572" s="1333"/>
      <c r="I572" s="1333"/>
      <c r="J572" s="1333"/>
      <c r="K572" s="1333"/>
      <c r="L572" s="1333"/>
      <c r="M572" s="1333"/>
      <c r="N572" s="1333"/>
      <c r="O572" s="1333"/>
      <c r="P572" s="1333"/>
      <c r="Q572" s="1333"/>
      <c r="R572" s="1333"/>
      <c r="S572" s="1333"/>
      <c r="T572" s="1333"/>
      <c r="U572" s="1333"/>
      <c r="V572" s="1333"/>
      <c r="W572" s="1333"/>
      <c r="X572" s="1333"/>
      <c r="Y572" s="1333"/>
      <c r="Z572" s="1333"/>
      <c r="AA572" s="1333"/>
      <c r="AB572" s="1333"/>
      <c r="AC572" s="1333"/>
      <c r="AD572" s="1333"/>
      <c r="AE572" s="1333"/>
      <c r="AF572" s="1333"/>
      <c r="AG572" s="1333"/>
      <c r="AH572" s="1333"/>
      <c r="AI572" s="1333"/>
      <c r="AJ572" s="1333"/>
    </row>
    <row r="573" spans="1:36" x14ac:dyDescent="0.25">
      <c r="A573" s="1479"/>
      <c r="B573" s="1284"/>
      <c r="C573" s="1284"/>
      <c r="D573" s="1364"/>
      <c r="E573" s="1364"/>
      <c r="F573" s="1364"/>
      <c r="G573" s="1365"/>
      <c r="H573" s="1333"/>
      <c r="I573" s="1333"/>
      <c r="J573" s="1333"/>
      <c r="K573" s="1333"/>
      <c r="L573" s="1333"/>
      <c r="M573" s="1333"/>
      <c r="N573" s="1333"/>
      <c r="O573" s="1333"/>
      <c r="P573" s="1333"/>
      <c r="Q573" s="1333"/>
      <c r="R573" s="1333"/>
      <c r="S573" s="1333"/>
      <c r="T573" s="1333"/>
      <c r="U573" s="1333"/>
      <c r="V573" s="1333"/>
      <c r="W573" s="1333"/>
      <c r="X573" s="1333"/>
      <c r="Y573" s="1333"/>
      <c r="Z573" s="1333"/>
      <c r="AA573" s="1333"/>
      <c r="AB573" s="1333"/>
      <c r="AC573" s="1333"/>
      <c r="AD573" s="1333"/>
      <c r="AE573" s="1333"/>
      <c r="AF573" s="1333"/>
      <c r="AG573" s="1333"/>
      <c r="AH573" s="1333"/>
      <c r="AI573" s="1333"/>
      <c r="AJ573" s="1333"/>
    </row>
    <row r="574" spans="1:36" x14ac:dyDescent="0.25">
      <c r="A574" s="1479"/>
      <c r="B574" s="1284"/>
      <c r="C574" s="1284"/>
      <c r="D574" s="1364"/>
      <c r="E574" s="1364"/>
      <c r="F574" s="1364"/>
      <c r="G574" s="1365"/>
      <c r="H574" s="1333"/>
      <c r="I574" s="1333"/>
      <c r="J574" s="1333"/>
      <c r="K574" s="1333"/>
      <c r="L574" s="1333"/>
      <c r="M574" s="1333"/>
      <c r="N574" s="1333"/>
      <c r="O574" s="1333"/>
      <c r="P574" s="1333"/>
      <c r="Q574" s="1333"/>
      <c r="R574" s="1333"/>
      <c r="S574" s="1333"/>
      <c r="T574" s="1333"/>
      <c r="U574" s="1333"/>
      <c r="V574" s="1333"/>
      <c r="W574" s="1333"/>
      <c r="X574" s="1333"/>
      <c r="Y574" s="1333"/>
      <c r="Z574" s="1333"/>
      <c r="AA574" s="1333"/>
      <c r="AB574" s="1333"/>
      <c r="AC574" s="1333"/>
      <c r="AD574" s="1333"/>
      <c r="AE574" s="1333"/>
      <c r="AF574" s="1333"/>
      <c r="AG574" s="1333"/>
      <c r="AH574" s="1333"/>
      <c r="AI574" s="1333"/>
      <c r="AJ574" s="1333"/>
    </row>
    <row r="575" spans="1:36" x14ac:dyDescent="0.25">
      <c r="A575" s="1479"/>
      <c r="B575" s="1284"/>
      <c r="C575" s="1284"/>
      <c r="D575" s="1364"/>
      <c r="E575" s="1364"/>
      <c r="F575" s="1364"/>
      <c r="G575" s="1365"/>
      <c r="H575" s="1333"/>
      <c r="I575" s="1333"/>
      <c r="J575" s="1333"/>
      <c r="K575" s="1333"/>
      <c r="L575" s="1333"/>
      <c r="M575" s="1333"/>
      <c r="N575" s="1333"/>
      <c r="O575" s="1333"/>
      <c r="P575" s="1333"/>
      <c r="Q575" s="1333"/>
      <c r="R575" s="1333"/>
      <c r="S575" s="1333"/>
      <c r="T575" s="1333"/>
      <c r="U575" s="1333"/>
      <c r="V575" s="1333"/>
      <c r="W575" s="1333"/>
      <c r="X575" s="1333"/>
      <c r="Y575" s="1333"/>
      <c r="Z575" s="1333"/>
      <c r="AA575" s="1333"/>
      <c r="AB575" s="1333"/>
      <c r="AC575" s="1333"/>
      <c r="AD575" s="1333"/>
      <c r="AE575" s="1333"/>
      <c r="AF575" s="1333"/>
      <c r="AG575" s="1333"/>
      <c r="AH575" s="1333"/>
      <c r="AI575" s="1333"/>
      <c r="AJ575" s="1333"/>
    </row>
    <row r="576" spans="1:36" x14ac:dyDescent="0.25">
      <c r="A576" s="1479"/>
      <c r="B576" s="1284"/>
      <c r="C576" s="1284"/>
      <c r="D576" s="1364"/>
      <c r="E576" s="1364"/>
      <c r="F576" s="1364"/>
      <c r="G576" s="1365"/>
      <c r="H576" s="1333"/>
      <c r="I576" s="1333"/>
      <c r="J576" s="1333"/>
      <c r="K576" s="1333"/>
      <c r="L576" s="1333"/>
      <c r="M576" s="1333"/>
      <c r="N576" s="1333"/>
      <c r="O576" s="1333"/>
      <c r="P576" s="1333"/>
      <c r="Q576" s="1333"/>
      <c r="R576" s="1333"/>
      <c r="S576" s="1333"/>
      <c r="T576" s="1333"/>
      <c r="U576" s="1333"/>
      <c r="V576" s="1333"/>
      <c r="W576" s="1333"/>
      <c r="X576" s="1333"/>
      <c r="Y576" s="1333"/>
      <c r="Z576" s="1333"/>
      <c r="AA576" s="1333"/>
      <c r="AB576" s="1333"/>
      <c r="AC576" s="1333"/>
      <c r="AD576" s="1333"/>
      <c r="AE576" s="1333"/>
      <c r="AF576" s="1333"/>
      <c r="AG576" s="1333"/>
      <c r="AH576" s="1333"/>
      <c r="AI576" s="1333"/>
      <c r="AJ576" s="1333"/>
    </row>
    <row r="577" spans="1:36" x14ac:dyDescent="0.25">
      <c r="A577" s="1479"/>
      <c r="B577" s="1284"/>
      <c r="C577" s="1284"/>
      <c r="D577" s="1364"/>
      <c r="E577" s="1364"/>
      <c r="F577" s="1364"/>
      <c r="G577" s="1365"/>
      <c r="H577" s="1333"/>
      <c r="I577" s="1333"/>
      <c r="J577" s="1333"/>
      <c r="K577" s="1333"/>
      <c r="L577" s="1333"/>
      <c r="M577" s="1333"/>
      <c r="N577" s="1333"/>
      <c r="O577" s="1333"/>
      <c r="P577" s="1333"/>
      <c r="Q577" s="1333"/>
      <c r="R577" s="1333"/>
      <c r="S577" s="1333"/>
      <c r="T577" s="1333"/>
      <c r="U577" s="1333"/>
      <c r="V577" s="1333"/>
      <c r="W577" s="1333"/>
      <c r="X577" s="1333"/>
      <c r="Y577" s="1333"/>
      <c r="Z577" s="1333"/>
      <c r="AA577" s="1333"/>
      <c r="AB577" s="1333"/>
      <c r="AC577" s="1333"/>
      <c r="AD577" s="1333"/>
      <c r="AE577" s="1333"/>
      <c r="AF577" s="1333"/>
      <c r="AG577" s="1333"/>
      <c r="AH577" s="1333"/>
      <c r="AI577" s="1333"/>
      <c r="AJ577" s="1333"/>
    </row>
    <row r="578" spans="1:36" x14ac:dyDescent="0.25">
      <c r="A578" s="1479"/>
      <c r="B578" s="1284"/>
      <c r="C578" s="1284"/>
      <c r="D578" s="1364"/>
      <c r="E578" s="1364"/>
      <c r="F578" s="1364"/>
      <c r="G578" s="1365"/>
      <c r="H578" s="1333"/>
      <c r="I578" s="1333"/>
      <c r="J578" s="1333"/>
      <c r="K578" s="1333"/>
      <c r="L578" s="1333"/>
      <c r="M578" s="1333"/>
      <c r="N578" s="1333"/>
      <c r="O578" s="1333"/>
      <c r="P578" s="1333"/>
      <c r="Q578" s="1333"/>
      <c r="R578" s="1333"/>
      <c r="S578" s="1333"/>
      <c r="T578" s="1333"/>
      <c r="U578" s="1333"/>
      <c r="V578" s="1333"/>
      <c r="W578" s="1333"/>
      <c r="X578" s="1333"/>
      <c r="Y578" s="1333"/>
      <c r="Z578" s="1333"/>
      <c r="AA578" s="1333"/>
      <c r="AB578" s="1333"/>
      <c r="AC578" s="1333"/>
      <c r="AD578" s="1333"/>
      <c r="AE578" s="1333"/>
      <c r="AF578" s="1333"/>
      <c r="AG578" s="1333"/>
      <c r="AH578" s="1333"/>
      <c r="AI578" s="1333"/>
      <c r="AJ578" s="1333"/>
    </row>
    <row r="579" spans="1:36" x14ac:dyDescent="0.25">
      <c r="A579" s="1479"/>
      <c r="B579" s="1284"/>
      <c r="C579" s="1284"/>
      <c r="D579" s="1364"/>
      <c r="E579" s="1364"/>
      <c r="F579" s="1364"/>
      <c r="G579" s="1365"/>
      <c r="H579" s="1333"/>
      <c r="I579" s="1333"/>
      <c r="J579" s="1333"/>
      <c r="K579" s="1333"/>
      <c r="L579" s="1333"/>
      <c r="M579" s="1333"/>
      <c r="N579" s="1333"/>
      <c r="O579" s="1333"/>
      <c r="P579" s="1333"/>
      <c r="Q579" s="1333"/>
      <c r="R579" s="1333"/>
      <c r="S579" s="1333"/>
      <c r="T579" s="1333"/>
      <c r="U579" s="1333"/>
      <c r="V579" s="1333"/>
      <c r="W579" s="1333"/>
      <c r="X579" s="1333"/>
      <c r="Y579" s="1333"/>
      <c r="Z579" s="1333"/>
      <c r="AA579" s="1333"/>
      <c r="AB579" s="1333"/>
      <c r="AC579" s="1333"/>
      <c r="AD579" s="1333"/>
      <c r="AE579" s="1333"/>
      <c r="AF579" s="1333"/>
      <c r="AG579" s="1333"/>
      <c r="AH579" s="1333"/>
      <c r="AI579" s="1333"/>
      <c r="AJ579" s="1333"/>
    </row>
    <row r="580" spans="1:36" x14ac:dyDescent="0.25">
      <c r="A580" s="1479"/>
      <c r="B580" s="1284"/>
      <c r="C580" s="1284"/>
      <c r="D580" s="1364"/>
      <c r="E580" s="1364"/>
      <c r="F580" s="1364"/>
      <c r="G580" s="1365"/>
      <c r="H580" s="1333"/>
      <c r="I580" s="1333"/>
      <c r="J580" s="1333"/>
      <c r="K580" s="1333"/>
      <c r="L580" s="1333"/>
      <c r="M580" s="1333"/>
      <c r="N580" s="1333"/>
      <c r="O580" s="1333"/>
      <c r="P580" s="1333"/>
      <c r="Q580" s="1333"/>
      <c r="R580" s="1333"/>
      <c r="S580" s="1333"/>
      <c r="T580" s="1333"/>
      <c r="U580" s="1333"/>
      <c r="V580" s="1333"/>
      <c r="W580" s="1333"/>
      <c r="X580" s="1333"/>
      <c r="Y580" s="1333"/>
      <c r="Z580" s="1333"/>
      <c r="AA580" s="1333"/>
      <c r="AB580" s="1333"/>
      <c r="AC580" s="1333"/>
      <c r="AD580" s="1333"/>
      <c r="AE580" s="1333"/>
      <c r="AF580" s="1333"/>
      <c r="AG580" s="1333"/>
      <c r="AH580" s="1333"/>
      <c r="AI580" s="1333"/>
      <c r="AJ580" s="1333"/>
    </row>
    <row r="581" spans="1:36" x14ac:dyDescent="0.25">
      <c r="A581" s="1479"/>
      <c r="B581" s="1284"/>
      <c r="C581" s="1284"/>
      <c r="D581" s="1364"/>
      <c r="E581" s="1364"/>
      <c r="F581" s="1364"/>
      <c r="G581" s="1365"/>
      <c r="H581" s="1333"/>
      <c r="I581" s="1333"/>
      <c r="J581" s="1333"/>
      <c r="K581" s="1333"/>
      <c r="L581" s="1333"/>
      <c r="M581" s="1333"/>
      <c r="N581" s="1333"/>
      <c r="O581" s="1333"/>
      <c r="P581" s="1333"/>
      <c r="Q581" s="1333"/>
      <c r="R581" s="1333"/>
      <c r="S581" s="1333"/>
      <c r="T581" s="1333"/>
      <c r="U581" s="1333"/>
      <c r="V581" s="1333"/>
      <c r="W581" s="1333"/>
      <c r="X581" s="1333"/>
      <c r="Y581" s="1333"/>
      <c r="Z581" s="1333"/>
      <c r="AA581" s="1333"/>
      <c r="AB581" s="1333"/>
      <c r="AC581" s="1333"/>
      <c r="AD581" s="1333"/>
      <c r="AE581" s="1333"/>
      <c r="AF581" s="1333"/>
      <c r="AG581" s="1333"/>
      <c r="AH581" s="1333"/>
      <c r="AI581" s="1333"/>
      <c r="AJ581" s="1333"/>
    </row>
    <row r="582" spans="1:36" x14ac:dyDescent="0.25">
      <c r="A582" s="1479"/>
      <c r="B582" s="1284"/>
      <c r="C582" s="1284"/>
      <c r="D582" s="1364"/>
      <c r="E582" s="1364"/>
      <c r="F582" s="1364"/>
      <c r="G582" s="1365"/>
      <c r="H582" s="1333"/>
      <c r="I582" s="1333"/>
      <c r="J582" s="1333"/>
      <c r="K582" s="1333"/>
      <c r="L582" s="1333"/>
      <c r="M582" s="1333"/>
      <c r="N582" s="1333"/>
      <c r="O582" s="1333"/>
      <c r="P582" s="1333"/>
      <c r="Q582" s="1333"/>
      <c r="R582" s="1333"/>
      <c r="S582" s="1333"/>
      <c r="T582" s="1333"/>
      <c r="U582" s="1333"/>
      <c r="V582" s="1333"/>
      <c r="W582" s="1333"/>
      <c r="X582" s="1333"/>
      <c r="Y582" s="1333"/>
      <c r="Z582" s="1333"/>
      <c r="AA582" s="1333"/>
      <c r="AB582" s="1333"/>
      <c r="AC582" s="1333"/>
      <c r="AD582" s="1333"/>
      <c r="AE582" s="1333"/>
      <c r="AF582" s="1333"/>
      <c r="AG582" s="1333"/>
      <c r="AH582" s="1333"/>
      <c r="AI582" s="1333"/>
      <c r="AJ582" s="1333"/>
    </row>
    <row r="583" spans="1:36" x14ac:dyDescent="0.25">
      <c r="A583" s="1479"/>
      <c r="B583" s="1284"/>
      <c r="C583" s="1284"/>
      <c r="D583" s="1364"/>
      <c r="E583" s="1364"/>
      <c r="F583" s="1364"/>
      <c r="G583" s="1365"/>
      <c r="H583" s="1333"/>
      <c r="I583" s="1333"/>
      <c r="J583" s="1333"/>
      <c r="K583" s="1333"/>
      <c r="L583" s="1333"/>
      <c r="M583" s="1333"/>
      <c r="N583" s="1333"/>
      <c r="O583" s="1333"/>
      <c r="P583" s="1333"/>
      <c r="Q583" s="1333"/>
      <c r="R583" s="1333"/>
      <c r="S583" s="1333"/>
      <c r="T583" s="1333"/>
      <c r="U583" s="1333"/>
      <c r="V583" s="1333"/>
      <c r="W583" s="1333"/>
      <c r="X583" s="1333"/>
      <c r="Y583" s="1333"/>
      <c r="Z583" s="1333"/>
      <c r="AA583" s="1333"/>
      <c r="AB583" s="1333"/>
      <c r="AC583" s="1333"/>
      <c r="AD583" s="1333"/>
      <c r="AE583" s="1333"/>
      <c r="AF583" s="1333"/>
      <c r="AG583" s="1333"/>
      <c r="AH583" s="1333"/>
      <c r="AI583" s="1333"/>
      <c r="AJ583" s="1333"/>
    </row>
    <row r="584" spans="1:36" x14ac:dyDescent="0.25">
      <c r="A584" s="1479"/>
      <c r="B584" s="1284"/>
      <c r="C584" s="1284"/>
      <c r="D584" s="1364"/>
      <c r="E584" s="1364"/>
      <c r="F584" s="1364"/>
      <c r="G584" s="1365"/>
      <c r="H584" s="1333"/>
      <c r="I584" s="1333"/>
      <c r="J584" s="1333"/>
      <c r="K584" s="1333"/>
      <c r="L584" s="1333"/>
      <c r="M584" s="1333"/>
      <c r="N584" s="1333"/>
      <c r="O584" s="1333"/>
      <c r="P584" s="1333"/>
      <c r="Q584" s="1333"/>
      <c r="R584" s="1333"/>
      <c r="S584" s="1333"/>
      <c r="T584" s="1333"/>
      <c r="U584" s="1333"/>
      <c r="V584" s="1333"/>
      <c r="W584" s="1333"/>
      <c r="X584" s="1333"/>
      <c r="Y584" s="1333"/>
      <c r="Z584" s="1333"/>
      <c r="AA584" s="1333"/>
      <c r="AB584" s="1333"/>
      <c r="AC584" s="1333"/>
      <c r="AD584" s="1333"/>
      <c r="AE584" s="1333"/>
      <c r="AF584" s="1333"/>
      <c r="AG584" s="1333"/>
      <c r="AH584" s="1333"/>
      <c r="AI584" s="1333"/>
      <c r="AJ584" s="1333"/>
    </row>
    <row r="585" spans="1:36" x14ac:dyDescent="0.25">
      <c r="A585" s="1479"/>
      <c r="B585" s="1284"/>
      <c r="C585" s="1284"/>
      <c r="D585" s="1364"/>
      <c r="E585" s="1364"/>
      <c r="F585" s="1364"/>
      <c r="G585" s="1365"/>
      <c r="H585" s="1333"/>
      <c r="I585" s="1333"/>
      <c r="J585" s="1333"/>
      <c r="K585" s="1333"/>
      <c r="L585" s="1333"/>
      <c r="M585" s="1333"/>
      <c r="N585" s="1333"/>
      <c r="O585" s="1333"/>
      <c r="P585" s="1333"/>
      <c r="Q585" s="1333"/>
      <c r="R585" s="1333"/>
      <c r="S585" s="1333"/>
      <c r="T585" s="1333"/>
      <c r="U585" s="1333"/>
      <c r="V585" s="1333"/>
      <c r="W585" s="1333"/>
      <c r="X585" s="1333"/>
      <c r="Y585" s="1333"/>
      <c r="Z585" s="1333"/>
      <c r="AA585" s="1333"/>
      <c r="AB585" s="1333"/>
      <c r="AC585" s="1333"/>
      <c r="AD585" s="1333"/>
      <c r="AE585" s="1333"/>
      <c r="AF585" s="1333"/>
      <c r="AG585" s="1333"/>
      <c r="AH585" s="1333"/>
      <c r="AI585" s="1333"/>
      <c r="AJ585" s="1333"/>
    </row>
    <row r="586" spans="1:36" x14ac:dyDescent="0.25">
      <c r="A586" s="1479"/>
      <c r="B586" s="1284"/>
      <c r="C586" s="1284"/>
      <c r="D586" s="1364"/>
      <c r="E586" s="1364"/>
      <c r="F586" s="1364"/>
      <c r="G586" s="1365"/>
      <c r="H586" s="1333"/>
      <c r="I586" s="1333"/>
      <c r="J586" s="1333"/>
      <c r="K586" s="1333"/>
      <c r="L586" s="1333"/>
      <c r="M586" s="1333"/>
      <c r="N586" s="1333"/>
      <c r="O586" s="1333"/>
      <c r="P586" s="1333"/>
      <c r="Q586" s="1333"/>
      <c r="R586" s="1333"/>
      <c r="S586" s="1333"/>
      <c r="T586" s="1333"/>
      <c r="U586" s="1333"/>
      <c r="V586" s="1333"/>
      <c r="W586" s="1333"/>
      <c r="X586" s="1333"/>
      <c r="Y586" s="1333"/>
      <c r="Z586" s="1333"/>
      <c r="AA586" s="1333"/>
      <c r="AB586" s="1333"/>
      <c r="AC586" s="1333"/>
      <c r="AD586" s="1333"/>
      <c r="AE586" s="1333"/>
      <c r="AF586" s="1333"/>
      <c r="AG586" s="1333"/>
      <c r="AH586" s="1333"/>
      <c r="AI586" s="1333"/>
      <c r="AJ586" s="1333"/>
    </row>
    <row r="587" spans="1:36" x14ac:dyDescent="0.25">
      <c r="A587" s="1479"/>
      <c r="B587" s="1284"/>
      <c r="C587" s="1284"/>
      <c r="D587" s="1364"/>
      <c r="E587" s="1364"/>
      <c r="F587" s="1364"/>
      <c r="G587" s="1365"/>
      <c r="H587" s="1333"/>
      <c r="I587" s="1333"/>
      <c r="J587" s="1333"/>
      <c r="K587" s="1333"/>
      <c r="L587" s="1333"/>
      <c r="M587" s="1333"/>
      <c r="N587" s="1333"/>
      <c r="O587" s="1333"/>
      <c r="P587" s="1333"/>
      <c r="Q587" s="1333"/>
      <c r="R587" s="1333"/>
      <c r="S587" s="1333"/>
      <c r="T587" s="1333"/>
      <c r="U587" s="1333"/>
      <c r="V587" s="1333"/>
      <c r="W587" s="1333"/>
      <c r="X587" s="1333"/>
      <c r="Y587" s="1333"/>
      <c r="Z587" s="1333"/>
      <c r="AA587" s="1333"/>
      <c r="AB587" s="1333"/>
      <c r="AC587" s="1333"/>
      <c r="AD587" s="1333"/>
      <c r="AE587" s="1333"/>
      <c r="AF587" s="1333"/>
      <c r="AG587" s="1333"/>
      <c r="AH587" s="1333"/>
      <c r="AI587" s="1333"/>
      <c r="AJ587" s="1333"/>
    </row>
    <row r="588" spans="1:36" x14ac:dyDescent="0.25">
      <c r="A588" s="1479"/>
      <c r="B588" s="1284"/>
      <c r="C588" s="1284"/>
      <c r="D588" s="1364"/>
      <c r="E588" s="1364"/>
      <c r="F588" s="1364"/>
      <c r="G588" s="1365"/>
      <c r="H588" s="1333"/>
      <c r="I588" s="1333"/>
      <c r="J588" s="1333"/>
      <c r="K588" s="1333"/>
      <c r="L588" s="1333"/>
      <c r="M588" s="1333"/>
      <c r="N588" s="1333"/>
      <c r="O588" s="1333"/>
      <c r="P588" s="1333"/>
      <c r="Q588" s="1333"/>
      <c r="R588" s="1333"/>
      <c r="S588" s="1333"/>
      <c r="T588" s="1333"/>
      <c r="U588" s="1333"/>
      <c r="V588" s="1333"/>
      <c r="W588" s="1333"/>
      <c r="X588" s="1333"/>
      <c r="Y588" s="1333"/>
      <c r="Z588" s="1333"/>
      <c r="AA588" s="1333"/>
      <c r="AB588" s="1333"/>
      <c r="AC588" s="1333"/>
      <c r="AD588" s="1333"/>
      <c r="AE588" s="1333"/>
      <c r="AF588" s="1333"/>
      <c r="AG588" s="1333"/>
      <c r="AH588" s="1333"/>
      <c r="AI588" s="1333"/>
      <c r="AJ588" s="1333"/>
    </row>
    <row r="589" spans="1:36" x14ac:dyDescent="0.25">
      <c r="A589" s="1479"/>
      <c r="B589" s="1284"/>
      <c r="C589" s="1284"/>
      <c r="D589" s="1364"/>
      <c r="E589" s="1364"/>
      <c r="F589" s="1364"/>
      <c r="G589" s="1365"/>
      <c r="H589" s="1333"/>
      <c r="I589" s="1333"/>
      <c r="J589" s="1333"/>
      <c r="K589" s="1333"/>
      <c r="L589" s="1333"/>
      <c r="M589" s="1333"/>
      <c r="N589" s="1333"/>
      <c r="O589" s="1333"/>
      <c r="P589" s="1333"/>
      <c r="Q589" s="1333"/>
      <c r="R589" s="1333"/>
      <c r="S589" s="1333"/>
      <c r="T589" s="1333"/>
      <c r="U589" s="1333"/>
      <c r="V589" s="1333"/>
      <c r="W589" s="1333"/>
      <c r="X589" s="1333"/>
      <c r="Y589" s="1333"/>
      <c r="Z589" s="1333"/>
      <c r="AA589" s="1333"/>
      <c r="AB589" s="1333"/>
      <c r="AC589" s="1333"/>
      <c r="AD589" s="1333"/>
      <c r="AE589" s="1333"/>
      <c r="AF589" s="1333"/>
      <c r="AG589" s="1333"/>
      <c r="AH589" s="1333"/>
      <c r="AI589" s="1333"/>
      <c r="AJ589" s="1333"/>
    </row>
    <row r="590" spans="1:36" x14ac:dyDescent="0.25">
      <c r="A590" s="1479"/>
      <c r="B590" s="1284"/>
      <c r="C590" s="1284"/>
      <c r="D590" s="1364"/>
      <c r="E590" s="1364"/>
      <c r="F590" s="1364"/>
      <c r="G590" s="1365"/>
      <c r="H590" s="1333"/>
      <c r="I590" s="1333"/>
      <c r="J590" s="1333"/>
      <c r="K590" s="1333"/>
      <c r="L590" s="1333"/>
      <c r="M590" s="1333"/>
      <c r="N590" s="1333"/>
      <c r="O590" s="1333"/>
      <c r="P590" s="1333"/>
      <c r="Q590" s="1333"/>
      <c r="R590" s="1333"/>
      <c r="S590" s="1333"/>
      <c r="T590" s="1333"/>
      <c r="U590" s="1333"/>
      <c r="V590" s="1333"/>
      <c r="W590" s="1333"/>
      <c r="X590" s="1333"/>
      <c r="Y590" s="1333"/>
      <c r="Z590" s="1333"/>
      <c r="AA590" s="1333"/>
      <c r="AB590" s="1333"/>
      <c r="AC590" s="1333"/>
      <c r="AD590" s="1333"/>
      <c r="AE590" s="1333"/>
      <c r="AF590" s="1333"/>
      <c r="AG590" s="1333"/>
      <c r="AH590" s="1333"/>
      <c r="AI590" s="1333"/>
      <c r="AJ590" s="1333"/>
    </row>
    <row r="591" spans="1:36" x14ac:dyDescent="0.25">
      <c r="A591" s="1479"/>
      <c r="B591" s="1284"/>
      <c r="C591" s="1284"/>
      <c r="D591" s="1364"/>
      <c r="E591" s="1364"/>
      <c r="F591" s="1364"/>
      <c r="G591" s="1365"/>
      <c r="H591" s="1333"/>
      <c r="I591" s="1333"/>
      <c r="J591" s="1333"/>
      <c r="K591" s="1333"/>
      <c r="L591" s="1333"/>
      <c r="M591" s="1333"/>
      <c r="N591" s="1333"/>
      <c r="O591" s="1333"/>
      <c r="P591" s="1333"/>
      <c r="Q591" s="1333"/>
      <c r="R591" s="1333"/>
      <c r="S591" s="1333"/>
      <c r="T591" s="1333"/>
      <c r="U591" s="1333"/>
      <c r="V591" s="1333"/>
      <c r="W591" s="1333"/>
      <c r="X591" s="1333"/>
      <c r="Y591" s="1333"/>
      <c r="Z591" s="1333"/>
      <c r="AA591" s="1333"/>
      <c r="AB591" s="1333"/>
      <c r="AC591" s="1333"/>
      <c r="AD591" s="1333"/>
      <c r="AE591" s="1333"/>
      <c r="AF591" s="1333"/>
      <c r="AG591" s="1333"/>
      <c r="AH591" s="1333"/>
      <c r="AI591" s="1333"/>
      <c r="AJ591" s="1333"/>
    </row>
    <row r="592" spans="1:36" x14ac:dyDescent="0.25">
      <c r="A592" s="1479"/>
      <c r="B592" s="1284"/>
      <c r="C592" s="1284"/>
      <c r="D592" s="1364"/>
      <c r="E592" s="1364"/>
      <c r="F592" s="1364"/>
      <c r="G592" s="1365"/>
      <c r="H592" s="1333"/>
      <c r="I592" s="1333"/>
      <c r="J592" s="1333"/>
      <c r="K592" s="1333"/>
      <c r="L592" s="1333"/>
      <c r="M592" s="1333"/>
      <c r="N592" s="1333"/>
      <c r="O592" s="1333"/>
      <c r="P592" s="1333"/>
      <c r="Q592" s="1333"/>
      <c r="R592" s="1333"/>
      <c r="S592" s="1333"/>
      <c r="T592" s="1333"/>
      <c r="U592" s="1333"/>
      <c r="V592" s="1333"/>
      <c r="W592" s="1333"/>
      <c r="X592" s="1333"/>
      <c r="Y592" s="1333"/>
      <c r="Z592" s="1333"/>
      <c r="AA592" s="1333"/>
      <c r="AB592" s="1333"/>
      <c r="AC592" s="1333"/>
      <c r="AD592" s="1333"/>
      <c r="AE592" s="1333"/>
      <c r="AF592" s="1333"/>
      <c r="AG592" s="1333"/>
      <c r="AH592" s="1333"/>
      <c r="AI592" s="1333"/>
      <c r="AJ592" s="1333"/>
    </row>
    <row r="593" spans="1:36" x14ac:dyDescent="0.25">
      <c r="A593" s="1479"/>
      <c r="B593" s="1284"/>
      <c r="C593" s="1284"/>
      <c r="D593" s="1364"/>
      <c r="E593" s="1364"/>
      <c r="F593" s="1364"/>
      <c r="G593" s="1365"/>
      <c r="H593" s="1333"/>
      <c r="I593" s="1333"/>
      <c r="J593" s="1333"/>
      <c r="K593" s="1333"/>
      <c r="L593" s="1333"/>
      <c r="M593" s="1333"/>
      <c r="N593" s="1333"/>
      <c r="O593" s="1333"/>
      <c r="P593" s="1333"/>
      <c r="Q593" s="1333"/>
      <c r="R593" s="1333"/>
      <c r="S593" s="1333"/>
      <c r="T593" s="1333"/>
      <c r="U593" s="1333"/>
      <c r="V593" s="1333"/>
      <c r="W593" s="1333"/>
      <c r="X593" s="1333"/>
      <c r="Y593" s="1333"/>
      <c r="Z593" s="1333"/>
      <c r="AA593" s="1333"/>
      <c r="AB593" s="1333"/>
      <c r="AC593" s="1333"/>
      <c r="AD593" s="1333"/>
      <c r="AE593" s="1333"/>
      <c r="AF593" s="1333"/>
      <c r="AG593" s="1333"/>
      <c r="AH593" s="1333"/>
      <c r="AI593" s="1333"/>
      <c r="AJ593" s="1333"/>
    </row>
    <row r="594" spans="1:36" x14ac:dyDescent="0.25">
      <c r="A594" s="1479"/>
      <c r="B594" s="1284"/>
      <c r="C594" s="1284"/>
      <c r="D594" s="1364"/>
      <c r="E594" s="1364"/>
      <c r="F594" s="1364"/>
      <c r="G594" s="1365"/>
      <c r="H594" s="1333"/>
      <c r="I594" s="1333"/>
      <c r="J594" s="1333"/>
      <c r="K594" s="1333"/>
      <c r="L594" s="1333"/>
      <c r="M594" s="1333"/>
      <c r="N594" s="1333"/>
      <c r="O594" s="1333"/>
      <c r="P594" s="1333"/>
      <c r="Q594" s="1333"/>
      <c r="R594" s="1333"/>
      <c r="S594" s="1333"/>
      <c r="T594" s="1333"/>
      <c r="U594" s="1333"/>
      <c r="V594" s="1333"/>
      <c r="W594" s="1333"/>
      <c r="X594" s="1333"/>
      <c r="Y594" s="1333"/>
      <c r="Z594" s="1333"/>
      <c r="AA594" s="1333"/>
      <c r="AB594" s="1333"/>
      <c r="AC594" s="1333"/>
      <c r="AD594" s="1333"/>
      <c r="AE594" s="1333"/>
      <c r="AF594" s="1333"/>
      <c r="AG594" s="1333"/>
      <c r="AH594" s="1333"/>
      <c r="AI594" s="1333"/>
      <c r="AJ594" s="1333"/>
    </row>
    <row r="595" spans="1:36" x14ac:dyDescent="0.25">
      <c r="A595" s="1479"/>
      <c r="B595" s="1284"/>
      <c r="C595" s="1284"/>
      <c r="D595" s="1364"/>
      <c r="E595" s="1364"/>
      <c r="F595" s="1364"/>
      <c r="G595" s="1365"/>
      <c r="H595" s="1333"/>
      <c r="I595" s="1333"/>
      <c r="J595" s="1333"/>
      <c r="K595" s="1333"/>
      <c r="L595" s="1333"/>
      <c r="M595" s="1333"/>
      <c r="N595" s="1333"/>
      <c r="O595" s="1333"/>
      <c r="P595" s="1333"/>
      <c r="Q595" s="1333"/>
      <c r="R595" s="1333"/>
      <c r="S595" s="1333"/>
      <c r="T595" s="1333"/>
      <c r="U595" s="1333"/>
      <c r="V595" s="1333"/>
      <c r="W595" s="1333"/>
      <c r="X595" s="1333"/>
      <c r="Y595" s="1333"/>
      <c r="Z595" s="1333"/>
      <c r="AA595" s="1333"/>
      <c r="AB595" s="1333"/>
      <c r="AC595" s="1333"/>
      <c r="AD595" s="1333"/>
      <c r="AE595" s="1333"/>
      <c r="AF595" s="1333"/>
      <c r="AG595" s="1333"/>
      <c r="AH595" s="1333"/>
      <c r="AI595" s="1333"/>
      <c r="AJ595" s="1333"/>
    </row>
    <row r="596" spans="1:36" x14ac:dyDescent="0.25">
      <c r="A596" s="1479"/>
      <c r="B596" s="1284"/>
      <c r="C596" s="1284"/>
      <c r="D596" s="1364"/>
      <c r="E596" s="1364"/>
      <c r="F596" s="1364"/>
      <c r="G596" s="1365"/>
      <c r="H596" s="1333"/>
      <c r="I596" s="1333"/>
      <c r="J596" s="1333"/>
      <c r="K596" s="1333"/>
      <c r="L596" s="1333"/>
      <c r="M596" s="1333"/>
      <c r="N596" s="1333"/>
      <c r="O596" s="1333"/>
      <c r="P596" s="1333"/>
      <c r="Q596" s="1333"/>
      <c r="R596" s="1333"/>
      <c r="S596" s="1333"/>
      <c r="T596" s="1333"/>
      <c r="U596" s="1333"/>
      <c r="V596" s="1333"/>
      <c r="W596" s="1333"/>
      <c r="X596" s="1333"/>
      <c r="Y596" s="1333"/>
      <c r="Z596" s="1333"/>
      <c r="AA596" s="1333"/>
      <c r="AB596" s="1333"/>
      <c r="AC596" s="1333"/>
      <c r="AD596" s="1333"/>
      <c r="AE596" s="1333"/>
      <c r="AF596" s="1333"/>
      <c r="AG596" s="1333"/>
      <c r="AH596" s="1333"/>
      <c r="AI596" s="1333"/>
      <c r="AJ596" s="1333"/>
    </row>
    <row r="597" spans="1:36" x14ac:dyDescent="0.25">
      <c r="A597" s="1479"/>
      <c r="B597" s="1284"/>
      <c r="C597" s="1284"/>
      <c r="D597" s="1364"/>
      <c r="E597" s="1364"/>
      <c r="F597" s="1364"/>
      <c r="G597" s="1365"/>
      <c r="H597" s="1333"/>
      <c r="I597" s="1333"/>
      <c r="J597" s="1333"/>
      <c r="K597" s="1333"/>
      <c r="L597" s="1333"/>
      <c r="M597" s="1333"/>
      <c r="N597" s="1333"/>
      <c r="O597" s="1333"/>
      <c r="P597" s="1333"/>
      <c r="Q597" s="1333"/>
      <c r="R597" s="1333"/>
      <c r="S597" s="1333"/>
      <c r="T597" s="1333"/>
      <c r="U597" s="1333"/>
      <c r="V597" s="1333"/>
      <c r="W597" s="1333"/>
      <c r="X597" s="1333"/>
      <c r="Y597" s="1333"/>
      <c r="Z597" s="1333"/>
      <c r="AA597" s="1333"/>
      <c r="AB597" s="1333"/>
      <c r="AC597" s="1333"/>
      <c r="AD597" s="1333"/>
      <c r="AE597" s="1333"/>
      <c r="AF597" s="1333"/>
      <c r="AG597" s="1333"/>
      <c r="AH597" s="1333"/>
      <c r="AI597" s="1333"/>
      <c r="AJ597" s="1333"/>
    </row>
    <row r="598" spans="1:36" x14ac:dyDescent="0.25">
      <c r="A598" s="1479"/>
      <c r="B598" s="1284"/>
      <c r="C598" s="1284"/>
      <c r="D598" s="1364"/>
      <c r="E598" s="1364"/>
      <c r="F598" s="1364"/>
      <c r="G598" s="1365"/>
      <c r="H598" s="1333"/>
      <c r="I598" s="1333"/>
      <c r="J598" s="1333"/>
      <c r="K598" s="1333"/>
      <c r="L598" s="1333"/>
      <c r="M598" s="1333"/>
      <c r="N598" s="1333"/>
      <c r="O598" s="1333"/>
      <c r="P598" s="1333"/>
      <c r="Q598" s="1333"/>
      <c r="R598" s="1333"/>
      <c r="S598" s="1333"/>
      <c r="T598" s="1333"/>
      <c r="U598" s="1333"/>
      <c r="V598" s="1333"/>
      <c r="W598" s="1333"/>
      <c r="X598" s="1333"/>
      <c r="Y598" s="1333"/>
      <c r="Z598" s="1333"/>
      <c r="AA598" s="1333"/>
      <c r="AB598" s="1333"/>
      <c r="AC598" s="1333"/>
      <c r="AD598" s="1333"/>
      <c r="AE598" s="1333"/>
      <c r="AF598" s="1333"/>
      <c r="AG598" s="1333"/>
      <c r="AH598" s="1333"/>
      <c r="AI598" s="1333"/>
      <c r="AJ598" s="1333"/>
    </row>
    <row r="599" spans="1:36" x14ac:dyDescent="0.25">
      <c r="A599" s="1479"/>
      <c r="B599" s="1284"/>
      <c r="C599" s="1284"/>
      <c r="D599" s="1364"/>
      <c r="E599" s="1364"/>
      <c r="F599" s="1364"/>
      <c r="G599" s="1365"/>
      <c r="H599" s="1333"/>
      <c r="I599" s="1333"/>
      <c r="J599" s="1333"/>
      <c r="K599" s="1333"/>
      <c r="L599" s="1333"/>
      <c r="M599" s="1333"/>
      <c r="N599" s="1333"/>
      <c r="O599" s="1333"/>
      <c r="P599" s="1333"/>
      <c r="Q599" s="1333"/>
      <c r="R599" s="1333"/>
      <c r="S599" s="1333"/>
      <c r="T599" s="1333"/>
      <c r="U599" s="1333"/>
      <c r="V599" s="1333"/>
      <c r="W599" s="1333"/>
      <c r="X599" s="1333"/>
      <c r="Y599" s="1333"/>
      <c r="Z599" s="1333"/>
      <c r="AA599" s="1333"/>
      <c r="AB599" s="1333"/>
      <c r="AC599" s="1333"/>
      <c r="AD599" s="1333"/>
      <c r="AE599" s="1333"/>
      <c r="AF599" s="1333"/>
      <c r="AG599" s="1333"/>
      <c r="AH599" s="1333"/>
      <c r="AI599" s="1333"/>
      <c r="AJ599" s="1333"/>
    </row>
    <row r="600" spans="1:36" x14ac:dyDescent="0.25">
      <c r="A600" s="1479"/>
      <c r="B600" s="1284"/>
      <c r="C600" s="1284"/>
      <c r="D600" s="1364"/>
      <c r="E600" s="1364"/>
      <c r="F600" s="1364"/>
      <c r="G600" s="1365"/>
      <c r="H600" s="1333"/>
      <c r="I600" s="1333"/>
      <c r="J600" s="1333"/>
      <c r="K600" s="1333"/>
      <c r="L600" s="1333"/>
      <c r="M600" s="1333"/>
      <c r="N600" s="1333"/>
      <c r="O600" s="1333"/>
      <c r="P600" s="1333"/>
      <c r="Q600" s="1333"/>
      <c r="R600" s="1333"/>
      <c r="S600" s="1333"/>
      <c r="T600" s="1333"/>
      <c r="U600" s="1333"/>
      <c r="V600" s="1333"/>
      <c r="W600" s="1333"/>
      <c r="X600" s="1333"/>
      <c r="Y600" s="1333"/>
      <c r="Z600" s="1333"/>
      <c r="AA600" s="1333"/>
      <c r="AB600" s="1333"/>
      <c r="AC600" s="1333"/>
      <c r="AD600" s="1333"/>
      <c r="AE600" s="1333"/>
      <c r="AF600" s="1333"/>
      <c r="AG600" s="1333"/>
      <c r="AH600" s="1333"/>
      <c r="AI600" s="1333"/>
      <c r="AJ600" s="1333"/>
    </row>
    <row r="601" spans="1:36" x14ac:dyDescent="0.25">
      <c r="A601" s="1479"/>
      <c r="B601" s="1284"/>
      <c r="C601" s="1284"/>
      <c r="D601" s="1364"/>
      <c r="E601" s="1364"/>
      <c r="F601" s="1364"/>
      <c r="G601" s="1365"/>
      <c r="H601" s="1333"/>
      <c r="I601" s="1333"/>
      <c r="J601" s="1333"/>
      <c r="K601" s="1333"/>
      <c r="L601" s="1333"/>
      <c r="M601" s="1333"/>
      <c r="N601" s="1333"/>
      <c r="O601" s="1333"/>
      <c r="P601" s="1333"/>
      <c r="Q601" s="1333"/>
      <c r="R601" s="1333"/>
      <c r="S601" s="1333"/>
      <c r="T601" s="1333"/>
      <c r="U601" s="1333"/>
      <c r="V601" s="1333"/>
      <c r="W601" s="1333"/>
      <c r="X601" s="1333"/>
      <c r="Y601" s="1333"/>
      <c r="Z601" s="1333"/>
      <c r="AA601" s="1333"/>
      <c r="AB601" s="1333"/>
      <c r="AC601" s="1333"/>
      <c r="AD601" s="1333"/>
      <c r="AE601" s="1333"/>
      <c r="AF601" s="1333"/>
      <c r="AG601" s="1333"/>
      <c r="AH601" s="1333"/>
      <c r="AI601" s="1333"/>
      <c r="AJ601" s="1333"/>
    </row>
    <row r="602" spans="1:36" x14ac:dyDescent="0.25">
      <c r="A602" s="1479"/>
      <c r="B602" s="1284"/>
      <c r="C602" s="1284"/>
      <c r="D602" s="1364"/>
      <c r="E602" s="1364"/>
      <c r="F602" s="1364"/>
      <c r="G602" s="1365"/>
      <c r="H602" s="1333"/>
      <c r="I602" s="1333"/>
      <c r="J602" s="1333"/>
      <c r="K602" s="1333"/>
      <c r="L602" s="1333"/>
      <c r="M602" s="1333"/>
      <c r="N602" s="1333"/>
      <c r="O602" s="1333"/>
      <c r="P602" s="1333"/>
      <c r="Q602" s="1333"/>
      <c r="R602" s="1333"/>
      <c r="S602" s="1333"/>
      <c r="T602" s="1333"/>
      <c r="U602" s="1333"/>
      <c r="V602" s="1333"/>
      <c r="W602" s="1333"/>
      <c r="X602" s="1333"/>
      <c r="Y602" s="1333"/>
      <c r="Z602" s="1333"/>
      <c r="AA602" s="1333"/>
      <c r="AB602" s="1333"/>
      <c r="AC602" s="1333"/>
      <c r="AD602" s="1333"/>
      <c r="AE602" s="1333"/>
      <c r="AF602" s="1333"/>
      <c r="AG602" s="1333"/>
      <c r="AH602" s="1333"/>
      <c r="AI602" s="1333"/>
      <c r="AJ602" s="1333"/>
    </row>
    <row r="603" spans="1:36" x14ac:dyDescent="0.25">
      <c r="A603" s="1479"/>
      <c r="B603" s="1284"/>
      <c r="C603" s="1284"/>
      <c r="D603" s="1364"/>
      <c r="E603" s="1364"/>
      <c r="F603" s="1364"/>
      <c r="G603" s="1365"/>
      <c r="H603" s="1333"/>
      <c r="I603" s="1333"/>
      <c r="J603" s="1333"/>
      <c r="K603" s="1333"/>
      <c r="L603" s="1333"/>
      <c r="M603" s="1333"/>
      <c r="N603" s="1333"/>
      <c r="O603" s="1333"/>
      <c r="P603" s="1333"/>
      <c r="Q603" s="1333"/>
      <c r="R603" s="1333"/>
      <c r="S603" s="1333"/>
      <c r="T603" s="1333"/>
      <c r="U603" s="1333"/>
      <c r="V603" s="1333"/>
      <c r="W603" s="1333"/>
      <c r="X603" s="1333"/>
      <c r="Y603" s="1333"/>
      <c r="Z603" s="1333"/>
      <c r="AA603" s="1333"/>
      <c r="AB603" s="1333"/>
      <c r="AC603" s="1333"/>
      <c r="AD603" s="1333"/>
      <c r="AE603" s="1333"/>
      <c r="AF603" s="1333"/>
      <c r="AG603" s="1333"/>
      <c r="AH603" s="1333"/>
      <c r="AI603" s="1333"/>
      <c r="AJ603" s="1333"/>
    </row>
    <row r="604" spans="1:36" x14ac:dyDescent="0.25">
      <c r="A604" s="1479"/>
      <c r="B604" s="1284"/>
      <c r="C604" s="1284"/>
      <c r="D604" s="1364"/>
      <c r="E604" s="1364"/>
      <c r="F604" s="1364"/>
      <c r="G604" s="1365"/>
      <c r="H604" s="1333"/>
      <c r="I604" s="1333"/>
      <c r="J604" s="1333"/>
      <c r="K604" s="1333"/>
      <c r="L604" s="1333"/>
      <c r="M604" s="1333"/>
      <c r="N604" s="1333"/>
      <c r="O604" s="1333"/>
      <c r="P604" s="1333"/>
      <c r="Q604" s="1333"/>
      <c r="R604" s="1333"/>
      <c r="S604" s="1333"/>
      <c r="T604" s="1333"/>
      <c r="U604" s="1333"/>
      <c r="V604" s="1333"/>
      <c r="W604" s="1333"/>
      <c r="X604" s="1333"/>
      <c r="Y604" s="1333"/>
      <c r="Z604" s="1333"/>
      <c r="AA604" s="1333"/>
      <c r="AB604" s="1333"/>
      <c r="AC604" s="1333"/>
      <c r="AD604" s="1333"/>
      <c r="AE604" s="1333"/>
      <c r="AF604" s="1333"/>
      <c r="AG604" s="1333"/>
      <c r="AH604" s="1333"/>
      <c r="AI604" s="1333"/>
      <c r="AJ604" s="1333"/>
    </row>
    <row r="605" spans="1:36" x14ac:dyDescent="0.25">
      <c r="A605" s="1479"/>
      <c r="B605" s="1284"/>
      <c r="C605" s="1284"/>
      <c r="D605" s="1364"/>
      <c r="E605" s="1364"/>
      <c r="F605" s="1364"/>
      <c r="G605" s="1365"/>
      <c r="H605" s="1333"/>
      <c r="I605" s="1333"/>
      <c r="J605" s="1333"/>
      <c r="K605" s="1333"/>
      <c r="L605" s="1333"/>
      <c r="M605" s="1333"/>
      <c r="N605" s="1333"/>
      <c r="O605" s="1333"/>
      <c r="P605" s="1333"/>
      <c r="Q605" s="1333"/>
      <c r="R605" s="1333"/>
      <c r="S605" s="1333"/>
      <c r="T605" s="1333"/>
      <c r="U605" s="1333"/>
      <c r="V605" s="1333"/>
      <c r="W605" s="1333"/>
      <c r="X605" s="1333"/>
      <c r="Y605" s="1333"/>
      <c r="Z605" s="1333"/>
      <c r="AA605" s="1333"/>
      <c r="AB605" s="1333"/>
      <c r="AC605" s="1333"/>
      <c r="AD605" s="1333"/>
      <c r="AE605" s="1333"/>
      <c r="AF605" s="1333"/>
      <c r="AG605" s="1333"/>
      <c r="AH605" s="1333"/>
      <c r="AI605" s="1333"/>
      <c r="AJ605" s="1333"/>
    </row>
    <row r="606" spans="1:36" x14ac:dyDescent="0.25">
      <c r="A606" s="1479"/>
      <c r="B606" s="1284"/>
      <c r="C606" s="1284"/>
      <c r="D606" s="1364"/>
      <c r="E606" s="1364"/>
      <c r="F606" s="1364"/>
      <c r="G606" s="1365"/>
      <c r="H606" s="1333"/>
      <c r="I606" s="1333"/>
      <c r="J606" s="1333"/>
      <c r="K606" s="1333"/>
      <c r="L606" s="1333"/>
      <c r="M606" s="1333"/>
      <c r="N606" s="1333"/>
      <c r="O606" s="1333"/>
      <c r="P606" s="1333"/>
      <c r="Q606" s="1333"/>
      <c r="R606" s="1333"/>
      <c r="S606" s="1333"/>
      <c r="T606" s="1333"/>
      <c r="U606" s="1333"/>
      <c r="V606" s="1333"/>
      <c r="W606" s="1333"/>
      <c r="X606" s="1333"/>
      <c r="Y606" s="1333"/>
      <c r="Z606" s="1333"/>
      <c r="AA606" s="1333"/>
      <c r="AB606" s="1333"/>
      <c r="AC606" s="1333"/>
      <c r="AD606" s="1333"/>
      <c r="AE606" s="1333"/>
      <c r="AF606" s="1333"/>
      <c r="AG606" s="1333"/>
      <c r="AH606" s="1333"/>
      <c r="AI606" s="1333"/>
      <c r="AJ606" s="1333"/>
    </row>
    <row r="607" spans="1:36" x14ac:dyDescent="0.25">
      <c r="A607" s="1479"/>
      <c r="B607" s="1284"/>
      <c r="C607" s="1284"/>
      <c r="D607" s="1364"/>
      <c r="E607" s="1364"/>
      <c r="F607" s="1364"/>
      <c r="G607" s="1365"/>
      <c r="H607" s="1333"/>
      <c r="I607" s="1333"/>
      <c r="J607" s="1333"/>
      <c r="K607" s="1333"/>
      <c r="L607" s="1333"/>
      <c r="M607" s="1333"/>
      <c r="N607" s="1333"/>
      <c r="O607" s="1333"/>
      <c r="P607" s="1333"/>
      <c r="Q607" s="1333"/>
      <c r="R607" s="1333"/>
      <c r="S607" s="1333"/>
      <c r="T607" s="1333"/>
      <c r="U607" s="1333"/>
      <c r="V607" s="1333"/>
      <c r="W607" s="1333"/>
      <c r="X607" s="1333"/>
      <c r="Y607" s="1333"/>
      <c r="Z607" s="1333"/>
      <c r="AA607" s="1333"/>
      <c r="AB607" s="1333"/>
      <c r="AC607" s="1333"/>
      <c r="AD607" s="1333"/>
      <c r="AE607" s="1333"/>
      <c r="AF607" s="1333"/>
      <c r="AG607" s="1333"/>
      <c r="AH607" s="1333"/>
      <c r="AI607" s="1333"/>
      <c r="AJ607" s="1333"/>
    </row>
    <row r="608" spans="1:36" x14ac:dyDescent="0.25">
      <c r="A608" s="1479"/>
      <c r="B608" s="1284"/>
      <c r="C608" s="1284"/>
      <c r="D608" s="1364"/>
      <c r="E608" s="1364"/>
      <c r="F608" s="1364"/>
      <c r="G608" s="1365"/>
      <c r="H608" s="1333"/>
      <c r="I608" s="1333"/>
      <c r="J608" s="1333"/>
      <c r="K608" s="1333"/>
      <c r="L608" s="1333"/>
      <c r="M608" s="1333"/>
      <c r="N608" s="1333"/>
      <c r="O608" s="1333"/>
      <c r="P608" s="1333"/>
      <c r="Q608" s="1333"/>
      <c r="R608" s="1333"/>
      <c r="S608" s="1333"/>
      <c r="T608" s="1333"/>
      <c r="U608" s="1333"/>
      <c r="V608" s="1333"/>
      <c r="W608" s="1333"/>
      <c r="X608" s="1333"/>
      <c r="Y608" s="1333"/>
      <c r="Z608" s="1333"/>
      <c r="AA608" s="1333"/>
      <c r="AB608" s="1333"/>
      <c r="AC608" s="1333"/>
      <c r="AD608" s="1333"/>
      <c r="AE608" s="1333"/>
      <c r="AF608" s="1333"/>
      <c r="AG608" s="1333"/>
      <c r="AH608" s="1333"/>
      <c r="AI608" s="1333"/>
      <c r="AJ608" s="1333"/>
    </row>
    <row r="609" spans="1:36" x14ac:dyDescent="0.25">
      <c r="A609" s="1479"/>
      <c r="B609" s="1284"/>
      <c r="C609" s="1284"/>
      <c r="D609" s="1364"/>
      <c r="E609" s="1364"/>
      <c r="F609" s="1364"/>
      <c r="G609" s="1365"/>
      <c r="H609" s="1333"/>
      <c r="I609" s="1333"/>
      <c r="J609" s="1333"/>
      <c r="K609" s="1333"/>
      <c r="L609" s="1333"/>
      <c r="M609" s="1333"/>
      <c r="N609" s="1333"/>
      <c r="O609" s="1333"/>
      <c r="P609" s="1333"/>
      <c r="Q609" s="1333"/>
      <c r="R609" s="1333"/>
      <c r="S609" s="1333"/>
      <c r="T609" s="1333"/>
      <c r="U609" s="1333"/>
      <c r="V609" s="1333"/>
      <c r="W609" s="1333"/>
      <c r="X609" s="1333"/>
      <c r="Y609" s="1333"/>
      <c r="Z609" s="1333"/>
      <c r="AA609" s="1333"/>
      <c r="AB609" s="1333"/>
      <c r="AC609" s="1333"/>
      <c r="AD609" s="1333"/>
      <c r="AE609" s="1333"/>
      <c r="AF609" s="1333"/>
      <c r="AG609" s="1333"/>
      <c r="AH609" s="1333"/>
      <c r="AI609" s="1333"/>
      <c r="AJ609" s="1333"/>
    </row>
    <row r="610" spans="1:36" x14ac:dyDescent="0.25">
      <c r="A610" s="1479"/>
      <c r="B610" s="1284"/>
      <c r="C610" s="1284"/>
      <c r="D610" s="1364"/>
      <c r="E610" s="1364"/>
      <c r="F610" s="1364"/>
      <c r="G610" s="1365"/>
      <c r="H610" s="1333"/>
      <c r="I610" s="1333"/>
      <c r="J610" s="1333"/>
      <c r="K610" s="1333"/>
      <c r="L610" s="1333"/>
      <c r="M610" s="1333"/>
      <c r="N610" s="1333"/>
      <c r="O610" s="1333"/>
      <c r="P610" s="1333"/>
      <c r="Q610" s="1333"/>
      <c r="R610" s="1333"/>
      <c r="S610" s="1333"/>
      <c r="T610" s="1333"/>
      <c r="U610" s="1333"/>
      <c r="V610" s="1333"/>
      <c r="W610" s="1333"/>
      <c r="X610" s="1333"/>
      <c r="Y610" s="1333"/>
      <c r="Z610" s="1333"/>
      <c r="AA610" s="1333"/>
      <c r="AB610" s="1333"/>
      <c r="AC610" s="1333"/>
      <c r="AD610" s="1333"/>
      <c r="AE610" s="1333"/>
      <c r="AF610" s="1333"/>
      <c r="AG610" s="1333"/>
      <c r="AH610" s="1333"/>
      <c r="AI610" s="1333"/>
      <c r="AJ610" s="1333"/>
    </row>
    <row r="611" spans="1:36" x14ac:dyDescent="0.25">
      <c r="A611" s="1479"/>
      <c r="B611" s="1284"/>
      <c r="C611" s="1284"/>
      <c r="D611" s="1364"/>
      <c r="E611" s="1364"/>
      <c r="F611" s="1364"/>
      <c r="G611" s="1365"/>
      <c r="H611" s="1333"/>
      <c r="I611" s="1333"/>
      <c r="J611" s="1333"/>
      <c r="K611" s="1333"/>
      <c r="L611" s="1333"/>
      <c r="M611" s="1333"/>
      <c r="N611" s="1333"/>
      <c r="O611" s="1333"/>
      <c r="P611" s="1333"/>
      <c r="Q611" s="1333"/>
      <c r="R611" s="1333"/>
      <c r="S611" s="1333"/>
      <c r="T611" s="1333"/>
      <c r="U611" s="1333"/>
      <c r="V611" s="1333"/>
      <c r="W611" s="1333"/>
      <c r="X611" s="1333"/>
      <c r="Y611" s="1333"/>
      <c r="Z611" s="1333"/>
      <c r="AA611" s="1333"/>
      <c r="AB611" s="1333"/>
      <c r="AC611" s="1333"/>
      <c r="AD611" s="1333"/>
      <c r="AE611" s="1333"/>
      <c r="AF611" s="1333"/>
      <c r="AG611" s="1333"/>
      <c r="AH611" s="1333"/>
      <c r="AI611" s="1333"/>
      <c r="AJ611" s="1333"/>
    </row>
    <row r="612" spans="1:36" x14ac:dyDescent="0.25">
      <c r="A612" s="1479"/>
      <c r="B612" s="1284"/>
      <c r="C612" s="1284"/>
      <c r="D612" s="1364"/>
      <c r="E612" s="1364"/>
      <c r="F612" s="1364"/>
      <c r="G612" s="1365"/>
      <c r="H612" s="1333"/>
      <c r="I612" s="1333"/>
      <c r="J612" s="1333"/>
      <c r="K612" s="1333"/>
      <c r="L612" s="1333"/>
      <c r="M612" s="1333"/>
      <c r="N612" s="1333"/>
      <c r="O612" s="1333"/>
      <c r="P612" s="1333"/>
      <c r="Q612" s="1333"/>
      <c r="R612" s="1333"/>
      <c r="S612" s="1333"/>
      <c r="T612" s="1333"/>
      <c r="U612" s="1333"/>
      <c r="V612" s="1333"/>
      <c r="W612" s="1333"/>
      <c r="X612" s="1333"/>
      <c r="Y612" s="1333"/>
      <c r="Z612" s="1333"/>
      <c r="AA612" s="1333"/>
      <c r="AB612" s="1333"/>
      <c r="AC612" s="1333"/>
      <c r="AD612" s="1333"/>
      <c r="AE612" s="1333"/>
      <c r="AF612" s="1333"/>
      <c r="AG612" s="1333"/>
      <c r="AH612" s="1333"/>
      <c r="AI612" s="1333"/>
      <c r="AJ612" s="1333"/>
    </row>
    <row r="613" spans="1:36" x14ac:dyDescent="0.25">
      <c r="A613" s="1479"/>
      <c r="B613" s="1284"/>
      <c r="C613" s="1284"/>
      <c r="D613" s="1364"/>
      <c r="E613" s="1364"/>
      <c r="F613" s="1364"/>
      <c r="G613" s="1365"/>
      <c r="H613" s="1333"/>
      <c r="I613" s="1333"/>
      <c r="J613" s="1333"/>
      <c r="K613" s="1333"/>
      <c r="L613" s="1333"/>
      <c r="M613" s="1333"/>
      <c r="N613" s="1333"/>
      <c r="O613" s="1333"/>
      <c r="P613" s="1333"/>
      <c r="Q613" s="1333"/>
      <c r="R613" s="1333"/>
      <c r="S613" s="1333"/>
      <c r="T613" s="1333"/>
      <c r="U613" s="1333"/>
      <c r="V613" s="1333"/>
      <c r="W613" s="1333"/>
      <c r="X613" s="1333"/>
      <c r="Y613" s="1333"/>
      <c r="Z613" s="1333"/>
      <c r="AA613" s="1333"/>
      <c r="AB613" s="1333"/>
      <c r="AC613" s="1333"/>
      <c r="AD613" s="1333"/>
      <c r="AE613" s="1333"/>
      <c r="AF613" s="1333"/>
      <c r="AG613" s="1333"/>
      <c r="AH613" s="1333"/>
      <c r="AI613" s="1333"/>
      <c r="AJ613" s="1333"/>
    </row>
    <row r="614" spans="1:36" x14ac:dyDescent="0.25">
      <c r="A614" s="1479"/>
      <c r="B614" s="1284"/>
      <c r="C614" s="1284"/>
      <c r="D614" s="1364"/>
      <c r="E614" s="1364"/>
      <c r="F614" s="1364"/>
      <c r="G614" s="1365"/>
      <c r="H614" s="1333"/>
      <c r="I614" s="1333"/>
      <c r="J614" s="1333"/>
      <c r="K614" s="1333"/>
      <c r="L614" s="1333"/>
      <c r="M614" s="1333"/>
      <c r="N614" s="1333"/>
      <c r="O614" s="1333"/>
      <c r="P614" s="1333"/>
      <c r="Q614" s="1333"/>
      <c r="R614" s="1333"/>
      <c r="S614" s="1333"/>
      <c r="T614" s="1333"/>
      <c r="U614" s="1333"/>
      <c r="V614" s="1333"/>
      <c r="W614" s="1333"/>
      <c r="X614" s="1333"/>
      <c r="Y614" s="1333"/>
      <c r="Z614" s="1333"/>
      <c r="AA614" s="1333"/>
      <c r="AB614" s="1333"/>
      <c r="AC614" s="1333"/>
      <c r="AD614" s="1333"/>
      <c r="AE614" s="1333"/>
      <c r="AF614" s="1333"/>
      <c r="AG614" s="1333"/>
      <c r="AH614" s="1333"/>
      <c r="AI614" s="1333"/>
      <c r="AJ614" s="1333"/>
    </row>
    <row r="615" spans="1:36" x14ac:dyDescent="0.25">
      <c r="A615" s="1479"/>
      <c r="B615" s="1284"/>
      <c r="C615" s="1284"/>
      <c r="D615" s="1364"/>
      <c r="E615" s="1364"/>
      <c r="F615" s="1364"/>
      <c r="G615" s="1365"/>
      <c r="H615" s="1333"/>
      <c r="I615" s="1333"/>
      <c r="J615" s="1333"/>
      <c r="K615" s="1333"/>
      <c r="L615" s="1333"/>
      <c r="M615" s="1333"/>
      <c r="N615" s="1333"/>
      <c r="O615" s="1333"/>
      <c r="P615" s="1333"/>
      <c r="Q615" s="1333"/>
      <c r="R615" s="1333"/>
      <c r="S615" s="1333"/>
      <c r="T615" s="1333"/>
      <c r="U615" s="1333"/>
      <c r="V615" s="1333"/>
      <c r="W615" s="1333"/>
      <c r="X615" s="1333"/>
      <c r="Y615" s="1333"/>
      <c r="Z615" s="1333"/>
      <c r="AA615" s="1333"/>
      <c r="AB615" s="1333"/>
      <c r="AC615" s="1333"/>
      <c r="AD615" s="1333"/>
      <c r="AE615" s="1333"/>
      <c r="AF615" s="1333"/>
      <c r="AG615" s="1333"/>
      <c r="AH615" s="1333"/>
      <c r="AI615" s="1333"/>
      <c r="AJ615" s="1333"/>
    </row>
    <row r="616" spans="1:36" x14ac:dyDescent="0.25">
      <c r="A616" s="1479"/>
      <c r="B616" s="1284"/>
      <c r="C616" s="1284"/>
      <c r="D616" s="1364"/>
      <c r="E616" s="1364"/>
      <c r="F616" s="1364"/>
      <c r="G616" s="1365"/>
      <c r="H616" s="1333"/>
      <c r="I616" s="1333"/>
      <c r="J616" s="1333"/>
      <c r="K616" s="1333"/>
      <c r="L616" s="1333"/>
      <c r="M616" s="1333"/>
      <c r="N616" s="1333"/>
      <c r="O616" s="1333"/>
      <c r="P616" s="1333"/>
      <c r="Q616" s="1333"/>
      <c r="R616" s="1333"/>
      <c r="S616" s="1333"/>
      <c r="T616" s="1333"/>
      <c r="U616" s="1333"/>
      <c r="V616" s="1333"/>
      <c r="W616" s="1333"/>
      <c r="X616" s="1333"/>
      <c r="Y616" s="1333"/>
      <c r="Z616" s="1333"/>
      <c r="AA616" s="1333"/>
      <c r="AB616" s="1333"/>
      <c r="AC616" s="1333"/>
      <c r="AD616" s="1333"/>
      <c r="AE616" s="1333"/>
      <c r="AF616" s="1333"/>
      <c r="AG616" s="1333"/>
      <c r="AH616" s="1333"/>
      <c r="AI616" s="1333"/>
      <c r="AJ616" s="1333"/>
    </row>
    <row r="617" spans="1:36" x14ac:dyDescent="0.25">
      <c r="A617" s="1479"/>
      <c r="B617" s="1284"/>
      <c r="C617" s="1284"/>
      <c r="D617" s="1364"/>
      <c r="E617" s="1364"/>
      <c r="F617" s="1364"/>
      <c r="G617" s="1365"/>
      <c r="H617" s="1333"/>
      <c r="I617" s="1333"/>
      <c r="J617" s="1333"/>
      <c r="K617" s="1333"/>
      <c r="L617" s="1333"/>
      <c r="M617" s="1333"/>
      <c r="N617" s="1333"/>
      <c r="O617" s="1333"/>
      <c r="P617" s="1333"/>
      <c r="Q617" s="1333"/>
      <c r="R617" s="1333"/>
      <c r="S617" s="1333"/>
      <c r="T617" s="1333"/>
      <c r="U617" s="1333"/>
      <c r="V617" s="1333"/>
      <c r="W617" s="1333"/>
      <c r="X617" s="1333"/>
      <c r="Y617" s="1333"/>
      <c r="Z617" s="1333"/>
      <c r="AA617" s="1333"/>
      <c r="AB617" s="1333"/>
      <c r="AC617" s="1333"/>
      <c r="AD617" s="1333"/>
      <c r="AE617" s="1333"/>
      <c r="AF617" s="1333"/>
      <c r="AG617" s="1333"/>
      <c r="AH617" s="1333"/>
      <c r="AI617" s="1333"/>
      <c r="AJ617" s="1333"/>
    </row>
    <row r="618" spans="1:36" x14ac:dyDescent="0.25">
      <c r="A618" s="1479"/>
      <c r="B618" s="1284"/>
      <c r="C618" s="1284"/>
      <c r="D618" s="1364"/>
      <c r="E618" s="1364"/>
      <c r="F618" s="1364"/>
      <c r="G618" s="1365"/>
      <c r="H618" s="1333"/>
      <c r="I618" s="1333"/>
      <c r="J618" s="1333"/>
      <c r="K618" s="1333"/>
      <c r="L618" s="1333"/>
      <c r="M618" s="1333"/>
      <c r="N618" s="1333"/>
      <c r="O618" s="1333"/>
      <c r="P618" s="1333"/>
      <c r="Q618" s="1333"/>
      <c r="R618" s="1333"/>
      <c r="S618" s="1333"/>
      <c r="T618" s="1333"/>
      <c r="U618" s="1333"/>
      <c r="V618" s="1333"/>
      <c r="W618" s="1333"/>
      <c r="X618" s="1333"/>
      <c r="Y618" s="1333"/>
      <c r="Z618" s="1333"/>
      <c r="AA618" s="1333"/>
      <c r="AB618" s="1333"/>
      <c r="AC618" s="1333"/>
      <c r="AD618" s="1333"/>
      <c r="AE618" s="1333"/>
      <c r="AF618" s="1333"/>
      <c r="AG618" s="1333"/>
      <c r="AH618" s="1333"/>
      <c r="AI618" s="1333"/>
      <c r="AJ618" s="1333"/>
    </row>
    <row r="619" spans="1:36" x14ac:dyDescent="0.25">
      <c r="A619" s="1479"/>
      <c r="B619" s="1284"/>
      <c r="C619" s="1284"/>
      <c r="D619" s="1364"/>
      <c r="E619" s="1364"/>
      <c r="F619" s="1364"/>
      <c r="G619" s="1365"/>
      <c r="H619" s="1333"/>
      <c r="I619" s="1333"/>
      <c r="J619" s="1333"/>
      <c r="K619" s="1333"/>
      <c r="L619" s="1333"/>
      <c r="M619" s="1333"/>
      <c r="N619" s="1333"/>
      <c r="O619" s="1333"/>
      <c r="P619" s="1333"/>
      <c r="Q619" s="1333"/>
      <c r="R619" s="1333"/>
      <c r="S619" s="1333"/>
      <c r="T619" s="1333"/>
      <c r="U619" s="1333"/>
      <c r="V619" s="1333"/>
      <c r="W619" s="1333"/>
      <c r="X619" s="1333"/>
      <c r="Y619" s="1333"/>
      <c r="Z619" s="1333"/>
      <c r="AA619" s="1333"/>
      <c r="AB619" s="1333"/>
      <c r="AC619" s="1333"/>
      <c r="AD619" s="1333"/>
      <c r="AE619" s="1333"/>
      <c r="AF619" s="1333"/>
      <c r="AG619" s="1333"/>
      <c r="AH619" s="1333"/>
      <c r="AI619" s="1333"/>
      <c r="AJ619" s="1333"/>
    </row>
    <row r="620" spans="1:36" x14ac:dyDescent="0.25">
      <c r="A620" s="1479"/>
      <c r="B620" s="1284"/>
      <c r="C620" s="1284"/>
      <c r="D620" s="1364"/>
      <c r="E620" s="1364"/>
      <c r="F620" s="1364"/>
      <c r="G620" s="1365"/>
      <c r="H620" s="1333"/>
      <c r="I620" s="1333"/>
      <c r="J620" s="1333"/>
      <c r="K620" s="1333"/>
      <c r="L620" s="1333"/>
      <c r="M620" s="1333"/>
      <c r="N620" s="1333"/>
      <c r="O620" s="1333"/>
      <c r="P620" s="1333"/>
      <c r="Q620" s="1333"/>
      <c r="R620" s="1333"/>
      <c r="S620" s="1333"/>
      <c r="T620" s="1333"/>
      <c r="U620" s="1333"/>
      <c r="V620" s="1333"/>
      <c r="W620" s="1333"/>
      <c r="X620" s="1333"/>
      <c r="Y620" s="1333"/>
      <c r="Z620" s="1333"/>
      <c r="AA620" s="1333"/>
      <c r="AB620" s="1333"/>
      <c r="AC620" s="1333"/>
      <c r="AD620" s="1333"/>
      <c r="AE620" s="1333"/>
      <c r="AF620" s="1333"/>
      <c r="AG620" s="1333"/>
      <c r="AH620" s="1333"/>
      <c r="AI620" s="1333"/>
      <c r="AJ620" s="1333"/>
    </row>
    <row r="621" spans="1:36" x14ac:dyDescent="0.25">
      <c r="A621" s="1479"/>
      <c r="B621" s="1284"/>
      <c r="C621" s="1284"/>
      <c r="D621" s="1364"/>
      <c r="E621" s="1364"/>
      <c r="F621" s="1364"/>
      <c r="G621" s="1365"/>
      <c r="H621" s="1333"/>
      <c r="I621" s="1333"/>
      <c r="J621" s="1333"/>
      <c r="K621" s="1333"/>
      <c r="L621" s="1333"/>
      <c r="M621" s="1333"/>
      <c r="N621" s="1333"/>
      <c r="O621" s="1333"/>
      <c r="P621" s="1333"/>
      <c r="Q621" s="1333"/>
      <c r="R621" s="1333"/>
      <c r="S621" s="1333"/>
      <c r="T621" s="1333"/>
      <c r="U621" s="1333"/>
      <c r="V621" s="1333"/>
      <c r="W621" s="1333"/>
      <c r="X621" s="1333"/>
      <c r="Y621" s="1333"/>
      <c r="Z621" s="1333"/>
      <c r="AA621" s="1333"/>
      <c r="AB621" s="1333"/>
      <c r="AC621" s="1333"/>
      <c r="AD621" s="1333"/>
      <c r="AE621" s="1333"/>
      <c r="AF621" s="1333"/>
      <c r="AG621" s="1333"/>
      <c r="AH621" s="1333"/>
      <c r="AI621" s="1333"/>
      <c r="AJ621" s="1333"/>
    </row>
    <row r="622" spans="1:36" x14ac:dyDescent="0.25">
      <c r="A622" s="1479"/>
      <c r="B622" s="1284"/>
      <c r="C622" s="1284"/>
      <c r="D622" s="1364"/>
      <c r="E622" s="1364"/>
      <c r="F622" s="1364"/>
      <c r="G622" s="1365"/>
      <c r="H622" s="1333"/>
      <c r="I622" s="1333"/>
      <c r="J622" s="1333"/>
      <c r="K622" s="1333"/>
      <c r="L622" s="1333"/>
      <c r="M622" s="1333"/>
      <c r="N622" s="1333"/>
      <c r="O622" s="1333"/>
      <c r="P622" s="1333"/>
      <c r="Q622" s="1333"/>
      <c r="R622" s="1333"/>
      <c r="S622" s="1333"/>
      <c r="T622" s="1333"/>
      <c r="U622" s="1333"/>
      <c r="V622" s="1333"/>
      <c r="W622" s="1333"/>
      <c r="X622" s="1333"/>
      <c r="Y622" s="1333"/>
      <c r="Z622" s="1333"/>
      <c r="AA622" s="1333"/>
      <c r="AB622" s="1333"/>
      <c r="AC622" s="1333"/>
      <c r="AD622" s="1333"/>
      <c r="AE622" s="1333"/>
      <c r="AF622" s="1333"/>
      <c r="AG622" s="1333"/>
      <c r="AH622" s="1333"/>
      <c r="AI622" s="1333"/>
      <c r="AJ622" s="1333"/>
    </row>
    <row r="623" spans="1:36" x14ac:dyDescent="0.25">
      <c r="A623" s="1479"/>
      <c r="B623" s="1284"/>
      <c r="C623" s="1284"/>
      <c r="D623" s="1364"/>
      <c r="E623" s="1364"/>
      <c r="F623" s="1364"/>
      <c r="G623" s="1365"/>
      <c r="H623" s="1333"/>
      <c r="I623" s="1333"/>
      <c r="J623" s="1333"/>
      <c r="K623" s="1333"/>
      <c r="L623" s="1333"/>
      <c r="M623" s="1333"/>
      <c r="N623" s="1333"/>
      <c r="O623" s="1333"/>
      <c r="P623" s="1333"/>
      <c r="Q623" s="1333"/>
      <c r="R623" s="1333"/>
      <c r="S623" s="1333"/>
      <c r="T623" s="1333"/>
      <c r="U623" s="1333"/>
      <c r="V623" s="1333"/>
      <c r="W623" s="1333"/>
      <c r="X623" s="1333"/>
      <c r="Y623" s="1333"/>
      <c r="Z623" s="1333"/>
      <c r="AA623" s="1333"/>
      <c r="AB623" s="1333"/>
      <c r="AC623" s="1333"/>
      <c r="AD623" s="1333"/>
      <c r="AE623" s="1333"/>
      <c r="AF623" s="1333"/>
      <c r="AG623" s="1333"/>
      <c r="AH623" s="1333"/>
      <c r="AI623" s="1333"/>
      <c r="AJ623" s="1333"/>
    </row>
    <row r="624" spans="1:36" x14ac:dyDescent="0.25">
      <c r="A624" s="1479"/>
      <c r="B624" s="1284"/>
      <c r="C624" s="1284"/>
      <c r="D624" s="1364"/>
      <c r="E624" s="1364"/>
      <c r="F624" s="1364"/>
      <c r="G624" s="1365"/>
      <c r="H624" s="1333"/>
      <c r="I624" s="1333"/>
      <c r="J624" s="1333"/>
      <c r="K624" s="1333"/>
      <c r="L624" s="1333"/>
      <c r="M624" s="1333"/>
      <c r="N624" s="1333"/>
      <c r="O624" s="1333"/>
      <c r="P624" s="1333"/>
      <c r="Q624" s="1333"/>
      <c r="R624" s="1333"/>
      <c r="S624" s="1333"/>
      <c r="T624" s="1333"/>
      <c r="U624" s="1333"/>
      <c r="V624" s="1333"/>
      <c r="W624" s="1333"/>
      <c r="X624" s="1333"/>
      <c r="Y624" s="1333"/>
      <c r="Z624" s="1333"/>
      <c r="AA624" s="1333"/>
      <c r="AB624" s="1333"/>
      <c r="AC624" s="1333"/>
      <c r="AD624" s="1333"/>
      <c r="AE624" s="1333"/>
      <c r="AF624" s="1333"/>
      <c r="AG624" s="1333"/>
      <c r="AH624" s="1333"/>
      <c r="AI624" s="1333"/>
      <c r="AJ624" s="1333"/>
    </row>
    <row r="625" spans="1:36" x14ac:dyDescent="0.25">
      <c r="A625" s="1479"/>
      <c r="B625" s="1284"/>
      <c r="C625" s="1284"/>
      <c r="D625" s="1364"/>
      <c r="E625" s="1364"/>
      <c r="F625" s="1364"/>
      <c r="G625" s="1365"/>
      <c r="H625" s="1333"/>
      <c r="I625" s="1333"/>
      <c r="J625" s="1333"/>
      <c r="K625" s="1333"/>
      <c r="L625" s="1333"/>
      <c r="M625" s="1333"/>
      <c r="N625" s="1333"/>
      <c r="O625" s="1333"/>
      <c r="P625" s="1333"/>
      <c r="Q625" s="1333"/>
      <c r="R625" s="1333"/>
      <c r="S625" s="1333"/>
      <c r="T625" s="1333"/>
      <c r="U625" s="1333"/>
      <c r="V625" s="1333"/>
      <c r="W625" s="1333"/>
      <c r="X625" s="1333"/>
      <c r="Y625" s="1333"/>
      <c r="Z625" s="1333"/>
      <c r="AA625" s="1333"/>
      <c r="AB625" s="1333"/>
      <c r="AC625" s="1333"/>
      <c r="AD625" s="1333"/>
      <c r="AE625" s="1333"/>
      <c r="AF625" s="1333"/>
      <c r="AG625" s="1333"/>
      <c r="AH625" s="1333"/>
      <c r="AI625" s="1333"/>
      <c r="AJ625" s="1333"/>
    </row>
    <row r="626" spans="1:36" x14ac:dyDescent="0.25">
      <c r="A626" s="1479"/>
      <c r="B626" s="1284"/>
      <c r="C626" s="1284"/>
      <c r="D626" s="1364"/>
      <c r="E626" s="1364"/>
      <c r="F626" s="1364"/>
      <c r="G626" s="1365"/>
      <c r="H626" s="1333"/>
      <c r="I626" s="1333"/>
      <c r="J626" s="1333"/>
      <c r="K626" s="1333"/>
      <c r="L626" s="1333"/>
      <c r="M626" s="1333"/>
      <c r="N626" s="1333"/>
      <c r="O626" s="1333"/>
      <c r="P626" s="1333"/>
      <c r="Q626" s="1333"/>
      <c r="R626" s="1333"/>
      <c r="S626" s="1333"/>
      <c r="T626" s="1333"/>
      <c r="U626" s="1333"/>
      <c r="V626" s="1333"/>
      <c r="W626" s="1333"/>
      <c r="X626" s="1333"/>
      <c r="Y626" s="1333"/>
      <c r="Z626" s="1333"/>
      <c r="AA626" s="1333"/>
      <c r="AB626" s="1333"/>
      <c r="AC626" s="1333"/>
      <c r="AD626" s="1333"/>
      <c r="AE626" s="1333"/>
      <c r="AF626" s="1333"/>
      <c r="AG626" s="1333"/>
      <c r="AH626" s="1333"/>
      <c r="AI626" s="1333"/>
      <c r="AJ626" s="1333"/>
    </row>
    <row r="627" spans="1:36" x14ac:dyDescent="0.25">
      <c r="A627" s="1479"/>
      <c r="B627" s="1284"/>
      <c r="C627" s="1284"/>
      <c r="D627" s="1364"/>
      <c r="E627" s="1364"/>
      <c r="F627" s="1364"/>
      <c r="G627" s="1365"/>
      <c r="H627" s="1333"/>
      <c r="I627" s="1333"/>
      <c r="J627" s="1333"/>
      <c r="K627" s="1333"/>
      <c r="L627" s="1333"/>
      <c r="M627" s="1333"/>
      <c r="N627" s="1333"/>
      <c r="O627" s="1333"/>
      <c r="P627" s="1333"/>
      <c r="Q627" s="1333"/>
      <c r="R627" s="1333"/>
      <c r="S627" s="1333"/>
      <c r="T627" s="1333"/>
      <c r="U627" s="1333"/>
      <c r="V627" s="1333"/>
      <c r="W627" s="1333"/>
      <c r="X627" s="1333"/>
      <c r="Y627" s="1333"/>
      <c r="Z627" s="1333"/>
      <c r="AA627" s="1333"/>
      <c r="AB627" s="1333"/>
      <c r="AC627" s="1333"/>
      <c r="AD627" s="1333"/>
      <c r="AE627" s="1333"/>
      <c r="AF627" s="1333"/>
      <c r="AG627" s="1333"/>
      <c r="AH627" s="1333"/>
      <c r="AI627" s="1333"/>
      <c r="AJ627" s="1333"/>
    </row>
    <row r="628" spans="1:36" x14ac:dyDescent="0.25">
      <c r="A628" s="1479"/>
      <c r="B628" s="1284"/>
      <c r="C628" s="1284"/>
      <c r="D628" s="1364"/>
      <c r="E628" s="1364"/>
      <c r="F628" s="1364"/>
      <c r="G628" s="1365"/>
      <c r="H628" s="1333"/>
      <c r="I628" s="1333"/>
      <c r="J628" s="1333"/>
      <c r="K628" s="1333"/>
      <c r="L628" s="1333"/>
      <c r="M628" s="1333"/>
      <c r="N628" s="1333"/>
      <c r="O628" s="1333"/>
      <c r="P628" s="1333"/>
      <c r="Q628" s="1333"/>
      <c r="R628" s="1333"/>
      <c r="S628" s="1333"/>
      <c r="T628" s="1333"/>
      <c r="U628" s="1333"/>
      <c r="V628" s="1333"/>
      <c r="W628" s="1333"/>
      <c r="X628" s="1333"/>
      <c r="Y628" s="1333"/>
      <c r="Z628" s="1333"/>
      <c r="AA628" s="1333"/>
      <c r="AB628" s="1333"/>
      <c r="AC628" s="1333"/>
      <c r="AD628" s="1333"/>
      <c r="AE628" s="1333"/>
      <c r="AF628" s="1333"/>
      <c r="AG628" s="1333"/>
      <c r="AH628" s="1333"/>
      <c r="AI628" s="1333"/>
      <c r="AJ628" s="1333"/>
    </row>
    <row r="629" spans="1:36" x14ac:dyDescent="0.25">
      <c r="A629" s="1479"/>
      <c r="B629" s="1284"/>
      <c r="C629" s="1284"/>
      <c r="D629" s="1364"/>
      <c r="E629" s="1364"/>
      <c r="F629" s="1364"/>
      <c r="G629" s="1365"/>
      <c r="H629" s="1333"/>
      <c r="I629" s="1333"/>
      <c r="J629" s="1333"/>
      <c r="K629" s="1333"/>
      <c r="L629" s="1333"/>
      <c r="M629" s="1333"/>
      <c r="N629" s="1333"/>
      <c r="O629" s="1333"/>
      <c r="P629" s="1333"/>
      <c r="Q629" s="1333"/>
      <c r="R629" s="1333"/>
      <c r="S629" s="1333"/>
      <c r="T629" s="1333"/>
      <c r="U629" s="1333"/>
      <c r="V629" s="1333"/>
      <c r="W629" s="1333"/>
      <c r="X629" s="1333"/>
      <c r="Y629" s="1333"/>
      <c r="Z629" s="1333"/>
      <c r="AA629" s="1333"/>
      <c r="AB629" s="1333"/>
      <c r="AC629" s="1333"/>
      <c r="AD629" s="1333"/>
      <c r="AE629" s="1333"/>
      <c r="AF629" s="1333"/>
      <c r="AG629" s="1333"/>
      <c r="AH629" s="1333"/>
      <c r="AI629" s="1333"/>
      <c r="AJ629" s="1333"/>
    </row>
    <row r="630" spans="1:36" x14ac:dyDescent="0.25">
      <c r="A630" s="1479"/>
      <c r="B630" s="1284"/>
      <c r="C630" s="1284"/>
      <c r="D630" s="1364"/>
      <c r="E630" s="1364"/>
      <c r="F630" s="1364"/>
      <c r="G630" s="1365"/>
      <c r="H630" s="1333"/>
      <c r="I630" s="1333"/>
      <c r="J630" s="1333"/>
      <c r="K630" s="1333"/>
      <c r="L630" s="1333"/>
      <c r="M630" s="1333"/>
      <c r="N630" s="1333"/>
      <c r="O630" s="1333"/>
      <c r="P630" s="1333"/>
      <c r="Q630" s="1333"/>
      <c r="R630" s="1333"/>
      <c r="S630" s="1333"/>
      <c r="T630" s="1333"/>
      <c r="U630" s="1333"/>
      <c r="V630" s="1333"/>
      <c r="W630" s="1333"/>
      <c r="X630" s="1333"/>
      <c r="Y630" s="1333"/>
      <c r="Z630" s="1333"/>
      <c r="AA630" s="1333"/>
      <c r="AB630" s="1333"/>
      <c r="AC630" s="1333"/>
      <c r="AD630" s="1333"/>
      <c r="AE630" s="1333"/>
      <c r="AF630" s="1333"/>
      <c r="AG630" s="1333"/>
      <c r="AH630" s="1333"/>
      <c r="AI630" s="1333"/>
      <c r="AJ630" s="1333"/>
    </row>
    <row r="631" spans="1:36" x14ac:dyDescent="0.25">
      <c r="A631" s="1479"/>
      <c r="B631" s="1284"/>
      <c r="C631" s="1284"/>
      <c r="D631" s="1364"/>
      <c r="E631" s="1364"/>
      <c r="F631" s="1364"/>
      <c r="G631" s="1365"/>
      <c r="H631" s="1333"/>
      <c r="I631" s="1333"/>
      <c r="J631" s="1333"/>
      <c r="K631" s="1333"/>
      <c r="L631" s="1333"/>
      <c r="M631" s="1333"/>
      <c r="N631" s="1333"/>
      <c r="O631" s="1333"/>
      <c r="P631" s="1333"/>
      <c r="Q631" s="1333"/>
      <c r="R631" s="1333"/>
      <c r="S631" s="1333"/>
      <c r="T631" s="1333"/>
      <c r="U631" s="1333"/>
      <c r="V631" s="1333"/>
      <c r="W631" s="1333"/>
      <c r="X631" s="1333"/>
      <c r="Y631" s="1333"/>
      <c r="Z631" s="1333"/>
      <c r="AA631" s="1333"/>
      <c r="AB631" s="1333"/>
      <c r="AC631" s="1333"/>
      <c r="AD631" s="1333"/>
      <c r="AE631" s="1333"/>
      <c r="AF631" s="1333"/>
      <c r="AG631" s="1333"/>
      <c r="AH631" s="1333"/>
      <c r="AI631" s="1333"/>
      <c r="AJ631" s="1333"/>
    </row>
    <row r="632" spans="1:36" x14ac:dyDescent="0.25">
      <c r="A632" s="1479"/>
      <c r="B632" s="1284"/>
      <c r="C632" s="1284"/>
      <c r="D632" s="1364"/>
      <c r="E632" s="1364"/>
      <c r="F632" s="1364"/>
      <c r="G632" s="1365"/>
      <c r="H632" s="1333"/>
      <c r="I632" s="1333"/>
      <c r="J632" s="1333"/>
      <c r="K632" s="1333"/>
      <c r="L632" s="1333"/>
      <c r="M632" s="1333"/>
      <c r="N632" s="1333"/>
      <c r="O632" s="1333"/>
      <c r="P632" s="1333"/>
      <c r="Q632" s="1333"/>
      <c r="R632" s="1333"/>
      <c r="S632" s="1333"/>
      <c r="T632" s="1333"/>
      <c r="U632" s="1333"/>
      <c r="V632" s="1333"/>
      <c r="W632" s="1333"/>
      <c r="X632" s="1333"/>
      <c r="Y632" s="1333"/>
      <c r="Z632" s="1333"/>
      <c r="AA632" s="1333"/>
      <c r="AB632" s="1333"/>
      <c r="AC632" s="1333"/>
      <c r="AD632" s="1333"/>
      <c r="AE632" s="1333"/>
      <c r="AF632" s="1333"/>
      <c r="AG632" s="1333"/>
      <c r="AH632" s="1333"/>
      <c r="AI632" s="1333"/>
      <c r="AJ632" s="1333"/>
    </row>
    <row r="633" spans="1:36" x14ac:dyDescent="0.25">
      <c r="A633" s="1479"/>
      <c r="B633" s="1284"/>
      <c r="C633" s="1284"/>
      <c r="D633" s="1364"/>
      <c r="E633" s="1364"/>
      <c r="F633" s="1364"/>
      <c r="G633" s="1365"/>
      <c r="H633" s="1333"/>
      <c r="I633" s="1333"/>
      <c r="J633" s="1333"/>
      <c r="K633" s="1333"/>
      <c r="L633" s="1333"/>
      <c r="M633" s="1333"/>
      <c r="N633" s="1333"/>
      <c r="O633" s="1333"/>
      <c r="P633" s="1333"/>
      <c r="Q633" s="1333"/>
      <c r="R633" s="1333"/>
      <c r="S633" s="1333"/>
      <c r="T633" s="1333"/>
      <c r="U633" s="1333"/>
      <c r="V633" s="1333"/>
      <c r="W633" s="1333"/>
      <c r="X633" s="1333"/>
      <c r="Y633" s="1333"/>
      <c r="Z633" s="1333"/>
      <c r="AA633" s="1333"/>
      <c r="AB633" s="1333"/>
      <c r="AC633" s="1333"/>
      <c r="AD633" s="1333"/>
      <c r="AE633" s="1333"/>
      <c r="AF633" s="1333"/>
      <c r="AG633" s="1333"/>
      <c r="AH633" s="1333"/>
      <c r="AI633" s="1333"/>
      <c r="AJ633" s="1333"/>
    </row>
    <row r="634" spans="1:36" x14ac:dyDescent="0.25">
      <c r="A634" s="1479"/>
      <c r="B634" s="1284"/>
      <c r="C634" s="1284"/>
      <c r="D634" s="1364"/>
      <c r="E634" s="1364"/>
      <c r="F634" s="1364"/>
      <c r="G634" s="1365"/>
      <c r="H634" s="1333"/>
      <c r="I634" s="1333"/>
      <c r="J634" s="1333"/>
      <c r="K634" s="1333"/>
      <c r="L634" s="1333"/>
      <c r="M634" s="1333"/>
      <c r="N634" s="1333"/>
      <c r="O634" s="1333"/>
      <c r="P634" s="1333"/>
      <c r="Q634" s="1333"/>
      <c r="R634" s="1333"/>
      <c r="S634" s="1333"/>
      <c r="T634" s="1333"/>
      <c r="U634" s="1333"/>
      <c r="V634" s="1333"/>
      <c r="W634" s="1333"/>
      <c r="X634" s="1333"/>
      <c r="Y634" s="1333"/>
      <c r="Z634" s="1333"/>
      <c r="AA634" s="1333"/>
      <c r="AB634" s="1333"/>
      <c r="AC634" s="1333"/>
      <c r="AD634" s="1333"/>
      <c r="AE634" s="1333"/>
      <c r="AF634" s="1333"/>
      <c r="AG634" s="1333"/>
      <c r="AH634" s="1333"/>
      <c r="AI634" s="1333"/>
      <c r="AJ634" s="1333"/>
    </row>
    <row r="635" spans="1:36" x14ac:dyDescent="0.25">
      <c r="A635" s="1479"/>
      <c r="B635" s="1284"/>
      <c r="C635" s="1284"/>
      <c r="D635" s="1364"/>
      <c r="E635" s="1364"/>
      <c r="F635" s="1364"/>
      <c r="G635" s="1365"/>
      <c r="H635" s="1333"/>
      <c r="I635" s="1333"/>
      <c r="J635" s="1333"/>
      <c r="K635" s="1333"/>
      <c r="L635" s="1333"/>
      <c r="M635" s="1333"/>
      <c r="N635" s="1333"/>
      <c r="O635" s="1333"/>
      <c r="P635" s="1333"/>
      <c r="Q635" s="1333"/>
      <c r="R635" s="1333"/>
      <c r="S635" s="1333"/>
      <c r="T635" s="1333"/>
      <c r="U635" s="1333"/>
      <c r="V635" s="1333"/>
      <c r="W635" s="1333"/>
      <c r="X635" s="1333"/>
      <c r="Y635" s="1333"/>
      <c r="Z635" s="1333"/>
      <c r="AA635" s="1333"/>
      <c r="AB635" s="1333"/>
      <c r="AC635" s="1333"/>
      <c r="AD635" s="1333"/>
      <c r="AE635" s="1333"/>
      <c r="AF635" s="1333"/>
      <c r="AG635" s="1333"/>
      <c r="AH635" s="1333"/>
      <c r="AI635" s="1333"/>
      <c r="AJ635" s="1333"/>
    </row>
    <row r="636" spans="1:36" x14ac:dyDescent="0.25">
      <c r="A636" s="1479"/>
      <c r="B636" s="1284"/>
      <c r="C636" s="1284"/>
      <c r="D636" s="1364"/>
      <c r="E636" s="1364"/>
      <c r="F636" s="1364"/>
      <c r="G636" s="1365"/>
      <c r="H636" s="1333"/>
      <c r="I636" s="1333"/>
      <c r="J636" s="1333"/>
      <c r="K636" s="1333"/>
      <c r="L636" s="1333"/>
      <c r="M636" s="1333"/>
      <c r="N636" s="1333"/>
      <c r="O636" s="1333"/>
      <c r="P636" s="1333"/>
      <c r="Q636" s="1333"/>
      <c r="R636" s="1333"/>
      <c r="S636" s="1333"/>
      <c r="T636" s="1333"/>
      <c r="U636" s="1333"/>
      <c r="V636" s="1333"/>
      <c r="W636" s="1333"/>
      <c r="X636" s="1333"/>
      <c r="Y636" s="1333"/>
      <c r="Z636" s="1333"/>
      <c r="AA636" s="1333"/>
      <c r="AB636" s="1333"/>
      <c r="AC636" s="1333"/>
      <c r="AD636" s="1333"/>
      <c r="AE636" s="1333"/>
      <c r="AF636" s="1333"/>
      <c r="AG636" s="1333"/>
      <c r="AH636" s="1333"/>
      <c r="AI636" s="1333"/>
      <c r="AJ636" s="1333"/>
    </row>
    <row r="637" spans="1:36" x14ac:dyDescent="0.25">
      <c r="A637" s="1479"/>
      <c r="B637" s="1284"/>
      <c r="C637" s="1284"/>
      <c r="D637" s="1364"/>
      <c r="E637" s="1364"/>
      <c r="F637" s="1364"/>
      <c r="G637" s="1365"/>
      <c r="H637" s="1333"/>
      <c r="I637" s="1333"/>
      <c r="J637" s="1333"/>
      <c r="K637" s="1333"/>
      <c r="L637" s="1333"/>
      <c r="M637" s="1333"/>
      <c r="N637" s="1333"/>
      <c r="O637" s="1333"/>
      <c r="P637" s="1333"/>
      <c r="Q637" s="1333"/>
      <c r="R637" s="1333"/>
      <c r="S637" s="1333"/>
      <c r="T637" s="1333"/>
      <c r="U637" s="1333"/>
      <c r="V637" s="1333"/>
      <c r="W637" s="1333"/>
      <c r="X637" s="1333"/>
      <c r="Y637" s="1333"/>
      <c r="Z637" s="1333"/>
      <c r="AA637" s="1333"/>
      <c r="AB637" s="1333"/>
      <c r="AC637" s="1333"/>
      <c r="AD637" s="1333"/>
      <c r="AE637" s="1333"/>
      <c r="AF637" s="1333"/>
      <c r="AG637" s="1333"/>
      <c r="AH637" s="1333"/>
      <c r="AI637" s="1333"/>
      <c r="AJ637" s="1333"/>
    </row>
    <row r="638" spans="1:36" x14ac:dyDescent="0.25">
      <c r="A638" s="1479"/>
      <c r="B638" s="1284"/>
      <c r="C638" s="1284"/>
      <c r="D638" s="1364"/>
      <c r="E638" s="1364"/>
      <c r="F638" s="1364"/>
      <c r="G638" s="1365"/>
      <c r="H638" s="1333"/>
      <c r="I638" s="1333"/>
      <c r="J638" s="1333"/>
      <c r="K638" s="1333"/>
      <c r="L638" s="1333"/>
      <c r="M638" s="1333"/>
      <c r="N638" s="1333"/>
      <c r="O638" s="1333"/>
      <c r="P638" s="1333"/>
      <c r="Q638" s="1333"/>
      <c r="R638" s="1333"/>
      <c r="S638" s="1333"/>
      <c r="T638" s="1333"/>
      <c r="U638" s="1333"/>
      <c r="V638" s="1333"/>
      <c r="W638" s="1333"/>
      <c r="X638" s="1333"/>
      <c r="Y638" s="1333"/>
      <c r="Z638" s="1333"/>
      <c r="AA638" s="1333"/>
      <c r="AB638" s="1333"/>
      <c r="AC638" s="1333"/>
      <c r="AD638" s="1333"/>
      <c r="AE638" s="1333"/>
      <c r="AF638" s="1333"/>
      <c r="AG638" s="1333"/>
      <c r="AH638" s="1333"/>
      <c r="AI638" s="1333"/>
      <c r="AJ638" s="1333"/>
    </row>
    <row r="639" spans="1:36" x14ac:dyDescent="0.25">
      <c r="A639" s="1479"/>
      <c r="B639" s="1284"/>
      <c r="C639" s="1284"/>
      <c r="D639" s="1364"/>
      <c r="E639" s="1364"/>
      <c r="F639" s="1364"/>
      <c r="G639" s="1365"/>
      <c r="H639" s="1333"/>
      <c r="I639" s="1333"/>
      <c r="J639" s="1333"/>
      <c r="K639" s="1333"/>
      <c r="L639" s="1333"/>
      <c r="M639" s="1333"/>
      <c r="N639" s="1333"/>
      <c r="O639" s="1333"/>
      <c r="P639" s="1333"/>
      <c r="Q639" s="1333"/>
      <c r="R639" s="1333"/>
      <c r="S639" s="1333"/>
      <c r="T639" s="1333"/>
      <c r="U639" s="1333"/>
      <c r="V639" s="1333"/>
      <c r="W639" s="1333"/>
      <c r="X639" s="1333"/>
      <c r="Y639" s="1333"/>
      <c r="Z639" s="1333"/>
      <c r="AA639" s="1333"/>
      <c r="AB639" s="1333"/>
      <c r="AC639" s="1333"/>
      <c r="AD639" s="1333"/>
      <c r="AE639" s="1333"/>
      <c r="AF639" s="1333"/>
      <c r="AG639" s="1333"/>
      <c r="AH639" s="1333"/>
      <c r="AI639" s="1333"/>
      <c r="AJ639" s="1333"/>
    </row>
    <row r="640" spans="1:36" x14ac:dyDescent="0.25">
      <c r="A640" s="1479"/>
      <c r="B640" s="1284"/>
      <c r="C640" s="1284"/>
      <c r="D640" s="1364"/>
      <c r="E640" s="1364"/>
      <c r="F640" s="1364"/>
      <c r="G640" s="1365"/>
      <c r="H640" s="1333"/>
      <c r="I640" s="1333"/>
      <c r="J640" s="1333"/>
      <c r="K640" s="1333"/>
      <c r="L640" s="1333"/>
      <c r="M640" s="1333"/>
      <c r="N640" s="1333"/>
      <c r="O640" s="1333"/>
      <c r="P640" s="1333"/>
      <c r="Q640" s="1333"/>
      <c r="R640" s="1333"/>
      <c r="S640" s="1333"/>
      <c r="T640" s="1333"/>
      <c r="U640" s="1333"/>
      <c r="V640" s="1333"/>
      <c r="W640" s="1333"/>
      <c r="X640" s="1333"/>
      <c r="Y640" s="1333"/>
      <c r="Z640" s="1333"/>
      <c r="AA640" s="1333"/>
      <c r="AB640" s="1333"/>
      <c r="AC640" s="1333"/>
      <c r="AD640" s="1333"/>
      <c r="AE640" s="1333"/>
      <c r="AF640" s="1333"/>
      <c r="AG640" s="1333"/>
      <c r="AH640" s="1333"/>
      <c r="AI640" s="1333"/>
      <c r="AJ640" s="1333"/>
    </row>
    <row r="641" spans="1:36" x14ac:dyDescent="0.25">
      <c r="A641" s="1479"/>
      <c r="B641" s="1284"/>
      <c r="C641" s="1284"/>
      <c r="D641" s="1364"/>
      <c r="E641" s="1364"/>
      <c r="F641" s="1364"/>
      <c r="G641" s="1365"/>
      <c r="H641" s="1333"/>
      <c r="I641" s="1333"/>
      <c r="J641" s="1333"/>
      <c r="K641" s="1333"/>
      <c r="L641" s="1333"/>
      <c r="M641" s="1333"/>
      <c r="N641" s="1333"/>
      <c r="O641" s="1333"/>
      <c r="P641" s="1333"/>
      <c r="Q641" s="1333"/>
      <c r="R641" s="1333"/>
      <c r="S641" s="1333"/>
      <c r="T641" s="1333"/>
      <c r="U641" s="1333"/>
      <c r="V641" s="1333"/>
      <c r="W641" s="1333"/>
      <c r="X641" s="1333"/>
      <c r="Y641" s="1333"/>
      <c r="Z641" s="1333"/>
      <c r="AA641" s="1333"/>
      <c r="AB641" s="1333"/>
      <c r="AC641" s="1333"/>
      <c r="AD641" s="1333"/>
      <c r="AE641" s="1333"/>
      <c r="AF641" s="1333"/>
      <c r="AG641" s="1333"/>
      <c r="AH641" s="1333"/>
      <c r="AI641" s="1333"/>
      <c r="AJ641" s="1333"/>
    </row>
    <row r="642" spans="1:36" x14ac:dyDescent="0.25">
      <c r="A642" s="1479"/>
      <c r="B642" s="1284"/>
      <c r="C642" s="1284"/>
      <c r="D642" s="1364"/>
      <c r="E642" s="1364"/>
      <c r="F642" s="1364"/>
      <c r="G642" s="1365"/>
      <c r="H642" s="1333"/>
      <c r="I642" s="1333"/>
      <c r="J642" s="1333"/>
      <c r="K642" s="1333"/>
      <c r="L642" s="1333"/>
      <c r="M642" s="1333"/>
      <c r="N642" s="1333"/>
      <c r="O642" s="1333"/>
      <c r="P642" s="1333"/>
      <c r="Q642" s="1333"/>
      <c r="R642" s="1333"/>
      <c r="S642" s="1333"/>
      <c r="T642" s="1333"/>
      <c r="U642" s="1333"/>
      <c r="V642" s="1333"/>
      <c r="W642" s="1333"/>
      <c r="X642" s="1333"/>
      <c r="Y642" s="1333"/>
      <c r="Z642" s="1333"/>
      <c r="AA642" s="1333"/>
      <c r="AB642" s="1333"/>
      <c r="AC642" s="1333"/>
      <c r="AD642" s="1333"/>
      <c r="AE642" s="1333"/>
      <c r="AF642" s="1333"/>
      <c r="AG642" s="1333"/>
      <c r="AH642" s="1333"/>
      <c r="AI642" s="1333"/>
      <c r="AJ642" s="1333"/>
    </row>
    <row r="643" spans="1:36" x14ac:dyDescent="0.25">
      <c r="A643" s="1479"/>
      <c r="B643" s="1284"/>
      <c r="C643" s="1284"/>
      <c r="D643" s="1364"/>
      <c r="E643" s="1364"/>
      <c r="F643" s="1364"/>
      <c r="G643" s="1365"/>
      <c r="H643" s="1333"/>
      <c r="I643" s="1333"/>
      <c r="J643" s="1333"/>
      <c r="K643" s="1333"/>
      <c r="L643" s="1333"/>
      <c r="M643" s="1333"/>
      <c r="N643" s="1333"/>
      <c r="O643" s="1333"/>
      <c r="P643" s="1333"/>
      <c r="Q643" s="1333"/>
      <c r="R643" s="1333"/>
      <c r="S643" s="1333"/>
      <c r="T643" s="1333"/>
      <c r="U643" s="1333"/>
      <c r="V643" s="1333"/>
      <c r="W643" s="1333"/>
      <c r="X643" s="1333"/>
      <c r="Y643" s="1333"/>
      <c r="Z643" s="1333"/>
      <c r="AA643" s="1333"/>
      <c r="AB643" s="1333"/>
      <c r="AC643" s="1333"/>
      <c r="AD643" s="1333"/>
      <c r="AE643" s="1333"/>
      <c r="AF643" s="1333"/>
      <c r="AG643" s="1333"/>
      <c r="AH643" s="1333"/>
      <c r="AI643" s="1333"/>
      <c r="AJ643" s="1333"/>
    </row>
    <row r="644" spans="1:36" x14ac:dyDescent="0.25">
      <c r="A644" s="1479"/>
      <c r="B644" s="1284"/>
      <c r="C644" s="1284"/>
      <c r="D644" s="1364"/>
      <c r="E644" s="1364"/>
      <c r="F644" s="1364"/>
      <c r="G644" s="1365"/>
      <c r="H644" s="1333"/>
      <c r="I644" s="1333"/>
      <c r="J644" s="1333"/>
      <c r="K644" s="1333"/>
      <c r="L644" s="1333"/>
      <c r="M644" s="1333"/>
      <c r="N644" s="1333"/>
      <c r="O644" s="1333"/>
      <c r="P644" s="1333"/>
      <c r="Q644" s="1333"/>
      <c r="R644" s="1333"/>
      <c r="S644" s="1333"/>
      <c r="T644" s="1333"/>
      <c r="U644" s="1333"/>
      <c r="V644" s="1333"/>
      <c r="W644" s="1333"/>
      <c r="X644" s="1333"/>
      <c r="Y644" s="1333"/>
      <c r="Z644" s="1333"/>
      <c r="AA644" s="1333"/>
      <c r="AB644" s="1333"/>
      <c r="AC644" s="1333"/>
      <c r="AD644" s="1333"/>
      <c r="AE644" s="1333"/>
      <c r="AF644" s="1333"/>
      <c r="AG644" s="1333"/>
      <c r="AH644" s="1333"/>
      <c r="AI644" s="1333"/>
      <c r="AJ644" s="1333"/>
    </row>
    <row r="645" spans="1:36" x14ac:dyDescent="0.25">
      <c r="A645" s="1479"/>
      <c r="B645" s="1284"/>
      <c r="C645" s="1284"/>
      <c r="D645" s="1364"/>
      <c r="E645" s="1364"/>
      <c r="F645" s="1364"/>
      <c r="G645" s="1365"/>
      <c r="H645" s="1333"/>
      <c r="I645" s="1333"/>
      <c r="J645" s="1333"/>
      <c r="K645" s="1333"/>
      <c r="L645" s="1333"/>
      <c r="M645" s="1333"/>
      <c r="N645" s="1333"/>
      <c r="O645" s="1333"/>
      <c r="P645" s="1333"/>
      <c r="Q645" s="1333"/>
      <c r="R645" s="1333"/>
      <c r="S645" s="1333"/>
      <c r="T645" s="1333"/>
      <c r="U645" s="1333"/>
      <c r="V645" s="1333"/>
      <c r="W645" s="1333"/>
      <c r="X645" s="1333"/>
      <c r="Y645" s="1333"/>
      <c r="Z645" s="1333"/>
      <c r="AA645" s="1333"/>
      <c r="AB645" s="1333"/>
      <c r="AC645" s="1333"/>
      <c r="AD645" s="1333"/>
      <c r="AE645" s="1333"/>
      <c r="AF645" s="1333"/>
      <c r="AG645" s="1333"/>
      <c r="AH645" s="1333"/>
      <c r="AI645" s="1333"/>
      <c r="AJ645" s="1333"/>
    </row>
    <row r="646" spans="1:36" x14ac:dyDescent="0.25">
      <c r="A646" s="1479"/>
      <c r="B646" s="1284"/>
      <c r="C646" s="1284"/>
      <c r="D646" s="1364"/>
      <c r="E646" s="1364"/>
      <c r="F646" s="1364"/>
      <c r="G646" s="1365"/>
      <c r="H646" s="1333"/>
      <c r="I646" s="1333"/>
      <c r="J646" s="1333"/>
      <c r="K646" s="1333"/>
      <c r="L646" s="1333"/>
      <c r="M646" s="1333"/>
      <c r="N646" s="1333"/>
      <c r="O646" s="1333"/>
      <c r="P646" s="1333"/>
      <c r="Q646" s="1333"/>
      <c r="R646" s="1333"/>
      <c r="S646" s="1333"/>
      <c r="T646" s="1333"/>
      <c r="U646" s="1333"/>
      <c r="V646" s="1333"/>
      <c r="W646" s="1333"/>
      <c r="X646" s="1333"/>
      <c r="Y646" s="1333"/>
      <c r="Z646" s="1333"/>
      <c r="AA646" s="1333"/>
      <c r="AB646" s="1333"/>
      <c r="AC646" s="1333"/>
      <c r="AD646" s="1333"/>
      <c r="AE646" s="1333"/>
      <c r="AF646" s="1333"/>
      <c r="AG646" s="1333"/>
      <c r="AH646" s="1333"/>
      <c r="AI646" s="1333"/>
      <c r="AJ646" s="1333"/>
    </row>
    <row r="647" spans="1:36" x14ac:dyDescent="0.25">
      <c r="A647" s="1479"/>
      <c r="B647" s="1284"/>
      <c r="C647" s="1284"/>
      <c r="D647" s="1364"/>
      <c r="E647" s="1364"/>
      <c r="F647" s="1364"/>
      <c r="G647" s="1365"/>
      <c r="H647" s="1333"/>
      <c r="I647" s="1333"/>
      <c r="J647" s="1333"/>
      <c r="K647" s="1333"/>
      <c r="L647" s="1333"/>
      <c r="M647" s="1333"/>
      <c r="N647" s="1333"/>
      <c r="O647" s="1333"/>
      <c r="P647" s="1333"/>
      <c r="Q647" s="1333"/>
      <c r="R647" s="1333"/>
      <c r="S647" s="1333"/>
      <c r="T647" s="1333"/>
      <c r="U647" s="1333"/>
      <c r="V647" s="1333"/>
      <c r="W647" s="1333"/>
      <c r="X647" s="1333"/>
      <c r="Y647" s="1333"/>
      <c r="Z647" s="1333"/>
      <c r="AA647" s="1333"/>
      <c r="AB647" s="1333"/>
      <c r="AC647" s="1333"/>
      <c r="AD647" s="1333"/>
      <c r="AE647" s="1333"/>
      <c r="AF647" s="1333"/>
      <c r="AG647" s="1333"/>
      <c r="AH647" s="1333"/>
      <c r="AI647" s="1333"/>
      <c r="AJ647" s="1333"/>
    </row>
    <row r="648" spans="1:36" x14ac:dyDescent="0.25">
      <c r="A648" s="1479"/>
      <c r="B648" s="1284"/>
      <c r="C648" s="1284"/>
      <c r="D648" s="1364"/>
      <c r="E648" s="1364"/>
      <c r="F648" s="1364"/>
      <c r="G648" s="1365"/>
      <c r="H648" s="1333"/>
      <c r="I648" s="1333"/>
      <c r="J648" s="1333"/>
      <c r="K648" s="1333"/>
      <c r="L648" s="1333"/>
      <c r="M648" s="1333"/>
      <c r="N648" s="1333"/>
      <c r="O648" s="1333"/>
      <c r="P648" s="1333"/>
      <c r="Q648" s="1333"/>
      <c r="R648" s="1333"/>
      <c r="S648" s="1333"/>
      <c r="T648" s="1333"/>
      <c r="U648" s="1333"/>
      <c r="V648" s="1333"/>
      <c r="W648" s="1333"/>
      <c r="X648" s="1333"/>
      <c r="Y648" s="1333"/>
      <c r="Z648" s="1333"/>
      <c r="AA648" s="1333"/>
      <c r="AB648" s="1333"/>
      <c r="AC648" s="1333"/>
      <c r="AD648" s="1333"/>
      <c r="AE648" s="1333"/>
      <c r="AF648" s="1333"/>
      <c r="AG648" s="1333"/>
      <c r="AH648" s="1333"/>
      <c r="AI648" s="1333"/>
      <c r="AJ648" s="1333"/>
    </row>
    <row r="649" spans="1:36" x14ac:dyDescent="0.25">
      <c r="A649" s="1479"/>
      <c r="B649" s="1284"/>
      <c r="C649" s="1284"/>
      <c r="D649" s="1364"/>
      <c r="E649" s="1364"/>
      <c r="F649" s="1364"/>
      <c r="G649" s="1365"/>
      <c r="H649" s="1333"/>
      <c r="I649" s="1333"/>
      <c r="J649" s="1333"/>
      <c r="K649" s="1333"/>
      <c r="L649" s="1333"/>
      <c r="M649" s="1333"/>
      <c r="N649" s="1333"/>
      <c r="O649" s="1333"/>
      <c r="P649" s="1333"/>
      <c r="Q649" s="1333"/>
      <c r="R649" s="1333"/>
      <c r="S649" s="1333"/>
      <c r="T649" s="1333"/>
      <c r="U649" s="1333"/>
      <c r="V649" s="1333"/>
      <c r="W649" s="1333"/>
      <c r="X649" s="1333"/>
      <c r="Y649" s="1333"/>
      <c r="Z649" s="1333"/>
      <c r="AA649" s="1333"/>
      <c r="AB649" s="1333"/>
      <c r="AC649" s="1333"/>
      <c r="AD649" s="1333"/>
      <c r="AE649" s="1333"/>
      <c r="AF649" s="1333"/>
      <c r="AG649" s="1333"/>
      <c r="AH649" s="1333"/>
      <c r="AI649" s="1333"/>
      <c r="AJ649" s="1333"/>
    </row>
    <row r="650" spans="1:36" x14ac:dyDescent="0.25">
      <c r="A650" s="1479"/>
      <c r="B650" s="1284"/>
      <c r="C650" s="1284"/>
      <c r="D650" s="1364"/>
      <c r="E650" s="1364"/>
      <c r="F650" s="1364"/>
      <c r="G650" s="1365"/>
      <c r="H650" s="1333"/>
      <c r="I650" s="1333"/>
      <c r="J650" s="1333"/>
      <c r="K650" s="1333"/>
      <c r="L650" s="1333"/>
      <c r="M650" s="1333"/>
      <c r="N650" s="1333"/>
      <c r="O650" s="1333"/>
      <c r="P650" s="1333"/>
      <c r="Q650" s="1333"/>
      <c r="R650" s="1333"/>
      <c r="S650" s="1333"/>
      <c r="T650" s="1333"/>
      <c r="U650" s="1333"/>
      <c r="V650" s="1333"/>
      <c r="W650" s="1333"/>
      <c r="X650" s="1333"/>
      <c r="Y650" s="1333"/>
      <c r="Z650" s="1333"/>
      <c r="AA650" s="1333"/>
      <c r="AB650" s="1333"/>
      <c r="AC650" s="1333"/>
      <c r="AD650" s="1333"/>
      <c r="AE650" s="1333"/>
      <c r="AF650" s="1333"/>
      <c r="AG650" s="1333"/>
      <c r="AH650" s="1333"/>
      <c r="AI650" s="1333"/>
      <c r="AJ650" s="1333"/>
    </row>
    <row r="651" spans="1:36" x14ac:dyDescent="0.25">
      <c r="A651" s="1479"/>
      <c r="B651" s="1284"/>
      <c r="C651" s="1284"/>
      <c r="D651" s="1364"/>
      <c r="E651" s="1364"/>
      <c r="F651" s="1364"/>
      <c r="G651" s="1365"/>
      <c r="H651" s="1333"/>
      <c r="I651" s="1333"/>
      <c r="J651" s="1333"/>
      <c r="K651" s="1333"/>
      <c r="L651" s="1333"/>
      <c r="M651" s="1333"/>
      <c r="N651" s="1333"/>
      <c r="O651" s="1333"/>
      <c r="P651" s="1333"/>
      <c r="Q651" s="1333"/>
      <c r="R651" s="1333"/>
      <c r="S651" s="1333"/>
      <c r="T651" s="1333"/>
      <c r="U651" s="1333"/>
      <c r="V651" s="1333"/>
      <c r="W651" s="1333"/>
      <c r="X651" s="1333"/>
      <c r="Y651" s="1333"/>
      <c r="Z651" s="1333"/>
      <c r="AA651" s="1333"/>
      <c r="AB651" s="1333"/>
      <c r="AC651" s="1333"/>
      <c r="AD651" s="1333"/>
      <c r="AE651" s="1333"/>
      <c r="AF651" s="1333"/>
      <c r="AG651" s="1333"/>
      <c r="AH651" s="1333"/>
      <c r="AI651" s="1333"/>
      <c r="AJ651" s="1333"/>
    </row>
    <row r="652" spans="1:36" x14ac:dyDescent="0.25">
      <c r="A652" s="1479"/>
      <c r="B652" s="1284"/>
      <c r="C652" s="1284"/>
      <c r="D652" s="1364"/>
      <c r="E652" s="1364"/>
      <c r="F652" s="1364"/>
      <c r="G652" s="1365"/>
      <c r="H652" s="1333"/>
      <c r="I652" s="1333"/>
      <c r="J652" s="1333"/>
      <c r="K652" s="1333"/>
      <c r="L652" s="1333"/>
      <c r="M652" s="1333"/>
      <c r="N652" s="1333"/>
      <c r="O652" s="1333"/>
      <c r="P652" s="1333"/>
      <c r="Q652" s="1333"/>
      <c r="R652" s="1333"/>
      <c r="S652" s="1333"/>
      <c r="T652" s="1333"/>
      <c r="U652" s="1333"/>
      <c r="V652" s="1333"/>
      <c r="W652" s="1333"/>
      <c r="X652" s="1333"/>
      <c r="Y652" s="1333"/>
      <c r="Z652" s="1333"/>
      <c r="AA652" s="1333"/>
      <c r="AB652" s="1333"/>
      <c r="AC652" s="1333"/>
      <c r="AD652" s="1333"/>
      <c r="AE652" s="1333"/>
      <c r="AF652" s="1333"/>
      <c r="AG652" s="1333"/>
      <c r="AH652" s="1333"/>
      <c r="AI652" s="1333"/>
      <c r="AJ652" s="1333"/>
    </row>
    <row r="653" spans="1:36" x14ac:dyDescent="0.25">
      <c r="A653" s="1479"/>
      <c r="B653" s="1284"/>
      <c r="C653" s="1284"/>
      <c r="D653" s="1364"/>
      <c r="E653" s="1364"/>
      <c r="F653" s="1364"/>
      <c r="G653" s="1365"/>
      <c r="H653" s="1333"/>
      <c r="I653" s="1333"/>
      <c r="J653" s="1333"/>
      <c r="K653" s="1333"/>
      <c r="L653" s="1333"/>
      <c r="M653" s="1333"/>
      <c r="N653" s="1333"/>
      <c r="O653" s="1333"/>
      <c r="P653" s="1333"/>
      <c r="Q653" s="1333"/>
      <c r="R653" s="1333"/>
      <c r="S653" s="1333"/>
      <c r="T653" s="1333"/>
      <c r="U653" s="1333"/>
      <c r="V653" s="1333"/>
      <c r="W653" s="1333"/>
      <c r="X653" s="1333"/>
      <c r="Y653" s="1333"/>
      <c r="Z653" s="1333"/>
      <c r="AA653" s="1333"/>
      <c r="AB653" s="1333"/>
      <c r="AC653" s="1333"/>
      <c r="AD653" s="1333"/>
      <c r="AE653" s="1333"/>
      <c r="AF653" s="1333"/>
      <c r="AG653" s="1333"/>
      <c r="AH653" s="1333"/>
      <c r="AI653" s="1333"/>
      <c r="AJ653" s="1333"/>
    </row>
    <row r="654" spans="1:36" x14ac:dyDescent="0.25">
      <c r="A654" s="1479"/>
      <c r="B654" s="1284"/>
      <c r="C654" s="1284"/>
      <c r="D654" s="1364"/>
      <c r="E654" s="1364"/>
      <c r="F654" s="1364"/>
      <c r="G654" s="1365"/>
      <c r="H654" s="1333"/>
      <c r="I654" s="1333"/>
      <c r="J654" s="1333"/>
      <c r="K654" s="1333"/>
      <c r="L654" s="1333"/>
      <c r="M654" s="1333"/>
      <c r="N654" s="1333"/>
      <c r="O654" s="1333"/>
      <c r="P654" s="1333"/>
      <c r="Q654" s="1333"/>
      <c r="R654" s="1333"/>
      <c r="S654" s="1333"/>
      <c r="T654" s="1333"/>
      <c r="U654" s="1333"/>
      <c r="V654" s="1333"/>
      <c r="W654" s="1333"/>
      <c r="X654" s="1333"/>
      <c r="Y654" s="1333"/>
      <c r="Z654" s="1333"/>
      <c r="AA654" s="1333"/>
      <c r="AB654" s="1333"/>
      <c r="AC654" s="1333"/>
      <c r="AD654" s="1333"/>
      <c r="AE654" s="1333"/>
      <c r="AF654" s="1333"/>
      <c r="AG654" s="1333"/>
      <c r="AH654" s="1333"/>
      <c r="AI654" s="1333"/>
      <c r="AJ654" s="1333"/>
    </row>
    <row r="655" spans="1:36" x14ac:dyDescent="0.25">
      <c r="A655" s="1479"/>
      <c r="B655" s="1284"/>
      <c r="C655" s="1284"/>
      <c r="D655" s="1364"/>
      <c r="E655" s="1364"/>
      <c r="F655" s="1364"/>
      <c r="G655" s="1365"/>
      <c r="H655" s="1333"/>
      <c r="I655" s="1333"/>
      <c r="J655" s="1333"/>
      <c r="K655" s="1333"/>
      <c r="L655" s="1333"/>
      <c r="M655" s="1333"/>
      <c r="N655" s="1333"/>
      <c r="O655" s="1333"/>
      <c r="P655" s="1333"/>
      <c r="Q655" s="1333"/>
      <c r="R655" s="1333"/>
      <c r="S655" s="1333"/>
      <c r="T655" s="1333"/>
      <c r="U655" s="1333"/>
      <c r="V655" s="1333"/>
      <c r="W655" s="1333"/>
      <c r="X655" s="1333"/>
      <c r="Y655" s="1333"/>
      <c r="Z655" s="1333"/>
      <c r="AA655" s="1333"/>
      <c r="AB655" s="1333"/>
      <c r="AC655" s="1333"/>
      <c r="AD655" s="1333"/>
      <c r="AE655" s="1333"/>
      <c r="AF655" s="1333"/>
      <c r="AG655" s="1333"/>
      <c r="AH655" s="1333"/>
      <c r="AI655" s="1333"/>
      <c r="AJ655" s="1333"/>
    </row>
    <row r="656" spans="1:36" x14ac:dyDescent="0.25">
      <c r="A656" s="1479"/>
      <c r="B656" s="1284"/>
      <c r="C656" s="1284"/>
      <c r="D656" s="1364"/>
      <c r="E656" s="1364"/>
      <c r="F656" s="1364"/>
      <c r="G656" s="1365"/>
      <c r="H656" s="1333"/>
      <c r="I656" s="1333"/>
      <c r="J656" s="1333"/>
      <c r="K656" s="1333"/>
      <c r="L656" s="1333"/>
      <c r="M656" s="1333"/>
      <c r="N656" s="1333"/>
      <c r="O656" s="1333"/>
      <c r="P656" s="1333"/>
      <c r="Q656" s="1333"/>
      <c r="R656" s="1333"/>
      <c r="S656" s="1333"/>
      <c r="T656" s="1333"/>
      <c r="U656" s="1333"/>
      <c r="V656" s="1333"/>
      <c r="W656" s="1333"/>
      <c r="X656" s="1333"/>
      <c r="Y656" s="1333"/>
      <c r="Z656" s="1333"/>
      <c r="AA656" s="1333"/>
      <c r="AB656" s="1333"/>
      <c r="AC656" s="1333"/>
      <c r="AD656" s="1333"/>
      <c r="AE656" s="1333"/>
      <c r="AF656" s="1333"/>
      <c r="AG656" s="1333"/>
      <c r="AH656" s="1333"/>
      <c r="AI656" s="1333"/>
      <c r="AJ656" s="1333"/>
    </row>
    <row r="657" spans="1:36" x14ac:dyDescent="0.25">
      <c r="A657" s="1479"/>
      <c r="B657" s="1284"/>
      <c r="C657" s="1284"/>
      <c r="D657" s="1364"/>
      <c r="E657" s="1364"/>
      <c r="F657" s="1364"/>
      <c r="G657" s="1365"/>
      <c r="H657" s="1333"/>
      <c r="I657" s="1333"/>
      <c r="J657" s="1333"/>
      <c r="K657" s="1333"/>
      <c r="L657" s="1333"/>
      <c r="M657" s="1333"/>
      <c r="N657" s="1333"/>
      <c r="O657" s="1333"/>
      <c r="P657" s="1333"/>
      <c r="Q657" s="1333"/>
      <c r="R657" s="1333"/>
      <c r="S657" s="1333"/>
      <c r="T657" s="1333"/>
      <c r="U657" s="1333"/>
      <c r="V657" s="1333"/>
      <c r="W657" s="1333"/>
      <c r="X657" s="1333"/>
      <c r="Y657" s="1333"/>
      <c r="Z657" s="1333"/>
      <c r="AA657" s="1333"/>
      <c r="AB657" s="1333"/>
      <c r="AC657" s="1333"/>
      <c r="AD657" s="1333"/>
      <c r="AE657" s="1333"/>
      <c r="AF657" s="1333"/>
      <c r="AG657" s="1333"/>
      <c r="AH657" s="1333"/>
      <c r="AI657" s="1333"/>
      <c r="AJ657" s="1333"/>
    </row>
    <row r="658" spans="1:36" x14ac:dyDescent="0.25">
      <c r="A658" s="1479"/>
      <c r="B658" s="1284"/>
      <c r="C658" s="1284"/>
      <c r="D658" s="1364"/>
      <c r="E658" s="1364"/>
      <c r="F658" s="1364"/>
      <c r="G658" s="1365"/>
      <c r="H658" s="1333"/>
      <c r="I658" s="1333"/>
      <c r="J658" s="1333"/>
      <c r="K658" s="1333"/>
      <c r="L658" s="1333"/>
      <c r="M658" s="1333"/>
      <c r="N658" s="1333"/>
      <c r="O658" s="1333"/>
      <c r="P658" s="1333"/>
      <c r="Q658" s="1333"/>
      <c r="R658" s="1333"/>
      <c r="S658" s="1333"/>
      <c r="T658" s="1333"/>
      <c r="U658" s="1333"/>
      <c r="V658" s="1333"/>
      <c r="W658" s="1333"/>
      <c r="X658" s="1333"/>
      <c r="Y658" s="1333"/>
      <c r="Z658" s="1333"/>
      <c r="AA658" s="1333"/>
      <c r="AB658" s="1333"/>
      <c r="AC658" s="1333"/>
      <c r="AD658" s="1333"/>
      <c r="AE658" s="1333"/>
      <c r="AF658" s="1333"/>
      <c r="AG658" s="1333"/>
      <c r="AH658" s="1333"/>
      <c r="AI658" s="1333"/>
      <c r="AJ658" s="1333"/>
    </row>
    <row r="659" spans="1:36" x14ac:dyDescent="0.25">
      <c r="A659" s="1479"/>
      <c r="B659" s="1284"/>
      <c r="C659" s="1284"/>
      <c r="D659" s="1364"/>
      <c r="E659" s="1364"/>
      <c r="F659" s="1364"/>
      <c r="G659" s="1365"/>
      <c r="H659" s="1333"/>
      <c r="I659" s="1333"/>
      <c r="J659" s="1333"/>
      <c r="K659" s="1333"/>
      <c r="L659" s="1333"/>
      <c r="M659" s="1333"/>
      <c r="N659" s="1333"/>
      <c r="O659" s="1333"/>
      <c r="P659" s="1333"/>
      <c r="Q659" s="1333"/>
      <c r="R659" s="1333"/>
      <c r="S659" s="1333"/>
      <c r="T659" s="1333"/>
      <c r="U659" s="1333"/>
      <c r="V659" s="1333"/>
      <c r="W659" s="1333"/>
      <c r="X659" s="1333"/>
      <c r="Y659" s="1333"/>
      <c r="Z659" s="1333"/>
      <c r="AA659" s="1333"/>
      <c r="AB659" s="1333"/>
      <c r="AC659" s="1333"/>
      <c r="AD659" s="1333"/>
      <c r="AE659" s="1333"/>
      <c r="AF659" s="1333"/>
      <c r="AG659" s="1333"/>
      <c r="AH659" s="1333"/>
      <c r="AI659" s="1333"/>
      <c r="AJ659" s="1333"/>
    </row>
    <row r="660" spans="1:36" x14ac:dyDescent="0.25">
      <c r="A660" s="1479"/>
      <c r="B660" s="1284"/>
      <c r="C660" s="1284"/>
      <c r="D660" s="1364"/>
      <c r="E660" s="1364"/>
      <c r="F660" s="1364"/>
      <c r="G660" s="1365"/>
      <c r="H660" s="1333"/>
      <c r="I660" s="1333"/>
      <c r="J660" s="1333"/>
      <c r="K660" s="1333"/>
      <c r="L660" s="1333"/>
      <c r="M660" s="1333"/>
      <c r="N660" s="1333"/>
      <c r="O660" s="1333"/>
      <c r="P660" s="1333"/>
      <c r="Q660" s="1333"/>
      <c r="R660" s="1333"/>
      <c r="S660" s="1333"/>
      <c r="T660" s="1333"/>
      <c r="U660" s="1333"/>
      <c r="V660" s="1333"/>
      <c r="W660" s="1333"/>
      <c r="X660" s="1333"/>
      <c r="Y660" s="1333"/>
      <c r="Z660" s="1333"/>
      <c r="AA660" s="1333"/>
      <c r="AB660" s="1333"/>
      <c r="AC660" s="1333"/>
      <c r="AD660" s="1333"/>
      <c r="AE660" s="1333"/>
      <c r="AF660" s="1333"/>
      <c r="AG660" s="1333"/>
      <c r="AH660" s="1333"/>
      <c r="AI660" s="1333"/>
      <c r="AJ660" s="1333"/>
    </row>
    <row r="661" spans="1:36" x14ac:dyDescent="0.25">
      <c r="A661" s="1479"/>
      <c r="B661" s="1284"/>
      <c r="C661" s="1284"/>
      <c r="D661" s="1364"/>
      <c r="E661" s="1364"/>
      <c r="F661" s="1364"/>
      <c r="G661" s="1365"/>
      <c r="H661" s="1333"/>
      <c r="I661" s="1333"/>
      <c r="J661" s="1333"/>
      <c r="K661" s="1333"/>
      <c r="L661" s="1333"/>
      <c r="M661" s="1333"/>
      <c r="N661" s="1333"/>
      <c r="O661" s="1333"/>
      <c r="P661" s="1333"/>
      <c r="Q661" s="1333"/>
      <c r="R661" s="1333"/>
      <c r="S661" s="1333"/>
      <c r="T661" s="1333"/>
      <c r="U661" s="1333"/>
      <c r="V661" s="1333"/>
      <c r="W661" s="1333"/>
      <c r="X661" s="1333"/>
      <c r="Y661" s="1333"/>
      <c r="Z661" s="1333"/>
      <c r="AA661" s="1333"/>
      <c r="AB661" s="1333"/>
      <c r="AC661" s="1333"/>
      <c r="AD661" s="1333"/>
      <c r="AE661" s="1333"/>
      <c r="AF661" s="1333"/>
      <c r="AG661" s="1333"/>
      <c r="AH661" s="1333"/>
      <c r="AI661" s="1333"/>
      <c r="AJ661" s="1333"/>
    </row>
    <row r="662" spans="1:36" x14ac:dyDescent="0.25">
      <c r="A662" s="1479"/>
      <c r="B662" s="1284"/>
      <c r="C662" s="1284"/>
      <c r="D662" s="1364"/>
      <c r="E662" s="1364"/>
      <c r="F662" s="1364"/>
      <c r="G662" s="1365"/>
      <c r="H662" s="1333"/>
      <c r="I662" s="1333"/>
      <c r="J662" s="1333"/>
      <c r="K662" s="1333"/>
      <c r="L662" s="1333"/>
      <c r="M662" s="1333"/>
      <c r="N662" s="1333"/>
      <c r="O662" s="1333"/>
      <c r="P662" s="1333"/>
      <c r="Q662" s="1333"/>
      <c r="R662" s="1333"/>
      <c r="S662" s="1333"/>
      <c r="T662" s="1333"/>
      <c r="U662" s="1333"/>
      <c r="V662" s="1333"/>
      <c r="W662" s="1333"/>
      <c r="X662" s="1333"/>
      <c r="Y662" s="1333"/>
      <c r="Z662" s="1333"/>
      <c r="AA662" s="1333"/>
      <c r="AB662" s="1333"/>
      <c r="AC662" s="1333"/>
      <c r="AD662" s="1333"/>
      <c r="AE662" s="1333"/>
      <c r="AF662" s="1333"/>
      <c r="AG662" s="1333"/>
      <c r="AH662" s="1333"/>
      <c r="AI662" s="1333"/>
      <c r="AJ662" s="1333"/>
    </row>
    <row r="663" spans="1:36" x14ac:dyDescent="0.25">
      <c r="A663" s="1479"/>
      <c r="B663" s="1284"/>
      <c r="C663" s="1284"/>
      <c r="D663" s="1364"/>
      <c r="E663" s="1364"/>
      <c r="F663" s="1364"/>
      <c r="G663" s="1365"/>
      <c r="H663" s="1333"/>
      <c r="I663" s="1333"/>
      <c r="J663" s="1333"/>
      <c r="K663" s="1333"/>
      <c r="L663" s="1333"/>
      <c r="M663" s="1333"/>
      <c r="N663" s="1333"/>
      <c r="O663" s="1333"/>
      <c r="P663" s="1333"/>
      <c r="Q663" s="1333"/>
      <c r="R663" s="1333"/>
      <c r="S663" s="1333"/>
      <c r="T663" s="1333"/>
      <c r="U663" s="1333"/>
      <c r="V663" s="1333"/>
      <c r="W663" s="1333"/>
      <c r="X663" s="1333"/>
      <c r="Y663" s="1333"/>
      <c r="Z663" s="1333"/>
      <c r="AA663" s="1333"/>
      <c r="AB663" s="1333"/>
      <c r="AC663" s="1333"/>
      <c r="AD663" s="1333"/>
      <c r="AE663" s="1333"/>
      <c r="AF663" s="1333"/>
      <c r="AG663" s="1333"/>
      <c r="AH663" s="1333"/>
      <c r="AI663" s="1333"/>
      <c r="AJ663" s="1333"/>
    </row>
    <row r="664" spans="1:36" x14ac:dyDescent="0.25">
      <c r="A664" s="1479"/>
      <c r="B664" s="1284"/>
      <c r="C664" s="1284"/>
      <c r="D664" s="1364"/>
      <c r="E664" s="1364"/>
      <c r="F664" s="1364"/>
      <c r="G664" s="1365"/>
      <c r="H664" s="1333"/>
      <c r="I664" s="1333"/>
      <c r="J664" s="1333"/>
      <c r="K664" s="1333"/>
      <c r="L664" s="1333"/>
      <c r="M664" s="1333"/>
      <c r="N664" s="1333"/>
      <c r="O664" s="1333"/>
      <c r="P664" s="1333"/>
      <c r="Q664" s="1333"/>
      <c r="R664" s="1333"/>
      <c r="S664" s="1333"/>
      <c r="T664" s="1333"/>
      <c r="U664" s="1333"/>
      <c r="V664" s="1333"/>
      <c r="W664" s="1333"/>
      <c r="X664" s="1333"/>
      <c r="Y664" s="1333"/>
      <c r="Z664" s="1333"/>
      <c r="AA664" s="1333"/>
      <c r="AB664" s="1333"/>
      <c r="AC664" s="1333"/>
      <c r="AD664" s="1333"/>
      <c r="AE664" s="1333"/>
      <c r="AF664" s="1333"/>
      <c r="AG664" s="1333"/>
      <c r="AH664" s="1333"/>
      <c r="AI664" s="1333"/>
      <c r="AJ664" s="1333"/>
    </row>
    <row r="665" spans="1:36" x14ac:dyDescent="0.25">
      <c r="A665" s="1479"/>
      <c r="B665" s="1284"/>
      <c r="C665" s="1284"/>
      <c r="D665" s="1364"/>
      <c r="E665" s="1364"/>
      <c r="F665" s="1364"/>
      <c r="G665" s="1365"/>
      <c r="H665" s="1333"/>
      <c r="I665" s="1333"/>
      <c r="J665" s="1333"/>
      <c r="K665" s="1333"/>
      <c r="L665" s="1333"/>
      <c r="M665" s="1333"/>
      <c r="N665" s="1333"/>
      <c r="O665" s="1333"/>
      <c r="P665" s="1333"/>
      <c r="Q665" s="1333"/>
      <c r="R665" s="1333"/>
      <c r="S665" s="1333"/>
      <c r="T665" s="1333"/>
      <c r="U665" s="1333"/>
      <c r="V665" s="1333"/>
      <c r="W665" s="1333"/>
      <c r="X665" s="1333"/>
      <c r="Y665" s="1333"/>
      <c r="Z665" s="1333"/>
      <c r="AA665" s="1333"/>
      <c r="AB665" s="1333"/>
      <c r="AC665" s="1333"/>
      <c r="AD665" s="1333"/>
      <c r="AE665" s="1333"/>
      <c r="AF665" s="1333"/>
      <c r="AG665" s="1333"/>
      <c r="AH665" s="1333"/>
      <c r="AI665" s="1333"/>
      <c r="AJ665" s="1333"/>
    </row>
    <row r="666" spans="1:36" x14ac:dyDescent="0.25">
      <c r="A666" s="1479"/>
      <c r="B666" s="1284"/>
      <c r="C666" s="1284"/>
      <c r="D666" s="1364"/>
      <c r="E666" s="1364"/>
      <c r="F666" s="1364"/>
      <c r="G666" s="1365"/>
      <c r="H666" s="1333"/>
      <c r="I666" s="1333"/>
      <c r="J666" s="1333"/>
      <c r="K666" s="1333"/>
      <c r="L666" s="1333"/>
      <c r="M666" s="1333"/>
      <c r="N666" s="1333"/>
      <c r="O666" s="1333"/>
      <c r="P666" s="1333"/>
      <c r="Q666" s="1333"/>
      <c r="R666" s="1333"/>
      <c r="S666" s="1333"/>
      <c r="T666" s="1333"/>
      <c r="U666" s="1333"/>
      <c r="V666" s="1333"/>
      <c r="W666" s="1333"/>
      <c r="X666" s="1333"/>
      <c r="Y666" s="1333"/>
      <c r="Z666" s="1333"/>
      <c r="AA666" s="1333"/>
      <c r="AB666" s="1333"/>
      <c r="AC666" s="1333"/>
      <c r="AD666" s="1333"/>
      <c r="AE666" s="1333"/>
      <c r="AF666" s="1333"/>
      <c r="AG666" s="1333"/>
      <c r="AH666" s="1333"/>
      <c r="AI666" s="1333"/>
      <c r="AJ666" s="1333"/>
    </row>
    <row r="667" spans="1:36" x14ac:dyDescent="0.25">
      <c r="A667" s="1479"/>
      <c r="B667" s="1284"/>
      <c r="C667" s="1284"/>
      <c r="D667" s="1364"/>
      <c r="E667" s="1364"/>
      <c r="F667" s="1364"/>
      <c r="G667" s="1365"/>
      <c r="H667" s="1333"/>
      <c r="I667" s="1333"/>
      <c r="J667" s="1333"/>
      <c r="K667" s="1333"/>
      <c r="L667" s="1333"/>
      <c r="M667" s="1333"/>
      <c r="N667" s="1333"/>
      <c r="O667" s="1333"/>
      <c r="P667" s="1333"/>
      <c r="Q667" s="1333"/>
      <c r="R667" s="1333"/>
      <c r="S667" s="1333"/>
      <c r="T667" s="1333"/>
      <c r="U667" s="1333"/>
      <c r="V667" s="1333"/>
      <c r="W667" s="1333"/>
      <c r="X667" s="1333"/>
      <c r="Y667" s="1333"/>
      <c r="Z667" s="1333"/>
      <c r="AA667" s="1333"/>
      <c r="AB667" s="1333"/>
      <c r="AC667" s="1333"/>
      <c r="AD667" s="1333"/>
      <c r="AE667" s="1333"/>
      <c r="AF667" s="1333"/>
      <c r="AG667" s="1333"/>
      <c r="AH667" s="1333"/>
      <c r="AI667" s="1333"/>
      <c r="AJ667" s="1333"/>
    </row>
    <row r="668" spans="1:36" x14ac:dyDescent="0.25">
      <c r="A668" s="1479"/>
      <c r="B668" s="1284"/>
      <c r="C668" s="1284"/>
      <c r="D668" s="1364"/>
      <c r="E668" s="1364"/>
      <c r="F668" s="1364"/>
      <c r="G668" s="1365"/>
      <c r="H668" s="1333"/>
      <c r="I668" s="1333"/>
      <c r="J668" s="1333"/>
      <c r="K668" s="1333"/>
      <c r="L668" s="1333"/>
      <c r="M668" s="1333"/>
      <c r="N668" s="1333"/>
      <c r="O668" s="1333"/>
      <c r="P668" s="1333"/>
      <c r="Q668" s="1333"/>
      <c r="R668" s="1333"/>
      <c r="S668" s="1333"/>
      <c r="T668" s="1333"/>
      <c r="U668" s="1333"/>
      <c r="V668" s="1333"/>
      <c r="W668" s="1333"/>
      <c r="X668" s="1333"/>
      <c r="Y668" s="1333"/>
      <c r="Z668" s="1333"/>
      <c r="AA668" s="1333"/>
      <c r="AB668" s="1333"/>
      <c r="AC668" s="1333"/>
      <c r="AD668" s="1333"/>
      <c r="AE668" s="1333"/>
      <c r="AF668" s="1333"/>
      <c r="AG668" s="1333"/>
      <c r="AH668" s="1333"/>
      <c r="AI668" s="1333"/>
      <c r="AJ668" s="1333"/>
    </row>
    <row r="669" spans="1:36" x14ac:dyDescent="0.25">
      <c r="A669" s="1479"/>
      <c r="B669" s="1284"/>
      <c r="C669" s="1284"/>
      <c r="D669" s="1364"/>
      <c r="E669" s="1364"/>
      <c r="F669" s="1364"/>
      <c r="G669" s="1365"/>
      <c r="H669" s="1333"/>
      <c r="I669" s="1333"/>
      <c r="J669" s="1333"/>
      <c r="K669" s="1333"/>
      <c r="L669" s="1333"/>
      <c r="M669" s="1333"/>
      <c r="N669" s="1333"/>
      <c r="O669" s="1333"/>
      <c r="P669" s="1333"/>
      <c r="Q669" s="1333"/>
      <c r="R669" s="1333"/>
      <c r="S669" s="1333"/>
      <c r="T669" s="1333"/>
      <c r="U669" s="1333"/>
      <c r="V669" s="1333"/>
      <c r="W669" s="1333"/>
      <c r="X669" s="1333"/>
      <c r="Y669" s="1333"/>
      <c r="Z669" s="1333"/>
      <c r="AA669" s="1333"/>
      <c r="AB669" s="1333"/>
      <c r="AC669" s="1333"/>
      <c r="AD669" s="1333"/>
      <c r="AE669" s="1333"/>
      <c r="AF669" s="1333"/>
      <c r="AG669" s="1333"/>
      <c r="AH669" s="1333"/>
      <c r="AI669" s="1333"/>
      <c r="AJ669" s="1333"/>
    </row>
    <row r="670" spans="1:36" x14ac:dyDescent="0.25">
      <c r="A670" s="1479"/>
      <c r="B670" s="1284"/>
      <c r="C670" s="1284"/>
      <c r="D670" s="1364"/>
      <c r="E670" s="1364"/>
      <c r="F670" s="1364"/>
      <c r="G670" s="1365"/>
      <c r="H670" s="1333"/>
      <c r="I670" s="1333"/>
      <c r="J670" s="1333"/>
      <c r="K670" s="1333"/>
      <c r="L670" s="1333"/>
      <c r="M670" s="1333"/>
      <c r="N670" s="1333"/>
      <c r="O670" s="1333"/>
      <c r="P670" s="1333"/>
      <c r="Q670" s="1333"/>
      <c r="R670" s="1333"/>
      <c r="S670" s="1333"/>
      <c r="T670" s="1333"/>
      <c r="U670" s="1333"/>
      <c r="V670" s="1333"/>
      <c r="W670" s="1333"/>
      <c r="X670" s="1333"/>
      <c r="Y670" s="1333"/>
      <c r="Z670" s="1333"/>
      <c r="AA670" s="1333"/>
      <c r="AB670" s="1333"/>
      <c r="AC670" s="1333"/>
      <c r="AD670" s="1333"/>
      <c r="AE670" s="1333"/>
      <c r="AF670" s="1333"/>
      <c r="AG670" s="1333"/>
      <c r="AH670" s="1333"/>
      <c r="AI670" s="1333"/>
      <c r="AJ670" s="1333"/>
    </row>
    <row r="671" spans="1:36" x14ac:dyDescent="0.25">
      <c r="A671" s="1479"/>
      <c r="B671" s="1284"/>
      <c r="C671" s="1284"/>
      <c r="D671" s="1364"/>
      <c r="E671" s="1364"/>
      <c r="F671" s="1364"/>
      <c r="G671" s="1365"/>
      <c r="H671" s="1333"/>
      <c r="I671" s="1333"/>
      <c r="J671" s="1333"/>
      <c r="K671" s="1333"/>
      <c r="L671" s="1333"/>
      <c r="M671" s="1333"/>
      <c r="N671" s="1333"/>
      <c r="O671" s="1333"/>
      <c r="P671" s="1333"/>
      <c r="Q671" s="1333"/>
      <c r="R671" s="1333"/>
      <c r="S671" s="1333"/>
      <c r="T671" s="1333"/>
      <c r="U671" s="1333"/>
      <c r="V671" s="1333"/>
      <c r="W671" s="1333"/>
      <c r="X671" s="1333"/>
      <c r="Y671" s="1333"/>
      <c r="Z671" s="1333"/>
      <c r="AA671" s="1333"/>
      <c r="AB671" s="1333"/>
      <c r="AC671" s="1333"/>
      <c r="AD671" s="1333"/>
      <c r="AE671" s="1333"/>
      <c r="AF671" s="1333"/>
      <c r="AG671" s="1333"/>
      <c r="AH671" s="1333"/>
      <c r="AI671" s="1333"/>
      <c r="AJ671" s="1333"/>
    </row>
    <row r="672" spans="1:36" x14ac:dyDescent="0.25">
      <c r="A672" s="1479"/>
      <c r="B672" s="1284"/>
      <c r="C672" s="1284"/>
      <c r="D672" s="1364"/>
      <c r="E672" s="1364"/>
      <c r="F672" s="1364"/>
      <c r="G672" s="1365"/>
      <c r="H672" s="1333"/>
      <c r="I672" s="1333"/>
      <c r="J672" s="1333"/>
      <c r="K672" s="1333"/>
      <c r="L672" s="1333"/>
      <c r="M672" s="1333"/>
      <c r="N672" s="1333"/>
      <c r="O672" s="1333"/>
      <c r="P672" s="1333"/>
      <c r="Q672" s="1333"/>
      <c r="R672" s="1333"/>
      <c r="S672" s="1333"/>
      <c r="T672" s="1333"/>
      <c r="U672" s="1333"/>
      <c r="V672" s="1333"/>
      <c r="W672" s="1333"/>
      <c r="X672" s="1333"/>
      <c r="Y672" s="1333"/>
      <c r="Z672" s="1333"/>
      <c r="AA672" s="1333"/>
      <c r="AB672" s="1333"/>
      <c r="AC672" s="1333"/>
      <c r="AD672" s="1333"/>
      <c r="AE672" s="1333"/>
      <c r="AF672" s="1333"/>
      <c r="AG672" s="1333"/>
      <c r="AH672" s="1333"/>
      <c r="AI672" s="1333"/>
      <c r="AJ672" s="1333"/>
    </row>
    <row r="673" spans="1:36" x14ac:dyDescent="0.25">
      <c r="A673" s="1479"/>
      <c r="B673" s="1284"/>
      <c r="C673" s="1284"/>
      <c r="D673" s="1364"/>
      <c r="E673" s="1364"/>
      <c r="F673" s="1364"/>
      <c r="G673" s="1365"/>
      <c r="H673" s="1333"/>
      <c r="I673" s="1333"/>
      <c r="J673" s="1333"/>
      <c r="K673" s="1333"/>
      <c r="L673" s="1333"/>
      <c r="M673" s="1333"/>
      <c r="N673" s="1333"/>
      <c r="O673" s="1333"/>
      <c r="P673" s="1333"/>
      <c r="Q673" s="1333"/>
      <c r="R673" s="1333"/>
      <c r="S673" s="1333"/>
      <c r="T673" s="1333"/>
      <c r="U673" s="1333"/>
      <c r="V673" s="1333"/>
      <c r="W673" s="1333"/>
      <c r="X673" s="1333"/>
      <c r="Y673" s="1333"/>
      <c r="Z673" s="1333"/>
      <c r="AA673" s="1333"/>
      <c r="AB673" s="1333"/>
      <c r="AC673" s="1333"/>
      <c r="AD673" s="1333"/>
      <c r="AE673" s="1333"/>
      <c r="AF673" s="1333"/>
      <c r="AG673" s="1333"/>
      <c r="AH673" s="1333"/>
      <c r="AI673" s="1333"/>
      <c r="AJ673" s="1333"/>
    </row>
    <row r="674" spans="1:36" x14ac:dyDescent="0.25">
      <c r="A674" s="1479"/>
      <c r="B674" s="1284"/>
      <c r="C674" s="1284"/>
      <c r="D674" s="1364"/>
      <c r="E674" s="1364"/>
      <c r="F674" s="1364"/>
      <c r="G674" s="1365"/>
      <c r="H674" s="1333"/>
      <c r="I674" s="1333"/>
      <c r="J674" s="1333"/>
      <c r="K674" s="1333"/>
      <c r="L674" s="1333"/>
      <c r="M674" s="1333"/>
      <c r="N674" s="1333"/>
      <c r="O674" s="1333"/>
      <c r="P674" s="1333"/>
      <c r="Q674" s="1333"/>
      <c r="R674" s="1333"/>
      <c r="S674" s="1333"/>
      <c r="T674" s="1333"/>
      <c r="U674" s="1333"/>
      <c r="V674" s="1333"/>
      <c r="W674" s="1333"/>
      <c r="X674" s="1333"/>
      <c r="Y674" s="1333"/>
      <c r="Z674" s="1333"/>
      <c r="AA674" s="1333"/>
      <c r="AB674" s="1333"/>
      <c r="AC674" s="1333"/>
      <c r="AD674" s="1333"/>
      <c r="AE674" s="1333"/>
      <c r="AF674" s="1333"/>
      <c r="AG674" s="1333"/>
      <c r="AH674" s="1333"/>
      <c r="AI674" s="1333"/>
      <c r="AJ674" s="1333"/>
    </row>
    <row r="675" spans="1:36" x14ac:dyDescent="0.25">
      <c r="A675" s="1479"/>
      <c r="B675" s="1284"/>
      <c r="C675" s="1284"/>
      <c r="D675" s="1364"/>
      <c r="E675" s="1364"/>
      <c r="F675" s="1364"/>
      <c r="G675" s="1365"/>
      <c r="H675" s="1333"/>
      <c r="I675" s="1333"/>
      <c r="J675" s="1333"/>
      <c r="K675" s="1333"/>
      <c r="L675" s="1333"/>
      <c r="M675" s="1333"/>
      <c r="N675" s="1333"/>
      <c r="O675" s="1333"/>
      <c r="P675" s="1333"/>
      <c r="Q675" s="1333"/>
      <c r="R675" s="1333"/>
      <c r="S675" s="1333"/>
      <c r="T675" s="1333"/>
      <c r="U675" s="1333"/>
      <c r="V675" s="1333"/>
      <c r="W675" s="1333"/>
      <c r="X675" s="1333"/>
      <c r="Y675" s="1333"/>
      <c r="Z675" s="1333"/>
      <c r="AA675" s="1333"/>
      <c r="AB675" s="1333"/>
      <c r="AC675" s="1333"/>
      <c r="AD675" s="1333"/>
      <c r="AE675" s="1333"/>
      <c r="AF675" s="1333"/>
      <c r="AG675" s="1333"/>
      <c r="AH675" s="1333"/>
      <c r="AI675" s="1333"/>
      <c r="AJ675" s="1333"/>
    </row>
    <row r="676" spans="1:36" x14ac:dyDescent="0.25">
      <c r="A676" s="1479"/>
      <c r="B676" s="1284"/>
      <c r="C676" s="1284"/>
      <c r="D676" s="1364"/>
      <c r="E676" s="1364"/>
      <c r="F676" s="1364"/>
      <c r="G676" s="1365"/>
      <c r="H676" s="1333"/>
      <c r="I676" s="1333"/>
      <c r="J676" s="1333"/>
      <c r="K676" s="1333"/>
      <c r="L676" s="1333"/>
      <c r="M676" s="1333"/>
      <c r="N676" s="1333"/>
      <c r="O676" s="1333"/>
      <c r="P676" s="1333"/>
      <c r="Q676" s="1333"/>
      <c r="R676" s="1333"/>
      <c r="S676" s="1333"/>
      <c r="T676" s="1333"/>
      <c r="U676" s="1333"/>
      <c r="V676" s="1333"/>
      <c r="W676" s="1333"/>
      <c r="X676" s="1333"/>
      <c r="Y676" s="1333"/>
      <c r="Z676" s="1333"/>
      <c r="AA676" s="1333"/>
      <c r="AB676" s="1333"/>
      <c r="AC676" s="1333"/>
      <c r="AD676" s="1333"/>
      <c r="AE676" s="1333"/>
      <c r="AF676" s="1333"/>
      <c r="AG676" s="1333"/>
      <c r="AH676" s="1333"/>
      <c r="AI676" s="1333"/>
      <c r="AJ676" s="1333"/>
    </row>
    <row r="677" spans="1:36" x14ac:dyDescent="0.25">
      <c r="A677" s="1479"/>
      <c r="B677" s="1284"/>
      <c r="C677" s="1284"/>
      <c r="D677" s="1364"/>
      <c r="E677" s="1364"/>
      <c r="F677" s="1364"/>
      <c r="G677" s="1365"/>
      <c r="H677" s="1333"/>
      <c r="I677" s="1333"/>
      <c r="J677" s="1333"/>
      <c r="K677" s="1333"/>
      <c r="L677" s="1333"/>
      <c r="M677" s="1333"/>
      <c r="N677" s="1333"/>
      <c r="O677" s="1333"/>
      <c r="P677" s="1333"/>
      <c r="Q677" s="1333"/>
      <c r="R677" s="1333"/>
      <c r="S677" s="1333"/>
      <c r="T677" s="1333"/>
      <c r="U677" s="1333"/>
      <c r="V677" s="1333"/>
      <c r="W677" s="1333"/>
      <c r="X677" s="1333"/>
      <c r="Y677" s="1333"/>
      <c r="Z677" s="1333"/>
      <c r="AA677" s="1333"/>
      <c r="AB677" s="1333"/>
      <c r="AC677" s="1333"/>
      <c r="AD677" s="1333"/>
      <c r="AE677" s="1333"/>
      <c r="AF677" s="1333"/>
      <c r="AG677" s="1333"/>
      <c r="AH677" s="1333"/>
      <c r="AI677" s="1333"/>
      <c r="AJ677" s="1333"/>
    </row>
    <row r="678" spans="1:36" x14ac:dyDescent="0.25">
      <c r="A678" s="1479"/>
      <c r="B678" s="1284"/>
      <c r="C678" s="1284"/>
      <c r="D678" s="1364"/>
      <c r="E678" s="1364"/>
      <c r="F678" s="1364"/>
      <c r="G678" s="1365"/>
      <c r="H678" s="1333"/>
      <c r="I678" s="1333"/>
      <c r="J678" s="1333"/>
      <c r="K678" s="1333"/>
      <c r="L678" s="1333"/>
      <c r="M678" s="1333"/>
      <c r="N678" s="1333"/>
      <c r="O678" s="1333"/>
      <c r="P678" s="1333"/>
      <c r="Q678" s="1333"/>
      <c r="R678" s="1333"/>
      <c r="S678" s="1333"/>
      <c r="T678" s="1333"/>
      <c r="U678" s="1333"/>
      <c r="V678" s="1333"/>
      <c r="W678" s="1333"/>
      <c r="X678" s="1333"/>
      <c r="Y678" s="1333"/>
      <c r="Z678" s="1333"/>
      <c r="AA678" s="1333"/>
      <c r="AB678" s="1333"/>
      <c r="AC678" s="1333"/>
      <c r="AD678" s="1333"/>
      <c r="AE678" s="1333"/>
      <c r="AF678" s="1333"/>
      <c r="AG678" s="1333"/>
      <c r="AH678" s="1333"/>
      <c r="AI678" s="1333"/>
      <c r="AJ678" s="1333"/>
    </row>
    <row r="679" spans="1:36" x14ac:dyDescent="0.25">
      <c r="A679" s="1479"/>
      <c r="B679" s="1284"/>
      <c r="C679" s="1284"/>
      <c r="D679" s="1364"/>
      <c r="E679" s="1364"/>
      <c r="F679" s="1364"/>
      <c r="G679" s="1365"/>
      <c r="H679" s="1333"/>
      <c r="I679" s="1333"/>
      <c r="J679" s="1333"/>
      <c r="K679" s="1333"/>
      <c r="L679" s="1333"/>
      <c r="M679" s="1333"/>
      <c r="N679" s="1333"/>
      <c r="O679" s="1333"/>
      <c r="P679" s="1333"/>
      <c r="Q679" s="1333"/>
      <c r="R679" s="1333"/>
      <c r="S679" s="1333"/>
      <c r="T679" s="1333"/>
      <c r="U679" s="1333"/>
      <c r="V679" s="1333"/>
      <c r="W679" s="1333"/>
      <c r="X679" s="1333"/>
      <c r="Y679" s="1333"/>
      <c r="Z679" s="1333"/>
      <c r="AA679" s="1333"/>
      <c r="AB679" s="1333"/>
      <c r="AC679" s="1333"/>
      <c r="AD679" s="1333"/>
      <c r="AE679" s="1333"/>
      <c r="AF679" s="1333"/>
      <c r="AG679" s="1333"/>
      <c r="AH679" s="1333"/>
      <c r="AI679" s="1333"/>
      <c r="AJ679" s="1333"/>
    </row>
    <row r="680" spans="1:36" x14ac:dyDescent="0.25">
      <c r="A680" s="1479"/>
      <c r="B680" s="1284"/>
      <c r="C680" s="1284"/>
      <c r="D680" s="1364"/>
      <c r="E680" s="1364"/>
      <c r="F680" s="1364"/>
      <c r="G680" s="1365"/>
      <c r="H680" s="1333"/>
      <c r="I680" s="1333"/>
      <c r="J680" s="1333"/>
      <c r="K680" s="1333"/>
      <c r="L680" s="1333"/>
      <c r="M680" s="1333"/>
      <c r="N680" s="1333"/>
      <c r="O680" s="1333"/>
      <c r="P680" s="1333"/>
      <c r="Q680" s="1333"/>
      <c r="R680" s="1333"/>
      <c r="S680" s="1333"/>
      <c r="T680" s="1333"/>
      <c r="U680" s="1333"/>
      <c r="V680" s="1333"/>
      <c r="W680" s="1333"/>
      <c r="X680" s="1333"/>
      <c r="Y680" s="1333"/>
      <c r="Z680" s="1333"/>
      <c r="AA680" s="1333"/>
      <c r="AB680" s="1333"/>
      <c r="AC680" s="1333"/>
      <c r="AD680" s="1333"/>
      <c r="AE680" s="1333"/>
      <c r="AF680" s="1333"/>
      <c r="AG680" s="1333"/>
      <c r="AH680" s="1333"/>
      <c r="AI680" s="1333"/>
      <c r="AJ680" s="1333"/>
    </row>
    <row r="681" spans="1:36" x14ac:dyDescent="0.25">
      <c r="A681" s="1479"/>
      <c r="B681" s="1284"/>
      <c r="C681" s="1284"/>
      <c r="D681" s="1364"/>
      <c r="E681" s="1364"/>
      <c r="F681" s="1364"/>
      <c r="G681" s="1365"/>
      <c r="H681" s="1333"/>
      <c r="I681" s="1333"/>
      <c r="J681" s="1333"/>
      <c r="K681" s="1333"/>
      <c r="L681" s="1333"/>
      <c r="M681" s="1333"/>
      <c r="N681" s="1333"/>
      <c r="O681" s="1333"/>
      <c r="P681" s="1333"/>
      <c r="Q681" s="1333"/>
      <c r="R681" s="1333"/>
      <c r="S681" s="1333"/>
      <c r="T681" s="1333"/>
      <c r="U681" s="1333"/>
      <c r="V681" s="1333"/>
      <c r="W681" s="1333"/>
      <c r="X681" s="1333"/>
      <c r="Y681" s="1333"/>
      <c r="Z681" s="1333"/>
      <c r="AA681" s="1333"/>
      <c r="AB681" s="1333"/>
      <c r="AC681" s="1333"/>
      <c r="AD681" s="1333"/>
      <c r="AE681" s="1333"/>
      <c r="AF681" s="1333"/>
      <c r="AG681" s="1333"/>
      <c r="AH681" s="1333"/>
      <c r="AI681" s="1333"/>
      <c r="AJ681" s="1333"/>
    </row>
    <row r="682" spans="1:36" x14ac:dyDescent="0.25">
      <c r="A682" s="1479"/>
      <c r="B682" s="1284"/>
      <c r="C682" s="1284"/>
      <c r="D682" s="1364"/>
      <c r="E682" s="1364"/>
      <c r="F682" s="1364"/>
      <c r="G682" s="1365"/>
      <c r="H682" s="1333"/>
      <c r="I682" s="1333"/>
      <c r="J682" s="1333"/>
      <c r="K682" s="1333"/>
      <c r="L682" s="1333"/>
      <c r="M682" s="1333"/>
      <c r="N682" s="1333"/>
      <c r="O682" s="1333"/>
      <c r="P682" s="1333"/>
      <c r="Q682" s="1333"/>
      <c r="R682" s="1333"/>
      <c r="S682" s="1333"/>
      <c r="T682" s="1333"/>
      <c r="U682" s="1333"/>
      <c r="V682" s="1333"/>
      <c r="W682" s="1333"/>
      <c r="X682" s="1333"/>
      <c r="Y682" s="1333"/>
      <c r="Z682" s="1333"/>
      <c r="AA682" s="1333"/>
      <c r="AB682" s="1333"/>
      <c r="AC682" s="1333"/>
      <c r="AD682" s="1333"/>
      <c r="AE682" s="1333"/>
      <c r="AF682" s="1333"/>
      <c r="AG682" s="1333"/>
      <c r="AH682" s="1333"/>
      <c r="AI682" s="1333"/>
      <c r="AJ682" s="1333"/>
    </row>
    <row r="683" spans="1:36" x14ac:dyDescent="0.25">
      <c r="A683" s="1479"/>
      <c r="B683" s="1284"/>
      <c r="C683" s="1284"/>
      <c r="D683" s="1364"/>
      <c r="E683" s="1364"/>
      <c r="F683" s="1364"/>
      <c r="G683" s="1365"/>
      <c r="H683" s="1333"/>
      <c r="I683" s="1333"/>
      <c r="J683" s="1333"/>
      <c r="K683" s="1333"/>
      <c r="L683" s="1333"/>
      <c r="M683" s="1333"/>
      <c r="N683" s="1333"/>
      <c r="O683" s="1333"/>
      <c r="P683" s="1333"/>
      <c r="Q683" s="1333"/>
      <c r="R683" s="1333"/>
      <c r="S683" s="1333"/>
      <c r="T683" s="1333"/>
      <c r="U683" s="1333"/>
      <c r="V683" s="1333"/>
      <c r="W683" s="1333"/>
      <c r="X683" s="1333"/>
      <c r="Y683" s="1333"/>
      <c r="Z683" s="1333"/>
      <c r="AA683" s="1333"/>
      <c r="AB683" s="1333"/>
      <c r="AC683" s="1333"/>
      <c r="AD683" s="1333"/>
      <c r="AE683" s="1333"/>
      <c r="AF683" s="1333"/>
      <c r="AG683" s="1333"/>
      <c r="AH683" s="1333"/>
      <c r="AI683" s="1333"/>
      <c r="AJ683" s="1333"/>
    </row>
    <row r="684" spans="1:36" x14ac:dyDescent="0.25">
      <c r="A684" s="1479"/>
      <c r="B684" s="1284"/>
      <c r="C684" s="1284"/>
      <c r="D684" s="1364"/>
      <c r="E684" s="1364"/>
      <c r="F684" s="1364"/>
      <c r="G684" s="1365"/>
      <c r="H684" s="1333"/>
      <c r="I684" s="1333"/>
      <c r="J684" s="1333"/>
      <c r="K684" s="1333"/>
      <c r="L684" s="1333"/>
      <c r="M684" s="1333"/>
      <c r="N684" s="1333"/>
      <c r="O684" s="1333"/>
      <c r="P684" s="1333"/>
      <c r="Q684" s="1333"/>
      <c r="R684" s="1333"/>
      <c r="S684" s="1333"/>
      <c r="T684" s="1333"/>
      <c r="U684" s="1333"/>
      <c r="V684" s="1333"/>
      <c r="W684" s="1333"/>
      <c r="X684" s="1333"/>
      <c r="Y684" s="1333"/>
      <c r="Z684" s="1333"/>
      <c r="AA684" s="1333"/>
      <c r="AB684" s="1333"/>
      <c r="AC684" s="1333"/>
      <c r="AD684" s="1333"/>
      <c r="AE684" s="1333"/>
      <c r="AF684" s="1333"/>
      <c r="AG684" s="1333"/>
      <c r="AH684" s="1333"/>
      <c r="AI684" s="1333"/>
      <c r="AJ684" s="1333"/>
    </row>
    <row r="685" spans="1:36" x14ac:dyDescent="0.25">
      <c r="A685" s="1479"/>
      <c r="B685" s="1284"/>
      <c r="C685" s="1284"/>
      <c r="D685" s="1364"/>
      <c r="E685" s="1364"/>
      <c r="F685" s="1364"/>
      <c r="G685" s="1365"/>
      <c r="H685" s="1333"/>
      <c r="I685" s="1333"/>
      <c r="J685" s="1333"/>
      <c r="K685" s="1333"/>
      <c r="L685" s="1333"/>
      <c r="M685" s="1333"/>
      <c r="N685" s="1333"/>
      <c r="O685" s="1333"/>
      <c r="P685" s="1333"/>
      <c r="Q685" s="1333"/>
      <c r="R685" s="1333"/>
      <c r="S685" s="1333"/>
      <c r="T685" s="1333"/>
      <c r="U685" s="1333"/>
      <c r="V685" s="1333"/>
      <c r="W685" s="1333"/>
      <c r="X685" s="1333"/>
      <c r="Y685" s="1333"/>
      <c r="Z685" s="1333"/>
      <c r="AA685" s="1333"/>
      <c r="AB685" s="1333"/>
      <c r="AC685" s="1333"/>
      <c r="AD685" s="1333"/>
      <c r="AE685" s="1333"/>
      <c r="AF685" s="1333"/>
      <c r="AG685" s="1333"/>
      <c r="AH685" s="1333"/>
      <c r="AI685" s="1333"/>
      <c r="AJ685" s="1333"/>
    </row>
    <row r="686" spans="1:36" x14ac:dyDescent="0.25">
      <c r="A686" s="1479"/>
      <c r="B686" s="1284"/>
      <c r="C686" s="1284"/>
      <c r="D686" s="1364"/>
      <c r="E686" s="1364"/>
      <c r="F686" s="1364"/>
      <c r="G686" s="1365"/>
      <c r="H686" s="1333"/>
      <c r="I686" s="1333"/>
      <c r="J686" s="1333"/>
      <c r="K686" s="1333"/>
      <c r="L686" s="1333"/>
      <c r="M686" s="1333"/>
      <c r="N686" s="1333"/>
      <c r="O686" s="1333"/>
      <c r="P686" s="1333"/>
      <c r="Q686" s="1333"/>
      <c r="R686" s="1333"/>
      <c r="S686" s="1333"/>
      <c r="T686" s="1333"/>
      <c r="U686" s="1333"/>
      <c r="V686" s="1333"/>
      <c r="W686" s="1333"/>
      <c r="X686" s="1333"/>
      <c r="Y686" s="1333"/>
      <c r="Z686" s="1333"/>
      <c r="AA686" s="1333"/>
      <c r="AB686" s="1333"/>
      <c r="AC686" s="1333"/>
      <c r="AD686" s="1333"/>
      <c r="AE686" s="1333"/>
      <c r="AF686" s="1333"/>
      <c r="AG686" s="1333"/>
      <c r="AH686" s="1333"/>
      <c r="AI686" s="1333"/>
      <c r="AJ686" s="1333"/>
    </row>
    <row r="687" spans="1:36" x14ac:dyDescent="0.25">
      <c r="A687" s="1479"/>
      <c r="B687" s="1284"/>
      <c r="C687" s="1284"/>
      <c r="D687" s="1364"/>
      <c r="E687" s="1364"/>
      <c r="F687" s="1364"/>
      <c r="G687" s="1365"/>
      <c r="H687" s="1333"/>
      <c r="I687" s="1333"/>
      <c r="J687" s="1333"/>
      <c r="K687" s="1333"/>
      <c r="L687" s="1333"/>
      <c r="M687" s="1333"/>
      <c r="N687" s="1333"/>
      <c r="O687" s="1333"/>
      <c r="P687" s="1333"/>
      <c r="Q687" s="1333"/>
      <c r="R687" s="1333"/>
      <c r="S687" s="1333"/>
      <c r="T687" s="1333"/>
      <c r="U687" s="1333"/>
      <c r="V687" s="1333"/>
      <c r="W687" s="1333"/>
      <c r="X687" s="1333"/>
      <c r="Y687" s="1333"/>
      <c r="Z687" s="1333"/>
      <c r="AA687" s="1333"/>
      <c r="AB687" s="1333"/>
      <c r="AC687" s="1333"/>
      <c r="AD687" s="1333"/>
      <c r="AE687" s="1333"/>
      <c r="AF687" s="1333"/>
      <c r="AG687" s="1333"/>
      <c r="AH687" s="1333"/>
      <c r="AI687" s="1333"/>
      <c r="AJ687" s="1333"/>
    </row>
    <row r="688" spans="1:36" x14ac:dyDescent="0.25">
      <c r="A688" s="1479"/>
      <c r="B688" s="1284"/>
      <c r="C688" s="1284"/>
      <c r="D688" s="1364"/>
      <c r="E688" s="1364"/>
      <c r="F688" s="1364"/>
      <c r="G688" s="1365"/>
      <c r="H688" s="1333"/>
      <c r="I688" s="1333"/>
      <c r="J688" s="1333"/>
      <c r="K688" s="1333"/>
      <c r="L688" s="1333"/>
      <c r="M688" s="1333"/>
      <c r="N688" s="1333"/>
      <c r="O688" s="1333"/>
      <c r="P688" s="1333"/>
      <c r="Q688" s="1333"/>
      <c r="R688" s="1333"/>
      <c r="S688" s="1333"/>
      <c r="T688" s="1333"/>
      <c r="U688" s="1333"/>
      <c r="V688" s="1333"/>
      <c r="W688" s="1333"/>
      <c r="X688" s="1333"/>
      <c r="Y688" s="1333"/>
      <c r="Z688" s="1333"/>
      <c r="AA688" s="1333"/>
      <c r="AB688" s="1333"/>
      <c r="AC688" s="1333"/>
      <c r="AD688" s="1333"/>
      <c r="AE688" s="1333"/>
      <c r="AF688" s="1333"/>
      <c r="AG688" s="1333"/>
      <c r="AH688" s="1333"/>
      <c r="AI688" s="1333"/>
      <c r="AJ688" s="1333"/>
    </row>
    <row r="689" spans="1:36" x14ac:dyDescent="0.25">
      <c r="A689" s="1479"/>
      <c r="B689" s="1284"/>
      <c r="C689" s="1284"/>
      <c r="D689" s="1364"/>
      <c r="E689" s="1364"/>
      <c r="F689" s="1364"/>
      <c r="G689" s="1365"/>
      <c r="H689" s="1333"/>
      <c r="I689" s="1333"/>
      <c r="J689" s="1333"/>
      <c r="K689" s="1333"/>
      <c r="L689" s="1333"/>
      <c r="M689" s="1333"/>
      <c r="N689" s="1333"/>
      <c r="O689" s="1333"/>
      <c r="P689" s="1333"/>
      <c r="Q689" s="1333"/>
      <c r="R689" s="1333"/>
      <c r="S689" s="1333"/>
      <c r="T689" s="1333"/>
      <c r="U689" s="1333"/>
      <c r="V689" s="1333"/>
      <c r="W689" s="1333"/>
      <c r="X689" s="1333"/>
      <c r="Y689" s="1333"/>
      <c r="Z689" s="1333"/>
      <c r="AA689" s="1333"/>
      <c r="AB689" s="1333"/>
      <c r="AC689" s="1333"/>
      <c r="AD689" s="1333"/>
      <c r="AE689" s="1333"/>
      <c r="AF689" s="1333"/>
      <c r="AG689" s="1333"/>
      <c r="AH689" s="1333"/>
      <c r="AI689" s="1333"/>
      <c r="AJ689" s="1333"/>
    </row>
    <row r="690" spans="1:36" x14ac:dyDescent="0.25">
      <c r="A690" s="1479"/>
      <c r="B690" s="1284"/>
      <c r="C690" s="1284"/>
      <c r="D690" s="1364"/>
      <c r="E690" s="1364"/>
      <c r="F690" s="1364"/>
      <c r="G690" s="1365"/>
      <c r="H690" s="1333"/>
      <c r="I690" s="1333"/>
      <c r="J690" s="1333"/>
      <c r="K690" s="1333"/>
      <c r="L690" s="1333"/>
      <c r="M690" s="1333"/>
      <c r="N690" s="1333"/>
      <c r="O690" s="1333"/>
      <c r="P690" s="1333"/>
      <c r="Q690" s="1333"/>
      <c r="R690" s="1333"/>
      <c r="S690" s="1333"/>
      <c r="T690" s="1333"/>
      <c r="U690" s="1333"/>
      <c r="V690" s="1333"/>
      <c r="W690" s="1333"/>
      <c r="X690" s="1333"/>
      <c r="Y690" s="1333"/>
      <c r="Z690" s="1333"/>
      <c r="AA690" s="1333"/>
      <c r="AB690" s="1333"/>
      <c r="AC690" s="1333"/>
      <c r="AD690" s="1333"/>
      <c r="AE690" s="1333"/>
      <c r="AF690" s="1333"/>
      <c r="AG690" s="1333"/>
      <c r="AH690" s="1333"/>
      <c r="AI690" s="1333"/>
      <c r="AJ690" s="1333"/>
    </row>
    <row r="691" spans="1:36" x14ac:dyDescent="0.25">
      <c r="A691" s="1479"/>
      <c r="B691" s="1284"/>
      <c r="C691" s="1284"/>
      <c r="D691" s="1364"/>
      <c r="E691" s="1364"/>
      <c r="F691" s="1364"/>
      <c r="G691" s="1365"/>
      <c r="H691" s="1333"/>
      <c r="I691" s="1333"/>
      <c r="J691" s="1333"/>
      <c r="K691" s="1333"/>
      <c r="L691" s="1333"/>
      <c r="M691" s="1333"/>
      <c r="N691" s="1333"/>
      <c r="O691" s="1333"/>
      <c r="P691" s="1333"/>
      <c r="Q691" s="1333"/>
      <c r="R691" s="1333"/>
      <c r="S691" s="1333"/>
      <c r="T691" s="1333"/>
      <c r="U691" s="1333"/>
      <c r="V691" s="1333"/>
      <c r="W691" s="1333"/>
      <c r="X691" s="1333"/>
      <c r="Y691" s="1333"/>
      <c r="Z691" s="1333"/>
      <c r="AA691" s="1333"/>
      <c r="AB691" s="1333"/>
      <c r="AC691" s="1333"/>
      <c r="AD691" s="1333"/>
      <c r="AE691" s="1333"/>
      <c r="AF691" s="1333"/>
      <c r="AG691" s="1333"/>
      <c r="AH691" s="1333"/>
      <c r="AI691" s="1333"/>
      <c r="AJ691" s="1333"/>
    </row>
    <row r="692" spans="1:36" x14ac:dyDescent="0.25">
      <c r="A692" s="1479"/>
      <c r="B692" s="1284"/>
      <c r="C692" s="1284"/>
      <c r="D692" s="1364"/>
      <c r="E692" s="1364"/>
      <c r="F692" s="1364"/>
      <c r="G692" s="1365"/>
      <c r="H692" s="1333"/>
      <c r="I692" s="1333"/>
      <c r="J692" s="1333"/>
      <c r="K692" s="1333"/>
      <c r="L692" s="1333"/>
      <c r="M692" s="1333"/>
      <c r="N692" s="1333"/>
      <c r="O692" s="1333"/>
      <c r="P692" s="1333"/>
      <c r="Q692" s="1333"/>
      <c r="R692" s="1333"/>
      <c r="S692" s="1333"/>
      <c r="T692" s="1333"/>
      <c r="U692" s="1333"/>
      <c r="V692" s="1333"/>
      <c r="W692" s="1333"/>
      <c r="X692" s="1333"/>
      <c r="Y692" s="1333"/>
      <c r="Z692" s="1333"/>
      <c r="AA692" s="1333"/>
      <c r="AB692" s="1333"/>
      <c r="AC692" s="1333"/>
      <c r="AD692" s="1333"/>
      <c r="AE692" s="1333"/>
      <c r="AF692" s="1333"/>
      <c r="AG692" s="1333"/>
      <c r="AH692" s="1333"/>
      <c r="AI692" s="1333"/>
      <c r="AJ692" s="1333"/>
    </row>
    <row r="693" spans="1:36" x14ac:dyDescent="0.25">
      <c r="A693" s="1479"/>
      <c r="B693" s="1284"/>
      <c r="C693" s="1284"/>
      <c r="D693" s="1364"/>
      <c r="E693" s="1364"/>
      <c r="F693" s="1364"/>
      <c r="G693" s="1365"/>
      <c r="H693" s="1333"/>
      <c r="I693" s="1333"/>
      <c r="J693" s="1333"/>
      <c r="K693" s="1333"/>
      <c r="L693" s="1333"/>
      <c r="M693" s="1333"/>
      <c r="N693" s="1333"/>
      <c r="O693" s="1333"/>
      <c r="P693" s="1333"/>
      <c r="Q693" s="1333"/>
      <c r="R693" s="1333"/>
      <c r="S693" s="1333"/>
      <c r="T693" s="1333"/>
      <c r="U693" s="1333"/>
      <c r="V693" s="1333"/>
      <c r="W693" s="1333"/>
      <c r="X693" s="1333"/>
      <c r="Y693" s="1333"/>
      <c r="Z693" s="1333"/>
      <c r="AA693" s="1333"/>
      <c r="AB693" s="1333"/>
      <c r="AC693" s="1333"/>
      <c r="AD693" s="1333"/>
      <c r="AE693" s="1333"/>
      <c r="AF693" s="1333"/>
      <c r="AG693" s="1333"/>
      <c r="AH693" s="1333"/>
      <c r="AI693" s="1333"/>
      <c r="AJ693" s="1333"/>
    </row>
    <row r="694" spans="1:36" x14ac:dyDescent="0.25">
      <c r="A694" s="1479"/>
      <c r="B694" s="1284"/>
      <c r="C694" s="1284"/>
      <c r="D694" s="1364"/>
      <c r="E694" s="1364"/>
      <c r="F694" s="1364"/>
      <c r="G694" s="1365"/>
      <c r="H694" s="1333"/>
      <c r="I694" s="1333"/>
      <c r="J694" s="1333"/>
      <c r="K694" s="1333"/>
      <c r="L694" s="1333"/>
      <c r="M694" s="1333"/>
      <c r="N694" s="1333"/>
      <c r="O694" s="1333"/>
      <c r="P694" s="1333"/>
      <c r="Q694" s="1333"/>
      <c r="R694" s="1333"/>
      <c r="S694" s="1333"/>
      <c r="T694" s="1333"/>
      <c r="U694" s="1333"/>
      <c r="V694" s="1333"/>
      <c r="W694" s="1333"/>
      <c r="X694" s="1333"/>
      <c r="Y694" s="1333"/>
      <c r="Z694" s="1333"/>
      <c r="AA694" s="1333"/>
      <c r="AB694" s="1333"/>
      <c r="AC694" s="1333"/>
      <c r="AD694" s="1333"/>
      <c r="AE694" s="1333"/>
      <c r="AF694" s="1333"/>
      <c r="AG694" s="1333"/>
      <c r="AH694" s="1333"/>
      <c r="AI694" s="1333"/>
      <c r="AJ694" s="1333"/>
    </row>
    <row r="695" spans="1:36" x14ac:dyDescent="0.25">
      <c r="A695" s="1479"/>
      <c r="B695" s="1284"/>
      <c r="C695" s="1284"/>
      <c r="D695" s="1364"/>
      <c r="E695" s="1364"/>
      <c r="F695" s="1364"/>
      <c r="G695" s="1365"/>
      <c r="H695" s="1333"/>
      <c r="I695" s="1333"/>
      <c r="J695" s="1333"/>
      <c r="K695" s="1333"/>
      <c r="L695" s="1333"/>
      <c r="M695" s="1333"/>
      <c r="N695" s="1333"/>
      <c r="O695" s="1333"/>
      <c r="P695" s="1333"/>
      <c r="Q695" s="1333"/>
      <c r="R695" s="1333"/>
      <c r="S695" s="1333"/>
      <c r="T695" s="1333"/>
      <c r="U695" s="1333"/>
      <c r="V695" s="1333"/>
      <c r="W695" s="1333"/>
      <c r="X695" s="1333"/>
      <c r="Y695" s="1333"/>
      <c r="Z695" s="1333"/>
      <c r="AA695" s="1333"/>
      <c r="AB695" s="1333"/>
      <c r="AC695" s="1333"/>
      <c r="AD695" s="1333"/>
      <c r="AE695" s="1333"/>
      <c r="AF695" s="1333"/>
      <c r="AG695" s="1333"/>
      <c r="AH695" s="1333"/>
      <c r="AI695" s="1333"/>
      <c r="AJ695" s="1333"/>
    </row>
    <row r="696" spans="1:36" x14ac:dyDescent="0.25">
      <c r="A696" s="1479"/>
      <c r="B696" s="1284"/>
      <c r="C696" s="1284"/>
      <c r="D696" s="1364"/>
      <c r="E696" s="1364"/>
      <c r="F696" s="1364"/>
      <c r="G696" s="1365"/>
      <c r="H696" s="1333"/>
      <c r="I696" s="1333"/>
      <c r="J696" s="1333"/>
      <c r="K696" s="1333"/>
      <c r="L696" s="1333"/>
      <c r="M696" s="1333"/>
      <c r="N696" s="1333"/>
      <c r="O696" s="1333"/>
      <c r="P696" s="1333"/>
      <c r="Q696" s="1333"/>
      <c r="R696" s="1333"/>
      <c r="S696" s="1333"/>
      <c r="T696" s="1333"/>
      <c r="U696" s="1333"/>
      <c r="V696" s="1333"/>
      <c r="W696" s="1333"/>
      <c r="X696" s="1333"/>
      <c r="Y696" s="1333"/>
      <c r="Z696" s="1333"/>
      <c r="AA696" s="1333"/>
      <c r="AB696" s="1333"/>
      <c r="AC696" s="1333"/>
      <c r="AD696" s="1333"/>
      <c r="AE696" s="1333"/>
      <c r="AF696" s="1333"/>
      <c r="AG696" s="1333"/>
      <c r="AH696" s="1333"/>
      <c r="AI696" s="1333"/>
      <c r="AJ696" s="1333"/>
    </row>
    <row r="697" spans="1:36" x14ac:dyDescent="0.25">
      <c r="A697" s="1479"/>
      <c r="B697" s="1284"/>
      <c r="C697" s="1284"/>
      <c r="D697" s="1364"/>
      <c r="E697" s="1364"/>
      <c r="F697" s="1364"/>
      <c r="G697" s="1365"/>
      <c r="H697" s="1333"/>
      <c r="I697" s="1333"/>
      <c r="J697" s="1333"/>
      <c r="K697" s="1333"/>
      <c r="L697" s="1333"/>
      <c r="M697" s="1333"/>
      <c r="N697" s="1333"/>
      <c r="O697" s="1333"/>
      <c r="P697" s="1333"/>
      <c r="Q697" s="1333"/>
      <c r="R697" s="1333"/>
      <c r="S697" s="1333"/>
      <c r="T697" s="1333"/>
      <c r="U697" s="1333"/>
      <c r="V697" s="1333"/>
      <c r="W697" s="1333"/>
      <c r="X697" s="1333"/>
      <c r="Y697" s="1333"/>
      <c r="Z697" s="1333"/>
      <c r="AA697" s="1333"/>
      <c r="AB697" s="1333"/>
      <c r="AC697" s="1333"/>
      <c r="AD697" s="1333"/>
      <c r="AE697" s="1333"/>
      <c r="AF697" s="1333"/>
      <c r="AG697" s="1333"/>
      <c r="AH697" s="1333"/>
      <c r="AI697" s="1333"/>
      <c r="AJ697" s="1333"/>
    </row>
    <row r="698" spans="1:36" x14ac:dyDescent="0.25">
      <c r="A698" s="1479"/>
      <c r="B698" s="1284"/>
      <c r="C698" s="1284"/>
      <c r="D698" s="1364"/>
      <c r="E698" s="1364"/>
      <c r="F698" s="1364"/>
      <c r="G698" s="1365"/>
      <c r="H698" s="1333"/>
      <c r="I698" s="1333"/>
      <c r="J698" s="1333"/>
      <c r="K698" s="1333"/>
      <c r="L698" s="1333"/>
      <c r="M698" s="1333"/>
      <c r="N698" s="1333"/>
      <c r="O698" s="1333"/>
      <c r="P698" s="1333"/>
      <c r="Q698" s="1333"/>
      <c r="R698" s="1333"/>
      <c r="S698" s="1333"/>
      <c r="T698" s="1333"/>
      <c r="U698" s="1333"/>
      <c r="V698" s="1333"/>
      <c r="W698" s="1333"/>
      <c r="X698" s="1333"/>
      <c r="Y698" s="1333"/>
      <c r="Z698" s="1333"/>
      <c r="AA698" s="1333"/>
      <c r="AB698" s="1333"/>
      <c r="AC698" s="1333"/>
      <c r="AD698" s="1333"/>
      <c r="AE698" s="1333"/>
      <c r="AF698" s="1333"/>
      <c r="AG698" s="1333"/>
      <c r="AH698" s="1333"/>
      <c r="AI698" s="1333"/>
      <c r="AJ698" s="1333"/>
    </row>
    <row r="699" spans="1:36" x14ac:dyDescent="0.25">
      <c r="A699" s="1479"/>
      <c r="B699" s="1284"/>
      <c r="C699" s="1284"/>
      <c r="D699" s="1364"/>
      <c r="E699" s="1364"/>
      <c r="F699" s="1364"/>
      <c r="G699" s="1365"/>
      <c r="H699" s="1333"/>
      <c r="I699" s="1333"/>
      <c r="J699" s="1333"/>
      <c r="K699" s="1333"/>
      <c r="L699" s="1333"/>
      <c r="M699" s="1333"/>
      <c r="N699" s="1333"/>
      <c r="O699" s="1333"/>
      <c r="P699" s="1333"/>
      <c r="Q699" s="1333"/>
      <c r="R699" s="1333"/>
      <c r="S699" s="1333"/>
      <c r="T699" s="1333"/>
      <c r="U699" s="1333"/>
      <c r="V699" s="1333"/>
      <c r="W699" s="1333"/>
      <c r="X699" s="1333"/>
      <c r="Y699" s="1333"/>
      <c r="Z699" s="1333"/>
      <c r="AA699" s="1333"/>
      <c r="AB699" s="1333"/>
      <c r="AC699" s="1333"/>
      <c r="AD699" s="1333"/>
      <c r="AE699" s="1333"/>
      <c r="AF699" s="1333"/>
      <c r="AG699" s="1333"/>
      <c r="AH699" s="1333"/>
      <c r="AI699" s="1333"/>
      <c r="AJ699" s="1333"/>
    </row>
    <row r="700" spans="1:36" x14ac:dyDescent="0.25">
      <c r="A700" s="1479"/>
      <c r="B700" s="1284"/>
      <c r="C700" s="1284"/>
      <c r="D700" s="1364"/>
      <c r="E700" s="1364"/>
      <c r="F700" s="1364"/>
      <c r="G700" s="1365"/>
      <c r="H700" s="1333"/>
      <c r="I700" s="1333"/>
      <c r="J700" s="1333"/>
      <c r="K700" s="1333"/>
      <c r="L700" s="1333"/>
      <c r="M700" s="1333"/>
      <c r="N700" s="1333"/>
      <c r="O700" s="1333"/>
      <c r="P700" s="1333"/>
      <c r="Q700" s="1333"/>
      <c r="R700" s="1333"/>
      <c r="S700" s="1333"/>
      <c r="T700" s="1333"/>
      <c r="U700" s="1333"/>
      <c r="V700" s="1333"/>
      <c r="W700" s="1333"/>
      <c r="X700" s="1333"/>
      <c r="Y700" s="1333"/>
      <c r="Z700" s="1333"/>
      <c r="AA700" s="1333"/>
      <c r="AB700" s="1333"/>
      <c r="AC700" s="1333"/>
      <c r="AD700" s="1333"/>
      <c r="AE700" s="1333"/>
      <c r="AF700" s="1333"/>
      <c r="AG700" s="1333"/>
      <c r="AH700" s="1333"/>
      <c r="AI700" s="1333"/>
      <c r="AJ700" s="1333"/>
    </row>
    <row r="701" spans="1:36" x14ac:dyDescent="0.25">
      <c r="A701" s="1479"/>
      <c r="B701" s="1284"/>
      <c r="C701" s="1284"/>
      <c r="D701" s="1364"/>
      <c r="E701" s="1364"/>
      <c r="F701" s="1364"/>
      <c r="G701" s="1365"/>
      <c r="H701" s="1333"/>
      <c r="I701" s="1333"/>
      <c r="J701" s="1333"/>
      <c r="K701" s="1333"/>
      <c r="L701" s="1333"/>
      <c r="M701" s="1333"/>
      <c r="N701" s="1333"/>
      <c r="O701" s="1333"/>
      <c r="P701" s="1333"/>
      <c r="Q701" s="1333"/>
      <c r="R701" s="1333"/>
      <c r="S701" s="1333"/>
      <c r="T701" s="1333"/>
      <c r="U701" s="1333"/>
      <c r="V701" s="1333"/>
      <c r="W701" s="1333"/>
      <c r="X701" s="1333"/>
      <c r="Y701" s="1333"/>
      <c r="Z701" s="1333"/>
      <c r="AA701" s="1333"/>
      <c r="AB701" s="1333"/>
      <c r="AC701" s="1333"/>
      <c r="AD701" s="1333"/>
      <c r="AE701" s="1333"/>
      <c r="AF701" s="1333"/>
      <c r="AG701" s="1333"/>
      <c r="AH701" s="1333"/>
      <c r="AI701" s="1333"/>
      <c r="AJ701" s="1333"/>
    </row>
    <row r="702" spans="1:36" x14ac:dyDescent="0.25">
      <c r="A702" s="1479"/>
      <c r="B702" s="1284"/>
      <c r="C702" s="1284"/>
      <c r="D702" s="1364"/>
      <c r="E702" s="1364"/>
      <c r="F702" s="1364"/>
      <c r="G702" s="1365"/>
      <c r="H702" s="1333"/>
      <c r="I702" s="1333"/>
      <c r="J702" s="1333"/>
      <c r="K702" s="1333"/>
      <c r="L702" s="1333"/>
      <c r="M702" s="1333"/>
      <c r="N702" s="1333"/>
      <c r="O702" s="1333"/>
      <c r="P702" s="1333"/>
      <c r="Q702" s="1333"/>
      <c r="R702" s="1333"/>
      <c r="S702" s="1333"/>
      <c r="T702" s="1333"/>
      <c r="U702" s="1333"/>
      <c r="V702" s="1333"/>
      <c r="W702" s="1333"/>
      <c r="X702" s="1333"/>
      <c r="Y702" s="1333"/>
      <c r="Z702" s="1333"/>
      <c r="AA702" s="1333"/>
      <c r="AB702" s="1333"/>
      <c r="AC702" s="1333"/>
      <c r="AD702" s="1333"/>
      <c r="AE702" s="1333"/>
      <c r="AF702" s="1333"/>
      <c r="AG702" s="1333"/>
      <c r="AH702" s="1333"/>
      <c r="AI702" s="1333"/>
      <c r="AJ702" s="1333"/>
    </row>
    <row r="703" spans="1:36" x14ac:dyDescent="0.25">
      <c r="A703" s="1479"/>
      <c r="B703" s="1284"/>
      <c r="C703" s="1284"/>
      <c r="D703" s="1364"/>
      <c r="E703" s="1364"/>
      <c r="F703" s="1364"/>
      <c r="G703" s="1365"/>
      <c r="H703" s="1333"/>
      <c r="I703" s="1333"/>
      <c r="J703" s="1333"/>
      <c r="K703" s="1333"/>
      <c r="L703" s="1333"/>
      <c r="M703" s="1333"/>
      <c r="N703" s="1333"/>
      <c r="O703" s="1333"/>
      <c r="P703" s="1333"/>
      <c r="Q703" s="1333"/>
      <c r="R703" s="1333"/>
      <c r="S703" s="1333"/>
      <c r="T703" s="1333"/>
      <c r="U703" s="1333"/>
      <c r="V703" s="1333"/>
      <c r="W703" s="1333"/>
      <c r="X703" s="1333"/>
      <c r="Y703" s="1333"/>
      <c r="Z703" s="1333"/>
      <c r="AA703" s="1333"/>
      <c r="AB703" s="1333"/>
      <c r="AC703" s="1333"/>
      <c r="AD703" s="1333"/>
      <c r="AE703" s="1333"/>
      <c r="AF703" s="1333"/>
      <c r="AG703" s="1333"/>
      <c r="AH703" s="1333"/>
      <c r="AI703" s="1333"/>
      <c r="AJ703" s="1333"/>
    </row>
    <row r="704" spans="1:36" x14ac:dyDescent="0.25">
      <c r="A704" s="1479"/>
      <c r="B704" s="1284"/>
      <c r="C704" s="1284"/>
      <c r="D704" s="1364"/>
      <c r="E704" s="1364"/>
      <c r="F704" s="1364"/>
      <c r="G704" s="1365"/>
      <c r="H704" s="1333"/>
      <c r="I704" s="1333"/>
      <c r="J704" s="1333"/>
      <c r="K704" s="1333"/>
      <c r="L704" s="1333"/>
      <c r="M704" s="1333"/>
      <c r="N704" s="1333"/>
      <c r="O704" s="1333"/>
      <c r="P704" s="1333"/>
      <c r="Q704" s="1333"/>
      <c r="R704" s="1333"/>
      <c r="S704" s="1333"/>
      <c r="T704" s="1333"/>
      <c r="U704" s="1333"/>
      <c r="V704" s="1333"/>
      <c r="W704" s="1333"/>
      <c r="X704" s="1333"/>
      <c r="Y704" s="1333"/>
      <c r="Z704" s="1333"/>
      <c r="AA704" s="1333"/>
      <c r="AB704" s="1333"/>
      <c r="AC704" s="1333"/>
      <c r="AD704" s="1333"/>
      <c r="AE704" s="1333"/>
      <c r="AF704" s="1333"/>
      <c r="AG704" s="1333"/>
      <c r="AH704" s="1333"/>
      <c r="AI704" s="1333"/>
      <c r="AJ704" s="1333"/>
    </row>
    <row r="705" spans="1:36" x14ac:dyDescent="0.25">
      <c r="A705" s="1479"/>
      <c r="B705" s="1284"/>
      <c r="C705" s="1284"/>
      <c r="D705" s="1364"/>
      <c r="E705" s="1364"/>
      <c r="F705" s="1364"/>
      <c r="G705" s="1365"/>
      <c r="H705" s="1333"/>
      <c r="I705" s="1333"/>
      <c r="J705" s="1333"/>
      <c r="K705" s="1333"/>
      <c r="L705" s="1333"/>
      <c r="M705" s="1333"/>
      <c r="N705" s="1333"/>
      <c r="O705" s="1333"/>
      <c r="P705" s="1333"/>
      <c r="Q705" s="1333"/>
      <c r="R705" s="1333"/>
      <c r="S705" s="1333"/>
      <c r="T705" s="1333"/>
      <c r="U705" s="1333"/>
      <c r="V705" s="1333"/>
      <c r="W705" s="1333"/>
      <c r="X705" s="1333"/>
      <c r="Y705" s="1333"/>
      <c r="Z705" s="1333"/>
      <c r="AA705" s="1333"/>
      <c r="AB705" s="1333"/>
      <c r="AC705" s="1333"/>
      <c r="AD705" s="1333"/>
      <c r="AE705" s="1333"/>
      <c r="AF705" s="1333"/>
      <c r="AG705" s="1333"/>
      <c r="AH705" s="1333"/>
      <c r="AI705" s="1333"/>
      <c r="AJ705" s="1333"/>
    </row>
    <row r="706" spans="1:36" x14ac:dyDescent="0.25">
      <c r="A706" s="1479"/>
      <c r="B706" s="1284"/>
      <c r="C706" s="1284"/>
      <c r="D706" s="1364"/>
      <c r="E706" s="1364"/>
      <c r="F706" s="1364"/>
      <c r="G706" s="1365"/>
      <c r="H706" s="1333"/>
      <c r="I706" s="1333"/>
      <c r="J706" s="1333"/>
      <c r="K706" s="1333"/>
      <c r="L706" s="1333"/>
      <c r="M706" s="1333"/>
      <c r="N706" s="1333"/>
      <c r="O706" s="1333"/>
      <c r="P706" s="1333"/>
      <c r="Q706" s="1333"/>
      <c r="R706" s="1333"/>
      <c r="S706" s="1333"/>
      <c r="T706" s="1333"/>
      <c r="U706" s="1333"/>
      <c r="V706" s="1333"/>
      <c r="W706" s="1333"/>
      <c r="X706" s="1333"/>
      <c r="Y706" s="1333"/>
      <c r="Z706" s="1333"/>
      <c r="AA706" s="1333"/>
      <c r="AB706" s="1333"/>
      <c r="AC706" s="1333"/>
      <c r="AD706" s="1333"/>
      <c r="AE706" s="1333"/>
      <c r="AF706" s="1333"/>
      <c r="AG706" s="1333"/>
      <c r="AH706" s="1333"/>
      <c r="AI706" s="1333"/>
      <c r="AJ706" s="1333"/>
    </row>
    <row r="707" spans="1:36" x14ac:dyDescent="0.25">
      <c r="A707" s="1479"/>
      <c r="B707" s="1284"/>
      <c r="C707" s="1284"/>
      <c r="D707" s="1364"/>
      <c r="E707" s="1364"/>
      <c r="F707" s="1364"/>
      <c r="G707" s="1365"/>
      <c r="H707" s="1333"/>
      <c r="I707" s="1333"/>
      <c r="J707" s="1333"/>
      <c r="K707" s="1333"/>
      <c r="L707" s="1333"/>
      <c r="M707" s="1333"/>
      <c r="N707" s="1333"/>
      <c r="O707" s="1333"/>
      <c r="P707" s="1333"/>
      <c r="Q707" s="1333"/>
      <c r="R707" s="1333"/>
      <c r="S707" s="1333"/>
      <c r="T707" s="1333"/>
      <c r="U707" s="1333"/>
      <c r="V707" s="1333"/>
      <c r="W707" s="1333"/>
      <c r="X707" s="1333"/>
      <c r="Y707" s="1333"/>
      <c r="Z707" s="1333"/>
      <c r="AA707" s="1333"/>
      <c r="AB707" s="1333"/>
      <c r="AC707" s="1333"/>
      <c r="AD707" s="1333"/>
      <c r="AE707" s="1333"/>
      <c r="AF707" s="1333"/>
      <c r="AG707" s="1333"/>
      <c r="AH707" s="1333"/>
      <c r="AI707" s="1333"/>
      <c r="AJ707" s="1333"/>
    </row>
    <row r="708" spans="1:36" x14ac:dyDescent="0.25">
      <c r="A708" s="1479"/>
      <c r="B708" s="1284"/>
      <c r="C708" s="1284"/>
      <c r="D708" s="1364"/>
      <c r="E708" s="1364"/>
      <c r="F708" s="1364"/>
      <c r="G708" s="1365"/>
      <c r="H708" s="1333"/>
      <c r="I708" s="1333"/>
      <c r="J708" s="1333"/>
      <c r="K708" s="1333"/>
      <c r="L708" s="1333"/>
      <c r="M708" s="1333"/>
      <c r="N708" s="1333"/>
      <c r="O708" s="1333"/>
      <c r="P708" s="1333"/>
      <c r="Q708" s="1333"/>
      <c r="R708" s="1333"/>
      <c r="S708" s="1333"/>
      <c r="T708" s="1333"/>
      <c r="U708" s="1333"/>
      <c r="V708" s="1333"/>
      <c r="W708" s="1333"/>
      <c r="X708" s="1333"/>
      <c r="Y708" s="1333"/>
      <c r="Z708" s="1333"/>
      <c r="AA708" s="1333"/>
      <c r="AB708" s="1333"/>
      <c r="AC708" s="1333"/>
      <c r="AD708" s="1333"/>
      <c r="AE708" s="1333"/>
      <c r="AF708" s="1333"/>
      <c r="AG708" s="1333"/>
      <c r="AH708" s="1333"/>
      <c r="AI708" s="1333"/>
      <c r="AJ708" s="1333"/>
    </row>
    <row r="709" spans="1:36" x14ac:dyDescent="0.25">
      <c r="A709" s="1479"/>
      <c r="B709" s="1284"/>
      <c r="C709" s="1284"/>
      <c r="D709" s="1364"/>
      <c r="E709" s="1364"/>
      <c r="F709" s="1364"/>
      <c r="G709" s="1365"/>
      <c r="H709" s="1333"/>
      <c r="I709" s="1333"/>
      <c r="J709" s="1333"/>
      <c r="K709" s="1333"/>
      <c r="L709" s="1333"/>
      <c r="M709" s="1333"/>
      <c r="N709" s="1333"/>
      <c r="O709" s="1333"/>
      <c r="P709" s="1333"/>
      <c r="Q709" s="1333"/>
      <c r="R709" s="1333"/>
      <c r="S709" s="1333"/>
      <c r="T709" s="1333"/>
      <c r="U709" s="1333"/>
      <c r="V709" s="1333"/>
      <c r="W709" s="1333"/>
      <c r="X709" s="1333"/>
      <c r="Y709" s="1333"/>
      <c r="Z709" s="1333"/>
      <c r="AA709" s="1333"/>
      <c r="AB709" s="1333"/>
      <c r="AC709" s="1333"/>
      <c r="AD709" s="1333"/>
      <c r="AE709" s="1333"/>
      <c r="AF709" s="1333"/>
      <c r="AG709" s="1333"/>
      <c r="AH709" s="1333"/>
      <c r="AI709" s="1333"/>
      <c r="AJ709" s="1333"/>
    </row>
    <row r="710" spans="1:36" x14ac:dyDescent="0.25">
      <c r="A710" s="1479"/>
      <c r="B710" s="1284"/>
      <c r="C710" s="1284"/>
      <c r="D710" s="1364"/>
      <c r="E710" s="1364"/>
      <c r="F710" s="1364"/>
      <c r="G710" s="1365"/>
      <c r="H710" s="1333"/>
      <c r="I710" s="1333"/>
      <c r="J710" s="1333"/>
      <c r="K710" s="1333"/>
      <c r="L710" s="1333"/>
      <c r="M710" s="1333"/>
      <c r="N710" s="1333"/>
      <c r="O710" s="1333"/>
      <c r="P710" s="1333"/>
      <c r="Q710" s="1333"/>
      <c r="R710" s="1333"/>
      <c r="S710" s="1333"/>
      <c r="T710" s="1333"/>
      <c r="U710" s="1333"/>
      <c r="V710" s="1333"/>
      <c r="W710" s="1333"/>
      <c r="X710" s="1333"/>
      <c r="Y710" s="1333"/>
      <c r="Z710" s="1333"/>
      <c r="AA710" s="1333"/>
      <c r="AB710" s="1333"/>
      <c r="AC710" s="1333"/>
      <c r="AD710" s="1333"/>
      <c r="AE710" s="1333"/>
      <c r="AF710" s="1333"/>
      <c r="AG710" s="1333"/>
      <c r="AH710" s="1333"/>
      <c r="AI710" s="1333"/>
      <c r="AJ710" s="1333"/>
    </row>
    <row r="711" spans="1:36" x14ac:dyDescent="0.25">
      <c r="A711" s="1479"/>
      <c r="B711" s="1284"/>
      <c r="C711" s="1284"/>
      <c r="D711" s="1364"/>
      <c r="E711" s="1364"/>
      <c r="F711" s="1364"/>
      <c r="G711" s="1365"/>
      <c r="H711" s="1333"/>
      <c r="I711" s="1333"/>
      <c r="J711" s="1333"/>
      <c r="K711" s="1333"/>
      <c r="L711" s="1333"/>
      <c r="M711" s="1333"/>
      <c r="N711" s="1333"/>
      <c r="O711" s="1333"/>
      <c r="P711" s="1333"/>
      <c r="Q711" s="1333"/>
      <c r="R711" s="1333"/>
      <c r="S711" s="1333"/>
      <c r="T711" s="1333"/>
      <c r="U711" s="1333"/>
      <c r="V711" s="1333"/>
      <c r="W711" s="1333"/>
      <c r="X711" s="1333"/>
      <c r="Y711" s="1333"/>
      <c r="Z711" s="1333"/>
      <c r="AA711" s="1333"/>
      <c r="AB711" s="1333"/>
      <c r="AC711" s="1333"/>
      <c r="AD711" s="1333"/>
      <c r="AE711" s="1333"/>
      <c r="AF711" s="1333"/>
      <c r="AG711" s="1333"/>
      <c r="AH711" s="1333"/>
      <c r="AI711" s="1333"/>
      <c r="AJ711" s="1333"/>
    </row>
    <row r="712" spans="1:36" x14ac:dyDescent="0.25">
      <c r="A712" s="1479"/>
      <c r="B712" s="1284"/>
      <c r="C712" s="1284"/>
      <c r="D712" s="1364"/>
      <c r="E712" s="1364"/>
      <c r="F712" s="1364"/>
      <c r="G712" s="1365"/>
      <c r="H712" s="1333"/>
      <c r="I712" s="1333"/>
      <c r="J712" s="1333"/>
      <c r="K712" s="1333"/>
      <c r="L712" s="1333"/>
      <c r="M712" s="1333"/>
      <c r="N712" s="1333"/>
      <c r="O712" s="1333"/>
      <c r="P712" s="1333"/>
      <c r="Q712" s="1333"/>
      <c r="R712" s="1333"/>
      <c r="S712" s="1333"/>
      <c r="T712" s="1333"/>
      <c r="U712" s="1333"/>
      <c r="V712" s="1333"/>
      <c r="W712" s="1333"/>
      <c r="X712" s="1333"/>
      <c r="Y712" s="1333"/>
      <c r="Z712" s="1333"/>
      <c r="AA712" s="1333"/>
      <c r="AB712" s="1333"/>
      <c r="AC712" s="1333"/>
      <c r="AD712" s="1333"/>
      <c r="AE712" s="1333"/>
      <c r="AF712" s="1333"/>
      <c r="AG712" s="1333"/>
      <c r="AH712" s="1333"/>
      <c r="AI712" s="1333"/>
      <c r="AJ712" s="1333"/>
    </row>
    <row r="713" spans="1:36" x14ac:dyDescent="0.25">
      <c r="A713" s="1479"/>
      <c r="B713" s="1284"/>
      <c r="C713" s="1284"/>
      <c r="D713" s="1364"/>
      <c r="E713" s="1364"/>
      <c r="F713" s="1364"/>
      <c r="G713" s="1365"/>
      <c r="H713" s="1333"/>
      <c r="I713" s="1333"/>
      <c r="J713" s="1333"/>
      <c r="K713" s="1333"/>
      <c r="L713" s="1333"/>
      <c r="M713" s="1333"/>
      <c r="N713" s="1333"/>
      <c r="O713" s="1333"/>
      <c r="P713" s="1333"/>
      <c r="Q713" s="1333"/>
      <c r="R713" s="1333"/>
      <c r="S713" s="1333"/>
      <c r="T713" s="1333"/>
      <c r="U713" s="1333"/>
      <c r="V713" s="1333"/>
      <c r="W713" s="1333"/>
      <c r="X713" s="1333"/>
      <c r="Y713" s="1333"/>
      <c r="Z713" s="1333"/>
      <c r="AA713" s="1333"/>
      <c r="AB713" s="1333"/>
      <c r="AC713" s="1333"/>
      <c r="AD713" s="1333"/>
      <c r="AE713" s="1333"/>
      <c r="AF713" s="1333"/>
      <c r="AG713" s="1333"/>
      <c r="AH713" s="1333"/>
      <c r="AI713" s="1333"/>
      <c r="AJ713" s="1333"/>
    </row>
    <row r="714" spans="1:36" x14ac:dyDescent="0.25">
      <c r="A714" s="1479"/>
      <c r="B714" s="1284"/>
      <c r="C714" s="1284"/>
      <c r="D714" s="1364"/>
      <c r="E714" s="1364"/>
      <c r="F714" s="1364"/>
      <c r="G714" s="1365"/>
      <c r="H714" s="1333"/>
      <c r="I714" s="1333"/>
      <c r="J714" s="1333"/>
      <c r="K714" s="1333"/>
      <c r="L714" s="1333"/>
      <c r="M714" s="1333"/>
      <c r="N714" s="1333"/>
      <c r="O714" s="1333"/>
      <c r="P714" s="1333"/>
      <c r="Q714" s="1333"/>
      <c r="R714" s="1333"/>
      <c r="S714" s="1333"/>
      <c r="T714" s="1333"/>
      <c r="U714" s="1333"/>
      <c r="V714" s="1333"/>
      <c r="W714" s="1333"/>
      <c r="X714" s="1333"/>
      <c r="Y714" s="1333"/>
      <c r="Z714" s="1333"/>
      <c r="AA714" s="1333"/>
      <c r="AB714" s="1333"/>
      <c r="AC714" s="1333"/>
      <c r="AD714" s="1333"/>
      <c r="AE714" s="1333"/>
      <c r="AF714" s="1333"/>
      <c r="AG714" s="1333"/>
      <c r="AH714" s="1333"/>
      <c r="AI714" s="1333"/>
      <c r="AJ714" s="1333"/>
    </row>
    <row r="715" spans="1:36" x14ac:dyDescent="0.25">
      <c r="A715" s="1479"/>
      <c r="B715" s="1284"/>
      <c r="C715" s="1284"/>
      <c r="D715" s="1364"/>
      <c r="E715" s="1364"/>
      <c r="F715" s="1364"/>
      <c r="G715" s="1365"/>
      <c r="H715" s="1333"/>
      <c r="I715" s="1333"/>
      <c r="J715" s="1333"/>
      <c r="K715" s="1333"/>
      <c r="L715" s="1333"/>
      <c r="M715" s="1333"/>
      <c r="N715" s="1333"/>
      <c r="O715" s="1333"/>
      <c r="P715" s="1333"/>
      <c r="Q715" s="1333"/>
      <c r="R715" s="1333"/>
      <c r="S715" s="1333"/>
      <c r="T715" s="1333"/>
      <c r="U715" s="1333"/>
      <c r="V715" s="1333"/>
      <c r="W715" s="1333"/>
      <c r="X715" s="1333"/>
      <c r="Y715" s="1333"/>
      <c r="Z715" s="1333"/>
      <c r="AA715" s="1333"/>
      <c r="AB715" s="1333"/>
      <c r="AC715" s="1333"/>
      <c r="AD715" s="1333"/>
      <c r="AE715" s="1333"/>
      <c r="AF715" s="1333"/>
      <c r="AG715" s="1333"/>
      <c r="AH715" s="1333"/>
      <c r="AI715" s="1333"/>
      <c r="AJ715" s="1333"/>
    </row>
    <row r="716" spans="1:36" x14ac:dyDescent="0.25">
      <c r="A716" s="1479"/>
      <c r="B716" s="1284"/>
      <c r="C716" s="1284"/>
      <c r="D716" s="1364"/>
      <c r="E716" s="1364"/>
      <c r="F716" s="1364"/>
      <c r="G716" s="1365"/>
      <c r="H716" s="1333"/>
      <c r="I716" s="1333"/>
      <c r="J716" s="1333"/>
      <c r="K716" s="1333"/>
      <c r="L716" s="1333"/>
      <c r="M716" s="1333"/>
      <c r="N716" s="1333"/>
      <c r="O716" s="1333"/>
      <c r="P716" s="1333"/>
      <c r="Q716" s="1333"/>
      <c r="R716" s="1333"/>
      <c r="S716" s="1333"/>
      <c r="T716" s="1333"/>
      <c r="U716" s="1333"/>
      <c r="V716" s="1333"/>
      <c r="W716" s="1333"/>
      <c r="X716" s="1333"/>
      <c r="Y716" s="1333"/>
      <c r="Z716" s="1333"/>
      <c r="AA716" s="1333"/>
      <c r="AB716" s="1333"/>
      <c r="AC716" s="1333"/>
      <c r="AD716" s="1333"/>
      <c r="AE716" s="1333"/>
      <c r="AF716" s="1333"/>
      <c r="AG716" s="1333"/>
      <c r="AH716" s="1333"/>
      <c r="AI716" s="1333"/>
      <c r="AJ716" s="1333"/>
    </row>
    <row r="717" spans="1:36" x14ac:dyDescent="0.25">
      <c r="A717" s="1479"/>
      <c r="B717" s="1284"/>
      <c r="C717" s="1284"/>
      <c r="D717" s="1364"/>
      <c r="E717" s="1364"/>
      <c r="F717" s="1364"/>
      <c r="G717" s="1365"/>
      <c r="H717" s="1333"/>
      <c r="I717" s="1333"/>
      <c r="J717" s="1333"/>
      <c r="K717" s="1333"/>
      <c r="L717" s="1333"/>
      <c r="M717" s="1333"/>
      <c r="N717" s="1333"/>
      <c r="O717" s="1333"/>
      <c r="P717" s="1333"/>
      <c r="Q717" s="1333"/>
      <c r="R717" s="1333"/>
      <c r="S717" s="1333"/>
      <c r="T717" s="1333"/>
      <c r="U717" s="1333"/>
      <c r="V717" s="1333"/>
      <c r="W717" s="1333"/>
      <c r="X717" s="1333"/>
      <c r="Y717" s="1333"/>
      <c r="Z717" s="1333"/>
      <c r="AA717" s="1333"/>
      <c r="AB717" s="1333"/>
      <c r="AC717" s="1333"/>
      <c r="AD717" s="1333"/>
      <c r="AE717" s="1333"/>
      <c r="AF717" s="1333"/>
      <c r="AG717" s="1333"/>
      <c r="AH717" s="1333"/>
      <c r="AI717" s="1333"/>
      <c r="AJ717" s="1333"/>
    </row>
    <row r="718" spans="1:36" x14ac:dyDescent="0.25">
      <c r="A718" s="1479"/>
      <c r="B718" s="1284"/>
      <c r="C718" s="1284"/>
      <c r="D718" s="1364"/>
      <c r="E718" s="1364"/>
      <c r="F718" s="1364"/>
      <c r="G718" s="1365"/>
      <c r="H718" s="1333"/>
      <c r="I718" s="1333"/>
      <c r="J718" s="1333"/>
      <c r="K718" s="1333"/>
      <c r="L718" s="1333"/>
      <c r="M718" s="1333"/>
      <c r="N718" s="1333"/>
      <c r="O718" s="1333"/>
      <c r="P718" s="1333"/>
      <c r="Q718" s="1333"/>
      <c r="R718" s="1333"/>
      <c r="S718" s="1333"/>
      <c r="T718" s="1333"/>
      <c r="U718" s="1333"/>
      <c r="V718" s="1333"/>
      <c r="W718" s="1333"/>
      <c r="X718" s="1333"/>
      <c r="Y718" s="1333"/>
      <c r="Z718" s="1333"/>
      <c r="AA718" s="1333"/>
      <c r="AB718" s="1333"/>
      <c r="AC718" s="1333"/>
      <c r="AD718" s="1333"/>
      <c r="AE718" s="1333"/>
      <c r="AF718" s="1333"/>
      <c r="AG718" s="1333"/>
      <c r="AH718" s="1333"/>
      <c r="AI718" s="1333"/>
      <c r="AJ718" s="1333"/>
    </row>
    <row r="719" spans="1:36" x14ac:dyDescent="0.25">
      <c r="A719" s="1479"/>
      <c r="B719" s="1284"/>
      <c r="C719" s="1284"/>
      <c r="D719" s="1364"/>
      <c r="E719" s="1364"/>
      <c r="F719" s="1364"/>
      <c r="G719" s="1365"/>
      <c r="H719" s="1333"/>
      <c r="I719" s="1333"/>
      <c r="J719" s="1333"/>
      <c r="K719" s="1333"/>
      <c r="L719" s="1333"/>
      <c r="M719" s="1333"/>
      <c r="N719" s="1333"/>
      <c r="O719" s="1333"/>
      <c r="P719" s="1333"/>
      <c r="Q719" s="1333"/>
      <c r="R719" s="1333"/>
      <c r="S719" s="1333"/>
      <c r="T719" s="1333"/>
      <c r="U719" s="1333"/>
      <c r="V719" s="1333"/>
      <c r="W719" s="1333"/>
      <c r="X719" s="1333"/>
      <c r="Y719" s="1333"/>
      <c r="Z719" s="1333"/>
      <c r="AA719" s="1333"/>
      <c r="AB719" s="1333"/>
      <c r="AC719" s="1333"/>
      <c r="AD719" s="1333"/>
      <c r="AE719" s="1333"/>
      <c r="AF719" s="1333"/>
      <c r="AG719" s="1333"/>
      <c r="AH719" s="1333"/>
      <c r="AI719" s="1333"/>
      <c r="AJ719" s="1333"/>
    </row>
    <row r="720" spans="1:36" x14ac:dyDescent="0.25">
      <c r="A720" s="1479"/>
      <c r="B720" s="1284"/>
      <c r="C720" s="1284"/>
      <c r="D720" s="1364"/>
      <c r="E720" s="1364"/>
      <c r="F720" s="1364"/>
      <c r="G720" s="1365"/>
      <c r="H720" s="1333"/>
      <c r="I720" s="1333"/>
      <c r="J720" s="1333"/>
      <c r="K720" s="1333"/>
      <c r="L720" s="1333"/>
      <c r="M720" s="1333"/>
      <c r="N720" s="1333"/>
      <c r="O720" s="1333"/>
      <c r="P720" s="1333"/>
      <c r="Q720" s="1333"/>
      <c r="R720" s="1333"/>
      <c r="S720" s="1333"/>
      <c r="T720" s="1333"/>
      <c r="U720" s="1333"/>
      <c r="V720" s="1333"/>
      <c r="W720" s="1333"/>
      <c r="X720" s="1333"/>
      <c r="Y720" s="1333"/>
      <c r="Z720" s="1333"/>
      <c r="AA720" s="1333"/>
      <c r="AB720" s="1333"/>
      <c r="AC720" s="1333"/>
      <c r="AD720" s="1333"/>
      <c r="AE720" s="1333"/>
      <c r="AF720" s="1333"/>
      <c r="AG720" s="1333"/>
      <c r="AH720" s="1333"/>
      <c r="AI720" s="1333"/>
      <c r="AJ720" s="1333"/>
    </row>
    <row r="721" spans="1:36" x14ac:dyDescent="0.25">
      <c r="A721" s="1479"/>
      <c r="B721" s="1284"/>
      <c r="C721" s="1284"/>
      <c r="D721" s="1364"/>
      <c r="E721" s="1364"/>
      <c r="F721" s="1364"/>
      <c r="G721" s="1365"/>
      <c r="H721" s="1333"/>
      <c r="I721" s="1333"/>
      <c r="J721" s="1333"/>
      <c r="K721" s="1333"/>
      <c r="L721" s="1333"/>
      <c r="M721" s="1333"/>
      <c r="N721" s="1333"/>
      <c r="O721" s="1333"/>
      <c r="P721" s="1333"/>
      <c r="Q721" s="1333"/>
      <c r="R721" s="1333"/>
      <c r="S721" s="1333"/>
      <c r="T721" s="1333"/>
      <c r="U721" s="1333"/>
      <c r="V721" s="1333"/>
      <c r="W721" s="1333"/>
      <c r="X721" s="1333"/>
      <c r="Y721" s="1333"/>
      <c r="Z721" s="1333"/>
      <c r="AA721" s="1333"/>
      <c r="AB721" s="1333"/>
      <c r="AC721" s="1333"/>
      <c r="AD721" s="1333"/>
      <c r="AE721" s="1333"/>
      <c r="AF721" s="1333"/>
      <c r="AG721" s="1333"/>
      <c r="AH721" s="1333"/>
      <c r="AI721" s="1333"/>
      <c r="AJ721" s="1333"/>
    </row>
    <row r="722" spans="1:36" x14ac:dyDescent="0.25">
      <c r="A722" s="1479"/>
      <c r="B722" s="1284"/>
      <c r="C722" s="1284"/>
      <c r="D722" s="1364"/>
      <c r="E722" s="1364"/>
      <c r="F722" s="1364"/>
      <c r="G722" s="1365"/>
      <c r="H722" s="1333"/>
      <c r="I722" s="1333"/>
      <c r="J722" s="1333"/>
      <c r="K722" s="1333"/>
      <c r="L722" s="1333"/>
      <c r="M722" s="1333"/>
      <c r="N722" s="1333"/>
      <c r="O722" s="1333"/>
      <c r="P722" s="1333"/>
      <c r="Q722" s="1333"/>
      <c r="R722" s="1333"/>
      <c r="S722" s="1333"/>
      <c r="T722" s="1333"/>
      <c r="U722" s="1333"/>
      <c r="V722" s="1333"/>
      <c r="W722" s="1333"/>
      <c r="X722" s="1333"/>
      <c r="Y722" s="1333"/>
      <c r="Z722" s="1333"/>
      <c r="AA722" s="1333"/>
      <c r="AB722" s="1333"/>
      <c r="AC722" s="1333"/>
      <c r="AD722" s="1333"/>
      <c r="AE722" s="1333"/>
      <c r="AF722" s="1333"/>
      <c r="AG722" s="1333"/>
      <c r="AH722" s="1333"/>
      <c r="AI722" s="1333"/>
      <c r="AJ722" s="1333"/>
    </row>
    <row r="723" spans="1:36" x14ac:dyDescent="0.25">
      <c r="A723" s="1479"/>
      <c r="B723" s="1284"/>
      <c r="C723" s="1284"/>
      <c r="D723" s="1364"/>
      <c r="E723" s="1364"/>
      <c r="F723" s="1364"/>
      <c r="G723" s="1365"/>
      <c r="H723" s="1333"/>
      <c r="I723" s="1333"/>
      <c r="J723" s="1333"/>
      <c r="K723" s="1333"/>
      <c r="L723" s="1333"/>
      <c r="M723" s="1333"/>
      <c r="N723" s="1333"/>
      <c r="O723" s="1333"/>
      <c r="P723" s="1333"/>
      <c r="Q723" s="1333"/>
      <c r="R723" s="1333"/>
      <c r="S723" s="1333"/>
      <c r="T723" s="1333"/>
      <c r="U723" s="1333"/>
      <c r="V723" s="1333"/>
      <c r="W723" s="1333"/>
      <c r="X723" s="1333"/>
      <c r="Y723" s="1333"/>
      <c r="Z723" s="1333"/>
      <c r="AA723" s="1333"/>
      <c r="AB723" s="1333"/>
      <c r="AC723" s="1333"/>
      <c r="AD723" s="1333"/>
      <c r="AE723" s="1333"/>
      <c r="AF723" s="1333"/>
      <c r="AG723" s="1333"/>
      <c r="AH723" s="1333"/>
      <c r="AI723" s="1333"/>
      <c r="AJ723" s="1333"/>
    </row>
    <row r="724" spans="1:36" x14ac:dyDescent="0.25">
      <c r="A724" s="1479"/>
      <c r="B724" s="1284"/>
      <c r="C724" s="1284"/>
      <c r="D724" s="1364"/>
      <c r="E724" s="1364"/>
      <c r="F724" s="1364"/>
      <c r="G724" s="1365"/>
      <c r="H724" s="1333"/>
      <c r="I724" s="1333"/>
      <c r="J724" s="1333"/>
      <c r="K724" s="1333"/>
      <c r="L724" s="1333"/>
      <c r="M724" s="1333"/>
      <c r="N724" s="1333"/>
      <c r="O724" s="1333"/>
      <c r="P724" s="1333"/>
      <c r="Q724" s="1333"/>
      <c r="R724" s="1333"/>
      <c r="S724" s="1333"/>
      <c r="T724" s="1333"/>
      <c r="U724" s="1333"/>
      <c r="V724" s="1333"/>
      <c r="W724" s="1333"/>
      <c r="X724" s="1333"/>
      <c r="Y724" s="1333"/>
      <c r="Z724" s="1333"/>
      <c r="AA724" s="1333"/>
      <c r="AB724" s="1333"/>
      <c r="AC724" s="1333"/>
      <c r="AD724" s="1333"/>
      <c r="AE724" s="1333"/>
      <c r="AF724" s="1333"/>
      <c r="AG724" s="1333"/>
      <c r="AH724" s="1333"/>
      <c r="AI724" s="1333"/>
      <c r="AJ724" s="1333"/>
    </row>
    <row r="725" spans="1:36" x14ac:dyDescent="0.25">
      <c r="A725" s="1479"/>
      <c r="B725" s="1284"/>
      <c r="C725" s="1284"/>
      <c r="D725" s="1364"/>
      <c r="E725" s="1364"/>
      <c r="F725" s="1364"/>
      <c r="G725" s="1365"/>
      <c r="H725" s="1333"/>
      <c r="I725" s="1333"/>
      <c r="J725" s="1333"/>
      <c r="K725" s="1333"/>
      <c r="L725" s="1333"/>
      <c r="M725" s="1333"/>
      <c r="N725" s="1333"/>
      <c r="O725" s="1333"/>
      <c r="P725" s="1333"/>
      <c r="Q725" s="1333"/>
      <c r="R725" s="1333"/>
      <c r="S725" s="1333"/>
      <c r="T725" s="1333"/>
      <c r="U725" s="1333"/>
      <c r="V725" s="1333"/>
      <c r="W725" s="1333"/>
      <c r="X725" s="1333"/>
      <c r="Y725" s="1333"/>
      <c r="Z725" s="1333"/>
      <c r="AA725" s="1333"/>
      <c r="AB725" s="1333"/>
      <c r="AC725" s="1333"/>
      <c r="AD725" s="1333"/>
      <c r="AE725" s="1333"/>
      <c r="AF725" s="1333"/>
      <c r="AG725" s="1333"/>
      <c r="AH725" s="1333"/>
      <c r="AI725" s="1333"/>
      <c r="AJ725" s="1333"/>
    </row>
    <row r="726" spans="1:36" x14ac:dyDescent="0.25">
      <c r="A726" s="1479"/>
      <c r="B726" s="1284"/>
      <c r="C726" s="1284"/>
      <c r="D726" s="1364"/>
      <c r="E726" s="1364"/>
      <c r="F726" s="1364"/>
      <c r="G726" s="1365"/>
      <c r="H726" s="1333"/>
      <c r="I726" s="1333"/>
      <c r="J726" s="1333"/>
      <c r="K726" s="1333"/>
      <c r="L726" s="1333"/>
      <c r="M726" s="1333"/>
      <c r="N726" s="1333"/>
      <c r="O726" s="1333"/>
      <c r="P726" s="1333"/>
      <c r="Q726" s="1333"/>
      <c r="R726" s="1333"/>
      <c r="S726" s="1333"/>
      <c r="T726" s="1333"/>
      <c r="U726" s="1333"/>
      <c r="V726" s="1333"/>
      <c r="W726" s="1333"/>
      <c r="X726" s="1333"/>
      <c r="Y726" s="1333"/>
      <c r="Z726" s="1333"/>
      <c r="AA726" s="1333"/>
      <c r="AB726" s="1333"/>
      <c r="AC726" s="1333"/>
      <c r="AD726" s="1333"/>
      <c r="AE726" s="1333"/>
      <c r="AF726" s="1333"/>
      <c r="AG726" s="1333"/>
      <c r="AH726" s="1333"/>
      <c r="AI726" s="1333"/>
      <c r="AJ726" s="1333"/>
    </row>
    <row r="727" spans="1:36" x14ac:dyDescent="0.25">
      <c r="A727" s="1479"/>
      <c r="B727" s="1284"/>
      <c r="C727" s="1284"/>
      <c r="D727" s="1364"/>
      <c r="E727" s="1364"/>
      <c r="F727" s="1364"/>
      <c r="G727" s="1365"/>
      <c r="H727" s="1333"/>
      <c r="I727" s="1333"/>
      <c r="J727" s="1333"/>
      <c r="K727" s="1333"/>
      <c r="L727" s="1333"/>
      <c r="M727" s="1333"/>
      <c r="N727" s="1333"/>
      <c r="O727" s="1333"/>
      <c r="P727" s="1333"/>
      <c r="Q727" s="1333"/>
      <c r="R727" s="1333"/>
      <c r="S727" s="1333"/>
      <c r="T727" s="1333"/>
      <c r="U727" s="1333"/>
      <c r="V727" s="1333"/>
      <c r="W727" s="1333"/>
      <c r="X727" s="1333"/>
      <c r="Y727" s="1333"/>
      <c r="Z727" s="1333"/>
      <c r="AA727" s="1333"/>
      <c r="AB727" s="1333"/>
      <c r="AC727" s="1333"/>
      <c r="AD727" s="1333"/>
      <c r="AE727" s="1333"/>
      <c r="AF727" s="1333"/>
      <c r="AG727" s="1333"/>
      <c r="AH727" s="1333"/>
      <c r="AI727" s="1333"/>
      <c r="AJ727" s="1333"/>
    </row>
    <row r="728" spans="1:36" x14ac:dyDescent="0.25">
      <c r="A728" s="1479"/>
      <c r="B728" s="1284"/>
      <c r="C728" s="1284"/>
      <c r="D728" s="1364"/>
      <c r="E728" s="1364"/>
      <c r="F728" s="1364"/>
      <c r="G728" s="1365"/>
      <c r="H728" s="1333"/>
      <c r="I728" s="1333"/>
      <c r="J728" s="1333"/>
      <c r="K728" s="1333"/>
      <c r="L728" s="1333"/>
      <c r="M728" s="1333"/>
      <c r="N728" s="1333"/>
      <c r="O728" s="1333"/>
      <c r="P728" s="1333"/>
      <c r="Q728" s="1333"/>
      <c r="R728" s="1333"/>
      <c r="S728" s="1333"/>
      <c r="T728" s="1333"/>
      <c r="U728" s="1333"/>
      <c r="V728" s="1333"/>
      <c r="W728" s="1333"/>
      <c r="X728" s="1333"/>
      <c r="Y728" s="1333"/>
      <c r="Z728" s="1333"/>
      <c r="AA728" s="1333"/>
      <c r="AB728" s="1333"/>
      <c r="AC728" s="1333"/>
      <c r="AD728" s="1333"/>
      <c r="AE728" s="1333"/>
      <c r="AF728" s="1333"/>
      <c r="AG728" s="1333"/>
      <c r="AH728" s="1333"/>
      <c r="AI728" s="1333"/>
      <c r="AJ728" s="1333"/>
    </row>
    <row r="729" spans="1:36" x14ac:dyDescent="0.25">
      <c r="A729" s="1479"/>
      <c r="B729" s="1284"/>
      <c r="C729" s="1284"/>
      <c r="D729" s="1364"/>
      <c r="E729" s="1364"/>
      <c r="F729" s="1364"/>
      <c r="G729" s="1365"/>
      <c r="H729" s="1333"/>
      <c r="I729" s="1333"/>
      <c r="J729" s="1333"/>
      <c r="K729" s="1333"/>
      <c r="L729" s="1333"/>
      <c r="M729" s="1333"/>
      <c r="N729" s="1333"/>
      <c r="O729" s="1333"/>
      <c r="P729" s="1333"/>
      <c r="Q729" s="1333"/>
      <c r="R729" s="1333"/>
      <c r="S729" s="1333"/>
      <c r="T729" s="1333"/>
      <c r="U729" s="1333"/>
      <c r="V729" s="1333"/>
      <c r="W729" s="1333"/>
      <c r="X729" s="1333"/>
      <c r="Y729" s="1333"/>
      <c r="Z729" s="1333"/>
      <c r="AA729" s="1333"/>
      <c r="AB729" s="1333"/>
      <c r="AC729" s="1333"/>
      <c r="AD729" s="1333"/>
      <c r="AE729" s="1333"/>
      <c r="AF729" s="1333"/>
      <c r="AG729" s="1333"/>
      <c r="AH729" s="1333"/>
      <c r="AI729" s="1333"/>
      <c r="AJ729" s="1333"/>
    </row>
    <row r="730" spans="1:36" x14ac:dyDescent="0.25">
      <c r="A730" s="1479"/>
      <c r="B730" s="1284"/>
      <c r="C730" s="1284"/>
      <c r="D730" s="1364"/>
      <c r="E730" s="1364"/>
      <c r="F730" s="1364"/>
      <c r="G730" s="1365"/>
      <c r="H730" s="1333"/>
      <c r="I730" s="1333"/>
      <c r="J730" s="1333"/>
      <c r="K730" s="1333"/>
      <c r="L730" s="1333"/>
      <c r="M730" s="1333"/>
      <c r="N730" s="1333"/>
      <c r="O730" s="1333"/>
      <c r="P730" s="1333"/>
      <c r="Q730" s="1333"/>
      <c r="R730" s="1333"/>
      <c r="S730" s="1333"/>
      <c r="T730" s="1333"/>
      <c r="U730" s="1333"/>
      <c r="V730" s="1333"/>
      <c r="W730" s="1333"/>
      <c r="X730" s="1333"/>
      <c r="Y730" s="1333"/>
      <c r="Z730" s="1333"/>
      <c r="AA730" s="1333"/>
      <c r="AB730" s="1333"/>
      <c r="AC730" s="1333"/>
      <c r="AD730" s="1333"/>
      <c r="AE730" s="1333"/>
      <c r="AF730" s="1333"/>
      <c r="AG730" s="1333"/>
      <c r="AH730" s="1333"/>
      <c r="AI730" s="1333"/>
      <c r="AJ730" s="1333"/>
    </row>
    <row r="731" spans="1:36" x14ac:dyDescent="0.25">
      <c r="A731" s="1479"/>
      <c r="B731" s="1284"/>
      <c r="C731" s="1284"/>
      <c r="D731" s="1364"/>
      <c r="E731" s="1364"/>
      <c r="F731" s="1364"/>
      <c r="G731" s="1365"/>
      <c r="H731" s="1333"/>
      <c r="I731" s="1333"/>
      <c r="J731" s="1333"/>
      <c r="K731" s="1333"/>
      <c r="L731" s="1333"/>
      <c r="M731" s="1333"/>
      <c r="N731" s="1333"/>
      <c r="O731" s="1333"/>
      <c r="P731" s="1333"/>
      <c r="Q731" s="1333"/>
      <c r="R731" s="1333"/>
      <c r="S731" s="1333"/>
      <c r="T731" s="1333"/>
      <c r="U731" s="1333"/>
      <c r="V731" s="1333"/>
      <c r="W731" s="1333"/>
      <c r="X731" s="1333"/>
      <c r="Y731" s="1333"/>
      <c r="Z731" s="1333"/>
      <c r="AA731" s="1333"/>
      <c r="AB731" s="1333"/>
      <c r="AC731" s="1333"/>
      <c r="AD731" s="1333"/>
      <c r="AE731" s="1333"/>
      <c r="AF731" s="1333"/>
      <c r="AG731" s="1333"/>
      <c r="AH731" s="1333"/>
      <c r="AI731" s="1333"/>
      <c r="AJ731" s="1333"/>
    </row>
    <row r="732" spans="1:36" x14ac:dyDescent="0.25">
      <c r="A732" s="1479"/>
      <c r="B732" s="1284"/>
      <c r="C732" s="1284"/>
      <c r="D732" s="1364"/>
      <c r="E732" s="1364"/>
      <c r="F732" s="1364"/>
      <c r="G732" s="1365"/>
      <c r="H732" s="1333"/>
      <c r="I732" s="1333"/>
      <c r="J732" s="1333"/>
      <c r="K732" s="1333"/>
      <c r="L732" s="1333"/>
      <c r="M732" s="1333"/>
      <c r="N732" s="1333"/>
      <c r="O732" s="1333"/>
      <c r="P732" s="1333"/>
      <c r="Q732" s="1333"/>
      <c r="R732" s="1333"/>
      <c r="S732" s="1333"/>
      <c r="T732" s="1333"/>
      <c r="U732" s="1333"/>
      <c r="V732" s="1333"/>
      <c r="W732" s="1333"/>
      <c r="X732" s="1333"/>
      <c r="Y732" s="1333"/>
      <c r="Z732" s="1333"/>
      <c r="AA732" s="1333"/>
      <c r="AB732" s="1333"/>
      <c r="AC732" s="1333"/>
      <c r="AD732" s="1333"/>
      <c r="AE732" s="1333"/>
      <c r="AF732" s="1333"/>
      <c r="AG732" s="1333"/>
      <c r="AH732" s="1333"/>
      <c r="AI732" s="1333"/>
      <c r="AJ732" s="1333"/>
    </row>
    <row r="733" spans="1:36" x14ac:dyDescent="0.25">
      <c r="A733" s="1479"/>
      <c r="B733" s="1284"/>
      <c r="C733" s="1284"/>
      <c r="D733" s="1364"/>
      <c r="E733" s="1364"/>
      <c r="F733" s="1364"/>
      <c r="G733" s="1365"/>
      <c r="H733" s="1333"/>
      <c r="I733" s="1333"/>
      <c r="J733" s="1333"/>
      <c r="K733" s="1333"/>
      <c r="L733" s="1333"/>
      <c r="M733" s="1333"/>
      <c r="N733" s="1333"/>
      <c r="O733" s="1333"/>
      <c r="P733" s="1333"/>
      <c r="Q733" s="1333"/>
      <c r="R733" s="1333"/>
      <c r="S733" s="1333"/>
      <c r="T733" s="1333"/>
      <c r="U733" s="1333"/>
      <c r="V733" s="1333"/>
      <c r="W733" s="1333"/>
      <c r="X733" s="1333"/>
      <c r="Y733" s="1333"/>
      <c r="Z733" s="1333"/>
      <c r="AA733" s="1333"/>
      <c r="AB733" s="1333"/>
      <c r="AC733" s="1333"/>
      <c r="AD733" s="1333"/>
      <c r="AE733" s="1333"/>
      <c r="AF733" s="1333"/>
      <c r="AG733" s="1333"/>
      <c r="AH733" s="1333"/>
      <c r="AI733" s="1333"/>
      <c r="AJ733" s="1333"/>
    </row>
    <row r="734" spans="1:36" x14ac:dyDescent="0.25">
      <c r="A734" s="1479"/>
      <c r="B734" s="1284"/>
      <c r="C734" s="1284"/>
      <c r="D734" s="1364"/>
      <c r="E734" s="1364"/>
      <c r="F734" s="1364"/>
      <c r="G734" s="1365"/>
      <c r="H734" s="1333"/>
      <c r="I734" s="1333"/>
      <c r="J734" s="1333"/>
      <c r="K734" s="1333"/>
      <c r="L734" s="1333"/>
      <c r="M734" s="1333"/>
      <c r="N734" s="1333"/>
      <c r="O734" s="1333"/>
      <c r="P734" s="1333"/>
      <c r="Q734" s="1333"/>
      <c r="R734" s="1333"/>
      <c r="S734" s="1333"/>
      <c r="T734" s="1333"/>
      <c r="U734" s="1333"/>
      <c r="V734" s="1333"/>
      <c r="W734" s="1333"/>
      <c r="X734" s="1333"/>
      <c r="Y734" s="1333"/>
      <c r="Z734" s="1333"/>
      <c r="AA734" s="1333"/>
      <c r="AB734" s="1333"/>
      <c r="AC734" s="1333"/>
      <c r="AD734" s="1333"/>
      <c r="AE734" s="1333"/>
      <c r="AF734" s="1333"/>
      <c r="AG734" s="1333"/>
      <c r="AH734" s="1333"/>
      <c r="AI734" s="1333"/>
      <c r="AJ734" s="1333"/>
    </row>
    <row r="735" spans="1:36" x14ac:dyDescent="0.25">
      <c r="A735" s="1479"/>
      <c r="B735" s="1284"/>
      <c r="C735" s="1284"/>
      <c r="D735" s="1364"/>
      <c r="E735" s="1364"/>
      <c r="F735" s="1364"/>
      <c r="G735" s="1365"/>
      <c r="H735" s="1333"/>
      <c r="I735" s="1333"/>
      <c r="J735" s="1333"/>
      <c r="K735" s="1333"/>
      <c r="L735" s="1333"/>
      <c r="M735" s="1333"/>
      <c r="N735" s="1333"/>
      <c r="O735" s="1333"/>
      <c r="P735" s="1333"/>
      <c r="Q735" s="1333"/>
      <c r="R735" s="1333"/>
      <c r="S735" s="1333"/>
      <c r="T735" s="1333"/>
      <c r="U735" s="1333"/>
      <c r="V735" s="1333"/>
      <c r="W735" s="1333"/>
      <c r="X735" s="1333"/>
      <c r="Y735" s="1333"/>
      <c r="Z735" s="1333"/>
      <c r="AA735" s="1333"/>
      <c r="AB735" s="1333"/>
      <c r="AC735" s="1333"/>
      <c r="AD735" s="1333"/>
      <c r="AE735" s="1333"/>
      <c r="AF735" s="1333"/>
      <c r="AG735" s="1333"/>
      <c r="AH735" s="1333"/>
      <c r="AI735" s="1333"/>
      <c r="AJ735" s="1333"/>
    </row>
    <row r="736" spans="1:36" x14ac:dyDescent="0.25">
      <c r="A736" s="1479"/>
      <c r="B736" s="1284"/>
      <c r="C736" s="1284"/>
      <c r="D736" s="1364"/>
      <c r="E736" s="1364"/>
      <c r="F736" s="1364"/>
      <c r="G736" s="1365"/>
      <c r="H736" s="1333"/>
      <c r="I736" s="1333"/>
      <c r="J736" s="1333"/>
      <c r="K736" s="1333"/>
      <c r="L736" s="1333"/>
      <c r="M736" s="1333"/>
      <c r="N736" s="1333"/>
      <c r="O736" s="1333"/>
      <c r="P736" s="1333"/>
      <c r="Q736" s="1333"/>
      <c r="R736" s="1333"/>
      <c r="S736" s="1333"/>
      <c r="T736" s="1333"/>
      <c r="U736" s="1333"/>
      <c r="V736" s="1333"/>
      <c r="W736" s="1333"/>
      <c r="X736" s="1333"/>
      <c r="Y736" s="1333"/>
      <c r="Z736" s="1333"/>
      <c r="AA736" s="1333"/>
      <c r="AB736" s="1333"/>
      <c r="AC736" s="1333"/>
      <c r="AD736" s="1333"/>
      <c r="AE736" s="1333"/>
      <c r="AF736" s="1333"/>
      <c r="AG736" s="1333"/>
      <c r="AH736" s="1333"/>
      <c r="AI736" s="1333"/>
      <c r="AJ736" s="1333"/>
    </row>
    <row r="737" spans="1:36" x14ac:dyDescent="0.25">
      <c r="A737" s="1479"/>
      <c r="B737" s="1284"/>
      <c r="C737" s="1284"/>
      <c r="D737" s="1364"/>
      <c r="E737" s="1364"/>
      <c r="F737" s="1364"/>
      <c r="G737" s="1365"/>
      <c r="H737" s="1333"/>
      <c r="I737" s="1333"/>
      <c r="J737" s="1333"/>
      <c r="K737" s="1333"/>
      <c r="L737" s="1333"/>
      <c r="M737" s="1333"/>
      <c r="N737" s="1333"/>
      <c r="O737" s="1333"/>
      <c r="P737" s="1333"/>
      <c r="Q737" s="1333"/>
      <c r="R737" s="1333"/>
      <c r="S737" s="1333"/>
      <c r="T737" s="1333"/>
      <c r="U737" s="1333"/>
      <c r="V737" s="1333"/>
      <c r="W737" s="1333"/>
      <c r="X737" s="1333"/>
      <c r="Y737" s="1333"/>
      <c r="Z737" s="1333"/>
      <c r="AA737" s="1333"/>
      <c r="AB737" s="1333"/>
      <c r="AC737" s="1333"/>
      <c r="AD737" s="1333"/>
      <c r="AE737" s="1333"/>
      <c r="AF737" s="1333"/>
      <c r="AG737" s="1333"/>
      <c r="AH737" s="1333"/>
      <c r="AI737" s="1333"/>
      <c r="AJ737" s="1333"/>
    </row>
    <row r="738" spans="1:36" x14ac:dyDescent="0.25">
      <c r="A738" s="1479"/>
      <c r="B738" s="1284"/>
      <c r="C738" s="1284"/>
      <c r="D738" s="1364"/>
      <c r="E738" s="1364"/>
      <c r="F738" s="1364"/>
      <c r="G738" s="1365"/>
      <c r="H738" s="1333"/>
      <c r="I738" s="1333"/>
      <c r="J738" s="1333"/>
      <c r="K738" s="1333"/>
      <c r="L738" s="1333"/>
      <c r="M738" s="1333"/>
      <c r="N738" s="1333"/>
      <c r="O738" s="1333"/>
      <c r="P738" s="1333"/>
      <c r="Q738" s="1333"/>
      <c r="R738" s="1333"/>
      <c r="S738" s="1333"/>
      <c r="T738" s="1333"/>
      <c r="U738" s="1333"/>
      <c r="V738" s="1333"/>
      <c r="W738" s="1333"/>
      <c r="X738" s="1333"/>
      <c r="Y738" s="1333"/>
      <c r="Z738" s="1333"/>
      <c r="AA738" s="1333"/>
      <c r="AB738" s="1333"/>
      <c r="AC738" s="1333"/>
      <c r="AD738" s="1333"/>
      <c r="AE738" s="1333"/>
      <c r="AF738" s="1333"/>
      <c r="AG738" s="1333"/>
      <c r="AH738" s="1333"/>
      <c r="AI738" s="1333"/>
      <c r="AJ738" s="1333"/>
    </row>
    <row r="739" spans="1:36" x14ac:dyDescent="0.25">
      <c r="A739" s="1479"/>
      <c r="B739" s="1284"/>
      <c r="C739" s="1284"/>
      <c r="D739" s="1364"/>
      <c r="E739" s="1364"/>
      <c r="F739" s="1364"/>
      <c r="G739" s="1365"/>
      <c r="H739" s="1333"/>
      <c r="I739" s="1333"/>
      <c r="J739" s="1333"/>
      <c r="K739" s="1333"/>
      <c r="L739" s="1333"/>
      <c r="M739" s="1333"/>
      <c r="N739" s="1333"/>
      <c r="O739" s="1333"/>
      <c r="P739" s="1333"/>
      <c r="Q739" s="1333"/>
      <c r="R739" s="1333"/>
      <c r="S739" s="1333"/>
      <c r="T739" s="1333"/>
      <c r="U739" s="1333"/>
      <c r="V739" s="1333"/>
      <c r="W739" s="1333"/>
      <c r="X739" s="1333"/>
      <c r="Y739" s="1333"/>
      <c r="Z739" s="1333"/>
      <c r="AA739" s="1333"/>
      <c r="AB739" s="1333"/>
      <c r="AC739" s="1333"/>
      <c r="AD739" s="1333"/>
      <c r="AE739" s="1333"/>
      <c r="AF739" s="1333"/>
      <c r="AG739" s="1333"/>
      <c r="AH739" s="1333"/>
      <c r="AI739" s="1333"/>
      <c r="AJ739" s="1333"/>
    </row>
    <row r="740" spans="1:36" x14ac:dyDescent="0.25">
      <c r="A740" s="1479"/>
      <c r="B740" s="1284"/>
      <c r="C740" s="1284"/>
      <c r="D740" s="1364"/>
      <c r="E740" s="1364"/>
      <c r="F740" s="1364"/>
      <c r="G740" s="1365"/>
      <c r="H740" s="1333"/>
      <c r="I740" s="1333"/>
      <c r="J740" s="1333"/>
      <c r="K740" s="1333"/>
      <c r="L740" s="1333"/>
      <c r="M740" s="1333"/>
      <c r="N740" s="1333"/>
      <c r="O740" s="1333"/>
      <c r="P740" s="1333"/>
      <c r="Q740" s="1333"/>
      <c r="R740" s="1333"/>
      <c r="S740" s="1333"/>
      <c r="T740" s="1333"/>
      <c r="U740" s="1333"/>
      <c r="V740" s="1333"/>
      <c r="W740" s="1333"/>
      <c r="X740" s="1333"/>
      <c r="Y740" s="1333"/>
      <c r="Z740" s="1333"/>
      <c r="AA740" s="1333"/>
      <c r="AB740" s="1333"/>
      <c r="AC740" s="1333"/>
      <c r="AD740" s="1333"/>
      <c r="AE740" s="1333"/>
      <c r="AF740" s="1333"/>
      <c r="AG740" s="1333"/>
      <c r="AH740" s="1333"/>
      <c r="AI740" s="1333"/>
      <c r="AJ740" s="1333"/>
    </row>
    <row r="741" spans="1:36" x14ac:dyDescent="0.25">
      <c r="A741" s="1479"/>
      <c r="B741" s="1284"/>
      <c r="C741" s="1284"/>
      <c r="D741" s="1364"/>
      <c r="E741" s="1364"/>
      <c r="F741" s="1364"/>
      <c r="G741" s="1365"/>
      <c r="H741" s="1333"/>
      <c r="I741" s="1333"/>
      <c r="J741" s="1333"/>
      <c r="K741" s="1333"/>
      <c r="L741" s="1333"/>
      <c r="M741" s="1333"/>
      <c r="N741" s="1333"/>
      <c r="O741" s="1333"/>
      <c r="P741" s="1333"/>
      <c r="Q741" s="1333"/>
      <c r="R741" s="1333"/>
      <c r="S741" s="1333"/>
      <c r="T741" s="1333"/>
      <c r="U741" s="1333"/>
      <c r="V741" s="1333"/>
      <c r="W741" s="1333"/>
      <c r="X741" s="1333"/>
      <c r="Y741" s="1333"/>
      <c r="Z741" s="1333"/>
      <c r="AA741" s="1333"/>
      <c r="AB741" s="1333"/>
      <c r="AC741" s="1333"/>
      <c r="AD741" s="1333"/>
      <c r="AE741" s="1333"/>
      <c r="AF741" s="1333"/>
      <c r="AG741" s="1333"/>
      <c r="AH741" s="1333"/>
      <c r="AI741" s="1333"/>
      <c r="AJ741" s="1333"/>
    </row>
    <row r="742" spans="1:36" x14ac:dyDescent="0.25">
      <c r="A742" s="1479"/>
      <c r="B742" s="1284"/>
      <c r="C742" s="1284"/>
      <c r="D742" s="1364"/>
      <c r="E742" s="1364"/>
      <c r="F742" s="1364"/>
      <c r="G742" s="1365"/>
      <c r="H742" s="1333"/>
      <c r="I742" s="1333"/>
      <c r="J742" s="1333"/>
      <c r="K742" s="1333"/>
      <c r="L742" s="1333"/>
      <c r="M742" s="1333"/>
      <c r="N742" s="1333"/>
      <c r="O742" s="1333"/>
      <c r="P742" s="1333"/>
      <c r="Q742" s="1333"/>
      <c r="R742" s="1333"/>
      <c r="S742" s="1333"/>
      <c r="T742" s="1333"/>
      <c r="U742" s="1333"/>
      <c r="V742" s="1333"/>
      <c r="W742" s="1333"/>
      <c r="X742" s="1333"/>
      <c r="Y742" s="1333"/>
      <c r="Z742" s="1333"/>
      <c r="AA742" s="1333"/>
      <c r="AB742" s="1333"/>
      <c r="AC742" s="1333"/>
      <c r="AD742" s="1333"/>
      <c r="AE742" s="1333"/>
      <c r="AF742" s="1333"/>
      <c r="AG742" s="1333"/>
      <c r="AH742" s="1333"/>
      <c r="AI742" s="1333"/>
      <c r="AJ742" s="1333"/>
    </row>
    <row r="743" spans="1:36" x14ac:dyDescent="0.25">
      <c r="A743" s="1479"/>
      <c r="B743" s="1284"/>
      <c r="C743" s="1284"/>
      <c r="D743" s="1364"/>
      <c r="E743" s="1364"/>
      <c r="F743" s="1364"/>
      <c r="G743" s="1365"/>
      <c r="H743" s="1333"/>
      <c r="I743" s="1333"/>
      <c r="J743" s="1333"/>
      <c r="K743" s="1333"/>
      <c r="L743" s="1333"/>
      <c r="M743" s="1333"/>
      <c r="N743" s="1333"/>
      <c r="O743" s="1333"/>
      <c r="P743" s="1333"/>
      <c r="Q743" s="1333"/>
      <c r="R743" s="1333"/>
      <c r="S743" s="1333"/>
      <c r="T743" s="1333"/>
      <c r="U743" s="1333"/>
      <c r="V743" s="1333"/>
      <c r="W743" s="1333"/>
      <c r="X743" s="1333"/>
      <c r="Y743" s="1333"/>
      <c r="Z743" s="1333"/>
      <c r="AA743" s="1333"/>
      <c r="AB743" s="1333"/>
      <c r="AC743" s="1333"/>
      <c r="AD743" s="1333"/>
      <c r="AE743" s="1333"/>
      <c r="AF743" s="1333"/>
      <c r="AG743" s="1333"/>
      <c r="AH743" s="1333"/>
      <c r="AI743" s="1333"/>
      <c r="AJ743" s="1333"/>
    </row>
    <row r="744" spans="1:36" x14ac:dyDescent="0.25">
      <c r="A744" s="1479"/>
      <c r="B744" s="1284"/>
      <c r="C744" s="1284"/>
      <c r="D744" s="1364"/>
      <c r="E744" s="1364"/>
      <c r="F744" s="1364"/>
      <c r="G744" s="1365"/>
      <c r="H744" s="1333"/>
      <c r="I744" s="1333"/>
      <c r="J744" s="1333"/>
      <c r="K744" s="1333"/>
      <c r="L744" s="1333"/>
      <c r="M744" s="1333"/>
      <c r="N744" s="1333"/>
      <c r="O744" s="1333"/>
      <c r="P744" s="1333"/>
      <c r="Q744" s="1333"/>
      <c r="R744" s="1333"/>
      <c r="S744" s="1333"/>
      <c r="T744" s="1333"/>
      <c r="U744" s="1333"/>
      <c r="V744" s="1333"/>
      <c r="W744" s="1333"/>
      <c r="X744" s="1333"/>
      <c r="Y744" s="1333"/>
      <c r="Z744" s="1333"/>
      <c r="AA744" s="1333"/>
      <c r="AB744" s="1333"/>
      <c r="AC744" s="1333"/>
      <c r="AD744" s="1333"/>
      <c r="AE744" s="1333"/>
      <c r="AF744" s="1333"/>
      <c r="AG744" s="1333"/>
      <c r="AH744" s="1333"/>
      <c r="AI744" s="1333"/>
      <c r="AJ744" s="1333"/>
    </row>
    <row r="745" spans="1:36" x14ac:dyDescent="0.25">
      <c r="A745" s="1479"/>
      <c r="B745" s="1284"/>
      <c r="C745" s="1284"/>
      <c r="D745" s="1364"/>
      <c r="E745" s="1364"/>
      <c r="F745" s="1364"/>
      <c r="G745" s="1365"/>
      <c r="H745" s="1333"/>
      <c r="I745" s="1333"/>
      <c r="J745" s="1333"/>
      <c r="K745" s="1333"/>
      <c r="L745" s="1333"/>
      <c r="M745" s="1333"/>
      <c r="N745" s="1333"/>
      <c r="O745" s="1333"/>
      <c r="P745" s="1333"/>
      <c r="Q745" s="1333"/>
      <c r="R745" s="1333"/>
      <c r="S745" s="1333"/>
      <c r="T745" s="1333"/>
      <c r="U745" s="1333"/>
      <c r="V745" s="1333"/>
      <c r="W745" s="1333"/>
      <c r="X745" s="1333"/>
      <c r="Y745" s="1333"/>
      <c r="Z745" s="1333"/>
      <c r="AA745" s="1333"/>
      <c r="AB745" s="1333"/>
      <c r="AC745" s="1333"/>
      <c r="AD745" s="1333"/>
      <c r="AE745" s="1333"/>
      <c r="AF745" s="1333"/>
      <c r="AG745" s="1333"/>
      <c r="AH745" s="1333"/>
      <c r="AI745" s="1333"/>
      <c r="AJ745" s="1333"/>
    </row>
    <row r="746" spans="1:36" x14ac:dyDescent="0.25">
      <c r="A746" s="1479"/>
      <c r="B746" s="1284"/>
      <c r="C746" s="1284"/>
      <c r="D746" s="1364"/>
      <c r="E746" s="1364"/>
      <c r="F746" s="1364"/>
      <c r="G746" s="1365"/>
      <c r="H746" s="1333"/>
      <c r="I746" s="1333"/>
      <c r="J746" s="1333"/>
      <c r="K746" s="1333"/>
      <c r="L746" s="1333"/>
      <c r="M746" s="1333"/>
      <c r="N746" s="1333"/>
      <c r="O746" s="1333"/>
      <c r="P746" s="1333"/>
      <c r="Q746" s="1333"/>
      <c r="R746" s="1333"/>
      <c r="S746" s="1333"/>
      <c r="T746" s="1333"/>
      <c r="U746" s="1333"/>
      <c r="V746" s="1333"/>
      <c r="W746" s="1333"/>
      <c r="X746" s="1333"/>
      <c r="Y746" s="1333"/>
      <c r="Z746" s="1333"/>
      <c r="AA746" s="1333"/>
      <c r="AB746" s="1333"/>
      <c r="AC746" s="1333"/>
      <c r="AD746" s="1333"/>
      <c r="AE746" s="1333"/>
      <c r="AF746" s="1333"/>
      <c r="AG746" s="1333"/>
      <c r="AH746" s="1333"/>
      <c r="AI746" s="1333"/>
      <c r="AJ746" s="1333"/>
    </row>
    <row r="747" spans="1:36" x14ac:dyDescent="0.25">
      <c r="A747" s="1479"/>
      <c r="B747" s="1284"/>
      <c r="C747" s="1284"/>
      <c r="D747" s="1364"/>
      <c r="E747" s="1364"/>
      <c r="F747" s="1364"/>
      <c r="G747" s="1365"/>
      <c r="H747" s="1333"/>
      <c r="I747" s="1333"/>
      <c r="J747" s="1333"/>
      <c r="K747" s="1333"/>
      <c r="L747" s="1333"/>
      <c r="M747" s="1333"/>
      <c r="N747" s="1333"/>
      <c r="O747" s="1333"/>
      <c r="P747" s="1333"/>
      <c r="Q747" s="1333"/>
      <c r="R747" s="1333"/>
      <c r="S747" s="1333"/>
      <c r="T747" s="1333"/>
      <c r="U747" s="1333"/>
      <c r="V747" s="1333"/>
      <c r="W747" s="1333"/>
      <c r="X747" s="1333"/>
      <c r="Y747" s="1333"/>
      <c r="Z747" s="1333"/>
      <c r="AA747" s="1333"/>
      <c r="AB747" s="1333"/>
      <c r="AC747" s="1333"/>
      <c r="AD747" s="1333"/>
      <c r="AE747" s="1333"/>
      <c r="AF747" s="1333"/>
      <c r="AG747" s="1333"/>
      <c r="AH747" s="1333"/>
      <c r="AI747" s="1333"/>
      <c r="AJ747" s="1333"/>
    </row>
    <row r="748" spans="1:36" x14ac:dyDescent="0.25">
      <c r="A748" s="1479"/>
      <c r="B748" s="1284"/>
      <c r="C748" s="1284"/>
      <c r="D748" s="1364"/>
      <c r="E748" s="1364"/>
      <c r="F748" s="1364"/>
      <c r="G748" s="1365"/>
      <c r="H748" s="1333"/>
      <c r="I748" s="1333"/>
      <c r="J748" s="1333"/>
      <c r="K748" s="1333"/>
      <c r="L748" s="1333"/>
      <c r="M748" s="1333"/>
      <c r="N748" s="1333"/>
      <c r="O748" s="1333"/>
      <c r="P748" s="1333"/>
      <c r="Q748" s="1333"/>
      <c r="R748" s="1333"/>
      <c r="S748" s="1333"/>
      <c r="T748" s="1333"/>
      <c r="U748" s="1333"/>
      <c r="V748" s="1333"/>
      <c r="W748" s="1333"/>
      <c r="X748" s="1333"/>
      <c r="Y748" s="1333"/>
      <c r="Z748" s="1333"/>
      <c r="AA748" s="1333"/>
      <c r="AB748" s="1333"/>
      <c r="AC748" s="1333"/>
      <c r="AD748" s="1333"/>
      <c r="AE748" s="1333"/>
      <c r="AF748" s="1333"/>
      <c r="AG748" s="1333"/>
      <c r="AH748" s="1333"/>
      <c r="AI748" s="1333"/>
      <c r="AJ748" s="1333"/>
    </row>
    <row r="749" spans="1:36" x14ac:dyDescent="0.25">
      <c r="A749" s="1479"/>
      <c r="B749" s="1284"/>
      <c r="C749" s="1284"/>
      <c r="D749" s="1364"/>
      <c r="E749" s="1364"/>
      <c r="F749" s="1364"/>
      <c r="G749" s="1365"/>
      <c r="H749" s="1333"/>
      <c r="I749" s="1333"/>
      <c r="J749" s="1333"/>
      <c r="K749" s="1333"/>
      <c r="L749" s="1333"/>
      <c r="M749" s="1333"/>
      <c r="N749" s="1333"/>
      <c r="O749" s="1333"/>
      <c r="P749" s="1333"/>
      <c r="Q749" s="1333"/>
      <c r="R749" s="1333"/>
      <c r="S749" s="1333"/>
      <c r="T749" s="1333"/>
      <c r="U749" s="1333"/>
      <c r="V749" s="1333"/>
      <c r="W749" s="1333"/>
      <c r="X749" s="1333"/>
      <c r="Y749" s="1333"/>
      <c r="Z749" s="1333"/>
      <c r="AA749" s="1333"/>
      <c r="AB749" s="1333"/>
      <c r="AC749" s="1333"/>
      <c r="AD749" s="1333"/>
      <c r="AE749" s="1333"/>
      <c r="AF749" s="1333"/>
      <c r="AG749" s="1333"/>
      <c r="AH749" s="1333"/>
      <c r="AI749" s="1333"/>
      <c r="AJ749" s="1333"/>
    </row>
    <row r="750" spans="1:36" x14ac:dyDescent="0.25">
      <c r="A750" s="1479"/>
      <c r="B750" s="1284"/>
      <c r="C750" s="1284"/>
      <c r="D750" s="1364"/>
      <c r="E750" s="1364"/>
      <c r="F750" s="1364"/>
      <c r="G750" s="1365"/>
      <c r="H750" s="1333"/>
      <c r="I750" s="1333"/>
      <c r="J750" s="1333"/>
      <c r="K750" s="1333"/>
      <c r="L750" s="1333"/>
      <c r="M750" s="1333"/>
      <c r="N750" s="1333"/>
      <c r="O750" s="1333"/>
      <c r="P750" s="1333"/>
      <c r="Q750" s="1333"/>
      <c r="R750" s="1333"/>
      <c r="S750" s="1333"/>
      <c r="T750" s="1333"/>
      <c r="U750" s="1333"/>
      <c r="V750" s="1333"/>
      <c r="W750" s="1333"/>
      <c r="X750" s="1333"/>
      <c r="Y750" s="1333"/>
      <c r="Z750" s="1333"/>
      <c r="AA750" s="1333"/>
      <c r="AB750" s="1333"/>
      <c r="AC750" s="1333"/>
      <c r="AD750" s="1333"/>
      <c r="AE750" s="1333"/>
      <c r="AF750" s="1333"/>
      <c r="AG750" s="1333"/>
      <c r="AH750" s="1333"/>
      <c r="AI750" s="1333"/>
      <c r="AJ750" s="1333"/>
    </row>
    <row r="751" spans="1:36" x14ac:dyDescent="0.25">
      <c r="A751" s="1479"/>
      <c r="B751" s="1284"/>
      <c r="C751" s="1284"/>
      <c r="D751" s="1364"/>
      <c r="E751" s="1364"/>
      <c r="F751" s="1364"/>
      <c r="G751" s="1365"/>
      <c r="H751" s="1333"/>
      <c r="I751" s="1333"/>
      <c r="J751" s="1333"/>
      <c r="K751" s="1333"/>
      <c r="L751" s="1333"/>
      <c r="M751" s="1333"/>
      <c r="N751" s="1333"/>
      <c r="O751" s="1333"/>
      <c r="P751" s="1333"/>
      <c r="Q751" s="1333"/>
      <c r="R751" s="1333"/>
      <c r="S751" s="1333"/>
      <c r="T751" s="1333"/>
      <c r="U751" s="1333"/>
      <c r="V751" s="1333"/>
      <c r="W751" s="1333"/>
      <c r="X751" s="1333"/>
      <c r="Y751" s="1333"/>
      <c r="Z751" s="1333"/>
      <c r="AA751" s="1333"/>
      <c r="AB751" s="1333"/>
      <c r="AC751" s="1333"/>
      <c r="AD751" s="1333"/>
      <c r="AE751" s="1333"/>
      <c r="AF751" s="1333"/>
      <c r="AG751" s="1333"/>
      <c r="AH751" s="1333"/>
      <c r="AI751" s="1333"/>
      <c r="AJ751" s="1333"/>
    </row>
    <row r="752" spans="1:36" x14ac:dyDescent="0.25">
      <c r="A752" s="1479"/>
      <c r="B752" s="1284"/>
      <c r="C752" s="1284"/>
      <c r="D752" s="1364"/>
      <c r="E752" s="1364"/>
      <c r="F752" s="1364"/>
      <c r="G752" s="1365"/>
      <c r="H752" s="1333"/>
      <c r="I752" s="1333"/>
      <c r="J752" s="1333"/>
      <c r="K752" s="1333"/>
      <c r="L752" s="1333"/>
      <c r="M752" s="1333"/>
      <c r="N752" s="1333"/>
      <c r="O752" s="1333"/>
      <c r="P752" s="1333"/>
      <c r="Q752" s="1333"/>
      <c r="R752" s="1333"/>
      <c r="S752" s="1333"/>
      <c r="T752" s="1333"/>
      <c r="U752" s="1333"/>
      <c r="V752" s="1333"/>
      <c r="W752" s="1333"/>
      <c r="X752" s="1333"/>
      <c r="Y752" s="1333"/>
      <c r="Z752" s="1333"/>
      <c r="AA752" s="1333"/>
      <c r="AB752" s="1333"/>
      <c r="AC752" s="1333"/>
      <c r="AD752" s="1333"/>
      <c r="AE752" s="1333"/>
      <c r="AF752" s="1333"/>
      <c r="AG752" s="1333"/>
      <c r="AH752" s="1333"/>
      <c r="AI752" s="1333"/>
      <c r="AJ752" s="1333"/>
    </row>
    <row r="753" spans="1:36" x14ac:dyDescent="0.25">
      <c r="A753" s="1479"/>
      <c r="B753" s="1284"/>
      <c r="C753" s="1284"/>
      <c r="D753" s="1364"/>
      <c r="E753" s="1364"/>
      <c r="F753" s="1364"/>
      <c r="G753" s="1365"/>
      <c r="H753" s="1333"/>
      <c r="I753" s="1333"/>
      <c r="J753" s="1333"/>
      <c r="K753" s="1333"/>
      <c r="L753" s="1333"/>
      <c r="M753" s="1333"/>
      <c r="N753" s="1333"/>
      <c r="O753" s="1333"/>
      <c r="P753" s="1333"/>
      <c r="Q753" s="1333"/>
      <c r="R753" s="1333"/>
      <c r="S753" s="1333"/>
      <c r="T753" s="1333"/>
      <c r="U753" s="1333"/>
      <c r="V753" s="1333"/>
      <c r="W753" s="1333"/>
      <c r="X753" s="1333"/>
      <c r="Y753" s="1333"/>
      <c r="Z753" s="1333"/>
      <c r="AA753" s="1333"/>
      <c r="AB753" s="1333"/>
      <c r="AC753" s="1333"/>
      <c r="AD753" s="1333"/>
      <c r="AE753" s="1333"/>
      <c r="AF753" s="1333"/>
      <c r="AG753" s="1333"/>
      <c r="AH753" s="1333"/>
      <c r="AI753" s="1333"/>
      <c r="AJ753" s="1333"/>
    </row>
    <row r="754" spans="1:36" x14ac:dyDescent="0.25">
      <c r="A754" s="1479"/>
      <c r="B754" s="1284"/>
      <c r="C754" s="1284"/>
      <c r="D754" s="1364"/>
      <c r="E754" s="1364"/>
      <c r="F754" s="1364"/>
      <c r="G754" s="1365"/>
      <c r="H754" s="1333"/>
      <c r="I754" s="1333"/>
      <c r="J754" s="1333"/>
      <c r="K754" s="1333"/>
      <c r="L754" s="1333"/>
      <c r="M754" s="1333"/>
      <c r="N754" s="1333"/>
      <c r="O754" s="1333"/>
      <c r="P754" s="1333"/>
      <c r="Q754" s="1333"/>
      <c r="R754" s="1333"/>
      <c r="S754" s="1333"/>
      <c r="T754" s="1333"/>
      <c r="U754" s="1333"/>
      <c r="V754" s="1333"/>
      <c r="W754" s="1333"/>
      <c r="X754" s="1333"/>
      <c r="Y754" s="1333"/>
      <c r="Z754" s="1333"/>
      <c r="AA754" s="1333"/>
      <c r="AB754" s="1333"/>
      <c r="AC754" s="1333"/>
      <c r="AD754" s="1333"/>
      <c r="AE754" s="1333"/>
      <c r="AF754" s="1333"/>
      <c r="AG754" s="1333"/>
      <c r="AH754" s="1333"/>
      <c r="AI754" s="1333"/>
      <c r="AJ754" s="1333"/>
    </row>
    <row r="755" spans="1:36" x14ac:dyDescent="0.25">
      <c r="A755" s="1479"/>
      <c r="B755" s="1284"/>
      <c r="C755" s="1284"/>
      <c r="D755" s="1364"/>
      <c r="E755" s="1364"/>
      <c r="F755" s="1364"/>
      <c r="G755" s="1365"/>
      <c r="H755" s="1333"/>
      <c r="I755" s="1333"/>
      <c r="J755" s="1333"/>
      <c r="K755" s="1333"/>
      <c r="L755" s="1333"/>
      <c r="M755" s="1333"/>
      <c r="N755" s="1333"/>
      <c r="O755" s="1333"/>
      <c r="P755" s="1333"/>
      <c r="Q755" s="1333"/>
      <c r="R755" s="1333"/>
      <c r="S755" s="1333"/>
      <c r="T755" s="1333"/>
      <c r="U755" s="1333"/>
      <c r="V755" s="1333"/>
      <c r="W755" s="1333"/>
      <c r="X755" s="1333"/>
      <c r="Y755" s="1333"/>
      <c r="Z755" s="1333"/>
      <c r="AA755" s="1333"/>
      <c r="AB755" s="1333"/>
      <c r="AC755" s="1333"/>
      <c r="AD755" s="1333"/>
      <c r="AE755" s="1333"/>
      <c r="AF755" s="1333"/>
      <c r="AG755" s="1333"/>
      <c r="AH755" s="1333"/>
      <c r="AI755" s="1333"/>
      <c r="AJ755" s="1333"/>
    </row>
    <row r="756" spans="1:36" x14ac:dyDescent="0.25">
      <c r="A756" s="1479"/>
      <c r="B756" s="1284"/>
      <c r="C756" s="1284"/>
      <c r="D756" s="1364"/>
      <c r="E756" s="1364"/>
      <c r="F756" s="1364"/>
      <c r="G756" s="1365"/>
      <c r="H756" s="1333"/>
      <c r="I756" s="1333"/>
      <c r="J756" s="1333"/>
      <c r="K756" s="1333"/>
      <c r="L756" s="1333"/>
      <c r="M756" s="1333"/>
      <c r="N756" s="1333"/>
      <c r="O756" s="1333"/>
      <c r="P756" s="1333"/>
      <c r="Q756" s="1333"/>
      <c r="R756" s="1333"/>
      <c r="S756" s="1333"/>
      <c r="T756" s="1333"/>
      <c r="U756" s="1333"/>
      <c r="V756" s="1333"/>
      <c r="W756" s="1333"/>
      <c r="X756" s="1333"/>
      <c r="Y756" s="1333"/>
      <c r="Z756" s="1333"/>
      <c r="AA756" s="1333"/>
      <c r="AB756" s="1333"/>
      <c r="AC756" s="1333"/>
      <c r="AD756" s="1333"/>
      <c r="AE756" s="1333"/>
      <c r="AF756" s="1333"/>
      <c r="AG756" s="1333"/>
      <c r="AH756" s="1333"/>
      <c r="AI756" s="1333"/>
      <c r="AJ756" s="1333"/>
    </row>
    <row r="757" spans="1:36" x14ac:dyDescent="0.25">
      <c r="A757" s="1479"/>
      <c r="B757" s="1284"/>
      <c r="C757" s="1284"/>
      <c r="D757" s="1364"/>
      <c r="E757" s="1364"/>
      <c r="F757" s="1364"/>
      <c r="G757" s="1365"/>
      <c r="H757" s="1333"/>
      <c r="I757" s="1333"/>
      <c r="J757" s="1333"/>
      <c r="K757" s="1333"/>
      <c r="L757" s="1333"/>
      <c r="M757" s="1333"/>
      <c r="N757" s="1333"/>
      <c r="O757" s="1333"/>
      <c r="P757" s="1333"/>
      <c r="Q757" s="1333"/>
      <c r="R757" s="1333"/>
      <c r="S757" s="1333"/>
      <c r="T757" s="1333"/>
      <c r="U757" s="1333"/>
      <c r="V757" s="1333"/>
      <c r="W757" s="1333"/>
      <c r="X757" s="1333"/>
      <c r="Y757" s="1333"/>
      <c r="Z757" s="1333"/>
      <c r="AA757" s="1333"/>
      <c r="AB757" s="1333"/>
      <c r="AC757" s="1333"/>
      <c r="AD757" s="1333"/>
      <c r="AE757" s="1333"/>
      <c r="AF757" s="1333"/>
      <c r="AG757" s="1333"/>
      <c r="AH757" s="1333"/>
      <c r="AI757" s="1333"/>
      <c r="AJ757" s="1333"/>
    </row>
    <row r="758" spans="1:36" x14ac:dyDescent="0.25">
      <c r="A758" s="1479"/>
      <c r="B758" s="1284"/>
      <c r="C758" s="1284"/>
      <c r="D758" s="1364"/>
      <c r="E758" s="1364"/>
      <c r="F758" s="1364"/>
      <c r="G758" s="1365"/>
      <c r="H758" s="1333"/>
      <c r="I758" s="1333"/>
      <c r="J758" s="1333"/>
      <c r="K758" s="1333"/>
      <c r="L758" s="1333"/>
      <c r="M758" s="1333"/>
      <c r="N758" s="1333"/>
      <c r="O758" s="1333"/>
      <c r="P758" s="1333"/>
      <c r="Q758" s="1333"/>
      <c r="R758" s="1333"/>
      <c r="S758" s="1333"/>
      <c r="T758" s="1333"/>
      <c r="U758" s="1333"/>
      <c r="V758" s="1333"/>
      <c r="W758" s="1333"/>
      <c r="X758" s="1333"/>
      <c r="Y758" s="1333"/>
      <c r="Z758" s="1333"/>
      <c r="AA758" s="1333"/>
      <c r="AB758" s="1333"/>
      <c r="AC758" s="1333"/>
      <c r="AD758" s="1333"/>
      <c r="AE758" s="1333"/>
      <c r="AF758" s="1333"/>
      <c r="AG758" s="1333"/>
      <c r="AH758" s="1333"/>
      <c r="AI758" s="1333"/>
      <c r="AJ758" s="1333"/>
    </row>
    <row r="759" spans="1:36" x14ac:dyDescent="0.25">
      <c r="A759" s="1479"/>
      <c r="B759" s="1284"/>
      <c r="C759" s="1284"/>
      <c r="D759" s="1364"/>
      <c r="E759" s="1364"/>
      <c r="F759" s="1364"/>
      <c r="G759" s="1365"/>
      <c r="H759" s="1333"/>
      <c r="I759" s="1333"/>
      <c r="J759" s="1333"/>
      <c r="K759" s="1333"/>
      <c r="L759" s="1333"/>
      <c r="M759" s="1333"/>
      <c r="N759" s="1333"/>
      <c r="O759" s="1333"/>
      <c r="P759" s="1333"/>
      <c r="Q759" s="1333"/>
      <c r="R759" s="1333"/>
      <c r="S759" s="1333"/>
      <c r="T759" s="1333"/>
      <c r="U759" s="1333"/>
      <c r="V759" s="1333"/>
      <c r="W759" s="1333"/>
      <c r="X759" s="1333"/>
      <c r="Y759" s="1333"/>
      <c r="Z759" s="1333"/>
      <c r="AA759" s="1333"/>
      <c r="AB759" s="1333"/>
      <c r="AC759" s="1333"/>
      <c r="AD759" s="1333"/>
      <c r="AE759" s="1333"/>
      <c r="AF759" s="1333"/>
      <c r="AG759" s="1333"/>
      <c r="AH759" s="1333"/>
      <c r="AI759" s="1333"/>
      <c r="AJ759" s="1333"/>
    </row>
    <row r="760" spans="1:36" x14ac:dyDescent="0.25">
      <c r="A760" s="1479"/>
      <c r="B760" s="1284"/>
      <c r="C760" s="1284"/>
      <c r="D760" s="1364"/>
      <c r="E760" s="1364"/>
      <c r="F760" s="1364"/>
      <c r="G760" s="1365"/>
      <c r="H760" s="1333"/>
      <c r="I760" s="1333"/>
      <c r="J760" s="1333"/>
      <c r="K760" s="1333"/>
      <c r="L760" s="1333"/>
      <c r="M760" s="1333"/>
      <c r="N760" s="1333"/>
      <c r="O760" s="1333"/>
      <c r="P760" s="1333"/>
      <c r="Q760" s="1333"/>
      <c r="R760" s="1333"/>
      <c r="S760" s="1333"/>
      <c r="T760" s="1333"/>
      <c r="U760" s="1333"/>
      <c r="V760" s="1333"/>
      <c r="W760" s="1333"/>
      <c r="X760" s="1333"/>
      <c r="Y760" s="1333"/>
      <c r="Z760" s="1333"/>
      <c r="AA760" s="1333"/>
      <c r="AB760" s="1333"/>
      <c r="AC760" s="1333"/>
      <c r="AD760" s="1333"/>
      <c r="AE760" s="1333"/>
      <c r="AF760" s="1333"/>
      <c r="AG760" s="1333"/>
      <c r="AH760" s="1333"/>
      <c r="AI760" s="1333"/>
      <c r="AJ760" s="1333"/>
    </row>
    <row r="761" spans="1:36" x14ac:dyDescent="0.25">
      <c r="A761" s="1479"/>
      <c r="B761" s="1284"/>
      <c r="C761" s="1284"/>
      <c r="D761" s="1364"/>
      <c r="E761" s="1364"/>
      <c r="F761" s="1364"/>
      <c r="G761" s="1365"/>
      <c r="H761" s="1333"/>
      <c r="I761" s="1333"/>
      <c r="J761" s="1333"/>
      <c r="K761" s="1333"/>
      <c r="L761" s="1333"/>
      <c r="M761" s="1333"/>
      <c r="N761" s="1333"/>
      <c r="O761" s="1333"/>
      <c r="P761" s="1333"/>
      <c r="Q761" s="1333"/>
      <c r="R761" s="1333"/>
      <c r="S761" s="1333"/>
      <c r="T761" s="1333"/>
      <c r="U761" s="1333"/>
      <c r="V761" s="1333"/>
      <c r="W761" s="1333"/>
      <c r="X761" s="1333"/>
      <c r="Y761" s="1333"/>
      <c r="Z761" s="1333"/>
      <c r="AA761" s="1333"/>
      <c r="AB761" s="1333"/>
      <c r="AC761" s="1333"/>
      <c r="AD761" s="1333"/>
      <c r="AE761" s="1333"/>
      <c r="AF761" s="1333"/>
      <c r="AG761" s="1333"/>
      <c r="AH761" s="1333"/>
      <c r="AI761" s="1333"/>
      <c r="AJ761" s="1333"/>
    </row>
    <row r="762" spans="1:36" x14ac:dyDescent="0.25">
      <c r="A762" s="1479"/>
      <c r="B762" s="1284"/>
      <c r="C762" s="1284"/>
      <c r="D762" s="1364"/>
      <c r="E762" s="1364"/>
      <c r="F762" s="1364"/>
      <c r="G762" s="1365"/>
      <c r="H762" s="1333"/>
      <c r="I762" s="1333"/>
      <c r="J762" s="1333"/>
      <c r="K762" s="1333"/>
      <c r="L762" s="1333"/>
      <c r="M762" s="1333"/>
      <c r="N762" s="1333"/>
      <c r="O762" s="1333"/>
      <c r="P762" s="1333"/>
      <c r="Q762" s="1333"/>
      <c r="R762" s="1333"/>
      <c r="S762" s="1333"/>
      <c r="T762" s="1333"/>
      <c r="U762" s="1333"/>
      <c r="V762" s="1333"/>
      <c r="W762" s="1333"/>
      <c r="X762" s="1333"/>
      <c r="Y762" s="1333"/>
      <c r="Z762" s="1333"/>
      <c r="AA762" s="1333"/>
      <c r="AB762" s="1333"/>
      <c r="AC762" s="1333"/>
      <c r="AD762" s="1333"/>
      <c r="AE762" s="1333"/>
      <c r="AF762" s="1333"/>
      <c r="AG762" s="1333"/>
      <c r="AH762" s="1333"/>
      <c r="AI762" s="1333"/>
      <c r="AJ762" s="1333"/>
    </row>
    <row r="763" spans="1:36" x14ac:dyDescent="0.25">
      <c r="A763" s="1479"/>
      <c r="B763" s="1284"/>
      <c r="C763" s="1284"/>
      <c r="D763" s="1364"/>
      <c r="E763" s="1364"/>
      <c r="F763" s="1364"/>
      <c r="G763" s="1365"/>
      <c r="H763" s="1333"/>
      <c r="I763" s="1333"/>
      <c r="J763" s="1333"/>
      <c r="K763" s="1333"/>
      <c r="L763" s="1333"/>
      <c r="M763" s="1333"/>
      <c r="N763" s="1333"/>
      <c r="O763" s="1333"/>
      <c r="P763" s="1333"/>
      <c r="Q763" s="1333"/>
      <c r="R763" s="1333"/>
      <c r="S763" s="1333"/>
      <c r="T763" s="1333"/>
      <c r="U763" s="1333"/>
      <c r="V763" s="1333"/>
      <c r="W763" s="1333"/>
      <c r="X763" s="1333"/>
      <c r="Y763" s="1333"/>
      <c r="Z763" s="1333"/>
      <c r="AA763" s="1333"/>
      <c r="AB763" s="1333"/>
      <c r="AC763" s="1333"/>
      <c r="AD763" s="1333"/>
      <c r="AE763" s="1333"/>
      <c r="AF763" s="1333"/>
      <c r="AG763" s="1333"/>
      <c r="AH763" s="1333"/>
      <c r="AI763" s="1333"/>
      <c r="AJ763" s="1333"/>
    </row>
    <row r="764" spans="1:36" x14ac:dyDescent="0.25">
      <c r="A764" s="1479"/>
      <c r="B764" s="1284"/>
      <c r="C764" s="1284"/>
      <c r="D764" s="1364"/>
      <c r="E764" s="1364"/>
      <c r="F764" s="1364"/>
      <c r="G764" s="1365"/>
      <c r="H764" s="1333"/>
      <c r="I764" s="1333"/>
      <c r="J764" s="1333"/>
      <c r="K764" s="1333"/>
      <c r="L764" s="1333"/>
      <c r="M764" s="1333"/>
      <c r="N764" s="1333"/>
      <c r="O764" s="1333"/>
      <c r="P764" s="1333"/>
      <c r="Q764" s="1333"/>
      <c r="R764" s="1333"/>
      <c r="S764" s="1333"/>
      <c r="T764" s="1333"/>
      <c r="U764" s="1333"/>
      <c r="V764" s="1333"/>
      <c r="W764" s="1333"/>
      <c r="X764" s="1333"/>
      <c r="Y764" s="1333"/>
      <c r="Z764" s="1333"/>
      <c r="AA764" s="1333"/>
      <c r="AB764" s="1333"/>
      <c r="AC764" s="1333"/>
      <c r="AD764" s="1333"/>
      <c r="AE764" s="1333"/>
      <c r="AF764" s="1333"/>
      <c r="AG764" s="1333"/>
      <c r="AH764" s="1333"/>
      <c r="AI764" s="1333"/>
      <c r="AJ764" s="1333"/>
    </row>
    <row r="765" spans="1:36" x14ac:dyDescent="0.25">
      <c r="A765" s="1479"/>
      <c r="B765" s="1284"/>
      <c r="C765" s="1284"/>
      <c r="D765" s="1364"/>
      <c r="E765" s="1364"/>
      <c r="F765" s="1364"/>
      <c r="G765" s="1365"/>
      <c r="H765" s="1333"/>
      <c r="I765" s="1333"/>
      <c r="J765" s="1333"/>
      <c r="K765" s="1333"/>
      <c r="L765" s="1333"/>
      <c r="M765" s="1333"/>
      <c r="N765" s="1333"/>
      <c r="O765" s="1333"/>
      <c r="P765" s="1333"/>
      <c r="Q765" s="1333"/>
      <c r="R765" s="1333"/>
      <c r="S765" s="1333"/>
      <c r="T765" s="1333"/>
      <c r="U765" s="1333"/>
      <c r="V765" s="1333"/>
      <c r="W765" s="1333"/>
      <c r="X765" s="1333"/>
      <c r="Y765" s="1333"/>
      <c r="Z765" s="1333"/>
      <c r="AA765" s="1333"/>
      <c r="AB765" s="1333"/>
      <c r="AC765" s="1333"/>
      <c r="AD765" s="1333"/>
      <c r="AE765" s="1333"/>
      <c r="AF765" s="1333"/>
      <c r="AG765" s="1333"/>
      <c r="AH765" s="1333"/>
      <c r="AI765" s="1333"/>
      <c r="AJ765" s="1333"/>
    </row>
    <row r="766" spans="1:36" x14ac:dyDescent="0.25">
      <c r="A766" s="1479"/>
      <c r="B766" s="1284"/>
      <c r="C766" s="1284"/>
      <c r="D766" s="1364"/>
      <c r="E766" s="1364"/>
      <c r="F766" s="1364"/>
      <c r="G766" s="1365"/>
      <c r="H766" s="1333"/>
      <c r="I766" s="1333"/>
      <c r="J766" s="1333"/>
      <c r="K766" s="1333"/>
      <c r="L766" s="1333"/>
      <c r="M766" s="1333"/>
      <c r="N766" s="1333"/>
      <c r="O766" s="1333"/>
      <c r="P766" s="1333"/>
      <c r="Q766" s="1333"/>
      <c r="R766" s="1333"/>
      <c r="S766" s="1333"/>
      <c r="T766" s="1333"/>
      <c r="U766" s="1333"/>
      <c r="V766" s="1333"/>
      <c r="W766" s="1333"/>
      <c r="X766" s="1333"/>
      <c r="Y766" s="1333"/>
      <c r="Z766" s="1333"/>
      <c r="AA766" s="1333"/>
      <c r="AB766" s="1333"/>
      <c r="AC766" s="1333"/>
      <c r="AD766" s="1333"/>
      <c r="AE766" s="1333"/>
      <c r="AF766" s="1333"/>
      <c r="AG766" s="1333"/>
      <c r="AH766" s="1333"/>
      <c r="AI766" s="1333"/>
      <c r="AJ766" s="1333"/>
    </row>
    <row r="767" spans="1:36" x14ac:dyDescent="0.25">
      <c r="A767" s="1479"/>
      <c r="B767" s="1284"/>
      <c r="C767" s="1284"/>
      <c r="D767" s="1364"/>
      <c r="E767" s="1364"/>
      <c r="F767" s="1364"/>
      <c r="G767" s="1365"/>
      <c r="H767" s="1333"/>
      <c r="I767" s="1333"/>
      <c r="J767" s="1333"/>
      <c r="K767" s="1333"/>
      <c r="L767" s="1333"/>
      <c r="M767" s="1333"/>
      <c r="N767" s="1333"/>
      <c r="O767" s="1333"/>
      <c r="P767" s="1333"/>
      <c r="Q767" s="1333"/>
      <c r="R767" s="1333"/>
      <c r="S767" s="1333"/>
      <c r="T767" s="1333"/>
      <c r="U767" s="1333"/>
      <c r="V767" s="1333"/>
      <c r="W767" s="1333"/>
      <c r="X767" s="1333"/>
      <c r="Y767" s="1333"/>
      <c r="Z767" s="1333"/>
      <c r="AA767" s="1333"/>
      <c r="AB767" s="1333"/>
      <c r="AC767" s="1333"/>
      <c r="AD767" s="1333"/>
      <c r="AE767" s="1333"/>
      <c r="AF767" s="1333"/>
      <c r="AG767" s="1333"/>
      <c r="AH767" s="1333"/>
      <c r="AI767" s="1333"/>
      <c r="AJ767" s="1333"/>
    </row>
    <row r="768" spans="1:36" x14ac:dyDescent="0.25">
      <c r="A768" s="1479"/>
      <c r="B768" s="1284"/>
      <c r="C768" s="1284"/>
      <c r="D768" s="1364"/>
      <c r="E768" s="1364"/>
      <c r="F768" s="1364"/>
      <c r="G768" s="1365"/>
      <c r="H768" s="1333"/>
      <c r="I768" s="1333"/>
      <c r="J768" s="1333"/>
      <c r="K768" s="1333"/>
      <c r="L768" s="1333"/>
      <c r="M768" s="1333"/>
      <c r="N768" s="1333"/>
      <c r="O768" s="1333"/>
      <c r="P768" s="1333"/>
      <c r="Q768" s="1333"/>
      <c r="R768" s="1333"/>
      <c r="S768" s="1333"/>
      <c r="T768" s="1333"/>
      <c r="U768" s="1333"/>
      <c r="V768" s="1333"/>
      <c r="W768" s="1333"/>
      <c r="X768" s="1333"/>
      <c r="Y768" s="1333"/>
      <c r="Z768" s="1333"/>
      <c r="AA768" s="1333"/>
      <c r="AB768" s="1333"/>
      <c r="AC768" s="1333"/>
      <c r="AD768" s="1333"/>
      <c r="AE768" s="1333"/>
      <c r="AF768" s="1333"/>
      <c r="AG768" s="1333"/>
      <c r="AH768" s="1333"/>
      <c r="AI768" s="1333"/>
      <c r="AJ768" s="1333"/>
    </row>
    <row r="769" spans="1:36" x14ac:dyDescent="0.25">
      <c r="A769" s="1479"/>
      <c r="B769" s="1284"/>
      <c r="C769" s="1284"/>
      <c r="D769" s="1364"/>
      <c r="E769" s="1364"/>
      <c r="F769" s="1364"/>
      <c r="G769" s="1365"/>
      <c r="H769" s="1333"/>
      <c r="I769" s="1333"/>
      <c r="J769" s="1333"/>
      <c r="K769" s="1333"/>
      <c r="L769" s="1333"/>
      <c r="M769" s="1333"/>
      <c r="N769" s="1333"/>
      <c r="O769" s="1333"/>
      <c r="P769" s="1333"/>
      <c r="Q769" s="1333"/>
      <c r="R769" s="1333"/>
      <c r="S769" s="1333"/>
      <c r="T769" s="1333"/>
      <c r="U769" s="1333"/>
      <c r="V769" s="1333"/>
      <c r="W769" s="1333"/>
      <c r="X769" s="1333"/>
      <c r="Y769" s="1333"/>
      <c r="Z769" s="1333"/>
      <c r="AA769" s="1333"/>
      <c r="AB769" s="1333"/>
      <c r="AC769" s="1333"/>
      <c r="AD769" s="1333"/>
      <c r="AE769" s="1333"/>
      <c r="AF769" s="1333"/>
      <c r="AG769" s="1333"/>
      <c r="AH769" s="1333"/>
      <c r="AI769" s="1333"/>
      <c r="AJ769" s="1333"/>
    </row>
    <row r="770" spans="1:36" x14ac:dyDescent="0.25">
      <c r="A770" s="1479"/>
      <c r="B770" s="1284"/>
      <c r="C770" s="1284"/>
      <c r="D770" s="1364"/>
      <c r="E770" s="1364"/>
      <c r="F770" s="1364"/>
      <c r="G770" s="1365"/>
      <c r="H770" s="1333"/>
      <c r="I770" s="1333"/>
      <c r="J770" s="1333"/>
      <c r="K770" s="1333"/>
      <c r="L770" s="1333"/>
      <c r="M770" s="1333"/>
      <c r="N770" s="1333"/>
      <c r="O770" s="1333"/>
      <c r="P770" s="1333"/>
      <c r="Q770" s="1333"/>
      <c r="R770" s="1333"/>
      <c r="S770" s="1333"/>
      <c r="T770" s="1333"/>
      <c r="U770" s="1333"/>
      <c r="V770" s="1333"/>
      <c r="W770" s="1333"/>
      <c r="X770" s="1333"/>
      <c r="Y770" s="1333"/>
      <c r="Z770" s="1333"/>
      <c r="AA770" s="1333"/>
      <c r="AB770" s="1333"/>
      <c r="AC770" s="1333"/>
      <c r="AD770" s="1333"/>
      <c r="AE770" s="1333"/>
      <c r="AF770" s="1333"/>
      <c r="AG770" s="1333"/>
      <c r="AH770" s="1333"/>
      <c r="AI770" s="1333"/>
      <c r="AJ770" s="1333"/>
    </row>
    <row r="771" spans="1:36" x14ac:dyDescent="0.25">
      <c r="A771" s="1479"/>
      <c r="B771" s="1284"/>
      <c r="C771" s="1284"/>
      <c r="D771" s="1364"/>
      <c r="E771" s="1364"/>
      <c r="F771" s="1364"/>
      <c r="G771" s="1365"/>
      <c r="H771" s="1333"/>
      <c r="I771" s="1333"/>
      <c r="J771" s="1333"/>
      <c r="K771" s="1333"/>
      <c r="L771" s="1333"/>
      <c r="M771" s="1333"/>
      <c r="N771" s="1333"/>
      <c r="O771" s="1333"/>
      <c r="P771" s="1333"/>
      <c r="Q771" s="1333"/>
      <c r="R771" s="1333"/>
      <c r="S771" s="1333"/>
      <c r="T771" s="1333"/>
      <c r="U771" s="1333"/>
      <c r="V771" s="1333"/>
      <c r="W771" s="1333"/>
      <c r="X771" s="1333"/>
      <c r="Y771" s="1333"/>
      <c r="Z771" s="1333"/>
      <c r="AA771" s="1333"/>
      <c r="AB771" s="1333"/>
      <c r="AC771" s="1333"/>
      <c r="AD771" s="1333"/>
      <c r="AE771" s="1333"/>
      <c r="AF771" s="1333"/>
      <c r="AG771" s="1333"/>
      <c r="AH771" s="1333"/>
      <c r="AI771" s="1333"/>
      <c r="AJ771" s="1333"/>
    </row>
    <row r="772" spans="1:36" x14ac:dyDescent="0.25">
      <c r="A772" s="1479"/>
      <c r="B772" s="1284"/>
      <c r="C772" s="1284"/>
      <c r="D772" s="1364"/>
      <c r="E772" s="1364"/>
      <c r="F772" s="1364"/>
      <c r="G772" s="1365"/>
      <c r="H772" s="1333"/>
      <c r="I772" s="1333"/>
      <c r="J772" s="1333"/>
      <c r="K772" s="1333"/>
      <c r="L772" s="1333"/>
      <c r="M772" s="1333"/>
      <c r="N772" s="1333"/>
      <c r="O772" s="1333"/>
      <c r="P772" s="1333"/>
      <c r="Q772" s="1333"/>
      <c r="R772" s="1333"/>
      <c r="S772" s="1333"/>
      <c r="T772" s="1333"/>
      <c r="U772" s="1333"/>
      <c r="V772" s="1333"/>
      <c r="W772" s="1333"/>
      <c r="X772" s="1333"/>
      <c r="Y772" s="1333"/>
      <c r="Z772" s="1333"/>
      <c r="AA772" s="1333"/>
      <c r="AB772" s="1333"/>
      <c r="AC772" s="1333"/>
      <c r="AD772" s="1333"/>
      <c r="AE772" s="1333"/>
      <c r="AF772" s="1333"/>
      <c r="AG772" s="1333"/>
      <c r="AH772" s="1333"/>
      <c r="AI772" s="1333"/>
      <c r="AJ772" s="1333"/>
    </row>
    <row r="773" spans="1:36" x14ac:dyDescent="0.25">
      <c r="A773" s="1479"/>
      <c r="B773" s="1284"/>
      <c r="C773" s="1284"/>
      <c r="D773" s="1364"/>
      <c r="E773" s="1364"/>
      <c r="F773" s="1364"/>
      <c r="G773" s="1365"/>
      <c r="H773" s="1333"/>
      <c r="I773" s="1333"/>
      <c r="J773" s="1333"/>
      <c r="K773" s="1333"/>
      <c r="L773" s="1333"/>
      <c r="M773" s="1333"/>
      <c r="N773" s="1333"/>
      <c r="O773" s="1333"/>
      <c r="P773" s="1333"/>
      <c r="Q773" s="1333"/>
      <c r="R773" s="1333"/>
      <c r="S773" s="1333"/>
      <c r="T773" s="1333"/>
      <c r="U773" s="1333"/>
      <c r="V773" s="1333"/>
      <c r="W773" s="1333"/>
      <c r="X773" s="1333"/>
      <c r="Y773" s="1333"/>
      <c r="Z773" s="1333"/>
      <c r="AA773" s="1333"/>
      <c r="AB773" s="1333"/>
      <c r="AC773" s="1333"/>
      <c r="AD773" s="1333"/>
      <c r="AE773" s="1333"/>
      <c r="AF773" s="1333"/>
      <c r="AG773" s="1333"/>
      <c r="AH773" s="1333"/>
      <c r="AI773" s="1333"/>
      <c r="AJ773" s="1333"/>
    </row>
    <row r="774" spans="1:36" x14ac:dyDescent="0.25">
      <c r="A774" s="1479"/>
      <c r="B774" s="1284"/>
      <c r="C774" s="1284"/>
      <c r="D774" s="1364"/>
      <c r="E774" s="1364"/>
      <c r="F774" s="1364"/>
      <c r="G774" s="1365"/>
      <c r="H774" s="1333"/>
      <c r="I774" s="1333"/>
      <c r="J774" s="1333"/>
      <c r="K774" s="1333"/>
      <c r="L774" s="1333"/>
      <c r="M774" s="1333"/>
      <c r="N774" s="1333"/>
      <c r="O774" s="1333"/>
      <c r="P774" s="1333"/>
      <c r="Q774" s="1333"/>
      <c r="R774" s="1333"/>
      <c r="S774" s="1333"/>
      <c r="T774" s="1333"/>
      <c r="U774" s="1333"/>
      <c r="V774" s="1333"/>
      <c r="W774" s="1333"/>
      <c r="X774" s="1333"/>
      <c r="Y774" s="1333"/>
      <c r="Z774" s="1333"/>
      <c r="AA774" s="1333"/>
      <c r="AB774" s="1333"/>
      <c r="AC774" s="1333"/>
      <c r="AD774" s="1333"/>
      <c r="AE774" s="1333"/>
      <c r="AF774" s="1333"/>
      <c r="AG774" s="1333"/>
      <c r="AH774" s="1333"/>
      <c r="AI774" s="1333"/>
      <c r="AJ774" s="1333"/>
    </row>
    <row r="775" spans="1:36" x14ac:dyDescent="0.25">
      <c r="A775" s="1479"/>
      <c r="B775" s="1284"/>
      <c r="C775" s="1284"/>
      <c r="D775" s="1364"/>
      <c r="E775" s="1364"/>
      <c r="F775" s="1364"/>
      <c r="G775" s="1365"/>
      <c r="H775" s="1333"/>
      <c r="I775" s="1333"/>
      <c r="J775" s="1333"/>
      <c r="K775" s="1333"/>
      <c r="L775" s="1333"/>
      <c r="M775" s="1333"/>
      <c r="N775" s="1333"/>
      <c r="O775" s="1333"/>
      <c r="P775" s="1333"/>
      <c r="Q775" s="1333"/>
      <c r="R775" s="1333"/>
      <c r="S775" s="1333"/>
      <c r="T775" s="1333"/>
      <c r="U775" s="1333"/>
      <c r="V775" s="1333"/>
      <c r="W775" s="1333"/>
      <c r="X775" s="1333"/>
      <c r="Y775" s="1333"/>
      <c r="Z775" s="1333"/>
      <c r="AA775" s="1333"/>
      <c r="AB775" s="1333"/>
      <c r="AC775" s="1333"/>
      <c r="AD775" s="1333"/>
      <c r="AE775" s="1333"/>
      <c r="AF775" s="1333"/>
      <c r="AG775" s="1333"/>
      <c r="AH775" s="1333"/>
      <c r="AI775" s="1333"/>
      <c r="AJ775" s="1333"/>
    </row>
    <row r="776" spans="1:36" x14ac:dyDescent="0.25">
      <c r="A776" s="1479"/>
      <c r="B776" s="1284"/>
      <c r="C776" s="1284"/>
      <c r="D776" s="1364"/>
      <c r="E776" s="1364"/>
      <c r="F776" s="1364"/>
      <c r="G776" s="1365"/>
      <c r="H776" s="1333"/>
      <c r="I776" s="1333"/>
      <c r="J776" s="1333"/>
      <c r="K776" s="1333"/>
      <c r="L776" s="1333"/>
      <c r="M776" s="1333"/>
      <c r="N776" s="1333"/>
      <c r="O776" s="1333"/>
      <c r="P776" s="1333"/>
      <c r="Q776" s="1333"/>
      <c r="R776" s="1333"/>
      <c r="S776" s="1333"/>
      <c r="T776" s="1333"/>
      <c r="U776" s="1333"/>
      <c r="V776" s="1333"/>
      <c r="W776" s="1333"/>
      <c r="X776" s="1333"/>
      <c r="Y776" s="1333"/>
      <c r="Z776" s="1333"/>
      <c r="AA776" s="1333"/>
      <c r="AB776" s="1333"/>
      <c r="AC776" s="1333"/>
      <c r="AD776" s="1333"/>
      <c r="AE776" s="1333"/>
      <c r="AF776" s="1333"/>
      <c r="AG776" s="1333"/>
      <c r="AH776" s="1333"/>
      <c r="AI776" s="1333"/>
      <c r="AJ776" s="1333"/>
    </row>
    <row r="777" spans="1:36" x14ac:dyDescent="0.25">
      <c r="A777" s="1479"/>
      <c r="B777" s="1284"/>
      <c r="C777" s="1284"/>
      <c r="D777" s="1364"/>
      <c r="E777" s="1364"/>
      <c r="F777" s="1364"/>
      <c r="G777" s="1365"/>
      <c r="H777" s="1333"/>
      <c r="I777" s="1333"/>
      <c r="J777" s="1333"/>
      <c r="K777" s="1333"/>
      <c r="L777" s="1333"/>
      <c r="M777" s="1333"/>
      <c r="N777" s="1333"/>
      <c r="O777" s="1333"/>
      <c r="P777" s="1333"/>
      <c r="Q777" s="1333"/>
      <c r="R777" s="1333"/>
      <c r="S777" s="1333"/>
      <c r="T777" s="1333"/>
      <c r="U777" s="1333"/>
      <c r="V777" s="1333"/>
      <c r="W777" s="1333"/>
      <c r="X777" s="1333"/>
      <c r="Y777" s="1333"/>
      <c r="Z777" s="1333"/>
      <c r="AA777" s="1333"/>
      <c r="AB777" s="1333"/>
      <c r="AC777" s="1333"/>
      <c r="AD777" s="1333"/>
      <c r="AE777" s="1333"/>
      <c r="AF777" s="1333"/>
      <c r="AG777" s="1333"/>
      <c r="AH777" s="1333"/>
      <c r="AI777" s="1333"/>
      <c r="AJ777" s="1333"/>
    </row>
    <row r="778" spans="1:36" x14ac:dyDescent="0.25">
      <c r="A778" s="1479"/>
      <c r="B778" s="1284"/>
      <c r="C778" s="1284"/>
      <c r="D778" s="1364"/>
      <c r="E778" s="1364"/>
      <c r="F778" s="1364"/>
      <c r="G778" s="1365"/>
      <c r="H778" s="1333"/>
      <c r="I778" s="1333"/>
      <c r="J778" s="1333"/>
      <c r="K778" s="1333"/>
      <c r="L778" s="1333"/>
      <c r="M778" s="1333"/>
      <c r="N778" s="1333"/>
      <c r="O778" s="1333"/>
      <c r="P778" s="1333"/>
      <c r="Q778" s="1333"/>
      <c r="R778" s="1333"/>
      <c r="S778" s="1333"/>
      <c r="T778" s="1333"/>
      <c r="U778" s="1333"/>
      <c r="V778" s="1333"/>
      <c r="W778" s="1333"/>
      <c r="X778" s="1333"/>
      <c r="Y778" s="1333"/>
      <c r="Z778" s="1333"/>
      <c r="AA778" s="1333"/>
      <c r="AB778" s="1333"/>
      <c r="AC778" s="1333"/>
      <c r="AD778" s="1333"/>
      <c r="AE778" s="1333"/>
      <c r="AF778" s="1333"/>
      <c r="AG778" s="1333"/>
      <c r="AH778" s="1333"/>
      <c r="AI778" s="1333"/>
      <c r="AJ778" s="1333"/>
    </row>
    <row r="779" spans="1:36" x14ac:dyDescent="0.25">
      <c r="A779" s="1479"/>
      <c r="B779" s="1284"/>
      <c r="C779" s="1284"/>
      <c r="D779" s="1364"/>
      <c r="E779" s="1364"/>
      <c r="F779" s="1364"/>
      <c r="G779" s="1365"/>
      <c r="H779" s="1333"/>
      <c r="I779" s="1333"/>
      <c r="J779" s="1333"/>
      <c r="K779" s="1333"/>
      <c r="L779" s="1333"/>
      <c r="M779" s="1333"/>
      <c r="N779" s="1333"/>
      <c r="O779" s="1333"/>
      <c r="P779" s="1333"/>
      <c r="Q779" s="1333"/>
      <c r="R779" s="1333"/>
      <c r="S779" s="1333"/>
      <c r="T779" s="1333"/>
      <c r="U779" s="1333"/>
      <c r="V779" s="1333"/>
      <c r="W779" s="1333"/>
      <c r="X779" s="1333"/>
      <c r="Y779" s="1333"/>
      <c r="Z779" s="1333"/>
      <c r="AA779" s="1333"/>
      <c r="AB779" s="1333"/>
      <c r="AC779" s="1333"/>
      <c r="AD779" s="1333"/>
      <c r="AE779" s="1333"/>
      <c r="AF779" s="1333"/>
      <c r="AG779" s="1333"/>
      <c r="AH779" s="1333"/>
      <c r="AI779" s="1333"/>
      <c r="AJ779" s="1333"/>
    </row>
    <row r="780" spans="1:36" x14ac:dyDescent="0.25">
      <c r="A780" s="1479"/>
      <c r="B780" s="1284"/>
      <c r="C780" s="1284"/>
      <c r="D780" s="1364"/>
      <c r="E780" s="1364"/>
      <c r="F780" s="1364"/>
      <c r="G780" s="1365"/>
      <c r="H780" s="1333"/>
      <c r="I780" s="1333"/>
      <c r="J780" s="1333"/>
      <c r="K780" s="1333"/>
      <c r="L780" s="1333"/>
      <c r="M780" s="1333"/>
      <c r="N780" s="1333"/>
      <c r="O780" s="1333"/>
      <c r="P780" s="1333"/>
      <c r="Q780" s="1333"/>
      <c r="R780" s="1333"/>
      <c r="S780" s="1333"/>
      <c r="T780" s="1333"/>
      <c r="U780" s="1333"/>
      <c r="V780" s="1333"/>
      <c r="W780" s="1333"/>
      <c r="X780" s="1333"/>
      <c r="Y780" s="1333"/>
      <c r="Z780" s="1333"/>
      <c r="AA780" s="1333"/>
      <c r="AB780" s="1333"/>
      <c r="AC780" s="1333"/>
      <c r="AD780" s="1333"/>
      <c r="AE780" s="1333"/>
      <c r="AF780" s="1333"/>
      <c r="AG780" s="1333"/>
      <c r="AH780" s="1333"/>
      <c r="AI780" s="1333"/>
      <c r="AJ780" s="1333"/>
    </row>
    <row r="781" spans="1:36" x14ac:dyDescent="0.25">
      <c r="A781" s="1479"/>
      <c r="B781" s="1284"/>
      <c r="C781" s="1284"/>
      <c r="D781" s="1364"/>
      <c r="E781" s="1364"/>
      <c r="F781" s="1364"/>
      <c r="G781" s="1365"/>
      <c r="H781" s="1333"/>
      <c r="I781" s="1333"/>
      <c r="J781" s="1333"/>
      <c r="K781" s="1333"/>
      <c r="L781" s="1333"/>
      <c r="M781" s="1333"/>
      <c r="N781" s="1333"/>
      <c r="O781" s="1333"/>
      <c r="P781" s="1333"/>
      <c r="Q781" s="1333"/>
      <c r="R781" s="1333"/>
      <c r="S781" s="1333"/>
      <c r="T781" s="1333"/>
      <c r="U781" s="1333"/>
      <c r="V781" s="1333"/>
      <c r="W781" s="1333"/>
      <c r="X781" s="1333"/>
      <c r="Y781" s="1333"/>
      <c r="Z781" s="1333"/>
      <c r="AA781" s="1333"/>
      <c r="AB781" s="1333"/>
      <c r="AC781" s="1333"/>
      <c r="AD781" s="1333"/>
      <c r="AE781" s="1333"/>
      <c r="AF781" s="1333"/>
      <c r="AG781" s="1333"/>
      <c r="AH781" s="1333"/>
      <c r="AI781" s="1333"/>
      <c r="AJ781" s="1333"/>
    </row>
    <row r="782" spans="1:36" x14ac:dyDescent="0.25">
      <c r="A782" s="1479"/>
      <c r="B782" s="1284"/>
      <c r="C782" s="1284"/>
      <c r="D782" s="1364"/>
      <c r="E782" s="1364"/>
      <c r="F782" s="1364"/>
      <c r="G782" s="1365"/>
      <c r="H782" s="1333"/>
      <c r="I782" s="1333"/>
      <c r="J782" s="1333"/>
      <c r="K782" s="1333"/>
      <c r="L782" s="1333"/>
      <c r="M782" s="1333"/>
      <c r="N782" s="1333"/>
      <c r="O782" s="1333"/>
      <c r="P782" s="1333"/>
      <c r="Q782" s="1333"/>
      <c r="R782" s="1333"/>
      <c r="S782" s="1333"/>
      <c r="T782" s="1333"/>
      <c r="U782" s="1333"/>
      <c r="V782" s="1333"/>
      <c r="W782" s="1333"/>
      <c r="X782" s="1333"/>
      <c r="Y782" s="1333"/>
      <c r="Z782" s="1333"/>
      <c r="AA782" s="1333"/>
      <c r="AB782" s="1333"/>
      <c r="AC782" s="1333"/>
      <c r="AD782" s="1333"/>
      <c r="AE782" s="1333"/>
      <c r="AF782" s="1333"/>
      <c r="AG782" s="1333"/>
      <c r="AH782" s="1333"/>
      <c r="AI782" s="1333"/>
      <c r="AJ782" s="1333"/>
    </row>
    <row r="783" spans="1:36" x14ac:dyDescent="0.25">
      <c r="A783" s="1479"/>
      <c r="B783" s="1284"/>
      <c r="C783" s="1284"/>
      <c r="D783" s="1364"/>
      <c r="E783" s="1364"/>
      <c r="F783" s="1364"/>
      <c r="G783" s="1365"/>
      <c r="H783" s="1333"/>
      <c r="I783" s="1333"/>
      <c r="J783" s="1333"/>
      <c r="K783" s="1333"/>
      <c r="L783" s="1333"/>
      <c r="M783" s="1333"/>
      <c r="N783" s="1333"/>
      <c r="O783" s="1333"/>
      <c r="P783" s="1333"/>
      <c r="Q783" s="1333"/>
      <c r="R783" s="1333"/>
      <c r="S783" s="1333"/>
      <c r="T783" s="1333"/>
      <c r="U783" s="1333"/>
      <c r="V783" s="1333"/>
      <c r="W783" s="1333"/>
      <c r="X783" s="1333"/>
      <c r="Y783" s="1333"/>
      <c r="Z783" s="1333"/>
      <c r="AA783" s="1333"/>
      <c r="AB783" s="1333"/>
      <c r="AC783" s="1333"/>
      <c r="AD783" s="1333"/>
      <c r="AE783" s="1333"/>
      <c r="AF783" s="1333"/>
      <c r="AG783" s="1333"/>
      <c r="AH783" s="1333"/>
      <c r="AI783" s="1333"/>
      <c r="AJ783" s="1333"/>
    </row>
    <row r="784" spans="1:36" x14ac:dyDescent="0.25">
      <c r="A784" s="1479"/>
      <c r="B784" s="1284"/>
      <c r="C784" s="1284"/>
      <c r="D784" s="1364"/>
      <c r="E784" s="1364"/>
      <c r="F784" s="1364"/>
      <c r="G784" s="1365"/>
      <c r="H784" s="1333"/>
      <c r="I784" s="1333"/>
      <c r="J784" s="1333"/>
      <c r="K784" s="1333"/>
      <c r="L784" s="1333"/>
      <c r="M784" s="1333"/>
      <c r="N784" s="1333"/>
      <c r="O784" s="1333"/>
      <c r="P784" s="1333"/>
      <c r="Q784" s="1333"/>
      <c r="R784" s="1333"/>
      <c r="S784" s="1333"/>
      <c r="T784" s="1333"/>
      <c r="U784" s="1333"/>
      <c r="V784" s="1333"/>
      <c r="W784" s="1333"/>
      <c r="X784" s="1333"/>
      <c r="Y784" s="1333"/>
      <c r="Z784" s="1333"/>
      <c r="AA784" s="1333"/>
      <c r="AB784" s="1333"/>
      <c r="AC784" s="1333"/>
      <c r="AD784" s="1333"/>
      <c r="AE784" s="1333"/>
      <c r="AF784" s="1333"/>
      <c r="AG784" s="1333"/>
      <c r="AH784" s="1333"/>
      <c r="AI784" s="1333"/>
      <c r="AJ784" s="1333"/>
    </row>
    <row r="785" spans="1:36" x14ac:dyDescent="0.25">
      <c r="A785" s="1479"/>
      <c r="B785" s="1284"/>
      <c r="C785" s="1284"/>
      <c r="D785" s="1364"/>
      <c r="E785" s="1364"/>
      <c r="F785" s="1364"/>
      <c r="G785" s="1365"/>
      <c r="H785" s="1333"/>
      <c r="I785" s="1333"/>
      <c r="J785" s="1333"/>
      <c r="K785" s="1333"/>
      <c r="L785" s="1333"/>
      <c r="M785" s="1333"/>
      <c r="N785" s="1333"/>
      <c r="O785" s="1333"/>
      <c r="P785" s="1333"/>
      <c r="Q785" s="1333"/>
      <c r="R785" s="1333"/>
      <c r="S785" s="1333"/>
      <c r="T785" s="1333"/>
      <c r="U785" s="1333"/>
      <c r="V785" s="1333"/>
      <c r="W785" s="1333"/>
      <c r="X785" s="1333"/>
      <c r="Y785" s="1333"/>
      <c r="Z785" s="1333"/>
      <c r="AA785" s="1333"/>
      <c r="AB785" s="1333"/>
      <c r="AC785" s="1333"/>
      <c r="AD785" s="1333"/>
      <c r="AE785" s="1333"/>
      <c r="AF785" s="1333"/>
      <c r="AG785" s="1333"/>
      <c r="AH785" s="1333"/>
      <c r="AI785" s="1333"/>
      <c r="AJ785" s="1333"/>
    </row>
    <row r="786" spans="1:36" x14ac:dyDescent="0.25">
      <c r="A786" s="1479"/>
      <c r="B786" s="1284"/>
      <c r="C786" s="1284"/>
      <c r="D786" s="1364"/>
      <c r="E786" s="1364"/>
      <c r="F786" s="1364"/>
      <c r="G786" s="1365"/>
      <c r="H786" s="1333"/>
      <c r="I786" s="1333"/>
      <c r="J786" s="1333"/>
      <c r="K786" s="1333"/>
      <c r="L786" s="1333"/>
      <c r="M786" s="1333"/>
      <c r="N786" s="1333"/>
      <c r="O786" s="1333"/>
      <c r="P786" s="1333"/>
      <c r="Q786" s="1333"/>
      <c r="R786" s="1333"/>
      <c r="S786" s="1333"/>
      <c r="T786" s="1333"/>
      <c r="U786" s="1333"/>
      <c r="V786" s="1333"/>
      <c r="W786" s="1333"/>
      <c r="X786" s="1333"/>
      <c r="Y786" s="1333"/>
      <c r="Z786" s="1333"/>
      <c r="AA786" s="1333"/>
      <c r="AB786" s="1333"/>
      <c r="AC786" s="1333"/>
      <c r="AD786" s="1333"/>
      <c r="AE786" s="1333"/>
      <c r="AF786" s="1333"/>
      <c r="AG786" s="1333"/>
      <c r="AH786" s="1333"/>
      <c r="AI786" s="1333"/>
      <c r="AJ786" s="1333"/>
    </row>
    <row r="787" spans="1:36" x14ac:dyDescent="0.25">
      <c r="A787" s="1479"/>
      <c r="B787" s="1284"/>
      <c r="C787" s="1284"/>
      <c r="D787" s="1364"/>
      <c r="E787" s="1364"/>
      <c r="F787" s="1364"/>
      <c r="G787" s="1365"/>
      <c r="H787" s="1333"/>
      <c r="I787" s="1333"/>
      <c r="J787" s="1333"/>
      <c r="K787" s="1333"/>
      <c r="L787" s="1333"/>
      <c r="M787" s="1333"/>
      <c r="N787" s="1333"/>
      <c r="O787" s="1333"/>
      <c r="P787" s="1333"/>
      <c r="Q787" s="1333"/>
      <c r="R787" s="1333"/>
      <c r="S787" s="1333"/>
      <c r="T787" s="1333"/>
      <c r="U787" s="1333"/>
      <c r="V787" s="1333"/>
      <c r="W787" s="1333"/>
      <c r="X787" s="1333"/>
      <c r="Y787" s="1333"/>
      <c r="Z787" s="1333"/>
      <c r="AA787" s="1333"/>
      <c r="AB787" s="1333"/>
      <c r="AC787" s="1333"/>
      <c r="AD787" s="1333"/>
      <c r="AE787" s="1333"/>
      <c r="AF787" s="1333"/>
      <c r="AG787" s="1333"/>
      <c r="AH787" s="1333"/>
      <c r="AI787" s="1333"/>
      <c r="AJ787" s="1333"/>
    </row>
  </sheetData>
  <sheetProtection formatColumns="0" formatRows="0" selectLockedCells="1"/>
  <mergeCells count="46">
    <mergeCell ref="C468:E468"/>
    <mergeCell ref="C464:E464"/>
    <mergeCell ref="C465:E465"/>
    <mergeCell ref="C384:H384"/>
    <mergeCell ref="C474:E474"/>
    <mergeCell ref="C472:E472"/>
    <mergeCell ref="A15:A23"/>
    <mergeCell ref="C15:H15"/>
    <mergeCell ref="C16:H16"/>
    <mergeCell ref="D23:F23"/>
    <mergeCell ref="G23:H23"/>
    <mergeCell ref="C19:H19"/>
    <mergeCell ref="C18:H18"/>
    <mergeCell ref="C21:D21"/>
    <mergeCell ref="F21:G21"/>
    <mergeCell ref="C22:D22"/>
    <mergeCell ref="F22:G22"/>
    <mergeCell ref="C475:E475"/>
    <mergeCell ref="C476:E476"/>
    <mergeCell ref="C477:E477"/>
    <mergeCell ref="C478:E478"/>
    <mergeCell ref="C479:E479"/>
    <mergeCell ref="C487:E487"/>
    <mergeCell ref="C488:E488"/>
    <mergeCell ref="C489:E489"/>
    <mergeCell ref="C480:E480"/>
    <mergeCell ref="C481:E481"/>
    <mergeCell ref="C482:E482"/>
    <mergeCell ref="C483:E483"/>
    <mergeCell ref="C484:E484"/>
    <mergeCell ref="F3:H3"/>
    <mergeCell ref="J14:J22"/>
    <mergeCell ref="K14:K22"/>
    <mergeCell ref="C500:E500"/>
    <mergeCell ref="C495:E495"/>
    <mergeCell ref="C496:E496"/>
    <mergeCell ref="C497:E497"/>
    <mergeCell ref="C498:E498"/>
    <mergeCell ref="C499:E499"/>
    <mergeCell ref="C490:E490"/>
    <mergeCell ref="C491:E491"/>
    <mergeCell ref="C492:E492"/>
    <mergeCell ref="C493:E493"/>
    <mergeCell ref="C494:E494"/>
    <mergeCell ref="C485:E485"/>
    <mergeCell ref="C486:E486"/>
  </mergeCells>
  <conditionalFormatting sqref="I32:I35">
    <cfRule type="expression" dxfId="1328" priority="692">
      <formula>$D$32="N"</formula>
    </cfRule>
  </conditionalFormatting>
  <conditionalFormatting sqref="E443:H454">
    <cfRule type="expression" dxfId="1327" priority="1205">
      <formula>$D$443="N"</formula>
    </cfRule>
  </conditionalFormatting>
  <conditionalFormatting sqref="C16:I17">
    <cfRule type="cellIs" dxfId="1326" priority="133" operator="equal">
      <formula>"SCHEMATIC DESIGN DOES NOT APPLY"</formula>
    </cfRule>
    <cfRule type="cellIs" dxfId="1325" priority="134" operator="equal">
      <formula>"NO Design - SCHEMATIC DESIGN DOES NOT APPLY"</formula>
    </cfRule>
  </conditionalFormatting>
  <conditionalFormatting sqref="H5:J5">
    <cfRule type="expression" dxfId="1324" priority="917">
      <formula>$D$126="N"</formula>
    </cfRule>
  </conditionalFormatting>
  <conditionalFormatting sqref="H6:J6">
    <cfRule type="expression" dxfId="1323" priority="915">
      <formula>$D$126="N"</formula>
    </cfRule>
  </conditionalFormatting>
  <conditionalFormatting sqref="I168">
    <cfRule type="expression" dxfId="1322" priority="912">
      <formula>$D$168="N"</formula>
    </cfRule>
  </conditionalFormatting>
  <conditionalFormatting sqref="I126">
    <cfRule type="expression" dxfId="1321" priority="778">
      <formula>$G$126="N"</formula>
    </cfRule>
  </conditionalFormatting>
  <conditionalFormatting sqref="I27:I30">
    <cfRule type="expression" dxfId="1320" priority="691">
      <formula>$D$27="N"</formula>
    </cfRule>
  </conditionalFormatting>
  <conditionalFormatting sqref="E385:H402">
    <cfRule type="expression" dxfId="1319" priority="714">
      <formula>$D$385="N"</formula>
    </cfRule>
  </conditionalFormatting>
  <conditionalFormatting sqref="F392:H394">
    <cfRule type="expression" dxfId="1318" priority="886">
      <formula>$E$392="N"</formula>
    </cfRule>
  </conditionalFormatting>
  <conditionalFormatting sqref="E403:H421">
    <cfRule type="expression" dxfId="1317" priority="916">
      <formula>$D$403="N"</formula>
    </cfRule>
  </conditionalFormatting>
  <conditionalFormatting sqref="F431:H433">
    <cfRule type="expression" dxfId="1316" priority="1197">
      <formula>$E$431="N"</formula>
    </cfRule>
  </conditionalFormatting>
  <conditionalFormatting sqref="F410:H412">
    <cfRule type="expression" dxfId="1315" priority="918">
      <formula>$E$410="N"</formula>
    </cfRule>
  </conditionalFormatting>
  <conditionalFormatting sqref="E39:H125">
    <cfRule type="expression" dxfId="1314" priority="381">
      <formula>$D$39="N"</formula>
    </cfRule>
  </conditionalFormatting>
  <conditionalFormatting sqref="F56:H125">
    <cfRule type="expression" dxfId="1313" priority="387">
      <formula>$E$56="N"</formula>
    </cfRule>
  </conditionalFormatting>
  <conditionalFormatting sqref="I25">
    <cfRule type="expression" dxfId="1312" priority="657">
      <formula>$D$27="N"</formula>
    </cfRule>
  </conditionalFormatting>
  <conditionalFormatting sqref="I25:I26 M25:FF26">
    <cfRule type="cellIs" dxfId="1311" priority="656" operator="equal">
      <formula>"Y"</formula>
    </cfRule>
  </conditionalFormatting>
  <conditionalFormatting sqref="E32:H32">
    <cfRule type="expression" dxfId="1310" priority="258">
      <formula>$D$32="n"</formula>
    </cfRule>
  </conditionalFormatting>
  <conditionalFormatting sqref="E39:H39">
    <cfRule type="expression" dxfId="1309" priority="338">
      <formula>$D$39="n"</formula>
    </cfRule>
  </conditionalFormatting>
  <conditionalFormatting sqref="E126:H167">
    <cfRule type="expression" dxfId="1308" priority="388">
      <formula>$D$126="N"</formula>
    </cfRule>
  </conditionalFormatting>
  <conditionalFormatting sqref="G168:H168">
    <cfRule type="expression" dxfId="1307" priority="435">
      <formula>$D$168="N"</formula>
    </cfRule>
  </conditionalFormatting>
  <conditionalFormatting sqref="E180:H180">
    <cfRule type="expression" dxfId="1306" priority="496">
      <formula>$D$180="N"</formula>
    </cfRule>
  </conditionalFormatting>
  <conditionalFormatting sqref="E206:H206">
    <cfRule type="expression" dxfId="1305" priority="498">
      <formula>$D$206="N"</formula>
    </cfRule>
  </conditionalFormatting>
  <conditionalFormatting sqref="E422:H424">
    <cfRule type="expression" dxfId="1304" priority="925">
      <formula>$D$422="N"</formula>
    </cfRule>
  </conditionalFormatting>
  <conditionalFormatting sqref="E403:H403">
    <cfRule type="expression" dxfId="1303" priority="896">
      <formula>$D$403="N"</formula>
    </cfRule>
  </conditionalFormatting>
  <conditionalFormatting sqref="E385:H385">
    <cfRule type="expression" dxfId="1302" priority="662">
      <formula>$D$385="N"</formula>
    </cfRule>
  </conditionalFormatting>
  <conditionalFormatting sqref="E27:H27">
    <cfRule type="expression" dxfId="1301" priority="232">
      <formula>$D$27="N"</formula>
    </cfRule>
  </conditionalFormatting>
  <conditionalFormatting sqref="E25:H25">
    <cfRule type="expression" dxfId="1300" priority="231">
      <formula>$D$25="N"</formula>
    </cfRule>
  </conditionalFormatting>
  <conditionalFormatting sqref="E37:H37">
    <cfRule type="expression" dxfId="1299" priority="337">
      <formula>$D$37="N"</formula>
    </cfRule>
  </conditionalFormatting>
  <conditionalFormatting sqref="E443:H443">
    <cfRule type="expression" dxfId="1298" priority="1202">
      <formula>$D$443="N"</formula>
    </cfRule>
  </conditionalFormatting>
  <conditionalFormatting sqref="E382:H382">
    <cfRule type="expression" dxfId="1297" priority="661">
      <formula>$D$382="N"</formula>
    </cfRule>
  </conditionalFormatting>
  <conditionalFormatting sqref="E25:H455">
    <cfRule type="expression" dxfId="1296" priority="135">
      <formula>$D25="N"</formula>
    </cfRule>
  </conditionalFormatting>
  <conditionalFormatting sqref="E422:H442">
    <cfRule type="expression" dxfId="1295" priority="930">
      <formula>$D$422="N"</formula>
    </cfRule>
  </conditionalFormatting>
  <conditionalFormatting sqref="I174">
    <cfRule type="expression" dxfId="1294" priority="467">
      <formula>$D$168="N"</formula>
    </cfRule>
  </conditionalFormatting>
  <conditionalFormatting sqref="F25:H455">
    <cfRule type="expression" dxfId="1293" priority="226">
      <formula>$E25="N"</formula>
    </cfRule>
  </conditionalFormatting>
  <conditionalFormatting sqref="G174:H174">
    <cfRule type="expression" dxfId="1292" priority="440">
      <formula>$D$174="N"</formula>
    </cfRule>
  </conditionalFormatting>
  <conditionalFormatting sqref="G25:H455">
    <cfRule type="expression" dxfId="1291" priority="227">
      <formula>$F25="N"</formula>
    </cfRule>
  </conditionalFormatting>
  <conditionalFormatting sqref="E206:H381">
    <cfRule type="expression" dxfId="1290" priority="528">
      <formula>$D$206="N"</formula>
    </cfRule>
  </conditionalFormatting>
  <conditionalFormatting sqref="K455:K458">
    <cfRule type="containsText" dxfId="1289" priority="340" operator="containsText" text="PLACEHOLDER">
      <formula>NOT(ISERROR(SEARCH("PLACEHOLDER",K455)))</formula>
    </cfRule>
  </conditionalFormatting>
  <conditionalFormatting sqref="K455">
    <cfRule type="containsText" dxfId="1288" priority="339" operator="containsText" text="HIDE">
      <formula>NOT(ISERROR(SEARCH("HIDE",K455)))</formula>
    </cfRule>
  </conditionalFormatting>
  <conditionalFormatting sqref="E174:H179">
    <cfRule type="expression" dxfId="1287" priority="495">
      <formula>$D$174="N"</formula>
    </cfRule>
  </conditionalFormatting>
  <conditionalFormatting sqref="E180:H205">
    <cfRule type="expression" dxfId="1286" priority="497">
      <formula>$D$180="N"</formula>
    </cfRule>
  </conditionalFormatting>
  <conditionalFormatting sqref="E218:H230">
    <cfRule type="expression" dxfId="1285" priority="586">
      <formula>$E$218="N"</formula>
    </cfRule>
  </conditionalFormatting>
  <conditionalFormatting sqref="F231:H254">
    <cfRule type="expression" dxfId="1284" priority="587">
      <formula>$E$231="N"</formula>
    </cfRule>
  </conditionalFormatting>
  <conditionalFormatting sqref="F255:H269">
    <cfRule type="expression" dxfId="1283" priority="589">
      <formula>$E$255="N"</formula>
    </cfRule>
  </conditionalFormatting>
  <conditionalFormatting sqref="F270:H278">
    <cfRule type="expression" dxfId="1282" priority="590">
      <formula>$E$270="N"</formula>
    </cfRule>
  </conditionalFormatting>
  <conditionalFormatting sqref="F279:H288">
    <cfRule type="expression" dxfId="1281" priority="592">
      <formula>$E$279="N"</formula>
    </cfRule>
  </conditionalFormatting>
  <conditionalFormatting sqref="F289:H298">
    <cfRule type="expression" dxfId="1280" priority="591">
      <formula>$E$289="N"</formula>
    </cfRule>
  </conditionalFormatting>
  <conditionalFormatting sqref="F299:H308">
    <cfRule type="expression" dxfId="1279" priority="596">
      <formula>$E$299="N"</formula>
    </cfRule>
  </conditionalFormatting>
  <conditionalFormatting sqref="F316:H331">
    <cfRule type="expression" dxfId="1278" priority="601">
      <formula>$E$316="N"</formula>
    </cfRule>
  </conditionalFormatting>
  <conditionalFormatting sqref="F332:H339">
    <cfRule type="expression" dxfId="1277" priority="602">
      <formula>$E$332="N"</formula>
    </cfRule>
  </conditionalFormatting>
  <conditionalFormatting sqref="F358:H366">
    <cfRule type="expression" dxfId="1276" priority="620">
      <formula>$E$358="N"</formula>
    </cfRule>
  </conditionalFormatting>
  <conditionalFormatting sqref="F367:H380">
    <cfRule type="expression" dxfId="1275" priority="629">
      <formula>$E$367="N"</formula>
    </cfRule>
  </conditionalFormatting>
  <conditionalFormatting sqref="F340:H349">
    <cfRule type="expression" dxfId="1274" priority="634">
      <formula>$E$340="N"</formula>
    </cfRule>
  </conditionalFormatting>
  <conditionalFormatting sqref="F350:H357">
    <cfRule type="expression" dxfId="1273" priority="640">
      <formula>$E$350="N"</formula>
    </cfRule>
  </conditionalFormatting>
  <conditionalFormatting sqref="E168:H172">
    <cfRule type="expression" dxfId="1272" priority="434">
      <formula>$D$168="N"</formula>
    </cfRule>
  </conditionalFormatting>
  <conditionalFormatting sqref="C15:H18">
    <cfRule type="containsText" dxfId="1271" priority="223" operator="containsText" text="Choose">
      <formula>NOT(ISERROR(SEARCH("Choose",C15)))</formula>
    </cfRule>
    <cfRule type="containsText" dxfId="1270" priority="224" operator="containsText" text="##">
      <formula>NOT(ISERROR(SEARCH("##",C15)))</formula>
    </cfRule>
    <cfRule type="containsText" dxfId="1269" priority="225" operator="containsText" text="Insert">
      <formula>NOT(ISERROR(SEARCH("Insert",C15)))</formula>
    </cfRule>
  </conditionalFormatting>
  <conditionalFormatting sqref="F211:H217">
    <cfRule type="expression" dxfId="1268" priority="585">
      <formula>$E$211="N"</formula>
    </cfRule>
  </conditionalFormatting>
  <conditionalFormatting sqref="F309:H315">
    <cfRule type="expression" dxfId="1267" priority="599">
      <formula>$E$309="N"</formula>
    </cfRule>
  </conditionalFormatting>
  <conditionalFormatting sqref="L15:L21">
    <cfRule type="containsText" dxfId="1266" priority="54" operator="containsText" text="Enter/Update">
      <formula>NOT(ISERROR(SEARCH("Enter/Update",L15)))</formula>
    </cfRule>
    <cfRule type="containsText" dxfId="1265" priority="55" operator="containsText" text="&lt;----Fill in information">
      <formula>NOT(ISERROR(SEARCH("&lt;----Fill in information",L15)))</formula>
    </cfRule>
  </conditionalFormatting>
  <conditionalFormatting sqref="C18:H455">
    <cfRule type="expression" dxfId="1264" priority="1">
      <formula>$C$16="NO DESIGN - SCHEMATIC DESIGN DOES NOT APPLY"</formula>
    </cfRule>
    <cfRule type="expression" dxfId="1263" priority="2">
      <formula>$C$16="SCHEMATIC DESIGN DOES NOT APPLY"</formula>
    </cfRule>
    <cfRule type="expression" dxfId="1262" priority="4">
      <formula>$C$16="Schematic Design Does Not Apply"</formula>
    </cfRule>
  </conditionalFormatting>
  <conditionalFormatting sqref="H25:H455">
    <cfRule type="containsText" dxfId="1261" priority="5" operator="containsText" text="placeholder">
      <formula>NOT(ISERROR(SEARCH("placeholder",H25)))</formula>
    </cfRule>
    <cfRule type="expression" dxfId="1260" priority="230">
      <formula>$G25="N"</formula>
    </cfRule>
  </conditionalFormatting>
  <conditionalFormatting sqref="D25:G455">
    <cfRule type="cellIs" dxfId="1259" priority="66" operator="equal">
      <formula>"Y"</formula>
    </cfRule>
    <cfRule type="cellIs" dxfId="1258" priority="113" operator="equal">
      <formula>"?"</formula>
    </cfRule>
  </conditionalFormatting>
  <conditionalFormatting sqref="C25:C455">
    <cfRule type="expression" dxfId="1257" priority="140">
      <formula>$D25="Y"</formula>
    </cfRule>
    <cfRule type="expression" dxfId="1256" priority="161">
      <formula>$E25="Y"</formula>
    </cfRule>
    <cfRule type="expression" dxfId="1255" priority="222">
      <formula>$F25="Y"</formula>
    </cfRule>
  </conditionalFormatting>
  <conditionalFormatting sqref="D33:H35">
    <cfRule type="expression" dxfId="1254" priority="301">
      <formula>$D$32="N"</formula>
    </cfRule>
  </conditionalFormatting>
  <conditionalFormatting sqref="D28:H30">
    <cfRule type="expression" dxfId="1253" priority="233">
      <formula>$D$27="N"</formula>
    </cfRule>
  </conditionalFormatting>
  <dataValidations xWindow="428" yWindow="879" count="3">
    <dataValidation type="list" allowBlank="1" showInputMessage="1" showErrorMessage="1" sqref="C23">
      <formula1>$C$8:$C$11</formula1>
    </dataValidation>
    <dataValidation type="list" allowBlank="1" showInputMessage="1" showErrorMessage="1" sqref="F6 E5 D4">
      <formula1>$D$8:$D$11</formula1>
    </dataValidation>
    <dataValidation allowBlank="1" showInputMessage="1" showErrorMessage="1" promptTitle="NO INPUTS IN THESE CELLS" prompt="Changes are only made in TAB C." sqref="C21:H21 D385:H456 D25:H383"/>
  </dataValidations>
  <printOptions horizontalCentered="1"/>
  <pageMargins left="0.45" right="0.45" top="0.5" bottom="0.6" header="0.3" footer="0.3"/>
  <pageSetup scale="70" fitToHeight="8" orientation="portrait" r:id="rId1"/>
  <headerFooter>
    <oddFooter>&amp;L&amp;"Ebrima,Bold"&amp;10TAB &amp;A&amp;C&amp;"Ebrima,Regular"&amp;8&amp;P of &amp;N&amp;R&amp;G</oddFooter>
  </headerFooter>
  <rowBreaks count="8" manualBreakCount="8">
    <brk id="74" min="2" max="7" man="1"/>
    <brk id="125" min="2" max="7" man="1"/>
    <brk id="167" min="2" max="7" man="1"/>
    <brk id="245" min="2" max="7" man="1"/>
    <brk id="288" min="2" max="7" man="1"/>
    <brk id="339" min="2" max="7" man="1"/>
    <brk id="383" min="2" max="7" man="1"/>
    <brk id="421" min="2" max="7" man="1"/>
  </rowBreaks>
  <drawing r:id="rId2"/>
  <legacyDrawing r:id="rId3"/>
  <legacyDrawingHF r:id="rId4"/>
  <extLst>
    <ext xmlns:x14="http://schemas.microsoft.com/office/spreadsheetml/2009/9/main" uri="{78C0D931-6437-407d-A8EE-F0AAD7539E65}">
      <x14:conditionalFormattings>
        <x14:conditionalFormatting xmlns:xm="http://schemas.microsoft.com/office/excel/2006/main">
          <x14:cfRule type="expression" priority="940" id="{674466F1-05D4-455D-9115-74FFD38B3825}">
            <xm:f>'00 - Concept.'!$D460="N"</xm:f>
            <x14:dxf>
              <font>
                <strike/>
              </font>
            </x14:dxf>
          </x14:cfRule>
          <xm:sqref>I456</xm:sqref>
        </x14:conditionalFormatting>
        <x14:conditionalFormatting xmlns:xm="http://schemas.microsoft.com/office/excel/2006/main">
          <x14:cfRule type="expression" priority="8241" id="{674466F1-05D4-455D-9115-74FFD38B3825}">
            <xm:f>'00 - Concept.'!$D4="N"</xm:f>
            <x14:dxf>
              <font>
                <strike/>
              </font>
            </x14:dxf>
          </x14:cfRule>
          <xm:sqref>G4</xm:sqref>
        </x14:conditionalFormatting>
        <x14:conditionalFormatting xmlns:xm="http://schemas.microsoft.com/office/excel/2006/main">
          <x14:cfRule type="expression" priority="13671" id="{BDE025F1-C3A8-4140-AB74-5E8361C1E19F}">
            <xm:f>'00 - Concept.'!$E255="N"</xm:f>
            <x14:dxf>
              <font>
                <strike/>
              </font>
            </x14:dxf>
          </x14:cfRule>
          <xm:sqref>I218</xm:sqref>
        </x14:conditionalFormatting>
        <x14:conditionalFormatting xmlns:xm="http://schemas.microsoft.com/office/excel/2006/main">
          <x14:cfRule type="expression" priority="13679" id="{BDE025F1-C3A8-4140-AB74-5E8361C1E19F}">
            <xm:f>'00 - Concept.'!$E284="N"</xm:f>
            <x14:dxf>
              <font>
                <strike/>
              </font>
            </x14:dxf>
          </x14:cfRule>
          <xm:sqref>I261:I263</xm:sqref>
        </x14:conditionalFormatting>
        <x14:conditionalFormatting xmlns:xm="http://schemas.microsoft.com/office/excel/2006/main">
          <x14:cfRule type="expression" priority="14992" id="{55998DFF-BC4C-4C00-A7CF-0862B1F057EC}">
            <xm:f>'00 - Concept.'!#REF!="N"</xm:f>
            <x14:dxf>
              <font>
                <strike/>
              </font>
            </x14:dxf>
          </x14:cfRule>
          <xm:sqref>I163:I166</xm:sqref>
        </x14:conditionalFormatting>
        <x14:conditionalFormatting xmlns:xm="http://schemas.microsoft.com/office/excel/2006/main">
          <x14:cfRule type="expression" priority="15117" id="{BDE025F1-C3A8-4140-AB74-5E8361C1E19F}">
            <xm:f>'00 - Concept.'!#REF!="N"</xm:f>
            <x14:dxf>
              <font>
                <strike/>
              </font>
            </x14:dxf>
          </x14:cfRule>
          <xm:sqref>I178</xm:sqref>
        </x14:conditionalFormatting>
        <x14:conditionalFormatting xmlns:xm="http://schemas.microsoft.com/office/excel/2006/main">
          <x14:cfRule type="expression" priority="17419" id="{BDE025F1-C3A8-4140-AB74-5E8361C1E19F}">
            <xm:f>'00 - Concept.'!$E257="N"</xm:f>
            <x14:dxf>
              <font>
                <strike/>
              </font>
            </x14:dxf>
          </x14:cfRule>
          <xm:sqref>I226</xm:sqref>
        </x14:conditionalFormatting>
        <x14:conditionalFormatting xmlns:xm="http://schemas.microsoft.com/office/excel/2006/main">
          <x14:cfRule type="expression" priority="17427" id="{BDE025F1-C3A8-4140-AB74-5E8361C1E19F}">
            <xm:f>'00 - Concept.'!$E111="N"</xm:f>
            <x14:dxf>
              <font>
                <strike/>
              </font>
            </x14:dxf>
          </x14:cfRule>
          <xm:sqref>I120 I112</xm:sqref>
        </x14:conditionalFormatting>
        <x14:conditionalFormatting xmlns:xm="http://schemas.microsoft.com/office/excel/2006/main">
          <x14:cfRule type="expression" priority="17437" id="{BDE025F1-C3A8-4140-AB74-5E8361C1E19F}">
            <xm:f>'00 - Concept.'!$E256="N"</xm:f>
            <x14:dxf>
              <font>
                <strike/>
              </font>
            </x14:dxf>
          </x14:cfRule>
          <xm:sqref>I223</xm:sqref>
        </x14:conditionalFormatting>
        <x14:conditionalFormatting xmlns:xm="http://schemas.microsoft.com/office/excel/2006/main">
          <x14:cfRule type="expression" priority="17450" id="{BDE025F1-C3A8-4140-AB74-5E8361C1E19F}">
            <xm:f>'00 - Concept.'!$E177="N"</xm:f>
            <x14:dxf>
              <font>
                <strike/>
              </font>
            </x14:dxf>
          </x14:cfRule>
          <xm:sqref>I181 I183:I185 I188:I189</xm:sqref>
        </x14:conditionalFormatting>
        <x14:conditionalFormatting xmlns:xm="http://schemas.microsoft.com/office/excel/2006/main">
          <x14:cfRule type="expression" priority="234" id="{25071DE6-9052-4EE3-899A-106550711B17}">
            <xm:f>'00 - Concept.'!$F338="N"</xm:f>
            <x14:dxf>
              <font>
                <strike/>
              </font>
            </x14:dxf>
          </x14:cfRule>
          <xm:sqref>I300:I301</xm:sqref>
        </x14:conditionalFormatting>
        <x14:conditionalFormatting xmlns:xm="http://schemas.microsoft.com/office/excel/2006/main">
          <x14:cfRule type="expression" priority="17454" id="{BDE025F1-C3A8-4140-AB74-5E8361C1E19F}">
            <xm:f>'00 - Concept.'!$E294="N"</xm:f>
            <x14:dxf>
              <font>
                <strike/>
              </font>
            </x14:dxf>
          </x14:cfRule>
          <xm:sqref>I269</xm:sqref>
        </x14:conditionalFormatting>
        <x14:conditionalFormatting xmlns:xm="http://schemas.microsoft.com/office/excel/2006/main">
          <x14:cfRule type="expression" priority="17462" id="{BDE025F1-C3A8-4140-AB74-5E8361C1E19F}">
            <xm:f>'00 - Concept.'!$E292="N"</xm:f>
            <x14:dxf>
              <font>
                <strike/>
              </font>
            </x14:dxf>
          </x14:cfRule>
          <xm:sqref>I270</xm:sqref>
        </x14:conditionalFormatting>
        <x14:conditionalFormatting xmlns:xm="http://schemas.microsoft.com/office/excel/2006/main">
          <x14:cfRule type="expression" priority="25143" id="{FD5BCB75-1C14-4238-8683-D58283B972F7}">
            <xm:f>'00 - Concept.'!$F351="N"</xm:f>
            <x14:dxf>
              <font>
                <strike/>
              </font>
            </x14:dxf>
          </x14:cfRule>
          <xm:sqref>I359:I360</xm:sqref>
        </x14:conditionalFormatting>
        <x14:conditionalFormatting xmlns:xm="http://schemas.microsoft.com/office/excel/2006/main">
          <x14:cfRule type="expression" priority="25477" id="{7F03E0EF-4222-4A86-AD1B-C13145DDA1E6}">
            <xm:f>'00 - Concept.'!$F396="N"</xm:f>
            <x14:dxf>
              <font>
                <strike/>
              </font>
            </x14:dxf>
          </x14:cfRule>
          <xm:sqref>I342</xm:sqref>
        </x14:conditionalFormatting>
        <x14:conditionalFormatting xmlns:xm="http://schemas.microsoft.com/office/excel/2006/main">
          <x14:cfRule type="expression" priority="27295" id="{25071DE6-9052-4EE3-899A-106550711B17}">
            <xm:f>'00 - Concept.'!$F265="N"</xm:f>
            <x14:dxf>
              <font>
                <strike/>
              </font>
            </x14:dxf>
          </x14:cfRule>
          <xm:sqref>I256:I257 I232:I233</xm:sqref>
        </x14:conditionalFormatting>
        <x14:conditionalFormatting xmlns:xm="http://schemas.microsoft.com/office/excel/2006/main">
          <x14:cfRule type="expression" priority="29930" id="{7F03E0EF-4222-4A86-AD1B-C13145DDA1E6}">
            <xm:f>'00 - Concept.'!$F317="N"</xm:f>
            <x14:dxf>
              <font>
                <strike/>
              </font>
            </x14:dxf>
          </x14:cfRule>
          <xm:sqref>I280:I281 I290:I291</xm:sqref>
        </x14:conditionalFormatting>
        <x14:conditionalFormatting xmlns:xm="http://schemas.microsoft.com/office/excel/2006/main">
          <x14:cfRule type="expression" priority="31923" id="{7F03E0EF-4222-4A86-AD1B-C13145DDA1E6}">
            <xm:f>'00 - Concept.'!$F367="N"</xm:f>
            <x14:dxf>
              <font>
                <strike/>
              </font>
            </x14:dxf>
          </x14:cfRule>
          <xm:sqref>I317</xm:sqref>
        </x14:conditionalFormatting>
        <x14:conditionalFormatting xmlns:xm="http://schemas.microsoft.com/office/excel/2006/main">
          <x14:cfRule type="expression" priority="32106" id="{7F03E0EF-4222-4A86-AD1B-C13145DDA1E6}">
            <xm:f>'00 - Concept.'!$F252="N"</xm:f>
            <x14:dxf>
              <font>
                <strike/>
              </font>
            </x14:dxf>
          </x14:cfRule>
          <xm:sqref>I271:I272 I224:I225 I222</xm:sqref>
        </x14:conditionalFormatting>
        <x14:conditionalFormatting xmlns:xm="http://schemas.microsoft.com/office/excel/2006/main">
          <x14:cfRule type="expression" priority="32114" id="{7F03E0EF-4222-4A86-AD1B-C13145DDA1E6}">
            <xm:f>'00 - Concept.'!$F345="N"</xm:f>
            <x14:dxf>
              <font>
                <strike/>
              </font>
            </x14:dxf>
          </x14:cfRule>
          <xm:sqref>I333:I334</xm:sqref>
        </x14:conditionalFormatting>
        <x14:conditionalFormatting xmlns:xm="http://schemas.microsoft.com/office/excel/2006/main">
          <x14:cfRule type="expression" priority="33819" id="{BDE025F1-C3A8-4140-AB74-5E8361C1E19F}">
            <xm:f>'00 - Concept.'!$E122="N"</xm:f>
            <x14:dxf>
              <font>
                <strike/>
              </font>
            </x14:dxf>
          </x14:cfRule>
          <xm:sqref>I109</xm:sqref>
        </x14:conditionalFormatting>
        <x14:conditionalFormatting xmlns:xm="http://schemas.microsoft.com/office/excel/2006/main">
          <x14:cfRule type="expression" priority="39716" id="{BDE025F1-C3A8-4140-AB74-5E8361C1E19F}">
            <xm:f>'00 - Concept.'!$E183="N"</xm:f>
            <x14:dxf>
              <font>
                <strike/>
              </font>
            </x14:dxf>
          </x14:cfRule>
          <xm:sqref>I186</xm:sqref>
        </x14:conditionalFormatting>
        <x14:conditionalFormatting xmlns:xm="http://schemas.microsoft.com/office/excel/2006/main">
          <x14:cfRule type="expression" priority="39767" id="{7F03E0EF-4222-4A86-AD1B-C13145DDA1E6}">
            <xm:f>'00 - Concept.'!$F182="N"</xm:f>
            <x14:dxf>
              <font>
                <strike/>
              </font>
            </x14:dxf>
          </x14:cfRule>
          <xm:sqref>I187</xm:sqref>
        </x14:conditionalFormatting>
        <x14:conditionalFormatting xmlns:xm="http://schemas.microsoft.com/office/excel/2006/main">
          <x14:cfRule type="expression" priority="40850" id="{7F03E0EF-4222-4A86-AD1B-C13145DDA1E6}">
            <xm:f>'00 - Concept.'!$F394="N"</xm:f>
            <x14:dxf>
              <font>
                <strike/>
              </font>
            </x14:dxf>
          </x14:cfRule>
          <xm:sqref>I341</xm:sqref>
        </x14:conditionalFormatting>
        <x14:conditionalFormatting xmlns:xm="http://schemas.microsoft.com/office/excel/2006/main">
          <x14:cfRule type="expression" priority="43353" id="{7F03E0EF-4222-4A86-AD1B-C13145DDA1E6}">
            <xm:f>'00 - Concept.'!$F370="N"</xm:f>
            <x14:dxf>
              <font>
                <strike/>
              </font>
            </x14:dxf>
          </x14:cfRule>
          <xm:sqref>I318</xm:sqref>
        </x14:conditionalFormatting>
        <x14:conditionalFormatting xmlns:xm="http://schemas.microsoft.com/office/excel/2006/main">
          <x14:cfRule type="expression" priority="43561" id="{BDE025F1-C3A8-4140-AB74-5E8361C1E19F}">
            <xm:f>'00 - Concept.'!$E278="N"</xm:f>
            <x14:dxf>
              <font>
                <strike/>
              </font>
            </x14:dxf>
          </x14:cfRule>
          <xm:sqref>I251</xm:sqref>
        </x14:conditionalFormatting>
        <x14:conditionalFormatting xmlns:xm="http://schemas.microsoft.com/office/excel/2006/main">
          <x14:cfRule type="expression" priority="43580" id="{25071DE6-9052-4EE3-899A-106550711B17}">
            <xm:f>'00 - Concept.'!$F262="N"</xm:f>
            <x14:dxf>
              <font>
                <strike/>
              </font>
            </x14:dxf>
          </x14:cfRule>
          <xm:sqref>I219:I220</xm:sqref>
        </x14:conditionalFormatting>
        <x14:conditionalFormatting xmlns:xm="http://schemas.microsoft.com/office/excel/2006/main">
          <x14:cfRule type="expression" priority="43599" id="{FD5BCB75-1C14-4238-8683-D58283B972F7}">
            <xm:f>'00 - Concept.'!$F56="N"</xm:f>
            <x14:dxf>
              <font>
                <strike/>
              </font>
            </x14:dxf>
          </x14:cfRule>
          <xm:sqref>I56:I59 I61</xm:sqref>
        </x14:conditionalFormatting>
        <x14:conditionalFormatting xmlns:xm="http://schemas.microsoft.com/office/excel/2006/main">
          <x14:cfRule type="expression" priority="43618" id="{FD5BCB75-1C14-4238-8683-D58283B972F7}">
            <xm:f>'00 - Concept.'!$F73="N"</xm:f>
            <x14:dxf>
              <font>
                <strike/>
              </font>
            </x14:dxf>
          </x14:cfRule>
          <xm:sqref>I74 I77:I78</xm:sqref>
        </x14:conditionalFormatting>
        <x14:conditionalFormatting xmlns:xm="http://schemas.microsoft.com/office/excel/2006/main">
          <x14:cfRule type="expression" priority="45539" id="{7F03E0EF-4222-4A86-AD1B-C13145DDA1E6}">
            <xm:f>'00 - Concept.'!$F267="N"</xm:f>
            <x14:dxf>
              <font>
                <strike/>
              </font>
            </x14:dxf>
          </x14:cfRule>
          <xm:sqref>I235</xm:sqref>
        </x14:conditionalFormatting>
        <x14:conditionalFormatting xmlns:xm="http://schemas.microsoft.com/office/excel/2006/main">
          <x14:cfRule type="expression" priority="52891" id="{BDE025F1-C3A8-4140-AB74-5E8361C1E19F}">
            <xm:f>'00 - Concept.'!$E109="N"</xm:f>
            <x14:dxf>
              <font>
                <strike/>
              </font>
            </x14:dxf>
          </x14:cfRule>
          <xm:sqref>I122 I111</xm:sqref>
        </x14:conditionalFormatting>
        <x14:conditionalFormatting xmlns:xm="http://schemas.microsoft.com/office/excel/2006/main">
          <x14:cfRule type="expression" priority="53915" id="{FD5BCB75-1C14-4238-8683-D58283B972F7}">
            <xm:f>'00 - Concept.'!$F63="N"</xm:f>
            <x14:dxf>
              <font>
                <strike/>
              </font>
            </x14:dxf>
          </x14:cfRule>
          <xm:sqref>I70:I72</xm:sqref>
        </x14:conditionalFormatting>
        <x14:conditionalFormatting xmlns:xm="http://schemas.microsoft.com/office/excel/2006/main">
          <x14:cfRule type="expression" priority="54074" id="{BDE025F1-C3A8-4140-AB74-5E8361C1E19F}">
            <xm:f>'00 - Concept.'!$E79="N"</xm:f>
            <x14:dxf>
              <font>
                <strike/>
              </font>
            </x14:dxf>
          </x14:cfRule>
          <xm:sqref>I191 I84</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59999389629810485"/>
    <pageSetUpPr fitToPage="1"/>
  </sheetPr>
  <dimension ref="A1:AW787"/>
  <sheetViews>
    <sheetView showGridLines="0" view="pageBreakPreview" topLeftCell="B1" zoomScaleNormal="100" zoomScaleSheetLayoutView="100" workbookViewId="0">
      <pane ySplit="23" topLeftCell="A24" activePane="bottomLeft" state="frozen"/>
      <selection pane="bottomLeft" activeCell="G26" sqref="G26"/>
    </sheetView>
  </sheetViews>
  <sheetFormatPr defaultRowHeight="15" x14ac:dyDescent="0.25"/>
  <cols>
    <col min="1" max="1" width="5.7109375" style="91" hidden="1" customWidth="1"/>
    <col min="2" max="2" width="0.85546875" customWidth="1"/>
    <col min="3" max="3" width="9.85546875" bestFit="1" customWidth="1"/>
    <col min="4" max="6" width="3.28515625" style="16" customWidth="1"/>
    <col min="7" max="7" width="7.28515625" style="19" customWidth="1"/>
    <col min="8" max="8" width="86" style="17" customWidth="1"/>
    <col min="9" max="9" width="0.85546875" style="17" customWidth="1"/>
    <col min="10" max="10" width="14.5703125" style="17" customWidth="1"/>
    <col min="11" max="11" width="9.140625" style="17" customWidth="1"/>
    <col min="12" max="12" width="9.140625" style="17"/>
    <col min="13" max="17" width="9.140625" style="17" customWidth="1"/>
    <col min="18" max="49" width="9.140625" style="17"/>
  </cols>
  <sheetData>
    <row r="1" spans="1:49" s="542" customFormat="1" hidden="1" x14ac:dyDescent="0.25">
      <c r="A1" s="1331"/>
      <c r="D1" s="543"/>
      <c r="E1" s="543"/>
      <c r="F1" s="543"/>
      <c r="G1" s="19"/>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row>
    <row r="2" spans="1:49" s="542" customFormat="1" hidden="1" x14ac:dyDescent="0.25">
      <c r="A2" s="1331"/>
      <c r="D2" s="543"/>
      <c r="E2" s="543"/>
      <c r="F2" s="543"/>
      <c r="G2" s="19"/>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row>
    <row r="3" spans="1:49" s="542" customFormat="1" ht="30" customHeight="1" x14ac:dyDescent="0.25">
      <c r="A3" s="1479"/>
      <c r="C3" s="1577" t="s">
        <v>46</v>
      </c>
      <c r="D3" s="1421"/>
      <c r="E3" s="1421"/>
      <c r="F3" s="2278" t="str">
        <f ca="1">CONCATENATE("READ DIRECTIONS FILE FIRST.  PSC should print &amp; use at DD submittals. PM/ Planner only should hide non-applicable rows.  Choices for applicability are in the tab [",MID(CELL("filename",Date_edited_TAB_C),FIND("]",CELL("filename",Date_edited_TAB_C))+1,255),"]")</f>
        <v>READ DIRECTIONS FILE FIRST.  PSC should print &amp; use at DD submittals. PM/ Planner only should hide non-applicable rows.  Choices for applicability are in the tab [C-Design&amp;Const]</v>
      </c>
      <c r="G3" s="2278"/>
      <c r="H3" s="2278"/>
      <c r="I3" s="1421"/>
      <c r="J3" s="1421"/>
      <c r="K3" s="1421"/>
      <c r="L3" s="1186"/>
      <c r="M3" s="1186"/>
      <c r="N3" s="1186"/>
      <c r="O3" s="1186"/>
      <c r="P3" s="1186"/>
      <c r="Q3" s="1186"/>
      <c r="R3" s="1333"/>
      <c r="S3" s="1333"/>
      <c r="T3" s="1333"/>
      <c r="U3" s="1333"/>
      <c r="V3" s="1333"/>
      <c r="W3" s="1333"/>
      <c r="X3" s="1333"/>
      <c r="Y3" s="1333"/>
      <c r="Z3" s="1333"/>
      <c r="AA3" s="1333"/>
      <c r="AB3" s="1333"/>
      <c r="AC3" s="1333"/>
      <c r="AD3" s="1333"/>
      <c r="AE3" s="1333"/>
      <c r="AF3" s="1333"/>
      <c r="AG3" s="1333"/>
      <c r="AH3" s="1333"/>
      <c r="AI3" s="1333"/>
      <c r="AJ3" s="1333"/>
      <c r="AK3" s="17"/>
      <c r="AL3" s="17"/>
      <c r="AM3" s="17"/>
      <c r="AN3" s="17"/>
      <c r="AO3" s="17"/>
      <c r="AP3" s="17"/>
      <c r="AQ3" s="17"/>
      <c r="AR3" s="17"/>
      <c r="AS3" s="17"/>
      <c r="AT3" s="17"/>
      <c r="AU3" s="17"/>
    </row>
    <row r="4" spans="1:49" s="542" customFormat="1" ht="19.5" hidden="1" customHeight="1" thickTop="1" x14ac:dyDescent="0.25">
      <c r="A4" s="1479"/>
      <c r="C4" s="39"/>
      <c r="D4" s="317" t="s">
        <v>37</v>
      </c>
      <c r="E4" s="36"/>
      <c r="F4" s="28"/>
      <c r="G4" s="1801" t="s">
        <v>39</v>
      </c>
      <c r="H4" s="1802" t="s">
        <v>219</v>
      </c>
      <c r="I4" s="63"/>
      <c r="J4" s="63"/>
      <c r="K4" s="17"/>
      <c r="L4" s="53" t="s">
        <v>142</v>
      </c>
      <c r="M4" s="1186"/>
      <c r="N4" s="1186"/>
      <c r="O4" s="1186"/>
      <c r="P4" s="1186"/>
      <c r="Q4" s="1186"/>
      <c r="R4" s="1333"/>
      <c r="S4" s="1333"/>
      <c r="T4" s="1333"/>
      <c r="U4" s="1333"/>
      <c r="V4" s="1333"/>
      <c r="W4" s="1333"/>
      <c r="X4" s="1333"/>
      <c r="Y4" s="1333"/>
      <c r="Z4" s="1333"/>
      <c r="AA4" s="1333"/>
      <c r="AB4" s="1333"/>
      <c r="AC4" s="1333"/>
      <c r="AD4" s="1333"/>
      <c r="AE4" s="1333"/>
      <c r="AF4" s="1333"/>
      <c r="AG4" s="1333"/>
      <c r="AH4" s="1333"/>
      <c r="AI4" s="1333"/>
      <c r="AJ4" s="1333"/>
      <c r="AK4" s="17"/>
      <c r="AL4" s="17"/>
      <c r="AM4" s="17"/>
      <c r="AN4" s="17"/>
      <c r="AO4" s="17"/>
      <c r="AP4" s="17"/>
      <c r="AQ4" s="17"/>
      <c r="AR4" s="17"/>
      <c r="AS4" s="17"/>
      <c r="AT4" s="17"/>
      <c r="AU4" s="17"/>
    </row>
    <row r="5" spans="1:49" s="542" customFormat="1" hidden="1" x14ac:dyDescent="0.25">
      <c r="A5" s="1480"/>
      <c r="C5" s="39"/>
      <c r="D5" s="21"/>
      <c r="E5" s="29" t="s">
        <v>37</v>
      </c>
      <c r="F5" s="22"/>
      <c r="G5" s="33"/>
      <c r="H5" s="40" t="s">
        <v>50</v>
      </c>
      <c r="I5" s="64"/>
      <c r="J5" s="64"/>
      <c r="K5" s="17"/>
      <c r="L5" s="142" t="s">
        <v>49</v>
      </c>
      <c r="M5" s="1441"/>
      <c r="N5" s="1186"/>
      <c r="O5" s="1186"/>
      <c r="P5" s="1186"/>
      <c r="Q5" s="1186"/>
      <c r="R5" s="1333"/>
      <c r="S5" s="1333"/>
      <c r="T5" s="1333"/>
      <c r="U5" s="1333"/>
      <c r="V5" s="1333"/>
      <c r="W5" s="1333"/>
      <c r="X5" s="1333"/>
      <c r="Y5" s="1333"/>
      <c r="Z5" s="1333"/>
      <c r="AA5" s="1333"/>
      <c r="AB5" s="1333"/>
      <c r="AC5" s="1333"/>
      <c r="AD5" s="1333"/>
      <c r="AE5" s="1333"/>
      <c r="AF5" s="1333"/>
      <c r="AG5" s="1333"/>
      <c r="AH5" s="1333"/>
      <c r="AI5" s="1333"/>
      <c r="AJ5" s="1333"/>
      <c r="AK5" s="17"/>
      <c r="AL5" s="17"/>
      <c r="AM5" s="17"/>
      <c r="AN5" s="17"/>
      <c r="AO5" s="17"/>
      <c r="AP5" s="17"/>
      <c r="AQ5" s="17"/>
      <c r="AR5" s="17"/>
      <c r="AS5" s="17"/>
      <c r="AT5" s="17"/>
      <c r="AU5" s="17"/>
    </row>
    <row r="6" spans="1:49" s="542" customFormat="1" ht="15.75" hidden="1" thickBot="1" x14ac:dyDescent="0.3">
      <c r="A6" s="1480"/>
      <c r="C6" s="41"/>
      <c r="D6" s="42"/>
      <c r="E6" s="42"/>
      <c r="F6" s="43" t="s">
        <v>37</v>
      </c>
      <c r="G6" s="44"/>
      <c r="H6" s="45" t="s">
        <v>51</v>
      </c>
      <c r="I6" s="65"/>
      <c r="J6" s="65"/>
      <c r="K6" s="17"/>
      <c r="L6" s="141"/>
      <c r="M6" s="1441"/>
      <c r="N6" s="1186"/>
      <c r="O6" s="1185"/>
      <c r="P6" s="1186"/>
      <c r="Q6" s="1186"/>
      <c r="R6" s="1333"/>
      <c r="S6" s="1333"/>
      <c r="T6" s="1333"/>
      <c r="U6" s="1333"/>
      <c r="V6" s="1333"/>
      <c r="W6" s="1333"/>
      <c r="X6" s="1333"/>
      <c r="Y6" s="1333"/>
      <c r="Z6" s="1333"/>
      <c r="AA6" s="1333"/>
      <c r="AB6" s="1333"/>
      <c r="AC6" s="1333"/>
      <c r="AD6" s="1333"/>
      <c r="AE6" s="1333"/>
      <c r="AF6" s="1333"/>
      <c r="AG6" s="1333"/>
      <c r="AH6" s="1333"/>
      <c r="AI6" s="1333"/>
      <c r="AJ6" s="1333"/>
      <c r="AK6" s="17"/>
      <c r="AL6" s="17"/>
      <c r="AM6" s="17"/>
      <c r="AN6" s="17"/>
      <c r="AO6" s="17"/>
      <c r="AP6" s="17"/>
      <c r="AQ6" s="17"/>
      <c r="AR6" s="17"/>
      <c r="AS6" s="17"/>
      <c r="AT6" s="17"/>
      <c r="AU6" s="17"/>
    </row>
    <row r="7" spans="1:49" s="542" customFormat="1" hidden="1" x14ac:dyDescent="0.25">
      <c r="A7" s="1480"/>
      <c r="C7" s="47" t="s">
        <v>71</v>
      </c>
      <c r="D7" s="47" t="s">
        <v>45</v>
      </c>
      <c r="E7" s="47"/>
      <c r="F7" s="47"/>
      <c r="G7" s="48"/>
      <c r="H7" s="96" t="s">
        <v>107</v>
      </c>
      <c r="I7" s="49"/>
      <c r="J7" s="49"/>
      <c r="K7" s="17"/>
      <c r="L7" s="141"/>
      <c r="M7" s="1186"/>
      <c r="N7" s="1186"/>
      <c r="O7" s="1186"/>
      <c r="P7" s="1186"/>
      <c r="Q7" s="1186"/>
      <c r="R7" s="1333"/>
      <c r="S7" s="1333"/>
      <c r="T7" s="1333"/>
      <c r="U7" s="1333"/>
      <c r="V7" s="1333"/>
      <c r="W7" s="1333"/>
      <c r="X7" s="1333"/>
      <c r="Y7" s="1333"/>
      <c r="Z7" s="1333"/>
      <c r="AA7" s="1333"/>
      <c r="AB7" s="1333"/>
      <c r="AC7" s="1333"/>
      <c r="AD7" s="1333"/>
      <c r="AE7" s="1333"/>
      <c r="AF7" s="1333"/>
      <c r="AG7" s="1333"/>
      <c r="AH7" s="1333"/>
      <c r="AI7" s="1333"/>
      <c r="AJ7" s="1333"/>
      <c r="AK7" s="17"/>
      <c r="AL7" s="17"/>
      <c r="AM7" s="17"/>
      <c r="AN7" s="17"/>
      <c r="AO7" s="17"/>
      <c r="AP7" s="17"/>
      <c r="AQ7" s="17"/>
      <c r="AR7" s="17"/>
      <c r="AS7" s="17"/>
      <c r="AT7" s="17"/>
      <c r="AU7" s="17"/>
      <c r="AV7" s="17"/>
    </row>
    <row r="8" spans="1:49" s="542" customFormat="1" hidden="1" x14ac:dyDescent="0.25">
      <c r="A8" s="1480"/>
      <c r="C8" s="20" t="s">
        <v>100</v>
      </c>
      <c r="D8" s="20" t="s">
        <v>37</v>
      </c>
      <c r="E8" s="46" t="s">
        <v>47</v>
      </c>
      <c r="F8" s="543"/>
      <c r="G8" s="19"/>
      <c r="H8" s="97" t="s">
        <v>268</v>
      </c>
      <c r="I8" s="17"/>
      <c r="J8" s="17"/>
      <c r="K8" s="17"/>
      <c r="L8" s="141"/>
      <c r="M8" s="1186"/>
      <c r="N8" s="1186"/>
      <c r="O8" s="1186"/>
      <c r="P8" s="1186"/>
      <c r="Q8" s="1186"/>
      <c r="R8" s="1333"/>
      <c r="S8" s="1333"/>
      <c r="T8" s="1333"/>
      <c r="U8" s="1333"/>
      <c r="V8" s="1333"/>
      <c r="W8" s="1333"/>
      <c r="X8" s="1333"/>
      <c r="Y8" s="1333"/>
      <c r="Z8" s="1333"/>
      <c r="AA8" s="1333"/>
      <c r="AB8" s="1333"/>
      <c r="AC8" s="1333"/>
      <c r="AD8" s="1333"/>
      <c r="AE8" s="1333"/>
      <c r="AF8" s="1333"/>
      <c r="AG8" s="1333"/>
      <c r="AH8" s="1333"/>
      <c r="AI8" s="1333"/>
      <c r="AJ8" s="1333"/>
      <c r="AK8" s="17"/>
      <c r="AL8" s="17"/>
      <c r="AM8" s="17"/>
      <c r="AN8" s="17"/>
      <c r="AO8" s="17"/>
      <c r="AP8" s="17"/>
      <c r="AQ8" s="17"/>
      <c r="AR8" s="17"/>
      <c r="AS8" s="17"/>
      <c r="AT8" s="17"/>
      <c r="AU8" s="17"/>
      <c r="AV8" s="17"/>
    </row>
    <row r="9" spans="1:49" s="542" customFormat="1" hidden="1" x14ac:dyDescent="0.25">
      <c r="A9" s="1480"/>
      <c r="C9" s="20" t="s">
        <v>72</v>
      </c>
      <c r="D9" s="20" t="s">
        <v>38</v>
      </c>
      <c r="E9" s="46" t="s">
        <v>47</v>
      </c>
      <c r="F9" s="543"/>
      <c r="G9" s="19"/>
      <c r="H9" s="97" t="s">
        <v>53</v>
      </c>
      <c r="I9" s="17"/>
      <c r="J9" s="17"/>
      <c r="K9" s="17"/>
      <c r="L9" s="141"/>
      <c r="M9" s="1186"/>
      <c r="N9" s="1186"/>
      <c r="O9" s="1186"/>
      <c r="P9" s="1186"/>
      <c r="Q9" s="1186"/>
      <c r="R9" s="1333"/>
      <c r="S9" s="1333"/>
      <c r="T9" s="1333"/>
      <c r="U9" s="1333"/>
      <c r="V9" s="1333"/>
      <c r="W9" s="1333"/>
      <c r="X9" s="1333"/>
      <c r="Y9" s="1333"/>
      <c r="Z9" s="1333"/>
      <c r="AA9" s="1333"/>
      <c r="AB9" s="1333"/>
      <c r="AC9" s="1333"/>
      <c r="AD9" s="1333"/>
      <c r="AE9" s="1333"/>
      <c r="AF9" s="1333"/>
      <c r="AG9" s="1333"/>
      <c r="AH9" s="1333"/>
      <c r="AI9" s="1333"/>
      <c r="AJ9" s="1333"/>
      <c r="AK9" s="17"/>
      <c r="AL9" s="17"/>
      <c r="AM9" s="17"/>
      <c r="AN9" s="17"/>
      <c r="AO9" s="17"/>
      <c r="AP9" s="17"/>
      <c r="AQ9" s="17"/>
      <c r="AR9" s="17"/>
      <c r="AS9" s="17"/>
      <c r="AT9" s="17"/>
      <c r="AU9" s="17"/>
      <c r="AV9" s="17"/>
    </row>
    <row r="10" spans="1:49" s="542" customFormat="1" hidden="1" x14ac:dyDescent="0.25">
      <c r="A10" s="1480"/>
      <c r="C10" s="20"/>
      <c r="D10" s="20" t="s">
        <v>21</v>
      </c>
      <c r="E10" s="46" t="s">
        <v>47</v>
      </c>
      <c r="F10" s="543"/>
      <c r="G10" s="19"/>
      <c r="H10" s="98" t="s">
        <v>109</v>
      </c>
      <c r="I10" s="17"/>
      <c r="J10" s="17"/>
      <c r="K10" s="17"/>
      <c r="L10" s="141"/>
      <c r="M10" s="1186"/>
      <c r="N10" s="1186"/>
      <c r="O10" s="1186"/>
      <c r="P10" s="1186"/>
      <c r="Q10" s="1186"/>
      <c r="R10" s="1333"/>
      <c r="S10" s="1333"/>
      <c r="T10" s="1333"/>
      <c r="U10" s="1333"/>
      <c r="V10" s="1333"/>
      <c r="W10" s="1333"/>
      <c r="X10" s="1333"/>
      <c r="Y10" s="1333"/>
      <c r="Z10" s="1333"/>
      <c r="AA10" s="1333"/>
      <c r="AB10" s="1333"/>
      <c r="AC10" s="1333"/>
      <c r="AD10" s="1333"/>
      <c r="AE10" s="1333"/>
      <c r="AF10" s="1333"/>
      <c r="AG10" s="1333"/>
      <c r="AH10" s="1333"/>
      <c r="AI10" s="1333"/>
      <c r="AJ10" s="1333"/>
      <c r="AK10" s="17"/>
      <c r="AL10" s="17"/>
      <c r="AM10" s="17"/>
      <c r="AN10" s="17"/>
      <c r="AO10" s="17"/>
      <c r="AP10" s="17"/>
      <c r="AQ10" s="17"/>
      <c r="AR10" s="17"/>
      <c r="AS10" s="17"/>
      <c r="AT10" s="17"/>
      <c r="AU10" s="17"/>
      <c r="AV10" s="17"/>
    </row>
    <row r="11" spans="1:49" s="542" customFormat="1" hidden="1" x14ac:dyDescent="0.25">
      <c r="A11" s="1480"/>
      <c r="C11" s="20"/>
      <c r="D11" s="20"/>
      <c r="E11" s="543"/>
      <c r="F11" s="543"/>
      <c r="G11" s="19"/>
      <c r="H11" s="17"/>
      <c r="I11" s="17"/>
      <c r="J11" s="17"/>
      <c r="K11" s="17"/>
      <c r="L11" s="141"/>
      <c r="M11" s="1186"/>
      <c r="N11" s="1186"/>
      <c r="O11" s="1186"/>
      <c r="P11" s="1186"/>
      <c r="Q11" s="1186"/>
      <c r="R11" s="1333"/>
      <c r="S11" s="1333"/>
      <c r="T11" s="1333"/>
      <c r="U11" s="1333"/>
      <c r="V11" s="1333"/>
      <c r="W11" s="1333"/>
      <c r="X11" s="1333"/>
      <c r="Y11" s="1333"/>
      <c r="Z11" s="1333"/>
      <c r="AA11" s="1333"/>
      <c r="AB11" s="1333"/>
      <c r="AC11" s="1333"/>
      <c r="AD11" s="1333"/>
      <c r="AE11" s="1333"/>
      <c r="AF11" s="1333"/>
      <c r="AG11" s="1333"/>
      <c r="AH11" s="1333"/>
      <c r="AI11" s="1333"/>
      <c r="AJ11" s="1333"/>
      <c r="AK11" s="17"/>
      <c r="AL11" s="17"/>
      <c r="AM11" s="17"/>
      <c r="AN11" s="17"/>
      <c r="AO11" s="17"/>
      <c r="AP11" s="17"/>
      <c r="AQ11" s="17"/>
      <c r="AR11" s="17"/>
      <c r="AS11" s="17"/>
      <c r="AT11" s="17"/>
      <c r="AU11" s="17"/>
      <c r="AV11" s="17"/>
    </row>
    <row r="12" spans="1:49" s="542" customFormat="1" hidden="1" x14ac:dyDescent="0.25">
      <c r="A12" s="1480"/>
      <c r="D12" s="543"/>
      <c r="E12" s="543"/>
      <c r="F12" s="543"/>
      <c r="G12" s="19"/>
      <c r="H12" s="17"/>
      <c r="I12" s="17"/>
      <c r="J12" s="17"/>
      <c r="K12" s="17"/>
      <c r="L12" s="141"/>
      <c r="M12" s="1186"/>
      <c r="N12" s="1186"/>
      <c r="O12" s="1186"/>
      <c r="P12" s="1186"/>
      <c r="Q12" s="1186"/>
      <c r="R12" s="1333"/>
      <c r="S12" s="1333"/>
      <c r="T12" s="1333"/>
      <c r="U12" s="1333"/>
      <c r="V12" s="1333"/>
      <c r="W12" s="1333"/>
      <c r="X12" s="1333"/>
      <c r="Y12" s="1333"/>
      <c r="Z12" s="1333"/>
      <c r="AA12" s="1333"/>
      <c r="AB12" s="1333"/>
      <c r="AC12" s="1333"/>
      <c r="AD12" s="1333"/>
      <c r="AE12" s="1333"/>
      <c r="AF12" s="1333"/>
      <c r="AG12" s="1333"/>
      <c r="AH12" s="1333"/>
      <c r="AI12" s="1333"/>
      <c r="AJ12" s="1333"/>
      <c r="AK12" s="17"/>
      <c r="AL12" s="17"/>
      <c r="AM12" s="17"/>
      <c r="AN12" s="17"/>
      <c r="AO12" s="17"/>
      <c r="AP12" s="17"/>
      <c r="AQ12" s="17"/>
      <c r="AR12" s="17"/>
      <c r="AS12" s="17"/>
      <c r="AT12" s="17"/>
      <c r="AU12" s="17"/>
      <c r="AV12" s="17"/>
    </row>
    <row r="13" spans="1:49" s="542" customFormat="1" ht="6" customHeight="1" x14ac:dyDescent="0.25">
      <c r="A13" s="1481"/>
      <c r="D13" s="543"/>
      <c r="E13" s="543"/>
      <c r="F13" s="543"/>
      <c r="G13" s="19"/>
      <c r="H13" s="17"/>
      <c r="I13" s="17"/>
      <c r="J13" s="17"/>
      <c r="K13" s="17"/>
      <c r="L13" s="1484"/>
      <c r="M13" s="1186"/>
      <c r="N13" s="1186"/>
      <c r="O13" s="1186"/>
      <c r="P13" s="1186"/>
      <c r="Q13" s="1186"/>
      <c r="R13" s="1333"/>
      <c r="S13" s="1333"/>
      <c r="T13" s="1333"/>
      <c r="U13" s="1333"/>
      <c r="V13" s="1333"/>
      <c r="W13" s="1333"/>
      <c r="X13" s="1333"/>
      <c r="Y13" s="1333"/>
      <c r="Z13" s="1333"/>
      <c r="AA13" s="1333"/>
      <c r="AB13" s="1333"/>
      <c r="AC13" s="1333"/>
      <c r="AD13" s="1333"/>
      <c r="AE13" s="1333"/>
      <c r="AF13" s="1333"/>
      <c r="AG13" s="1333"/>
      <c r="AH13" s="1333"/>
      <c r="AI13" s="1333"/>
      <c r="AJ13" s="1333"/>
      <c r="AK13" s="17"/>
      <c r="AL13" s="17"/>
      <c r="AM13" s="17"/>
      <c r="AN13" s="17"/>
      <c r="AO13" s="17"/>
      <c r="AP13" s="17"/>
      <c r="AQ13" s="17"/>
      <c r="AR13" s="17"/>
      <c r="AS13" s="17"/>
      <c r="AT13" s="17"/>
      <c r="AU13" s="17"/>
      <c r="AV13" s="17"/>
    </row>
    <row r="14" spans="1:49" ht="6" customHeight="1" x14ac:dyDescent="0.25">
      <c r="A14" s="1331"/>
      <c r="B14" s="119"/>
      <c r="C14" s="120"/>
      <c r="D14" s="121"/>
      <c r="E14" s="121"/>
      <c r="F14" s="121"/>
      <c r="G14" s="122"/>
      <c r="H14" s="123"/>
      <c r="I14" s="124"/>
      <c r="K14" s="62"/>
      <c r="L14" s="1333"/>
      <c r="M14" s="1333"/>
      <c r="N14" s="1333"/>
      <c r="O14" s="1333"/>
      <c r="P14" s="1333"/>
      <c r="Q14" s="1333"/>
      <c r="R14" s="1333"/>
      <c r="S14" s="1333"/>
      <c r="T14" s="1333"/>
      <c r="U14" s="1333"/>
      <c r="V14" s="1333"/>
      <c r="W14" s="1333"/>
      <c r="X14" s="1333"/>
      <c r="Y14" s="1333"/>
      <c r="Z14" s="1333"/>
      <c r="AA14" s="1333"/>
      <c r="AB14" s="1333"/>
      <c r="AC14" s="1333"/>
      <c r="AD14" s="1333"/>
      <c r="AE14" s="1333"/>
      <c r="AF14" s="1333"/>
      <c r="AG14" s="1333"/>
      <c r="AH14" s="1333"/>
      <c r="AI14" s="1333"/>
    </row>
    <row r="15" spans="1:49" ht="18.75" customHeight="1" x14ac:dyDescent="0.3">
      <c r="A15" s="2291" t="str">
        <f>IF(SD_apply="Yes","SD list of applicability","-")</f>
        <v>SD list of applicability</v>
      </c>
      <c r="B15" s="125"/>
      <c r="C15" s="2292" t="str">
        <f>CONCATENATE(Project_No," - ",Project_Name)</f>
        <v>U12345 - Davenport Hall Addition &amp; Remodel - Example</v>
      </c>
      <c r="D15" s="2292"/>
      <c r="E15" s="2292"/>
      <c r="F15" s="2292"/>
      <c r="G15" s="2292"/>
      <c r="H15" s="2292"/>
      <c r="I15" s="126"/>
      <c r="K15" s="224"/>
      <c r="L15" s="1378" t="str">
        <f ca="1">CONCATENATE(IF(ISNUMBER(SEARCH("INSERT",C15))=TRUE,"&lt;----Fill in information in tab [","&lt;----ECHOED from Tab ["),MID(CELL("filename",'A-Info, Phases, Recip.'!D4),FIND("]",CELL("filename",'A-Info, Phases, Recip.'!D4))+1,255),"]")</f>
        <v>&lt;----ECHOED from Tab [A-Info, Phases, Recip.]</v>
      </c>
      <c r="M15" s="1333"/>
      <c r="N15" s="1333"/>
      <c r="O15" s="1333"/>
      <c r="P15" s="1333"/>
      <c r="Q15" s="1333"/>
      <c r="R15" s="1333"/>
      <c r="S15" s="1333"/>
      <c r="T15" s="1333"/>
      <c r="U15" s="1333"/>
      <c r="V15" s="1333"/>
      <c r="W15" s="1333"/>
      <c r="X15" s="1333"/>
      <c r="Y15" s="1333"/>
      <c r="Z15" s="1333"/>
      <c r="AA15" s="1333"/>
      <c r="AB15" s="1333"/>
      <c r="AC15" s="1333"/>
      <c r="AD15" s="1333"/>
      <c r="AE15" s="1333"/>
      <c r="AF15" s="1333"/>
      <c r="AG15" s="1333"/>
      <c r="AH15" s="1333"/>
      <c r="AI15" s="1333"/>
    </row>
    <row r="16" spans="1:49" ht="18.75" x14ac:dyDescent="0.3">
      <c r="A16" s="2291"/>
      <c r="B16" s="125"/>
      <c r="C16" s="2054" t="str">
        <f>IF(OR(Design="Design does not apply",Construction="Construction does not apply",Feasibility_Concept="Conceptualization Only",Feasibility_Concept="Feasibility Study",),"NO DESIGN - DESIGN DEVELOPMENT DOES NOT APPLY",IF(DD_apply="NO","DESIGN DEVELOPMENT DOES NOT APPLY",CONCATENATE(VLOOKUP(DD_placeholder,'A-Info, Phases, Recip.'!$E$126:$F$141,2,FALSE)," - PSC Minimum List of Deliverables")))</f>
        <v>Design Development - PSC Minimum List of Deliverables</v>
      </c>
      <c r="D16" s="2054"/>
      <c r="E16" s="2054"/>
      <c r="F16" s="2054"/>
      <c r="G16" s="2054"/>
      <c r="H16" s="2054"/>
      <c r="I16" s="126"/>
      <c r="K16" s="224"/>
      <c r="L16" s="1442" t="str">
        <f ca="1">CONCATENATE("&lt;----Phase Applicability chosen in Tab [",MID(CELL("filename",'A-Info, Phases, Recip.'!D4),FIND("]",CELL("filename",'A-Info, Phases, Recip.'!D4))+1,255),"]")</f>
        <v>&lt;----Phase Applicability chosen in Tab [A-Info, Phases, Recip.]</v>
      </c>
      <c r="M16" s="1333"/>
      <c r="N16" s="1333"/>
      <c r="O16" s="1333"/>
      <c r="P16" s="1333"/>
      <c r="Q16" s="1333"/>
      <c r="R16" s="1333"/>
      <c r="S16" s="1333"/>
      <c r="T16" s="1333"/>
      <c r="U16" s="1333"/>
      <c r="V16" s="1333"/>
      <c r="W16" s="1333"/>
      <c r="X16" s="1333"/>
      <c r="Y16" s="1333"/>
      <c r="Z16" s="1333"/>
      <c r="AA16" s="1333"/>
      <c r="AB16" s="1333"/>
      <c r="AC16" s="1333"/>
      <c r="AD16" s="1333"/>
      <c r="AE16" s="1333"/>
      <c r="AF16" s="1333"/>
      <c r="AG16" s="1333"/>
      <c r="AH16" s="1333"/>
      <c r="AI16" s="1333"/>
    </row>
    <row r="17" spans="1:49" s="542" customFormat="1" ht="6.75" customHeight="1" x14ac:dyDescent="0.3">
      <c r="A17" s="2291"/>
      <c r="B17" s="125"/>
      <c r="C17" s="1047"/>
      <c r="D17" s="1047"/>
      <c r="E17" s="1047"/>
      <c r="F17" s="1047"/>
      <c r="G17" s="1047"/>
      <c r="H17" s="1047"/>
      <c r="I17" s="126"/>
      <c r="J17" s="17"/>
      <c r="K17" s="224"/>
      <c r="L17" s="1442"/>
      <c r="M17" s="1333"/>
      <c r="N17" s="1333"/>
      <c r="O17" s="1333"/>
      <c r="P17" s="1333"/>
      <c r="Q17" s="1333"/>
      <c r="R17" s="1333"/>
      <c r="S17" s="1333"/>
      <c r="T17" s="1333"/>
      <c r="U17" s="1333"/>
      <c r="V17" s="1333"/>
      <c r="W17" s="1333"/>
      <c r="X17" s="1333"/>
      <c r="Y17" s="1333"/>
      <c r="Z17" s="1333"/>
      <c r="AA17" s="1333"/>
      <c r="AB17" s="1333"/>
      <c r="AC17" s="1333"/>
      <c r="AD17" s="1333"/>
      <c r="AE17" s="1333"/>
      <c r="AF17" s="1333"/>
      <c r="AG17" s="1333"/>
      <c r="AH17" s="1333"/>
      <c r="AI17" s="1333"/>
      <c r="AJ17" s="17"/>
      <c r="AK17" s="17"/>
      <c r="AL17" s="17"/>
      <c r="AM17" s="17"/>
      <c r="AN17" s="17"/>
      <c r="AO17" s="17"/>
      <c r="AP17" s="17"/>
      <c r="AQ17" s="17"/>
      <c r="AR17" s="17"/>
      <c r="AS17" s="17"/>
      <c r="AT17" s="17"/>
      <c r="AU17" s="17"/>
      <c r="AV17" s="17"/>
      <c r="AW17" s="17"/>
    </row>
    <row r="18" spans="1:49" ht="11.1" customHeight="1" x14ac:dyDescent="0.25">
      <c r="A18" s="2291"/>
      <c r="B18" s="125"/>
      <c r="C18" s="2287" t="str">
        <f>CONCATENATE("Const. Delivery = ",Const_Delivery_Method," ; Const. Type = ",Const_Type,"; LEED Goal = ",IF(LEED_Goal="none","N/A",LEED_Goal),"; Bldg, lot, or Utility: ",Bldg_No_or_Utility)</f>
        <v>Const. Delivery = BID ; Const. Type = Remodeling/Addition; LEED Goal = Silver - Certified; Bldg, lot, or Utility: 0001</v>
      </c>
      <c r="D18" s="2288"/>
      <c r="E18" s="2288"/>
      <c r="F18" s="2288"/>
      <c r="G18" s="2288"/>
      <c r="H18" s="2288"/>
      <c r="I18" s="127"/>
      <c r="K18" s="225"/>
      <c r="L18" s="1378" t="str">
        <f ca="1">CONCATENATE(IF(OR(ISNUMBER(SEARCH("Select",C18))=TRUE,ISNUMBER(SEARCH("Choose",D18))=TRUE,ISNUMBER(SEARCH("####",C18))=TRUE),"&lt;----Fill in information in tab [","&lt;----ECHOED from Tab ["),MID(CELL("filename",'A-Info, Phases, Recip.'!D6),FIND("]",CELL("filename",'A-Info, Phases, Recip.'!D6))+1,255),"]")</f>
        <v>&lt;----ECHOED from Tab [A-Info, Phases, Recip.]</v>
      </c>
      <c r="M18" s="1333"/>
      <c r="N18" s="1333"/>
      <c r="O18" s="1333"/>
      <c r="P18" s="1333"/>
      <c r="Q18" s="1333"/>
      <c r="R18" s="1333"/>
      <c r="S18" s="1333"/>
      <c r="T18" s="1333"/>
      <c r="U18" s="1333"/>
      <c r="V18" s="1333"/>
      <c r="W18" s="1333"/>
      <c r="X18" s="1333"/>
      <c r="Y18" s="1333"/>
      <c r="Z18" s="1333"/>
      <c r="AA18" s="1333"/>
      <c r="AB18" s="1333"/>
      <c r="AC18" s="1333"/>
      <c r="AD18" s="1333"/>
      <c r="AE18" s="1333"/>
      <c r="AF18" s="1333"/>
      <c r="AG18" s="1333"/>
      <c r="AH18" s="1333"/>
      <c r="AI18" s="1333"/>
    </row>
    <row r="19" spans="1:49" ht="11.1" customHeight="1" x14ac:dyDescent="0.25">
      <c r="A19" s="2291"/>
      <c r="B19" s="125"/>
      <c r="C19" s="2057" t="str">
        <f>CONCATENATE("Master Template last updated on: ",TEXT(Form_Update,"MM/DD/YYYY"),".  Struck out text is not required.")</f>
        <v>Master Template last updated on: 08/31/2020.  Struck out text is not required.</v>
      </c>
      <c r="D19" s="2057"/>
      <c r="E19" s="2057"/>
      <c r="F19" s="2057"/>
      <c r="G19" s="2057"/>
      <c r="H19" s="2057"/>
      <c r="I19" s="128"/>
      <c r="K19" s="226"/>
      <c r="L19" s="1333"/>
      <c r="M19" s="1333"/>
      <c r="N19" s="1333"/>
      <c r="O19" s="1333"/>
      <c r="P19" s="1333"/>
      <c r="Q19" s="1333"/>
      <c r="R19" s="1333"/>
      <c r="S19" s="1333"/>
      <c r="T19" s="1333"/>
      <c r="U19" s="1333"/>
      <c r="V19" s="1333"/>
      <c r="W19" s="1333"/>
      <c r="X19" s="1333"/>
      <c r="Y19" s="1333"/>
      <c r="Z19" s="1333"/>
      <c r="AA19" s="1333"/>
      <c r="AB19" s="1333"/>
      <c r="AC19" s="1333"/>
      <c r="AD19" s="1333"/>
      <c r="AE19" s="1333"/>
      <c r="AF19" s="1333"/>
      <c r="AG19" s="1333"/>
      <c r="AH19" s="1333"/>
      <c r="AI19" s="1333"/>
      <c r="AW19"/>
    </row>
    <row r="20" spans="1:49" ht="9" customHeight="1" x14ac:dyDescent="0.25">
      <c r="A20" s="2291"/>
      <c r="B20" s="125"/>
      <c r="C20" s="18"/>
      <c r="D20" s="21"/>
      <c r="E20" s="21"/>
      <c r="F20" s="21"/>
      <c r="G20" s="129"/>
      <c r="H20" s="62"/>
      <c r="I20" s="130"/>
      <c r="K20" s="139"/>
      <c r="L20" s="1333"/>
      <c r="M20" s="1333"/>
      <c r="N20" s="1333"/>
      <c r="O20" s="1333"/>
      <c r="P20" s="1333"/>
      <c r="Q20" s="1333"/>
      <c r="R20" s="1333"/>
      <c r="S20" s="1333"/>
      <c r="T20" s="1333"/>
      <c r="U20" s="1333"/>
      <c r="V20" s="1333"/>
      <c r="W20" s="1333"/>
      <c r="X20" s="1333"/>
      <c r="Y20" s="1333"/>
      <c r="Z20" s="1333"/>
      <c r="AA20" s="1333"/>
      <c r="AB20" s="1333"/>
      <c r="AC20" s="1333"/>
      <c r="AD20" s="1333"/>
      <c r="AE20" s="1333"/>
      <c r="AF20" s="1333"/>
      <c r="AG20" s="1333"/>
      <c r="AH20" s="1333"/>
      <c r="AI20" s="1333"/>
    </row>
    <row r="21" spans="1:49" ht="12.75" customHeight="1" x14ac:dyDescent="0.25">
      <c r="A21" s="2291"/>
      <c r="B21" s="125"/>
      <c r="C21" s="2276">
        <f>IF(Date_edited_TAB_C="","",Date_edited_TAB_C)</f>
        <v>44069</v>
      </c>
      <c r="D21" s="2276"/>
      <c r="E21" s="112"/>
      <c r="F21" s="2277" t="str">
        <f>IF(Edit_by_Entity_TAB_C="","",Edit_by_Entity_TAB_C)</f>
        <v>PM</v>
      </c>
      <c r="G21" s="2277"/>
      <c r="H21" s="275" t="str">
        <f>IF(Editor_Name_TAB_C="","",Editor_Name_TAB_C)</f>
        <v>Smith</v>
      </c>
      <c r="I21" s="128"/>
      <c r="K21" s="226"/>
      <c r="L21" s="1443" t="str">
        <f ca="1">CONCATENATE("&lt;----Enter/Update ''EDIT DATE'' / ''ENTITY'' / ''EDITOR NAME'' in TAB [",MID(CELL("filename",Date_edited_TAB_C),FIND("]",CELL("filename",Date_edited_TAB_C))+1,255),"]")</f>
        <v>&lt;----Enter/Update ''EDIT DATE'' / ''ENTITY'' / ''EDITOR NAME'' in TAB [C-Design&amp;Const]</v>
      </c>
      <c r="M21" s="1333"/>
      <c r="N21" s="1333"/>
      <c r="O21" s="1333"/>
      <c r="P21" s="1333"/>
      <c r="Q21" s="1333"/>
      <c r="R21" s="1333"/>
      <c r="S21" s="1333"/>
      <c r="T21" s="1333"/>
      <c r="U21" s="1333"/>
      <c r="V21" s="1333"/>
      <c r="W21" s="1333"/>
      <c r="X21" s="1333"/>
      <c r="Y21" s="1333"/>
      <c r="Z21" s="1333"/>
      <c r="AA21" s="1333"/>
      <c r="AB21" s="1333"/>
      <c r="AC21" s="1333"/>
      <c r="AD21" s="1333"/>
      <c r="AE21" s="1333"/>
      <c r="AF21" s="1333"/>
      <c r="AG21" s="1333"/>
      <c r="AH21" s="1333"/>
      <c r="AI21" s="1333"/>
    </row>
    <row r="22" spans="1:49" ht="15" customHeight="1" x14ac:dyDescent="0.25">
      <c r="A22" s="2291"/>
      <c r="B22" s="125"/>
      <c r="C22" s="2060" t="s">
        <v>106</v>
      </c>
      <c r="D22" s="2060"/>
      <c r="E22" s="21"/>
      <c r="F22" s="2060" t="s">
        <v>267</v>
      </c>
      <c r="G22" s="2060"/>
      <c r="H22" s="114" t="s">
        <v>110</v>
      </c>
      <c r="I22" s="128"/>
      <c r="K22" s="226"/>
      <c r="L22" s="1333"/>
      <c r="M22" s="1333"/>
      <c r="N22" s="1333"/>
      <c r="O22" s="1333"/>
      <c r="P22" s="1333"/>
      <c r="Q22" s="1333"/>
      <c r="R22" s="1333"/>
      <c r="S22" s="1333"/>
      <c r="T22" s="1333"/>
      <c r="U22" s="1333"/>
      <c r="V22" s="1333"/>
      <c r="W22" s="1333"/>
      <c r="X22" s="1333"/>
      <c r="Y22" s="1333"/>
      <c r="Z22" s="1333"/>
      <c r="AA22" s="1333"/>
      <c r="AB22" s="1333"/>
      <c r="AC22" s="1333"/>
      <c r="AD22" s="1333"/>
      <c r="AE22" s="1333"/>
      <c r="AF22" s="1333"/>
      <c r="AG22" s="1333"/>
      <c r="AH22" s="1333"/>
      <c r="AI22" s="1333"/>
    </row>
    <row r="23" spans="1:49" ht="27" customHeight="1" thickBot="1" x14ac:dyDescent="0.3">
      <c r="A23" s="2291"/>
      <c r="B23" s="125"/>
      <c r="C23" s="216" t="s">
        <v>100</v>
      </c>
      <c r="D23" s="2293" t="s">
        <v>36</v>
      </c>
      <c r="E23" s="2293"/>
      <c r="F23" s="2293"/>
      <c r="G23" s="2294" t="s">
        <v>783</v>
      </c>
      <c r="H23" s="2295"/>
      <c r="I23" s="131"/>
      <c r="J23" s="418" t="s">
        <v>389</v>
      </c>
      <c r="K23" s="227"/>
      <c r="L23" s="1379" t="s">
        <v>48</v>
      </c>
      <c r="M23" s="1379"/>
      <c r="N23" s="1379"/>
      <c r="O23" s="1379"/>
      <c r="P23" s="1379"/>
      <c r="Q23" s="1333"/>
      <c r="R23" s="1333"/>
      <c r="S23" s="1333"/>
      <c r="T23" s="1333"/>
      <c r="U23" s="1333"/>
      <c r="V23" s="1333"/>
      <c r="W23" s="1333"/>
      <c r="X23" s="1333"/>
      <c r="Y23" s="1333"/>
      <c r="Z23" s="1333"/>
      <c r="AA23" s="1333"/>
      <c r="AB23" s="1333"/>
      <c r="AC23" s="1333"/>
      <c r="AD23" s="1333"/>
      <c r="AE23" s="1333"/>
      <c r="AF23" s="1333"/>
      <c r="AG23" s="1333"/>
      <c r="AH23" s="1333"/>
      <c r="AI23" s="1333"/>
    </row>
    <row r="24" spans="1:49" s="1" customFormat="1" ht="6.75" customHeight="1" thickTop="1" x14ac:dyDescent="0.25">
      <c r="A24" s="1331"/>
      <c r="B24" s="67"/>
      <c r="C24" s="25"/>
      <c r="D24" s="26"/>
      <c r="E24" s="26"/>
      <c r="F24" s="26"/>
      <c r="G24" s="27"/>
      <c r="H24" s="27"/>
      <c r="I24" s="132"/>
      <c r="J24" s="13"/>
      <c r="K24" s="27"/>
      <c r="L24" s="1333"/>
      <c r="M24" s="1333"/>
      <c r="N24" s="1333"/>
      <c r="O24" s="1333"/>
      <c r="P24" s="1333"/>
      <c r="Q24" s="1333"/>
      <c r="R24" s="1333"/>
      <c r="S24" s="1333"/>
      <c r="T24" s="1333"/>
      <c r="U24" s="1333"/>
      <c r="V24" s="1333"/>
      <c r="W24" s="1333"/>
      <c r="X24" s="1333"/>
      <c r="Y24" s="1333"/>
      <c r="Z24" s="1333"/>
      <c r="AA24" s="1333"/>
      <c r="AB24" s="1333"/>
      <c r="AC24" s="1333"/>
      <c r="AD24" s="1333"/>
      <c r="AE24" s="1333"/>
      <c r="AF24" s="1333"/>
      <c r="AG24" s="1333"/>
      <c r="AH24" s="1333"/>
      <c r="AI24" s="1333"/>
      <c r="AJ24" s="13"/>
      <c r="AK24" s="13"/>
      <c r="AL24" s="13"/>
      <c r="AM24" s="13"/>
      <c r="AN24" s="13"/>
      <c r="AO24" s="13"/>
      <c r="AP24" s="13"/>
      <c r="AQ24" s="13"/>
      <c r="AR24" s="13"/>
      <c r="AS24" s="13"/>
      <c r="AT24" s="13"/>
      <c r="AU24" s="13"/>
      <c r="AV24" s="13"/>
      <c r="AW24" s="13"/>
    </row>
    <row r="25" spans="1:49" ht="18.75" x14ac:dyDescent="0.25">
      <c r="A25" s="1501" t="str">
        <f>IF(SD_apply="Yes",IF(COUNTIF('01 - SD'!D25:G25,"Y")&gt;0,"Y",IF(COUNTIF('01 - SD'!D25:G25,"N"),"N","")),"")</f>
        <v>Y</v>
      </c>
      <c r="B25" s="125"/>
      <c r="C25" s="945"/>
      <c r="D25" s="29" t="str">
        <f>IF('C-Design&amp;Const'!$K25="","",'C-Design&amp;Const'!$K25)</f>
        <v>Y</v>
      </c>
      <c r="E25" s="492"/>
      <c r="F25" s="493"/>
      <c r="G25" s="173" t="str">
        <f>IF('C-Design&amp;Const'!Y25="","",'C-Design&amp;Const'!Y25)</f>
        <v>00. *</v>
      </c>
      <c r="H25" s="115" t="str">
        <f>(CONCATENATE('C-Design&amp;Const'!Z25,IF(D25="N"," Not Used In This Design Phase",J25)))</f>
        <v>Minimum List of Deliverables - Current</v>
      </c>
      <c r="I25" s="133"/>
      <c r="J25" s="578" t="str">
        <f>IF('C-Design&amp;Const'!AF25="","",'C-Design&amp;Const'!AF25)</f>
        <v xml:space="preserve"> - Current</v>
      </c>
      <c r="K25" s="25" t="str">
        <f>IF(DD_apply="Yes",IF((COUNTIF(D25:G25,"Y")=COUNTIF('01 - SD'!D25:G25,"Y")),"match","no SD match"),"-")</f>
        <v>match</v>
      </c>
      <c r="L25" s="1410" t="str">
        <f>CONCATENATE(IF(ISNUMBER(SEARCH("Placeholder",H25))=TRUE,"&lt;---PM/Planner may hide PLACEHOLDER ROW",""))</f>
        <v/>
      </c>
      <c r="M25" s="1333"/>
      <c r="N25" s="1333"/>
      <c r="O25" s="1333"/>
      <c r="P25" s="1333"/>
      <c r="Q25" s="1333"/>
      <c r="R25" s="1444"/>
      <c r="S25" s="1445"/>
      <c r="T25" s="1284"/>
      <c r="U25" s="1333"/>
      <c r="V25" s="1333"/>
      <c r="W25" s="1333"/>
      <c r="X25" s="1333"/>
      <c r="Y25" s="1333"/>
      <c r="Z25" s="1333"/>
      <c r="AA25" s="1333"/>
      <c r="AB25" s="1333"/>
      <c r="AC25" s="1333"/>
      <c r="AD25" s="1333"/>
      <c r="AE25" s="1333"/>
      <c r="AF25" s="1333"/>
      <c r="AG25" s="1333"/>
      <c r="AH25" s="1333"/>
      <c r="AI25" s="1333"/>
    </row>
    <row r="26" spans="1:49" ht="15.75" customHeight="1" x14ac:dyDescent="0.25">
      <c r="A26" s="1501" t="str">
        <f>IF(SD_apply="Yes",IF(COUNTIF('01 - SD'!D26:G26,"Y")&gt;0,"Y",IF(COUNTIF('01 - SD'!D26:G26,"N"),"N","")),"")</f>
        <v/>
      </c>
      <c r="B26" s="125"/>
      <c r="C26" s="945"/>
      <c r="D26" s="32"/>
      <c r="E26" s="289"/>
      <c r="F26" s="297"/>
      <c r="G26" s="447"/>
      <c r="H26" s="448"/>
      <c r="I26" s="130"/>
      <c r="J26" s="578" t="str">
        <f>IF('C-Design&amp;Const'!AF26="","",'C-Design&amp;Const'!AF26)</f>
        <v/>
      </c>
      <c r="K26" s="25" t="str">
        <f>IF(DD_apply="Yes",IF((COUNTIF(D26:G26,"Y")=COUNTIF('01 - SD'!D26:G26,"Y")),"match","no SD match"),"-")</f>
        <v>match</v>
      </c>
      <c r="L26" s="1410" t="str">
        <f t="shared" ref="L26:L100" si="0">CONCATENATE(IF(ISNUMBER(SEARCH("Placeholder",H26))=TRUE,"&lt;---PM/Planner may hide PLACEHOLDER ROW",""))</f>
        <v/>
      </c>
      <c r="M26" s="1333"/>
      <c r="N26" s="1333"/>
      <c r="O26" s="1333"/>
      <c r="P26" s="1333"/>
      <c r="Q26" s="1333"/>
      <c r="R26" s="1446"/>
      <c r="S26" s="1284"/>
      <c r="T26" s="1284"/>
      <c r="U26" s="1333"/>
      <c r="V26" s="1333"/>
      <c r="W26" s="1333"/>
      <c r="X26" s="1333"/>
      <c r="Y26" s="1333"/>
      <c r="Z26" s="1333"/>
      <c r="AA26" s="1333"/>
      <c r="AB26" s="1333"/>
      <c r="AC26" s="1333"/>
      <c r="AD26" s="1333"/>
      <c r="AE26" s="1333"/>
      <c r="AF26" s="1333"/>
      <c r="AG26" s="1333"/>
      <c r="AH26" s="1333"/>
      <c r="AI26" s="1333"/>
    </row>
    <row r="27" spans="1:49" ht="38.25" customHeight="1" x14ac:dyDescent="0.25">
      <c r="A27" s="1964" t="str">
        <f>IF(SD_apply="Yes",IF(COUNTIF('01 - SD'!D27:G27,"Y")&gt;0,"Y",IF(COUNTIF('01 - SD'!D27:G27,"N"),"N","")),"")</f>
        <v>Y</v>
      </c>
      <c r="B27" s="67"/>
      <c r="C27" s="945"/>
      <c r="D27" s="29" t="str">
        <f>IF('C-Design&amp;Const'!$K27="","",'C-Design&amp;Const'!$K27)</f>
        <v>Y</v>
      </c>
      <c r="E27" s="234"/>
      <c r="F27" s="444"/>
      <c r="G27" s="291" t="str">
        <f>IF('C-Design&amp;Const'!Y27="","",'C-Design&amp;Const'!Y27)</f>
        <v>01.</v>
      </c>
      <c r="H27" s="290" t="str">
        <f>(CONCATENATE('C-Design&amp;Const'!Z27,IF(D27="N"," Not Used In This Design Phase",J27)))</f>
        <v>Construction Cost Estimate - Quantity Takeoff in CSI Format (Subst. Complete w/ Bid Alts.)</v>
      </c>
      <c r="I27" s="133"/>
      <c r="J27" s="578" t="str">
        <f>IF('C-Design&amp;Const'!AF27="","",'C-Design&amp;Const'!AF27)</f>
        <v xml:space="preserve"> - Quantity Takeoff in CSI Format (Subst. Complete w/ Bid Alts.)</v>
      </c>
      <c r="K27" s="25" t="str">
        <f>IF(DD_apply="Yes",IF((COUNTIF(D27:G27,"Y")=COUNTIF('01 - SD'!D27:G27,"Y")),"match","no SD match"),"-")</f>
        <v>match</v>
      </c>
      <c r="L27" s="1410" t="str">
        <f t="shared" si="0"/>
        <v/>
      </c>
      <c r="M27" s="1333"/>
      <c r="N27" s="1333"/>
      <c r="O27" s="1333"/>
      <c r="P27" s="1333"/>
      <c r="Q27" s="1333"/>
      <c r="R27" s="1444"/>
      <c r="S27" s="1445"/>
      <c r="T27" s="1284"/>
      <c r="U27" s="1333"/>
      <c r="V27" s="1333"/>
      <c r="W27" s="1333"/>
      <c r="X27" s="1333"/>
      <c r="Y27" s="1333"/>
      <c r="Z27" s="1333"/>
      <c r="AA27" s="1333"/>
      <c r="AB27" s="1333"/>
      <c r="AC27" s="1333"/>
      <c r="AD27" s="1333"/>
      <c r="AE27" s="1333"/>
      <c r="AF27" s="1333"/>
      <c r="AG27" s="1333"/>
      <c r="AH27" s="1333"/>
      <c r="AI27" s="1333"/>
    </row>
    <row r="28" spans="1:49" s="542" customFormat="1" ht="15" customHeight="1" x14ac:dyDescent="0.25">
      <c r="A28" s="1964"/>
      <c r="B28" s="67"/>
      <c r="C28" s="945"/>
      <c r="D28" s="10"/>
      <c r="E28" s="359" t="str">
        <f>IF('C-Design&amp;Const'!$K28="","",'C-Design&amp;Const'!$K28)</f>
        <v>Y</v>
      </c>
      <c r="F28" s="235"/>
      <c r="G28" s="291"/>
      <c r="H28" s="325" t="str">
        <f>CONCATENATE(IF(ISNUMBER(SEARCH("Placeholder",'C-Design&amp;Const'!Z28))=TRUE,"",IF(E28="N","PLACEHOLDER ROW - ","")),'C-Design&amp;Const'!Z28,IF(E28="N","",J28))</f>
        <v xml:space="preserve">Construction Cost Estimate (Updates to) </v>
      </c>
      <c r="I28" s="133"/>
      <c r="J28" s="578" t="str">
        <f>IF('C-Design&amp;Const'!AF28="","",'C-Design&amp;Const'!AF28)</f>
        <v xml:space="preserve"> (Updates to) </v>
      </c>
      <c r="K28" s="25" t="str">
        <f>IF(DD_apply="Yes",IF((COUNTIF(D28:G28,"Y")=COUNTIF('01 - SD'!D28:G28,"Y")),"match","no SD match"),"-")</f>
        <v>match</v>
      </c>
      <c r="L28" s="1410"/>
      <c r="M28" s="1333"/>
      <c r="N28" s="1333"/>
      <c r="O28" s="1333"/>
      <c r="P28" s="1333"/>
      <c r="Q28" s="1333"/>
      <c r="R28" s="1444"/>
      <c r="S28" s="1445"/>
      <c r="T28" s="1284"/>
      <c r="U28" s="1333"/>
      <c r="V28" s="1333"/>
      <c r="W28" s="1333"/>
      <c r="X28" s="1333"/>
      <c r="Y28" s="1333"/>
      <c r="Z28" s="1333"/>
      <c r="AA28" s="1333"/>
      <c r="AB28" s="1333"/>
      <c r="AC28" s="1333"/>
      <c r="AD28" s="1333"/>
      <c r="AE28" s="1333"/>
      <c r="AF28" s="1333"/>
      <c r="AG28" s="1333"/>
      <c r="AH28" s="1333"/>
      <c r="AI28" s="1333"/>
      <c r="AJ28" s="17"/>
      <c r="AK28" s="17"/>
      <c r="AL28" s="17"/>
      <c r="AM28" s="17"/>
      <c r="AN28" s="17"/>
      <c r="AO28" s="17"/>
      <c r="AP28" s="17"/>
      <c r="AQ28" s="17"/>
      <c r="AR28" s="17"/>
      <c r="AS28" s="17"/>
      <c r="AT28" s="17"/>
      <c r="AU28" s="17"/>
      <c r="AV28" s="17"/>
      <c r="AW28" s="17"/>
    </row>
    <row r="29" spans="1:49" s="542" customFormat="1" ht="15" customHeight="1" x14ac:dyDescent="0.25">
      <c r="A29" s="1964"/>
      <c r="B29" s="67"/>
      <c r="C29" s="945"/>
      <c r="D29" s="10"/>
      <c r="E29" s="359" t="str">
        <f>IF('C-Design&amp;Const'!$K29="","",'C-Design&amp;Const'!$K29)</f>
        <v>Y</v>
      </c>
      <c r="F29" s="235"/>
      <c r="G29" s="291"/>
      <c r="H29" s="325" t="str">
        <f>CONCATENATE(IF(ISNUMBER(SEARCH("Placeholder",'C-Design&amp;Const'!Z29))=TRUE,"",IF(E29="N","PLACEHOLDER ROW - ","")),'C-Design&amp;Const'!Z29,IF(E29="N","",J29))</f>
        <v xml:space="preserve">Reconciliation with Owner's 3rd party estimater (Updates to) </v>
      </c>
      <c r="I29" s="133"/>
      <c r="J29" s="578" t="str">
        <f>IF('C-Design&amp;Const'!AF29="","",'C-Design&amp;Const'!AF29)</f>
        <v xml:space="preserve"> (Updates to) </v>
      </c>
      <c r="K29" s="25" t="str">
        <f>IF(DD_apply="Yes",IF((COUNTIF(D29:G29,"Y")=COUNTIF('01 - SD'!D29:G29,"Y")),"match","no SD match"),"-")</f>
        <v>match</v>
      </c>
      <c r="L29" s="1410"/>
      <c r="M29" s="1333"/>
      <c r="N29" s="1333"/>
      <c r="O29" s="1333"/>
      <c r="P29" s="1333"/>
      <c r="Q29" s="1333"/>
      <c r="R29" s="1444"/>
      <c r="S29" s="1445"/>
      <c r="T29" s="1284"/>
      <c r="U29" s="1333"/>
      <c r="V29" s="1333"/>
      <c r="W29" s="1333"/>
      <c r="X29" s="1333"/>
      <c r="Y29" s="1333"/>
      <c r="Z29" s="1333"/>
      <c r="AA29" s="1333"/>
      <c r="AB29" s="1333"/>
      <c r="AC29" s="1333"/>
      <c r="AD29" s="1333"/>
      <c r="AE29" s="1333"/>
      <c r="AF29" s="1333"/>
      <c r="AG29" s="1333"/>
      <c r="AH29" s="1333"/>
      <c r="AI29" s="1333"/>
      <c r="AJ29" s="17"/>
      <c r="AK29" s="17"/>
      <c r="AL29" s="17"/>
      <c r="AM29" s="17"/>
      <c r="AN29" s="17"/>
      <c r="AO29" s="17"/>
      <c r="AP29" s="17"/>
      <c r="AQ29" s="17"/>
      <c r="AR29" s="17"/>
      <c r="AS29" s="17"/>
      <c r="AT29" s="17"/>
      <c r="AU29" s="17"/>
      <c r="AV29" s="17"/>
      <c r="AW29" s="17"/>
    </row>
    <row r="30" spans="1:49" s="542" customFormat="1" ht="15" customHeight="1" x14ac:dyDescent="0.25">
      <c r="A30" s="1964"/>
      <c r="B30" s="67"/>
      <c r="C30" s="945"/>
      <c r="D30" s="10"/>
      <c r="E30" s="359" t="str">
        <f>IF('C-Design&amp;Const'!$K30="","",'C-Design&amp;Const'!$K30)</f>
        <v>N</v>
      </c>
      <c r="F30" s="235"/>
      <c r="G30" s="291"/>
      <c r="H30" s="325" t="str">
        <f>CONCATENATE(IF(ISNUMBER(SEARCH("Placeholder",'C-Design&amp;Const'!Z30))=TRUE,"",IF(E30="N","PLACEHOLDER ROW - ","")),'C-Design&amp;Const'!Z30,IF(E30="N","",J30))</f>
        <v>PLACEHOLDER ROW - CUSTOM ROW - OPTIONAL CLIENT ITEM</v>
      </c>
      <c r="I30" s="133"/>
      <c r="J30" s="578" t="str">
        <f>IF('C-Design&amp;Const'!AF30="","",'C-Design&amp;Const'!AF30)</f>
        <v xml:space="preserve"> (Updates to) </v>
      </c>
      <c r="K30" s="25" t="str">
        <f>IF(DD_apply="Yes",IF((COUNTIF(D30:G30,"Y")=COUNTIF('01 - SD'!D30:G30,"Y")),"match","no SD match"),"-")</f>
        <v>match</v>
      </c>
      <c r="L30" s="1410"/>
      <c r="M30" s="1333"/>
      <c r="N30" s="1333"/>
      <c r="O30" s="1333"/>
      <c r="P30" s="1333"/>
      <c r="Q30" s="1333"/>
      <c r="R30" s="1444"/>
      <c r="S30" s="1445"/>
      <c r="T30" s="1284"/>
      <c r="U30" s="1333"/>
      <c r="V30" s="1333"/>
      <c r="W30" s="1333"/>
      <c r="X30" s="1333"/>
      <c r="Y30" s="1333"/>
      <c r="Z30" s="1333"/>
      <c r="AA30" s="1333"/>
      <c r="AB30" s="1333"/>
      <c r="AC30" s="1333"/>
      <c r="AD30" s="1333"/>
      <c r="AE30" s="1333"/>
      <c r="AF30" s="1333"/>
      <c r="AG30" s="1333"/>
      <c r="AH30" s="1333"/>
      <c r="AI30" s="1333"/>
      <c r="AJ30" s="17"/>
      <c r="AK30" s="17"/>
      <c r="AL30" s="17"/>
      <c r="AM30" s="17"/>
      <c r="AN30" s="17"/>
      <c r="AO30" s="17"/>
      <c r="AP30" s="17"/>
      <c r="AQ30" s="17"/>
      <c r="AR30" s="17"/>
      <c r="AS30" s="17"/>
      <c r="AT30" s="17"/>
      <c r="AU30" s="17"/>
      <c r="AV30" s="17"/>
      <c r="AW30" s="17"/>
    </row>
    <row r="31" spans="1:49" ht="26.1" customHeight="1" x14ac:dyDescent="0.25">
      <c r="A31" s="1964" t="str">
        <f>IF(SD_apply="Yes",IF(COUNTIF('01 - SD'!D31:G31,"Y")&gt;0,"Y",IF(COUNTIF('01 - SD'!D31:G31,"N"),"N","")),"")</f>
        <v/>
      </c>
      <c r="B31" s="67"/>
      <c r="C31" s="945"/>
      <c r="D31" s="116"/>
      <c r="E31" s="411"/>
      <c r="F31" s="321"/>
      <c r="G31" s="294"/>
      <c r="H31" s="805" t="str">
        <f>IF(D27="N","",IF('C-Design&amp;Const'!Z31="","",'C-Design&amp;Const'!Z31))</f>
        <v>Estimates for all ADA upgrades and deficiency corrections shall be broken out in an additional estimate</v>
      </c>
      <c r="I31" s="130"/>
      <c r="J31" s="578" t="str">
        <f>IF('C-Design&amp;Const'!AF31="","",'C-Design&amp;Const'!AF31)</f>
        <v/>
      </c>
      <c r="K31" s="25" t="str">
        <f>IF(DD_apply="Yes",IF((COUNTIF(D31:G31,"Y")=COUNTIF('01 - SD'!D31:G31,"Y")),"match","no SD match"),"-")</f>
        <v>match</v>
      </c>
      <c r="L31" s="1410" t="str">
        <f t="shared" si="0"/>
        <v/>
      </c>
      <c r="M31" s="1333"/>
      <c r="N31" s="1333"/>
      <c r="O31" s="1333"/>
      <c r="P31" s="1333"/>
      <c r="Q31" s="1333"/>
      <c r="R31" s="1446"/>
      <c r="S31" s="1284"/>
      <c r="T31" s="1284"/>
      <c r="U31" s="1333"/>
      <c r="V31" s="1333"/>
      <c r="W31" s="1333"/>
      <c r="X31" s="1333"/>
      <c r="Y31" s="1333"/>
      <c r="Z31" s="1333"/>
      <c r="AA31" s="1333"/>
      <c r="AB31" s="1333"/>
      <c r="AC31" s="1333"/>
      <c r="AD31" s="1333"/>
      <c r="AE31" s="1333"/>
      <c r="AF31" s="1333"/>
      <c r="AG31" s="1333"/>
      <c r="AH31" s="1333"/>
      <c r="AI31" s="1333"/>
    </row>
    <row r="32" spans="1:49" s="30" customFormat="1" ht="18.75" x14ac:dyDescent="0.25">
      <c r="A32" s="1964" t="str">
        <f>IF(SD_apply="Yes",IF(COUNTIF('01 - SD'!D32:G32,"Y")&gt;0,"Y",IF(COUNTIF('01 - SD'!D32:G32,"N"),"N","")),"")</f>
        <v>Y</v>
      </c>
      <c r="B32" s="9"/>
      <c r="C32" s="945"/>
      <c r="D32" s="29" t="str">
        <f>IF('C-Design&amp;Const'!$K32="","",'C-Design&amp;Const'!$K32)</f>
        <v>Y</v>
      </c>
      <c r="E32" s="234"/>
      <c r="F32" s="235"/>
      <c r="G32" s="291" t="str">
        <f>IF('C-Design&amp;Const'!Y32="","",'C-Design&amp;Const'!Y32)</f>
        <v>02. *</v>
      </c>
      <c r="H32" s="236" t="str">
        <f>(CONCATENATE('C-Design&amp;Const'!Z32,IF(D32="N"," Not Used In This Design Phase",J32)))</f>
        <v>Project Schedule - Updated</v>
      </c>
      <c r="I32" s="184"/>
      <c r="J32" s="578" t="str">
        <f>IF('C-Design&amp;Const'!AF32="","",'C-Design&amp;Const'!AF32)</f>
        <v xml:space="preserve"> - Updated</v>
      </c>
      <c r="K32" s="25" t="str">
        <f>IF(DD_apply="Yes",IF((COUNTIF(D32:G32,"Y")=COUNTIF('01 - SD'!D32:G32,"Y")),"match","no SD match"),"-")</f>
        <v>match</v>
      </c>
      <c r="L32" s="1410" t="str">
        <f t="shared" si="0"/>
        <v/>
      </c>
      <c r="M32" s="1382"/>
      <c r="N32" s="1382"/>
      <c r="O32" s="1382"/>
      <c r="P32" s="1382"/>
      <c r="Q32" s="1382"/>
      <c r="R32" s="1447"/>
      <c r="S32" s="1448"/>
      <c r="T32" s="1274"/>
      <c r="U32" s="1382"/>
      <c r="V32" s="1382"/>
      <c r="W32" s="1382"/>
      <c r="X32" s="1382"/>
      <c r="Y32" s="1382"/>
      <c r="Z32" s="1382"/>
      <c r="AA32" s="1382"/>
      <c r="AB32" s="1382"/>
      <c r="AC32" s="1382"/>
      <c r="AD32" s="1382"/>
      <c r="AE32" s="1382"/>
      <c r="AF32" s="1382"/>
      <c r="AG32" s="1382"/>
      <c r="AH32" s="1382"/>
      <c r="AI32" s="1382"/>
      <c r="AJ32" s="181"/>
      <c r="AK32" s="181"/>
      <c r="AL32" s="181"/>
      <c r="AM32" s="181"/>
      <c r="AN32" s="181"/>
      <c r="AO32" s="181"/>
      <c r="AP32" s="181"/>
      <c r="AQ32" s="181"/>
      <c r="AR32" s="181"/>
      <c r="AS32" s="181"/>
      <c r="AT32" s="181"/>
      <c r="AU32" s="181"/>
      <c r="AV32" s="181"/>
      <c r="AW32" s="181"/>
    </row>
    <row r="33" spans="1:49" s="545" customFormat="1" ht="15" customHeight="1" x14ac:dyDescent="0.25">
      <c r="A33" s="1964"/>
      <c r="B33" s="9"/>
      <c r="C33" s="945"/>
      <c r="D33" s="10"/>
      <c r="E33" s="359" t="str">
        <f>IF('C-Design&amp;Const'!$K33="","",'C-Design&amp;Const'!$K33)</f>
        <v>Y</v>
      </c>
      <c r="F33" s="235"/>
      <c r="G33" s="291"/>
      <c r="H33" s="325" t="str">
        <f>CONCATENATE(IF(ISNUMBER(SEARCH("Placeholder",'C-Design&amp;Const'!Z33))=TRUE,"",IF(E33="N","PLACEHOLDER ROW - ","")),'C-Design&amp;Const'!Z33,IF(E33="N","",J33))</f>
        <v xml:space="preserve">Project Schedule (Updates to) </v>
      </c>
      <c r="I33" s="552"/>
      <c r="J33" s="578" t="str">
        <f>IF('C-Design&amp;Const'!AF33="","",'C-Design&amp;Const'!AF33)</f>
        <v xml:space="preserve"> (Updates to) </v>
      </c>
      <c r="K33" s="25" t="str">
        <f>IF(DD_apply="Yes",IF((COUNTIF(D33:G33,"Y")=COUNTIF('01 - SD'!D33:G33,"Y")),"match","no SD match"),"-")</f>
        <v>match</v>
      </c>
      <c r="L33" s="1410"/>
      <c r="M33" s="1382"/>
      <c r="N33" s="1382"/>
      <c r="O33" s="1382"/>
      <c r="P33" s="1382"/>
      <c r="Q33" s="1382"/>
      <c r="R33" s="1447"/>
      <c r="S33" s="1448"/>
      <c r="T33" s="1274"/>
      <c r="U33" s="1382"/>
      <c r="V33" s="1382"/>
      <c r="W33" s="1382"/>
      <c r="X33" s="1382"/>
      <c r="Y33" s="1382"/>
      <c r="Z33" s="1382"/>
      <c r="AA33" s="1382"/>
      <c r="AB33" s="1382"/>
      <c r="AC33" s="1382"/>
      <c r="AD33" s="1382"/>
      <c r="AE33" s="1382"/>
      <c r="AF33" s="1382"/>
      <c r="AG33" s="1382"/>
      <c r="AH33" s="1382"/>
      <c r="AI33" s="1382"/>
      <c r="AJ33" s="551"/>
      <c r="AK33" s="551"/>
      <c r="AL33" s="551"/>
      <c r="AM33" s="551"/>
      <c r="AN33" s="551"/>
      <c r="AO33" s="551"/>
      <c r="AP33" s="551"/>
      <c r="AQ33" s="551"/>
      <c r="AR33" s="551"/>
      <c r="AS33" s="551"/>
      <c r="AT33" s="551"/>
      <c r="AU33" s="551"/>
      <c r="AV33" s="551"/>
      <c r="AW33" s="551"/>
    </row>
    <row r="34" spans="1:49" s="545" customFormat="1" ht="15" customHeight="1" x14ac:dyDescent="0.25">
      <c r="A34" s="1964"/>
      <c r="B34" s="9"/>
      <c r="C34" s="945"/>
      <c r="D34" s="10"/>
      <c r="E34" s="359" t="str">
        <f>IF('C-Design&amp;Const'!$K34="","",'C-Design&amp;Const'!$K34)</f>
        <v>Y</v>
      </c>
      <c r="F34" s="235"/>
      <c r="G34" s="291"/>
      <c r="H34" s="325" t="str">
        <f>CONCATENATE(IF(ISNUMBER(SEARCH("Placeholder",'C-Design&amp;Const'!Z34))=TRUE,"",IF(E34="N","PLACEHOLDER ROW - ","")),'C-Design&amp;Const'!Z34,IF(E34="N","",J34))</f>
        <v xml:space="preserve">Summary of Coordination with Owner's 3rd party scheduler (Updates to) </v>
      </c>
      <c r="I34" s="552"/>
      <c r="J34" s="578" t="str">
        <f>IF('C-Design&amp;Const'!AF34="","",'C-Design&amp;Const'!AF34)</f>
        <v xml:space="preserve"> (Updates to) </v>
      </c>
      <c r="K34" s="25" t="str">
        <f>IF(DD_apply="Yes",IF((COUNTIF(D34:G34,"Y")=COUNTIF('01 - SD'!D34:G34,"Y")),"match","no SD match"),"-")</f>
        <v>match</v>
      </c>
      <c r="L34" s="1410"/>
      <c r="M34" s="1382"/>
      <c r="N34" s="1382"/>
      <c r="O34" s="1382"/>
      <c r="P34" s="1382"/>
      <c r="Q34" s="1382"/>
      <c r="R34" s="1447"/>
      <c r="S34" s="1448"/>
      <c r="T34" s="1274"/>
      <c r="U34" s="1382"/>
      <c r="V34" s="1382"/>
      <c r="W34" s="1382"/>
      <c r="X34" s="1382"/>
      <c r="Y34" s="1382"/>
      <c r="Z34" s="1382"/>
      <c r="AA34" s="1382"/>
      <c r="AB34" s="1382"/>
      <c r="AC34" s="1382"/>
      <c r="AD34" s="1382"/>
      <c r="AE34" s="1382"/>
      <c r="AF34" s="1382"/>
      <c r="AG34" s="1382"/>
      <c r="AH34" s="1382"/>
      <c r="AI34" s="1382"/>
      <c r="AJ34" s="551"/>
      <c r="AK34" s="551"/>
      <c r="AL34" s="551"/>
      <c r="AM34" s="551"/>
      <c r="AN34" s="551"/>
      <c r="AO34" s="551"/>
      <c r="AP34" s="551"/>
      <c r="AQ34" s="551"/>
      <c r="AR34" s="551"/>
      <c r="AS34" s="551"/>
      <c r="AT34" s="551"/>
      <c r="AU34" s="551"/>
      <c r="AV34" s="551"/>
      <c r="AW34" s="551"/>
    </row>
    <row r="35" spans="1:49" s="545" customFormat="1" ht="15" customHeight="1" x14ac:dyDescent="0.25">
      <c r="A35" s="1964"/>
      <c r="B35" s="9"/>
      <c r="C35" s="945"/>
      <c r="D35" s="10"/>
      <c r="E35" s="359" t="str">
        <f>IF('C-Design&amp;Const'!$K35="","",'C-Design&amp;Const'!$K35)</f>
        <v>N</v>
      </c>
      <c r="F35" s="235"/>
      <c r="G35" s="291"/>
      <c r="H35" s="325" t="str">
        <f>CONCATENATE(IF(ISNUMBER(SEARCH("Placeholder",'C-Design&amp;Const'!Z35))=TRUE,"",IF(E35="N","PLACEHOLDER ROW - ","")),'C-Design&amp;Const'!Z35,IF(E35="N","",J35))</f>
        <v>PLACEHOLDER ROW - Reconciliation with Owner's 3rd party scheduler</v>
      </c>
      <c r="I35" s="552"/>
      <c r="J35" s="578" t="str">
        <f>IF('C-Design&amp;Const'!AF35="","",'C-Design&amp;Const'!AF35)</f>
        <v xml:space="preserve"> (Updates to) </v>
      </c>
      <c r="K35" s="25" t="str">
        <f>IF(DD_apply="Yes",IF((COUNTIF(D35:G35,"Y")=COUNTIF('01 - SD'!D35:G35,"Y")),"match","no SD match"),"-")</f>
        <v>match</v>
      </c>
      <c r="L35" s="1410"/>
      <c r="M35" s="1382"/>
      <c r="N35" s="1382"/>
      <c r="O35" s="1382"/>
      <c r="P35" s="1382"/>
      <c r="Q35" s="1382"/>
      <c r="R35" s="1447"/>
      <c r="S35" s="1448"/>
      <c r="T35" s="1274"/>
      <c r="U35" s="1382"/>
      <c r="V35" s="1382"/>
      <c r="W35" s="1382"/>
      <c r="X35" s="1382"/>
      <c r="Y35" s="1382"/>
      <c r="Z35" s="1382"/>
      <c r="AA35" s="1382"/>
      <c r="AB35" s="1382"/>
      <c r="AC35" s="1382"/>
      <c r="AD35" s="1382"/>
      <c r="AE35" s="1382"/>
      <c r="AF35" s="1382"/>
      <c r="AG35" s="1382"/>
      <c r="AH35" s="1382"/>
      <c r="AI35" s="1382"/>
      <c r="AJ35" s="551"/>
      <c r="AK35" s="551"/>
      <c r="AL35" s="551"/>
      <c r="AM35" s="551"/>
      <c r="AN35" s="551"/>
      <c r="AO35" s="551"/>
      <c r="AP35" s="551"/>
      <c r="AQ35" s="551"/>
      <c r="AR35" s="551"/>
      <c r="AS35" s="551"/>
      <c r="AT35" s="551"/>
      <c r="AU35" s="551"/>
      <c r="AV35" s="551"/>
      <c r="AW35" s="551"/>
    </row>
    <row r="36" spans="1:49" ht="15.75" x14ac:dyDescent="0.25">
      <c r="A36" s="1964" t="str">
        <f>IF(SD_apply="Yes",IF(COUNTIF('01 - SD'!D36:G36,"Y")&gt;0,"Y",IF(COUNTIF('01 - SD'!D36:G36,"N"),"N","")),"")</f>
        <v/>
      </c>
      <c r="B36" s="67"/>
      <c r="C36" s="945"/>
      <c r="D36" s="116"/>
      <c r="E36" s="411"/>
      <c r="F36" s="321"/>
      <c r="G36" s="294"/>
      <c r="H36" s="296"/>
      <c r="I36" s="130"/>
      <c r="J36" s="578" t="str">
        <f>IF('C-Design&amp;Const'!AF36="","",'C-Design&amp;Const'!AF36)</f>
        <v/>
      </c>
      <c r="K36" s="25" t="str">
        <f>IF(DD_apply="Yes",IF((COUNTIF(D36:G36,"Y")=COUNTIF('01 - SD'!D36:G36,"Y")),"match","no SD match"),"-")</f>
        <v>match</v>
      </c>
      <c r="L36" s="1410" t="str">
        <f t="shared" si="0"/>
        <v/>
      </c>
      <c r="M36" s="1333"/>
      <c r="N36" s="1333"/>
      <c r="O36" s="1333"/>
      <c r="P36" s="1333"/>
      <c r="Q36" s="1333"/>
      <c r="R36" s="1446"/>
      <c r="S36" s="1284"/>
      <c r="T36" s="1284"/>
      <c r="U36" s="1333"/>
      <c r="V36" s="1333"/>
      <c r="W36" s="1333"/>
      <c r="X36" s="1333"/>
      <c r="Y36" s="1333"/>
      <c r="Z36" s="1333"/>
      <c r="AA36" s="1333"/>
      <c r="AB36" s="1333"/>
      <c r="AC36" s="1333"/>
      <c r="AD36" s="1333"/>
      <c r="AE36" s="1333"/>
      <c r="AF36" s="1333"/>
      <c r="AG36" s="1333"/>
      <c r="AH36" s="1333"/>
      <c r="AI36" s="1333"/>
    </row>
    <row r="37" spans="1:49" ht="18.75" x14ac:dyDescent="0.25">
      <c r="A37" s="1964" t="str">
        <f>IF(SD_apply="Yes",IF(COUNTIF('01 - SD'!D37:G37,"Y")&gt;0,"Y",IF(COUNTIF('01 - SD'!D37:G37,"N"),"N","")),"")</f>
        <v>Y</v>
      </c>
      <c r="B37" s="67"/>
      <c r="C37" s="928"/>
      <c r="D37" s="29" t="str">
        <f>IF('C-Design&amp;Const'!$K37="","",'C-Design&amp;Const'!$K37)</f>
        <v>Y</v>
      </c>
      <c r="E37" s="234"/>
      <c r="F37" s="444"/>
      <c r="G37" s="173" t="str">
        <f>IF('C-Design&amp;Const'!Y37="","",'C-Design&amp;Const'!Y37)</f>
        <v>03.</v>
      </c>
      <c r="H37" s="115" t="str">
        <f>(CONCATENATE('C-Design&amp;Const'!Z37,IF(D37="N"," Not Used In This Design Phase",J37)))</f>
        <v>Written Response to Comments</v>
      </c>
      <c r="I37" s="133"/>
      <c r="J37" s="578" t="str">
        <f>IF('C-Design&amp;Const'!AF37="","",'C-Design&amp;Const'!AF37)</f>
        <v/>
      </c>
      <c r="K37" s="25" t="str">
        <f>IF(DD_apply="Yes",IF((COUNTIF(D37:G37,"Y")=COUNTIF('01 - SD'!D37:G37,"Y")),"match","no SD match"),"-")</f>
        <v>match</v>
      </c>
      <c r="L37" s="1410" t="str">
        <f t="shared" si="0"/>
        <v/>
      </c>
      <c r="M37" s="1333"/>
      <c r="N37" s="1333"/>
      <c r="O37" s="1333"/>
      <c r="P37" s="1333"/>
      <c r="Q37" s="1333"/>
      <c r="R37" s="1444"/>
      <c r="S37" s="1445"/>
      <c r="T37" s="1284"/>
      <c r="U37" s="1333"/>
      <c r="V37" s="1333"/>
      <c r="W37" s="1333"/>
      <c r="X37" s="1333"/>
      <c r="Y37" s="1333"/>
      <c r="Z37" s="1333"/>
      <c r="AA37" s="1333"/>
      <c r="AB37" s="1333"/>
      <c r="AC37" s="1333"/>
      <c r="AD37" s="1333"/>
      <c r="AE37" s="1333"/>
      <c r="AF37" s="1333"/>
      <c r="AG37" s="1333"/>
      <c r="AH37" s="1333"/>
      <c r="AI37" s="1333"/>
    </row>
    <row r="38" spans="1:49" ht="15.75" x14ac:dyDescent="0.25">
      <c r="A38" s="1964" t="str">
        <f>IF(SD_apply="Yes",IF(COUNTIF('01 - SD'!D38:G38,"Y")&gt;0,"Y",IF(COUNTIF('01 - SD'!D38:G38,"N"),"N","")),"")</f>
        <v/>
      </c>
      <c r="B38" s="67"/>
      <c r="C38" s="945"/>
      <c r="D38" s="116"/>
      <c r="E38" s="411"/>
      <c r="F38" s="321"/>
      <c r="G38" s="294"/>
      <c r="H38" s="296"/>
      <c r="I38" s="130"/>
      <c r="J38" s="578" t="str">
        <f>IF('C-Design&amp;Const'!AF38="","",'C-Design&amp;Const'!AF38)</f>
        <v/>
      </c>
      <c r="K38" s="25" t="str">
        <f>IF(DD_apply="Yes",IF((COUNTIF(D38:G38,"Y")=COUNTIF('01 - SD'!D38:G38,"Y")),"match","no SD match"),"-")</f>
        <v>match</v>
      </c>
      <c r="L38" s="1410" t="str">
        <f t="shared" si="0"/>
        <v/>
      </c>
      <c r="M38" s="1333"/>
      <c r="N38" s="1333"/>
      <c r="O38" s="1333"/>
      <c r="P38" s="1333"/>
      <c r="Q38" s="1333"/>
      <c r="R38" s="1445"/>
      <c r="S38" s="1284"/>
      <c r="T38" s="1284"/>
      <c r="U38" s="1333"/>
      <c r="V38" s="1333"/>
      <c r="W38" s="1333"/>
      <c r="X38" s="1333"/>
      <c r="Y38" s="1333"/>
      <c r="Z38" s="1333"/>
      <c r="AA38" s="1333"/>
      <c r="AB38" s="1333"/>
      <c r="AC38" s="1333"/>
      <c r="AD38" s="1333"/>
      <c r="AE38" s="1333"/>
      <c r="AF38" s="1333"/>
      <c r="AG38" s="1333"/>
      <c r="AH38" s="1333"/>
      <c r="AI38" s="1333"/>
    </row>
    <row r="39" spans="1:49" ht="18.75" customHeight="1" x14ac:dyDescent="0.25">
      <c r="A39" s="1964" t="str">
        <f>IF(SD_apply="Yes",IF(COUNTIF('01 - SD'!D39:G39,"Y")&gt;0,"Y",IF(COUNTIF('01 - SD'!D39:G39,"N"),"N","")),"")</f>
        <v>Y</v>
      </c>
      <c r="B39" s="67"/>
      <c r="C39" s="945"/>
      <c r="D39" s="29" t="str">
        <f>IF('C-Design&amp;Const'!$K39="","",'C-Design&amp;Const'!$K39)</f>
        <v>Y</v>
      </c>
      <c r="E39" s="503"/>
      <c r="F39" s="444"/>
      <c r="G39" s="173" t="str">
        <f>IF('C-Design&amp;Const'!Y39="","",'C-Design&amp;Const'!Y39)</f>
        <v>04a. *</v>
      </c>
      <c r="H39" s="239" t="str">
        <f>(CONCATENATE('C-Design&amp;Const'!Z39,IF(D39="N"," Not Used In This Design Phase",J39)))</f>
        <v>Basis of Design (BOD) - Updates only</v>
      </c>
      <c r="I39" s="134"/>
      <c r="J39" s="578" t="str">
        <f>IF('C-Design&amp;Const'!AF39="","",'C-Design&amp;Const'!AF39)</f>
        <v xml:space="preserve"> - Updates only</v>
      </c>
      <c r="K39" s="25" t="str">
        <f>IF(DD_apply="Yes",IF((COUNTIF(D39:G39,"Y")=COUNTIF('01 - SD'!D39:G39,"Y")),"match","no SD match"),"-")</f>
        <v>match</v>
      </c>
      <c r="L39" s="1410" t="str">
        <f t="shared" si="0"/>
        <v/>
      </c>
      <c r="M39" s="1333"/>
      <c r="N39" s="1333"/>
      <c r="O39" s="1333"/>
      <c r="P39" s="1333"/>
      <c r="Q39" s="1333"/>
      <c r="R39" s="1444"/>
      <c r="S39" s="1445"/>
      <c r="T39" s="1284"/>
      <c r="U39" s="1333"/>
      <c r="V39" s="1333"/>
      <c r="W39" s="1333"/>
      <c r="X39" s="1333"/>
      <c r="Y39" s="1333"/>
      <c r="Z39" s="1333"/>
      <c r="AA39" s="1333"/>
      <c r="AB39" s="1333"/>
      <c r="AC39" s="1333"/>
      <c r="AD39" s="1333"/>
      <c r="AE39" s="1333"/>
      <c r="AF39" s="1333"/>
      <c r="AG39" s="1333"/>
      <c r="AH39" s="1333"/>
      <c r="AI39" s="1333"/>
    </row>
    <row r="40" spans="1:49" s="30" customFormat="1" ht="15" customHeight="1" x14ac:dyDescent="0.25">
      <c r="A40" s="1502" t="str">
        <f>IF(SD_apply="Yes",IF(COUNTIF('01 - SD'!D40:G40,"Y")&gt;0,"Y",IF(COUNTIF('01 - SD'!D40:G40,"N"),"N","")),"")</f>
        <v>Y</v>
      </c>
      <c r="B40" s="32"/>
      <c r="C40" s="945"/>
      <c r="D40" s="10"/>
      <c r="E40" s="359" t="str">
        <f>IF('C-Design&amp;Const'!$K40="","",'C-Design&amp;Const'!$K40)</f>
        <v>Y</v>
      </c>
      <c r="F40" s="235"/>
      <c r="G40" s="291"/>
      <c r="H40" s="325" t="str">
        <f>CONCATENATE(IF(ISNUMBER(SEARCH("Placeholder",'C-Design&amp;Const'!Z40))=TRUE,"",IF(E40="N","PLACEHOLDER ROW - ","")),'C-Design&amp;Const'!Z40,IF(E40="N","",J40))</f>
        <v xml:space="preserve">Project Description  (Updates to) </v>
      </c>
      <c r="I40" s="184"/>
      <c r="J40" s="578" t="str">
        <f>IF('C-Design&amp;Const'!AF40="","",'C-Design&amp;Const'!AF40)</f>
        <v xml:space="preserve"> (Updates to) </v>
      </c>
      <c r="K40" s="25" t="str">
        <f>IF(DD_apply="Yes",IF((COUNTIF(D40:G40,"Y")=COUNTIF('01 - SD'!D40:G40,"Y")),"match","no SD match"),"-")</f>
        <v>match</v>
      </c>
      <c r="L40" s="1410" t="str">
        <f t="shared" si="0"/>
        <v/>
      </c>
      <c r="M40" s="1382"/>
      <c r="N40" s="1382"/>
      <c r="O40" s="1382"/>
      <c r="P40" s="1382"/>
      <c r="Q40" s="1382"/>
      <c r="R40" s="1382"/>
      <c r="S40" s="1382"/>
      <c r="T40" s="1382"/>
      <c r="U40" s="1382"/>
      <c r="V40" s="1382"/>
      <c r="W40" s="1382"/>
      <c r="X40" s="1382"/>
      <c r="Y40" s="1382"/>
      <c r="Z40" s="1382"/>
      <c r="AA40" s="1382"/>
      <c r="AB40" s="1382"/>
      <c r="AC40" s="1382"/>
      <c r="AD40" s="1382"/>
      <c r="AE40" s="1382"/>
      <c r="AF40" s="1382"/>
      <c r="AG40" s="1382"/>
      <c r="AH40" s="1382"/>
      <c r="AI40" s="1382"/>
      <c r="AJ40" s="181"/>
      <c r="AK40" s="181"/>
      <c r="AL40" s="181"/>
      <c r="AM40" s="181"/>
      <c r="AN40" s="181"/>
      <c r="AO40" s="181"/>
      <c r="AP40" s="181"/>
      <c r="AQ40" s="181"/>
      <c r="AR40" s="181"/>
      <c r="AS40" s="181"/>
      <c r="AT40" s="181"/>
      <c r="AU40" s="181"/>
      <c r="AV40" s="181"/>
      <c r="AW40" s="181"/>
    </row>
    <row r="41" spans="1:49" s="30" customFormat="1" ht="15" customHeight="1" x14ac:dyDescent="0.25">
      <c r="A41" s="1502" t="str">
        <f>IF(SD_apply="Yes",IF(COUNTIF('01 - SD'!D41:G41,"Y")&gt;0,"Y",IF(COUNTIF('01 - SD'!D41:G41,"N"),"N","")),"")</f>
        <v>Y</v>
      </c>
      <c r="B41" s="32"/>
      <c r="C41" s="945"/>
      <c r="D41" s="10"/>
      <c r="E41" s="359" t="str">
        <f>IF('C-Design&amp;Const'!$K41="","",'C-Design&amp;Const'!$K41)</f>
        <v>Y</v>
      </c>
      <c r="F41" s="235"/>
      <c r="G41" s="291"/>
      <c r="H41" s="325" t="str">
        <f>CONCATENATE(IF(ISNUMBER(SEARCH("Placeholder",'C-Design&amp;Const'!Z41))=TRUE,"",IF(E41="N","PLACEHOLDER ROW - ","")),'C-Design&amp;Const'!Z41,IF(E41="N","",J41))</f>
        <v xml:space="preserve">Program Needs Assessment  (Updates to) </v>
      </c>
      <c r="I41" s="184"/>
      <c r="J41" s="578" t="str">
        <f>IF('C-Design&amp;Const'!AF41="","",'C-Design&amp;Const'!AF41)</f>
        <v xml:space="preserve"> (Updates to) </v>
      </c>
      <c r="K41" s="25" t="str">
        <f>IF(DD_apply="Yes",IF((COUNTIF(D41:G41,"Y")=COUNTIF('01 - SD'!D41:G41,"Y")),"match","no SD match"),"-")</f>
        <v>match</v>
      </c>
      <c r="L41" s="1410" t="str">
        <f t="shared" si="0"/>
        <v/>
      </c>
      <c r="M41" s="1382"/>
      <c r="N41" s="1382"/>
      <c r="O41" s="1382"/>
      <c r="P41" s="1382"/>
      <c r="Q41" s="1382"/>
      <c r="R41" s="1382"/>
      <c r="S41" s="1382"/>
      <c r="T41" s="1382"/>
      <c r="U41" s="1382"/>
      <c r="V41" s="1382"/>
      <c r="W41" s="1382"/>
      <c r="X41" s="1382"/>
      <c r="Y41" s="1382"/>
      <c r="Z41" s="1382"/>
      <c r="AA41" s="1382"/>
      <c r="AB41" s="1382"/>
      <c r="AC41" s="1382"/>
      <c r="AD41" s="1382"/>
      <c r="AE41" s="1382"/>
      <c r="AF41" s="1382"/>
      <c r="AG41" s="1382"/>
      <c r="AH41" s="1382"/>
      <c r="AI41" s="1382"/>
      <c r="AJ41" s="181"/>
      <c r="AK41" s="181"/>
      <c r="AL41" s="181"/>
      <c r="AM41" s="181"/>
      <c r="AN41" s="181"/>
      <c r="AO41" s="181"/>
      <c r="AP41" s="181"/>
      <c r="AQ41" s="181"/>
      <c r="AR41" s="181"/>
      <c r="AS41" s="181"/>
      <c r="AT41" s="181"/>
      <c r="AU41" s="181"/>
      <c r="AV41" s="181"/>
      <c r="AW41" s="181"/>
    </row>
    <row r="42" spans="1:49" s="30" customFormat="1" ht="15" customHeight="1" x14ac:dyDescent="0.25">
      <c r="A42" s="1502" t="str">
        <f>IF(SD_apply="Yes",IF(COUNTIF('01 - SD'!D42:G42,"Y")&gt;0,"Y",IF(COUNTIF('01 - SD'!D42:G42,"N"),"N","")),"")</f>
        <v>Y</v>
      </c>
      <c r="B42" s="32"/>
      <c r="C42" s="945"/>
      <c r="D42" s="10"/>
      <c r="E42" s="359" t="str">
        <f>IF('C-Design&amp;Const'!$K42="","",'C-Design&amp;Const'!$K42)</f>
        <v>Y</v>
      </c>
      <c r="F42" s="235"/>
      <c r="G42" s="291"/>
      <c r="H42" s="325" t="str">
        <f>CONCATENATE(IF(ISNUMBER(SEARCH("Placeholder",'C-Design&amp;Const'!Z42))=TRUE,"",IF(E42="N","PLACEHOLDER ROW - ","")),'C-Design&amp;Const'!Z42,IF(E42="N","",J42))</f>
        <v xml:space="preserve">Program Summary / Analysis  (Updates to) </v>
      </c>
      <c r="I42" s="184"/>
      <c r="J42" s="578" t="str">
        <f>IF('C-Design&amp;Const'!AF42="","",'C-Design&amp;Const'!AF42)</f>
        <v xml:space="preserve"> (Updates to) </v>
      </c>
      <c r="K42" s="25" t="str">
        <f>IF(DD_apply="Yes",IF((COUNTIF(D42:G42,"Y")=COUNTIF('01 - SD'!D42:G42,"Y")),"match","no SD match"),"-")</f>
        <v>match</v>
      </c>
      <c r="L42" s="1410" t="str">
        <f t="shared" si="0"/>
        <v/>
      </c>
      <c r="M42" s="1382"/>
      <c r="N42" s="1382"/>
      <c r="O42" s="1382"/>
      <c r="P42" s="1382"/>
      <c r="Q42" s="1382"/>
      <c r="R42" s="1382"/>
      <c r="S42" s="1382"/>
      <c r="T42" s="1382"/>
      <c r="U42" s="1382"/>
      <c r="V42" s="1382"/>
      <c r="W42" s="1382"/>
      <c r="X42" s="1382"/>
      <c r="Y42" s="1382"/>
      <c r="Z42" s="1382"/>
      <c r="AA42" s="1382"/>
      <c r="AB42" s="1382"/>
      <c r="AC42" s="1382"/>
      <c r="AD42" s="1382"/>
      <c r="AE42" s="1382"/>
      <c r="AF42" s="1382"/>
      <c r="AG42" s="1382"/>
      <c r="AH42" s="1382"/>
      <c r="AI42" s="1382"/>
      <c r="AJ42" s="181"/>
      <c r="AK42" s="181"/>
      <c r="AL42" s="181"/>
      <c r="AM42" s="181"/>
      <c r="AN42" s="181"/>
      <c r="AO42" s="181"/>
      <c r="AP42" s="181"/>
      <c r="AQ42" s="181"/>
      <c r="AR42" s="181"/>
      <c r="AS42" s="181"/>
      <c r="AT42" s="181"/>
      <c r="AU42" s="181"/>
      <c r="AV42" s="181"/>
      <c r="AW42" s="181"/>
    </row>
    <row r="43" spans="1:49" s="30" customFormat="1" ht="15" customHeight="1" x14ac:dyDescent="0.25">
      <c r="A43" s="1502" t="str">
        <f>IF(SD_apply="Yes",IF(COUNTIF('01 - SD'!D43:G43,"Y")&gt;0,"Y",IF(COUNTIF('01 - SD'!D43:G43,"N"),"N","")),"")</f>
        <v>N</v>
      </c>
      <c r="B43" s="32"/>
      <c r="C43" s="945"/>
      <c r="D43" s="10"/>
      <c r="E43" s="359" t="str">
        <f>IF('C-Design&amp;Const'!$K43="","",'C-Design&amp;Const'!$K43)</f>
        <v>N</v>
      </c>
      <c r="F43" s="235"/>
      <c r="G43" s="291"/>
      <c r="H43" s="362" t="str">
        <f>CONCATENATE(IF(ISNUMBER(SEARCH("Placeholder",'C-Design&amp;Const'!Z43))=TRUE,"",IF(E43="N","PLACEHOLDER ROW - ","")),'C-Design&amp;Const'!Z43,IF(E43="N","",J43))</f>
        <v>PLACEHOLDER - Program Study</v>
      </c>
      <c r="I43" s="184"/>
      <c r="J43" s="578" t="str">
        <f>IF('C-Design&amp;Const'!AF43="","",'C-Design&amp;Const'!AF43)</f>
        <v xml:space="preserve"> (Updates to) </v>
      </c>
      <c r="K43" s="25" t="str">
        <f>IF(DD_apply="Yes",IF((COUNTIF(D43:G43,"Y")=COUNTIF('01 - SD'!D43:G43,"Y")),"match","no SD match"),"-")</f>
        <v>match</v>
      </c>
      <c r="L43" s="1410" t="str">
        <f t="shared" si="0"/>
        <v>&lt;---PM/Planner may hide PLACEHOLDER ROW</v>
      </c>
      <c r="M43" s="1382"/>
      <c r="N43" s="1382"/>
      <c r="O43" s="1382"/>
      <c r="P43" s="1382"/>
      <c r="Q43" s="1382"/>
      <c r="R43" s="1382"/>
      <c r="S43" s="1382"/>
      <c r="T43" s="1382"/>
      <c r="U43" s="1382"/>
      <c r="V43" s="1382"/>
      <c r="W43" s="1382"/>
      <c r="X43" s="1382"/>
      <c r="Y43" s="1382"/>
      <c r="Z43" s="1382"/>
      <c r="AA43" s="1382"/>
      <c r="AB43" s="1382"/>
      <c r="AC43" s="1382"/>
      <c r="AD43" s="1382"/>
      <c r="AE43" s="1382"/>
      <c r="AF43" s="1382"/>
      <c r="AG43" s="1382"/>
      <c r="AH43" s="1382"/>
      <c r="AI43" s="1382"/>
      <c r="AJ43" s="181"/>
      <c r="AK43" s="181"/>
      <c r="AL43" s="181"/>
      <c r="AM43" s="181"/>
      <c r="AN43" s="181"/>
      <c r="AO43" s="181"/>
      <c r="AP43" s="181"/>
      <c r="AQ43" s="181"/>
      <c r="AR43" s="181"/>
      <c r="AS43" s="181"/>
      <c r="AT43" s="181"/>
      <c r="AU43" s="181"/>
      <c r="AV43" s="181"/>
      <c r="AW43" s="181"/>
    </row>
    <row r="44" spans="1:49" s="30" customFormat="1" ht="15" customHeight="1" x14ac:dyDescent="0.25">
      <c r="A44" s="1502" t="str">
        <f>IF(SD_apply="Yes",IF(COUNTIF('01 - SD'!D44:G44,"Y")&gt;0,"Y",IF(COUNTIF('01 - SD'!D44:G44,"N"),"N","")),"")</f>
        <v>Y</v>
      </c>
      <c r="B44" s="32"/>
      <c r="C44" s="945"/>
      <c r="D44" s="10"/>
      <c r="E44" s="359" t="str">
        <f>IF('C-Design&amp;Const'!$K44="","",'C-Design&amp;Const'!$K44)</f>
        <v>Y</v>
      </c>
      <c r="F44" s="235"/>
      <c r="G44" s="291"/>
      <c r="H44" s="325" t="str">
        <f>CONCATENATE(IF(ISNUMBER(SEARCH("Placeholder",'C-Design&amp;Const'!Z44))=TRUE,"",IF(E44="N","PLACEHOLDER ROW - ","")),'C-Design&amp;Const'!Z44,IF(E44="N","",J44))</f>
        <v xml:space="preserve">Major Project Goals; Objectives; and Design Requirements  (Updates to) </v>
      </c>
      <c r="I44" s="184"/>
      <c r="J44" s="578" t="str">
        <f>IF('C-Design&amp;Const'!AF44="","",'C-Design&amp;Const'!AF44)</f>
        <v xml:space="preserve"> (Updates to) </v>
      </c>
      <c r="K44" s="25" t="str">
        <f>IF(DD_apply="Yes",IF((COUNTIF(D44:G44,"Y")=COUNTIF('01 - SD'!D44:G44,"Y")),"match","no SD match"),"-")</f>
        <v>match</v>
      </c>
      <c r="L44" s="1410" t="str">
        <f t="shared" si="0"/>
        <v/>
      </c>
      <c r="M44" s="1382"/>
      <c r="N44" s="1382"/>
      <c r="O44" s="1382"/>
      <c r="P44" s="1382"/>
      <c r="Q44" s="1382"/>
      <c r="R44" s="1382"/>
      <c r="S44" s="1382"/>
      <c r="T44" s="1382"/>
      <c r="U44" s="1382"/>
      <c r="V44" s="1382"/>
      <c r="W44" s="1382"/>
      <c r="X44" s="1382"/>
      <c r="Y44" s="1382"/>
      <c r="Z44" s="1382"/>
      <c r="AA44" s="1382"/>
      <c r="AB44" s="1382"/>
      <c r="AC44" s="1382"/>
      <c r="AD44" s="1382"/>
      <c r="AE44" s="1382"/>
      <c r="AF44" s="1382"/>
      <c r="AG44" s="1382"/>
      <c r="AH44" s="1382"/>
      <c r="AI44" s="1382"/>
      <c r="AJ44" s="181"/>
      <c r="AK44" s="181"/>
      <c r="AL44" s="181"/>
      <c r="AM44" s="181"/>
      <c r="AN44" s="181"/>
      <c r="AO44" s="181"/>
      <c r="AP44" s="181"/>
      <c r="AQ44" s="181"/>
      <c r="AR44" s="181"/>
      <c r="AS44" s="181"/>
      <c r="AT44" s="181"/>
      <c r="AU44" s="181"/>
      <c r="AV44" s="181"/>
      <c r="AW44" s="181"/>
    </row>
    <row r="45" spans="1:49" s="30" customFormat="1" ht="15" customHeight="1" x14ac:dyDescent="0.25">
      <c r="A45" s="1502" t="str">
        <f>IF(SD_apply="Yes",IF(COUNTIF('01 - SD'!D45:G45,"Y")&gt;0,"Y",IF(COUNTIF('01 - SD'!D45:G45,"N"),"N","")),"")</f>
        <v>Y</v>
      </c>
      <c r="B45" s="32"/>
      <c r="C45" s="945"/>
      <c r="D45" s="10"/>
      <c r="E45" s="359" t="str">
        <f>IF('C-Design&amp;Const'!$K45="","",'C-Design&amp;Const'!$K45)</f>
        <v>Y</v>
      </c>
      <c r="F45" s="235"/>
      <c r="G45" s="291"/>
      <c r="H45" s="325" t="str">
        <f>CONCATENATE(IF(ISNUMBER(SEARCH("Placeholder",'C-Design&amp;Const'!Z45))=TRUE,"",IF(E45="N","PLACEHOLDER ROW - ","")),'C-Design&amp;Const'!Z45,IF(E45="N","",J45))</f>
        <v xml:space="preserve">Special Considerations  (Updates to) </v>
      </c>
      <c r="I45" s="184"/>
      <c r="J45" s="578" t="str">
        <f>IF('C-Design&amp;Const'!AF45="","",'C-Design&amp;Const'!AF45)</f>
        <v xml:space="preserve"> (Updates to) </v>
      </c>
      <c r="K45" s="25" t="str">
        <f>IF(DD_apply="Yes",IF((COUNTIF(D45:G45,"Y")=COUNTIF('01 - SD'!D45:G45,"Y")),"match","no SD match"),"-")</f>
        <v>match</v>
      </c>
      <c r="L45" s="1410" t="str">
        <f t="shared" si="0"/>
        <v/>
      </c>
      <c r="M45" s="1382"/>
      <c r="N45" s="1382"/>
      <c r="O45" s="1382"/>
      <c r="P45" s="1382"/>
      <c r="Q45" s="1382"/>
      <c r="R45" s="1382"/>
      <c r="S45" s="1382"/>
      <c r="T45" s="1382"/>
      <c r="U45" s="1382"/>
      <c r="V45" s="1382"/>
      <c r="W45" s="1382"/>
      <c r="X45" s="1382"/>
      <c r="Y45" s="1382"/>
      <c r="Z45" s="1382"/>
      <c r="AA45" s="1382"/>
      <c r="AB45" s="1382"/>
      <c r="AC45" s="1382"/>
      <c r="AD45" s="1382"/>
      <c r="AE45" s="1382"/>
      <c r="AF45" s="1382"/>
      <c r="AG45" s="1382"/>
      <c r="AH45" s="1382"/>
      <c r="AI45" s="1382"/>
      <c r="AJ45" s="181"/>
      <c r="AK45" s="181"/>
      <c r="AL45" s="181"/>
      <c r="AM45" s="181"/>
      <c r="AN45" s="181"/>
      <c r="AO45" s="181"/>
      <c r="AP45" s="181"/>
      <c r="AQ45" s="181"/>
      <c r="AR45" s="181"/>
      <c r="AS45" s="181"/>
      <c r="AT45" s="181"/>
      <c r="AU45" s="181"/>
      <c r="AV45" s="181"/>
      <c r="AW45" s="181"/>
    </row>
    <row r="46" spans="1:49" s="30" customFormat="1" ht="15" customHeight="1" x14ac:dyDescent="0.25">
      <c r="A46" s="1502" t="str">
        <f>IF(SD_apply="Yes",IF(COUNTIF('01 - SD'!D46:G46,"Y")&gt;0,"Y",IF(COUNTIF('01 - SD'!D46:G46,"N"),"N","")),"")</f>
        <v>Y</v>
      </c>
      <c r="B46" s="32"/>
      <c r="C46" s="945"/>
      <c r="D46" s="10"/>
      <c r="E46" s="359" t="str">
        <f>IF('C-Design&amp;Const'!$K46="","",'C-Design&amp;Const'!$K46)</f>
        <v>Y</v>
      </c>
      <c r="F46" s="235"/>
      <c r="G46" s="291"/>
      <c r="H46" s="325" t="str">
        <f>CONCATENATE(IF(ISNUMBER(SEARCH("Placeholder",'C-Design&amp;Const'!Z46))=TRUE,"",IF(E46="N","PLACEHOLDER ROW - ","")),'C-Design&amp;Const'!Z46,IF(E46="N","",J46))</f>
        <v xml:space="preserve">Code Analysis - As Applicable  (Updates to) </v>
      </c>
      <c r="I46" s="184"/>
      <c r="J46" s="578" t="str">
        <f>IF('C-Design&amp;Const'!AF46="","",'C-Design&amp;Const'!AF46)</f>
        <v xml:space="preserve"> (Updates to) </v>
      </c>
      <c r="K46" s="25" t="str">
        <f>IF(DD_apply="Yes",IF((COUNTIF(D46:G46,"Y")=COUNTIF('01 - SD'!D46:G46,"Y")),"match","no SD match"),"-")</f>
        <v>match</v>
      </c>
      <c r="L46" s="1410" t="str">
        <f t="shared" si="0"/>
        <v/>
      </c>
      <c r="M46" s="1382"/>
      <c r="N46" s="1382"/>
      <c r="O46" s="1382"/>
      <c r="P46" s="1382"/>
      <c r="Q46" s="1382"/>
      <c r="R46" s="1382"/>
      <c r="S46" s="1382"/>
      <c r="T46" s="1382"/>
      <c r="U46" s="1382"/>
      <c r="V46" s="1382"/>
      <c r="W46" s="1382"/>
      <c r="X46" s="1382"/>
      <c r="Y46" s="1382"/>
      <c r="Z46" s="1382"/>
      <c r="AA46" s="1382"/>
      <c r="AB46" s="1382"/>
      <c r="AC46" s="1382"/>
      <c r="AD46" s="1382"/>
      <c r="AE46" s="1382"/>
      <c r="AF46" s="1382"/>
      <c r="AG46" s="1382"/>
      <c r="AH46" s="1382"/>
      <c r="AI46" s="1382"/>
      <c r="AJ46" s="181"/>
      <c r="AK46" s="181"/>
      <c r="AL46" s="181"/>
      <c r="AM46" s="181"/>
      <c r="AN46" s="181"/>
      <c r="AO46" s="181"/>
      <c r="AP46" s="181"/>
      <c r="AQ46" s="181"/>
      <c r="AR46" s="181"/>
      <c r="AS46" s="181"/>
      <c r="AT46" s="181"/>
      <c r="AU46" s="181"/>
      <c r="AV46" s="181"/>
      <c r="AW46" s="181"/>
    </row>
    <row r="47" spans="1:49" s="30" customFormat="1" ht="15" customHeight="1" x14ac:dyDescent="0.25">
      <c r="A47" s="1502" t="str">
        <f>IF(SD_apply="Yes",IF(COUNTIF('01 - SD'!D47:G47,"Y")&gt;0,"Y",IF(COUNTIF('01 - SD'!D47:G47,"N"),"N","")),"")</f>
        <v>Y</v>
      </c>
      <c r="B47" s="32"/>
      <c r="C47" s="945"/>
      <c r="D47" s="10"/>
      <c r="E47" s="359" t="str">
        <f>IF('C-Design&amp;Const'!$K47="","",'C-Design&amp;Const'!$K47)</f>
        <v>Y</v>
      </c>
      <c r="F47" s="235"/>
      <c r="G47" s="291"/>
      <c r="H47" s="325" t="str">
        <f>CONCATENATE(IF(ISNUMBER(SEARCH("Placeholder",'C-Design&amp;Const'!Z47))=TRUE,"",IF(E47="N","PLACEHOLDER ROW - ","")),'C-Design&amp;Const'!Z47,IF(E47="N","",J47))</f>
        <v xml:space="preserve">Permit Analysis  - As Applicable  (Updates to) </v>
      </c>
      <c r="I47" s="184"/>
      <c r="J47" s="578" t="str">
        <f>IF('C-Design&amp;Const'!AF47="","",'C-Design&amp;Const'!AF47)</f>
        <v xml:space="preserve"> (Updates to) </v>
      </c>
      <c r="K47" s="25" t="str">
        <f>IF(DD_apply="Yes",IF((COUNTIF(D47:G47,"Y")=COUNTIF('01 - SD'!D47:G47,"Y")),"match","no SD match"),"-")</f>
        <v>match</v>
      </c>
      <c r="L47" s="1410" t="str">
        <f t="shared" si="0"/>
        <v/>
      </c>
      <c r="M47" s="1382"/>
      <c r="N47" s="1382"/>
      <c r="O47" s="1382"/>
      <c r="P47" s="1382"/>
      <c r="Q47" s="1382"/>
      <c r="R47" s="1382"/>
      <c r="S47" s="1382"/>
      <c r="T47" s="1382"/>
      <c r="U47" s="1382"/>
      <c r="V47" s="1382"/>
      <c r="W47" s="1382"/>
      <c r="X47" s="1382"/>
      <c r="Y47" s="1382"/>
      <c r="Z47" s="1382"/>
      <c r="AA47" s="1382"/>
      <c r="AB47" s="1382"/>
      <c r="AC47" s="1382"/>
      <c r="AD47" s="1382"/>
      <c r="AE47" s="1382"/>
      <c r="AF47" s="1382"/>
      <c r="AG47" s="1382"/>
      <c r="AH47" s="1382"/>
      <c r="AI47" s="1382"/>
      <c r="AJ47" s="181"/>
      <c r="AK47" s="181"/>
      <c r="AL47" s="181"/>
      <c r="AM47" s="181"/>
      <c r="AN47" s="181"/>
      <c r="AO47" s="181"/>
      <c r="AP47" s="181"/>
      <c r="AQ47" s="181"/>
      <c r="AR47" s="181"/>
      <c r="AS47" s="181"/>
      <c r="AT47" s="181"/>
      <c r="AU47" s="181"/>
      <c r="AV47" s="181"/>
      <c r="AW47" s="181"/>
    </row>
    <row r="48" spans="1:49" s="30" customFormat="1" ht="15" customHeight="1" x14ac:dyDescent="0.25">
      <c r="A48" s="1502" t="str">
        <f>IF(SD_apply="Yes",IF(COUNTIF('01 - SD'!D48:G48,"Y")&gt;0,"Y",IF(COUNTIF('01 - SD'!D48:G48,"N"),"N","")),"")</f>
        <v>Y</v>
      </c>
      <c r="B48" s="32"/>
      <c r="C48" s="945"/>
      <c r="D48" s="10"/>
      <c r="E48" s="359" t="str">
        <f>IF('C-Design&amp;Const'!$K48="","",'C-Design&amp;Const'!$K48)</f>
        <v>Y</v>
      </c>
      <c r="F48" s="235"/>
      <c r="G48" s="291"/>
      <c r="H48" s="325" t="str">
        <f>CONCATENATE(IF(ISNUMBER(SEARCH("Placeholder",'C-Design&amp;Const'!Z48))=TRUE,"",IF(E48="N","PLACEHOLDER ROW - ","")),'C-Design&amp;Const'!Z48,IF(E48="N","",J48))</f>
        <v>Variances - As Applicable  (Expected &amp; Approved to date)</v>
      </c>
      <c r="I48" s="184"/>
      <c r="J48" s="578" t="str">
        <f>IF('C-Design&amp;Const'!AF48="","",'C-Design&amp;Const'!AF48)</f>
        <v xml:space="preserve"> (Expected &amp; Approved to date)</v>
      </c>
      <c r="K48" s="25" t="str">
        <f>IF(DD_apply="Yes",IF((COUNTIF(D48:G48,"Y")=COUNTIF('01 - SD'!D48:G48,"Y")),"match","no SD match"),"-")</f>
        <v>match</v>
      </c>
      <c r="L48" s="1410" t="str">
        <f t="shared" si="0"/>
        <v/>
      </c>
      <c r="M48" s="1382"/>
      <c r="N48" s="1382"/>
      <c r="O48" s="1382"/>
      <c r="P48" s="1382"/>
      <c r="Q48" s="1382"/>
      <c r="R48" s="1382"/>
      <c r="S48" s="1382"/>
      <c r="T48" s="1382"/>
      <c r="U48" s="1382"/>
      <c r="V48" s="1382"/>
      <c r="W48" s="1382"/>
      <c r="X48" s="1382"/>
      <c r="Y48" s="1382"/>
      <c r="Z48" s="1382"/>
      <c r="AA48" s="1382"/>
      <c r="AB48" s="1382"/>
      <c r="AC48" s="1382"/>
      <c r="AD48" s="1382"/>
      <c r="AE48" s="1382"/>
      <c r="AF48" s="1382"/>
      <c r="AG48" s="1382"/>
      <c r="AH48" s="1382"/>
      <c r="AI48" s="1382"/>
      <c r="AJ48" s="181"/>
      <c r="AK48" s="181"/>
      <c r="AL48" s="181"/>
      <c r="AM48" s="181"/>
      <c r="AN48" s="181"/>
      <c r="AO48" s="181"/>
      <c r="AP48" s="181"/>
      <c r="AQ48" s="181"/>
      <c r="AR48" s="181"/>
      <c r="AS48" s="181"/>
      <c r="AT48" s="181"/>
      <c r="AU48" s="181"/>
      <c r="AV48" s="181"/>
      <c r="AW48" s="181"/>
    </row>
    <row r="49" spans="1:49" s="30" customFormat="1" ht="24.75" customHeight="1" x14ac:dyDescent="0.25">
      <c r="A49" s="1502" t="str">
        <f>IF(SD_apply="Yes",IF(COUNTIF('01 - SD'!D49:G49,"Y")&gt;0,"Y",IF(COUNTIF('01 - SD'!D49:G49,"N"),"N","")),"")</f>
        <v>Y</v>
      </c>
      <c r="B49" s="32"/>
      <c r="C49" s="945"/>
      <c r="D49" s="10"/>
      <c r="E49" s="359" t="str">
        <f>IF('C-Design&amp;Const'!$K49="","",'C-Design&amp;Const'!$K49)</f>
        <v>Y</v>
      </c>
      <c r="F49" s="235"/>
      <c r="G49" s="291"/>
      <c r="H49" s="325" t="str">
        <f>CONCATENATE(IF(ISNUMBER(SEARCH("Placeholder",'C-Design&amp;Const'!Z49))=TRUE,"",IF(E49="N","PLACEHOLDER ROW - ","")),'C-Design&amp;Const'!Z49,IF(E49="N","",J49))</f>
        <v xml:space="preserve">Results of itemized Area Analysis Comparing the Net-to-Gross Square Feet  - Per Floor; Per Assembly Space; and Per Building as applicable  (Updates to) </v>
      </c>
      <c r="I49" s="184"/>
      <c r="J49" s="578" t="str">
        <f>IF('C-Design&amp;Const'!AF49="","",'C-Design&amp;Const'!AF49)</f>
        <v xml:space="preserve"> (Updates to) </v>
      </c>
      <c r="K49" s="25" t="str">
        <f>IF(DD_apply="Yes",IF((COUNTIF(D49:G49,"Y")=COUNTIF('01 - SD'!D49:G49,"Y")),"match","no SD match"),"-")</f>
        <v>match</v>
      </c>
      <c r="L49" s="1410" t="str">
        <f t="shared" si="0"/>
        <v/>
      </c>
      <c r="M49" s="1382"/>
      <c r="N49" s="1382"/>
      <c r="O49" s="1382"/>
      <c r="P49" s="1382"/>
      <c r="Q49" s="1382"/>
      <c r="R49" s="1382"/>
      <c r="S49" s="1382"/>
      <c r="T49" s="1382"/>
      <c r="U49" s="1382"/>
      <c r="V49" s="1382"/>
      <c r="W49" s="1382"/>
      <c r="X49" s="1382"/>
      <c r="Y49" s="1382"/>
      <c r="Z49" s="1382"/>
      <c r="AA49" s="1382"/>
      <c r="AB49" s="1382"/>
      <c r="AC49" s="1382"/>
      <c r="AD49" s="1382"/>
      <c r="AE49" s="1382"/>
      <c r="AF49" s="1382"/>
      <c r="AG49" s="1382"/>
      <c r="AH49" s="1382"/>
      <c r="AI49" s="1382"/>
      <c r="AJ49" s="181"/>
      <c r="AK49" s="181"/>
      <c r="AL49" s="181"/>
      <c r="AM49" s="181"/>
      <c r="AN49" s="181"/>
      <c r="AO49" s="181"/>
      <c r="AP49" s="181"/>
      <c r="AQ49" s="181"/>
      <c r="AR49" s="181"/>
      <c r="AS49" s="181"/>
      <c r="AT49" s="181"/>
      <c r="AU49" s="181"/>
      <c r="AV49" s="181"/>
      <c r="AW49" s="181"/>
    </row>
    <row r="50" spans="1:49" s="30" customFormat="1" ht="15" customHeight="1" x14ac:dyDescent="0.25">
      <c r="A50" s="1502" t="str">
        <f>IF(SD_apply="Yes",IF(COUNTIF('01 - SD'!D50:G50,"Y")&gt;0,"Y",IF(COUNTIF('01 - SD'!D50:G50,"N"),"N","")),"")</f>
        <v>Y</v>
      </c>
      <c r="B50" s="32"/>
      <c r="C50" s="945"/>
      <c r="D50" s="10"/>
      <c r="E50" s="359" t="str">
        <f>IF('C-Design&amp;Const'!$K50="","",'C-Design&amp;Const'!$K50)</f>
        <v>N</v>
      </c>
      <c r="F50" s="235"/>
      <c r="G50" s="291"/>
      <c r="H50" s="362" t="str">
        <f>CONCATENATE(IF(ISNUMBER(SEARCH("Placeholder",'C-Design&amp;Const'!Z50))=TRUE,"",IF(E50="N","PLACEHOLDER ROW - ","")),'C-Design&amp;Const'!Z50,IF(E50="N","",J50))</f>
        <v xml:space="preserve">PLACEHOLDER ROW - Room Type Alternative Concepts </v>
      </c>
      <c r="I50" s="184"/>
      <c r="J50" s="578" t="str">
        <f>IF('C-Design&amp;Const'!AF50="","",'C-Design&amp;Const'!AF50)</f>
        <v xml:space="preserve"> (Updates to) </v>
      </c>
      <c r="K50" s="25" t="str">
        <f>IF(DD_apply="Yes",IF((COUNTIF(D50:G50,"Y")=COUNTIF('01 - SD'!D50:G50,"Y")),"match","no SD match"),"-")</f>
        <v>no SD match</v>
      </c>
      <c r="L50" s="1410" t="str">
        <f t="shared" si="0"/>
        <v>&lt;---PM/Planner may hide PLACEHOLDER ROW</v>
      </c>
      <c r="M50" s="1382"/>
      <c r="N50" s="1382"/>
      <c r="O50" s="1382"/>
      <c r="P50" s="1382"/>
      <c r="Q50" s="1382"/>
      <c r="R50" s="1382"/>
      <c r="S50" s="1382"/>
      <c r="T50" s="1382"/>
      <c r="U50" s="1382"/>
      <c r="V50" s="1382"/>
      <c r="W50" s="1382"/>
      <c r="X50" s="1382"/>
      <c r="Y50" s="1382"/>
      <c r="Z50" s="1382"/>
      <c r="AA50" s="1382"/>
      <c r="AB50" s="1382"/>
      <c r="AC50" s="1382"/>
      <c r="AD50" s="1382"/>
      <c r="AE50" s="1382"/>
      <c r="AF50" s="1382"/>
      <c r="AG50" s="1382"/>
      <c r="AH50" s="1382"/>
      <c r="AI50" s="1382"/>
      <c r="AJ50" s="181"/>
      <c r="AK50" s="181"/>
      <c r="AL50" s="181"/>
      <c r="AM50" s="181"/>
      <c r="AN50" s="181"/>
      <c r="AO50" s="181"/>
      <c r="AP50" s="181"/>
      <c r="AQ50" s="181"/>
      <c r="AR50" s="181"/>
      <c r="AS50" s="181"/>
      <c r="AT50" s="181"/>
      <c r="AU50" s="181"/>
      <c r="AV50" s="181"/>
      <c r="AW50" s="181"/>
    </row>
    <row r="51" spans="1:49" s="30" customFormat="1" ht="15" customHeight="1" x14ac:dyDescent="0.25">
      <c r="A51" s="1502" t="str">
        <f>IF(SD_apply="Yes",IF(COUNTIF('01 - SD'!D51:G51,"Y")&gt;0,"Y",IF(COUNTIF('01 - SD'!D51:G51,"N"),"N","")),"")</f>
        <v>Y</v>
      </c>
      <c r="B51" s="32"/>
      <c r="C51" s="945"/>
      <c r="D51" s="10"/>
      <c r="E51" s="359" t="str">
        <f>IF('C-Design&amp;Const'!$K51="","",'C-Design&amp;Const'!$K51)</f>
        <v>N</v>
      </c>
      <c r="F51" s="235"/>
      <c r="G51" s="291"/>
      <c r="H51" s="362" t="str">
        <f>CONCATENATE(IF(ISNUMBER(SEARCH("Placeholder",'C-Design&amp;Const'!Z51))=TRUE,"",IF(E51="N","PLACEHOLDER ROW - ","")),'C-Design&amp;Const'!Z51,IF(E51="N","",J51))</f>
        <v xml:space="preserve">PLACEHOLDER ROW - Design Concept(s) </v>
      </c>
      <c r="I51" s="184"/>
      <c r="J51" s="578" t="str">
        <f>IF('C-Design&amp;Const'!AF51="","",'C-Design&amp;Const'!AF51)</f>
        <v/>
      </c>
      <c r="K51" s="25" t="str">
        <f>IF(DD_apply="Yes",IF((COUNTIF(D51:G51,"Y")=COUNTIF('01 - SD'!D51:G51,"Y")),"match","no SD match"),"-")</f>
        <v>no SD match</v>
      </c>
      <c r="L51" s="1410" t="str">
        <f t="shared" si="0"/>
        <v>&lt;---PM/Planner may hide PLACEHOLDER ROW</v>
      </c>
      <c r="M51" s="1382"/>
      <c r="N51" s="1382"/>
      <c r="O51" s="1382"/>
      <c r="P51" s="1382"/>
      <c r="Q51" s="1382"/>
      <c r="R51" s="1382"/>
      <c r="S51" s="1382"/>
      <c r="T51" s="1382"/>
      <c r="U51" s="1382"/>
      <c r="V51" s="1382"/>
      <c r="W51" s="1382"/>
      <c r="X51" s="1382"/>
      <c r="Y51" s="1382"/>
      <c r="Z51" s="1382"/>
      <c r="AA51" s="1382"/>
      <c r="AB51" s="1382"/>
      <c r="AC51" s="1382"/>
      <c r="AD51" s="1382"/>
      <c r="AE51" s="1382"/>
      <c r="AF51" s="1382"/>
      <c r="AG51" s="1382"/>
      <c r="AH51" s="1382"/>
      <c r="AI51" s="1382"/>
      <c r="AJ51" s="181"/>
      <c r="AK51" s="181"/>
      <c r="AL51" s="181"/>
      <c r="AM51" s="181"/>
      <c r="AN51" s="181"/>
      <c r="AO51" s="181"/>
      <c r="AP51" s="181"/>
      <c r="AQ51" s="181"/>
      <c r="AR51" s="181"/>
      <c r="AS51" s="181"/>
      <c r="AT51" s="181"/>
      <c r="AU51" s="181"/>
      <c r="AV51" s="181"/>
      <c r="AW51" s="181"/>
    </row>
    <row r="52" spans="1:49" ht="15" customHeight="1" x14ac:dyDescent="0.25">
      <c r="A52" s="1502" t="str">
        <f>IF(SD_apply="Yes",IF(COUNTIF('01 - SD'!D52:G52,"Y")&gt;0,"Y",IF(COUNTIF('01 - SD'!D52:G52,"N"),"N","")),"")</f>
        <v>N</v>
      </c>
      <c r="B52" s="18"/>
      <c r="C52" s="945"/>
      <c r="D52" s="547"/>
      <c r="E52" s="559" t="str">
        <f>IF('C-Design&amp;Const'!$K52="","",'C-Design&amp;Const'!$K52)</f>
        <v>N</v>
      </c>
      <c r="F52" s="478"/>
      <c r="G52" s="485"/>
      <c r="H52" s="362" t="str">
        <f>CONCATENATE(IF(ISNUMBER(SEARCH("Placeholder",'C-Design&amp;Const'!Z52))=TRUE,"",IF(E52="N","PLACEHOLDER ROW - ","")),'C-Design&amp;Const'!Z52,IF(E52="N","",J52))</f>
        <v xml:space="preserve">PLACEHOLDER ROW - Master Plan Impact and Options </v>
      </c>
      <c r="I52" s="136"/>
      <c r="J52" s="578" t="str">
        <f>IF('C-Design&amp;Const'!AF52="","",'C-Design&amp;Const'!AF52)</f>
        <v xml:space="preserve"> (Updates to) </v>
      </c>
      <c r="K52" s="25" t="str">
        <f>IF(DD_apply="Yes",IF((COUNTIF(D52:G52,"Y")=COUNTIF('01 - SD'!D52:G52,"Y")),"match","no SD match"),"-")</f>
        <v>match</v>
      </c>
      <c r="L52" s="1410" t="str">
        <f t="shared" si="0"/>
        <v>&lt;---PM/Planner may hide PLACEHOLDER ROW</v>
      </c>
      <c r="M52" s="1333"/>
      <c r="N52" s="1333"/>
      <c r="O52" s="1333"/>
      <c r="P52" s="1333"/>
      <c r="Q52" s="1333"/>
      <c r="R52" s="1453"/>
      <c r="S52" s="1284"/>
      <c r="T52" s="1284"/>
      <c r="U52" s="1333"/>
      <c r="V52" s="1333"/>
      <c r="W52" s="1333"/>
      <c r="X52" s="1333"/>
      <c r="Y52" s="1333"/>
      <c r="Z52" s="1333"/>
      <c r="AA52" s="1333"/>
      <c r="AB52" s="1333"/>
      <c r="AC52" s="1333"/>
      <c r="AD52" s="1333"/>
      <c r="AE52" s="1333"/>
      <c r="AF52" s="1333"/>
      <c r="AG52" s="1333"/>
      <c r="AH52" s="1333"/>
      <c r="AI52" s="1333"/>
    </row>
    <row r="53" spans="1:49" ht="15" customHeight="1" x14ac:dyDescent="0.25">
      <c r="A53" s="1502" t="str">
        <f>IF(SD_apply="Yes",IF(COUNTIF('01 - SD'!D53:G53,"Y")&gt;0,"Y",IF(COUNTIF('01 - SD'!D53:G53,"N"),"N","")),"")</f>
        <v>Y</v>
      </c>
      <c r="B53" s="18"/>
      <c r="C53" s="945"/>
      <c r="D53" s="547"/>
      <c r="E53" s="559" t="str">
        <f>IF('C-Design&amp;Const'!$K53="","",'C-Design&amp;Const'!$K53)</f>
        <v>N</v>
      </c>
      <c r="F53" s="478"/>
      <c r="G53" s="485"/>
      <c r="H53" s="795" t="str">
        <f>CONCATENATE(IF(ISNUMBER(SEARCH("Placeholder",'C-Design&amp;Const'!Z53))=TRUE,"",IF(E53="N","PLACEHOLDER ROW - ","")),'C-Design&amp;Const'!Z53,IF(E53="N","",J53))</f>
        <v>PLACEHOLDER ROW - Required adjacent property acquisitions</v>
      </c>
      <c r="I53" s="136"/>
      <c r="J53" s="578" t="str">
        <f>IF('C-Design&amp;Const'!AF53="","",'C-Design&amp;Const'!AF53)</f>
        <v xml:space="preserve"> (Updates to) </v>
      </c>
      <c r="K53" s="25" t="str">
        <f>IF(DD_apply="Yes",IF((COUNTIF(D53:G53,"Y")=COUNTIF('01 - SD'!D53:G53,"Y")),"match","no SD match"),"-")</f>
        <v>no SD match</v>
      </c>
      <c r="L53" s="1410" t="str">
        <f t="shared" si="0"/>
        <v>&lt;---PM/Planner may hide PLACEHOLDER ROW</v>
      </c>
      <c r="M53" s="1333"/>
      <c r="N53" s="1333"/>
      <c r="O53" s="1333"/>
      <c r="P53" s="1333"/>
      <c r="Q53" s="1333"/>
      <c r="R53" s="1453"/>
      <c r="S53" s="1284"/>
      <c r="T53" s="1284"/>
      <c r="U53" s="1333"/>
      <c r="V53" s="1333"/>
      <c r="W53" s="1333"/>
      <c r="X53" s="1333"/>
      <c r="Y53" s="1333"/>
      <c r="Z53" s="1333"/>
      <c r="AA53" s="1333"/>
      <c r="AB53" s="1333"/>
      <c r="AC53" s="1333"/>
      <c r="AD53" s="1333"/>
      <c r="AE53" s="1333"/>
      <c r="AF53" s="1333"/>
      <c r="AG53" s="1333"/>
      <c r="AH53" s="1333"/>
      <c r="AI53" s="1333"/>
    </row>
    <row r="54" spans="1:49" ht="15" customHeight="1" x14ac:dyDescent="0.25">
      <c r="A54" s="1502" t="str">
        <f>IF(SD_apply="Yes",IF(COUNTIF('01 - SD'!D54:G54,"Y")&gt;0,"Y",IF(COUNTIF('01 - SD'!D54:G54,"N"),"N","")),"")</f>
        <v>N</v>
      </c>
      <c r="B54" s="18"/>
      <c r="C54" s="945"/>
      <c r="D54" s="547"/>
      <c r="E54" s="559" t="str">
        <f>IF('C-Design&amp;Const'!$K54="","",'C-Design&amp;Const'!$K54)</f>
        <v>N</v>
      </c>
      <c r="F54" s="478"/>
      <c r="G54" s="485"/>
      <c r="H54" s="795" t="str">
        <f>CONCATENATE(IF(ISNUMBER(SEARCH("Placeholder",'C-Design&amp;Const'!Z54))=TRUE,"",IF(E54="N","PLACEHOLDER ROW - ","")),'C-Design&amp;Const'!Z54,IF(E54="N","",J54))</f>
        <v>PLACEHOLDER ROW - CUSTOM ROW - OPTIONAL CLIENT ITEM</v>
      </c>
      <c r="I54" s="136"/>
      <c r="J54" s="578" t="str">
        <f>IF('C-Design&amp;Const'!AF54="","",'C-Design&amp;Const'!AF54)</f>
        <v xml:space="preserve"> (Updates to) </v>
      </c>
      <c r="K54" s="25" t="str">
        <f>IF(DD_apply="Yes",IF((COUNTIF(D54:G54,"Y")=COUNTIF('01 - SD'!D54:G54,"Y")),"match","no SD match"),"-")</f>
        <v>match</v>
      </c>
      <c r="L54" s="1410" t="str">
        <f t="shared" si="0"/>
        <v>&lt;---PM/Planner may hide PLACEHOLDER ROW</v>
      </c>
      <c r="M54" s="1333"/>
      <c r="N54" s="1333"/>
      <c r="O54" s="1333"/>
      <c r="P54" s="1333"/>
      <c r="Q54" s="1333"/>
      <c r="R54" s="1453"/>
      <c r="S54" s="1284"/>
      <c r="T54" s="1284"/>
      <c r="U54" s="1333"/>
      <c r="V54" s="1333"/>
      <c r="W54" s="1333"/>
      <c r="X54" s="1333"/>
      <c r="Y54" s="1333"/>
      <c r="Z54" s="1333"/>
      <c r="AA54" s="1333"/>
      <c r="AB54" s="1333"/>
      <c r="AC54" s="1333"/>
      <c r="AD54" s="1333"/>
      <c r="AE54" s="1333"/>
      <c r="AF54" s="1333"/>
      <c r="AG54" s="1333"/>
      <c r="AH54" s="1333"/>
      <c r="AI54" s="1333"/>
    </row>
    <row r="55" spans="1:49" ht="15" hidden="1" customHeight="1" x14ac:dyDescent="0.25">
      <c r="A55" s="1502" t="str">
        <f>IF(SD_apply="Yes",IF(COUNTIF('01 - SD'!D55:G55,"Y")&gt;0,"Y",IF(COUNTIF('01 - SD'!D55:G55,"N"),"N","")),"")</f>
        <v>N</v>
      </c>
      <c r="B55" s="18"/>
      <c r="C55" s="945"/>
      <c r="D55" s="547"/>
      <c r="E55" s="559" t="str">
        <f>IF('C-Design&amp;Const'!$K55="","",'C-Design&amp;Const'!$K55)</f>
        <v>N</v>
      </c>
      <c r="F55" s="478"/>
      <c r="G55" s="485"/>
      <c r="H55" s="795" t="str">
        <f>CONCATENATE(IF(ISNUMBER(SEARCH("Placeholder",'C-Design&amp;Const'!Z55))=TRUE,"",IF(E55="N","PLACEHOLDER ROW - ","")),'C-Design&amp;Const'!Z55,IF(E55="N","",J55))</f>
        <v>PLACEHOLDER ROW - CUSTOM ROW - OPTIONAL CLIENT ITEM</v>
      </c>
      <c r="I55" s="136"/>
      <c r="J55" s="578" t="str">
        <f>IF('C-Design&amp;Const'!AF55="","",'C-Design&amp;Const'!AF55)</f>
        <v/>
      </c>
      <c r="K55" s="25" t="str">
        <f>IF(DD_apply="Yes",IF((COUNTIF(D55:G55,"Y")=COUNTIF('01 - SD'!D55:G55,"Y")),"match","no SD match"),"-")</f>
        <v>match</v>
      </c>
      <c r="L55" s="1410" t="str">
        <f t="shared" si="0"/>
        <v>&lt;---PM/Planner may hide PLACEHOLDER ROW</v>
      </c>
      <c r="M55" s="1333"/>
      <c r="N55" s="1333"/>
      <c r="O55" s="1333"/>
      <c r="P55" s="1333"/>
      <c r="Q55" s="1333"/>
      <c r="R55" s="1453"/>
      <c r="S55" s="1284"/>
      <c r="T55" s="1284"/>
      <c r="U55" s="1333"/>
      <c r="V55" s="1333"/>
      <c r="W55" s="1333"/>
      <c r="X55" s="1333"/>
      <c r="Y55" s="1333"/>
      <c r="Z55" s="1333"/>
      <c r="AA55" s="1333"/>
      <c r="AB55" s="1333"/>
      <c r="AC55" s="1333"/>
      <c r="AD55" s="1333"/>
      <c r="AE55" s="1333"/>
      <c r="AF55" s="1333"/>
      <c r="AG55" s="1333"/>
      <c r="AH55" s="1333"/>
      <c r="AI55" s="1333"/>
    </row>
    <row r="56" spans="1:49" ht="15.75" x14ac:dyDescent="0.25">
      <c r="A56" s="1502" t="str">
        <f>IF(SD_apply="Yes",IF(COUNTIF('01 - SD'!D56:G56,"Y")&gt;0,"Y",IF(COUNTIF('01 - SD'!D56:G56,"N"),"N","")),"")</f>
        <v>Y</v>
      </c>
      <c r="B56" s="18"/>
      <c r="C56" s="945"/>
      <c r="D56" s="547"/>
      <c r="E56" s="559" t="str">
        <f>IF('C-Design&amp;Const'!$K56="","",'C-Design&amp;Const'!$K56)</f>
        <v>Y</v>
      </c>
      <c r="F56" s="478"/>
      <c r="G56" s="485"/>
      <c r="H56" s="462" t="str">
        <f>CONCATENATE(IF(F56="N","PLACEHOLDER ROW - ",""),'C-Design&amp;Const'!Z56,IF(F56="N","",J56))</f>
        <v xml:space="preserve">Building &amp; Site Systems Narratives (Updates to) </v>
      </c>
      <c r="I56" s="136"/>
      <c r="J56" s="578" t="str">
        <f>IF('C-Design&amp;Const'!AF56="","",'C-Design&amp;Const'!AF56)</f>
        <v xml:space="preserve"> (Updates to) </v>
      </c>
      <c r="K56" s="25" t="str">
        <f>IF(DD_apply="Yes",IF((COUNTIF(D56:G56,"Y")=COUNTIF('01 - SD'!D56:G56,"Y")),"match","no SD match"),"-")</f>
        <v>match</v>
      </c>
      <c r="L56" s="1410" t="str">
        <f t="shared" si="0"/>
        <v/>
      </c>
      <c r="M56" s="1333"/>
      <c r="N56" s="1333"/>
      <c r="O56" s="1333"/>
      <c r="P56" s="1333"/>
      <c r="Q56" s="1333"/>
      <c r="R56" s="1453"/>
      <c r="S56" s="1284"/>
      <c r="T56" s="1284"/>
      <c r="U56" s="1333"/>
      <c r="V56" s="1333"/>
      <c r="W56" s="1333"/>
      <c r="X56" s="1333"/>
      <c r="Y56" s="1333"/>
      <c r="Z56" s="1333"/>
      <c r="AA56" s="1333"/>
      <c r="AB56" s="1333"/>
      <c r="AC56" s="1333"/>
      <c r="AD56" s="1333"/>
      <c r="AE56" s="1333"/>
      <c r="AF56" s="1333"/>
      <c r="AG56" s="1333"/>
      <c r="AH56" s="1333"/>
      <c r="AI56" s="1333"/>
    </row>
    <row r="57" spans="1:49" ht="24.75" customHeight="1" x14ac:dyDescent="0.25">
      <c r="A57" s="1503" t="str">
        <f>IF(SD_apply="Yes",IF(COUNTIF('01 - SD'!D57:G57,"Y")&gt;0,"Y",IF(COUNTIF('01 - SD'!D57:G57,"N"),"N","")),"")</f>
        <v/>
      </c>
      <c r="B57" s="18"/>
      <c r="C57" s="945"/>
      <c r="D57" s="547"/>
      <c r="E57" s="499"/>
      <c r="F57" s="487"/>
      <c r="G57" s="485"/>
      <c r="H57" s="362" t="str">
        <f>CONCATENATE(IF(F57="N","PLACEHOLDER ROW - ",""),'C-Design&amp;Const'!Z57,IF(F57="N","",J57))</f>
        <v>Under separate bound cover, any detailed results, reports, surveys, tests, etc… for existing systems verification.</v>
      </c>
      <c r="I57" s="136"/>
      <c r="J57" s="578" t="str">
        <f>IF('C-Design&amp;Const'!AF57="","",'C-Design&amp;Const'!AF57)</f>
        <v/>
      </c>
      <c r="K57" s="25" t="str">
        <f>IF(DD_apply="Yes",IF((COUNTIF(D57:G57,"Y")=COUNTIF('01 - SD'!D57:G57,"Y")),"match","no SD match"),"-")</f>
        <v>match</v>
      </c>
      <c r="L57" s="1410" t="str">
        <f t="shared" si="0"/>
        <v/>
      </c>
      <c r="M57" s="1333"/>
      <c r="N57" s="1333"/>
      <c r="O57" s="1333"/>
      <c r="P57" s="1333"/>
      <c r="Q57" s="1333"/>
      <c r="R57" s="1453"/>
      <c r="S57" s="1284"/>
      <c r="T57" s="1284"/>
      <c r="U57" s="1333"/>
      <c r="V57" s="1333"/>
      <c r="W57" s="1333"/>
      <c r="X57" s="1333"/>
      <c r="Y57" s="1333"/>
      <c r="Z57" s="1333"/>
      <c r="AA57" s="1333"/>
      <c r="AB57" s="1333"/>
      <c r="AC57" s="1333"/>
      <c r="AD57" s="1333"/>
      <c r="AE57" s="1333"/>
      <c r="AF57" s="1333"/>
      <c r="AG57" s="1333"/>
      <c r="AH57" s="1333"/>
      <c r="AI57" s="1333"/>
    </row>
    <row r="58" spans="1:49" ht="43.5" customHeight="1" x14ac:dyDescent="0.25">
      <c r="A58" s="1504" t="str">
        <f>IF(SD_apply="Yes",IF(COUNTIF('01 - SD'!D58:G58,"Y")&gt;0,"Y",IF(COUNTIF('01 - SD'!D58:G58,"N"),"N","")),"")</f>
        <v>Y</v>
      </c>
      <c r="B58" s="18"/>
      <c r="C58" s="945"/>
      <c r="D58" s="547"/>
      <c r="E58" s="466"/>
      <c r="F58" s="559" t="str">
        <f>IF('C-Design&amp;Const'!$K58="","",'C-Design&amp;Const'!$K58)</f>
        <v>Y</v>
      </c>
      <c r="G58" s="485"/>
      <c r="H58" s="408" t="str">
        <f>CONCATENATE(IF(F58="N","PLACEHOLDER ROW - ",""),'C-Design&amp;Const'!Z58,IF(F58="N","",J58))</f>
        <v xml:space="preserve">Site / Civil / Landscape - Storm Water Management for changes in impervious area **(List assumptions for mitigation.  Verify existing system.  Any outlet into field tiles must be verified for size, location, and condition) (Updates to) </v>
      </c>
      <c r="I58" s="136"/>
      <c r="J58" s="578" t="str">
        <f>IF('C-Design&amp;Const'!AF58="","",'C-Design&amp;Const'!AF58)</f>
        <v xml:space="preserve"> (Updates to) </v>
      </c>
      <c r="K58" s="25" t="str">
        <f>IF(DD_apply="Yes",IF((COUNTIF(D58:G58,"Y")=COUNTIF('01 - SD'!D58:G58,"Y")),"match","no SD match"),"-")</f>
        <v>match</v>
      </c>
      <c r="L58" s="1410" t="str">
        <f t="shared" si="0"/>
        <v/>
      </c>
      <c r="M58" s="1333"/>
      <c r="N58" s="1333"/>
      <c r="O58" s="1333"/>
      <c r="P58" s="1333"/>
      <c r="Q58" s="1333"/>
      <c r="R58" s="1453"/>
      <c r="S58" s="1284"/>
      <c r="T58" s="1284"/>
      <c r="U58" s="1333"/>
      <c r="V58" s="1333"/>
      <c r="W58" s="1333"/>
      <c r="X58" s="1333"/>
      <c r="Y58" s="1333"/>
      <c r="Z58" s="1333"/>
      <c r="AA58" s="1333"/>
      <c r="AB58" s="1333"/>
      <c r="AC58" s="1333"/>
      <c r="AD58" s="1333"/>
      <c r="AE58" s="1333"/>
      <c r="AF58" s="1333"/>
      <c r="AG58" s="1333"/>
      <c r="AH58" s="1333"/>
      <c r="AI58" s="1333"/>
    </row>
    <row r="59" spans="1:49" ht="28.5" x14ac:dyDescent="0.25">
      <c r="A59" s="1504" t="str">
        <f>IF(SD_apply="Yes",IF(COUNTIF('01 - SD'!D59:G59,"Y")&gt;0,"Y",IF(COUNTIF('01 - SD'!D59:G59,"N"),"N","")),"")</f>
        <v>Y</v>
      </c>
      <c r="B59" s="18"/>
      <c r="C59" s="945"/>
      <c r="D59" s="547"/>
      <c r="E59" s="466"/>
      <c r="F59" s="559" t="str">
        <f>IF('C-Design&amp;Const'!$K59="","",'C-Design&amp;Const'!$K59)</f>
        <v>Y</v>
      </c>
      <c r="G59" s="485"/>
      <c r="H59" s="408" t="str">
        <f>CONCATENATE(IF(F59="N","PLACEHOLDER ROW - ",""),'C-Design&amp;Const'!Z59,IF(F59="N","",J59))</f>
        <v xml:space="preserve">Site / Civil / Landscape - Bike Parking, Vehicle Parking,  Driveways, Multimodal Transporation (Updates to) </v>
      </c>
      <c r="I59" s="136"/>
      <c r="J59" s="578" t="str">
        <f>IF('C-Design&amp;Const'!AF59="","",'C-Design&amp;Const'!AF59)</f>
        <v xml:space="preserve"> (Updates to) </v>
      </c>
      <c r="K59" s="25" t="str">
        <f>IF(DD_apply="Yes",IF((COUNTIF(D59:G59,"Y")=COUNTIF('01 - SD'!D59:G59,"Y")),"match","no SD match"),"-")</f>
        <v>match</v>
      </c>
      <c r="L59" s="1410" t="str">
        <f t="shared" si="0"/>
        <v/>
      </c>
      <c r="M59" s="1333"/>
      <c r="N59" s="1333"/>
      <c r="O59" s="1333"/>
      <c r="P59" s="1333"/>
      <c r="Q59" s="1333"/>
      <c r="R59" s="1453"/>
      <c r="S59" s="1284"/>
      <c r="T59" s="1284"/>
      <c r="U59" s="1333"/>
      <c r="V59" s="1333"/>
      <c r="W59" s="1333"/>
      <c r="X59" s="1333"/>
      <c r="Y59" s="1333"/>
      <c r="Z59" s="1333"/>
      <c r="AA59" s="1333"/>
      <c r="AB59" s="1333"/>
      <c r="AC59" s="1333"/>
      <c r="AD59" s="1333"/>
      <c r="AE59" s="1333"/>
      <c r="AF59" s="1333"/>
      <c r="AG59" s="1333"/>
      <c r="AH59" s="1333"/>
      <c r="AI59" s="1333"/>
    </row>
    <row r="60" spans="1:49" s="543" customFormat="1" ht="15.75" x14ac:dyDescent="0.25">
      <c r="A60" s="1505" t="str">
        <f>IF(SD_apply="Yes",IF(COUNTIF('01 - SD'!D60:G60,"Y")&gt;0,"Y",IF(COUNTIF('01 - SD'!D60:G60,"N"),"N","")),"")</f>
        <v>Y</v>
      </c>
      <c r="B60" s="21"/>
      <c r="C60" s="946"/>
      <c r="D60" s="547"/>
      <c r="E60" s="1056"/>
      <c r="F60" s="489" t="str">
        <f>IF('C-Design&amp;Const'!$K60="","",'C-Design&amp;Const'!$K60)</f>
        <v>Y</v>
      </c>
      <c r="G60" s="1057"/>
      <c r="H60" s="1025" t="str">
        <f>CONCATENATE(IF(F60="N","PLACEHOLDER ROW - ",""),'C-Design&amp;Const'!Z60,IF(F60="N","",J60))</f>
        <v xml:space="preserve">Site / Civil / Landscape - Waste &amp; Recycling Hauling, Service Access, &amp; Loading Zones (Updates to) </v>
      </c>
      <c r="I60" s="1058"/>
      <c r="J60" s="1059" t="str">
        <f>IF('C-Design&amp;Const'!AF60="","",'C-Design&amp;Const'!AF60)</f>
        <v xml:space="preserve"> (Updates to) </v>
      </c>
      <c r="K60" s="1060" t="str">
        <f>IF(DD_apply="Yes",IF((COUNTIF(D60:G60,"Y")=COUNTIF('01 - SD'!D60:G60,"Y")),"match","no SD match"),"-")</f>
        <v>match</v>
      </c>
      <c r="L60" s="1485" t="str">
        <f t="shared" ref="L60" si="1">CONCATENATE(IF(ISNUMBER(SEARCH("Placeholder",H60))=TRUE,"&lt;---PM/Planner may hide PLACEHOLDER ROW",""))</f>
        <v/>
      </c>
      <c r="M60" s="1449"/>
      <c r="N60" s="1449"/>
      <c r="O60" s="1449"/>
      <c r="P60" s="1449"/>
      <c r="Q60" s="1449"/>
      <c r="R60" s="1486"/>
      <c r="S60" s="1364"/>
      <c r="T60" s="1364"/>
      <c r="U60" s="1449"/>
      <c r="V60" s="1449"/>
      <c r="W60" s="1449"/>
      <c r="X60" s="1449"/>
      <c r="Y60" s="1449"/>
      <c r="Z60" s="1449"/>
      <c r="AA60" s="1449"/>
      <c r="AB60" s="1449"/>
      <c r="AC60" s="1449"/>
      <c r="AD60" s="1449"/>
      <c r="AE60" s="1449"/>
      <c r="AF60" s="1449"/>
      <c r="AG60" s="1449"/>
      <c r="AH60" s="1449"/>
      <c r="AI60" s="1449"/>
      <c r="AJ60" s="255"/>
      <c r="AK60" s="255"/>
      <c r="AL60" s="255"/>
      <c r="AM60" s="255"/>
      <c r="AN60" s="255"/>
      <c r="AO60" s="255"/>
      <c r="AP60" s="255"/>
      <c r="AQ60" s="255"/>
      <c r="AR60" s="255"/>
      <c r="AS60" s="255"/>
      <c r="AT60" s="255"/>
      <c r="AU60" s="255"/>
      <c r="AV60" s="255"/>
      <c r="AW60" s="255"/>
    </row>
    <row r="61" spans="1:49" ht="15.75" x14ac:dyDescent="0.25">
      <c r="A61" s="1504" t="str">
        <f>IF(SD_apply="Yes",IF(COUNTIF('01 - SD'!D61:G61,"Y")&gt;0,"Y",IF(COUNTIF('01 - SD'!D61:G61,"N"),"N","")),"")</f>
        <v>Y</v>
      </c>
      <c r="B61" s="18"/>
      <c r="C61" s="945"/>
      <c r="D61" s="547"/>
      <c r="E61" s="466"/>
      <c r="F61" s="559" t="str">
        <f>IF('C-Design&amp;Const'!$K61="","",'C-Design&amp;Const'!$K61)</f>
        <v>Y</v>
      </c>
      <c r="G61" s="485"/>
      <c r="H61" s="408" t="str">
        <f>CONCATENATE(IF(F61="N","PLACEHOLDER ROW - ",""),'C-Design&amp;Const'!Z61,IF(F61="N","",J61))</f>
        <v xml:space="preserve">Site / Civil / Landscape - Sidewalks, Plazas, Landscape (Updates to) </v>
      </c>
      <c r="I61" s="136"/>
      <c r="J61" s="578" t="str">
        <f>IF('C-Design&amp;Const'!AF61="","",'C-Design&amp;Const'!AF61)</f>
        <v xml:space="preserve"> (Updates to) </v>
      </c>
      <c r="K61" s="25" t="str">
        <f>IF(DD_apply="Yes",IF((COUNTIF(D61:G61,"Y")=COUNTIF('01 - SD'!D61:G61,"Y")),"match","no SD match"),"-")</f>
        <v>match</v>
      </c>
      <c r="L61" s="1410" t="str">
        <f t="shared" si="0"/>
        <v/>
      </c>
      <c r="M61" s="1333"/>
      <c r="N61" s="1333"/>
      <c r="O61" s="1333"/>
      <c r="P61" s="1333"/>
      <c r="Q61" s="1333"/>
      <c r="R61" s="1453"/>
      <c r="S61" s="1284"/>
      <c r="T61" s="1284"/>
      <c r="U61" s="1333"/>
      <c r="V61" s="1333"/>
      <c r="W61" s="1333"/>
      <c r="X61" s="1333"/>
      <c r="Y61" s="1333"/>
      <c r="Z61" s="1333"/>
      <c r="AA61" s="1333"/>
      <c r="AB61" s="1333"/>
      <c r="AC61" s="1333"/>
      <c r="AD61" s="1333"/>
      <c r="AE61" s="1333"/>
      <c r="AF61" s="1333"/>
      <c r="AG61" s="1333"/>
      <c r="AH61" s="1333"/>
      <c r="AI61" s="1333"/>
    </row>
    <row r="62" spans="1:49" ht="15.75" x14ac:dyDescent="0.25">
      <c r="A62" s="1504" t="str">
        <f>IF(SD_apply="Yes",IF(COUNTIF('01 - SD'!D62:G62,"Y")&gt;0,"Y",IF(COUNTIF('01 - SD'!D62:G62,"N"),"N","")),"")</f>
        <v>Y</v>
      </c>
      <c r="B62" s="18"/>
      <c r="C62" s="945"/>
      <c r="D62" s="547"/>
      <c r="E62" s="466"/>
      <c r="F62" s="559" t="str">
        <f>IF('C-Design&amp;Const'!$K62="","",'C-Design&amp;Const'!$K62)</f>
        <v>Y</v>
      </c>
      <c r="G62" s="485"/>
      <c r="H62" s="408" t="str">
        <f>CONCATENATE(IF(F62="N","PLACEHOLDER ROW - ",""),'C-Design&amp;Const'!Z62,IF(F62="N","",J62))</f>
        <v xml:space="preserve">Site / Civil / Landscape - Demolition &amp; Site Clearing (Updates to) </v>
      </c>
      <c r="I62" s="136"/>
      <c r="J62" s="578" t="str">
        <f>IF('C-Design&amp;Const'!AF62="","",'C-Design&amp;Const'!AF62)</f>
        <v xml:space="preserve"> (Updates to) </v>
      </c>
      <c r="K62" s="25" t="str">
        <f>IF(DD_apply="Yes",IF((COUNTIF(D62:G62,"Y")=COUNTIF('01 - SD'!D62:G62,"Y")),"match","no SD match"),"-")</f>
        <v>match</v>
      </c>
      <c r="L62" s="1410" t="str">
        <f t="shared" si="0"/>
        <v/>
      </c>
      <c r="M62" s="1333"/>
      <c r="N62" s="1333"/>
      <c r="O62" s="1333"/>
      <c r="P62" s="1333"/>
      <c r="Q62" s="1333"/>
      <c r="R62" s="1453"/>
      <c r="S62" s="1284"/>
      <c r="T62" s="1284"/>
      <c r="U62" s="1333"/>
      <c r="V62" s="1333"/>
      <c r="W62" s="1333"/>
      <c r="X62" s="1333"/>
      <c r="Y62" s="1333"/>
      <c r="Z62" s="1333"/>
      <c r="AA62" s="1333"/>
      <c r="AB62" s="1333"/>
      <c r="AC62" s="1333"/>
      <c r="AD62" s="1333"/>
      <c r="AE62" s="1333"/>
      <c r="AF62" s="1333"/>
      <c r="AG62" s="1333"/>
      <c r="AH62" s="1333"/>
      <c r="AI62" s="1333"/>
    </row>
    <row r="63" spans="1:49" ht="15.75" x14ac:dyDescent="0.25">
      <c r="A63" s="1504" t="str">
        <f>IF(SD_apply="Yes",IF(COUNTIF('01 - SD'!D63:G63,"Y")&gt;0,"Y",IF(COUNTIF('01 - SD'!D63:G63,"N"),"N","")),"")</f>
        <v>Y</v>
      </c>
      <c r="B63" s="18"/>
      <c r="C63" s="945"/>
      <c r="D63" s="547"/>
      <c r="E63" s="466"/>
      <c r="F63" s="559" t="str">
        <f>IF('C-Design&amp;Const'!$K63="","",'C-Design&amp;Const'!$K63)</f>
        <v>Y</v>
      </c>
      <c r="G63" s="485"/>
      <c r="H63" s="408" t="str">
        <f>CONCATENATE(IF(F63="N","PLACEHOLDER ROW - ",""),'C-Design&amp;Const'!Z63,IF(F63="N","",J63))</f>
        <v xml:space="preserve">Site / Civil / Landscape - Utility Relocations (Updates to) </v>
      </c>
      <c r="I63" s="136"/>
      <c r="J63" s="578" t="str">
        <f>IF('C-Design&amp;Const'!AF63="","",'C-Design&amp;Const'!AF63)</f>
        <v xml:space="preserve"> (Updates to) </v>
      </c>
      <c r="K63" s="25" t="str">
        <f>IF(DD_apply="Yes",IF((COUNTIF(D63:G63,"Y")=COUNTIF('01 - SD'!D63:G63,"Y")),"match","no SD match"),"-")</f>
        <v>match</v>
      </c>
      <c r="L63" s="1410" t="str">
        <f t="shared" si="0"/>
        <v/>
      </c>
      <c r="M63" s="1333"/>
      <c r="N63" s="1333"/>
      <c r="O63" s="1333"/>
      <c r="P63" s="1333"/>
      <c r="Q63" s="1333"/>
      <c r="R63" s="1453"/>
      <c r="S63" s="1284"/>
      <c r="T63" s="1284"/>
      <c r="U63" s="1333"/>
      <c r="V63" s="1333"/>
      <c r="W63" s="1333"/>
      <c r="X63" s="1333"/>
      <c r="Y63" s="1333"/>
      <c r="Z63" s="1333"/>
      <c r="AA63" s="1333"/>
      <c r="AB63" s="1333"/>
      <c r="AC63" s="1333"/>
      <c r="AD63" s="1333"/>
      <c r="AE63" s="1333"/>
      <c r="AF63" s="1333"/>
      <c r="AG63" s="1333"/>
      <c r="AH63" s="1333"/>
      <c r="AI63" s="1333"/>
    </row>
    <row r="64" spans="1:49" ht="15.75" x14ac:dyDescent="0.25">
      <c r="A64" s="1504" t="str">
        <f>IF(SD_apply="Yes",IF(COUNTIF('01 - SD'!D64:G64,"Y")&gt;0,"Y",IF(COUNTIF('01 - SD'!D64:G64,"N"),"N","")),"")</f>
        <v>Y</v>
      </c>
      <c r="B64" s="18"/>
      <c r="C64" s="945"/>
      <c r="D64" s="547"/>
      <c r="E64" s="466"/>
      <c r="F64" s="559" t="str">
        <f>IF('C-Design&amp;Const'!$K64="","",'C-Design&amp;Const'!$K64)</f>
        <v>Y</v>
      </c>
      <c r="G64" s="485"/>
      <c r="H64" s="408" t="str">
        <f>CONCATENATE(IF(F64="N","PLACEHOLDER ROW - ",""),'C-Design&amp;Const'!Z64,IF(F64="N","",J64))</f>
        <v xml:space="preserve">Site / Civil / Landscape - Utility Abandonments (Updates to) </v>
      </c>
      <c r="I64" s="136"/>
      <c r="J64" s="578" t="str">
        <f>IF('C-Design&amp;Const'!AF64="","",'C-Design&amp;Const'!AF64)</f>
        <v xml:space="preserve"> (Updates to) </v>
      </c>
      <c r="K64" s="25" t="str">
        <f>IF(DD_apply="Yes",IF((COUNTIF(D64:G64,"Y")=COUNTIF('01 - SD'!D64:G64,"Y")),"match","no SD match"),"-")</f>
        <v>match</v>
      </c>
      <c r="L64" s="1410" t="str">
        <f t="shared" si="0"/>
        <v/>
      </c>
      <c r="M64" s="1333"/>
      <c r="N64" s="1333"/>
      <c r="O64" s="1333"/>
      <c r="P64" s="1333"/>
      <c r="Q64" s="1333"/>
      <c r="R64" s="1453"/>
      <c r="S64" s="1284"/>
      <c r="T64" s="1284"/>
      <c r="U64" s="1333"/>
      <c r="V64" s="1333"/>
      <c r="W64" s="1333"/>
      <c r="X64" s="1333"/>
      <c r="Y64" s="1333"/>
      <c r="Z64" s="1333"/>
      <c r="AA64" s="1333"/>
      <c r="AB64" s="1333"/>
      <c r="AC64" s="1333"/>
      <c r="AD64" s="1333"/>
      <c r="AE64" s="1333"/>
      <c r="AF64" s="1333"/>
      <c r="AG64" s="1333"/>
      <c r="AH64" s="1333"/>
      <c r="AI64" s="1333"/>
    </row>
    <row r="65" spans="1:49" ht="15.75" x14ac:dyDescent="0.25">
      <c r="A65" s="1504" t="str">
        <f>IF(SD_apply="Yes",IF(COUNTIF('01 - SD'!D65:G65,"Y")&gt;0,"Y",IF(COUNTIF('01 - SD'!D65:G65,"N"),"N","")),"")</f>
        <v>N</v>
      </c>
      <c r="B65" s="18"/>
      <c r="C65" s="945"/>
      <c r="D65" s="547"/>
      <c r="E65" s="466"/>
      <c r="F65" s="559" t="str">
        <f>IF('C-Design&amp;Const'!$K65="","",'C-Design&amp;Const'!$K65)</f>
        <v>N</v>
      </c>
      <c r="G65" s="485"/>
      <c r="H65" s="408" t="str">
        <f>CONCATENATE(IF(F65="N","PLACEHOLDER ROW - ",""),'C-Design&amp;Const'!Z65,IF(F65="N","",J65))</f>
        <v>PLACEHOLDER ROW - Site / Civil / Landscape - CUSTOM</v>
      </c>
      <c r="I65" s="136"/>
      <c r="J65" s="578" t="str">
        <f>IF('C-Design&amp;Const'!AF65="","",'C-Design&amp;Const'!AF65)</f>
        <v xml:space="preserve"> (Updates to) </v>
      </c>
      <c r="K65" s="25" t="str">
        <f>IF(DD_apply="Yes",IF((COUNTIF(D65:G65,"Y")=COUNTIF('01 - SD'!D65:G65,"Y")),"match","no SD match"),"-")</f>
        <v>match</v>
      </c>
      <c r="L65" s="1410" t="str">
        <f t="shared" si="0"/>
        <v>&lt;---PM/Planner may hide PLACEHOLDER ROW</v>
      </c>
      <c r="M65" s="1333"/>
      <c r="N65" s="1333"/>
      <c r="O65" s="1333"/>
      <c r="P65" s="1333"/>
      <c r="Q65" s="1333"/>
      <c r="R65" s="1453"/>
      <c r="S65" s="1284"/>
      <c r="T65" s="1284"/>
      <c r="U65" s="1333"/>
      <c r="V65" s="1333"/>
      <c r="W65" s="1333"/>
      <c r="X65" s="1333"/>
      <c r="Y65" s="1333"/>
      <c r="Z65" s="1333"/>
      <c r="AA65" s="1333"/>
      <c r="AB65" s="1333"/>
      <c r="AC65" s="1333"/>
      <c r="AD65" s="1333"/>
      <c r="AE65" s="1333"/>
      <c r="AF65" s="1333"/>
      <c r="AG65" s="1333"/>
      <c r="AH65" s="1333"/>
      <c r="AI65" s="1333"/>
    </row>
    <row r="66" spans="1:49" s="542" customFormat="1" ht="15.75" x14ac:dyDescent="0.25">
      <c r="A66" s="1504" t="str">
        <f>IF(SD_apply="Yes",IF(COUNTIF('01 - SD'!D66:G66,"Y")&gt;0,"Y",IF(COUNTIF('01 - SD'!D66:G66,"N"),"N","")),"")</f>
        <v>Y</v>
      </c>
      <c r="B66" s="18"/>
      <c r="C66" s="945"/>
      <c r="D66" s="547"/>
      <c r="E66" s="466"/>
      <c r="F66" s="559" t="str">
        <f>IF('C-Design&amp;Const'!$K66="","",'C-Design&amp;Const'!$K66)</f>
        <v>Y</v>
      </c>
      <c r="G66" s="485"/>
      <c r="H66" s="408" t="str">
        <f>CONCATENATE(IF(F66="N","PLACEHOLDER ROW - ",""),'C-Design&amp;Const'!Z66,IF(F66="N","",J66))</f>
        <v xml:space="preserve">Architectural - Demolition(s) (Updates to) </v>
      </c>
      <c r="I66" s="136"/>
      <c r="J66" s="578" t="str">
        <f>IF('C-Design&amp;Const'!AF66="","",'C-Design&amp;Const'!AF66)</f>
        <v xml:space="preserve"> (Updates to) </v>
      </c>
      <c r="K66" s="25" t="str">
        <f>IF(DD_apply="Yes",IF((COUNTIF(D66:G66,"Y")=COUNTIF('01 - SD'!D66:G66,"Y")),"match","no SD match"),"-")</f>
        <v>match</v>
      </c>
      <c r="L66" s="1410" t="str">
        <f t="shared" ref="L66" si="2">CONCATENATE(IF(ISNUMBER(SEARCH("Placeholder",H66))=TRUE,"&lt;---PM/Planner may hide PLACEHOLDER ROW",""))</f>
        <v/>
      </c>
      <c r="M66" s="1333"/>
      <c r="N66" s="1333"/>
      <c r="O66" s="1333"/>
      <c r="P66" s="1333"/>
      <c r="Q66" s="1333"/>
      <c r="R66" s="1453"/>
      <c r="S66" s="1284"/>
      <c r="T66" s="1284"/>
      <c r="U66" s="1333"/>
      <c r="V66" s="1333"/>
      <c r="W66" s="1333"/>
      <c r="X66" s="1333"/>
      <c r="Y66" s="1333"/>
      <c r="Z66" s="1333"/>
      <c r="AA66" s="1333"/>
      <c r="AB66" s="1333"/>
      <c r="AC66" s="1333"/>
      <c r="AD66" s="1333"/>
      <c r="AE66" s="1333"/>
      <c r="AF66" s="1333"/>
      <c r="AG66" s="1333"/>
      <c r="AH66" s="1333"/>
      <c r="AI66" s="1333"/>
      <c r="AJ66" s="17"/>
      <c r="AK66" s="17"/>
      <c r="AL66" s="17"/>
      <c r="AM66" s="17"/>
      <c r="AN66" s="17"/>
      <c r="AO66" s="17"/>
      <c r="AP66" s="17"/>
      <c r="AQ66" s="17"/>
      <c r="AR66" s="17"/>
      <c r="AS66" s="17"/>
      <c r="AT66" s="17"/>
      <c r="AU66" s="17"/>
      <c r="AV66" s="17"/>
      <c r="AW66" s="17"/>
    </row>
    <row r="67" spans="1:49" ht="15.75" x14ac:dyDescent="0.25">
      <c r="A67" s="1504" t="str">
        <f>IF(SD_apply="Yes",IF(COUNTIF('01 - SD'!D67:G67,"Y")&gt;0,"Y",IF(COUNTIF('01 - SD'!D67:G67,"N"),"N","")),"")</f>
        <v>Y</v>
      </c>
      <c r="B67" s="18"/>
      <c r="C67" s="945"/>
      <c r="D67" s="547"/>
      <c r="E67" s="466"/>
      <c r="F67" s="559" t="str">
        <f>IF('C-Design&amp;Const'!$K67="","",'C-Design&amp;Const'!$K67)</f>
        <v>Y</v>
      </c>
      <c r="G67" s="485"/>
      <c r="H67" s="408" t="str">
        <f>CONCATENATE(IF(F67="N","PLACEHOLDER ROW - ",""),'C-Design&amp;Const'!Z67,IF(F67="N","",J67))</f>
        <v xml:space="preserve">Architectural - Space Use (Updates to) </v>
      </c>
      <c r="I67" s="136"/>
      <c r="J67" s="578" t="str">
        <f>IF('C-Design&amp;Const'!AF67="","",'C-Design&amp;Const'!AF67)</f>
        <v xml:space="preserve"> (Updates to) </v>
      </c>
      <c r="K67" s="25" t="str">
        <f>IF(DD_apply="Yes",IF((COUNTIF(D67:G67,"Y")=COUNTIF('01 - SD'!D67:G67,"Y")),"match","no SD match"),"-")</f>
        <v>match</v>
      </c>
      <c r="L67" s="1410" t="str">
        <f t="shared" si="0"/>
        <v/>
      </c>
      <c r="M67" s="1333"/>
      <c r="N67" s="1333"/>
      <c r="O67" s="1333"/>
      <c r="P67" s="1333"/>
      <c r="Q67" s="1333"/>
      <c r="R67" s="1453"/>
      <c r="S67" s="1284"/>
      <c r="T67" s="1284"/>
      <c r="U67" s="1333"/>
      <c r="V67" s="1333"/>
      <c r="W67" s="1333"/>
      <c r="X67" s="1333"/>
      <c r="Y67" s="1333"/>
      <c r="Z67" s="1333"/>
      <c r="AA67" s="1333"/>
      <c r="AB67" s="1333"/>
      <c r="AC67" s="1333"/>
      <c r="AD67" s="1333"/>
      <c r="AE67" s="1333"/>
      <c r="AF67" s="1333"/>
      <c r="AG67" s="1333"/>
      <c r="AH67" s="1333"/>
      <c r="AI67" s="1333"/>
    </row>
    <row r="68" spans="1:49" ht="15.75" x14ac:dyDescent="0.25">
      <c r="A68" s="1504" t="str">
        <f>IF(SD_apply="Yes",IF(COUNTIF('01 - SD'!D68:G68,"Y")&gt;0,"Y",IF(COUNTIF('01 - SD'!D68:G68,"N"),"N","")),"")</f>
        <v>Y</v>
      </c>
      <c r="B68" s="18"/>
      <c r="C68" s="945"/>
      <c r="D68" s="547"/>
      <c r="E68" s="466"/>
      <c r="F68" s="559" t="str">
        <f>IF('C-Design&amp;Const'!$K68="","",'C-Design&amp;Const'!$K68)</f>
        <v>Y</v>
      </c>
      <c r="G68" s="485"/>
      <c r="H68" s="408" t="str">
        <f>CONCATENATE(IF(F68="N","PLACEHOLDER ROW - ",""),'C-Design&amp;Const'!Z68,IF(F68="N","",J68))</f>
        <v xml:space="preserve">Architectural - Historical Preservation (Updates to) </v>
      </c>
      <c r="I68" s="136"/>
      <c r="J68" s="578" t="str">
        <f>IF('C-Design&amp;Const'!AF68="","",'C-Design&amp;Const'!AF68)</f>
        <v xml:space="preserve"> (Updates to) </v>
      </c>
      <c r="K68" s="25" t="str">
        <f>IF(DD_apply="Yes",IF((COUNTIF(D68:G68,"Y")=COUNTIF('01 - SD'!D68:G68,"Y")),"match","no SD match"),"-")</f>
        <v>match</v>
      </c>
      <c r="L68" s="1410" t="str">
        <f t="shared" si="0"/>
        <v/>
      </c>
      <c r="M68" s="1333"/>
      <c r="N68" s="1333"/>
      <c r="O68" s="1333"/>
      <c r="P68" s="1333"/>
      <c r="Q68" s="1333"/>
      <c r="R68" s="1453"/>
      <c r="S68" s="1284"/>
      <c r="T68" s="1284"/>
      <c r="U68" s="1333"/>
      <c r="V68" s="1333"/>
      <c r="W68" s="1333"/>
      <c r="X68" s="1333"/>
      <c r="Y68" s="1333"/>
      <c r="Z68" s="1333"/>
      <c r="AA68" s="1333"/>
      <c r="AB68" s="1333"/>
      <c r="AC68" s="1333"/>
      <c r="AD68" s="1333"/>
      <c r="AE68" s="1333"/>
      <c r="AF68" s="1333"/>
      <c r="AG68" s="1333"/>
      <c r="AH68" s="1333"/>
      <c r="AI68" s="1333"/>
    </row>
    <row r="69" spans="1:49" ht="28.5" x14ac:dyDescent="0.25">
      <c r="A69" s="1504" t="str">
        <f>IF(SD_apply="Yes",IF(COUNTIF('01 - SD'!D69:G69,"Y")&gt;0,"Y",IF(COUNTIF('01 - SD'!D69:G69,"N"),"N","")),"")</f>
        <v>Y</v>
      </c>
      <c r="B69" s="18"/>
      <c r="C69" s="945"/>
      <c r="D69" s="547"/>
      <c r="E69" s="466"/>
      <c r="F69" s="559" t="str">
        <f>IF('C-Design&amp;Const'!$K69="","",'C-Design&amp;Const'!$K69)</f>
        <v>Y</v>
      </c>
      <c r="G69" s="485"/>
      <c r="H69" s="408" t="str">
        <f>CONCATENATE(IF(F69="N","PLACEHOLDER ROW - ",""),'C-Design&amp;Const'!Z69,IF(F69="N","",J69))</f>
        <v xml:space="preserve">Architectural - Building Envelope **(existing systems verification recommended on renovations) (Updates to) </v>
      </c>
      <c r="I69" s="136"/>
      <c r="J69" s="578" t="str">
        <f>IF('C-Design&amp;Const'!AF69="","",'C-Design&amp;Const'!AF69)</f>
        <v xml:space="preserve"> (Updates to) </v>
      </c>
      <c r="K69" s="25" t="str">
        <f>IF(DD_apply="Yes",IF((COUNTIF(D69:G69,"Y")=COUNTIF('01 - SD'!D69:G69,"Y")),"match","no SD match"),"-")</f>
        <v>match</v>
      </c>
      <c r="L69" s="1410" t="str">
        <f t="shared" si="0"/>
        <v/>
      </c>
      <c r="M69" s="1333"/>
      <c r="N69" s="1333"/>
      <c r="O69" s="1333"/>
      <c r="P69" s="1333"/>
      <c r="Q69" s="1333"/>
      <c r="R69" s="1453"/>
      <c r="S69" s="1284"/>
      <c r="T69" s="1284"/>
      <c r="U69" s="1333"/>
      <c r="V69" s="1333"/>
      <c r="W69" s="1333"/>
      <c r="X69" s="1333"/>
      <c r="Y69" s="1333"/>
      <c r="Z69" s="1333"/>
      <c r="AA69" s="1333"/>
      <c r="AB69" s="1333"/>
      <c r="AC69" s="1333"/>
      <c r="AD69" s="1333"/>
      <c r="AE69" s="1333"/>
      <c r="AF69" s="1333"/>
      <c r="AG69" s="1333"/>
      <c r="AH69" s="1333"/>
      <c r="AI69" s="1333"/>
    </row>
    <row r="70" spans="1:49" ht="15.75" x14ac:dyDescent="0.25">
      <c r="A70" s="1504" t="str">
        <f>IF(SD_apply="Yes",IF(COUNTIF('01 - SD'!D70:G70,"Y")&gt;0,"Y",IF(COUNTIF('01 - SD'!D70:G70,"N"),"N","")),"")</f>
        <v>Y</v>
      </c>
      <c r="B70" s="18"/>
      <c r="C70" s="945"/>
      <c r="D70" s="547"/>
      <c r="E70" s="466"/>
      <c r="F70" s="559" t="str">
        <f>IF('C-Design&amp;Const'!$K70="","",'C-Design&amp;Const'!$K70)</f>
        <v>Y</v>
      </c>
      <c r="G70" s="485"/>
      <c r="H70" s="408" t="str">
        <f>CONCATENATE(IF(F70="N","PLACEHOLDER ROW - ",""),'C-Design&amp;Const'!Z70,IF(F70="N","",J70))</f>
        <v xml:space="preserve">Architectural - Interiors (Updates to) </v>
      </c>
      <c r="I70" s="136"/>
      <c r="J70" s="578" t="str">
        <f>IF('C-Design&amp;Const'!AF70="","",'C-Design&amp;Const'!AF70)</f>
        <v xml:space="preserve"> (Updates to) </v>
      </c>
      <c r="K70" s="25" t="str">
        <f>IF(DD_apply="Yes",IF((COUNTIF(D70:G70,"Y")=COUNTIF('01 - SD'!D70:G70,"Y")),"match","no SD match"),"-")</f>
        <v>match</v>
      </c>
      <c r="L70" s="1410" t="str">
        <f t="shared" si="0"/>
        <v/>
      </c>
      <c r="M70" s="1333"/>
      <c r="N70" s="1333"/>
      <c r="O70" s="1333"/>
      <c r="P70" s="1333"/>
      <c r="Q70" s="1333"/>
      <c r="R70" s="1453"/>
      <c r="S70" s="1284"/>
      <c r="T70" s="1284"/>
      <c r="U70" s="1333"/>
      <c r="V70" s="1333"/>
      <c r="W70" s="1333"/>
      <c r="X70" s="1333"/>
      <c r="Y70" s="1333"/>
      <c r="Z70" s="1333"/>
      <c r="AA70" s="1333"/>
      <c r="AB70" s="1333"/>
      <c r="AC70" s="1333"/>
      <c r="AD70" s="1333"/>
      <c r="AE70" s="1333"/>
      <c r="AF70" s="1333"/>
      <c r="AG70" s="1333"/>
      <c r="AH70" s="1333"/>
      <c r="AI70" s="1333"/>
    </row>
    <row r="71" spans="1:49" ht="15.75" x14ac:dyDescent="0.25">
      <c r="A71" s="1504" t="str">
        <f>IF(SD_apply="Yes",IF(COUNTIF('01 - SD'!D71:G71,"Y")&gt;0,"Y",IF(COUNTIF('01 - SD'!D71:G71,"N"),"N","")),"")</f>
        <v>Y</v>
      </c>
      <c r="B71" s="18"/>
      <c r="C71" s="945"/>
      <c r="D71" s="547"/>
      <c r="E71" s="466"/>
      <c r="F71" s="559" t="str">
        <f>IF('C-Design&amp;Const'!$K71="","",'C-Design&amp;Const'!$K71)</f>
        <v>Y</v>
      </c>
      <c r="G71" s="485"/>
      <c r="H71" s="408" t="str">
        <f>CONCATENATE(IF(F71="N","PLACEHOLDER ROW - ",""),'C-Design&amp;Const'!Z71,IF(F71="N","",J71))</f>
        <v xml:space="preserve">Architectural - Interior and Exterior Signage  (Updates to) </v>
      </c>
      <c r="I71" s="136"/>
      <c r="J71" s="578" t="str">
        <f>IF('C-Design&amp;Const'!AF71="","",'C-Design&amp;Const'!AF71)</f>
        <v xml:space="preserve"> (Updates to) </v>
      </c>
      <c r="K71" s="25" t="str">
        <f>IF(DD_apply="Yes",IF((COUNTIF(D71:G71,"Y")=COUNTIF('01 - SD'!D71:G71,"Y")),"match","no SD match"),"-")</f>
        <v>match</v>
      </c>
      <c r="L71" s="1410" t="str">
        <f t="shared" si="0"/>
        <v/>
      </c>
      <c r="M71" s="1333"/>
      <c r="N71" s="1333"/>
      <c r="O71" s="1333"/>
      <c r="P71" s="1333"/>
      <c r="Q71" s="1333"/>
      <c r="R71" s="1453"/>
      <c r="S71" s="1284"/>
      <c r="T71" s="1284"/>
      <c r="U71" s="1333"/>
      <c r="V71" s="1333"/>
      <c r="W71" s="1333"/>
      <c r="X71" s="1333"/>
      <c r="Y71" s="1333"/>
      <c r="Z71" s="1333"/>
      <c r="AA71" s="1333"/>
      <c r="AB71" s="1333"/>
      <c r="AC71" s="1333"/>
      <c r="AD71" s="1333"/>
      <c r="AE71" s="1333"/>
      <c r="AF71" s="1333"/>
      <c r="AG71" s="1333"/>
      <c r="AH71" s="1333"/>
      <c r="AI71" s="1333"/>
    </row>
    <row r="72" spans="1:49" ht="28.5" x14ac:dyDescent="0.25">
      <c r="A72" s="1504" t="str">
        <f>IF(SD_apply="Yes",IF(COUNTIF('01 - SD'!D72:G72,"Y")&gt;0,"Y",IF(COUNTIF('01 - SD'!D72:G72,"N"),"N","")),"")</f>
        <v>Y</v>
      </c>
      <c r="B72" s="18"/>
      <c r="C72" s="945"/>
      <c r="D72" s="547"/>
      <c r="E72" s="466"/>
      <c r="F72" s="559" t="str">
        <f>IF('C-Design&amp;Const'!$K72="","",'C-Design&amp;Const'!$K72)</f>
        <v>Y</v>
      </c>
      <c r="G72" s="485"/>
      <c r="H72" s="408" t="str">
        <f>CONCATENATE(IF(F72="N","PLACEHOLDER ROW - ",""),'C-Design&amp;Const'!Z72,IF(F72="N","",J72))</f>
        <v xml:space="preserve">Architectural - Elevators  **(existing systems verification recommended on renovations) (Updates to) </v>
      </c>
      <c r="I72" s="136"/>
      <c r="J72" s="578" t="str">
        <f>IF('C-Design&amp;Const'!AF72="","",'C-Design&amp;Const'!AF72)</f>
        <v xml:space="preserve"> (Updates to) </v>
      </c>
      <c r="K72" s="25" t="str">
        <f>IF(DD_apply="Yes",IF((COUNTIF(D72:G72,"Y")=COUNTIF('01 - SD'!D72:G72,"Y")),"match","no SD match"),"-")</f>
        <v>match</v>
      </c>
      <c r="L72" s="1410" t="str">
        <f t="shared" si="0"/>
        <v/>
      </c>
      <c r="M72" s="1333"/>
      <c r="N72" s="1333"/>
      <c r="O72" s="1333"/>
      <c r="P72" s="1333"/>
      <c r="Q72" s="1333"/>
      <c r="R72" s="1453"/>
      <c r="S72" s="1284"/>
      <c r="T72" s="1284"/>
      <c r="U72" s="1333"/>
      <c r="V72" s="1333"/>
      <c r="W72" s="1333"/>
      <c r="X72" s="1333"/>
      <c r="Y72" s="1333"/>
      <c r="Z72" s="1333"/>
      <c r="AA72" s="1333"/>
      <c r="AB72" s="1333"/>
      <c r="AC72" s="1333"/>
      <c r="AD72" s="1333"/>
      <c r="AE72" s="1333"/>
      <c r="AF72" s="1333"/>
      <c r="AG72" s="1333"/>
      <c r="AH72" s="1333"/>
      <c r="AI72" s="1333"/>
    </row>
    <row r="73" spans="1:49" ht="15" customHeight="1" x14ac:dyDescent="0.25">
      <c r="A73" s="1504" t="str">
        <f>IF(SD_apply="Yes",IF(COUNTIF('01 - SD'!D73:G73,"Y")&gt;0,"Y",IF(COUNTIF('01 - SD'!D73:G73,"N"),"N","")),"")</f>
        <v>N</v>
      </c>
      <c r="B73" s="18"/>
      <c r="C73" s="945"/>
      <c r="D73" s="547"/>
      <c r="E73" s="466"/>
      <c r="F73" s="559" t="str">
        <f>IF('C-Design&amp;Const'!$K73="","",'C-Design&amp;Const'!$K73)</f>
        <v>N</v>
      </c>
      <c r="G73" s="485"/>
      <c r="H73" s="408" t="str">
        <f>CONCATENATE(IF(F73="N","PLACEHOLDER ROW - ",""),'C-Design&amp;Const'!Z73,IF(F73="N","",J73))</f>
        <v>PLACEHOLDER ROW - Architectural - CUSTOM</v>
      </c>
      <c r="I73" s="136"/>
      <c r="J73" s="578" t="str">
        <f>IF('C-Design&amp;Const'!AF73="","",'C-Design&amp;Const'!AF73)</f>
        <v xml:space="preserve"> (Updates to) </v>
      </c>
      <c r="K73" s="25" t="str">
        <f>IF(DD_apply="Yes",IF((COUNTIF(D73:G73,"Y")=COUNTIF('01 - SD'!D73:G73,"Y")),"match","no SD match"),"-")</f>
        <v>match</v>
      </c>
      <c r="L73" s="1410" t="str">
        <f t="shared" si="0"/>
        <v>&lt;---PM/Planner may hide PLACEHOLDER ROW</v>
      </c>
      <c r="M73" s="1333"/>
      <c r="N73" s="1333"/>
      <c r="O73" s="1333"/>
      <c r="P73" s="1333"/>
      <c r="Q73" s="1333"/>
      <c r="R73" s="1453"/>
      <c r="S73" s="1284"/>
      <c r="T73" s="1284"/>
      <c r="U73" s="1333"/>
      <c r="V73" s="1333"/>
      <c r="W73" s="1333"/>
      <c r="X73" s="1333"/>
      <c r="Y73" s="1333"/>
      <c r="Z73" s="1333"/>
      <c r="AA73" s="1333"/>
      <c r="AB73" s="1333"/>
      <c r="AC73" s="1333"/>
      <c r="AD73" s="1333"/>
      <c r="AE73" s="1333"/>
      <c r="AF73" s="1333"/>
      <c r="AG73" s="1333"/>
      <c r="AH73" s="1333"/>
      <c r="AI73" s="1333"/>
    </row>
    <row r="74" spans="1:49" ht="15" customHeight="1" x14ac:dyDescent="0.25">
      <c r="A74" s="1504" t="str">
        <f>IF(SD_apply="Yes",IF(COUNTIF('01 - SD'!D74:G74,"Y")&gt;0,"Y",IF(COUNTIF('01 - SD'!D74:G74,"N"),"N","")),"")</f>
        <v>N</v>
      </c>
      <c r="B74" s="18"/>
      <c r="C74" s="945"/>
      <c r="D74" s="547"/>
      <c r="E74" s="466"/>
      <c r="F74" s="559" t="str">
        <f>IF('C-Design&amp;Const'!$K74="","",'C-Design&amp;Const'!$K74)</f>
        <v>N</v>
      </c>
      <c r="G74" s="485"/>
      <c r="H74" s="408" t="str">
        <f>CONCATENATE(IF(F74="N","PLACEHOLDER ROW - ",""),'C-Design&amp;Const'!Z74,IF(F74="N","",J74))</f>
        <v>PLACEHOLDER ROW - Architectural - CUSTOM</v>
      </c>
      <c r="I74" s="136"/>
      <c r="J74" s="578" t="str">
        <f>IF('C-Design&amp;Const'!AF74="","",'C-Design&amp;Const'!AF74)</f>
        <v xml:space="preserve"> (Updates to) </v>
      </c>
      <c r="K74" s="25" t="str">
        <f>IF(DD_apply="Yes",IF((COUNTIF(D74:G74,"Y")=COUNTIF('01 - SD'!D74:G74,"Y")),"match","no SD match"),"-")</f>
        <v>match</v>
      </c>
      <c r="L74" s="1410" t="str">
        <f t="shared" si="0"/>
        <v>&lt;---PM/Planner may hide PLACEHOLDER ROW</v>
      </c>
      <c r="M74" s="1333"/>
      <c r="N74" s="1333"/>
      <c r="O74" s="1333"/>
      <c r="P74" s="1333"/>
      <c r="Q74" s="1333"/>
      <c r="R74" s="1453"/>
      <c r="S74" s="1284"/>
      <c r="T74" s="1284"/>
      <c r="U74" s="1333"/>
      <c r="V74" s="1333"/>
      <c r="W74" s="1333"/>
      <c r="X74" s="1333"/>
      <c r="Y74" s="1333"/>
      <c r="Z74" s="1333"/>
      <c r="AA74" s="1333"/>
      <c r="AB74" s="1333"/>
      <c r="AC74" s="1333"/>
      <c r="AD74" s="1333"/>
      <c r="AE74" s="1333"/>
      <c r="AF74" s="1333"/>
      <c r="AG74" s="1333"/>
      <c r="AH74" s="1333"/>
      <c r="AI74" s="1333"/>
    </row>
    <row r="75" spans="1:49" ht="15.75" x14ac:dyDescent="0.25">
      <c r="A75" s="1504" t="str">
        <f>IF(SD_apply="Yes",IF(COUNTIF('01 - SD'!D75:G75,"Y")&gt;0,"Y",IF(COUNTIF('01 - SD'!D75:G75,"N"),"N","")),"")</f>
        <v>Y</v>
      </c>
      <c r="B75" s="18"/>
      <c r="C75" s="945"/>
      <c r="D75" s="547"/>
      <c r="E75" s="466"/>
      <c r="F75" s="559" t="str">
        <f>IF('C-Design&amp;Const'!$K75="","",'C-Design&amp;Const'!$K75)</f>
        <v>Y</v>
      </c>
      <c r="G75" s="485"/>
      <c r="H75" s="408" t="str">
        <f>CONCATENATE(IF(F75="N","PLACEHOLDER ROW - ",""),'C-Design&amp;Const'!Z75,IF(F75="N","",J75))</f>
        <v xml:space="preserve">Structural - Demolition(s) (Updates to) </v>
      </c>
      <c r="I75" s="136"/>
      <c r="J75" s="578" t="str">
        <f>IF('C-Design&amp;Const'!AF75="","",'C-Design&amp;Const'!AF75)</f>
        <v xml:space="preserve"> (Updates to) </v>
      </c>
      <c r="K75" s="25" t="str">
        <f>IF(DD_apply="Yes",IF((COUNTIF(D75:G75,"Y")=COUNTIF('01 - SD'!D75:G75,"Y")),"match","no SD match"),"-")</f>
        <v>match</v>
      </c>
      <c r="L75" s="1410" t="str">
        <f t="shared" si="0"/>
        <v/>
      </c>
      <c r="M75" s="1333"/>
      <c r="N75" s="1333"/>
      <c r="O75" s="1333"/>
      <c r="P75" s="1333"/>
      <c r="Q75" s="1333"/>
      <c r="R75" s="1453"/>
      <c r="S75" s="1284"/>
      <c r="T75" s="1284"/>
      <c r="U75" s="1333"/>
      <c r="V75" s="1333"/>
      <c r="W75" s="1333"/>
      <c r="X75" s="1333"/>
      <c r="Y75" s="1333"/>
      <c r="Z75" s="1333"/>
      <c r="AA75" s="1333"/>
      <c r="AB75" s="1333"/>
      <c r="AC75" s="1333"/>
      <c r="AD75" s="1333"/>
      <c r="AE75" s="1333"/>
      <c r="AF75" s="1333"/>
      <c r="AG75" s="1333"/>
      <c r="AH75" s="1333"/>
      <c r="AI75" s="1333"/>
    </row>
    <row r="76" spans="1:49" ht="15.75" x14ac:dyDescent="0.25">
      <c r="A76" s="1504" t="str">
        <f>IF(SD_apply="Yes",IF(COUNTIF('01 - SD'!D76:G76,"Y")&gt;0,"Y",IF(COUNTIF('01 - SD'!D76:G76,"N"),"N","")),"")</f>
        <v>Y</v>
      </c>
      <c r="B76" s="18"/>
      <c r="C76" s="945"/>
      <c r="D76" s="547"/>
      <c r="E76" s="466"/>
      <c r="F76" s="559" t="str">
        <f>IF('C-Design&amp;Const'!$K76="","",'C-Design&amp;Const'!$K76)</f>
        <v>Y</v>
      </c>
      <c r="G76" s="485"/>
      <c r="H76" s="408" t="str">
        <f>CONCATENATE(IF(F76="N","PLACEHOLDER ROW - ",""),'C-Design&amp;Const'!Z76,IF(F76="N","",J76))</f>
        <v xml:space="preserve">Structural - Gravity Loads (Updates to) </v>
      </c>
      <c r="I76" s="136"/>
      <c r="J76" s="578" t="str">
        <f>IF('C-Design&amp;Const'!AF76="","",'C-Design&amp;Const'!AF76)</f>
        <v xml:space="preserve"> (Updates to) </v>
      </c>
      <c r="K76" s="25" t="str">
        <f>IF(DD_apply="Yes",IF((COUNTIF(D76:G76,"Y")=COUNTIF('01 - SD'!D76:G76,"Y")),"match","no SD match"),"-")</f>
        <v>match</v>
      </c>
      <c r="L76" s="1410" t="str">
        <f t="shared" si="0"/>
        <v/>
      </c>
      <c r="M76" s="1333"/>
      <c r="N76" s="1333"/>
      <c r="O76" s="1333"/>
      <c r="P76" s="1333"/>
      <c r="Q76" s="1333"/>
      <c r="R76" s="1453"/>
      <c r="S76" s="1284"/>
      <c r="T76" s="1284"/>
      <c r="U76" s="1333"/>
      <c r="V76" s="1333"/>
      <c r="W76" s="1333"/>
      <c r="X76" s="1333"/>
      <c r="Y76" s="1333"/>
      <c r="Z76" s="1333"/>
      <c r="AA76" s="1333"/>
      <c r="AB76" s="1333"/>
      <c r="AC76" s="1333"/>
      <c r="AD76" s="1333"/>
      <c r="AE76" s="1333"/>
      <c r="AF76" s="1333"/>
      <c r="AG76" s="1333"/>
      <c r="AH76" s="1333"/>
      <c r="AI76" s="1333"/>
    </row>
    <row r="77" spans="1:49" ht="15.75" x14ac:dyDescent="0.25">
      <c r="A77" s="1504" t="str">
        <f>IF(SD_apply="Yes",IF(COUNTIF('01 - SD'!D77:G77,"Y")&gt;0,"Y",IF(COUNTIF('01 - SD'!D77:G77,"N"),"N","")),"")</f>
        <v>Y</v>
      </c>
      <c r="B77" s="18"/>
      <c r="C77" s="945"/>
      <c r="D77" s="547"/>
      <c r="E77" s="466"/>
      <c r="F77" s="559" t="str">
        <f>IF('C-Design&amp;Const'!$K77="","",'C-Design&amp;Const'!$K77)</f>
        <v>Y</v>
      </c>
      <c r="G77" s="485"/>
      <c r="H77" s="408" t="str">
        <f>CONCATENATE(IF(F77="N","PLACEHOLDER ROW - ",""),'C-Design&amp;Const'!Z77,IF(F77="N","",J77))</f>
        <v xml:space="preserve">Structural - Lateral loads and force resisting systems (Updates to) </v>
      </c>
      <c r="I77" s="136"/>
      <c r="J77" s="578" t="str">
        <f>IF('C-Design&amp;Const'!AF77="","",'C-Design&amp;Const'!AF77)</f>
        <v xml:space="preserve"> (Updates to) </v>
      </c>
      <c r="K77" s="25" t="str">
        <f>IF(DD_apply="Yes",IF((COUNTIF(D77:G77,"Y")=COUNTIF('01 - SD'!D77:G77,"Y")),"match","no SD match"),"-")</f>
        <v>match</v>
      </c>
      <c r="L77" s="1410" t="str">
        <f t="shared" si="0"/>
        <v/>
      </c>
      <c r="M77" s="1333"/>
      <c r="N77" s="1333"/>
      <c r="O77" s="1333"/>
      <c r="P77" s="1333"/>
      <c r="Q77" s="1333"/>
      <c r="R77" s="1453"/>
      <c r="S77" s="1284"/>
      <c r="T77" s="1284"/>
      <c r="U77" s="1333"/>
      <c r="V77" s="1333"/>
      <c r="W77" s="1333"/>
      <c r="X77" s="1333"/>
      <c r="Y77" s="1333"/>
      <c r="Z77" s="1333"/>
      <c r="AA77" s="1333"/>
      <c r="AB77" s="1333"/>
      <c r="AC77" s="1333"/>
      <c r="AD77" s="1333"/>
      <c r="AE77" s="1333"/>
      <c r="AF77" s="1333"/>
      <c r="AG77" s="1333"/>
      <c r="AH77" s="1333"/>
      <c r="AI77" s="1333"/>
    </row>
    <row r="78" spans="1:49" ht="15.75" x14ac:dyDescent="0.25">
      <c r="A78" s="1504" t="str">
        <f>IF(SD_apply="Yes",IF(COUNTIF('01 - SD'!D78:G78,"Y")&gt;0,"Y",IF(COUNTIF('01 - SD'!D78:G78,"N"),"N","")),"")</f>
        <v>Y</v>
      </c>
      <c r="B78" s="18"/>
      <c r="C78" s="945"/>
      <c r="D78" s="547"/>
      <c r="E78" s="466"/>
      <c r="F78" s="559" t="str">
        <f>IF('C-Design&amp;Const'!$K78="","",'C-Design&amp;Const'!$K78)</f>
        <v>Y</v>
      </c>
      <c r="G78" s="485"/>
      <c r="H78" s="408" t="str">
        <f>CONCATENATE(IF(F78="N","PLACEHOLDER ROW - ",""),'C-Design&amp;Const'!Z78,IF(F78="N","",J78))</f>
        <v xml:space="preserve">Structural - Foundation Systems (Updates to) </v>
      </c>
      <c r="I78" s="136"/>
      <c r="J78" s="578" t="str">
        <f>IF('C-Design&amp;Const'!AF78="","",'C-Design&amp;Const'!AF78)</f>
        <v xml:space="preserve"> (Updates to) </v>
      </c>
      <c r="K78" s="25" t="str">
        <f>IF(DD_apply="Yes",IF((COUNTIF(D78:G78,"Y")=COUNTIF('01 - SD'!D78:G78,"Y")),"match","no SD match"),"-")</f>
        <v>match</v>
      </c>
      <c r="L78" s="1410" t="str">
        <f t="shared" si="0"/>
        <v/>
      </c>
      <c r="M78" s="1333"/>
      <c r="N78" s="1333"/>
      <c r="O78" s="1333"/>
      <c r="P78" s="1333"/>
      <c r="Q78" s="1333"/>
      <c r="R78" s="1453"/>
      <c r="S78" s="1284"/>
      <c r="T78" s="1284"/>
      <c r="U78" s="1333"/>
      <c r="V78" s="1333"/>
      <c r="W78" s="1333"/>
      <c r="X78" s="1333"/>
      <c r="Y78" s="1333"/>
      <c r="Z78" s="1333"/>
      <c r="AA78" s="1333"/>
      <c r="AB78" s="1333"/>
      <c r="AC78" s="1333"/>
      <c r="AD78" s="1333"/>
      <c r="AE78" s="1333"/>
      <c r="AF78" s="1333"/>
      <c r="AG78" s="1333"/>
      <c r="AH78" s="1333"/>
      <c r="AI78" s="1333"/>
    </row>
    <row r="79" spans="1:49" ht="27.75" customHeight="1" x14ac:dyDescent="0.25">
      <c r="A79" s="1504" t="str">
        <f>IF(SD_apply="Yes",IF(COUNTIF('01 - SD'!D79:G79,"Y")&gt;0,"Y",IF(COUNTIF('01 - SD'!D79:G79,"N"),"N","")),"")</f>
        <v>Y</v>
      </c>
      <c r="B79" s="18"/>
      <c r="C79" s="945"/>
      <c r="D79" s="547"/>
      <c r="E79" s="466"/>
      <c r="F79" s="559" t="str">
        <f>IF('C-Design&amp;Const'!$K79="","",'C-Design&amp;Const'!$K79)</f>
        <v>Y</v>
      </c>
      <c r="G79" s="485"/>
      <c r="H79" s="408" t="str">
        <f>CONCATENATE(IF(F79="N","PLACEHOLDER ROW - ",""),'C-Design&amp;Const'!Z79,IF(F79="N","",J79))</f>
        <v xml:space="preserve">Structural - Block, concrete, &amp; steel  **(existing systems verification recommended on renovations) (Updates to) </v>
      </c>
      <c r="I79" s="136"/>
      <c r="J79" s="578" t="str">
        <f>IF('C-Design&amp;Const'!AF79="","",'C-Design&amp;Const'!AF79)</f>
        <v xml:space="preserve"> (Updates to) </v>
      </c>
      <c r="K79" s="25" t="str">
        <f>IF(DD_apply="Yes",IF((COUNTIF(D79:G79,"Y")=COUNTIF('01 - SD'!D79:G79,"Y")),"match","no SD match"),"-")</f>
        <v>match</v>
      </c>
      <c r="L79" s="1410" t="str">
        <f t="shared" si="0"/>
        <v/>
      </c>
      <c r="M79" s="1333"/>
      <c r="N79" s="1333"/>
      <c r="O79" s="1333"/>
      <c r="P79" s="1333"/>
      <c r="Q79" s="1333"/>
      <c r="R79" s="1453"/>
      <c r="S79" s="1284"/>
      <c r="T79" s="1284"/>
      <c r="U79" s="1333"/>
      <c r="V79" s="1333"/>
      <c r="W79" s="1333"/>
      <c r="X79" s="1333"/>
      <c r="Y79" s="1333"/>
      <c r="Z79" s="1333"/>
      <c r="AA79" s="1333"/>
      <c r="AB79" s="1333"/>
      <c r="AC79" s="1333"/>
      <c r="AD79" s="1333"/>
      <c r="AE79" s="1333"/>
      <c r="AF79" s="1333"/>
      <c r="AG79" s="1333"/>
      <c r="AH79" s="1333"/>
      <c r="AI79" s="1333"/>
    </row>
    <row r="80" spans="1:49" ht="15" customHeight="1" x14ac:dyDescent="0.25">
      <c r="A80" s="1504" t="str">
        <f>IF(SD_apply="Yes",IF(COUNTIF('01 - SD'!D80:G80,"Y")&gt;0,"Y",IF(COUNTIF('01 - SD'!D80:G80,"N"),"N","")),"")</f>
        <v>N</v>
      </c>
      <c r="B80" s="18"/>
      <c r="C80" s="945"/>
      <c r="D80" s="547"/>
      <c r="E80" s="466"/>
      <c r="F80" s="559" t="str">
        <f>IF('C-Design&amp;Const'!$K80="","",'C-Design&amp;Const'!$K80)</f>
        <v>N</v>
      </c>
      <c r="G80" s="485"/>
      <c r="H80" s="408" t="str">
        <f>CONCATENATE(IF(F80="N","PLACEHOLDER ROW - ",""),'C-Design&amp;Const'!Z80,IF(F80="N","",J80))</f>
        <v>PLACEHOLDER ROW - Structural - CUSTOM</v>
      </c>
      <c r="I80" s="136"/>
      <c r="J80" s="578" t="str">
        <f>IF('C-Design&amp;Const'!AF80="","",'C-Design&amp;Const'!AF80)</f>
        <v xml:space="preserve"> (Updates to) </v>
      </c>
      <c r="K80" s="25" t="str">
        <f>IF(DD_apply="Yes",IF((COUNTIF(D80:G80,"Y")=COUNTIF('01 - SD'!D80:G80,"Y")),"match","no SD match"),"-")</f>
        <v>match</v>
      </c>
      <c r="L80" s="1410" t="str">
        <f t="shared" si="0"/>
        <v>&lt;---PM/Planner may hide PLACEHOLDER ROW</v>
      </c>
      <c r="M80" s="1333"/>
      <c r="N80" s="1333"/>
      <c r="O80" s="1333"/>
      <c r="P80" s="1333"/>
      <c r="Q80" s="1333"/>
      <c r="R80" s="1453"/>
      <c r="S80" s="1284"/>
      <c r="T80" s="1284"/>
      <c r="U80" s="1333"/>
      <c r="V80" s="1333"/>
      <c r="W80" s="1333"/>
      <c r="X80" s="1333"/>
      <c r="Y80" s="1333"/>
      <c r="Z80" s="1333"/>
      <c r="AA80" s="1333"/>
      <c r="AB80" s="1333"/>
      <c r="AC80" s="1333"/>
      <c r="AD80" s="1333"/>
      <c r="AE80" s="1333"/>
      <c r="AF80" s="1333"/>
      <c r="AG80" s="1333"/>
      <c r="AH80" s="1333"/>
      <c r="AI80" s="1333"/>
    </row>
    <row r="81" spans="1:49" ht="15" customHeight="1" x14ac:dyDescent="0.25">
      <c r="A81" s="1504" t="str">
        <f>IF(SD_apply="Yes",IF(COUNTIF('01 - SD'!D81:G81,"Y")&gt;0,"Y",IF(COUNTIF('01 - SD'!D81:G81,"N"),"N","")),"")</f>
        <v>N</v>
      </c>
      <c r="B81" s="18"/>
      <c r="C81" s="945"/>
      <c r="D81" s="547"/>
      <c r="E81" s="466"/>
      <c r="F81" s="559" t="str">
        <f>IF('C-Design&amp;Const'!$K81="","",'C-Design&amp;Const'!$K81)</f>
        <v>N</v>
      </c>
      <c r="G81" s="485"/>
      <c r="H81" s="408" t="str">
        <f>CONCATENATE(IF(F81="N","PLACEHOLDER ROW - ",""),'C-Design&amp;Const'!Z81,IF(F81="N","",J81))</f>
        <v>PLACEHOLDER ROW - Structural - CUSTOM</v>
      </c>
      <c r="I81" s="136"/>
      <c r="J81" s="578" t="str">
        <f>IF('C-Design&amp;Const'!AF81="","",'C-Design&amp;Const'!AF81)</f>
        <v xml:space="preserve"> (Updates to) </v>
      </c>
      <c r="K81" s="25" t="str">
        <f>IF(DD_apply="Yes",IF((COUNTIF(D81:G81,"Y")=COUNTIF('01 - SD'!D81:G81,"Y")),"match","no SD match"),"-")</f>
        <v>match</v>
      </c>
      <c r="L81" s="1410" t="str">
        <f t="shared" si="0"/>
        <v>&lt;---PM/Planner may hide PLACEHOLDER ROW</v>
      </c>
      <c r="M81" s="1333"/>
      <c r="N81" s="1333"/>
      <c r="O81" s="1333"/>
      <c r="P81" s="1333"/>
      <c r="Q81" s="1333"/>
      <c r="R81" s="1453"/>
      <c r="S81" s="1284"/>
      <c r="T81" s="1284"/>
      <c r="U81" s="1333"/>
      <c r="V81" s="1333"/>
      <c r="W81" s="1333"/>
      <c r="X81" s="1333"/>
      <c r="Y81" s="1333"/>
      <c r="Z81" s="1333"/>
      <c r="AA81" s="1333"/>
      <c r="AB81" s="1333"/>
      <c r="AC81" s="1333"/>
      <c r="AD81" s="1333"/>
      <c r="AE81" s="1333"/>
      <c r="AF81" s="1333"/>
      <c r="AG81" s="1333"/>
      <c r="AH81" s="1333"/>
      <c r="AI81" s="1333"/>
    </row>
    <row r="82" spans="1:49" ht="15.75" x14ac:dyDescent="0.25">
      <c r="A82" s="1504" t="str">
        <f>IF(SD_apply="Yes",IF(COUNTIF('01 - SD'!D82:G82,"Y")&gt;0,"Y",IF(COUNTIF('01 - SD'!D82:G82,"N"),"N","")),"")</f>
        <v>Y</v>
      </c>
      <c r="B82" s="18"/>
      <c r="C82" s="945"/>
      <c r="D82" s="547"/>
      <c r="E82" s="466"/>
      <c r="F82" s="559" t="str">
        <f>IF('C-Design&amp;Const'!$K82="","",'C-Design&amp;Const'!$K82)</f>
        <v>Y</v>
      </c>
      <c r="G82" s="501"/>
      <c r="H82" s="408" t="str">
        <f>CONCATENATE(IF(F82="N","PLACEHOLDER ROW - ",""),'C-Design&amp;Const'!Z82,IF(F82="N","",J82))</f>
        <v xml:space="preserve">Plumbing  - General System(s) - **(verify existing system for renovations) (Updates to) </v>
      </c>
      <c r="I82" s="136"/>
      <c r="J82" s="578" t="str">
        <f>IF('C-Design&amp;Const'!AF82="","",'C-Design&amp;Const'!AF82)</f>
        <v xml:space="preserve"> (Updates to) </v>
      </c>
      <c r="K82" s="25" t="str">
        <f>IF(DD_apply="Yes",IF((COUNTIF(D82:G82,"Y")=COUNTIF('01 - SD'!D82:G82,"Y")),"match","no SD match"),"-")</f>
        <v>match</v>
      </c>
      <c r="L82" s="1410" t="str">
        <f t="shared" si="0"/>
        <v/>
      </c>
      <c r="M82" s="1333"/>
      <c r="N82" s="1333"/>
      <c r="O82" s="1333"/>
      <c r="P82" s="1333"/>
      <c r="Q82" s="1333"/>
      <c r="R82" s="1453"/>
      <c r="S82" s="1284"/>
      <c r="T82" s="1284"/>
      <c r="U82" s="1333"/>
      <c r="V82" s="1333"/>
      <c r="W82" s="1333"/>
      <c r="X82" s="1333"/>
      <c r="Y82" s="1333"/>
      <c r="Z82" s="1333"/>
      <c r="AA82" s="1333"/>
      <c r="AB82" s="1333"/>
      <c r="AC82" s="1333"/>
      <c r="AD82" s="1333"/>
      <c r="AE82" s="1333"/>
      <c r="AF82" s="1333"/>
      <c r="AG82" s="1333"/>
      <c r="AH82" s="1333"/>
      <c r="AI82" s="1333"/>
    </row>
    <row r="83" spans="1:49" s="542" customFormat="1" ht="15.75" x14ac:dyDescent="0.25">
      <c r="A83" s="1504" t="str">
        <f>IF(SD_apply="Yes",IF(COUNTIF('01 - SD'!D83:G83,"Y")&gt;0,"Y",IF(COUNTIF('01 - SD'!D83:G83,"N"),"N","")),"")</f>
        <v>Y</v>
      </c>
      <c r="B83" s="18"/>
      <c r="C83" s="945"/>
      <c r="D83" s="547"/>
      <c r="E83" s="466"/>
      <c r="F83" s="559" t="str">
        <f>IF('C-Design&amp;Const'!$K83="","",'C-Design&amp;Const'!$K83)</f>
        <v>Y</v>
      </c>
      <c r="G83" s="485"/>
      <c r="H83" s="408" t="str">
        <f>CONCATENATE(IF(F83="N","PLACEHOLDER ROW - ",""),'C-Design&amp;Const'!Z83,IF(F83="N","",J83))</f>
        <v xml:space="preserve">Plumbing - Demolition(s) (Updates to) </v>
      </c>
      <c r="I83" s="136"/>
      <c r="J83" s="578" t="str">
        <f>IF('C-Design&amp;Const'!AF83="","",'C-Design&amp;Const'!AF83)</f>
        <v xml:space="preserve"> (Updates to) </v>
      </c>
      <c r="K83" s="25" t="str">
        <f>IF(DD_apply="Yes",IF((COUNTIF(D83:G83,"Y")=COUNTIF('01 - SD'!D83:G83,"Y")),"match","no SD match"),"-")</f>
        <v>match</v>
      </c>
      <c r="L83" s="1410" t="str">
        <f t="shared" si="0"/>
        <v/>
      </c>
      <c r="M83" s="1333"/>
      <c r="N83" s="1333"/>
      <c r="O83" s="1333"/>
      <c r="P83" s="1333"/>
      <c r="Q83" s="1333"/>
      <c r="R83" s="1453"/>
      <c r="S83" s="1284"/>
      <c r="T83" s="1284"/>
      <c r="U83" s="1333"/>
      <c r="V83" s="1333"/>
      <c r="W83" s="1333"/>
      <c r="X83" s="1333"/>
      <c r="Y83" s="1333"/>
      <c r="Z83" s="1333"/>
      <c r="AA83" s="1333"/>
      <c r="AB83" s="1333"/>
      <c r="AC83" s="1333"/>
      <c r="AD83" s="1333"/>
      <c r="AE83" s="1333"/>
      <c r="AF83" s="1333"/>
      <c r="AG83" s="1333"/>
      <c r="AH83" s="1333"/>
      <c r="AI83" s="1333"/>
      <c r="AJ83" s="17"/>
      <c r="AK83" s="17"/>
      <c r="AL83" s="17"/>
      <c r="AM83" s="17"/>
      <c r="AN83" s="17"/>
      <c r="AO83" s="17"/>
      <c r="AP83" s="17"/>
      <c r="AQ83" s="17"/>
      <c r="AR83" s="17"/>
      <c r="AS83" s="17"/>
      <c r="AT83" s="17"/>
      <c r="AU83" s="17"/>
      <c r="AV83" s="17"/>
      <c r="AW83" s="17"/>
    </row>
    <row r="84" spans="1:49" ht="28.5" x14ac:dyDescent="0.25">
      <c r="A84" s="1504" t="str">
        <f>IF(SD_apply="Yes",IF(COUNTIF('01 - SD'!D84:G84,"Y")&gt;0,"Y",IF(COUNTIF('01 - SD'!D84:G84,"N"),"N","")),"")</f>
        <v>Y</v>
      </c>
      <c r="B84" s="18"/>
      <c r="C84" s="945"/>
      <c r="D84" s="547"/>
      <c r="E84" s="466"/>
      <c r="F84" s="559" t="str">
        <f>IF('C-Design&amp;Const'!$K84="","",'C-Design&amp;Const'!$K84)</f>
        <v>Y</v>
      </c>
      <c r="G84" s="501"/>
      <c r="H84" s="408" t="str">
        <f>CONCATENATE(IF(F84="N","PLACEHOLDER ROW - ",""),'C-Design&amp;Const'!Z84,IF(F84="N","",J84))</f>
        <v xml:space="preserve">Plumbing - Fixtures  **(Fixture Unit Analysis as verification of existing systems on renovations) (Updates to) </v>
      </c>
      <c r="I84" s="136"/>
      <c r="J84" s="578" t="str">
        <f>IF('C-Design&amp;Const'!AF84="","",'C-Design&amp;Const'!AF84)</f>
        <v xml:space="preserve"> (Updates to) </v>
      </c>
      <c r="K84" s="25" t="str">
        <f>IF(DD_apply="Yes",IF((COUNTIF(D84:G84,"Y")=COUNTIF('01 - SD'!D84:G84,"Y")),"match","no SD match"),"-")</f>
        <v>match</v>
      </c>
      <c r="L84" s="1410" t="str">
        <f t="shared" si="0"/>
        <v/>
      </c>
      <c r="M84" s="1333"/>
      <c r="N84" s="1333"/>
      <c r="O84" s="1333"/>
      <c r="P84" s="1333"/>
      <c r="Q84" s="1333"/>
      <c r="R84" s="1453"/>
      <c r="S84" s="1284"/>
      <c r="T84" s="1284"/>
      <c r="U84" s="1333"/>
      <c r="V84" s="1333"/>
      <c r="W84" s="1333"/>
      <c r="X84" s="1333"/>
      <c r="Y84" s="1333"/>
      <c r="Z84" s="1333"/>
      <c r="AA84" s="1333"/>
      <c r="AB84" s="1333"/>
      <c r="AC84" s="1333"/>
      <c r="AD84" s="1333"/>
      <c r="AE84" s="1333"/>
      <c r="AF84" s="1333"/>
      <c r="AG84" s="1333"/>
      <c r="AH84" s="1333"/>
      <c r="AI84" s="1333"/>
    </row>
    <row r="85" spans="1:49" ht="15.75" x14ac:dyDescent="0.25">
      <c r="A85" s="1504" t="str">
        <f>IF(SD_apply="Yes",IF(COUNTIF('01 - SD'!D85:G85,"Y")&gt;0,"Y",IF(COUNTIF('01 - SD'!D85:G85,"N"),"N","")),"")</f>
        <v>Y</v>
      </c>
      <c r="B85" s="18"/>
      <c r="C85" s="945"/>
      <c r="D85" s="547"/>
      <c r="E85" s="466"/>
      <c r="F85" s="559" t="str">
        <f>IF('C-Design&amp;Const'!$K85="","",'C-Design&amp;Const'!$K85)</f>
        <v>Y</v>
      </c>
      <c r="G85" s="501"/>
      <c r="H85" s="408" t="str">
        <f>CONCATENATE(IF(F85="N","PLACEHOLDER ROW - ",""),'C-Design&amp;Const'!Z85,IF(F85="N","",J85))</f>
        <v xml:space="preserve">Plumbing - Air/Gas  **(verify existing system for renovations) (Updates to) </v>
      </c>
      <c r="I85" s="136"/>
      <c r="J85" s="578" t="str">
        <f>IF('C-Design&amp;Const'!AF85="","",'C-Design&amp;Const'!AF85)</f>
        <v xml:space="preserve"> (Updates to) </v>
      </c>
      <c r="K85" s="25" t="str">
        <f>IF(DD_apply="Yes",IF((COUNTIF(D85:G85,"Y")=COUNTIF('01 - SD'!D85:G85,"Y")),"match","no SD match"),"-")</f>
        <v>match</v>
      </c>
      <c r="L85" s="1410" t="str">
        <f t="shared" si="0"/>
        <v/>
      </c>
      <c r="M85" s="1333"/>
      <c r="N85" s="1333"/>
      <c r="O85" s="1333"/>
      <c r="P85" s="1333"/>
      <c r="Q85" s="1333"/>
      <c r="R85" s="1453"/>
      <c r="S85" s="1284"/>
      <c r="T85" s="1284"/>
      <c r="U85" s="1333"/>
      <c r="V85" s="1333"/>
      <c r="W85" s="1333"/>
      <c r="X85" s="1333"/>
      <c r="Y85" s="1333"/>
      <c r="Z85" s="1333"/>
      <c r="AA85" s="1333"/>
      <c r="AB85" s="1333"/>
      <c r="AC85" s="1333"/>
      <c r="AD85" s="1333"/>
      <c r="AE85" s="1333"/>
      <c r="AF85" s="1333"/>
      <c r="AG85" s="1333"/>
      <c r="AH85" s="1333"/>
      <c r="AI85" s="1333"/>
    </row>
    <row r="86" spans="1:49" ht="15.75" x14ac:dyDescent="0.25">
      <c r="A86" s="1504" t="str">
        <f>IF(SD_apply="Yes",IF(COUNTIF('01 - SD'!D86:G86,"Y")&gt;0,"Y",IF(COUNTIF('01 - SD'!D86:G86,"N"),"N","")),"")</f>
        <v>Y</v>
      </c>
      <c r="B86" s="18"/>
      <c r="C86" s="945"/>
      <c r="D86" s="547"/>
      <c r="E86" s="466"/>
      <c r="F86" s="559" t="str">
        <f>IF('C-Design&amp;Const'!$K86="","",'C-Design&amp;Const'!$K86)</f>
        <v>Y</v>
      </c>
      <c r="G86" s="501"/>
      <c r="H86" s="408" t="str">
        <f>CONCATENATE(IF(F86="N","PLACEHOLDER ROW - ",""),'C-Design&amp;Const'!Z86,IF(F86="N","",J86))</f>
        <v xml:space="preserve">Plumbing - Water  **(verify existing system for renovations) (Updates to) </v>
      </c>
      <c r="I86" s="136"/>
      <c r="J86" s="578" t="str">
        <f>IF('C-Design&amp;Const'!AF86="","",'C-Design&amp;Const'!AF86)</f>
        <v xml:space="preserve"> (Updates to) </v>
      </c>
      <c r="K86" s="25" t="str">
        <f>IF(DD_apply="Yes",IF((COUNTIF(D86:G86,"Y")=COUNTIF('01 - SD'!D86:G86,"Y")),"match","no SD match"),"-")</f>
        <v>match</v>
      </c>
      <c r="L86" s="1410" t="str">
        <f t="shared" si="0"/>
        <v/>
      </c>
      <c r="M86" s="1333"/>
      <c r="N86" s="1333"/>
      <c r="O86" s="1333"/>
      <c r="P86" s="1333"/>
      <c r="Q86" s="1333"/>
      <c r="R86" s="1453"/>
      <c r="S86" s="1284"/>
      <c r="T86" s="1284"/>
      <c r="U86" s="1333"/>
      <c r="V86" s="1333"/>
      <c r="W86" s="1333"/>
      <c r="X86" s="1333"/>
      <c r="Y86" s="1333"/>
      <c r="Z86" s="1333"/>
      <c r="AA86" s="1333"/>
      <c r="AB86" s="1333"/>
      <c r="AC86" s="1333"/>
      <c r="AD86" s="1333"/>
      <c r="AE86" s="1333"/>
      <c r="AF86" s="1333"/>
      <c r="AG86" s="1333"/>
      <c r="AH86" s="1333"/>
      <c r="AI86" s="1333"/>
    </row>
    <row r="87" spans="1:49" ht="15.75" x14ac:dyDescent="0.25">
      <c r="A87" s="1504" t="str">
        <f>IF(SD_apply="Yes",IF(COUNTIF('01 - SD'!D87:G87,"Y")&gt;0,"Y",IF(COUNTIF('01 - SD'!D87:G87,"N"),"N","")),"")</f>
        <v>Y</v>
      </c>
      <c r="B87" s="18"/>
      <c r="C87" s="945"/>
      <c r="D87" s="547"/>
      <c r="E87" s="466"/>
      <c r="F87" s="559" t="str">
        <f>IF('C-Design&amp;Const'!$K87="","",'C-Design&amp;Const'!$K87)</f>
        <v>Y</v>
      </c>
      <c r="G87" s="501"/>
      <c r="H87" s="408" t="str">
        <f>CONCATENATE(IF(F87="N","PLACEHOLDER ROW - ",""),'C-Design&amp;Const'!Z87,IF(F87="N","",J87))</f>
        <v xml:space="preserve">Plumbing - Sanitary **(verify existing system for renovations) (Updates to) </v>
      </c>
      <c r="I87" s="136"/>
      <c r="J87" s="578" t="str">
        <f>IF('C-Design&amp;Const'!AF87="","",'C-Design&amp;Const'!AF87)</f>
        <v xml:space="preserve"> (Updates to) </v>
      </c>
      <c r="K87" s="25" t="str">
        <f>IF(DD_apply="Yes",IF((COUNTIF(D87:G87,"Y")=COUNTIF('01 - SD'!D87:G87,"Y")),"match","no SD match"),"-")</f>
        <v>match</v>
      </c>
      <c r="L87" s="1410" t="str">
        <f t="shared" si="0"/>
        <v/>
      </c>
      <c r="M87" s="1333"/>
      <c r="N87" s="1333"/>
      <c r="O87" s="1333"/>
      <c r="P87" s="1333"/>
      <c r="Q87" s="1333"/>
      <c r="R87" s="1453"/>
      <c r="S87" s="1284"/>
      <c r="T87" s="1284"/>
      <c r="U87" s="1333"/>
      <c r="V87" s="1333"/>
      <c r="W87" s="1333"/>
      <c r="X87" s="1333"/>
      <c r="Y87" s="1333"/>
      <c r="Z87" s="1333"/>
      <c r="AA87" s="1333"/>
      <c r="AB87" s="1333"/>
      <c r="AC87" s="1333"/>
      <c r="AD87" s="1333"/>
      <c r="AE87" s="1333"/>
      <c r="AF87" s="1333"/>
      <c r="AG87" s="1333"/>
      <c r="AH87" s="1333"/>
      <c r="AI87" s="1333"/>
    </row>
    <row r="88" spans="1:49" ht="15.75" x14ac:dyDescent="0.25">
      <c r="A88" s="1504" t="str">
        <f>IF(SD_apply="Yes",IF(COUNTIF('01 - SD'!D88:G88,"Y")&gt;0,"Y",IF(COUNTIF('01 - SD'!D88:G88,"N"),"N","")),"")</f>
        <v>Y</v>
      </c>
      <c r="B88" s="18"/>
      <c r="C88" s="945"/>
      <c r="D88" s="547"/>
      <c r="E88" s="466"/>
      <c r="F88" s="559" t="str">
        <f>IF('C-Design&amp;Const'!$K88="","",'C-Design&amp;Const'!$K88)</f>
        <v>Y</v>
      </c>
      <c r="G88" s="501"/>
      <c r="H88" s="408" t="str">
        <f>CONCATENATE(IF(F88="N","PLACEHOLDER ROW - ",""),'C-Design&amp;Const'!Z88,IF(F88="N","",J88))</f>
        <v xml:space="preserve">Plumbing - Cut Sheets or Product Data Sheets on Plumbing Fixtures (Updates to) </v>
      </c>
      <c r="I88" s="136"/>
      <c r="J88" s="578" t="str">
        <f>IF('C-Design&amp;Const'!AF88="","",'C-Design&amp;Const'!AF88)</f>
        <v xml:space="preserve"> (Updates to) </v>
      </c>
      <c r="K88" s="25" t="str">
        <f>IF(DD_apply="Yes",IF((COUNTIF(D88:G88,"Y")=COUNTIF('01 - SD'!D88:G88,"Y")),"match","no SD match"),"-")</f>
        <v>match</v>
      </c>
      <c r="L88" s="1410" t="str">
        <f t="shared" si="0"/>
        <v/>
      </c>
      <c r="M88" s="1333"/>
      <c r="N88" s="1333"/>
      <c r="O88" s="1333"/>
      <c r="P88" s="1333"/>
      <c r="Q88" s="1333"/>
      <c r="R88" s="1453"/>
      <c r="S88" s="1284"/>
      <c r="T88" s="1284"/>
      <c r="U88" s="1333"/>
      <c r="V88" s="1333"/>
      <c r="W88" s="1333"/>
      <c r="X88" s="1333"/>
      <c r="Y88" s="1333"/>
      <c r="Z88" s="1333"/>
      <c r="AA88" s="1333"/>
      <c r="AB88" s="1333"/>
      <c r="AC88" s="1333"/>
      <c r="AD88" s="1333"/>
      <c r="AE88" s="1333"/>
      <c r="AF88" s="1333"/>
      <c r="AG88" s="1333"/>
      <c r="AH88" s="1333"/>
      <c r="AI88" s="1333"/>
    </row>
    <row r="89" spans="1:49" ht="15.75" x14ac:dyDescent="0.25">
      <c r="A89" s="1504" t="str">
        <f>IF(SD_apply="Yes",IF(COUNTIF('01 - SD'!D89:G89,"Y")&gt;0,"Y",IF(COUNTIF('01 - SD'!D89:G89,"N"),"N","")),"")</f>
        <v>Y</v>
      </c>
      <c r="B89" s="18"/>
      <c r="C89" s="945"/>
      <c r="D89" s="547"/>
      <c r="E89" s="466"/>
      <c r="F89" s="559" t="str">
        <f>IF('C-Design&amp;Const'!$K89="","",'C-Design&amp;Const'!$K89)</f>
        <v>Y</v>
      </c>
      <c r="G89" s="501"/>
      <c r="H89" s="408" t="str">
        <f>CONCATENATE(IF(F89="N","PLACEHOLDER ROW - ",""),'C-Design&amp;Const'!Z89,IF(F89="N","",J89))</f>
        <v xml:space="preserve">Fire Suppression System(s) **(verify existing system for renovations) (Updates to) </v>
      </c>
      <c r="I89" s="136"/>
      <c r="J89" s="578" t="str">
        <f>IF('C-Design&amp;Const'!AF89="","",'C-Design&amp;Const'!AF89)</f>
        <v xml:space="preserve"> (Updates to) </v>
      </c>
      <c r="K89" s="25" t="str">
        <f>IF(DD_apply="Yes",IF((COUNTIF(D89:G89,"Y")=COUNTIF('01 - SD'!D89:G89,"Y")),"match","no SD match"),"-")</f>
        <v>match</v>
      </c>
      <c r="L89" s="1410" t="str">
        <f t="shared" si="0"/>
        <v/>
      </c>
      <c r="M89" s="1333"/>
      <c r="N89" s="1333"/>
      <c r="O89" s="1333"/>
      <c r="P89" s="1333"/>
      <c r="Q89" s="1333"/>
      <c r="R89" s="1453"/>
      <c r="S89" s="1284"/>
      <c r="T89" s="1284"/>
      <c r="U89" s="1333"/>
      <c r="V89" s="1333"/>
      <c r="W89" s="1333"/>
      <c r="X89" s="1333"/>
      <c r="Y89" s="1333"/>
      <c r="Z89" s="1333"/>
      <c r="AA89" s="1333"/>
      <c r="AB89" s="1333"/>
      <c r="AC89" s="1333"/>
      <c r="AD89" s="1333"/>
      <c r="AE89" s="1333"/>
      <c r="AF89" s="1333"/>
      <c r="AG89" s="1333"/>
      <c r="AH89" s="1333"/>
      <c r="AI89" s="1333"/>
    </row>
    <row r="90" spans="1:49" ht="15.75" x14ac:dyDescent="0.25">
      <c r="A90" s="1504" t="str">
        <f>IF(SD_apply="Yes",IF(COUNTIF('01 - SD'!D90:G90,"Y")&gt;0,"Y",IF(COUNTIF('01 - SD'!D90:G90,"N"),"N","")),"")</f>
        <v>Y</v>
      </c>
      <c r="B90" s="18"/>
      <c r="C90" s="945"/>
      <c r="D90" s="547"/>
      <c r="E90" s="466"/>
      <c r="F90" s="559" t="str">
        <f>IF('C-Design&amp;Const'!$K90="","",'C-Design&amp;Const'!$K90)</f>
        <v>Y</v>
      </c>
      <c r="G90" s="501"/>
      <c r="H90" s="796" t="str">
        <f>CONCATENATE(IF(F90="N","PLACEHOLDER ROW - ",""),'C-Design&amp;Const'!Z90,IF(F90="N","",J90))</f>
        <v xml:space="preserve">Heating - General System(s) **(verify existing system for renovations) (Updates to) </v>
      </c>
      <c r="I90" s="136"/>
      <c r="J90" s="578" t="str">
        <f>IF('C-Design&amp;Const'!AF90="","",'C-Design&amp;Const'!AF90)</f>
        <v xml:space="preserve"> (Updates to) </v>
      </c>
      <c r="K90" s="25" t="str">
        <f>IF(DD_apply="Yes",IF((COUNTIF(D90:G90,"Y")=COUNTIF('01 - SD'!D90:G90,"Y")),"match","no SD match"),"-")</f>
        <v>match</v>
      </c>
      <c r="L90" s="1410" t="str">
        <f t="shared" si="0"/>
        <v/>
      </c>
      <c r="M90" s="1333"/>
      <c r="N90" s="1333"/>
      <c r="O90" s="1333"/>
      <c r="P90" s="1333"/>
      <c r="Q90" s="1333"/>
      <c r="R90" s="1453"/>
      <c r="S90" s="1284"/>
      <c r="T90" s="1284"/>
      <c r="U90" s="1333"/>
      <c r="V90" s="1333"/>
      <c r="W90" s="1333"/>
      <c r="X90" s="1333"/>
      <c r="Y90" s="1333"/>
      <c r="Z90" s="1333"/>
      <c r="AA90" s="1333"/>
      <c r="AB90" s="1333"/>
      <c r="AC90" s="1333"/>
      <c r="AD90" s="1333"/>
      <c r="AE90" s="1333"/>
      <c r="AF90" s="1333"/>
      <c r="AG90" s="1333"/>
      <c r="AH90" s="1333"/>
      <c r="AI90" s="1333"/>
    </row>
    <row r="91" spans="1:49" s="542" customFormat="1" ht="15.75" x14ac:dyDescent="0.25">
      <c r="A91" s="1504" t="str">
        <f>IF(SD_apply="Yes",IF(COUNTIF('01 - SD'!D91:G91,"Y")&gt;0,"Y",IF(COUNTIF('01 - SD'!D91:G91,"N"),"N","")),"")</f>
        <v>Y</v>
      </c>
      <c r="B91" s="18"/>
      <c r="C91" s="945"/>
      <c r="D91" s="547"/>
      <c r="E91" s="466"/>
      <c r="F91" s="559" t="str">
        <f>IF('C-Design&amp;Const'!$K91="","",'C-Design&amp;Const'!$K91)</f>
        <v>Y</v>
      </c>
      <c r="G91" s="485"/>
      <c r="H91" s="408" t="str">
        <f>CONCATENATE(IF(F91="N","PLACEHOLDER ROW - ",""),'C-Design&amp;Const'!Z91,IF(F91="N","",J91))</f>
        <v xml:space="preserve">Heating - Demolition(s) (Updates to) </v>
      </c>
      <c r="I91" s="136"/>
      <c r="J91" s="578" t="str">
        <f>IF('C-Design&amp;Const'!AF91="","",'C-Design&amp;Const'!AF91)</f>
        <v xml:space="preserve"> (Updates to) </v>
      </c>
      <c r="K91" s="25" t="str">
        <f>IF(DD_apply="Yes",IF((COUNTIF(D91:G91,"Y")=COUNTIF('01 - SD'!D91:G91,"Y")),"match","no SD match"),"-")</f>
        <v>match</v>
      </c>
      <c r="L91" s="1410" t="str">
        <f t="shared" ref="L91" si="3">CONCATENATE(IF(ISNUMBER(SEARCH("Placeholder",H91))=TRUE,"&lt;---PM/Planner may hide PLACEHOLDER ROW",""))</f>
        <v/>
      </c>
      <c r="M91" s="1333"/>
      <c r="N91" s="1333"/>
      <c r="O91" s="1333"/>
      <c r="P91" s="1333"/>
      <c r="Q91" s="1333"/>
      <c r="R91" s="1453"/>
      <c r="S91" s="1284"/>
      <c r="T91" s="1284"/>
      <c r="U91" s="1333"/>
      <c r="V91" s="1333"/>
      <c r="W91" s="1333"/>
      <c r="X91" s="1333"/>
      <c r="Y91" s="1333"/>
      <c r="Z91" s="1333"/>
      <c r="AA91" s="1333"/>
      <c r="AB91" s="1333"/>
      <c r="AC91" s="1333"/>
      <c r="AD91" s="1333"/>
      <c r="AE91" s="1333"/>
      <c r="AF91" s="1333"/>
      <c r="AG91" s="1333"/>
      <c r="AH91" s="1333"/>
      <c r="AI91" s="1333"/>
      <c r="AJ91" s="17"/>
      <c r="AK91" s="17"/>
      <c r="AL91" s="17"/>
      <c r="AM91" s="17"/>
      <c r="AN91" s="17"/>
      <c r="AO91" s="17"/>
      <c r="AP91" s="17"/>
      <c r="AQ91" s="17"/>
      <c r="AR91" s="17"/>
      <c r="AS91" s="17"/>
      <c r="AT91" s="17"/>
      <c r="AU91" s="17"/>
      <c r="AV91" s="17"/>
      <c r="AW91" s="17"/>
    </row>
    <row r="92" spans="1:49" ht="15.75" x14ac:dyDescent="0.25">
      <c r="A92" s="1504" t="str">
        <f>IF(SD_apply="Yes",IF(COUNTIF('01 - SD'!D92:G92,"Y")&gt;0,"Y",IF(COUNTIF('01 - SD'!D92:G92,"N"),"N","")),"")</f>
        <v>Y</v>
      </c>
      <c r="B92" s="18"/>
      <c r="C92" s="945"/>
      <c r="D92" s="547"/>
      <c r="E92" s="466"/>
      <c r="F92" s="559" t="str">
        <f>IF('C-Design&amp;Const'!$K92="","",'C-Design&amp;Const'!$K92)</f>
        <v>Y</v>
      </c>
      <c r="G92" s="501"/>
      <c r="H92" s="796" t="str">
        <f>CONCATENATE(IF(F92="N","PLACEHOLDER ROW - ",""),'C-Design&amp;Const'!Z92,IF(F92="N","",J92))</f>
        <v xml:space="preserve">Heating - Gas (and verify existing system for renovations)* (Updates to) </v>
      </c>
      <c r="I92" s="136"/>
      <c r="J92" s="578" t="str">
        <f>IF('C-Design&amp;Const'!AF92="","",'C-Design&amp;Const'!AF92)</f>
        <v xml:space="preserve"> (Updates to) </v>
      </c>
      <c r="K92" s="25" t="str">
        <f>IF(DD_apply="Yes",IF((COUNTIF(D92:G92,"Y")=COUNTIF('01 - SD'!D92:G92,"Y")),"match","no SD match"),"-")</f>
        <v>match</v>
      </c>
      <c r="L92" s="1410" t="str">
        <f t="shared" si="0"/>
        <v/>
      </c>
      <c r="M92" s="1333"/>
      <c r="N92" s="1333"/>
      <c r="O92" s="1333"/>
      <c r="P92" s="1333"/>
      <c r="Q92" s="1333"/>
      <c r="R92" s="1453"/>
      <c r="S92" s="1284"/>
      <c r="T92" s="1284"/>
      <c r="U92" s="1333"/>
      <c r="V92" s="1333"/>
      <c r="W92" s="1333"/>
      <c r="X92" s="1333"/>
      <c r="Y92" s="1333"/>
      <c r="Z92" s="1333"/>
      <c r="AA92" s="1333"/>
      <c r="AB92" s="1333"/>
      <c r="AC92" s="1333"/>
      <c r="AD92" s="1333"/>
      <c r="AE92" s="1333"/>
      <c r="AF92" s="1333"/>
      <c r="AG92" s="1333"/>
      <c r="AH92" s="1333"/>
      <c r="AI92" s="1333"/>
    </row>
    <row r="93" spans="1:49" ht="15.75" x14ac:dyDescent="0.25">
      <c r="A93" s="1504" t="str">
        <f>IF(SD_apply="Yes",IF(COUNTIF('01 - SD'!D93:G93,"Y")&gt;0,"Y",IF(COUNTIF('01 - SD'!D93:G93,"N"),"N","")),"")</f>
        <v>Y</v>
      </c>
      <c r="B93" s="18"/>
      <c r="C93" s="945"/>
      <c r="D93" s="547"/>
      <c r="E93" s="466"/>
      <c r="F93" s="559" t="str">
        <f>IF('C-Design&amp;Const'!$K93="","",'C-Design&amp;Const'!$K93)</f>
        <v>Y</v>
      </c>
      <c r="G93" s="501"/>
      <c r="H93" s="408" t="str">
        <f>CONCATENATE(IF(F93="N","PLACEHOLDER ROW - ",""),'C-Design&amp;Const'!Z93,IF(F93="N","",J93))</f>
        <v xml:space="preserve">Heating -  Steam  (and verify existing system for renovations)* (Updates to) </v>
      </c>
      <c r="I93" s="136"/>
      <c r="J93" s="578" t="str">
        <f>IF('C-Design&amp;Const'!AF93="","",'C-Design&amp;Const'!AF93)</f>
        <v xml:space="preserve"> (Updates to) </v>
      </c>
      <c r="K93" s="25" t="str">
        <f>IF(DD_apply="Yes",IF((COUNTIF(D93:G93,"Y")=COUNTIF('01 - SD'!D93:G93,"Y")),"match","no SD match"),"-")</f>
        <v>match</v>
      </c>
      <c r="L93" s="1410" t="str">
        <f t="shared" si="0"/>
        <v/>
      </c>
      <c r="M93" s="1333"/>
      <c r="N93" s="1333"/>
      <c r="O93" s="1333"/>
      <c r="P93" s="1333"/>
      <c r="Q93" s="1333"/>
      <c r="R93" s="1453"/>
      <c r="S93" s="1284"/>
      <c r="T93" s="1284"/>
      <c r="U93" s="1333"/>
      <c r="V93" s="1333"/>
      <c r="W93" s="1333"/>
      <c r="X93" s="1333"/>
      <c r="Y93" s="1333"/>
      <c r="Z93" s="1333"/>
      <c r="AA93" s="1333"/>
      <c r="AB93" s="1333"/>
      <c r="AC93" s="1333"/>
      <c r="AD93" s="1333"/>
      <c r="AE93" s="1333"/>
      <c r="AF93" s="1333"/>
      <c r="AG93" s="1333"/>
      <c r="AH93" s="1333"/>
      <c r="AI93" s="1333"/>
    </row>
    <row r="94" spans="1:49" ht="15.75" x14ac:dyDescent="0.25">
      <c r="A94" s="1504" t="str">
        <f>IF(SD_apply="Yes",IF(COUNTIF('01 - SD'!D94:G94,"Y")&gt;0,"Y",IF(COUNTIF('01 - SD'!D94:G94,"N"),"N","")),"")</f>
        <v>N</v>
      </c>
      <c r="B94" s="18"/>
      <c r="C94" s="945"/>
      <c r="D94" s="547"/>
      <c r="E94" s="466"/>
      <c r="F94" s="559" t="str">
        <f>IF('C-Design&amp;Const'!$K94="","",'C-Design&amp;Const'!$K94)</f>
        <v>N</v>
      </c>
      <c r="G94" s="501"/>
      <c r="H94" s="408" t="str">
        <f>CONCATENATE(IF(F94="N","PLACEHOLDER ROW - ",""),'C-Design&amp;Const'!Z94,IF(F94="N","",J94))</f>
        <v>PLACEHOLDER ROW - Heating - CUSTOM</v>
      </c>
      <c r="I94" s="136"/>
      <c r="J94" s="578" t="str">
        <f>IF('C-Design&amp;Const'!AF94="","",'C-Design&amp;Const'!AF94)</f>
        <v xml:space="preserve"> (Updates to) </v>
      </c>
      <c r="K94" s="25" t="str">
        <f>IF(DD_apply="Yes",IF((COUNTIF(D94:G94,"Y")=COUNTIF('01 - SD'!D94:G94,"Y")),"match","no SD match"),"-")</f>
        <v>match</v>
      </c>
      <c r="L94" s="1410" t="str">
        <f t="shared" si="0"/>
        <v>&lt;---PM/Planner may hide PLACEHOLDER ROW</v>
      </c>
      <c r="M94" s="1333"/>
      <c r="N94" s="1333"/>
      <c r="O94" s="1333"/>
      <c r="P94" s="1333"/>
      <c r="Q94" s="1333"/>
      <c r="R94" s="1453"/>
      <c r="S94" s="1284"/>
      <c r="T94" s="1284"/>
      <c r="U94" s="1333"/>
      <c r="V94" s="1333"/>
      <c r="W94" s="1333"/>
      <c r="X94" s="1333"/>
      <c r="Y94" s="1333"/>
      <c r="Z94" s="1333"/>
      <c r="AA94" s="1333"/>
      <c r="AB94" s="1333"/>
      <c r="AC94" s="1333"/>
      <c r="AD94" s="1333"/>
      <c r="AE94" s="1333"/>
      <c r="AF94" s="1333"/>
      <c r="AG94" s="1333"/>
      <c r="AH94" s="1333"/>
      <c r="AI94" s="1333"/>
    </row>
    <row r="95" spans="1:49" ht="15.75" x14ac:dyDescent="0.25">
      <c r="A95" s="1504" t="str">
        <f>IF(SD_apply="Yes",IF(COUNTIF('01 - SD'!D95:G95,"Y")&gt;0,"Y",IF(COUNTIF('01 - SD'!D95:G95,"N"),"N","")),"")</f>
        <v>Y</v>
      </c>
      <c r="B95" s="18"/>
      <c r="C95" s="945"/>
      <c r="D95" s="547"/>
      <c r="E95" s="466"/>
      <c r="F95" s="559" t="str">
        <f>IF('C-Design&amp;Const'!$K95="","",'C-Design&amp;Const'!$K95)</f>
        <v>Y</v>
      </c>
      <c r="G95" s="501"/>
      <c r="H95" s="408" t="str">
        <f>CONCATENATE(IF(F95="N","PLACEHOLDER ROW - ",""),'C-Design&amp;Const'!Z95,IF(F95="N","",J95))</f>
        <v xml:space="preserve">Ventilation - General System(s)  **(verify existing system for renovations) (Updates to) </v>
      </c>
      <c r="I95" s="136"/>
      <c r="J95" s="578" t="str">
        <f>IF('C-Design&amp;Const'!AF95="","",'C-Design&amp;Const'!AF95)</f>
        <v xml:space="preserve"> (Updates to) </v>
      </c>
      <c r="K95" s="25" t="str">
        <f>IF(DD_apply="Yes",IF((COUNTIF(D95:G95,"Y")=COUNTIF('01 - SD'!D95:G95,"Y")),"match","no SD match"),"-")</f>
        <v>match</v>
      </c>
      <c r="L95" s="1410" t="str">
        <f t="shared" si="0"/>
        <v/>
      </c>
      <c r="M95" s="1333"/>
      <c r="N95" s="1333"/>
      <c r="O95" s="1333"/>
      <c r="P95" s="1333"/>
      <c r="Q95" s="1333"/>
      <c r="R95" s="1453"/>
      <c r="S95" s="1284"/>
      <c r="T95" s="1284"/>
      <c r="U95" s="1333"/>
      <c r="V95" s="1333"/>
      <c r="W95" s="1333"/>
      <c r="X95" s="1333"/>
      <c r="Y95" s="1333"/>
      <c r="Z95" s="1333"/>
      <c r="AA95" s="1333"/>
      <c r="AB95" s="1333"/>
      <c r="AC95" s="1333"/>
      <c r="AD95" s="1333"/>
      <c r="AE95" s="1333"/>
      <c r="AF95" s="1333"/>
      <c r="AG95" s="1333"/>
      <c r="AH95" s="1333"/>
      <c r="AI95" s="1333"/>
    </row>
    <row r="96" spans="1:49" s="542" customFormat="1" ht="15.75" x14ac:dyDescent="0.25">
      <c r="A96" s="1504" t="str">
        <f>IF(SD_apply="Yes",IF(COUNTIF('01 - SD'!D96:G96,"Y")&gt;0,"Y",IF(COUNTIF('01 - SD'!D96:G96,"N"),"N","")),"")</f>
        <v>Y</v>
      </c>
      <c r="B96" s="18"/>
      <c r="C96" s="945"/>
      <c r="D96" s="547"/>
      <c r="E96" s="466"/>
      <c r="F96" s="559" t="str">
        <f>IF('C-Design&amp;Const'!$K96="","",'C-Design&amp;Const'!$K96)</f>
        <v>Y</v>
      </c>
      <c r="G96" s="485"/>
      <c r="H96" s="408" t="str">
        <f>CONCATENATE(IF(F96="N","PLACEHOLDER ROW - ",""),'C-Design&amp;Const'!Z96,IF(F96="N","",J96))</f>
        <v xml:space="preserve">Ventilation - Demolition(s) (Updates to) </v>
      </c>
      <c r="I96" s="136"/>
      <c r="J96" s="578" t="str">
        <f>IF('C-Design&amp;Const'!AF96="","",'C-Design&amp;Const'!AF96)</f>
        <v xml:space="preserve"> (Updates to) </v>
      </c>
      <c r="K96" s="25" t="str">
        <f>IF(DD_apply="Yes",IF((COUNTIF(D96:G96,"Y")=COUNTIF('01 - SD'!D96:G96,"Y")),"match","no SD match"),"-")</f>
        <v>match</v>
      </c>
      <c r="L96" s="1410" t="str">
        <f t="shared" si="0"/>
        <v/>
      </c>
      <c r="M96" s="1333"/>
      <c r="N96" s="1333"/>
      <c r="O96" s="1333"/>
      <c r="P96" s="1333"/>
      <c r="Q96" s="1333"/>
      <c r="R96" s="1453"/>
      <c r="S96" s="1284"/>
      <c r="T96" s="1284"/>
      <c r="U96" s="1333"/>
      <c r="V96" s="1333"/>
      <c r="W96" s="1333"/>
      <c r="X96" s="1333"/>
      <c r="Y96" s="1333"/>
      <c r="Z96" s="1333"/>
      <c r="AA96" s="1333"/>
      <c r="AB96" s="1333"/>
      <c r="AC96" s="1333"/>
      <c r="AD96" s="1333"/>
      <c r="AE96" s="1333"/>
      <c r="AF96" s="1333"/>
      <c r="AG96" s="1333"/>
      <c r="AH96" s="1333"/>
      <c r="AI96" s="1333"/>
      <c r="AJ96" s="17"/>
      <c r="AK96" s="17"/>
      <c r="AL96" s="17"/>
      <c r="AM96" s="17"/>
      <c r="AN96" s="17"/>
      <c r="AO96" s="17"/>
      <c r="AP96" s="17"/>
      <c r="AQ96" s="17"/>
      <c r="AR96" s="17"/>
      <c r="AS96" s="17"/>
      <c r="AT96" s="17"/>
      <c r="AU96" s="17"/>
      <c r="AV96" s="17"/>
      <c r="AW96" s="17"/>
    </row>
    <row r="97" spans="1:49" ht="15" customHeight="1" x14ac:dyDescent="0.25">
      <c r="A97" s="1504" t="str">
        <f>IF(SD_apply="Yes",IF(COUNTIF('01 - SD'!D97:G97,"Y")&gt;0,"Y",IF(COUNTIF('01 - SD'!D97:G97,"N"),"N","")),"")</f>
        <v>Y</v>
      </c>
      <c r="B97" s="18"/>
      <c r="C97" s="945"/>
      <c r="D97" s="547"/>
      <c r="E97" s="466"/>
      <c r="F97" s="559" t="str">
        <f>IF('C-Design&amp;Const'!$K97="","",'C-Design&amp;Const'!$K97)</f>
        <v>Y</v>
      </c>
      <c r="G97" s="485"/>
      <c r="H97" s="408" t="str">
        <f>CONCATENATE(IF(F97="N","PLACEHOLDER ROW - ",""),'C-Design&amp;Const'!Z97,IF(F97="N","",J97))</f>
        <v xml:space="preserve">Ventilation - Refrigeration Systems **(verify existing system for renovations) (Updates to) </v>
      </c>
      <c r="I97" s="136"/>
      <c r="J97" s="578" t="str">
        <f>IF('C-Design&amp;Const'!AF97="","",'C-Design&amp;Const'!AF97)</f>
        <v xml:space="preserve"> (Updates to) </v>
      </c>
      <c r="K97" s="25" t="str">
        <f>IF(DD_apply="Yes",IF((COUNTIF(D97:G97,"Y")=COUNTIF('01 - SD'!D97:G97,"Y")),"match","no SD match"),"-")</f>
        <v>match</v>
      </c>
      <c r="L97" s="1410" t="str">
        <f t="shared" si="0"/>
        <v/>
      </c>
      <c r="M97" s="1333"/>
      <c r="N97" s="1333"/>
      <c r="O97" s="1333"/>
      <c r="P97" s="1333"/>
      <c r="Q97" s="1333"/>
      <c r="R97" s="1453"/>
      <c r="S97" s="1284"/>
      <c r="T97" s="1284"/>
      <c r="U97" s="1333"/>
      <c r="V97" s="1333"/>
      <c r="W97" s="1333"/>
      <c r="X97" s="1333"/>
      <c r="Y97" s="1333"/>
      <c r="Z97" s="1333"/>
      <c r="AA97" s="1333"/>
      <c r="AB97" s="1333"/>
      <c r="AC97" s="1333"/>
      <c r="AD97" s="1333"/>
      <c r="AE97" s="1333"/>
      <c r="AF97" s="1333"/>
      <c r="AG97" s="1333"/>
      <c r="AH97" s="1333"/>
      <c r="AI97" s="1333"/>
    </row>
    <row r="98" spans="1:49" ht="15" customHeight="1" x14ac:dyDescent="0.25">
      <c r="A98" s="1504" t="str">
        <f>IF(SD_apply="Yes",IF(COUNTIF('01 - SD'!D98:G98,"Y")&gt;0,"Y",IF(COUNTIF('01 - SD'!D98:G98,"N"),"N","")),"")</f>
        <v>Y</v>
      </c>
      <c r="B98" s="18"/>
      <c r="C98" s="945"/>
      <c r="D98" s="547"/>
      <c r="E98" s="466"/>
      <c r="F98" s="559" t="str">
        <f>IF('C-Design&amp;Const'!$K98="","",'C-Design&amp;Const'!$K98)</f>
        <v>Y</v>
      </c>
      <c r="G98" s="485"/>
      <c r="H98" s="408" t="str">
        <f>CONCATENATE(IF(F98="N","PLACEHOLDER ROW - ",""),'C-Design&amp;Const'!Z98,IF(F98="N","",J98))</f>
        <v xml:space="preserve">Ventilation - Chilled Water  **(verify existing system for renovations) (Updates to) </v>
      </c>
      <c r="I98" s="136"/>
      <c r="J98" s="578" t="str">
        <f>IF('C-Design&amp;Const'!AF98="","",'C-Design&amp;Const'!AF98)</f>
        <v xml:space="preserve"> (Updates to) </v>
      </c>
      <c r="K98" s="25" t="str">
        <f>IF(DD_apply="Yes",IF((COUNTIF(D98:G98,"Y")=COUNTIF('01 - SD'!D98:G98,"Y")),"match","no SD match"),"-")</f>
        <v>match</v>
      </c>
      <c r="L98" s="1410" t="str">
        <f t="shared" si="0"/>
        <v/>
      </c>
      <c r="M98" s="1333"/>
      <c r="N98" s="1333"/>
      <c r="O98" s="1333"/>
      <c r="P98" s="1333"/>
      <c r="Q98" s="1333"/>
      <c r="R98" s="1453"/>
      <c r="S98" s="1284"/>
      <c r="T98" s="1284"/>
      <c r="U98" s="1333"/>
      <c r="V98" s="1333"/>
      <c r="W98" s="1333"/>
      <c r="X98" s="1333"/>
      <c r="Y98" s="1333"/>
      <c r="Z98" s="1333"/>
      <c r="AA98" s="1333"/>
      <c r="AB98" s="1333"/>
      <c r="AC98" s="1333"/>
      <c r="AD98" s="1333"/>
      <c r="AE98" s="1333"/>
      <c r="AF98" s="1333"/>
      <c r="AG98" s="1333"/>
      <c r="AH98" s="1333"/>
      <c r="AI98" s="1333"/>
    </row>
    <row r="99" spans="1:49" ht="15.75" x14ac:dyDescent="0.25">
      <c r="A99" s="1504" t="str">
        <f>IF(SD_apply="Yes",IF(COUNTIF('01 - SD'!D99:G99,"Y")&gt;0,"Y",IF(COUNTIF('01 - SD'!D99:G99,"N"),"N","")),"")</f>
        <v>N</v>
      </c>
      <c r="B99" s="18"/>
      <c r="C99" s="945"/>
      <c r="D99" s="547"/>
      <c r="E99" s="466"/>
      <c r="F99" s="559" t="str">
        <f>IF('C-Design&amp;Const'!$K99="","",'C-Design&amp;Const'!$K99)</f>
        <v>N</v>
      </c>
      <c r="G99" s="485"/>
      <c r="H99" s="408" t="str">
        <f>CONCATENATE(IF(F99="N","PLACEHOLDER ROW - ",""),'C-Design&amp;Const'!Z99,IF(F99="N","",J99))</f>
        <v>PLACEHOLDER ROW - Ventilation - CUSTOM</v>
      </c>
      <c r="I99" s="136"/>
      <c r="J99" s="578" t="str">
        <f>IF('C-Design&amp;Const'!AF99="","",'C-Design&amp;Const'!AF99)</f>
        <v xml:space="preserve"> (Updates to) </v>
      </c>
      <c r="K99" s="25" t="str">
        <f>IF(DD_apply="Yes",IF((COUNTIF(D99:G99,"Y")=COUNTIF('01 - SD'!D99:G99,"Y")),"match","no SD match"),"-")</f>
        <v>match</v>
      </c>
      <c r="L99" s="1410" t="str">
        <f t="shared" si="0"/>
        <v>&lt;---PM/Planner may hide PLACEHOLDER ROW</v>
      </c>
      <c r="M99" s="1333"/>
      <c r="N99" s="1333"/>
      <c r="O99" s="1333"/>
      <c r="P99" s="1333"/>
      <c r="Q99" s="1333"/>
      <c r="R99" s="1453"/>
      <c r="S99" s="1284"/>
      <c r="T99" s="1284"/>
      <c r="U99" s="1333"/>
      <c r="V99" s="1333"/>
      <c r="W99" s="1333"/>
      <c r="X99" s="1333"/>
      <c r="Y99" s="1333"/>
      <c r="Z99" s="1333"/>
      <c r="AA99" s="1333"/>
      <c r="AB99" s="1333"/>
      <c r="AC99" s="1333"/>
      <c r="AD99" s="1333"/>
      <c r="AE99" s="1333"/>
      <c r="AF99" s="1333"/>
      <c r="AG99" s="1333"/>
      <c r="AH99" s="1333"/>
      <c r="AI99" s="1333"/>
    </row>
    <row r="100" spans="1:49" ht="15.75" x14ac:dyDescent="0.25">
      <c r="A100" s="1504" t="str">
        <f>IF(SD_apply="Yes",IF(COUNTIF('01 - SD'!D100:G100,"Y")&gt;0,"Y",IF(COUNTIF('01 - SD'!D100:G100,"N"),"N","")),"")</f>
        <v>Y</v>
      </c>
      <c r="B100" s="18"/>
      <c r="C100" s="945"/>
      <c r="D100" s="547"/>
      <c r="E100" s="466"/>
      <c r="F100" s="559" t="str">
        <f>IF('C-Design&amp;Const'!$K100="","",'C-Design&amp;Const'!$K100)</f>
        <v>Y</v>
      </c>
      <c r="G100" s="485"/>
      <c r="H100" s="408" t="str">
        <f>CONCATENATE(IF(F100="N","PLACEHOLDER ROW - ",""),'C-Design&amp;Const'!Z100,IF(F100="N","",J100))</f>
        <v xml:space="preserve">Electrical - General System(s) - **(verify existing system for renovations) (Updates to) </v>
      </c>
      <c r="I100" s="136"/>
      <c r="J100" s="578" t="str">
        <f>IF('C-Design&amp;Const'!AF100="","",'C-Design&amp;Const'!AF100)</f>
        <v xml:space="preserve"> (Updates to) </v>
      </c>
      <c r="K100" s="25" t="str">
        <f>IF(DD_apply="Yes",IF((COUNTIF(D100:G100,"Y")=COUNTIF('01 - SD'!D100:G100,"Y")),"match","no SD match"),"-")</f>
        <v>match</v>
      </c>
      <c r="L100" s="1410" t="str">
        <f t="shared" si="0"/>
        <v/>
      </c>
      <c r="M100" s="1333"/>
      <c r="N100" s="1333"/>
      <c r="O100" s="1333"/>
      <c r="P100" s="1333"/>
      <c r="Q100" s="1333"/>
      <c r="R100" s="1453"/>
      <c r="S100" s="1284"/>
      <c r="T100" s="1284"/>
      <c r="U100" s="1333"/>
      <c r="V100" s="1333"/>
      <c r="W100" s="1333"/>
      <c r="X100" s="1333"/>
      <c r="Y100" s="1333"/>
      <c r="Z100" s="1333"/>
      <c r="AA100" s="1333"/>
      <c r="AB100" s="1333"/>
      <c r="AC100" s="1333"/>
      <c r="AD100" s="1333"/>
      <c r="AE100" s="1333"/>
      <c r="AF100" s="1333"/>
      <c r="AG100" s="1333"/>
      <c r="AH100" s="1333"/>
      <c r="AI100" s="1333"/>
    </row>
    <row r="101" spans="1:49" s="542" customFormat="1" ht="15.75" x14ac:dyDescent="0.25">
      <c r="A101" s="1504" t="str">
        <f>IF(SD_apply="Yes",IF(COUNTIF('01 - SD'!D101:G101,"Y")&gt;0,"Y",IF(COUNTIF('01 - SD'!D101:G101,"N"),"N","")),"")</f>
        <v>Y</v>
      </c>
      <c r="B101" s="18"/>
      <c r="C101" s="945"/>
      <c r="D101" s="547"/>
      <c r="E101" s="466"/>
      <c r="F101" s="559" t="str">
        <f>IF('C-Design&amp;Const'!$K101="","",'C-Design&amp;Const'!$K101)</f>
        <v>Y</v>
      </c>
      <c r="G101" s="485"/>
      <c r="H101" s="408" t="str">
        <f>CONCATENATE(IF(F101="N","PLACEHOLDER ROW - ",""),'C-Design&amp;Const'!Z101,IF(F101="N","",J101))</f>
        <v xml:space="preserve">Electrical - Demolition(s) (Updates to) </v>
      </c>
      <c r="I101" s="136"/>
      <c r="J101" s="578" t="str">
        <f>IF('C-Design&amp;Const'!AF101="","",'C-Design&amp;Const'!AF101)</f>
        <v xml:space="preserve"> (Updates to) </v>
      </c>
      <c r="K101" s="25" t="str">
        <f>IF(DD_apply="Yes",IF((COUNTIF(D101:G101,"Y")=COUNTIF('01 - SD'!D101:G101,"Y")),"match","no SD match"),"-")</f>
        <v>match</v>
      </c>
      <c r="L101" s="1410" t="str">
        <f t="shared" ref="L101" si="4">CONCATENATE(IF(ISNUMBER(SEARCH("Placeholder",H101))=TRUE,"&lt;---PM/Planner may hide PLACEHOLDER ROW",""))</f>
        <v/>
      </c>
      <c r="M101" s="1333"/>
      <c r="N101" s="1333"/>
      <c r="O101" s="1333"/>
      <c r="P101" s="1333"/>
      <c r="Q101" s="1333"/>
      <c r="R101" s="1453"/>
      <c r="S101" s="1284"/>
      <c r="T101" s="1284"/>
      <c r="U101" s="1333"/>
      <c r="V101" s="1333"/>
      <c r="W101" s="1333"/>
      <c r="X101" s="1333"/>
      <c r="Y101" s="1333"/>
      <c r="Z101" s="1333"/>
      <c r="AA101" s="1333"/>
      <c r="AB101" s="1333"/>
      <c r="AC101" s="1333"/>
      <c r="AD101" s="1333"/>
      <c r="AE101" s="1333"/>
      <c r="AF101" s="1333"/>
      <c r="AG101" s="1333"/>
      <c r="AH101" s="1333"/>
      <c r="AI101" s="1333"/>
      <c r="AJ101" s="17"/>
      <c r="AK101" s="17"/>
      <c r="AL101" s="17"/>
      <c r="AM101" s="17"/>
      <c r="AN101" s="17"/>
      <c r="AO101" s="17"/>
      <c r="AP101" s="17"/>
      <c r="AQ101" s="17"/>
      <c r="AR101" s="17"/>
      <c r="AS101" s="17"/>
      <c r="AT101" s="17"/>
      <c r="AU101" s="17"/>
      <c r="AV101" s="17"/>
      <c r="AW101" s="17"/>
    </row>
    <row r="102" spans="1:49" ht="15.75" x14ac:dyDescent="0.25">
      <c r="A102" s="1504" t="str">
        <f>IF(SD_apply="Yes",IF(COUNTIF('01 - SD'!D102:G102,"Y")&gt;0,"Y",IF(COUNTIF('01 - SD'!D102:G102,"N"),"N","")),"")</f>
        <v>Y</v>
      </c>
      <c r="B102" s="18"/>
      <c r="C102" s="945"/>
      <c r="D102" s="547"/>
      <c r="E102" s="466"/>
      <c r="F102" s="559" t="str">
        <f>IF('C-Design&amp;Const'!$K102="","",'C-Design&amp;Const'!$K102)</f>
        <v>Y</v>
      </c>
      <c r="G102" s="485"/>
      <c r="H102" s="408" t="str">
        <f>CONCATENATE(IF(F102="N","PLACEHOLDER ROW - ",""),'C-Design&amp;Const'!Z102,IF(F102="N","",J102))</f>
        <v xml:space="preserve">Electrical - Lighting **(verify existing system for renovations) (Updates to) </v>
      </c>
      <c r="I102" s="136"/>
      <c r="J102" s="578" t="str">
        <f>IF('C-Design&amp;Const'!AF102="","",'C-Design&amp;Const'!AF102)</f>
        <v xml:space="preserve"> (Updates to) </v>
      </c>
      <c r="K102" s="25" t="str">
        <f>IF(DD_apply="Yes",IF((COUNTIF(D102:G102,"Y")=COUNTIF('01 - SD'!D102:G102,"Y")),"match","no SD match"),"-")</f>
        <v>match</v>
      </c>
      <c r="L102" s="1410" t="str">
        <f t="shared" ref="L102:L174" si="5">CONCATENATE(IF(ISNUMBER(SEARCH("Placeholder",H102))=TRUE,"&lt;---PM/Planner may hide PLACEHOLDER ROW",""))</f>
        <v/>
      </c>
      <c r="M102" s="1333"/>
      <c r="N102" s="1333"/>
      <c r="O102" s="1333"/>
      <c r="P102" s="1333"/>
      <c r="Q102" s="1333"/>
      <c r="R102" s="1453"/>
      <c r="S102" s="1284"/>
      <c r="T102" s="1284"/>
      <c r="U102" s="1333"/>
      <c r="V102" s="1333"/>
      <c r="W102" s="1333"/>
      <c r="X102" s="1333"/>
      <c r="Y102" s="1333"/>
      <c r="Z102" s="1333"/>
      <c r="AA102" s="1333"/>
      <c r="AB102" s="1333"/>
      <c r="AC102" s="1333"/>
      <c r="AD102" s="1333"/>
      <c r="AE102" s="1333"/>
      <c r="AF102" s="1333"/>
      <c r="AG102" s="1333"/>
      <c r="AH102" s="1333"/>
      <c r="AI102" s="1333"/>
    </row>
    <row r="103" spans="1:49" ht="15.75" x14ac:dyDescent="0.25">
      <c r="A103" s="1504" t="str">
        <f>IF(SD_apply="Yes",IF(COUNTIF('01 - SD'!D103:G103,"Y")&gt;0,"Y",IF(COUNTIF('01 - SD'!D103:G103,"N"),"N","")),"")</f>
        <v>Y</v>
      </c>
      <c r="B103" s="18"/>
      <c r="C103" s="945"/>
      <c r="D103" s="547"/>
      <c r="E103" s="466"/>
      <c r="F103" s="559" t="str">
        <f>IF('C-Design&amp;Const'!$K103="","",'C-Design&amp;Const'!$K103)</f>
        <v>Y</v>
      </c>
      <c r="G103" s="485"/>
      <c r="H103" s="796" t="str">
        <f>CONCATENATE(IF(F103="N","PLACEHOLDER ROW - ",""),'C-Design&amp;Const'!Z103,IF(F103="N","",J103))</f>
        <v xml:space="preserve">Electrical - Elevators **(verify existing system for renovations) (Updates to) </v>
      </c>
      <c r="I103" s="136"/>
      <c r="J103" s="578" t="str">
        <f>IF('C-Design&amp;Const'!AF103="","",'C-Design&amp;Const'!AF103)</f>
        <v xml:space="preserve"> (Updates to) </v>
      </c>
      <c r="K103" s="25" t="str">
        <f>IF(DD_apply="Yes",IF((COUNTIF(D103:G103,"Y")=COUNTIF('01 - SD'!D103:G103,"Y")),"match","no SD match"),"-")</f>
        <v>match</v>
      </c>
      <c r="L103" s="1410" t="str">
        <f t="shared" si="5"/>
        <v/>
      </c>
      <c r="M103" s="1333"/>
      <c r="N103" s="1333"/>
      <c r="O103" s="1333"/>
      <c r="P103" s="1333"/>
      <c r="Q103" s="1333"/>
      <c r="R103" s="1453"/>
      <c r="S103" s="1284"/>
      <c r="T103" s="1284"/>
      <c r="U103" s="1333"/>
      <c r="V103" s="1333"/>
      <c r="W103" s="1333"/>
      <c r="X103" s="1333"/>
      <c r="Y103" s="1333"/>
      <c r="Z103" s="1333"/>
      <c r="AA103" s="1333"/>
      <c r="AB103" s="1333"/>
      <c r="AC103" s="1333"/>
      <c r="AD103" s="1333"/>
      <c r="AE103" s="1333"/>
      <c r="AF103" s="1333"/>
      <c r="AG103" s="1333"/>
      <c r="AH103" s="1333"/>
      <c r="AI103" s="1333"/>
    </row>
    <row r="104" spans="1:49" ht="15.75" x14ac:dyDescent="0.25">
      <c r="A104" s="1504" t="str">
        <f>IF(SD_apply="Yes",IF(COUNTIF('01 - SD'!D104:G104,"Y")&gt;0,"Y",IF(COUNTIF('01 - SD'!D104:G104,"N"),"N","")),"")</f>
        <v>Y</v>
      </c>
      <c r="B104" s="18"/>
      <c r="C104" s="945"/>
      <c r="D104" s="547"/>
      <c r="E104" s="466"/>
      <c r="F104" s="559" t="str">
        <f>IF('C-Design&amp;Const'!$K104="","",'C-Design&amp;Const'!$K104)</f>
        <v>Y</v>
      </c>
      <c r="G104" s="485"/>
      <c r="H104" s="408" t="str">
        <f>CONCATENATE(IF(F104="N","PLACEHOLDER ROW - ",""),'C-Design&amp;Const'!Z104,IF(F104="N","",J104))</f>
        <v xml:space="preserve">Electrical - Lightning Protection System(s) **(verify existing system for renovations) (Updates to) </v>
      </c>
      <c r="I104" s="136"/>
      <c r="J104" s="578" t="str">
        <f>IF('C-Design&amp;Const'!AF104="","",'C-Design&amp;Const'!AF104)</f>
        <v xml:space="preserve"> (Updates to) </v>
      </c>
      <c r="K104" s="25" t="str">
        <f>IF(DD_apply="Yes",IF((COUNTIF(D104:G104,"Y")=COUNTIF('01 - SD'!D104:G104,"Y")),"match","no SD match"),"-")</f>
        <v>match</v>
      </c>
      <c r="L104" s="1410" t="str">
        <f t="shared" si="5"/>
        <v/>
      </c>
      <c r="M104" s="1333"/>
      <c r="N104" s="1333"/>
      <c r="O104" s="1333"/>
      <c r="P104" s="1333"/>
      <c r="Q104" s="1333"/>
      <c r="R104" s="1453"/>
      <c r="S104" s="1284"/>
      <c r="T104" s="1284"/>
      <c r="U104" s="1333"/>
      <c r="V104" s="1333"/>
      <c r="W104" s="1333"/>
      <c r="X104" s="1333"/>
      <c r="Y104" s="1333"/>
      <c r="Z104" s="1333"/>
      <c r="AA104" s="1333"/>
      <c r="AB104" s="1333"/>
      <c r="AC104" s="1333"/>
      <c r="AD104" s="1333"/>
      <c r="AE104" s="1333"/>
      <c r="AF104" s="1333"/>
      <c r="AG104" s="1333"/>
      <c r="AH104" s="1333"/>
      <c r="AI104" s="1333"/>
    </row>
    <row r="105" spans="1:49" ht="27.75" customHeight="1" x14ac:dyDescent="0.25">
      <c r="A105" s="1504" t="str">
        <f>IF(SD_apply="Yes",IF(COUNTIF('01 - SD'!D105:G105,"Y")&gt;0,"Y",IF(COUNTIF('01 - SD'!D105:G105,"N"),"N","")),"")</f>
        <v>Y</v>
      </c>
      <c r="B105" s="18"/>
      <c r="C105" s="945"/>
      <c r="D105" s="547"/>
      <c r="E105" s="466"/>
      <c r="F105" s="559" t="str">
        <f>IF('C-Design&amp;Const'!$K105="","",'C-Design&amp;Const'!$K105)</f>
        <v>Y</v>
      </c>
      <c r="G105" s="485"/>
      <c r="H105" s="408" t="str">
        <f>CONCATENATE(IF(F105="N","PLACEHOLDER ROW - ",""),'C-Design&amp;Const'!Z105,IF(F105="N","",J105))</f>
        <v xml:space="preserve">Electrical - Fire Alarm System(s) **(verify existing system for renovations) (Updates to) </v>
      </c>
      <c r="I105" s="136"/>
      <c r="J105" s="578" t="str">
        <f>IF('C-Design&amp;Const'!AF105="","",'C-Design&amp;Const'!AF105)</f>
        <v xml:space="preserve"> (Updates to) </v>
      </c>
      <c r="K105" s="25" t="str">
        <f>IF(DD_apply="Yes",IF((COUNTIF(D105:G105,"Y")=COUNTIF('01 - SD'!D105:G105,"Y")),"match","no SD match"),"-")</f>
        <v>match</v>
      </c>
      <c r="L105" s="1410" t="str">
        <f t="shared" si="5"/>
        <v/>
      </c>
      <c r="M105" s="1333"/>
      <c r="N105" s="1333"/>
      <c r="O105" s="1333"/>
      <c r="P105" s="1333"/>
      <c r="Q105" s="1333"/>
      <c r="R105" s="1453"/>
      <c r="S105" s="1284"/>
      <c r="T105" s="1284"/>
      <c r="U105" s="1333"/>
      <c r="V105" s="1333"/>
      <c r="W105" s="1333"/>
      <c r="X105" s="1333"/>
      <c r="Y105" s="1333"/>
      <c r="Z105" s="1333"/>
      <c r="AA105" s="1333"/>
      <c r="AB105" s="1333"/>
      <c r="AC105" s="1333"/>
      <c r="AD105" s="1333"/>
      <c r="AE105" s="1333"/>
      <c r="AF105" s="1333"/>
      <c r="AG105" s="1333"/>
      <c r="AH105" s="1333"/>
      <c r="AI105" s="1333"/>
    </row>
    <row r="106" spans="1:49" ht="27.75" customHeight="1" x14ac:dyDescent="0.25">
      <c r="A106" s="1504" t="str">
        <f>IF(SD_apply="Yes",IF(COUNTIF('01 - SD'!D106:G106,"Y")&gt;0,"Y",IF(COUNTIF('01 - SD'!D106:G106,"N"),"N","")),"")</f>
        <v>Y</v>
      </c>
      <c r="B106" s="18"/>
      <c r="C106" s="945"/>
      <c r="D106" s="547"/>
      <c r="E106" s="466"/>
      <c r="F106" s="559" t="str">
        <f>IF('C-Design&amp;Const'!$K106="","",'C-Design&amp;Const'!$K106)</f>
        <v>Y</v>
      </c>
      <c r="G106" s="485"/>
      <c r="H106" s="408" t="str">
        <f>CONCATENATE(IF(F106="N","PLACEHOLDER ROW - ",""),'C-Design&amp;Const'!Z106,IF(F106="N","",J106))</f>
        <v xml:space="preserve">Electrical - Emergency Generator systems to support **(verify existing systems for renovations) (Updates to) </v>
      </c>
      <c r="I106" s="136"/>
      <c r="J106" s="578" t="str">
        <f>IF('C-Design&amp;Const'!AF106="","",'C-Design&amp;Const'!AF106)</f>
        <v xml:space="preserve"> (Updates to) </v>
      </c>
      <c r="K106" s="25" t="str">
        <f>IF(DD_apply="Yes",IF((COUNTIF(D106:G106,"Y")=COUNTIF('01 - SD'!D106:G106,"Y")),"match","no SD match"),"-")</f>
        <v>match</v>
      </c>
      <c r="L106" s="1410" t="str">
        <f t="shared" si="5"/>
        <v/>
      </c>
      <c r="M106" s="1333"/>
      <c r="N106" s="1333"/>
      <c r="O106" s="1333"/>
      <c r="P106" s="1333"/>
      <c r="Q106" s="1333"/>
      <c r="R106" s="1453"/>
      <c r="S106" s="1284"/>
      <c r="T106" s="1284"/>
      <c r="U106" s="1333"/>
      <c r="V106" s="1333"/>
      <c r="W106" s="1333"/>
      <c r="X106" s="1333"/>
      <c r="Y106" s="1333"/>
      <c r="Z106" s="1333"/>
      <c r="AA106" s="1333"/>
      <c r="AB106" s="1333"/>
      <c r="AC106" s="1333"/>
      <c r="AD106" s="1333"/>
      <c r="AE106" s="1333"/>
      <c r="AF106" s="1333"/>
      <c r="AG106" s="1333"/>
      <c r="AH106" s="1333"/>
      <c r="AI106" s="1333"/>
    </row>
    <row r="107" spans="1:49" ht="15" customHeight="1" x14ac:dyDescent="0.25">
      <c r="A107" s="1504" t="str">
        <f>IF(SD_apply="Yes",IF(COUNTIF('01 - SD'!D107:G107,"Y")&gt;0,"Y",IF(COUNTIF('01 - SD'!D107:G107,"N"),"N","")),"")</f>
        <v>Y</v>
      </c>
      <c r="B107" s="18"/>
      <c r="C107" s="945"/>
      <c r="D107" s="547"/>
      <c r="E107" s="466"/>
      <c r="F107" s="559" t="str">
        <f>IF('C-Design&amp;Const'!$K107="","",'C-Design&amp;Const'!$K107)</f>
        <v>Y</v>
      </c>
      <c r="G107" s="485"/>
      <c r="H107" s="408" t="str">
        <f>CONCATENATE(IF(F107="N","PLACEHOLDER ROW - ",""),'C-Design&amp;Const'!Z107,IF(F107="N","",J107))</f>
        <v xml:space="preserve">Electrical - Cut Sheets or Product Sheets on Lighting fixtures (Updates to) </v>
      </c>
      <c r="I107" s="136"/>
      <c r="J107" s="578" t="str">
        <f>IF('C-Design&amp;Const'!AF107="","",'C-Design&amp;Const'!AF107)</f>
        <v xml:space="preserve"> (Updates to) </v>
      </c>
      <c r="K107" s="25" t="str">
        <f>IF(DD_apply="Yes",IF((COUNTIF(D107:G107,"Y")=COUNTIF('01 - SD'!D107:G107,"Y")),"match","no SD match"),"-")</f>
        <v>match</v>
      </c>
      <c r="L107" s="1410" t="str">
        <f t="shared" si="5"/>
        <v/>
      </c>
      <c r="M107" s="1333"/>
      <c r="N107" s="1333"/>
      <c r="O107" s="1333"/>
      <c r="P107" s="1333"/>
      <c r="Q107" s="1333"/>
      <c r="R107" s="1453"/>
      <c r="S107" s="1284"/>
      <c r="T107" s="1284"/>
      <c r="U107" s="1333"/>
      <c r="V107" s="1333"/>
      <c r="W107" s="1333"/>
      <c r="X107" s="1333"/>
      <c r="Y107" s="1333"/>
      <c r="Z107" s="1333"/>
      <c r="AA107" s="1333"/>
      <c r="AB107" s="1333"/>
      <c r="AC107" s="1333"/>
      <c r="AD107" s="1333"/>
      <c r="AE107" s="1333"/>
      <c r="AF107" s="1333"/>
      <c r="AG107" s="1333"/>
      <c r="AH107" s="1333"/>
      <c r="AI107" s="1333"/>
    </row>
    <row r="108" spans="1:49" ht="15.75" x14ac:dyDescent="0.25">
      <c r="A108" s="1504" t="str">
        <f>IF(SD_apply="Yes",IF(COUNTIF('01 - SD'!D108:G108,"Y")&gt;0,"Y",IF(COUNTIF('01 - SD'!D108:G108,"N"),"N","")),"")</f>
        <v>N</v>
      </c>
      <c r="B108" s="18"/>
      <c r="C108" s="945"/>
      <c r="D108" s="547"/>
      <c r="E108" s="466"/>
      <c r="F108" s="559" t="str">
        <f>IF('C-Design&amp;Const'!$K108="","",'C-Design&amp;Const'!$K108)</f>
        <v>N</v>
      </c>
      <c r="G108" s="485"/>
      <c r="H108" s="408" t="str">
        <f>CONCATENATE(IF(F108="N","PLACEHOLDER ROW - ",""),'C-Design&amp;Const'!Z108,IF(F108="N","",J108))</f>
        <v>PLACEHOLDER ROW - Electrical - CUSTOM</v>
      </c>
      <c r="I108" s="136"/>
      <c r="J108" s="578" t="str">
        <f>IF('C-Design&amp;Const'!AF108="","",'C-Design&amp;Const'!AF108)</f>
        <v xml:space="preserve"> (Updates to) </v>
      </c>
      <c r="K108" s="25" t="str">
        <f>IF(DD_apply="Yes",IF((COUNTIF(D108:G108,"Y")=COUNTIF('01 - SD'!D108:G108,"Y")),"match","no SD match"),"-")</f>
        <v>match</v>
      </c>
      <c r="L108" s="1410" t="str">
        <f t="shared" si="5"/>
        <v>&lt;---PM/Planner may hide PLACEHOLDER ROW</v>
      </c>
      <c r="M108" s="1333"/>
      <c r="N108" s="1333"/>
      <c r="O108" s="1333"/>
      <c r="P108" s="1333"/>
      <c r="Q108" s="1333"/>
      <c r="R108" s="1453"/>
      <c r="S108" s="1284"/>
      <c r="T108" s="1284"/>
      <c r="U108" s="1333"/>
      <c r="V108" s="1333"/>
      <c r="W108" s="1333"/>
      <c r="X108" s="1333"/>
      <c r="Y108" s="1333"/>
      <c r="Z108" s="1333"/>
      <c r="AA108" s="1333"/>
      <c r="AB108" s="1333"/>
      <c r="AC108" s="1333"/>
      <c r="AD108" s="1333"/>
      <c r="AE108" s="1333"/>
      <c r="AF108" s="1333"/>
      <c r="AG108" s="1333"/>
      <c r="AH108" s="1333"/>
      <c r="AI108" s="1333"/>
    </row>
    <row r="109" spans="1:49" ht="15.75" x14ac:dyDescent="0.25">
      <c r="A109" s="1504" t="str">
        <f>IF(SD_apply="Yes",IF(COUNTIF('01 - SD'!D109:G109,"Y")&gt;0,"Y",IF(COUNTIF('01 - SD'!D109:G109,"N"),"N","")),"")</f>
        <v>Y</v>
      </c>
      <c r="B109" s="18"/>
      <c r="C109" s="945"/>
      <c r="D109" s="547"/>
      <c r="E109" s="466"/>
      <c r="F109" s="559" t="str">
        <f>IF('C-Design&amp;Const'!$K109="","",'C-Design&amp;Const'!$K109)</f>
        <v>Y</v>
      </c>
      <c r="G109" s="485"/>
      <c r="H109" s="408" t="str">
        <f>CONCATENATE(IF(F109="N","PLACEHOLDER ROW - ",""),'C-Design&amp;Const'!Z109,IF(F109="N","",J109))</f>
        <v xml:space="preserve">Building Automation Systems- General - **(verify existing system for renovations) (Updates to) </v>
      </c>
      <c r="I109" s="136"/>
      <c r="J109" s="578" t="str">
        <f>IF('C-Design&amp;Const'!AF109="","",'C-Design&amp;Const'!AF109)</f>
        <v xml:space="preserve"> (Updates to) </v>
      </c>
      <c r="K109" s="25" t="str">
        <f>IF(DD_apply="Yes",IF((COUNTIF(D109:G109,"Y")=COUNTIF('01 - SD'!D109:G109,"Y")),"match","no SD match"),"-")</f>
        <v>match</v>
      </c>
      <c r="L109" s="1410" t="str">
        <f t="shared" ref="L109:L116" si="6">CONCATENATE(IF(ISNUMBER(SEARCH("Placeholder",H109))=TRUE,"&lt;---PM/Planner may hide PLACEHOLDER ROW",""))</f>
        <v/>
      </c>
      <c r="M109" s="1333"/>
      <c r="N109" s="1333"/>
      <c r="O109" s="1333"/>
      <c r="P109" s="1333"/>
      <c r="Q109" s="1333"/>
      <c r="R109" s="1453"/>
      <c r="S109" s="1284"/>
      <c r="T109" s="1284"/>
      <c r="U109" s="1333"/>
      <c r="V109" s="1333"/>
      <c r="W109" s="1333"/>
      <c r="X109" s="1333"/>
      <c r="Y109" s="1333"/>
      <c r="Z109" s="1333"/>
      <c r="AA109" s="1333"/>
      <c r="AB109" s="1333"/>
      <c r="AC109" s="1333"/>
      <c r="AD109" s="1333"/>
      <c r="AE109" s="1333"/>
      <c r="AF109" s="1333"/>
      <c r="AG109" s="1333"/>
      <c r="AH109" s="1333"/>
      <c r="AI109" s="1333"/>
    </row>
    <row r="110" spans="1:49" s="542" customFormat="1" ht="15.75" x14ac:dyDescent="0.25">
      <c r="A110" s="1504" t="str">
        <f>IF(SD_apply="Yes",IF(COUNTIF('01 - SD'!D110:G110,"Y")&gt;0,"Y",IF(COUNTIF('01 - SD'!D110:G110,"N"),"N","")),"")</f>
        <v>Y</v>
      </c>
      <c r="B110" s="18"/>
      <c r="C110" s="945"/>
      <c r="D110" s="547"/>
      <c r="E110" s="466"/>
      <c r="F110" s="559" t="str">
        <f>IF('C-Design&amp;Const'!$K110="","",'C-Design&amp;Const'!$K110)</f>
        <v>Y</v>
      </c>
      <c r="G110" s="485"/>
      <c r="H110" s="408" t="str">
        <f>CONCATENATE(IF(F110="N","PLACEHOLDER ROW - ",""),'C-Design&amp;Const'!Z110,IF(F110="N","",J110))</f>
        <v xml:space="preserve">Building Automation Systems - Demolition(s) (Updates to) </v>
      </c>
      <c r="I110" s="136"/>
      <c r="J110" s="578" t="str">
        <f>IF('C-Design&amp;Const'!AF110="","",'C-Design&amp;Const'!AF110)</f>
        <v xml:space="preserve"> (Updates to) </v>
      </c>
      <c r="K110" s="25" t="str">
        <f>IF(DD_apply="Yes",IF((COUNTIF(D110:G110,"Y")=COUNTIF('01 - SD'!D110:G110,"Y")),"match","no SD match"),"-")</f>
        <v>match</v>
      </c>
      <c r="L110" s="1410" t="str">
        <f t="shared" si="6"/>
        <v/>
      </c>
      <c r="M110" s="1333"/>
      <c r="N110" s="1333"/>
      <c r="O110" s="1333"/>
      <c r="P110" s="1333"/>
      <c r="Q110" s="1333"/>
      <c r="R110" s="1453"/>
      <c r="S110" s="1284"/>
      <c r="T110" s="1284"/>
      <c r="U110" s="1333"/>
      <c r="V110" s="1333"/>
      <c r="W110" s="1333"/>
      <c r="X110" s="1333"/>
      <c r="Y110" s="1333"/>
      <c r="Z110" s="1333"/>
      <c r="AA110" s="1333"/>
      <c r="AB110" s="1333"/>
      <c r="AC110" s="1333"/>
      <c r="AD110" s="1333"/>
      <c r="AE110" s="1333"/>
      <c r="AF110" s="1333"/>
      <c r="AG110" s="1333"/>
      <c r="AH110" s="1333"/>
      <c r="AI110" s="1333"/>
      <c r="AJ110" s="17"/>
      <c r="AK110" s="17"/>
      <c r="AL110" s="17"/>
      <c r="AM110" s="17"/>
      <c r="AN110" s="17"/>
      <c r="AO110" s="17"/>
      <c r="AP110" s="17"/>
      <c r="AQ110" s="17"/>
      <c r="AR110" s="17"/>
      <c r="AS110" s="17"/>
      <c r="AT110" s="17"/>
      <c r="AU110" s="17"/>
      <c r="AV110" s="17"/>
      <c r="AW110" s="17"/>
    </row>
    <row r="111" spans="1:49" ht="15.75" x14ac:dyDescent="0.25">
      <c r="A111" s="1504" t="str">
        <f>IF(SD_apply="Yes",IF(COUNTIF('01 - SD'!D111:G111,"Y")&gt;0,"Y",IF(COUNTIF('01 - SD'!D111:G111,"N"),"N","")),"")</f>
        <v>Y</v>
      </c>
      <c r="B111" s="18"/>
      <c r="C111" s="945"/>
      <c r="D111" s="547"/>
      <c r="E111" s="466"/>
      <c r="F111" s="559" t="str">
        <f>IF('C-Design&amp;Const'!$K111="","",'C-Design&amp;Const'!$K111)</f>
        <v>Y</v>
      </c>
      <c r="G111" s="485"/>
      <c r="H111" s="408" t="str">
        <f>CONCATENATE(IF(F111="N","PLACEHOLDER ROW - ",""),'C-Design&amp;Const'!Z111,IF(F111="N","",J111))</f>
        <v xml:space="preserve">Building Automation Systems - Systems Network Architecture (Updates to) </v>
      </c>
      <c r="I111" s="136"/>
      <c r="J111" s="578" t="str">
        <f>IF('C-Design&amp;Const'!AF111="","",'C-Design&amp;Const'!AF111)</f>
        <v xml:space="preserve"> (Updates to) </v>
      </c>
      <c r="K111" s="25" t="str">
        <f>IF(DD_apply="Yes",IF((COUNTIF(D111:G111,"Y")=COUNTIF('01 - SD'!D111:G111,"Y")),"match","no SD match"),"-")</f>
        <v>match</v>
      </c>
      <c r="L111" s="1410" t="str">
        <f t="shared" si="6"/>
        <v/>
      </c>
      <c r="M111" s="1333"/>
      <c r="N111" s="1333"/>
      <c r="O111" s="1333"/>
      <c r="P111" s="1333"/>
      <c r="Q111" s="1333"/>
      <c r="R111" s="1453"/>
      <c r="S111" s="1284"/>
      <c r="T111" s="1284"/>
      <c r="U111" s="1333"/>
      <c r="V111" s="1333"/>
      <c r="W111" s="1333"/>
      <c r="X111" s="1333"/>
      <c r="Y111" s="1333"/>
      <c r="Z111" s="1333"/>
      <c r="AA111" s="1333"/>
      <c r="AB111" s="1333"/>
      <c r="AC111" s="1333"/>
      <c r="AD111" s="1333"/>
      <c r="AE111" s="1333"/>
      <c r="AF111" s="1333"/>
      <c r="AG111" s="1333"/>
      <c r="AH111" s="1333"/>
      <c r="AI111" s="1333"/>
    </row>
    <row r="112" spans="1:49" ht="18" customHeight="1" x14ac:dyDescent="0.25">
      <c r="A112" s="1504" t="str">
        <f>IF(SD_apply="Yes",IF(COUNTIF('01 - SD'!D112:G112,"Y")&gt;0,"Y",IF(COUNTIF('01 - SD'!D112:G112,"N"),"N","")),"")</f>
        <v>Y</v>
      </c>
      <c r="B112" s="18"/>
      <c r="C112" s="945"/>
      <c r="D112" s="547"/>
      <c r="E112" s="466"/>
      <c r="F112" s="559" t="str">
        <f>IF('C-Design&amp;Const'!$K112="","",'C-Design&amp;Const'!$K112)</f>
        <v>Y</v>
      </c>
      <c r="G112" s="485"/>
      <c r="H112" s="408" t="str">
        <f>CONCATENATE(IF(F112="N","PLACEHOLDER ROW - ",""),'C-Design&amp;Const'!Z112,IF(F112="N","",J112))</f>
        <v xml:space="preserve">Building Automation Systems - HVAC Temperature Controls System(s) (Updates to) </v>
      </c>
      <c r="I112" s="136"/>
      <c r="J112" s="578" t="str">
        <f>IF('C-Design&amp;Const'!AF112="","",'C-Design&amp;Const'!AF112)</f>
        <v xml:space="preserve"> (Updates to) </v>
      </c>
      <c r="K112" s="25" t="str">
        <f>IF(DD_apply="Yes",IF((COUNTIF(D112:G112,"Y")=COUNTIF('01 - SD'!D112:G112,"Y")),"match","no SD match"),"-")</f>
        <v>match</v>
      </c>
      <c r="L112" s="1410" t="str">
        <f t="shared" si="6"/>
        <v/>
      </c>
      <c r="M112" s="1333"/>
      <c r="N112" s="1333"/>
      <c r="O112" s="1333"/>
      <c r="P112" s="1333"/>
      <c r="Q112" s="1333"/>
      <c r="R112" s="1453"/>
      <c r="S112" s="1284"/>
      <c r="T112" s="1284"/>
      <c r="U112" s="1333"/>
      <c r="V112" s="1333"/>
      <c r="W112" s="1333"/>
      <c r="X112" s="1333"/>
      <c r="Y112" s="1333"/>
      <c r="Z112" s="1333"/>
      <c r="AA112" s="1333"/>
      <c r="AB112" s="1333"/>
      <c r="AC112" s="1333"/>
      <c r="AD112" s="1333"/>
      <c r="AE112" s="1333"/>
      <c r="AF112" s="1333"/>
      <c r="AG112" s="1333"/>
      <c r="AH112" s="1333"/>
      <c r="AI112" s="1333"/>
    </row>
    <row r="113" spans="1:49" s="30" customFormat="1" ht="15" customHeight="1" x14ac:dyDescent="0.25">
      <c r="A113" s="1504" t="str">
        <f>IF(SD_apply="Yes",IF(COUNTIF('01 - SD'!D113:G113,"Y")&gt;0,"Y",IF(COUNTIF('01 - SD'!D113:G113,"N"),"N","")),"")</f>
        <v>N</v>
      </c>
      <c r="B113" s="32"/>
      <c r="C113" s="945"/>
      <c r="D113" s="10"/>
      <c r="E113" s="467"/>
      <c r="F113" s="559" t="str">
        <f>IF('C-Design&amp;Const'!$K113="","",'C-Design&amp;Const'!$K113)</f>
        <v>N</v>
      </c>
      <c r="G113" s="291"/>
      <c r="H113" s="408" t="str">
        <f>CONCATENATE(IF(F113="N","PLACEHOLDER ROW - ",""),'C-Design&amp;Const'!Z113,IF(F113="N","",J113))</f>
        <v>PLACEHOLDER ROW - Building Automation Systems - CUSTOM</v>
      </c>
      <c r="I113" s="184"/>
      <c r="J113" s="578" t="str">
        <f>IF('C-Design&amp;Const'!AF113="","",'C-Design&amp;Const'!AF113)</f>
        <v xml:space="preserve"> (Updates to) </v>
      </c>
      <c r="K113" s="25" t="str">
        <f>IF(DD_apply="Yes",IF((COUNTIF(D113:G113,"Y")=COUNTIF('01 - SD'!D113:G113,"Y")),"match","no SD match"),"-")</f>
        <v>match</v>
      </c>
      <c r="L113" s="1410" t="str">
        <f t="shared" si="6"/>
        <v>&lt;---PM/Planner may hide PLACEHOLDER ROW</v>
      </c>
      <c r="M113" s="1382"/>
      <c r="N113" s="1333"/>
      <c r="O113" s="1382"/>
      <c r="P113" s="1382"/>
      <c r="Q113" s="1382"/>
      <c r="R113" s="1382"/>
      <c r="S113" s="1382"/>
      <c r="T113" s="1382"/>
      <c r="U113" s="1382"/>
      <c r="V113" s="1382"/>
      <c r="W113" s="1382"/>
      <c r="X113" s="1382"/>
      <c r="Y113" s="1382"/>
      <c r="Z113" s="1382"/>
      <c r="AA113" s="1382"/>
      <c r="AB113" s="1382"/>
      <c r="AC113" s="1382"/>
      <c r="AD113" s="1382"/>
      <c r="AE113" s="1382"/>
      <c r="AF113" s="1382"/>
      <c r="AG113" s="1382"/>
      <c r="AH113" s="1382"/>
      <c r="AI113" s="1382"/>
      <c r="AJ113" s="181"/>
      <c r="AK113" s="181"/>
      <c r="AL113" s="181"/>
      <c r="AM113" s="181"/>
      <c r="AN113" s="181"/>
      <c r="AO113" s="181"/>
      <c r="AP113" s="181"/>
      <c r="AQ113" s="181"/>
      <c r="AR113" s="181"/>
      <c r="AS113" s="181"/>
      <c r="AT113" s="181"/>
      <c r="AU113" s="181"/>
      <c r="AV113" s="181"/>
      <c r="AW113" s="181"/>
    </row>
    <row r="114" spans="1:49" s="30" customFormat="1" ht="15" customHeight="1" x14ac:dyDescent="0.25">
      <c r="A114" s="1504" t="str">
        <f>IF(SD_apply="Yes",IF(COUNTIF('01 - SD'!D114:G114,"Y")&gt;0,"Y",IF(COUNTIF('01 - SD'!D114:G114,"N"),"N","")),"")</f>
        <v>Y</v>
      </c>
      <c r="B114" s="32"/>
      <c r="C114" s="945"/>
      <c r="D114" s="10"/>
      <c r="E114" s="467"/>
      <c r="F114" s="559" t="str">
        <f>IF('C-Design&amp;Const'!$K114="","",'C-Design&amp;Const'!$K114)</f>
        <v>Y</v>
      </c>
      <c r="G114" s="291"/>
      <c r="H114" s="408" t="str">
        <f>CONCATENATE(IF(F114="N","PLACEHOLDER ROW - ",""),'C-Design&amp;Const'!Z114,IF(F114="N","",J114))</f>
        <v xml:space="preserve">Access Controls - General Systems (Updates to) </v>
      </c>
      <c r="I114" s="184"/>
      <c r="J114" s="578" t="str">
        <f>IF('C-Design&amp;Const'!AF114="","",'C-Design&amp;Const'!AF114)</f>
        <v xml:space="preserve"> (Updates to) </v>
      </c>
      <c r="K114" s="25" t="str">
        <f>IF(DD_apply="Yes",IF((COUNTIF(D114:G114,"Y")=COUNTIF('01 - SD'!D114:G114,"Y")),"match","no SD match"),"-")</f>
        <v>match</v>
      </c>
      <c r="L114" s="1410" t="str">
        <f t="shared" si="6"/>
        <v/>
      </c>
      <c r="M114" s="1382"/>
      <c r="N114" s="1333"/>
      <c r="O114" s="1382"/>
      <c r="P114" s="1382"/>
      <c r="Q114" s="1382"/>
      <c r="R114" s="1382"/>
      <c r="S114" s="1382"/>
      <c r="T114" s="1382"/>
      <c r="U114" s="1382"/>
      <c r="V114" s="1382"/>
      <c r="W114" s="1382"/>
      <c r="X114" s="1382"/>
      <c r="Y114" s="1382"/>
      <c r="Z114" s="1382"/>
      <c r="AA114" s="1382"/>
      <c r="AB114" s="1382"/>
      <c r="AC114" s="1382"/>
      <c r="AD114" s="1382"/>
      <c r="AE114" s="1382"/>
      <c r="AF114" s="1382"/>
      <c r="AG114" s="1382"/>
      <c r="AH114" s="1382"/>
      <c r="AI114" s="1382"/>
      <c r="AJ114" s="181"/>
      <c r="AK114" s="181"/>
      <c r="AL114" s="181"/>
      <c r="AM114" s="181"/>
      <c r="AN114" s="181"/>
      <c r="AO114" s="181"/>
      <c r="AP114" s="181"/>
      <c r="AQ114" s="181"/>
      <c r="AR114" s="181"/>
      <c r="AS114" s="181"/>
      <c r="AT114" s="181"/>
      <c r="AU114" s="181"/>
      <c r="AV114" s="181"/>
      <c r="AW114" s="181"/>
    </row>
    <row r="115" spans="1:49" s="542" customFormat="1" ht="15.75" x14ac:dyDescent="0.25">
      <c r="A115" s="1504" t="str">
        <f>IF(SD_apply="Yes",IF(COUNTIF('01 - SD'!D115:G115,"Y")&gt;0,"Y",IF(COUNTIF('01 - SD'!D115:G115,"N"),"N","")),"")</f>
        <v>Y</v>
      </c>
      <c r="B115" s="18"/>
      <c r="C115" s="945"/>
      <c r="D115" s="547"/>
      <c r="E115" s="466"/>
      <c r="F115" s="559" t="str">
        <f>IF('C-Design&amp;Const'!$K115="","",'C-Design&amp;Const'!$K115)</f>
        <v>Y</v>
      </c>
      <c r="G115" s="485"/>
      <c r="H115" s="408" t="str">
        <f>CONCATENATE(IF(F115="N","PLACEHOLDER ROW - ",""),'C-Design&amp;Const'!Z115,IF(F115="N","",J115))</f>
        <v xml:space="preserve">Access Controls - Demolition(s) (Updates to) </v>
      </c>
      <c r="I115" s="136"/>
      <c r="J115" s="578" t="str">
        <f>IF('C-Design&amp;Const'!AF115="","",'C-Design&amp;Const'!AF115)</f>
        <v xml:space="preserve"> (Updates to) </v>
      </c>
      <c r="K115" s="25" t="str">
        <f>IF(DD_apply="Yes",IF((COUNTIF(D115:G115,"Y")=COUNTIF('01 - SD'!D115:G115,"Y")),"match","no SD match"),"-")</f>
        <v>match</v>
      </c>
      <c r="L115" s="1410" t="str">
        <f t="shared" ref="L115" si="7">CONCATENATE(IF(ISNUMBER(SEARCH("Placeholder",H115))=TRUE,"&lt;---PM/Planner may hide PLACEHOLDER ROW",""))</f>
        <v/>
      </c>
      <c r="M115" s="1333"/>
      <c r="N115" s="1333"/>
      <c r="O115" s="1333"/>
      <c r="P115" s="1333"/>
      <c r="Q115" s="1333"/>
      <c r="R115" s="1453"/>
      <c r="S115" s="1284"/>
      <c r="T115" s="1284"/>
      <c r="U115" s="1333"/>
      <c r="V115" s="1333"/>
      <c r="W115" s="1333"/>
      <c r="X115" s="1333"/>
      <c r="Y115" s="1333"/>
      <c r="Z115" s="1333"/>
      <c r="AA115" s="1333"/>
      <c r="AB115" s="1333"/>
      <c r="AC115" s="1333"/>
      <c r="AD115" s="1333"/>
      <c r="AE115" s="1333"/>
      <c r="AF115" s="1333"/>
      <c r="AG115" s="1333"/>
      <c r="AH115" s="1333"/>
      <c r="AI115" s="1333"/>
      <c r="AJ115" s="17"/>
      <c r="AK115" s="17"/>
      <c r="AL115" s="17"/>
      <c r="AM115" s="17"/>
      <c r="AN115" s="17"/>
      <c r="AO115" s="17"/>
      <c r="AP115" s="17"/>
      <c r="AQ115" s="17"/>
      <c r="AR115" s="17"/>
      <c r="AS115" s="17"/>
      <c r="AT115" s="17"/>
      <c r="AU115" s="17"/>
      <c r="AV115" s="17"/>
      <c r="AW115" s="17"/>
    </row>
    <row r="116" spans="1:49" s="30" customFormat="1" ht="15" customHeight="1" x14ac:dyDescent="0.25">
      <c r="A116" s="1504" t="str">
        <f>IF(SD_apply="Yes",IF(COUNTIF('01 - SD'!D116:G116,"Y")&gt;0,"Y",IF(COUNTIF('01 - SD'!D116:G116,"N"),"N","")),"")</f>
        <v>N</v>
      </c>
      <c r="B116" s="32"/>
      <c r="C116" s="945"/>
      <c r="D116" s="10"/>
      <c r="E116" s="467"/>
      <c r="F116" s="559" t="str">
        <f>IF('C-Design&amp;Const'!$K116="","",'C-Design&amp;Const'!$K116)</f>
        <v>N</v>
      </c>
      <c r="G116" s="291"/>
      <c r="H116" s="408" t="str">
        <f>CONCATENATE(IF(F116="N","PLACEHOLDER ROW - ",""),'C-Design&amp;Const'!Z116,IF(F116="N","",J116))</f>
        <v>PLACEHOLDER ROW - Access Controls - CUSTOM</v>
      </c>
      <c r="I116" s="184"/>
      <c r="J116" s="578" t="str">
        <f>IF('C-Design&amp;Const'!AF116="","",'C-Design&amp;Const'!AF116)</f>
        <v xml:space="preserve"> (Updates to) </v>
      </c>
      <c r="K116" s="25" t="str">
        <f>IF(DD_apply="Yes",IF((COUNTIF(D116:G116,"Y")=COUNTIF('01 - SD'!D116:G116,"Y")),"match","no SD match"),"-")</f>
        <v>match</v>
      </c>
      <c r="L116" s="1410" t="str">
        <f t="shared" si="6"/>
        <v>&lt;---PM/Planner may hide PLACEHOLDER ROW</v>
      </c>
      <c r="M116" s="1382"/>
      <c r="N116" s="1333"/>
      <c r="O116" s="1382"/>
      <c r="P116" s="1382"/>
      <c r="Q116" s="1382"/>
      <c r="R116" s="1382"/>
      <c r="S116" s="1382"/>
      <c r="T116" s="1382"/>
      <c r="U116" s="1382"/>
      <c r="V116" s="1382"/>
      <c r="W116" s="1382"/>
      <c r="X116" s="1382"/>
      <c r="Y116" s="1382"/>
      <c r="Z116" s="1382"/>
      <c r="AA116" s="1382"/>
      <c r="AB116" s="1382"/>
      <c r="AC116" s="1382"/>
      <c r="AD116" s="1382"/>
      <c r="AE116" s="1382"/>
      <c r="AF116" s="1382"/>
      <c r="AG116" s="1382"/>
      <c r="AH116" s="1382"/>
      <c r="AI116" s="1382"/>
      <c r="AJ116" s="181"/>
      <c r="AK116" s="181"/>
      <c r="AL116" s="181"/>
      <c r="AM116" s="181"/>
      <c r="AN116" s="181"/>
      <c r="AO116" s="181"/>
      <c r="AP116" s="181"/>
      <c r="AQ116" s="181"/>
      <c r="AR116" s="181"/>
      <c r="AS116" s="181"/>
      <c r="AT116" s="181"/>
      <c r="AU116" s="181"/>
      <c r="AV116" s="181"/>
      <c r="AW116" s="181"/>
    </row>
    <row r="117" spans="1:49" ht="15.75" x14ac:dyDescent="0.25">
      <c r="A117" s="1504" t="str">
        <f>IF(SD_apply="Yes",IF(COUNTIF('01 - SD'!D117:G117,"Y")&gt;0,"Y",IF(COUNTIF('01 - SD'!D117:G117,"N"),"N","")),"")</f>
        <v>Y</v>
      </c>
      <c r="B117" s="18"/>
      <c r="C117" s="945"/>
      <c r="D117" s="547"/>
      <c r="E117" s="466"/>
      <c r="F117" s="559" t="str">
        <f>IF('C-Design&amp;Const'!$K117="","",'C-Design&amp;Const'!$K117)</f>
        <v>Y</v>
      </c>
      <c r="G117" s="485"/>
      <c r="H117" s="408" t="str">
        <f>CONCATENATE(IF(F117="N","PLACEHOLDER ROW - ",""),'C-Design&amp;Const'!Z117,IF(F117="N","",J117))</f>
        <v xml:space="preserve">Telecom - General Systems  (Updates to) </v>
      </c>
      <c r="I117" s="136"/>
      <c r="J117" s="578" t="str">
        <f>IF('C-Design&amp;Const'!AF117="","",'C-Design&amp;Const'!AF117)</f>
        <v xml:space="preserve"> (Updates to) </v>
      </c>
      <c r="K117" s="25" t="str">
        <f>IF(DD_apply="Yes",IF((COUNTIF(D117:G117,"Y")=COUNTIF('01 - SD'!D117:G117,"Y")),"match","no SD match"),"-")</f>
        <v>match</v>
      </c>
      <c r="L117" s="1410" t="str">
        <f t="shared" si="5"/>
        <v/>
      </c>
      <c r="M117" s="1333"/>
      <c r="N117" s="1333"/>
      <c r="O117" s="1333"/>
      <c r="P117" s="1333"/>
      <c r="Q117" s="1333"/>
      <c r="R117" s="1453"/>
      <c r="S117" s="1284"/>
      <c r="T117" s="1284"/>
      <c r="U117" s="1333"/>
      <c r="V117" s="1333"/>
      <c r="W117" s="1333"/>
      <c r="X117" s="1333"/>
      <c r="Y117" s="1333"/>
      <c r="Z117" s="1333"/>
      <c r="AA117" s="1333"/>
      <c r="AB117" s="1333"/>
      <c r="AC117" s="1333"/>
      <c r="AD117" s="1333"/>
      <c r="AE117" s="1333"/>
      <c r="AF117" s="1333"/>
      <c r="AG117" s="1333"/>
      <c r="AH117" s="1333"/>
      <c r="AI117" s="1333"/>
    </row>
    <row r="118" spans="1:49" s="542" customFormat="1" ht="15.75" x14ac:dyDescent="0.25">
      <c r="A118" s="1504" t="str">
        <f>IF(SD_apply="Yes",IF(COUNTIF('01 - SD'!D118:G118,"Y")&gt;0,"Y",IF(COUNTIF('01 - SD'!D118:G118,"N"),"N","")),"")</f>
        <v>Y</v>
      </c>
      <c r="B118" s="18"/>
      <c r="C118" s="945"/>
      <c r="D118" s="547"/>
      <c r="E118" s="466"/>
      <c r="F118" s="559" t="str">
        <f>IF('C-Design&amp;Const'!$K118="","",'C-Design&amp;Const'!$K118)</f>
        <v>Y</v>
      </c>
      <c r="G118" s="485"/>
      <c r="H118" s="408" t="str">
        <f>CONCATENATE(IF(F118="N","PLACEHOLDER ROW - ",""),'C-Design&amp;Const'!Z118,IF(F118="N","",J118))</f>
        <v xml:space="preserve">Telecom - Demolition(s) (Updates to) </v>
      </c>
      <c r="I118" s="136"/>
      <c r="J118" s="578" t="str">
        <f>IF('C-Design&amp;Const'!AF118="","",'C-Design&amp;Const'!AF118)</f>
        <v xml:space="preserve"> (Updates to) </v>
      </c>
      <c r="K118" s="25" t="str">
        <f>IF(DD_apply="Yes",IF((COUNTIF(D118:G118,"Y")=COUNTIF('01 - SD'!D118:G118,"Y")),"match","no SD match"),"-")</f>
        <v>match</v>
      </c>
      <c r="L118" s="1410" t="str">
        <f t="shared" si="5"/>
        <v/>
      </c>
      <c r="M118" s="1333"/>
      <c r="N118" s="1333"/>
      <c r="O118" s="1333"/>
      <c r="P118" s="1333"/>
      <c r="Q118" s="1333"/>
      <c r="R118" s="1453"/>
      <c r="S118" s="1284"/>
      <c r="T118" s="1284"/>
      <c r="U118" s="1333"/>
      <c r="V118" s="1333"/>
      <c r="W118" s="1333"/>
      <c r="X118" s="1333"/>
      <c r="Y118" s="1333"/>
      <c r="Z118" s="1333"/>
      <c r="AA118" s="1333"/>
      <c r="AB118" s="1333"/>
      <c r="AC118" s="1333"/>
      <c r="AD118" s="1333"/>
      <c r="AE118" s="1333"/>
      <c r="AF118" s="1333"/>
      <c r="AG118" s="1333"/>
      <c r="AH118" s="1333"/>
      <c r="AI118" s="1333"/>
      <c r="AJ118" s="17"/>
      <c r="AK118" s="17"/>
      <c r="AL118" s="17"/>
      <c r="AM118" s="17"/>
      <c r="AN118" s="17"/>
      <c r="AO118" s="17"/>
      <c r="AP118" s="17"/>
      <c r="AQ118" s="17"/>
      <c r="AR118" s="17"/>
      <c r="AS118" s="17"/>
      <c r="AT118" s="17"/>
      <c r="AU118" s="17"/>
      <c r="AV118" s="17"/>
      <c r="AW118" s="17"/>
    </row>
    <row r="119" spans="1:49" ht="15.75" x14ac:dyDescent="0.25">
      <c r="A119" s="1504" t="str">
        <f>IF(SD_apply="Yes",IF(COUNTIF('01 - SD'!D119:G119,"Y")&gt;0,"Y",IF(COUNTIF('01 - SD'!D119:G119,"N"),"N","")),"")</f>
        <v>N</v>
      </c>
      <c r="B119" s="18"/>
      <c r="C119" s="945"/>
      <c r="D119" s="547"/>
      <c r="E119" s="466"/>
      <c r="F119" s="559" t="str">
        <f>IF('C-Design&amp;Const'!$K119="","",'C-Design&amp;Const'!$K119)</f>
        <v>N</v>
      </c>
      <c r="G119" s="485"/>
      <c r="H119" s="408" t="str">
        <f>CONCATENATE(IF(F119="N","PLACEHOLDER ROW - ",""),'C-Design&amp;Const'!Z119,IF(F119="N","",J119))</f>
        <v>PLACEHOLDER ROW - Telecom - CUSTOM</v>
      </c>
      <c r="I119" s="136"/>
      <c r="J119" s="578" t="str">
        <f>IF('C-Design&amp;Const'!AF119="","",'C-Design&amp;Const'!AF119)</f>
        <v xml:space="preserve"> (Updates to) </v>
      </c>
      <c r="K119" s="25" t="str">
        <f>IF(DD_apply="Yes",IF((COUNTIF(D119:G119,"Y")=COUNTIF('01 - SD'!D119:G119,"Y")),"match","no SD match"),"-")</f>
        <v>match</v>
      </c>
      <c r="L119" s="1410" t="str">
        <f t="shared" si="5"/>
        <v>&lt;---PM/Planner may hide PLACEHOLDER ROW</v>
      </c>
      <c r="M119" s="1333"/>
      <c r="N119" s="1333"/>
      <c r="O119" s="1333"/>
      <c r="P119" s="1333"/>
      <c r="Q119" s="1333"/>
      <c r="R119" s="1453"/>
      <c r="S119" s="1284"/>
      <c r="T119" s="1284"/>
      <c r="U119" s="1333"/>
      <c r="V119" s="1333"/>
      <c r="W119" s="1333"/>
      <c r="X119" s="1333"/>
      <c r="Y119" s="1333"/>
      <c r="Z119" s="1333"/>
      <c r="AA119" s="1333"/>
      <c r="AB119" s="1333"/>
      <c r="AC119" s="1333"/>
      <c r="AD119" s="1333"/>
      <c r="AE119" s="1333"/>
      <c r="AF119" s="1333"/>
      <c r="AG119" s="1333"/>
      <c r="AH119" s="1333"/>
      <c r="AI119" s="1333"/>
    </row>
    <row r="120" spans="1:49" ht="15" customHeight="1" x14ac:dyDescent="0.25">
      <c r="A120" s="1504" t="str">
        <f>IF(SD_apply="Yes",IF(COUNTIF('01 - SD'!D120:G120,"Y")&gt;0,"Y",IF(COUNTIF('01 - SD'!D120:G120,"N"),"N","")),"")</f>
        <v>Y</v>
      </c>
      <c r="B120" s="18"/>
      <c r="C120" s="945"/>
      <c r="D120" s="547"/>
      <c r="E120" s="466"/>
      <c r="F120" s="559" t="str">
        <f>IF('C-Design&amp;Const'!$K120="","",'C-Design&amp;Const'!$K120)</f>
        <v>Y</v>
      </c>
      <c r="G120" s="485"/>
      <c r="H120" s="408" t="str">
        <f>CONCATENATE(IF(F120="N","PLACEHOLDER ROW - ",""),'C-Design&amp;Const'!Z120,IF(F120="N","",J120))</f>
        <v xml:space="preserve">Audio Visual - General Systems (Updates to) </v>
      </c>
      <c r="I120" s="136"/>
      <c r="J120" s="578" t="str">
        <f>IF('C-Design&amp;Const'!AF120="","",'C-Design&amp;Const'!AF120)</f>
        <v xml:space="preserve"> (Updates to) </v>
      </c>
      <c r="K120" s="25" t="str">
        <f>IF(DD_apply="Yes",IF((COUNTIF(D120:G120,"Y")=COUNTIF('01 - SD'!D120:G120,"Y")),"match","no SD match"),"-")</f>
        <v>match</v>
      </c>
      <c r="L120" s="1410" t="str">
        <f t="shared" si="5"/>
        <v/>
      </c>
      <c r="M120" s="1333"/>
      <c r="N120" s="1333"/>
      <c r="O120" s="1333"/>
      <c r="P120" s="1333"/>
      <c r="Q120" s="1333"/>
      <c r="R120" s="1453"/>
      <c r="S120" s="1284"/>
      <c r="T120" s="1284"/>
      <c r="U120" s="1333"/>
      <c r="V120" s="1333"/>
      <c r="W120" s="1333"/>
      <c r="X120" s="1333"/>
      <c r="Y120" s="1333"/>
      <c r="Z120" s="1333"/>
      <c r="AA120" s="1333"/>
      <c r="AB120" s="1333"/>
      <c r="AC120" s="1333"/>
      <c r="AD120" s="1333"/>
      <c r="AE120" s="1333"/>
      <c r="AF120" s="1333"/>
      <c r="AG120" s="1333"/>
      <c r="AH120" s="1333"/>
      <c r="AI120" s="1333"/>
    </row>
    <row r="121" spans="1:49" s="542" customFormat="1" ht="15.75" x14ac:dyDescent="0.25">
      <c r="A121" s="1504" t="str">
        <f>IF(SD_apply="Yes",IF(COUNTIF('01 - SD'!D121:G121,"Y")&gt;0,"Y",IF(COUNTIF('01 - SD'!D121:G121,"N"),"N","")),"")</f>
        <v>Y</v>
      </c>
      <c r="B121" s="18"/>
      <c r="C121" s="945"/>
      <c r="D121" s="547"/>
      <c r="E121" s="466"/>
      <c r="F121" s="559" t="str">
        <f>IF('C-Design&amp;Const'!$K121="","",'C-Design&amp;Const'!$K121)</f>
        <v>Y</v>
      </c>
      <c r="G121" s="485"/>
      <c r="H121" s="408" t="str">
        <f>CONCATENATE(IF(F121="N","PLACEHOLDER ROW - ",""),'C-Design&amp;Const'!Z121,IF(F121="N","",J121))</f>
        <v xml:space="preserve">Audio Visual - Demolition(s) (Updates to) </v>
      </c>
      <c r="I121" s="136"/>
      <c r="J121" s="578" t="str">
        <f>IF('C-Design&amp;Const'!AF121="","",'C-Design&amp;Const'!AF121)</f>
        <v xml:space="preserve"> (Updates to) </v>
      </c>
      <c r="K121" s="25" t="str">
        <f>IF(DD_apply="Yes",IF((COUNTIF(D121:G121,"Y")=COUNTIF('01 - SD'!D121:G121,"Y")),"match","no SD match"),"-")</f>
        <v>match</v>
      </c>
      <c r="L121" s="1410" t="str">
        <f t="shared" ref="L121" si="8">CONCATENATE(IF(ISNUMBER(SEARCH("Placeholder",H121))=TRUE,"&lt;---PM/Planner may hide PLACEHOLDER ROW",""))</f>
        <v/>
      </c>
      <c r="M121" s="1333"/>
      <c r="N121" s="1333"/>
      <c r="O121" s="1333"/>
      <c r="P121" s="1333"/>
      <c r="Q121" s="1333"/>
      <c r="R121" s="1453"/>
      <c r="S121" s="1284"/>
      <c r="T121" s="1284"/>
      <c r="U121" s="1333"/>
      <c r="V121" s="1333"/>
      <c r="W121" s="1333"/>
      <c r="X121" s="1333"/>
      <c r="Y121" s="1333"/>
      <c r="Z121" s="1333"/>
      <c r="AA121" s="1333"/>
      <c r="AB121" s="1333"/>
      <c r="AC121" s="1333"/>
      <c r="AD121" s="1333"/>
      <c r="AE121" s="1333"/>
      <c r="AF121" s="1333"/>
      <c r="AG121" s="1333"/>
      <c r="AH121" s="1333"/>
      <c r="AI121" s="1333"/>
      <c r="AJ121" s="17"/>
      <c r="AK121" s="17"/>
      <c r="AL121" s="17"/>
      <c r="AM121" s="17"/>
      <c r="AN121" s="17"/>
      <c r="AO121" s="17"/>
      <c r="AP121" s="17"/>
      <c r="AQ121" s="17"/>
      <c r="AR121" s="17"/>
      <c r="AS121" s="17"/>
      <c r="AT121" s="17"/>
      <c r="AU121" s="17"/>
      <c r="AV121" s="17"/>
      <c r="AW121" s="17"/>
    </row>
    <row r="122" spans="1:49" ht="15.75" x14ac:dyDescent="0.25">
      <c r="A122" s="1504" t="str">
        <f>IF(SD_apply="Yes",IF(COUNTIF('01 - SD'!D122:G122,"Y")&gt;0,"Y",IF(COUNTIF('01 - SD'!D122:G122,"N"),"N","")),"")</f>
        <v>N</v>
      </c>
      <c r="B122" s="18"/>
      <c r="C122" s="945"/>
      <c r="D122" s="547"/>
      <c r="E122" s="466"/>
      <c r="F122" s="559" t="str">
        <f>IF('C-Design&amp;Const'!$K122="","",'C-Design&amp;Const'!$K122)</f>
        <v>N</v>
      </c>
      <c r="G122" s="485"/>
      <c r="H122" s="408" t="str">
        <f>CONCATENATE(IF(F122="N","PLACEHOLDER ROW - ",""),'C-Design&amp;Const'!Z122,IF(F122="N","",J122))</f>
        <v>PLACEHOLDER ROW - Audio Visual - CUSTOM</v>
      </c>
      <c r="I122" s="136"/>
      <c r="J122" s="578" t="str">
        <f>IF('C-Design&amp;Const'!AF122="","",'C-Design&amp;Const'!AF122)</f>
        <v xml:space="preserve"> (Updates to) </v>
      </c>
      <c r="K122" s="25" t="str">
        <f>IF(DD_apply="Yes",IF((COUNTIF(D122:G122,"Y")=COUNTIF('01 - SD'!D122:G122,"Y")),"match","no SD match"),"-")</f>
        <v>match</v>
      </c>
      <c r="L122" s="1410" t="str">
        <f t="shared" si="5"/>
        <v>&lt;---PM/Planner may hide PLACEHOLDER ROW</v>
      </c>
      <c r="M122" s="1333"/>
      <c r="N122" s="1333"/>
      <c r="O122" s="1333"/>
      <c r="P122" s="1333"/>
      <c r="Q122" s="1333"/>
      <c r="R122" s="1453"/>
      <c r="S122" s="1284"/>
      <c r="T122" s="1284"/>
      <c r="U122" s="1333"/>
      <c r="V122" s="1333"/>
      <c r="W122" s="1333"/>
      <c r="X122" s="1333"/>
      <c r="Y122" s="1333"/>
      <c r="Z122" s="1333"/>
      <c r="AA122" s="1333"/>
      <c r="AB122" s="1333"/>
      <c r="AC122" s="1333"/>
      <c r="AD122" s="1333"/>
      <c r="AE122" s="1333"/>
      <c r="AF122" s="1333"/>
      <c r="AG122" s="1333"/>
      <c r="AH122" s="1333"/>
      <c r="AI122" s="1333"/>
    </row>
    <row r="123" spans="1:49" s="30" customFormat="1" ht="15" customHeight="1" x14ac:dyDescent="0.25">
      <c r="A123" s="1504" t="str">
        <f>IF(SD_apply="Yes",IF(COUNTIF('01 - SD'!D123:G123,"Y")&gt;0,"Y",IF(COUNTIF('01 - SD'!D123:G123,"N"),"N","")),"")</f>
        <v>N</v>
      </c>
      <c r="B123" s="32"/>
      <c r="C123" s="945"/>
      <c r="D123" s="10"/>
      <c r="E123" s="467"/>
      <c r="F123" s="559" t="str">
        <f>IF('C-Design&amp;Const'!$K123="","",'C-Design&amp;Const'!$K123)</f>
        <v>N</v>
      </c>
      <c r="G123" s="291"/>
      <c r="H123" s="408" t="str">
        <f>CONCATENATE(IF(F123="N","PLACEHOLDER ROW - ",""),'C-Design&amp;Const'!Z123,IF(F123="N","",J123))</f>
        <v>PLACEHOLDER ROW - CUSTOM ROW - OPTIONAL CLIENT ITEM</v>
      </c>
      <c r="I123" s="184"/>
      <c r="J123" s="578" t="str">
        <f>IF('C-Design&amp;Const'!AF123="","",'C-Design&amp;Const'!AF123)</f>
        <v xml:space="preserve"> (Updates to) </v>
      </c>
      <c r="K123" s="25" t="str">
        <f>IF(DD_apply="Yes",IF((COUNTIF(D123:G123,"Y")=COUNTIF('01 - SD'!D123:G123,"Y")),"match","no SD match"),"-")</f>
        <v>match</v>
      </c>
      <c r="L123" s="1410" t="str">
        <f t="shared" si="5"/>
        <v>&lt;---PM/Planner may hide PLACEHOLDER ROW</v>
      </c>
      <c r="M123" s="1382"/>
      <c r="N123" s="1333"/>
      <c r="O123" s="1382"/>
      <c r="P123" s="1382"/>
      <c r="Q123" s="1382"/>
      <c r="R123" s="1382"/>
      <c r="S123" s="1382"/>
      <c r="T123" s="1382"/>
      <c r="U123" s="1382"/>
      <c r="V123" s="1382"/>
      <c r="W123" s="1382"/>
      <c r="X123" s="1382"/>
      <c r="Y123" s="1382"/>
      <c r="Z123" s="1382"/>
      <c r="AA123" s="1382"/>
      <c r="AB123" s="1382"/>
      <c r="AC123" s="1382"/>
      <c r="AD123" s="1382"/>
      <c r="AE123" s="1382"/>
      <c r="AF123" s="1382"/>
      <c r="AG123" s="1382"/>
      <c r="AH123" s="1382"/>
      <c r="AI123" s="1382"/>
      <c r="AJ123" s="181"/>
      <c r="AK123" s="181"/>
      <c r="AL123" s="181"/>
      <c r="AM123" s="181"/>
      <c r="AN123" s="181"/>
      <c r="AO123" s="181"/>
      <c r="AP123" s="181"/>
      <c r="AQ123" s="181"/>
      <c r="AR123" s="181"/>
      <c r="AS123" s="181"/>
      <c r="AT123" s="181"/>
      <c r="AU123" s="181"/>
      <c r="AV123" s="181"/>
      <c r="AW123" s="181"/>
    </row>
    <row r="124" spans="1:49" s="30" customFormat="1" ht="15" hidden="1" customHeight="1" x14ac:dyDescent="0.25">
      <c r="A124" s="1504" t="str">
        <f>IF(SD_apply="Yes",IF(COUNTIF('01 - SD'!D124:G124,"Y")&gt;0,"Y",IF(COUNTIF('01 - SD'!D124:G124,"N"),"N","")),"")</f>
        <v>N</v>
      </c>
      <c r="B124" s="32"/>
      <c r="C124" s="945"/>
      <c r="D124" s="10"/>
      <c r="E124" s="467"/>
      <c r="F124" s="559" t="str">
        <f>IF('C-Design&amp;Const'!$K124="","",'C-Design&amp;Const'!$K124)</f>
        <v>N</v>
      </c>
      <c r="G124" s="291"/>
      <c r="H124" s="414" t="str">
        <f>CONCATENATE(IF(F124="N","PLACEHOLDER ROW - ",""),'C-Design&amp;Const'!Z124,IF(F124="N","",J124))</f>
        <v>PLACEHOLDER ROW - CUSTOM ROW - OPTIONAL CLIENT ITEM</v>
      </c>
      <c r="I124" s="184"/>
      <c r="J124" s="578" t="str">
        <f>IF('C-Design&amp;Const'!AF124="","",'C-Design&amp;Const'!AF124)</f>
        <v xml:space="preserve"> (Updates to) </v>
      </c>
      <c r="K124" s="25" t="str">
        <f>IF(DD_apply="Yes",IF((COUNTIF(D124:G124,"Y")=COUNTIF('01 - SD'!D124:G124,"Y")),"match","no SD match"),"-")</f>
        <v>match</v>
      </c>
      <c r="L124" s="1410" t="str">
        <f t="shared" si="5"/>
        <v>&lt;---PM/Planner may hide PLACEHOLDER ROW</v>
      </c>
      <c r="M124" s="1382"/>
      <c r="N124" s="1333"/>
      <c r="O124" s="1382"/>
      <c r="P124" s="1382"/>
      <c r="Q124" s="1382"/>
      <c r="R124" s="1382"/>
      <c r="S124" s="1382"/>
      <c r="T124" s="1382"/>
      <c r="U124" s="1382"/>
      <c r="V124" s="1382"/>
      <c r="W124" s="1382"/>
      <c r="X124" s="1382"/>
      <c r="Y124" s="1382"/>
      <c r="Z124" s="1382"/>
      <c r="AA124" s="1382"/>
      <c r="AB124" s="1382"/>
      <c r="AC124" s="1382"/>
      <c r="AD124" s="1382"/>
      <c r="AE124" s="1382"/>
      <c r="AF124" s="1382"/>
      <c r="AG124" s="1382"/>
      <c r="AH124" s="1382"/>
      <c r="AI124" s="1382"/>
      <c r="AJ124" s="181"/>
      <c r="AK124" s="181"/>
      <c r="AL124" s="181"/>
      <c r="AM124" s="181"/>
      <c r="AN124" s="181"/>
      <c r="AO124" s="181"/>
      <c r="AP124" s="181"/>
      <c r="AQ124" s="181"/>
      <c r="AR124" s="181"/>
      <c r="AS124" s="181"/>
      <c r="AT124" s="181"/>
      <c r="AU124" s="181"/>
      <c r="AV124" s="181"/>
      <c r="AW124" s="181"/>
    </row>
    <row r="125" spans="1:49" ht="19.5" customHeight="1" x14ac:dyDescent="0.25">
      <c r="A125" s="1503" t="str">
        <f>IF(SD_apply="Yes",IF(COUNTIF('01 - SD'!D125:G125,"Y")&gt;0,"Y",IF(COUNTIF('01 - SD'!D125:G125,"N"),"N","")),"")</f>
        <v/>
      </c>
      <c r="B125" s="18"/>
      <c r="C125" s="945"/>
      <c r="D125" s="116"/>
      <c r="E125" s="411"/>
      <c r="F125" s="321"/>
      <c r="G125" s="294"/>
      <c r="H125" s="296"/>
      <c r="I125" s="130"/>
      <c r="J125" s="578" t="str">
        <f>IF('C-Design&amp;Const'!AF125="","",'C-Design&amp;Const'!AF125)</f>
        <v/>
      </c>
      <c r="K125" s="25" t="str">
        <f>IF(DD_apply="Yes",IF((COUNTIF(D125:G125,"Y")=COUNTIF('01 - SD'!D125:G125,"Y")),"match","no SD match"),"-")</f>
        <v>match</v>
      </c>
      <c r="L125" s="1410" t="str">
        <f t="shared" si="5"/>
        <v/>
      </c>
      <c r="M125" s="1333"/>
      <c r="N125" s="1333"/>
      <c r="O125" s="1333"/>
      <c r="P125" s="1333"/>
      <c r="Q125" s="1333"/>
      <c r="R125" s="1453"/>
      <c r="S125" s="1284"/>
      <c r="T125" s="1284"/>
      <c r="U125" s="1333"/>
      <c r="V125" s="1333"/>
      <c r="W125" s="1333"/>
      <c r="X125" s="1333"/>
      <c r="Y125" s="1333"/>
      <c r="Z125" s="1333"/>
      <c r="AA125" s="1333"/>
      <c r="AB125" s="1333"/>
      <c r="AC125" s="1333"/>
      <c r="AD125" s="1333"/>
      <c r="AE125" s="1333"/>
      <c r="AF125" s="1333"/>
      <c r="AG125" s="1333"/>
      <c r="AH125" s="1333"/>
      <c r="AI125" s="1333"/>
    </row>
    <row r="126" spans="1:49" ht="18.75" x14ac:dyDescent="0.25">
      <c r="A126" s="1503" t="str">
        <f>IF(SD_apply="Yes",IF(COUNTIF('01 - SD'!D126:G126,"Y")&gt;0,"Y",IF(COUNTIF('01 - SD'!D126:G126,"N"),"N","")),"")</f>
        <v>Y</v>
      </c>
      <c r="B126" s="18"/>
      <c r="C126" s="945"/>
      <c r="D126" s="29" t="str">
        <f>IF('C-Design&amp;Const'!$K126="","",'C-Design&amp;Const'!$K126)</f>
        <v>Y</v>
      </c>
      <c r="E126" s="503"/>
      <c r="F126" s="444"/>
      <c r="G126" s="173" t="str">
        <f>IF('C-Design&amp;Const'!Y126="","",'C-Design&amp;Const'!Y126)</f>
        <v>04b.</v>
      </c>
      <c r="H126" s="115" t="str">
        <f>(CONCATENATE('C-Design&amp;Const'!Z126,IF(D126="N"," Not Used In This Design Phase",J126)))</f>
        <v>Project Applicable Information / Calculations - Updated</v>
      </c>
      <c r="I126" s="134"/>
      <c r="J126" s="578" t="str">
        <f>IF('C-Design&amp;Const'!AF126="","",'C-Design&amp;Const'!AF126)</f>
        <v xml:space="preserve"> - Updated</v>
      </c>
      <c r="K126" s="25" t="str">
        <f>IF(DD_apply="Yes",IF((COUNTIF(D126:G126,"Y")=COUNTIF('01 - SD'!D126:G126,"Y")),"match","no SD match"),"-")</f>
        <v>match</v>
      </c>
      <c r="L126" s="1410" t="str">
        <f t="shared" si="5"/>
        <v/>
      </c>
      <c r="M126" s="1333"/>
      <c r="N126" s="1333"/>
      <c r="O126" s="1333"/>
      <c r="P126" s="1333"/>
      <c r="Q126" s="1333"/>
      <c r="R126" s="1444"/>
      <c r="S126" s="1445"/>
      <c r="T126" s="1284"/>
      <c r="U126" s="1333"/>
      <c r="V126" s="1333"/>
      <c r="W126" s="1333"/>
      <c r="X126" s="1333"/>
      <c r="Y126" s="1333"/>
      <c r="Z126" s="1333"/>
      <c r="AA126" s="1333"/>
      <c r="AB126" s="1333"/>
      <c r="AC126" s="1333"/>
      <c r="AD126" s="1333"/>
      <c r="AE126" s="1333"/>
      <c r="AF126" s="1333"/>
      <c r="AG126" s="1333"/>
      <c r="AH126" s="1333"/>
      <c r="AI126" s="1333"/>
    </row>
    <row r="127" spans="1:49" ht="15.75" x14ac:dyDescent="0.25">
      <c r="A127" s="1502" t="str">
        <f>IF(SD_apply="Yes",IF(COUNTIF('01 - SD'!D127:G127,"Y")&gt;0,"Y",IF(COUNTIF('01 - SD'!D127:G127,"N"),"N","")),"")</f>
        <v>Y</v>
      </c>
      <c r="B127" s="18"/>
      <c r="C127" s="945"/>
      <c r="D127" s="547"/>
      <c r="E127" s="559" t="str">
        <f>IF('C-Design&amp;Const'!$K127="","",'C-Design&amp;Const'!$K127)</f>
        <v>Y</v>
      </c>
      <c r="F127" s="560"/>
      <c r="G127" s="558"/>
      <c r="H127" s="340" t="str">
        <f>CONCATENATE(IF(E127="N","PLACEHOLDER ROW - ",""),IF(E127="N","",J127),'C-Design&amp;Const'!Z127,)</f>
        <v>(Complete) Occupancy calculations between existing and proposed; breaking down the FTE</v>
      </c>
      <c r="I127" s="136"/>
      <c r="J127" s="578" t="str">
        <f>IF('C-Design&amp;Const'!AF127="","",'C-Design&amp;Const'!AF127)</f>
        <v xml:space="preserve">(Complete) </v>
      </c>
      <c r="K127" s="25" t="str">
        <f>IF(DD_apply="Yes",IF((COUNTIF(D127:G127,"Y")=COUNTIF('01 - SD'!D127:G127,"Y")),"match","no SD match"),"-")</f>
        <v>match</v>
      </c>
      <c r="L127" s="1410" t="str">
        <f t="shared" si="5"/>
        <v/>
      </c>
      <c r="M127" s="1333"/>
      <c r="N127" s="1333"/>
      <c r="O127" s="1333"/>
      <c r="P127" s="1333"/>
      <c r="Q127" s="1333"/>
      <c r="R127" s="1453"/>
      <c r="S127" s="1284"/>
      <c r="T127" s="1284"/>
      <c r="U127" s="1333"/>
      <c r="V127" s="1333"/>
      <c r="W127" s="1333"/>
      <c r="X127" s="1333"/>
      <c r="Y127" s="1333"/>
      <c r="Z127" s="1333"/>
      <c r="AA127" s="1333"/>
      <c r="AB127" s="1333"/>
      <c r="AC127" s="1333"/>
      <c r="AD127" s="1333"/>
      <c r="AE127" s="1333"/>
      <c r="AF127" s="1333"/>
      <c r="AG127" s="1333"/>
      <c r="AH127" s="1333"/>
      <c r="AI127" s="1333"/>
    </row>
    <row r="128" spans="1:49" ht="15.75" x14ac:dyDescent="0.25">
      <c r="A128" s="1502" t="str">
        <f>IF(SD_apply="Yes",IF(COUNTIF('01 - SD'!D128:G128,"Y")&gt;0,"Y",IF(COUNTIF('01 - SD'!D128:G128,"N"),"N","")),"")</f>
        <v>Y</v>
      </c>
      <c r="B128" s="18"/>
      <c r="C128" s="945"/>
      <c r="D128" s="547"/>
      <c r="E128" s="559" t="str">
        <f>IF('C-Design&amp;Const'!$K128="","",'C-Design&amp;Const'!$K128)</f>
        <v>Y</v>
      </c>
      <c r="F128" s="478"/>
      <c r="G128" s="485"/>
      <c r="H128" s="340" t="str">
        <f>CONCATENATE(IF(E128="N","PLACEHOLDER ROW - ",""),IF(E128="N","",J128),'C-Design&amp;Const'!Z128,)</f>
        <v>(Complete) Soil Borings and Soils Report</v>
      </c>
      <c r="I128" s="136"/>
      <c r="J128" s="578" t="str">
        <f>IF('C-Design&amp;Const'!AF128="","",'C-Design&amp;Const'!AF128)</f>
        <v xml:space="preserve">(Complete) </v>
      </c>
      <c r="K128" s="25" t="str">
        <f>IF(DD_apply="Yes",IF((COUNTIF(D128:G128,"Y")=COUNTIF('01 - SD'!D128:G128,"Y")),"match","no SD match"),"-")</f>
        <v>match</v>
      </c>
      <c r="L128" s="1410" t="str">
        <f t="shared" si="5"/>
        <v/>
      </c>
      <c r="M128" s="1333"/>
      <c r="N128" s="1333"/>
      <c r="O128" s="1333"/>
      <c r="P128" s="1333"/>
      <c r="Q128" s="1333"/>
      <c r="R128" s="1453"/>
      <c r="S128" s="1284"/>
      <c r="T128" s="1284"/>
      <c r="U128" s="1333"/>
      <c r="V128" s="1333"/>
      <c r="W128" s="1333"/>
      <c r="X128" s="1333"/>
      <c r="Y128" s="1333"/>
      <c r="Z128" s="1333"/>
      <c r="AA128" s="1333"/>
      <c r="AB128" s="1333"/>
      <c r="AC128" s="1333"/>
      <c r="AD128" s="1333"/>
      <c r="AE128" s="1333"/>
      <c r="AF128" s="1333"/>
      <c r="AG128" s="1333"/>
      <c r="AH128" s="1333"/>
      <c r="AI128" s="1333"/>
    </row>
    <row r="129" spans="1:49" ht="28.5" x14ac:dyDescent="0.25">
      <c r="A129" s="1502" t="str">
        <f>IF(SD_apply="Yes",IF(COUNTIF('01 - SD'!D129:G129,"Y")&gt;0,"Y",IF(COUNTIF('01 - SD'!D129:G129,"N"),"N","")),"")</f>
        <v>Y</v>
      </c>
      <c r="B129" s="18"/>
      <c r="C129" s="945"/>
      <c r="D129" s="547"/>
      <c r="E129" s="559" t="str">
        <f>IF('C-Design&amp;Const'!$K129="","",'C-Design&amp;Const'!$K129)</f>
        <v>Y</v>
      </c>
      <c r="F129" s="460"/>
      <c r="G129" s="485"/>
      <c r="H129" s="340" t="str">
        <f>CONCATENATE(IF(E129="N","PLACEHOLDER ROW - ",""),IF(E129="N","",J129),'C-Design&amp;Const'!Z129,)</f>
        <v>(Substantially Complete) Stormwater Runoff Rate Calculation/Model Results and Water Detention</v>
      </c>
      <c r="I129" s="136"/>
      <c r="J129" s="578" t="str">
        <f>IF('C-Design&amp;Const'!AF129="","",'C-Design&amp;Const'!AF129)</f>
        <v xml:space="preserve">(Substantially Complete) </v>
      </c>
      <c r="K129" s="25" t="str">
        <f>IF(DD_apply="Yes",IF((COUNTIF(D129:G129,"Y")=COUNTIF('01 - SD'!D129:G129,"Y")),"match","no SD match"),"-")</f>
        <v>match</v>
      </c>
      <c r="L129" s="1410" t="str">
        <f t="shared" si="5"/>
        <v/>
      </c>
      <c r="M129" s="1333"/>
      <c r="N129" s="1333"/>
      <c r="O129" s="1333"/>
      <c r="P129" s="1333"/>
      <c r="Q129" s="1333"/>
      <c r="R129" s="1453"/>
      <c r="S129" s="1284"/>
      <c r="T129" s="1284"/>
      <c r="U129" s="1333"/>
      <c r="V129" s="1333"/>
      <c r="W129" s="1333"/>
      <c r="X129" s="1333"/>
      <c r="Y129" s="1333"/>
      <c r="Z129" s="1333"/>
      <c r="AA129" s="1333"/>
      <c r="AB129" s="1333"/>
      <c r="AC129" s="1333"/>
      <c r="AD129" s="1333"/>
      <c r="AE129" s="1333"/>
      <c r="AF129" s="1333"/>
      <c r="AG129" s="1333"/>
      <c r="AH129" s="1333"/>
      <c r="AI129" s="1333"/>
    </row>
    <row r="130" spans="1:49" ht="15.75" x14ac:dyDescent="0.25">
      <c r="A130" s="1502" t="str">
        <f>IF(SD_apply="Yes",IF(COUNTIF('01 - SD'!D130:G130,"Y")&gt;0,"Y",IF(COUNTIF('01 - SD'!D130:G130,"N"),"N","")),"")</f>
        <v>Y</v>
      </c>
      <c r="B130" s="18"/>
      <c r="C130" s="945"/>
      <c r="D130" s="547"/>
      <c r="E130" s="559" t="str">
        <f>IF('C-Design&amp;Const'!$K130="","",'C-Design&amp;Const'!$K130)</f>
        <v>Y</v>
      </c>
      <c r="F130" s="460"/>
      <c r="G130" s="485"/>
      <c r="H130" s="340" t="str">
        <f>CONCATENATE(IF(E130="N","PLACEHOLDER ROW - ",""),IF(E130="N","",J130),'C-Design&amp;Const'!Z130,)</f>
        <v>(Substantially Complete) Asbestos and Lead Survey and Recommendations</v>
      </c>
      <c r="I130" s="136"/>
      <c r="J130" s="578" t="str">
        <f>IF('C-Design&amp;Const'!AF130="","",'C-Design&amp;Const'!AF130)</f>
        <v xml:space="preserve">(Substantially Complete) </v>
      </c>
      <c r="K130" s="25" t="str">
        <f>IF(DD_apply="Yes",IF((COUNTIF(D130:G130,"Y")=COUNTIF('01 - SD'!D130:G130,"Y")),"match","no SD match"),"-")</f>
        <v>match</v>
      </c>
      <c r="L130" s="1410" t="str">
        <f t="shared" si="5"/>
        <v/>
      </c>
      <c r="M130" s="1333"/>
      <c r="N130" s="1333"/>
      <c r="O130" s="1333"/>
      <c r="P130" s="1333"/>
      <c r="Q130" s="1333"/>
      <c r="R130" s="1453"/>
      <c r="S130" s="1284"/>
      <c r="T130" s="1284"/>
      <c r="U130" s="1333"/>
      <c r="V130" s="1333"/>
      <c r="W130" s="1333"/>
      <c r="X130" s="1333"/>
      <c r="Y130" s="1333"/>
      <c r="Z130" s="1333"/>
      <c r="AA130" s="1333"/>
      <c r="AB130" s="1333"/>
      <c r="AC130" s="1333"/>
      <c r="AD130" s="1333"/>
      <c r="AE130" s="1333"/>
      <c r="AF130" s="1333"/>
      <c r="AG130" s="1333"/>
      <c r="AH130" s="1333"/>
      <c r="AI130" s="1333"/>
    </row>
    <row r="131" spans="1:49" ht="15.75" x14ac:dyDescent="0.25">
      <c r="A131" s="1502" t="str">
        <f>IF(SD_apply="Yes",IF(COUNTIF('01 - SD'!D131:G131,"Y")&gt;0,"Y",IF(COUNTIF('01 - SD'!D131:G131,"N"),"N","")),"")</f>
        <v>Y</v>
      </c>
      <c r="B131" s="18"/>
      <c r="C131" s="945"/>
      <c r="D131" s="547"/>
      <c r="E131" s="559" t="str">
        <f>IF('C-Design&amp;Const'!$K131="","",'C-Design&amp;Const'!$K131)</f>
        <v>Y</v>
      </c>
      <c r="F131" s="460"/>
      <c r="G131" s="485"/>
      <c r="H131" s="340" t="str">
        <f>CONCATENATE(IF(E131="N","PLACEHOLDER ROW - ",""),IF(E131="N","",J131),'C-Design&amp;Const'!Z131,)</f>
        <v>Results of Hazardous Materials Testing and Hazardous Materials Mediation Plan</v>
      </c>
      <c r="I131" s="136"/>
      <c r="J131" s="578" t="str">
        <f>IF('C-Design&amp;Const'!AF131="","",'C-Design&amp;Const'!AF131)</f>
        <v/>
      </c>
      <c r="K131" s="25" t="str">
        <f>IF(DD_apply="Yes",IF((COUNTIF(D131:G131,"Y")=COUNTIF('01 - SD'!D131:G131,"Y")),"match","no SD match"),"-")</f>
        <v>match</v>
      </c>
      <c r="L131" s="1410" t="str">
        <f t="shared" si="5"/>
        <v/>
      </c>
      <c r="M131" s="1333"/>
      <c r="N131" s="1333"/>
      <c r="O131" s="1333"/>
      <c r="P131" s="1333"/>
      <c r="Q131" s="1333"/>
      <c r="R131" s="1453"/>
      <c r="S131" s="1284"/>
      <c r="T131" s="1284"/>
      <c r="U131" s="1333"/>
      <c r="V131" s="1333"/>
      <c r="W131" s="1333"/>
      <c r="X131" s="1333"/>
      <c r="Y131" s="1333"/>
      <c r="Z131" s="1333"/>
      <c r="AA131" s="1333"/>
      <c r="AB131" s="1333"/>
      <c r="AC131" s="1333"/>
      <c r="AD131" s="1333"/>
      <c r="AE131" s="1333"/>
      <c r="AF131" s="1333"/>
      <c r="AG131" s="1333"/>
      <c r="AH131" s="1333"/>
      <c r="AI131" s="1333"/>
    </row>
    <row r="132" spans="1:49" ht="15.75" x14ac:dyDescent="0.25">
      <c r="A132" s="1502" t="str">
        <f>IF(SD_apply="Yes",IF(COUNTIF('01 - SD'!D132:G132,"Y")&gt;0,"Y",IF(COUNTIF('01 - SD'!D132:G132,"N"),"N","")),"")</f>
        <v>Y</v>
      </c>
      <c r="B132" s="18"/>
      <c r="C132" s="945"/>
      <c r="D132" s="547"/>
      <c r="E132" s="559" t="str">
        <f>IF('C-Design&amp;Const'!$K132="","",'C-Design&amp;Const'!$K132)</f>
        <v>Y</v>
      </c>
      <c r="F132" s="478"/>
      <c r="G132" s="485"/>
      <c r="H132" s="340" t="str">
        <f>CONCATENATE(IF(E132="N","PLACEHOLDER ROW - ",""),IF(E132="N","",J132),'C-Design&amp;Const'!Z132,)</f>
        <v>(Substantially Complete) EPA &amp; State Permits (including but not limited to SWPPP)</v>
      </c>
      <c r="I132" s="136"/>
      <c r="J132" s="578" t="str">
        <f>IF('C-Design&amp;Const'!AF132="","",'C-Design&amp;Const'!AF132)</f>
        <v xml:space="preserve">(Substantially Complete) </v>
      </c>
      <c r="K132" s="25" t="str">
        <f>IF(DD_apply="Yes",IF((COUNTIF(D132:G132,"Y")=COUNTIF('01 - SD'!D132:G132,"Y")),"match","no SD match"),"-")</f>
        <v>match</v>
      </c>
      <c r="L132" s="1410" t="str">
        <f t="shared" si="5"/>
        <v/>
      </c>
      <c r="M132" s="1333"/>
      <c r="N132" s="1333"/>
      <c r="O132" s="1333"/>
      <c r="P132" s="1333"/>
      <c r="Q132" s="1333"/>
      <c r="R132" s="1453"/>
      <c r="S132" s="1284"/>
      <c r="T132" s="1284"/>
      <c r="U132" s="1333"/>
      <c r="V132" s="1333"/>
      <c r="W132" s="1333"/>
      <c r="X132" s="1333"/>
      <c r="Y132" s="1333"/>
      <c r="Z132" s="1333"/>
      <c r="AA132" s="1333"/>
      <c r="AB132" s="1333"/>
      <c r="AC132" s="1333"/>
      <c r="AD132" s="1333"/>
      <c r="AE132" s="1333"/>
      <c r="AF132" s="1333"/>
      <c r="AG132" s="1333"/>
      <c r="AH132" s="1333"/>
      <c r="AI132" s="1333"/>
    </row>
    <row r="133" spans="1:49" ht="15.75" x14ac:dyDescent="0.25">
      <c r="A133" s="1502" t="str">
        <f>IF(SD_apply="Yes",IF(COUNTIF('01 - SD'!D133:G133,"Y")&gt;0,"Y",IF(COUNTIF('01 - SD'!D133:G133,"N"),"N","")),"")</f>
        <v>Y</v>
      </c>
      <c r="B133" s="18"/>
      <c r="C133" s="945"/>
      <c r="D133" s="547"/>
      <c r="E133" s="559" t="str">
        <f>IF('C-Design&amp;Const'!$K133="","",'C-Design&amp;Const'!$K133)</f>
        <v>Y</v>
      </c>
      <c r="F133" s="478"/>
      <c r="G133" s="485"/>
      <c r="H133" s="340" t="str">
        <f>CONCATENATE(IF(E133="N","PLACEHOLDER ROW - ",""),IF(E133="N","",J133),'C-Design&amp;Const'!Z133,)</f>
        <v xml:space="preserve">(Substantially Complete) Saftey &amp; Compliance / Environmental - Checklist   </v>
      </c>
      <c r="I133" s="136"/>
      <c r="J133" s="578" t="str">
        <f>IF('C-Design&amp;Const'!AF133="","",'C-Design&amp;Const'!AF133)</f>
        <v xml:space="preserve">(Substantially Complete) </v>
      </c>
      <c r="K133" s="25" t="str">
        <f>IF(DD_apply="Yes",IF((COUNTIF(D133:G133,"Y")=COUNTIF('01 - SD'!D133:G133,"Y")),"match","no SD match"),"-")</f>
        <v>match</v>
      </c>
      <c r="L133" s="1410" t="str">
        <f t="shared" si="5"/>
        <v/>
      </c>
      <c r="M133" s="1333"/>
      <c r="N133" s="1333"/>
      <c r="O133" s="1333"/>
      <c r="P133" s="1333"/>
      <c r="Q133" s="1333"/>
      <c r="R133" s="1453"/>
      <c r="S133" s="1284"/>
      <c r="T133" s="1284"/>
      <c r="U133" s="1333"/>
      <c r="V133" s="1333"/>
      <c r="W133" s="1333"/>
      <c r="X133" s="1333"/>
      <c r="Y133" s="1333"/>
      <c r="Z133" s="1333"/>
      <c r="AA133" s="1333"/>
      <c r="AB133" s="1333"/>
      <c r="AC133" s="1333"/>
      <c r="AD133" s="1333"/>
      <c r="AE133" s="1333"/>
      <c r="AF133" s="1333"/>
      <c r="AG133" s="1333"/>
      <c r="AH133" s="1333"/>
      <c r="AI133" s="1333"/>
    </row>
    <row r="134" spans="1:49" s="542" customFormat="1" ht="22.5" x14ac:dyDescent="0.25">
      <c r="A134" s="1502" t="str">
        <f>IF(SD_apply="Yes",IF(COUNTIF('01 - SD'!D134:G134,"Y")&gt;0,"Y",IF(COUNTIF('01 - SD'!D134:G134,"N"),"N","")),"")</f>
        <v>N</v>
      </c>
      <c r="B134" s="18"/>
      <c r="C134" s="945"/>
      <c r="D134" s="547"/>
      <c r="E134" s="559" t="str">
        <f>IF('C-Design&amp;Const'!$K134="","",'C-Design&amp;Const'!$K134)</f>
        <v>Y</v>
      </c>
      <c r="F134" s="478"/>
      <c r="G134" s="485"/>
      <c r="H134" s="340" t="str">
        <f>CONCATENATE(IF(E134="N","PLACEHOLDER ROW - ",""),IF(E134="N","",J134),'C-Design&amp;Const'!Z134,)</f>
        <v>(Preliminary) Excel files of all equipment schedules for all disciplines.</v>
      </c>
      <c r="I134" s="136"/>
      <c r="J134" s="578" t="str">
        <f>IF('C-Design&amp;Const'!AF134="","",'C-Design&amp;Const'!AF134)</f>
        <v xml:space="preserve">(Preliminary) </v>
      </c>
      <c r="K134" s="25" t="str">
        <f>IF(DD_apply="Yes",IF((COUNTIF(D134:G134,"Y")=COUNTIF('01 - SD'!D134:G134,"Y")),"match","no SD match"),"-")</f>
        <v>no SD match</v>
      </c>
      <c r="L134" s="1410" t="str">
        <f t="shared" ref="L134" si="9">CONCATENATE(IF(ISNUMBER(SEARCH("Placeholder",H134))=TRUE,"&lt;---PM/Planner may hide PLACEHOLDER ROW",""))</f>
        <v/>
      </c>
      <c r="M134" s="1333"/>
      <c r="N134" s="1333"/>
      <c r="O134" s="1333"/>
      <c r="P134" s="1333"/>
      <c r="Q134" s="1333"/>
      <c r="R134" s="1453"/>
      <c r="S134" s="1284"/>
      <c r="T134" s="1284"/>
      <c r="U134" s="1333"/>
      <c r="V134" s="1333"/>
      <c r="W134" s="1333"/>
      <c r="X134" s="1333"/>
      <c r="Y134" s="1333"/>
      <c r="Z134" s="1333"/>
      <c r="AA134" s="1333"/>
      <c r="AB134" s="1333"/>
      <c r="AC134" s="1333"/>
      <c r="AD134" s="1333"/>
      <c r="AE134" s="1333"/>
      <c r="AF134" s="1333"/>
      <c r="AG134" s="1333"/>
      <c r="AH134" s="1333"/>
      <c r="AI134" s="1333"/>
      <c r="AJ134" s="17"/>
      <c r="AK134" s="17"/>
      <c r="AL134" s="17"/>
      <c r="AM134" s="17"/>
      <c r="AN134" s="17"/>
      <c r="AO134" s="17"/>
      <c r="AP134" s="17"/>
      <c r="AQ134" s="17"/>
      <c r="AR134" s="17"/>
      <c r="AS134" s="17"/>
      <c r="AT134" s="17"/>
      <c r="AU134" s="17"/>
      <c r="AV134" s="17"/>
      <c r="AW134" s="17"/>
    </row>
    <row r="135" spans="1:49" ht="28.5" x14ac:dyDescent="0.25">
      <c r="A135" s="1502" t="str">
        <f>IF(SD_apply="Yes",IF(COUNTIF('01 - SD'!D135:G135,"Y")&gt;0,"Y",IF(COUNTIF('01 - SD'!D135:G135,"N"),"N","")),"")</f>
        <v>Y</v>
      </c>
      <c r="B135" s="18"/>
      <c r="C135" s="945"/>
      <c r="D135" s="547"/>
      <c r="E135" s="559" t="str">
        <f>IF('C-Design&amp;Const'!$K135="","",'C-Design&amp;Const'!$K135)</f>
        <v>Y</v>
      </c>
      <c r="F135" s="478"/>
      <c r="G135" s="485"/>
      <c r="H135" s="340" t="str">
        <f>CONCATENATE(IF(E135="N","PLACEHOLDER ROW - ",""),IF(E135="N","",J135),'C-Design&amp;Const'!Z135,)</f>
        <v>(Complete) Results of existing exterior envelope material tests or strengths (i.e. brick and mortar tests, pull tests of existing mechanical fasteners, etc…)</v>
      </c>
      <c r="I135" s="136"/>
      <c r="J135" s="578" t="str">
        <f>IF('C-Design&amp;Const'!AF135="","",'C-Design&amp;Const'!AF135)</f>
        <v xml:space="preserve">(Complete) </v>
      </c>
      <c r="K135" s="25" t="str">
        <f>IF(DD_apply="Yes",IF((COUNTIF(D135:G135,"Y")=COUNTIF('01 - SD'!D135:G135,"Y")),"match","no SD match"),"-")</f>
        <v>match</v>
      </c>
      <c r="L135" s="1410" t="str">
        <f t="shared" si="5"/>
        <v/>
      </c>
      <c r="M135" s="1333"/>
      <c r="N135" s="1333"/>
      <c r="O135" s="1333"/>
      <c r="P135" s="1333"/>
      <c r="Q135" s="1333"/>
      <c r="R135" s="1453"/>
      <c r="S135" s="1284"/>
      <c r="T135" s="1284"/>
      <c r="U135" s="1333"/>
      <c r="V135" s="1333"/>
      <c r="W135" s="1333"/>
      <c r="X135" s="1333"/>
      <c r="Y135" s="1333"/>
      <c r="Z135" s="1333"/>
      <c r="AA135" s="1333"/>
      <c r="AB135" s="1333"/>
      <c r="AC135" s="1333"/>
      <c r="AD135" s="1333"/>
      <c r="AE135" s="1333"/>
      <c r="AF135" s="1333"/>
      <c r="AG135" s="1333"/>
      <c r="AH135" s="1333"/>
      <c r="AI135" s="1333"/>
    </row>
    <row r="136" spans="1:49" ht="14.25" customHeight="1" x14ac:dyDescent="0.25">
      <c r="A136" s="1502" t="str">
        <f>IF(SD_apply="Yes",IF(COUNTIF('01 - SD'!D136:G136,"Y")&gt;0,"Y",IF(COUNTIF('01 - SD'!D136:G136,"N"),"N","")),"")</f>
        <v>Y</v>
      </c>
      <c r="B136" s="18"/>
      <c r="C136" s="945"/>
      <c r="D136" s="547"/>
      <c r="E136" s="559" t="str">
        <f>IF('C-Design&amp;Const'!$K136="","",'C-Design&amp;Const'!$K136)</f>
        <v>Y</v>
      </c>
      <c r="F136" s="460"/>
      <c r="G136" s="485"/>
      <c r="H136" s="340" t="str">
        <f>CONCATENATE(IF(E136="N","PLACEHOLDER ROW - ",""),IF(E136="N","",J136),'C-Design&amp;Const'!Z136,)</f>
        <v>(Complete) Results of any existing structural materials tests or verification / scans of structure layout.</v>
      </c>
      <c r="I136" s="136"/>
      <c r="J136" s="578" t="str">
        <f>IF('C-Design&amp;Const'!AF136="","",'C-Design&amp;Const'!AF136)</f>
        <v xml:space="preserve">(Complete) </v>
      </c>
      <c r="K136" s="25" t="str">
        <f>IF(DD_apply="Yes",IF((COUNTIF(D136:G136,"Y")=COUNTIF('01 - SD'!D136:G136,"Y")),"match","no SD match"),"-")</f>
        <v>match</v>
      </c>
      <c r="L136" s="1410" t="str">
        <f t="shared" si="5"/>
        <v/>
      </c>
      <c r="M136" s="1333"/>
      <c r="N136" s="1333"/>
      <c r="O136" s="1333"/>
      <c r="P136" s="1333"/>
      <c r="Q136" s="1333"/>
      <c r="R136" s="1453"/>
      <c r="S136" s="1284"/>
      <c r="T136" s="1284"/>
      <c r="U136" s="1333"/>
      <c r="V136" s="1333"/>
      <c r="W136" s="1333"/>
      <c r="X136" s="1333"/>
      <c r="Y136" s="1333"/>
      <c r="Z136" s="1333"/>
      <c r="AA136" s="1333"/>
      <c r="AB136" s="1333"/>
      <c r="AC136" s="1333"/>
      <c r="AD136" s="1333"/>
      <c r="AE136" s="1333"/>
      <c r="AF136" s="1333"/>
      <c r="AG136" s="1333"/>
      <c r="AH136" s="1333"/>
      <c r="AI136" s="1333"/>
    </row>
    <row r="137" spans="1:49" ht="26.25" customHeight="1" x14ac:dyDescent="0.25">
      <c r="A137" s="1502" t="str">
        <f>IF(SD_apply="Yes",IF(COUNTIF('01 - SD'!D137:G137,"Y")&gt;0,"Y",IF(COUNTIF('01 - SD'!D137:G137,"N"),"N","")),"")</f>
        <v>Y</v>
      </c>
      <c r="B137" s="18"/>
      <c r="C137" s="945"/>
      <c r="D137" s="547"/>
      <c r="E137" s="559" t="str">
        <f>IF('C-Design&amp;Const'!$K137="","",'C-Design&amp;Const'!$K137)</f>
        <v>Y</v>
      </c>
      <c r="F137" s="460"/>
      <c r="G137" s="485"/>
      <c r="H137" s="340" t="str">
        <f>CONCATENATE(IF(E137="N","PLACEHOLDER ROW - ",""),IF(E137="N","",J137),'C-Design&amp;Const'!Z137,)</f>
        <v>(Approx. 50% Complete) Summary of floor analysis for required strengthening (for new walls, materials, mechanical equipment change in use).</v>
      </c>
      <c r="I137" s="136"/>
      <c r="J137" s="578" t="str">
        <f>IF('C-Design&amp;Const'!AF137="","",'C-Design&amp;Const'!AF137)</f>
        <v xml:space="preserve">(Approx. 50% Complete) </v>
      </c>
      <c r="K137" s="25" t="str">
        <f>IF(DD_apply="Yes",IF((COUNTIF(D137:G137,"Y")=COUNTIF('01 - SD'!D137:G137,"Y")),"match","no SD match"),"-")</f>
        <v>match</v>
      </c>
      <c r="L137" s="1410" t="str">
        <f t="shared" si="5"/>
        <v/>
      </c>
      <c r="M137" s="1333"/>
      <c r="N137" s="1333"/>
      <c r="O137" s="1333"/>
      <c r="P137" s="1333"/>
      <c r="Q137" s="1333"/>
      <c r="R137" s="1453"/>
      <c r="S137" s="1284"/>
      <c r="T137" s="1284"/>
      <c r="U137" s="1333"/>
      <c r="V137" s="1333"/>
      <c r="W137" s="1333"/>
      <c r="X137" s="1333"/>
      <c r="Y137" s="1333"/>
      <c r="Z137" s="1333"/>
      <c r="AA137" s="1333"/>
      <c r="AB137" s="1333"/>
      <c r="AC137" s="1333"/>
      <c r="AD137" s="1333"/>
      <c r="AE137" s="1333"/>
      <c r="AF137" s="1333"/>
      <c r="AG137" s="1333"/>
      <c r="AH137" s="1333"/>
      <c r="AI137" s="1333"/>
    </row>
    <row r="138" spans="1:49" ht="28.5" x14ac:dyDescent="0.25">
      <c r="A138" s="1502" t="str">
        <f>IF(SD_apply="Yes",IF(COUNTIF('01 - SD'!D138:G138,"Y")&gt;0,"Y",IF(COUNTIF('01 - SD'!D138:G138,"N"),"N","")),"")</f>
        <v>Y</v>
      </c>
      <c r="B138" s="18"/>
      <c r="C138" s="945"/>
      <c r="D138" s="547"/>
      <c r="E138" s="559" t="str">
        <f>IF('C-Design&amp;Const'!$K138="","",'C-Design&amp;Const'!$K138)</f>
        <v>Y</v>
      </c>
      <c r="F138" s="460"/>
      <c r="G138" s="485"/>
      <c r="H138" s="340" t="str">
        <f>CONCATENATE(IF(E138="N","PLACEHOLDER ROW - ",""),IF(E138="N","",J138),'C-Design&amp;Const'!Z138,)</f>
        <v>(Approx. 50% Complete) Summary of lateral force resisting systems (for new tributary load or compromising of existing system).</v>
      </c>
      <c r="I138" s="136"/>
      <c r="J138" s="578" t="str">
        <f>IF('C-Design&amp;Const'!AF138="","",'C-Design&amp;Const'!AF138)</f>
        <v xml:space="preserve">(Approx. 50% Complete) </v>
      </c>
      <c r="K138" s="25" t="str">
        <f>IF(DD_apply="Yes",IF((COUNTIF(D138:G138,"Y")=COUNTIF('01 - SD'!D138:G138,"Y")),"match","no SD match"),"-")</f>
        <v>match</v>
      </c>
      <c r="L138" s="1410" t="str">
        <f t="shared" si="5"/>
        <v/>
      </c>
      <c r="M138" s="1333"/>
      <c r="N138" s="1333"/>
      <c r="O138" s="1333"/>
      <c r="P138" s="1333"/>
      <c r="Q138" s="1333"/>
      <c r="R138" s="1453"/>
      <c r="S138" s="1284"/>
      <c r="T138" s="1284"/>
      <c r="U138" s="1333"/>
      <c r="V138" s="1333"/>
      <c r="W138" s="1333"/>
      <c r="X138" s="1333"/>
      <c r="Y138" s="1333"/>
      <c r="Z138" s="1333"/>
      <c r="AA138" s="1333"/>
      <c r="AB138" s="1333"/>
      <c r="AC138" s="1333"/>
      <c r="AD138" s="1333"/>
      <c r="AE138" s="1333"/>
      <c r="AF138" s="1333"/>
      <c r="AG138" s="1333"/>
      <c r="AH138" s="1333"/>
      <c r="AI138" s="1333"/>
    </row>
    <row r="139" spans="1:49" ht="15.75" x14ac:dyDescent="0.25">
      <c r="A139" s="1502" t="str">
        <f>IF(SD_apply="Yes",IF(COUNTIF('01 - SD'!D139:G139,"Y")&gt;0,"Y",IF(COUNTIF('01 - SD'!D139:G139,"N"),"N","")),"")</f>
        <v>Y</v>
      </c>
      <c r="B139" s="18"/>
      <c r="C139" s="945"/>
      <c r="D139" s="547"/>
      <c r="E139" s="559" t="str">
        <f>IF('C-Design&amp;Const'!$K139="","",'C-Design&amp;Const'!$K139)</f>
        <v>Y</v>
      </c>
      <c r="F139" s="478"/>
      <c r="G139" s="487"/>
      <c r="H139" s="340" t="str">
        <f>CONCATENATE(IF(E139="N","PLACEHOLDER ROW - ",""),IF(E139="N","",J139),'C-Design&amp;Const'!Z139,)</f>
        <v xml:space="preserve"> (Updates to) LEED Version (v4) Prerequisites Narrative</v>
      </c>
      <c r="I139" s="136"/>
      <c r="J139" s="578" t="str">
        <f>IF('C-Design&amp;Const'!AF139="","",'C-Design&amp;Const'!AF139)</f>
        <v xml:space="preserve"> (Updates to) </v>
      </c>
      <c r="K139" s="25" t="str">
        <f>IF(DD_apply="Yes",IF((COUNTIF(D139:G139,"Y")=COUNTIF('01 - SD'!D139:G139,"Y")),"match","no SD match"),"-")</f>
        <v>match</v>
      </c>
      <c r="L139" s="1410" t="str">
        <f t="shared" si="5"/>
        <v/>
      </c>
      <c r="M139" s="1333"/>
      <c r="N139" s="1333"/>
      <c r="O139" s="1333"/>
      <c r="P139" s="1333"/>
      <c r="Q139" s="1333"/>
      <c r="R139" s="1453"/>
      <c r="S139" s="1284"/>
      <c r="T139" s="1284"/>
      <c r="U139" s="1333"/>
      <c r="V139" s="1333"/>
      <c r="W139" s="1333"/>
      <c r="X139" s="1333"/>
      <c r="Y139" s="1333"/>
      <c r="Z139" s="1333"/>
      <c r="AA139" s="1333"/>
      <c r="AB139" s="1333"/>
      <c r="AC139" s="1333"/>
      <c r="AD139" s="1333"/>
      <c r="AE139" s="1333"/>
      <c r="AF139" s="1333"/>
      <c r="AG139" s="1333"/>
      <c r="AH139" s="1333"/>
      <c r="AI139" s="1333"/>
    </row>
    <row r="140" spans="1:49" ht="27" customHeight="1" x14ac:dyDescent="0.25">
      <c r="A140" s="1502" t="str">
        <f>IF(SD_apply="Yes",IF(COUNTIF('01 - SD'!D140:G140,"Y")&gt;0,"Y",IF(COUNTIF('01 - SD'!D140:G140,"N"),"N","")),"")</f>
        <v>Y</v>
      </c>
      <c r="B140" s="18"/>
      <c r="C140" s="945"/>
      <c r="D140" s="547"/>
      <c r="E140" s="559" t="str">
        <f>IF('C-Design&amp;Const'!$K140="","",'C-Design&amp;Const'!$K140)</f>
        <v>Y</v>
      </c>
      <c r="F140" s="478"/>
      <c r="G140" s="487"/>
      <c r="H140" s="340" t="str">
        <f>CONCATENATE(IF(E140="N","PLACEHOLDER ROW - ",""),IF(E140="N","",J140),'C-Design&amp;Const'!Z140,)</f>
        <v>LEED Minimum Silver or better Registration (&gt;10,000 sqft and/or Capital Projects &gt;= $5million; Major renovations or New Construction)</v>
      </c>
      <c r="I140" s="136"/>
      <c r="J140" s="578" t="str">
        <f>IF('C-Design&amp;Const'!AF140="","",'C-Design&amp;Const'!AF140)</f>
        <v/>
      </c>
      <c r="K140" s="25" t="str">
        <f>IF(DD_apply="Yes",IF((COUNTIF(D140:G140,"Y")=COUNTIF('01 - SD'!D140:G140,"Y")),"match","no SD match"),"-")</f>
        <v>match</v>
      </c>
      <c r="L140" s="1410" t="str">
        <f t="shared" si="5"/>
        <v/>
      </c>
      <c r="M140" s="1333"/>
      <c r="N140" s="1333"/>
      <c r="O140" s="1333"/>
      <c r="P140" s="1333"/>
      <c r="Q140" s="1333"/>
      <c r="R140" s="1453"/>
      <c r="S140" s="1284"/>
      <c r="T140" s="1284"/>
      <c r="U140" s="1333"/>
      <c r="V140" s="1333"/>
      <c r="W140" s="1333"/>
      <c r="X140" s="1333"/>
      <c r="Y140" s="1333"/>
      <c r="Z140" s="1333"/>
      <c r="AA140" s="1333"/>
      <c r="AB140" s="1333"/>
      <c r="AC140" s="1333"/>
      <c r="AD140" s="1333"/>
      <c r="AE140" s="1333"/>
      <c r="AF140" s="1333"/>
      <c r="AG140" s="1333"/>
      <c r="AH140" s="1333"/>
      <c r="AI140" s="1333"/>
    </row>
    <row r="141" spans="1:49" s="30" customFormat="1" ht="15.75" customHeight="1" x14ac:dyDescent="0.25">
      <c r="A141" s="1502" t="str">
        <f>IF(SD_apply="Yes",IF(COUNTIF('01 - SD'!D141:G141,"Y")&gt;0,"Y",IF(COUNTIF('01 - SD'!D141:G141,"N"),"N","")),"")</f>
        <v>Y</v>
      </c>
      <c r="B141" s="32"/>
      <c r="C141" s="945"/>
      <c r="D141" s="10"/>
      <c r="E141" s="359" t="str">
        <f>IF('C-Design&amp;Const'!$K141="","",'C-Design&amp;Const'!$K141)</f>
        <v>Y</v>
      </c>
      <c r="F141" s="486"/>
      <c r="G141" s="465"/>
      <c r="H141" s="340" t="str">
        <f>CONCATENATE(IF(E141="N","PLACEHOLDER ROW - ",""),IF(E141="N","",J141),'C-Design&amp;Const'!Z141,)</f>
        <v xml:space="preserve"> (Updates to) LEED Project Checklist - (previously referred to as LEED Scorecard) </v>
      </c>
      <c r="I141" s="184"/>
      <c r="J141" s="578" t="str">
        <f>IF('C-Design&amp;Const'!AF141="","",'C-Design&amp;Const'!AF141)</f>
        <v xml:space="preserve"> (Updates to) </v>
      </c>
      <c r="K141" s="25" t="str">
        <f>IF(DD_apply="Yes",IF((COUNTIF(D141:G141,"Y")=COUNTIF('01 - SD'!D141:G141,"Y")),"match","no SD match"),"-")</f>
        <v>match</v>
      </c>
      <c r="L141" s="1410" t="str">
        <f t="shared" si="5"/>
        <v/>
      </c>
      <c r="M141" s="1333"/>
      <c r="N141" s="1382"/>
      <c r="O141" s="1382"/>
      <c r="P141" s="1382"/>
      <c r="Q141" s="1382"/>
      <c r="R141" s="1382"/>
      <c r="S141" s="1382"/>
      <c r="T141" s="1382"/>
      <c r="U141" s="1382"/>
      <c r="V141" s="1382"/>
      <c r="W141" s="1382"/>
      <c r="X141" s="1382"/>
      <c r="Y141" s="1382"/>
      <c r="Z141" s="1382"/>
      <c r="AA141" s="1382"/>
      <c r="AB141" s="1382"/>
      <c r="AC141" s="1382"/>
      <c r="AD141" s="1382"/>
      <c r="AE141" s="1382"/>
      <c r="AF141" s="1382"/>
      <c r="AG141" s="1382"/>
      <c r="AH141" s="1382"/>
      <c r="AI141" s="1382"/>
      <c r="AJ141" s="181"/>
      <c r="AK141" s="181"/>
      <c r="AL141" s="181"/>
      <c r="AM141" s="181"/>
      <c r="AN141" s="181"/>
      <c r="AO141" s="181"/>
      <c r="AP141" s="181"/>
      <c r="AQ141" s="181"/>
      <c r="AR141" s="181"/>
      <c r="AS141" s="181"/>
      <c r="AT141" s="181"/>
      <c r="AU141" s="181"/>
      <c r="AV141" s="181"/>
      <c r="AW141" s="181"/>
    </row>
    <row r="142" spans="1:49" s="30" customFormat="1" ht="15.75" customHeight="1" x14ac:dyDescent="0.25">
      <c r="A142" s="1502" t="str">
        <f>IF(SD_apply="Yes",IF(COUNTIF('01 - SD'!D142:G142,"Y")&gt;0,"Y",IF(COUNTIF('01 - SD'!D142:G142,"N"),"N","")),"")</f>
        <v>Y</v>
      </c>
      <c r="B142" s="32"/>
      <c r="C142" s="945"/>
      <c r="D142" s="10"/>
      <c r="E142" s="359" t="str">
        <f>IF('C-Design&amp;Const'!$K142="","",'C-Design&amp;Const'!$K142)</f>
        <v>Y</v>
      </c>
      <c r="F142" s="235"/>
      <c r="G142" s="291"/>
      <c r="H142" s="340" t="str">
        <f>CONCATENATE(IF(E142="N","PLACEHOLDER ROW - ",""),IF(E142="N","",J142),'C-Design&amp;Const'!Z142,)</f>
        <v xml:space="preserve">(Updates to) Energy Model (per ASHRAE 90.1, version from 2013  ) </v>
      </c>
      <c r="I142" s="184"/>
      <c r="J142" s="578" t="str">
        <f>IF('C-Design&amp;Const'!AF142="","",'C-Design&amp;Const'!AF142)</f>
        <v xml:space="preserve">(Updates to) </v>
      </c>
      <c r="K142" s="25" t="str">
        <f>IF(DD_apply="Yes",IF((COUNTIF(D142:G142,"Y")=COUNTIF('01 - SD'!D142:G142,"Y")),"match","no SD match"),"-")</f>
        <v>match</v>
      </c>
      <c r="L142" s="1410" t="str">
        <f t="shared" si="5"/>
        <v/>
      </c>
      <c r="M142" s="1333"/>
      <c r="N142" s="1382"/>
      <c r="O142" s="1382"/>
      <c r="P142" s="1382"/>
      <c r="Q142" s="1382"/>
      <c r="R142" s="1382"/>
      <c r="S142" s="1382"/>
      <c r="T142" s="1382"/>
      <c r="U142" s="1382"/>
      <c r="V142" s="1382"/>
      <c r="W142" s="1382"/>
      <c r="X142" s="1382"/>
      <c r="Y142" s="1382"/>
      <c r="Z142" s="1382"/>
      <c r="AA142" s="1382"/>
      <c r="AB142" s="1382"/>
      <c r="AC142" s="1382"/>
      <c r="AD142" s="1382"/>
      <c r="AE142" s="1382"/>
      <c r="AF142" s="1382"/>
      <c r="AG142" s="1382"/>
      <c r="AH142" s="1382"/>
      <c r="AI142" s="1382"/>
      <c r="AJ142" s="181"/>
      <c r="AK142" s="181"/>
      <c r="AL142" s="181"/>
      <c r="AM142" s="181"/>
      <c r="AN142" s="181"/>
      <c r="AO142" s="181"/>
      <c r="AP142" s="181"/>
      <c r="AQ142" s="181"/>
      <c r="AR142" s="181"/>
      <c r="AS142" s="181"/>
      <c r="AT142" s="181"/>
      <c r="AU142" s="181"/>
      <c r="AV142" s="181"/>
      <c r="AW142" s="181"/>
    </row>
    <row r="143" spans="1:49" s="30" customFormat="1" ht="15.75" customHeight="1" x14ac:dyDescent="0.25">
      <c r="A143" s="1502" t="str">
        <f>IF(SD_apply="Yes",IF(COUNTIF('01 - SD'!D143:G143,"Y")&gt;0,"Y",IF(COUNTIF('01 - SD'!D143:G143,"N"),"N","")),"")</f>
        <v>Y</v>
      </c>
      <c r="B143" s="32"/>
      <c r="C143" s="945"/>
      <c r="D143" s="10"/>
      <c r="E143" s="359" t="str">
        <f>IF('C-Design&amp;Const'!$K143="","",'C-Design&amp;Const'!$K143)</f>
        <v>Y</v>
      </c>
      <c r="F143" s="235"/>
      <c r="G143" s="291"/>
      <c r="H143" s="340" t="str">
        <f>CONCATENATE(IF(E143="N","PLACEHOLDER ROW - ",""),IF(E143="N","",J143),'C-Design&amp;Const'!Z143,)</f>
        <v xml:space="preserve"> (Updates to) Life Cycle Cost Analysis for selected systems (for projects exceeding 25,000 SF)</v>
      </c>
      <c r="I143" s="184"/>
      <c r="J143" s="578" t="str">
        <f>IF('C-Design&amp;Const'!AF143="","",'C-Design&amp;Const'!AF143)</f>
        <v xml:space="preserve"> (Updates to) </v>
      </c>
      <c r="K143" s="25" t="str">
        <f>IF(DD_apply="Yes",IF((COUNTIF(D143:G143,"Y")=COUNTIF('01 - SD'!D143:G143,"Y")),"match","no SD match"),"-")</f>
        <v>match</v>
      </c>
      <c r="L143" s="1410" t="str">
        <f t="shared" si="5"/>
        <v/>
      </c>
      <c r="M143" s="1333"/>
      <c r="N143" s="1382"/>
      <c r="O143" s="1382"/>
      <c r="P143" s="1382"/>
      <c r="Q143" s="1382"/>
      <c r="R143" s="1382"/>
      <c r="S143" s="1382"/>
      <c r="T143" s="1382"/>
      <c r="U143" s="1382"/>
      <c r="V143" s="1382"/>
      <c r="W143" s="1382"/>
      <c r="X143" s="1382"/>
      <c r="Y143" s="1382"/>
      <c r="Z143" s="1382"/>
      <c r="AA143" s="1382"/>
      <c r="AB143" s="1382"/>
      <c r="AC143" s="1382"/>
      <c r="AD143" s="1382"/>
      <c r="AE143" s="1382"/>
      <c r="AF143" s="1382"/>
      <c r="AG143" s="1382"/>
      <c r="AH143" s="1382"/>
      <c r="AI143" s="1382"/>
      <c r="AJ143" s="181"/>
      <c r="AK143" s="181"/>
      <c r="AL143" s="181"/>
      <c r="AM143" s="181"/>
      <c r="AN143" s="181"/>
      <c r="AO143" s="181"/>
      <c r="AP143" s="181"/>
      <c r="AQ143" s="181"/>
      <c r="AR143" s="181"/>
      <c r="AS143" s="181"/>
      <c r="AT143" s="181"/>
      <c r="AU143" s="181"/>
      <c r="AV143" s="181"/>
      <c r="AW143" s="181"/>
    </row>
    <row r="144" spans="1:49" s="30" customFormat="1" ht="15.75" customHeight="1" x14ac:dyDescent="0.25">
      <c r="A144" s="1502" t="str">
        <f>IF(SD_apply="Yes",IF(COUNTIF('01 - SD'!D144:G144,"Y")&gt;0,"Y",IF(COUNTIF('01 - SD'!D144:G144,"N"),"N","")),"")</f>
        <v>Y</v>
      </c>
      <c r="B144" s="32"/>
      <c r="C144" s="945"/>
      <c r="D144" s="10"/>
      <c r="E144" s="359" t="str">
        <f>IF('C-Design&amp;Const'!$K144="","",'C-Design&amp;Const'!$K144)</f>
        <v>Y</v>
      </c>
      <c r="F144" s="235"/>
      <c r="G144" s="291"/>
      <c r="H144" s="340" t="str">
        <f>CONCATENATE(IF(E144="N","PLACEHOLDER ROW - ",""),IF(E144="N","",J144),'C-Design&amp;Const'!Z144,)</f>
        <v xml:space="preserve"> (Updates to) Energy Budget </v>
      </c>
      <c r="I144" s="184"/>
      <c r="J144" s="578" t="str">
        <f>IF('C-Design&amp;Const'!AF144="","",'C-Design&amp;Const'!AF144)</f>
        <v xml:space="preserve"> (Updates to) </v>
      </c>
      <c r="K144" s="25" t="str">
        <f>IF(DD_apply="Yes",IF((COUNTIF(D144:G144,"Y")=COUNTIF('01 - SD'!D144:G144,"Y")),"match","no SD match"),"-")</f>
        <v>match</v>
      </c>
      <c r="L144" s="1410" t="str">
        <f t="shared" si="5"/>
        <v/>
      </c>
      <c r="M144" s="1333"/>
      <c r="N144" s="1382"/>
      <c r="O144" s="1382"/>
      <c r="P144" s="1382"/>
      <c r="Q144" s="1382"/>
      <c r="R144" s="1382"/>
      <c r="S144" s="1382"/>
      <c r="T144" s="1382"/>
      <c r="U144" s="1382"/>
      <c r="V144" s="1382"/>
      <c r="W144" s="1382"/>
      <c r="X144" s="1382"/>
      <c r="Y144" s="1382"/>
      <c r="Z144" s="1382"/>
      <c r="AA144" s="1382"/>
      <c r="AB144" s="1382"/>
      <c r="AC144" s="1382"/>
      <c r="AD144" s="1382"/>
      <c r="AE144" s="1382"/>
      <c r="AF144" s="1382"/>
      <c r="AG144" s="1382"/>
      <c r="AH144" s="1382"/>
      <c r="AI144" s="1382"/>
      <c r="AJ144" s="181"/>
      <c r="AK144" s="181"/>
      <c r="AL144" s="181"/>
      <c r="AM144" s="181"/>
      <c r="AN144" s="181"/>
      <c r="AO144" s="181"/>
      <c r="AP144" s="181"/>
      <c r="AQ144" s="181"/>
      <c r="AR144" s="181"/>
      <c r="AS144" s="181"/>
      <c r="AT144" s="181"/>
      <c r="AU144" s="181"/>
      <c r="AV144" s="181"/>
      <c r="AW144" s="181"/>
    </row>
    <row r="145" spans="1:49" ht="15" customHeight="1" x14ac:dyDescent="0.25">
      <c r="A145" s="1502" t="str">
        <f>IF(SD_apply="Yes",IF(COUNTIF('01 - SD'!D145:G145,"Y")&gt;0,"Y",IF(COUNTIF('01 - SD'!D145:G145,"N"),"N","")),"")</f>
        <v>N</v>
      </c>
      <c r="B145" s="18"/>
      <c r="C145" s="945"/>
      <c r="D145" s="547"/>
      <c r="E145" s="559" t="str">
        <f>IF('C-Design&amp;Const'!$K146="","",'C-Design&amp;Const'!$K146)</f>
        <v>N</v>
      </c>
      <c r="F145" s="478"/>
      <c r="G145" s="485"/>
      <c r="H145" s="358" t="str">
        <f>CONCATENATE(IF(E145="N","PLACEHOLDER ROW - ",""),IF(E145="N","",J145),'C-Design&amp;Const'!Z146,)</f>
        <v xml:space="preserve">PLACEHOLDER ROW - Chilled Water Capacity Charge form </v>
      </c>
      <c r="I145" s="136"/>
      <c r="J145" s="578" t="str">
        <f>IF('C-Design&amp;Const'!AF146="","",'C-Design&amp;Const'!AF146)</f>
        <v/>
      </c>
      <c r="K145" s="25" t="str">
        <f>IF(DD_apply="Yes",IF((COUNTIF(D145:G145,"Y")=COUNTIF('01 - SD'!D145:G145,"Y")),"match","no SD match"),"-")</f>
        <v>match</v>
      </c>
      <c r="L145" s="1410" t="str">
        <f>CONCATENATE(IF(ISNUMBER(SEARCH("Placeholder",H145))=TRUE,"&lt;---PM/Planner may hide PLACEHOLDER ROW",""))</f>
        <v>&lt;---PM/Planner may hide PLACEHOLDER ROW</v>
      </c>
      <c r="M145" s="1333"/>
      <c r="N145" s="1333"/>
      <c r="O145" s="1333"/>
      <c r="P145" s="1333"/>
      <c r="Q145" s="1333"/>
      <c r="R145" s="1453"/>
      <c r="S145" s="1284"/>
      <c r="T145" s="1284"/>
      <c r="U145" s="1333"/>
      <c r="V145" s="1333"/>
      <c r="W145" s="1333"/>
      <c r="X145" s="1333"/>
      <c r="Y145" s="1333"/>
      <c r="Z145" s="1333"/>
      <c r="AA145" s="1333"/>
      <c r="AB145" s="1333"/>
      <c r="AC145" s="1333"/>
      <c r="AD145" s="1333"/>
      <c r="AE145" s="1333"/>
      <c r="AF145" s="1333"/>
      <c r="AG145" s="1333"/>
      <c r="AH145" s="1333"/>
      <c r="AI145" s="1333"/>
    </row>
    <row r="146" spans="1:49" s="30" customFormat="1" ht="15.75" customHeight="1" x14ac:dyDescent="0.25">
      <c r="A146" s="1502" t="str">
        <f>IF(SD_apply="Yes",IF(COUNTIF('01 - SD'!D146:G146,"Y")&gt;0,"Y",IF(COUNTIF('01 - SD'!D146:G146,"N"),"N","")),"")</f>
        <v>Y</v>
      </c>
      <c r="B146" s="32"/>
      <c r="C146" s="945"/>
      <c r="D146" s="10"/>
      <c r="E146" s="359" t="str">
        <f>IF('C-Design&amp;Const'!$K145="","",'C-Design&amp;Const'!$K145)</f>
        <v>Y</v>
      </c>
      <c r="F146" s="235"/>
      <c r="G146" s="291"/>
      <c r="H146" s="340" t="str">
        <f>CONCATENATE(IF(E146="N","PLACEHOLDER ROW - ",""),IF(E146="N","",J146),'C-Design&amp;Const'!Z145,)</f>
        <v xml:space="preserve"> (Updates to) Utilities Peak Load Estimates</v>
      </c>
      <c r="I146" s="184"/>
      <c r="J146" s="578" t="str">
        <f>IF('C-Design&amp;Const'!AF145="","",'C-Design&amp;Const'!AF145)</f>
        <v xml:space="preserve"> (Updates to) </v>
      </c>
      <c r="K146" s="25" t="str">
        <f>IF(DD_apply="Yes",IF((COUNTIF(D146:G146,"Y")=COUNTIF('01 - SD'!D146:G146,"Y")),"match","no SD match"),"-")</f>
        <v>match</v>
      </c>
      <c r="L146" s="1410" t="str">
        <f t="shared" si="5"/>
        <v/>
      </c>
      <c r="M146" s="1333"/>
      <c r="N146" s="1382"/>
      <c r="O146" s="1382"/>
      <c r="P146" s="1382"/>
      <c r="Q146" s="1382"/>
      <c r="R146" s="1382"/>
      <c r="S146" s="1382"/>
      <c r="T146" s="1382"/>
      <c r="U146" s="1382"/>
      <c r="V146" s="1382"/>
      <c r="W146" s="1382"/>
      <c r="X146" s="1382"/>
      <c r="Y146" s="1382"/>
      <c r="Z146" s="1382"/>
      <c r="AA146" s="1382"/>
      <c r="AB146" s="1382"/>
      <c r="AC146" s="1382"/>
      <c r="AD146" s="1382"/>
      <c r="AE146" s="1382"/>
      <c r="AF146" s="1382"/>
      <c r="AG146" s="1382"/>
      <c r="AH146" s="1382"/>
      <c r="AI146" s="1382"/>
      <c r="AJ146" s="181"/>
      <c r="AK146" s="181"/>
      <c r="AL146" s="181"/>
      <c r="AM146" s="181"/>
      <c r="AN146" s="181"/>
      <c r="AO146" s="181"/>
      <c r="AP146" s="181"/>
      <c r="AQ146" s="181"/>
      <c r="AR146" s="181"/>
      <c r="AS146" s="181"/>
      <c r="AT146" s="181"/>
      <c r="AU146" s="181"/>
      <c r="AV146" s="181"/>
      <c r="AW146" s="181"/>
    </row>
    <row r="147" spans="1:49" s="30" customFormat="1" ht="15.75" customHeight="1" x14ac:dyDescent="0.25">
      <c r="A147" s="1502" t="str">
        <f>IF(SD_apply="Yes",IF(COUNTIF('01 - SD'!D147:G147,"Y")&gt;0,"Y",IF(COUNTIF('01 - SD'!D147:G147,"N"),"N","")),"")</f>
        <v>Y</v>
      </c>
      <c r="B147" s="32"/>
      <c r="C147" s="945"/>
      <c r="D147" s="10"/>
      <c r="E147" s="359" t="str">
        <f>IF('C-Design&amp;Const'!$K147="","",'C-Design&amp;Const'!$K147)</f>
        <v>Y</v>
      </c>
      <c r="F147" s="235"/>
      <c r="G147" s="291"/>
      <c r="H147" s="340" t="str">
        <f>CONCATENATE(IF(E147="N","PLACEHOLDER ROW - ",""),IF(E147="N","",J147),'C-Design&amp;Const'!Z147,)</f>
        <v xml:space="preserve">Energy Standards – proof of compliance </v>
      </c>
      <c r="I147" s="184"/>
      <c r="J147" s="578" t="str">
        <f>IF('C-Design&amp;Const'!AF147="","",'C-Design&amp;Const'!AF147)</f>
        <v/>
      </c>
      <c r="K147" s="25" t="str">
        <f>IF(DD_apply="Yes",IF((COUNTIF(D147:G147,"Y")=COUNTIF('01 - SD'!D147:G147,"Y")),"match","no SD match"),"-")</f>
        <v>match</v>
      </c>
      <c r="L147" s="1410" t="str">
        <f t="shared" si="5"/>
        <v/>
      </c>
      <c r="M147" s="1333"/>
      <c r="N147" s="1382"/>
      <c r="O147" s="1382"/>
      <c r="P147" s="1382"/>
      <c r="Q147" s="1382"/>
      <c r="R147" s="1382"/>
      <c r="S147" s="1382"/>
      <c r="T147" s="1382"/>
      <c r="U147" s="1382"/>
      <c r="V147" s="1382"/>
      <c r="W147" s="1382"/>
      <c r="X147" s="1382"/>
      <c r="Y147" s="1382"/>
      <c r="Z147" s="1382"/>
      <c r="AA147" s="1382"/>
      <c r="AB147" s="1382"/>
      <c r="AC147" s="1382"/>
      <c r="AD147" s="1382"/>
      <c r="AE147" s="1382"/>
      <c r="AF147" s="1382"/>
      <c r="AG147" s="1382"/>
      <c r="AH147" s="1382"/>
      <c r="AI147" s="1382"/>
      <c r="AJ147" s="181"/>
      <c r="AK147" s="181"/>
      <c r="AL147" s="181"/>
      <c r="AM147" s="181"/>
      <c r="AN147" s="181"/>
      <c r="AO147" s="181"/>
      <c r="AP147" s="181"/>
      <c r="AQ147" s="181"/>
      <c r="AR147" s="181"/>
      <c r="AS147" s="181"/>
      <c r="AT147" s="181"/>
      <c r="AU147" s="181"/>
      <c r="AV147" s="181"/>
      <c r="AW147" s="181"/>
    </row>
    <row r="148" spans="1:49" s="30" customFormat="1" ht="27" customHeight="1" x14ac:dyDescent="0.25">
      <c r="A148" s="1502" t="str">
        <f>IF(SD_apply="Yes",IF(COUNTIF('01 - SD'!D148:G148,"Y")&gt;0,"Y",IF(COUNTIF('01 - SD'!D148:G148,"N"),"N","")),"")</f>
        <v>Y</v>
      </c>
      <c r="B148" s="32"/>
      <c r="C148" s="945"/>
      <c r="D148" s="10"/>
      <c r="E148" s="359" t="str">
        <f>IF('C-Design&amp;Const'!$K148="","",'C-Design&amp;Const'!$K148)</f>
        <v>Y</v>
      </c>
      <c r="F148" s="235"/>
      <c r="G148" s="291"/>
      <c r="H148" s="340" t="str">
        <f>CONCATENATE(IF(E148="N","PLACEHOLDER ROW - ",""),IF(E148="N","",J148),'C-Design&amp;Const'!Z148,)</f>
        <v xml:space="preserve">(Approx 50% Complete) Hydraulic Analysis for water and waste - ** calculations available upon request </v>
      </c>
      <c r="I148" s="184"/>
      <c r="J148" s="578" t="str">
        <f>IF('C-Design&amp;Const'!AF148="","",'C-Design&amp;Const'!AF148)</f>
        <v xml:space="preserve">(Approx 50% Complete) </v>
      </c>
      <c r="K148" s="25" t="str">
        <f>IF(DD_apply="Yes",IF((COUNTIF(D148:G148,"Y")=COUNTIF('01 - SD'!D148:G148,"Y")),"match","no SD match"),"-")</f>
        <v>match</v>
      </c>
      <c r="L148" s="1410" t="str">
        <f t="shared" si="5"/>
        <v/>
      </c>
      <c r="M148" s="1333"/>
      <c r="N148" s="1382"/>
      <c r="O148" s="1382"/>
      <c r="P148" s="1382"/>
      <c r="Q148" s="1382"/>
      <c r="R148" s="1382"/>
      <c r="S148" s="1382"/>
      <c r="T148" s="1382"/>
      <c r="U148" s="1382"/>
      <c r="V148" s="1382"/>
      <c r="W148" s="1382"/>
      <c r="X148" s="1382"/>
      <c r="Y148" s="1382"/>
      <c r="Z148" s="1382"/>
      <c r="AA148" s="1382"/>
      <c r="AB148" s="1382"/>
      <c r="AC148" s="1382"/>
      <c r="AD148" s="1382"/>
      <c r="AE148" s="1382"/>
      <c r="AF148" s="1382"/>
      <c r="AG148" s="1382"/>
      <c r="AH148" s="1382"/>
      <c r="AI148" s="1382"/>
      <c r="AJ148" s="181"/>
      <c r="AK148" s="181"/>
      <c r="AL148" s="181"/>
      <c r="AM148" s="181"/>
      <c r="AN148" s="181"/>
      <c r="AO148" s="181"/>
      <c r="AP148" s="181"/>
      <c r="AQ148" s="181"/>
      <c r="AR148" s="181"/>
      <c r="AS148" s="181"/>
      <c r="AT148" s="181"/>
      <c r="AU148" s="181"/>
      <c r="AV148" s="181"/>
      <c r="AW148" s="181"/>
    </row>
    <row r="149" spans="1:49" s="30" customFormat="1" ht="27" customHeight="1" x14ac:dyDescent="0.25">
      <c r="A149" s="1502" t="str">
        <f>IF(SD_apply="Yes",IF(COUNTIF('01 - SD'!D149:G149,"Y")&gt;0,"Y",IF(COUNTIF('01 - SD'!D149:G149,"N"),"N","")),"")</f>
        <v>Y</v>
      </c>
      <c r="B149" s="32"/>
      <c r="C149" s="945"/>
      <c r="D149" s="10"/>
      <c r="E149" s="359" t="str">
        <f>IF('C-Design&amp;Const'!$K149="","",'C-Design&amp;Const'!$K149)</f>
        <v>Y</v>
      </c>
      <c r="F149" s="235"/>
      <c r="G149" s="291"/>
      <c r="H149" s="340" t="str">
        <f>CONCATENATE(IF(E149="N","PLACEHOLDER ROW - ",""),IF(E149="N","",J149),'C-Design&amp;Const'!Z149,)</f>
        <v xml:space="preserve">(Approx 50% Complete) Hydraulic Analysis for fire protection - ** calculations available upon request </v>
      </c>
      <c r="I149" s="184"/>
      <c r="J149" s="578" t="str">
        <f>IF('C-Design&amp;Const'!AF149="","",'C-Design&amp;Const'!AF149)</f>
        <v xml:space="preserve">(Approx 50% Complete) </v>
      </c>
      <c r="K149" s="25" t="str">
        <f>IF(DD_apply="Yes",IF((COUNTIF(D149:G149,"Y")=COUNTIF('01 - SD'!D149:G149,"Y")),"match","no SD match"),"-")</f>
        <v>match</v>
      </c>
      <c r="L149" s="1410" t="str">
        <f t="shared" si="5"/>
        <v/>
      </c>
      <c r="M149" s="1333"/>
      <c r="N149" s="1382"/>
      <c r="O149" s="1382"/>
      <c r="P149" s="1382"/>
      <c r="Q149" s="1382"/>
      <c r="R149" s="1382"/>
      <c r="S149" s="1382"/>
      <c r="T149" s="1382"/>
      <c r="U149" s="1382"/>
      <c r="V149" s="1382"/>
      <c r="W149" s="1382"/>
      <c r="X149" s="1382"/>
      <c r="Y149" s="1382"/>
      <c r="Z149" s="1382"/>
      <c r="AA149" s="1382"/>
      <c r="AB149" s="1382"/>
      <c r="AC149" s="1382"/>
      <c r="AD149" s="1382"/>
      <c r="AE149" s="1382"/>
      <c r="AF149" s="1382"/>
      <c r="AG149" s="1382"/>
      <c r="AH149" s="1382"/>
      <c r="AI149" s="1382"/>
      <c r="AJ149" s="181"/>
      <c r="AK149" s="181"/>
      <c r="AL149" s="181"/>
      <c r="AM149" s="181"/>
      <c r="AN149" s="181"/>
      <c r="AO149" s="181"/>
      <c r="AP149" s="181"/>
      <c r="AQ149" s="181"/>
      <c r="AR149" s="181"/>
      <c r="AS149" s="181"/>
      <c r="AT149" s="181"/>
      <c r="AU149" s="181"/>
      <c r="AV149" s="181"/>
      <c r="AW149" s="181"/>
    </row>
    <row r="150" spans="1:49" s="30" customFormat="1" ht="15.75" hidden="1" customHeight="1" x14ac:dyDescent="0.25">
      <c r="A150" s="1502" t="str">
        <f>IF(SD_apply="Yes",IF(COUNTIF('01 - SD'!D150:G150,"Y")&gt;0,"Y",IF(COUNTIF('01 - SD'!D150:G150,"N"),"N","")),"")</f>
        <v>N</v>
      </c>
      <c r="B150" s="32"/>
      <c r="C150" s="945"/>
      <c r="D150" s="10"/>
      <c r="E150" s="359" t="str">
        <f>IF('C-Design&amp;Const'!$K150="","",'C-Design&amp;Const'!$K150)</f>
        <v>N</v>
      </c>
      <c r="F150" s="235"/>
      <c r="G150" s="291"/>
      <c r="H150" s="340" t="str">
        <f>CONCATENATE(IF(E150="N","PLACEHOLDER ROW - ",""),IF(E150="N","",J150),'C-Design&amp;Const'!Z150,)</f>
        <v>PLACEHOLDER ROW - Harmonic Analysis Report for VFDs (N/A till construction)</v>
      </c>
      <c r="I150" s="184"/>
      <c r="J150" s="578" t="str">
        <f>IF('C-Design&amp;Const'!AF150="","",'C-Design&amp;Const'!AF150)</f>
        <v/>
      </c>
      <c r="K150" s="25" t="str">
        <f>IF(DD_apply="Yes",IF((COUNTIF(D150:G150,"Y")=COUNTIF('01 - SD'!D150:G150,"Y")),"match","no SD match"),"-")</f>
        <v>match</v>
      </c>
      <c r="L150" s="1410" t="str">
        <f t="shared" si="5"/>
        <v>&lt;---PM/Planner may hide PLACEHOLDER ROW</v>
      </c>
      <c r="M150" s="1333"/>
      <c r="N150" s="1382"/>
      <c r="O150" s="1382"/>
      <c r="P150" s="1382"/>
      <c r="Q150" s="1382"/>
      <c r="R150" s="1382"/>
      <c r="S150" s="1382"/>
      <c r="T150" s="1382"/>
      <c r="U150" s="1382"/>
      <c r="V150" s="1382"/>
      <c r="W150" s="1382"/>
      <c r="X150" s="1382"/>
      <c r="Y150" s="1382"/>
      <c r="Z150" s="1382"/>
      <c r="AA150" s="1382"/>
      <c r="AB150" s="1382"/>
      <c r="AC150" s="1382"/>
      <c r="AD150" s="1382"/>
      <c r="AE150" s="1382"/>
      <c r="AF150" s="1382"/>
      <c r="AG150" s="1382"/>
      <c r="AH150" s="1382"/>
      <c r="AI150" s="1382"/>
      <c r="AJ150" s="181"/>
      <c r="AK150" s="181"/>
      <c r="AL150" s="181"/>
      <c r="AM150" s="181"/>
      <c r="AN150" s="181"/>
      <c r="AO150" s="181"/>
      <c r="AP150" s="181"/>
      <c r="AQ150" s="181"/>
      <c r="AR150" s="181"/>
      <c r="AS150" s="181"/>
      <c r="AT150" s="181"/>
      <c r="AU150" s="181"/>
      <c r="AV150" s="181"/>
      <c r="AW150" s="181"/>
    </row>
    <row r="151" spans="1:49" ht="25.5" customHeight="1" x14ac:dyDescent="0.25">
      <c r="A151" s="1502" t="str">
        <f>IF(SD_apply="Yes",IF(COUNTIF('01 - SD'!D151:G151,"Y")&gt;0,"Y",IF(COUNTIF('01 - SD'!D151:G151,"N"),"N","")),"")</f>
        <v>Y</v>
      </c>
      <c r="B151" s="18"/>
      <c r="C151" s="945"/>
      <c r="D151" s="547"/>
      <c r="E151" s="559" t="str">
        <f>IF('C-Design&amp;Const'!$K151="","",'C-Design&amp;Const'!$K151)</f>
        <v>Y</v>
      </c>
      <c r="F151" s="478"/>
      <c r="G151" s="485"/>
      <c r="H151" s="340" t="str">
        <f>CONCATENATE(IF(E151="N","PLACEHOLDER ROW - ",""),IF(E151="N","",J151),'C-Design&amp;Const'!Z151,)</f>
        <v xml:space="preserve">(Approx 50% Complete) Results of Emergency Generator Load Calculation - ** calculations available upon request </v>
      </c>
      <c r="I151" s="136"/>
      <c r="J151" s="578" t="str">
        <f>IF('C-Design&amp;Const'!AF151="","",'C-Design&amp;Const'!AF151)</f>
        <v xml:space="preserve">(Approx 50% Complete) </v>
      </c>
      <c r="K151" s="25" t="str">
        <f>IF(DD_apply="Yes",IF((COUNTIF(D151:G151,"Y")=COUNTIF('01 - SD'!D151:G151,"Y")),"match","no SD match"),"-")</f>
        <v>match</v>
      </c>
      <c r="L151" s="1410" t="str">
        <f t="shared" si="5"/>
        <v/>
      </c>
      <c r="M151" s="1333"/>
      <c r="N151" s="1333"/>
      <c r="O151" s="1333"/>
      <c r="P151" s="1333"/>
      <c r="Q151" s="1333"/>
      <c r="R151" s="1453"/>
      <c r="S151" s="1284"/>
      <c r="T151" s="1284"/>
      <c r="U151" s="1333"/>
      <c r="V151" s="1333"/>
      <c r="W151" s="1333"/>
      <c r="X151" s="1333"/>
      <c r="Y151" s="1333"/>
      <c r="Z151" s="1333"/>
      <c r="AA151" s="1333"/>
      <c r="AB151" s="1333"/>
      <c r="AC151" s="1333"/>
      <c r="AD151" s="1333"/>
      <c r="AE151" s="1333"/>
      <c r="AF151" s="1333"/>
      <c r="AG151" s="1333"/>
      <c r="AH151" s="1333"/>
      <c r="AI151" s="1333"/>
    </row>
    <row r="152" spans="1:49" ht="15.75" customHeight="1" x14ac:dyDescent="0.25">
      <c r="A152" s="1502" t="str">
        <f>IF(SD_apply="Yes",IF(COUNTIF('01 - SD'!D152:G152,"Y")&gt;0,"Y",IF(COUNTIF('01 - SD'!D152:G152,"N"),"N","")),"")</f>
        <v>N</v>
      </c>
      <c r="B152" s="18"/>
      <c r="C152" s="945"/>
      <c r="D152" s="547"/>
      <c r="E152" s="559" t="str">
        <f>IF('C-Design&amp;Const'!$K152="","",'C-Design&amp;Const'!$K152)</f>
        <v>N</v>
      </c>
      <c r="F152" s="478"/>
      <c r="G152" s="485"/>
      <c r="H152" s="340" t="str">
        <f>CONCATENATE(IF(E152="N","PLACEHOLDER ROW - ",""),IF(E152="N","",J152),'C-Design&amp;Const'!Z152,)</f>
        <v>PLACEHOLDER ROW - CUSTOM ROW - OPTIONAL CLIENT ITEM</v>
      </c>
      <c r="I152" s="136"/>
      <c r="J152" s="578" t="str">
        <f>IF('C-Design&amp;Const'!AF152="","",'C-Design&amp;Const'!AF152)</f>
        <v xml:space="preserve">(Approx 50% Complete) </v>
      </c>
      <c r="K152" s="25" t="str">
        <f>IF(DD_apply="Yes",IF((COUNTIF(D152:G152,"Y")=COUNTIF('01 - SD'!D152:G152,"Y")),"match","no SD match"),"-")</f>
        <v>match</v>
      </c>
      <c r="L152" s="1410" t="str">
        <f t="shared" si="5"/>
        <v>&lt;---PM/Planner may hide PLACEHOLDER ROW</v>
      </c>
      <c r="M152" s="1333"/>
      <c r="N152" s="1333"/>
      <c r="O152" s="1333"/>
      <c r="P152" s="1333"/>
      <c r="Q152" s="1333"/>
      <c r="R152" s="1453"/>
      <c r="S152" s="1284"/>
      <c r="T152" s="1284"/>
      <c r="U152" s="1333"/>
      <c r="V152" s="1333"/>
      <c r="W152" s="1333"/>
      <c r="X152" s="1333"/>
      <c r="Y152" s="1333"/>
      <c r="Z152" s="1333"/>
      <c r="AA152" s="1333"/>
      <c r="AB152" s="1333"/>
      <c r="AC152" s="1333"/>
      <c r="AD152" s="1333"/>
      <c r="AE152" s="1333"/>
      <c r="AF152" s="1333"/>
      <c r="AG152" s="1333"/>
      <c r="AH152" s="1333"/>
      <c r="AI152" s="1333"/>
    </row>
    <row r="153" spans="1:49" ht="25.5" customHeight="1" x14ac:dyDescent="0.25">
      <c r="A153" s="1502" t="str">
        <f>IF(SD_apply="Yes",IF(COUNTIF('01 - SD'!D153:G153,"Y")&gt;0,"Y",IF(COUNTIF('01 - SD'!D153:G153,"N"),"N","")),"")</f>
        <v>Y</v>
      </c>
      <c r="B153" s="18"/>
      <c r="C153" s="945"/>
      <c r="D153" s="547"/>
      <c r="E153" s="559" t="str">
        <f>IF('C-Design&amp;Const'!$K153="","",'C-Design&amp;Const'!$K153)</f>
        <v>Y</v>
      </c>
      <c r="F153" s="478"/>
      <c r="G153" s="485"/>
      <c r="H153" s="340" t="str">
        <f>CONCATENATE(IF(E153="N","PLACEHOLDER ROW - ",""),IF(E153="N","",J153),'C-Design&amp;Const'!Z153,)</f>
        <v xml:space="preserve">(Approx 50% Complete) Results of Transformer Load Calculation -** calculations available upon request </v>
      </c>
      <c r="I153" s="136"/>
      <c r="J153" s="578" t="str">
        <f>IF('C-Design&amp;Const'!AF153="","",'C-Design&amp;Const'!AF153)</f>
        <v xml:space="preserve">(Approx 50% Complete) </v>
      </c>
      <c r="K153" s="25" t="str">
        <f>IF(DD_apply="Yes",IF((COUNTIF(D153:G153,"Y")=COUNTIF('01 - SD'!D153:G153,"Y")),"match","no SD match"),"-")</f>
        <v>match</v>
      </c>
      <c r="L153" s="1410" t="str">
        <f t="shared" si="5"/>
        <v/>
      </c>
      <c r="M153" s="1333"/>
      <c r="N153" s="1333"/>
      <c r="O153" s="1333"/>
      <c r="P153" s="1333"/>
      <c r="Q153" s="1333"/>
      <c r="R153" s="1453"/>
      <c r="S153" s="1284"/>
      <c r="T153" s="1284"/>
      <c r="U153" s="1333"/>
      <c r="V153" s="1333"/>
      <c r="W153" s="1333"/>
      <c r="X153" s="1333"/>
      <c r="Y153" s="1333"/>
      <c r="Z153" s="1333"/>
      <c r="AA153" s="1333"/>
      <c r="AB153" s="1333"/>
      <c r="AC153" s="1333"/>
      <c r="AD153" s="1333"/>
      <c r="AE153" s="1333"/>
      <c r="AF153" s="1333"/>
      <c r="AG153" s="1333"/>
      <c r="AH153" s="1333"/>
      <c r="AI153" s="1333"/>
    </row>
    <row r="154" spans="1:49" ht="28.5" customHeight="1" x14ac:dyDescent="0.25">
      <c r="A154" s="1502" t="str">
        <f>IF(SD_apply="Yes",IF(COUNTIF('01 - SD'!D154:G154,"Y")&gt;0,"Y",IF(COUNTIF('01 - SD'!D154:G154,"N"),"N","")),"")</f>
        <v>Y</v>
      </c>
      <c r="B154" s="18"/>
      <c r="C154" s="945"/>
      <c r="D154" s="547"/>
      <c r="E154" s="559" t="str">
        <f>IF('C-Design&amp;Const'!$K154="","",'C-Design&amp;Const'!$K154)</f>
        <v>Y</v>
      </c>
      <c r="F154" s="478"/>
      <c r="G154" s="485"/>
      <c r="H154" s="340" t="str">
        <f>CONCATENATE(IF(E154="N","PLACEHOLDER ROW - ",""),IF(E154="N","",J154),'C-Design&amp;Const'!Z154,)</f>
        <v xml:space="preserve">(Approx 50% Complete) Results of Short-Circuit (Fault) Analysis of Building Electrical System- ** calculations available upon request </v>
      </c>
      <c r="I154" s="136"/>
      <c r="J154" s="578" t="str">
        <f>IF('C-Design&amp;Const'!AF154="","",'C-Design&amp;Const'!AF154)</f>
        <v xml:space="preserve">(Approx 50% Complete) </v>
      </c>
      <c r="K154" s="25" t="str">
        <f>IF(DD_apply="Yes",IF((COUNTIF(D154:G154,"Y")=COUNTIF('01 - SD'!D154:G154,"Y")),"match","no SD match"),"-")</f>
        <v>match</v>
      </c>
      <c r="L154" s="1410" t="str">
        <f t="shared" si="5"/>
        <v/>
      </c>
      <c r="M154" s="1333"/>
      <c r="N154" s="1333"/>
      <c r="O154" s="1333"/>
      <c r="P154" s="1333"/>
      <c r="Q154" s="1333"/>
      <c r="R154" s="1453"/>
      <c r="S154" s="1284"/>
      <c r="T154" s="1284"/>
      <c r="U154" s="1333"/>
      <c r="V154" s="1333"/>
      <c r="W154" s="1333"/>
      <c r="X154" s="1333"/>
      <c r="Y154" s="1333"/>
      <c r="Z154" s="1333"/>
      <c r="AA154" s="1333"/>
      <c r="AB154" s="1333"/>
      <c r="AC154" s="1333"/>
      <c r="AD154" s="1333"/>
      <c r="AE154" s="1333"/>
      <c r="AF154" s="1333"/>
      <c r="AG154" s="1333"/>
      <c r="AH154" s="1333"/>
      <c r="AI154" s="1333"/>
    </row>
    <row r="155" spans="1:49" ht="14.25" customHeight="1" x14ac:dyDescent="0.25">
      <c r="A155" s="1502" t="str">
        <f>IF(SD_apply="Yes",IF(COUNTIF('01 - SD'!D155:G155,"Y")&gt;0,"Y",IF(COUNTIF('01 - SD'!D155:G155,"N"),"N","")),"")</f>
        <v>Y</v>
      </c>
      <c r="B155" s="18"/>
      <c r="C155" s="945"/>
      <c r="D155" s="547"/>
      <c r="E155" s="559" t="str">
        <f>IF('C-Design&amp;Const'!$K155="","",'C-Design&amp;Const'!$K155)</f>
        <v>Y</v>
      </c>
      <c r="F155" s="478"/>
      <c r="G155" s="485"/>
      <c r="H155" s="340" t="str">
        <f>CONCATENATE(IF(E155="N","PLACEHOLDER ROW - ",""),IF(E155="N","",J155),'C-Design&amp;Const'!Z155,)</f>
        <v xml:space="preserve">(Approx 50% Complete) Extensions of Primary Electrical Distribution-** calculations available upon request </v>
      </c>
      <c r="I155" s="136"/>
      <c r="J155" s="578" t="str">
        <f>IF('C-Design&amp;Const'!AF155="","",'C-Design&amp;Const'!AF155)</f>
        <v xml:space="preserve">(Approx 50% Complete) </v>
      </c>
      <c r="K155" s="25" t="str">
        <f>IF(DD_apply="Yes",IF((COUNTIF(D155:G155,"Y")=COUNTIF('01 - SD'!D155:G155,"Y")),"match","no SD match"),"-")</f>
        <v>match</v>
      </c>
      <c r="L155" s="1410" t="str">
        <f t="shared" si="5"/>
        <v/>
      </c>
      <c r="M155" s="1333"/>
      <c r="N155" s="1333"/>
      <c r="O155" s="1333"/>
      <c r="P155" s="1333"/>
      <c r="Q155" s="1333"/>
      <c r="R155" s="1453"/>
      <c r="S155" s="1284"/>
      <c r="T155" s="1284"/>
      <c r="U155" s="1333"/>
      <c r="V155" s="1333"/>
      <c r="W155" s="1333"/>
      <c r="X155" s="1333"/>
      <c r="Y155" s="1333"/>
      <c r="Z155" s="1333"/>
      <c r="AA155" s="1333"/>
      <c r="AB155" s="1333"/>
      <c r="AC155" s="1333"/>
      <c r="AD155" s="1333"/>
      <c r="AE155" s="1333"/>
      <c r="AF155" s="1333"/>
      <c r="AG155" s="1333"/>
      <c r="AH155" s="1333"/>
      <c r="AI155" s="1333"/>
    </row>
    <row r="156" spans="1:49" ht="25.5" customHeight="1" x14ac:dyDescent="0.25">
      <c r="A156" s="1502" t="str">
        <f>IF(SD_apply="Yes",IF(COUNTIF('01 - SD'!D156:G156,"Y")&gt;0,"Y",IF(COUNTIF('01 - SD'!D156:G156,"N"),"N","")),"")</f>
        <v>N</v>
      </c>
      <c r="B156" s="18"/>
      <c r="C156" s="945"/>
      <c r="D156" s="547"/>
      <c r="E156" s="559" t="str">
        <f>IF('C-Design&amp;Const'!$K156="","",'C-Design&amp;Const'!$K156)</f>
        <v>Y</v>
      </c>
      <c r="F156" s="478"/>
      <c r="G156" s="485"/>
      <c r="H156" s="340" t="str">
        <f>CONCATENATE(IF(E156="N","PLACEHOLDER ROW - ",""),IF(E156="N","",J156),'C-Design&amp;Const'!Z156,)</f>
        <v xml:space="preserve">(Approx 50% Complete) Results of Proposed Lighting Power Density Calculation (output from COMcheck software or similar) showing Compliance with Energy Codes and Standards -** calculations available upon request </v>
      </c>
      <c r="I156" s="136"/>
      <c r="J156" s="578" t="str">
        <f>IF('C-Design&amp;Const'!AF156="","",'C-Design&amp;Const'!AF156)</f>
        <v xml:space="preserve">(Approx 50% Complete) </v>
      </c>
      <c r="K156" s="25" t="str">
        <f>IF(DD_apply="Yes",IF((COUNTIF(D156:G156,"Y")=COUNTIF('01 - SD'!D156:G156,"Y")),"match","no SD match"),"-")</f>
        <v>no SD match</v>
      </c>
      <c r="L156" s="1410" t="str">
        <f t="shared" si="5"/>
        <v/>
      </c>
      <c r="M156" s="1333"/>
      <c r="N156" s="1333"/>
      <c r="O156" s="1333"/>
      <c r="P156" s="1333"/>
      <c r="Q156" s="1333"/>
      <c r="R156" s="1453"/>
      <c r="S156" s="1284"/>
      <c r="T156" s="1284"/>
      <c r="U156" s="1333"/>
      <c r="V156" s="1333"/>
      <c r="W156" s="1333"/>
      <c r="X156" s="1333"/>
      <c r="Y156" s="1333"/>
      <c r="Z156" s="1333"/>
      <c r="AA156" s="1333"/>
      <c r="AB156" s="1333"/>
      <c r="AC156" s="1333"/>
      <c r="AD156" s="1333"/>
      <c r="AE156" s="1333"/>
      <c r="AF156" s="1333"/>
      <c r="AG156" s="1333"/>
      <c r="AH156" s="1333"/>
      <c r="AI156" s="1333"/>
    </row>
    <row r="157" spans="1:49" ht="24" customHeight="1" x14ac:dyDescent="0.25">
      <c r="A157" s="1502" t="str">
        <f>IF(SD_apply="Yes",IF(COUNTIF('01 - SD'!D157:G157,"Y")&gt;0,"Y",IF(COUNTIF('01 - SD'!D157:G157,"N"),"N","")),"")</f>
        <v>N</v>
      </c>
      <c r="B157" s="18"/>
      <c r="C157" s="945"/>
      <c r="D157" s="547"/>
      <c r="E157" s="559" t="str">
        <f>IF('C-Design&amp;Const'!$K157="","",'C-Design&amp;Const'!$K157)</f>
        <v>Y</v>
      </c>
      <c r="F157" s="478"/>
      <c r="G157" s="485"/>
      <c r="H157" s="340" t="str">
        <f>CONCATENATE(IF(E157="N","PLACEHOLDER ROW - ",""),IF(E157="N","",J157),'C-Design&amp;Const'!Z157,)</f>
        <v>(Approx 50% Complete) Results of Point-by-Point Exterior Lighting Calculations Showing Compliance with IESNA Recommendations</v>
      </c>
      <c r="I157" s="136"/>
      <c r="J157" s="578" t="str">
        <f>IF('C-Design&amp;Const'!AF157="","",'C-Design&amp;Const'!AF157)</f>
        <v xml:space="preserve">(Approx 50% Complete) </v>
      </c>
      <c r="K157" s="25" t="str">
        <f>IF(DD_apply="Yes",IF((COUNTIF(D157:G157,"Y")=COUNTIF('01 - SD'!D157:G157,"Y")),"match","no SD match"),"-")</f>
        <v>no SD match</v>
      </c>
      <c r="L157" s="1410" t="str">
        <f t="shared" si="5"/>
        <v/>
      </c>
      <c r="M157" s="1333"/>
      <c r="N157" s="1333"/>
      <c r="O157" s="1333"/>
      <c r="P157" s="1333"/>
      <c r="Q157" s="1333"/>
      <c r="R157" s="1453"/>
      <c r="S157" s="1284"/>
      <c r="T157" s="1284"/>
      <c r="U157" s="1333"/>
      <c r="V157" s="1333"/>
      <c r="W157" s="1333"/>
      <c r="X157" s="1333"/>
      <c r="Y157" s="1333"/>
      <c r="Z157" s="1333"/>
      <c r="AA157" s="1333"/>
      <c r="AB157" s="1333"/>
      <c r="AC157" s="1333"/>
      <c r="AD157" s="1333"/>
      <c r="AE157" s="1333"/>
      <c r="AF157" s="1333"/>
      <c r="AG157" s="1333"/>
      <c r="AH157" s="1333"/>
      <c r="AI157" s="1333"/>
    </row>
    <row r="158" spans="1:49" ht="27" customHeight="1" x14ac:dyDescent="0.25">
      <c r="A158" s="1502" t="str">
        <f>IF(SD_apply="Yes",IF(COUNTIF('01 - SD'!D158:G158,"Y")&gt;0,"Y",IF(COUNTIF('01 - SD'!D158:G158,"N"),"N","")),"")</f>
        <v>N</v>
      </c>
      <c r="B158" s="18"/>
      <c r="C158" s="945"/>
      <c r="D158" s="547"/>
      <c r="E158" s="559" t="str">
        <f>IF('C-Design&amp;Const'!$K158="","",'C-Design&amp;Const'!$K158)</f>
        <v>Y</v>
      </c>
      <c r="F158" s="478"/>
      <c r="G158" s="485"/>
      <c r="H158" s="340" t="str">
        <f>CONCATENATE(IF(E158="N","PLACEHOLDER ROW - ",""),IF(E158="N","",J158),'C-Design&amp;Const'!Z158,)</f>
        <v>(Approx 50% Complete) Results of Point-by-Point Interior Lighting Calculations for Each Typical Space</v>
      </c>
      <c r="I158" s="136"/>
      <c r="J158" s="578" t="str">
        <f>IF('C-Design&amp;Const'!AF158="","",'C-Design&amp;Const'!AF158)</f>
        <v xml:space="preserve">(Approx 50% Complete) </v>
      </c>
      <c r="K158" s="25" t="str">
        <f>IF(DD_apply="Yes",IF((COUNTIF(D158:G158,"Y")=COUNTIF('01 - SD'!D158:G158,"Y")),"match","no SD match"),"-")</f>
        <v>no SD match</v>
      </c>
      <c r="L158" s="1410" t="str">
        <f t="shared" si="5"/>
        <v/>
      </c>
      <c r="M158" s="1333"/>
      <c r="N158" s="1333"/>
      <c r="O158" s="1333"/>
      <c r="P158" s="1333"/>
      <c r="Q158" s="1333"/>
      <c r="R158" s="1453"/>
      <c r="S158" s="1284"/>
      <c r="T158" s="1284"/>
      <c r="U158" s="1333"/>
      <c r="V158" s="1333"/>
      <c r="W158" s="1333"/>
      <c r="X158" s="1333"/>
      <c r="Y158" s="1333"/>
      <c r="Z158" s="1333"/>
      <c r="AA158" s="1333"/>
      <c r="AB158" s="1333"/>
      <c r="AC158" s="1333"/>
      <c r="AD158" s="1333"/>
      <c r="AE158" s="1333"/>
      <c r="AF158" s="1333"/>
      <c r="AG158" s="1333"/>
      <c r="AH158" s="1333"/>
      <c r="AI158" s="1333"/>
    </row>
    <row r="159" spans="1:49" ht="15" customHeight="1" x14ac:dyDescent="0.25">
      <c r="A159" s="1502" t="str">
        <f>IF(SD_apply="Yes",IF(COUNTIF('01 - SD'!D159:G159,"Y")&gt;0,"Y",IF(COUNTIF('01 - SD'!D159:G159,"N"),"N","")),"")</f>
        <v>N</v>
      </c>
      <c r="B159" s="18"/>
      <c r="C159" s="945"/>
      <c r="D159" s="547"/>
      <c r="E159" s="559" t="str">
        <f>IF('C-Design&amp;Const'!$K159="","",'C-Design&amp;Const'!$K159)</f>
        <v>Y</v>
      </c>
      <c r="F159" s="478"/>
      <c r="G159" s="485"/>
      <c r="H159" s="340" t="str">
        <f>CONCATENATE(IF(E159="N","PLACEHOLDER ROW - ",""),IF(E159="N","",J159),'C-Design&amp;Const'!Z159,)</f>
        <v xml:space="preserve">(Approx 50% Complete) Extensions of Primary Building Automation Systems </v>
      </c>
      <c r="I159" s="136"/>
      <c r="J159" s="578" t="str">
        <f>IF('C-Design&amp;Const'!AF159="","",'C-Design&amp;Const'!AF159)</f>
        <v xml:space="preserve">(Approx 50% Complete) </v>
      </c>
      <c r="K159" s="25" t="str">
        <f>IF(DD_apply="Yes",IF((COUNTIF(D159:G159,"Y")=COUNTIF('01 - SD'!D159:G159,"Y")),"match","no SD match"),"-")</f>
        <v>no SD match</v>
      </c>
      <c r="L159" s="1410" t="str">
        <f t="shared" si="5"/>
        <v/>
      </c>
      <c r="M159" s="1333"/>
      <c r="N159" s="1333"/>
      <c r="O159" s="1333"/>
      <c r="P159" s="1333"/>
      <c r="Q159" s="1333"/>
      <c r="R159" s="1453"/>
      <c r="S159" s="1284"/>
      <c r="T159" s="1284"/>
      <c r="U159" s="1333"/>
      <c r="V159" s="1333"/>
      <c r="W159" s="1333"/>
      <c r="X159" s="1333"/>
      <c r="Y159" s="1333"/>
      <c r="Z159" s="1333"/>
      <c r="AA159" s="1333"/>
      <c r="AB159" s="1333"/>
      <c r="AC159" s="1333"/>
      <c r="AD159" s="1333"/>
      <c r="AE159" s="1333"/>
      <c r="AF159" s="1333"/>
      <c r="AG159" s="1333"/>
      <c r="AH159" s="1333"/>
      <c r="AI159" s="1333"/>
    </row>
    <row r="160" spans="1:49" ht="15" customHeight="1" x14ac:dyDescent="0.25">
      <c r="A160" s="1502" t="str">
        <f>IF(SD_apply="Yes",IF(COUNTIF('01 - SD'!D160:G160,"Y")&gt;0,"Y",IF(COUNTIF('01 - SD'!D160:G160,"N"),"N","")),"")</f>
        <v>Y</v>
      </c>
      <c r="B160" s="18"/>
      <c r="C160" s="945"/>
      <c r="D160" s="547"/>
      <c r="E160" s="559" t="str">
        <f>IF('C-Design&amp;Const'!$K160="","",'C-Design&amp;Const'!$K160)</f>
        <v>Y</v>
      </c>
      <c r="F160" s="478"/>
      <c r="G160" s="485"/>
      <c r="H160" s="340" t="str">
        <f>CONCATENATE(IF(E160="N","PLACEHOLDER ROW - ",""),IF(E160="N","",J160),'C-Design&amp;Const'!Z160,)</f>
        <v>(EcoCAT Submittal/Resubmittal Results) IDNR Consultation (EcoCAT and results)</v>
      </c>
      <c r="I160" s="136"/>
      <c r="J160" s="578" t="str">
        <f>IF('C-Design&amp;Const'!AF160="","",'C-Design&amp;Const'!AF160)</f>
        <v xml:space="preserve">(EcoCAT Submittal/Resubmittal Results) </v>
      </c>
      <c r="K160" s="25" t="str">
        <f>IF(DD_apply="Yes",IF((COUNTIF(D160:G160,"Y")=COUNTIF('01 - SD'!D160:G160,"Y")),"match","no SD match"),"-")</f>
        <v>match</v>
      </c>
      <c r="L160" s="1410" t="str">
        <f t="shared" si="5"/>
        <v/>
      </c>
      <c r="M160" s="1333"/>
      <c r="N160" s="1333"/>
      <c r="O160" s="1333"/>
      <c r="P160" s="1333"/>
      <c r="Q160" s="1333"/>
      <c r="R160" s="1453"/>
      <c r="S160" s="1284"/>
      <c r="T160" s="1284"/>
      <c r="U160" s="1333"/>
      <c r="V160" s="1333"/>
      <c r="W160" s="1333"/>
      <c r="X160" s="1333"/>
      <c r="Y160" s="1333"/>
      <c r="Z160" s="1333"/>
      <c r="AA160" s="1333"/>
      <c r="AB160" s="1333"/>
      <c r="AC160" s="1333"/>
      <c r="AD160" s="1333"/>
      <c r="AE160" s="1333"/>
      <c r="AF160" s="1333"/>
      <c r="AG160" s="1333"/>
      <c r="AH160" s="1333"/>
      <c r="AI160" s="1333"/>
    </row>
    <row r="161" spans="1:49" ht="15" customHeight="1" x14ac:dyDescent="0.25">
      <c r="A161" s="1502" t="str">
        <f>IF(SD_apply="Yes",IF(COUNTIF('01 - SD'!D161:G161,"Y")&gt;0,"Y",IF(COUNTIF('01 - SD'!D161:G161,"N"),"N","")),"")</f>
        <v>N</v>
      </c>
      <c r="B161" s="18"/>
      <c r="C161" s="945"/>
      <c r="D161" s="547"/>
      <c r="E161" s="559" t="str">
        <f>IF('C-Design&amp;Const'!$K161="","",'C-Design&amp;Const'!$K161)</f>
        <v>N</v>
      </c>
      <c r="F161" s="478"/>
      <c r="G161" s="485"/>
      <c r="H161" s="358" t="str">
        <f>CONCATENATE(IF(E161="N","PLACEHOLDER ROW - ",""),IF(E161="N","",J161),'C-Design&amp;Const'!Z161,)</f>
        <v>PLACEHOLDER ROW - Results of Environmental Impact Assessments or Statements</v>
      </c>
      <c r="I161" s="136"/>
      <c r="J161" s="578" t="str">
        <f>IF('C-Design&amp;Const'!AF161="","",'C-Design&amp;Const'!AF161)</f>
        <v xml:space="preserve">(Approx 50% Complete) </v>
      </c>
      <c r="K161" s="25" t="str">
        <f>IF(DD_apply="Yes",IF((COUNTIF(D161:G161,"Y")=COUNTIF('01 - SD'!D161:G161,"Y")),"match","no SD match"),"-")</f>
        <v>match</v>
      </c>
      <c r="L161" s="1410" t="str">
        <f t="shared" si="5"/>
        <v>&lt;---PM/Planner may hide PLACEHOLDER ROW</v>
      </c>
      <c r="M161" s="1333"/>
      <c r="N161" s="1333"/>
      <c r="O161" s="1333"/>
      <c r="P161" s="1333"/>
      <c r="Q161" s="1333"/>
      <c r="R161" s="1453"/>
      <c r="S161" s="1284"/>
      <c r="T161" s="1284"/>
      <c r="U161" s="1333"/>
      <c r="V161" s="1333"/>
      <c r="W161" s="1333"/>
      <c r="X161" s="1333"/>
      <c r="Y161" s="1333"/>
      <c r="Z161" s="1333"/>
      <c r="AA161" s="1333"/>
      <c r="AB161" s="1333"/>
      <c r="AC161" s="1333"/>
      <c r="AD161" s="1333"/>
      <c r="AE161" s="1333"/>
      <c r="AF161" s="1333"/>
      <c r="AG161" s="1333"/>
      <c r="AH161" s="1333"/>
      <c r="AI161" s="1333"/>
    </row>
    <row r="162" spans="1:49" ht="15" customHeight="1" x14ac:dyDescent="0.25">
      <c r="A162" s="1502" t="str">
        <f>IF(SD_apply="Yes",IF(COUNTIF('01 - SD'!D162:G162,"Y")&gt;0,"Y",IF(COUNTIF('01 - SD'!D162:G162,"N"),"N","")),"")</f>
        <v>N</v>
      </c>
      <c r="B162" s="18"/>
      <c r="C162" s="945"/>
      <c r="D162" s="547"/>
      <c r="E162" s="559" t="str">
        <f>IF('C-Design&amp;Const'!$K162="","",'C-Design&amp;Const'!$K162)</f>
        <v>N</v>
      </c>
      <c r="F162" s="478"/>
      <c r="G162" s="485"/>
      <c r="H162" s="358" t="str">
        <f>CONCATENATE(IF(E162="N","PLACEHOLDER ROW - ",""),IF(E162="N","",J162),'C-Design&amp;Const'!Z162,)</f>
        <v>PLACEHOLDER ROW - Results of Archealogical Field Reports or Assessments</v>
      </c>
      <c r="I162" s="136"/>
      <c r="J162" s="578" t="str">
        <f>IF('C-Design&amp;Const'!AF162="","",'C-Design&amp;Const'!AF162)</f>
        <v xml:space="preserve">(Approx 50% Complete) </v>
      </c>
      <c r="K162" s="25" t="str">
        <f>IF(DD_apply="Yes",IF((COUNTIF(D162:G162,"Y")=COUNTIF('01 - SD'!D162:G162,"Y")),"match","no SD match"),"-")</f>
        <v>match</v>
      </c>
      <c r="L162" s="1410" t="str">
        <f t="shared" si="5"/>
        <v>&lt;---PM/Planner may hide PLACEHOLDER ROW</v>
      </c>
      <c r="M162" s="1333"/>
      <c r="N162" s="1333"/>
      <c r="O162" s="1333"/>
      <c r="P162" s="1333"/>
      <c r="Q162" s="1333"/>
      <c r="R162" s="1453"/>
      <c r="S162" s="1284"/>
      <c r="T162" s="1284"/>
      <c r="U162" s="1333"/>
      <c r="V162" s="1333"/>
      <c r="W162" s="1333"/>
      <c r="X162" s="1333"/>
      <c r="Y162" s="1333"/>
      <c r="Z162" s="1333"/>
      <c r="AA162" s="1333"/>
      <c r="AB162" s="1333"/>
      <c r="AC162" s="1333"/>
      <c r="AD162" s="1333"/>
      <c r="AE162" s="1333"/>
      <c r="AF162" s="1333"/>
      <c r="AG162" s="1333"/>
      <c r="AH162" s="1333"/>
      <c r="AI162" s="1333"/>
    </row>
    <row r="163" spans="1:49" ht="15" customHeight="1" x14ac:dyDescent="0.25">
      <c r="A163" s="1502" t="str">
        <f>IF(SD_apply="Yes",IF(COUNTIF('01 - SD'!D163:G163,"Y")&gt;0,"Y",IF(COUNTIF('01 - SD'!D163:G163,"N"),"N","")),"")</f>
        <v>N</v>
      </c>
      <c r="B163" s="18"/>
      <c r="C163" s="945"/>
      <c r="D163" s="547"/>
      <c r="E163" s="559" t="str">
        <f>IF('C-Design&amp;Const'!$K163="","",'C-Design&amp;Const'!$K163)</f>
        <v>N</v>
      </c>
      <c r="F163" s="478"/>
      <c r="G163" s="485"/>
      <c r="H163" s="358" t="str">
        <f>CONCATENATE(IF(E163="N","PLACEHOLDER ROW - ",""),IF(E163="N","",J163),'C-Design&amp;Const'!Z163,)</f>
        <v>PLACEHOLDER ROW - CUSTOM ROW - OPTIONAL CLIENT ITEM</v>
      </c>
      <c r="I163" s="136"/>
      <c r="J163" s="578" t="str">
        <f>IF('C-Design&amp;Const'!AF163="","",'C-Design&amp;Const'!AF163)</f>
        <v xml:space="preserve">(Approx 50% Complete) </v>
      </c>
      <c r="K163" s="25" t="str">
        <f>IF(DD_apply="Yes",IF((COUNTIF(D163:G163,"Y")=COUNTIF('01 - SD'!D163:G163,"Y")),"match","no SD match"),"-")</f>
        <v>match</v>
      </c>
      <c r="L163" s="1410" t="str">
        <f t="shared" si="5"/>
        <v>&lt;---PM/Planner may hide PLACEHOLDER ROW</v>
      </c>
      <c r="M163" s="1333"/>
      <c r="N163" s="1333"/>
      <c r="O163" s="1333"/>
      <c r="P163" s="1333"/>
      <c r="Q163" s="1333"/>
      <c r="R163" s="1453"/>
      <c r="S163" s="1284"/>
      <c r="T163" s="1284"/>
      <c r="U163" s="1333"/>
      <c r="V163" s="1333"/>
      <c r="W163" s="1333"/>
      <c r="X163" s="1333"/>
      <c r="Y163" s="1333"/>
      <c r="Z163" s="1333"/>
      <c r="AA163" s="1333"/>
      <c r="AB163" s="1333"/>
      <c r="AC163" s="1333"/>
      <c r="AD163" s="1333"/>
      <c r="AE163" s="1333"/>
      <c r="AF163" s="1333"/>
      <c r="AG163" s="1333"/>
      <c r="AH163" s="1333"/>
      <c r="AI163" s="1333"/>
    </row>
    <row r="164" spans="1:49" ht="15" customHeight="1" x14ac:dyDescent="0.25">
      <c r="A164" s="1502" t="str">
        <f>IF(SD_apply="Yes",IF(COUNTIF('01 - SD'!D164:G164,"Y")&gt;0,"Y",IF(COUNTIF('01 - SD'!D164:G164,"N"),"N","")),"")</f>
        <v>N</v>
      </c>
      <c r="B164" s="18"/>
      <c r="C164" s="945"/>
      <c r="D164" s="547"/>
      <c r="E164" s="559" t="str">
        <f>IF('C-Design&amp;Const'!$K164="","",'C-Design&amp;Const'!$K164)</f>
        <v>N</v>
      </c>
      <c r="F164" s="478"/>
      <c r="G164" s="485"/>
      <c r="H164" s="358" t="str">
        <f>CONCATENATE(IF(E164="N","PLACEHOLDER ROW - ",""),IF(E164="N","",J164),'C-Design&amp;Const'!Z164,)</f>
        <v>PLACEHOLDER ROW - CUSTOM ROW - OPTIONAL CLIENT ITEM</v>
      </c>
      <c r="I164" s="136"/>
      <c r="J164" s="578" t="str">
        <f>IF('C-Design&amp;Const'!AF164="","",'C-Design&amp;Const'!AF164)</f>
        <v xml:space="preserve">(Approx 50% Complete) </v>
      </c>
      <c r="K164" s="25" t="str">
        <f>IF(DD_apply="Yes",IF((COUNTIF(D164:G164,"Y")=COUNTIF('01 - SD'!D164:G164,"Y")),"match","no SD match"),"-")</f>
        <v>match</v>
      </c>
      <c r="L164" s="1410" t="str">
        <f t="shared" si="5"/>
        <v>&lt;---PM/Planner may hide PLACEHOLDER ROW</v>
      </c>
      <c r="M164" s="1333"/>
      <c r="N164" s="1333"/>
      <c r="O164" s="1333"/>
      <c r="P164" s="1333"/>
      <c r="Q164" s="1333"/>
      <c r="R164" s="1453"/>
      <c r="S164" s="1284"/>
      <c r="T164" s="1284"/>
      <c r="U164" s="1333"/>
      <c r="V164" s="1333"/>
      <c r="W164" s="1333"/>
      <c r="X164" s="1333"/>
      <c r="Y164" s="1333"/>
      <c r="Z164" s="1333"/>
      <c r="AA164" s="1333"/>
      <c r="AB164" s="1333"/>
      <c r="AC164" s="1333"/>
      <c r="AD164" s="1333"/>
      <c r="AE164" s="1333"/>
      <c r="AF164" s="1333"/>
      <c r="AG164" s="1333"/>
      <c r="AH164" s="1333"/>
      <c r="AI164" s="1333"/>
    </row>
    <row r="165" spans="1:49" ht="15" customHeight="1" x14ac:dyDescent="0.25">
      <c r="A165" s="1502" t="str">
        <f>IF(SD_apply="Yes",IF(COUNTIF('01 - SD'!D165:G165,"Y")&gt;0,"Y",IF(COUNTIF('01 - SD'!D165:G165,"N"),"N","")),"")</f>
        <v>N</v>
      </c>
      <c r="B165" s="18"/>
      <c r="C165" s="945"/>
      <c r="D165" s="547"/>
      <c r="E165" s="559" t="str">
        <f>IF('C-Design&amp;Const'!$K165="","",'C-Design&amp;Const'!$K165)</f>
        <v>N</v>
      </c>
      <c r="F165" s="478"/>
      <c r="G165" s="485"/>
      <c r="H165" s="358" t="str">
        <f>CONCATENATE(IF(E165="N","PLACEHOLDER ROW - ",""),IF(E165="N","",J165),'C-Design&amp;Const'!Z165,)</f>
        <v>PLACEHOLDER ROW - CUSTOM ROW - OPTIONAL CLIENT ITEM</v>
      </c>
      <c r="I165" s="136"/>
      <c r="J165" s="578" t="str">
        <f>IF('C-Design&amp;Const'!AF165="","",'C-Design&amp;Const'!AF165)</f>
        <v xml:space="preserve">(Approx 50% Complete) </v>
      </c>
      <c r="K165" s="25" t="str">
        <f>IF(DD_apply="Yes",IF((COUNTIF(D165:G165,"Y")=COUNTIF('01 - SD'!D165:G165,"Y")),"match","no SD match"),"-")</f>
        <v>match</v>
      </c>
      <c r="L165" s="1410" t="str">
        <f t="shared" si="5"/>
        <v>&lt;---PM/Planner may hide PLACEHOLDER ROW</v>
      </c>
      <c r="M165" s="1333"/>
      <c r="N165" s="1333"/>
      <c r="O165" s="1333"/>
      <c r="P165" s="1333"/>
      <c r="Q165" s="1333"/>
      <c r="R165" s="1453"/>
      <c r="S165" s="1284"/>
      <c r="T165" s="1284"/>
      <c r="U165" s="1333"/>
      <c r="V165" s="1333"/>
      <c r="W165" s="1333"/>
      <c r="X165" s="1333"/>
      <c r="Y165" s="1333"/>
      <c r="Z165" s="1333"/>
      <c r="AA165" s="1333"/>
      <c r="AB165" s="1333"/>
      <c r="AC165" s="1333"/>
      <c r="AD165" s="1333"/>
      <c r="AE165" s="1333"/>
      <c r="AF165" s="1333"/>
      <c r="AG165" s="1333"/>
      <c r="AH165" s="1333"/>
      <c r="AI165" s="1333"/>
    </row>
    <row r="166" spans="1:49" ht="15" customHeight="1" x14ac:dyDescent="0.25">
      <c r="A166" s="1502" t="str">
        <f>IF(SD_apply="Yes",IF(COUNTIF('01 - SD'!D166:G166,"Y")&gt;0,"Y",IF(COUNTIF('01 - SD'!D166:G166,"N"),"N","")),"")</f>
        <v>N</v>
      </c>
      <c r="B166" s="18"/>
      <c r="C166" s="945"/>
      <c r="D166" s="547"/>
      <c r="E166" s="559" t="str">
        <f>IF('C-Design&amp;Const'!$K166="","",'C-Design&amp;Const'!$K166)</f>
        <v>N</v>
      </c>
      <c r="F166" s="478"/>
      <c r="G166" s="485"/>
      <c r="H166" s="358" t="str">
        <f>CONCATENATE(IF(E166="N","PLACEHOLDER ROW - ",""),IF(E166="N","",J166),'C-Design&amp;Const'!Z166,)</f>
        <v>PLACEHOLDER ROW - CUSTOM ROW - OPTIONAL CLIENT ITEM</v>
      </c>
      <c r="I166" s="136"/>
      <c r="J166" s="578" t="str">
        <f>IF('C-Design&amp;Const'!AF166="","",'C-Design&amp;Const'!AF166)</f>
        <v xml:space="preserve">(Approx 50% Complete) </v>
      </c>
      <c r="K166" s="25" t="str">
        <f>IF(DD_apply="Yes",IF((COUNTIF(D166:G166,"Y")=COUNTIF('01 - SD'!D166:G166,"Y")),"match","no SD match"),"-")</f>
        <v>match</v>
      </c>
      <c r="L166" s="1410" t="str">
        <f t="shared" si="5"/>
        <v>&lt;---PM/Planner may hide PLACEHOLDER ROW</v>
      </c>
      <c r="M166" s="1333"/>
      <c r="N166" s="1333"/>
      <c r="O166" s="1333"/>
      <c r="P166" s="1333"/>
      <c r="Q166" s="1333"/>
      <c r="R166" s="1453"/>
      <c r="S166" s="1284"/>
      <c r="T166" s="1284"/>
      <c r="U166" s="1333"/>
      <c r="V166" s="1333"/>
      <c r="W166" s="1333"/>
      <c r="X166" s="1333"/>
      <c r="Y166" s="1333"/>
      <c r="Z166" s="1333"/>
      <c r="AA166" s="1333"/>
      <c r="AB166" s="1333"/>
      <c r="AC166" s="1333"/>
      <c r="AD166" s="1333"/>
      <c r="AE166" s="1333"/>
      <c r="AF166" s="1333"/>
      <c r="AG166" s="1333"/>
      <c r="AH166" s="1333"/>
      <c r="AI166" s="1333"/>
    </row>
    <row r="167" spans="1:49" ht="19.5" customHeight="1" x14ac:dyDescent="0.25">
      <c r="A167" s="1503" t="str">
        <f>IF(SD_apply="Yes",IF(COUNTIF('01 - SD'!D167:G167,"Y")&gt;0,"Y",IF(COUNTIF('01 - SD'!D167:G167,"N"),"N","")),"")</f>
        <v/>
      </c>
      <c r="B167" s="18"/>
      <c r="C167" s="945"/>
      <c r="D167" s="116"/>
      <c r="E167" s="411"/>
      <c r="F167" s="321"/>
      <c r="G167" s="294"/>
      <c r="H167" s="420" t="str">
        <f>CONCATENATE(IF(E167="N","PLACEHOLDER ROW - ",""),IF(E167="N","",J167),'C-Design&amp;Const'!Z167,)</f>
        <v/>
      </c>
      <c r="I167" s="130"/>
      <c r="J167" s="578" t="str">
        <f>IF('C-Design&amp;Const'!AF167="","",'C-Design&amp;Const'!AF167)</f>
        <v/>
      </c>
      <c r="K167" s="25" t="str">
        <f>IF(DD_apply="Yes",IF((COUNTIF(D167:G167,"Y")=COUNTIF('01 - SD'!D167:G167,"Y")),"match","no SD match"),"-")</f>
        <v>match</v>
      </c>
      <c r="L167" s="1410" t="str">
        <f t="shared" si="5"/>
        <v/>
      </c>
      <c r="M167" s="1333"/>
      <c r="N167" s="1333"/>
      <c r="O167" s="1333"/>
      <c r="P167" s="1333"/>
      <c r="Q167" s="1333"/>
      <c r="R167" s="1453"/>
      <c r="S167" s="1284"/>
      <c r="T167" s="1284"/>
      <c r="U167" s="1333"/>
      <c r="V167" s="1333"/>
      <c r="W167" s="1333"/>
      <c r="X167" s="1333"/>
      <c r="Y167" s="1333"/>
      <c r="Z167" s="1333"/>
      <c r="AA167" s="1333"/>
      <c r="AB167" s="1333"/>
      <c r="AC167" s="1333"/>
      <c r="AD167" s="1333"/>
      <c r="AE167" s="1333"/>
      <c r="AF167" s="1333"/>
      <c r="AG167" s="1333"/>
      <c r="AH167" s="1333"/>
      <c r="AI167" s="1333"/>
    </row>
    <row r="168" spans="1:49" ht="20.100000000000001" customHeight="1" x14ac:dyDescent="0.25">
      <c r="A168" s="1503" t="str">
        <f>IF(SD_apply="Yes",IF(COUNTIF('01 - SD'!D168:G168,"Y")&gt;0,"Y",IF(COUNTIF('01 - SD'!D168:G168,"N"),"N","")),"")</f>
        <v>N</v>
      </c>
      <c r="B168" s="18"/>
      <c r="C168" s="928"/>
      <c r="D168" s="29" t="str">
        <f>IF('C-Design&amp;Const'!$K168="","",'C-Design&amp;Const'!$K168)</f>
        <v>Y</v>
      </c>
      <c r="E168" s="234"/>
      <c r="F168" s="444"/>
      <c r="G168" s="173" t="str">
        <f>IF('C-Design&amp;Const'!Y168="","",'C-Design&amp;Const'!Y168)</f>
        <v>05a.</v>
      </c>
      <c r="H168" s="115" t="str">
        <f>(CONCATENATE('C-Design&amp;Const'!Z168,IF(D168="N"," Not Used In This Design Phase",J168)))</f>
        <v xml:space="preserve">Ext. &amp; Int. Finishes Binder(s)/Finishes Board(s)  </v>
      </c>
      <c r="I168" s="145"/>
      <c r="J168" s="578" t="str">
        <f>IF('C-Design&amp;Const'!AF168="","",'C-Design&amp;Const'!AF168)</f>
        <v xml:space="preserve"> </v>
      </c>
      <c r="K168" s="25" t="str">
        <f>IF(DD_apply="Yes",IF((COUNTIF(D168:G168,"Y")=COUNTIF('01 - SD'!D168:G168,"Y")),"match","no SD match"),"-")</f>
        <v>no SD match</v>
      </c>
      <c r="L168" s="1410" t="str">
        <f t="shared" si="5"/>
        <v/>
      </c>
      <c r="M168" s="1333"/>
      <c r="N168" s="1333"/>
      <c r="O168" s="1333"/>
      <c r="P168" s="1333"/>
      <c r="Q168" s="1333"/>
      <c r="R168" s="1444"/>
      <c r="S168" s="1445"/>
      <c r="T168" s="1284"/>
      <c r="U168" s="1333"/>
      <c r="V168" s="1333"/>
      <c r="W168" s="1333"/>
      <c r="X168" s="1333"/>
      <c r="Y168" s="1333"/>
      <c r="Z168" s="1333"/>
      <c r="AA168" s="1333"/>
      <c r="AB168" s="1333"/>
      <c r="AC168" s="1333"/>
      <c r="AD168" s="1333"/>
      <c r="AE168" s="1333"/>
      <c r="AF168" s="1333"/>
      <c r="AG168" s="1333"/>
      <c r="AH168" s="1333"/>
      <c r="AI168" s="1333"/>
    </row>
    <row r="169" spans="1:49" s="542" customFormat="1" ht="15" customHeight="1" x14ac:dyDescent="0.25">
      <c r="A169" s="1502" t="str">
        <f>IF(SD_apply="Yes",IF(COUNTIF('01 - SD'!D169:G169,"Y")&gt;0,"Y",IF(COUNTIF('01 - SD'!D169:G169,"N"),"N","")),"")</f>
        <v>N</v>
      </c>
      <c r="B169" s="18"/>
      <c r="C169" s="945"/>
      <c r="D169" s="547"/>
      <c r="E169" s="559" t="str">
        <f>IF('C-Design&amp;Const'!$K169="","",'C-Design&amp;Const'!$K169)</f>
        <v>Y</v>
      </c>
      <c r="F169" s="560"/>
      <c r="G169" s="558"/>
      <c r="H169" s="238" t="str">
        <f>CONCATENATE(IF(E169="N","PLACEHOLDER ROW - ",""),IF(E169="N","",J169),'C-Design&amp;Const'!Z169,)</f>
        <v xml:space="preserve">(Approx 50% Complete) Product Samples of Floor Coverings, Wall Covering, Window Treatment, Ceiling Tile, etc... </v>
      </c>
      <c r="I169" s="136"/>
      <c r="J169" s="578" t="str">
        <f>IF('C-Design&amp;Const'!AF169="","",'C-Design&amp;Const'!AF169)</f>
        <v xml:space="preserve">(Approx 50% Complete) </v>
      </c>
      <c r="K169" s="25" t="str">
        <f>IF(DD_apply="Yes",IF((COUNTIF(D169:G169,"Y")=COUNTIF('01 - SD'!D169:G169,"Y")),"match","no SD match"),"-")</f>
        <v>no SD match</v>
      </c>
      <c r="L169" s="1410" t="str">
        <f t="shared" si="5"/>
        <v/>
      </c>
      <c r="M169" s="1333"/>
      <c r="N169" s="1333"/>
      <c r="O169" s="1333"/>
      <c r="P169" s="1333"/>
      <c r="Q169" s="1333"/>
      <c r="R169" s="1453"/>
      <c r="S169" s="1284"/>
      <c r="T169" s="1284"/>
      <c r="U169" s="1333"/>
      <c r="V169" s="1333"/>
      <c r="W169" s="1333"/>
      <c r="X169" s="1333"/>
      <c r="Y169" s="1333"/>
      <c r="Z169" s="1333"/>
      <c r="AA169" s="1333"/>
      <c r="AB169" s="1333"/>
      <c r="AC169" s="1333"/>
      <c r="AD169" s="1333"/>
      <c r="AE169" s="1333"/>
      <c r="AF169" s="1333"/>
      <c r="AG169" s="1333"/>
      <c r="AH169" s="1333"/>
      <c r="AI169" s="1333"/>
      <c r="AJ169" s="17"/>
      <c r="AK169" s="17"/>
      <c r="AL169" s="17"/>
      <c r="AM169" s="17"/>
      <c r="AN169" s="17"/>
      <c r="AO169" s="17"/>
      <c r="AP169" s="17"/>
      <c r="AQ169" s="17"/>
      <c r="AR169" s="17"/>
      <c r="AS169" s="17"/>
      <c r="AT169" s="17"/>
      <c r="AU169" s="17"/>
      <c r="AV169" s="17"/>
      <c r="AW169" s="17"/>
    </row>
    <row r="170" spans="1:49" s="542" customFormat="1" ht="15" customHeight="1" x14ac:dyDescent="0.25">
      <c r="A170" s="1502" t="str">
        <f>IF(SD_apply="Yes",IF(COUNTIF('01 - SD'!D170:G170,"Y")&gt;0,"Y",IF(COUNTIF('01 - SD'!D170:G170,"N"),"N","")),"")</f>
        <v>N</v>
      </c>
      <c r="B170" s="18"/>
      <c r="C170" s="945"/>
      <c r="D170" s="547"/>
      <c r="E170" s="559" t="str">
        <f>IF('C-Design&amp;Const'!$K170="","",'C-Design&amp;Const'!$K170)</f>
        <v>Y</v>
      </c>
      <c r="F170" s="478"/>
      <c r="G170" s="485"/>
      <c r="H170" s="238" t="str">
        <f>CONCATENATE(IF(E170="N","PLACEHOLDER ROW - ",""),IF(E170="N","",J170),'C-Design&amp;Const'!Z170,)</f>
        <v>(Approx 50% Complete) Paint selections and combinations</v>
      </c>
      <c r="I170" s="136"/>
      <c r="J170" s="578" t="str">
        <f>IF('C-Design&amp;Const'!AF170="","",'C-Design&amp;Const'!AF170)</f>
        <v xml:space="preserve">(Approx 50% Complete) </v>
      </c>
      <c r="K170" s="25" t="str">
        <f>IF(DD_apply="Yes",IF((COUNTIF(D170:G170,"Y")=COUNTIF('01 - SD'!D170:G170,"Y")),"match","no SD match"),"-")</f>
        <v>no SD match</v>
      </c>
      <c r="L170" s="1410" t="str">
        <f t="shared" si="5"/>
        <v/>
      </c>
      <c r="M170" s="1333"/>
      <c r="N170" s="1333"/>
      <c r="O170" s="1333"/>
      <c r="P170" s="1333"/>
      <c r="Q170" s="1333"/>
      <c r="R170" s="1453"/>
      <c r="S170" s="1284"/>
      <c r="T170" s="1284"/>
      <c r="U170" s="1333"/>
      <c r="V170" s="1333"/>
      <c r="W170" s="1333"/>
      <c r="X170" s="1333"/>
      <c r="Y170" s="1333"/>
      <c r="Z170" s="1333"/>
      <c r="AA170" s="1333"/>
      <c r="AB170" s="1333"/>
      <c r="AC170" s="1333"/>
      <c r="AD170" s="1333"/>
      <c r="AE170" s="1333"/>
      <c r="AF170" s="1333"/>
      <c r="AG170" s="1333"/>
      <c r="AH170" s="1333"/>
      <c r="AI170" s="1333"/>
      <c r="AJ170" s="17"/>
      <c r="AK170" s="17"/>
      <c r="AL170" s="17"/>
      <c r="AM170" s="17"/>
      <c r="AN170" s="17"/>
      <c r="AO170" s="17"/>
      <c r="AP170" s="17"/>
      <c r="AQ170" s="17"/>
      <c r="AR170" s="17"/>
      <c r="AS170" s="17"/>
      <c r="AT170" s="17"/>
      <c r="AU170" s="17"/>
      <c r="AV170" s="17"/>
      <c r="AW170" s="17"/>
    </row>
    <row r="171" spans="1:49" s="542" customFormat="1" ht="15" customHeight="1" x14ac:dyDescent="0.25">
      <c r="A171" s="1502" t="str">
        <f>IF(SD_apply="Yes",IF(COUNTIF('01 - SD'!D171:G171,"Y")&gt;0,"Y",IF(COUNTIF('01 - SD'!D171:G171,"N"),"N","")),"")</f>
        <v>N</v>
      </c>
      <c r="B171" s="18"/>
      <c r="C171" s="945"/>
      <c r="D171" s="547"/>
      <c r="E171" s="559" t="str">
        <f>IF('C-Design&amp;Const'!$K171="","",'C-Design&amp;Const'!$K171)</f>
        <v>N</v>
      </c>
      <c r="F171" s="444"/>
      <c r="G171" s="94"/>
      <c r="H171" s="340" t="str">
        <f>CONCATENATE(IF(E171="N","PLACEHOLDER ROW - ",""),IF(E171="N","",J171),'C-Design&amp;Const'!Z171,)</f>
        <v>PLACEHOLDER ROW - PSC contracted mock-ups to match existing brick</v>
      </c>
      <c r="I171" s="133"/>
      <c r="J171" s="578" t="str">
        <f>IF('C-Design&amp;Const'!AF171="","",'C-Design&amp;Const'!AF171)</f>
        <v/>
      </c>
      <c r="K171" s="25" t="str">
        <f>IF(DD_apply="Yes",IF((COUNTIF(D171:G171,"Y")=COUNTIF('01 - SD'!D171:G171,"Y")),"match","no SD match"),"-")</f>
        <v>match</v>
      </c>
      <c r="L171" s="1410" t="str">
        <f t="shared" si="5"/>
        <v>&lt;---PM/Planner may hide PLACEHOLDER ROW</v>
      </c>
      <c r="M171" s="1333"/>
      <c r="N171" s="1333"/>
      <c r="O171" s="1333"/>
      <c r="P171" s="1333"/>
      <c r="Q171" s="1333"/>
      <c r="R171" s="1444"/>
      <c r="S171" s="1445"/>
      <c r="T171" s="1284"/>
      <c r="U171" s="1333"/>
      <c r="V171" s="1333"/>
      <c r="W171" s="1333"/>
      <c r="X171" s="1333"/>
      <c r="Y171" s="1333"/>
      <c r="Z171" s="1333"/>
      <c r="AA171" s="1333"/>
      <c r="AB171" s="1333"/>
      <c r="AC171" s="1333"/>
      <c r="AD171" s="1333"/>
      <c r="AE171" s="1333"/>
      <c r="AF171" s="1333"/>
      <c r="AG171" s="1333"/>
      <c r="AH171" s="1333"/>
      <c r="AI171" s="1333"/>
      <c r="AJ171" s="17"/>
      <c r="AK171" s="17"/>
      <c r="AL171" s="17"/>
      <c r="AM171" s="17"/>
      <c r="AN171" s="17"/>
      <c r="AO171" s="17"/>
      <c r="AP171" s="17"/>
      <c r="AQ171" s="17"/>
      <c r="AR171" s="17"/>
      <c r="AS171" s="17"/>
      <c r="AT171" s="17"/>
      <c r="AU171" s="17"/>
      <c r="AV171" s="17"/>
      <c r="AW171" s="17"/>
    </row>
    <row r="172" spans="1:49" s="545" customFormat="1" ht="15" customHeight="1" x14ac:dyDescent="0.25">
      <c r="A172" s="1506" t="str">
        <f>IF(SD_apply="Yes",IF(COUNTIF('01 - SD'!D172:G172,"Y")&gt;0,"Y",IF(COUNTIF('01 - SD'!D172:G172,"N"),"N","")),"")</f>
        <v>N</v>
      </c>
      <c r="B172" s="32"/>
      <c r="C172" s="945"/>
      <c r="D172" s="10"/>
      <c r="E172" s="359" t="str">
        <f>IF('C-Design&amp;Const'!$K172="","",'C-Design&amp;Const'!$K172)</f>
        <v>N</v>
      </c>
      <c r="F172" s="235"/>
      <c r="G172" s="291"/>
      <c r="H172" s="340" t="str">
        <f>CONCATENATE(IF(E172="N","PLACEHOLDER ROW - ",""),IF(E172="N","",J172),'C-Design&amp;Const'!Z172,)</f>
        <v>PLACEHOLDER ROW - CUSTOM ROW - OPTIONAL CLIENT ITEM</v>
      </c>
      <c r="I172" s="552"/>
      <c r="J172" s="578" t="str">
        <f>IF('C-Design&amp;Const'!AF172="","",'C-Design&amp;Const'!AF172)</f>
        <v xml:space="preserve">(Approx 50% Complete) </v>
      </c>
      <c r="K172" s="25" t="str">
        <f>IF(DD_apply="Yes",IF((COUNTIF(D172:G172,"Y")=COUNTIF('01 - SD'!D172:G172,"Y")),"match","no SD match"),"-")</f>
        <v>match</v>
      </c>
      <c r="L172" s="1410" t="str">
        <f t="shared" si="5"/>
        <v>&lt;---PM/Planner may hide PLACEHOLDER ROW</v>
      </c>
      <c r="M172" s="1382"/>
      <c r="N172" s="1333"/>
      <c r="O172" s="1382"/>
      <c r="P172" s="1382"/>
      <c r="Q172" s="1382"/>
      <c r="R172" s="1382"/>
      <c r="S172" s="1382"/>
      <c r="T172" s="1382"/>
      <c r="U172" s="1382"/>
      <c r="V172" s="1382"/>
      <c r="W172" s="1382"/>
      <c r="X172" s="1382"/>
      <c r="Y172" s="1382"/>
      <c r="Z172" s="1382"/>
      <c r="AA172" s="1382"/>
      <c r="AB172" s="1382"/>
      <c r="AC172" s="1382"/>
      <c r="AD172" s="1382"/>
      <c r="AE172" s="1382"/>
      <c r="AF172" s="1382"/>
      <c r="AG172" s="1382"/>
      <c r="AH172" s="1382"/>
      <c r="AI172" s="1382"/>
      <c r="AJ172" s="551"/>
      <c r="AK172" s="551"/>
      <c r="AL172" s="551"/>
      <c r="AM172" s="551"/>
      <c r="AN172" s="551"/>
      <c r="AO172" s="551"/>
      <c r="AP172" s="551"/>
      <c r="AQ172" s="551"/>
      <c r="AR172" s="551"/>
      <c r="AS172" s="551"/>
      <c r="AT172" s="551"/>
      <c r="AU172" s="551"/>
      <c r="AV172" s="551"/>
      <c r="AW172" s="551"/>
    </row>
    <row r="173" spans="1:49" ht="15.75" x14ac:dyDescent="0.25">
      <c r="A173" s="1503" t="str">
        <f>IF(SD_apply="Yes",IF(COUNTIF('01 - SD'!D173:G173,"Y")&gt;0,"Y",IF(COUNTIF('01 - SD'!D173:G173,"N"),"N","")),"")</f>
        <v/>
      </c>
      <c r="B173" s="18"/>
      <c r="C173" s="945"/>
      <c r="D173" s="116"/>
      <c r="E173" s="411"/>
      <c r="F173" s="321"/>
      <c r="G173" s="294"/>
      <c r="H173" s="296"/>
      <c r="I173" s="130"/>
      <c r="J173" s="578" t="str">
        <f>IF('C-Design&amp;Const'!AF173="","",'C-Design&amp;Const'!AF173)</f>
        <v/>
      </c>
      <c r="K173" s="25" t="str">
        <f>IF(DD_apply="Yes",IF((COUNTIF(D173:G173,"Y")=COUNTIF('01 - SD'!D173:G173,"Y")),"match","no SD match"),"-")</f>
        <v>match</v>
      </c>
      <c r="L173" s="1410" t="str">
        <f t="shared" si="5"/>
        <v/>
      </c>
      <c r="M173" s="1333"/>
      <c r="N173" s="1333"/>
      <c r="O173" s="1333"/>
      <c r="P173" s="1333"/>
      <c r="Q173" s="1333"/>
      <c r="R173" s="1453"/>
      <c r="S173" s="1284"/>
      <c r="T173" s="1284"/>
      <c r="U173" s="1333"/>
      <c r="V173" s="1333"/>
      <c r="W173" s="1333"/>
      <c r="X173" s="1333"/>
      <c r="Y173" s="1333"/>
      <c r="Z173" s="1333"/>
      <c r="AA173" s="1333"/>
      <c r="AB173" s="1333"/>
      <c r="AC173" s="1333"/>
      <c r="AD173" s="1333"/>
      <c r="AE173" s="1333"/>
      <c r="AF173" s="1333"/>
      <c r="AG173" s="1333"/>
      <c r="AH173" s="1333"/>
      <c r="AI173" s="1333"/>
    </row>
    <row r="174" spans="1:49" ht="20.100000000000001" customHeight="1" x14ac:dyDescent="0.25">
      <c r="A174" s="1503" t="str">
        <f>IF(SD_apply="Yes",IF(COUNTIF('01 - SD'!D174:G174,"Y")&gt;0,"Y",IF(COUNTIF('01 - SD'!D174:G174,"N"),"N","")),"")</f>
        <v>N</v>
      </c>
      <c r="B174" s="18"/>
      <c r="C174" s="928"/>
      <c r="D174" s="29" t="str">
        <f>IF('C-Design&amp;Const'!$K174="","",'C-Design&amp;Const'!$K174)</f>
        <v>Y</v>
      </c>
      <c r="E174" s="234"/>
      <c r="F174" s="444"/>
      <c r="G174" s="291" t="str">
        <f>IF('C-Design&amp;Const'!Y174="","",'C-Design&amp;Const'!Y174)</f>
        <v>05b.</v>
      </c>
      <c r="H174" s="290" t="str">
        <f>(CONCATENATE('C-Design&amp;Const'!Z174,IF(D174="N"," Not Used In This Design Phase",J174)))</f>
        <v xml:space="preserve">Furnitures, Fixtures, and Equipment Binder(s) </v>
      </c>
      <c r="I174" s="145"/>
      <c r="J174" s="578" t="str">
        <f>IF('C-Design&amp;Const'!AF174="","",'C-Design&amp;Const'!AF174)</f>
        <v xml:space="preserve"> </v>
      </c>
      <c r="K174" s="25" t="str">
        <f>IF(DD_apply="Yes",IF((COUNTIF(D174:G174,"Y")=COUNTIF('01 - SD'!D174:G174,"Y")),"match","no SD match"),"-")</f>
        <v>no SD match</v>
      </c>
      <c r="L174" s="1410" t="str">
        <f t="shared" si="5"/>
        <v/>
      </c>
      <c r="M174" s="1333"/>
      <c r="N174" s="1333"/>
      <c r="O174" s="1333"/>
      <c r="P174" s="1333"/>
      <c r="Q174" s="1333"/>
      <c r="R174" s="1444"/>
      <c r="S174" s="1445"/>
      <c r="T174" s="1284"/>
      <c r="U174" s="1333"/>
      <c r="V174" s="1333"/>
      <c r="W174" s="1333"/>
      <c r="X174" s="1333"/>
      <c r="Y174" s="1333"/>
      <c r="Z174" s="1333"/>
      <c r="AA174" s="1333"/>
      <c r="AB174" s="1333"/>
      <c r="AC174" s="1333"/>
      <c r="AD174" s="1333"/>
      <c r="AE174" s="1333"/>
      <c r="AF174" s="1333"/>
      <c r="AG174" s="1333"/>
      <c r="AH174" s="1333"/>
      <c r="AI174" s="1333"/>
    </row>
    <row r="175" spans="1:49" ht="15" customHeight="1" x14ac:dyDescent="0.25">
      <c r="A175" s="1502" t="str">
        <f>IF(SD_apply="Yes",IF(COUNTIF('01 - SD'!D175:G175,"Y")&gt;0,"Y",IF(COUNTIF('01 - SD'!D175:G175,"N"),"N","")),"")</f>
        <v>N</v>
      </c>
      <c r="B175" s="18"/>
      <c r="C175" s="945"/>
      <c r="D175" s="547"/>
      <c r="E175" s="559" t="str">
        <f>IF('C-Design&amp;Const'!$K175="","",'C-Design&amp;Const'!$K175)</f>
        <v>Y</v>
      </c>
      <c r="F175" s="560"/>
      <c r="G175" s="558"/>
      <c r="H175" s="238" t="str">
        <f>CONCATENATE(IF(E175="N","PLACEHOLDER ROW - ",""),IF(E175="N","",J175),'C-Design&amp;Const'!Z175,)</f>
        <v>(Approx 50% Complete) Cut Sheets</v>
      </c>
      <c r="I175" s="136"/>
      <c r="J175" s="578" t="str">
        <f>IF('C-Design&amp;Const'!AF175="","",'C-Design&amp;Const'!AF175)</f>
        <v xml:space="preserve">(Approx 50% Complete) </v>
      </c>
      <c r="K175" s="25" t="str">
        <f>IF(DD_apply="Yes",IF((COUNTIF(D175:G175,"Y")=COUNTIF('01 - SD'!D175:G175,"Y")),"match","no SD match"),"-")</f>
        <v>no SD match</v>
      </c>
      <c r="L175" s="1410" t="str">
        <f t="shared" ref="L175:L249" si="10">CONCATENATE(IF(ISNUMBER(SEARCH("Placeholder",H175))=TRUE,"&lt;---PM/Planner may hide PLACEHOLDER ROW",""))</f>
        <v/>
      </c>
      <c r="M175" s="1333"/>
      <c r="N175" s="1333"/>
      <c r="O175" s="1333"/>
      <c r="P175" s="1333"/>
      <c r="Q175" s="1333"/>
      <c r="R175" s="1453"/>
      <c r="S175" s="1284"/>
      <c r="T175" s="1284"/>
      <c r="U175" s="1333"/>
      <c r="V175" s="1333"/>
      <c r="W175" s="1333"/>
      <c r="X175" s="1333"/>
      <c r="Y175" s="1333"/>
      <c r="Z175" s="1333"/>
      <c r="AA175" s="1333"/>
      <c r="AB175" s="1333"/>
      <c r="AC175" s="1333"/>
      <c r="AD175" s="1333"/>
      <c r="AE175" s="1333"/>
      <c r="AF175" s="1333"/>
      <c r="AG175" s="1333"/>
      <c r="AH175" s="1333"/>
      <c r="AI175" s="1333"/>
    </row>
    <row r="176" spans="1:49" ht="15" customHeight="1" x14ac:dyDescent="0.25">
      <c r="A176" s="1502" t="str">
        <f>IF(SD_apply="Yes",IF(COUNTIF('01 - SD'!D176:G176,"Y")&gt;0,"Y",IF(COUNTIF('01 - SD'!D176:G176,"N"),"N","")),"")</f>
        <v>N</v>
      </c>
      <c r="B176" s="18"/>
      <c r="C176" s="945"/>
      <c r="D176" s="547"/>
      <c r="E176" s="559" t="str">
        <f>IF('C-Design&amp;Const'!$K176="","",'C-Design&amp;Const'!$K176)</f>
        <v>Y</v>
      </c>
      <c r="F176" s="478"/>
      <c r="G176" s="485"/>
      <c r="H176" s="238" t="str">
        <f>CONCATENATE(IF(E176="N","PLACEHOLDER ROW - ",""),IF(E176="N","",J176),'C-Design&amp;Const'!Z176,)</f>
        <v>(Approx 50% Complete) Product Samples</v>
      </c>
      <c r="I176" s="136"/>
      <c r="J176" s="578" t="str">
        <f>IF('C-Design&amp;Const'!AF176="","",'C-Design&amp;Const'!AF176)</f>
        <v xml:space="preserve">(Approx 50% Complete) </v>
      </c>
      <c r="K176" s="25" t="str">
        <f>IF(DD_apply="Yes",IF((COUNTIF(D176:G176,"Y")=COUNTIF('01 - SD'!D176:G176,"Y")),"match","no SD match"),"-")</f>
        <v>no SD match</v>
      </c>
      <c r="L176" s="1410" t="str">
        <f t="shared" si="10"/>
        <v/>
      </c>
      <c r="M176" s="1333"/>
      <c r="N176" s="1333"/>
      <c r="O176" s="1333"/>
      <c r="P176" s="1333"/>
      <c r="Q176" s="1333"/>
      <c r="R176" s="1453"/>
      <c r="S176" s="1284"/>
      <c r="T176" s="1284"/>
      <c r="U176" s="1333"/>
      <c r="V176" s="1333"/>
      <c r="W176" s="1333"/>
      <c r="X176" s="1333"/>
      <c r="Y176" s="1333"/>
      <c r="Z176" s="1333"/>
      <c r="AA176" s="1333"/>
      <c r="AB176" s="1333"/>
      <c r="AC176" s="1333"/>
      <c r="AD176" s="1333"/>
      <c r="AE176" s="1333"/>
      <c r="AF176" s="1333"/>
      <c r="AG176" s="1333"/>
      <c r="AH176" s="1333"/>
      <c r="AI176" s="1333"/>
    </row>
    <row r="177" spans="1:49" ht="15" customHeight="1" x14ac:dyDescent="0.25">
      <c r="A177" s="1502" t="str">
        <f>IF(SD_apply="Yes",IF(COUNTIF('01 - SD'!D177:G177,"Y")&gt;0,"Y",IF(COUNTIF('01 - SD'!D177:G177,"N"),"N","")),"")</f>
        <v>N</v>
      </c>
      <c r="B177" s="18"/>
      <c r="C177" s="945"/>
      <c r="D177" s="547"/>
      <c r="E177" s="559" t="str">
        <f>IF('C-Design&amp;Const'!$K177="","",'C-Design&amp;Const'!$K177)</f>
        <v>Y</v>
      </c>
      <c r="F177" s="444"/>
      <c r="G177" s="94"/>
      <c r="H177" s="340" t="str">
        <f>CONCATENATE(IF(E177="N","PLACEHOLDER ROW - ",""),IF(E177="N","",J177),'C-Design&amp;Const'!Z177,)</f>
        <v>(Draft) "Furniture Information Form" (electronic)</v>
      </c>
      <c r="I177" s="133"/>
      <c r="J177" s="578" t="str">
        <f>IF('C-Design&amp;Const'!AF177="","",'C-Design&amp;Const'!AF177)</f>
        <v xml:space="preserve">(Draft) </v>
      </c>
      <c r="K177" s="25" t="str">
        <f>IF(DD_apply="Yes",IF((COUNTIF(D177:G177,"Y")=COUNTIF('01 - SD'!D177:G177,"Y")),"match","no SD match"),"-")</f>
        <v>no SD match</v>
      </c>
      <c r="L177" s="1410" t="str">
        <f t="shared" si="10"/>
        <v/>
      </c>
      <c r="M177" s="1333"/>
      <c r="N177" s="1333"/>
      <c r="O177" s="1333"/>
      <c r="P177" s="1333"/>
      <c r="Q177" s="1333"/>
      <c r="R177" s="1444"/>
      <c r="S177" s="1445"/>
      <c r="T177" s="1284"/>
      <c r="U177" s="1333"/>
      <c r="V177" s="1333"/>
      <c r="W177" s="1333"/>
      <c r="X177" s="1333"/>
      <c r="Y177" s="1333"/>
      <c r="Z177" s="1333"/>
      <c r="AA177" s="1333"/>
      <c r="AB177" s="1333"/>
      <c r="AC177" s="1333"/>
      <c r="AD177" s="1333"/>
      <c r="AE177" s="1333"/>
      <c r="AF177" s="1333"/>
      <c r="AG177" s="1333"/>
      <c r="AH177" s="1333"/>
      <c r="AI177" s="1333"/>
    </row>
    <row r="178" spans="1:49" s="30" customFormat="1" ht="15" customHeight="1" x14ac:dyDescent="0.25">
      <c r="A178" s="1506" t="str">
        <f>IF(SD_apply="Yes",IF(COUNTIF('01 - SD'!D178:G178,"Y")&gt;0,"Y",IF(COUNTIF('01 - SD'!D178:G178,"N"),"N","")),"")</f>
        <v>N</v>
      </c>
      <c r="B178" s="32"/>
      <c r="C178" s="945"/>
      <c r="D178" s="10"/>
      <c r="E178" s="359" t="str">
        <f>IF('C-Design&amp;Const'!$K178="","",'C-Design&amp;Const'!$K178)</f>
        <v>N</v>
      </c>
      <c r="F178" s="235"/>
      <c r="G178" s="291"/>
      <c r="H178" s="340" t="str">
        <f>CONCATENATE(IF(E178="N","PLACEHOLDER ROW - ",""),IF(E178="N","",J178),'C-Design&amp;Const'!Z178,)</f>
        <v>PLACEHOLDER ROW - CUSTOM ROW - OPTIONAL CLIENT ITEM</v>
      </c>
      <c r="I178" s="184"/>
      <c r="J178" s="578" t="str">
        <f>IF('C-Design&amp;Const'!AF178="","",'C-Design&amp;Const'!AF178)</f>
        <v xml:space="preserve">(Approx 50% Complete) </v>
      </c>
      <c r="K178" s="25" t="str">
        <f>IF(DD_apply="Yes",IF((COUNTIF(D178:G178,"Y")=COUNTIF('01 - SD'!D178:G178,"Y")),"match","no SD match"),"-")</f>
        <v>match</v>
      </c>
      <c r="L178" s="1410" t="str">
        <f t="shared" si="10"/>
        <v>&lt;---PM/Planner may hide PLACEHOLDER ROW</v>
      </c>
      <c r="M178" s="1382"/>
      <c r="N178" s="1333"/>
      <c r="O178" s="1382"/>
      <c r="P178" s="1382"/>
      <c r="Q178" s="1382"/>
      <c r="R178" s="1382"/>
      <c r="S178" s="1382"/>
      <c r="T178" s="1382"/>
      <c r="U178" s="1382"/>
      <c r="V178" s="1382"/>
      <c r="W178" s="1382"/>
      <c r="X178" s="1382"/>
      <c r="Y178" s="1382"/>
      <c r="Z178" s="1382"/>
      <c r="AA178" s="1382"/>
      <c r="AB178" s="1382"/>
      <c r="AC178" s="1382"/>
      <c r="AD178" s="1382"/>
      <c r="AE178" s="1382"/>
      <c r="AF178" s="1382"/>
      <c r="AG178" s="1382"/>
      <c r="AH178" s="1382"/>
      <c r="AI178" s="1382"/>
      <c r="AJ178" s="181"/>
      <c r="AK178" s="181"/>
      <c r="AL178" s="181"/>
      <c r="AM178" s="181"/>
      <c r="AN178" s="181"/>
      <c r="AO178" s="181"/>
      <c r="AP178" s="181"/>
      <c r="AQ178" s="181"/>
      <c r="AR178" s="181"/>
      <c r="AS178" s="181"/>
      <c r="AT178" s="181"/>
      <c r="AU178" s="181"/>
      <c r="AV178" s="181"/>
      <c r="AW178" s="181"/>
    </row>
    <row r="179" spans="1:49" ht="15.75" x14ac:dyDescent="0.25">
      <c r="A179" s="1503" t="str">
        <f>IF(SD_apply="Yes",IF(COUNTIF('01 - SD'!D179:G179,"Y")&gt;0,"Y",IF(COUNTIF('01 - SD'!D179:G179,"N"),"N","")),"")</f>
        <v/>
      </c>
      <c r="B179" s="18"/>
      <c r="C179" s="945"/>
      <c r="D179" s="116"/>
      <c r="E179" s="411"/>
      <c r="F179" s="321"/>
      <c r="G179" s="294"/>
      <c r="H179" s="296"/>
      <c r="I179" s="130"/>
      <c r="J179" s="578" t="str">
        <f>IF('C-Design&amp;Const'!AF179="","",'C-Design&amp;Const'!AF179)</f>
        <v/>
      </c>
      <c r="K179" s="25" t="str">
        <f>IF(DD_apply="Yes",IF((COUNTIF(D179:G179,"Y")=COUNTIF('01 - SD'!D179:G179,"Y")),"match","no SD match"),"-")</f>
        <v>match</v>
      </c>
      <c r="L179" s="1410" t="str">
        <f t="shared" si="10"/>
        <v/>
      </c>
      <c r="M179" s="1333"/>
      <c r="N179" s="1333"/>
      <c r="O179" s="1333"/>
      <c r="P179" s="1333"/>
      <c r="Q179" s="1333"/>
      <c r="R179" s="1487"/>
      <c r="S179" s="1284"/>
      <c r="T179" s="1284"/>
      <c r="U179" s="1333"/>
      <c r="V179" s="1333"/>
      <c r="W179" s="1333"/>
      <c r="X179" s="1333"/>
      <c r="Y179" s="1333"/>
      <c r="Z179" s="1333"/>
      <c r="AA179" s="1333"/>
      <c r="AB179" s="1333"/>
      <c r="AC179" s="1333"/>
      <c r="AD179" s="1333"/>
      <c r="AE179" s="1333"/>
      <c r="AF179" s="1333"/>
      <c r="AG179" s="1333"/>
      <c r="AH179" s="1333"/>
      <c r="AI179" s="1333"/>
    </row>
    <row r="180" spans="1:49" ht="20.100000000000001" customHeight="1" x14ac:dyDescent="0.25">
      <c r="A180" s="1503" t="str">
        <f>IF(SD_apply="Yes",IF(COUNTIF('01 - SD'!D180:G180,"Y")&gt;0,"Y",IF(COUNTIF('01 - SD'!D180:G180,"N"),"N","")),"")</f>
        <v>Y</v>
      </c>
      <c r="B180" s="18"/>
      <c r="C180" s="945"/>
      <c r="D180" s="29" t="str">
        <f>IF('C-Design&amp;Const'!$K180="","",'C-Design&amp;Const'!$K180)</f>
        <v>Y</v>
      </c>
      <c r="E180" s="503"/>
      <c r="F180" s="444"/>
      <c r="G180" s="173" t="str">
        <f>IF('C-Design&amp;Const'!Y180="","",'C-Design&amp;Const'!Y180)</f>
        <v>06.</v>
      </c>
      <c r="H180" s="115" t="str">
        <f>(CONCATENATE('C-Design&amp;Const'!Z180,IF(D180="N"," Not Used In This Design Phase",J180)))</f>
        <v xml:space="preserve">Project Manual </v>
      </c>
      <c r="I180" s="133"/>
      <c r="J180" s="578" t="str">
        <f>IF('C-Design&amp;Const'!AF180="","",'C-Design&amp;Const'!AF180)</f>
        <v/>
      </c>
      <c r="K180" s="25" t="str">
        <f>IF(DD_apply="Yes",IF((COUNTIF(D180:G180,"Y")=COUNTIF('01 - SD'!D180:G180,"Y")),"match","no SD match"),"-")</f>
        <v>match</v>
      </c>
      <c r="L180" s="1410" t="str">
        <f t="shared" si="10"/>
        <v/>
      </c>
      <c r="M180" s="1333"/>
      <c r="N180" s="1333"/>
      <c r="O180" s="1333"/>
      <c r="P180" s="1333"/>
      <c r="Q180" s="1333"/>
      <c r="R180" s="1444"/>
      <c r="S180" s="1445"/>
      <c r="T180" s="1284"/>
      <c r="U180" s="1333"/>
      <c r="V180" s="1333"/>
      <c r="W180" s="1333"/>
      <c r="X180" s="1333"/>
      <c r="Y180" s="1333"/>
      <c r="Z180" s="1333"/>
      <c r="AA180" s="1333"/>
      <c r="AB180" s="1333"/>
      <c r="AC180" s="1333"/>
      <c r="AD180" s="1333"/>
      <c r="AE180" s="1333"/>
      <c r="AF180" s="1333"/>
      <c r="AG180" s="1333"/>
      <c r="AH180" s="1333"/>
      <c r="AI180" s="1333"/>
    </row>
    <row r="181" spans="1:49" ht="27" customHeight="1" x14ac:dyDescent="0.25">
      <c r="A181" s="1503" t="str">
        <f>IF(SD_apply="Yes",IF(COUNTIF('01 - SD'!D181:G181,"Y")&gt;0,"Y",IF(COUNTIF('01 - SD'!D181:G181,"N"),"N","")),"")</f>
        <v>N</v>
      </c>
      <c r="B181" s="18"/>
      <c r="C181" s="945"/>
      <c r="D181" s="547"/>
      <c r="E181" s="559" t="str">
        <f>IF('C-Design&amp;Const'!$K181="","",'C-Design&amp;Const'!$K181)</f>
        <v>N</v>
      </c>
      <c r="F181" s="560"/>
      <c r="G181" s="558"/>
      <c r="H181" s="340" t="str">
        <f>CONCATENATE(IF(E181="N","PLACEHOLDER ROW - ",""),IF(E181="N","",J181),'C-Design&amp;Const'!Z181,)</f>
        <v>PLACEHOLDER ROW - Summary of Changes by Discipline (beyond corrections from comments) - UNDER SEPARATE COVER &amp; NOT BOUND WITH MANUAL.</v>
      </c>
      <c r="I181" s="136"/>
      <c r="J181" s="578" t="str">
        <f>IF('C-Design&amp;Const'!AF181="","",'C-Design&amp;Const'!AF181)</f>
        <v/>
      </c>
      <c r="K181" s="25" t="str">
        <f>IF(DD_apply="Yes",IF((COUNTIF(D181:G181,"Y")=COUNTIF('01 - SD'!D181:G181,"Y")),"match","no SD match"),"-")</f>
        <v>match</v>
      </c>
      <c r="L181" s="1410" t="str">
        <f t="shared" si="10"/>
        <v>&lt;---PM/Planner may hide PLACEHOLDER ROW</v>
      </c>
      <c r="M181" s="1333"/>
      <c r="N181" s="1333"/>
      <c r="O181" s="1333"/>
      <c r="P181" s="1333"/>
      <c r="Q181" s="1333"/>
      <c r="R181" s="1453"/>
      <c r="S181" s="1284"/>
      <c r="T181" s="1284"/>
      <c r="U181" s="1333"/>
      <c r="V181" s="1333"/>
      <c r="W181" s="1333"/>
      <c r="X181" s="1333"/>
      <c r="Y181" s="1333"/>
      <c r="Z181" s="1333"/>
      <c r="AA181" s="1333"/>
      <c r="AB181" s="1333"/>
      <c r="AC181" s="1333"/>
      <c r="AD181" s="1333"/>
      <c r="AE181" s="1333"/>
      <c r="AF181" s="1333"/>
      <c r="AG181" s="1333"/>
      <c r="AH181" s="1333"/>
      <c r="AI181" s="1333"/>
    </row>
    <row r="182" spans="1:49" ht="28.5" customHeight="1" x14ac:dyDescent="0.25">
      <c r="A182" s="1503" t="str">
        <f>IF(SD_apply="Yes",IF(COUNTIF('01 - SD'!D182:G182,"Y")&gt;0,"Y",IF(COUNTIF('01 - SD'!D182:G182,"N"),"N","")),"")</f>
        <v>N</v>
      </c>
      <c r="B182" s="18"/>
      <c r="C182" s="945"/>
      <c r="D182" s="547"/>
      <c r="E182" s="559" t="str">
        <f>IF('C-Design&amp;Const'!$K182="","",'C-Design&amp;Const'!$K182)</f>
        <v>N</v>
      </c>
      <c r="F182" s="460"/>
      <c r="G182" s="485"/>
      <c r="H182" s="238" t="str">
        <f>CONCATENATE(IF(E182="N","PLACEHOLDER ROW - ",""),IF(E182="N","",J182),'C-Design&amp;Const'!Z182,)</f>
        <v>PLACEHOLDER ROW - Checklist for specification sections with submittals required (materials, shop drawings, calcs, etc…) - UNDER SEPARATE COVER &amp; NOT BOUND WITH MANUAL.</v>
      </c>
      <c r="I182" s="136"/>
      <c r="J182" s="578" t="str">
        <f>IF('C-Design&amp;Const'!AF182="","",'C-Design&amp;Const'!AF182)</f>
        <v/>
      </c>
      <c r="K182" s="25" t="str">
        <f>IF(DD_apply="Yes",IF((COUNTIF(D182:G182,"Y")=COUNTIF('01 - SD'!D182:G182,"Y")),"match","no SD match"),"-")</f>
        <v>match</v>
      </c>
      <c r="L182" s="1410" t="str">
        <f>CONCATENATE(IF(ISNUMBER(SEARCH("Placeholder",H182))=TRUE,"&lt;---PM/Planner may hide PLACEHOLDER ROW",""))</f>
        <v>&lt;---PM/Planner may hide PLACEHOLDER ROW</v>
      </c>
      <c r="M182" s="1333"/>
      <c r="N182" s="1333"/>
      <c r="O182" s="1333"/>
      <c r="P182" s="1333"/>
      <c r="Q182" s="1333"/>
      <c r="R182" s="1453"/>
      <c r="S182" s="1284"/>
      <c r="T182" s="1284"/>
      <c r="U182" s="1333"/>
      <c r="V182" s="1333"/>
      <c r="W182" s="1333"/>
      <c r="X182" s="1333"/>
      <c r="Y182" s="1333"/>
      <c r="Z182" s="1333"/>
      <c r="AA182" s="1333"/>
      <c r="AB182" s="1333"/>
      <c r="AC182" s="1333"/>
      <c r="AD182" s="1333"/>
      <c r="AE182" s="1333"/>
      <c r="AF182" s="1333"/>
      <c r="AG182" s="1333"/>
      <c r="AH182" s="1333"/>
      <c r="AI182" s="1333"/>
    </row>
    <row r="183" spans="1:49" ht="15" customHeight="1" x14ac:dyDescent="0.25">
      <c r="A183" s="1503" t="str">
        <f>IF(SD_apply="Yes",IF(COUNTIF('01 - SD'!D183:G183,"Y")&gt;0,"Y",IF(COUNTIF('01 - SD'!D183:G183,"N"),"N","")),"")</f>
        <v>N</v>
      </c>
      <c r="B183" s="18"/>
      <c r="C183" s="945"/>
      <c r="D183" s="547"/>
      <c r="E183" s="559" t="str">
        <f>IF('C-Design&amp;Const'!$K183="","",'C-Design&amp;Const'!$K183)</f>
        <v>N</v>
      </c>
      <c r="F183" s="478"/>
      <c r="G183" s="485"/>
      <c r="H183" s="340" t="str">
        <f>CONCATENATE(IF(E183="N","PLACEHOLDER ROW - ",""),IF(E183="N","",J183),'C-Design&amp;Const'!Z183,)</f>
        <v xml:space="preserve">PLACEHOLDER ROW - Front End Documents  [Div 00] </v>
      </c>
      <c r="I183" s="136"/>
      <c r="J183" s="578" t="str">
        <f>IF('C-Design&amp;Const'!AF183="","",'C-Design&amp;Const'!AF183)</f>
        <v/>
      </c>
      <c r="K183" s="25" t="str">
        <f>IF(DD_apply="Yes",IF((COUNTIF(D183:G183,"Y")=COUNTIF('01 - SD'!D183:G183,"Y")),"match","no SD match"),"-")</f>
        <v>match</v>
      </c>
      <c r="L183" s="1410" t="str">
        <f t="shared" si="10"/>
        <v>&lt;---PM/Planner may hide PLACEHOLDER ROW</v>
      </c>
      <c r="M183" s="1333"/>
      <c r="N183" s="1333"/>
      <c r="O183" s="1333"/>
      <c r="P183" s="1333"/>
      <c r="Q183" s="1333"/>
      <c r="R183" s="1453"/>
      <c r="S183" s="1284"/>
      <c r="T183" s="1284"/>
      <c r="U183" s="1333"/>
      <c r="V183" s="1333"/>
      <c r="W183" s="1333"/>
      <c r="X183" s="1333"/>
      <c r="Y183" s="1333"/>
      <c r="Z183" s="1333"/>
      <c r="AA183" s="1333"/>
      <c r="AB183" s="1333"/>
      <c r="AC183" s="1333"/>
      <c r="AD183" s="1333"/>
      <c r="AE183" s="1333"/>
      <c r="AF183" s="1333"/>
      <c r="AG183" s="1333"/>
      <c r="AH183" s="1333"/>
      <c r="AI183" s="1333"/>
    </row>
    <row r="184" spans="1:49" ht="15" customHeight="1" x14ac:dyDescent="0.25">
      <c r="A184" s="1503" t="str">
        <f>IF(SD_apply="Yes",IF(COUNTIF('01 - SD'!D184:G184,"Y")&gt;0,"Y",IF(COUNTIF('01 - SD'!D184:G184,"N"),"N","")),"")</f>
        <v>Y</v>
      </c>
      <c r="B184" s="18"/>
      <c r="C184" s="945"/>
      <c r="D184" s="547"/>
      <c r="E184" s="559" t="str">
        <f>IF('C-Design&amp;Const'!$K184="","",'C-Design&amp;Const'!$K184)</f>
        <v>Y</v>
      </c>
      <c r="F184" s="478"/>
      <c r="G184" s="485"/>
      <c r="H184" s="340" t="str">
        <f>CONCATENATE(IF(E184="N","PLACEHOLDER ROW - ",""),IF(E184="N","",J184),'C-Design&amp;Const'!Z184,)</f>
        <v>(Substantially Complete) Outline Specifications (CSI Format)</v>
      </c>
      <c r="I184" s="136"/>
      <c r="J184" s="578" t="str">
        <f>IF('C-Design&amp;Const'!AF184="","",'C-Design&amp;Const'!AF184)</f>
        <v xml:space="preserve">(Substantially Complete) </v>
      </c>
      <c r="K184" s="25" t="str">
        <f>IF(DD_apply="Yes",IF((COUNTIF(D184:G184,"Y")=COUNTIF('01 - SD'!D184:G184,"Y")),"match","no SD match"),"-")</f>
        <v>match</v>
      </c>
      <c r="L184" s="1410" t="str">
        <f t="shared" si="10"/>
        <v/>
      </c>
      <c r="M184" s="1333"/>
      <c r="N184" s="1333"/>
      <c r="O184" s="1333"/>
      <c r="P184" s="1333"/>
      <c r="Q184" s="1333"/>
      <c r="R184" s="1453"/>
      <c r="S184" s="1284"/>
      <c r="T184" s="1284"/>
      <c r="U184" s="1333"/>
      <c r="V184" s="1333"/>
      <c r="W184" s="1333"/>
      <c r="X184" s="1333"/>
      <c r="Y184" s="1333"/>
      <c r="Z184" s="1333"/>
      <c r="AA184" s="1333"/>
      <c r="AB184" s="1333"/>
      <c r="AC184" s="1333"/>
      <c r="AD184" s="1333"/>
      <c r="AE184" s="1333"/>
      <c r="AF184" s="1333"/>
      <c r="AG184" s="1333"/>
      <c r="AH184" s="1333"/>
      <c r="AI184" s="1333"/>
    </row>
    <row r="185" spans="1:49" ht="15" customHeight="1" x14ac:dyDescent="0.25">
      <c r="A185" s="1503" t="str">
        <f>IF(SD_apply="Yes",IF(COUNTIF('01 - SD'!D185:G185,"Y")&gt;0,"Y",IF(COUNTIF('01 - SD'!D185:G185,"N"),"N","")),"")</f>
        <v>N</v>
      </c>
      <c r="B185" s="18"/>
      <c r="C185" s="945"/>
      <c r="D185" s="547"/>
      <c r="E185" s="559" t="str">
        <f>IF('C-Design&amp;Const'!$K185="","",'C-Design&amp;Const'!$K185)</f>
        <v>N</v>
      </c>
      <c r="F185" s="478"/>
      <c r="G185" s="485"/>
      <c r="H185" s="340" t="str">
        <f>CONCATENATE(IF(E185="N","PLACEHOLDER ROW - ",""),IF(E185="N","",J185),'C-Design&amp;Const'!Z185,)</f>
        <v>PLACEHOLDER ROW - Technical Specifications  [Div 01 and after]</v>
      </c>
      <c r="I185" s="136"/>
      <c r="J185" s="578" t="str">
        <f>IF('C-Design&amp;Const'!AF185="","",'C-Design&amp;Const'!AF185)</f>
        <v/>
      </c>
      <c r="K185" s="25" t="str">
        <f>IF(DD_apply="Yes",IF((COUNTIF(D185:G185,"Y")=COUNTIF('01 - SD'!D185:G185,"Y")),"match","no SD match"),"-")</f>
        <v>match</v>
      </c>
      <c r="L185" s="1410" t="str">
        <f t="shared" si="10"/>
        <v>&lt;---PM/Planner may hide PLACEHOLDER ROW</v>
      </c>
      <c r="M185" s="1333"/>
      <c r="N185" s="1333"/>
      <c r="O185" s="1333"/>
      <c r="P185" s="1333"/>
      <c r="Q185" s="1333"/>
      <c r="R185" s="1453"/>
      <c r="S185" s="1284"/>
      <c r="T185" s="1284"/>
      <c r="U185" s="1333"/>
      <c r="V185" s="1333"/>
      <c r="W185" s="1333"/>
      <c r="X185" s="1333"/>
      <c r="Y185" s="1333"/>
      <c r="Z185" s="1333"/>
      <c r="AA185" s="1333"/>
      <c r="AB185" s="1333"/>
      <c r="AC185" s="1333"/>
      <c r="AD185" s="1333"/>
      <c r="AE185" s="1333"/>
      <c r="AF185" s="1333"/>
      <c r="AG185" s="1333"/>
      <c r="AH185" s="1333"/>
      <c r="AI185" s="1333"/>
    </row>
    <row r="186" spans="1:49" ht="15" customHeight="1" x14ac:dyDescent="0.25">
      <c r="A186" s="1503" t="str">
        <f>IF(SD_apply="Yes",IF(COUNTIF('01 - SD'!D186:G186,"Y")&gt;0,"Y",IF(COUNTIF('01 - SD'!D186:G186,"N"),"N","")),"")</f>
        <v>N</v>
      </c>
      <c r="B186" s="18"/>
      <c r="C186" s="945"/>
      <c r="D186" s="547"/>
      <c r="E186" s="559" t="str">
        <f>IF('C-Design&amp;Const'!$K186="","",'C-Design&amp;Const'!$K186)</f>
        <v>Y</v>
      </c>
      <c r="F186" s="444"/>
      <c r="G186" s="94"/>
      <c r="H186" s="340" t="str">
        <f>CONCATENATE(IF(E186="N","PLACEHOLDER ROW - ",""),IF(E186="N","",J186),'C-Design&amp;Const'!Z186,)</f>
        <v xml:space="preserve">FF&amp;E Outline Specification for at least 2 competitor packages </v>
      </c>
      <c r="I186" s="133"/>
      <c r="J186" s="578" t="str">
        <f>IF('C-Design&amp;Const'!AF186="","",'C-Design&amp;Const'!AF186)</f>
        <v/>
      </c>
      <c r="K186" s="25" t="str">
        <f>IF(DD_apply="Yes",IF((COUNTIF(D186:G186,"Y")=COUNTIF('01 - SD'!D186:G186,"Y")),"match","no SD match"),"-")</f>
        <v>no SD match</v>
      </c>
      <c r="L186" s="1410" t="str">
        <f t="shared" si="10"/>
        <v/>
      </c>
      <c r="M186" s="1333"/>
      <c r="N186" s="1333"/>
      <c r="O186" s="1333"/>
      <c r="P186" s="1333"/>
      <c r="Q186" s="1333"/>
      <c r="R186" s="1444"/>
      <c r="S186" s="1445"/>
      <c r="T186" s="1284"/>
      <c r="U186" s="1333"/>
      <c r="V186" s="1333"/>
      <c r="W186" s="1333"/>
      <c r="X186" s="1333"/>
      <c r="Y186" s="1333"/>
      <c r="Z186" s="1333"/>
      <c r="AA186" s="1333"/>
      <c r="AB186" s="1333"/>
      <c r="AC186" s="1333"/>
      <c r="AD186" s="1333"/>
      <c r="AE186" s="1333"/>
      <c r="AF186" s="1333"/>
      <c r="AG186" s="1333"/>
      <c r="AH186" s="1333"/>
      <c r="AI186" s="1333"/>
    </row>
    <row r="187" spans="1:49" s="30" customFormat="1" ht="15" customHeight="1" x14ac:dyDescent="0.25">
      <c r="A187" s="1503" t="str">
        <f>IF(SD_apply="Yes",IF(COUNTIF('01 - SD'!D187:G187,"Y")&gt;0,"Y",IF(COUNTIF('01 - SD'!D187:G187,"N"),"N","")),"")</f>
        <v>N</v>
      </c>
      <c r="B187" s="32"/>
      <c r="C187" s="945"/>
      <c r="D187" s="10"/>
      <c r="E187" s="559" t="str">
        <f>IF('C-Design&amp;Const'!$K187="","",'C-Design&amp;Const'!$K187)</f>
        <v>N</v>
      </c>
      <c r="F187" s="461"/>
      <c r="G187" s="291"/>
      <c r="H187" s="238" t="str">
        <f>CONCATENATE(IF(E187="N","PLACEHOLDER ROW - ",""),IF(E187="N","",J187),'C-Design&amp;Const'!Z187,)</f>
        <v>PLACEHOLDER ROW - Furniture Information Form (FIF)</v>
      </c>
      <c r="I187" s="184"/>
      <c r="J187" s="578" t="str">
        <f>IF('C-Design&amp;Const'!AF187="","",'C-Design&amp;Const'!AF187)</f>
        <v/>
      </c>
      <c r="K187" s="25" t="str">
        <f>IF(DD_apply="Yes",IF((COUNTIF(D187:G187,"Y")=COUNTIF('01 - SD'!D187:G187,"Y")),"match","no SD match"),"-")</f>
        <v>match</v>
      </c>
      <c r="L187" s="1410" t="str">
        <f>CONCATENATE(IF(ISNUMBER(SEARCH("Placeholder",H187))=TRUE,"&lt;---PM/Planner may hide PLACEHOLDER ROW",""))</f>
        <v>&lt;---PM/Planner may hide PLACEHOLDER ROW</v>
      </c>
      <c r="M187" s="1382"/>
      <c r="N187" s="1333"/>
      <c r="O187" s="1382"/>
      <c r="P187" s="1382"/>
      <c r="Q187" s="1382"/>
      <c r="R187" s="1382"/>
      <c r="S187" s="1382"/>
      <c r="T187" s="1382"/>
      <c r="U187" s="1382"/>
      <c r="V187" s="1382"/>
      <c r="W187" s="1382"/>
      <c r="X187" s="1382"/>
      <c r="Y187" s="1382"/>
      <c r="Z187" s="1382"/>
      <c r="AA187" s="1382"/>
      <c r="AB187" s="1382"/>
      <c r="AC187" s="1382"/>
      <c r="AD187" s="1382"/>
      <c r="AE187" s="1382"/>
      <c r="AF187" s="1382"/>
      <c r="AG187" s="1382"/>
      <c r="AH187" s="1382"/>
      <c r="AI187" s="1382"/>
      <c r="AJ187" s="181"/>
      <c r="AK187" s="181"/>
      <c r="AL187" s="181"/>
      <c r="AM187" s="181"/>
      <c r="AN187" s="181"/>
      <c r="AO187" s="181"/>
      <c r="AP187" s="181"/>
      <c r="AQ187" s="181"/>
      <c r="AR187" s="181"/>
      <c r="AS187" s="181"/>
      <c r="AT187" s="181"/>
      <c r="AU187" s="181"/>
      <c r="AV187" s="181"/>
      <c r="AW187" s="181"/>
    </row>
    <row r="188" spans="1:49" ht="17.25" customHeight="1" x14ac:dyDescent="0.25">
      <c r="A188" s="1503" t="str">
        <f>IF(SD_apply="Yes",IF(COUNTIF('01 - SD'!D188:G188,"Y")&gt;0,"Y",IF(COUNTIF('01 - SD'!D188:G188,"N"),"N","")),"")</f>
        <v>N</v>
      </c>
      <c r="B188" s="18"/>
      <c r="C188" s="945"/>
      <c r="D188" s="547"/>
      <c r="E188" s="559" t="str">
        <f>IF('C-Design&amp;Const'!$K188="","",'C-Design&amp;Const'!$K188)</f>
        <v>Y</v>
      </c>
      <c r="F188" s="460"/>
      <c r="G188" s="485"/>
      <c r="H188" s="340" t="str">
        <f>CONCATENATE(IF(E188="N","PLACEHOLDER ROW - ",""),IF(E188="N","",J188),'C-Design&amp;Const'!Z188,)</f>
        <v xml:space="preserve">(Approx 50% Complete) Voice/Data Communications System Requirements </v>
      </c>
      <c r="I188" s="136"/>
      <c r="J188" s="578" t="str">
        <f>IF('C-Design&amp;Const'!AF188="","",'C-Design&amp;Const'!AF188)</f>
        <v xml:space="preserve">(Approx 50% Complete) </v>
      </c>
      <c r="K188" s="25" t="str">
        <f>IF(DD_apply="Yes",IF((COUNTIF(D188:G188,"Y")=COUNTIF('01 - SD'!D188:G188,"Y")),"match","no SD match"),"-")</f>
        <v>no SD match</v>
      </c>
      <c r="L188" s="1410" t="str">
        <f t="shared" si="10"/>
        <v/>
      </c>
      <c r="M188" s="1333"/>
      <c r="N188" s="1333"/>
      <c r="O188" s="1333"/>
      <c r="P188" s="1333"/>
      <c r="Q188" s="1333"/>
      <c r="R188" s="1453"/>
      <c r="S188" s="1284"/>
      <c r="T188" s="1284"/>
      <c r="U188" s="1333"/>
      <c r="V188" s="1333"/>
      <c r="W188" s="1333"/>
      <c r="X188" s="1333"/>
      <c r="Y188" s="1333"/>
      <c r="Z188" s="1333"/>
      <c r="AA188" s="1333"/>
      <c r="AB188" s="1333"/>
      <c r="AC188" s="1333"/>
      <c r="AD188" s="1333"/>
      <c r="AE188" s="1333"/>
      <c r="AF188" s="1333"/>
      <c r="AG188" s="1333"/>
      <c r="AH188" s="1333"/>
      <c r="AI188" s="1333"/>
    </row>
    <row r="189" spans="1:49" ht="27" customHeight="1" x14ac:dyDescent="0.25">
      <c r="A189" s="1503" t="str">
        <f>IF(SD_apply="Yes",IF(COUNTIF('01 - SD'!D189:G189,"Y")&gt;0,"Y",IF(COUNTIF('01 - SD'!D189:G189,"N"),"N","")),"")</f>
        <v>N</v>
      </c>
      <c r="B189" s="18"/>
      <c r="C189" s="945"/>
      <c r="D189" s="547"/>
      <c r="E189" s="559" t="str">
        <f>IF('C-Design&amp;Const'!$K189="","",'C-Design&amp;Const'!$K189)</f>
        <v>Y</v>
      </c>
      <c r="F189" s="460"/>
      <c r="G189" s="485"/>
      <c r="H189" s="340" t="str">
        <f>CONCATENATE(IF(E189="N","PLACEHOLDER ROW - ",""),IF(E189="N","",J189),'C-Design&amp;Const'!Z189,)</f>
        <v xml:space="preserve">(Approx 50% Complete) AV Systems Requirements, including Millwork, Associated Cooling, Power, Grounding, Data / Telecomm, Acoustics &amp; Noise Control, and Lighting System. Cables Identified by Manufacturer/Model Number. </v>
      </c>
      <c r="I189" s="136"/>
      <c r="J189" s="578" t="str">
        <f>IF('C-Design&amp;Const'!AF189="","",'C-Design&amp;Const'!AF189)</f>
        <v xml:space="preserve">(Approx 50% Complete) </v>
      </c>
      <c r="K189" s="25" t="str">
        <f>IF(DD_apply="Yes",IF((COUNTIF(D189:G189,"Y")=COUNTIF('01 - SD'!D189:G189,"Y")),"match","no SD match"),"-")</f>
        <v>no SD match</v>
      </c>
      <c r="L189" s="1410" t="str">
        <f t="shared" si="10"/>
        <v/>
      </c>
      <c r="M189" s="1333"/>
      <c r="N189" s="1333"/>
      <c r="O189" s="1333"/>
      <c r="P189" s="1333"/>
      <c r="Q189" s="1333"/>
      <c r="R189" s="1453"/>
      <c r="S189" s="1284"/>
      <c r="T189" s="1284"/>
      <c r="U189" s="1333"/>
      <c r="V189" s="1333"/>
      <c r="W189" s="1333"/>
      <c r="X189" s="1333"/>
      <c r="Y189" s="1333"/>
      <c r="Z189" s="1333"/>
      <c r="AA189" s="1333"/>
      <c r="AB189" s="1333"/>
      <c r="AC189" s="1333"/>
      <c r="AD189" s="1333"/>
      <c r="AE189" s="1333"/>
      <c r="AF189" s="1333"/>
      <c r="AG189" s="1333"/>
      <c r="AH189" s="1333"/>
      <c r="AI189" s="1333"/>
    </row>
    <row r="190" spans="1:49" ht="15" customHeight="1" x14ac:dyDescent="0.25">
      <c r="A190" s="1503" t="str">
        <f>IF(SD_apply="Yes",IF(COUNTIF('01 - SD'!D190:G190,"Y")&gt;0,"Y",IF(COUNTIF('01 - SD'!D190:G190,"N"),"N","")),"")</f>
        <v>N</v>
      </c>
      <c r="B190" s="18"/>
      <c r="C190" s="945"/>
      <c r="D190" s="547"/>
      <c r="E190" s="559" t="str">
        <f>IF('C-Design&amp;Const'!$K190="","",'C-Design&amp;Const'!$K190)</f>
        <v>N</v>
      </c>
      <c r="F190" s="460"/>
      <c r="G190" s="485"/>
      <c r="H190" s="238" t="str">
        <f>CONCATENATE(IF(E190="N","PLACEHOLDER ROW - ",""),IF(E190="N","",J190),'C-Design&amp;Const'!Z190,)</f>
        <v>PLACEHOLDER ROW - Audio / Visual Basis of Material (AV BOM)</v>
      </c>
      <c r="I190" s="136"/>
      <c r="J190" s="578" t="str">
        <f>IF('C-Design&amp;Const'!AF190="","",'C-Design&amp;Const'!AF190)</f>
        <v/>
      </c>
      <c r="K190" s="25" t="str">
        <f>IF(DD_apply="Yes",IF((COUNTIF(D190:G190,"Y")=COUNTIF('01 - SD'!D190:G190,"Y")),"match","no SD match"),"-")</f>
        <v>match</v>
      </c>
      <c r="L190" s="1410" t="str">
        <f>CONCATENATE(IF(ISNUMBER(SEARCH("Placeholder",H190))=TRUE,"&lt;---PM/Planner may hide PLACEHOLDER ROW",""))</f>
        <v>&lt;---PM/Planner may hide PLACEHOLDER ROW</v>
      </c>
      <c r="M190" s="1333"/>
      <c r="N190" s="1333"/>
      <c r="O190" s="1333"/>
      <c r="P190" s="1333"/>
      <c r="Q190" s="1333"/>
      <c r="R190" s="1453"/>
      <c r="S190" s="1284"/>
      <c r="T190" s="1284"/>
      <c r="U190" s="1333"/>
      <c r="V190" s="1333"/>
      <c r="W190" s="1333"/>
      <c r="X190" s="1333"/>
      <c r="Y190" s="1333"/>
      <c r="Z190" s="1333"/>
      <c r="AA190" s="1333"/>
      <c r="AB190" s="1333"/>
      <c r="AC190" s="1333"/>
      <c r="AD190" s="1333"/>
      <c r="AE190" s="1333"/>
      <c r="AF190" s="1333"/>
      <c r="AG190" s="1333"/>
      <c r="AH190" s="1333"/>
      <c r="AI190" s="1333"/>
    </row>
    <row r="191" spans="1:49" ht="15" customHeight="1" x14ac:dyDescent="0.25">
      <c r="A191" s="1503" t="str">
        <f>IF(SD_apply="Yes",IF(COUNTIF('01 - SD'!D191:G191,"Y")&gt;0,"Y",IF(COUNTIF('01 - SD'!D191:G191,"N"),"N","")),"")</f>
        <v>N</v>
      </c>
      <c r="B191" s="18"/>
      <c r="C191" s="945"/>
      <c r="D191" s="547"/>
      <c r="E191" s="559" t="str">
        <f>IF('C-Design&amp;Const'!$K191="","",'C-Design&amp;Const'!$K191)</f>
        <v>N</v>
      </c>
      <c r="F191" s="460"/>
      <c r="G191" s="485"/>
      <c r="H191" s="340" t="str">
        <f>CONCATENATE(IF(E191="N","PLACEHOLDER ROW - ",""),IF(E191="N","",J191),'C-Design&amp;Const'!Z191,)</f>
        <v>PLACEHOLDER ROW - Soil Borings and Soils Report (With Applicable Section)</v>
      </c>
      <c r="I191" s="136"/>
      <c r="J191" s="578" t="str">
        <f>IF('C-Design&amp;Const'!AF191="","",'C-Design&amp;Const'!AF191)</f>
        <v/>
      </c>
      <c r="K191" s="25" t="str">
        <f>IF(DD_apply="Yes",IF((COUNTIF(D191:G191,"Y")=COUNTIF('01 - SD'!D191:G191,"Y")),"match","no SD match"),"-")</f>
        <v>match</v>
      </c>
      <c r="L191" s="1410" t="str">
        <f t="shared" si="10"/>
        <v>&lt;---PM/Planner may hide PLACEHOLDER ROW</v>
      </c>
      <c r="M191" s="1333"/>
      <c r="N191" s="1333"/>
      <c r="O191" s="1333"/>
      <c r="P191" s="1333"/>
      <c r="Q191" s="1333"/>
      <c r="R191" s="1410"/>
      <c r="S191" s="1333"/>
      <c r="T191" s="1284"/>
      <c r="U191" s="1333"/>
      <c r="V191" s="1333"/>
      <c r="W191" s="1333"/>
      <c r="X191" s="1333"/>
      <c r="Y191" s="1333"/>
      <c r="Z191" s="1333"/>
      <c r="AA191" s="1333"/>
      <c r="AB191" s="1333"/>
      <c r="AC191" s="1333"/>
      <c r="AD191" s="1333"/>
      <c r="AE191" s="1333"/>
      <c r="AF191" s="1333"/>
      <c r="AG191" s="1333"/>
      <c r="AH191" s="1333"/>
      <c r="AI191" s="1333"/>
    </row>
    <row r="192" spans="1:49" ht="24.75" customHeight="1" x14ac:dyDescent="0.25">
      <c r="A192" s="1503" t="str">
        <f>IF(SD_apply="Yes",IF(COUNTIF('01 - SD'!D192:G192,"Y")&gt;0,"Y",IF(COUNTIF('01 - SD'!D192:G192,"N"),"N","")),"")</f>
        <v>N</v>
      </c>
      <c r="B192" s="18"/>
      <c r="C192" s="945"/>
      <c r="D192" s="547"/>
      <c r="E192" s="559" t="str">
        <f>IF('C-Design&amp;Const'!$K192="","",'C-Design&amp;Const'!$K192)</f>
        <v>N</v>
      </c>
      <c r="F192" s="460"/>
      <c r="G192" s="485"/>
      <c r="H192" s="340" t="str">
        <f>CONCATENATE(IF(E192="N","PLACEHOLDER ROW - ",""),IF(E192="N","",J192),'C-Design&amp;Const'!Z192,)</f>
        <v>PLACEHOLDER ROW - Results of Hazardous Materials Testing and Hazardous Materials Mediation Plan (With Applicable Section)</v>
      </c>
      <c r="I192" s="136"/>
      <c r="J192" s="578" t="str">
        <f>IF('C-Design&amp;Const'!AF192="","",'C-Design&amp;Const'!AF192)</f>
        <v/>
      </c>
      <c r="K192" s="25" t="str">
        <f>IF(DD_apply="Yes",IF((COUNTIF(D192:G192,"Y")=COUNTIF('01 - SD'!D192:G192,"Y")),"match","no SD match"),"-")</f>
        <v>match</v>
      </c>
      <c r="L192" s="1410" t="str">
        <f t="shared" si="10"/>
        <v>&lt;---PM/Planner may hide PLACEHOLDER ROW</v>
      </c>
      <c r="M192" s="1333"/>
      <c r="N192" s="1333"/>
      <c r="O192" s="1333"/>
      <c r="P192" s="1333"/>
      <c r="Q192" s="1333"/>
      <c r="R192" s="1453"/>
      <c r="S192" s="1284"/>
      <c r="T192" s="1284"/>
      <c r="U192" s="1333"/>
      <c r="V192" s="1333"/>
      <c r="W192" s="1333"/>
      <c r="X192" s="1333"/>
      <c r="Y192" s="1333"/>
      <c r="Z192" s="1333"/>
      <c r="AA192" s="1333"/>
      <c r="AB192" s="1333"/>
      <c r="AC192" s="1333"/>
      <c r="AD192" s="1333"/>
      <c r="AE192" s="1333"/>
      <c r="AF192" s="1333"/>
      <c r="AG192" s="1333"/>
      <c r="AH192" s="1333"/>
      <c r="AI192" s="1333"/>
    </row>
    <row r="193" spans="1:49" s="30" customFormat="1" ht="15" customHeight="1" x14ac:dyDescent="0.25">
      <c r="A193" s="1503" t="str">
        <f>IF(SD_apply="Yes",IF(COUNTIF('01 - SD'!D193:G193,"Y")&gt;0,"Y",IF(COUNTIF('01 - SD'!D193:G193,"N"),"N","")),"")</f>
        <v>N</v>
      </c>
      <c r="B193" s="32"/>
      <c r="C193" s="945"/>
      <c r="D193" s="10"/>
      <c r="E193" s="559" t="str">
        <f>IF('C-Design&amp;Const'!$K193="","",'C-Design&amp;Const'!$K193)</f>
        <v>Y</v>
      </c>
      <c r="F193" s="461"/>
      <c r="G193" s="291"/>
      <c r="H193" s="340" t="str">
        <f>CONCATENATE(IF(E193="N","PLACEHOLDER ROW - ",""),IF(E193="N","",J193),'C-Design&amp;Const'!Z193,)</f>
        <v>(Applied for) EPA &amp; State Permits (With Applicable Section)</v>
      </c>
      <c r="I193" s="184"/>
      <c r="J193" s="578" t="str">
        <f>IF('C-Design&amp;Const'!AF193="","",'C-Design&amp;Const'!AF193)</f>
        <v xml:space="preserve">(Applied for) </v>
      </c>
      <c r="K193" s="25" t="str">
        <f>IF(DD_apply="Yes",IF((COUNTIF(D193:G193,"Y")=COUNTIF('01 - SD'!D193:G193,"Y")),"match","no SD match"),"-")</f>
        <v>no SD match</v>
      </c>
      <c r="L193" s="1410" t="str">
        <f t="shared" si="10"/>
        <v/>
      </c>
      <c r="M193" s="1382"/>
      <c r="N193" s="1382"/>
      <c r="O193" s="1382"/>
      <c r="P193" s="1382"/>
      <c r="Q193" s="1382"/>
      <c r="R193" s="1382"/>
      <c r="S193" s="1382"/>
      <c r="T193" s="1382"/>
      <c r="U193" s="1382"/>
      <c r="V193" s="1382"/>
      <c r="W193" s="1382"/>
      <c r="X193" s="1382"/>
      <c r="Y193" s="1382"/>
      <c r="Z193" s="1382"/>
      <c r="AA193" s="1382"/>
      <c r="AB193" s="1382"/>
      <c r="AC193" s="1382"/>
      <c r="AD193" s="1382"/>
      <c r="AE193" s="1382"/>
      <c r="AF193" s="1382"/>
      <c r="AG193" s="1382"/>
      <c r="AH193" s="1382"/>
      <c r="AI193" s="1382"/>
      <c r="AJ193" s="181"/>
      <c r="AK193" s="181"/>
      <c r="AL193" s="181"/>
      <c r="AM193" s="181"/>
      <c r="AN193" s="181"/>
      <c r="AO193" s="181"/>
      <c r="AP193" s="181"/>
      <c r="AQ193" s="181"/>
      <c r="AR193" s="181"/>
      <c r="AS193" s="181"/>
      <c r="AT193" s="181"/>
      <c r="AU193" s="181"/>
      <c r="AV193" s="181"/>
      <c r="AW193" s="181"/>
    </row>
    <row r="194" spans="1:49" ht="15" customHeight="1" x14ac:dyDescent="0.25">
      <c r="A194" s="1503" t="str">
        <f>IF(SD_apply="Yes",IF(COUNTIF('01 - SD'!D194:G194,"Y")&gt;0,"Y",IF(COUNTIF('01 - SD'!D194:G194,"N"),"N","")),"")</f>
        <v>N</v>
      </c>
      <c r="B194" s="18"/>
      <c r="C194" s="945"/>
      <c r="D194" s="547"/>
      <c r="E194" s="559" t="str">
        <f>IF('C-Design&amp;Const'!$K194="","",'C-Design&amp;Const'!$K194)</f>
        <v>N</v>
      </c>
      <c r="F194" s="460"/>
      <c r="G194" s="485"/>
      <c r="H194" s="238" t="str">
        <f>CONCATENATE(IF(E194="N","PLACEHOLDER ROW - ",""),IF(E194="N","",J194),'C-Design&amp;Const'!Z194,)</f>
        <v>PLACEHOLDER ROW - Results of flow testing (With Applicable Section)</v>
      </c>
      <c r="I194" s="136"/>
      <c r="J194" s="578" t="str">
        <f>IF('C-Design&amp;Const'!AF194="","",'C-Design&amp;Const'!AF194)</f>
        <v/>
      </c>
      <c r="K194" s="25" t="str">
        <f>IF(DD_apply="Yes",IF((COUNTIF(D194:G194,"Y")=COUNTIF('01 - SD'!D194:G194,"Y")),"match","no SD match"),"-")</f>
        <v>match</v>
      </c>
      <c r="L194" s="1410" t="str">
        <f t="shared" si="10"/>
        <v>&lt;---PM/Planner may hide PLACEHOLDER ROW</v>
      </c>
      <c r="M194" s="1333"/>
      <c r="N194" s="1333"/>
      <c r="O194" s="1333"/>
      <c r="P194" s="1333"/>
      <c r="Q194" s="1333"/>
      <c r="R194" s="1453"/>
      <c r="S194" s="1284"/>
      <c r="T194" s="1284"/>
      <c r="U194" s="1333"/>
      <c r="V194" s="1333"/>
      <c r="W194" s="1333"/>
      <c r="X194" s="1333"/>
      <c r="Y194" s="1333"/>
      <c r="Z194" s="1333"/>
      <c r="AA194" s="1333"/>
      <c r="AB194" s="1333"/>
      <c r="AC194" s="1333"/>
      <c r="AD194" s="1333"/>
      <c r="AE194" s="1333"/>
      <c r="AF194" s="1333"/>
      <c r="AG194" s="1333"/>
      <c r="AH194" s="1333"/>
      <c r="AI194" s="1333"/>
    </row>
    <row r="195" spans="1:49" ht="15" customHeight="1" x14ac:dyDescent="0.25">
      <c r="A195" s="1503" t="str">
        <f>IF(SD_apply="Yes",IF(COUNTIF('01 - SD'!D195:G195,"Y")&gt;0,"Y",IF(COUNTIF('01 - SD'!D195:G195,"N"),"N","")),"")</f>
        <v>N</v>
      </c>
      <c r="B195" s="18"/>
      <c r="C195" s="945"/>
      <c r="D195" s="547"/>
      <c r="E195" s="559" t="str">
        <f>IF('C-Design&amp;Const'!$K195="","",'C-Design&amp;Const'!$K195)</f>
        <v>N</v>
      </c>
      <c r="F195" s="460"/>
      <c r="G195" s="485"/>
      <c r="H195" s="238" t="str">
        <f>CONCATENATE(IF(E195="N","PLACEHOLDER ROW - ",""),IF(E195="N","",J195),'C-Design&amp;Const'!Z195,)</f>
        <v>PLACEHOLDER ROW - Results of existing exterior envelope material tests or strengths (With Applicable section)</v>
      </c>
      <c r="I195" s="136"/>
      <c r="J195" s="578" t="str">
        <f>IF('C-Design&amp;Const'!AF195="","",'C-Design&amp;Const'!AF195)</f>
        <v/>
      </c>
      <c r="K195" s="25" t="str">
        <f>IF(DD_apply="Yes",IF((COUNTIF(D195:G195,"Y")=COUNTIF('01 - SD'!D195:G195,"Y")),"match","no SD match"),"-")</f>
        <v>match</v>
      </c>
      <c r="L195" s="1410" t="str">
        <f t="shared" si="10"/>
        <v>&lt;---PM/Planner may hide PLACEHOLDER ROW</v>
      </c>
      <c r="M195" s="1333"/>
      <c r="N195" s="1333"/>
      <c r="O195" s="1333"/>
      <c r="P195" s="1333"/>
      <c r="Q195" s="1333"/>
      <c r="R195" s="1453"/>
      <c r="S195" s="1284"/>
      <c r="T195" s="1284"/>
      <c r="U195" s="1333"/>
      <c r="V195" s="1333"/>
      <c r="W195" s="1333"/>
      <c r="X195" s="1333"/>
      <c r="Y195" s="1333"/>
      <c r="Z195" s="1333"/>
      <c r="AA195" s="1333"/>
      <c r="AB195" s="1333"/>
      <c r="AC195" s="1333"/>
      <c r="AD195" s="1333"/>
      <c r="AE195" s="1333"/>
      <c r="AF195" s="1333"/>
      <c r="AG195" s="1333"/>
      <c r="AH195" s="1333"/>
      <c r="AI195" s="1333"/>
    </row>
    <row r="196" spans="1:49" ht="15" customHeight="1" x14ac:dyDescent="0.25">
      <c r="A196" s="1503" t="str">
        <f>IF(SD_apply="Yes",IF(COUNTIF('01 - SD'!D196:G196,"Y")&gt;0,"Y",IF(COUNTIF('01 - SD'!D196:G196,"N"),"N","")),"")</f>
        <v>N</v>
      </c>
      <c r="B196" s="18"/>
      <c r="C196" s="945"/>
      <c r="D196" s="547"/>
      <c r="E196" s="559" t="str">
        <f>IF('C-Design&amp;Const'!$K196="","",'C-Design&amp;Const'!$K196)</f>
        <v>N</v>
      </c>
      <c r="F196" s="460"/>
      <c r="G196" s="485"/>
      <c r="H196" s="238" t="str">
        <f>CONCATENATE(IF(E196="N","PLACEHOLDER ROW - ",""),IF(E196="N","",J196),'C-Design&amp;Const'!Z196,)</f>
        <v>PLACEHOLDER ROW - Results of any existing structural materials tests or verification / scans of structure layout. (With Applicable section)</v>
      </c>
      <c r="I196" s="136"/>
      <c r="J196" s="578" t="str">
        <f>IF('C-Design&amp;Const'!AF196="","",'C-Design&amp;Const'!AF196)</f>
        <v/>
      </c>
      <c r="K196" s="25" t="str">
        <f>IF(DD_apply="Yes",IF((COUNTIF(D196:G196,"Y")=COUNTIF('01 - SD'!D196:G196,"Y")),"match","no SD match"),"-")</f>
        <v>match</v>
      </c>
      <c r="L196" s="1410" t="str">
        <f t="shared" si="10"/>
        <v>&lt;---PM/Planner may hide PLACEHOLDER ROW</v>
      </c>
      <c r="M196" s="1333"/>
      <c r="N196" s="1333"/>
      <c r="O196" s="1333"/>
      <c r="P196" s="1333"/>
      <c r="Q196" s="1333"/>
      <c r="R196" s="1453"/>
      <c r="S196" s="1284"/>
      <c r="T196" s="1456"/>
      <c r="U196" s="1333"/>
      <c r="V196" s="1333"/>
      <c r="W196" s="1333"/>
      <c r="X196" s="1333"/>
      <c r="Y196" s="1333"/>
      <c r="Z196" s="1333"/>
      <c r="AA196" s="1333"/>
      <c r="AB196" s="1333"/>
      <c r="AC196" s="1333"/>
      <c r="AD196" s="1333"/>
      <c r="AE196" s="1333"/>
      <c r="AF196" s="1333"/>
      <c r="AG196" s="1333"/>
      <c r="AH196" s="1333"/>
      <c r="AI196" s="1333"/>
    </row>
    <row r="197" spans="1:49" s="30" customFormat="1" ht="15" customHeight="1" x14ac:dyDescent="0.25">
      <c r="A197" s="1503" t="str">
        <f>IF(SD_apply="Yes",IF(COUNTIF('01 - SD'!D197:G197,"Y")&gt;0,"Y",IF(COUNTIF('01 - SD'!D197:G197,"N"),"N","")),"")</f>
        <v>N</v>
      </c>
      <c r="B197" s="32"/>
      <c r="C197" s="945"/>
      <c r="D197" s="10"/>
      <c r="E197" s="559" t="str">
        <f>IF('C-Design&amp;Const'!$K197="","",'C-Design&amp;Const'!$K197)</f>
        <v>N</v>
      </c>
      <c r="F197" s="461"/>
      <c r="G197" s="291"/>
      <c r="H197" s="238" t="str">
        <f>CONCATENATE(IF(E197="N","PLACEHOLDER ROW - ",""),IF(E197="N","",J197),'C-Design&amp;Const'!Z197,)</f>
        <v>PLACEHOLDER ROW - CUSTOM ROW - OPTIONAL CLIENT ITEM</v>
      </c>
      <c r="I197" s="184"/>
      <c r="J197" s="578" t="str">
        <f>IF('C-Design&amp;Const'!AF197="","",'C-Design&amp;Const'!AF197)</f>
        <v/>
      </c>
      <c r="K197" s="25" t="str">
        <f>IF(DD_apply="Yes",IF((COUNTIF(D197:G197,"Y")=COUNTIF('01 - SD'!D197:G197,"Y")),"match","no SD match"),"-")</f>
        <v>match</v>
      </c>
      <c r="L197" s="1410" t="str">
        <f t="shared" si="10"/>
        <v>&lt;---PM/Planner may hide PLACEHOLDER ROW</v>
      </c>
      <c r="M197" s="1382"/>
      <c r="N197" s="1333"/>
      <c r="O197" s="1382"/>
      <c r="P197" s="1382"/>
      <c r="Q197" s="1382"/>
      <c r="R197" s="1382"/>
      <c r="S197" s="1382"/>
      <c r="T197" s="1382"/>
      <c r="U197" s="1382"/>
      <c r="V197" s="1382"/>
      <c r="W197" s="1382"/>
      <c r="X197" s="1382"/>
      <c r="Y197" s="1382"/>
      <c r="Z197" s="1382"/>
      <c r="AA197" s="1382"/>
      <c r="AB197" s="1382"/>
      <c r="AC197" s="1382"/>
      <c r="AD197" s="1382"/>
      <c r="AE197" s="1382"/>
      <c r="AF197" s="1382"/>
      <c r="AG197" s="1382"/>
      <c r="AH197" s="1382"/>
      <c r="AI197" s="1382"/>
      <c r="AJ197" s="181"/>
      <c r="AK197" s="181"/>
      <c r="AL197" s="181"/>
      <c r="AM197" s="181"/>
      <c r="AN197" s="181"/>
      <c r="AO197" s="181"/>
      <c r="AP197" s="181"/>
      <c r="AQ197" s="181"/>
      <c r="AR197" s="181"/>
      <c r="AS197" s="181"/>
      <c r="AT197" s="181"/>
      <c r="AU197" s="181"/>
      <c r="AV197" s="181"/>
      <c r="AW197" s="181"/>
    </row>
    <row r="198" spans="1:49" ht="15" customHeight="1" x14ac:dyDescent="0.25">
      <c r="A198" s="1503" t="str">
        <f>IF(SD_apply="Yes",IF(COUNTIF('01 - SD'!D198:G198,"Y")&gt;0,"Y",IF(COUNTIF('01 - SD'!D198:G198,"N"),"N","")),"")</f>
        <v>N</v>
      </c>
      <c r="B198" s="18"/>
      <c r="C198" s="945"/>
      <c r="D198" s="547"/>
      <c r="E198" s="559" t="str">
        <f>IF('C-Design&amp;Const'!$K198="","",'C-Design&amp;Const'!$K198)</f>
        <v>N</v>
      </c>
      <c r="F198" s="460"/>
      <c r="G198" s="485"/>
      <c r="H198" s="238" t="str">
        <f>CONCATENATE(IF(E198="N","PLACEHOLDER ROW - ",""),IF(E198="N","",J198),'C-Design&amp;Const'!Z198,)</f>
        <v>PLACEHOLDER ROW - CUSTOM ROW - OPTIONAL CLIENT ITEM</v>
      </c>
      <c r="I198" s="136"/>
      <c r="J198" s="578" t="str">
        <f>IF('C-Design&amp;Const'!AF198="","",'C-Design&amp;Const'!AF198)</f>
        <v/>
      </c>
      <c r="K198" s="25" t="str">
        <f>IF(DD_apply="Yes",IF((COUNTIF(D198:G198,"Y")=COUNTIF('01 - SD'!D198:G198,"Y")),"match","no SD match"),"-")</f>
        <v>match</v>
      </c>
      <c r="L198" s="1410" t="str">
        <f t="shared" si="10"/>
        <v>&lt;---PM/Planner may hide PLACEHOLDER ROW</v>
      </c>
      <c r="M198" s="1333"/>
      <c r="N198" s="1333"/>
      <c r="O198" s="1333"/>
      <c r="P198" s="1333"/>
      <c r="Q198" s="1333"/>
      <c r="R198" s="1453"/>
      <c r="S198" s="1284"/>
      <c r="T198" s="1284"/>
      <c r="U198" s="1333"/>
      <c r="V198" s="1333"/>
      <c r="W198" s="1333"/>
      <c r="X198" s="1333"/>
      <c r="Y198" s="1333"/>
      <c r="Z198" s="1333"/>
      <c r="AA198" s="1333"/>
      <c r="AB198" s="1333"/>
      <c r="AC198" s="1333"/>
      <c r="AD198" s="1333"/>
      <c r="AE198" s="1333"/>
      <c r="AF198" s="1333"/>
      <c r="AG198" s="1333"/>
      <c r="AH198" s="1333"/>
      <c r="AI198" s="1333"/>
    </row>
    <row r="199" spans="1:49" ht="15" hidden="1" customHeight="1" x14ac:dyDescent="0.25">
      <c r="A199" s="1503" t="str">
        <f>IF(SD_apply="Yes",IF(COUNTIF('01 - SD'!D199:G199,"Y")&gt;0,"Y",IF(COUNTIF('01 - SD'!D199:G199,"N"),"N","")),"")</f>
        <v>N</v>
      </c>
      <c r="B199" s="18"/>
      <c r="C199" s="945"/>
      <c r="D199" s="547"/>
      <c r="E199" s="559" t="str">
        <f>IF('C-Design&amp;Const'!$K199="","",'C-Design&amp;Const'!$K199)</f>
        <v>N</v>
      </c>
      <c r="F199" s="460"/>
      <c r="G199" s="485"/>
      <c r="H199" s="238" t="str">
        <f>CONCATENATE(IF(E199="N","PLACEHOLDER ROW - ",""),IF(E199="N","",J199),'C-Design&amp;Const'!Z199,)</f>
        <v>PLACEHOLDER ROW - CUSTOM ROW - OPTIONAL CLIENT ITEM</v>
      </c>
      <c r="I199" s="136"/>
      <c r="J199" s="578" t="str">
        <f>IF('C-Design&amp;Const'!AF199="","",'C-Design&amp;Const'!AF199)</f>
        <v/>
      </c>
      <c r="K199" s="25" t="str">
        <f>IF(DD_apply="Yes",IF((COUNTIF(D199:G199,"Y")=COUNTIF('01 - SD'!D199:G199,"Y")),"match","no SD match"),"-")</f>
        <v>match</v>
      </c>
      <c r="L199" s="1410" t="str">
        <f t="shared" si="10"/>
        <v>&lt;---PM/Planner may hide PLACEHOLDER ROW</v>
      </c>
      <c r="M199" s="1333"/>
      <c r="N199" s="1333"/>
      <c r="O199" s="1333"/>
      <c r="P199" s="1333"/>
      <c r="Q199" s="1333"/>
      <c r="R199" s="1453"/>
      <c r="S199" s="1284"/>
      <c r="T199" s="1284"/>
      <c r="U199" s="1333"/>
      <c r="V199" s="1333"/>
      <c r="W199" s="1333"/>
      <c r="X199" s="1333"/>
      <c r="Y199" s="1333"/>
      <c r="Z199" s="1333"/>
      <c r="AA199" s="1333"/>
      <c r="AB199" s="1333"/>
      <c r="AC199" s="1333"/>
      <c r="AD199" s="1333"/>
      <c r="AE199" s="1333"/>
      <c r="AF199" s="1333"/>
      <c r="AG199" s="1333"/>
      <c r="AH199" s="1333"/>
      <c r="AI199" s="1333"/>
    </row>
    <row r="200" spans="1:49" s="30" customFormat="1" ht="15" hidden="1" customHeight="1" x14ac:dyDescent="0.25">
      <c r="A200" s="1503" t="str">
        <f>IF(SD_apply="Yes",IF(COUNTIF('01 - SD'!D200:G200,"Y")&gt;0,"Y",IF(COUNTIF('01 - SD'!D200:G200,"N"),"N","")),"")</f>
        <v>N</v>
      </c>
      <c r="B200" s="32"/>
      <c r="C200" s="945"/>
      <c r="D200" s="10"/>
      <c r="E200" s="559" t="str">
        <f>IF('C-Design&amp;Const'!$K200="","",'C-Design&amp;Const'!$K200)</f>
        <v>N</v>
      </c>
      <c r="F200" s="461"/>
      <c r="G200" s="291"/>
      <c r="H200" s="238" t="str">
        <f>CONCATENATE(IF(E200="N","PLACEHOLDER ROW - ",""),IF(E200="N","",J200),'C-Design&amp;Const'!Z200,)</f>
        <v>PLACEHOLDER ROW - CUSTOM ROW - OPTIONAL CLIENT ITEM</v>
      </c>
      <c r="I200" s="184"/>
      <c r="J200" s="578" t="str">
        <f>IF('C-Design&amp;Const'!AF200="","",'C-Design&amp;Const'!AF200)</f>
        <v/>
      </c>
      <c r="K200" s="25" t="str">
        <f>IF(DD_apply="Yes",IF((COUNTIF(D200:G200,"Y")=COUNTIF('01 - SD'!D200:G200,"Y")),"match","no SD match"),"-")</f>
        <v>match</v>
      </c>
      <c r="L200" s="1410" t="str">
        <f t="shared" si="10"/>
        <v>&lt;---PM/Planner may hide PLACEHOLDER ROW</v>
      </c>
      <c r="M200" s="1382"/>
      <c r="N200" s="1333"/>
      <c r="O200" s="1382"/>
      <c r="P200" s="1382"/>
      <c r="Q200" s="1382"/>
      <c r="R200" s="1382"/>
      <c r="S200" s="1382"/>
      <c r="T200" s="1382"/>
      <c r="U200" s="1382"/>
      <c r="V200" s="1382"/>
      <c r="W200" s="1382"/>
      <c r="X200" s="1382"/>
      <c r="Y200" s="1382"/>
      <c r="Z200" s="1382"/>
      <c r="AA200" s="1382"/>
      <c r="AB200" s="1382"/>
      <c r="AC200" s="1382"/>
      <c r="AD200" s="1382"/>
      <c r="AE200" s="1382"/>
      <c r="AF200" s="1382"/>
      <c r="AG200" s="1382"/>
      <c r="AH200" s="1382"/>
      <c r="AI200" s="1382"/>
      <c r="AJ200" s="181"/>
      <c r="AK200" s="181"/>
      <c r="AL200" s="181"/>
      <c r="AM200" s="181"/>
      <c r="AN200" s="181"/>
      <c r="AO200" s="181"/>
      <c r="AP200" s="181"/>
      <c r="AQ200" s="181"/>
      <c r="AR200" s="181"/>
      <c r="AS200" s="181"/>
      <c r="AT200" s="181"/>
      <c r="AU200" s="181"/>
      <c r="AV200" s="181"/>
      <c r="AW200" s="181"/>
    </row>
    <row r="201" spans="1:49" ht="15" hidden="1" customHeight="1" x14ac:dyDescent="0.25">
      <c r="A201" s="1503" t="str">
        <f>IF(SD_apply="Yes",IF(COUNTIF('01 - SD'!D201:G201,"Y")&gt;0,"Y",IF(COUNTIF('01 - SD'!D201:G201,"N"),"N","")),"")</f>
        <v>N</v>
      </c>
      <c r="B201" s="18"/>
      <c r="C201" s="945"/>
      <c r="D201" s="547"/>
      <c r="E201" s="559" t="str">
        <f>IF('C-Design&amp;Const'!$K201="","",'C-Design&amp;Const'!$K201)</f>
        <v>N</v>
      </c>
      <c r="F201" s="460"/>
      <c r="G201" s="485"/>
      <c r="H201" s="238" t="str">
        <f>CONCATENATE(IF(E201="N","PLACEHOLDER ROW - ",""),IF(E201="N","",J201),'C-Design&amp;Const'!Z201,)</f>
        <v>PLACEHOLDER ROW - CUSTOM ROW - OPTIONAL CLIENT ITEM</v>
      </c>
      <c r="I201" s="136"/>
      <c r="J201" s="578" t="str">
        <f>IF('C-Design&amp;Const'!AF201="","",'C-Design&amp;Const'!AF201)</f>
        <v/>
      </c>
      <c r="K201" s="25" t="str">
        <f>IF(DD_apply="Yes",IF((COUNTIF(D201:G201,"Y")=COUNTIF('01 - SD'!D201:G201,"Y")),"match","no SD match"),"-")</f>
        <v>match</v>
      </c>
      <c r="L201" s="1410" t="str">
        <f t="shared" si="10"/>
        <v>&lt;---PM/Planner may hide PLACEHOLDER ROW</v>
      </c>
      <c r="M201" s="1333"/>
      <c r="N201" s="1333"/>
      <c r="O201" s="1333"/>
      <c r="P201" s="1333"/>
      <c r="Q201" s="1333"/>
      <c r="R201" s="1453"/>
      <c r="S201" s="1284"/>
      <c r="T201" s="1284"/>
      <c r="U201" s="1333"/>
      <c r="V201" s="1333"/>
      <c r="W201" s="1333"/>
      <c r="X201" s="1333"/>
      <c r="Y201" s="1333"/>
      <c r="Z201" s="1333"/>
      <c r="AA201" s="1333"/>
      <c r="AB201" s="1333"/>
      <c r="AC201" s="1333"/>
      <c r="AD201" s="1333"/>
      <c r="AE201" s="1333"/>
      <c r="AF201" s="1333"/>
      <c r="AG201" s="1333"/>
      <c r="AH201" s="1333"/>
      <c r="AI201" s="1333"/>
    </row>
    <row r="202" spans="1:49" s="30" customFormat="1" ht="15" hidden="1" customHeight="1" x14ac:dyDescent="0.25">
      <c r="A202" s="1503" t="str">
        <f>IF(SD_apply="Yes",IF(COUNTIF('01 - SD'!D202:G202,"Y")&gt;0,"Y",IF(COUNTIF('01 - SD'!D202:G202,"N"),"N","")),"")</f>
        <v>N</v>
      </c>
      <c r="B202" s="32"/>
      <c r="C202" s="945"/>
      <c r="D202" s="10"/>
      <c r="E202" s="559" t="str">
        <f>IF('C-Design&amp;Const'!$K202="","",'C-Design&amp;Const'!$K202)</f>
        <v>N</v>
      </c>
      <c r="F202" s="461"/>
      <c r="G202" s="291"/>
      <c r="H202" s="238" t="str">
        <f>CONCATENATE(IF(E202="N","PLACEHOLDER ROW - ",""),IF(E202="N","",J202),'C-Design&amp;Const'!Z202,)</f>
        <v>PLACEHOLDER ROW - CUSTOM ROW - OPTIONAL CLIENT ITEM</v>
      </c>
      <c r="I202" s="184"/>
      <c r="J202" s="578" t="str">
        <f>IF('C-Design&amp;Const'!AF202="","",'C-Design&amp;Const'!AF202)</f>
        <v/>
      </c>
      <c r="K202" s="25" t="str">
        <f>IF(DD_apply="Yes",IF((COUNTIF(D202:G202,"Y")=COUNTIF('01 - SD'!D202:G202,"Y")),"match","no SD match"),"-")</f>
        <v>match</v>
      </c>
      <c r="L202" s="1410" t="str">
        <f t="shared" si="10"/>
        <v>&lt;---PM/Planner may hide PLACEHOLDER ROW</v>
      </c>
      <c r="M202" s="1382"/>
      <c r="N202" s="1333"/>
      <c r="O202" s="1382"/>
      <c r="P202" s="1382"/>
      <c r="Q202" s="1382"/>
      <c r="R202" s="1382"/>
      <c r="S202" s="1382"/>
      <c r="T202" s="1382"/>
      <c r="U202" s="1382"/>
      <c r="V202" s="1382"/>
      <c r="W202" s="1382"/>
      <c r="X202" s="1382"/>
      <c r="Y202" s="1382"/>
      <c r="Z202" s="1382"/>
      <c r="AA202" s="1382"/>
      <c r="AB202" s="1382"/>
      <c r="AC202" s="1382"/>
      <c r="AD202" s="1382"/>
      <c r="AE202" s="1382"/>
      <c r="AF202" s="1382"/>
      <c r="AG202" s="1382"/>
      <c r="AH202" s="1382"/>
      <c r="AI202" s="1382"/>
      <c r="AJ202" s="181"/>
      <c r="AK202" s="181"/>
      <c r="AL202" s="181"/>
      <c r="AM202" s="181"/>
      <c r="AN202" s="181"/>
      <c r="AO202" s="181"/>
      <c r="AP202" s="181"/>
      <c r="AQ202" s="181"/>
      <c r="AR202" s="181"/>
      <c r="AS202" s="181"/>
      <c r="AT202" s="181"/>
      <c r="AU202" s="181"/>
      <c r="AV202" s="181"/>
      <c r="AW202" s="181"/>
    </row>
    <row r="203" spans="1:49" s="30" customFormat="1" ht="15" hidden="1" customHeight="1" x14ac:dyDescent="0.25">
      <c r="A203" s="1503" t="str">
        <f>IF(SD_apply="Yes",IF(COUNTIF('01 - SD'!D203:G203,"Y")&gt;0,"Y",IF(COUNTIF('01 - SD'!D203:G203,"N"),"N","")),"")</f>
        <v>N</v>
      </c>
      <c r="B203" s="32"/>
      <c r="C203" s="945"/>
      <c r="D203" s="10"/>
      <c r="E203" s="559" t="str">
        <f>IF('C-Design&amp;Const'!$K203="","",'C-Design&amp;Const'!$K203)</f>
        <v>N</v>
      </c>
      <c r="F203" s="461"/>
      <c r="G203" s="291"/>
      <c r="H203" s="238" t="str">
        <f>CONCATENATE(IF(E203="N","PLACEHOLDER ROW - ",""),IF(E203="N","",J203),'C-Design&amp;Const'!Z203,)</f>
        <v>PLACEHOLDER ROW - CUSTOM ROW - OPTIONAL CLIENT ITEM</v>
      </c>
      <c r="I203" s="184"/>
      <c r="J203" s="578" t="str">
        <f>IF('C-Design&amp;Const'!AF203="","",'C-Design&amp;Const'!AF203)</f>
        <v/>
      </c>
      <c r="K203" s="25" t="str">
        <f>IF(DD_apply="Yes",IF((COUNTIF(D203:G203,"Y")=COUNTIF('01 - SD'!D203:G203,"Y")),"match","no SD match"),"-")</f>
        <v>match</v>
      </c>
      <c r="L203" s="1410" t="str">
        <f t="shared" si="10"/>
        <v>&lt;---PM/Planner may hide PLACEHOLDER ROW</v>
      </c>
      <c r="M203" s="1382"/>
      <c r="N203" s="1333"/>
      <c r="O203" s="1382"/>
      <c r="P203" s="1382"/>
      <c r="Q203" s="1382"/>
      <c r="R203" s="1382"/>
      <c r="S203" s="1382"/>
      <c r="T203" s="1382"/>
      <c r="U203" s="1382"/>
      <c r="V203" s="1382"/>
      <c r="W203" s="1382"/>
      <c r="X203" s="1382"/>
      <c r="Y203" s="1382"/>
      <c r="Z203" s="1382"/>
      <c r="AA203" s="1382"/>
      <c r="AB203" s="1382"/>
      <c r="AC203" s="1382"/>
      <c r="AD203" s="1382"/>
      <c r="AE203" s="1382"/>
      <c r="AF203" s="1382"/>
      <c r="AG203" s="1382"/>
      <c r="AH203" s="1382"/>
      <c r="AI203" s="1382"/>
      <c r="AJ203" s="181"/>
      <c r="AK203" s="181"/>
      <c r="AL203" s="181"/>
      <c r="AM203" s="181"/>
      <c r="AN203" s="181"/>
      <c r="AO203" s="181"/>
      <c r="AP203" s="181"/>
      <c r="AQ203" s="181"/>
      <c r="AR203" s="181"/>
      <c r="AS203" s="181"/>
      <c r="AT203" s="181"/>
      <c r="AU203" s="181"/>
      <c r="AV203" s="181"/>
      <c r="AW203" s="181"/>
    </row>
    <row r="204" spans="1:49" ht="15" hidden="1" customHeight="1" x14ac:dyDescent="0.25">
      <c r="A204" s="1503" t="str">
        <f>IF(SD_apply="Yes",IF(COUNTIF('01 - SD'!D204:G204,"Y")&gt;0,"Y",IF(COUNTIF('01 - SD'!D204:G204,"N"),"N","")),"")</f>
        <v>N</v>
      </c>
      <c r="B204" s="18"/>
      <c r="C204" s="945"/>
      <c r="D204" s="547"/>
      <c r="E204" s="559" t="str">
        <f>IF('C-Design&amp;Const'!$K204="","",'C-Design&amp;Const'!$K204)</f>
        <v>N</v>
      </c>
      <c r="F204" s="460"/>
      <c r="G204" s="485"/>
      <c r="H204" s="238" t="str">
        <f>CONCATENATE(IF(E204="N","PLACEHOLDER ROW - ",""),IF(E204="N","",J204),'C-Design&amp;Const'!Z204,)</f>
        <v>PLACEHOLDER ROW - CUSTOM ROW - OPTIONAL CLIENT ITEM</v>
      </c>
      <c r="I204" s="136"/>
      <c r="J204" s="578" t="str">
        <f>IF('C-Design&amp;Const'!AF204="","",'C-Design&amp;Const'!AF204)</f>
        <v/>
      </c>
      <c r="K204" s="25" t="str">
        <f>IF(DD_apply="Yes",IF((COUNTIF(D204:G204,"Y")=COUNTIF('01 - SD'!D204:G204,"Y")),"match","no SD match"),"-")</f>
        <v>match</v>
      </c>
      <c r="L204" s="1410" t="str">
        <f t="shared" si="10"/>
        <v>&lt;---PM/Planner may hide PLACEHOLDER ROW</v>
      </c>
      <c r="M204" s="1333"/>
      <c r="N204" s="1333"/>
      <c r="O204" s="1333"/>
      <c r="P204" s="1333"/>
      <c r="Q204" s="1333"/>
      <c r="R204" s="1453"/>
      <c r="S204" s="1284"/>
      <c r="T204" s="1284"/>
      <c r="U204" s="1333"/>
      <c r="V204" s="1333"/>
      <c r="W204" s="1333"/>
      <c r="X204" s="1333"/>
      <c r="Y204" s="1333"/>
      <c r="Z204" s="1333"/>
      <c r="AA204" s="1333"/>
      <c r="AB204" s="1333"/>
      <c r="AC204" s="1333"/>
      <c r="AD204" s="1333"/>
      <c r="AE204" s="1333"/>
      <c r="AF204" s="1333"/>
      <c r="AG204" s="1333"/>
      <c r="AH204" s="1333"/>
      <c r="AI204" s="1333"/>
    </row>
    <row r="205" spans="1:49" ht="15.75" x14ac:dyDescent="0.25">
      <c r="A205" s="1503" t="str">
        <f>IF(SD_apply="Yes",IF(COUNTIF('01 - SD'!D205:G205,"Y")&gt;0,"Y",IF(COUNTIF('01 - SD'!D205:G205,"N"),"N","")),"")</f>
        <v/>
      </c>
      <c r="B205" s="18"/>
      <c r="C205" s="945"/>
      <c r="D205" s="116"/>
      <c r="E205" s="411"/>
      <c r="F205" s="321"/>
      <c r="G205" s="294"/>
      <c r="H205" s="296"/>
      <c r="I205" s="130"/>
      <c r="J205" s="578" t="str">
        <f>IF('C-Design&amp;Const'!AF205="","",'C-Design&amp;Const'!AF205)</f>
        <v/>
      </c>
      <c r="K205" s="25" t="str">
        <f>IF(DD_apply="Yes",IF((COUNTIF(D205:G205,"Y")=COUNTIF('01 - SD'!D205:G205,"Y")),"match","no SD match"),"-")</f>
        <v>match</v>
      </c>
      <c r="L205" s="1410" t="str">
        <f t="shared" si="10"/>
        <v/>
      </c>
      <c r="M205" s="1333"/>
      <c r="N205" s="1333"/>
      <c r="O205" s="1333"/>
      <c r="P205" s="1333"/>
      <c r="Q205" s="1333"/>
      <c r="R205" s="1446"/>
      <c r="S205" s="1284"/>
      <c r="T205" s="1284"/>
      <c r="U205" s="1333"/>
      <c r="V205" s="1333"/>
      <c r="W205" s="1333"/>
      <c r="X205" s="1333"/>
      <c r="Y205" s="1333"/>
      <c r="Z205" s="1333"/>
      <c r="AA205" s="1333"/>
      <c r="AB205" s="1333"/>
      <c r="AC205" s="1333"/>
      <c r="AD205" s="1333"/>
      <c r="AE205" s="1333"/>
      <c r="AF205" s="1333"/>
      <c r="AG205" s="1333"/>
      <c r="AH205" s="1333"/>
      <c r="AI205" s="1333"/>
    </row>
    <row r="206" spans="1:49" s="30" customFormat="1" ht="18.75" x14ac:dyDescent="0.25">
      <c r="A206" s="1503" t="str">
        <f>IF(SD_apply="Yes",IF(COUNTIF('01 - SD'!D206:G206,"Y")&gt;0,"Y",IF(COUNTIF('01 - SD'!D206:G206,"N"),"N","")),"")</f>
        <v>Y</v>
      </c>
      <c r="B206" s="32"/>
      <c r="C206" s="928"/>
      <c r="D206" s="52" t="str">
        <f>IF('C-Design&amp;Const'!$K206="","",'C-Design&amp;Const'!$K206)</f>
        <v>Y</v>
      </c>
      <c r="E206" s="234"/>
      <c r="F206" s="235"/>
      <c r="G206" s="291" t="str">
        <f>IF('C-Design&amp;Const'!Y206="","",'C-Design&amp;Const'!Y206)</f>
        <v>07a.</v>
      </c>
      <c r="H206" s="236" t="str">
        <f>(CONCATENATE('C-Design&amp;Const'!Z206,IF(D206="N"," Not Used In This Design Phase",J206)))</f>
        <v>Drawing Set</v>
      </c>
      <c r="I206" s="184"/>
      <c r="J206" s="578" t="str">
        <f>IF('C-Design&amp;Const'!AF206="","",'C-Design&amp;Const'!AF206)</f>
        <v/>
      </c>
      <c r="K206" s="25" t="str">
        <f>IF(DD_apply="Yes",IF((COUNTIF(D206:G206,"Y")=COUNTIF('01 - SD'!D206:G206,"Y")),"match","no SD match"),"-")</f>
        <v>match</v>
      </c>
      <c r="L206" s="1410" t="str">
        <f t="shared" si="10"/>
        <v/>
      </c>
      <c r="M206" s="1382"/>
      <c r="N206" s="1333"/>
      <c r="O206" s="1382"/>
      <c r="P206" s="1382"/>
      <c r="Q206" s="1382"/>
      <c r="R206" s="1447"/>
      <c r="S206" s="1448"/>
      <c r="T206" s="1274"/>
      <c r="U206" s="1382"/>
      <c r="V206" s="1382"/>
      <c r="W206" s="1382"/>
      <c r="X206" s="1382"/>
      <c r="Y206" s="1382"/>
      <c r="Z206" s="1382"/>
      <c r="AA206" s="1382"/>
      <c r="AB206" s="1382"/>
      <c r="AC206" s="1382"/>
      <c r="AD206" s="1382"/>
      <c r="AE206" s="1382"/>
      <c r="AF206" s="1382"/>
      <c r="AG206" s="1382"/>
      <c r="AH206" s="1382"/>
      <c r="AI206" s="1382"/>
      <c r="AJ206" s="181"/>
      <c r="AK206" s="181"/>
      <c r="AL206" s="181"/>
      <c r="AM206" s="181"/>
      <c r="AN206" s="181"/>
      <c r="AO206" s="181"/>
      <c r="AP206" s="181"/>
      <c r="AQ206" s="181"/>
      <c r="AR206" s="181"/>
      <c r="AS206" s="181"/>
      <c r="AT206" s="181"/>
      <c r="AU206" s="181"/>
      <c r="AV206" s="181"/>
    </row>
    <row r="207" spans="1:49" ht="18" customHeight="1" x14ac:dyDescent="0.25">
      <c r="A207" s="1504" t="str">
        <f>IF(SD_apply="Yes",IF(COUNTIF('01 - SD'!D207:G207,"Y")&gt;0,"Y",IF(COUNTIF('01 - SD'!D207:G207,"N"),"N","")),"")</f>
        <v>Y</v>
      </c>
      <c r="B207" s="18"/>
      <c r="C207" s="945"/>
      <c r="D207" s="116"/>
      <c r="E207" s="321"/>
      <c r="F207" s="559" t="str">
        <f>IF('C-Design&amp;Const'!$K207="","",'C-Design&amp;Const'!$K207)</f>
        <v>Y</v>
      </c>
      <c r="G207" s="485"/>
      <c r="H207" s="469" t="str">
        <f>CONCATENATE(IF(F207="N","PLACEHOLDER ROW - ",""),'C-Design&amp;Const'!Z207,IF(F207="N","",J207))</f>
        <v>Title Sheet (Approx. 50% Complete)</v>
      </c>
      <c r="I207" s="137"/>
      <c r="J207" s="578" t="str">
        <f>IF('C-Design&amp;Const'!AF207="","",'C-Design&amp;Const'!AF207)</f>
        <v>(Approx. 50% Complete)</v>
      </c>
      <c r="K207" s="25" t="str">
        <f>IF(DD_apply="Yes",IF((COUNTIF(D207:G207,"Y")=COUNTIF('01 - SD'!D207:G207,"Y")),"match","no SD match"),"-")</f>
        <v>match</v>
      </c>
      <c r="L207" s="1410" t="str">
        <f t="shared" si="10"/>
        <v/>
      </c>
      <c r="M207" s="1333"/>
      <c r="N207" s="1333"/>
      <c r="O207" s="1333"/>
      <c r="P207" s="1333"/>
      <c r="Q207" s="1333"/>
      <c r="R207" s="1453"/>
      <c r="S207" s="1284"/>
      <c r="T207" s="1284"/>
      <c r="U207" s="1333"/>
      <c r="V207" s="1333"/>
      <c r="W207" s="1333"/>
      <c r="X207" s="1333"/>
      <c r="Y207" s="1333"/>
      <c r="Z207" s="1333"/>
      <c r="AA207" s="1333"/>
      <c r="AB207" s="1333"/>
      <c r="AC207" s="1333"/>
      <c r="AD207" s="1333"/>
      <c r="AE207" s="1333"/>
      <c r="AF207" s="1333"/>
      <c r="AG207" s="1333"/>
      <c r="AH207" s="1333"/>
      <c r="AI207" s="1333"/>
      <c r="AV207"/>
      <c r="AW207"/>
    </row>
    <row r="208" spans="1:49" s="30" customFormat="1" ht="15" customHeight="1" x14ac:dyDescent="0.25">
      <c r="A208" s="1504" t="str">
        <f>IF(SD_apply="Yes",IF(COUNTIF('01 - SD'!D208:G208,"Y")&gt;0,"Y",IF(COUNTIF('01 - SD'!D208:G208,"N"),"N","")),"")</f>
        <v>N</v>
      </c>
      <c r="B208" s="32"/>
      <c r="C208" s="945"/>
      <c r="D208" s="10"/>
      <c r="E208" s="463"/>
      <c r="F208" s="359" t="str">
        <f>IF('C-Design&amp;Const'!$K208="","",'C-Design&amp;Const'!$K208)</f>
        <v>Y</v>
      </c>
      <c r="G208" s="291"/>
      <c r="H208" s="469" t="str">
        <f>CONCATENATE(IF(F208="N","PLACEHOLDER ROW - ",""),'C-Design&amp;Const'!Z208,IF(F208="N","",J208))</f>
        <v>Code Compliance (Approx. 50% Complete)</v>
      </c>
      <c r="I208" s="184"/>
      <c r="J208" s="578" t="str">
        <f>IF('C-Design&amp;Const'!AF208="","",'C-Design&amp;Const'!AF208)</f>
        <v>(Approx. 50% Complete)</v>
      </c>
      <c r="K208" s="25" t="str">
        <f>IF(DD_apply="Yes",IF((COUNTIF(D208:G208,"Y")=COUNTIF('01 - SD'!D208:G208,"Y")),"match","no SD match"),"-")</f>
        <v>no SD match</v>
      </c>
      <c r="L208" s="1410" t="str">
        <f t="shared" si="10"/>
        <v/>
      </c>
      <c r="M208" s="1382"/>
      <c r="N208" s="1333"/>
      <c r="O208" s="1382"/>
      <c r="P208" s="1382"/>
      <c r="Q208" s="1382"/>
      <c r="R208" s="1382"/>
      <c r="S208" s="1382"/>
      <c r="T208" s="1382"/>
      <c r="U208" s="1382"/>
      <c r="V208" s="1382"/>
      <c r="W208" s="1382"/>
      <c r="X208" s="1382"/>
      <c r="Y208" s="1382"/>
      <c r="Z208" s="1382"/>
      <c r="AA208" s="1382"/>
      <c r="AB208" s="1382"/>
      <c r="AC208" s="1382"/>
      <c r="AD208" s="1382"/>
      <c r="AE208" s="1382"/>
      <c r="AF208" s="1382"/>
      <c r="AG208" s="1382"/>
      <c r="AH208" s="1382"/>
      <c r="AI208" s="1382"/>
      <c r="AJ208" s="181"/>
      <c r="AK208" s="181"/>
      <c r="AL208" s="181"/>
      <c r="AM208" s="181"/>
      <c r="AN208" s="181"/>
      <c r="AO208" s="181"/>
      <c r="AP208" s="181"/>
      <c r="AQ208" s="181"/>
      <c r="AR208" s="181"/>
      <c r="AS208" s="181"/>
      <c r="AT208" s="181"/>
      <c r="AU208" s="181"/>
      <c r="AV208" s="181"/>
      <c r="AW208" s="181"/>
    </row>
    <row r="209" spans="1:49" s="30" customFormat="1" ht="15" customHeight="1" x14ac:dyDescent="0.25">
      <c r="A209" s="1504" t="str">
        <f>IF(SD_apply="Yes",IF(COUNTIF('01 - SD'!D209:G209,"Y")&gt;0,"Y",IF(COUNTIF('01 - SD'!D209:G209,"N"),"N","")),"")</f>
        <v>Y</v>
      </c>
      <c r="B209" s="32"/>
      <c r="C209" s="945"/>
      <c r="D209" s="10"/>
      <c r="E209" s="463"/>
      <c r="F209" s="359" t="str">
        <f>IF('C-Design&amp;Const'!$K209="","",'C-Design&amp;Const'!$K209)</f>
        <v>Y</v>
      </c>
      <c r="G209" s="291"/>
      <c r="H209" s="469" t="str">
        <f>CONCATENATE(IF(F209="N","PLACEHOLDER ROW - ",""),'C-Design&amp;Const'!Z209,IF(F209="N","",J209))</f>
        <v>Life Safety (Approx. 50% Complete)</v>
      </c>
      <c r="I209" s="184"/>
      <c r="J209" s="578" t="str">
        <f>IF('C-Design&amp;Const'!AF209="","",'C-Design&amp;Const'!AF209)</f>
        <v>(Approx. 50% Complete)</v>
      </c>
      <c r="K209" s="25" t="str">
        <f>IF(DD_apply="Yes",IF((COUNTIF(D209:G209,"Y")=COUNTIF('01 - SD'!D209:G209,"Y")),"match","no SD match"),"-")</f>
        <v>match</v>
      </c>
      <c r="L209" s="1410" t="str">
        <f t="shared" si="10"/>
        <v/>
      </c>
      <c r="M209" s="1382"/>
      <c r="N209" s="1333"/>
      <c r="O209" s="1382"/>
      <c r="P209" s="1382"/>
      <c r="Q209" s="1382"/>
      <c r="R209" s="1382"/>
      <c r="S209" s="1382"/>
      <c r="T209" s="1382"/>
      <c r="U209" s="1382"/>
      <c r="V209" s="1382"/>
      <c r="W209" s="1382"/>
      <c r="X209" s="1382"/>
      <c r="Y209" s="1382"/>
      <c r="Z209" s="1382"/>
      <c r="AA209" s="1382"/>
      <c r="AB209" s="1382"/>
      <c r="AC209" s="1382"/>
      <c r="AD209" s="1382"/>
      <c r="AE209" s="1382"/>
      <c r="AF209" s="1382"/>
      <c r="AG209" s="1382"/>
      <c r="AH209" s="1382"/>
      <c r="AI209" s="1382"/>
      <c r="AJ209" s="181"/>
      <c r="AK209" s="181"/>
      <c r="AL209" s="181"/>
      <c r="AM209" s="181"/>
      <c r="AN209" s="181"/>
      <c r="AO209" s="181"/>
      <c r="AP209" s="181"/>
      <c r="AQ209" s="181"/>
      <c r="AR209" s="181"/>
      <c r="AS209" s="181"/>
      <c r="AT209" s="181"/>
      <c r="AU209" s="181"/>
      <c r="AV209" s="181"/>
      <c r="AW209" s="181"/>
    </row>
    <row r="210" spans="1:49" s="30" customFormat="1" ht="15" customHeight="1" x14ac:dyDescent="0.25">
      <c r="A210" s="1504" t="str">
        <f>IF(SD_apply="Yes",IF(COUNTIF('01 - SD'!D210:G210,"Y")&gt;0,"Y",IF(COUNTIF('01 - SD'!D210:G210,"N"),"N","")),"")</f>
        <v>N</v>
      </c>
      <c r="B210" s="32"/>
      <c r="C210" s="945"/>
      <c r="D210" s="10"/>
      <c r="E210" s="463"/>
      <c r="F210" s="359" t="str">
        <f>IF('C-Design&amp;Const'!$K210="","",'C-Design&amp;Const'!$K210)</f>
        <v>Y</v>
      </c>
      <c r="G210" s="291"/>
      <c r="H210" s="469" t="str">
        <f>CONCATENATE(IF(F210="N","PLACEHOLDER ROW - ",""),'C-Design&amp;Const'!Z210,IF(F210="N","",J210))</f>
        <v>General Project Info (Approx. 50% Complete)</v>
      </c>
      <c r="I210" s="184"/>
      <c r="J210" s="578" t="str">
        <f>IF('C-Design&amp;Const'!AF210="","",'C-Design&amp;Const'!AF210)</f>
        <v>(Approx. 50% Complete)</v>
      </c>
      <c r="K210" s="25" t="str">
        <f>IF(DD_apply="Yes",IF((COUNTIF(D210:G210,"Y")=COUNTIF('01 - SD'!D210:G210,"Y")),"match","no SD match"),"-")</f>
        <v>no SD match</v>
      </c>
      <c r="L210" s="1410" t="str">
        <f t="shared" si="10"/>
        <v/>
      </c>
      <c r="M210" s="1382"/>
      <c r="N210" s="1333"/>
      <c r="O210" s="1382"/>
      <c r="P210" s="1382"/>
      <c r="Q210" s="1382"/>
      <c r="R210" s="1382"/>
      <c r="S210" s="1382"/>
      <c r="T210" s="1382"/>
      <c r="U210" s="1382"/>
      <c r="V210" s="1382"/>
      <c r="W210" s="1382"/>
      <c r="X210" s="1382"/>
      <c r="Y210" s="1382"/>
      <c r="Z210" s="1382"/>
      <c r="AA210" s="1382"/>
      <c r="AB210" s="1382"/>
      <c r="AC210" s="1382"/>
      <c r="AD210" s="1382"/>
      <c r="AE210" s="1382"/>
      <c r="AF210" s="1382"/>
      <c r="AG210" s="1382"/>
      <c r="AH210" s="1382"/>
      <c r="AI210" s="1382"/>
      <c r="AJ210" s="181"/>
      <c r="AK210" s="181"/>
      <c r="AL210" s="181"/>
      <c r="AM210" s="181"/>
      <c r="AN210" s="181"/>
      <c r="AO210" s="181"/>
      <c r="AP210" s="181"/>
      <c r="AQ210" s="181"/>
      <c r="AR210" s="181"/>
      <c r="AS210" s="181"/>
      <c r="AT210" s="181"/>
      <c r="AU210" s="181"/>
      <c r="AV210" s="181"/>
      <c r="AW210" s="181"/>
    </row>
    <row r="211" spans="1:49" s="542" customFormat="1" ht="15.75" x14ac:dyDescent="0.25">
      <c r="A211" s="1502" t="str">
        <f>IF(SD_apply="Yes",IF(COUNTIF('01 - SD'!D211:G211,"Y")&gt;0,"Y",IF(COUNTIF('01 - SD'!D211:G211,"N"),"N","")),"")</f>
        <v>Y</v>
      </c>
      <c r="B211" s="18"/>
      <c r="C211" s="945"/>
      <c r="D211" s="116"/>
      <c r="E211" s="559" t="str">
        <f>IF('C-Design&amp;Const'!$K211="","",'C-Design&amp;Const'!$K211)</f>
        <v>Y</v>
      </c>
      <c r="F211" s="478"/>
      <c r="G211" s="485"/>
      <c r="H211" s="244" t="str">
        <f>CONCATENATE(IF(F211="N","PLACEHOLDER ROW - ",""),'C-Design&amp;Const'!Z211,IF(F211="N","",J211))</f>
        <v>Asbestos, Lead Based Paint, &amp; Hazardous Materials Drawings</v>
      </c>
      <c r="I211" s="146"/>
      <c r="J211" s="578" t="str">
        <f>IF('C-Design&amp;Const'!AF211="","",'C-Design&amp;Const'!AF211)</f>
        <v/>
      </c>
      <c r="K211" s="25" t="str">
        <f>IF(DD_apply="Yes",IF((COUNTIF(D211:G211,"Y")=COUNTIF('01 - SD'!D211:G211,"Y")),"match","no SD match"),"-")</f>
        <v>match</v>
      </c>
      <c r="L211" s="1410" t="str">
        <f t="shared" ref="L211" si="11">CONCATENATE(IF(ISNUMBER(SEARCH("Placeholder",H211))=TRUE,"&lt;---PM/Planner may hide PLACEHOLDER ROW",""))</f>
        <v/>
      </c>
      <c r="M211" s="1333"/>
      <c r="N211" s="1333"/>
      <c r="O211" s="1333"/>
      <c r="P211" s="1333"/>
      <c r="Q211" s="1333"/>
      <c r="R211" s="1284"/>
      <c r="S211" s="1488"/>
      <c r="T211" s="1284"/>
      <c r="U211" s="1333"/>
      <c r="V211" s="1333"/>
      <c r="W211" s="1333"/>
      <c r="X211" s="1333"/>
      <c r="Y211" s="1333"/>
      <c r="Z211" s="1333"/>
      <c r="AA211" s="1333"/>
      <c r="AB211" s="1333"/>
      <c r="AC211" s="1333"/>
      <c r="AD211" s="1333"/>
      <c r="AE211" s="1333"/>
      <c r="AF211" s="1333"/>
      <c r="AG211" s="1333"/>
      <c r="AH211" s="1333"/>
      <c r="AI211" s="1333"/>
      <c r="AJ211" s="17"/>
      <c r="AK211" s="17"/>
      <c r="AL211" s="17"/>
      <c r="AM211" s="17"/>
      <c r="AN211" s="17"/>
      <c r="AO211" s="17"/>
      <c r="AP211" s="17"/>
      <c r="AQ211" s="17"/>
      <c r="AR211" s="17"/>
      <c r="AS211" s="17"/>
      <c r="AT211" s="17"/>
      <c r="AU211" s="17"/>
    </row>
    <row r="212" spans="1:49" s="542" customFormat="1" ht="15" customHeight="1" x14ac:dyDescent="0.25">
      <c r="A212" s="1504" t="str">
        <f>IF(SD_apply="Yes",IF(COUNTIF('01 - SD'!D212:G212,"Y")&gt;0,"Y",IF(COUNTIF('01 - SD'!D212:G212,"N"),"N","")),"")</f>
        <v>N</v>
      </c>
      <c r="B212" s="18"/>
      <c r="C212" s="945"/>
      <c r="D212" s="116"/>
      <c r="E212" s="321"/>
      <c r="F212" s="559" t="str">
        <f>IF('C-Design&amp;Const'!$K212="","",'C-Design&amp;Const'!$K212)</f>
        <v>N</v>
      </c>
      <c r="G212" s="491"/>
      <c r="H212" s="469" t="str">
        <f>CONCATENATE(IF(F212="N","PLACEHOLDER ROW - ",""),'C-Design&amp;Const'!Z212,IF(F212="N","",J212))</f>
        <v>PLACEHOLDER ROW - CUSTOM - Asbestos</v>
      </c>
      <c r="I212" s="137"/>
      <c r="J212" s="578" t="str">
        <f>IF('C-Design&amp;Const'!AF212="","",'C-Design&amp;Const'!AF212)</f>
        <v>(Approx. 50% Complete)</v>
      </c>
      <c r="K212" s="25" t="str">
        <f>IF(DD_apply="Yes",IF((COUNTIF(D212:G212,"Y")=COUNTIF('01 - SD'!D212:G212,"Y")),"match","no SD match"),"-")</f>
        <v>match</v>
      </c>
      <c r="L212" s="1410" t="str">
        <f>CONCATENATE(IF(ISNUMBER(SEARCH("Placeholder",H212))=TRUE,"&lt;---PM/Planner may hide PLACEHOLDER ROW",""))</f>
        <v>&lt;---PM/Planner may hide PLACEHOLDER ROW</v>
      </c>
      <c r="M212" s="1333"/>
      <c r="N212" s="1333"/>
      <c r="O212" s="1333"/>
      <c r="P212" s="1333"/>
      <c r="Q212" s="1333"/>
      <c r="R212" s="1453"/>
      <c r="S212" s="1284"/>
      <c r="T212" s="1284"/>
      <c r="U212" s="1333"/>
      <c r="V212" s="1333"/>
      <c r="W212" s="1333"/>
      <c r="X212" s="1333"/>
      <c r="Y212" s="1333"/>
      <c r="Z212" s="1333"/>
      <c r="AA212" s="1333"/>
      <c r="AB212" s="1333"/>
      <c r="AC212" s="1333"/>
      <c r="AD212" s="1333"/>
      <c r="AE212" s="1333"/>
      <c r="AF212" s="1333"/>
      <c r="AG212" s="1333"/>
      <c r="AH212" s="1333"/>
      <c r="AI212" s="1333"/>
      <c r="AJ212" s="17"/>
      <c r="AK212" s="17"/>
      <c r="AL212" s="17"/>
      <c r="AM212" s="17"/>
      <c r="AN212" s="17"/>
      <c r="AO212" s="17"/>
      <c r="AP212" s="17"/>
      <c r="AQ212" s="17"/>
      <c r="AR212" s="17"/>
      <c r="AS212" s="17"/>
      <c r="AT212" s="17"/>
      <c r="AU212" s="17"/>
    </row>
    <row r="213" spans="1:49" s="542" customFormat="1" ht="15" customHeight="1" x14ac:dyDescent="0.25">
      <c r="A213" s="1504" t="str">
        <f>IF(SD_apply="Yes",IF(COUNTIF('01 - SD'!D213:G213,"Y")&gt;0,"Y",IF(COUNTIF('01 - SD'!D213:G213,"N"),"N","")),"")</f>
        <v>Y</v>
      </c>
      <c r="B213" s="18"/>
      <c r="C213" s="945"/>
      <c r="D213" s="116"/>
      <c r="E213" s="321"/>
      <c r="F213" s="559" t="str">
        <f>IF('C-Design&amp;Const'!$K213="","",'C-Design&amp;Const'!$K213)</f>
        <v>Y</v>
      </c>
      <c r="G213" s="491"/>
      <c r="H213" s="469" t="str">
        <f>CONCATENATE(IF(F213="N","PLACEHOLDER ROW - ",""),'C-Design&amp;Const'!Z213,IF(F213="N","",J213))</f>
        <v>Asbestos Removal, Remediation, Containment (Approx. 50% Complete)</v>
      </c>
      <c r="I213" s="137"/>
      <c r="J213" s="578" t="str">
        <f>IF('C-Design&amp;Const'!AF213="","",'C-Design&amp;Const'!AF213)</f>
        <v>(Approx. 50% Complete)</v>
      </c>
      <c r="K213" s="25" t="str">
        <f>IF(DD_apply="Yes",IF((COUNTIF(D213:G213,"Y")=COUNTIF('01 - SD'!D213:G213,"Y")),"match","no SD match"),"-")</f>
        <v>match</v>
      </c>
      <c r="L213" s="1410" t="str">
        <f>CONCATENATE(IF(ISNUMBER(SEARCH("Placeholder",H213))=TRUE,"&lt;---PM/Planner may hide PLACEHOLDER ROW",""))</f>
        <v/>
      </c>
      <c r="M213" s="1333"/>
      <c r="N213" s="1333"/>
      <c r="O213" s="1333"/>
      <c r="P213" s="1333"/>
      <c r="Q213" s="1333"/>
      <c r="R213" s="1453"/>
      <c r="S213" s="1284"/>
      <c r="T213" s="1284"/>
      <c r="U213" s="1333"/>
      <c r="V213" s="1333"/>
      <c r="W213" s="1333"/>
      <c r="X213" s="1333"/>
      <c r="Y213" s="1333"/>
      <c r="Z213" s="1333"/>
      <c r="AA213" s="1333"/>
      <c r="AB213" s="1333"/>
      <c r="AC213" s="1333"/>
      <c r="AD213" s="1333"/>
      <c r="AE213" s="1333"/>
      <c r="AF213" s="1333"/>
      <c r="AG213" s="1333"/>
      <c r="AH213" s="1333"/>
      <c r="AI213" s="1333"/>
      <c r="AJ213" s="17"/>
      <c r="AK213" s="17"/>
      <c r="AL213" s="17"/>
      <c r="AM213" s="17"/>
      <c r="AN213" s="17"/>
      <c r="AO213" s="17"/>
      <c r="AP213" s="17"/>
      <c r="AQ213" s="17"/>
      <c r="AR213" s="17"/>
      <c r="AS213" s="17"/>
      <c r="AT213" s="17"/>
      <c r="AU213" s="17"/>
    </row>
    <row r="214" spans="1:49" s="542" customFormat="1" ht="15" customHeight="1" x14ac:dyDescent="0.25">
      <c r="A214" s="1504" t="str">
        <f>IF(SD_apply="Yes",IF(COUNTIF('01 - SD'!D214:G214,"Y")&gt;0,"Y",IF(COUNTIF('01 - SD'!D214:G214,"N"),"N","")),"")</f>
        <v>N</v>
      </c>
      <c r="B214" s="18"/>
      <c r="C214" s="945"/>
      <c r="D214" s="116"/>
      <c r="E214" s="321"/>
      <c r="F214" s="559" t="str">
        <f>IF('C-Design&amp;Const'!$K214="","",'C-Design&amp;Const'!$K214)</f>
        <v>N</v>
      </c>
      <c r="G214" s="491"/>
      <c r="H214" s="469" t="str">
        <f>CONCATENATE(IF(F214="N","PLACEHOLDER ROW - ",""),'C-Design&amp;Const'!Z214,IF(F214="N","",J214))</f>
        <v>PLACEHOLDER ROW - CUSTOM - Lead Based Paint</v>
      </c>
      <c r="I214" s="137"/>
      <c r="J214" s="578" t="str">
        <f>IF('C-Design&amp;Const'!AF214="","",'C-Design&amp;Const'!AF214)</f>
        <v>(Substantially Complete)</v>
      </c>
      <c r="K214" s="25" t="str">
        <f>IF(DD_apply="Yes",IF((COUNTIF(D214:G214,"Y")=COUNTIF('01 - SD'!D214:G214,"Y")),"match","no SD match"),"-")</f>
        <v>match</v>
      </c>
      <c r="L214" s="1410" t="str">
        <f t="shared" ref="L214:L217" si="12">CONCATENATE(IF(ISNUMBER(SEARCH("Placeholder",H214))=TRUE,"&lt;---PM/Planner may hide PLACEHOLDER ROW",""))</f>
        <v>&lt;---PM/Planner may hide PLACEHOLDER ROW</v>
      </c>
      <c r="M214" s="1333"/>
      <c r="N214" s="1333"/>
      <c r="O214" s="1333"/>
      <c r="P214" s="1333"/>
      <c r="Q214" s="1333"/>
      <c r="R214" s="1453"/>
      <c r="S214" s="1284"/>
      <c r="T214" s="1284"/>
      <c r="U214" s="1333"/>
      <c r="V214" s="1333"/>
      <c r="W214" s="1333"/>
      <c r="X214" s="1333"/>
      <c r="Y214" s="1333"/>
      <c r="Z214" s="1333"/>
      <c r="AA214" s="1333"/>
      <c r="AB214" s="1333"/>
      <c r="AC214" s="1333"/>
      <c r="AD214" s="1333"/>
      <c r="AE214" s="1333"/>
      <c r="AF214" s="1333"/>
      <c r="AG214" s="1333"/>
      <c r="AH214" s="1333"/>
      <c r="AI214" s="1333"/>
      <c r="AJ214" s="17"/>
      <c r="AK214" s="17"/>
      <c r="AL214" s="17"/>
      <c r="AM214" s="17"/>
      <c r="AN214" s="17"/>
      <c r="AO214" s="17"/>
      <c r="AP214" s="17"/>
      <c r="AQ214" s="17"/>
      <c r="AR214" s="17"/>
      <c r="AS214" s="17"/>
      <c r="AT214" s="17"/>
      <c r="AU214" s="17"/>
    </row>
    <row r="215" spans="1:49" s="542" customFormat="1" ht="15" customHeight="1" x14ac:dyDescent="0.25">
      <c r="A215" s="1504" t="str">
        <f>IF(SD_apply="Yes",IF(COUNTIF('01 - SD'!D215:G215,"Y")&gt;0,"Y",IF(COUNTIF('01 - SD'!D215:G215,"N"),"N","")),"")</f>
        <v>Y</v>
      </c>
      <c r="B215" s="18"/>
      <c r="C215" s="945"/>
      <c r="D215" s="116"/>
      <c r="E215" s="499"/>
      <c r="F215" s="559" t="str">
        <f>IF('C-Design&amp;Const'!$K215="","",'C-Design&amp;Const'!$K215)</f>
        <v>Y</v>
      </c>
      <c r="G215" s="485"/>
      <c r="H215" s="469" t="str">
        <f>CONCATENATE(IF(F215="N","PLACEHOLDER ROW - ",""),'C-Design&amp;Const'!Z215,IF(F215="N","",J215))</f>
        <v>Lead Based Paint Removal, Remediation, Containment (Approx. 50% Complete)</v>
      </c>
      <c r="I215" s="137"/>
      <c r="J215" s="578" t="str">
        <f>IF('C-Design&amp;Const'!AF215="","",'C-Design&amp;Const'!AF215)</f>
        <v>(Approx. 50% Complete)</v>
      </c>
      <c r="K215" s="25" t="str">
        <f>IF(DD_apply="Yes",IF((COUNTIF(D215:G215,"Y")=COUNTIF('01 - SD'!D215:G215,"Y")),"match","no SD match"),"-")</f>
        <v>match</v>
      </c>
      <c r="L215" s="1410" t="str">
        <f t="shared" si="12"/>
        <v/>
      </c>
      <c r="M215" s="1333"/>
      <c r="N215" s="1333"/>
      <c r="O215" s="1333"/>
      <c r="P215" s="1333"/>
      <c r="Q215" s="1333"/>
      <c r="R215" s="1453"/>
      <c r="S215" s="1284"/>
      <c r="T215" s="1284"/>
      <c r="U215" s="1333"/>
      <c r="V215" s="1333"/>
      <c r="W215" s="1333"/>
      <c r="X215" s="1333"/>
      <c r="Y215" s="1333"/>
      <c r="Z215" s="1333"/>
      <c r="AA215" s="1333"/>
      <c r="AB215" s="1333"/>
      <c r="AC215" s="1333"/>
      <c r="AD215" s="1333"/>
      <c r="AE215" s="1333"/>
      <c r="AF215" s="1333"/>
      <c r="AG215" s="1333"/>
      <c r="AH215" s="1333"/>
      <c r="AI215" s="1333"/>
      <c r="AJ215" s="17"/>
      <c r="AK215" s="17"/>
      <c r="AL215" s="17"/>
      <c r="AM215" s="17"/>
      <c r="AN215" s="17"/>
      <c r="AO215" s="17"/>
      <c r="AP215" s="17"/>
      <c r="AQ215" s="17"/>
      <c r="AR215" s="17"/>
      <c r="AS215" s="17"/>
      <c r="AT215" s="17"/>
      <c r="AU215" s="17"/>
    </row>
    <row r="216" spans="1:49" s="542" customFormat="1" ht="15" customHeight="1" x14ac:dyDescent="0.25">
      <c r="A216" s="1504" t="str">
        <f>IF(SD_apply="Yes",IF(COUNTIF('01 - SD'!D216:G216,"Y")&gt;0,"Y",IF(COUNTIF('01 - SD'!D216:G216,"N"),"N","")),"")</f>
        <v>N</v>
      </c>
      <c r="B216" s="18"/>
      <c r="C216" s="945"/>
      <c r="D216" s="116"/>
      <c r="E216" s="321"/>
      <c r="F216" s="559" t="str">
        <f>IF('C-Design&amp;Const'!$K216="","",'C-Design&amp;Const'!$K216)</f>
        <v>N</v>
      </c>
      <c r="G216" s="491"/>
      <c r="H216" s="469" t="str">
        <f>CONCATENATE(IF(F216="N","PLACEHOLDER ROW - ",""),'C-Design&amp;Const'!Z216,IF(F216="N","",J216))</f>
        <v>PLACEHOLDER ROW - CUSTOM - Hazardous Materials</v>
      </c>
      <c r="I216" s="137"/>
      <c r="J216" s="578" t="str">
        <f>IF('C-Design&amp;Const'!AF216="","",'C-Design&amp;Const'!AF216)</f>
        <v>(Substantially Complete)</v>
      </c>
      <c r="K216" s="25" t="str">
        <f>IF(DD_apply="Yes",IF((COUNTIF(D216:G216,"Y")=COUNTIF('01 - SD'!D216:G216,"Y")),"match","no SD match"),"-")</f>
        <v>match</v>
      </c>
      <c r="L216" s="1410" t="str">
        <f t="shared" si="12"/>
        <v>&lt;---PM/Planner may hide PLACEHOLDER ROW</v>
      </c>
      <c r="M216" s="1333"/>
      <c r="N216" s="1333"/>
      <c r="O216" s="1333"/>
      <c r="P216" s="1333"/>
      <c r="Q216" s="1333"/>
      <c r="R216" s="1453"/>
      <c r="S216" s="1284"/>
      <c r="T216" s="1284"/>
      <c r="U216" s="1333"/>
      <c r="V216" s="1333"/>
      <c r="W216" s="1333"/>
      <c r="X216" s="1333"/>
      <c r="Y216" s="1333"/>
      <c r="Z216" s="1333"/>
      <c r="AA216" s="1333"/>
      <c r="AB216" s="1333"/>
      <c r="AC216" s="1333"/>
      <c r="AD216" s="1333"/>
      <c r="AE216" s="1333"/>
      <c r="AF216" s="1333"/>
      <c r="AG216" s="1333"/>
      <c r="AH216" s="1333"/>
      <c r="AI216" s="1333"/>
      <c r="AJ216" s="17"/>
      <c r="AK216" s="17"/>
      <c r="AL216" s="17"/>
      <c r="AM216" s="17"/>
      <c r="AN216" s="17"/>
      <c r="AO216" s="17"/>
      <c r="AP216" s="17"/>
      <c r="AQ216" s="17"/>
      <c r="AR216" s="17"/>
      <c r="AS216" s="17"/>
      <c r="AT216" s="17"/>
      <c r="AU216" s="17"/>
    </row>
    <row r="217" spans="1:49" s="542" customFormat="1" ht="15" customHeight="1" x14ac:dyDescent="0.25">
      <c r="A217" s="1504" t="str">
        <f>IF(SD_apply="Yes",IF(COUNTIF('01 - SD'!D217:G217,"Y")&gt;0,"Y",IF(COUNTIF('01 - SD'!D217:G217,"N"),"N","")),"")</f>
        <v>Y</v>
      </c>
      <c r="B217" s="18"/>
      <c r="C217" s="945"/>
      <c r="D217" s="116"/>
      <c r="E217" s="321"/>
      <c r="F217" s="559" t="str">
        <f>IF('C-Design&amp;Const'!$K217="","",'C-Design&amp;Const'!$K217)</f>
        <v>Y</v>
      </c>
      <c r="G217" s="491"/>
      <c r="H217" s="469" t="str">
        <f>CONCATENATE(IF(F217="N","PLACEHOLDER ROW - ",""),'C-Design&amp;Const'!Z217,IF(F217="N","",J217))</f>
        <v>Other Hazardous Materials Removal, Remediation, Containment (Approx. 50% Complete)</v>
      </c>
      <c r="I217" s="137"/>
      <c r="J217" s="578" t="str">
        <f>IF('C-Design&amp;Const'!AF217="","",'C-Design&amp;Const'!AF217)</f>
        <v>(Approx. 50% Complete)</v>
      </c>
      <c r="K217" s="25" t="str">
        <f>IF(DD_apply="Yes",IF((COUNTIF(D217:G217,"Y")=COUNTIF('01 - SD'!D217:G217,"Y")),"match","no SD match"),"-")</f>
        <v>match</v>
      </c>
      <c r="L217" s="1410" t="str">
        <f t="shared" si="12"/>
        <v/>
      </c>
      <c r="M217" s="1333"/>
      <c r="N217" s="1333"/>
      <c r="O217" s="1333"/>
      <c r="P217" s="1333"/>
      <c r="Q217" s="1333"/>
      <c r="R217" s="1453"/>
      <c r="S217" s="1284"/>
      <c r="T217" s="1284"/>
      <c r="U217" s="1333"/>
      <c r="V217" s="1333"/>
      <c r="W217" s="1333"/>
      <c r="X217" s="1333"/>
      <c r="Y217" s="1333"/>
      <c r="Z217" s="1333"/>
      <c r="AA217" s="1333"/>
      <c r="AB217" s="1333"/>
      <c r="AC217" s="1333"/>
      <c r="AD217" s="1333"/>
      <c r="AE217" s="1333"/>
      <c r="AF217" s="1333"/>
      <c r="AG217" s="1333"/>
      <c r="AH217" s="1333"/>
      <c r="AI217" s="1333"/>
      <c r="AJ217" s="17"/>
      <c r="AK217" s="17"/>
      <c r="AL217" s="17"/>
      <c r="AM217" s="17"/>
      <c r="AN217" s="17"/>
      <c r="AO217" s="17"/>
      <c r="AP217" s="17"/>
      <c r="AQ217" s="17"/>
      <c r="AR217" s="17"/>
      <c r="AS217" s="17"/>
      <c r="AT217" s="17"/>
      <c r="AU217" s="17"/>
    </row>
    <row r="218" spans="1:49" ht="15.75" x14ac:dyDescent="0.25">
      <c r="A218" s="1502" t="str">
        <f>IF(SD_apply="Yes",IF(COUNTIF('01 - SD'!D218:G218,"Y")&gt;0,"Y",IF(COUNTIF('01 - SD'!D218:G218,"N"),"N","")),"")</f>
        <v>Y</v>
      </c>
      <c r="B218" s="18"/>
      <c r="C218" s="945"/>
      <c r="D218" s="116"/>
      <c r="E218" s="559" t="str">
        <f>IF('C-Design&amp;Const'!$K218="","",'C-Design&amp;Const'!$K218)</f>
        <v>Y</v>
      </c>
      <c r="F218" s="478"/>
      <c r="G218" s="485"/>
      <c r="H218" s="244" t="str">
        <f>CONCATENATE(IF(F218="N","PLACEHOLDER ROW - ",""),'C-Design&amp;Const'!Z218,IF(F218="N","",J218))</f>
        <v>Site, Civil, &amp; Landscape Drawings</v>
      </c>
      <c r="I218" s="146"/>
      <c r="J218" s="578" t="str">
        <f>IF('C-Design&amp;Const'!AF218="","",'C-Design&amp;Const'!AF218)</f>
        <v/>
      </c>
      <c r="K218" s="25" t="str">
        <f>IF(DD_apply="Yes",IF((COUNTIF(D218:G218,"Y")=COUNTIF('01 - SD'!D218:G218,"Y")),"match","no SD match"),"-")</f>
        <v>match</v>
      </c>
      <c r="L218" s="1410" t="str">
        <f t="shared" si="10"/>
        <v/>
      </c>
      <c r="M218" s="1333"/>
      <c r="N218" s="1333"/>
      <c r="O218" s="1333"/>
      <c r="P218" s="1333"/>
      <c r="Q218" s="1333"/>
      <c r="R218" s="1284"/>
      <c r="S218" s="1488"/>
      <c r="T218" s="1284"/>
      <c r="U218" s="1333"/>
      <c r="V218" s="1333"/>
      <c r="W218" s="1333"/>
      <c r="X218" s="1333"/>
      <c r="Y218" s="1333"/>
      <c r="Z218" s="1333"/>
      <c r="AA218" s="1333"/>
      <c r="AB218" s="1333"/>
      <c r="AC218" s="1333"/>
      <c r="AD218" s="1333"/>
      <c r="AE218" s="1333"/>
      <c r="AF218" s="1333"/>
      <c r="AG218" s="1333"/>
      <c r="AH218" s="1333"/>
      <c r="AI218" s="1333"/>
      <c r="AV218"/>
      <c r="AW218"/>
    </row>
    <row r="219" spans="1:49" ht="15" customHeight="1" x14ac:dyDescent="0.25">
      <c r="A219" s="1504" t="str">
        <f>IF(SD_apply="Yes",IF(COUNTIF('01 - SD'!D219:G219,"Y")&gt;0,"Y",IF(COUNTIF('01 - SD'!D219:G219,"N"),"N","")),"")</f>
        <v>N</v>
      </c>
      <c r="B219" s="18"/>
      <c r="C219" s="945"/>
      <c r="D219" s="116"/>
      <c r="E219" s="321"/>
      <c r="F219" s="559" t="str">
        <f>IF('C-Design&amp;Const'!$K219="","",'C-Design&amp;Const'!$K219)</f>
        <v>N</v>
      </c>
      <c r="G219" s="491"/>
      <c r="H219" s="469" t="str">
        <f>CONCATENATE(IF(F219="N","PLACEHOLDER ROW - ",""),'C-Design&amp;Const'!Z219,IF(F219="N","",J219))</f>
        <v>PLACEHOLDER ROW - CUSTOM - Site / Civil / Landscape</v>
      </c>
      <c r="I219" s="137"/>
      <c r="J219" s="578" t="str">
        <f>IF('C-Design&amp;Const'!AF219="","",'C-Design&amp;Const'!AF219)</f>
        <v>(Approx. 50% Complete)</v>
      </c>
      <c r="K219" s="25" t="str">
        <f>IF(DD_apply="Yes",IF((COUNTIF(D219:G219,"Y")=COUNTIF('01 - SD'!D219:G219,"Y")),"match","no SD match"),"-")</f>
        <v>match</v>
      </c>
      <c r="L219" s="1410" t="str">
        <f>CONCATENATE(IF(ISNUMBER(SEARCH("Placeholder",H219))=TRUE,"&lt;---PM/Planner may hide PLACEHOLDER ROW",""))</f>
        <v>&lt;---PM/Planner may hide PLACEHOLDER ROW</v>
      </c>
      <c r="M219" s="1333"/>
      <c r="N219" s="1333"/>
      <c r="O219" s="1333"/>
      <c r="P219" s="1333"/>
      <c r="Q219" s="1333"/>
      <c r="R219" s="1453"/>
      <c r="S219" s="1284"/>
      <c r="T219" s="1284"/>
      <c r="U219" s="1333"/>
      <c r="V219" s="1333"/>
      <c r="W219" s="1333"/>
      <c r="X219" s="1333"/>
      <c r="Y219" s="1333"/>
      <c r="Z219" s="1333"/>
      <c r="AA219" s="1333"/>
      <c r="AB219" s="1333"/>
      <c r="AC219" s="1333"/>
      <c r="AD219" s="1333"/>
      <c r="AE219" s="1333"/>
      <c r="AF219" s="1333"/>
      <c r="AG219" s="1333"/>
      <c r="AH219" s="1333"/>
      <c r="AI219" s="1333"/>
      <c r="AV219"/>
      <c r="AW219"/>
    </row>
    <row r="220" spans="1:49" ht="15" customHeight="1" x14ac:dyDescent="0.25">
      <c r="A220" s="1504" t="str">
        <f>IF(SD_apply="Yes",IF(COUNTIF('01 - SD'!D220:G220,"Y")&gt;0,"Y",IF(COUNTIF('01 - SD'!D220:G220,"N"),"N","")),"")</f>
        <v>N</v>
      </c>
      <c r="B220" s="18"/>
      <c r="C220" s="945"/>
      <c r="D220" s="116"/>
      <c r="E220" s="321"/>
      <c r="F220" s="559" t="str">
        <f>IF('C-Design&amp;Const'!$K220="","",'C-Design&amp;Const'!$K220)</f>
        <v>N</v>
      </c>
      <c r="G220" s="491"/>
      <c r="H220" s="469" t="str">
        <f>CONCATENATE(IF(F220="N","PLACEHOLDER ROW - ",""),'C-Design&amp;Const'!Z220,IF(F220="N","",J220))</f>
        <v>PLACEHOLDER ROW - CUSTOM - Site / Civil / Landscape</v>
      </c>
      <c r="I220" s="137"/>
      <c r="J220" s="578" t="str">
        <f>IF('C-Design&amp;Const'!AF220="","",'C-Design&amp;Const'!AF220)</f>
        <v>(Approx. 50% Complete)</v>
      </c>
      <c r="K220" s="25" t="str">
        <f>IF(DD_apply="Yes",IF((COUNTIF(D220:G220,"Y")=COUNTIF('01 - SD'!D220:G220,"Y")),"match","no SD match"),"-")</f>
        <v>match</v>
      </c>
      <c r="L220" s="1410" t="str">
        <f>CONCATENATE(IF(ISNUMBER(SEARCH("Placeholder",H220))=TRUE,"&lt;---PM/Planner may hide PLACEHOLDER ROW",""))</f>
        <v>&lt;---PM/Planner may hide PLACEHOLDER ROW</v>
      </c>
      <c r="M220" s="1333"/>
      <c r="N220" s="1333"/>
      <c r="O220" s="1333"/>
      <c r="P220" s="1333"/>
      <c r="Q220" s="1333"/>
      <c r="R220" s="1453"/>
      <c r="S220" s="1284"/>
      <c r="T220" s="1284"/>
      <c r="U220" s="1333"/>
      <c r="V220" s="1333"/>
      <c r="W220" s="1333"/>
      <c r="X220" s="1333"/>
      <c r="Y220" s="1333"/>
      <c r="Z220" s="1333"/>
      <c r="AA220" s="1333"/>
      <c r="AB220" s="1333"/>
      <c r="AC220" s="1333"/>
      <c r="AD220" s="1333"/>
      <c r="AE220" s="1333"/>
      <c r="AF220" s="1333"/>
      <c r="AG220" s="1333"/>
      <c r="AH220" s="1333"/>
      <c r="AI220" s="1333"/>
      <c r="AV220"/>
      <c r="AW220"/>
    </row>
    <row r="221" spans="1:49" s="542" customFormat="1" ht="15" customHeight="1" x14ac:dyDescent="0.25">
      <c r="A221" s="1504" t="str">
        <f>IF(SD_apply="Yes",IF(COUNTIF('01 - SD'!D221:G221,"Y")&gt;0,"Y",IF(COUNTIF('01 - SD'!D221:G221,"N"),"N","")),"")</f>
        <v>Y</v>
      </c>
      <c r="B221" s="18"/>
      <c r="C221" s="945"/>
      <c r="D221" s="116"/>
      <c r="E221" s="321"/>
      <c r="F221" s="559" t="str">
        <f>IF('C-Design&amp;Const'!$K221="","",'C-Design&amp;Const'!$K221)</f>
        <v>Y</v>
      </c>
      <c r="G221" s="491"/>
      <c r="H221" s="469" t="str">
        <f>CONCATENATE(IF(F221="N","PLACEHOLDER ROW - ",""),'C-Design&amp;Const'!Z221,IF(F221="N","",J221))</f>
        <v>Civil, Site, Landscape Symbols, Abbreviations, and General Notes (Approx. 50% Complete)</v>
      </c>
      <c r="I221" s="137"/>
      <c r="J221" s="578" t="str">
        <f>IF('C-Design&amp;Const'!AF221="","",'C-Design&amp;Const'!AF221)</f>
        <v>(Approx. 50% Complete)</v>
      </c>
      <c r="K221" s="25" t="str">
        <f>IF(DD_apply="Yes",IF((COUNTIF(D221:G221,"Y")=COUNTIF('01 - SD'!D221:G221,"Y")),"match","no SD match"),"-")</f>
        <v>match</v>
      </c>
      <c r="L221" s="1410" t="str">
        <f t="shared" ref="L221" si="13">CONCATENATE(IF(ISNUMBER(SEARCH("Placeholder",H221))=TRUE,"&lt;---PM/Planner may hide PLACEHOLDER ROW",""))</f>
        <v/>
      </c>
      <c r="M221" s="1333"/>
      <c r="N221" s="1333"/>
      <c r="O221" s="1333"/>
      <c r="P221" s="1333"/>
      <c r="Q221" s="1333"/>
      <c r="R221" s="1453"/>
      <c r="S221" s="1284"/>
      <c r="T221" s="1284"/>
      <c r="U221" s="1333"/>
      <c r="V221" s="1333"/>
      <c r="W221" s="1333"/>
      <c r="X221" s="1333"/>
      <c r="Y221" s="1333"/>
      <c r="Z221" s="1333"/>
      <c r="AA221" s="1333"/>
      <c r="AB221" s="1333"/>
      <c r="AC221" s="1333"/>
      <c r="AD221" s="1333"/>
      <c r="AE221" s="1333"/>
      <c r="AF221" s="1333"/>
      <c r="AG221" s="1333"/>
      <c r="AH221" s="1333"/>
      <c r="AI221" s="1333"/>
      <c r="AJ221" s="17"/>
      <c r="AK221" s="17"/>
      <c r="AL221" s="17"/>
      <c r="AM221" s="17"/>
      <c r="AN221" s="17"/>
      <c r="AO221" s="17"/>
      <c r="AP221" s="17"/>
      <c r="AQ221" s="17"/>
      <c r="AR221" s="17"/>
      <c r="AS221" s="17"/>
      <c r="AT221" s="17"/>
      <c r="AU221" s="17"/>
    </row>
    <row r="222" spans="1:49" ht="15" customHeight="1" x14ac:dyDescent="0.25">
      <c r="A222" s="1504" t="str">
        <f>IF(SD_apply="Yes",IF(COUNTIF('01 - SD'!D222:G222,"Y")&gt;0,"Y",IF(COUNTIF('01 - SD'!D222:G222,"N"),"N","")),"")</f>
        <v>Y</v>
      </c>
      <c r="B222" s="18"/>
      <c r="C222" s="945"/>
      <c r="D222" s="116"/>
      <c r="E222" s="321"/>
      <c r="F222" s="559" t="str">
        <f>IF('C-Design&amp;Const'!$K222="","",'C-Design&amp;Const'!$K222)</f>
        <v>Y</v>
      </c>
      <c r="G222" s="491"/>
      <c r="H222" s="469" t="str">
        <f>CONCATENATE(IF(F222="N","PLACEHOLDER ROW - ",""),'C-Design&amp;Const'!Z222,IF(F222="N","",J222))</f>
        <v>Site Clearing, Demolitions, &amp; Abandonments (Substantially Complete)</v>
      </c>
      <c r="I222" s="137"/>
      <c r="J222" s="578" t="str">
        <f>IF('C-Design&amp;Const'!AF222="","",'C-Design&amp;Const'!AF222)</f>
        <v>(Substantially Complete)</v>
      </c>
      <c r="K222" s="25" t="str">
        <f>IF(DD_apply="Yes",IF((COUNTIF(D222:G222,"Y")=COUNTIF('01 - SD'!D222:G222,"Y")),"match","no SD match"),"-")</f>
        <v>match</v>
      </c>
      <c r="L222" s="1410" t="str">
        <f t="shared" si="10"/>
        <v/>
      </c>
      <c r="M222" s="1333"/>
      <c r="N222" s="1333"/>
      <c r="O222" s="1333"/>
      <c r="P222" s="1333"/>
      <c r="Q222" s="1333"/>
      <c r="R222" s="1453"/>
      <c r="S222" s="1284"/>
      <c r="T222" s="1284"/>
      <c r="U222" s="1333"/>
      <c r="V222" s="1333"/>
      <c r="W222" s="1333"/>
      <c r="X222" s="1333"/>
      <c r="Y222" s="1333"/>
      <c r="Z222" s="1333"/>
      <c r="AA222" s="1333"/>
      <c r="AB222" s="1333"/>
      <c r="AC222" s="1333"/>
      <c r="AD222" s="1333"/>
      <c r="AE222" s="1333"/>
      <c r="AF222" s="1333"/>
      <c r="AG222" s="1333"/>
      <c r="AH222" s="1333"/>
      <c r="AI222" s="1333"/>
      <c r="AV222"/>
      <c r="AW222"/>
    </row>
    <row r="223" spans="1:49" ht="15" customHeight="1" x14ac:dyDescent="0.25">
      <c r="A223" s="1504" t="str">
        <f>IF(SD_apply="Yes",IF(COUNTIF('01 - SD'!D223:G223,"Y")&gt;0,"Y",IF(COUNTIF('01 - SD'!D223:G223,"N"),"N","")),"")</f>
        <v>Y</v>
      </c>
      <c r="B223" s="18"/>
      <c r="C223" s="945"/>
      <c r="D223" s="116"/>
      <c r="E223" s="499"/>
      <c r="F223" s="559" t="str">
        <f>IF('C-Design&amp;Const'!$K223="","",'C-Design&amp;Const'!$K223)</f>
        <v>Y</v>
      </c>
      <c r="G223" s="485"/>
      <c r="H223" s="469" t="str">
        <f>CONCATENATE(IF(F223="N","PLACEHOLDER ROW - ",""),'C-Design&amp;Const'!Z223,IF(F223="N","",J223))</f>
        <v>Site Plan (show tree protection if not yet shown in laydown plan)(Approx. 50% Complete)</v>
      </c>
      <c r="I223" s="137"/>
      <c r="J223" s="578" t="str">
        <f>IF('C-Design&amp;Const'!AF223="","",'C-Design&amp;Const'!AF223)</f>
        <v>(Approx. 50% Complete)</v>
      </c>
      <c r="K223" s="25" t="str">
        <f>IF(DD_apply="Yes",IF((COUNTIF(D223:G223,"Y")=COUNTIF('01 - SD'!D223:G223,"Y")),"match","no SD match"),"-")</f>
        <v>match</v>
      </c>
      <c r="L223" s="1410" t="str">
        <f t="shared" si="10"/>
        <v/>
      </c>
      <c r="M223" s="1333"/>
      <c r="N223" s="1333"/>
      <c r="O223" s="1333"/>
      <c r="P223" s="1333"/>
      <c r="Q223" s="1333"/>
      <c r="R223" s="1453"/>
      <c r="S223" s="1284"/>
      <c r="T223" s="1284"/>
      <c r="U223" s="1333"/>
      <c r="V223" s="1333"/>
      <c r="W223" s="1333"/>
      <c r="X223" s="1333"/>
      <c r="Y223" s="1333"/>
      <c r="Z223" s="1333"/>
      <c r="AA223" s="1333"/>
      <c r="AB223" s="1333"/>
      <c r="AC223" s="1333"/>
      <c r="AD223" s="1333"/>
      <c r="AE223" s="1333"/>
      <c r="AF223" s="1333"/>
      <c r="AG223" s="1333"/>
      <c r="AH223" s="1333"/>
      <c r="AI223" s="1333"/>
      <c r="AV223"/>
      <c r="AW223"/>
    </row>
    <row r="224" spans="1:49" ht="15" customHeight="1" x14ac:dyDescent="0.25">
      <c r="A224" s="1504" t="str">
        <f>IF(SD_apply="Yes",IF(COUNTIF('01 - SD'!D226:G226,"Y")&gt;0,"Y",IF(COUNTIF('01 - SD'!D226:G226,"N"),"N","")),"")</f>
        <v>Y</v>
      </c>
      <c r="B224" s="18"/>
      <c r="C224" s="945"/>
      <c r="D224" s="116"/>
      <c r="E224" s="321"/>
      <c r="F224" s="559" t="str">
        <f>IF('C-Design&amp;Const'!$K224="","",'C-Design&amp;Const'!$K224)</f>
        <v>Y</v>
      </c>
      <c r="G224" s="485"/>
      <c r="H224" s="469" t="str">
        <f>CONCATENATE(IF(F224="N","PLACEHOLDER ROW - ",""),'C-Design&amp;Const'!Z224,IF(F224="N","",J224))</f>
        <v>Storm Water Detention Plan (Substantially Complete)</v>
      </c>
      <c r="I224" s="137"/>
      <c r="J224" s="578" t="str">
        <f>IF('C-Design&amp;Const'!AF224="","",'C-Design&amp;Const'!AF224)</f>
        <v>(Substantially Complete)</v>
      </c>
      <c r="K224" s="25" t="str">
        <f>IF(DD_apply="Yes",IF((COUNTIF(D224:G224,"Y")=COUNTIF('01 - SD'!D226:G226,"Y")),"match","no SD match"),"-")</f>
        <v>match</v>
      </c>
      <c r="L224" s="1410" t="str">
        <f>CONCATENATE(IF(ISNUMBER(SEARCH("Placeholder",H224))=TRUE,"&lt;---PM/Planner may hide PLACEHOLDER ROW",""))</f>
        <v/>
      </c>
      <c r="M224" s="1333"/>
      <c r="N224" s="1333"/>
      <c r="O224" s="1333"/>
      <c r="P224" s="1333"/>
      <c r="Q224" s="1333"/>
      <c r="R224" s="1453"/>
      <c r="S224" s="1284"/>
      <c r="T224" s="1284"/>
      <c r="U224" s="1333"/>
      <c r="V224" s="1333"/>
      <c r="W224" s="1333"/>
      <c r="X224" s="1333"/>
      <c r="Y224" s="1333"/>
      <c r="Z224" s="1333"/>
      <c r="AA224" s="1333"/>
      <c r="AB224" s="1333"/>
      <c r="AC224" s="1333"/>
      <c r="AD224" s="1333"/>
      <c r="AE224" s="1333"/>
      <c r="AF224" s="1333"/>
      <c r="AG224" s="1333"/>
      <c r="AH224" s="1333"/>
      <c r="AI224" s="1333"/>
      <c r="AV224"/>
      <c r="AW224"/>
    </row>
    <row r="225" spans="1:49" ht="15" customHeight="1" x14ac:dyDescent="0.25">
      <c r="A225" s="1504" t="str">
        <f>IF(SD_apply="Yes",IF(COUNTIF('01 - SD'!D224:G224,"Y")&gt;0,"Y",IF(COUNTIF('01 - SD'!D224:G224,"N"),"N","")),"")</f>
        <v>Y</v>
      </c>
      <c r="B225" s="18"/>
      <c r="C225" s="945"/>
      <c r="D225" s="116"/>
      <c r="E225" s="321"/>
      <c r="F225" s="559" t="str">
        <f>IF('C-Design&amp;Const'!$K225="","",'C-Design&amp;Const'!$K225)</f>
        <v>Y</v>
      </c>
      <c r="G225" s="491"/>
      <c r="H225" s="469" t="str">
        <f>CONCATENATE(IF(F225="N","PLACEHOLDER ROW - ",""),'C-Design&amp;Const'!Z225,IF(F225="N","",J225))</f>
        <v>Pavement, Sidewalks, and/or Utility Sections (Approx. 50% Complete)</v>
      </c>
      <c r="I225" s="137"/>
      <c r="J225" s="578" t="str">
        <f>IF('C-Design&amp;Const'!AF225="","",'C-Design&amp;Const'!AF225)</f>
        <v>(Approx. 50% Complete)</v>
      </c>
      <c r="K225" s="25" t="str">
        <f>IF(DD_apply="Yes",IF((COUNTIF(D225:G225,"Y")=COUNTIF('01 - SD'!D224:G224,"Y")),"match","no SD match"),"-")</f>
        <v>match</v>
      </c>
      <c r="L225" s="1410" t="str">
        <f t="shared" si="10"/>
        <v/>
      </c>
      <c r="M225" s="1333"/>
      <c r="N225" s="1333"/>
      <c r="O225" s="1333"/>
      <c r="P225" s="1333"/>
      <c r="Q225" s="1333"/>
      <c r="R225" s="1453"/>
      <c r="S225" s="1284"/>
      <c r="T225" s="1284"/>
      <c r="U225" s="1333"/>
      <c r="V225" s="1333"/>
      <c r="W225" s="1333"/>
      <c r="X225" s="1333"/>
      <c r="Y225" s="1333"/>
      <c r="Z225" s="1333"/>
      <c r="AA225" s="1333"/>
      <c r="AB225" s="1333"/>
      <c r="AC225" s="1333"/>
      <c r="AD225" s="1333"/>
      <c r="AE225" s="1333"/>
      <c r="AF225" s="1333"/>
      <c r="AG225" s="1333"/>
      <c r="AH225" s="1333"/>
      <c r="AI225" s="1333"/>
      <c r="AV225"/>
      <c r="AW225"/>
    </row>
    <row r="226" spans="1:49" ht="15" customHeight="1" x14ac:dyDescent="0.25">
      <c r="A226" s="1504" t="str">
        <f>IF(SD_apply="Yes",IF(COUNTIF('01 - SD'!D225:G225,"Y")&gt;0,"Y",IF(COUNTIF('01 - SD'!D225:G225,"N"),"N","")),"")</f>
        <v>N</v>
      </c>
      <c r="B226" s="18"/>
      <c r="C226" s="945"/>
      <c r="D226" s="116"/>
      <c r="E226" s="321"/>
      <c r="F226" s="559" t="str">
        <f>IF('C-Design&amp;Const'!$K226="","",'C-Design&amp;Const'!$K226)</f>
        <v>Y</v>
      </c>
      <c r="G226" s="491"/>
      <c r="H226" s="469" t="str">
        <f>CONCATENATE(IF(F226="N","PLACEHOLDER ROW - ",""),'C-Design&amp;Const'!Z226,IF(F226="N","",J226))</f>
        <v>Utility Relocations (Approx. 50% Complete)</v>
      </c>
      <c r="I226" s="137"/>
      <c r="J226" s="578" t="str">
        <f>IF('C-Design&amp;Const'!AF226="","",'C-Design&amp;Const'!AF226)</f>
        <v>(Approx. 50% Complete)</v>
      </c>
      <c r="K226" s="25" t="str">
        <f>IF(DD_apply="Yes",IF((COUNTIF(D226:G226,"Y")=COUNTIF('01 - SD'!D225:G225,"Y")),"match","no SD match"),"-")</f>
        <v>no SD match</v>
      </c>
      <c r="L226" s="1410" t="str">
        <f t="shared" si="10"/>
        <v/>
      </c>
      <c r="M226" s="1333"/>
      <c r="N226" s="1333"/>
      <c r="O226" s="1333"/>
      <c r="P226" s="1333"/>
      <c r="Q226" s="1333"/>
      <c r="R226" s="1453"/>
      <c r="S226" s="1284"/>
      <c r="T226" s="1284"/>
      <c r="U226" s="1333"/>
      <c r="V226" s="1333"/>
      <c r="W226" s="1333"/>
      <c r="X226" s="1333"/>
      <c r="Y226" s="1333"/>
      <c r="Z226" s="1333"/>
      <c r="AA226" s="1333"/>
      <c r="AB226" s="1333"/>
      <c r="AC226" s="1333"/>
      <c r="AD226" s="1333"/>
      <c r="AE226" s="1333"/>
      <c r="AF226" s="1333"/>
      <c r="AG226" s="1333"/>
      <c r="AH226" s="1333"/>
      <c r="AI226" s="1333"/>
      <c r="AV226"/>
      <c r="AW226"/>
    </row>
    <row r="227" spans="1:49" ht="15" customHeight="1" x14ac:dyDescent="0.25">
      <c r="A227" s="1504" t="str">
        <f>IF(SD_apply="Yes",IF(COUNTIF('01 - SD'!D227:G227,"Y")&gt;0,"Y",IF(COUNTIF('01 - SD'!D227:G227,"N"),"N","")),"")</f>
        <v>N</v>
      </c>
      <c r="B227" s="18"/>
      <c r="C227" s="945"/>
      <c r="D227" s="116"/>
      <c r="E227" s="321"/>
      <c r="F227" s="559" t="str">
        <f>IF('C-Design&amp;Const'!$K227="","",'C-Design&amp;Const'!$K227)</f>
        <v>Y</v>
      </c>
      <c r="G227" s="485"/>
      <c r="H227" s="469" t="str">
        <f>CONCATENATE(IF(F227="N","PLACEHOLDER ROW - ",""),'C-Design&amp;Const'!Z227,IF(F227="N","",J227))</f>
        <v>Utility Site Plan and Details (Approx. 50% Complete)</v>
      </c>
      <c r="I227" s="137"/>
      <c r="J227" s="578" t="str">
        <f>IF('C-Design&amp;Const'!AF227="","",'C-Design&amp;Const'!AF227)</f>
        <v>(Approx. 50% Complete)</v>
      </c>
      <c r="K227" s="25" t="str">
        <f>IF(DD_apply="Yes",IF((COUNTIF(D227:G227,"Y")=COUNTIF('01 - SD'!D227:G227,"Y")),"match","no SD match"),"-")</f>
        <v>no SD match</v>
      </c>
      <c r="L227" s="1410" t="str">
        <f t="shared" si="10"/>
        <v/>
      </c>
      <c r="M227" s="1333"/>
      <c r="N227" s="1333"/>
      <c r="O227" s="1333"/>
      <c r="P227" s="1333"/>
      <c r="Q227" s="1333"/>
      <c r="R227" s="1453"/>
      <c r="S227" s="1284"/>
      <c r="T227" s="1284"/>
      <c r="U227" s="1333"/>
      <c r="V227" s="1333"/>
      <c r="W227" s="1333"/>
      <c r="X227" s="1333"/>
      <c r="Y227" s="1333"/>
      <c r="Z227" s="1333"/>
      <c r="AA227" s="1333"/>
      <c r="AB227" s="1333"/>
      <c r="AC227" s="1333"/>
      <c r="AD227" s="1333"/>
      <c r="AE227" s="1333"/>
      <c r="AF227" s="1333"/>
      <c r="AG227" s="1333"/>
      <c r="AH227" s="1333"/>
      <c r="AI227" s="1333"/>
      <c r="AV227"/>
      <c r="AW227"/>
    </row>
    <row r="228" spans="1:49" s="542" customFormat="1" ht="15" customHeight="1" x14ac:dyDescent="0.25">
      <c r="A228" s="1504"/>
      <c r="B228" s="18"/>
      <c r="C228" s="945"/>
      <c r="D228" s="116"/>
      <c r="E228" s="321"/>
      <c r="F228" s="559" t="str">
        <f>IF('C-Design&amp;Const'!$K228="","",'C-Design&amp;Const'!$K228)</f>
        <v>Y</v>
      </c>
      <c r="G228" s="558"/>
      <c r="H228" s="469" t="str">
        <f>CONCATENATE(IF(F228="N","PLACEHOLDER ROW - ",""),'C-Design&amp;Const'!Z228,IF(F228="N","",J228))</f>
        <v>Traffic Control Plans - Vehicular &amp; Pedestrian (Approx. 50% Complete)</v>
      </c>
      <c r="I228" s="137"/>
      <c r="J228" s="578" t="str">
        <f>IF('C-Design&amp;Const'!AF228="","",'C-Design&amp;Const'!AF228)</f>
        <v>(Approx. 50% Complete)</v>
      </c>
      <c r="K228" s="25" t="str">
        <f>IF(DD_apply="Yes",IF((COUNTIF(D228:G228,"Y")=COUNTIF('01 - SD'!D228:G228,"Y")),"match","no SD match"),"-")</f>
        <v>no SD match</v>
      </c>
      <c r="L228" s="1410" t="str">
        <f t="shared" ref="L228" si="14">CONCATENATE(IF(ISNUMBER(SEARCH("Placeholder",H228))=TRUE,"&lt;---PM/Planner may hide PLACEHOLDER ROW",""))</f>
        <v/>
      </c>
      <c r="M228" s="1333"/>
      <c r="N228" s="1333"/>
      <c r="O228" s="1333"/>
      <c r="P228" s="1333"/>
      <c r="Q228" s="1333"/>
      <c r="R228" s="1453"/>
      <c r="S228" s="1284"/>
      <c r="T228" s="1284"/>
      <c r="U228" s="1333"/>
      <c r="V228" s="1333"/>
      <c r="W228" s="1333"/>
      <c r="X228" s="1333"/>
      <c r="Y228" s="1333"/>
      <c r="Z228" s="1333"/>
      <c r="AA228" s="1333"/>
      <c r="AB228" s="1333"/>
      <c r="AC228" s="1333"/>
      <c r="AD228" s="1333"/>
      <c r="AE228" s="1333"/>
      <c r="AF228" s="1333"/>
      <c r="AG228" s="1333"/>
      <c r="AH228" s="1333"/>
      <c r="AI228" s="1333"/>
      <c r="AJ228" s="17"/>
      <c r="AK228" s="17"/>
      <c r="AL228" s="17"/>
      <c r="AM228" s="17"/>
      <c r="AN228" s="17"/>
      <c r="AO228" s="17"/>
      <c r="AP228" s="17"/>
      <c r="AQ228" s="17"/>
      <c r="AR228" s="17"/>
      <c r="AS228" s="17"/>
      <c r="AT228" s="17"/>
      <c r="AU228" s="17"/>
    </row>
    <row r="229" spans="1:49" s="30" customFormat="1" ht="15" customHeight="1" x14ac:dyDescent="0.25">
      <c r="A229" s="1504" t="str">
        <f>IF(SD_apply="Yes",IF(COUNTIF('01 - SD'!D229:G229,"Y")&gt;0,"Y",IF(COUNTIF('01 - SD'!D229:G229,"N"),"N","")),"")</f>
        <v>N</v>
      </c>
      <c r="B229" s="32"/>
      <c r="C229" s="945"/>
      <c r="D229" s="10"/>
      <c r="E229" s="463"/>
      <c r="F229" s="359" t="str">
        <f>IF('C-Design&amp;Const'!$K229="","",'C-Design&amp;Const'!$K229)</f>
        <v>N</v>
      </c>
      <c r="G229" s="291"/>
      <c r="H229" s="469" t="str">
        <f>CONCATENATE(IF(F229="N","PLACEHOLDER ROW - ",""),'C-Design&amp;Const'!Z229,IF(F229="N","",J229))</f>
        <v>PLACEHOLDER ROW - Construction Layout/Laydown Plan with tree protection</v>
      </c>
      <c r="I229" s="184"/>
      <c r="J229" s="578" t="str">
        <f>IF('C-Design&amp;Const'!AF229="","",'C-Design&amp;Const'!AF229)</f>
        <v>(Preliminary)</v>
      </c>
      <c r="K229" s="25" t="str">
        <f>IF(DD_apply="Yes",IF((COUNTIF(D229:G229,"Y")=COUNTIF('01 - SD'!D229:G229,"Y")),"match","no SD match"),"-")</f>
        <v>match</v>
      </c>
      <c r="L229" s="1410" t="str">
        <f t="shared" si="10"/>
        <v>&lt;---PM/Planner may hide PLACEHOLDER ROW</v>
      </c>
      <c r="M229" s="1382"/>
      <c r="N229" s="1333"/>
      <c r="O229" s="1382"/>
      <c r="P229" s="1382"/>
      <c r="Q229" s="1382"/>
      <c r="R229" s="1382"/>
      <c r="S229" s="1382"/>
      <c r="T229" s="1382"/>
      <c r="U229" s="1382"/>
      <c r="V229" s="1382"/>
      <c r="W229" s="1382"/>
      <c r="X229" s="1382"/>
      <c r="Y229" s="1382"/>
      <c r="Z229" s="1382"/>
      <c r="AA229" s="1382"/>
      <c r="AB229" s="1382"/>
      <c r="AC229" s="1382"/>
      <c r="AD229" s="1382"/>
      <c r="AE229" s="1382"/>
      <c r="AF229" s="1382"/>
      <c r="AG229" s="1382"/>
      <c r="AH229" s="1382"/>
      <c r="AI229" s="1382"/>
      <c r="AJ229" s="181"/>
      <c r="AK229" s="181"/>
      <c r="AL229" s="181"/>
      <c r="AM229" s="181"/>
      <c r="AN229" s="181"/>
      <c r="AO229" s="181"/>
      <c r="AP229" s="181"/>
      <c r="AQ229" s="181"/>
      <c r="AR229" s="181"/>
      <c r="AS229" s="181"/>
      <c r="AT229" s="181"/>
      <c r="AU229" s="181"/>
      <c r="AV229" s="181"/>
      <c r="AW229" s="181"/>
    </row>
    <row r="230" spans="1:49" ht="15" customHeight="1" x14ac:dyDescent="0.25">
      <c r="A230" s="1504" t="str">
        <f>IF(SD_apply="Yes",IF(COUNTIF('01 - SD'!D230:G230,"Y")&gt;0,"Y",IF(COUNTIF('01 - SD'!D230:G230,"N"),"N","")),"")</f>
        <v>Y</v>
      </c>
      <c r="B230" s="18"/>
      <c r="C230" s="945"/>
      <c r="D230" s="116"/>
      <c r="E230" s="321"/>
      <c r="F230" s="559" t="str">
        <f>IF('C-Design&amp;Const'!$K230="","",'C-Design&amp;Const'!$K230)</f>
        <v>Y</v>
      </c>
      <c r="G230" s="485"/>
      <c r="H230" s="469" t="str">
        <f>CONCATENATE(IF(F230="N","PLACEHOLDER ROW - ",""),'C-Design&amp;Const'!Z230,IF(F230="N","",J230))</f>
        <v>Landscape Plan (Approx. 50% Complete)</v>
      </c>
      <c r="I230" s="137"/>
      <c r="J230" s="578" t="str">
        <f>IF('C-Design&amp;Const'!AF230="","",'C-Design&amp;Const'!AF230)</f>
        <v>(Approx. 50% Complete)</v>
      </c>
      <c r="K230" s="25" t="str">
        <f>IF(DD_apply="Yes",IF((COUNTIF(D230:G230,"Y")=COUNTIF('01 - SD'!D230:G230,"Y")),"match","no SD match"),"-")</f>
        <v>match</v>
      </c>
      <c r="L230" s="1410" t="str">
        <f t="shared" si="10"/>
        <v/>
      </c>
      <c r="M230" s="1333"/>
      <c r="N230" s="1333"/>
      <c r="O230" s="1333"/>
      <c r="P230" s="1333"/>
      <c r="Q230" s="1333"/>
      <c r="R230" s="1453"/>
      <c r="S230" s="1284"/>
      <c r="T230" s="1284"/>
      <c r="U230" s="1333"/>
      <c r="V230" s="1333"/>
      <c r="W230" s="1333"/>
      <c r="X230" s="1333"/>
      <c r="Y230" s="1333"/>
      <c r="Z230" s="1333"/>
      <c r="AA230" s="1333"/>
      <c r="AB230" s="1333"/>
      <c r="AC230" s="1333"/>
      <c r="AD230" s="1333"/>
      <c r="AE230" s="1333"/>
      <c r="AF230" s="1333"/>
      <c r="AG230" s="1333"/>
      <c r="AH230" s="1333"/>
      <c r="AI230" s="1333"/>
      <c r="AV230"/>
      <c r="AW230"/>
    </row>
    <row r="231" spans="1:49" ht="15" customHeight="1" x14ac:dyDescent="0.25">
      <c r="A231" s="1502" t="str">
        <f>IF(SD_apply="Yes",IF(COUNTIF('01 - SD'!D231:G231,"Y")&gt;0,"Y",IF(COUNTIF('01 - SD'!D231:G231,"N"),"N","")),"")</f>
        <v>Y</v>
      </c>
      <c r="B231" s="18"/>
      <c r="C231" s="945"/>
      <c r="D231" s="116"/>
      <c r="E231" s="559" t="str">
        <f>IF('C-Design&amp;Const'!$K231="","",'C-Design&amp;Const'!$K231)</f>
        <v>Y</v>
      </c>
      <c r="F231" s="478"/>
      <c r="G231" s="485"/>
      <c r="H231" s="244" t="str">
        <f>CONCATENATE(IF(F231="N","PLACEHOLDER ROW - ",""),'C-Design&amp;Const'!Z231,IF(F231="N","",J231))</f>
        <v>Architectural Drawings</v>
      </c>
      <c r="I231" s="146"/>
      <c r="J231" s="578" t="str">
        <f>IF('C-Design&amp;Const'!AF231="","",'C-Design&amp;Const'!AF231)</f>
        <v/>
      </c>
      <c r="K231" s="25" t="str">
        <f>IF(DD_apply="Yes",IF((COUNTIF(D231:G231,"Y")=COUNTIF('01 - SD'!D231:G231,"Y")),"match","no SD match"),"-")</f>
        <v>match</v>
      </c>
      <c r="L231" s="1410" t="str">
        <f t="shared" si="10"/>
        <v/>
      </c>
      <c r="M231" s="1333"/>
      <c r="N231" s="1333"/>
      <c r="O231" s="1333"/>
      <c r="P231" s="1333"/>
      <c r="Q231" s="1333"/>
      <c r="R231" s="1284"/>
      <c r="S231" s="1489"/>
      <c r="T231" s="1284"/>
      <c r="U231" s="1333"/>
      <c r="V231" s="1333"/>
      <c r="W231" s="1333"/>
      <c r="X231" s="1333"/>
      <c r="Y231" s="1333"/>
      <c r="Z231" s="1333"/>
      <c r="AA231" s="1333"/>
      <c r="AB231" s="1333"/>
      <c r="AC231" s="1333"/>
      <c r="AD231" s="1333"/>
      <c r="AE231" s="1333"/>
      <c r="AF231" s="1333"/>
      <c r="AG231" s="1333"/>
      <c r="AH231" s="1333"/>
      <c r="AI231" s="1333"/>
      <c r="AV231"/>
      <c r="AW231"/>
    </row>
    <row r="232" spans="1:49" ht="15" customHeight="1" x14ac:dyDescent="0.25">
      <c r="A232" s="1504" t="str">
        <f>IF(SD_apply="Yes",IF(COUNTIF('01 - SD'!D232:G232,"Y")&gt;0,"Y",IF(COUNTIF('01 - SD'!D232:G232,"N"),"N","")),"")</f>
        <v>N</v>
      </c>
      <c r="B232" s="18"/>
      <c r="C232" s="945"/>
      <c r="D232" s="116"/>
      <c r="E232" s="321"/>
      <c r="F232" s="559" t="str">
        <f>IF('C-Design&amp;Const'!$K232="","",'C-Design&amp;Const'!$K232)</f>
        <v>N</v>
      </c>
      <c r="G232" s="491"/>
      <c r="H232" s="243" t="str">
        <f>CONCATENATE(IF(F232="N","PLACEHOLDER ROW - ",""),'C-Design&amp;Const'!Z232,IF(F232="N","",J232))</f>
        <v xml:space="preserve">PLACEHOLDER ROW - CUSTOM - Architectural  </v>
      </c>
      <c r="I232" s="137"/>
      <c r="J232" s="578" t="str">
        <f>IF('C-Design&amp;Const'!AF232="","",'C-Design&amp;Const'!AF232)</f>
        <v>(Approx. 50% Complete)</v>
      </c>
      <c r="K232" s="25" t="str">
        <f>IF(DD_apply="Yes",IF((COUNTIF(D232:G232,"Y")=COUNTIF('01 - SD'!D232:G232,"Y")),"match","no SD match"),"-")</f>
        <v>match</v>
      </c>
      <c r="L232" s="1410" t="str">
        <f t="shared" si="10"/>
        <v>&lt;---PM/Planner may hide PLACEHOLDER ROW</v>
      </c>
      <c r="M232" s="1333"/>
      <c r="N232" s="1333"/>
      <c r="O232" s="1333"/>
      <c r="P232" s="1333"/>
      <c r="Q232" s="1333"/>
      <c r="R232" s="1453"/>
      <c r="S232" s="1284"/>
      <c r="T232" s="1284"/>
      <c r="U232" s="1333"/>
      <c r="V232" s="1333"/>
      <c r="W232" s="1333"/>
      <c r="X232" s="1333"/>
      <c r="Y232" s="1333"/>
      <c r="Z232" s="1333"/>
      <c r="AA232" s="1333"/>
      <c r="AB232" s="1333"/>
      <c r="AC232" s="1333"/>
      <c r="AD232" s="1333"/>
      <c r="AE232" s="1333"/>
      <c r="AF232" s="1333"/>
      <c r="AG232" s="1333"/>
      <c r="AH232" s="1333"/>
      <c r="AI232" s="1333"/>
      <c r="AV232"/>
      <c r="AW232"/>
    </row>
    <row r="233" spans="1:49" ht="15" customHeight="1" x14ac:dyDescent="0.25">
      <c r="A233" s="1504" t="str">
        <f>IF(SD_apply="Yes",IF(COUNTIF('01 - SD'!D233:G233,"Y")&gt;0,"Y",IF(COUNTIF('01 - SD'!D233:G233,"N"),"N","")),"")</f>
        <v>N</v>
      </c>
      <c r="B233" s="18"/>
      <c r="C233" s="945"/>
      <c r="D233" s="116"/>
      <c r="E233" s="321"/>
      <c r="F233" s="559" t="str">
        <f>IF('C-Design&amp;Const'!$K233="","",'C-Design&amp;Const'!$K233)</f>
        <v>N</v>
      </c>
      <c r="G233" s="491"/>
      <c r="H233" s="243" t="str">
        <f>CONCATENATE(IF(F233="N","PLACEHOLDER ROW - ",""),'C-Design&amp;Const'!Z233,IF(F233="N","",J233))</f>
        <v xml:space="preserve">PLACEHOLDER ROW - CUSTOM - Architectural  </v>
      </c>
      <c r="I233" s="137"/>
      <c r="J233" s="578" t="str">
        <f>IF('C-Design&amp;Const'!AF233="","",'C-Design&amp;Const'!AF233)</f>
        <v>(Approx. 50% Complete)</v>
      </c>
      <c r="K233" s="25" t="str">
        <f>IF(DD_apply="Yes",IF((COUNTIF(D233:G233,"Y")=COUNTIF('01 - SD'!D233:G233,"Y")),"match","no SD match"),"-")</f>
        <v>match</v>
      </c>
      <c r="L233" s="1410" t="str">
        <f t="shared" si="10"/>
        <v>&lt;---PM/Planner may hide PLACEHOLDER ROW</v>
      </c>
      <c r="M233" s="1333"/>
      <c r="N233" s="1333"/>
      <c r="O233" s="1333"/>
      <c r="P233" s="1333"/>
      <c r="Q233" s="1333"/>
      <c r="R233" s="1453"/>
      <c r="S233" s="1284"/>
      <c r="T233" s="1284"/>
      <c r="U233" s="1333"/>
      <c r="V233" s="1333"/>
      <c r="W233" s="1333"/>
      <c r="X233" s="1333"/>
      <c r="Y233" s="1333"/>
      <c r="Z233" s="1333"/>
      <c r="AA233" s="1333"/>
      <c r="AB233" s="1333"/>
      <c r="AC233" s="1333"/>
      <c r="AD233" s="1333"/>
      <c r="AE233" s="1333"/>
      <c r="AF233" s="1333"/>
      <c r="AG233" s="1333"/>
      <c r="AH233" s="1333"/>
      <c r="AI233" s="1333"/>
      <c r="AV233"/>
      <c r="AW233"/>
    </row>
    <row r="234" spans="1:49" s="542" customFormat="1" ht="15" customHeight="1" x14ac:dyDescent="0.25">
      <c r="A234" s="1504" t="str">
        <f>IF(SD_apply="Yes",IF(COUNTIF('01 - SD'!D234:G234,"Y")&gt;0,"Y",IF(COUNTIF('01 - SD'!D234:G234,"N"),"N","")),"")</f>
        <v>Y</v>
      </c>
      <c r="B234" s="18"/>
      <c r="C234" s="945"/>
      <c r="D234" s="116"/>
      <c r="E234" s="321"/>
      <c r="F234" s="559" t="str">
        <f>IF('C-Design&amp;Const'!$K234="","",'C-Design&amp;Const'!$K234)</f>
        <v>Y</v>
      </c>
      <c r="G234" s="491"/>
      <c r="H234" s="469" t="str">
        <f>CONCATENATE(IF(F234="N","PLACEHOLDER ROW - ",""),'C-Design&amp;Const'!Z234,IF(F234="N","",J234))</f>
        <v>Architectural Symbols, Abbreviations, and General Notes (Approx. 50% Complete)</v>
      </c>
      <c r="I234" s="137"/>
      <c r="J234" s="578" t="str">
        <f>IF('C-Design&amp;Const'!AF234="","",'C-Design&amp;Const'!AF234)</f>
        <v>(Approx. 50% Complete)</v>
      </c>
      <c r="K234" s="25" t="str">
        <f>IF(DD_apply="Yes",IF((COUNTIF(D234:G234,"Y")=COUNTIF('01 - SD'!D234:G234,"Y")),"match","no SD match"),"-")</f>
        <v>match</v>
      </c>
      <c r="L234" s="1410" t="str">
        <f t="shared" si="10"/>
        <v/>
      </c>
      <c r="M234" s="1333"/>
      <c r="N234" s="1333"/>
      <c r="O234" s="1333"/>
      <c r="P234" s="1333"/>
      <c r="Q234" s="1333"/>
      <c r="R234" s="1453"/>
      <c r="S234" s="1284"/>
      <c r="T234" s="1284"/>
      <c r="U234" s="1333"/>
      <c r="V234" s="1333"/>
      <c r="W234" s="1333"/>
      <c r="X234" s="1333"/>
      <c r="Y234" s="1333"/>
      <c r="Z234" s="1333"/>
      <c r="AA234" s="1333"/>
      <c r="AB234" s="1333"/>
      <c r="AC234" s="1333"/>
      <c r="AD234" s="1333"/>
      <c r="AE234" s="1333"/>
      <c r="AF234" s="1333"/>
      <c r="AG234" s="1333"/>
      <c r="AH234" s="1333"/>
      <c r="AI234" s="1333"/>
      <c r="AJ234" s="17"/>
      <c r="AK234" s="17"/>
      <c r="AL234" s="17"/>
      <c r="AM234" s="17"/>
      <c r="AN234" s="17"/>
      <c r="AO234" s="17"/>
      <c r="AP234" s="17"/>
      <c r="AQ234" s="17"/>
      <c r="AR234" s="17"/>
      <c r="AS234" s="17"/>
      <c r="AT234" s="17"/>
      <c r="AU234" s="17"/>
    </row>
    <row r="235" spans="1:49" ht="15" customHeight="1" x14ac:dyDescent="0.25">
      <c r="A235" s="1504" t="str">
        <f>IF(SD_apply="Yes",IF(COUNTIF('01 - SD'!D235:G235,"Y")&gt;0,"Y",IF(COUNTIF('01 - SD'!D235:G235,"N"),"N","")),"")</f>
        <v>Y</v>
      </c>
      <c r="B235" s="18"/>
      <c r="C235" s="945"/>
      <c r="D235" s="116"/>
      <c r="E235" s="321"/>
      <c r="F235" s="559" t="str">
        <f>IF('C-Design&amp;Const'!$K235="","",'C-Design&amp;Const'!$K235)</f>
        <v>N</v>
      </c>
      <c r="G235" s="491"/>
      <c r="H235" s="243" t="str">
        <f>CONCATENATE(IF(F235="N","PLACEHOLDER ROW - ",""),'C-Design&amp;Const'!Z235,IF(F235="N","",J235))</f>
        <v xml:space="preserve">PLACEHOLDER ROW - Renderings </v>
      </c>
      <c r="I235" s="137"/>
      <c r="J235" s="578" t="str">
        <f>IF('C-Design&amp;Const'!AF235="","",'C-Design&amp;Const'!AF235)</f>
        <v>(Approx. 50% Complete)</v>
      </c>
      <c r="K235" s="25" t="str">
        <f>IF(DD_apply="Yes",IF((COUNTIF(D235:G235,"Y")=COUNTIF('01 - SD'!D235:G235,"Y")),"match","no SD match"),"-")</f>
        <v>no SD match</v>
      </c>
      <c r="L235" s="1410" t="str">
        <f t="shared" si="10"/>
        <v>&lt;---PM/Planner may hide PLACEHOLDER ROW</v>
      </c>
      <c r="M235" s="1333"/>
      <c r="N235" s="1333"/>
      <c r="O235" s="1333"/>
      <c r="P235" s="1333"/>
      <c r="Q235" s="1333"/>
      <c r="R235" s="1453"/>
      <c r="S235" s="1284"/>
      <c r="T235" s="1284"/>
      <c r="U235" s="1333"/>
      <c r="V235" s="1333"/>
      <c r="W235" s="1333"/>
      <c r="X235" s="1333"/>
      <c r="Y235" s="1333"/>
      <c r="Z235" s="1333"/>
      <c r="AA235" s="1333"/>
      <c r="AB235" s="1333"/>
      <c r="AC235" s="1333"/>
      <c r="AD235" s="1333"/>
      <c r="AE235" s="1333"/>
      <c r="AF235" s="1333"/>
      <c r="AG235" s="1333"/>
      <c r="AH235" s="1333"/>
      <c r="AI235" s="1333"/>
      <c r="AV235"/>
      <c r="AW235"/>
    </row>
    <row r="236" spans="1:49" s="542" customFormat="1" ht="15" customHeight="1" x14ac:dyDescent="0.25">
      <c r="A236" s="1504" t="str">
        <f>IF(SD_apply="Yes",IF(COUNTIF('01 - SD'!D236:G236,"Y")&gt;0,"Y",IF(COUNTIF('01 - SD'!D236:G236,"N"),"N","")),"")</f>
        <v>N</v>
      </c>
      <c r="B236" s="18"/>
      <c r="C236" s="945"/>
      <c r="D236" s="116"/>
      <c r="E236" s="321"/>
      <c r="F236" s="559" t="str">
        <f>IF('C-Design&amp;Const'!$K236="","",'C-Design&amp;Const'!$K236)</f>
        <v>Y</v>
      </c>
      <c r="G236" s="485"/>
      <c r="H236" s="243" t="str">
        <f>CONCATENATE(IF(F236="N","PLACEHOLDER ROW - ",""),'C-Design&amp;Const'!Z236,IF(F236="N","",J236))</f>
        <v>Demolition(s) (Approx. 50% Complete)</v>
      </c>
      <c r="I236" s="137"/>
      <c r="J236" s="578" t="str">
        <f>IF('C-Design&amp;Const'!AF236="","",'C-Design&amp;Const'!AF236)</f>
        <v>(Approx. 50% Complete)</v>
      </c>
      <c r="K236" s="25" t="str">
        <f>IF(DD_apply="Yes",IF((COUNTIF(D236:G236,"Y")=COUNTIF('01 - SD'!D236:G236,"Y")),"match","no SD match"),"-")</f>
        <v>no SD match</v>
      </c>
      <c r="L236" s="1410" t="str">
        <f>CONCATENATE(IF(ISNUMBER(SEARCH("Placeholder",H236))=TRUE,"&lt;---PM/Planner may hide PLACEHOLDER ROW",""))</f>
        <v/>
      </c>
      <c r="M236" s="1333"/>
      <c r="N236" s="1333"/>
      <c r="O236" s="1333"/>
      <c r="P236" s="1333"/>
      <c r="Q236" s="1333"/>
      <c r="R236" s="1453"/>
      <c r="S236" s="1284"/>
      <c r="T236" s="1284"/>
      <c r="U236" s="1333"/>
      <c r="V236" s="1333"/>
      <c r="W236" s="1333"/>
      <c r="X236" s="1333"/>
      <c r="Y236" s="1333"/>
      <c r="Z236" s="1333"/>
      <c r="AA236" s="1333"/>
      <c r="AB236" s="1333"/>
      <c r="AC236" s="1333"/>
      <c r="AD236" s="1333"/>
      <c r="AE236" s="1333"/>
      <c r="AF236" s="1333"/>
      <c r="AG236" s="1333"/>
      <c r="AH236" s="1333"/>
      <c r="AI236" s="1333"/>
      <c r="AJ236" s="17"/>
      <c r="AK236" s="17"/>
      <c r="AL236" s="17"/>
      <c r="AM236" s="17"/>
      <c r="AN236" s="17"/>
      <c r="AO236" s="17"/>
      <c r="AP236" s="17"/>
      <c r="AQ236" s="17"/>
      <c r="AR236" s="17"/>
      <c r="AS236" s="17"/>
      <c r="AT236" s="17"/>
      <c r="AU236" s="17"/>
    </row>
    <row r="237" spans="1:49" ht="15" customHeight="1" x14ac:dyDescent="0.25">
      <c r="A237" s="1504" t="str">
        <f>IF(SD_apply="Yes",IF(COUNTIF('01 - SD'!D237:G237,"Y")&gt;0,"Y",IF(COUNTIF('01 - SD'!D237:G237,"N"),"N","")),"")</f>
        <v>N</v>
      </c>
      <c r="B237" s="18"/>
      <c r="C237" s="945"/>
      <c r="D237" s="116"/>
      <c r="E237" s="321"/>
      <c r="F237" s="559" t="str">
        <f>IF('C-Design&amp;Const'!$K237="","",'C-Design&amp;Const'!$K237)</f>
        <v>Y</v>
      </c>
      <c r="G237" s="485"/>
      <c r="H237" s="243" t="str">
        <f>CONCATENATE(IF(F237="N","PLACEHOLDER ROW - ",""),'C-Design&amp;Const'!Z237,IF(F237="N","",J237))</f>
        <v>Floor Plans - Large Scale (Approx. 50% Complete)</v>
      </c>
      <c r="I237" s="137"/>
      <c r="J237" s="578" t="str">
        <f>IF('C-Design&amp;Const'!AF237="","",'C-Design&amp;Const'!AF237)</f>
        <v>(Approx. 50% Complete)</v>
      </c>
      <c r="K237" s="25" t="str">
        <f>IF(DD_apply="Yes",IF((COUNTIF(D237:G237,"Y")=COUNTIF('01 - SD'!D237:G237,"Y")),"match","no SD match"),"-")</f>
        <v>no SD match</v>
      </c>
      <c r="L237" s="1410" t="str">
        <f>CONCATENATE(IF(ISNUMBER(SEARCH("Placeholder",H237))=TRUE,"&lt;---PM/Planner may hide PLACEHOLDER ROW",""))</f>
        <v/>
      </c>
      <c r="M237" s="1333"/>
      <c r="N237" s="1333"/>
      <c r="O237" s="1333"/>
      <c r="P237" s="1333"/>
      <c r="Q237" s="1333"/>
      <c r="R237" s="1453"/>
      <c r="S237" s="1284"/>
      <c r="T237" s="1284"/>
      <c r="U237" s="1333"/>
      <c r="V237" s="1333"/>
      <c r="W237" s="1333"/>
      <c r="X237" s="1333"/>
      <c r="Y237" s="1333"/>
      <c r="Z237" s="1333"/>
      <c r="AA237" s="1333"/>
      <c r="AB237" s="1333"/>
      <c r="AC237" s="1333"/>
      <c r="AD237" s="1333"/>
      <c r="AE237" s="1333"/>
      <c r="AF237" s="1333"/>
      <c r="AG237" s="1333"/>
      <c r="AH237" s="1333"/>
      <c r="AI237" s="1333"/>
      <c r="AV237"/>
      <c r="AW237"/>
    </row>
    <row r="238" spans="1:49" ht="15" customHeight="1" x14ac:dyDescent="0.25">
      <c r="A238" s="1504" t="str">
        <f>IF(SD_apply="Yes",IF(COUNTIF('01 - SD'!D238:G238,"Y")&gt;0,"Y",IF(COUNTIF('01 - SD'!D238:G238,"N"),"N","")),"")</f>
        <v>Y</v>
      </c>
      <c r="B238" s="18"/>
      <c r="C238" s="945"/>
      <c r="D238" s="116"/>
      <c r="E238" s="321"/>
      <c r="F238" s="559" t="str">
        <f>IF('C-Design&amp;Const'!$K238="","",'C-Design&amp;Const'!$K238)</f>
        <v>Y</v>
      </c>
      <c r="G238" s="485"/>
      <c r="H238" s="243" t="str">
        <f>CONCATENATE(IF(F238="N","PLACEHOLDER ROW - ",""),'C-Design&amp;Const'!Z238,IF(F238="N","",J238))</f>
        <v>Floor Plans (Approx. 50% Complete)</v>
      </c>
      <c r="I238" s="137"/>
      <c r="J238" s="578" t="str">
        <f>IF('C-Design&amp;Const'!AF238="","",'C-Design&amp;Const'!AF238)</f>
        <v>(Approx. 50% Complete)</v>
      </c>
      <c r="K238" s="25" t="str">
        <f>IF(DD_apply="Yes",IF((COUNTIF(D238:G238,"Y")=COUNTIF('01 - SD'!D238:G238,"Y")),"match","no SD match"),"-")</f>
        <v>match</v>
      </c>
      <c r="L238" s="1410" t="str">
        <f t="shared" si="10"/>
        <v/>
      </c>
      <c r="M238" s="1333"/>
      <c r="N238" s="1333"/>
      <c r="O238" s="1333"/>
      <c r="P238" s="1333"/>
      <c r="Q238" s="1333"/>
      <c r="R238" s="1453"/>
      <c r="S238" s="1284"/>
      <c r="T238" s="1284"/>
      <c r="U238" s="1333"/>
      <c r="V238" s="1333"/>
      <c r="W238" s="1333"/>
      <c r="X238" s="1333"/>
      <c r="Y238" s="1333"/>
      <c r="Z238" s="1333"/>
      <c r="AA238" s="1333"/>
      <c r="AB238" s="1333"/>
      <c r="AC238" s="1333"/>
      <c r="AD238" s="1333"/>
      <c r="AE238" s="1333"/>
      <c r="AF238" s="1333"/>
      <c r="AG238" s="1333"/>
      <c r="AH238" s="1333"/>
      <c r="AI238" s="1333"/>
      <c r="AV238"/>
      <c r="AW238"/>
    </row>
    <row r="239" spans="1:49" ht="15" customHeight="1" x14ac:dyDescent="0.25">
      <c r="A239" s="1504" t="str">
        <f>IF(SD_apply="Yes",IF(COUNTIF('01 - SD'!D239:G239,"Y")&gt;0,"Y",IF(COUNTIF('01 - SD'!D239:G239,"N"),"N","")),"")</f>
        <v>Y</v>
      </c>
      <c r="B239" s="18"/>
      <c r="C239" s="945"/>
      <c r="D239" s="116"/>
      <c r="E239" s="321"/>
      <c r="F239" s="559" t="str">
        <f>IF('C-Design&amp;Const'!$K239="","",'C-Design&amp;Const'!$K239)</f>
        <v>Y</v>
      </c>
      <c r="G239" s="485"/>
      <c r="H239" s="243" t="str">
        <f>CONCATENATE(IF(F239="N","PLACEHOLDER ROW - ",""),'C-Design&amp;Const'!Z239,IF(F239="N","",J239))</f>
        <v>Roof Plan (Approx. 50% Complete)</v>
      </c>
      <c r="I239" s="137"/>
      <c r="J239" s="578" t="str">
        <f>IF('C-Design&amp;Const'!AF239="","",'C-Design&amp;Const'!AF239)</f>
        <v>(Approx. 50% Complete)</v>
      </c>
      <c r="K239" s="25" t="str">
        <f>IF(DD_apply="Yes",IF((COUNTIF(D239:G239,"Y")=COUNTIF('01 - SD'!D239:G239,"Y")),"match","no SD match"),"-")</f>
        <v>match</v>
      </c>
      <c r="L239" s="1410" t="str">
        <f t="shared" si="10"/>
        <v/>
      </c>
      <c r="M239" s="1333"/>
      <c r="N239" s="1333"/>
      <c r="O239" s="1333"/>
      <c r="P239" s="1333"/>
      <c r="Q239" s="1333"/>
      <c r="R239" s="1453"/>
      <c r="S239" s="1284"/>
      <c r="T239" s="1284"/>
      <c r="U239" s="1333"/>
      <c r="V239" s="1333"/>
      <c r="W239" s="1333"/>
      <c r="X239" s="1333"/>
      <c r="Y239" s="1333"/>
      <c r="Z239" s="1333"/>
      <c r="AA239" s="1333"/>
      <c r="AB239" s="1333"/>
      <c r="AC239" s="1333"/>
      <c r="AD239" s="1333"/>
      <c r="AE239" s="1333"/>
      <c r="AF239" s="1333"/>
      <c r="AG239" s="1333"/>
      <c r="AH239" s="1333"/>
      <c r="AI239" s="1333"/>
      <c r="AV239"/>
      <c r="AW239"/>
    </row>
    <row r="240" spans="1:49" ht="15" customHeight="1" x14ac:dyDescent="0.25">
      <c r="A240" s="1504" t="str">
        <f>IF(SD_apply="Yes",IF(COUNTIF('01 - SD'!D240:G240,"Y")&gt;0,"Y",IF(COUNTIF('01 - SD'!D240:G240,"N"),"N","")),"")</f>
        <v>Y</v>
      </c>
      <c r="B240" s="18"/>
      <c r="C240" s="945"/>
      <c r="D240" s="116"/>
      <c r="E240" s="321"/>
      <c r="F240" s="559" t="str">
        <f>IF('C-Design&amp;Const'!$K240="","",'C-Design&amp;Const'!$K240)</f>
        <v>Y</v>
      </c>
      <c r="G240" s="485"/>
      <c r="H240" s="243" t="str">
        <f>CONCATENATE(IF(F240="N","PLACEHOLDER ROW - ",""),'C-Design&amp;Const'!Z240,IF(F240="N","",J240))</f>
        <v>Building Elevations - Exterior Including Large Scale Critical Items (Approx. 50% Complete)</v>
      </c>
      <c r="I240" s="137"/>
      <c r="J240" s="578" t="str">
        <f>IF('C-Design&amp;Const'!AF240="","",'C-Design&amp;Const'!AF240)</f>
        <v>Including Large Scale Critical Items (Approx. 50% Complete)</v>
      </c>
      <c r="K240" s="25" t="str">
        <f>IF(DD_apply="Yes",IF((COUNTIF(D240:G240,"Y")=COUNTIF('01 - SD'!D240:G240,"Y")),"match","no SD match"),"-")</f>
        <v>match</v>
      </c>
      <c r="L240" s="1410" t="str">
        <f t="shared" si="10"/>
        <v/>
      </c>
      <c r="M240" s="1333"/>
      <c r="N240" s="1333"/>
      <c r="O240" s="1333"/>
      <c r="P240" s="1333"/>
      <c r="Q240" s="1333"/>
      <c r="R240" s="1453"/>
      <c r="S240" s="1284"/>
      <c r="T240" s="1284"/>
      <c r="U240" s="1333"/>
      <c r="V240" s="1333"/>
      <c r="W240" s="1333"/>
      <c r="X240" s="1333"/>
      <c r="Y240" s="1333"/>
      <c r="Z240" s="1333"/>
      <c r="AA240" s="1333"/>
      <c r="AB240" s="1333"/>
      <c r="AC240" s="1333"/>
      <c r="AD240" s="1333"/>
      <c r="AE240" s="1333"/>
      <c r="AF240" s="1333"/>
      <c r="AG240" s="1333"/>
      <c r="AH240" s="1333"/>
      <c r="AI240" s="1333"/>
      <c r="AV240"/>
      <c r="AW240"/>
    </row>
    <row r="241" spans="1:49" ht="15" customHeight="1" x14ac:dyDescent="0.25">
      <c r="A241" s="1504" t="str">
        <f>IF(SD_apply="Yes",IF(COUNTIF('01 - SD'!D241:G241,"Y")&gt;0,"Y",IF(COUNTIF('01 - SD'!D241:G241,"N"),"N","")),"")</f>
        <v>N</v>
      </c>
      <c r="B241" s="18"/>
      <c r="C241" s="945"/>
      <c r="D241" s="116"/>
      <c r="E241" s="321"/>
      <c r="F241" s="559" t="str">
        <f>IF('C-Design&amp;Const'!$K241="","",'C-Design&amp;Const'!$K241)</f>
        <v>Y</v>
      </c>
      <c r="G241" s="485"/>
      <c r="H241" s="243" t="str">
        <f>CONCATENATE(IF(F241="N","PLACEHOLDER ROW - ",""),'C-Design&amp;Const'!Z241,IF(F241="N","",J241))</f>
        <v>Transverse and Longitudinal Sections (Approx. 50% Complete)</v>
      </c>
      <c r="I241" s="137"/>
      <c r="J241" s="578" t="str">
        <f>IF('C-Design&amp;Const'!AF241="","",'C-Design&amp;Const'!AF241)</f>
        <v>(Approx. 50% Complete)</v>
      </c>
      <c r="K241" s="25" t="str">
        <f>IF(DD_apply="Yes",IF((COUNTIF(D241:G241,"Y")=COUNTIF('01 - SD'!D241:G241,"Y")),"match","no SD match"),"-")</f>
        <v>no SD match</v>
      </c>
      <c r="L241" s="1410" t="str">
        <f t="shared" si="10"/>
        <v/>
      </c>
      <c r="M241" s="1333"/>
      <c r="N241" s="1333"/>
      <c r="O241" s="1333"/>
      <c r="P241" s="1333"/>
      <c r="Q241" s="1333"/>
      <c r="R241" s="1453"/>
      <c r="S241" s="1284"/>
      <c r="T241" s="1284"/>
      <c r="U241" s="1333"/>
      <c r="V241" s="1333"/>
      <c r="W241" s="1333"/>
      <c r="X241" s="1333"/>
      <c r="Y241" s="1333"/>
      <c r="Z241" s="1333"/>
      <c r="AA241" s="1333"/>
      <c r="AB241" s="1333"/>
      <c r="AC241" s="1333"/>
      <c r="AD241" s="1333"/>
      <c r="AE241" s="1333"/>
      <c r="AF241" s="1333"/>
      <c r="AG241" s="1333"/>
      <c r="AH241" s="1333"/>
      <c r="AI241" s="1333"/>
      <c r="AV241"/>
      <c r="AW241"/>
    </row>
    <row r="242" spans="1:49" ht="15" customHeight="1" x14ac:dyDescent="0.25">
      <c r="A242" s="1504" t="str">
        <f>IF(SD_apply="Yes",IF(COUNTIF('01 - SD'!D242:G242,"Y")&gt;0,"Y",IF(COUNTIF('01 - SD'!D242:G242,"N"),"N","")),"")</f>
        <v>N</v>
      </c>
      <c r="B242" s="18"/>
      <c r="C242" s="945"/>
      <c r="D242" s="116"/>
      <c r="E242" s="321"/>
      <c r="F242" s="559" t="str">
        <f>IF('C-Design&amp;Const'!$K242="","",'C-Design&amp;Const'!$K242)</f>
        <v>Y</v>
      </c>
      <c r="G242" s="485"/>
      <c r="H242" s="243" t="str">
        <f>CONCATENATE(IF(F242="N","PLACEHOLDER ROW - ",""),'C-Design&amp;Const'!Z242,IF(F242="N","",J242))</f>
        <v>Wall Sections - All Major Exterior (Substantially Complete)</v>
      </c>
      <c r="I242" s="137"/>
      <c r="J242" s="578" t="str">
        <f>IF('C-Design&amp;Const'!AF242="","",'C-Design&amp;Const'!AF242)</f>
        <v>(Substantially Complete)</v>
      </c>
      <c r="K242" s="25" t="str">
        <f>IF(DD_apply="Yes",IF((COUNTIF(D242:G242,"Y")=COUNTIF('01 - SD'!D242:G242,"Y")),"match","no SD match"),"-")</f>
        <v>no SD match</v>
      </c>
      <c r="L242" s="1410" t="str">
        <f t="shared" si="10"/>
        <v/>
      </c>
      <c r="M242" s="1333"/>
      <c r="N242" s="1333"/>
      <c r="O242" s="1333"/>
      <c r="P242" s="1333"/>
      <c r="Q242" s="1333"/>
      <c r="R242" s="1453"/>
      <c r="S242" s="1284"/>
      <c r="T242" s="1284"/>
      <c r="U242" s="1333"/>
      <c r="V242" s="1333"/>
      <c r="W242" s="1333"/>
      <c r="X242" s="1333"/>
      <c r="Y242" s="1333"/>
      <c r="Z242" s="1333"/>
      <c r="AA242" s="1333"/>
      <c r="AB242" s="1333"/>
      <c r="AC242" s="1333"/>
      <c r="AD242" s="1333"/>
      <c r="AE242" s="1333"/>
      <c r="AF242" s="1333"/>
      <c r="AG242" s="1333"/>
      <c r="AH242" s="1333"/>
      <c r="AI242" s="1333"/>
      <c r="AV242"/>
      <c r="AW242"/>
    </row>
    <row r="243" spans="1:49" s="30" customFormat="1" ht="15" customHeight="1" x14ac:dyDescent="0.25">
      <c r="A243" s="1504" t="str">
        <f>IF(SD_apply="Yes",IF(COUNTIF('01 - SD'!D243:G243,"Y")&gt;0,"Y",IF(COUNTIF('01 - SD'!D243:G243,"N"),"N","")),"")</f>
        <v>N</v>
      </c>
      <c r="B243" s="32"/>
      <c r="C243" s="945"/>
      <c r="D243" s="10"/>
      <c r="E243" s="463"/>
      <c r="F243" s="359" t="str">
        <f>IF('C-Design&amp;Const'!$K243="","",'C-Design&amp;Const'!$K243)</f>
        <v>N</v>
      </c>
      <c r="G243" s="291"/>
      <c r="H243" s="469" t="str">
        <f>CONCATENATE(IF(F243="N","PLACEHOLDER ROW - ",""),'C-Design&amp;Const'!Z243,IF(F243="N","",J243))</f>
        <v xml:space="preserve">PLACEHOLDER ROW - Partial Sections and Details </v>
      </c>
      <c r="I243" s="184"/>
      <c r="J243" s="578" t="str">
        <f>IF('C-Design&amp;Const'!AF243="","",'C-Design&amp;Const'!AF243)</f>
        <v>(Approx. 50% Complete)</v>
      </c>
      <c r="K243" s="25" t="str">
        <f>IF(DD_apply="Yes",IF((COUNTIF(D243:G243,"Y")=COUNTIF('01 - SD'!D243:G243,"Y")),"match","no SD match"),"-")</f>
        <v>match</v>
      </c>
      <c r="L243" s="1410" t="str">
        <f t="shared" si="10"/>
        <v>&lt;---PM/Planner may hide PLACEHOLDER ROW</v>
      </c>
      <c r="M243" s="1382"/>
      <c r="N243" s="1333"/>
      <c r="O243" s="1382"/>
      <c r="P243" s="1382"/>
      <c r="Q243" s="1382"/>
      <c r="R243" s="1382"/>
      <c r="S243" s="1382"/>
      <c r="T243" s="1382"/>
      <c r="U243" s="1382"/>
      <c r="V243" s="1382"/>
      <c r="W243" s="1382"/>
      <c r="X243" s="1382"/>
      <c r="Y243" s="1382"/>
      <c r="Z243" s="1382"/>
      <c r="AA243" s="1382"/>
      <c r="AB243" s="1382"/>
      <c r="AC243" s="1382"/>
      <c r="AD243" s="1382"/>
      <c r="AE243" s="1382"/>
      <c r="AF243" s="1382"/>
      <c r="AG243" s="1382"/>
      <c r="AH243" s="1382"/>
      <c r="AI243" s="1382"/>
      <c r="AJ243" s="181"/>
      <c r="AK243" s="181"/>
      <c r="AL243" s="181"/>
      <c r="AM243" s="181"/>
      <c r="AN243" s="181"/>
      <c r="AO243" s="181"/>
      <c r="AP243" s="181"/>
      <c r="AQ243" s="181"/>
      <c r="AR243" s="181"/>
      <c r="AS243" s="181"/>
      <c r="AT243" s="181"/>
      <c r="AU243" s="181"/>
      <c r="AV243" s="181"/>
      <c r="AW243" s="181"/>
    </row>
    <row r="244" spans="1:49" s="30" customFormat="1" ht="15" customHeight="1" x14ac:dyDescent="0.25">
      <c r="A244" s="1504" t="str">
        <f>IF(SD_apply="Yes",IF(COUNTIF('01 - SD'!D244:G244,"Y")&gt;0,"Y",IF(COUNTIF('01 - SD'!D244:G244,"N"),"N","")),"")</f>
        <v>Y</v>
      </c>
      <c r="B244" s="32"/>
      <c r="C244" s="945"/>
      <c r="D244" s="10"/>
      <c r="E244" s="463"/>
      <c r="F244" s="359" t="str">
        <f>IF('C-Design&amp;Const'!$K244="","",'C-Design&amp;Const'!$K244)</f>
        <v>Y</v>
      </c>
      <c r="G244" s="291"/>
      <c r="H244" s="469" t="str">
        <f>CONCATENATE(IF(F244="N","PLACEHOLDER ROW - ",""),'C-Design&amp;Const'!Z244,IF(F244="N","",J244))</f>
        <v>Wall / Window Details (Substantially Complete)</v>
      </c>
      <c r="I244" s="184"/>
      <c r="J244" s="578" t="str">
        <f>IF('C-Design&amp;Const'!AF244="","",'C-Design&amp;Const'!AF244)</f>
        <v>(Substantially Complete)</v>
      </c>
      <c r="K244" s="25" t="str">
        <f>IF(DD_apply="Yes",IF((COUNTIF(D244:G244,"Y")=COUNTIF('01 - SD'!D244:G244,"Y")),"match","no SD match"),"-")</f>
        <v>match</v>
      </c>
      <c r="L244" s="1410" t="str">
        <f t="shared" si="10"/>
        <v/>
      </c>
      <c r="M244" s="1382"/>
      <c r="N244" s="1333"/>
      <c r="O244" s="1382"/>
      <c r="P244" s="1382"/>
      <c r="Q244" s="1382"/>
      <c r="R244" s="1382"/>
      <c r="S244" s="1382"/>
      <c r="T244" s="1382"/>
      <c r="U244" s="1382"/>
      <c r="V244" s="1382"/>
      <c r="W244" s="1382"/>
      <c r="X244" s="1382"/>
      <c r="Y244" s="1382"/>
      <c r="Z244" s="1382"/>
      <c r="AA244" s="1382"/>
      <c r="AB244" s="1382"/>
      <c r="AC244" s="1382"/>
      <c r="AD244" s="1382"/>
      <c r="AE244" s="1382"/>
      <c r="AF244" s="1382"/>
      <c r="AG244" s="1382"/>
      <c r="AH244" s="1382"/>
      <c r="AI244" s="1382"/>
      <c r="AJ244" s="181"/>
      <c r="AK244" s="181"/>
      <c r="AL244" s="181"/>
      <c r="AM244" s="181"/>
      <c r="AN244" s="181"/>
      <c r="AO244" s="181"/>
      <c r="AP244" s="181"/>
      <c r="AQ244" s="181"/>
      <c r="AR244" s="181"/>
      <c r="AS244" s="181"/>
      <c r="AT244" s="181"/>
      <c r="AU244" s="181"/>
      <c r="AV244" s="181"/>
      <c r="AW244" s="181"/>
    </row>
    <row r="245" spans="1:49" s="30" customFormat="1" ht="15" customHeight="1" x14ac:dyDescent="0.25">
      <c r="A245" s="1504" t="str">
        <f>IF(SD_apply="Yes",IF(COUNTIF('01 - SD'!D245:G245,"Y")&gt;0,"Y",IF(COUNTIF('01 - SD'!D245:G245,"N"),"N","")),"")</f>
        <v>Y</v>
      </c>
      <c r="B245" s="32"/>
      <c r="C245" s="945"/>
      <c r="D245" s="10"/>
      <c r="E245" s="463"/>
      <c r="F245" s="359" t="str">
        <f>IF('C-Design&amp;Const'!$K245="","",'C-Design&amp;Const'!$K245)</f>
        <v>Y</v>
      </c>
      <c r="G245" s="291"/>
      <c r="H245" s="469" t="str">
        <f>CONCATENATE(IF(F245="N","PLACEHOLDER ROW - ",""),'C-Design&amp;Const'!Z245,IF(F245="N","",J245))</f>
        <v>Sections through Elevators (Approx. 50% Complete)</v>
      </c>
      <c r="I245" s="184"/>
      <c r="J245" s="578" t="str">
        <f>IF('C-Design&amp;Const'!AF245="","",'C-Design&amp;Const'!AF245)</f>
        <v>(Approx. 50% Complete)</v>
      </c>
      <c r="K245" s="25" t="str">
        <f>IF(DD_apply="Yes",IF((COUNTIF(D245:G245,"Y")=COUNTIF('01 - SD'!D245:G245,"Y")),"match","no SD match"),"-")</f>
        <v>match</v>
      </c>
      <c r="L245" s="1410" t="str">
        <f t="shared" si="10"/>
        <v/>
      </c>
      <c r="M245" s="1382"/>
      <c r="N245" s="1333"/>
      <c r="O245" s="1382"/>
      <c r="P245" s="1382"/>
      <c r="Q245" s="1382"/>
      <c r="R245" s="1382"/>
      <c r="S245" s="1382"/>
      <c r="T245" s="1382"/>
      <c r="U245" s="1382"/>
      <c r="V245" s="1382"/>
      <c r="W245" s="1382"/>
      <c r="X245" s="1382"/>
      <c r="Y245" s="1382"/>
      <c r="Z245" s="1382"/>
      <c r="AA245" s="1382"/>
      <c r="AB245" s="1382"/>
      <c r="AC245" s="1382"/>
      <c r="AD245" s="1382"/>
      <c r="AE245" s="1382"/>
      <c r="AF245" s="1382"/>
      <c r="AG245" s="1382"/>
      <c r="AH245" s="1382"/>
      <c r="AI245" s="1382"/>
      <c r="AJ245" s="181"/>
      <c r="AK245" s="181"/>
      <c r="AL245" s="181"/>
      <c r="AM245" s="181"/>
      <c r="AN245" s="181"/>
      <c r="AO245" s="181"/>
      <c r="AP245" s="181"/>
      <c r="AQ245" s="181"/>
      <c r="AR245" s="181"/>
      <c r="AS245" s="181"/>
      <c r="AT245" s="181"/>
      <c r="AU245" s="181"/>
      <c r="AV245" s="181"/>
      <c r="AW245" s="181"/>
    </row>
    <row r="246" spans="1:49" ht="15" customHeight="1" x14ac:dyDescent="0.25">
      <c r="A246" s="1504" t="str">
        <f>IF(SD_apply="Yes",IF(COUNTIF('01 - SD'!D246:G246,"Y")&gt;0,"Y",IF(COUNTIF('01 - SD'!D246:G246,"N"),"N","")),"")</f>
        <v>N</v>
      </c>
      <c r="B246" s="18"/>
      <c r="C246" s="945"/>
      <c r="D246" s="116"/>
      <c r="E246" s="321"/>
      <c r="F246" s="559" t="str">
        <f>IF('C-Design&amp;Const'!$K246="","",'C-Design&amp;Const'!$K246)</f>
        <v>N</v>
      </c>
      <c r="G246" s="485"/>
      <c r="H246" s="243" t="str">
        <f>CONCATENATE(IF(F246="N","PLACEHOLDER ROW - ",""),'C-Design&amp;Const'!Z246,IF(F246="N","",J246))</f>
        <v xml:space="preserve">PLACEHOLDER ROW - Exterior Wall and Roof Details </v>
      </c>
      <c r="I246" s="137"/>
      <c r="J246" s="578" t="str">
        <f>IF('C-Design&amp;Const'!AF246="","",'C-Design&amp;Const'!AF246)</f>
        <v>(Approx. 50% Complete)</v>
      </c>
      <c r="K246" s="25" t="str">
        <f>IF(DD_apply="Yes",IF((COUNTIF(D246:G246,"Y")=COUNTIF('01 - SD'!D246:G246,"Y")),"match","no SD match"),"-")</f>
        <v>match</v>
      </c>
      <c r="L246" s="1410" t="str">
        <f t="shared" si="10"/>
        <v>&lt;---PM/Planner may hide PLACEHOLDER ROW</v>
      </c>
      <c r="M246" s="1333"/>
      <c r="N246" s="1333"/>
      <c r="O246" s="1333"/>
      <c r="P246" s="1333"/>
      <c r="Q246" s="1333"/>
      <c r="R246" s="1453"/>
      <c r="S246" s="1284"/>
      <c r="T246" s="1284"/>
      <c r="U246" s="1333"/>
      <c r="V246" s="1333"/>
      <c r="W246" s="1333"/>
      <c r="X246" s="1333"/>
      <c r="Y246" s="1333"/>
      <c r="Z246" s="1333"/>
      <c r="AA246" s="1333"/>
      <c r="AB246" s="1333"/>
      <c r="AC246" s="1333"/>
      <c r="AD246" s="1333"/>
      <c r="AE246" s="1333"/>
      <c r="AF246" s="1333"/>
      <c r="AG246" s="1333"/>
      <c r="AH246" s="1333"/>
      <c r="AI246" s="1333"/>
      <c r="AV246"/>
      <c r="AW246"/>
    </row>
    <row r="247" spans="1:49" ht="15" customHeight="1" x14ac:dyDescent="0.25">
      <c r="A247" s="1504" t="str">
        <f>IF(SD_apply="Yes",IF(COUNTIF('01 - SD'!D247:G247,"Y")&gt;0,"Y",IF(COUNTIF('01 - SD'!D247:G247,"N"),"N","")),"")</f>
        <v>N</v>
      </c>
      <c r="B247" s="18"/>
      <c r="C247" s="945"/>
      <c r="D247" s="116"/>
      <c r="E247" s="321"/>
      <c r="F247" s="559" t="str">
        <f>IF('C-Design&amp;Const'!$K247="","",'C-Design&amp;Const'!$K247)</f>
        <v>Y</v>
      </c>
      <c r="G247" s="485"/>
      <c r="H247" s="243" t="str">
        <f>CONCATENATE(IF(F247="N","PLACEHOLDER ROW - ",""),'C-Design&amp;Const'!Z247,IF(F247="N","",J247))</f>
        <v>Reflected Ceiling Plan (Approx. 50% Complete)</v>
      </c>
      <c r="I247" s="137"/>
      <c r="J247" s="578" t="str">
        <f>IF('C-Design&amp;Const'!AF247="","",'C-Design&amp;Const'!AF247)</f>
        <v>(Approx. 50% Complete)</v>
      </c>
      <c r="K247" s="25" t="str">
        <f>IF(DD_apply="Yes",IF((COUNTIF(D247:G247,"Y")=COUNTIF('01 - SD'!D247:G247,"Y")),"match","no SD match"),"-")</f>
        <v>no SD match</v>
      </c>
      <c r="L247" s="1410" t="str">
        <f t="shared" si="10"/>
        <v/>
      </c>
      <c r="M247" s="1333"/>
      <c r="N247" s="1333"/>
      <c r="O247" s="1333"/>
      <c r="P247" s="1333"/>
      <c r="Q247" s="1333"/>
      <c r="R247" s="1453"/>
      <c r="S247" s="1284"/>
      <c r="T247" s="1284"/>
      <c r="U247" s="1333"/>
      <c r="V247" s="1333"/>
      <c r="W247" s="1333"/>
      <c r="X247" s="1333"/>
      <c r="Y247" s="1333"/>
      <c r="Z247" s="1333"/>
      <c r="AA247" s="1333"/>
      <c r="AB247" s="1333"/>
      <c r="AC247" s="1333"/>
      <c r="AD247" s="1333"/>
      <c r="AE247" s="1333"/>
      <c r="AF247" s="1333"/>
      <c r="AG247" s="1333"/>
      <c r="AH247" s="1333"/>
      <c r="AI247" s="1333"/>
      <c r="AV247"/>
      <c r="AW247"/>
    </row>
    <row r="248" spans="1:49" ht="15" customHeight="1" x14ac:dyDescent="0.25">
      <c r="A248" s="1504" t="str">
        <f>IF(SD_apply="Yes",IF(COUNTIF('01 - SD'!D248:G248,"Y")&gt;0,"Y",IF(COUNTIF('01 - SD'!D248:G248,"N"),"N","")),"")</f>
        <v>N</v>
      </c>
      <c r="B248" s="18"/>
      <c r="C248" s="945"/>
      <c r="D248" s="116"/>
      <c r="E248" s="321"/>
      <c r="F248" s="559" t="str">
        <f>IF('C-Design&amp;Const'!$K248="","",'C-Design&amp;Const'!$K248)</f>
        <v>Y</v>
      </c>
      <c r="G248" s="485"/>
      <c r="H248" s="243" t="str">
        <f>CONCATENATE(IF(F248="N","PLACEHOLDER ROW - ",""),'C-Design&amp;Const'!Z248,IF(F248="N","",J248))</f>
        <v>Interior Elevations and Details(Preliminary)</v>
      </c>
      <c r="I248" s="137"/>
      <c r="J248" s="578" t="str">
        <f>IF('C-Design&amp;Const'!AF248="","",'C-Design&amp;Const'!AF248)</f>
        <v>(Preliminary)</v>
      </c>
      <c r="K248" s="25" t="str">
        <f>IF(DD_apply="Yes",IF((COUNTIF(D248:G248,"Y")=COUNTIF('01 - SD'!D248:G248,"Y")),"match","no SD match"),"-")</f>
        <v>no SD match</v>
      </c>
      <c r="L248" s="1410" t="str">
        <f t="shared" si="10"/>
        <v/>
      </c>
      <c r="M248" s="1333"/>
      <c r="N248" s="1333"/>
      <c r="O248" s="1333"/>
      <c r="P248" s="1333"/>
      <c r="Q248" s="1333"/>
      <c r="R248" s="1453"/>
      <c r="S248" s="1284"/>
      <c r="T248" s="1284"/>
      <c r="U248" s="1333"/>
      <c r="V248" s="1333"/>
      <c r="W248" s="1333"/>
      <c r="X248" s="1333"/>
      <c r="Y248" s="1333"/>
      <c r="Z248" s="1333"/>
      <c r="AA248" s="1333"/>
      <c r="AB248" s="1333"/>
      <c r="AC248" s="1333"/>
      <c r="AD248" s="1333"/>
      <c r="AE248" s="1333"/>
      <c r="AF248" s="1333"/>
      <c r="AG248" s="1333"/>
      <c r="AH248" s="1333"/>
      <c r="AI248" s="1333"/>
      <c r="AV248"/>
      <c r="AW248"/>
    </row>
    <row r="249" spans="1:49" ht="15" customHeight="1" x14ac:dyDescent="0.25">
      <c r="A249" s="1504" t="str">
        <f>IF(SD_apply="Yes",IF(COUNTIF('01 - SD'!D249:G249,"Y")&gt;0,"Y",IF(COUNTIF('01 - SD'!D249:G249,"N"),"N","")),"")</f>
        <v>N</v>
      </c>
      <c r="B249" s="18"/>
      <c r="C249" s="945"/>
      <c r="D249" s="116"/>
      <c r="E249" s="321"/>
      <c r="F249" s="559" t="str">
        <f>IF('C-Design&amp;Const'!$K249="","",'C-Design&amp;Const'!$K249)</f>
        <v>Y</v>
      </c>
      <c r="G249" s="485"/>
      <c r="H249" s="243" t="str">
        <f>CONCATENATE(IF(F249="N","PLACEHOLDER ROW - ",""),'C-Design&amp;Const'!Z249,IF(F249="N","",J249))</f>
        <v>Door/Hardware; Room Finish; Window; and Equipment Schedules (Preliminary)</v>
      </c>
      <c r="I249" s="137"/>
      <c r="J249" s="578" t="str">
        <f>IF('C-Design&amp;Const'!AF249="","",'C-Design&amp;Const'!AF249)</f>
        <v>(Preliminary)</v>
      </c>
      <c r="K249" s="25" t="str">
        <f>IF(DD_apply="Yes",IF((COUNTIF(D249:G249,"Y")=COUNTIF('01 - SD'!D249:G249,"Y")),"match","no SD match"),"-")</f>
        <v>no SD match</v>
      </c>
      <c r="L249" s="1410" t="str">
        <f t="shared" si="10"/>
        <v/>
      </c>
      <c r="M249" s="1333"/>
      <c r="N249" s="1333"/>
      <c r="O249" s="1333"/>
      <c r="P249" s="1333"/>
      <c r="Q249" s="1333"/>
      <c r="R249" s="1453"/>
      <c r="S249" s="1284"/>
      <c r="T249" s="1284"/>
      <c r="U249" s="1333"/>
      <c r="V249" s="1333"/>
      <c r="W249" s="1333"/>
      <c r="X249" s="1333"/>
      <c r="Y249" s="1333"/>
      <c r="Z249" s="1333"/>
      <c r="AA249" s="1333"/>
      <c r="AB249" s="1333"/>
      <c r="AC249" s="1333"/>
      <c r="AD249" s="1333"/>
      <c r="AE249" s="1333"/>
      <c r="AF249" s="1333"/>
      <c r="AG249" s="1333"/>
      <c r="AH249" s="1333"/>
      <c r="AI249" s="1333"/>
      <c r="AV249"/>
      <c r="AW249"/>
    </row>
    <row r="250" spans="1:49" ht="15" customHeight="1" x14ac:dyDescent="0.25">
      <c r="A250" s="1504" t="str">
        <f>IF(SD_apply="Yes",IF(COUNTIF('01 - SD'!D250:G250,"Y")&gt;0,"Y",IF(COUNTIF('01 - SD'!D250:G250,"N"),"N","")),"")</f>
        <v>N</v>
      </c>
      <c r="B250" s="18"/>
      <c r="C250" s="945"/>
      <c r="D250" s="116"/>
      <c r="E250" s="321"/>
      <c r="F250" s="559" t="str">
        <f>IF('C-Design&amp;Const'!$K250="","",'C-Design&amp;Const'!$K250)</f>
        <v>Y</v>
      </c>
      <c r="G250" s="485"/>
      <c r="H250" s="243" t="str">
        <f>CONCATENATE(IF(F250="N","PLACEHOLDER ROW - ",""),'C-Design&amp;Const'!Z250,IF(F250="N","",J250))</f>
        <v>Interior Partition Types; Door and Window Details (Preliminary)</v>
      </c>
      <c r="I250" s="137"/>
      <c r="J250" s="578" t="str">
        <f>IF('C-Design&amp;Const'!AF250="","",'C-Design&amp;Const'!AF250)</f>
        <v>(Preliminary)</v>
      </c>
      <c r="K250" s="25" t="str">
        <f>IF(DD_apply="Yes",IF((COUNTIF(D250:G250,"Y")=COUNTIF('01 - SD'!D250:G250,"Y")),"match","no SD match"),"-")</f>
        <v>no SD match</v>
      </c>
      <c r="L250" s="1410" t="str">
        <f t="shared" ref="L250:L327" si="15">CONCATENATE(IF(ISNUMBER(SEARCH("Placeholder",H250))=TRUE,"&lt;---PM/Planner may hide PLACEHOLDER ROW",""))</f>
        <v/>
      </c>
      <c r="M250" s="1333"/>
      <c r="N250" s="1333"/>
      <c r="O250" s="1333"/>
      <c r="P250" s="1333"/>
      <c r="Q250" s="1333"/>
      <c r="R250" s="1453"/>
      <c r="S250" s="1284"/>
      <c r="T250" s="1284"/>
      <c r="U250" s="1333"/>
      <c r="V250" s="1333"/>
      <c r="W250" s="1333"/>
      <c r="X250" s="1333"/>
      <c r="Y250" s="1333"/>
      <c r="Z250" s="1333"/>
      <c r="AA250" s="1333"/>
      <c r="AB250" s="1333"/>
      <c r="AC250" s="1333"/>
      <c r="AD250" s="1333"/>
      <c r="AE250" s="1333"/>
      <c r="AF250" s="1333"/>
      <c r="AG250" s="1333"/>
      <c r="AH250" s="1333"/>
      <c r="AI250" s="1333"/>
      <c r="AV250"/>
      <c r="AW250"/>
    </row>
    <row r="251" spans="1:49" ht="15" customHeight="1" x14ac:dyDescent="0.25">
      <c r="A251" s="1504" t="str">
        <f>IF(SD_apply="Yes",IF(COUNTIF('01 - SD'!D251:G251,"Y")&gt;0,"Y",IF(COUNTIF('01 - SD'!D251:G251,"N"),"N","")),"")</f>
        <v>N</v>
      </c>
      <c r="B251" s="18"/>
      <c r="C251" s="945"/>
      <c r="D251" s="116"/>
      <c r="E251" s="321"/>
      <c r="F251" s="559" t="str">
        <f>IF('C-Design&amp;Const'!$K251="","",'C-Design&amp;Const'!$K251)</f>
        <v>Y</v>
      </c>
      <c r="G251" s="485"/>
      <c r="H251" s="243" t="str">
        <f>CONCATENATE(IF(F251="N","PLACEHOLDER ROW - ",""),'C-Design&amp;Const'!Z251,IF(F251="N","",J251))</f>
        <v>Interior Signage (Preliminary)</v>
      </c>
      <c r="I251" s="137"/>
      <c r="J251" s="578" t="str">
        <f>IF('C-Design&amp;Const'!AF251="","",'C-Design&amp;Const'!AF251)</f>
        <v>(Preliminary)</v>
      </c>
      <c r="K251" s="25" t="str">
        <f>IF(DD_apply="Yes",IF((COUNTIF(D251:G251,"Y")=COUNTIF('01 - SD'!D251:G251,"Y")),"match","no SD match"),"-")</f>
        <v>no SD match</v>
      </c>
      <c r="L251" s="1410" t="str">
        <f t="shared" si="15"/>
        <v/>
      </c>
      <c r="M251" s="1333"/>
      <c r="N251" s="1333"/>
      <c r="O251" s="1333"/>
      <c r="P251" s="1333"/>
      <c r="Q251" s="1333"/>
      <c r="R251" s="1453"/>
      <c r="S251" s="1284"/>
      <c r="T251" s="1284"/>
      <c r="U251" s="1333"/>
      <c r="V251" s="1333"/>
      <c r="W251" s="1333"/>
      <c r="X251" s="1333"/>
      <c r="Y251" s="1333"/>
      <c r="Z251" s="1333"/>
      <c r="AA251" s="1333"/>
      <c r="AB251" s="1333"/>
      <c r="AC251" s="1333"/>
      <c r="AD251" s="1333"/>
      <c r="AE251" s="1333"/>
      <c r="AF251" s="1333"/>
      <c r="AG251" s="1333"/>
      <c r="AH251" s="1333"/>
      <c r="AI251" s="1333"/>
      <c r="AV251"/>
      <c r="AW251"/>
    </row>
    <row r="252" spans="1:49" ht="15" customHeight="1" x14ac:dyDescent="0.25">
      <c r="A252" s="1504" t="str">
        <f>IF(SD_apply="Yes",IF(COUNTIF('01 - SD'!D252:G252,"Y")&gt;0,"Y",IF(COUNTIF('01 - SD'!D252:G252,"N"),"N","")),"")</f>
        <v>Y</v>
      </c>
      <c r="B252" s="18"/>
      <c r="C252" s="945"/>
      <c r="D252" s="116"/>
      <c r="E252" s="321"/>
      <c r="F252" s="559" t="str">
        <f>IF('C-Design&amp;Const'!$K252="","",'C-Design&amp;Const'!$K252)</f>
        <v>Y</v>
      </c>
      <c r="G252" s="485"/>
      <c r="H252" s="243" t="str">
        <f>CONCATENATE(IF(F252="N","PLACEHOLDER ROW - ",""),'C-Design&amp;Const'!Z252,IF(F252="N","",J252))</f>
        <v>Fixed Equipment; Casework; and Millwork (Preliminary)</v>
      </c>
      <c r="I252" s="137"/>
      <c r="J252" s="578" t="str">
        <f>IF('C-Design&amp;Const'!AF252="","",'C-Design&amp;Const'!AF252)</f>
        <v>(Preliminary)</v>
      </c>
      <c r="K252" s="25" t="str">
        <f>IF(DD_apply="Yes",IF((COUNTIF(D252:G252,"Y")=COUNTIF('01 - SD'!D252:G252,"Y")),"match","no SD match"),"-")</f>
        <v>match</v>
      </c>
      <c r="L252" s="1410" t="str">
        <f t="shared" si="15"/>
        <v/>
      </c>
      <c r="M252" s="1333"/>
      <c r="N252" s="1333"/>
      <c r="O252" s="1333"/>
      <c r="P252" s="1333"/>
      <c r="Q252" s="1333"/>
      <c r="R252" s="1453"/>
      <c r="S252" s="1284"/>
      <c r="T252" s="1284"/>
      <c r="U252" s="1333"/>
      <c r="V252" s="1333"/>
      <c r="W252" s="1333"/>
      <c r="X252" s="1333"/>
      <c r="Y252" s="1333"/>
      <c r="Z252" s="1333"/>
      <c r="AA252" s="1333"/>
      <c r="AB252" s="1333"/>
      <c r="AC252" s="1333"/>
      <c r="AD252" s="1333"/>
      <c r="AE252" s="1333"/>
      <c r="AF252" s="1333"/>
      <c r="AG252" s="1333"/>
      <c r="AH252" s="1333"/>
      <c r="AI252" s="1333"/>
      <c r="AV252"/>
      <c r="AW252"/>
    </row>
    <row r="253" spans="1:49" ht="15" customHeight="1" x14ac:dyDescent="0.25">
      <c r="A253" s="1504" t="str">
        <f>IF(SD_apply="Yes",IF(COUNTIF('01 - SD'!D253:G253,"Y")&gt;0,"Y",IF(COUNTIF('01 - SD'!D253:G253,"N"),"N","")),"")</f>
        <v>N</v>
      </c>
      <c r="B253" s="18"/>
      <c r="C253" s="945"/>
      <c r="D253" s="116"/>
      <c r="E253" s="321"/>
      <c r="F253" s="559" t="str">
        <f>IF('C-Design&amp;Const'!$K253="","",'C-Design&amp;Const'!$K253)</f>
        <v>Y</v>
      </c>
      <c r="G253" s="485"/>
      <c r="H253" s="243" t="str">
        <f>CONCATENATE(IF(F253="N","PLACEHOLDER ROW - ",""),'C-Design&amp;Const'!Z253,IF(F253="N","",J253))</f>
        <v>FF&amp;E Plans (Approx. 50% Complete)</v>
      </c>
      <c r="I253" s="137"/>
      <c r="J253" s="578" t="str">
        <f>IF('C-Design&amp;Const'!AF253="","",'C-Design&amp;Const'!AF253)</f>
        <v>(Approx. 50% Complete)</v>
      </c>
      <c r="K253" s="25" t="str">
        <f>IF(DD_apply="Yes",IF((COUNTIF(D253:G253,"Y")=COUNTIF('01 - SD'!D253:G253,"Y")),"match","no SD match"),"-")</f>
        <v>no SD match</v>
      </c>
      <c r="L253" s="1410" t="str">
        <f t="shared" si="15"/>
        <v/>
      </c>
      <c r="M253" s="1333"/>
      <c r="N253" s="1333"/>
      <c r="O253" s="1333"/>
      <c r="P253" s="1333"/>
      <c r="Q253" s="1333"/>
      <c r="R253" s="1453"/>
      <c r="S253" s="1284"/>
      <c r="T253" s="1284"/>
      <c r="U253" s="1333"/>
      <c r="V253" s="1333"/>
      <c r="W253" s="1333"/>
      <c r="X253" s="1333"/>
      <c r="Y253" s="1333"/>
      <c r="Z253" s="1333"/>
      <c r="AA253" s="1333"/>
      <c r="AB253" s="1333"/>
      <c r="AC253" s="1333"/>
      <c r="AD253" s="1333"/>
      <c r="AE253" s="1333"/>
      <c r="AF253" s="1333"/>
      <c r="AG253" s="1333"/>
      <c r="AH253" s="1333"/>
      <c r="AI253" s="1333"/>
      <c r="AV253"/>
      <c r="AW253"/>
    </row>
    <row r="254" spans="1:49" ht="15" customHeight="1" x14ac:dyDescent="0.25">
      <c r="A254" s="1504" t="str">
        <f>IF(SD_apply="Yes",IF(COUNTIF('01 - SD'!D254:G254,"Y")&gt;0,"Y",IF(COUNTIF('01 - SD'!D254:G254,"N"),"N","")),"")</f>
        <v>N</v>
      </c>
      <c r="B254" s="18"/>
      <c r="C254" s="945"/>
      <c r="D254" s="116"/>
      <c r="E254" s="321"/>
      <c r="F254" s="559" t="str">
        <f>IF('C-Design&amp;Const'!$K254="","",'C-Design&amp;Const'!$K254)</f>
        <v>N</v>
      </c>
      <c r="G254" s="485"/>
      <c r="H254" s="243" t="str">
        <f>CONCATENATE(IF(F254="N","PLACEHOLDER ROW - ",""),'C-Design&amp;Const'!Z254,IF(F254="N","",J254))</f>
        <v xml:space="preserve">PLACEHOLDER ROW - CUSTOM - Architectural  </v>
      </c>
      <c r="I254" s="137"/>
      <c r="J254" s="578" t="str">
        <f>IF('C-Design&amp;Const'!AF254="","",'C-Design&amp;Const'!AF254)</f>
        <v>(Approx. 50% Complete)</v>
      </c>
      <c r="K254" s="25" t="str">
        <f>IF(DD_apply="Yes",IF((COUNTIF(D254:G254,"Y")=COUNTIF('01 - SD'!D254:G254,"Y")),"match","no SD match"),"-")</f>
        <v>match</v>
      </c>
      <c r="L254" s="1410" t="str">
        <f t="shared" si="15"/>
        <v>&lt;---PM/Planner may hide PLACEHOLDER ROW</v>
      </c>
      <c r="M254" s="1333"/>
      <c r="N254" s="1333"/>
      <c r="O254" s="1333"/>
      <c r="P254" s="1333"/>
      <c r="Q254" s="1333"/>
      <c r="R254" s="1453"/>
      <c r="S254" s="1284"/>
      <c r="T254" s="1284"/>
      <c r="U254" s="1333"/>
      <c r="V254" s="1333"/>
      <c r="W254" s="1333"/>
      <c r="X254" s="1333"/>
      <c r="Y254" s="1333"/>
      <c r="Z254" s="1333"/>
      <c r="AA254" s="1333"/>
      <c r="AB254" s="1333"/>
      <c r="AC254" s="1333"/>
      <c r="AD254" s="1333"/>
      <c r="AE254" s="1333"/>
      <c r="AF254" s="1333"/>
      <c r="AG254" s="1333"/>
      <c r="AH254" s="1333"/>
      <c r="AI254" s="1333"/>
      <c r="AV254"/>
      <c r="AW254"/>
    </row>
    <row r="255" spans="1:49" ht="15" customHeight="1" x14ac:dyDescent="0.25">
      <c r="A255" s="1502" t="str">
        <f>IF(SD_apply="Yes",IF(COUNTIF('01 - SD'!D255:G255,"Y")&gt;0,"Y",IF(COUNTIF('01 - SD'!D255:G255,"N"),"N","")),"")</f>
        <v>Y</v>
      </c>
      <c r="B255" s="18"/>
      <c r="C255" s="945"/>
      <c r="D255" s="116"/>
      <c r="E255" s="559" t="str">
        <f>IF('C-Design&amp;Const'!$K255="","",'C-Design&amp;Const'!$K255)</f>
        <v>Y</v>
      </c>
      <c r="F255" s="478"/>
      <c r="G255" s="485"/>
      <c r="H255" s="244" t="str">
        <f>CONCATENATE(IF(F255="N","PLACEHOLDER ROW - ",""),'C-Design&amp;Const'!Z255,IF(F255="N","",J255))</f>
        <v>Structural Drawings</v>
      </c>
      <c r="I255" s="146"/>
      <c r="J255" s="578" t="str">
        <f>IF('C-Design&amp;Const'!AF255="","",'C-Design&amp;Const'!AF255)</f>
        <v/>
      </c>
      <c r="K255" s="25" t="str">
        <f>IF(DD_apply="Yes",IF((COUNTIF(D255:G255,"Y")=COUNTIF('01 - SD'!D255:G255,"Y")),"match","no SD match"),"-")</f>
        <v>match</v>
      </c>
      <c r="L255" s="1410" t="str">
        <f t="shared" si="15"/>
        <v/>
      </c>
      <c r="M255" s="1333"/>
      <c r="N255" s="1333"/>
      <c r="O255" s="1333"/>
      <c r="P255" s="1333"/>
      <c r="Q255" s="1333"/>
      <c r="R255" s="1284"/>
      <c r="S255" s="1488"/>
      <c r="T255" s="1284"/>
      <c r="U255" s="1333"/>
      <c r="V255" s="1333"/>
      <c r="W255" s="1333"/>
      <c r="X255" s="1333"/>
      <c r="Y255" s="1333"/>
      <c r="Z255" s="1333"/>
      <c r="AA255" s="1333"/>
      <c r="AB255" s="1333"/>
      <c r="AC255" s="1333"/>
      <c r="AD255" s="1333"/>
      <c r="AE255" s="1333"/>
      <c r="AF255" s="1333"/>
      <c r="AG255" s="1333"/>
      <c r="AH255" s="1333"/>
      <c r="AI255" s="1333"/>
      <c r="AV255"/>
      <c r="AW255"/>
    </row>
    <row r="256" spans="1:49" ht="15" customHeight="1" x14ac:dyDescent="0.25">
      <c r="A256" s="1504" t="str">
        <f>IF(SD_apply="Yes",IF(COUNTIF('01 - SD'!D256:G256,"Y")&gt;0,"Y",IF(COUNTIF('01 - SD'!D256:G256,"N"),"N","")),"")</f>
        <v>N</v>
      </c>
      <c r="B256" s="18"/>
      <c r="C256" s="945"/>
      <c r="D256" s="116"/>
      <c r="E256" s="321"/>
      <c r="F256" s="559" t="str">
        <f>IF('C-Design&amp;Const'!$K256="","",'C-Design&amp;Const'!$K256)</f>
        <v>N</v>
      </c>
      <c r="G256" s="491"/>
      <c r="H256" s="243" t="str">
        <f>CONCATENATE(IF(F256="N","PLACEHOLDER ROW - ",""),'C-Design&amp;Const'!Z256,IF(F256="N","",J256))</f>
        <v xml:space="preserve">PLACEHOLDER ROW - CUSTOM - Structural  </v>
      </c>
      <c r="I256" s="137"/>
      <c r="J256" s="578" t="str">
        <f>IF('C-Design&amp;Const'!AF256="","",'C-Design&amp;Const'!AF256)</f>
        <v>(Approx. 50% Complete)</v>
      </c>
      <c r="K256" s="25" t="str">
        <f>IF(DD_apply="Yes",IF((COUNTIF(D256:G256,"Y")=COUNTIF('01 - SD'!D256:G256,"Y")),"match","no SD match"),"-")</f>
        <v>match</v>
      </c>
      <c r="L256" s="1410" t="str">
        <f t="shared" si="15"/>
        <v>&lt;---PM/Planner may hide PLACEHOLDER ROW</v>
      </c>
      <c r="M256" s="1333"/>
      <c r="N256" s="1333"/>
      <c r="O256" s="1333"/>
      <c r="P256" s="1333"/>
      <c r="Q256" s="1333"/>
      <c r="R256" s="1453"/>
      <c r="S256" s="1284"/>
      <c r="T256" s="1284"/>
      <c r="U256" s="1333"/>
      <c r="V256" s="1333"/>
      <c r="W256" s="1333"/>
      <c r="X256" s="1333"/>
      <c r="Y256" s="1333"/>
      <c r="Z256" s="1333"/>
      <c r="AA256" s="1333"/>
      <c r="AB256" s="1333"/>
      <c r="AC256" s="1333"/>
      <c r="AD256" s="1333"/>
      <c r="AE256" s="1333"/>
      <c r="AF256" s="1333"/>
      <c r="AG256" s="1333"/>
      <c r="AH256" s="1333"/>
      <c r="AI256" s="1333"/>
      <c r="AV256"/>
      <c r="AW256"/>
    </row>
    <row r="257" spans="1:49" ht="15" customHeight="1" x14ac:dyDescent="0.25">
      <c r="A257" s="1504" t="str">
        <f>IF(SD_apply="Yes",IF(COUNTIF('01 - SD'!D257:G257,"Y")&gt;0,"Y",IF(COUNTIF('01 - SD'!D257:G257,"N"),"N","")),"")</f>
        <v>N</v>
      </c>
      <c r="B257" s="18"/>
      <c r="C257" s="945"/>
      <c r="D257" s="116"/>
      <c r="E257" s="321"/>
      <c r="F257" s="559" t="str">
        <f>IF('C-Design&amp;Const'!$K257="","",'C-Design&amp;Const'!$K257)</f>
        <v>N</v>
      </c>
      <c r="G257" s="491"/>
      <c r="H257" s="243" t="str">
        <f>CONCATENATE(IF(F257="N","PLACEHOLDER ROW - ",""),'C-Design&amp;Const'!Z257,IF(F257="N","",J257))</f>
        <v xml:space="preserve">PLACEHOLDER ROW - CUSTOM - Structural  </v>
      </c>
      <c r="I257" s="137"/>
      <c r="J257" s="578" t="str">
        <f>IF('C-Design&amp;Const'!AF257="","",'C-Design&amp;Const'!AF257)</f>
        <v>(Approx. 50% Complete)</v>
      </c>
      <c r="K257" s="25" t="str">
        <f>IF(DD_apply="Yes",IF((COUNTIF(D257:G257,"Y")=COUNTIF('01 - SD'!D257:G257,"Y")),"match","no SD match"),"-")</f>
        <v>match</v>
      </c>
      <c r="L257" s="1410" t="str">
        <f t="shared" si="15"/>
        <v>&lt;---PM/Planner may hide PLACEHOLDER ROW</v>
      </c>
      <c r="M257" s="1333"/>
      <c r="N257" s="1333"/>
      <c r="O257" s="1333"/>
      <c r="P257" s="1333"/>
      <c r="Q257" s="1333"/>
      <c r="R257" s="1453"/>
      <c r="S257" s="1284"/>
      <c r="T257" s="1284"/>
      <c r="U257" s="1333"/>
      <c r="V257" s="1333"/>
      <c r="W257" s="1333"/>
      <c r="X257" s="1333"/>
      <c r="Y257" s="1333"/>
      <c r="Z257" s="1333"/>
      <c r="AA257" s="1333"/>
      <c r="AB257" s="1333"/>
      <c r="AC257" s="1333"/>
      <c r="AD257" s="1333"/>
      <c r="AE257" s="1333"/>
      <c r="AF257" s="1333"/>
      <c r="AG257" s="1333"/>
      <c r="AH257" s="1333"/>
      <c r="AI257" s="1333"/>
      <c r="AV257"/>
      <c r="AW257"/>
    </row>
    <row r="258" spans="1:49" s="542" customFormat="1" ht="15" customHeight="1" x14ac:dyDescent="0.25">
      <c r="A258" s="1504" t="str">
        <f>IF(SD_apply="Yes",IF(COUNTIF('01 - SD'!D258:G258,"Y")&gt;0,"Y",IF(COUNTIF('01 - SD'!D258:G258,"N"),"N","")),"")</f>
        <v>Y</v>
      </c>
      <c r="B258" s="18"/>
      <c r="C258" s="945"/>
      <c r="D258" s="116"/>
      <c r="E258" s="321"/>
      <c r="F258" s="559" t="str">
        <f>IF('C-Design&amp;Const'!$K258="","",'C-Design&amp;Const'!$K258)</f>
        <v>Y</v>
      </c>
      <c r="G258" s="491"/>
      <c r="H258" s="469" t="str">
        <f>CONCATENATE(IF(F258="N","PLACEHOLDER ROW - ",""),'C-Design&amp;Const'!Z258,IF(F258="N","",J258))</f>
        <v>Structural Symbols, Abbreviations, and General Notes (Approx. 50% Complete)</v>
      </c>
      <c r="I258" s="137"/>
      <c r="J258" s="578" t="str">
        <f>IF('C-Design&amp;Const'!AF258="","",'C-Design&amp;Const'!AF258)</f>
        <v>(Approx. 50% Complete)</v>
      </c>
      <c r="K258" s="25" t="str">
        <f>IF(DD_apply="Yes",IF((COUNTIF(D258:G258,"Y")=COUNTIF('01 - SD'!D258:G258,"Y")),"match","no SD match"),"-")</f>
        <v>match</v>
      </c>
      <c r="L258" s="1410" t="str">
        <f t="shared" si="15"/>
        <v/>
      </c>
      <c r="M258" s="1333"/>
      <c r="N258" s="1333"/>
      <c r="O258" s="1333"/>
      <c r="P258" s="1333"/>
      <c r="Q258" s="1333"/>
      <c r="R258" s="1453"/>
      <c r="S258" s="1284"/>
      <c r="T258" s="1284"/>
      <c r="U258" s="1333"/>
      <c r="V258" s="1333"/>
      <c r="W258" s="1333"/>
      <c r="X258" s="1333"/>
      <c r="Y258" s="1333"/>
      <c r="Z258" s="1333"/>
      <c r="AA258" s="1333"/>
      <c r="AB258" s="1333"/>
      <c r="AC258" s="1333"/>
      <c r="AD258" s="1333"/>
      <c r="AE258" s="1333"/>
      <c r="AF258" s="1333"/>
      <c r="AG258" s="1333"/>
      <c r="AH258" s="1333"/>
      <c r="AI258" s="1333"/>
      <c r="AJ258" s="17"/>
      <c r="AK258" s="17"/>
      <c r="AL258" s="17"/>
      <c r="AM258" s="17"/>
      <c r="AN258" s="17"/>
      <c r="AO258" s="17"/>
      <c r="AP258" s="17"/>
      <c r="AQ258" s="17"/>
      <c r="AR258" s="17"/>
      <c r="AS258" s="17"/>
      <c r="AT258" s="17"/>
      <c r="AU258" s="17"/>
    </row>
    <row r="259" spans="1:49" s="542" customFormat="1" ht="15" customHeight="1" x14ac:dyDescent="0.25">
      <c r="A259" s="1504" t="str">
        <f>IF(SD_apply="Yes",IF(COUNTIF('01 - SD'!D259:G259,"Y")&gt;0,"Y",IF(COUNTIF('01 - SD'!D259:G259,"N"),"N","")),"")</f>
        <v>N</v>
      </c>
      <c r="B259" s="18"/>
      <c r="C259" s="945"/>
      <c r="D259" s="116"/>
      <c r="E259" s="321"/>
      <c r="F259" s="559" t="str">
        <f>IF('C-Design&amp;Const'!$K259="","",'C-Design&amp;Const'!$K259)</f>
        <v>Y</v>
      </c>
      <c r="G259" s="485"/>
      <c r="H259" s="243" t="str">
        <f>CONCATENATE(IF(F259="N","PLACEHOLDER ROW - ",""),'C-Design&amp;Const'!Z259,IF(F259="N","",J259))</f>
        <v>Structural Demolition(s) (Approx. 50% Complete)</v>
      </c>
      <c r="I259" s="137"/>
      <c r="J259" s="578" t="str">
        <f>IF('C-Design&amp;Const'!AF259="","",'C-Design&amp;Const'!AF259)</f>
        <v>(Approx. 50% Complete)</v>
      </c>
      <c r="K259" s="25" t="str">
        <f>IF(DD_apply="Yes",IF((COUNTIF(D259:G259,"Y")=COUNTIF('01 - SD'!D259:G259,"Y")),"match","no SD match"),"-")</f>
        <v>no SD match</v>
      </c>
      <c r="L259" s="1410" t="str">
        <f>CONCATENATE(IF(ISNUMBER(SEARCH("Placeholder",H259))=TRUE,"&lt;---PM/Planner may hide PLACEHOLDER ROW",""))</f>
        <v/>
      </c>
      <c r="M259" s="1333"/>
      <c r="N259" s="1333"/>
      <c r="O259" s="1333"/>
      <c r="P259" s="1333"/>
      <c r="Q259" s="1333"/>
      <c r="R259" s="1453"/>
      <c r="S259" s="1284"/>
      <c r="T259" s="1284"/>
      <c r="U259" s="1333"/>
      <c r="V259" s="1333"/>
      <c r="W259" s="1333"/>
      <c r="X259" s="1333"/>
      <c r="Y259" s="1333"/>
      <c r="Z259" s="1333"/>
      <c r="AA259" s="1333"/>
      <c r="AB259" s="1333"/>
      <c r="AC259" s="1333"/>
      <c r="AD259" s="1333"/>
      <c r="AE259" s="1333"/>
      <c r="AF259" s="1333"/>
      <c r="AG259" s="1333"/>
      <c r="AH259" s="1333"/>
      <c r="AI259" s="1333"/>
      <c r="AJ259" s="17"/>
      <c r="AK259" s="17"/>
      <c r="AL259" s="17"/>
      <c r="AM259" s="17"/>
      <c r="AN259" s="17"/>
      <c r="AO259" s="17"/>
      <c r="AP259" s="17"/>
      <c r="AQ259" s="17"/>
      <c r="AR259" s="17"/>
      <c r="AS259" s="17"/>
      <c r="AT259" s="17"/>
      <c r="AU259" s="17"/>
    </row>
    <row r="260" spans="1:49" ht="15" customHeight="1" x14ac:dyDescent="0.25">
      <c r="A260" s="1504" t="str">
        <f>IF(SD_apply="Yes",IF(COUNTIF('01 - SD'!D260:G260,"Y")&gt;0,"Y",IF(COUNTIF('01 - SD'!D260:G260,"N"),"N","")),"")</f>
        <v>Y</v>
      </c>
      <c r="B260" s="18"/>
      <c r="C260" s="945"/>
      <c r="D260" s="116"/>
      <c r="E260" s="321"/>
      <c r="F260" s="559" t="str">
        <f>IF('C-Design&amp;Const'!$K260="","",'C-Design&amp;Const'!$K260)</f>
        <v>Y</v>
      </c>
      <c r="G260" s="485"/>
      <c r="H260" s="243" t="str">
        <f>CONCATENATE(IF(F260="N","PLACEHOLDER ROW - ",""),'C-Design&amp;Const'!Z260,IF(F260="N","",J260))</f>
        <v>Foundation Plan (Approx. 50% Complete)</v>
      </c>
      <c r="I260" s="137"/>
      <c r="J260" s="578" t="str">
        <f>IF('C-Design&amp;Const'!AF260="","",'C-Design&amp;Const'!AF260)</f>
        <v>(Approx. 50% Complete)</v>
      </c>
      <c r="K260" s="25" t="str">
        <f>IF(DD_apply="Yes",IF((COUNTIF(D260:G260,"Y")=COUNTIF('01 - SD'!D260:G260,"Y")),"match","no SD match"),"-")</f>
        <v>match</v>
      </c>
      <c r="L260" s="1410" t="str">
        <f t="shared" si="15"/>
        <v/>
      </c>
      <c r="M260" s="1333"/>
      <c r="N260" s="1333"/>
      <c r="O260" s="1333"/>
      <c r="P260" s="1333"/>
      <c r="Q260" s="1333"/>
      <c r="R260" s="1453"/>
      <c r="S260" s="1284"/>
      <c r="T260" s="1284"/>
      <c r="U260" s="1333"/>
      <c r="V260" s="1333"/>
      <c r="W260" s="1333"/>
      <c r="X260" s="1333"/>
      <c r="Y260" s="1333"/>
      <c r="Z260" s="1333"/>
      <c r="AA260" s="1333"/>
      <c r="AB260" s="1333"/>
      <c r="AC260" s="1333"/>
      <c r="AD260" s="1333"/>
      <c r="AE260" s="1333"/>
      <c r="AF260" s="1333"/>
      <c r="AG260" s="1333"/>
      <c r="AH260" s="1333"/>
      <c r="AI260" s="1333"/>
      <c r="AV260"/>
      <c r="AW260"/>
    </row>
    <row r="261" spans="1:49" ht="15" customHeight="1" x14ac:dyDescent="0.25">
      <c r="A261" s="1504" t="str">
        <f>IF(SD_apply="Yes",IF(COUNTIF('01 - SD'!D261:G261,"Y")&gt;0,"Y",IF(COUNTIF('01 - SD'!D261:G261,"N"),"N","")),"")</f>
        <v>N</v>
      </c>
      <c r="B261" s="18"/>
      <c r="C261" s="945"/>
      <c r="D261" s="116"/>
      <c r="E261" s="321"/>
      <c r="F261" s="559" t="str">
        <f>IF('C-Design&amp;Const'!$K261="","",'C-Design&amp;Const'!$K261)</f>
        <v>Y</v>
      </c>
      <c r="G261" s="485"/>
      <c r="H261" s="243" t="str">
        <f>CONCATENATE(IF(F261="N","PLACEHOLDER ROW - ",""),'C-Design&amp;Const'!Z261,IF(F261="N","",J261))</f>
        <v>Foundation to wall connections (bolted/reinforcing bar dowels) (Preliminary)</v>
      </c>
      <c r="I261" s="137"/>
      <c r="J261" s="578" t="str">
        <f>IF('C-Design&amp;Const'!AF261="","",'C-Design&amp;Const'!AF261)</f>
        <v>(Preliminary)</v>
      </c>
      <c r="K261" s="25" t="str">
        <f>IF(DD_apply="Yes",IF((COUNTIF(D261:G261,"Y")=COUNTIF('01 - SD'!D261:G261,"Y")),"match","no SD match"),"-")</f>
        <v>no SD match</v>
      </c>
      <c r="L261" s="1410" t="str">
        <f t="shared" si="15"/>
        <v/>
      </c>
      <c r="M261" s="1333"/>
      <c r="N261" s="1333"/>
      <c r="O261" s="1333"/>
      <c r="P261" s="1333"/>
      <c r="Q261" s="1333"/>
      <c r="R261" s="1453"/>
      <c r="S261" s="1284"/>
      <c r="T261" s="1284"/>
      <c r="U261" s="1333"/>
      <c r="V261" s="1333"/>
      <c r="W261" s="1333"/>
      <c r="X261" s="1333"/>
      <c r="Y261" s="1333"/>
      <c r="Z261" s="1333"/>
      <c r="AA261" s="1333"/>
      <c r="AB261" s="1333"/>
      <c r="AC261" s="1333"/>
      <c r="AD261" s="1333"/>
      <c r="AE261" s="1333"/>
      <c r="AF261" s="1333"/>
      <c r="AG261" s="1333"/>
      <c r="AH261" s="1333"/>
      <c r="AI261" s="1333"/>
      <c r="AV261"/>
      <c r="AW261"/>
    </row>
    <row r="262" spans="1:49" ht="15" customHeight="1" x14ac:dyDescent="0.25">
      <c r="A262" s="1504" t="str">
        <f>IF(SD_apply="Yes",IF(COUNTIF('01 - SD'!D262:G262,"Y")&gt;0,"Y",IF(COUNTIF('01 - SD'!D262:G262,"N"),"N","")),"")</f>
        <v>N</v>
      </c>
      <c r="B262" s="18"/>
      <c r="C262" s="945"/>
      <c r="D262" s="116"/>
      <c r="E262" s="321"/>
      <c r="F262" s="559" t="str">
        <f>IF('C-Design&amp;Const'!$K262="","",'C-Design&amp;Const'!$K262)</f>
        <v>Y</v>
      </c>
      <c r="G262" s="485"/>
      <c r="H262" s="243" t="str">
        <f>CONCATENATE(IF(F262="N","PLACEHOLDER ROW - ",""),'C-Design&amp;Const'!Z262,IF(F262="N","",J262))</f>
        <v>Column and Base Plate Schedule (Preliminary)</v>
      </c>
      <c r="I262" s="137"/>
      <c r="J262" s="578" t="str">
        <f>IF('C-Design&amp;Const'!AF262="","",'C-Design&amp;Const'!AF262)</f>
        <v>(Preliminary)</v>
      </c>
      <c r="K262" s="25" t="str">
        <f>IF(DD_apply="Yes",IF((COUNTIF(D262:G262,"Y")=COUNTIF('01 - SD'!D262:G262,"Y")),"match","no SD match"),"-")</f>
        <v>no SD match</v>
      </c>
      <c r="L262" s="1410" t="str">
        <f t="shared" si="15"/>
        <v/>
      </c>
      <c r="M262" s="1333"/>
      <c r="N262" s="1333"/>
      <c r="O262" s="1333"/>
      <c r="P262" s="1333"/>
      <c r="Q262" s="1333"/>
      <c r="R262" s="1453"/>
      <c r="S262" s="1284"/>
      <c r="T262" s="1284"/>
      <c r="U262" s="1333"/>
      <c r="V262" s="1333"/>
      <c r="W262" s="1333"/>
      <c r="X262" s="1333"/>
      <c r="Y262" s="1333"/>
      <c r="Z262" s="1333"/>
      <c r="AA262" s="1333"/>
      <c r="AB262" s="1333"/>
      <c r="AC262" s="1333"/>
      <c r="AD262" s="1333"/>
      <c r="AE262" s="1333"/>
      <c r="AF262" s="1333"/>
      <c r="AG262" s="1333"/>
      <c r="AH262" s="1333"/>
      <c r="AI262" s="1333"/>
      <c r="AV262"/>
      <c r="AW262"/>
    </row>
    <row r="263" spans="1:49" ht="15" customHeight="1" x14ac:dyDescent="0.25">
      <c r="A263" s="1504" t="str">
        <f>IF(SD_apply="Yes",IF(COUNTIF('01 - SD'!D263:G263,"Y")&gt;0,"Y",IF(COUNTIF('01 - SD'!D263:G263,"N"),"N","")),"")</f>
        <v>N</v>
      </c>
      <c r="B263" s="18"/>
      <c r="C263" s="945"/>
      <c r="D263" s="116"/>
      <c r="E263" s="321"/>
      <c r="F263" s="559" t="str">
        <f>IF('C-Design&amp;Const'!$K263="","",'C-Design&amp;Const'!$K263)</f>
        <v>Y</v>
      </c>
      <c r="G263" s="485"/>
      <c r="H263" s="243" t="str">
        <f>CONCATENATE(IF(F263="N","PLACEHOLDER ROW - ",""),'C-Design&amp;Const'!Z263,IF(F263="N","",J263))</f>
        <v>Foundation Individual Details (Preliminary)</v>
      </c>
      <c r="I263" s="137"/>
      <c r="J263" s="578" t="str">
        <f>IF('C-Design&amp;Const'!AF263="","",'C-Design&amp;Const'!AF263)</f>
        <v>(Preliminary)</v>
      </c>
      <c r="K263" s="25" t="str">
        <f>IF(DD_apply="Yes",IF((COUNTIF(D263:G263,"Y")=COUNTIF('01 - SD'!D263:G263,"Y")),"match","no SD match"),"-")</f>
        <v>no SD match</v>
      </c>
      <c r="L263" s="1410" t="str">
        <f t="shared" si="15"/>
        <v/>
      </c>
      <c r="M263" s="1333"/>
      <c r="N263" s="1333"/>
      <c r="O263" s="1333"/>
      <c r="P263" s="1333"/>
      <c r="Q263" s="1333"/>
      <c r="R263" s="1453"/>
      <c r="S263" s="1284"/>
      <c r="T263" s="1284"/>
      <c r="U263" s="1333"/>
      <c r="V263" s="1333"/>
      <c r="W263" s="1333"/>
      <c r="X263" s="1333"/>
      <c r="Y263" s="1333"/>
      <c r="Z263" s="1333"/>
      <c r="AA263" s="1333"/>
      <c r="AB263" s="1333"/>
      <c r="AC263" s="1333"/>
      <c r="AD263" s="1333"/>
      <c r="AE263" s="1333"/>
      <c r="AF263" s="1333"/>
      <c r="AG263" s="1333"/>
      <c r="AH263" s="1333"/>
      <c r="AI263" s="1333"/>
      <c r="AV263"/>
      <c r="AW263"/>
    </row>
    <row r="264" spans="1:49" ht="15" customHeight="1" x14ac:dyDescent="0.25">
      <c r="A264" s="1504" t="str">
        <f>IF(SD_apply="Yes",IF(COUNTIF('01 - SD'!D264:G264,"Y")&gt;0,"Y",IF(COUNTIF('01 - SD'!D264:G264,"N"),"N","")),"")</f>
        <v>Y</v>
      </c>
      <c r="B264" s="18"/>
      <c r="C264" s="945"/>
      <c r="D264" s="116"/>
      <c r="E264" s="321"/>
      <c r="F264" s="559" t="str">
        <f>IF('C-Design&amp;Const'!$K264="","",'C-Design&amp;Const'!$K264)</f>
        <v>Y</v>
      </c>
      <c r="G264" s="485"/>
      <c r="H264" s="243" t="str">
        <f>CONCATENATE(IF(F264="N","PLACEHOLDER ROW - ",""),'C-Design&amp;Const'!Z264,IF(F264="N","",J264))</f>
        <v>Structural Masonry Wall Plan (Approx. 50% Complete)</v>
      </c>
      <c r="I264" s="137"/>
      <c r="J264" s="578" t="str">
        <f>IF('C-Design&amp;Const'!AF264="","",'C-Design&amp;Const'!AF264)</f>
        <v>(Approx. 50% Complete)</v>
      </c>
      <c r="K264" s="25" t="str">
        <f>IF(DD_apply="Yes",IF((COUNTIF(D264:G264,"Y")=COUNTIF('01 - SD'!D264:G264,"Y")),"match","no SD match"),"-")</f>
        <v>match</v>
      </c>
      <c r="L264" s="1410" t="str">
        <f t="shared" si="15"/>
        <v/>
      </c>
      <c r="M264" s="1333"/>
      <c r="N264" s="1333"/>
      <c r="O264" s="1333"/>
      <c r="P264" s="1333"/>
      <c r="Q264" s="1333"/>
      <c r="R264" s="1453"/>
      <c r="S264" s="1284"/>
      <c r="T264" s="1284"/>
      <c r="U264" s="1333"/>
      <c r="V264" s="1333"/>
      <c r="W264" s="1333"/>
      <c r="X264" s="1333"/>
      <c r="Y264" s="1333"/>
      <c r="Z264" s="1333"/>
      <c r="AA264" s="1333"/>
      <c r="AB264" s="1333"/>
      <c r="AC264" s="1333"/>
      <c r="AD264" s="1333"/>
      <c r="AE264" s="1333"/>
      <c r="AF264" s="1333"/>
      <c r="AG264" s="1333"/>
      <c r="AH264" s="1333"/>
      <c r="AI264" s="1333"/>
      <c r="AV264"/>
      <c r="AW264"/>
    </row>
    <row r="265" spans="1:49" ht="15" customHeight="1" x14ac:dyDescent="0.25">
      <c r="A265" s="1504" t="str">
        <f>IF(SD_apply="Yes",IF(COUNTIF('01 - SD'!D265:G265,"Y")&gt;0,"Y",IF(COUNTIF('01 - SD'!D265:G265,"N"),"N","")),"")</f>
        <v>N</v>
      </c>
      <c r="B265" s="18"/>
      <c r="C265" s="945"/>
      <c r="D265" s="116"/>
      <c r="E265" s="321"/>
      <c r="F265" s="559" t="str">
        <f>IF('C-Design&amp;Const'!$K265="","",'C-Design&amp;Const'!$K265)</f>
        <v>Y</v>
      </c>
      <c r="G265" s="485"/>
      <c r="H265" s="243" t="str">
        <f>CONCATENATE(IF(F265="N","PLACEHOLDER ROW - ",""),'C-Design&amp;Const'!Z265,IF(F265="N","",J265))</f>
        <v>Structural Masonry Details (Preliminary)</v>
      </c>
      <c r="I265" s="137"/>
      <c r="J265" s="578" t="str">
        <f>IF('C-Design&amp;Const'!AF265="","",'C-Design&amp;Const'!AF265)</f>
        <v>(Preliminary)</v>
      </c>
      <c r="K265" s="25" t="str">
        <f>IF(DD_apply="Yes",IF((COUNTIF(D265:G265,"Y")=COUNTIF('01 - SD'!D265:G265,"Y")),"match","no SD match"),"-")</f>
        <v>no SD match</v>
      </c>
      <c r="L265" s="1410" t="str">
        <f t="shared" si="15"/>
        <v/>
      </c>
      <c r="M265" s="1333"/>
      <c r="N265" s="1333"/>
      <c r="O265" s="1333"/>
      <c r="P265" s="1333"/>
      <c r="Q265" s="1333"/>
      <c r="R265" s="1453"/>
      <c r="S265" s="1284"/>
      <c r="T265" s="1284"/>
      <c r="U265" s="1333"/>
      <c r="V265" s="1333"/>
      <c r="W265" s="1333"/>
      <c r="X265" s="1333"/>
      <c r="Y265" s="1333"/>
      <c r="Z265" s="1333"/>
      <c r="AA265" s="1333"/>
      <c r="AB265" s="1333"/>
      <c r="AC265" s="1333"/>
      <c r="AD265" s="1333"/>
      <c r="AE265" s="1333"/>
      <c r="AF265" s="1333"/>
      <c r="AG265" s="1333"/>
      <c r="AH265" s="1333"/>
      <c r="AI265" s="1333"/>
      <c r="AV265"/>
      <c r="AW265"/>
    </row>
    <row r="266" spans="1:49" ht="15" customHeight="1" x14ac:dyDescent="0.25">
      <c r="A266" s="1504" t="str">
        <f>IF(SD_apply="Yes",IF(COUNTIF('01 - SD'!D266:G266,"Y")&gt;0,"Y",IF(COUNTIF('01 - SD'!D266:G266,"N"),"N","")),"")</f>
        <v>N</v>
      </c>
      <c r="B266" s="18"/>
      <c r="C266" s="945"/>
      <c r="D266" s="116"/>
      <c r="E266" s="321"/>
      <c r="F266" s="559" t="str">
        <f>IF('C-Design&amp;Const'!$K266="","",'C-Design&amp;Const'!$K266)</f>
        <v>Y</v>
      </c>
      <c r="G266" s="485"/>
      <c r="H266" s="243" t="str">
        <f>CONCATENATE(IF(F266="N","PLACEHOLDER ROW - ",""),'C-Design&amp;Const'!Z266,IF(F266="N","",J266))</f>
        <v>Lintel Details (Preliminary)</v>
      </c>
      <c r="I266" s="137"/>
      <c r="J266" s="578" t="str">
        <f>IF('C-Design&amp;Const'!AF266="","",'C-Design&amp;Const'!AF266)</f>
        <v>(Preliminary)</v>
      </c>
      <c r="K266" s="25" t="str">
        <f>IF(DD_apply="Yes",IF((COUNTIF(D266:G266,"Y")=COUNTIF('01 - SD'!D266:G266,"Y")),"match","no SD match"),"-")</f>
        <v>no SD match</v>
      </c>
      <c r="L266" s="1410" t="str">
        <f t="shared" si="15"/>
        <v/>
      </c>
      <c r="M266" s="1333"/>
      <c r="N266" s="1333"/>
      <c r="O266" s="1333"/>
      <c r="P266" s="1333"/>
      <c r="Q266" s="1333"/>
      <c r="R266" s="1453"/>
      <c r="S266" s="1284"/>
      <c r="T266" s="1284"/>
      <c r="U266" s="1333"/>
      <c r="V266" s="1333"/>
      <c r="W266" s="1333"/>
      <c r="X266" s="1333"/>
      <c r="Y266" s="1333"/>
      <c r="Z266" s="1333"/>
      <c r="AA266" s="1333"/>
      <c r="AB266" s="1333"/>
      <c r="AC266" s="1333"/>
      <c r="AD266" s="1333"/>
      <c r="AE266" s="1333"/>
      <c r="AF266" s="1333"/>
      <c r="AG266" s="1333"/>
      <c r="AH266" s="1333"/>
      <c r="AI266" s="1333"/>
      <c r="AV266"/>
      <c r="AW266"/>
    </row>
    <row r="267" spans="1:49" ht="15" customHeight="1" x14ac:dyDescent="0.25">
      <c r="A267" s="1504" t="str">
        <f>IF(SD_apply="Yes",IF(COUNTIF('01 - SD'!D267:G267,"Y")&gt;0,"Y",IF(COUNTIF('01 - SD'!D267:G267,"N"),"N","")),"")</f>
        <v>Y</v>
      </c>
      <c r="B267" s="18"/>
      <c r="C267" s="945"/>
      <c r="D267" s="116"/>
      <c r="E267" s="321"/>
      <c r="F267" s="559" t="str">
        <f>IF('C-Design&amp;Const'!$K267="","",'C-Design&amp;Const'!$K267)</f>
        <v>Y</v>
      </c>
      <c r="G267" s="485"/>
      <c r="H267" s="243" t="str">
        <f>CONCATENATE(IF(F267="N","PLACEHOLDER ROW - ",""),'C-Design&amp;Const'!Z267,IF(F267="N","",J267))</f>
        <v>Lateral Force Resisting System Plan and Details (Approx. 50% Complete)</v>
      </c>
      <c r="I267" s="137"/>
      <c r="J267" s="578" t="str">
        <f>IF('C-Design&amp;Const'!AF267="","",'C-Design&amp;Const'!AF267)</f>
        <v>(Approx. 50% Complete)</v>
      </c>
      <c r="K267" s="25" t="str">
        <f>IF(DD_apply="Yes",IF((COUNTIF(D267:G267,"Y")=COUNTIF('01 - SD'!D267:G267,"Y")),"match","no SD match"),"-")</f>
        <v>match</v>
      </c>
      <c r="L267" s="1410" t="str">
        <f t="shared" si="15"/>
        <v/>
      </c>
      <c r="M267" s="1333"/>
      <c r="N267" s="1333"/>
      <c r="O267" s="1333"/>
      <c r="P267" s="1333"/>
      <c r="Q267" s="1333"/>
      <c r="R267" s="1453"/>
      <c r="S267" s="1284"/>
      <c r="T267" s="1284"/>
      <c r="U267" s="1333"/>
      <c r="V267" s="1333"/>
      <c r="W267" s="1333"/>
      <c r="X267" s="1333"/>
      <c r="Y267" s="1333"/>
      <c r="Z267" s="1333"/>
      <c r="AA267" s="1333"/>
      <c r="AB267" s="1333"/>
      <c r="AC267" s="1333"/>
      <c r="AD267" s="1333"/>
      <c r="AE267" s="1333"/>
      <c r="AF267" s="1333"/>
      <c r="AG267" s="1333"/>
      <c r="AH267" s="1333"/>
      <c r="AI267" s="1333"/>
      <c r="AV267"/>
      <c r="AW267"/>
    </row>
    <row r="268" spans="1:49" ht="15" customHeight="1" x14ac:dyDescent="0.25">
      <c r="A268" s="1504" t="str">
        <f>IF(SD_apply="Yes",IF(COUNTIF('01 - SD'!D268:G268,"Y")&gt;0,"Y",IF(COUNTIF('01 - SD'!D268:G268,"N"),"N","")),"")</f>
        <v>Y</v>
      </c>
      <c r="B268" s="18"/>
      <c r="C268" s="945"/>
      <c r="D268" s="116"/>
      <c r="E268" s="321"/>
      <c r="F268" s="559" t="str">
        <f>IF('C-Design&amp;Const'!$K268="","",'C-Design&amp;Const'!$K268)</f>
        <v>Y</v>
      </c>
      <c r="G268" s="485"/>
      <c r="H268" s="243" t="str">
        <f>CONCATENATE(IF(F268="N","PLACEHOLDER ROW - ",""),'C-Design&amp;Const'!Z268,IF(F268="N","",J268))</f>
        <v>Floor Framing Plans (Approx. 50% Complete)</v>
      </c>
      <c r="I268" s="137"/>
      <c r="J268" s="578" t="str">
        <f>IF('C-Design&amp;Const'!AF268="","",'C-Design&amp;Const'!AF268)</f>
        <v>(Approx. 50% Complete)</v>
      </c>
      <c r="K268" s="25" t="str">
        <f>IF(DD_apply="Yes",IF((COUNTIF(D268:G268,"Y")=COUNTIF('01 - SD'!D268:G268,"Y")),"match","no SD match"),"-")</f>
        <v>match</v>
      </c>
      <c r="L268" s="1410" t="str">
        <f t="shared" si="15"/>
        <v/>
      </c>
      <c r="M268" s="1333"/>
      <c r="N268" s="1333"/>
      <c r="O268" s="1333"/>
      <c r="P268" s="1333"/>
      <c r="Q268" s="1333"/>
      <c r="R268" s="1453"/>
      <c r="S268" s="1284"/>
      <c r="T268" s="1284"/>
      <c r="U268" s="1333"/>
      <c r="V268" s="1333"/>
      <c r="W268" s="1333"/>
      <c r="X268" s="1333"/>
      <c r="Y268" s="1333"/>
      <c r="Z268" s="1333"/>
      <c r="AA268" s="1333"/>
      <c r="AB268" s="1333"/>
      <c r="AC268" s="1333"/>
      <c r="AD268" s="1333"/>
      <c r="AE268" s="1333"/>
      <c r="AF268" s="1333"/>
      <c r="AG268" s="1333"/>
      <c r="AH268" s="1333"/>
      <c r="AI268" s="1333"/>
      <c r="AV268"/>
      <c r="AW268"/>
    </row>
    <row r="269" spans="1:49" ht="15" customHeight="1" x14ac:dyDescent="0.25">
      <c r="A269" s="1504" t="str">
        <f>IF(SD_apply="Yes",IF(COUNTIF('01 - SD'!D269:G269,"Y")&gt;0,"Y",IF(COUNTIF('01 - SD'!D269:G269,"N"),"N","")),"")</f>
        <v>Y</v>
      </c>
      <c r="B269" s="18"/>
      <c r="C269" s="945"/>
      <c r="D269" s="116"/>
      <c r="E269" s="321"/>
      <c r="F269" s="559" t="str">
        <f>IF('C-Design&amp;Const'!$K269="","",'C-Design&amp;Const'!$K269)</f>
        <v>Y</v>
      </c>
      <c r="G269" s="485"/>
      <c r="H269" s="243" t="str">
        <f>CONCATENATE(IF(F269="N","PLACEHOLDER ROW - ",""),'C-Design&amp;Const'!Z269,IF(F269="N","",J269))</f>
        <v>Roof Framing Details (Approx. 50% Complete)</v>
      </c>
      <c r="I269" s="137"/>
      <c r="J269" s="578" t="str">
        <f>IF('C-Design&amp;Const'!AF269="","",'C-Design&amp;Const'!AF269)</f>
        <v>(Approx. 50% Complete)</v>
      </c>
      <c r="K269" s="25" t="str">
        <f>IF(DD_apply="Yes",IF((COUNTIF(D269:G269,"Y")=COUNTIF('01 - SD'!D269:G269,"Y")),"match","no SD match"),"-")</f>
        <v>match</v>
      </c>
      <c r="L269" s="1410" t="str">
        <f t="shared" si="15"/>
        <v/>
      </c>
      <c r="M269" s="1333"/>
      <c r="N269" s="1333"/>
      <c r="O269" s="1333"/>
      <c r="P269" s="1333"/>
      <c r="Q269" s="1333"/>
      <c r="R269" s="1453"/>
      <c r="S269" s="1284"/>
      <c r="T269" s="1284"/>
      <c r="U269" s="1333"/>
      <c r="V269" s="1333"/>
      <c r="W269" s="1333"/>
      <c r="X269" s="1333"/>
      <c r="Y269" s="1333"/>
      <c r="Z269" s="1333"/>
      <c r="AA269" s="1333"/>
      <c r="AB269" s="1333"/>
      <c r="AC269" s="1333"/>
      <c r="AD269" s="1333"/>
      <c r="AE269" s="1333"/>
      <c r="AF269" s="1333"/>
      <c r="AG269" s="1333"/>
      <c r="AH269" s="1333"/>
      <c r="AI269" s="1333"/>
      <c r="AV269"/>
      <c r="AW269"/>
    </row>
    <row r="270" spans="1:49" ht="15" customHeight="1" x14ac:dyDescent="0.25">
      <c r="A270" s="1502" t="str">
        <f>IF(SD_apply="Yes",IF(COUNTIF('01 - SD'!D270:G270,"Y")&gt;0,"Y",IF(COUNTIF('01 - SD'!D270:G270,"N"),"N","")),"")</f>
        <v>Y</v>
      </c>
      <c r="B270" s="18"/>
      <c r="C270" s="945"/>
      <c r="D270" s="116"/>
      <c r="E270" s="559" t="str">
        <f>IF('C-Design&amp;Const'!$K270="","",'C-Design&amp;Const'!$K270)</f>
        <v>Y</v>
      </c>
      <c r="F270" s="478"/>
      <c r="G270" s="485"/>
      <c r="H270" s="244" t="str">
        <f>CONCATENATE(IF(F270="N","PLACEHOLDER ROW - ",""),'C-Design&amp;Const'!Z270,IF(F270="N","",J270))</f>
        <v>Plumbing Drawings</v>
      </c>
      <c r="I270" s="146"/>
      <c r="J270" s="578" t="str">
        <f>IF('C-Design&amp;Const'!AF270="","",'C-Design&amp;Const'!AF270)</f>
        <v/>
      </c>
      <c r="K270" s="25" t="str">
        <f>IF(DD_apply="Yes",IF((COUNTIF(D270:G270,"Y")=COUNTIF('01 - SD'!D270:G270,"Y")),"match","no SD match"),"-")</f>
        <v>match</v>
      </c>
      <c r="L270" s="1410" t="str">
        <f t="shared" si="15"/>
        <v/>
      </c>
      <c r="M270" s="1333"/>
      <c r="N270" s="1333"/>
      <c r="O270" s="1333"/>
      <c r="P270" s="1333"/>
      <c r="Q270" s="1333"/>
      <c r="R270" s="1284"/>
      <c r="S270" s="1489"/>
      <c r="T270" s="1284"/>
      <c r="U270" s="1333"/>
      <c r="V270" s="1333"/>
      <c r="W270" s="1333"/>
      <c r="X270" s="1333"/>
      <c r="Y270" s="1333"/>
      <c r="Z270" s="1333"/>
      <c r="AA270" s="1333"/>
      <c r="AB270" s="1333"/>
      <c r="AC270" s="1333"/>
      <c r="AD270" s="1333"/>
      <c r="AE270" s="1333"/>
      <c r="AF270" s="1333"/>
      <c r="AG270" s="1333"/>
      <c r="AH270" s="1333"/>
      <c r="AI270" s="1333"/>
      <c r="AV270"/>
      <c r="AW270"/>
    </row>
    <row r="271" spans="1:49" ht="15" customHeight="1" x14ac:dyDescent="0.25">
      <c r="A271" s="1504" t="str">
        <f>IF(SD_apply="Yes",IF(COUNTIF('01 - SD'!D271:G271,"Y")&gt;0,"Y",IF(COUNTIF('01 - SD'!D271:G271,"N"),"N","")),"")</f>
        <v>N</v>
      </c>
      <c r="B271" s="18"/>
      <c r="C271" s="945"/>
      <c r="D271" s="116"/>
      <c r="E271" s="321"/>
      <c r="F271" s="559" t="str">
        <f>IF('C-Design&amp;Const'!$K271="","",'C-Design&amp;Const'!$K271)</f>
        <v>N</v>
      </c>
      <c r="G271" s="491"/>
      <c r="H271" s="243" t="str">
        <f>CONCATENATE(IF(F271="N","PLACEHOLDER ROW - ",""),'C-Design&amp;Const'!Z271,IF(F271="N","",J271))</f>
        <v xml:space="preserve">PLACEHOLDER ROW - CUSTOM - Plumbing  </v>
      </c>
      <c r="I271" s="137"/>
      <c r="J271" s="578" t="str">
        <f>IF('C-Design&amp;Const'!AF271="","",'C-Design&amp;Const'!AF271)</f>
        <v>(Approx. 50% Complete)</v>
      </c>
      <c r="K271" s="25" t="str">
        <f>IF(DD_apply="Yes",IF((COUNTIF(D271:G271,"Y")=COUNTIF('01 - SD'!D271:G271,"Y")),"match","no SD match"),"-")</f>
        <v>match</v>
      </c>
      <c r="L271" s="1410" t="str">
        <f t="shared" si="15"/>
        <v>&lt;---PM/Planner may hide PLACEHOLDER ROW</v>
      </c>
      <c r="M271" s="1333"/>
      <c r="N271" s="1333"/>
      <c r="O271" s="1333"/>
      <c r="P271" s="1333"/>
      <c r="Q271" s="1333"/>
      <c r="R271" s="1453"/>
      <c r="S271" s="1284"/>
      <c r="T271" s="1284"/>
      <c r="U271" s="1333"/>
      <c r="V271" s="1333"/>
      <c r="W271" s="1333"/>
      <c r="X271" s="1333"/>
      <c r="Y271" s="1333"/>
      <c r="Z271" s="1333"/>
      <c r="AA271" s="1333"/>
      <c r="AB271" s="1333"/>
      <c r="AC271" s="1333"/>
      <c r="AD271" s="1333"/>
      <c r="AE271" s="1333"/>
      <c r="AF271" s="1333"/>
      <c r="AG271" s="1333"/>
      <c r="AH271" s="1333"/>
      <c r="AI271" s="1333"/>
      <c r="AV271"/>
      <c r="AW271"/>
    </row>
    <row r="272" spans="1:49" ht="15" customHeight="1" x14ac:dyDescent="0.25">
      <c r="A272" s="1504" t="str">
        <f>IF(SD_apply="Yes",IF(COUNTIF('01 - SD'!D272:G272,"Y")&gt;0,"Y",IF(COUNTIF('01 - SD'!D272:G272,"N"),"N","")),"")</f>
        <v>N</v>
      </c>
      <c r="B272" s="18"/>
      <c r="C272" s="945"/>
      <c r="D272" s="116"/>
      <c r="E272" s="321"/>
      <c r="F272" s="559" t="str">
        <f>IF('C-Design&amp;Const'!$K272="","",'C-Design&amp;Const'!$K272)</f>
        <v>N</v>
      </c>
      <c r="G272" s="491"/>
      <c r="H272" s="243" t="str">
        <f>CONCATENATE(IF(F272="N","PLACEHOLDER ROW - ",""),'C-Design&amp;Const'!Z272,IF(F272="N","",J272))</f>
        <v xml:space="preserve">PLACEHOLDER ROW - CUSTOM - Plumbing  </v>
      </c>
      <c r="I272" s="137"/>
      <c r="J272" s="578" t="str">
        <f>IF('C-Design&amp;Const'!AF272="","",'C-Design&amp;Const'!AF272)</f>
        <v>(Approx. 50% Complete)</v>
      </c>
      <c r="K272" s="25" t="str">
        <f>IF(DD_apply="Yes",IF((COUNTIF(D272:G272,"Y")=COUNTIF('01 - SD'!D272:G272,"Y")),"match","no SD match"),"-")</f>
        <v>match</v>
      </c>
      <c r="L272" s="1410" t="str">
        <f t="shared" si="15"/>
        <v>&lt;---PM/Planner may hide PLACEHOLDER ROW</v>
      </c>
      <c r="M272" s="1333"/>
      <c r="N272" s="1333"/>
      <c r="O272" s="1333"/>
      <c r="P272" s="1333"/>
      <c r="Q272" s="1333"/>
      <c r="R272" s="1453"/>
      <c r="S272" s="1284"/>
      <c r="T272" s="1284"/>
      <c r="U272" s="1333"/>
      <c r="V272" s="1333"/>
      <c r="W272" s="1333"/>
      <c r="X272" s="1333"/>
      <c r="Y272" s="1333"/>
      <c r="Z272" s="1333"/>
      <c r="AA272" s="1333"/>
      <c r="AB272" s="1333"/>
      <c r="AC272" s="1333"/>
      <c r="AD272" s="1333"/>
      <c r="AE272" s="1333"/>
      <c r="AF272" s="1333"/>
      <c r="AG272" s="1333"/>
      <c r="AH272" s="1333"/>
      <c r="AI272" s="1333"/>
      <c r="AV272"/>
      <c r="AW272"/>
    </row>
    <row r="273" spans="1:49" ht="15" customHeight="1" x14ac:dyDescent="0.25">
      <c r="A273" s="1504" t="str">
        <f>IF(SD_apply="Yes",IF(COUNTIF('01 - SD'!D273:G273,"Y")&gt;0,"Y",IF(COUNTIF('01 - SD'!D273:G273,"N"),"N","")),"")</f>
        <v>Y</v>
      </c>
      <c r="B273" s="18"/>
      <c r="C273" s="945"/>
      <c r="D273" s="116"/>
      <c r="E273" s="321"/>
      <c r="F273" s="559" t="str">
        <f>IF('C-Design&amp;Const'!$K273="","",'C-Design&amp;Const'!$K273)</f>
        <v>Y</v>
      </c>
      <c r="G273" s="485"/>
      <c r="H273" s="243" t="str">
        <f>CONCATENATE(IF(F273="N","PLACEHOLDER ROW - ",""),'C-Design&amp;Const'!Z273,IF(F273="N","",J273))</f>
        <v>Plumbing Symbols, Abbreviations, and General Notes (Complete)</v>
      </c>
      <c r="I273" s="137"/>
      <c r="J273" s="578" t="str">
        <f>IF('C-Design&amp;Const'!AF273="","",'C-Design&amp;Const'!AF273)</f>
        <v>(Complete)</v>
      </c>
      <c r="K273" s="25" t="str">
        <f>IF(DD_apply="Yes",IF((COUNTIF(D273:G273,"Y")=COUNTIF('01 - SD'!D273:G273,"Y")),"match","no SD match"),"-")</f>
        <v>match</v>
      </c>
      <c r="L273" s="1410" t="str">
        <f t="shared" si="15"/>
        <v/>
      </c>
      <c r="M273" s="1333"/>
      <c r="N273" s="1333"/>
      <c r="O273" s="1333"/>
      <c r="P273" s="1333"/>
      <c r="Q273" s="1333"/>
      <c r="R273" s="1453"/>
      <c r="S273" s="1284"/>
      <c r="T273" s="1284"/>
      <c r="U273" s="1333"/>
      <c r="V273" s="1333"/>
      <c r="W273" s="1333"/>
      <c r="X273" s="1333"/>
      <c r="Y273" s="1333"/>
      <c r="Z273" s="1333"/>
      <c r="AA273" s="1333"/>
      <c r="AB273" s="1333"/>
      <c r="AC273" s="1333"/>
      <c r="AD273" s="1333"/>
      <c r="AE273" s="1333"/>
      <c r="AF273" s="1333"/>
      <c r="AG273" s="1333"/>
      <c r="AH273" s="1333"/>
      <c r="AI273" s="1333"/>
      <c r="AV273"/>
      <c r="AW273"/>
    </row>
    <row r="274" spans="1:49" s="542" customFormat="1" ht="15" customHeight="1" x14ac:dyDescent="0.25">
      <c r="A274" s="1504" t="str">
        <f>IF(SD_apply="Yes",IF(COUNTIF('01 - SD'!D274:G274,"Y")&gt;0,"Y",IF(COUNTIF('01 - SD'!D274:G274,"N"),"N","")),"")</f>
        <v>N</v>
      </c>
      <c r="B274" s="18"/>
      <c r="C274" s="945"/>
      <c r="D274" s="116"/>
      <c r="E274" s="321"/>
      <c r="F274" s="559" t="str">
        <f>IF('C-Design&amp;Const'!$K274="","",'C-Design&amp;Const'!$K274)</f>
        <v>Y</v>
      </c>
      <c r="G274" s="485"/>
      <c r="H274" s="243" t="str">
        <f>CONCATENATE(IF(F274="N","PLACEHOLDER ROW - ",""),'C-Design&amp;Const'!Z274,IF(F274="N","",J274))</f>
        <v>Plumbing Demolition(s) (Approx. 50% Complete)</v>
      </c>
      <c r="I274" s="137"/>
      <c r="J274" s="578" t="str">
        <f>IF('C-Design&amp;Const'!AF274="","",'C-Design&amp;Const'!AF274)</f>
        <v>(Approx. 50% Complete)</v>
      </c>
      <c r="K274" s="25" t="str">
        <f>IF(DD_apply="Yes",IF((COUNTIF(D274:G274,"Y")=COUNTIF('01 - SD'!D274:G274,"Y")),"match","no SD match"),"-")</f>
        <v>no SD match</v>
      </c>
      <c r="L274" s="1410" t="str">
        <f>CONCATENATE(IF(ISNUMBER(SEARCH("Placeholder",H274))=TRUE,"&lt;---PM/Planner may hide PLACEHOLDER ROW",""))</f>
        <v/>
      </c>
      <c r="M274" s="1333"/>
      <c r="N274" s="1333"/>
      <c r="O274" s="1333"/>
      <c r="P274" s="1333"/>
      <c r="Q274" s="1333"/>
      <c r="R274" s="1453"/>
      <c r="S274" s="1284"/>
      <c r="T274" s="1284"/>
      <c r="U274" s="1333"/>
      <c r="V274" s="1333"/>
      <c r="W274" s="1333"/>
      <c r="X274" s="1333"/>
      <c r="Y274" s="1333"/>
      <c r="Z274" s="1333"/>
      <c r="AA274" s="1333"/>
      <c r="AB274" s="1333"/>
      <c r="AC274" s="1333"/>
      <c r="AD274" s="1333"/>
      <c r="AE274" s="1333"/>
      <c r="AF274" s="1333"/>
      <c r="AG274" s="1333"/>
      <c r="AH274" s="1333"/>
      <c r="AI274" s="1333"/>
      <c r="AJ274" s="17"/>
      <c r="AK274" s="17"/>
      <c r="AL274" s="17"/>
      <c r="AM274" s="17"/>
      <c r="AN274" s="17"/>
      <c r="AO274" s="17"/>
      <c r="AP274" s="17"/>
      <c r="AQ274" s="17"/>
      <c r="AR274" s="17"/>
      <c r="AS274" s="17"/>
      <c r="AT274" s="17"/>
      <c r="AU274" s="17"/>
    </row>
    <row r="275" spans="1:49" ht="15" customHeight="1" x14ac:dyDescent="0.25">
      <c r="A275" s="1504" t="str">
        <f>IF(SD_apply="Yes",IF(COUNTIF('01 - SD'!D275:G275,"Y")&gt;0,"Y",IF(COUNTIF('01 - SD'!D275:G275,"N"),"N","")),"")</f>
        <v>Y</v>
      </c>
      <c r="B275" s="18"/>
      <c r="C275" s="945"/>
      <c r="D275" s="116"/>
      <c r="E275" s="321"/>
      <c r="F275" s="559" t="str">
        <f>IF('C-Design&amp;Const'!$K275="","",'C-Design&amp;Const'!$K275)</f>
        <v>Y</v>
      </c>
      <c r="G275" s="485"/>
      <c r="H275" s="243" t="str">
        <f>CONCATENATE(IF(F275="N","PLACEHOLDER ROW - ",""),'C-Design&amp;Const'!Z275,IF(F275="N","",J275))</f>
        <v>Plumbing Floor Plans and Roof Plan (Approx. 50% Complete)</v>
      </c>
      <c r="I275" s="137"/>
      <c r="J275" s="578" t="str">
        <f>IF('C-Design&amp;Const'!AF275="","",'C-Design&amp;Const'!AF275)</f>
        <v>(Approx. 50% Complete)</v>
      </c>
      <c r="K275" s="25" t="str">
        <f>IF(DD_apply="Yes",IF((COUNTIF(D275:G275,"Y")=COUNTIF('01 - SD'!D275:G275,"Y")),"match","no SD match"),"-")</f>
        <v>match</v>
      </c>
      <c r="L275" s="1410" t="str">
        <f t="shared" si="15"/>
        <v/>
      </c>
      <c r="M275" s="1333"/>
      <c r="N275" s="1333"/>
      <c r="O275" s="1333"/>
      <c r="P275" s="1333"/>
      <c r="Q275" s="1333"/>
      <c r="R275" s="1453"/>
      <c r="S275" s="1284"/>
      <c r="T275" s="1284"/>
      <c r="U275" s="1333"/>
      <c r="V275" s="1333"/>
      <c r="W275" s="1333"/>
      <c r="X275" s="1333"/>
      <c r="Y275" s="1333"/>
      <c r="Z275" s="1333"/>
      <c r="AA275" s="1333"/>
      <c r="AB275" s="1333"/>
      <c r="AC275" s="1333"/>
      <c r="AD275" s="1333"/>
      <c r="AE275" s="1333"/>
      <c r="AF275" s="1333"/>
      <c r="AG275" s="1333"/>
      <c r="AH275" s="1333"/>
      <c r="AI275" s="1333"/>
      <c r="AV275"/>
      <c r="AW275"/>
    </row>
    <row r="276" spans="1:49" ht="15" customHeight="1" x14ac:dyDescent="0.25">
      <c r="A276" s="1504" t="str">
        <f>IF(SD_apply="Yes",IF(COUNTIF('01 - SD'!D276:G276,"Y")&gt;0,"Y",IF(COUNTIF('01 - SD'!D276:G276,"N"),"N","")),"")</f>
        <v>N</v>
      </c>
      <c r="B276" s="18"/>
      <c r="C276" s="945"/>
      <c r="D276" s="116"/>
      <c r="E276" s="321"/>
      <c r="F276" s="559" t="str">
        <f>IF('C-Design&amp;Const'!$K276="","",'C-Design&amp;Const'!$K276)</f>
        <v>Y</v>
      </c>
      <c r="G276" s="485"/>
      <c r="H276" s="243" t="str">
        <f>CONCATENATE(IF(F276="N","PLACEHOLDER ROW - ",""),'C-Design&amp;Const'!Z276,IF(F276="N","",J276))</f>
        <v>Plumbing Sanitary, Vent, Storm, Water Riser Diagram (Substantially Complete)</v>
      </c>
      <c r="I276" s="137"/>
      <c r="J276" s="578" t="str">
        <f>IF('C-Design&amp;Const'!AF276="","",'C-Design&amp;Const'!AF276)</f>
        <v>(Substantially Complete)</v>
      </c>
      <c r="K276" s="25" t="str">
        <f>IF(DD_apply="Yes",IF((COUNTIF(D276:G276,"Y")=COUNTIF('01 - SD'!D276:G276,"Y")),"match","no SD match"),"-")</f>
        <v>no SD match</v>
      </c>
      <c r="L276" s="1410" t="str">
        <f t="shared" si="15"/>
        <v/>
      </c>
      <c r="M276" s="1333"/>
      <c r="N276" s="1333"/>
      <c r="O276" s="1333"/>
      <c r="P276" s="1333"/>
      <c r="Q276" s="1333"/>
      <c r="R276" s="1453"/>
      <c r="S276" s="1284"/>
      <c r="T276" s="1284"/>
      <c r="U276" s="1333"/>
      <c r="V276" s="1333"/>
      <c r="W276" s="1333"/>
      <c r="X276" s="1333"/>
      <c r="Y276" s="1333"/>
      <c r="Z276" s="1333"/>
      <c r="AA276" s="1333"/>
      <c r="AB276" s="1333"/>
      <c r="AC276" s="1333"/>
      <c r="AD276" s="1333"/>
      <c r="AE276" s="1333"/>
      <c r="AF276" s="1333"/>
      <c r="AG276" s="1333"/>
      <c r="AH276" s="1333"/>
      <c r="AI276" s="1333"/>
      <c r="AV276"/>
      <c r="AW276"/>
    </row>
    <row r="277" spans="1:49" ht="15" customHeight="1" x14ac:dyDescent="0.25">
      <c r="A277" s="1504" t="str">
        <f>IF(SD_apply="Yes",IF(COUNTIF('01 - SD'!D277:G277,"Y")&gt;0,"Y",IF(COUNTIF('01 - SD'!D277:G277,"N"),"N","")),"")</f>
        <v>N</v>
      </c>
      <c r="B277" s="18"/>
      <c r="C277" s="945"/>
      <c r="D277" s="116"/>
      <c r="E277" s="321"/>
      <c r="F277" s="559" t="str">
        <f>IF('C-Design&amp;Const'!$K277="","",'C-Design&amp;Const'!$K277)</f>
        <v>Y</v>
      </c>
      <c r="G277" s="485"/>
      <c r="H277" s="243" t="str">
        <f>CONCATENATE(IF(F277="N","PLACEHOLDER ROW - ",""),'C-Design&amp;Const'!Z277,IF(F277="N","",J277))</f>
        <v>Plumbing Details and Sections (Preliminary)</v>
      </c>
      <c r="I277" s="137"/>
      <c r="J277" s="578" t="str">
        <f>IF('C-Design&amp;Const'!AF277="","",'C-Design&amp;Const'!AF277)</f>
        <v>(Preliminary)</v>
      </c>
      <c r="K277" s="25" t="str">
        <f>IF(DD_apply="Yes",IF((COUNTIF(D277:G277,"Y")=COUNTIF('01 - SD'!D277:G277,"Y")),"match","no SD match"),"-")</f>
        <v>no SD match</v>
      </c>
      <c r="L277" s="1410" t="str">
        <f t="shared" si="15"/>
        <v/>
      </c>
      <c r="M277" s="1333"/>
      <c r="N277" s="1333"/>
      <c r="O277" s="1333"/>
      <c r="P277" s="1333"/>
      <c r="Q277" s="1333"/>
      <c r="R277" s="1453"/>
      <c r="S277" s="1284"/>
      <c r="T277" s="1284"/>
      <c r="U277" s="1333"/>
      <c r="V277" s="1333"/>
      <c r="W277" s="1333"/>
      <c r="X277" s="1333"/>
      <c r="Y277" s="1333"/>
      <c r="Z277" s="1333"/>
      <c r="AA277" s="1333"/>
      <c r="AB277" s="1333"/>
      <c r="AC277" s="1333"/>
      <c r="AD277" s="1333"/>
      <c r="AE277" s="1333"/>
      <c r="AF277" s="1333"/>
      <c r="AG277" s="1333"/>
      <c r="AH277" s="1333"/>
      <c r="AI277" s="1333"/>
      <c r="AV277"/>
      <c r="AW277"/>
    </row>
    <row r="278" spans="1:49" ht="15" customHeight="1" x14ac:dyDescent="0.25">
      <c r="A278" s="1504" t="str">
        <f>IF(SD_apply="Yes",IF(COUNTIF('01 - SD'!D278:G278,"Y")&gt;0,"Y",IF(COUNTIF('01 - SD'!D278:G278,"N"),"N","")),"")</f>
        <v>N</v>
      </c>
      <c r="B278" s="18"/>
      <c r="C278" s="945"/>
      <c r="D278" s="116"/>
      <c r="E278" s="321"/>
      <c r="F278" s="559" t="str">
        <f>IF('C-Design&amp;Const'!$K278="","",'C-Design&amp;Const'!$K278)</f>
        <v>Y</v>
      </c>
      <c r="G278" s="485"/>
      <c r="H278" s="243" t="str">
        <f>CONCATENATE(IF(F278="N","PLACEHOLDER ROW - ",""),'C-Design&amp;Const'!Z278,IF(F278="N","",J278))</f>
        <v>Plumbing Fixture Schedule (Preliminary)</v>
      </c>
      <c r="I278" s="137"/>
      <c r="J278" s="578" t="str">
        <f>IF('C-Design&amp;Const'!AF278="","",'C-Design&amp;Const'!AF278)</f>
        <v>(Preliminary)</v>
      </c>
      <c r="K278" s="25" t="str">
        <f>IF(DD_apply="Yes",IF((COUNTIF(D278:G278,"Y")=COUNTIF('01 - SD'!D278:G278,"Y")),"match","no SD match"),"-")</f>
        <v>no SD match</v>
      </c>
      <c r="L278" s="1410" t="str">
        <f t="shared" si="15"/>
        <v/>
      </c>
      <c r="M278" s="1333"/>
      <c r="N278" s="1333"/>
      <c r="O278" s="1333"/>
      <c r="P278" s="1333"/>
      <c r="Q278" s="1333"/>
      <c r="R278" s="1453"/>
      <c r="S278" s="1284"/>
      <c r="T278" s="1284"/>
      <c r="U278" s="1333"/>
      <c r="V278" s="1333"/>
      <c r="W278" s="1333"/>
      <c r="X278" s="1333"/>
      <c r="Y278" s="1333"/>
      <c r="Z278" s="1333"/>
      <c r="AA278" s="1333"/>
      <c r="AB278" s="1333"/>
      <c r="AC278" s="1333"/>
      <c r="AD278" s="1333"/>
      <c r="AE278" s="1333"/>
      <c r="AF278" s="1333"/>
      <c r="AG278" s="1333"/>
      <c r="AH278" s="1333"/>
      <c r="AI278" s="1333"/>
      <c r="AV278"/>
      <c r="AW278"/>
    </row>
    <row r="279" spans="1:49" ht="15" customHeight="1" x14ac:dyDescent="0.25">
      <c r="A279" s="1502" t="str">
        <f>IF(SD_apply="Yes",IF(COUNTIF('01 - SD'!D279:G279,"Y")&gt;0,"Y",IF(COUNTIF('01 - SD'!D279:G279,"N"),"N","")),"")</f>
        <v>Y</v>
      </c>
      <c r="B279" s="18"/>
      <c r="C279" s="945"/>
      <c r="D279" s="116"/>
      <c r="E279" s="559" t="str">
        <f>IF('C-Design&amp;Const'!$K279="","",'C-Design&amp;Const'!$K279)</f>
        <v>Y</v>
      </c>
      <c r="F279" s="478"/>
      <c r="G279" s="485"/>
      <c r="H279" s="244" t="str">
        <f>CONCATENATE(IF(F279="N","PLACEHOLDER ROW - ",""),'C-Design&amp;Const'!Z279,IF(F279="N","",J279))</f>
        <v>Fire Protection / Fire Suppression Drawings</v>
      </c>
      <c r="I279" s="146"/>
      <c r="J279" s="578" t="str">
        <f>IF('C-Design&amp;Const'!AF279="","",'C-Design&amp;Const'!AF279)</f>
        <v/>
      </c>
      <c r="K279" s="25" t="str">
        <f>IF(DD_apply="Yes",IF((COUNTIF(D279:G279,"Y")=COUNTIF('01 - SD'!D279:G279,"Y")),"match","no SD match"),"-")</f>
        <v>match</v>
      </c>
      <c r="L279" s="1410" t="str">
        <f t="shared" si="15"/>
        <v/>
      </c>
      <c r="M279" s="1333"/>
      <c r="N279" s="1333"/>
      <c r="O279" s="1333"/>
      <c r="P279" s="1333"/>
      <c r="Q279" s="1333"/>
      <c r="R279" s="1284"/>
      <c r="S279" s="1489"/>
      <c r="T279" s="1284"/>
      <c r="U279" s="1333"/>
      <c r="V279" s="1333"/>
      <c r="W279" s="1333"/>
      <c r="X279" s="1333"/>
      <c r="Y279" s="1333"/>
      <c r="Z279" s="1333"/>
      <c r="AA279" s="1333"/>
      <c r="AB279" s="1333"/>
      <c r="AC279" s="1333"/>
      <c r="AD279" s="1333"/>
      <c r="AE279" s="1333"/>
      <c r="AF279" s="1333"/>
      <c r="AG279" s="1333"/>
      <c r="AH279" s="1333"/>
      <c r="AI279" s="1333"/>
      <c r="AV279"/>
      <c r="AW279"/>
    </row>
    <row r="280" spans="1:49" ht="15" customHeight="1" x14ac:dyDescent="0.25">
      <c r="A280" s="1504" t="str">
        <f>IF(SD_apply="Yes",IF(COUNTIF('01 - SD'!D280:G280,"Y")&gt;0,"Y",IF(COUNTIF('01 - SD'!D280:G280,"N"),"N","")),"")</f>
        <v>N</v>
      </c>
      <c r="B280" s="18"/>
      <c r="C280" s="945"/>
      <c r="D280" s="116"/>
      <c r="E280" s="321"/>
      <c r="F280" s="559" t="str">
        <f>IF('C-Design&amp;Const'!$K280="","",'C-Design&amp;Const'!$K280)</f>
        <v>N</v>
      </c>
      <c r="G280" s="491"/>
      <c r="H280" s="243" t="str">
        <f>CONCATENATE(IF(F280="N","PLACEHOLDER ROW - ",""),'C-Design&amp;Const'!Z280,IF(F280="N","",J280))</f>
        <v xml:space="preserve">PLACEHOLDER ROW - CUSTOM - Fire Suppression  </v>
      </c>
      <c r="I280" s="137"/>
      <c r="J280" s="578" t="str">
        <f>IF('C-Design&amp;Const'!AF280="","",'C-Design&amp;Const'!AF280)</f>
        <v>(Approx. 50% Complete)</v>
      </c>
      <c r="K280" s="25" t="str">
        <f>IF(DD_apply="Yes",IF((COUNTIF(D280:G280,"Y")=COUNTIF('01 - SD'!D280:G280,"Y")),"match","no SD match"),"-")</f>
        <v>match</v>
      </c>
      <c r="L280" s="1410" t="str">
        <f t="shared" si="15"/>
        <v>&lt;---PM/Planner may hide PLACEHOLDER ROW</v>
      </c>
      <c r="M280" s="1333"/>
      <c r="N280" s="1333"/>
      <c r="O280" s="1333"/>
      <c r="P280" s="1333"/>
      <c r="Q280" s="1333"/>
      <c r="R280" s="1453"/>
      <c r="S280" s="1284"/>
      <c r="T280" s="1284"/>
      <c r="U280" s="1333"/>
      <c r="V280" s="1333"/>
      <c r="W280" s="1333"/>
      <c r="X280" s="1333"/>
      <c r="Y280" s="1333"/>
      <c r="Z280" s="1333"/>
      <c r="AA280" s="1333"/>
      <c r="AB280" s="1333"/>
      <c r="AC280" s="1333"/>
      <c r="AD280" s="1333"/>
      <c r="AE280" s="1333"/>
      <c r="AF280" s="1333"/>
      <c r="AG280" s="1333"/>
      <c r="AH280" s="1333"/>
      <c r="AI280" s="1333"/>
      <c r="AV280"/>
      <c r="AW280"/>
    </row>
    <row r="281" spans="1:49" ht="15" customHeight="1" x14ac:dyDescent="0.25">
      <c r="A281" s="1504" t="str">
        <f>IF(SD_apply="Yes",IF(COUNTIF('01 - SD'!D281:G281,"Y")&gt;0,"Y",IF(COUNTIF('01 - SD'!D281:G281,"N"),"N","")),"")</f>
        <v>N</v>
      </c>
      <c r="B281" s="18"/>
      <c r="C281" s="945"/>
      <c r="D281" s="116"/>
      <c r="E281" s="321"/>
      <c r="F281" s="559" t="str">
        <f>IF('C-Design&amp;Const'!$K281="","",'C-Design&amp;Const'!$K281)</f>
        <v>N</v>
      </c>
      <c r="G281" s="491"/>
      <c r="H281" s="243" t="str">
        <f>CONCATENATE(IF(F281="N","PLACEHOLDER ROW - ",""),'C-Design&amp;Const'!Z281,IF(F281="N","",J281))</f>
        <v xml:space="preserve">PLACEHOLDER ROW - CUSTOM - Fire Suppression  </v>
      </c>
      <c r="I281" s="137"/>
      <c r="J281" s="578" t="str">
        <f>IF('C-Design&amp;Const'!AF281="","",'C-Design&amp;Const'!AF281)</f>
        <v>(Approx. 50% Complete)</v>
      </c>
      <c r="K281" s="25" t="str">
        <f>IF(DD_apply="Yes",IF((COUNTIF(D281:G281,"Y")=COUNTIF('01 - SD'!D281:G281,"Y")),"match","no SD match"),"-")</f>
        <v>match</v>
      </c>
      <c r="L281" s="1410" t="str">
        <f t="shared" si="15"/>
        <v>&lt;---PM/Planner may hide PLACEHOLDER ROW</v>
      </c>
      <c r="M281" s="1333"/>
      <c r="N281" s="1333"/>
      <c r="O281" s="1333"/>
      <c r="P281" s="1333"/>
      <c r="Q281" s="1333"/>
      <c r="R281" s="1453"/>
      <c r="S281" s="1284"/>
      <c r="T281" s="1284"/>
      <c r="U281" s="1333"/>
      <c r="V281" s="1333"/>
      <c r="W281" s="1333"/>
      <c r="X281" s="1333"/>
      <c r="Y281" s="1333"/>
      <c r="Z281" s="1333"/>
      <c r="AA281" s="1333"/>
      <c r="AB281" s="1333"/>
      <c r="AC281" s="1333"/>
      <c r="AD281" s="1333"/>
      <c r="AE281" s="1333"/>
      <c r="AF281" s="1333"/>
      <c r="AG281" s="1333"/>
      <c r="AH281" s="1333"/>
      <c r="AI281" s="1333"/>
      <c r="AV281"/>
      <c r="AW281"/>
    </row>
    <row r="282" spans="1:49" ht="15" customHeight="1" x14ac:dyDescent="0.25">
      <c r="A282" s="1504" t="str">
        <f>IF(SD_apply="Yes",IF(COUNTIF('01 - SD'!D282:G282,"Y")&gt;0,"Y",IF(COUNTIF('01 - SD'!D282:G282,"N"),"N","")),"")</f>
        <v>Y</v>
      </c>
      <c r="B282" s="18"/>
      <c r="C282" s="945"/>
      <c r="D282" s="116"/>
      <c r="E282" s="321"/>
      <c r="F282" s="559" t="str">
        <f>IF('C-Design&amp;Const'!$K282="","",'C-Design&amp;Const'!$K282)</f>
        <v>Y</v>
      </c>
      <c r="G282" s="485"/>
      <c r="H282" s="243" t="str">
        <f>CONCATENATE(IF(F282="N","PLACEHOLDER ROW - ",""),'C-Design&amp;Const'!Z282,IF(F282="N","",J282))</f>
        <v>Sprinkler System Symbols, Abbreviations, and General Notes (Complete)</v>
      </c>
      <c r="I282" s="137"/>
      <c r="J282" s="578" t="str">
        <f>IF('C-Design&amp;Const'!AF282="","",'C-Design&amp;Const'!AF282)</f>
        <v>(Complete)</v>
      </c>
      <c r="K282" s="25" t="str">
        <f>IF(DD_apply="Yes",IF((COUNTIF(D282:G282,"Y")=COUNTIF('01 - SD'!D282:G282,"Y")),"match","no SD match"),"-")</f>
        <v>match</v>
      </c>
      <c r="L282" s="1410" t="str">
        <f t="shared" si="15"/>
        <v/>
      </c>
      <c r="M282" s="1333"/>
      <c r="N282" s="1333"/>
      <c r="O282" s="1333"/>
      <c r="P282" s="1333"/>
      <c r="Q282" s="1333"/>
      <c r="R282" s="1453"/>
      <c r="S282" s="1333"/>
      <c r="T282" s="1284"/>
      <c r="U282" s="1333"/>
      <c r="V282" s="1333"/>
      <c r="W282" s="1333"/>
      <c r="X282" s="1333"/>
      <c r="Y282" s="1333"/>
      <c r="Z282" s="1333"/>
      <c r="AA282" s="1333"/>
      <c r="AB282" s="1333"/>
      <c r="AC282" s="1333"/>
      <c r="AD282" s="1333"/>
      <c r="AE282" s="1333"/>
      <c r="AF282" s="1333"/>
      <c r="AG282" s="1333"/>
      <c r="AH282" s="1333"/>
      <c r="AI282" s="1333"/>
      <c r="AV282"/>
      <c r="AW282"/>
    </row>
    <row r="283" spans="1:49" s="542" customFormat="1" ht="15" customHeight="1" x14ac:dyDescent="0.25">
      <c r="A283" s="1504" t="str">
        <f>IF(SD_apply="Yes",IF(COUNTIF('01 - SD'!D283:G283,"Y")&gt;0,"Y",IF(COUNTIF('01 - SD'!D283:G283,"N"),"N","")),"")</f>
        <v>N</v>
      </c>
      <c r="B283" s="18"/>
      <c r="C283" s="945"/>
      <c r="D283" s="116"/>
      <c r="E283" s="321"/>
      <c r="F283" s="559" t="str">
        <f>IF('C-Design&amp;Const'!$K283="","",'C-Design&amp;Const'!$K283)</f>
        <v>Y</v>
      </c>
      <c r="G283" s="485"/>
      <c r="H283" s="243" t="str">
        <f>CONCATENATE(IF(F283="N","PLACEHOLDER ROW - ",""),'C-Design&amp;Const'!Z283,IF(F283="N","",J283))</f>
        <v>Sprinkler System Demolition(s) (Approx. 50% Complete)</v>
      </c>
      <c r="I283" s="137"/>
      <c r="J283" s="578" t="str">
        <f>IF('C-Design&amp;Const'!AF283="","",'C-Design&amp;Const'!AF283)</f>
        <v>(Approx. 50% Complete)</v>
      </c>
      <c r="K283" s="25" t="str">
        <f>IF(DD_apply="Yes",IF((COUNTIF(D283:G283,"Y")=COUNTIF('01 - SD'!D283:G283,"Y")),"match","no SD match"),"-")</f>
        <v>no SD match</v>
      </c>
      <c r="L283" s="1410" t="str">
        <f>CONCATENATE(IF(ISNUMBER(SEARCH("Placeholder",H283))=TRUE,"&lt;---PM/Planner may hide PLACEHOLDER ROW",""))</f>
        <v/>
      </c>
      <c r="M283" s="1333"/>
      <c r="N283" s="1333"/>
      <c r="O283" s="1333"/>
      <c r="P283" s="1333"/>
      <c r="Q283" s="1333"/>
      <c r="R283" s="1453"/>
      <c r="S283" s="1284"/>
      <c r="T283" s="1284"/>
      <c r="U283" s="1333"/>
      <c r="V283" s="1333"/>
      <c r="W283" s="1333"/>
      <c r="X283" s="1333"/>
      <c r="Y283" s="1333"/>
      <c r="Z283" s="1333"/>
      <c r="AA283" s="1333"/>
      <c r="AB283" s="1333"/>
      <c r="AC283" s="1333"/>
      <c r="AD283" s="1333"/>
      <c r="AE283" s="1333"/>
      <c r="AF283" s="1333"/>
      <c r="AG283" s="1333"/>
      <c r="AH283" s="1333"/>
      <c r="AI283" s="1333"/>
      <c r="AJ283" s="17"/>
      <c r="AK283" s="17"/>
      <c r="AL283" s="17"/>
      <c r="AM283" s="17"/>
      <c r="AN283" s="17"/>
      <c r="AO283" s="17"/>
      <c r="AP283" s="17"/>
      <c r="AQ283" s="17"/>
      <c r="AR283" s="17"/>
      <c r="AS283" s="17"/>
      <c r="AT283" s="17"/>
      <c r="AU283" s="17"/>
    </row>
    <row r="284" spans="1:49" ht="15" customHeight="1" x14ac:dyDescent="0.25">
      <c r="A284" s="1504" t="str">
        <f>IF(SD_apply="Yes",IF(COUNTIF('01 - SD'!D284:G284,"Y")&gt;0,"Y",IF(COUNTIF('01 - SD'!D284:G284,"N"),"N","")),"")</f>
        <v>Y</v>
      </c>
      <c r="B284" s="18"/>
      <c r="C284" s="945"/>
      <c r="D284" s="116"/>
      <c r="E284" s="321"/>
      <c r="F284" s="559" t="str">
        <f>IF('C-Design&amp;Const'!$K284="","",'C-Design&amp;Const'!$K284)</f>
        <v>Y</v>
      </c>
      <c r="G284" s="485"/>
      <c r="H284" s="243" t="str">
        <f>CONCATENATE(IF(F284="N","PLACEHOLDER ROW - ",""),'C-Design&amp;Const'!Z284,IF(F284="N","",J284))</f>
        <v>Sprinkler System Floor Plans (Preliminary)</v>
      </c>
      <c r="I284" s="137"/>
      <c r="J284" s="578" t="str">
        <f>IF('C-Design&amp;Const'!AF284="","",'C-Design&amp;Const'!AF284)</f>
        <v>(Preliminary)</v>
      </c>
      <c r="K284" s="25" t="str">
        <f>IF(DD_apply="Yes",IF((COUNTIF(D284:G284,"Y")=COUNTIF('01 - SD'!D284:G284,"Y")),"match","no SD match"),"-")</f>
        <v>match</v>
      </c>
      <c r="L284" s="1410" t="str">
        <f t="shared" si="15"/>
        <v/>
      </c>
      <c r="M284" s="1333"/>
      <c r="N284" s="1333"/>
      <c r="O284" s="1333"/>
      <c r="P284" s="1333"/>
      <c r="Q284" s="1333"/>
      <c r="R284" s="1453"/>
      <c r="S284" s="1333"/>
      <c r="T284" s="1284"/>
      <c r="U284" s="1333"/>
      <c r="V284" s="1333"/>
      <c r="W284" s="1333"/>
      <c r="X284" s="1333"/>
      <c r="Y284" s="1333"/>
      <c r="Z284" s="1333"/>
      <c r="AA284" s="1333"/>
      <c r="AB284" s="1333"/>
      <c r="AC284" s="1333"/>
      <c r="AD284" s="1333"/>
      <c r="AE284" s="1333"/>
      <c r="AF284" s="1333"/>
      <c r="AG284" s="1333"/>
      <c r="AH284" s="1333"/>
      <c r="AI284" s="1333"/>
      <c r="AV284"/>
      <c r="AW284"/>
    </row>
    <row r="285" spans="1:49" ht="15" customHeight="1" x14ac:dyDescent="0.25">
      <c r="A285" s="1504" t="str">
        <f>IF(SD_apply="Yes",IF(COUNTIF('01 - SD'!D285:G285,"Y")&gt;0,"Y",IF(COUNTIF('01 - SD'!D285:G285,"N"),"N","")),"")</f>
        <v>N</v>
      </c>
      <c r="B285" s="18"/>
      <c r="C285" s="945"/>
      <c r="D285" s="116"/>
      <c r="E285" s="321"/>
      <c r="F285" s="559" t="str">
        <f>IF('C-Design&amp;Const'!$K285="","",'C-Design&amp;Const'!$K285)</f>
        <v>Y</v>
      </c>
      <c r="G285" s="485"/>
      <c r="H285" s="243" t="str">
        <f>CONCATENATE(IF(F285="N","PLACEHOLDER ROW - ",""),'C-Design&amp;Const'!Z285,IF(F285="N","",J285))</f>
        <v>Sprinkler System Flow and Riser Diagrams (Substantially Complete)</v>
      </c>
      <c r="I285" s="137"/>
      <c r="J285" s="578" t="str">
        <f>IF('C-Design&amp;Const'!AF285="","",'C-Design&amp;Const'!AF285)</f>
        <v>(Substantially Complete)</v>
      </c>
      <c r="K285" s="25" t="str">
        <f>IF(DD_apply="Yes",IF((COUNTIF(D285:G285,"Y")=COUNTIF('01 - SD'!D285:G285,"Y")),"match","no SD match"),"-")</f>
        <v>no SD match</v>
      </c>
      <c r="L285" s="1410" t="str">
        <f t="shared" si="15"/>
        <v/>
      </c>
      <c r="M285" s="1333"/>
      <c r="N285" s="1333"/>
      <c r="O285" s="1333"/>
      <c r="P285" s="1333"/>
      <c r="Q285" s="1333"/>
      <c r="R285" s="1453"/>
      <c r="S285" s="1333"/>
      <c r="T285" s="1284"/>
      <c r="U285" s="1333"/>
      <c r="V285" s="1333"/>
      <c r="W285" s="1333"/>
      <c r="X285" s="1333"/>
      <c r="Y285" s="1333"/>
      <c r="Z285" s="1333"/>
      <c r="AA285" s="1333"/>
      <c r="AB285" s="1333"/>
      <c r="AC285" s="1333"/>
      <c r="AD285" s="1333"/>
      <c r="AE285" s="1333"/>
      <c r="AF285" s="1333"/>
      <c r="AG285" s="1333"/>
      <c r="AH285" s="1333"/>
      <c r="AI285" s="1333"/>
      <c r="AV285"/>
      <c r="AW285"/>
    </row>
    <row r="286" spans="1:49" ht="15" customHeight="1" x14ac:dyDescent="0.25">
      <c r="A286" s="1504" t="str">
        <f>IF(SD_apply="Yes",IF(COUNTIF('01 - SD'!D286:G286,"Y")&gt;0,"Y",IF(COUNTIF('01 - SD'!D286:G286,"N"),"N","")),"")</f>
        <v>N</v>
      </c>
      <c r="B286" s="18"/>
      <c r="C286" s="945"/>
      <c r="D286" s="116"/>
      <c r="E286" s="321"/>
      <c r="F286" s="559" t="str">
        <f>IF('C-Design&amp;Const'!$K286="","",'C-Design&amp;Const'!$K286)</f>
        <v>Y</v>
      </c>
      <c r="G286" s="485"/>
      <c r="H286" s="243" t="str">
        <f>CONCATENATE(IF(F286="N","PLACEHOLDER ROW - ",""),'C-Design&amp;Const'!Z286,IF(F286="N","",J286))</f>
        <v>Sprinkler/Fire Pump Room Large Scale Plan (Preliminary)</v>
      </c>
      <c r="I286" s="137"/>
      <c r="J286" s="578" t="str">
        <f>IF('C-Design&amp;Const'!AF286="","",'C-Design&amp;Const'!AF286)</f>
        <v>(Preliminary)</v>
      </c>
      <c r="K286" s="25" t="str">
        <f>IF(DD_apply="Yes",IF((COUNTIF(D286:G286,"Y")=COUNTIF('01 - SD'!D286:G286,"Y")),"match","no SD match"),"-")</f>
        <v>no SD match</v>
      </c>
      <c r="L286" s="1410" t="str">
        <f t="shared" si="15"/>
        <v/>
      </c>
      <c r="M286" s="1333"/>
      <c r="N286" s="1333"/>
      <c r="O286" s="1333"/>
      <c r="P286" s="1333"/>
      <c r="Q286" s="1333"/>
      <c r="R286" s="1453"/>
      <c r="S286" s="1333"/>
      <c r="T286" s="1284"/>
      <c r="U286" s="1333"/>
      <c r="V286" s="1333"/>
      <c r="W286" s="1333"/>
      <c r="X286" s="1333"/>
      <c r="Y286" s="1333"/>
      <c r="Z286" s="1333"/>
      <c r="AA286" s="1333"/>
      <c r="AB286" s="1333"/>
      <c r="AC286" s="1333"/>
      <c r="AD286" s="1333"/>
      <c r="AE286" s="1333"/>
      <c r="AF286" s="1333"/>
      <c r="AG286" s="1333"/>
      <c r="AH286" s="1333"/>
      <c r="AI286" s="1333"/>
      <c r="AV286"/>
      <c r="AW286"/>
    </row>
    <row r="287" spans="1:49" ht="15" customHeight="1" x14ac:dyDescent="0.25">
      <c r="A287" s="1504" t="str">
        <f>IF(SD_apply="Yes",IF(COUNTIF('01 - SD'!D287:G287,"Y")&gt;0,"Y",IF(COUNTIF('01 - SD'!D287:G287,"N"),"N","")),"")</f>
        <v>N</v>
      </c>
      <c r="B287" s="18"/>
      <c r="C287" s="945"/>
      <c r="D287" s="116"/>
      <c r="E287" s="321"/>
      <c r="F287" s="559" t="str">
        <f>IF('C-Design&amp;Const'!$K287="","",'C-Design&amp;Const'!$K287)</f>
        <v>Y</v>
      </c>
      <c r="G287" s="485"/>
      <c r="H287" s="243" t="str">
        <f>CONCATENATE(IF(F287="N","PLACEHOLDER ROW - ",""),'C-Design&amp;Const'!Z287,IF(F287="N","",J287))</f>
        <v>Sprinkler System Equipment Schedule (Preliminary)</v>
      </c>
      <c r="I287" s="137"/>
      <c r="J287" s="578" t="str">
        <f>IF('C-Design&amp;Const'!AF287="","",'C-Design&amp;Const'!AF287)</f>
        <v>(Preliminary)</v>
      </c>
      <c r="K287" s="25" t="str">
        <f>IF(DD_apply="Yes",IF((COUNTIF(D287:G287,"Y")=COUNTIF('01 - SD'!D287:G287,"Y")),"match","no SD match"),"-")</f>
        <v>no SD match</v>
      </c>
      <c r="L287" s="1410" t="str">
        <f t="shared" si="15"/>
        <v/>
      </c>
      <c r="M287" s="1333"/>
      <c r="N287" s="1333"/>
      <c r="O287" s="1333"/>
      <c r="P287" s="1333"/>
      <c r="Q287" s="1333"/>
      <c r="R287" s="1453"/>
      <c r="S287" s="1333"/>
      <c r="T287" s="1284"/>
      <c r="U287" s="1333"/>
      <c r="V287" s="1333"/>
      <c r="W287" s="1333"/>
      <c r="X287" s="1333"/>
      <c r="Y287" s="1333"/>
      <c r="Z287" s="1333"/>
      <c r="AA287" s="1333"/>
      <c r="AB287" s="1333"/>
      <c r="AC287" s="1333"/>
      <c r="AD287" s="1333"/>
      <c r="AE287" s="1333"/>
      <c r="AF287" s="1333"/>
      <c r="AG287" s="1333"/>
      <c r="AH287" s="1333"/>
      <c r="AI287" s="1333"/>
      <c r="AV287"/>
      <c r="AW287"/>
    </row>
    <row r="288" spans="1:49" ht="15" customHeight="1" x14ac:dyDescent="0.25">
      <c r="A288" s="1504" t="str">
        <f>IF(SD_apply="Yes",IF(COUNTIF('01 - SD'!D288:G288,"Y")&gt;0,"Y",IF(COUNTIF('01 - SD'!D288:G288,"N"),"N","")),"")</f>
        <v>N</v>
      </c>
      <c r="B288" s="18"/>
      <c r="C288" s="945"/>
      <c r="D288" s="116"/>
      <c r="E288" s="321"/>
      <c r="F288" s="559" t="str">
        <f>IF('C-Design&amp;Const'!$K288="","",'C-Design&amp;Const'!$K288)</f>
        <v>N</v>
      </c>
      <c r="G288" s="485"/>
      <c r="H288" s="243" t="str">
        <f>CONCATENATE(IF(F288="N","PLACEHOLDER ROW - ",""),'C-Design&amp;Const'!Z288,IF(F288="N","",J288))</f>
        <v xml:space="preserve">PLACEHOLDER ROW - Sprinkler System Details and Sections </v>
      </c>
      <c r="I288" s="137"/>
      <c r="J288" s="578" t="str">
        <f>IF('C-Design&amp;Const'!AF288="","",'C-Design&amp;Const'!AF288)</f>
        <v>(Approx. 50% Complete)</v>
      </c>
      <c r="K288" s="25" t="str">
        <f>IF(DD_apply="Yes",IF((COUNTIF(D288:G288,"Y")=COUNTIF('01 - SD'!D288:G288,"Y")),"match","no SD match"),"-")</f>
        <v>match</v>
      </c>
      <c r="L288" s="1410" t="str">
        <f t="shared" si="15"/>
        <v>&lt;---PM/Planner may hide PLACEHOLDER ROW</v>
      </c>
      <c r="M288" s="1333"/>
      <c r="N288" s="1333"/>
      <c r="O288" s="1333"/>
      <c r="P288" s="1333"/>
      <c r="Q288" s="1333"/>
      <c r="R288" s="1453"/>
      <c r="S288" s="1333"/>
      <c r="T288" s="1284"/>
      <c r="U288" s="1333"/>
      <c r="V288" s="1333"/>
      <c r="W288" s="1333"/>
      <c r="X288" s="1333"/>
      <c r="Y288" s="1333"/>
      <c r="Z288" s="1333"/>
      <c r="AA288" s="1333"/>
      <c r="AB288" s="1333"/>
      <c r="AC288" s="1333"/>
      <c r="AD288" s="1333"/>
      <c r="AE288" s="1333"/>
      <c r="AF288" s="1333"/>
      <c r="AG288" s="1333"/>
      <c r="AH288" s="1333"/>
      <c r="AI288" s="1333"/>
      <c r="AV288"/>
      <c r="AW288"/>
    </row>
    <row r="289" spans="1:49" ht="15" customHeight="1" x14ac:dyDescent="0.25">
      <c r="A289" s="1502" t="str">
        <f>IF(SD_apply="Yes",IF(COUNTIF('01 - SD'!D289:G289,"Y")&gt;0,"Y",IF(COUNTIF('01 - SD'!D289:G289,"N"),"N","")),"")</f>
        <v>Y</v>
      </c>
      <c r="B289" s="18"/>
      <c r="C289" s="945"/>
      <c r="D289" s="116"/>
      <c r="E289" s="559" t="str">
        <f>IF('C-Design&amp;Const'!$K289="","",'C-Design&amp;Const'!$K289)</f>
        <v>Y</v>
      </c>
      <c r="F289" s="478"/>
      <c r="G289" s="485"/>
      <c r="H289" s="244" t="str">
        <f>CONCATENATE(IF(F289="N","PLACEHOLDER ROW - ",""),'C-Design&amp;Const'!Z289,IF(F289="N","",J289))</f>
        <v>Heating Drawings</v>
      </c>
      <c r="I289" s="146"/>
      <c r="J289" s="578" t="str">
        <f>IF('C-Design&amp;Const'!AF289="","",'C-Design&amp;Const'!AF289)</f>
        <v/>
      </c>
      <c r="K289" s="25" t="str">
        <f>IF(DD_apply="Yes",IF((COUNTIF(D289:G289,"Y")=COUNTIF('01 - SD'!D289:G289,"Y")),"match","no SD match"),"-")</f>
        <v>match</v>
      </c>
      <c r="L289" s="1410" t="str">
        <f t="shared" si="15"/>
        <v/>
      </c>
      <c r="M289" s="1333"/>
      <c r="N289" s="1333"/>
      <c r="O289" s="1333"/>
      <c r="P289" s="1333"/>
      <c r="Q289" s="1333"/>
      <c r="R289" s="1284"/>
      <c r="S289" s="1489"/>
      <c r="T289" s="1284"/>
      <c r="U289" s="1333"/>
      <c r="V289" s="1333"/>
      <c r="W289" s="1333"/>
      <c r="X289" s="1333"/>
      <c r="Y289" s="1333"/>
      <c r="Z289" s="1333"/>
      <c r="AA289" s="1333"/>
      <c r="AB289" s="1333"/>
      <c r="AC289" s="1333"/>
      <c r="AD289" s="1333"/>
      <c r="AE289" s="1333"/>
      <c r="AF289" s="1333"/>
      <c r="AG289" s="1333"/>
      <c r="AH289" s="1333"/>
      <c r="AI289" s="1333"/>
      <c r="AV289"/>
      <c r="AW289"/>
    </row>
    <row r="290" spans="1:49" ht="15" customHeight="1" x14ac:dyDescent="0.25">
      <c r="A290" s="1504" t="str">
        <f>IF(SD_apply="Yes",IF(COUNTIF('01 - SD'!D290:G290,"Y")&gt;0,"Y",IF(COUNTIF('01 - SD'!D290:G290,"N"),"N","")),"")</f>
        <v>N</v>
      </c>
      <c r="B290" s="18"/>
      <c r="C290" s="945"/>
      <c r="D290" s="116"/>
      <c r="E290" s="321"/>
      <c r="F290" s="559" t="str">
        <f>IF('C-Design&amp;Const'!$K290="","",'C-Design&amp;Const'!$K290)</f>
        <v>N</v>
      </c>
      <c r="G290" s="491"/>
      <c r="H290" s="243" t="str">
        <f>CONCATENATE(IF(F290="N","PLACEHOLDER ROW - ",""),'C-Design&amp;Const'!Z290,IF(F290="N","",J290))</f>
        <v xml:space="preserve">PLACEHOLDER ROW - CUSTOM - Heating  </v>
      </c>
      <c r="I290" s="137"/>
      <c r="J290" s="578" t="str">
        <f>IF('C-Design&amp;Const'!AF290="","",'C-Design&amp;Const'!AF290)</f>
        <v>(Approx. 50% Complete)</v>
      </c>
      <c r="K290" s="25" t="str">
        <f>IF(DD_apply="Yes",IF((COUNTIF(D290:G290,"Y")=COUNTIF('01 - SD'!D290:G290,"Y")),"match","no SD match"),"-")</f>
        <v>match</v>
      </c>
      <c r="L290" s="1410" t="str">
        <f t="shared" si="15"/>
        <v>&lt;---PM/Planner may hide PLACEHOLDER ROW</v>
      </c>
      <c r="M290" s="1333"/>
      <c r="N290" s="1333"/>
      <c r="O290" s="1333"/>
      <c r="P290" s="1333"/>
      <c r="Q290" s="1333"/>
      <c r="R290" s="1453"/>
      <c r="S290" s="1284"/>
      <c r="T290" s="1284"/>
      <c r="U290" s="1333"/>
      <c r="V290" s="1333"/>
      <c r="W290" s="1333"/>
      <c r="X290" s="1333"/>
      <c r="Y290" s="1333"/>
      <c r="Z290" s="1333"/>
      <c r="AA290" s="1333"/>
      <c r="AB290" s="1333"/>
      <c r="AC290" s="1333"/>
      <c r="AD290" s="1333"/>
      <c r="AE290" s="1333"/>
      <c r="AF290" s="1333"/>
      <c r="AG290" s="1333"/>
      <c r="AH290" s="1333"/>
      <c r="AI290" s="1333"/>
      <c r="AV290"/>
      <c r="AW290"/>
    </row>
    <row r="291" spans="1:49" ht="15" customHeight="1" x14ac:dyDescent="0.25">
      <c r="A291" s="1504" t="str">
        <f>IF(SD_apply="Yes",IF(COUNTIF('01 - SD'!D291:G291,"Y")&gt;0,"Y",IF(COUNTIF('01 - SD'!D291:G291,"N"),"N","")),"")</f>
        <v>N</v>
      </c>
      <c r="B291" s="18"/>
      <c r="C291" s="945"/>
      <c r="D291" s="116"/>
      <c r="E291" s="321"/>
      <c r="F291" s="559" t="str">
        <f>IF('C-Design&amp;Const'!$K291="","",'C-Design&amp;Const'!$K291)</f>
        <v>N</v>
      </c>
      <c r="G291" s="491"/>
      <c r="H291" s="243" t="str">
        <f>CONCATENATE(IF(F291="N","PLACEHOLDER ROW - ",""),'C-Design&amp;Const'!Z291,IF(F291="N","",J291))</f>
        <v xml:space="preserve">PLACEHOLDER ROW - CUSTOM - Heating  </v>
      </c>
      <c r="I291" s="137"/>
      <c r="J291" s="578" t="str">
        <f>IF('C-Design&amp;Const'!AF291="","",'C-Design&amp;Const'!AF291)</f>
        <v>(Approx. 50% Complete)</v>
      </c>
      <c r="K291" s="25" t="str">
        <f>IF(DD_apply="Yes",IF((COUNTIF(D291:G291,"Y")=COUNTIF('01 - SD'!D291:G291,"Y")),"match","no SD match"),"-")</f>
        <v>match</v>
      </c>
      <c r="L291" s="1410" t="str">
        <f t="shared" si="15"/>
        <v>&lt;---PM/Planner may hide PLACEHOLDER ROW</v>
      </c>
      <c r="M291" s="1333"/>
      <c r="N291" s="1333"/>
      <c r="O291" s="1333"/>
      <c r="P291" s="1333"/>
      <c r="Q291" s="1333"/>
      <c r="R291" s="1453"/>
      <c r="S291" s="1284"/>
      <c r="T291" s="1284"/>
      <c r="U291" s="1333"/>
      <c r="V291" s="1333"/>
      <c r="W291" s="1333"/>
      <c r="X291" s="1333"/>
      <c r="Y291" s="1333"/>
      <c r="Z291" s="1333"/>
      <c r="AA291" s="1333"/>
      <c r="AB291" s="1333"/>
      <c r="AC291" s="1333"/>
      <c r="AD291" s="1333"/>
      <c r="AE291" s="1333"/>
      <c r="AF291" s="1333"/>
      <c r="AG291" s="1333"/>
      <c r="AH291" s="1333"/>
      <c r="AI291" s="1333"/>
      <c r="AV291"/>
      <c r="AW291"/>
    </row>
    <row r="292" spans="1:49" ht="15" customHeight="1" x14ac:dyDescent="0.25">
      <c r="A292" s="1504" t="str">
        <f>IF(SD_apply="Yes",IF(COUNTIF('01 - SD'!D292:G292,"Y")&gt;0,"Y",IF(COUNTIF('01 - SD'!D292:G292,"N"),"N","")),"")</f>
        <v>Y</v>
      </c>
      <c r="B292" s="18"/>
      <c r="C292" s="945"/>
      <c r="D292" s="116"/>
      <c r="E292" s="321"/>
      <c r="F292" s="559" t="str">
        <f>IF('C-Design&amp;Const'!$K292="","",'C-Design&amp;Const'!$K292)</f>
        <v>Y</v>
      </c>
      <c r="G292" s="485"/>
      <c r="H292" s="243" t="str">
        <f>CONCATENATE(IF(F292="N","PLACEHOLDER ROW - ",""),'C-Design&amp;Const'!Z292,IF(F292="N","",J292))</f>
        <v>Heating and A/C Symbols, Abbreviations, and General Notes (Complete)</v>
      </c>
      <c r="I292" s="137"/>
      <c r="J292" s="578" t="str">
        <f>IF('C-Design&amp;Const'!AF292="","",'C-Design&amp;Const'!AF292)</f>
        <v>(Complete)</v>
      </c>
      <c r="K292" s="25" t="str">
        <f>IF(DD_apply="Yes",IF((COUNTIF(D292:G292,"Y")=COUNTIF('01 - SD'!D292:G292,"Y")),"match","no SD match"),"-")</f>
        <v>match</v>
      </c>
      <c r="L292" s="1410" t="str">
        <f t="shared" si="15"/>
        <v/>
      </c>
      <c r="M292" s="1333"/>
      <c r="N292" s="1333"/>
      <c r="O292" s="1333"/>
      <c r="P292" s="1333"/>
      <c r="Q292" s="1333"/>
      <c r="R292" s="1453"/>
      <c r="S292" s="1284"/>
      <c r="T292" s="1284"/>
      <c r="U292" s="1333"/>
      <c r="V292" s="1333"/>
      <c r="W292" s="1333"/>
      <c r="X292" s="1333"/>
      <c r="Y292" s="1333"/>
      <c r="Z292" s="1333"/>
      <c r="AA292" s="1333"/>
      <c r="AB292" s="1333"/>
      <c r="AC292" s="1333"/>
      <c r="AD292" s="1333"/>
      <c r="AE292" s="1333"/>
      <c r="AF292" s="1333"/>
      <c r="AG292" s="1333"/>
      <c r="AH292" s="1333"/>
      <c r="AI292" s="1333"/>
      <c r="AV292"/>
      <c r="AW292"/>
    </row>
    <row r="293" spans="1:49" s="542" customFormat="1" ht="15" customHeight="1" x14ac:dyDescent="0.25">
      <c r="A293" s="1504" t="str">
        <f>IF(SD_apply="Yes",IF(COUNTIF('01 - SD'!D293:G293,"Y")&gt;0,"Y",IF(COUNTIF('01 - SD'!D293:G293,"N"),"N","")),"")</f>
        <v>N</v>
      </c>
      <c r="B293" s="18"/>
      <c r="C293" s="945"/>
      <c r="D293" s="116"/>
      <c r="E293" s="321"/>
      <c r="F293" s="559" t="str">
        <f>IF('C-Design&amp;Const'!$K293="","",'C-Design&amp;Const'!$K293)</f>
        <v>Y</v>
      </c>
      <c r="G293" s="485"/>
      <c r="H293" s="243" t="str">
        <f>CONCATENATE(IF(F293="N","PLACEHOLDER ROW - ",""),'C-Design&amp;Const'!Z293,IF(F293="N","",J293))</f>
        <v>Heating and A/C Demolition(s) (Approx. 50% Complete)</v>
      </c>
      <c r="I293" s="137"/>
      <c r="J293" s="578" t="str">
        <f>IF('C-Design&amp;Const'!AF293="","",'C-Design&amp;Const'!AF293)</f>
        <v>(Approx. 50% Complete)</v>
      </c>
      <c r="K293" s="25" t="str">
        <f>IF(DD_apply="Yes",IF((COUNTIF(D293:G293,"Y")=COUNTIF('01 - SD'!D293:G293,"Y")),"match","no SD match"),"-")</f>
        <v>no SD match</v>
      </c>
      <c r="L293" s="1410" t="str">
        <f>CONCATENATE(IF(ISNUMBER(SEARCH("Placeholder",H293))=TRUE,"&lt;---PM/Planner may hide PLACEHOLDER ROW",""))</f>
        <v/>
      </c>
      <c r="M293" s="1333"/>
      <c r="N293" s="1333"/>
      <c r="O293" s="1333"/>
      <c r="P293" s="1333"/>
      <c r="Q293" s="1333"/>
      <c r="R293" s="1453"/>
      <c r="S293" s="1284"/>
      <c r="T293" s="1284"/>
      <c r="U293" s="1333"/>
      <c r="V293" s="1333"/>
      <c r="W293" s="1333"/>
      <c r="X293" s="1333"/>
      <c r="Y293" s="1333"/>
      <c r="Z293" s="1333"/>
      <c r="AA293" s="1333"/>
      <c r="AB293" s="1333"/>
      <c r="AC293" s="1333"/>
      <c r="AD293" s="1333"/>
      <c r="AE293" s="1333"/>
      <c r="AF293" s="1333"/>
      <c r="AG293" s="1333"/>
      <c r="AH293" s="1333"/>
      <c r="AI293" s="1333"/>
      <c r="AJ293" s="17"/>
      <c r="AK293" s="17"/>
      <c r="AL293" s="17"/>
      <c r="AM293" s="17"/>
      <c r="AN293" s="17"/>
      <c r="AO293" s="17"/>
      <c r="AP293" s="17"/>
      <c r="AQ293" s="17"/>
      <c r="AR293" s="17"/>
      <c r="AS293" s="17"/>
      <c r="AT293" s="17"/>
      <c r="AU293" s="17"/>
    </row>
    <row r="294" spans="1:49" ht="15" customHeight="1" x14ac:dyDescent="0.25">
      <c r="A294" s="1504" t="str">
        <f>IF(SD_apply="Yes",IF(COUNTIF('01 - SD'!D294:G294,"Y")&gt;0,"Y",IF(COUNTIF('01 - SD'!D294:G294,"N"),"N","")),"")</f>
        <v>Y</v>
      </c>
      <c r="B294" s="18"/>
      <c r="C294" s="945"/>
      <c r="D294" s="116"/>
      <c r="E294" s="321"/>
      <c r="F294" s="559" t="str">
        <f>IF('C-Design&amp;Const'!$K294="","",'C-Design&amp;Const'!$K294)</f>
        <v>Y</v>
      </c>
      <c r="G294" s="485"/>
      <c r="H294" s="243" t="str">
        <f>CONCATENATE(IF(F294="N","PLACEHOLDER ROW - ",""),'C-Design&amp;Const'!Z294,IF(F294="N","",J294))</f>
        <v>Heating and A/C Floor Plans (Preliminary)</v>
      </c>
      <c r="I294" s="137"/>
      <c r="J294" s="578" t="str">
        <f>IF('C-Design&amp;Const'!AF294="","",'C-Design&amp;Const'!AF294)</f>
        <v>(Preliminary)</v>
      </c>
      <c r="K294" s="25" t="str">
        <f>IF(DD_apply="Yes",IF((COUNTIF(D294:G294,"Y")=COUNTIF('01 - SD'!D294:G294,"Y")),"match","no SD match"),"-")</f>
        <v>match</v>
      </c>
      <c r="L294" s="1410" t="str">
        <f t="shared" si="15"/>
        <v/>
      </c>
      <c r="M294" s="1333"/>
      <c r="N294" s="1333"/>
      <c r="O294" s="1333"/>
      <c r="P294" s="1333"/>
      <c r="Q294" s="1333"/>
      <c r="R294" s="1453"/>
      <c r="S294" s="1284"/>
      <c r="T294" s="1284"/>
      <c r="U294" s="1333"/>
      <c r="V294" s="1333"/>
      <c r="W294" s="1333"/>
      <c r="X294" s="1333"/>
      <c r="Y294" s="1333"/>
      <c r="Z294" s="1333"/>
      <c r="AA294" s="1333"/>
      <c r="AB294" s="1333"/>
      <c r="AC294" s="1333"/>
      <c r="AD294" s="1333"/>
      <c r="AE294" s="1333"/>
      <c r="AF294" s="1333"/>
      <c r="AG294" s="1333"/>
      <c r="AH294" s="1333"/>
      <c r="AI294" s="1333"/>
      <c r="AV294"/>
      <c r="AW294"/>
    </row>
    <row r="295" spans="1:49" ht="15" customHeight="1" x14ac:dyDescent="0.25">
      <c r="A295" s="1504" t="str">
        <f>IF(SD_apply="Yes",IF(COUNTIF('01 - SD'!D295:G295,"Y")&gt;0,"Y",IF(COUNTIF('01 - SD'!D295:G295,"N"),"N","")),"")</f>
        <v>N</v>
      </c>
      <c r="B295" s="18"/>
      <c r="C295" s="945"/>
      <c r="D295" s="116"/>
      <c r="E295" s="321"/>
      <c r="F295" s="559" t="str">
        <f>IF('C-Design&amp;Const'!$K295="","",'C-Design&amp;Const'!$K295)</f>
        <v>Y</v>
      </c>
      <c r="G295" s="485"/>
      <c r="H295" s="243" t="str">
        <f>CONCATENATE(IF(F295="N","PLACEHOLDER ROW - ",""),'C-Design&amp;Const'!Z295,IF(F295="N","",J295))</f>
        <v>Heating and Cooling Piping Isometrics/Flow Diagrams (Substantially Complete)</v>
      </c>
      <c r="I295" s="137"/>
      <c r="J295" s="578" t="str">
        <f>IF('C-Design&amp;Const'!AF295="","",'C-Design&amp;Const'!AF295)</f>
        <v>(Substantially Complete)</v>
      </c>
      <c r="K295" s="25" t="str">
        <f>IF(DD_apply="Yes",IF((COUNTIF(D295:G295,"Y")=COUNTIF('01 - SD'!D295:G295,"Y")),"match","no SD match"),"-")</f>
        <v>no SD match</v>
      </c>
      <c r="L295" s="1410" t="str">
        <f t="shared" si="15"/>
        <v/>
      </c>
      <c r="M295" s="1333"/>
      <c r="N295" s="1333"/>
      <c r="O295" s="1333"/>
      <c r="P295" s="1333"/>
      <c r="Q295" s="1333"/>
      <c r="R295" s="1453"/>
      <c r="S295" s="1284"/>
      <c r="T295" s="1284"/>
      <c r="U295" s="1333"/>
      <c r="V295" s="1333"/>
      <c r="W295" s="1333"/>
      <c r="X295" s="1333"/>
      <c r="Y295" s="1333"/>
      <c r="Z295" s="1333"/>
      <c r="AA295" s="1333"/>
      <c r="AB295" s="1333"/>
      <c r="AC295" s="1333"/>
      <c r="AD295" s="1333"/>
      <c r="AE295" s="1333"/>
      <c r="AF295" s="1333"/>
      <c r="AG295" s="1333"/>
      <c r="AH295" s="1333"/>
      <c r="AI295" s="1333"/>
      <c r="AV295"/>
      <c r="AW295"/>
    </row>
    <row r="296" spans="1:49" ht="15" customHeight="1" x14ac:dyDescent="0.25">
      <c r="A296" s="1504" t="str">
        <f>IF(SD_apply="Yes",IF(COUNTIF('01 - SD'!D296:G296,"Y")&gt;0,"Y",IF(COUNTIF('01 - SD'!D296:G296,"N"),"N","")),"")</f>
        <v>N</v>
      </c>
      <c r="B296" s="18"/>
      <c r="C296" s="945"/>
      <c r="D296" s="116"/>
      <c r="E296" s="321"/>
      <c r="F296" s="559" t="str">
        <f>IF('C-Design&amp;Const'!$K296="","",'C-Design&amp;Const'!$K296)</f>
        <v>Y</v>
      </c>
      <c r="G296" s="485"/>
      <c r="H296" s="243" t="str">
        <f>CONCATENATE(IF(F296="N","PLACEHOLDER ROW - ",""),'C-Design&amp;Const'!Z296,IF(F296="N","",J296))</f>
        <v>Heating and A/C Large Scale Mechanical Room Plans (Preliminary)</v>
      </c>
      <c r="I296" s="137"/>
      <c r="J296" s="578" t="str">
        <f>IF('C-Design&amp;Const'!AF296="","",'C-Design&amp;Const'!AF296)</f>
        <v>(Preliminary)</v>
      </c>
      <c r="K296" s="25" t="str">
        <f>IF(DD_apply="Yes",IF((COUNTIF(D296:G296,"Y")=COUNTIF('01 - SD'!D296:G296,"Y")),"match","no SD match"),"-")</f>
        <v>no SD match</v>
      </c>
      <c r="L296" s="1410" t="str">
        <f t="shared" si="15"/>
        <v/>
      </c>
      <c r="M296" s="1333"/>
      <c r="N296" s="1333"/>
      <c r="O296" s="1333"/>
      <c r="P296" s="1333"/>
      <c r="Q296" s="1333"/>
      <c r="R296" s="1453"/>
      <c r="S296" s="1284"/>
      <c r="T296" s="1284"/>
      <c r="U296" s="1333"/>
      <c r="V296" s="1333"/>
      <c r="W296" s="1333"/>
      <c r="X296" s="1333"/>
      <c r="Y296" s="1333"/>
      <c r="Z296" s="1333"/>
      <c r="AA296" s="1333"/>
      <c r="AB296" s="1333"/>
      <c r="AC296" s="1333"/>
      <c r="AD296" s="1333"/>
      <c r="AE296" s="1333"/>
      <c r="AF296" s="1333"/>
      <c r="AG296" s="1333"/>
      <c r="AH296" s="1333"/>
      <c r="AI296" s="1333"/>
      <c r="AV296"/>
      <c r="AW296"/>
    </row>
    <row r="297" spans="1:49" ht="15" customHeight="1" x14ac:dyDescent="0.25">
      <c r="A297" s="1504" t="str">
        <f>IF(SD_apply="Yes",IF(COUNTIF('01 - SD'!D297:G297,"Y")&gt;0,"Y",IF(COUNTIF('01 - SD'!D297:G297,"N"),"N","")),"")</f>
        <v>N</v>
      </c>
      <c r="B297" s="18"/>
      <c r="C297" s="945"/>
      <c r="D297" s="116"/>
      <c r="E297" s="321"/>
      <c r="F297" s="559" t="str">
        <f>IF('C-Design&amp;Const'!$K297="","",'C-Design&amp;Const'!$K297)</f>
        <v>Y</v>
      </c>
      <c r="G297" s="485"/>
      <c r="H297" s="243" t="str">
        <f>CONCATENATE(IF(F297="N","PLACEHOLDER ROW - ",""),'C-Design&amp;Const'!Z297,IF(F297="N","",J297))</f>
        <v>Heating and A/C Equipment Schedule (Preliminary)</v>
      </c>
      <c r="I297" s="137"/>
      <c r="J297" s="578" t="str">
        <f>IF('C-Design&amp;Const'!AF297="","",'C-Design&amp;Const'!AF297)</f>
        <v>(Preliminary)</v>
      </c>
      <c r="K297" s="25" t="str">
        <f>IF(DD_apply="Yes",IF((COUNTIF(D297:G297,"Y")=COUNTIF('01 - SD'!D297:G297,"Y")),"match","no SD match"),"-")</f>
        <v>no SD match</v>
      </c>
      <c r="L297" s="1410" t="str">
        <f t="shared" si="15"/>
        <v/>
      </c>
      <c r="M297" s="1333"/>
      <c r="N297" s="1333"/>
      <c r="O297" s="1333"/>
      <c r="P297" s="1333"/>
      <c r="Q297" s="1333"/>
      <c r="R297" s="1453"/>
      <c r="S297" s="1284"/>
      <c r="T297" s="1284"/>
      <c r="U297" s="1333"/>
      <c r="V297" s="1333"/>
      <c r="W297" s="1333"/>
      <c r="X297" s="1333"/>
      <c r="Y297" s="1333"/>
      <c r="Z297" s="1333"/>
      <c r="AA297" s="1333"/>
      <c r="AB297" s="1333"/>
      <c r="AC297" s="1333"/>
      <c r="AD297" s="1333"/>
      <c r="AE297" s="1333"/>
      <c r="AF297" s="1333"/>
      <c r="AG297" s="1333"/>
      <c r="AH297" s="1333"/>
      <c r="AI297" s="1333"/>
      <c r="AV297"/>
      <c r="AW297"/>
    </row>
    <row r="298" spans="1:49" ht="15" customHeight="1" x14ac:dyDescent="0.25">
      <c r="A298" s="1504" t="str">
        <f>IF(SD_apply="Yes",IF(COUNTIF('01 - SD'!D298:G298,"Y")&gt;0,"Y",IF(COUNTIF('01 - SD'!D298:G298,"N"),"N","")),"")</f>
        <v>N</v>
      </c>
      <c r="B298" s="18"/>
      <c r="C298" s="945"/>
      <c r="D298" s="116"/>
      <c r="E298" s="321"/>
      <c r="F298" s="559" t="str">
        <f>IF('C-Design&amp;Const'!$K298="","",'C-Design&amp;Const'!$K298)</f>
        <v>Y</v>
      </c>
      <c r="G298" s="485"/>
      <c r="H298" s="243" t="str">
        <f>CONCATENATE(IF(F298="N","PLACEHOLDER ROW - ",""),'C-Design&amp;Const'!Z298,IF(F298="N","",J298))</f>
        <v>Heating and A/C Details and Sections (Preliminary)</v>
      </c>
      <c r="I298" s="137"/>
      <c r="J298" s="578" t="str">
        <f>IF('C-Design&amp;Const'!AF298="","",'C-Design&amp;Const'!AF298)</f>
        <v>(Preliminary)</v>
      </c>
      <c r="K298" s="25" t="str">
        <f>IF(DD_apply="Yes",IF((COUNTIF(D298:G298,"Y")=COUNTIF('01 - SD'!D298:G298,"Y")),"match","no SD match"),"-")</f>
        <v>no SD match</v>
      </c>
      <c r="L298" s="1410" t="str">
        <f t="shared" si="15"/>
        <v/>
      </c>
      <c r="M298" s="1333"/>
      <c r="N298" s="1333"/>
      <c r="O298" s="1333"/>
      <c r="P298" s="1333"/>
      <c r="Q298" s="1333"/>
      <c r="R298" s="1453"/>
      <c r="S298" s="1284"/>
      <c r="T298" s="1284"/>
      <c r="U298" s="1333"/>
      <c r="V298" s="1333"/>
      <c r="W298" s="1333"/>
      <c r="X298" s="1333"/>
      <c r="Y298" s="1333"/>
      <c r="Z298" s="1333"/>
      <c r="AA298" s="1333"/>
      <c r="AB298" s="1333"/>
      <c r="AC298" s="1333"/>
      <c r="AD298" s="1333"/>
      <c r="AE298" s="1333"/>
      <c r="AF298" s="1333"/>
      <c r="AG298" s="1333"/>
      <c r="AH298" s="1333"/>
      <c r="AI298" s="1333"/>
      <c r="AV298"/>
      <c r="AW298"/>
    </row>
    <row r="299" spans="1:49" ht="15" customHeight="1" x14ac:dyDescent="0.25">
      <c r="A299" s="1502" t="str">
        <f>IF(SD_apply="Yes",IF(COUNTIF('01 - SD'!D299:G299,"Y")&gt;0,"Y",IF(COUNTIF('01 - SD'!D299:G299,"N"),"N","")),"")</f>
        <v>Y</v>
      </c>
      <c r="B299" s="18"/>
      <c r="C299" s="945"/>
      <c r="D299" s="116"/>
      <c r="E299" s="559" t="str">
        <f>IF('C-Design&amp;Const'!$K299="","",'C-Design&amp;Const'!$K299)</f>
        <v>Y</v>
      </c>
      <c r="F299" s="478"/>
      <c r="G299" s="485"/>
      <c r="H299" s="244" t="str">
        <f>CONCATENATE(IF(F299="N","PLACEHOLDER ROW - ",""),'C-Design&amp;Const'!Z299,IF(F299="N","",J299))</f>
        <v>Ventilation Drawings</v>
      </c>
      <c r="I299" s="146"/>
      <c r="J299" s="578" t="str">
        <f>IF('C-Design&amp;Const'!AF299="","",'C-Design&amp;Const'!AF299)</f>
        <v/>
      </c>
      <c r="K299" s="25" t="str">
        <f>IF(DD_apply="Yes",IF((COUNTIF(D299:G299,"Y")=COUNTIF('01 - SD'!D299:G299,"Y")),"match","no SD match"),"-")</f>
        <v>match</v>
      </c>
      <c r="L299" s="1410" t="str">
        <f t="shared" si="15"/>
        <v/>
      </c>
      <c r="M299" s="1333"/>
      <c r="N299" s="1333"/>
      <c r="O299" s="1333"/>
      <c r="P299" s="1333"/>
      <c r="Q299" s="1333"/>
      <c r="R299" s="1284"/>
      <c r="S299" s="1489"/>
      <c r="T299" s="1284"/>
      <c r="U299" s="1333"/>
      <c r="V299" s="1333"/>
      <c r="W299" s="1333"/>
      <c r="X299" s="1333"/>
      <c r="Y299" s="1333"/>
      <c r="Z299" s="1333"/>
      <c r="AA299" s="1333"/>
      <c r="AB299" s="1333"/>
      <c r="AC299" s="1333"/>
      <c r="AD299" s="1333"/>
      <c r="AE299" s="1333"/>
      <c r="AF299" s="1333"/>
      <c r="AG299" s="1333"/>
      <c r="AH299" s="1333"/>
      <c r="AI299" s="1333"/>
      <c r="AV299"/>
      <c r="AW299"/>
    </row>
    <row r="300" spans="1:49" ht="15" customHeight="1" x14ac:dyDescent="0.25">
      <c r="A300" s="1504" t="str">
        <f>IF(SD_apply="Yes",IF(COUNTIF('01 - SD'!D300:G300,"Y")&gt;0,"Y",IF(COUNTIF('01 - SD'!D300:G300,"N"),"N","")),"")</f>
        <v>N</v>
      </c>
      <c r="B300" s="18"/>
      <c r="C300" s="945"/>
      <c r="D300" s="116"/>
      <c r="E300" s="321"/>
      <c r="F300" s="559" t="str">
        <f>IF('C-Design&amp;Const'!$K300="","",'C-Design&amp;Const'!$K300)</f>
        <v>N</v>
      </c>
      <c r="G300" s="491"/>
      <c r="H300" s="243" t="str">
        <f>CONCATENATE(IF(F300="N","PLACEHOLDER ROW - ",""),'C-Design&amp;Const'!Z300,IF(F300="N","",J300))</f>
        <v xml:space="preserve">PLACEHOLDER ROW - CUSTOM - Ventilation  </v>
      </c>
      <c r="I300" s="137"/>
      <c r="J300" s="578" t="str">
        <f>IF('C-Design&amp;Const'!AF300="","",'C-Design&amp;Const'!AF300)</f>
        <v>(Approx. 50% Complete)</v>
      </c>
      <c r="K300" s="25" t="str">
        <f>IF(DD_apply="Yes",IF((COUNTIF(D300:G300,"Y")=COUNTIF('01 - SD'!D300:G300,"Y")),"match","no SD match"),"-")</f>
        <v>match</v>
      </c>
      <c r="L300" s="1410" t="str">
        <f t="shared" si="15"/>
        <v>&lt;---PM/Planner may hide PLACEHOLDER ROW</v>
      </c>
      <c r="M300" s="1333"/>
      <c r="N300" s="1333"/>
      <c r="O300" s="1333"/>
      <c r="P300" s="1333"/>
      <c r="Q300" s="1333"/>
      <c r="R300" s="1453"/>
      <c r="S300" s="1284"/>
      <c r="T300" s="1284"/>
      <c r="U300" s="1333"/>
      <c r="V300" s="1333"/>
      <c r="W300" s="1333"/>
      <c r="X300" s="1333"/>
      <c r="Y300" s="1333"/>
      <c r="Z300" s="1333"/>
      <c r="AA300" s="1333"/>
      <c r="AB300" s="1333"/>
      <c r="AC300" s="1333"/>
      <c r="AD300" s="1333"/>
      <c r="AE300" s="1333"/>
      <c r="AF300" s="1333"/>
      <c r="AG300" s="1333"/>
      <c r="AH300" s="1333"/>
      <c r="AI300" s="1333"/>
      <c r="AV300"/>
      <c r="AW300"/>
    </row>
    <row r="301" spans="1:49" ht="15" customHeight="1" x14ac:dyDescent="0.25">
      <c r="A301" s="1504" t="str">
        <f>IF(SD_apply="Yes",IF(COUNTIF('01 - SD'!D301:G301,"Y")&gt;0,"Y",IF(COUNTIF('01 - SD'!D301:G301,"N"),"N","")),"")</f>
        <v>N</v>
      </c>
      <c r="B301" s="18"/>
      <c r="C301" s="945"/>
      <c r="D301" s="116"/>
      <c r="E301" s="321"/>
      <c r="F301" s="559" t="str">
        <f>IF('C-Design&amp;Const'!$K301="","",'C-Design&amp;Const'!$K301)</f>
        <v>N</v>
      </c>
      <c r="G301" s="491"/>
      <c r="H301" s="243" t="str">
        <f>CONCATENATE(IF(F301="N","PLACEHOLDER ROW - ",""),'C-Design&amp;Const'!Z301,IF(F301="N","",J301))</f>
        <v xml:space="preserve">PLACEHOLDER ROW - CUSTOM - Ventilation  </v>
      </c>
      <c r="I301" s="137"/>
      <c r="J301" s="578" t="str">
        <f>IF('C-Design&amp;Const'!AF301="","",'C-Design&amp;Const'!AF301)</f>
        <v>(Approx. 50% Complete)</v>
      </c>
      <c r="K301" s="25" t="str">
        <f>IF(DD_apply="Yes",IF((COUNTIF(D301:G301,"Y")=COUNTIF('01 - SD'!D301:G301,"Y")),"match","no SD match"),"-")</f>
        <v>match</v>
      </c>
      <c r="L301" s="1410" t="str">
        <f t="shared" si="15"/>
        <v>&lt;---PM/Planner may hide PLACEHOLDER ROW</v>
      </c>
      <c r="M301" s="1333"/>
      <c r="N301" s="1333"/>
      <c r="O301" s="1333"/>
      <c r="P301" s="1333"/>
      <c r="Q301" s="1333"/>
      <c r="R301" s="1453"/>
      <c r="S301" s="1284"/>
      <c r="T301" s="1284"/>
      <c r="U301" s="1333"/>
      <c r="V301" s="1333"/>
      <c r="W301" s="1333"/>
      <c r="X301" s="1333"/>
      <c r="Y301" s="1333"/>
      <c r="Z301" s="1333"/>
      <c r="AA301" s="1333"/>
      <c r="AB301" s="1333"/>
      <c r="AC301" s="1333"/>
      <c r="AD301" s="1333"/>
      <c r="AE301" s="1333"/>
      <c r="AF301" s="1333"/>
      <c r="AG301" s="1333"/>
      <c r="AH301" s="1333"/>
      <c r="AI301" s="1333"/>
      <c r="AV301"/>
      <c r="AW301"/>
    </row>
    <row r="302" spans="1:49" ht="15" customHeight="1" x14ac:dyDescent="0.25">
      <c r="A302" s="1504" t="str">
        <f>IF(SD_apply="Yes",IF(COUNTIF('01 - SD'!D302:G302,"Y")&gt;0,"Y",IF(COUNTIF('01 - SD'!D302:G302,"N"),"N","")),"")</f>
        <v>Y</v>
      </c>
      <c r="B302" s="18"/>
      <c r="C302" s="945"/>
      <c r="D302" s="116"/>
      <c r="E302" s="321"/>
      <c r="F302" s="559" t="str">
        <f>IF('C-Design&amp;Const'!$K302="","",'C-Design&amp;Const'!$K302)</f>
        <v>Y</v>
      </c>
      <c r="G302" s="485"/>
      <c r="H302" s="243" t="str">
        <f>CONCATENATE(IF(F302="N","PLACEHOLDER ROW - ",""),'C-Design&amp;Const'!Z302,IF(F302="N","",J302))</f>
        <v>Ventilation Symbols, Abbreviations, and General Notes (Complete)</v>
      </c>
      <c r="I302" s="137"/>
      <c r="J302" s="578" t="str">
        <f>IF('C-Design&amp;Const'!AF302="","",'C-Design&amp;Const'!AF302)</f>
        <v>(Complete)</v>
      </c>
      <c r="K302" s="25" t="str">
        <f>IF(DD_apply="Yes",IF((COUNTIF(D302:G302,"Y")=COUNTIF('01 - SD'!D302:G302,"Y")),"match","no SD match"),"-")</f>
        <v>match</v>
      </c>
      <c r="L302" s="1410" t="str">
        <f t="shared" si="15"/>
        <v/>
      </c>
      <c r="M302" s="1333"/>
      <c r="N302" s="1333"/>
      <c r="O302" s="1333"/>
      <c r="P302" s="1333"/>
      <c r="Q302" s="1333"/>
      <c r="R302" s="1453"/>
      <c r="S302" s="1284"/>
      <c r="T302" s="1284"/>
      <c r="U302" s="1333"/>
      <c r="V302" s="1333"/>
      <c r="W302" s="1333"/>
      <c r="X302" s="1333"/>
      <c r="Y302" s="1333"/>
      <c r="Z302" s="1333"/>
      <c r="AA302" s="1333"/>
      <c r="AB302" s="1333"/>
      <c r="AC302" s="1333"/>
      <c r="AD302" s="1333"/>
      <c r="AE302" s="1333"/>
      <c r="AF302" s="1333"/>
      <c r="AG302" s="1333"/>
      <c r="AH302" s="1333"/>
      <c r="AI302" s="1333"/>
      <c r="AV302"/>
      <c r="AW302"/>
    </row>
    <row r="303" spans="1:49" s="542" customFormat="1" ht="15" customHeight="1" x14ac:dyDescent="0.25">
      <c r="A303" s="1504" t="str">
        <f>IF(SD_apply="Yes",IF(COUNTIF('01 - SD'!D303:G303,"Y")&gt;0,"Y",IF(COUNTIF('01 - SD'!D303:G303,"N"),"N","")),"")</f>
        <v>N</v>
      </c>
      <c r="B303" s="18"/>
      <c r="C303" s="945"/>
      <c r="D303" s="116"/>
      <c r="E303" s="321"/>
      <c r="F303" s="559" t="str">
        <f>IF('C-Design&amp;Const'!$K303="","",'C-Design&amp;Const'!$K303)</f>
        <v>Y</v>
      </c>
      <c r="G303" s="485"/>
      <c r="H303" s="243" t="str">
        <f>CONCATENATE(IF(F303="N","PLACEHOLDER ROW - ",""),'C-Design&amp;Const'!Z303,IF(F303="N","",J303))</f>
        <v>Ventilation Demolition(s) (Approx. 50% Complete)</v>
      </c>
      <c r="I303" s="137"/>
      <c r="J303" s="578" t="str">
        <f>IF('C-Design&amp;Const'!AF303="","",'C-Design&amp;Const'!AF303)</f>
        <v>(Approx. 50% Complete)</v>
      </c>
      <c r="K303" s="25" t="str">
        <f>IF(DD_apply="Yes",IF((COUNTIF(D303:G303,"Y")=COUNTIF('01 - SD'!D303:G303,"Y")),"match","no SD match"),"-")</f>
        <v>no SD match</v>
      </c>
      <c r="L303" s="1410" t="str">
        <f>CONCATENATE(IF(ISNUMBER(SEARCH("Placeholder",H303))=TRUE,"&lt;---PM/Planner may hide PLACEHOLDER ROW",""))</f>
        <v/>
      </c>
      <c r="M303" s="1333"/>
      <c r="N303" s="1333"/>
      <c r="O303" s="1333"/>
      <c r="P303" s="1333"/>
      <c r="Q303" s="1333"/>
      <c r="R303" s="1453"/>
      <c r="S303" s="1284"/>
      <c r="T303" s="1284"/>
      <c r="U303" s="1333"/>
      <c r="V303" s="1333"/>
      <c r="W303" s="1333"/>
      <c r="X303" s="1333"/>
      <c r="Y303" s="1333"/>
      <c r="Z303" s="1333"/>
      <c r="AA303" s="1333"/>
      <c r="AB303" s="1333"/>
      <c r="AC303" s="1333"/>
      <c r="AD303" s="1333"/>
      <c r="AE303" s="1333"/>
      <c r="AF303" s="1333"/>
      <c r="AG303" s="1333"/>
      <c r="AH303" s="1333"/>
      <c r="AI303" s="1333"/>
      <c r="AJ303" s="17"/>
      <c r="AK303" s="17"/>
      <c r="AL303" s="17"/>
      <c r="AM303" s="17"/>
      <c r="AN303" s="17"/>
      <c r="AO303" s="17"/>
      <c r="AP303" s="17"/>
      <c r="AQ303" s="17"/>
      <c r="AR303" s="17"/>
      <c r="AS303" s="17"/>
      <c r="AT303" s="17"/>
      <c r="AU303" s="17"/>
    </row>
    <row r="304" spans="1:49" ht="15" customHeight="1" x14ac:dyDescent="0.25">
      <c r="A304" s="1504" t="str">
        <f>IF(SD_apply="Yes",IF(COUNTIF('01 - SD'!D304:G304,"Y")&gt;0,"Y",IF(COUNTIF('01 - SD'!D304:G304,"N"),"N","")),"")</f>
        <v>Y</v>
      </c>
      <c r="B304" s="18"/>
      <c r="C304" s="945"/>
      <c r="D304" s="116"/>
      <c r="E304" s="321"/>
      <c r="F304" s="559" t="str">
        <f>IF('C-Design&amp;Const'!$K304="","",'C-Design&amp;Const'!$K304)</f>
        <v>Y</v>
      </c>
      <c r="G304" s="485"/>
      <c r="H304" s="243" t="str">
        <f>CONCATENATE(IF(F304="N","PLACEHOLDER ROW - ",""),'C-Design&amp;Const'!Z304,IF(F304="N","",J304))</f>
        <v>Ventilation Floor Plans (Approx. 50% Complete)</v>
      </c>
      <c r="I304" s="137"/>
      <c r="J304" s="578" t="str">
        <f>IF('C-Design&amp;Const'!AF304="","",'C-Design&amp;Const'!AF304)</f>
        <v>(Approx. 50% Complete)</v>
      </c>
      <c r="K304" s="25" t="str">
        <f>IF(DD_apply="Yes",IF((COUNTIF(D304:G304,"Y")=COUNTIF('01 - SD'!D304:G304,"Y")),"match","no SD match"),"-")</f>
        <v>match</v>
      </c>
      <c r="L304" s="1410" t="str">
        <f t="shared" si="15"/>
        <v/>
      </c>
      <c r="M304" s="1333"/>
      <c r="N304" s="1333"/>
      <c r="O304" s="1333"/>
      <c r="P304" s="1333"/>
      <c r="Q304" s="1333"/>
      <c r="R304" s="1453"/>
      <c r="S304" s="1284"/>
      <c r="T304" s="1284"/>
      <c r="U304" s="1333"/>
      <c r="V304" s="1333"/>
      <c r="W304" s="1333"/>
      <c r="X304" s="1333"/>
      <c r="Y304" s="1333"/>
      <c r="Z304" s="1333"/>
      <c r="AA304" s="1333"/>
      <c r="AB304" s="1333"/>
      <c r="AC304" s="1333"/>
      <c r="AD304" s="1333"/>
      <c r="AE304" s="1333"/>
      <c r="AF304" s="1333"/>
      <c r="AG304" s="1333"/>
      <c r="AH304" s="1333"/>
      <c r="AI304" s="1333"/>
      <c r="AV304"/>
      <c r="AW304"/>
    </row>
    <row r="305" spans="1:49" ht="15" customHeight="1" x14ac:dyDescent="0.25">
      <c r="A305" s="1504" t="str">
        <f>IF(SD_apply="Yes",IF(COUNTIF('01 - SD'!D305:G305,"Y")&gt;0,"Y",IF(COUNTIF('01 - SD'!D305:G305,"N"),"N","")),"")</f>
        <v>N</v>
      </c>
      <c r="B305" s="18"/>
      <c r="C305" s="945"/>
      <c r="D305" s="116"/>
      <c r="E305" s="321"/>
      <c r="F305" s="559" t="str">
        <f>IF('C-Design&amp;Const'!$K305="","",'C-Design&amp;Const'!$K305)</f>
        <v>Y</v>
      </c>
      <c r="G305" s="485"/>
      <c r="H305" s="243" t="str">
        <f>CONCATENATE(IF(F305="N","PLACEHOLDER ROW - ",""),'C-Design&amp;Const'!Z305,IF(F305="N","",J305))</f>
        <v>Ventilation Air Flow Diagrams (Substantially Complete)</v>
      </c>
      <c r="I305" s="137"/>
      <c r="J305" s="578" t="str">
        <f>IF('C-Design&amp;Const'!AF305="","",'C-Design&amp;Const'!AF305)</f>
        <v>(Substantially Complete)</v>
      </c>
      <c r="K305" s="25" t="str">
        <f>IF(DD_apply="Yes",IF((COUNTIF(D305:G305,"Y")=COUNTIF('01 - SD'!D305:G305,"Y")),"match","no SD match"),"-")</f>
        <v>no SD match</v>
      </c>
      <c r="L305" s="1410" t="str">
        <f t="shared" si="15"/>
        <v/>
      </c>
      <c r="M305" s="1333"/>
      <c r="N305" s="1333"/>
      <c r="O305" s="1333"/>
      <c r="P305" s="1333"/>
      <c r="Q305" s="1333"/>
      <c r="R305" s="1453"/>
      <c r="S305" s="1284"/>
      <c r="T305" s="1284"/>
      <c r="U305" s="1333"/>
      <c r="V305" s="1333"/>
      <c r="W305" s="1333"/>
      <c r="X305" s="1333"/>
      <c r="Y305" s="1333"/>
      <c r="Z305" s="1333"/>
      <c r="AA305" s="1333"/>
      <c r="AB305" s="1333"/>
      <c r="AC305" s="1333"/>
      <c r="AD305" s="1333"/>
      <c r="AE305" s="1333"/>
      <c r="AF305" s="1333"/>
      <c r="AG305" s="1333"/>
      <c r="AH305" s="1333"/>
      <c r="AI305" s="1333"/>
      <c r="AV305"/>
      <c r="AW305"/>
    </row>
    <row r="306" spans="1:49" s="30" customFormat="1" ht="15" customHeight="1" x14ac:dyDescent="0.25">
      <c r="A306" s="1504" t="str">
        <f>IF(SD_apply="Yes",IF(COUNTIF('01 - SD'!D306:G306,"Y")&gt;0,"Y",IF(COUNTIF('01 - SD'!D306:G306,"N"),"N","")),"")</f>
        <v>N</v>
      </c>
      <c r="B306" s="32"/>
      <c r="C306" s="945"/>
      <c r="D306" s="10"/>
      <c r="E306" s="463"/>
      <c r="F306" s="559" t="str">
        <f>IF('C-Design&amp;Const'!$K306="","",'C-Design&amp;Const'!$K306)</f>
        <v>Y</v>
      </c>
      <c r="G306" s="291"/>
      <c r="H306" s="469" t="str">
        <f>CONCATENATE(IF(F306="N","PLACEHOLDER ROW - ",""),'C-Design&amp;Const'!Z306,IF(F306="N","",J306))</f>
        <v>Ventilation Large Scale Mechanical Room Plans (Preliminary)</v>
      </c>
      <c r="I306" s="184"/>
      <c r="J306" s="578" t="str">
        <f>IF('C-Design&amp;Const'!AF306="","",'C-Design&amp;Const'!AF306)</f>
        <v>(Preliminary)</v>
      </c>
      <c r="K306" s="25" t="str">
        <f>IF(DD_apply="Yes",IF((COUNTIF(D306:G306,"Y")=COUNTIF('01 - SD'!D306:G306,"Y")),"match","no SD match"),"-")</f>
        <v>no SD match</v>
      </c>
      <c r="L306" s="1410" t="str">
        <f t="shared" si="15"/>
        <v/>
      </c>
      <c r="M306" s="1333"/>
      <c r="N306" s="1333"/>
      <c r="O306" s="1382"/>
      <c r="P306" s="1382"/>
      <c r="Q306" s="1382"/>
      <c r="R306" s="1382"/>
      <c r="S306" s="1382"/>
      <c r="T306" s="1382"/>
      <c r="U306" s="1382"/>
      <c r="V306" s="1382"/>
      <c r="W306" s="1382"/>
      <c r="X306" s="1382"/>
      <c r="Y306" s="1382"/>
      <c r="Z306" s="1382"/>
      <c r="AA306" s="1382"/>
      <c r="AB306" s="1382"/>
      <c r="AC306" s="1382"/>
      <c r="AD306" s="1382"/>
      <c r="AE306" s="1382"/>
      <c r="AF306" s="1382"/>
      <c r="AG306" s="1382"/>
      <c r="AH306" s="1382"/>
      <c r="AI306" s="1382"/>
      <c r="AJ306" s="181"/>
      <c r="AK306" s="181"/>
      <c r="AL306" s="181"/>
      <c r="AM306" s="181"/>
      <c r="AN306" s="181"/>
      <c r="AO306" s="181"/>
      <c r="AP306" s="181"/>
      <c r="AQ306" s="181"/>
      <c r="AR306" s="181"/>
      <c r="AS306" s="181"/>
      <c r="AT306" s="181"/>
      <c r="AU306" s="181"/>
      <c r="AV306" s="181"/>
      <c r="AW306" s="181"/>
    </row>
    <row r="307" spans="1:49" ht="15" customHeight="1" x14ac:dyDescent="0.25">
      <c r="A307" s="1504" t="str">
        <f>IF(SD_apply="Yes",IF(COUNTIF('01 - SD'!D307:G307,"Y")&gt;0,"Y",IF(COUNTIF('01 - SD'!D307:G307,"N"),"N","")),"")</f>
        <v>N</v>
      </c>
      <c r="B307" s="18"/>
      <c r="C307" s="945"/>
      <c r="D307" s="116"/>
      <c r="E307" s="321"/>
      <c r="F307" s="559" t="str">
        <f>IF('C-Design&amp;Const'!$K307="","",'C-Design&amp;Const'!$K307)</f>
        <v>Y</v>
      </c>
      <c r="G307" s="485"/>
      <c r="H307" s="243" t="str">
        <f>CONCATENATE(IF(F307="N","PLACEHOLDER ROW - ",""),'C-Design&amp;Const'!Z307,IF(F307="N","",J307))</f>
        <v>Ventilation Details and Sections (Preliminary)</v>
      </c>
      <c r="I307" s="137"/>
      <c r="J307" s="578" t="str">
        <f>IF('C-Design&amp;Const'!AF307="","",'C-Design&amp;Const'!AF307)</f>
        <v>(Preliminary)</v>
      </c>
      <c r="K307" s="25" t="str">
        <f>IF(DD_apply="Yes",IF((COUNTIF(D307:G307,"Y")=COUNTIF('01 - SD'!D307:G307,"Y")),"match","no SD match"),"-")</f>
        <v>no SD match</v>
      </c>
      <c r="L307" s="1410" t="str">
        <f t="shared" si="15"/>
        <v/>
      </c>
      <c r="M307" s="1333"/>
      <c r="N307" s="1333"/>
      <c r="O307" s="1333"/>
      <c r="P307" s="1333"/>
      <c r="Q307" s="1333"/>
      <c r="R307" s="1453"/>
      <c r="S307" s="1284"/>
      <c r="T307" s="1284"/>
      <c r="U307" s="1333"/>
      <c r="V307" s="1333"/>
      <c r="W307" s="1333"/>
      <c r="X307" s="1333"/>
      <c r="Y307" s="1333"/>
      <c r="Z307" s="1333"/>
      <c r="AA307" s="1333"/>
      <c r="AB307" s="1333"/>
      <c r="AC307" s="1333"/>
      <c r="AD307" s="1333"/>
      <c r="AE307" s="1333"/>
      <c r="AF307" s="1333"/>
      <c r="AG307" s="1333"/>
      <c r="AH307" s="1333"/>
      <c r="AI307" s="1333"/>
      <c r="AV307"/>
      <c r="AW307"/>
    </row>
    <row r="308" spans="1:49" ht="15" customHeight="1" x14ac:dyDescent="0.25">
      <c r="A308" s="1504" t="str">
        <f>IF(SD_apply="Yes",IF(COUNTIF('01 - SD'!D308:G308,"Y")&gt;0,"Y",IF(COUNTIF('01 - SD'!D308:G308,"N"),"N","")),"")</f>
        <v>N</v>
      </c>
      <c r="B308" s="18"/>
      <c r="C308" s="945"/>
      <c r="D308" s="116"/>
      <c r="E308" s="321"/>
      <c r="F308" s="559" t="str">
        <f>IF('C-Design&amp;Const'!$K308="","",'C-Design&amp;Const'!$K308)</f>
        <v>Y</v>
      </c>
      <c r="G308" s="485"/>
      <c r="H308" s="243" t="str">
        <f>CONCATENATE(IF(F308="N","PLACEHOLDER ROW - ",""),'C-Design&amp;Const'!Z308,IF(F308="N","",J308))</f>
        <v>Ventilation Equipment Schedule (Preliminary)</v>
      </c>
      <c r="I308" s="137"/>
      <c r="J308" s="578" t="str">
        <f>IF('C-Design&amp;Const'!AF308="","",'C-Design&amp;Const'!AF308)</f>
        <v>(Preliminary)</v>
      </c>
      <c r="K308" s="25" t="str">
        <f>IF(DD_apply="Yes",IF((COUNTIF(D308:G308,"Y")=COUNTIF('01 - SD'!D308:G308,"Y")),"match","no SD match"),"-")</f>
        <v>no SD match</v>
      </c>
      <c r="L308" s="1410" t="str">
        <f t="shared" si="15"/>
        <v/>
      </c>
      <c r="M308" s="1333"/>
      <c r="N308" s="1333"/>
      <c r="O308" s="1333"/>
      <c r="P308" s="1333"/>
      <c r="Q308" s="1333"/>
      <c r="R308" s="1453"/>
      <c r="S308" s="1284"/>
      <c r="T308" s="1284"/>
      <c r="U308" s="1333"/>
      <c r="V308" s="1333"/>
      <c r="W308" s="1333"/>
      <c r="X308" s="1333"/>
      <c r="Y308" s="1333"/>
      <c r="Z308" s="1333"/>
      <c r="AA308" s="1333"/>
      <c r="AB308" s="1333"/>
      <c r="AC308" s="1333"/>
      <c r="AD308" s="1333"/>
      <c r="AE308" s="1333"/>
      <c r="AF308" s="1333"/>
      <c r="AG308" s="1333"/>
      <c r="AH308" s="1333"/>
      <c r="AI308" s="1333"/>
      <c r="AV308"/>
      <c r="AW308"/>
    </row>
    <row r="309" spans="1:49" s="542" customFormat="1" ht="15" customHeight="1" x14ac:dyDescent="0.25">
      <c r="A309" s="1502" t="str">
        <f>IF(SD_apply="Yes",IF(COUNTIF('01 - SD'!D309:G309,"Y")&gt;0,"Y",IF(COUNTIF('01 - SD'!D309:G309,"N"),"N","")),"")</f>
        <v>Y</v>
      </c>
      <c r="B309" s="18"/>
      <c r="C309" s="945"/>
      <c r="D309" s="116"/>
      <c r="E309" s="559" t="str">
        <f>IF('C-Design&amp;Const'!$K309="","",'C-Design&amp;Const'!$K309)</f>
        <v>Y</v>
      </c>
      <c r="F309" s="478"/>
      <c r="G309" s="485"/>
      <c r="H309" s="244" t="str">
        <f>CONCATENATE(IF(F309="N","PLACEHOLDER ROW - ",""),'C-Design&amp;Const'!Z309,IF(F309="N","",J309))</f>
        <v>Temperature Control Drawings</v>
      </c>
      <c r="I309" s="146"/>
      <c r="J309" s="578" t="str">
        <f>IF('C-Design&amp;Const'!AF309="","",'C-Design&amp;Const'!AF309)</f>
        <v/>
      </c>
      <c r="K309" s="25" t="str">
        <f>IF(DD_apply="Yes",IF((COUNTIF(D309:G309,"Y")=COUNTIF('01 - SD'!D309:G309,"Y")),"match","no SD match"),"-")</f>
        <v>match</v>
      </c>
      <c r="L309" s="1410" t="str">
        <f t="shared" ref="L309:L315" si="16">CONCATENATE(IF(ISNUMBER(SEARCH("Placeholder",H309))=TRUE,"&lt;---PM/Planner may hide PLACEHOLDER ROW",""))</f>
        <v/>
      </c>
      <c r="M309" s="1333"/>
      <c r="N309" s="1333"/>
      <c r="O309" s="1333"/>
      <c r="P309" s="1333"/>
      <c r="Q309" s="1333"/>
      <c r="R309" s="1284"/>
      <c r="S309" s="1489"/>
      <c r="T309" s="1284"/>
      <c r="U309" s="1333"/>
      <c r="V309" s="1333"/>
      <c r="W309" s="1333"/>
      <c r="X309" s="1333"/>
      <c r="Y309" s="1333"/>
      <c r="Z309" s="1333"/>
      <c r="AA309" s="1333"/>
      <c r="AB309" s="1333"/>
      <c r="AC309" s="1333"/>
      <c r="AD309" s="1333"/>
      <c r="AE309" s="1333"/>
      <c r="AF309" s="1333"/>
      <c r="AG309" s="1333"/>
      <c r="AH309" s="1333"/>
      <c r="AI309" s="1333"/>
      <c r="AJ309" s="17"/>
      <c r="AK309" s="17"/>
      <c r="AL309" s="17"/>
      <c r="AM309" s="17"/>
      <c r="AN309" s="17"/>
      <c r="AO309" s="17"/>
      <c r="AP309" s="17"/>
      <c r="AQ309" s="17"/>
      <c r="AR309" s="17"/>
      <c r="AS309" s="17"/>
      <c r="AT309" s="17"/>
      <c r="AU309" s="17"/>
    </row>
    <row r="310" spans="1:49" s="542" customFormat="1" ht="15" customHeight="1" x14ac:dyDescent="0.25">
      <c r="A310" s="1504" t="str">
        <f>IF(SD_apply="Yes",IF(COUNTIF('01 - SD'!D310:G310,"Y")&gt;0,"Y",IF(COUNTIF('01 - SD'!D310:G310,"N"),"N","")),"")</f>
        <v>N</v>
      </c>
      <c r="B310" s="18"/>
      <c r="C310" s="945"/>
      <c r="D310" s="116"/>
      <c r="E310" s="321"/>
      <c r="F310" s="559" t="str">
        <f>IF('C-Design&amp;Const'!$K310="","",'C-Design&amp;Const'!$K310)</f>
        <v>N</v>
      </c>
      <c r="G310" s="491"/>
      <c r="H310" s="243" t="str">
        <f>CONCATENATE(IF(F310="N","PLACEHOLDER ROW - ",""),'C-Design&amp;Const'!Z310,IF(F310="N","",J310))</f>
        <v>PLACEHOLDER ROW - CUSTOM - Temperature Control</v>
      </c>
      <c r="I310" s="137"/>
      <c r="J310" s="578" t="str">
        <f>IF('C-Design&amp;Const'!AF310="","",'C-Design&amp;Const'!AF310)</f>
        <v>(Approx. 50% Complete)</v>
      </c>
      <c r="K310" s="25" t="str">
        <f>IF(DD_apply="Yes",IF((COUNTIF(D310:G310,"Y")=COUNTIF('01 - SD'!D310:G310,"Y")),"match","no SD match"),"-")</f>
        <v>match</v>
      </c>
      <c r="L310" s="1410" t="str">
        <f t="shared" si="16"/>
        <v>&lt;---PM/Planner may hide PLACEHOLDER ROW</v>
      </c>
      <c r="M310" s="1333"/>
      <c r="N310" s="1333"/>
      <c r="O310" s="1333"/>
      <c r="P310" s="1333"/>
      <c r="Q310" s="1333"/>
      <c r="R310" s="1453"/>
      <c r="S310" s="1284"/>
      <c r="T310" s="1284"/>
      <c r="U310" s="1333"/>
      <c r="V310" s="1333"/>
      <c r="W310" s="1333"/>
      <c r="X310" s="1333"/>
      <c r="Y310" s="1333"/>
      <c r="Z310" s="1333"/>
      <c r="AA310" s="1333"/>
      <c r="AB310" s="1333"/>
      <c r="AC310" s="1333"/>
      <c r="AD310" s="1333"/>
      <c r="AE310" s="1333"/>
      <c r="AF310" s="1333"/>
      <c r="AG310" s="1333"/>
      <c r="AH310" s="1333"/>
      <c r="AI310" s="1333"/>
      <c r="AJ310" s="17"/>
      <c r="AK310" s="17"/>
      <c r="AL310" s="17"/>
      <c r="AM310" s="17"/>
      <c r="AN310" s="17"/>
      <c r="AO310" s="17"/>
      <c r="AP310" s="17"/>
      <c r="AQ310" s="17"/>
      <c r="AR310" s="17"/>
      <c r="AS310" s="17"/>
      <c r="AT310" s="17"/>
      <c r="AU310" s="17"/>
    </row>
    <row r="311" spans="1:49" s="542" customFormat="1" ht="15" customHeight="1" x14ac:dyDescent="0.25">
      <c r="A311" s="1504" t="str">
        <f>IF(SD_apply="Yes",IF(COUNTIF('01 - SD'!D311:G311,"Y")&gt;0,"Y",IF(COUNTIF('01 - SD'!D311:G311,"N"),"N","")),"")</f>
        <v>N</v>
      </c>
      <c r="B311" s="18"/>
      <c r="C311" s="945"/>
      <c r="D311" s="116"/>
      <c r="E311" s="321"/>
      <c r="F311" s="559" t="str">
        <f>IF('C-Design&amp;Const'!$K311="","",'C-Design&amp;Const'!$K311)</f>
        <v>N</v>
      </c>
      <c r="G311" s="491"/>
      <c r="H311" s="243" t="str">
        <f>CONCATENATE(IF(F311="N","PLACEHOLDER ROW - ",""),'C-Design&amp;Const'!Z311,IF(F311="N","",J311))</f>
        <v>PLACEHOLDER ROW - CUSTOM - Temperature Control</v>
      </c>
      <c r="I311" s="137"/>
      <c r="J311" s="578" t="str">
        <f>IF('C-Design&amp;Const'!AF311="","",'C-Design&amp;Const'!AF311)</f>
        <v>(Approx. 50% Complete)</v>
      </c>
      <c r="K311" s="25" t="str">
        <f>IF(DD_apply="Yes",IF((COUNTIF(D311:G311,"Y")=COUNTIF('01 - SD'!D311:G311,"Y")),"match","no SD match"),"-")</f>
        <v>match</v>
      </c>
      <c r="L311" s="1410" t="str">
        <f t="shared" si="16"/>
        <v>&lt;---PM/Planner may hide PLACEHOLDER ROW</v>
      </c>
      <c r="M311" s="1333"/>
      <c r="N311" s="1333"/>
      <c r="O311" s="1333"/>
      <c r="P311" s="1333"/>
      <c r="Q311" s="1333"/>
      <c r="R311" s="1453"/>
      <c r="S311" s="1284"/>
      <c r="T311" s="1284"/>
      <c r="U311" s="1333"/>
      <c r="V311" s="1333"/>
      <c r="W311" s="1333"/>
      <c r="X311" s="1333"/>
      <c r="Y311" s="1333"/>
      <c r="Z311" s="1333"/>
      <c r="AA311" s="1333"/>
      <c r="AB311" s="1333"/>
      <c r="AC311" s="1333"/>
      <c r="AD311" s="1333"/>
      <c r="AE311" s="1333"/>
      <c r="AF311" s="1333"/>
      <c r="AG311" s="1333"/>
      <c r="AH311" s="1333"/>
      <c r="AI311" s="1333"/>
      <c r="AJ311" s="17"/>
      <c r="AK311" s="17"/>
      <c r="AL311" s="17"/>
      <c r="AM311" s="17"/>
      <c r="AN311" s="17"/>
      <c r="AO311" s="17"/>
      <c r="AP311" s="17"/>
      <c r="AQ311" s="17"/>
      <c r="AR311" s="17"/>
      <c r="AS311" s="17"/>
      <c r="AT311" s="17"/>
      <c r="AU311" s="17"/>
    </row>
    <row r="312" spans="1:49" s="542" customFormat="1" ht="15" customHeight="1" x14ac:dyDescent="0.25">
      <c r="A312" s="1504" t="str">
        <f>IF(SD_apply="Yes",IF(COUNTIF('01 - SD'!D312:G312,"Y")&gt;0,"Y",IF(COUNTIF('01 - SD'!D312:G312,"N"),"N","")),"")</f>
        <v>Y</v>
      </c>
      <c r="B312" s="18"/>
      <c r="C312" s="945"/>
      <c r="D312" s="116"/>
      <c r="E312" s="321"/>
      <c r="F312" s="559" t="str">
        <f>IF('C-Design&amp;Const'!$K312="","",'C-Design&amp;Const'!$K312)</f>
        <v>Y</v>
      </c>
      <c r="G312" s="485"/>
      <c r="H312" s="243" t="str">
        <f>CONCATENATE(IF(F312="N","PLACEHOLDER ROW - ",""),'C-Design&amp;Const'!Z312,IF(F312="N","",J312))</f>
        <v>Temperature Control Symbols, Abbreviations, and General Notes (Complete)</v>
      </c>
      <c r="I312" s="137"/>
      <c r="J312" s="578" t="str">
        <f>IF('C-Design&amp;Const'!AF312="","",'C-Design&amp;Const'!AF312)</f>
        <v>(Complete)</v>
      </c>
      <c r="K312" s="25" t="str">
        <f>IF(DD_apply="Yes",IF((COUNTIF(D312:G312,"Y")=COUNTIF('01 - SD'!D312:G312,"Y")),"match","no SD match"),"-")</f>
        <v>match</v>
      </c>
      <c r="L312" s="1410" t="str">
        <f t="shared" si="16"/>
        <v/>
      </c>
      <c r="M312" s="1333"/>
      <c r="N312" s="1333"/>
      <c r="O312" s="1333"/>
      <c r="P312" s="1333"/>
      <c r="Q312" s="1333"/>
      <c r="R312" s="1453"/>
      <c r="S312" s="1284"/>
      <c r="T312" s="1284"/>
      <c r="U312" s="1333"/>
      <c r="V312" s="1333"/>
      <c r="W312" s="1333"/>
      <c r="X312" s="1333"/>
      <c r="Y312" s="1333"/>
      <c r="Z312" s="1333"/>
      <c r="AA312" s="1333"/>
      <c r="AB312" s="1333"/>
      <c r="AC312" s="1333"/>
      <c r="AD312" s="1333"/>
      <c r="AE312" s="1333"/>
      <c r="AF312" s="1333"/>
      <c r="AG312" s="1333"/>
      <c r="AH312" s="1333"/>
      <c r="AI312" s="1333"/>
      <c r="AJ312" s="17"/>
      <c r="AK312" s="17"/>
      <c r="AL312" s="17"/>
      <c r="AM312" s="17"/>
      <c r="AN312" s="17"/>
      <c r="AO312" s="17"/>
      <c r="AP312" s="17"/>
      <c r="AQ312" s="17"/>
      <c r="AR312" s="17"/>
      <c r="AS312" s="17"/>
      <c r="AT312" s="17"/>
      <c r="AU312" s="17"/>
    </row>
    <row r="313" spans="1:49" s="542" customFormat="1" ht="15" customHeight="1" x14ac:dyDescent="0.25">
      <c r="A313" s="1504" t="str">
        <f>IF(SD_apply="Yes",IF(COUNTIF('01 - SD'!D313:G313,"Y")&gt;0,"Y",IF(COUNTIF('01 - SD'!D313:G313,"N"),"N","")),"")</f>
        <v>N</v>
      </c>
      <c r="B313" s="18"/>
      <c r="C313" s="945"/>
      <c r="D313" s="116"/>
      <c r="E313" s="321"/>
      <c r="F313" s="559" t="str">
        <f>IF('C-Design&amp;Const'!$K313="","",'C-Design&amp;Const'!$K313)</f>
        <v>Y</v>
      </c>
      <c r="G313" s="485"/>
      <c r="H313" s="243" t="str">
        <f>CONCATENATE(IF(F313="N","PLACEHOLDER ROW - ",""),'C-Design&amp;Const'!Z313,IF(F313="N","",J313))</f>
        <v>Temperature Control Demolition(s) (Approx. 50% Complete)</v>
      </c>
      <c r="I313" s="137"/>
      <c r="J313" s="578" t="str">
        <f>IF('C-Design&amp;Const'!AF313="","",'C-Design&amp;Const'!AF313)</f>
        <v>(Approx. 50% Complete)</v>
      </c>
      <c r="K313" s="25" t="str">
        <f>IF(DD_apply="Yes",IF((COUNTIF(D313:G313,"Y")=COUNTIF('01 - SD'!D313:G313,"Y")),"match","no SD match"),"-")</f>
        <v>no SD match</v>
      </c>
      <c r="L313" s="1410" t="str">
        <f>CONCATENATE(IF(ISNUMBER(SEARCH("Placeholder",H313))=TRUE,"&lt;---PM/Planner may hide PLACEHOLDER ROW",""))</f>
        <v/>
      </c>
      <c r="M313" s="1333"/>
      <c r="N313" s="1333"/>
      <c r="O313" s="1333"/>
      <c r="P313" s="1333"/>
      <c r="Q313" s="1333"/>
      <c r="R313" s="1453"/>
      <c r="S313" s="1284"/>
      <c r="T313" s="1284"/>
      <c r="U313" s="1333"/>
      <c r="V313" s="1333"/>
      <c r="W313" s="1333"/>
      <c r="X313" s="1333"/>
      <c r="Y313" s="1333"/>
      <c r="Z313" s="1333"/>
      <c r="AA313" s="1333"/>
      <c r="AB313" s="1333"/>
      <c r="AC313" s="1333"/>
      <c r="AD313" s="1333"/>
      <c r="AE313" s="1333"/>
      <c r="AF313" s="1333"/>
      <c r="AG313" s="1333"/>
      <c r="AH313" s="1333"/>
      <c r="AI313" s="1333"/>
      <c r="AJ313" s="17"/>
      <c r="AK313" s="17"/>
      <c r="AL313" s="17"/>
      <c r="AM313" s="17"/>
      <c r="AN313" s="17"/>
      <c r="AO313" s="17"/>
      <c r="AP313" s="17"/>
      <c r="AQ313" s="17"/>
      <c r="AR313" s="17"/>
      <c r="AS313" s="17"/>
      <c r="AT313" s="17"/>
      <c r="AU313" s="17"/>
    </row>
    <row r="314" spans="1:49" s="542" customFormat="1" ht="15" customHeight="1" x14ac:dyDescent="0.25">
      <c r="A314" s="1504" t="str">
        <f>IF(SD_apply="Yes",IF(COUNTIF('01 - SD'!D314:G314,"Y")&gt;0,"Y",IF(COUNTIF('01 - SD'!D314:G314,"N"),"N","")),"")</f>
        <v>Y</v>
      </c>
      <c r="B314" s="18"/>
      <c r="C314" s="945"/>
      <c r="D314" s="116"/>
      <c r="E314" s="321"/>
      <c r="F314" s="559" t="str">
        <f>IF('C-Design&amp;Const'!$K314="","",'C-Design&amp;Const'!$K314)</f>
        <v>Y</v>
      </c>
      <c r="G314" s="485"/>
      <c r="H314" s="243" t="str">
        <f>CONCATENATE(IF(F314="N","PLACEHOLDER ROW - ",""),'C-Design&amp;Const'!Z314,IF(F314="N","",J314))</f>
        <v>Temperature Control Floor Plans (Approx. 50% Complete)</v>
      </c>
      <c r="I314" s="137"/>
      <c r="J314" s="578" t="str">
        <f>IF('C-Design&amp;Const'!AF314="","",'C-Design&amp;Const'!AF314)</f>
        <v>(Approx. 50% Complete)</v>
      </c>
      <c r="K314" s="25" t="str">
        <f>IF(DD_apply="Yes",IF((COUNTIF(D314:G314,"Y")=COUNTIF('01 - SD'!D314:G314,"Y")),"match","no SD match"),"-")</f>
        <v>match</v>
      </c>
      <c r="L314" s="1410" t="str">
        <f t="shared" si="16"/>
        <v/>
      </c>
      <c r="M314" s="1333"/>
      <c r="N314" s="1333"/>
      <c r="O314" s="1333"/>
      <c r="P314" s="1333"/>
      <c r="Q314" s="1333"/>
      <c r="R314" s="1453"/>
      <c r="S314" s="1284"/>
      <c r="T314" s="1284"/>
      <c r="U314" s="1333"/>
      <c r="V314" s="1333"/>
      <c r="W314" s="1333"/>
      <c r="X314" s="1333"/>
      <c r="Y314" s="1333"/>
      <c r="Z314" s="1333"/>
      <c r="AA314" s="1333"/>
      <c r="AB314" s="1333"/>
      <c r="AC314" s="1333"/>
      <c r="AD314" s="1333"/>
      <c r="AE314" s="1333"/>
      <c r="AF314" s="1333"/>
      <c r="AG314" s="1333"/>
      <c r="AH314" s="1333"/>
      <c r="AI314" s="1333"/>
      <c r="AJ314" s="17"/>
      <c r="AK314" s="17"/>
      <c r="AL314" s="17"/>
      <c r="AM314" s="17"/>
      <c r="AN314" s="17"/>
      <c r="AO314" s="17"/>
      <c r="AP314" s="17"/>
      <c r="AQ314" s="17"/>
      <c r="AR314" s="17"/>
      <c r="AS314" s="17"/>
      <c r="AT314" s="17"/>
      <c r="AU314" s="17"/>
    </row>
    <row r="315" spans="1:49" s="542" customFormat="1" ht="15" customHeight="1" x14ac:dyDescent="0.25">
      <c r="A315" s="1504" t="str">
        <f>IF(SD_apply="Yes",IF(COUNTIF('01 - SD'!D315:G315,"Y")&gt;0,"Y",IF(COUNTIF('01 - SD'!D315:G315,"N"),"N","")),"")</f>
        <v>N</v>
      </c>
      <c r="B315" s="18"/>
      <c r="C315" s="945"/>
      <c r="D315" s="116"/>
      <c r="E315" s="321"/>
      <c r="F315" s="559" t="str">
        <f>IF('C-Design&amp;Const'!$K315="","",'C-Design&amp;Const'!$K315)</f>
        <v>Y</v>
      </c>
      <c r="G315" s="485"/>
      <c r="H315" s="243" t="str">
        <f>CONCATENATE(IF(F315="N","PLACEHOLDER ROW - ",""),'C-Design&amp;Const'!Z315,IF(F315="N","",J315))</f>
        <v>Temperature Control Sequences, Schedules, and Diagrams(Preliminary)</v>
      </c>
      <c r="I315" s="137"/>
      <c r="J315" s="578" t="str">
        <f>IF('C-Design&amp;Const'!AF315="","",'C-Design&amp;Const'!AF315)</f>
        <v>(Preliminary)</v>
      </c>
      <c r="K315" s="25" t="str">
        <f>IF(DD_apply="Yes",IF((COUNTIF(D315:G315,"Y")=COUNTIF('01 - SD'!D315:G315,"Y")),"match","no SD match"),"-")</f>
        <v>no SD match</v>
      </c>
      <c r="L315" s="1410" t="str">
        <f t="shared" si="16"/>
        <v/>
      </c>
      <c r="M315" s="1333"/>
      <c r="N315" s="1333"/>
      <c r="O315" s="1333"/>
      <c r="P315" s="1333"/>
      <c r="Q315" s="1333"/>
      <c r="R315" s="1453"/>
      <c r="S315" s="1284"/>
      <c r="T315" s="1284"/>
      <c r="U315" s="1333"/>
      <c r="V315" s="1333"/>
      <c r="W315" s="1333"/>
      <c r="X315" s="1333"/>
      <c r="Y315" s="1333"/>
      <c r="Z315" s="1333"/>
      <c r="AA315" s="1333"/>
      <c r="AB315" s="1333"/>
      <c r="AC315" s="1333"/>
      <c r="AD315" s="1333"/>
      <c r="AE315" s="1333"/>
      <c r="AF315" s="1333"/>
      <c r="AG315" s="1333"/>
      <c r="AH315" s="1333"/>
      <c r="AI315" s="1333"/>
      <c r="AJ315" s="17"/>
      <c r="AK315" s="17"/>
      <c r="AL315" s="17"/>
      <c r="AM315" s="17"/>
      <c r="AN315" s="17"/>
      <c r="AO315" s="17"/>
      <c r="AP315" s="17"/>
      <c r="AQ315" s="17"/>
      <c r="AR315" s="17"/>
      <c r="AS315" s="17"/>
      <c r="AT315" s="17"/>
      <c r="AU315" s="17"/>
    </row>
    <row r="316" spans="1:49" ht="15" customHeight="1" x14ac:dyDescent="0.25">
      <c r="A316" s="1502" t="str">
        <f>IF(SD_apply="Yes",IF(COUNTIF('01 - SD'!D316:G316,"Y")&gt;0,"Y",IF(COUNTIF('01 - SD'!D316:G316,"N"),"N","")),"")</f>
        <v>Y</v>
      </c>
      <c r="B316" s="18"/>
      <c r="C316" s="945"/>
      <c r="D316" s="116"/>
      <c r="E316" s="559" t="str">
        <f>IF('C-Design&amp;Const'!$K316="","",'C-Design&amp;Const'!$K316)</f>
        <v>Y</v>
      </c>
      <c r="F316" s="478"/>
      <c r="G316" s="485"/>
      <c r="H316" s="244" t="str">
        <f>CONCATENATE(IF(F316="N","PLACEHOLDER ROW - ",""),'C-Design&amp;Const'!Z316,IF(F316="N","",J316))</f>
        <v>Electrical Drawings</v>
      </c>
      <c r="I316" s="146"/>
      <c r="J316" s="578" t="str">
        <f>IF('C-Design&amp;Const'!AF316="","",'C-Design&amp;Const'!AF316)</f>
        <v/>
      </c>
      <c r="K316" s="25" t="str">
        <f>IF(DD_apply="Yes",IF((COUNTIF(D316:G316,"Y")=COUNTIF('01 - SD'!D316:G316,"Y")),"match","no SD match"),"-")</f>
        <v>match</v>
      </c>
      <c r="L316" s="1410" t="str">
        <f t="shared" si="15"/>
        <v/>
      </c>
      <c r="M316" s="1333"/>
      <c r="N316" s="1333"/>
      <c r="O316" s="1333"/>
      <c r="P316" s="1333"/>
      <c r="Q316" s="1333"/>
      <c r="R316" s="1284"/>
      <c r="S316" s="1489"/>
      <c r="T316" s="1284"/>
      <c r="U316" s="1333"/>
      <c r="V316" s="1333"/>
      <c r="W316" s="1333"/>
      <c r="X316" s="1333"/>
      <c r="Y316" s="1333"/>
      <c r="Z316" s="1333"/>
      <c r="AA316" s="1333"/>
      <c r="AB316" s="1333"/>
      <c r="AC316" s="1333"/>
      <c r="AD316" s="1333"/>
      <c r="AE316" s="1333"/>
      <c r="AF316" s="1333"/>
      <c r="AG316" s="1333"/>
      <c r="AH316" s="1333"/>
      <c r="AI316" s="1333"/>
      <c r="AV316"/>
      <c r="AW316"/>
    </row>
    <row r="317" spans="1:49" ht="15" customHeight="1" x14ac:dyDescent="0.25">
      <c r="A317" s="1504" t="str">
        <f>IF(SD_apply="Yes",IF(COUNTIF('01 - SD'!D317:G317,"Y")&gt;0,"Y",IF(COUNTIF('01 - SD'!D317:G317,"N"),"N","")),"")</f>
        <v>N</v>
      </c>
      <c r="B317" s="18"/>
      <c r="C317" s="945"/>
      <c r="D317" s="116"/>
      <c r="E317" s="321"/>
      <c r="F317" s="559" t="str">
        <f>IF('C-Design&amp;Const'!$K317="","",'C-Design&amp;Const'!$K317)</f>
        <v>N</v>
      </c>
      <c r="G317" s="491"/>
      <c r="H317" s="243" t="str">
        <f>CONCATENATE(IF(F317="N","PLACEHOLDER ROW - ",""),'C-Design&amp;Const'!Z317,IF(F317="N","",J317))</f>
        <v xml:space="preserve">PLACEHOLDER ROW - CUSTOM - Electrical  </v>
      </c>
      <c r="I317" s="137"/>
      <c r="J317" s="578" t="str">
        <f>IF('C-Design&amp;Const'!AF317="","",'C-Design&amp;Const'!AF317)</f>
        <v>(Approx. 50% Complete)</v>
      </c>
      <c r="K317" s="25" t="str">
        <f>IF(DD_apply="Yes",IF((COUNTIF(D317:G317,"Y")=COUNTIF('01 - SD'!D317:G317,"Y")),"match","no SD match"),"-")</f>
        <v>match</v>
      </c>
      <c r="L317" s="1410" t="str">
        <f t="shared" si="15"/>
        <v>&lt;---PM/Planner may hide PLACEHOLDER ROW</v>
      </c>
      <c r="M317" s="1333"/>
      <c r="N317" s="1333"/>
      <c r="O317" s="1333"/>
      <c r="P317" s="1333"/>
      <c r="Q317" s="1333"/>
      <c r="R317" s="1453"/>
      <c r="S317" s="1284"/>
      <c r="T317" s="1284"/>
      <c r="U317" s="1333"/>
      <c r="V317" s="1333"/>
      <c r="W317" s="1333"/>
      <c r="X317" s="1333"/>
      <c r="Y317" s="1333"/>
      <c r="Z317" s="1333"/>
      <c r="AA317" s="1333"/>
      <c r="AB317" s="1333"/>
      <c r="AC317" s="1333"/>
      <c r="AD317" s="1333"/>
      <c r="AE317" s="1333"/>
      <c r="AF317" s="1333"/>
      <c r="AG317" s="1333"/>
      <c r="AH317" s="1333"/>
      <c r="AI317" s="1333"/>
      <c r="AV317"/>
      <c r="AW317"/>
    </row>
    <row r="318" spans="1:49" ht="15" customHeight="1" x14ac:dyDescent="0.25">
      <c r="A318" s="1504" t="str">
        <f>IF(SD_apply="Yes",IF(COUNTIF('01 - SD'!D318:G318,"Y")&gt;0,"Y",IF(COUNTIF('01 - SD'!D318:G318,"N"),"N","")),"")</f>
        <v>N</v>
      </c>
      <c r="B318" s="18"/>
      <c r="C318" s="945"/>
      <c r="D318" s="116"/>
      <c r="E318" s="321"/>
      <c r="F318" s="559" t="str">
        <f>IF('C-Design&amp;Const'!$K318="","",'C-Design&amp;Const'!$K318)</f>
        <v>N</v>
      </c>
      <c r="G318" s="491"/>
      <c r="H318" s="243" t="str">
        <f>CONCATENATE(IF(F318="N","PLACEHOLDER ROW - ",""),'C-Design&amp;Const'!Z318,IF(F318="N","",J318))</f>
        <v xml:space="preserve">PLACEHOLDER ROW - CUSTOM - Electrical  </v>
      </c>
      <c r="I318" s="137"/>
      <c r="J318" s="578" t="str">
        <f>IF('C-Design&amp;Const'!AF318="","",'C-Design&amp;Const'!AF318)</f>
        <v>(Approx. 50% Complete)</v>
      </c>
      <c r="K318" s="25" t="str">
        <f>IF(DD_apply="Yes",IF((COUNTIF(D318:G318,"Y")=COUNTIF('01 - SD'!D318:G318,"Y")),"match","no SD match"),"-")</f>
        <v>match</v>
      </c>
      <c r="L318" s="1410" t="str">
        <f t="shared" si="15"/>
        <v>&lt;---PM/Planner may hide PLACEHOLDER ROW</v>
      </c>
      <c r="M318" s="1333"/>
      <c r="N318" s="1333"/>
      <c r="O318" s="1333"/>
      <c r="P318" s="1333"/>
      <c r="Q318" s="1333"/>
      <c r="R318" s="1453"/>
      <c r="S318" s="1284"/>
      <c r="T318" s="1284"/>
      <c r="U318" s="1333"/>
      <c r="V318" s="1333"/>
      <c r="W318" s="1333"/>
      <c r="X318" s="1333"/>
      <c r="Y318" s="1333"/>
      <c r="Z318" s="1333"/>
      <c r="AA318" s="1333"/>
      <c r="AB318" s="1333"/>
      <c r="AC318" s="1333"/>
      <c r="AD318" s="1333"/>
      <c r="AE318" s="1333"/>
      <c r="AF318" s="1333"/>
      <c r="AG318" s="1333"/>
      <c r="AH318" s="1333"/>
      <c r="AI318" s="1333"/>
      <c r="AV318"/>
      <c r="AW318"/>
    </row>
    <row r="319" spans="1:49" ht="15" customHeight="1" x14ac:dyDescent="0.25">
      <c r="A319" s="1504" t="str">
        <f>IF(SD_apply="Yes",IF(COUNTIF('01 - SD'!D319:G319,"Y")&gt;0,"Y",IF(COUNTIF('01 - SD'!D319:G319,"N"),"N","")),"")</f>
        <v>Y</v>
      </c>
      <c r="B319" s="18"/>
      <c r="C319" s="945"/>
      <c r="D319" s="116"/>
      <c r="E319" s="321"/>
      <c r="F319" s="559" t="str">
        <f>IF('C-Design&amp;Const'!$K319="","",'C-Design&amp;Const'!$K319)</f>
        <v>Y</v>
      </c>
      <c r="G319" s="485"/>
      <c r="H319" s="243" t="str">
        <f>CONCATENATE(IF(F319="N","PLACEHOLDER ROW - ",""),'C-Design&amp;Const'!Z319,IF(F319="N","",J319))</f>
        <v>Electrical Symbols, Abbreviations, and General Notes (Complete)</v>
      </c>
      <c r="I319" s="137"/>
      <c r="J319" s="578" t="str">
        <f>IF('C-Design&amp;Const'!AF319="","",'C-Design&amp;Const'!AF319)</f>
        <v>(Complete)</v>
      </c>
      <c r="K319" s="25" t="str">
        <f>IF(DD_apply="Yes",IF((COUNTIF(D319:G319,"Y")=COUNTIF('01 - SD'!D319:G319,"Y")),"match","no SD match"),"-")</f>
        <v>match</v>
      </c>
      <c r="L319" s="1410" t="str">
        <f t="shared" si="15"/>
        <v/>
      </c>
      <c r="M319" s="1333"/>
      <c r="N319" s="1333"/>
      <c r="O319" s="1333"/>
      <c r="P319" s="1333"/>
      <c r="Q319" s="1333"/>
      <c r="R319" s="1453"/>
      <c r="S319" s="1284"/>
      <c r="T319" s="1284"/>
      <c r="U319" s="1333"/>
      <c r="V319" s="1333"/>
      <c r="W319" s="1333"/>
      <c r="X319" s="1333"/>
      <c r="Y319" s="1333"/>
      <c r="Z319" s="1333"/>
      <c r="AA319" s="1333"/>
      <c r="AB319" s="1333"/>
      <c r="AC319" s="1333"/>
      <c r="AD319" s="1333"/>
      <c r="AE319" s="1333"/>
      <c r="AF319" s="1333"/>
      <c r="AG319" s="1333"/>
      <c r="AH319" s="1333"/>
      <c r="AI319" s="1333"/>
      <c r="AV319"/>
      <c r="AW319"/>
    </row>
    <row r="320" spans="1:49" s="542" customFormat="1" ht="15" customHeight="1" x14ac:dyDescent="0.25">
      <c r="A320" s="1504" t="str">
        <f>IF(SD_apply="Yes",IF(COUNTIF('01 - SD'!D320:G320,"Y")&gt;0,"Y",IF(COUNTIF('01 - SD'!D320:G320,"N"),"N","")),"")</f>
        <v>N</v>
      </c>
      <c r="B320" s="18"/>
      <c r="C320" s="945"/>
      <c r="D320" s="116"/>
      <c r="E320" s="321"/>
      <c r="F320" s="559" t="str">
        <f>IF('C-Design&amp;Const'!$K320="","",'C-Design&amp;Const'!$K320)</f>
        <v>Y</v>
      </c>
      <c r="G320" s="485"/>
      <c r="H320" s="243" t="str">
        <f>CONCATENATE(IF(F320="N","PLACEHOLDER ROW - ",""),'C-Design&amp;Const'!Z320,IF(F320="N","",J320))</f>
        <v>Electrical Demolition(s) (Approx. 50% Complete)</v>
      </c>
      <c r="I320" s="137"/>
      <c r="J320" s="578" t="str">
        <f>IF('C-Design&amp;Const'!AF320="","",'C-Design&amp;Const'!AF320)</f>
        <v>(Approx. 50% Complete)</v>
      </c>
      <c r="K320" s="25" t="str">
        <f>IF(DD_apply="Yes",IF((COUNTIF(D320:G320,"Y")=COUNTIF('01 - SD'!D320:G320,"Y")),"match","no SD match"),"-")</f>
        <v>no SD match</v>
      </c>
      <c r="L320" s="1410" t="str">
        <f>CONCATENATE(IF(ISNUMBER(SEARCH("Placeholder",H320))=TRUE,"&lt;---PM/Planner may hide PLACEHOLDER ROW",""))</f>
        <v/>
      </c>
      <c r="M320" s="1333"/>
      <c r="N320" s="1333"/>
      <c r="O320" s="1333"/>
      <c r="P320" s="1333"/>
      <c r="Q320" s="1333"/>
      <c r="R320" s="1453"/>
      <c r="S320" s="1284"/>
      <c r="T320" s="1284"/>
      <c r="U320" s="1333"/>
      <c r="V320" s="1333"/>
      <c r="W320" s="1333"/>
      <c r="X320" s="1333"/>
      <c r="Y320" s="1333"/>
      <c r="Z320" s="1333"/>
      <c r="AA320" s="1333"/>
      <c r="AB320" s="1333"/>
      <c r="AC320" s="1333"/>
      <c r="AD320" s="1333"/>
      <c r="AE320" s="1333"/>
      <c r="AF320" s="1333"/>
      <c r="AG320" s="1333"/>
      <c r="AH320" s="1333"/>
      <c r="AI320" s="1333"/>
      <c r="AJ320" s="17"/>
      <c r="AK320" s="17"/>
      <c r="AL320" s="17"/>
      <c r="AM320" s="17"/>
      <c r="AN320" s="17"/>
      <c r="AO320" s="17"/>
      <c r="AP320" s="17"/>
      <c r="AQ320" s="17"/>
      <c r="AR320" s="17"/>
      <c r="AS320" s="17"/>
      <c r="AT320" s="17"/>
      <c r="AU320" s="17"/>
    </row>
    <row r="321" spans="1:49" ht="15" customHeight="1" x14ac:dyDescent="0.25">
      <c r="A321" s="1504" t="str">
        <f>IF(SD_apply="Yes",IF(COUNTIF('01 - SD'!D321:G321,"Y")&gt;0,"Y",IF(COUNTIF('01 - SD'!D321:G321,"N"),"N","")),"")</f>
        <v>Y</v>
      </c>
      <c r="B321" s="18"/>
      <c r="C321" s="945"/>
      <c r="D321" s="116"/>
      <c r="E321" s="321"/>
      <c r="F321" s="559" t="str">
        <f>IF('C-Design&amp;Const'!$K321="","",'C-Design&amp;Const'!$K321)</f>
        <v>Y</v>
      </c>
      <c r="G321" s="485"/>
      <c r="H321" s="243" t="str">
        <f>CONCATENATE(IF(F321="N","PLACEHOLDER ROW - ",""),'C-Design&amp;Const'!Z321,IF(F321="N","",J321))</f>
        <v>Electrical Floor Plans w/ Devices for Power (Preliminary)</v>
      </c>
      <c r="I321" s="137"/>
      <c r="J321" s="578" t="str">
        <f>IF('C-Design&amp;Const'!AF321="","",'C-Design&amp;Const'!AF321)</f>
        <v>(Preliminary)</v>
      </c>
      <c r="K321" s="25" t="str">
        <f>IF(DD_apply="Yes",IF((COUNTIF(D321:G321,"Y")=COUNTIF('01 - SD'!D321:G321,"Y")),"match","no SD match"),"-")</f>
        <v>match</v>
      </c>
      <c r="L321" s="1410" t="str">
        <f t="shared" si="15"/>
        <v/>
      </c>
      <c r="M321" s="1333"/>
      <c r="N321" s="1333"/>
      <c r="O321" s="1333"/>
      <c r="P321" s="1333"/>
      <c r="Q321" s="1333"/>
      <c r="R321" s="1453"/>
      <c r="S321" s="1284"/>
      <c r="T321" s="1284"/>
      <c r="U321" s="1333"/>
      <c r="V321" s="1333"/>
      <c r="W321" s="1333"/>
      <c r="X321" s="1333"/>
      <c r="Y321" s="1333"/>
      <c r="Z321" s="1333"/>
      <c r="AA321" s="1333"/>
      <c r="AB321" s="1333"/>
      <c r="AC321" s="1333"/>
      <c r="AD321" s="1333"/>
      <c r="AE321" s="1333"/>
      <c r="AF321" s="1333"/>
      <c r="AG321" s="1333"/>
      <c r="AH321" s="1333"/>
      <c r="AI321" s="1333"/>
      <c r="AV321"/>
      <c r="AW321"/>
    </row>
    <row r="322" spans="1:49" ht="15" customHeight="1" x14ac:dyDescent="0.25">
      <c r="A322" s="1504" t="str">
        <f>IF(SD_apply="Yes",IF(COUNTIF('01 - SD'!D322:G322,"Y")&gt;0,"Y",IF(COUNTIF('01 - SD'!D322:G322,"N"),"N","")),"")</f>
        <v>N</v>
      </c>
      <c r="B322" s="18"/>
      <c r="C322" s="945"/>
      <c r="D322" s="116"/>
      <c r="E322" s="321"/>
      <c r="F322" s="559" t="str">
        <f>IF('C-Design&amp;Const'!$K322="","",'C-Design&amp;Const'!$K322)</f>
        <v>Y</v>
      </c>
      <c r="G322" s="485"/>
      <c r="H322" s="243" t="str">
        <f>CONCATENATE(IF(F322="N","PLACEHOLDER ROW - ",""),'C-Design&amp;Const'!Z322,IF(F322="N","",J322))</f>
        <v>Electrical Lighting Plans; Power Plans (Preliminary)</v>
      </c>
      <c r="I322" s="137"/>
      <c r="J322" s="578" t="str">
        <f>IF('C-Design&amp;Const'!AF322="","",'C-Design&amp;Const'!AF322)</f>
        <v>(Preliminary)</v>
      </c>
      <c r="K322" s="25" t="str">
        <f>IF(DD_apply="Yes",IF((COUNTIF(D322:G322,"Y")=COUNTIF('01 - SD'!D322:G322,"Y")),"match","no SD match"),"-")</f>
        <v>no SD match</v>
      </c>
      <c r="L322" s="1410" t="str">
        <f t="shared" si="15"/>
        <v/>
      </c>
      <c r="M322" s="1333"/>
      <c r="N322" s="1333"/>
      <c r="O322" s="1333"/>
      <c r="P322" s="1333"/>
      <c r="Q322" s="1333"/>
      <c r="R322" s="1453"/>
      <c r="S322" s="1284"/>
      <c r="T322" s="1284"/>
      <c r="U322" s="1333"/>
      <c r="V322" s="1333"/>
      <c r="W322" s="1333"/>
      <c r="X322" s="1333"/>
      <c r="Y322" s="1333"/>
      <c r="Z322" s="1333"/>
      <c r="AA322" s="1333"/>
      <c r="AB322" s="1333"/>
      <c r="AC322" s="1333"/>
      <c r="AD322" s="1333"/>
      <c r="AE322" s="1333"/>
      <c r="AF322" s="1333"/>
      <c r="AG322" s="1333"/>
      <c r="AH322" s="1333"/>
      <c r="AI322" s="1333"/>
      <c r="AV322"/>
      <c r="AW322"/>
    </row>
    <row r="323" spans="1:49" ht="15" customHeight="1" x14ac:dyDescent="0.25">
      <c r="A323" s="1504" t="str">
        <f>IF(SD_apply="Yes",IF(COUNTIF('01 - SD'!D323:G323,"Y")&gt;0,"Y",IF(COUNTIF('01 - SD'!D323:G323,"N"),"N","")),"")</f>
        <v>N</v>
      </c>
      <c r="B323" s="18"/>
      <c r="C323" s="945"/>
      <c r="D323" s="116"/>
      <c r="E323" s="321"/>
      <c r="F323" s="559" t="str">
        <f>IF('C-Design&amp;Const'!$K323="","",'C-Design&amp;Const'!$K323)</f>
        <v>N</v>
      </c>
      <c r="G323" s="485"/>
      <c r="H323" s="243" t="str">
        <f>CONCATENATE(IF(F323="N","PLACEHOLDER ROW - ",""),'C-Design&amp;Const'!Z323,IF(F323="N","",J323))</f>
        <v xml:space="preserve">PLACEHOLDER ROW - Electrical Primary Feed Diagrams </v>
      </c>
      <c r="I323" s="137"/>
      <c r="J323" s="578" t="str">
        <f>IF('C-Design&amp;Const'!AF323="","",'C-Design&amp;Const'!AF323)</f>
        <v>(Substantially Complete)</v>
      </c>
      <c r="K323" s="25" t="str">
        <f>IF(DD_apply="Yes",IF((COUNTIF(D323:G323,"Y")=COUNTIF('01 - SD'!D323:G323,"Y")),"match","no SD match"),"-")</f>
        <v>match</v>
      </c>
      <c r="L323" s="1410" t="str">
        <f t="shared" si="15"/>
        <v>&lt;---PM/Planner may hide PLACEHOLDER ROW</v>
      </c>
      <c r="M323" s="1333"/>
      <c r="N323" s="1333"/>
      <c r="O323" s="1333"/>
      <c r="P323" s="1333"/>
      <c r="Q323" s="1333"/>
      <c r="R323" s="1453"/>
      <c r="S323" s="1284"/>
      <c r="T323" s="1284"/>
      <c r="U323" s="1333"/>
      <c r="V323" s="1333"/>
      <c r="W323" s="1333"/>
      <c r="X323" s="1333"/>
      <c r="Y323" s="1333"/>
      <c r="Z323" s="1333"/>
      <c r="AA323" s="1333"/>
      <c r="AB323" s="1333"/>
      <c r="AC323" s="1333"/>
      <c r="AD323" s="1333"/>
      <c r="AE323" s="1333"/>
      <c r="AF323" s="1333"/>
      <c r="AG323" s="1333"/>
      <c r="AH323" s="1333"/>
      <c r="AI323" s="1333"/>
      <c r="AV323"/>
      <c r="AW323"/>
    </row>
    <row r="324" spans="1:49" ht="15" customHeight="1" x14ac:dyDescent="0.25">
      <c r="A324" s="1504" t="str">
        <f>IF(SD_apply="Yes",IF(COUNTIF('01 - SD'!D324:G324,"Y")&gt;0,"Y",IF(COUNTIF('01 - SD'!D324:G324,"N"),"N","")),"")</f>
        <v>N</v>
      </c>
      <c r="B324" s="18"/>
      <c r="C324" s="945"/>
      <c r="D324" s="116"/>
      <c r="E324" s="321"/>
      <c r="F324" s="559" t="str">
        <f>IF('C-Design&amp;Const'!$K324="","",'C-Design&amp;Const'!$K324)</f>
        <v>N</v>
      </c>
      <c r="G324" s="485"/>
      <c r="H324" s="243" t="str">
        <f>CONCATENATE(IF(F324="N","PLACEHOLDER ROW - ",""),'C-Design&amp;Const'!Z324,IF(F324="N","",J324))</f>
        <v xml:space="preserve">PLACEHOLDER ROW - Electrical Feeder Schedule </v>
      </c>
      <c r="I324" s="137"/>
      <c r="J324" s="578" t="str">
        <f>IF('C-Design&amp;Const'!AF324="","",'C-Design&amp;Const'!AF324)</f>
        <v>(Preliminary)</v>
      </c>
      <c r="K324" s="25" t="str">
        <f>IF(DD_apply="Yes",IF((COUNTIF(D324:G324,"Y")=COUNTIF('01 - SD'!D324:G324,"Y")),"match","no SD match"),"-")</f>
        <v>match</v>
      </c>
      <c r="L324" s="1410" t="str">
        <f t="shared" si="15"/>
        <v>&lt;---PM/Planner may hide PLACEHOLDER ROW</v>
      </c>
      <c r="M324" s="1333"/>
      <c r="N324" s="1333"/>
      <c r="O324" s="1333"/>
      <c r="P324" s="1333"/>
      <c r="Q324" s="1333"/>
      <c r="R324" s="1453"/>
      <c r="S324" s="1284"/>
      <c r="T324" s="1284"/>
      <c r="U324" s="1333"/>
      <c r="V324" s="1333"/>
      <c r="W324" s="1333"/>
      <c r="X324" s="1333"/>
      <c r="Y324" s="1333"/>
      <c r="Z324" s="1333"/>
      <c r="AA324" s="1333"/>
      <c r="AB324" s="1333"/>
      <c r="AC324" s="1333"/>
      <c r="AD324" s="1333"/>
      <c r="AE324" s="1333"/>
      <c r="AF324" s="1333"/>
      <c r="AG324" s="1333"/>
      <c r="AH324" s="1333"/>
      <c r="AI324" s="1333"/>
      <c r="AV324"/>
      <c r="AW324"/>
    </row>
    <row r="325" spans="1:49" ht="15" customHeight="1" x14ac:dyDescent="0.25">
      <c r="A325" s="1504" t="str">
        <f>IF(SD_apply="Yes",IF(COUNTIF('01 - SD'!D325:G325,"Y")&gt;0,"Y",IF(COUNTIF('01 - SD'!D325:G325,"N"),"N","")),"")</f>
        <v>N</v>
      </c>
      <c r="B325" s="18"/>
      <c r="C325" s="945"/>
      <c r="D325" s="116"/>
      <c r="E325" s="321"/>
      <c r="F325" s="559" t="str">
        <f>IF('C-Design&amp;Const'!$K325="","",'C-Design&amp;Const'!$K325)</f>
        <v>N</v>
      </c>
      <c r="G325" s="485"/>
      <c r="H325" s="243" t="str">
        <f>CONCATENATE(IF(F325="N","PLACEHOLDER ROW - ",""),'C-Design&amp;Const'!Z325,IF(F325="N","",J325))</f>
        <v xml:space="preserve">PLACEHOLDER ROW - Electrical Secondary Riser Diagrams </v>
      </c>
      <c r="I325" s="137"/>
      <c r="J325" s="578" t="str">
        <f>IF('C-Design&amp;Const'!AF325="","",'C-Design&amp;Const'!AF325)</f>
        <v>(Substantially Complete)</v>
      </c>
      <c r="K325" s="25" t="str">
        <f>IF(DD_apply="Yes",IF((COUNTIF(D325:G325,"Y")=COUNTIF('01 - SD'!D325:G325,"Y")),"match","no SD match"),"-")</f>
        <v>match</v>
      </c>
      <c r="L325" s="1410" t="str">
        <f t="shared" si="15"/>
        <v>&lt;---PM/Planner may hide PLACEHOLDER ROW</v>
      </c>
      <c r="M325" s="1333"/>
      <c r="N325" s="1333"/>
      <c r="O325" s="1333"/>
      <c r="P325" s="1333"/>
      <c r="Q325" s="1333"/>
      <c r="R325" s="1453"/>
      <c r="S325" s="1284"/>
      <c r="T325" s="1284"/>
      <c r="U325" s="1333"/>
      <c r="V325" s="1333"/>
      <c r="W325" s="1333"/>
      <c r="X325" s="1333"/>
      <c r="Y325" s="1333"/>
      <c r="Z325" s="1333"/>
      <c r="AA325" s="1333"/>
      <c r="AB325" s="1333"/>
      <c r="AC325" s="1333"/>
      <c r="AD325" s="1333"/>
      <c r="AE325" s="1333"/>
      <c r="AF325" s="1333"/>
      <c r="AG325" s="1333"/>
      <c r="AH325" s="1333"/>
      <c r="AI325" s="1333"/>
      <c r="AV325"/>
      <c r="AW325"/>
    </row>
    <row r="326" spans="1:49" ht="15" customHeight="1" x14ac:dyDescent="0.25">
      <c r="A326" s="1504" t="str">
        <f>IF(SD_apply="Yes",IF(COUNTIF('01 - SD'!D326:G326,"Y")&gt;0,"Y",IF(COUNTIF('01 - SD'!D326:G326,"N"),"N","")),"")</f>
        <v>N</v>
      </c>
      <c r="B326" s="18"/>
      <c r="C326" s="945"/>
      <c r="D326" s="116"/>
      <c r="E326" s="321"/>
      <c r="F326" s="559" t="str">
        <f>IF('C-Design&amp;Const'!$K326="","",'C-Design&amp;Const'!$K326)</f>
        <v>N</v>
      </c>
      <c r="G326" s="485"/>
      <c r="H326" s="243" t="str">
        <f>CONCATENATE(IF(F326="N","PLACEHOLDER ROW - ",""),'C-Design&amp;Const'!Z326,IF(F326="N","",J326))</f>
        <v xml:space="preserve">PLACEHOLDER ROW - Electrical Power Distribution Schedule </v>
      </c>
      <c r="I326" s="137"/>
      <c r="J326" s="578" t="str">
        <f>IF('C-Design&amp;Const'!AF326="","",'C-Design&amp;Const'!AF326)</f>
        <v>(Approx. 50% Complete)</v>
      </c>
      <c r="K326" s="25" t="str">
        <f>IF(DD_apply="Yes",IF((COUNTIF(D326:G326,"Y")=COUNTIF('01 - SD'!D326:G326,"Y")),"match","no SD match"),"-")</f>
        <v>match</v>
      </c>
      <c r="L326" s="1410" t="str">
        <f t="shared" si="15"/>
        <v>&lt;---PM/Planner may hide PLACEHOLDER ROW</v>
      </c>
      <c r="M326" s="1333"/>
      <c r="N326" s="1333"/>
      <c r="O326" s="1333"/>
      <c r="P326" s="1333"/>
      <c r="Q326" s="1333"/>
      <c r="R326" s="1453"/>
      <c r="S326" s="1284"/>
      <c r="T326" s="1284"/>
      <c r="U326" s="1333"/>
      <c r="V326" s="1333"/>
      <c r="W326" s="1333"/>
      <c r="X326" s="1333"/>
      <c r="Y326" s="1333"/>
      <c r="Z326" s="1333"/>
      <c r="AA326" s="1333"/>
      <c r="AB326" s="1333"/>
      <c r="AC326" s="1333"/>
      <c r="AD326" s="1333"/>
      <c r="AE326" s="1333"/>
      <c r="AF326" s="1333"/>
      <c r="AG326" s="1333"/>
      <c r="AH326" s="1333"/>
      <c r="AI326" s="1333"/>
      <c r="AV326"/>
      <c r="AW326"/>
    </row>
    <row r="327" spans="1:49" ht="15" customHeight="1" x14ac:dyDescent="0.25">
      <c r="A327" s="1504" t="str">
        <f>IF(SD_apply="Yes",IF(COUNTIF('01 - SD'!D327:G327,"Y")&gt;0,"Y",IF(COUNTIF('01 - SD'!D327:G327,"N"),"N","")),"")</f>
        <v>N</v>
      </c>
      <c r="B327" s="18"/>
      <c r="C327" s="945"/>
      <c r="D327" s="116"/>
      <c r="E327" s="321"/>
      <c r="F327" s="559" t="str">
        <f>IF('C-Design&amp;Const'!$K327="","",'C-Design&amp;Const'!$K327)</f>
        <v>N</v>
      </c>
      <c r="G327" s="485"/>
      <c r="H327" s="243" t="str">
        <f>CONCATENATE(IF(F327="N","PLACEHOLDER ROW - ",""),'C-Design&amp;Const'!Z327,IF(F327="N","",J327))</f>
        <v xml:space="preserve">PLACEHOLDER ROW - Electrical Grounding Riser Diagram </v>
      </c>
      <c r="I327" s="137"/>
      <c r="J327" s="578" t="str">
        <f>IF('C-Design&amp;Const'!AF327="","",'C-Design&amp;Const'!AF327)</f>
        <v>(Approx. 50% Complete)</v>
      </c>
      <c r="K327" s="25" t="str">
        <f>IF(DD_apply="Yes",IF((COUNTIF(D327:G327,"Y")=COUNTIF('01 - SD'!D327:G327,"Y")),"match","no SD match"),"-")</f>
        <v>match</v>
      </c>
      <c r="L327" s="1410" t="str">
        <f t="shared" si="15"/>
        <v>&lt;---PM/Planner may hide PLACEHOLDER ROW</v>
      </c>
      <c r="M327" s="1333"/>
      <c r="N327" s="1333"/>
      <c r="O327" s="1333"/>
      <c r="P327" s="1333"/>
      <c r="Q327" s="1333"/>
      <c r="R327" s="1453"/>
      <c r="S327" s="1284"/>
      <c r="T327" s="1284"/>
      <c r="U327" s="1333"/>
      <c r="V327" s="1333"/>
      <c r="W327" s="1333"/>
      <c r="X327" s="1333"/>
      <c r="Y327" s="1333"/>
      <c r="Z327" s="1333"/>
      <c r="AA327" s="1333"/>
      <c r="AB327" s="1333"/>
      <c r="AC327" s="1333"/>
      <c r="AD327" s="1333"/>
      <c r="AE327" s="1333"/>
      <c r="AF327" s="1333"/>
      <c r="AG327" s="1333"/>
      <c r="AH327" s="1333"/>
      <c r="AI327" s="1333"/>
      <c r="AV327"/>
      <c r="AW327"/>
    </row>
    <row r="328" spans="1:49" ht="15" customHeight="1" x14ac:dyDescent="0.25">
      <c r="A328" s="1504" t="str">
        <f>IF(SD_apply="Yes",IF(COUNTIF('01 - SD'!D328:G328,"Y")&gt;0,"Y",IF(COUNTIF('01 - SD'!D328:G328,"N"),"N","")),"")</f>
        <v>N</v>
      </c>
      <c r="B328" s="18"/>
      <c r="C328" s="945"/>
      <c r="D328" s="116"/>
      <c r="E328" s="321"/>
      <c r="F328" s="559" t="str">
        <f>IF('C-Design&amp;Const'!$K328="","",'C-Design&amp;Const'!$K328)</f>
        <v>N</v>
      </c>
      <c r="G328" s="485"/>
      <c r="H328" s="243" t="str">
        <f>CONCATENATE(IF(F328="N","PLACEHOLDER ROW - ",""),'C-Design&amp;Const'!Z328,IF(F328="N","",J328))</f>
        <v xml:space="preserve">PLACEHOLDER ROW - Electrical Details </v>
      </c>
      <c r="I328" s="137"/>
      <c r="J328" s="578" t="str">
        <f>IF('C-Design&amp;Const'!AF328="","",'C-Design&amp;Const'!AF328)</f>
        <v>(Preliminary)</v>
      </c>
      <c r="K328" s="25" t="str">
        <f>IF(DD_apply="Yes",IF((COUNTIF(D328:G328,"Y")=COUNTIF('01 - SD'!D328:G328,"Y")),"match","no SD match"),"-")</f>
        <v>match</v>
      </c>
      <c r="L328" s="1410" t="str">
        <f t="shared" ref="L328:L401" si="17">CONCATENATE(IF(ISNUMBER(SEARCH("Placeholder",H328))=TRUE,"&lt;---PM/Planner may hide PLACEHOLDER ROW",""))</f>
        <v>&lt;---PM/Planner may hide PLACEHOLDER ROW</v>
      </c>
      <c r="M328" s="1333"/>
      <c r="N328" s="1333"/>
      <c r="O328" s="1333"/>
      <c r="P328" s="1333"/>
      <c r="Q328" s="1333"/>
      <c r="R328" s="1453"/>
      <c r="S328" s="1284"/>
      <c r="T328" s="1284"/>
      <c r="U328" s="1333"/>
      <c r="V328" s="1333"/>
      <c r="W328" s="1333"/>
      <c r="X328" s="1333"/>
      <c r="Y328" s="1333"/>
      <c r="Z328" s="1333"/>
      <c r="AA328" s="1333"/>
      <c r="AB328" s="1333"/>
      <c r="AC328" s="1333"/>
      <c r="AD328" s="1333"/>
      <c r="AE328" s="1333"/>
      <c r="AF328" s="1333"/>
      <c r="AG328" s="1333"/>
      <c r="AH328" s="1333"/>
      <c r="AI328" s="1333"/>
      <c r="AV328"/>
      <c r="AW328"/>
    </row>
    <row r="329" spans="1:49" ht="15" customHeight="1" x14ac:dyDescent="0.25">
      <c r="A329" s="1504" t="str">
        <f>IF(SD_apply="Yes",IF(COUNTIF('01 - SD'!D329:G329,"Y")&gt;0,"Y",IF(COUNTIF('01 - SD'!D329:G329,"N"),"N","")),"")</f>
        <v>N</v>
      </c>
      <c r="B329" s="18"/>
      <c r="C329" s="945"/>
      <c r="D329" s="116"/>
      <c r="E329" s="321"/>
      <c r="F329" s="559" t="str">
        <f>IF('C-Design&amp;Const'!$K329="","",'C-Design&amp;Const'!$K329)</f>
        <v>N</v>
      </c>
      <c r="G329" s="485"/>
      <c r="H329" s="243" t="str">
        <f>CONCATENATE(IF(F329="N","PLACEHOLDER ROW - ",""),'C-Design&amp;Const'!Z329,IF(F329="N","",J329))</f>
        <v xml:space="preserve">PLACEHOLDER ROW - Electrical Fixture Schedule and Equipment </v>
      </c>
      <c r="I329" s="137"/>
      <c r="J329" s="578" t="str">
        <f>IF('C-Design&amp;Const'!AF329="","",'C-Design&amp;Const'!AF329)</f>
        <v>(Approx. 50% Complete)</v>
      </c>
      <c r="K329" s="25" t="str">
        <f>IF(DD_apply="Yes",IF((COUNTIF(D329:G329,"Y")=COUNTIF('01 - SD'!D329:G329,"Y")),"match","no SD match"),"-")</f>
        <v>match</v>
      </c>
      <c r="L329" s="1410" t="str">
        <f t="shared" si="17"/>
        <v>&lt;---PM/Planner may hide PLACEHOLDER ROW</v>
      </c>
      <c r="M329" s="1333"/>
      <c r="N329" s="1333"/>
      <c r="O329" s="1333"/>
      <c r="P329" s="1333"/>
      <c r="Q329" s="1333"/>
      <c r="R329" s="1453"/>
      <c r="S329" s="1284"/>
      <c r="T329" s="1284"/>
      <c r="U329" s="1333"/>
      <c r="V329" s="1333"/>
      <c r="W329" s="1333"/>
      <c r="X329" s="1333"/>
      <c r="Y329" s="1333"/>
      <c r="Z329" s="1333"/>
      <c r="AA329" s="1333"/>
      <c r="AB329" s="1333"/>
      <c r="AC329" s="1333"/>
      <c r="AD329" s="1333"/>
      <c r="AE329" s="1333"/>
      <c r="AF329" s="1333"/>
      <c r="AG329" s="1333"/>
      <c r="AH329" s="1333"/>
      <c r="AI329" s="1333"/>
      <c r="AV329"/>
      <c r="AW329"/>
    </row>
    <row r="330" spans="1:49" ht="15" customHeight="1" x14ac:dyDescent="0.25">
      <c r="A330" s="1504" t="str">
        <f>IF(SD_apply="Yes",IF(COUNTIF('01 - SD'!D330:G330,"Y")&gt;0,"Y",IF(COUNTIF('01 - SD'!D330:G330,"N"),"N","")),"")</f>
        <v>N</v>
      </c>
      <c r="B330" s="18"/>
      <c r="C330" s="945"/>
      <c r="D330" s="116"/>
      <c r="E330" s="321"/>
      <c r="F330" s="559" t="str">
        <f>IF('C-Design&amp;Const'!$K330="","",'C-Design&amp;Const'!$K330)</f>
        <v>N</v>
      </c>
      <c r="G330" s="485"/>
      <c r="H330" s="243" t="str">
        <f>CONCATENATE(IF(F330="N","PLACEHOLDER ROW - ",""),'C-Design&amp;Const'!Z330,IF(F330="N","",J330))</f>
        <v>PLACEHOLDER ROW - Electrical Lightning Protection Sections / Diagrams</v>
      </c>
      <c r="I330" s="137"/>
      <c r="J330" s="578" t="str">
        <f>IF('C-Design&amp;Const'!AF330="","",'C-Design&amp;Const'!AF330)</f>
        <v>(Approx. 50% Complete)</v>
      </c>
      <c r="K330" s="25" t="str">
        <f>IF(DD_apply="Yes",IF((COUNTIF(D330:G330,"Y")=COUNTIF('01 - SD'!D330:G330,"Y")),"match","no SD match"),"-")</f>
        <v>match</v>
      </c>
      <c r="L330" s="1410" t="str">
        <f t="shared" si="17"/>
        <v>&lt;---PM/Planner may hide PLACEHOLDER ROW</v>
      </c>
      <c r="M330" s="1333"/>
      <c r="N330" s="1333"/>
      <c r="O330" s="1333"/>
      <c r="P330" s="1333"/>
      <c r="Q330" s="1333"/>
      <c r="R330" s="1453"/>
      <c r="S330" s="1284"/>
      <c r="T330" s="1284"/>
      <c r="U330" s="1333"/>
      <c r="V330" s="1333"/>
      <c r="W330" s="1333"/>
      <c r="X330" s="1333"/>
      <c r="Y330" s="1333"/>
      <c r="Z330" s="1333"/>
      <c r="AA330" s="1333"/>
      <c r="AB330" s="1333"/>
      <c r="AC330" s="1333"/>
      <c r="AD330" s="1333"/>
      <c r="AE330" s="1333"/>
      <c r="AF330" s="1333"/>
      <c r="AG330" s="1333"/>
      <c r="AH330" s="1333"/>
      <c r="AI330" s="1333"/>
      <c r="AV330"/>
      <c r="AW330"/>
    </row>
    <row r="331" spans="1:49" s="30" customFormat="1" ht="15" customHeight="1" x14ac:dyDescent="0.25">
      <c r="A331" s="1504" t="str">
        <f>IF(SD_apply="Yes",IF(COUNTIF('01 - SD'!D331:G331,"Y")&gt;0,"Y",IF(COUNTIF('01 - SD'!D331:G331,"N"),"N","")),"")</f>
        <v>N</v>
      </c>
      <c r="B331" s="32"/>
      <c r="C331" s="945"/>
      <c r="D331" s="10"/>
      <c r="E331" s="463"/>
      <c r="F331" s="359" t="str">
        <f>IF('C-Design&amp;Const'!$K331="","",'C-Design&amp;Const'!$K331)</f>
        <v>N</v>
      </c>
      <c r="G331" s="291"/>
      <c r="H331" s="469" t="str">
        <f>CONCATENATE(IF(F331="N","PLACEHOLDER ROW - ",""),'C-Design&amp;Const'!Z331,IF(F331="N","",J331))</f>
        <v xml:space="preserve">PLACEHOLDER ROW - Electrical Lightning Protection Details </v>
      </c>
      <c r="I331" s="184"/>
      <c r="J331" s="578" t="str">
        <f>IF('C-Design&amp;Const'!AF331="","",'C-Design&amp;Const'!AF331)</f>
        <v>(Approx. 50% Complete)</v>
      </c>
      <c r="K331" s="25" t="str">
        <f>IF(DD_apply="Yes",IF((COUNTIF(D331:G331,"Y")=COUNTIF('01 - SD'!D331:G331,"Y")),"match","no SD match"),"-")</f>
        <v>match</v>
      </c>
      <c r="L331" s="1410" t="str">
        <f t="shared" si="17"/>
        <v>&lt;---PM/Planner may hide PLACEHOLDER ROW</v>
      </c>
      <c r="M331" s="1333"/>
      <c r="N331" s="1333"/>
      <c r="O331" s="1382"/>
      <c r="P331" s="1382"/>
      <c r="Q331" s="1382"/>
      <c r="R331" s="1382"/>
      <c r="S331" s="1382"/>
      <c r="T331" s="1382"/>
      <c r="U331" s="1382"/>
      <c r="V331" s="1382"/>
      <c r="W331" s="1382"/>
      <c r="X331" s="1382"/>
      <c r="Y331" s="1382"/>
      <c r="Z331" s="1382"/>
      <c r="AA331" s="1382"/>
      <c r="AB331" s="1382"/>
      <c r="AC331" s="1382"/>
      <c r="AD331" s="1382"/>
      <c r="AE331" s="1382"/>
      <c r="AF331" s="1382"/>
      <c r="AG331" s="1382"/>
      <c r="AH331" s="1382"/>
      <c r="AI331" s="1382"/>
      <c r="AJ331" s="181"/>
      <c r="AK331" s="181"/>
      <c r="AL331" s="181"/>
      <c r="AM331" s="181"/>
      <c r="AN331" s="181"/>
      <c r="AO331" s="181"/>
      <c r="AP331" s="181"/>
      <c r="AQ331" s="181"/>
      <c r="AR331" s="181"/>
      <c r="AS331" s="181"/>
      <c r="AT331" s="181"/>
      <c r="AU331" s="181"/>
      <c r="AV331" s="181"/>
      <c r="AW331" s="181"/>
    </row>
    <row r="332" spans="1:49" ht="15" customHeight="1" x14ac:dyDescent="0.25">
      <c r="A332" s="1502" t="str">
        <f>IF(SD_apply="Yes",IF(COUNTIF('01 - SD'!D332:G332,"Y")&gt;0,"Y",IF(COUNTIF('01 - SD'!D332:G332,"N"),"N","")),"")</f>
        <v>Y</v>
      </c>
      <c r="B332" s="18"/>
      <c r="C332" s="945"/>
      <c r="D332" s="547"/>
      <c r="E332" s="559" t="str">
        <f>IF('C-Design&amp;Const'!$K332="","",'C-Design&amp;Const'!$K332)</f>
        <v>Y</v>
      </c>
      <c r="F332" s="478"/>
      <c r="G332" s="485"/>
      <c r="H332" s="244" t="str">
        <f>CONCATENATE(IF(F332="N","PLACEHOLDER ROW - ",""),'C-Design&amp;Const'!Z332,IF(F332="N","",J332))</f>
        <v>Fire Alarm Drawings</v>
      </c>
      <c r="I332" s="146"/>
      <c r="J332" s="578" t="str">
        <f>IF('C-Design&amp;Const'!AF332="","",'C-Design&amp;Const'!AF332)</f>
        <v/>
      </c>
      <c r="K332" s="25" t="str">
        <f>IF(DD_apply="Yes",IF((COUNTIF(D332:G332,"Y")=COUNTIF('01 - SD'!D332:G332,"Y")),"match","no SD match"),"-")</f>
        <v>match</v>
      </c>
      <c r="L332" s="1410" t="str">
        <f t="shared" si="17"/>
        <v/>
      </c>
      <c r="M332" s="1333"/>
      <c r="N332" s="1333"/>
      <c r="O332" s="1333"/>
      <c r="P332" s="1333"/>
      <c r="Q332" s="1333"/>
      <c r="R332" s="1284"/>
      <c r="S332" s="1489"/>
      <c r="T332" s="1284"/>
      <c r="U332" s="1333"/>
      <c r="V332" s="1333"/>
      <c r="W332" s="1333"/>
      <c r="X332" s="1333"/>
      <c r="Y332" s="1333"/>
      <c r="Z332" s="1333"/>
      <c r="AA332" s="1333"/>
      <c r="AB332" s="1333"/>
      <c r="AC332" s="1333"/>
      <c r="AD332" s="1333"/>
      <c r="AE332" s="1333"/>
      <c r="AF332" s="1333"/>
      <c r="AG332" s="1333"/>
      <c r="AH332" s="1333"/>
      <c r="AI332" s="1333"/>
      <c r="AV332"/>
      <c r="AW332"/>
    </row>
    <row r="333" spans="1:49" ht="15" customHeight="1" x14ac:dyDescent="0.25">
      <c r="A333" s="1504" t="str">
        <f>IF(SD_apply="Yes",IF(COUNTIF('01 - SD'!D333:G333,"Y")&gt;0,"Y",IF(COUNTIF('01 - SD'!D333:G333,"N"),"N","")),"")</f>
        <v>N</v>
      </c>
      <c r="B333" s="18"/>
      <c r="C333" s="945"/>
      <c r="D333" s="116"/>
      <c r="E333" s="321"/>
      <c r="F333" s="559" t="str">
        <f>IF('C-Design&amp;Const'!$K333="","",'C-Design&amp;Const'!$K333)</f>
        <v>N</v>
      </c>
      <c r="G333" s="491"/>
      <c r="H333" s="243" t="str">
        <f>CONCATENATE(IF(F333="N","PLACEHOLDER ROW - ",""),'C-Design&amp;Const'!Z333,IF(F333="N","",J333))</f>
        <v xml:space="preserve">PLACEHOLDER ROW - CUSTOM - Fire Alarm  </v>
      </c>
      <c r="I333" s="137"/>
      <c r="J333" s="578" t="str">
        <f>IF('C-Design&amp;Const'!AF333="","",'C-Design&amp;Const'!AF333)</f>
        <v>(Approx. 50% Complete)</v>
      </c>
      <c r="K333" s="25" t="str">
        <f>IF(DD_apply="Yes",IF((COUNTIF(D333:G333,"Y")=COUNTIF('01 - SD'!D333:G333,"Y")),"match","no SD match"),"-")</f>
        <v>match</v>
      </c>
      <c r="L333" s="1410" t="str">
        <f t="shared" si="17"/>
        <v>&lt;---PM/Planner may hide PLACEHOLDER ROW</v>
      </c>
      <c r="M333" s="1333"/>
      <c r="N333" s="1333"/>
      <c r="O333" s="1333"/>
      <c r="P333" s="1333"/>
      <c r="Q333" s="1333"/>
      <c r="R333" s="1453"/>
      <c r="S333" s="1284"/>
      <c r="T333" s="1284"/>
      <c r="U333" s="1333"/>
      <c r="V333" s="1333"/>
      <c r="W333" s="1333"/>
      <c r="X333" s="1333"/>
      <c r="Y333" s="1333"/>
      <c r="Z333" s="1333"/>
      <c r="AA333" s="1333"/>
      <c r="AB333" s="1333"/>
      <c r="AC333" s="1333"/>
      <c r="AD333" s="1333"/>
      <c r="AE333" s="1333"/>
      <c r="AF333" s="1333"/>
      <c r="AG333" s="1333"/>
      <c r="AH333" s="1333"/>
      <c r="AI333" s="1333"/>
      <c r="AV333"/>
      <c r="AW333"/>
    </row>
    <row r="334" spans="1:49" ht="15" customHeight="1" x14ac:dyDescent="0.25">
      <c r="A334" s="1504" t="str">
        <f>IF(SD_apply="Yes",IF(COUNTIF('01 - SD'!D334:G334,"Y")&gt;0,"Y",IF(COUNTIF('01 - SD'!D334:G334,"N"),"N","")),"")</f>
        <v>N</v>
      </c>
      <c r="B334" s="18"/>
      <c r="C334" s="945"/>
      <c r="D334" s="116"/>
      <c r="E334" s="321"/>
      <c r="F334" s="559" t="str">
        <f>IF('C-Design&amp;Const'!$K334="","",'C-Design&amp;Const'!$K334)</f>
        <v>N</v>
      </c>
      <c r="G334" s="491"/>
      <c r="H334" s="243" t="str">
        <f>CONCATENATE(IF(F334="N","PLACEHOLDER ROW - ",""),'C-Design&amp;Const'!Z334,IF(F334="N","",J334))</f>
        <v xml:space="preserve">PLACEHOLDER ROW - CUSTOM - Fire Alarm  </v>
      </c>
      <c r="I334" s="137"/>
      <c r="J334" s="578" t="str">
        <f>IF('C-Design&amp;Const'!AF334="","",'C-Design&amp;Const'!AF334)</f>
        <v>(Approx. 50% Complete)</v>
      </c>
      <c r="K334" s="25" t="str">
        <f>IF(DD_apply="Yes",IF((COUNTIF(D334:G334,"Y")=COUNTIF('01 - SD'!D334:G334,"Y")),"match","no SD match"),"-")</f>
        <v>match</v>
      </c>
      <c r="L334" s="1410" t="str">
        <f t="shared" si="17"/>
        <v>&lt;---PM/Planner may hide PLACEHOLDER ROW</v>
      </c>
      <c r="M334" s="1333"/>
      <c r="N334" s="1333"/>
      <c r="O334" s="1333"/>
      <c r="P334" s="1333"/>
      <c r="Q334" s="1333"/>
      <c r="R334" s="1453"/>
      <c r="S334" s="1284"/>
      <c r="T334" s="1284"/>
      <c r="U334" s="1333"/>
      <c r="V334" s="1333"/>
      <c r="W334" s="1333"/>
      <c r="X334" s="1333"/>
      <c r="Y334" s="1333"/>
      <c r="Z334" s="1333"/>
      <c r="AA334" s="1333"/>
      <c r="AB334" s="1333"/>
      <c r="AC334" s="1333"/>
      <c r="AD334" s="1333"/>
      <c r="AE334" s="1333"/>
      <c r="AF334" s="1333"/>
      <c r="AG334" s="1333"/>
      <c r="AH334" s="1333"/>
      <c r="AI334" s="1333"/>
      <c r="AV334"/>
      <c r="AW334"/>
    </row>
    <row r="335" spans="1:49" s="542" customFormat="1" ht="15" customHeight="1" x14ac:dyDescent="0.25">
      <c r="A335" s="1504" t="str">
        <f>IF(SD_apply="Yes",IF(COUNTIF('01 - SD'!D335:G335,"Y")&gt;0,"Y",IF(COUNTIF('01 - SD'!D335:G335,"N"),"N","")),"")</f>
        <v>N</v>
      </c>
      <c r="B335" s="18"/>
      <c r="C335" s="945"/>
      <c r="D335" s="116"/>
      <c r="E335" s="321"/>
      <c r="F335" s="559" t="str">
        <f>IF('C-Design&amp;Const'!$K335="","",'C-Design&amp;Const'!$K335)</f>
        <v>Y</v>
      </c>
      <c r="G335" s="485"/>
      <c r="H335" s="243" t="str">
        <f>CONCATENATE(IF(F335="N","PLACEHOLDER ROW - ",""),'C-Design&amp;Const'!Z335,IF(F335="N","",J335))</f>
        <v>Fire Alarm Symbols, Abbreviations, and General Notes (Complete)</v>
      </c>
      <c r="I335" s="137"/>
      <c r="J335" s="578" t="str">
        <f>IF('C-Design&amp;Const'!AF335="","",'C-Design&amp;Const'!AF335)</f>
        <v>(Complete)</v>
      </c>
      <c r="K335" s="25" t="str">
        <f>IF(DD_apply="Yes",IF((COUNTIF(D335:G335,"Y")=COUNTIF('01 - SD'!D335:G335,"Y")),"match","no SD match"),"-")</f>
        <v>no SD match</v>
      </c>
      <c r="L335" s="1410" t="str">
        <f t="shared" si="17"/>
        <v/>
      </c>
      <c r="M335" s="1333"/>
      <c r="N335" s="1333"/>
      <c r="O335" s="1333"/>
      <c r="P335" s="1333"/>
      <c r="Q335" s="1333"/>
      <c r="R335" s="1453"/>
      <c r="S335" s="1284"/>
      <c r="T335" s="1284"/>
      <c r="U335" s="1333"/>
      <c r="V335" s="1333"/>
      <c r="W335" s="1333"/>
      <c r="X335" s="1333"/>
      <c r="Y335" s="1333"/>
      <c r="Z335" s="1333"/>
      <c r="AA335" s="1333"/>
      <c r="AB335" s="1333"/>
      <c r="AC335" s="1333"/>
      <c r="AD335" s="1333"/>
      <c r="AE335" s="1333"/>
      <c r="AF335" s="1333"/>
      <c r="AG335" s="1333"/>
      <c r="AH335" s="1333"/>
      <c r="AI335" s="1333"/>
      <c r="AJ335" s="17"/>
      <c r="AK335" s="17"/>
      <c r="AL335" s="17"/>
      <c r="AM335" s="17"/>
      <c r="AN335" s="17"/>
      <c r="AO335" s="17"/>
      <c r="AP335" s="17"/>
      <c r="AQ335" s="17"/>
      <c r="AR335" s="17"/>
      <c r="AS335" s="17"/>
      <c r="AT335" s="17"/>
      <c r="AU335" s="17"/>
    </row>
    <row r="336" spans="1:49" s="542" customFormat="1" ht="15" customHeight="1" x14ac:dyDescent="0.25">
      <c r="A336" s="1504" t="str">
        <f>IF(SD_apply="Yes",IF(COUNTIF('01 - SD'!D336:G336,"Y")&gt;0,"Y",IF(COUNTIF('01 - SD'!D336:G336,"N"),"N","")),"")</f>
        <v>N</v>
      </c>
      <c r="B336" s="18"/>
      <c r="C336" s="945"/>
      <c r="D336" s="116"/>
      <c r="E336" s="321"/>
      <c r="F336" s="559" t="str">
        <f>IF('C-Design&amp;Const'!$K336="","",'C-Design&amp;Const'!$K336)</f>
        <v>Y</v>
      </c>
      <c r="G336" s="485"/>
      <c r="H336" s="243" t="str">
        <f>CONCATENATE(IF(F336="N","PLACEHOLDER ROW - ",""),'C-Design&amp;Const'!Z336,IF(F336="N","",J336))</f>
        <v>Fire Alarm Demolition(s) (Approx. 50% Complete)</v>
      </c>
      <c r="I336" s="137"/>
      <c r="J336" s="578" t="str">
        <f>IF('C-Design&amp;Const'!AF336="","",'C-Design&amp;Const'!AF336)</f>
        <v>(Approx. 50% Complete)</v>
      </c>
      <c r="K336" s="25" t="str">
        <f>IF(DD_apply="Yes",IF((COUNTIF(D336:G336,"Y")=COUNTIF('01 - SD'!D336:G336,"Y")),"match","no SD match"),"-")</f>
        <v>no SD match</v>
      </c>
      <c r="L336" s="1410" t="str">
        <f t="shared" si="17"/>
        <v/>
      </c>
      <c r="M336" s="1333"/>
      <c r="N336" s="1333"/>
      <c r="O336" s="1333"/>
      <c r="P336" s="1333"/>
      <c r="Q336" s="1333"/>
      <c r="R336" s="1453"/>
      <c r="S336" s="1284"/>
      <c r="T336" s="1284"/>
      <c r="U336" s="1333"/>
      <c r="V336" s="1333"/>
      <c r="W336" s="1333"/>
      <c r="X336" s="1333"/>
      <c r="Y336" s="1333"/>
      <c r="Z336" s="1333"/>
      <c r="AA336" s="1333"/>
      <c r="AB336" s="1333"/>
      <c r="AC336" s="1333"/>
      <c r="AD336" s="1333"/>
      <c r="AE336" s="1333"/>
      <c r="AF336" s="1333"/>
      <c r="AG336" s="1333"/>
      <c r="AH336" s="1333"/>
      <c r="AI336" s="1333"/>
      <c r="AJ336" s="17"/>
      <c r="AK336" s="17"/>
      <c r="AL336" s="17"/>
      <c r="AM336" s="17"/>
      <c r="AN336" s="17"/>
      <c r="AO336" s="17"/>
      <c r="AP336" s="17"/>
      <c r="AQ336" s="17"/>
      <c r="AR336" s="17"/>
      <c r="AS336" s="17"/>
      <c r="AT336" s="17"/>
      <c r="AU336" s="17"/>
    </row>
    <row r="337" spans="1:49" ht="15" customHeight="1" x14ac:dyDescent="0.25">
      <c r="A337" s="1504" t="str">
        <f>IF(SD_apply="Yes",IF(COUNTIF('01 - SD'!D337:G337,"Y")&gt;0,"Y",IF(COUNTIF('01 - SD'!D337:G337,"N"),"N","")),"")</f>
        <v>Y</v>
      </c>
      <c r="B337" s="18"/>
      <c r="C337" s="945"/>
      <c r="D337" s="116"/>
      <c r="E337" s="321"/>
      <c r="F337" s="559" t="str">
        <f>IF('C-Design&amp;Const'!$K337="","",'C-Design&amp;Const'!$K337)</f>
        <v>Y</v>
      </c>
      <c r="G337" s="485"/>
      <c r="H337" s="243" t="str">
        <f>CONCATENATE(IF(F337="N","PLACEHOLDER ROW - ",""),'C-Design&amp;Const'!Z337,IF(F337="N","",J337))</f>
        <v>Fire Alarm Floor Plans (Approx. 50% Complete)</v>
      </c>
      <c r="I337" s="137"/>
      <c r="J337" s="578" t="str">
        <f>IF('C-Design&amp;Const'!AF337="","",'C-Design&amp;Const'!AF337)</f>
        <v>(Approx. 50% Complete)</v>
      </c>
      <c r="K337" s="25" t="str">
        <f>IF(DD_apply="Yes",IF((COUNTIF(D337:G337,"Y")=COUNTIF('01 - SD'!D337:G337,"Y")),"match","no SD match"),"-")</f>
        <v>match</v>
      </c>
      <c r="L337" s="1410" t="str">
        <f t="shared" si="17"/>
        <v/>
      </c>
      <c r="M337" s="1333"/>
      <c r="N337" s="1333"/>
      <c r="O337" s="1333"/>
      <c r="P337" s="1333"/>
      <c r="Q337" s="1333"/>
      <c r="R337" s="1453"/>
      <c r="S337" s="1284"/>
      <c r="T337" s="1284"/>
      <c r="U337" s="1333"/>
      <c r="V337" s="1333"/>
      <c r="W337" s="1333"/>
      <c r="X337" s="1333"/>
      <c r="Y337" s="1333"/>
      <c r="Z337" s="1333"/>
      <c r="AA337" s="1333"/>
      <c r="AB337" s="1333"/>
      <c r="AC337" s="1333"/>
      <c r="AD337" s="1333"/>
      <c r="AE337" s="1333"/>
      <c r="AF337" s="1333"/>
      <c r="AG337" s="1333"/>
      <c r="AH337" s="1333"/>
      <c r="AI337" s="1333"/>
      <c r="AV337"/>
      <c r="AW337"/>
    </row>
    <row r="338" spans="1:49" ht="15" customHeight="1" x14ac:dyDescent="0.25">
      <c r="A338" s="1504" t="str">
        <f>IF(SD_apply="Yes",IF(COUNTIF('01 - SD'!D338:G338,"Y")&gt;0,"Y",IF(COUNTIF('01 - SD'!D338:G338,"N"),"N","")),"")</f>
        <v>N</v>
      </c>
      <c r="B338" s="18"/>
      <c r="C338" s="945"/>
      <c r="D338" s="116"/>
      <c r="E338" s="321"/>
      <c r="F338" s="559" t="str">
        <f>IF('C-Design&amp;Const'!$K338="","",'C-Design&amp;Const'!$K338)</f>
        <v>N</v>
      </c>
      <c r="G338" s="485"/>
      <c r="H338" s="243" t="str">
        <f>CONCATENATE(IF(F338="N","PLACEHOLDER ROW - ",""),'C-Design&amp;Const'!Z338,IF(F338="N","",J338))</f>
        <v xml:space="preserve">PLACEHOLDER ROW - Fire Alarm Riser Diagrams and Connections </v>
      </c>
      <c r="I338" s="137"/>
      <c r="J338" s="578" t="str">
        <f>IF('C-Design&amp;Const'!AF338="","",'C-Design&amp;Const'!AF338)</f>
        <v>(Approx. 50% Complete)</v>
      </c>
      <c r="K338" s="25" t="str">
        <f>IF(DD_apply="Yes",IF((COUNTIF(D338:G338,"Y")=COUNTIF('01 - SD'!D338:G338,"Y")),"match","no SD match"),"-")</f>
        <v>match</v>
      </c>
      <c r="L338" s="1410" t="str">
        <f t="shared" si="17"/>
        <v>&lt;---PM/Planner may hide PLACEHOLDER ROW</v>
      </c>
      <c r="M338" s="1333"/>
      <c r="N338" s="1333"/>
      <c r="O338" s="1333"/>
      <c r="P338" s="1333"/>
      <c r="Q338" s="1333"/>
      <c r="R338" s="1453"/>
      <c r="S338" s="1284"/>
      <c r="T338" s="1284"/>
      <c r="U338" s="1333"/>
      <c r="V338" s="1333"/>
      <c r="W338" s="1333"/>
      <c r="X338" s="1333"/>
      <c r="Y338" s="1333"/>
      <c r="Z338" s="1333"/>
      <c r="AA338" s="1333"/>
      <c r="AB338" s="1333"/>
      <c r="AC338" s="1333"/>
      <c r="AD338" s="1333"/>
      <c r="AE338" s="1333"/>
      <c r="AF338" s="1333"/>
      <c r="AG338" s="1333"/>
      <c r="AH338" s="1333"/>
      <c r="AI338" s="1333"/>
      <c r="AV338"/>
      <c r="AW338"/>
    </row>
    <row r="339" spans="1:49" ht="15" customHeight="1" x14ac:dyDescent="0.25">
      <c r="A339" s="1504" t="str">
        <f>IF(SD_apply="Yes",IF(COUNTIF('01 - SD'!D339:G339,"Y")&gt;0,"Y",IF(COUNTIF('01 - SD'!D339:G339,"N"),"N","")),"")</f>
        <v>N</v>
      </c>
      <c r="B339" s="18"/>
      <c r="C339" s="945"/>
      <c r="D339" s="116"/>
      <c r="E339" s="321"/>
      <c r="F339" s="559" t="str">
        <f>IF('C-Design&amp;Const'!$K339="","",'C-Design&amp;Const'!$K339)</f>
        <v>N</v>
      </c>
      <c r="G339" s="485"/>
      <c r="H339" s="243" t="str">
        <f>CONCATENATE(IF(F339="N","PLACEHOLDER ROW - ",""),'C-Design&amp;Const'!Z339,IF(F339="N","",J339))</f>
        <v xml:space="preserve">PLACEHOLDER ROW - Fire Alarm Details </v>
      </c>
      <c r="I339" s="137"/>
      <c r="J339" s="578" t="str">
        <f>IF('C-Design&amp;Const'!AF339="","",'C-Design&amp;Const'!AF339)</f>
        <v>(Preliminary)</v>
      </c>
      <c r="K339" s="25" t="str">
        <f>IF(DD_apply="Yes",IF((COUNTIF(D339:G339,"Y")=COUNTIF('01 - SD'!D339:G339,"Y")),"match","no SD match"),"-")</f>
        <v>match</v>
      </c>
      <c r="L339" s="1410" t="str">
        <f t="shared" si="17"/>
        <v>&lt;---PM/Planner may hide PLACEHOLDER ROW</v>
      </c>
      <c r="M339" s="1333"/>
      <c r="N339" s="1333"/>
      <c r="O339" s="1333"/>
      <c r="P339" s="1333"/>
      <c r="Q339" s="1333"/>
      <c r="R339" s="1453"/>
      <c r="S339" s="1284"/>
      <c r="T339" s="1284"/>
      <c r="U339" s="1333"/>
      <c r="V339" s="1333"/>
      <c r="W339" s="1333"/>
      <c r="X339" s="1333"/>
      <c r="Y339" s="1333"/>
      <c r="Z339" s="1333"/>
      <c r="AA339" s="1333"/>
      <c r="AB339" s="1333"/>
      <c r="AC339" s="1333"/>
      <c r="AD339" s="1333"/>
      <c r="AE339" s="1333"/>
      <c r="AF339" s="1333"/>
      <c r="AG339" s="1333"/>
      <c r="AH339" s="1333"/>
      <c r="AI339" s="1333"/>
      <c r="AV339"/>
      <c r="AW339"/>
    </row>
    <row r="340" spans="1:49" ht="15" customHeight="1" x14ac:dyDescent="0.25">
      <c r="A340" s="1502" t="str">
        <f>IF(SD_apply="Yes",IF(COUNTIF('01 - SD'!D340:G340,"Y")&gt;0,"Y",IF(COUNTIF('01 - SD'!D340:G340,"N"),"N","")),"")</f>
        <v>Y</v>
      </c>
      <c r="B340" s="18"/>
      <c r="C340" s="945"/>
      <c r="D340" s="116"/>
      <c r="E340" s="559" t="str">
        <f>IF('C-Design&amp;Const'!$K340="","",'C-Design&amp;Const'!$K340)</f>
        <v>Y</v>
      </c>
      <c r="F340" s="321"/>
      <c r="G340" s="485"/>
      <c r="H340" s="244" t="str">
        <f>CONCATENATE(IF(F340="N","PLACEHOLDER ROW - ",""),'C-Design&amp;Const'!Z340,IF(F340="N","",J340))</f>
        <v>Building Automation Systems Drawings (HVAC Instrumentation and Control)</v>
      </c>
      <c r="I340" s="146"/>
      <c r="J340" s="578" t="str">
        <f>IF('C-Design&amp;Const'!AF340="","",'C-Design&amp;Const'!AF340)</f>
        <v/>
      </c>
      <c r="K340" s="25" t="str">
        <f>IF(DD_apply="Yes",IF((COUNTIF(D340:G340,"Y")=COUNTIF('01 - SD'!D340:G340,"Y")),"match","no SD match"),"-")</f>
        <v>match</v>
      </c>
      <c r="L340" s="1410" t="str">
        <f t="shared" ref="L340:L357" si="18">CONCATENATE(IF(ISNUMBER(SEARCH("Placeholder",H340))=TRUE,"&lt;---PM/Planner may hide PLACEHOLDER ROW",""))</f>
        <v/>
      </c>
      <c r="M340" s="1333"/>
      <c r="N340" s="1333"/>
      <c r="O340" s="1333"/>
      <c r="P340" s="1333"/>
      <c r="Q340" s="1333"/>
      <c r="R340" s="1490"/>
      <c r="S340" s="1489"/>
      <c r="T340" s="1284"/>
      <c r="U340" s="1333"/>
      <c r="V340" s="1333"/>
      <c r="W340" s="1333"/>
      <c r="X340" s="1333"/>
      <c r="Y340" s="1333"/>
      <c r="Z340" s="1333"/>
      <c r="AA340" s="1333"/>
      <c r="AB340" s="1333"/>
      <c r="AC340" s="1333"/>
      <c r="AD340" s="1333"/>
      <c r="AE340" s="1333"/>
      <c r="AF340" s="1333"/>
      <c r="AG340" s="1333"/>
      <c r="AH340" s="1333"/>
      <c r="AI340" s="1333"/>
      <c r="AV340"/>
      <c r="AW340"/>
    </row>
    <row r="341" spans="1:49" ht="15" customHeight="1" x14ac:dyDescent="0.25">
      <c r="A341" s="1504" t="str">
        <f>IF(SD_apply="Yes",IF(COUNTIF('01 - SD'!D341:G341,"Y")&gt;0,"Y",IF(COUNTIF('01 - SD'!D341:G341,"N"),"N","")),"")</f>
        <v>N</v>
      </c>
      <c r="B341" s="18"/>
      <c r="C341" s="945"/>
      <c r="D341" s="116"/>
      <c r="E341" s="321"/>
      <c r="F341" s="559" t="str">
        <f>IF('C-Design&amp;Const'!$K341="","",'C-Design&amp;Const'!$K341)</f>
        <v>N</v>
      </c>
      <c r="G341" s="491"/>
      <c r="H341" s="243" t="str">
        <f>CONCATENATE(IF(F341="N","PLACEHOLDER ROW - ",""),'C-Design&amp;Const'!Z341,IF(F341="N","",J341))</f>
        <v>PLACEHOLDER ROW - CUSTOM - Building Automation Systems</v>
      </c>
      <c r="I341" s="137"/>
      <c r="J341" s="578" t="str">
        <f>IF('C-Design&amp;Const'!AF341="","",'C-Design&amp;Const'!AF341)</f>
        <v>(Approx. 50% Complete)</v>
      </c>
      <c r="K341" s="25" t="str">
        <f>IF(DD_apply="Yes",IF((COUNTIF(D341:G341,"Y")=COUNTIF('01 - SD'!D341:G341,"Y")),"match","no SD match"),"-")</f>
        <v>match</v>
      </c>
      <c r="L341" s="1410" t="str">
        <f t="shared" si="18"/>
        <v>&lt;---PM/Planner may hide PLACEHOLDER ROW</v>
      </c>
      <c r="M341" s="1333"/>
      <c r="N341" s="1333"/>
      <c r="O341" s="1333"/>
      <c r="P341" s="1333"/>
      <c r="Q341" s="1333"/>
      <c r="R341" s="1453"/>
      <c r="S341" s="1284"/>
      <c r="T341" s="1284"/>
      <c r="U341" s="1333"/>
      <c r="V341" s="1333"/>
      <c r="W341" s="1333"/>
      <c r="X341" s="1333"/>
      <c r="Y341" s="1333"/>
      <c r="Z341" s="1333"/>
      <c r="AA341" s="1333"/>
      <c r="AB341" s="1333"/>
      <c r="AC341" s="1333"/>
      <c r="AD341" s="1333"/>
      <c r="AE341" s="1333"/>
      <c r="AF341" s="1333"/>
      <c r="AG341" s="1333"/>
      <c r="AH341" s="1333"/>
      <c r="AI341" s="1333"/>
      <c r="AV341"/>
      <c r="AW341"/>
    </row>
    <row r="342" spans="1:49" ht="15" customHeight="1" x14ac:dyDescent="0.25">
      <c r="A342" s="1504" t="str">
        <f>IF(SD_apply="Yes",IF(COUNTIF('01 - SD'!D342:G342,"Y")&gt;0,"Y",IF(COUNTIF('01 - SD'!D342:G342,"N"),"N","")),"")</f>
        <v>N</v>
      </c>
      <c r="B342" s="18"/>
      <c r="C342" s="945"/>
      <c r="D342" s="116"/>
      <c r="E342" s="321"/>
      <c r="F342" s="559" t="str">
        <f>IF('C-Design&amp;Const'!$K342="","",'C-Design&amp;Const'!$K342)</f>
        <v>N</v>
      </c>
      <c r="G342" s="491"/>
      <c r="H342" s="243" t="str">
        <f>CONCATENATE(IF(F342="N","PLACEHOLDER ROW - ",""),'C-Design&amp;Const'!Z342,IF(F342="N","",J342))</f>
        <v>PLACEHOLDER ROW - CUSTOM - Building Automation Systems</v>
      </c>
      <c r="I342" s="137"/>
      <c r="J342" s="578" t="str">
        <f>IF('C-Design&amp;Const'!AF342="","",'C-Design&amp;Const'!AF342)</f>
        <v>(Approx. 50% Complete)</v>
      </c>
      <c r="K342" s="25" t="str">
        <f>IF(DD_apply="Yes",IF((COUNTIF(D342:G342,"Y")=COUNTIF('01 - SD'!D342:G342,"Y")),"match","no SD match"),"-")</f>
        <v>match</v>
      </c>
      <c r="L342" s="1410" t="str">
        <f t="shared" si="18"/>
        <v>&lt;---PM/Planner may hide PLACEHOLDER ROW</v>
      </c>
      <c r="M342" s="1333"/>
      <c r="N342" s="1333"/>
      <c r="O342" s="1333"/>
      <c r="P342" s="1333"/>
      <c r="Q342" s="1333"/>
      <c r="R342" s="1453"/>
      <c r="S342" s="1284"/>
      <c r="T342" s="1284"/>
      <c r="U342" s="1333"/>
      <c r="V342" s="1333"/>
      <c r="W342" s="1333"/>
      <c r="X342" s="1333"/>
      <c r="Y342" s="1333"/>
      <c r="Z342" s="1333"/>
      <c r="AA342" s="1333"/>
      <c r="AB342" s="1333"/>
      <c r="AC342" s="1333"/>
      <c r="AD342" s="1333"/>
      <c r="AE342" s="1333"/>
      <c r="AF342" s="1333"/>
      <c r="AG342" s="1333"/>
      <c r="AH342" s="1333"/>
      <c r="AI342" s="1333"/>
      <c r="AV342"/>
      <c r="AW342"/>
    </row>
    <row r="343" spans="1:49" s="542" customFormat="1" ht="15" customHeight="1" x14ac:dyDescent="0.25">
      <c r="A343" s="1504" t="str">
        <f>IF(SD_apply="Yes",IF(COUNTIF('01 - SD'!D343:G343,"Y")&gt;0,"Y",IF(COUNTIF('01 - SD'!D343:G343,"N"),"N","")),"")</f>
        <v>N</v>
      </c>
      <c r="B343" s="18"/>
      <c r="C343" s="945"/>
      <c r="D343" s="116"/>
      <c r="E343" s="321"/>
      <c r="F343" s="559" t="str">
        <f>IF('C-Design&amp;Const'!$K343="","",'C-Design&amp;Const'!$K343)</f>
        <v>Y</v>
      </c>
      <c r="G343" s="485"/>
      <c r="H343" s="243" t="str">
        <f>CONCATENATE(IF(F343="N","PLACEHOLDER ROW - ",""),'C-Design&amp;Const'!Z343,IF(F343="N","",J343))</f>
        <v>Building Automation Symbols, Abbreviations, and General Notes (Complete)</v>
      </c>
      <c r="I343" s="137"/>
      <c r="J343" s="578" t="str">
        <f>IF('C-Design&amp;Const'!AF343="","",'C-Design&amp;Const'!AF343)</f>
        <v>(Complete)</v>
      </c>
      <c r="K343" s="25" t="str">
        <f>IF(DD_apply="Yes",IF((COUNTIF(D343:G343,"Y")=COUNTIF('01 - SD'!D343:G343,"Y")),"match","no SD match"),"-")</f>
        <v>no SD match</v>
      </c>
      <c r="L343" s="1410" t="str">
        <f t="shared" si="18"/>
        <v/>
      </c>
      <c r="M343" s="1333"/>
      <c r="N343" s="1333"/>
      <c r="O343" s="1333"/>
      <c r="P343" s="1333"/>
      <c r="Q343" s="1333"/>
      <c r="R343" s="1453"/>
      <c r="S343" s="1284"/>
      <c r="T343" s="1284"/>
      <c r="U343" s="1333"/>
      <c r="V343" s="1333"/>
      <c r="W343" s="1333"/>
      <c r="X343" s="1333"/>
      <c r="Y343" s="1333"/>
      <c r="Z343" s="1333"/>
      <c r="AA343" s="1333"/>
      <c r="AB343" s="1333"/>
      <c r="AC343" s="1333"/>
      <c r="AD343" s="1333"/>
      <c r="AE343" s="1333"/>
      <c r="AF343" s="1333"/>
      <c r="AG343" s="1333"/>
      <c r="AH343" s="1333"/>
      <c r="AI343" s="1333"/>
      <c r="AJ343" s="17"/>
      <c r="AK343" s="17"/>
      <c r="AL343" s="17"/>
      <c r="AM343" s="17"/>
      <c r="AN343" s="17"/>
      <c r="AO343" s="17"/>
      <c r="AP343" s="17"/>
      <c r="AQ343" s="17"/>
      <c r="AR343" s="17"/>
      <c r="AS343" s="17"/>
      <c r="AT343" s="17"/>
      <c r="AU343" s="17"/>
    </row>
    <row r="344" spans="1:49" s="542" customFormat="1" ht="15" customHeight="1" x14ac:dyDescent="0.25">
      <c r="A344" s="1504" t="str">
        <f>IF(SD_apply="Yes",IF(COUNTIF('01 - SD'!D344:G344,"Y")&gt;0,"Y",IF(COUNTIF('01 - SD'!D344:G344,"N"),"N","")),"")</f>
        <v>N</v>
      </c>
      <c r="B344" s="18"/>
      <c r="C344" s="945"/>
      <c r="D344" s="116"/>
      <c r="E344" s="321"/>
      <c r="F344" s="559" t="str">
        <f>IF('C-Design&amp;Const'!$K344="","",'C-Design&amp;Const'!$K344)</f>
        <v>Y</v>
      </c>
      <c r="G344" s="485"/>
      <c r="H344" s="243" t="str">
        <f>CONCATENATE(IF(F344="N","PLACEHOLDER ROW - ",""),'C-Design&amp;Const'!Z344,IF(F344="N","",J344))</f>
        <v>Building Automation Systems Demolition(s) (Approx. 50% Complete)</v>
      </c>
      <c r="I344" s="137"/>
      <c r="J344" s="578" t="str">
        <f>IF('C-Design&amp;Const'!AF344="","",'C-Design&amp;Const'!AF344)</f>
        <v>(Approx. 50% Complete)</v>
      </c>
      <c r="K344" s="25" t="str">
        <f>IF(DD_apply="Yes",IF((COUNTIF(D344:G344,"Y")=COUNTIF('01 - SD'!D344:G344,"Y")),"match","no SD match"),"-")</f>
        <v>no SD match</v>
      </c>
      <c r="L344" s="1410" t="str">
        <f t="shared" si="18"/>
        <v/>
      </c>
      <c r="M344" s="1333"/>
      <c r="N344" s="1333"/>
      <c r="O344" s="1333"/>
      <c r="P344" s="1333"/>
      <c r="Q344" s="1333"/>
      <c r="R344" s="1453"/>
      <c r="S344" s="1284"/>
      <c r="T344" s="1284"/>
      <c r="U344" s="1333"/>
      <c r="V344" s="1333"/>
      <c r="W344" s="1333"/>
      <c r="X344" s="1333"/>
      <c r="Y344" s="1333"/>
      <c r="Z344" s="1333"/>
      <c r="AA344" s="1333"/>
      <c r="AB344" s="1333"/>
      <c r="AC344" s="1333"/>
      <c r="AD344" s="1333"/>
      <c r="AE344" s="1333"/>
      <c r="AF344" s="1333"/>
      <c r="AG344" s="1333"/>
      <c r="AH344" s="1333"/>
      <c r="AI344" s="1333"/>
      <c r="AJ344" s="17"/>
      <c r="AK344" s="17"/>
      <c r="AL344" s="17"/>
      <c r="AM344" s="17"/>
      <c r="AN344" s="17"/>
      <c r="AO344" s="17"/>
      <c r="AP344" s="17"/>
      <c r="AQ344" s="17"/>
      <c r="AR344" s="17"/>
      <c r="AS344" s="17"/>
      <c r="AT344" s="17"/>
      <c r="AU344" s="17"/>
    </row>
    <row r="345" spans="1:49" ht="15" customHeight="1" x14ac:dyDescent="0.25">
      <c r="A345" s="1504" t="str">
        <f>IF(SD_apply="Yes",IF(COUNTIF('01 - SD'!D345:G345,"Y")&gt;0,"Y",IF(COUNTIF('01 - SD'!D345:G345,"N"),"N","")),"")</f>
        <v>Y</v>
      </c>
      <c r="B345" s="18"/>
      <c r="C345" s="945"/>
      <c r="D345" s="116"/>
      <c r="E345" s="321"/>
      <c r="F345" s="559" t="str">
        <f>IF('C-Design&amp;Const'!$K345="","",'C-Design&amp;Const'!$K345)</f>
        <v>Y</v>
      </c>
      <c r="G345" s="485"/>
      <c r="H345" s="243" t="str">
        <f>CONCATENATE(IF(F345="N","PLACEHOLDER ROW - ",""),'C-Design&amp;Const'!Z345,IF(F345="N","",J345))</f>
        <v>Building Automation Floor Plans and Approximate Control Panel Locations &amp; Other Instruments or Device Locations (Approx. 50% Complete)</v>
      </c>
      <c r="I345" s="137"/>
      <c r="J345" s="578" t="str">
        <f>IF('C-Design&amp;Const'!AF345="","",'C-Design&amp;Const'!AF345)</f>
        <v>(Approx. 50% Complete)</v>
      </c>
      <c r="K345" s="25" t="str">
        <f>IF(DD_apply="Yes",IF((COUNTIF(D345:G345,"Y")=COUNTIF('01 - SD'!D345:G345,"Y")),"match","no SD match"),"-")</f>
        <v>match</v>
      </c>
      <c r="L345" s="1410" t="str">
        <f t="shared" si="18"/>
        <v/>
      </c>
      <c r="M345" s="1333"/>
      <c r="N345" s="1382"/>
      <c r="O345" s="1333"/>
      <c r="P345" s="1333"/>
      <c r="Q345" s="1333"/>
      <c r="R345" s="1490"/>
      <c r="S345" s="1284"/>
      <c r="T345" s="1284"/>
      <c r="U345" s="1333"/>
      <c r="V345" s="1333"/>
      <c r="W345" s="1333"/>
      <c r="X345" s="1333"/>
      <c r="Y345" s="1333"/>
      <c r="Z345" s="1333"/>
      <c r="AA345" s="1333"/>
      <c r="AB345" s="1333"/>
      <c r="AC345" s="1333"/>
      <c r="AD345" s="1333"/>
      <c r="AE345" s="1333"/>
      <c r="AF345" s="1333"/>
      <c r="AG345" s="1333"/>
      <c r="AH345" s="1333"/>
      <c r="AI345" s="1333"/>
      <c r="AV345"/>
      <c r="AW345"/>
    </row>
    <row r="346" spans="1:49" ht="30.75" customHeight="1" x14ac:dyDescent="0.25">
      <c r="A346" s="1504" t="str">
        <f>IF(SD_apply="Yes",IF(COUNTIF('01 - SD'!D346:G346,"Y")&gt;0,"Y",IF(COUNTIF('01 - SD'!D346:G346,"N"),"N","")),"")</f>
        <v>N</v>
      </c>
      <c r="B346" s="18"/>
      <c r="C346" s="945"/>
      <c r="D346" s="116"/>
      <c r="E346" s="321"/>
      <c r="F346" s="559" t="str">
        <f>IF('C-Design&amp;Const'!$K346="","",'C-Design&amp;Const'!$K346)</f>
        <v>Y</v>
      </c>
      <c r="G346" s="485"/>
      <c r="H346" s="243" t="str">
        <f>CONCATENATE(IF(F346="N","PLACEHOLDER ROW - ",""),'C-Design&amp;Const'!Z346,IF(F346="N","",J346))</f>
        <v>Building Automation Systems Diagrams, Points List (Diagrammatical or Spreadsheet), Device Schedule, and Sequences of Operation (Preliminary)</v>
      </c>
      <c r="I346" s="137"/>
      <c r="J346" s="578" t="str">
        <f>IF('C-Design&amp;Const'!AF346="","",'C-Design&amp;Const'!AF346)</f>
        <v>(Preliminary)</v>
      </c>
      <c r="K346" s="25" t="str">
        <f>IF(DD_apply="Yes",IF((COUNTIF(D346:G346,"Y")=COUNTIF('01 - SD'!D346:G346,"Y")),"match","no SD match"),"-")</f>
        <v>no SD match</v>
      </c>
      <c r="L346" s="1410" t="str">
        <f t="shared" si="18"/>
        <v/>
      </c>
      <c r="M346" s="1333"/>
      <c r="N346" s="1333"/>
      <c r="O346" s="1333"/>
      <c r="P346" s="1333"/>
      <c r="Q346" s="1333"/>
      <c r="R346" s="1490"/>
      <c r="S346" s="1284"/>
      <c r="T346" s="1284"/>
      <c r="U346" s="1333"/>
      <c r="V346" s="1333"/>
      <c r="W346" s="1333"/>
      <c r="X346" s="1333"/>
      <c r="Y346" s="1333"/>
      <c r="Z346" s="1333"/>
      <c r="AA346" s="1333"/>
      <c r="AB346" s="1333"/>
      <c r="AC346" s="1333"/>
      <c r="AD346" s="1333"/>
      <c r="AE346" s="1333"/>
      <c r="AF346" s="1333"/>
      <c r="AG346" s="1333"/>
      <c r="AH346" s="1333"/>
      <c r="AI346" s="1333"/>
      <c r="AV346"/>
      <c r="AW346"/>
    </row>
    <row r="347" spans="1:49" s="30" customFormat="1" ht="17.25" customHeight="1" x14ac:dyDescent="0.25">
      <c r="A347" s="1504" t="str">
        <f>IF(SD_apply="Yes",IF(COUNTIF('01 - SD'!D347:G347,"Y")&gt;0,"Y",IF(COUNTIF('01 - SD'!D347:G347,"N"),"N","")),"")</f>
        <v>N</v>
      </c>
      <c r="B347" s="32"/>
      <c r="C347" s="945"/>
      <c r="D347" s="10"/>
      <c r="E347" s="463"/>
      <c r="F347" s="359" t="str">
        <f>IF('C-Design&amp;Const'!$K347="","",'C-Design&amp;Const'!$K347)</f>
        <v>Y</v>
      </c>
      <c r="G347" s="291"/>
      <c r="H347" s="469" t="str">
        <f>CONCATENATE(IF(F347="N","PLACEHOLDER ROW - ",""),'C-Design&amp;Const'!Z347,IF(F347="N","",J347))</f>
        <v>Building Network Connections and Integration (Preliminary)</v>
      </c>
      <c r="I347" s="184"/>
      <c r="J347" s="578" t="str">
        <f>IF('C-Design&amp;Const'!AF347="","",'C-Design&amp;Const'!AF347)</f>
        <v>(Preliminary)</v>
      </c>
      <c r="K347" s="25" t="str">
        <f>IF(DD_apply="Yes",IF((COUNTIF(D347:G347,"Y")=COUNTIF('01 - SD'!D347:G347,"Y")),"match","no SD match"),"-")</f>
        <v>no SD match</v>
      </c>
      <c r="L347" s="1410" t="str">
        <f t="shared" si="18"/>
        <v/>
      </c>
      <c r="M347" s="1333"/>
      <c r="N347" s="1333"/>
      <c r="O347" s="1382"/>
      <c r="P347" s="1382"/>
      <c r="Q347" s="1382"/>
      <c r="R347" s="1382"/>
      <c r="S347" s="1382"/>
      <c r="T347" s="1382"/>
      <c r="U347" s="1382"/>
      <c r="V347" s="1382"/>
      <c r="W347" s="1382"/>
      <c r="X347" s="1382"/>
      <c r="Y347" s="1382"/>
      <c r="Z347" s="1382"/>
      <c r="AA347" s="1382"/>
      <c r="AB347" s="1382"/>
      <c r="AC347" s="1382"/>
      <c r="AD347" s="1382"/>
      <c r="AE347" s="1382"/>
      <c r="AF347" s="1382"/>
      <c r="AG347" s="1382"/>
      <c r="AH347" s="1382"/>
      <c r="AI347" s="1382"/>
      <c r="AJ347" s="181"/>
      <c r="AK347" s="181"/>
      <c r="AL347" s="181"/>
      <c r="AM347" s="181"/>
      <c r="AN347" s="181"/>
      <c r="AO347" s="181"/>
      <c r="AP347" s="181"/>
      <c r="AQ347" s="181"/>
      <c r="AR347" s="181"/>
      <c r="AS347" s="181"/>
      <c r="AT347" s="181"/>
      <c r="AU347" s="181"/>
      <c r="AV347" s="181"/>
      <c r="AW347" s="181"/>
    </row>
    <row r="348" spans="1:49" s="30" customFormat="1" ht="30" customHeight="1" x14ac:dyDescent="0.25">
      <c r="A348" s="1504" t="str">
        <f>IF(SD_apply="Yes",IF(COUNTIF('01 - SD'!D348:G348,"Y")&gt;0,"Y",IF(COUNTIF('01 - SD'!D348:G348,"N"),"N","")),"")</f>
        <v>N</v>
      </c>
      <c r="B348" s="32"/>
      <c r="C348" s="945"/>
      <c r="D348" s="10"/>
      <c r="E348" s="463"/>
      <c r="F348" s="359" t="str">
        <f>IF('C-Design&amp;Const'!$K348="","",'C-Design&amp;Const'!$K348)</f>
        <v>N</v>
      </c>
      <c r="G348" s="291"/>
      <c r="H348" s="469" t="str">
        <f>CONCATENATE(IF(F348="N","PLACEHOLDER ROW - ",""),'C-Design&amp;Const'!Z348,IF(F348="N","",J348))</f>
        <v xml:space="preserve">PLACEHOLDER ROW - Temperature Controls Building Automation Systems - Sequence of Operation </v>
      </c>
      <c r="I348" s="184"/>
      <c r="J348" s="578" t="str">
        <f>IF('C-Design&amp;Const'!AF348="","",'C-Design&amp;Const'!AF348)</f>
        <v>(Preliminary)</v>
      </c>
      <c r="K348" s="25" t="str">
        <f>IF(DD_apply="Yes",IF((COUNTIF(D348:G348,"Y")=COUNTIF('01 - SD'!D348:G348,"Y")),"match","no SD match"),"-")</f>
        <v>match</v>
      </c>
      <c r="L348" s="1410" t="str">
        <f t="shared" si="18"/>
        <v>&lt;---PM/Planner may hide PLACEHOLDER ROW</v>
      </c>
      <c r="M348" s="1333"/>
      <c r="N348" s="1333"/>
      <c r="O348" s="1382"/>
      <c r="P348" s="1382"/>
      <c r="Q348" s="1382"/>
      <c r="R348" s="1382"/>
      <c r="S348" s="1382"/>
      <c r="T348" s="1382"/>
      <c r="U348" s="1382"/>
      <c r="V348" s="1382"/>
      <c r="W348" s="1382"/>
      <c r="X348" s="1382"/>
      <c r="Y348" s="1382"/>
      <c r="Z348" s="1382"/>
      <c r="AA348" s="1382"/>
      <c r="AB348" s="1382"/>
      <c r="AC348" s="1382"/>
      <c r="AD348" s="1382"/>
      <c r="AE348" s="1382"/>
      <c r="AF348" s="1382"/>
      <c r="AG348" s="1382"/>
      <c r="AH348" s="1382"/>
      <c r="AI348" s="1382"/>
      <c r="AJ348" s="181"/>
      <c r="AK348" s="181"/>
      <c r="AL348" s="181"/>
      <c r="AM348" s="181"/>
      <c r="AN348" s="181"/>
      <c r="AO348" s="181"/>
      <c r="AP348" s="181"/>
      <c r="AQ348" s="181"/>
      <c r="AR348" s="181"/>
      <c r="AS348" s="181"/>
      <c r="AT348" s="181"/>
      <c r="AU348" s="181"/>
      <c r="AV348" s="181"/>
      <c r="AW348" s="181"/>
    </row>
    <row r="349" spans="1:49" ht="14.25" customHeight="1" x14ac:dyDescent="0.25">
      <c r="A349" s="1504" t="str">
        <f>IF(SD_apply="Yes",IF(COUNTIF('01 - SD'!D349:G349,"Y")&gt;0,"Y",IF(COUNTIF('01 - SD'!D349:G349,"N"),"N","")),"")</f>
        <v>N</v>
      </c>
      <c r="B349" s="18"/>
      <c r="C349" s="945"/>
      <c r="D349" s="116"/>
      <c r="E349" s="321"/>
      <c r="F349" s="559" t="str">
        <f>IF('C-Design&amp;Const'!$K349="","",'C-Design&amp;Const'!$K349)</f>
        <v>N</v>
      </c>
      <c r="G349" s="485"/>
      <c r="H349" s="243" t="str">
        <f>CONCATENATE(IF(F349="N","PLACEHOLDER ROW - ",""),'C-Design&amp;Const'!Z349,IF(F349="N","",J349))</f>
        <v xml:space="preserve">PLACEHOLDER ROW - Building Automation Systems Details </v>
      </c>
      <c r="I349" s="137"/>
      <c r="J349" s="578" t="str">
        <f>IF('C-Design&amp;Const'!AF349="","",'C-Design&amp;Const'!AF349)</f>
        <v>(Preliminary)</v>
      </c>
      <c r="K349" s="25" t="str">
        <f>IF(DD_apply="Yes",IF((COUNTIF(D349:G349,"Y")=COUNTIF('01 - SD'!D349:G349,"Y")),"match","no SD match"),"-")</f>
        <v>match</v>
      </c>
      <c r="L349" s="1410" t="str">
        <f t="shared" si="18"/>
        <v>&lt;---PM/Planner may hide PLACEHOLDER ROW</v>
      </c>
      <c r="M349" s="1333"/>
      <c r="N349" s="1333"/>
      <c r="O349" s="1333"/>
      <c r="P349" s="1333"/>
      <c r="Q349" s="1333"/>
      <c r="R349" s="1490"/>
      <c r="S349" s="1284"/>
      <c r="T349" s="1284"/>
      <c r="U349" s="1333"/>
      <c r="V349" s="1333"/>
      <c r="W349" s="1333"/>
      <c r="X349" s="1333"/>
      <c r="Y349" s="1333"/>
      <c r="Z349" s="1333"/>
      <c r="AA349" s="1333"/>
      <c r="AB349" s="1333"/>
      <c r="AC349" s="1333"/>
      <c r="AD349" s="1333"/>
      <c r="AE349" s="1333"/>
      <c r="AF349" s="1333"/>
      <c r="AG349" s="1333"/>
      <c r="AH349" s="1333"/>
      <c r="AI349" s="1333"/>
      <c r="AV349"/>
      <c r="AW349"/>
    </row>
    <row r="350" spans="1:49" ht="15" customHeight="1" x14ac:dyDescent="0.25">
      <c r="A350" s="1502" t="str">
        <f>IF(SD_apply="Yes",IF(COUNTIF('01 - SD'!D350:G350,"Y")&gt;0,"Y",IF(COUNTIF('01 - SD'!D350:G350,"N"),"N","")),"")</f>
        <v>Y</v>
      </c>
      <c r="B350" s="18"/>
      <c r="C350" s="945"/>
      <c r="D350" s="116"/>
      <c r="E350" s="559" t="str">
        <f>IF('C-Design&amp;Const'!$K350="","",'C-Design&amp;Const'!$K350)</f>
        <v>Y</v>
      </c>
      <c r="F350" s="321"/>
      <c r="G350" s="485"/>
      <c r="H350" s="244" t="str">
        <f>CONCATENATE(IF(F350="N","PLACEHOLDER ROW - ",""),'C-Design&amp;Const'!Z350,IF(F350="N","",J350))</f>
        <v>Access Controls Drawings</v>
      </c>
      <c r="I350" s="146"/>
      <c r="J350" s="578" t="str">
        <f>IF('C-Design&amp;Const'!AF350="","",'C-Design&amp;Const'!AF350)</f>
        <v/>
      </c>
      <c r="K350" s="25" t="str">
        <f>IF(DD_apply="Yes",IF((COUNTIF(D350:G350,"Y")=COUNTIF('01 - SD'!D350:G350,"Y")),"match","no SD match"),"-")</f>
        <v>match</v>
      </c>
      <c r="L350" s="1410" t="str">
        <f t="shared" si="18"/>
        <v/>
      </c>
      <c r="M350" s="1333"/>
      <c r="N350" s="1333"/>
      <c r="O350" s="1333"/>
      <c r="P350" s="1333"/>
      <c r="Q350" s="1333"/>
      <c r="R350" s="1490"/>
      <c r="S350" s="1489"/>
      <c r="T350" s="1284"/>
      <c r="U350" s="1333"/>
      <c r="V350" s="1333"/>
      <c r="W350" s="1333"/>
      <c r="X350" s="1333"/>
      <c r="Y350" s="1333"/>
      <c r="Z350" s="1333"/>
      <c r="AA350" s="1333"/>
      <c r="AB350" s="1333"/>
      <c r="AC350" s="1333"/>
      <c r="AD350" s="1333"/>
      <c r="AE350" s="1333"/>
      <c r="AF350" s="1333"/>
      <c r="AG350" s="1333"/>
      <c r="AH350" s="1333"/>
      <c r="AI350" s="1333"/>
      <c r="AV350"/>
      <c r="AW350"/>
    </row>
    <row r="351" spans="1:49" ht="15" customHeight="1" x14ac:dyDescent="0.25">
      <c r="A351" s="1504" t="str">
        <f>IF(SD_apply="Yes",IF(COUNTIF('01 - SD'!D351:G351,"Y")&gt;0,"Y",IF(COUNTIF('01 - SD'!D351:G351,"N"),"N","")),"")</f>
        <v>N</v>
      </c>
      <c r="B351" s="18"/>
      <c r="C351" s="945"/>
      <c r="D351" s="116"/>
      <c r="E351" s="321"/>
      <c r="F351" s="559" t="str">
        <f>IF('C-Design&amp;Const'!$K351="","",'C-Design&amp;Const'!$K351)</f>
        <v>N</v>
      </c>
      <c r="G351" s="491"/>
      <c r="H351" s="243" t="str">
        <f>CONCATENATE(IF(F351="N","PLACEHOLDER ROW - ",""),'C-Design&amp;Const'!Z351,IF(F351="N","",J351))</f>
        <v xml:space="preserve">PLACEHOLDER ROW - CUSTOM Access Controls </v>
      </c>
      <c r="I351" s="137"/>
      <c r="J351" s="578" t="str">
        <f>IF('C-Design&amp;Const'!AF351="","",'C-Design&amp;Const'!AF351)</f>
        <v>(Approx. 50% Complete)</v>
      </c>
      <c r="K351" s="25" t="str">
        <f>IF(DD_apply="Yes",IF((COUNTIF(D351:G351,"Y")=COUNTIF('01 - SD'!D351:G351,"Y")),"match","no SD match"),"-")</f>
        <v>match</v>
      </c>
      <c r="L351" s="1410" t="str">
        <f t="shared" si="18"/>
        <v>&lt;---PM/Planner may hide PLACEHOLDER ROW</v>
      </c>
      <c r="M351" s="1333"/>
      <c r="N351" s="1333"/>
      <c r="O351" s="1333"/>
      <c r="P351" s="1333"/>
      <c r="Q351" s="1333"/>
      <c r="R351" s="1453"/>
      <c r="S351" s="1284"/>
      <c r="T351" s="1284"/>
      <c r="U351" s="1333"/>
      <c r="V351" s="1333"/>
      <c r="W351" s="1333"/>
      <c r="X351" s="1333"/>
      <c r="Y351" s="1333"/>
      <c r="Z351" s="1333"/>
      <c r="AA351" s="1333"/>
      <c r="AB351" s="1333"/>
      <c r="AC351" s="1333"/>
      <c r="AD351" s="1333"/>
      <c r="AE351" s="1333"/>
      <c r="AF351" s="1333"/>
      <c r="AG351" s="1333"/>
      <c r="AH351" s="1333"/>
      <c r="AI351" s="1333"/>
      <c r="AV351"/>
      <c r="AW351"/>
    </row>
    <row r="352" spans="1:49" ht="15" customHeight="1" x14ac:dyDescent="0.25">
      <c r="A352" s="1504" t="str">
        <f>IF(SD_apply="Yes",IF(COUNTIF('01 - SD'!D352:G352,"Y")&gt;0,"Y",IF(COUNTIF('01 - SD'!D352:G352,"N"),"N","")),"")</f>
        <v>N</v>
      </c>
      <c r="B352" s="18"/>
      <c r="C352" s="945"/>
      <c r="D352" s="116"/>
      <c r="E352" s="321"/>
      <c r="F352" s="559" t="str">
        <f>IF('C-Design&amp;Const'!$K352="","",'C-Design&amp;Const'!$K352)</f>
        <v>N</v>
      </c>
      <c r="G352" s="491"/>
      <c r="H352" s="243" t="str">
        <f>CONCATENATE(IF(F352="N","PLACEHOLDER ROW - ",""),'C-Design&amp;Const'!Z352,IF(F352="N","",J352))</f>
        <v xml:space="preserve">PLACEHOLDER ROW - CUSTOM Access Controls </v>
      </c>
      <c r="I352" s="137"/>
      <c r="J352" s="578" t="str">
        <f>IF('C-Design&amp;Const'!AF352="","",'C-Design&amp;Const'!AF352)</f>
        <v>(Approx. 50% Complete)</v>
      </c>
      <c r="K352" s="25" t="str">
        <f>IF(DD_apply="Yes",IF((COUNTIF(D352:G352,"Y")=COUNTIF('01 - SD'!D352:G352,"Y")),"match","no SD match"),"-")</f>
        <v>match</v>
      </c>
      <c r="L352" s="1410" t="str">
        <f t="shared" si="18"/>
        <v>&lt;---PM/Planner may hide PLACEHOLDER ROW</v>
      </c>
      <c r="M352" s="1333"/>
      <c r="N352" s="1333"/>
      <c r="O352" s="1333"/>
      <c r="P352" s="1333"/>
      <c r="Q352" s="1333"/>
      <c r="R352" s="1453"/>
      <c r="S352" s="1284"/>
      <c r="T352" s="1284"/>
      <c r="U352" s="1333"/>
      <c r="V352" s="1333"/>
      <c r="W352" s="1333"/>
      <c r="X352" s="1333"/>
      <c r="Y352" s="1333"/>
      <c r="Z352" s="1333"/>
      <c r="AA352" s="1333"/>
      <c r="AB352" s="1333"/>
      <c r="AC352" s="1333"/>
      <c r="AD352" s="1333"/>
      <c r="AE352" s="1333"/>
      <c r="AF352" s="1333"/>
      <c r="AG352" s="1333"/>
      <c r="AH352" s="1333"/>
      <c r="AI352" s="1333"/>
      <c r="AV352"/>
      <c r="AW352"/>
    </row>
    <row r="353" spans="1:49" s="542" customFormat="1" ht="15" customHeight="1" x14ac:dyDescent="0.25">
      <c r="A353" s="1504" t="str">
        <f>IF(SD_apply="Yes",IF(COUNTIF('01 - SD'!D354:G354,"Y")&gt;0,"Y",IF(COUNTIF('01 - SD'!D354:G354,"N"),"N","")),"")</f>
        <v>N</v>
      </c>
      <c r="B353" s="18"/>
      <c r="C353" s="945"/>
      <c r="D353" s="116"/>
      <c r="E353" s="321"/>
      <c r="F353" s="559" t="str">
        <f>IF('C-Design&amp;Const'!$K353="","",'C-Design&amp;Const'!$K353)</f>
        <v>Y</v>
      </c>
      <c r="G353" s="485"/>
      <c r="H353" s="243" t="str">
        <f>CONCATENATE(IF(F353="N","PLACEHOLDER ROW - ",""),'C-Design&amp;Const'!Z353,IF(F353="N","",J353))</f>
        <v>Access Control Symbols, Abbreviations, and General Notes (Complete)</v>
      </c>
      <c r="I353" s="137"/>
      <c r="J353" s="578" t="str">
        <f>IF('C-Design&amp;Const'!AF353="","",'C-Design&amp;Const'!AF353)</f>
        <v>(Complete)</v>
      </c>
      <c r="K353" s="25" t="str">
        <f>IF(DD_apply="Yes",IF((COUNTIF(D353:G353,"Y")=COUNTIF('01 - SD'!D354:G354,"Y")),"match","no SD match"),"-")</f>
        <v>no SD match</v>
      </c>
      <c r="L353" s="1410" t="str">
        <f t="shared" ref="L353:L354" si="19">CONCATENATE(IF(ISNUMBER(SEARCH("Placeholder",H353))=TRUE,"&lt;---PM/Planner may hide PLACEHOLDER ROW",""))</f>
        <v/>
      </c>
      <c r="M353" s="1333"/>
      <c r="N353" s="1333"/>
      <c r="O353" s="1333"/>
      <c r="P353" s="1333"/>
      <c r="Q353" s="1333"/>
      <c r="R353" s="1453"/>
      <c r="S353" s="1284"/>
      <c r="T353" s="1284"/>
      <c r="U353" s="1333"/>
      <c r="V353" s="1333"/>
      <c r="W353" s="1333"/>
      <c r="X353" s="1333"/>
      <c r="Y353" s="1333"/>
      <c r="Z353" s="1333"/>
      <c r="AA353" s="1333"/>
      <c r="AB353" s="1333"/>
      <c r="AC353" s="1333"/>
      <c r="AD353" s="1333"/>
      <c r="AE353" s="1333"/>
      <c r="AF353" s="1333"/>
      <c r="AG353" s="1333"/>
      <c r="AH353" s="1333"/>
      <c r="AI353" s="1333"/>
      <c r="AJ353" s="17"/>
      <c r="AK353" s="17"/>
      <c r="AL353" s="17"/>
      <c r="AM353" s="17"/>
      <c r="AN353" s="17"/>
      <c r="AO353" s="17"/>
      <c r="AP353" s="17"/>
      <c r="AQ353" s="17"/>
      <c r="AR353" s="17"/>
      <c r="AS353" s="17"/>
      <c r="AT353" s="17"/>
      <c r="AU353" s="17"/>
    </row>
    <row r="354" spans="1:49" s="542" customFormat="1" ht="15" customHeight="1" x14ac:dyDescent="0.25">
      <c r="A354" s="1504" t="str">
        <f>IF(SD_apply="Yes",IF(COUNTIF('01 - SD'!D355:G355,"Y")&gt;0,"Y",IF(COUNTIF('01 - SD'!D355:G355,"N"),"N","")),"")</f>
        <v>Y</v>
      </c>
      <c r="B354" s="18"/>
      <c r="C354" s="945"/>
      <c r="D354" s="116"/>
      <c r="E354" s="321"/>
      <c r="F354" s="559" t="str">
        <f>IF('C-Design&amp;Const'!$K354="","",'C-Design&amp;Const'!$K354)</f>
        <v>Y</v>
      </c>
      <c r="G354" s="485"/>
      <c r="H354" s="243" t="str">
        <f>CONCATENATE(IF(F354="N","PLACEHOLDER ROW - ",""),'C-Design&amp;Const'!Z354,IF(F354="N","",J354))</f>
        <v>Access Control Demolition(s) (Approx. 50% Complete)</v>
      </c>
      <c r="I354" s="137"/>
      <c r="J354" s="578" t="str">
        <f>IF('C-Design&amp;Const'!AF354="","",'C-Design&amp;Const'!AF354)</f>
        <v>(Approx. 50% Complete)</v>
      </c>
      <c r="K354" s="25" t="str">
        <f>IF(DD_apply="Yes",IF((COUNTIF(D354:G354,"Y")=COUNTIF('01 - SD'!D355:G355,"Y")),"match","no SD match"),"-")</f>
        <v>match</v>
      </c>
      <c r="L354" s="1410" t="str">
        <f t="shared" si="19"/>
        <v/>
      </c>
      <c r="M354" s="1333"/>
      <c r="N354" s="1333"/>
      <c r="O354" s="1333"/>
      <c r="P354" s="1333"/>
      <c r="Q354" s="1333"/>
      <c r="R354" s="1453"/>
      <c r="S354" s="1284"/>
      <c r="T354" s="1284"/>
      <c r="U354" s="1333"/>
      <c r="V354" s="1333"/>
      <c r="W354" s="1333"/>
      <c r="X354" s="1333"/>
      <c r="Y354" s="1333"/>
      <c r="Z354" s="1333"/>
      <c r="AA354" s="1333"/>
      <c r="AB354" s="1333"/>
      <c r="AC354" s="1333"/>
      <c r="AD354" s="1333"/>
      <c r="AE354" s="1333"/>
      <c r="AF354" s="1333"/>
      <c r="AG354" s="1333"/>
      <c r="AH354" s="1333"/>
      <c r="AI354" s="1333"/>
      <c r="AJ354" s="17"/>
      <c r="AK354" s="17"/>
      <c r="AL354" s="17"/>
      <c r="AM354" s="17"/>
      <c r="AN354" s="17"/>
      <c r="AO354" s="17"/>
      <c r="AP354" s="17"/>
      <c r="AQ354" s="17"/>
      <c r="AR354" s="17"/>
      <c r="AS354" s="17"/>
      <c r="AT354" s="17"/>
      <c r="AU354" s="17"/>
    </row>
    <row r="355" spans="1:49" ht="15" customHeight="1" x14ac:dyDescent="0.25">
      <c r="A355" s="1504" t="str">
        <f>IF(SD_apply="Yes",IF(COUNTIF('01 - SD'!D355:G355,"Y")&gt;0,"Y",IF(COUNTIF('01 - SD'!D355:G355,"N"),"N","")),"")</f>
        <v>Y</v>
      </c>
      <c r="B355" s="18"/>
      <c r="C355" s="945"/>
      <c r="D355" s="116"/>
      <c r="E355" s="321"/>
      <c r="F355" s="559" t="str">
        <f>IF('C-Design&amp;Const'!$K355="","",'C-Design&amp;Const'!$K355)</f>
        <v>Y</v>
      </c>
      <c r="G355" s="485"/>
      <c r="H355" s="243" t="str">
        <f>CONCATENATE(IF(F355="N","PLACEHOLDER ROW - ",""),'C-Design&amp;Const'!Z355,IF(F355="N","",J355))</f>
        <v>Access Control Floor Plans (Approx. 50% Complete)</v>
      </c>
      <c r="I355" s="137"/>
      <c r="J355" s="578" t="str">
        <f>IF('C-Design&amp;Const'!AF355="","",'C-Design&amp;Const'!AF355)</f>
        <v>(Approx. 50% Complete)</v>
      </c>
      <c r="K355" s="25" t="str">
        <f>IF(DD_apply="Yes",IF((COUNTIF(D355:G355,"Y")=COUNTIF('01 - SD'!D355:G355,"Y")),"match","no SD match"),"-")</f>
        <v>match</v>
      </c>
      <c r="L355" s="1410" t="str">
        <f t="shared" si="18"/>
        <v/>
      </c>
      <c r="M355" s="1333"/>
      <c r="N355" s="1333"/>
      <c r="O355" s="1333"/>
      <c r="P355" s="1333"/>
      <c r="Q355" s="1333"/>
      <c r="R355" s="1490"/>
      <c r="S355" s="1284"/>
      <c r="T355" s="1284"/>
      <c r="U355" s="1333"/>
      <c r="V355" s="1333"/>
      <c r="W355" s="1333"/>
      <c r="X355" s="1333"/>
      <c r="Y355" s="1333"/>
      <c r="Z355" s="1333"/>
      <c r="AA355" s="1333"/>
      <c r="AB355" s="1333"/>
      <c r="AC355" s="1333"/>
      <c r="AD355" s="1333"/>
      <c r="AE355" s="1333"/>
      <c r="AF355" s="1333"/>
      <c r="AG355" s="1333"/>
      <c r="AH355" s="1333"/>
      <c r="AI355" s="1333"/>
      <c r="AV355"/>
      <c r="AW355"/>
    </row>
    <row r="356" spans="1:49" ht="15" customHeight="1" x14ac:dyDescent="0.25">
      <c r="A356" s="1504" t="str">
        <f>IF(SD_apply="Yes",IF(COUNTIF('01 - SD'!D356:G356,"Y")&gt;0,"Y",IF(COUNTIF('01 - SD'!D356:G356,"N"),"N","")),"")</f>
        <v>N</v>
      </c>
      <c r="B356" s="18"/>
      <c r="C356" s="945"/>
      <c r="D356" s="116"/>
      <c r="E356" s="321"/>
      <c r="F356" s="559" t="str">
        <f>IF('C-Design&amp;Const'!$K356="","",'C-Design&amp;Const'!$K356)</f>
        <v>Y</v>
      </c>
      <c r="G356" s="485"/>
      <c r="H356" s="243" t="str">
        <f>CONCATENATE(IF(F356="N","PLACEHOLDER ROW - ",""),'C-Design&amp;Const'!Z356,IF(F356="N","",J356))</f>
        <v>Access Control Logic Diagrams, Points Lists and Device Schedule (Preliminary)</v>
      </c>
      <c r="I356" s="137"/>
      <c r="J356" s="578" t="str">
        <f>IF('C-Design&amp;Const'!AF356="","",'C-Design&amp;Const'!AF356)</f>
        <v>(Preliminary)</v>
      </c>
      <c r="K356" s="25" t="str">
        <f>IF(DD_apply="Yes",IF((COUNTIF(D356:G356,"Y")=COUNTIF('01 - SD'!D356:G356,"Y")),"match","no SD match"),"-")</f>
        <v>no SD match</v>
      </c>
      <c r="L356" s="1410" t="str">
        <f t="shared" si="18"/>
        <v/>
      </c>
      <c r="M356" s="1333"/>
      <c r="N356" s="1333"/>
      <c r="O356" s="1333"/>
      <c r="P356" s="1333"/>
      <c r="Q356" s="1333"/>
      <c r="R356" s="1490"/>
      <c r="S356" s="1284"/>
      <c r="T356" s="1284"/>
      <c r="U356" s="1382"/>
      <c r="V356" s="1382"/>
      <c r="W356" s="1333"/>
      <c r="X356" s="1333"/>
      <c r="Y356" s="1333"/>
      <c r="Z356" s="1333"/>
      <c r="AA356" s="1333"/>
      <c r="AB356" s="1333"/>
      <c r="AC356" s="1333"/>
      <c r="AD356" s="1333"/>
      <c r="AE356" s="1333"/>
      <c r="AF356" s="1333"/>
      <c r="AG356" s="1333"/>
      <c r="AH356" s="1333"/>
      <c r="AI356" s="1333"/>
      <c r="AV356"/>
      <c r="AW356"/>
    </row>
    <row r="357" spans="1:49" ht="15" customHeight="1" x14ac:dyDescent="0.25">
      <c r="A357" s="1504" t="str">
        <f>IF(SD_apply="Yes",IF(COUNTIF('01 - SD'!D357:G357,"Y")&gt;0,"Y",IF(COUNTIF('01 - SD'!D357:G357,"N"),"N","")),"")</f>
        <v>N</v>
      </c>
      <c r="B357" s="18"/>
      <c r="C357" s="945"/>
      <c r="D357" s="116"/>
      <c r="E357" s="321"/>
      <c r="F357" s="559" t="str">
        <f>IF('C-Design&amp;Const'!$K357="","",'C-Design&amp;Const'!$K357)</f>
        <v>N</v>
      </c>
      <c r="G357" s="485"/>
      <c r="H357" s="243" t="str">
        <f>CONCATENATE(IF(F357="N","PLACEHOLDER ROW - ",""),'C-Design&amp;Const'!Z357,IF(F357="N","",J357))</f>
        <v xml:space="preserve">PLACEHOLDER ROW - Access Control Details </v>
      </c>
      <c r="I357" s="137"/>
      <c r="J357" s="578" t="str">
        <f>IF('C-Design&amp;Const'!AF357="","",'C-Design&amp;Const'!AF357)</f>
        <v>(Preliminary)</v>
      </c>
      <c r="K357" s="25" t="str">
        <f>IF(DD_apply="Yes",IF((COUNTIF(D357:G357,"Y")=COUNTIF('01 - SD'!D357:G357,"Y")),"match","no SD match"),"-")</f>
        <v>match</v>
      </c>
      <c r="L357" s="1410" t="str">
        <f t="shared" si="18"/>
        <v>&lt;---PM/Planner may hide PLACEHOLDER ROW</v>
      </c>
      <c r="M357" s="1333"/>
      <c r="N357" s="1382"/>
      <c r="O357" s="1333"/>
      <c r="P357" s="1333"/>
      <c r="Q357" s="1333"/>
      <c r="R357" s="1490"/>
      <c r="S357" s="1284"/>
      <c r="T357" s="1284"/>
      <c r="U357" s="1382"/>
      <c r="V357" s="1382"/>
      <c r="W357" s="1333"/>
      <c r="X357" s="1333"/>
      <c r="Y357" s="1333"/>
      <c r="Z357" s="1333"/>
      <c r="AA357" s="1333"/>
      <c r="AB357" s="1333"/>
      <c r="AC357" s="1333"/>
      <c r="AD357" s="1333"/>
      <c r="AE357" s="1333"/>
      <c r="AF357" s="1333"/>
      <c r="AG357" s="1333"/>
      <c r="AH357" s="1333"/>
      <c r="AI357" s="1333"/>
      <c r="AV357"/>
      <c r="AW357"/>
    </row>
    <row r="358" spans="1:49" ht="15" customHeight="1" x14ac:dyDescent="0.25">
      <c r="A358" s="1502" t="str">
        <f>IF(SD_apply="Yes",IF(COUNTIF('01 - SD'!D358:G358,"Y")&gt;0,"Y",IF(COUNTIF('01 - SD'!D358:G358,"N"),"N","")),"")</f>
        <v>Y</v>
      </c>
      <c r="B358" s="18"/>
      <c r="C358" s="945"/>
      <c r="D358" s="116"/>
      <c r="E358" s="559" t="str">
        <f>IF('C-Design&amp;Const'!$K358="","",'C-Design&amp;Const'!$K358)</f>
        <v>Y</v>
      </c>
      <c r="F358" s="321"/>
      <c r="G358" s="485"/>
      <c r="H358" s="244" t="str">
        <f>CONCATENATE(IF(F358="N","PLACEHOLDER ROW - ",""),'C-Design&amp;Const'!Z358,IF(F358="N","",J358))</f>
        <v>Telecom Drawings</v>
      </c>
      <c r="I358" s="148"/>
      <c r="J358" s="578" t="str">
        <f>IF('C-Design&amp;Const'!AF358="","",'C-Design&amp;Const'!AF358)</f>
        <v/>
      </c>
      <c r="K358" s="25" t="str">
        <f>IF(DD_apply="Yes",IF((COUNTIF(D358:G358,"Y")=COUNTIF('01 - SD'!D358:G358,"Y")),"match","no SD match"),"-")</f>
        <v>match</v>
      </c>
      <c r="L358" s="1410" t="str">
        <f t="shared" si="17"/>
        <v/>
      </c>
      <c r="M358" s="1333"/>
      <c r="N358" s="1333"/>
      <c r="O358" s="1333"/>
      <c r="P358" s="1333"/>
      <c r="Q358" s="1333"/>
      <c r="R358" s="1407"/>
      <c r="S358" s="1489"/>
      <c r="T358" s="1284"/>
      <c r="U358" s="1333"/>
      <c r="V358" s="1333"/>
      <c r="W358" s="1333"/>
      <c r="X358" s="1333"/>
      <c r="Y358" s="1333"/>
      <c r="Z358" s="1333"/>
      <c r="AA358" s="1333"/>
      <c r="AB358" s="1333"/>
      <c r="AC358" s="1333"/>
      <c r="AD358" s="1333"/>
      <c r="AE358" s="1333"/>
      <c r="AF358" s="1333"/>
      <c r="AG358" s="1333"/>
      <c r="AH358" s="1333"/>
      <c r="AI358" s="1333"/>
      <c r="AV358"/>
      <c r="AW358"/>
    </row>
    <row r="359" spans="1:49" ht="15" customHeight="1" x14ac:dyDescent="0.25">
      <c r="A359" s="1504" t="str">
        <f>IF(SD_apply="Yes",IF(COUNTIF('01 - SD'!D359:G359,"Y")&gt;0,"Y",IF(COUNTIF('01 - SD'!D359:G359,"N"),"N","")),"")</f>
        <v>N</v>
      </c>
      <c r="B359" s="18"/>
      <c r="C359" s="945"/>
      <c r="D359" s="116"/>
      <c r="E359" s="321"/>
      <c r="F359" s="559" t="str">
        <f>IF('C-Design&amp;Const'!$K359="","",'C-Design&amp;Const'!$K359)</f>
        <v>N</v>
      </c>
      <c r="G359" s="491"/>
      <c r="H359" s="243" t="str">
        <f>CONCATENATE(IF(F359="N","PLACEHOLDER ROW - ",""),'C-Design&amp;Const'!Z359,IF(F359="N","",J359))</f>
        <v xml:space="preserve">PLACEHOLDER ROW - CUSTOM - Telecom  </v>
      </c>
      <c r="I359" s="137"/>
      <c r="J359" s="578" t="str">
        <f>IF('C-Design&amp;Const'!AF359="","",'C-Design&amp;Const'!AF359)</f>
        <v>(Approx. 50% Complete)</v>
      </c>
      <c r="K359" s="25" t="str">
        <f>IF(DD_apply="Yes",IF((COUNTIF(D359:G359,"Y")=COUNTIF('01 - SD'!D359:G359,"Y")),"match","no SD match"),"-")</f>
        <v>match</v>
      </c>
      <c r="L359" s="1410" t="str">
        <f t="shared" si="17"/>
        <v>&lt;---PM/Planner may hide PLACEHOLDER ROW</v>
      </c>
      <c r="M359" s="1333"/>
      <c r="N359" s="1333"/>
      <c r="O359" s="1333"/>
      <c r="P359" s="1333"/>
      <c r="Q359" s="1333"/>
      <c r="R359" s="1453"/>
      <c r="S359" s="1284"/>
      <c r="T359" s="1284"/>
      <c r="U359" s="1333"/>
      <c r="V359" s="1333"/>
      <c r="W359" s="1333"/>
      <c r="X359" s="1333"/>
      <c r="Y359" s="1333"/>
      <c r="Z359" s="1333"/>
      <c r="AA359" s="1333"/>
      <c r="AB359" s="1333"/>
      <c r="AC359" s="1333"/>
      <c r="AD359" s="1333"/>
      <c r="AE359" s="1333"/>
      <c r="AF359" s="1333"/>
      <c r="AG359" s="1333"/>
      <c r="AH359" s="1333"/>
      <c r="AI359" s="1333"/>
      <c r="AV359"/>
      <c r="AW359"/>
    </row>
    <row r="360" spans="1:49" ht="15" customHeight="1" x14ac:dyDescent="0.25">
      <c r="A360" s="1504" t="str">
        <f>IF(SD_apply="Yes",IF(COUNTIF('01 - SD'!D360:G360,"Y")&gt;0,"Y",IF(COUNTIF('01 - SD'!D360:G360,"N"),"N","")),"")</f>
        <v>N</v>
      </c>
      <c r="B360" s="18"/>
      <c r="C360" s="945"/>
      <c r="D360" s="116"/>
      <c r="E360" s="321"/>
      <c r="F360" s="559" t="str">
        <f>IF('C-Design&amp;Const'!$K360="","",'C-Design&amp;Const'!$K360)</f>
        <v>N</v>
      </c>
      <c r="G360" s="491"/>
      <c r="H360" s="243" t="str">
        <f>CONCATENATE(IF(F360="N","PLACEHOLDER ROW - ",""),'C-Design&amp;Const'!Z360,IF(F360="N","",J360))</f>
        <v xml:space="preserve">PLACEHOLDER ROW - CUSTOM - Telecom  </v>
      </c>
      <c r="I360" s="137"/>
      <c r="J360" s="578" t="str">
        <f>IF('C-Design&amp;Const'!AF360="","",'C-Design&amp;Const'!AF360)</f>
        <v>(Approx. 50% Complete)</v>
      </c>
      <c r="K360" s="25" t="str">
        <f>IF(DD_apply="Yes",IF((COUNTIF(D360:G360,"Y")=COUNTIF('01 - SD'!D360:G360,"Y")),"match","no SD match"),"-")</f>
        <v>match</v>
      </c>
      <c r="L360" s="1410" t="str">
        <f t="shared" si="17"/>
        <v>&lt;---PM/Planner may hide PLACEHOLDER ROW</v>
      </c>
      <c r="M360" s="1333"/>
      <c r="N360" s="1333"/>
      <c r="O360" s="1333"/>
      <c r="P360" s="1333"/>
      <c r="Q360" s="1333"/>
      <c r="R360" s="1453"/>
      <c r="S360" s="1284"/>
      <c r="T360" s="1284"/>
      <c r="U360" s="1333"/>
      <c r="V360" s="1333"/>
      <c r="W360" s="1333"/>
      <c r="X360" s="1333"/>
      <c r="Y360" s="1333"/>
      <c r="Z360" s="1333"/>
      <c r="AA360" s="1333"/>
      <c r="AB360" s="1333"/>
      <c r="AC360" s="1333"/>
      <c r="AD360" s="1333"/>
      <c r="AE360" s="1333"/>
      <c r="AF360" s="1333"/>
      <c r="AG360" s="1333"/>
      <c r="AH360" s="1333"/>
      <c r="AI360" s="1333"/>
      <c r="AV360"/>
      <c r="AW360"/>
    </row>
    <row r="361" spans="1:49" s="542" customFormat="1" ht="15" customHeight="1" x14ac:dyDescent="0.25">
      <c r="A361" s="1504" t="str">
        <f>IF(SD_apply="Yes",IF(COUNTIF('01 - SD'!D364:G364,"Y")&gt;0,"Y",IF(COUNTIF('01 - SD'!D364:G364,"N"),"N","")),"")</f>
        <v>N</v>
      </c>
      <c r="B361" s="18"/>
      <c r="C361" s="945"/>
      <c r="D361" s="116"/>
      <c r="E361" s="321"/>
      <c r="F361" s="559" t="str">
        <f>IF('C-Design&amp;Const'!$K361="","",'C-Design&amp;Const'!$K361)</f>
        <v>Y</v>
      </c>
      <c r="G361" s="485"/>
      <c r="H361" s="243" t="str">
        <f>CONCATENATE(IF(F361="N","PLACEHOLDER ROW - ",""),'C-Design&amp;Const'!Z361,IF(F361="N","",J361))</f>
        <v>Telecom Symbols, Abbreviations, and General Notes (Complete)</v>
      </c>
      <c r="I361" s="137"/>
      <c r="J361" s="578" t="str">
        <f>IF('C-Design&amp;Const'!AF361="","",'C-Design&amp;Const'!AF361)</f>
        <v>(Complete)</v>
      </c>
      <c r="K361" s="25" t="str">
        <f>IF(DD_apply="Yes",IF((COUNTIF(D361:G361,"Y")=COUNTIF('01 - SD'!D364:G364,"Y")),"match","no SD match"),"-")</f>
        <v>no SD match</v>
      </c>
      <c r="L361" s="1410" t="str">
        <f t="shared" si="17"/>
        <v/>
      </c>
      <c r="M361" s="1333"/>
      <c r="N361" s="1333"/>
      <c r="O361" s="1333"/>
      <c r="P361" s="1333"/>
      <c r="Q361" s="1333"/>
      <c r="R361" s="1453"/>
      <c r="S361" s="1284"/>
      <c r="T361" s="1284"/>
      <c r="U361" s="1333"/>
      <c r="V361" s="1333"/>
      <c r="W361" s="1333"/>
      <c r="X361" s="1333"/>
      <c r="Y361" s="1333"/>
      <c r="Z361" s="1333"/>
      <c r="AA361" s="1333"/>
      <c r="AB361" s="1333"/>
      <c r="AC361" s="1333"/>
      <c r="AD361" s="1333"/>
      <c r="AE361" s="1333"/>
      <c r="AF361" s="1333"/>
      <c r="AG361" s="1333"/>
      <c r="AH361" s="1333"/>
      <c r="AI361" s="1333"/>
      <c r="AJ361" s="17"/>
      <c r="AK361" s="17"/>
      <c r="AL361" s="17"/>
      <c r="AM361" s="17"/>
      <c r="AN361" s="17"/>
      <c r="AO361" s="17"/>
      <c r="AP361" s="17"/>
      <c r="AQ361" s="17"/>
      <c r="AR361" s="17"/>
      <c r="AS361" s="17"/>
      <c r="AT361" s="17"/>
      <c r="AU361" s="17"/>
    </row>
    <row r="362" spans="1:49" s="542" customFormat="1" ht="15" customHeight="1" x14ac:dyDescent="0.25">
      <c r="A362" s="1504" t="str">
        <f>IF(SD_apply="Yes",IF(COUNTIF('01 - SD'!D365:G365,"Y")&gt;0,"Y",IF(COUNTIF('01 - SD'!D365:G365,"N"),"N","")),"")</f>
        <v>N</v>
      </c>
      <c r="B362" s="18"/>
      <c r="C362" s="945"/>
      <c r="D362" s="116"/>
      <c r="E362" s="321"/>
      <c r="F362" s="559" t="str">
        <f>IF('C-Design&amp;Const'!$K362="","",'C-Design&amp;Const'!$K362)</f>
        <v>Y</v>
      </c>
      <c r="G362" s="485"/>
      <c r="H362" s="243" t="str">
        <f>CONCATENATE(IF(F362="N","PLACEHOLDER ROW - ",""),'C-Design&amp;Const'!Z362,IF(F362="N","",J362))</f>
        <v>Telecom Demolition(s) (Approx. 50% Complete)</v>
      </c>
      <c r="I362" s="137"/>
      <c r="J362" s="578" t="str">
        <f>IF('C-Design&amp;Const'!AF362="","",'C-Design&amp;Const'!AF362)</f>
        <v>(Approx. 50% Complete)</v>
      </c>
      <c r="K362" s="25" t="str">
        <f>IF(DD_apply="Yes",IF((COUNTIF(D362:G362,"Y")=COUNTIF('01 - SD'!D365:G365,"Y")),"match","no SD match"),"-")</f>
        <v>no SD match</v>
      </c>
      <c r="L362" s="1410" t="str">
        <f t="shared" si="17"/>
        <v/>
      </c>
      <c r="M362" s="1333"/>
      <c r="N362" s="1333"/>
      <c r="O362" s="1333"/>
      <c r="P362" s="1333"/>
      <c r="Q362" s="1333"/>
      <c r="R362" s="1453"/>
      <c r="S362" s="1284"/>
      <c r="T362" s="1284"/>
      <c r="U362" s="1333"/>
      <c r="V362" s="1333"/>
      <c r="W362" s="1333"/>
      <c r="X362" s="1333"/>
      <c r="Y362" s="1333"/>
      <c r="Z362" s="1333"/>
      <c r="AA362" s="1333"/>
      <c r="AB362" s="1333"/>
      <c r="AC362" s="1333"/>
      <c r="AD362" s="1333"/>
      <c r="AE362" s="1333"/>
      <c r="AF362" s="1333"/>
      <c r="AG362" s="1333"/>
      <c r="AH362" s="1333"/>
      <c r="AI362" s="1333"/>
      <c r="AJ362" s="17"/>
      <c r="AK362" s="17"/>
      <c r="AL362" s="17"/>
      <c r="AM362" s="17"/>
      <c r="AN362" s="17"/>
      <c r="AO362" s="17"/>
      <c r="AP362" s="17"/>
      <c r="AQ362" s="17"/>
      <c r="AR362" s="17"/>
      <c r="AS362" s="17"/>
      <c r="AT362" s="17"/>
      <c r="AU362" s="17"/>
    </row>
    <row r="363" spans="1:49" ht="15" customHeight="1" x14ac:dyDescent="0.25">
      <c r="A363" s="1504" t="str">
        <f>IF(SD_apply="Yes",IF(COUNTIF('01 - SD'!D363:G363,"Y")&gt;0,"Y",IF(COUNTIF('01 - SD'!D363:G363,"N"),"N","")),"")</f>
        <v>Y</v>
      </c>
      <c r="B363" s="18"/>
      <c r="C363" s="945"/>
      <c r="D363" s="116"/>
      <c r="E363" s="321"/>
      <c r="F363" s="559" t="str">
        <f>IF('C-Design&amp;Const'!$K363="","",'C-Design&amp;Const'!$K363)</f>
        <v>Y</v>
      </c>
      <c r="G363" s="485"/>
      <c r="H363" s="243" t="str">
        <f>CONCATENATE(IF(F363="N","PLACEHOLDER ROW - ",""),'C-Design&amp;Const'!Z363,IF(F363="N","",J363))</f>
        <v>Telecom/Data Floor Plans w/ Devices   (Approx. 50% Complete)</v>
      </c>
      <c r="I363" s="137"/>
      <c r="J363" s="578" t="str">
        <f>IF('C-Design&amp;Const'!AF363="","",'C-Design&amp;Const'!AF363)</f>
        <v>(Approx. 50% Complete)</v>
      </c>
      <c r="K363" s="25" t="str">
        <f>IF(DD_apply="Yes",IF((COUNTIF(D363:G363,"Y")=COUNTIF('01 - SD'!D363:G363,"Y")),"match","no SD match"),"-")</f>
        <v>match</v>
      </c>
      <c r="L363" s="1410" t="str">
        <f t="shared" si="17"/>
        <v/>
      </c>
      <c r="M363" s="1333"/>
      <c r="N363" s="1382"/>
      <c r="O363" s="1333"/>
      <c r="P363" s="1333"/>
      <c r="Q363" s="1333"/>
      <c r="R363" s="1491"/>
      <c r="S363" s="1284"/>
      <c r="T363" s="1284"/>
      <c r="U363" s="1333"/>
      <c r="V363" s="1333"/>
      <c r="W363" s="1333"/>
      <c r="X363" s="1333"/>
      <c r="Y363" s="1333"/>
      <c r="Z363" s="1333"/>
      <c r="AA363" s="1333"/>
      <c r="AB363" s="1333"/>
      <c r="AC363" s="1333"/>
      <c r="AD363" s="1333"/>
      <c r="AE363" s="1333"/>
      <c r="AF363" s="1333"/>
      <c r="AG363" s="1333"/>
      <c r="AH363" s="1333"/>
      <c r="AI363" s="1333"/>
      <c r="AV363"/>
      <c r="AW363"/>
    </row>
    <row r="364" spans="1:49" ht="15" customHeight="1" x14ac:dyDescent="0.25">
      <c r="A364" s="1504" t="str">
        <f>IF(SD_apply="Yes",IF(COUNTIF('01 - SD'!D364:G364,"Y")&gt;0,"Y",IF(COUNTIF('01 - SD'!D364:G364,"N"),"N","")),"")</f>
        <v>N</v>
      </c>
      <c r="B364" s="18"/>
      <c r="C364" s="945"/>
      <c r="D364" s="116"/>
      <c r="E364" s="321"/>
      <c r="F364" s="559" t="str">
        <f>IF('C-Design&amp;Const'!$K364="","",'C-Design&amp;Const'!$K364)</f>
        <v>N</v>
      </c>
      <c r="G364" s="485"/>
      <c r="H364" s="243" t="str">
        <f>CONCATENATE(IF(F364="N","PLACEHOLDER ROW - ",""),'C-Design&amp;Const'!Z364,IF(F364="N","",J364))</f>
        <v xml:space="preserve">PLACEHOLDER ROW - Telecom/Data Raceway Distribution   </v>
      </c>
      <c r="I364" s="137"/>
      <c r="J364" s="578" t="str">
        <f>IF('C-Design&amp;Const'!AF364="","",'C-Design&amp;Const'!AF364)</f>
        <v>(Preliminary)</v>
      </c>
      <c r="K364" s="25" t="str">
        <f>IF(DD_apply="Yes",IF((COUNTIF(D364:G364,"Y")=COUNTIF('01 - SD'!D364:G364,"Y")),"match","no SD match"),"-")</f>
        <v>match</v>
      </c>
      <c r="L364" s="1410" t="str">
        <f t="shared" si="17"/>
        <v>&lt;---PM/Planner may hide PLACEHOLDER ROW</v>
      </c>
      <c r="M364" s="1333"/>
      <c r="N364" s="1382"/>
      <c r="O364" s="1333"/>
      <c r="P364" s="1333"/>
      <c r="Q364" s="1333"/>
      <c r="R364" s="1491"/>
      <c r="S364" s="1284"/>
      <c r="T364" s="1284"/>
      <c r="U364" s="1333"/>
      <c r="V364" s="1333"/>
      <c r="W364" s="1333"/>
      <c r="X364" s="1333"/>
      <c r="Y364" s="1333"/>
      <c r="Z364" s="1333"/>
      <c r="AA364" s="1333"/>
      <c r="AB364" s="1333"/>
      <c r="AC364" s="1333"/>
      <c r="AD364" s="1333"/>
      <c r="AE364" s="1333"/>
      <c r="AF364" s="1333"/>
      <c r="AG364" s="1333"/>
      <c r="AH364" s="1333"/>
      <c r="AI364" s="1333"/>
      <c r="AV364"/>
      <c r="AW364"/>
    </row>
    <row r="365" spans="1:49" s="30" customFormat="1" ht="15" customHeight="1" x14ac:dyDescent="0.25">
      <c r="A365" s="1504" t="str">
        <f>IF(SD_apply="Yes",IF(COUNTIF('01 - SD'!D365:G365,"Y")&gt;0,"Y",IF(COUNTIF('01 - SD'!D365:G365,"N"),"N","")),"")</f>
        <v>N</v>
      </c>
      <c r="B365" s="32"/>
      <c r="C365" s="945"/>
      <c r="D365" s="10"/>
      <c r="E365" s="463"/>
      <c r="F365" s="359" t="str">
        <f>IF('C-Design&amp;Const'!$K365="","",'C-Design&amp;Const'!$K365)</f>
        <v>Y</v>
      </c>
      <c r="G365" s="291"/>
      <c r="H365" s="469" t="str">
        <f>CONCATENATE(IF(F365="N","PLACEHOLDER ROW - ",""),'C-Design&amp;Const'!Z365,IF(F365="N","",J365))</f>
        <v>Telecom/Data Riser Diagram   (Preliminary)</v>
      </c>
      <c r="I365" s="184"/>
      <c r="J365" s="578" t="str">
        <f>IF('C-Design&amp;Const'!AF365="","",'C-Design&amp;Const'!AF365)</f>
        <v>(Preliminary)</v>
      </c>
      <c r="K365" s="25" t="str">
        <f>IF(DD_apply="Yes",IF((COUNTIF(D365:G365,"Y")=COUNTIF('01 - SD'!D365:G365,"Y")),"match","no SD match"),"-")</f>
        <v>no SD match</v>
      </c>
      <c r="L365" s="1410" t="str">
        <f t="shared" si="17"/>
        <v/>
      </c>
      <c r="M365" s="1333"/>
      <c r="N365" s="1382"/>
      <c r="O365" s="1382"/>
      <c r="P365" s="1382"/>
      <c r="Q365" s="1382"/>
      <c r="R365" s="1382"/>
      <c r="S365" s="1382"/>
      <c r="T365" s="1382"/>
      <c r="U365" s="1382"/>
      <c r="V365" s="1382"/>
      <c r="W365" s="1382"/>
      <c r="X365" s="1382"/>
      <c r="Y365" s="1382"/>
      <c r="Z365" s="1382"/>
      <c r="AA365" s="1382"/>
      <c r="AB365" s="1382"/>
      <c r="AC365" s="1382"/>
      <c r="AD365" s="1382"/>
      <c r="AE365" s="1382"/>
      <c r="AF365" s="1382"/>
      <c r="AG365" s="1382"/>
      <c r="AH365" s="1382"/>
      <c r="AI365" s="1382"/>
      <c r="AJ365" s="181"/>
      <c r="AK365" s="181"/>
      <c r="AL365" s="181"/>
      <c r="AM365" s="181"/>
      <c r="AN365" s="181"/>
      <c r="AO365" s="181"/>
      <c r="AP365" s="181"/>
      <c r="AQ365" s="181"/>
      <c r="AR365" s="181"/>
      <c r="AS365" s="181"/>
      <c r="AT365" s="181"/>
      <c r="AU365" s="181"/>
      <c r="AV365" s="181"/>
      <c r="AW365" s="181"/>
    </row>
    <row r="366" spans="1:49" s="30" customFormat="1" ht="15" customHeight="1" x14ac:dyDescent="0.25">
      <c r="A366" s="1504" t="str">
        <f>IF(SD_apply="Yes",IF(COUNTIF('01 - SD'!D366:G366,"Y")&gt;0,"Y",IF(COUNTIF('01 - SD'!D366:G366,"N"),"N","")),"")</f>
        <v>N</v>
      </c>
      <c r="B366" s="32"/>
      <c r="C366" s="945"/>
      <c r="D366" s="10"/>
      <c r="E366" s="463"/>
      <c r="F366" s="359" t="str">
        <f>IF('C-Design&amp;Const'!$K366="","",'C-Design&amp;Const'!$K366)</f>
        <v>N</v>
      </c>
      <c r="G366" s="291"/>
      <c r="H366" s="469" t="str">
        <f>CONCATENATE(IF(F366="N","PLACEHOLDER ROW - ",""),'C-Design&amp;Const'!Z366,IF(F366="N","",J366))</f>
        <v xml:space="preserve">PLACEHOLDER ROW - Telecom/Data Details and Sections </v>
      </c>
      <c r="I366" s="184"/>
      <c r="J366" s="578" t="str">
        <f>IF('C-Design&amp;Const'!AF366="","",'C-Design&amp;Const'!AF366)</f>
        <v>(Preliminary)</v>
      </c>
      <c r="K366" s="25" t="str">
        <f>IF(DD_apply="Yes",IF((COUNTIF(D366:G366,"Y")=COUNTIF('01 - SD'!D366:G366,"Y")),"match","no SD match"),"-")</f>
        <v>match</v>
      </c>
      <c r="L366" s="1410" t="str">
        <f t="shared" si="17"/>
        <v>&lt;---PM/Planner may hide PLACEHOLDER ROW</v>
      </c>
      <c r="M366" s="1333"/>
      <c r="N366" s="1333"/>
      <c r="O366" s="1382"/>
      <c r="P366" s="1382"/>
      <c r="Q366" s="1382"/>
      <c r="R366" s="1382"/>
      <c r="S366" s="1382"/>
      <c r="T366" s="1382"/>
      <c r="U366" s="1382"/>
      <c r="V366" s="1382"/>
      <c r="W366" s="1382"/>
      <c r="X366" s="1382"/>
      <c r="Y366" s="1382"/>
      <c r="Z366" s="1382"/>
      <c r="AA366" s="1382"/>
      <c r="AB366" s="1382"/>
      <c r="AC366" s="1382"/>
      <c r="AD366" s="1382"/>
      <c r="AE366" s="1382"/>
      <c r="AF366" s="1382"/>
      <c r="AG366" s="1382"/>
      <c r="AH366" s="1382"/>
      <c r="AI366" s="1382"/>
      <c r="AJ366" s="181"/>
      <c r="AK366" s="181"/>
      <c r="AL366" s="181"/>
      <c r="AM366" s="181"/>
      <c r="AN366" s="181"/>
      <c r="AO366" s="181"/>
      <c r="AP366" s="181"/>
      <c r="AQ366" s="181"/>
      <c r="AR366" s="181"/>
      <c r="AS366" s="181"/>
      <c r="AT366" s="181"/>
      <c r="AU366" s="181"/>
      <c r="AV366" s="181"/>
      <c r="AW366" s="181"/>
    </row>
    <row r="367" spans="1:49" s="30" customFormat="1" ht="15" customHeight="1" x14ac:dyDescent="0.25">
      <c r="A367" s="1502" t="str">
        <f>IF(SD_apply="Yes",IF(COUNTIF('01 - SD'!D367:G367,"Y")&gt;0,"Y",IF(COUNTIF('01 - SD'!D367:G367,"N"),"N","")),"")</f>
        <v>N</v>
      </c>
      <c r="B367" s="32"/>
      <c r="C367" s="945"/>
      <c r="D367" s="10"/>
      <c r="E367" s="359" t="str">
        <f>IF('C-Design&amp;Const'!$K367="","",'C-Design&amp;Const'!$K367)</f>
        <v>Y</v>
      </c>
      <c r="F367" s="235"/>
      <c r="G367" s="291"/>
      <c r="H367" s="242" t="str">
        <f>CONCATENATE(IF(F367="N","PLACEHOLDER ROW - ",""),'C-Design&amp;Const'!Z367,IF(F367="N","",J367))</f>
        <v>Audio Visual Drawings</v>
      </c>
      <c r="I367" s="184"/>
      <c r="J367" s="578" t="str">
        <f>IF('C-Design&amp;Const'!AF367="","",'C-Design&amp;Const'!AF367)</f>
        <v/>
      </c>
      <c r="K367" s="25" t="str">
        <f>IF(DD_apply="Yes",IF((COUNTIF(D367:G367,"Y")=COUNTIF('01 - SD'!D367:G367,"Y")),"match","no SD match"),"-")</f>
        <v>no SD match</v>
      </c>
      <c r="L367" s="1410" t="str">
        <f t="shared" si="17"/>
        <v/>
      </c>
      <c r="M367" s="1333"/>
      <c r="N367" s="1333"/>
      <c r="O367" s="1382"/>
      <c r="P367" s="1382"/>
      <c r="Q367" s="1382"/>
      <c r="R367" s="1382"/>
      <c r="S367" s="1382"/>
      <c r="T367" s="1382"/>
      <c r="U367" s="1382"/>
      <c r="V367" s="1382"/>
      <c r="W367" s="1382"/>
      <c r="X367" s="1382"/>
      <c r="Y367" s="1382"/>
      <c r="Z367" s="1382"/>
      <c r="AA367" s="1382"/>
      <c r="AB367" s="1382"/>
      <c r="AC367" s="1382"/>
      <c r="AD367" s="1382"/>
      <c r="AE367" s="1382"/>
      <c r="AF367" s="1382"/>
      <c r="AG367" s="1382"/>
      <c r="AH367" s="1382"/>
      <c r="AI367" s="1382"/>
      <c r="AJ367" s="181"/>
      <c r="AK367" s="181"/>
      <c r="AL367" s="181"/>
      <c r="AM367" s="181"/>
      <c r="AN367" s="181"/>
      <c r="AO367" s="181"/>
      <c r="AP367" s="181"/>
      <c r="AQ367" s="181"/>
      <c r="AR367" s="181"/>
      <c r="AS367" s="181"/>
      <c r="AT367" s="181"/>
      <c r="AU367" s="181"/>
      <c r="AV367" s="181"/>
      <c r="AW367" s="181"/>
    </row>
    <row r="368" spans="1:49" s="542" customFormat="1" ht="15" customHeight="1" x14ac:dyDescent="0.25">
      <c r="A368" s="1504" t="str">
        <f>IF(SD_apply="Yes",IF(COUNTIF('01 - SD'!D373:G373,"Y")&gt;0,"Y",IF(COUNTIF('01 - SD'!D373:G373,"N"),"N","")),"")</f>
        <v>N</v>
      </c>
      <c r="B368" s="18"/>
      <c r="C368" s="945"/>
      <c r="D368" s="116"/>
      <c r="E368" s="321"/>
      <c r="F368" s="559" t="str">
        <f>IF('C-Design&amp;Const'!$K368="","",'C-Design&amp;Const'!$K368)</f>
        <v>Y</v>
      </c>
      <c r="G368" s="485"/>
      <c r="H368" s="243" t="str">
        <f>CONCATENATE(IF(F368="N","PLACEHOLDER ROW - ",""),'C-Design&amp;Const'!Z368,IF(F368="N","",J368))</f>
        <v>Audio Visual Symbols, Abbreviations, and General Notes (Complete)</v>
      </c>
      <c r="I368" s="137"/>
      <c r="J368" s="578" t="str">
        <f>IF('C-Design&amp;Const'!AF368="","",'C-Design&amp;Const'!AF368)</f>
        <v>(Complete)</v>
      </c>
      <c r="K368" s="25" t="str">
        <f>IF(DD_apply="Yes",IF((COUNTIF(D368:G368,"Y")=COUNTIF('01 - SD'!D373:G373,"Y")),"match","no SD match"),"-")</f>
        <v>no SD match</v>
      </c>
      <c r="L368" s="1410" t="str">
        <f t="shared" ref="L368" si="20">CONCATENATE(IF(ISNUMBER(SEARCH("Placeholder",H368))=TRUE,"&lt;---PM/Planner may hide PLACEHOLDER ROW",""))</f>
        <v/>
      </c>
      <c r="M368" s="1333"/>
      <c r="N368" s="1333"/>
      <c r="O368" s="1333"/>
      <c r="P368" s="1333"/>
      <c r="Q368" s="1333"/>
      <c r="R368" s="1453"/>
      <c r="S368" s="1284"/>
      <c r="T368" s="1284"/>
      <c r="U368" s="1333"/>
      <c r="V368" s="1333"/>
      <c r="W368" s="1333"/>
      <c r="X368" s="1333"/>
      <c r="Y368" s="1333"/>
      <c r="Z368" s="1333"/>
      <c r="AA368" s="1333"/>
      <c r="AB368" s="1333"/>
      <c r="AC368" s="1333"/>
      <c r="AD368" s="1333"/>
      <c r="AE368" s="1333"/>
      <c r="AF368" s="1333"/>
      <c r="AG368" s="1333"/>
      <c r="AH368" s="1333"/>
      <c r="AI368" s="1333"/>
      <c r="AJ368" s="17"/>
      <c r="AK368" s="17"/>
      <c r="AL368" s="17"/>
      <c r="AM368" s="17"/>
      <c r="AN368" s="17"/>
      <c r="AO368" s="17"/>
      <c r="AP368" s="17"/>
      <c r="AQ368" s="17"/>
      <c r="AR368" s="17"/>
      <c r="AS368" s="17"/>
      <c r="AT368" s="17"/>
      <c r="AU368" s="17"/>
    </row>
    <row r="369" spans="1:49" s="542" customFormat="1" ht="15" customHeight="1" x14ac:dyDescent="0.25">
      <c r="A369" s="1504" t="str">
        <f>IF(SD_apply="Yes",IF(COUNTIF('01 - SD'!D374:G374,"Y")&gt;0,"Y",IF(COUNTIF('01 - SD'!D374:G374,"N"),"N","")),"")</f>
        <v>N</v>
      </c>
      <c r="B369" s="18"/>
      <c r="C369" s="945"/>
      <c r="D369" s="116"/>
      <c r="E369" s="321"/>
      <c r="F369" s="559" t="str">
        <f>IF('C-Design&amp;Const'!$K369="","",'C-Design&amp;Const'!$K369)</f>
        <v>Y</v>
      </c>
      <c r="G369" s="485"/>
      <c r="H369" s="243" t="str">
        <f>CONCATENATE(IF(F369="N","PLACEHOLDER ROW - ",""),'C-Design&amp;Const'!Z369,IF(F369="N","",J369))</f>
        <v>A/V Demolition(s) (Approx. 50% Complete)</v>
      </c>
      <c r="I369" s="137"/>
      <c r="J369" s="578" t="str">
        <f>IF('C-Design&amp;Const'!AF369="","",'C-Design&amp;Const'!AF369)</f>
        <v>(Approx. 50% Complete)</v>
      </c>
      <c r="K369" s="25" t="str">
        <f>IF(DD_apply="Yes",IF((COUNTIF(D369:G369,"Y")=COUNTIF('01 - SD'!D374:G374,"Y")),"match","no SD match"),"-")</f>
        <v>no SD match</v>
      </c>
      <c r="L369" s="1410" t="str">
        <f t="shared" ref="L369" si="21">CONCATENATE(IF(ISNUMBER(SEARCH("Placeholder",H369))=TRUE,"&lt;---PM/Planner may hide PLACEHOLDER ROW",""))</f>
        <v/>
      </c>
      <c r="M369" s="1333"/>
      <c r="N369" s="1333"/>
      <c r="O369" s="1333"/>
      <c r="P369" s="1333"/>
      <c r="Q369" s="1333"/>
      <c r="R369" s="1453"/>
      <c r="S369" s="1284"/>
      <c r="T369" s="1284"/>
      <c r="U369" s="1333"/>
      <c r="V369" s="1333"/>
      <c r="W369" s="1333"/>
      <c r="X369" s="1333"/>
      <c r="Y369" s="1333"/>
      <c r="Z369" s="1333"/>
      <c r="AA369" s="1333"/>
      <c r="AB369" s="1333"/>
      <c r="AC369" s="1333"/>
      <c r="AD369" s="1333"/>
      <c r="AE369" s="1333"/>
      <c r="AF369" s="1333"/>
      <c r="AG369" s="1333"/>
      <c r="AH369" s="1333"/>
      <c r="AI369" s="1333"/>
      <c r="AJ369" s="17"/>
      <c r="AK369" s="17"/>
      <c r="AL369" s="17"/>
      <c r="AM369" s="17"/>
      <c r="AN369" s="17"/>
      <c r="AO369" s="17"/>
      <c r="AP369" s="17"/>
      <c r="AQ369" s="17"/>
      <c r="AR369" s="17"/>
      <c r="AS369" s="17"/>
      <c r="AT369" s="17"/>
      <c r="AU369" s="17"/>
    </row>
    <row r="370" spans="1:49" ht="42.75" x14ac:dyDescent="0.25">
      <c r="A370" s="1504" t="str">
        <f>IF(SD_apply="Yes",IF(COUNTIF('01 - SD'!D370:G370,"Y")&gt;0,"Y",IF(COUNTIF('01 - SD'!D370:G370,"N"),"N","")),"")</f>
        <v>N</v>
      </c>
      <c r="B370" s="18"/>
      <c r="C370" s="945"/>
      <c r="D370" s="116"/>
      <c r="E370" s="321"/>
      <c r="F370" s="559" t="str">
        <f>IF('C-Design&amp;Const'!$K370="","",'C-Design&amp;Const'!$K370)</f>
        <v>Y</v>
      </c>
      <c r="G370" s="485"/>
      <c r="H370" s="504" t="str">
        <f>CONCATENATE(IF(F370="N","PLACEHOLDER ROW - ",""),'C-Design&amp;Const'!Z370,IF(F370="N","",J370))</f>
        <v>AV System Floor Plans.  Equipment identified, Equipment Clearance &amp; Throw Distances Dimensioned, Power, Conduit &amp; Backbox Layouts Shown.  Cables shown separated by type/signal level; all Cables Leaving Room Clearly Shown. (preliminary)</v>
      </c>
      <c r="I370" s="137"/>
      <c r="J370" s="578" t="str">
        <f>IF('C-Design&amp;Const'!AF370="","",'C-Design&amp;Const'!AF370)</f>
        <v>(preliminary)</v>
      </c>
      <c r="K370" s="25" t="str">
        <f>IF(DD_apply="Yes",IF((COUNTIF(D370:G370,"Y")=COUNTIF('01 - SD'!D370:G370,"Y")),"match","no SD match"),"-")</f>
        <v>no SD match</v>
      </c>
      <c r="L370" s="1410" t="str">
        <f t="shared" si="17"/>
        <v/>
      </c>
      <c r="M370" s="1333"/>
      <c r="N370" s="1333"/>
      <c r="O370" s="1333"/>
      <c r="P370" s="1333"/>
      <c r="Q370" s="1333"/>
      <c r="R370" s="1407"/>
      <c r="S370" s="1284"/>
      <c r="T370" s="1284"/>
      <c r="U370" s="1333"/>
      <c r="V370" s="1333"/>
      <c r="W370" s="1333"/>
      <c r="X370" s="1333"/>
      <c r="Y370" s="1333"/>
      <c r="Z370" s="1333"/>
      <c r="AA370" s="1333"/>
      <c r="AB370" s="1333"/>
      <c r="AC370" s="1333"/>
      <c r="AD370" s="1333"/>
      <c r="AE370" s="1333"/>
      <c r="AF370" s="1333"/>
      <c r="AG370" s="1333"/>
      <c r="AH370" s="1333"/>
      <c r="AI370" s="1333"/>
      <c r="AV370"/>
      <c r="AW370"/>
    </row>
    <row r="371" spans="1:49" ht="57" x14ac:dyDescent="0.25">
      <c r="A371" s="1504" t="str">
        <f>IF(SD_apply="Yes",IF(COUNTIF('01 - SD'!D371:G371,"Y")&gt;0,"Y",IF(COUNTIF('01 - SD'!D371:G371,"N"),"N","")),"")</f>
        <v>N</v>
      </c>
      <c r="B371" s="18"/>
      <c r="C371" s="945"/>
      <c r="D371" s="116"/>
      <c r="E371" s="321"/>
      <c r="F371" s="559" t="str">
        <f>IF('C-Design&amp;Const'!$K371="","",'C-Design&amp;Const'!$K371)</f>
        <v>Y</v>
      </c>
      <c r="G371" s="485"/>
      <c r="H371" s="504" t="str">
        <f>CONCATENATE(IF(F371="N","PLACEHOLDER ROW - ",""),'C-Design&amp;Const'!Z371,IF(F371="N","",J371))</f>
        <v>AV System Details:  Equipment Installation Details, AV Rack Elevations for each Rack, Major Equipment Components Located in the Rack, Custom Plate Details, and Plates Associated with Equipment Plans and System Line Diagrams.  Equipment Mounting Details which Support More than 40 Pounds shall be stamped by a Licensed Structural Engineer. (preliminary)</v>
      </c>
      <c r="I371" s="137"/>
      <c r="J371" s="578" t="str">
        <f>IF('C-Design&amp;Const'!AF371="","",'C-Design&amp;Const'!AF371)</f>
        <v>(preliminary)</v>
      </c>
      <c r="K371" s="25" t="str">
        <f>IF(DD_apply="Yes",IF((COUNTIF(D371:G371,"Y")=COUNTIF('01 - SD'!D371:G371,"Y")),"match","no SD match"),"-")</f>
        <v>no SD match</v>
      </c>
      <c r="L371" s="1410" t="str">
        <f t="shared" si="17"/>
        <v/>
      </c>
      <c r="M371" s="1333"/>
      <c r="N371" s="1333"/>
      <c r="O371" s="1333"/>
      <c r="P371" s="1333"/>
      <c r="Q371" s="1333"/>
      <c r="R371" s="1491"/>
      <c r="S371" s="1284"/>
      <c r="T371" s="1284"/>
      <c r="U371" s="1333"/>
      <c r="V371" s="1333"/>
      <c r="W371" s="1333"/>
      <c r="X371" s="1333"/>
      <c r="Y371" s="1333"/>
      <c r="Z371" s="1333"/>
      <c r="AA371" s="1333"/>
      <c r="AB371" s="1333"/>
      <c r="AC371" s="1333"/>
      <c r="AD371" s="1333"/>
      <c r="AE371" s="1333"/>
      <c r="AF371" s="1333"/>
      <c r="AG371" s="1333"/>
      <c r="AH371" s="1333"/>
      <c r="AI371" s="1333"/>
      <c r="AV371"/>
      <c r="AW371"/>
    </row>
    <row r="372" spans="1:49" ht="15" customHeight="1" x14ac:dyDescent="0.25">
      <c r="A372" s="1504" t="str">
        <f>IF(SD_apply="Yes",IF(COUNTIF('01 - SD'!D372:G372,"Y")&gt;0,"Y",IF(COUNTIF('01 - SD'!D372:G372,"N"),"N","")),"")</f>
        <v>N</v>
      </c>
      <c r="B372" s="18"/>
      <c r="C372" s="945"/>
      <c r="D372" s="116"/>
      <c r="E372" s="321"/>
      <c r="F372" s="559" t="str">
        <f>IF('C-Design&amp;Const'!$K372="","",'C-Design&amp;Const'!$K372)</f>
        <v>N</v>
      </c>
      <c r="G372" s="485"/>
      <c r="H372" s="1020" t="str">
        <f>CONCATENATE(IF(F372="N","PLACEHOLDER ROW - ",""),'C-Design&amp;Const'!Z372,IF(F372="N","",J372))</f>
        <v xml:space="preserve">PLACEHOLDER ROW - AV System Line Diagrams, showing: </v>
      </c>
      <c r="I372" s="137"/>
      <c r="J372" s="578" t="str">
        <f>IF('C-Design&amp;Const'!AF372="","",'C-Design&amp;Const'!AF372)</f>
        <v/>
      </c>
      <c r="K372" s="25" t="str">
        <f>IF(DD_apply="Yes",IF((COUNTIF(D372:G372,"Y")=COUNTIF('01 - SD'!D372:G372,"Y")),"match","no SD match"),"-")</f>
        <v>match</v>
      </c>
      <c r="L372" s="1410" t="str">
        <f t="shared" si="17"/>
        <v>&lt;---PM/Planner may hide PLACEHOLDER ROW</v>
      </c>
      <c r="M372" s="1333"/>
      <c r="N372" s="1333"/>
      <c r="O372" s="1333"/>
      <c r="P372" s="1333"/>
      <c r="Q372" s="1333"/>
      <c r="R372" s="1491"/>
      <c r="S372" s="1284"/>
      <c r="T372" s="1284"/>
      <c r="U372" s="1333"/>
      <c r="V372" s="1333"/>
      <c r="W372" s="1333"/>
      <c r="X372" s="1333"/>
      <c r="Y372" s="1333"/>
      <c r="Z372" s="1333"/>
      <c r="AA372" s="1333"/>
      <c r="AB372" s="1333"/>
      <c r="AC372" s="1333"/>
      <c r="AD372" s="1333"/>
      <c r="AE372" s="1333"/>
      <c r="AF372" s="1333"/>
      <c r="AG372" s="1333"/>
      <c r="AH372" s="1333"/>
      <c r="AI372" s="1333"/>
      <c r="AV372"/>
      <c r="AW372"/>
    </row>
    <row r="373" spans="1:49" ht="15" customHeight="1" x14ac:dyDescent="0.25">
      <c r="A373" s="1504" t="str">
        <f>IF(SD_apply="Yes",IF(COUNTIF('01 - SD'!D373:G373,"Y")&gt;0,"Y",IF(COUNTIF('01 - SD'!D373:G373,"N"),"N","")),"")</f>
        <v>N</v>
      </c>
      <c r="B373" s="18"/>
      <c r="C373" s="945"/>
      <c r="D373" s="116"/>
      <c r="E373" s="321"/>
      <c r="F373" s="473"/>
      <c r="G373" s="794" t="str">
        <f>IF('C-Design&amp;Const'!$K373="","",'C-Design&amp;Const'!$K373)</f>
        <v>N</v>
      </c>
      <c r="H373" s="1021" t="str">
        <f>CONCATENATE(IF(G373="N","PLACEHOLDER ROW - ",""),'C-Design&amp;Const'!Z373,IF(G373="N","",J373))</f>
        <v xml:space="preserve">PLACEHOLDER ROW - Signal flow from input to output, left to right </v>
      </c>
      <c r="I373" s="137"/>
      <c r="J373" s="578" t="str">
        <f>IF('C-Design&amp;Const'!AF373="","",'C-Design&amp;Const'!AF373)</f>
        <v/>
      </c>
      <c r="K373" s="25" t="str">
        <f>IF(DD_apply="Yes",IF((COUNTIF(D373:G373,"Y")=COUNTIF('01 - SD'!D373:G373,"Y")),"match","no SD match"),"-")</f>
        <v>match</v>
      </c>
      <c r="L373" s="1410" t="str">
        <f t="shared" si="17"/>
        <v>&lt;---PM/Planner may hide PLACEHOLDER ROW</v>
      </c>
      <c r="M373" s="1333"/>
      <c r="N373" s="1333"/>
      <c r="O373" s="1333"/>
      <c r="P373" s="1333"/>
      <c r="Q373" s="1333"/>
      <c r="R373" s="1491"/>
      <c r="S373" s="1284"/>
      <c r="T373" s="1284"/>
      <c r="U373" s="1333"/>
      <c r="V373" s="1333"/>
      <c r="W373" s="1333"/>
      <c r="X373" s="1333"/>
      <c r="Y373" s="1333"/>
      <c r="Z373" s="1333"/>
      <c r="AA373" s="1333"/>
      <c r="AB373" s="1333"/>
      <c r="AC373" s="1333"/>
      <c r="AD373" s="1333"/>
      <c r="AE373" s="1333"/>
      <c r="AF373" s="1333"/>
      <c r="AG373" s="1333"/>
      <c r="AH373" s="1333"/>
      <c r="AI373" s="1333"/>
      <c r="AV373"/>
      <c r="AW373"/>
    </row>
    <row r="374" spans="1:49" ht="15" customHeight="1" x14ac:dyDescent="0.25">
      <c r="A374" s="1504" t="str">
        <f>IF(SD_apply="Yes",IF(COUNTIF('01 - SD'!D374:G374,"Y")&gt;0,"Y",IF(COUNTIF('01 - SD'!D374:G374,"N"),"N","")),"")</f>
        <v>N</v>
      </c>
      <c r="B374" s="18"/>
      <c r="C374" s="945"/>
      <c r="D374" s="116"/>
      <c r="E374" s="321"/>
      <c r="F374" s="466"/>
      <c r="G374" s="505" t="str">
        <f>IF('C-Design&amp;Const'!$K374="","",'C-Design&amp;Const'!$K374)</f>
        <v>N</v>
      </c>
      <c r="H374" s="1021" t="str">
        <f>CONCATENATE(IF(G374="N","PLACEHOLDER ROW - ",""),'C-Design&amp;Const'!Z374,IF(G374="N","",J374))</f>
        <v xml:space="preserve">PLACEHOLDER ROW - Major pieces of equipment identified by manufacturer, model number &amp; description </v>
      </c>
      <c r="I374" s="137"/>
      <c r="J374" s="578" t="str">
        <f>IF('C-Design&amp;Const'!AF374="","",'C-Design&amp;Const'!AF374)</f>
        <v/>
      </c>
      <c r="K374" s="25" t="str">
        <f>IF(DD_apply="Yes",IF((COUNTIF(D374:G374,"Y")=COUNTIF('01 - SD'!D374:G374,"Y")),"match","no SD match"),"-")</f>
        <v>match</v>
      </c>
      <c r="L374" s="1410" t="str">
        <f t="shared" si="17"/>
        <v>&lt;---PM/Planner may hide PLACEHOLDER ROW</v>
      </c>
      <c r="M374" s="1333"/>
      <c r="N374" s="1333"/>
      <c r="O374" s="1333"/>
      <c r="P374" s="1333"/>
      <c r="Q374" s="1333"/>
      <c r="R374" s="1407"/>
      <c r="S374" s="1284"/>
      <c r="T374" s="1284"/>
      <c r="U374" s="1333"/>
      <c r="V374" s="1333"/>
      <c r="W374" s="1333"/>
      <c r="X374" s="1333"/>
      <c r="Y374" s="1333"/>
      <c r="Z374" s="1333"/>
      <c r="AA374" s="1333"/>
      <c r="AB374" s="1333"/>
      <c r="AC374" s="1333"/>
      <c r="AD374" s="1333"/>
      <c r="AE374" s="1333"/>
      <c r="AF374" s="1333"/>
      <c r="AG374" s="1333"/>
      <c r="AH374" s="1333"/>
      <c r="AI374" s="1333"/>
      <c r="AV374"/>
      <c r="AW374"/>
    </row>
    <row r="375" spans="1:49" ht="15" customHeight="1" x14ac:dyDescent="0.25">
      <c r="A375" s="1504" t="str">
        <f>IF(SD_apply="Yes",IF(COUNTIF('01 - SD'!D375:G375,"Y")&gt;0,"Y",IF(COUNTIF('01 - SD'!D375:G375,"N"),"N","")),"")</f>
        <v>N</v>
      </c>
      <c r="B375" s="18"/>
      <c r="C375" s="945"/>
      <c r="D375" s="116"/>
      <c r="E375" s="321"/>
      <c r="F375" s="466"/>
      <c r="G375" s="505" t="str">
        <f>IF('C-Design&amp;Const'!$K375="","",'C-Design&amp;Const'!$K375)</f>
        <v>N</v>
      </c>
      <c r="H375" s="1021" t="str">
        <f>CONCATENATE(IF(G375="N","PLACEHOLDER ROW - ",""),'C-Design&amp;Const'!Z375,IF(G375="N","",J375))</f>
        <v xml:space="preserve">PLACEHOLDER ROW - Equipment associated with plans and details </v>
      </c>
      <c r="I375" s="137"/>
      <c r="J375" s="578" t="str">
        <f>IF('C-Design&amp;Const'!AF375="","",'C-Design&amp;Const'!AF375)</f>
        <v/>
      </c>
      <c r="K375" s="25" t="str">
        <f>IF(DD_apply="Yes",IF((COUNTIF(D375:G375,"Y")=COUNTIF('01 - SD'!D375:G375,"Y")),"match","no SD match"),"-")</f>
        <v>match</v>
      </c>
      <c r="L375" s="1410" t="str">
        <f t="shared" si="17"/>
        <v>&lt;---PM/Planner may hide PLACEHOLDER ROW</v>
      </c>
      <c r="M375" s="1333"/>
      <c r="N375" s="1333"/>
      <c r="O375" s="1333"/>
      <c r="P375" s="1333"/>
      <c r="Q375" s="1333"/>
      <c r="R375" s="1491"/>
      <c r="S375" s="1284"/>
      <c r="T375" s="1284"/>
      <c r="U375" s="1333"/>
      <c r="V375" s="1333"/>
      <c r="W375" s="1333"/>
      <c r="X375" s="1333"/>
      <c r="Y375" s="1333"/>
      <c r="Z375" s="1333"/>
      <c r="AA375" s="1333"/>
      <c r="AB375" s="1333"/>
      <c r="AC375" s="1333"/>
      <c r="AD375" s="1333"/>
      <c r="AE375" s="1333"/>
      <c r="AF375" s="1333"/>
      <c r="AG375" s="1333"/>
      <c r="AH375" s="1333"/>
      <c r="AI375" s="1333"/>
      <c r="AV375"/>
      <c r="AW375"/>
    </row>
    <row r="376" spans="1:49" ht="15" customHeight="1" x14ac:dyDescent="0.25">
      <c r="A376" s="1504" t="str">
        <f>IF(SD_apply="Yes",IF(COUNTIF('01 - SD'!D376:G376,"Y")&gt;0,"Y",IF(COUNTIF('01 - SD'!D376:G376,"N"),"N","")),"")</f>
        <v>N</v>
      </c>
      <c r="B376" s="18"/>
      <c r="C376" s="945"/>
      <c r="D376" s="116"/>
      <c r="E376" s="321"/>
      <c r="F376" s="466"/>
      <c r="G376" s="505" t="str">
        <f>IF('C-Design&amp;Const'!$K376="","",'C-Design&amp;Const'!$K376)</f>
        <v>N</v>
      </c>
      <c r="H376" s="1021" t="str">
        <f>CONCATENATE(IF(G376="N","PLACEHOLDER ROW - ",""),'C-Design&amp;Const'!Z376,IF(G376="N","",J376))</f>
        <v xml:space="preserve">PLACEHOLDER ROW - All field and rack cabling and signal type </v>
      </c>
      <c r="I376" s="137"/>
      <c r="J376" s="578" t="str">
        <f>IF('C-Design&amp;Const'!AF376="","",'C-Design&amp;Const'!AF376)</f>
        <v/>
      </c>
      <c r="K376" s="25" t="str">
        <f>IF(DD_apply="Yes",IF((COUNTIF(D376:G376,"Y")=COUNTIF('01 - SD'!D376:G376,"Y")),"match","no SD match"),"-")</f>
        <v>match</v>
      </c>
      <c r="L376" s="1410" t="str">
        <f t="shared" si="17"/>
        <v>&lt;---PM/Planner may hide PLACEHOLDER ROW</v>
      </c>
      <c r="M376" s="1333"/>
      <c r="N376" s="1333"/>
      <c r="O376" s="1333"/>
      <c r="P376" s="1333"/>
      <c r="Q376" s="1333"/>
      <c r="R376" s="1491"/>
      <c r="S376" s="1284"/>
      <c r="T376" s="1284"/>
      <c r="U376" s="1333"/>
      <c r="V376" s="1333"/>
      <c r="W376" s="1333"/>
      <c r="X376" s="1333"/>
      <c r="Y376" s="1333"/>
      <c r="Z376" s="1333"/>
      <c r="AA376" s="1333"/>
      <c r="AB376" s="1333"/>
      <c r="AC376" s="1333"/>
      <c r="AD376" s="1333"/>
      <c r="AE376" s="1333"/>
      <c r="AF376" s="1333"/>
      <c r="AG376" s="1333"/>
      <c r="AH376" s="1333"/>
      <c r="AI376" s="1333"/>
      <c r="AV376"/>
      <c r="AW376"/>
    </row>
    <row r="377" spans="1:49" ht="15" customHeight="1" x14ac:dyDescent="0.25">
      <c r="A377" s="1504" t="str">
        <f>IF(SD_apply="Yes",IF(COUNTIF('01 - SD'!D377:G377,"Y")&gt;0,"Y",IF(COUNTIF('01 - SD'!D377:G377,"N"),"N","")),"")</f>
        <v>N</v>
      </c>
      <c r="B377" s="18"/>
      <c r="C377" s="945"/>
      <c r="D377" s="116"/>
      <c r="E377" s="321"/>
      <c r="F377" s="466"/>
      <c r="G377" s="505" t="str">
        <f>IF('C-Design&amp;Const'!$K377="","",'C-Design&amp;Const'!$K377)</f>
        <v>N</v>
      </c>
      <c r="H377" s="1021" t="str">
        <f>CONCATENATE(IF(G377="N","PLACEHOLDER ROW - ",""),'C-Design&amp;Const'!Z377,IF(G377="N","",J377))</f>
        <v xml:space="preserve">PLACEHOLDER ROW - Video signal resolutions </v>
      </c>
      <c r="I377" s="137"/>
      <c r="J377" s="578" t="str">
        <f>IF('C-Design&amp;Const'!AF377="","",'C-Design&amp;Const'!AF377)</f>
        <v/>
      </c>
      <c r="K377" s="25" t="str">
        <f>IF(DD_apply="Yes",IF((COUNTIF(D377:G377,"Y")=COUNTIF('01 - SD'!D377:G377,"Y")),"match","no SD match"),"-")</f>
        <v>match</v>
      </c>
      <c r="L377" s="1410" t="str">
        <f t="shared" si="17"/>
        <v>&lt;---PM/Planner may hide PLACEHOLDER ROW</v>
      </c>
      <c r="M377" s="1333"/>
      <c r="N377" s="1333"/>
      <c r="O377" s="1333"/>
      <c r="P377" s="1333"/>
      <c r="Q377" s="1333"/>
      <c r="R377" s="1407"/>
      <c r="S377" s="1284"/>
      <c r="T377" s="1284"/>
      <c r="U377" s="1333"/>
      <c r="V377" s="1333"/>
      <c r="W377" s="1333"/>
      <c r="X377" s="1333"/>
      <c r="Y377" s="1333"/>
      <c r="Z377" s="1333"/>
      <c r="AA377" s="1333"/>
      <c r="AB377" s="1333"/>
      <c r="AC377" s="1333"/>
      <c r="AD377" s="1333"/>
      <c r="AE377" s="1333"/>
      <c r="AF377" s="1333"/>
      <c r="AG377" s="1333"/>
      <c r="AH377" s="1333"/>
      <c r="AI377" s="1333"/>
      <c r="AV377"/>
      <c r="AW377"/>
    </row>
    <row r="378" spans="1:49" ht="15" customHeight="1" x14ac:dyDescent="0.25">
      <c r="A378" s="1504" t="str">
        <f>IF(SD_apply="Yes",IF(COUNTIF('01 - SD'!D378:G378,"Y")&gt;0,"Y",IF(COUNTIF('01 - SD'!D378:G378,"N"),"N","")),"")</f>
        <v>N</v>
      </c>
      <c r="B378" s="18"/>
      <c r="C378" s="945"/>
      <c r="D378" s="116"/>
      <c r="E378" s="321"/>
      <c r="F378" s="466"/>
      <c r="G378" s="505" t="str">
        <f>IF('C-Design&amp;Const'!$K378="","",'C-Design&amp;Const'!$K378)</f>
        <v>N</v>
      </c>
      <c r="H378" s="1021" t="str">
        <f>CONCATENATE(IF(G378="N","PLACEHOLDER ROW - ",""),'C-Design&amp;Const'!Z378,IF(G378="N","",J378))</f>
        <v xml:space="preserve">PLACEHOLDER ROW - Manufacturer &amp; model number of all premade cables  </v>
      </c>
      <c r="I378" s="137"/>
      <c r="J378" s="578" t="str">
        <f>IF('C-Design&amp;Const'!AF378="","",'C-Design&amp;Const'!AF378)</f>
        <v/>
      </c>
      <c r="K378" s="25" t="str">
        <f>IF(DD_apply="Yes",IF((COUNTIF(D378:G378,"Y")=COUNTIF('01 - SD'!D378:G378,"Y")),"match","no SD match"),"-")</f>
        <v>match</v>
      </c>
      <c r="L378" s="1410" t="str">
        <f t="shared" si="17"/>
        <v>&lt;---PM/Planner may hide PLACEHOLDER ROW</v>
      </c>
      <c r="M378" s="1333"/>
      <c r="N378" s="1333"/>
      <c r="O378" s="1333"/>
      <c r="P378" s="1333"/>
      <c r="Q378" s="1333"/>
      <c r="R378" s="1491"/>
      <c r="S378" s="1284"/>
      <c r="T378" s="1284"/>
      <c r="U378" s="1333"/>
      <c r="V378" s="1333"/>
      <c r="W378" s="1333"/>
      <c r="X378" s="1333"/>
      <c r="Y378" s="1333"/>
      <c r="Z378" s="1333"/>
      <c r="AA378" s="1333"/>
      <c r="AB378" s="1333"/>
      <c r="AC378" s="1333"/>
      <c r="AD378" s="1333"/>
      <c r="AE378" s="1333"/>
      <c r="AF378" s="1333"/>
      <c r="AG378" s="1333"/>
      <c r="AH378" s="1333"/>
      <c r="AI378" s="1333"/>
      <c r="AV378"/>
      <c r="AW378"/>
    </row>
    <row r="379" spans="1:49" ht="15" customHeight="1" x14ac:dyDescent="0.25">
      <c r="A379" s="1504" t="str">
        <f>IF(SD_apply="Yes",IF(COUNTIF('01 - SD'!D379:G379,"Y")&gt;0,"Y",IF(COUNTIF('01 - SD'!D379:G379,"N"),"N","")),"")</f>
        <v>N</v>
      </c>
      <c r="B379" s="18"/>
      <c r="C379" s="945"/>
      <c r="D379" s="116"/>
      <c r="E379" s="321"/>
      <c r="F379" s="466"/>
      <c r="G379" s="505" t="str">
        <f>IF('C-Design&amp;Const'!$K379="","",'C-Design&amp;Const'!$K379)</f>
        <v>N</v>
      </c>
      <c r="H379" s="1021" t="str">
        <f>CONCATENATE(IF(G379="N","PLACEHOLDER ROW - ",""),'C-Design&amp;Const'!Z379,IF(G379="N","",J379))</f>
        <v xml:space="preserve">PLACEHOLDER ROW - Typical pin out details </v>
      </c>
      <c r="I379" s="137"/>
      <c r="J379" s="578" t="str">
        <f>IF('C-Design&amp;Const'!AF379="","",'C-Design&amp;Const'!AF379)</f>
        <v/>
      </c>
      <c r="K379" s="25" t="str">
        <f>IF(DD_apply="Yes",IF((COUNTIF(D379:G379,"Y")=COUNTIF('01 - SD'!D379:G379,"Y")),"match","no SD match"),"-")</f>
        <v>match</v>
      </c>
      <c r="L379" s="1410" t="str">
        <f t="shared" si="17"/>
        <v>&lt;---PM/Planner may hide PLACEHOLDER ROW</v>
      </c>
      <c r="M379" s="1333"/>
      <c r="N379" s="1333"/>
      <c r="O379" s="1333"/>
      <c r="P379" s="1333"/>
      <c r="Q379" s="1333"/>
      <c r="R379" s="1491"/>
      <c r="S379" s="1284"/>
      <c r="T379" s="1284"/>
      <c r="U379" s="1333"/>
      <c r="V379" s="1333"/>
      <c r="W379" s="1333"/>
      <c r="X379" s="1333"/>
      <c r="Y379" s="1333"/>
      <c r="Z379" s="1333"/>
      <c r="AA379" s="1333"/>
      <c r="AB379" s="1333"/>
      <c r="AC379" s="1333"/>
      <c r="AD379" s="1333"/>
      <c r="AE379" s="1333"/>
      <c r="AF379" s="1333"/>
      <c r="AG379" s="1333"/>
      <c r="AH379" s="1333"/>
      <c r="AI379" s="1333"/>
      <c r="AV379"/>
      <c r="AW379"/>
    </row>
    <row r="380" spans="1:49" ht="15" customHeight="1" x14ac:dyDescent="0.25">
      <c r="A380" s="1504" t="str">
        <f>IF(SD_apply="Yes",IF(COUNTIF('01 - SD'!D380:G380,"Y")&gt;0,"Y",IF(COUNTIF('01 - SD'!D380:G380,"N"),"N","")),"")</f>
        <v>N</v>
      </c>
      <c r="B380" s="18"/>
      <c r="C380" s="945"/>
      <c r="D380" s="116"/>
      <c r="E380" s="321"/>
      <c r="F380" s="559" t="str">
        <f>IF('C-Design&amp;Const'!$K380="","",'C-Design&amp;Const'!$K380)</f>
        <v>N</v>
      </c>
      <c r="G380" s="999"/>
      <c r="H380" s="243" t="str">
        <f>CONCATENATE(IF(F380="N","PLACEHOLDER ROW - ",""),'C-Design&amp;Const'!Z380,IF(F380="N","",J380))</f>
        <v xml:space="preserve">PLACEHOLDER ROW - Video Security System – Approved Camera Locations </v>
      </c>
      <c r="I380" s="137"/>
      <c r="J380" s="578" t="str">
        <f>IF('C-Design&amp;Const'!AF380="","",'C-Design&amp;Const'!AF380)</f>
        <v/>
      </c>
      <c r="K380" s="25" t="str">
        <f>IF(DD_apply="Yes",IF((COUNTIF(D380:G380,"Y")=COUNTIF('01 - SD'!D380:G380,"Y")),"match","no SD match"),"-")</f>
        <v>match</v>
      </c>
      <c r="L380" s="1410" t="str">
        <f t="shared" si="17"/>
        <v>&lt;---PM/Planner may hide PLACEHOLDER ROW</v>
      </c>
      <c r="M380" s="1333"/>
      <c r="N380" s="1333"/>
      <c r="O380" s="1333"/>
      <c r="P380" s="1333"/>
      <c r="Q380" s="1333"/>
      <c r="R380" s="1407"/>
      <c r="S380" s="1284"/>
      <c r="T380" s="1284"/>
      <c r="U380" s="1333"/>
      <c r="V380" s="1333"/>
      <c r="W380" s="1333"/>
      <c r="X380" s="1333"/>
      <c r="Y380" s="1333"/>
      <c r="Z380" s="1333"/>
      <c r="AA380" s="1333"/>
      <c r="AB380" s="1333"/>
      <c r="AC380" s="1333"/>
      <c r="AD380" s="1333"/>
      <c r="AE380" s="1333"/>
      <c r="AF380" s="1333"/>
      <c r="AG380" s="1333"/>
      <c r="AH380" s="1333"/>
      <c r="AI380" s="1333"/>
      <c r="AV380"/>
      <c r="AW380"/>
    </row>
    <row r="381" spans="1:49" ht="15" customHeight="1" x14ac:dyDescent="0.25">
      <c r="A381" s="1503" t="str">
        <f>IF(SD_apply="Yes",IF(COUNTIF('01 - SD'!D381:G381,"Y")&gt;0,"Y",IF(COUNTIF('01 - SD'!D381:G381,"N"),"N","")),"")</f>
        <v/>
      </c>
      <c r="B381" s="18"/>
      <c r="C381" s="945"/>
      <c r="D381" s="116"/>
      <c r="E381" s="411"/>
      <c r="F381" s="321"/>
      <c r="G381" s="294"/>
      <c r="H381" s="296"/>
      <c r="I381" s="130"/>
      <c r="J381" s="578" t="str">
        <f>IF('C-Design&amp;Const'!AF381="","",'C-Design&amp;Const'!AF381)</f>
        <v/>
      </c>
      <c r="K381" s="25" t="str">
        <f>IF(DD_apply="Yes",IF((COUNTIF(D381:G381,"Y")=COUNTIF('01 - SD'!D381:G381,"Y")),"match","no SD match"),"-")</f>
        <v>match</v>
      </c>
      <c r="L381" s="1410" t="str">
        <f t="shared" si="17"/>
        <v/>
      </c>
      <c r="M381" s="1333"/>
      <c r="N381" s="1333"/>
      <c r="O381" s="1333"/>
      <c r="P381" s="1333"/>
      <c r="Q381" s="1333"/>
      <c r="R381" s="1446"/>
      <c r="S381" s="1284"/>
      <c r="T381" s="1284"/>
      <c r="U381" s="1333"/>
      <c r="V381" s="1333"/>
      <c r="W381" s="1333"/>
      <c r="X381" s="1333"/>
      <c r="Y381" s="1333"/>
      <c r="Z381" s="1333"/>
      <c r="AA381" s="1333"/>
      <c r="AB381" s="1333"/>
      <c r="AC381" s="1333"/>
      <c r="AD381" s="1333"/>
      <c r="AE381" s="1333"/>
      <c r="AF381" s="1333"/>
      <c r="AG381" s="1333"/>
      <c r="AH381" s="1333"/>
      <c r="AI381" s="1333"/>
    </row>
    <row r="382" spans="1:49" s="30" customFormat="1" ht="18" customHeight="1" x14ac:dyDescent="0.25">
      <c r="A382" s="1503" t="str">
        <f>IF(SD_apply="Yes",IF(COUNTIF('01 - SD'!D382:G382,"Y")&gt;0,"Y",IF(COUNTIF('01 - SD'!D382:G382,"N"),"N","")),"")</f>
        <v>N</v>
      </c>
      <c r="B382" s="32"/>
      <c r="C382" s="928"/>
      <c r="D382" s="52" t="str">
        <f>IF('C-Design&amp;Const'!$K382="","",'C-Design&amp;Const'!$K382)</f>
        <v>N</v>
      </c>
      <c r="E382" s="234"/>
      <c r="F382" s="235"/>
      <c r="G382" s="291" t="str">
        <f>IF('C-Design&amp;Const'!Y382="","",'C-Design&amp;Const'!Y382)</f>
        <v>07b.</v>
      </c>
      <c r="H382" s="236" t="str">
        <f>CONCATENATE('C-Design&amp;Const'!Z382,IF(D382="N"," Not Used In This Design Phase",J382))</f>
        <v>Building Information Model (BIM) Not Used In This Design Phase</v>
      </c>
      <c r="I382" s="184"/>
      <c r="J382" s="578" t="str">
        <f>IF('C-Design&amp;Const'!AF382="","",'C-Design&amp;Const'!AF382)</f>
        <v xml:space="preserve"> (LOD of 200)</v>
      </c>
      <c r="K382" s="25" t="str">
        <f>IF(DD_apply="Yes",IF((COUNTIF(D382:G382,"Y")=COUNTIF('01 - SD'!D382:G382,"Y")),"match","no SD match"),"-")</f>
        <v>match</v>
      </c>
      <c r="L382" s="1410" t="str">
        <f t="shared" si="17"/>
        <v/>
      </c>
      <c r="M382" s="1333"/>
      <c r="N382" s="1333"/>
      <c r="O382" s="1382"/>
      <c r="P382" s="1382"/>
      <c r="Q382" s="1382"/>
      <c r="R382" s="1447"/>
      <c r="S382" s="1448"/>
      <c r="T382" s="1274"/>
      <c r="U382" s="1382"/>
      <c r="V382" s="1382"/>
      <c r="W382" s="1382"/>
      <c r="X382" s="1382"/>
      <c r="Y382" s="1382"/>
      <c r="Z382" s="1382"/>
      <c r="AA382" s="1382"/>
      <c r="AB382" s="1382"/>
      <c r="AC382" s="1382"/>
      <c r="AD382" s="1382"/>
      <c r="AE382" s="1382"/>
      <c r="AF382" s="1382"/>
      <c r="AG382" s="1382"/>
      <c r="AH382" s="1382"/>
      <c r="AI382" s="1382"/>
      <c r="AJ382" s="181"/>
      <c r="AK382" s="181"/>
      <c r="AL382" s="181"/>
      <c r="AM382" s="181"/>
      <c r="AN382" s="181"/>
      <c r="AO382" s="181"/>
      <c r="AP382" s="181"/>
      <c r="AQ382" s="181"/>
      <c r="AR382" s="181"/>
      <c r="AS382" s="181"/>
      <c r="AT382" s="181"/>
      <c r="AU382" s="181"/>
      <c r="AV382" s="181"/>
    </row>
    <row r="383" spans="1:49" ht="15" hidden="1" customHeight="1" x14ac:dyDescent="0.25">
      <c r="A383" s="1503" t="str">
        <f>IF(SD_apply="Yes",IF(COUNTIF('01 - SD'!D383:G383,"Y")&gt;0,"Y",IF(COUNTIF('01 - SD'!D383:G383,"N"),"N","")),"")</f>
        <v/>
      </c>
      <c r="B383" s="18"/>
      <c r="C383" s="945"/>
      <c r="D383" s="547"/>
      <c r="E383" s="321"/>
      <c r="F383" s="321"/>
      <c r="G383" s="294"/>
      <c r="H383" s="296"/>
      <c r="I383" s="130"/>
      <c r="J383" s="578" t="str">
        <f>IF('C-Design&amp;Const'!AF383="","",'C-Design&amp;Const'!AF383)</f>
        <v/>
      </c>
      <c r="K383" s="25" t="str">
        <f>IF(DD_apply="Yes",IF((COUNTIF(D383:G383,"Y")=COUNTIF('01 - SD'!D383:G383,"Y")),"match","no SD match"),"-")</f>
        <v>match</v>
      </c>
      <c r="L383" s="1410" t="str">
        <f t="shared" si="17"/>
        <v/>
      </c>
      <c r="M383" s="1333"/>
      <c r="N383" s="1382"/>
      <c r="O383" s="1333"/>
      <c r="P383" s="1333"/>
      <c r="Q383" s="1333"/>
      <c r="R383" s="1490"/>
      <c r="S383" s="1284"/>
      <c r="T383" s="1284"/>
      <c r="U383" s="1382"/>
      <c r="V383" s="1382"/>
      <c r="W383" s="1333"/>
      <c r="X383" s="1333"/>
      <c r="Y383" s="1333"/>
      <c r="Z383" s="1333"/>
      <c r="AA383" s="1333"/>
      <c r="AB383" s="1333"/>
      <c r="AC383" s="1333"/>
      <c r="AD383" s="1333"/>
      <c r="AE383" s="1333"/>
      <c r="AF383" s="1333"/>
      <c r="AG383" s="1333"/>
      <c r="AH383" s="1333"/>
      <c r="AI383" s="1333"/>
      <c r="AV383"/>
      <c r="AW383"/>
    </row>
    <row r="384" spans="1:49" ht="15" customHeight="1" x14ac:dyDescent="0.25">
      <c r="A384" s="1503" t="str">
        <f>IF(SD_apply="Yes",IF(COUNTIF('01 - SD'!D384:G384,"Y")&gt;0,"Y",IF(COUNTIF('01 - SD'!D384:G384,"N"),"N","")),"")</f>
        <v/>
      </c>
      <c r="B384" s="18"/>
      <c r="C384" s="945"/>
      <c r="D384" s="547"/>
      <c r="E384" s="321"/>
      <c r="F384" s="321"/>
      <c r="G384" s="294"/>
      <c r="H384" s="296"/>
      <c r="I384" s="130"/>
      <c r="J384" s="578" t="str">
        <f>IF('C-Design&amp;Const'!AF384="","",'C-Design&amp;Const'!AF384)</f>
        <v/>
      </c>
      <c r="K384" s="25" t="str">
        <f>IF(DD_apply="Yes",IF((COUNTIF(D384:G384,"Y")=COUNTIF('01 - SD'!D384:G384,"Y")),"match","no SD match"),"-")</f>
        <v>match</v>
      </c>
      <c r="L384" s="1410" t="str">
        <f t="shared" si="17"/>
        <v/>
      </c>
      <c r="M384" s="1333"/>
      <c r="N384" s="1382"/>
      <c r="O384" s="1333"/>
      <c r="P384" s="1333"/>
      <c r="Q384" s="1333"/>
      <c r="R384" s="1490"/>
      <c r="S384" s="1284"/>
      <c r="T384" s="1284"/>
      <c r="U384" s="1382"/>
      <c r="V384" s="1382"/>
      <c r="W384" s="1333"/>
      <c r="X384" s="1333"/>
      <c r="Y384" s="1333"/>
      <c r="Z384" s="1333"/>
      <c r="AA384" s="1333"/>
      <c r="AB384" s="1333"/>
      <c r="AC384" s="1333"/>
      <c r="AD384" s="1333"/>
      <c r="AE384" s="1333"/>
      <c r="AF384" s="1333"/>
      <c r="AG384" s="1333"/>
      <c r="AH384" s="1333"/>
      <c r="AI384" s="1333"/>
      <c r="AV384"/>
      <c r="AW384"/>
    </row>
    <row r="385" spans="1:49" s="30" customFormat="1" ht="18" customHeight="1" x14ac:dyDescent="0.25">
      <c r="A385" s="1503" t="str">
        <f>IF(SD_apply="Yes",IF(COUNTIF('01 - SD'!D385:G385,"Y")&gt;0,"Y",IF(COUNTIF('01 - SD'!D385:G385,"N"),"N","")),"")</f>
        <v>Y</v>
      </c>
      <c r="B385" s="32"/>
      <c r="C385" s="945"/>
      <c r="D385" s="29" t="str">
        <f>IF('C-Design&amp;Const'!$K385="","",'C-Design&amp;Const'!$K385)</f>
        <v>N</v>
      </c>
      <c r="E385" s="234"/>
      <c r="F385" s="235"/>
      <c r="G385" s="291" t="str">
        <f>IF('C-Design&amp;Const'!Y385="","",'C-Design&amp;Const'!Y385)</f>
        <v>08a.</v>
      </c>
      <c r="H385" s="236" t="str">
        <f>CONCATENATE('C-Design&amp;Const'!Z385,IF(D385="N"," Not Used In This Design Phase",J385))</f>
        <v>Design Presentation Not Used In This Design Phase</v>
      </c>
      <c r="I385" s="184"/>
      <c r="J385" s="578" t="str">
        <f>IF('C-Design&amp;Const'!AF385="","",'C-Design&amp;Const'!AF385)</f>
        <v>to Architectural Review Committee (ARC)</v>
      </c>
      <c r="K385" s="25" t="str">
        <f>IF(DD_apply="Yes",IF((COUNTIF(D385:G385,"Y")=COUNTIF('01 - SD'!D385:G385,"Y")),"match","no SD match"),"-")</f>
        <v>no SD match</v>
      </c>
      <c r="L385" s="1410" t="str">
        <f t="shared" si="17"/>
        <v/>
      </c>
      <c r="M385" s="1333"/>
      <c r="N385" s="1382"/>
      <c r="O385" s="1382"/>
      <c r="P385" s="1382"/>
      <c r="Q385" s="1382"/>
      <c r="R385" s="1490"/>
      <c r="S385" s="1448"/>
      <c r="T385" s="1274"/>
      <c r="U385" s="1382"/>
      <c r="V385" s="1382"/>
      <c r="W385" s="1382"/>
      <c r="X385" s="1382"/>
      <c r="Y385" s="1382"/>
      <c r="Z385" s="1382"/>
      <c r="AA385" s="1382"/>
      <c r="AB385" s="1382"/>
      <c r="AC385" s="1382"/>
      <c r="AD385" s="1382"/>
      <c r="AE385" s="1382"/>
      <c r="AF385" s="1382"/>
      <c r="AG385" s="1382"/>
      <c r="AH385" s="1382"/>
      <c r="AI385" s="1382"/>
      <c r="AJ385" s="181"/>
      <c r="AK385" s="181"/>
      <c r="AL385" s="181"/>
      <c r="AM385" s="181"/>
      <c r="AN385" s="181"/>
      <c r="AO385" s="181"/>
      <c r="AP385" s="181"/>
      <c r="AQ385" s="181"/>
      <c r="AR385" s="181"/>
      <c r="AS385" s="181"/>
      <c r="AT385" s="181"/>
      <c r="AU385" s="181"/>
    </row>
    <row r="386" spans="1:49" s="30" customFormat="1" ht="15" hidden="1" customHeight="1" x14ac:dyDescent="0.25">
      <c r="A386" s="1507" t="str">
        <f>IF(SD_apply="Yes",IF(COUNTIF('01 - SD'!D386:G386,"Y")&gt;0,"Y",IF(COUNTIF('01 - SD'!D386:G386,"N"),"N","")),"")</f>
        <v>Y</v>
      </c>
      <c r="B386" s="32"/>
      <c r="C386" s="945"/>
      <c r="D386" s="116"/>
      <c r="E386" s="559" t="str">
        <f>IF('C-Design&amp;Const'!$K386="","",'C-Design&amp;Const'!$K386)</f>
        <v>N</v>
      </c>
      <c r="F386" s="458"/>
      <c r="G386" s="506"/>
      <c r="H386" s="362" t="str">
        <f>CONCATENATE(IF(E386="N","PLACEHOLDER ROW - ",""),IF(E386="N","",J386),'C-Design&amp;Const'!Z386,)</f>
        <v xml:space="preserve">PLACEHOLDER ROW - Overall Campus Map next to zoomed in aerial image map </v>
      </c>
      <c r="I386" s="193"/>
      <c r="J386" s="578" t="str">
        <f>IF('C-Design&amp;Const'!AF386="","",'C-Design&amp;Const'!AF386)</f>
        <v/>
      </c>
      <c r="K386" s="25" t="str">
        <f>IF(DD_apply="Yes",IF((COUNTIF(D386:G386,"Y")=COUNTIF('01 - SD'!D386:G386,"Y")),"match","no SD match"),"-")</f>
        <v>no SD match</v>
      </c>
      <c r="L386" s="1410" t="str">
        <f t="shared" si="17"/>
        <v>&lt;---PM/Planner may hide PLACEHOLDER ROW</v>
      </c>
      <c r="M386" s="1333"/>
      <c r="N386" s="1382"/>
      <c r="O386" s="1382"/>
      <c r="P386" s="1382"/>
      <c r="Q386" s="1382"/>
      <c r="R386" s="1490"/>
      <c r="S386" s="1274"/>
      <c r="T386" s="1274"/>
      <c r="U386" s="1382"/>
      <c r="V386" s="1382"/>
      <c r="W386" s="1382"/>
      <c r="X386" s="1382"/>
      <c r="Y386" s="1382"/>
      <c r="Z386" s="1382"/>
      <c r="AA386" s="1382"/>
      <c r="AB386" s="1382"/>
      <c r="AC386" s="1382"/>
      <c r="AD386" s="1382"/>
      <c r="AE386" s="1382"/>
      <c r="AF386" s="1382"/>
      <c r="AG386" s="1382"/>
      <c r="AH386" s="1382"/>
      <c r="AI386" s="1382"/>
      <c r="AJ386" s="181"/>
      <c r="AK386" s="181"/>
      <c r="AL386" s="181"/>
      <c r="AM386" s="181"/>
      <c r="AN386" s="181"/>
      <c r="AO386" s="181"/>
      <c r="AP386" s="181"/>
      <c r="AQ386" s="181"/>
      <c r="AR386" s="181"/>
      <c r="AS386" s="181"/>
      <c r="AT386" s="181"/>
      <c r="AU386" s="181"/>
      <c r="AV386" s="181"/>
      <c r="AW386" s="181"/>
    </row>
    <row r="387" spans="1:49" s="30" customFormat="1" ht="15" hidden="1" customHeight="1" x14ac:dyDescent="0.25">
      <c r="A387" s="1507" t="str">
        <f>IF(SD_apply="Yes",IF(COUNTIF('01 - SD'!D387:G387,"Y")&gt;0,"Y",IF(COUNTIF('01 - SD'!D387:G387,"N"),"N","")),"")</f>
        <v>Y</v>
      </c>
      <c r="B387" s="32"/>
      <c r="C387" s="945"/>
      <c r="D387" s="116"/>
      <c r="E387" s="559" t="str">
        <f>IF('C-Design&amp;Const'!$K387="","",'C-Design&amp;Const'!$K387)</f>
        <v>N</v>
      </c>
      <c r="F387" s="458"/>
      <c r="G387" s="506"/>
      <c r="H387" s="362" t="str">
        <f>CONCATENATE(IF(E387="N","PLACEHOLDER ROW - ",""),IF(E387="N","",J387),'C-Design&amp;Const'!Z387,)</f>
        <v>PLACEHOLDER ROW - Building Footprint on Master Plan</v>
      </c>
      <c r="I387" s="193"/>
      <c r="J387" s="578" t="str">
        <f>IF('C-Design&amp;Const'!AF387="","",'C-Design&amp;Const'!AF387)</f>
        <v/>
      </c>
      <c r="K387" s="25" t="str">
        <f>IF(DD_apply="Yes",IF((COUNTIF(D387:G387,"Y")=COUNTIF('01 - SD'!D387:G387,"Y")),"match","no SD match"),"-")</f>
        <v>no SD match</v>
      </c>
      <c r="L387" s="1410" t="str">
        <f t="shared" si="17"/>
        <v>&lt;---PM/Planner may hide PLACEHOLDER ROW</v>
      </c>
      <c r="M387" s="1333"/>
      <c r="N387" s="1382"/>
      <c r="O387" s="1382"/>
      <c r="P387" s="1382"/>
      <c r="Q387" s="1382"/>
      <c r="R387" s="1490"/>
      <c r="S387" s="1274"/>
      <c r="T387" s="1274"/>
      <c r="U387" s="1382"/>
      <c r="V387" s="1382"/>
      <c r="W387" s="1382"/>
      <c r="X387" s="1382"/>
      <c r="Y387" s="1382"/>
      <c r="Z387" s="1382"/>
      <c r="AA387" s="1382"/>
      <c r="AB387" s="1382"/>
      <c r="AC387" s="1382"/>
      <c r="AD387" s="1382"/>
      <c r="AE387" s="1382"/>
      <c r="AF387" s="1382"/>
      <c r="AG387" s="1382"/>
      <c r="AH387" s="1382"/>
      <c r="AI387" s="1382"/>
      <c r="AJ387" s="181"/>
      <c r="AK387" s="181"/>
      <c r="AL387" s="181"/>
      <c r="AM387" s="181"/>
      <c r="AN387" s="181"/>
      <c r="AO387" s="181"/>
      <c r="AP387" s="181"/>
      <c r="AQ387" s="181"/>
      <c r="AR387" s="181"/>
      <c r="AS387" s="181"/>
      <c r="AT387" s="181"/>
      <c r="AU387" s="181"/>
      <c r="AV387" s="181"/>
      <c r="AW387" s="181"/>
    </row>
    <row r="388" spans="1:49" s="30" customFormat="1" ht="15" hidden="1" customHeight="1" x14ac:dyDescent="0.25">
      <c r="A388" s="1507" t="str">
        <f>IF(SD_apply="Yes",IF(COUNTIF('01 - SD'!D388:G388,"Y")&gt;0,"Y",IF(COUNTIF('01 - SD'!D388:G388,"N"),"N","")),"")</f>
        <v>Y</v>
      </c>
      <c r="B388" s="32"/>
      <c r="C388" s="945"/>
      <c r="D388" s="116"/>
      <c r="E388" s="559" t="str">
        <f>IF('C-Design&amp;Const'!$K388="","",'C-Design&amp;Const'!$K388)</f>
        <v>N</v>
      </c>
      <c r="F388" s="458"/>
      <c r="G388" s="506"/>
      <c r="H388" s="362" t="str">
        <f>CONCATENATE(IF(E388="N","PLACEHOLDER ROW - ",""),IF(E388="N","",J388),'C-Design&amp;Const'!Z388,)</f>
        <v>PLACEHOLDER ROW - **Bullet Points of Major Project Goals &amp; Objectives, New GSF, Renovated GSF, Demolished GSF</v>
      </c>
      <c r="I388" s="193"/>
      <c r="J388" s="578" t="str">
        <f>IF('C-Design&amp;Const'!AF388="","",'C-Design&amp;Const'!AF388)</f>
        <v/>
      </c>
      <c r="K388" s="25" t="str">
        <f>IF(DD_apply="Yes",IF((COUNTIF(D388:G388,"Y")=COUNTIF('01 - SD'!D388:G388,"Y")),"match","no SD match"),"-")</f>
        <v>no SD match</v>
      </c>
      <c r="L388" s="1410" t="str">
        <f t="shared" si="17"/>
        <v>&lt;---PM/Planner may hide PLACEHOLDER ROW</v>
      </c>
      <c r="M388" s="1333"/>
      <c r="N388" s="1382"/>
      <c r="O388" s="1382"/>
      <c r="P388" s="1382"/>
      <c r="Q388" s="1382"/>
      <c r="R388" s="1490"/>
      <c r="S388" s="1274"/>
      <c r="T388" s="1274"/>
      <c r="U388" s="1382"/>
      <c r="V388" s="1382"/>
      <c r="W388" s="1382"/>
      <c r="X388" s="1382"/>
      <c r="Y388" s="1382"/>
      <c r="Z388" s="1382"/>
      <c r="AA388" s="1382"/>
      <c r="AB388" s="1382"/>
      <c r="AC388" s="1382"/>
      <c r="AD388" s="1382"/>
      <c r="AE388" s="1382"/>
      <c r="AF388" s="1382"/>
      <c r="AG388" s="1382"/>
      <c r="AH388" s="1382"/>
      <c r="AI388" s="1382"/>
      <c r="AJ388" s="181"/>
      <c r="AK388" s="181"/>
      <c r="AL388" s="181"/>
      <c r="AM388" s="181"/>
      <c r="AN388" s="181"/>
      <c r="AO388" s="181"/>
      <c r="AP388" s="181"/>
      <c r="AQ388" s="181"/>
      <c r="AR388" s="181"/>
      <c r="AS388" s="181"/>
      <c r="AT388" s="181"/>
      <c r="AU388" s="181"/>
      <c r="AV388" s="181"/>
      <c r="AW388" s="181"/>
    </row>
    <row r="389" spans="1:49" s="30" customFormat="1" ht="15" hidden="1" customHeight="1" x14ac:dyDescent="0.25">
      <c r="A389" s="1507" t="str">
        <f>IF(SD_apply="Yes",IF(COUNTIF('01 - SD'!D389:G389,"Y")&gt;0,"Y",IF(COUNTIF('01 - SD'!D389:G389,"N"),"N","")),"")</f>
        <v>Y</v>
      </c>
      <c r="B389" s="32"/>
      <c r="C389" s="945"/>
      <c r="D389" s="116"/>
      <c r="E389" s="559" t="str">
        <f>IF('C-Design&amp;Const'!$K389="","",'C-Design&amp;Const'!$K389)</f>
        <v>N</v>
      </c>
      <c r="F389" s="458"/>
      <c r="G389" s="506"/>
      <c r="H389" s="362" t="str">
        <f>CONCATENATE(IF(E389="N","PLACEHOLDER ROW - ",""),IF(E389="N","",J389),'C-Design&amp;Const'!Z389,)</f>
        <v>PLACEHOLDER ROW - **Overall Construction Budget, Construction Begin &amp; End</v>
      </c>
      <c r="I389" s="193"/>
      <c r="J389" s="578" t="str">
        <f>IF('C-Design&amp;Const'!AF389="","",'C-Design&amp;Const'!AF389)</f>
        <v/>
      </c>
      <c r="K389" s="25" t="str">
        <f>IF(DD_apply="Yes",IF((COUNTIF(D389:G389,"Y")=COUNTIF('01 - SD'!D389:G389,"Y")),"match","no SD match"),"-")</f>
        <v>no SD match</v>
      </c>
      <c r="L389" s="1410" t="str">
        <f t="shared" si="17"/>
        <v>&lt;---PM/Planner may hide PLACEHOLDER ROW</v>
      </c>
      <c r="M389" s="1333"/>
      <c r="N389" s="1382"/>
      <c r="O389" s="1382"/>
      <c r="P389" s="1382"/>
      <c r="Q389" s="1382"/>
      <c r="R389" s="1490"/>
      <c r="S389" s="1274"/>
      <c r="T389" s="1274"/>
      <c r="U389" s="1382"/>
      <c r="V389" s="1382"/>
      <c r="W389" s="1382"/>
      <c r="X389" s="1382"/>
      <c r="Y389" s="1382"/>
      <c r="Z389" s="1382"/>
      <c r="AA389" s="1382"/>
      <c r="AB389" s="1382"/>
      <c r="AC389" s="1382"/>
      <c r="AD389" s="1382"/>
      <c r="AE389" s="1382"/>
      <c r="AF389" s="1382"/>
      <c r="AG389" s="1382"/>
      <c r="AH389" s="1382"/>
      <c r="AI389" s="1382"/>
      <c r="AJ389" s="181"/>
      <c r="AK389" s="181"/>
      <c r="AL389" s="181"/>
      <c r="AM389" s="181"/>
      <c r="AN389" s="181"/>
      <c r="AO389" s="181"/>
      <c r="AP389" s="181"/>
      <c r="AQ389" s="181"/>
      <c r="AR389" s="181"/>
      <c r="AS389" s="181"/>
      <c r="AT389" s="181"/>
      <c r="AU389" s="181"/>
      <c r="AV389" s="181"/>
      <c r="AW389" s="181"/>
    </row>
    <row r="390" spans="1:49" s="30" customFormat="1" ht="15" hidden="1" customHeight="1" x14ac:dyDescent="0.25">
      <c r="A390" s="1507" t="str">
        <f>IF(SD_apply="Yes",IF(COUNTIF('01 - SD'!D390:G390,"Y")&gt;0,"Y",IF(COUNTIF('01 - SD'!D390:G390,"N"),"N","")),"")</f>
        <v>Y</v>
      </c>
      <c r="B390" s="32"/>
      <c r="C390" s="945"/>
      <c r="D390" s="116"/>
      <c r="E390" s="559" t="str">
        <f>IF('C-Design&amp;Const'!$K390="","",'C-Design&amp;Const'!$K390)</f>
        <v>N</v>
      </c>
      <c r="F390" s="458"/>
      <c r="G390" s="506"/>
      <c r="H390" s="362" t="str">
        <f>CONCATENATE(IF(E390="N","PLACEHOLDER ROW - ",""),IF(E390="N","",J390),'C-Design&amp;Const'!Z390,)</f>
        <v>PLACEHOLDER ROW - **LEED Goal (and LEED Project Checklist - for client presentations only)</v>
      </c>
      <c r="I390" s="193"/>
      <c r="J390" s="578" t="str">
        <f>IF('C-Design&amp;Const'!AF390="","",'C-Design&amp;Const'!AF390)</f>
        <v/>
      </c>
      <c r="K390" s="25" t="str">
        <f>IF(DD_apply="Yes",IF((COUNTIF(D390:G390,"Y")=COUNTIF('01 - SD'!D390:G390,"Y")),"match","no SD match"),"-")</f>
        <v>no SD match</v>
      </c>
      <c r="L390" s="1410" t="str">
        <f t="shared" si="17"/>
        <v>&lt;---PM/Planner may hide PLACEHOLDER ROW</v>
      </c>
      <c r="M390" s="1333"/>
      <c r="N390" s="1382"/>
      <c r="O390" s="1382"/>
      <c r="P390" s="1382"/>
      <c r="Q390" s="1382"/>
      <c r="R390" s="1490"/>
      <c r="S390" s="1274"/>
      <c r="T390" s="1274"/>
      <c r="U390" s="1382"/>
      <c r="V390" s="1382"/>
      <c r="W390" s="1382"/>
      <c r="X390" s="1382"/>
      <c r="Y390" s="1382"/>
      <c r="Z390" s="1382"/>
      <c r="AA390" s="1382"/>
      <c r="AB390" s="1382"/>
      <c r="AC390" s="1382"/>
      <c r="AD390" s="1382"/>
      <c r="AE390" s="1382"/>
      <c r="AF390" s="1382"/>
      <c r="AG390" s="1382"/>
      <c r="AH390" s="1382"/>
      <c r="AI390" s="1382"/>
      <c r="AJ390" s="181"/>
      <c r="AK390" s="181"/>
      <c r="AL390" s="181"/>
      <c r="AM390" s="181"/>
      <c r="AN390" s="181"/>
      <c r="AO390" s="181"/>
      <c r="AP390" s="181"/>
      <c r="AQ390" s="181"/>
      <c r="AR390" s="181"/>
      <c r="AS390" s="181"/>
      <c r="AT390" s="181"/>
      <c r="AU390" s="181"/>
      <c r="AV390" s="181"/>
      <c r="AW390" s="181"/>
    </row>
    <row r="391" spans="1:49" s="30" customFormat="1" ht="15" hidden="1" customHeight="1" x14ac:dyDescent="0.25">
      <c r="A391" s="1507" t="str">
        <f>IF(SD_apply="Yes",IF(COUNTIF('01 - SD'!D391:G391,"Y")&gt;0,"Y",IF(COUNTIF('01 - SD'!D391:G391,"N"),"N","")),"")</f>
        <v>Y</v>
      </c>
      <c r="B391" s="32"/>
      <c r="C391" s="945"/>
      <c r="D391" s="116"/>
      <c r="E391" s="559" t="str">
        <f>IF('C-Design&amp;Const'!$K391="","",'C-Design&amp;Const'!$K391)</f>
        <v>N</v>
      </c>
      <c r="F391" s="458"/>
      <c r="G391" s="506"/>
      <c r="H391" s="362" t="str">
        <f>CONCATENATE(IF(E391="N","PLACEHOLDER ROW - ",""),IF(E391="N","",J391),'C-Design&amp;Const'!Z391,)</f>
        <v>PLACEHOLDER ROW - Proposed combined Site / Landscape Plan</v>
      </c>
      <c r="I391" s="193"/>
      <c r="J391" s="578" t="str">
        <f>IF('C-Design&amp;Const'!AF391="","",'C-Design&amp;Const'!AF391)</f>
        <v/>
      </c>
      <c r="K391" s="25" t="str">
        <f>IF(DD_apply="Yes",IF((COUNTIF(D391:G391,"Y")=COUNTIF('01 - SD'!D391:G391,"Y")),"match","no SD match"),"-")</f>
        <v>no SD match</v>
      </c>
      <c r="L391" s="1410" t="str">
        <f t="shared" si="17"/>
        <v>&lt;---PM/Planner may hide PLACEHOLDER ROW</v>
      </c>
      <c r="M391" s="1333"/>
      <c r="N391" s="1382"/>
      <c r="O391" s="1382"/>
      <c r="P391" s="1382"/>
      <c r="Q391" s="1382"/>
      <c r="R391" s="1490"/>
      <c r="S391" s="1274"/>
      <c r="T391" s="1274"/>
      <c r="U391" s="1382"/>
      <c r="V391" s="1382"/>
      <c r="W391" s="1382"/>
      <c r="X391" s="1382"/>
      <c r="Y391" s="1382"/>
      <c r="Z391" s="1382"/>
      <c r="AA391" s="1382"/>
      <c r="AB391" s="1382"/>
      <c r="AC391" s="1382"/>
      <c r="AD391" s="1382"/>
      <c r="AE391" s="1382"/>
      <c r="AF391" s="1382"/>
      <c r="AG391" s="1382"/>
      <c r="AH391" s="1382"/>
      <c r="AI391" s="1382"/>
      <c r="AJ391" s="181"/>
      <c r="AK391" s="181"/>
      <c r="AL391" s="181"/>
      <c r="AM391" s="181"/>
      <c r="AN391" s="181"/>
      <c r="AO391" s="181"/>
      <c r="AP391" s="181"/>
      <c r="AQ391" s="181"/>
      <c r="AR391" s="181"/>
      <c r="AS391" s="181"/>
      <c r="AT391" s="181"/>
      <c r="AU391" s="181"/>
      <c r="AV391" s="181"/>
      <c r="AW391" s="181"/>
    </row>
    <row r="392" spans="1:49" s="30" customFormat="1" ht="15" hidden="1" customHeight="1" x14ac:dyDescent="0.25">
      <c r="A392" s="1507" t="str">
        <f>IF(SD_apply="Yes",IF(COUNTIF('01 - SD'!D392:G392,"Y")&gt;0,"Y",IF(COUNTIF('01 - SD'!D392:G392,"N"),"N","")),"")</f>
        <v>Y</v>
      </c>
      <c r="B392" s="32"/>
      <c r="C392" s="945"/>
      <c r="D392" s="116"/>
      <c r="E392" s="559" t="str">
        <f>IF('C-Design&amp;Const'!$K392="","",'C-Design&amp;Const'!$K392)</f>
        <v>N</v>
      </c>
      <c r="F392" s="458"/>
      <c r="G392" s="506"/>
      <c r="H392" s="362" t="str">
        <f>CONCATENATE(IF(E392="N","PLACEHOLDER ROW - ",""),IF(E392="N","",J392),'C-Design&amp;Const'!Z392,)</f>
        <v xml:space="preserve">PLACEHOLDER ROW - Massing or Renderings of </v>
      </c>
      <c r="I392" s="193"/>
      <c r="J392" s="578" t="str">
        <f>IF('C-Design&amp;Const'!AF392="","",'C-Design&amp;Const'!AF392)</f>
        <v/>
      </c>
      <c r="K392" s="25" t="str">
        <f>IF(DD_apply="Yes",IF((COUNTIF(D392:G392,"Y")=COUNTIF('01 - SD'!D392:G392,"Y")),"match","no SD match"),"-")</f>
        <v>no SD match</v>
      </c>
      <c r="L392" s="1410" t="str">
        <f>CONCATENATE(IF(ISNUMBER(SEARCH("Placeholder",H392))=TRUE,"&lt;---PM/Planner may hide PLACEHOLDER ROW",""))</f>
        <v>&lt;---PM/Planner may hide PLACEHOLDER ROW</v>
      </c>
      <c r="M392" s="1333"/>
      <c r="N392" s="1382"/>
      <c r="O392" s="1382"/>
      <c r="P392" s="1382"/>
      <c r="Q392" s="1382"/>
      <c r="R392" s="1490"/>
      <c r="S392" s="1274"/>
      <c r="T392" s="1274"/>
      <c r="U392" s="1382"/>
      <c r="V392" s="1382"/>
      <c r="W392" s="1382"/>
      <c r="X392" s="1382"/>
      <c r="Y392" s="1382"/>
      <c r="Z392" s="1382"/>
      <c r="AA392" s="1382"/>
      <c r="AB392" s="1382"/>
      <c r="AC392" s="1382"/>
      <c r="AD392" s="1382"/>
      <c r="AE392" s="1382"/>
      <c r="AF392" s="1382"/>
      <c r="AG392" s="1382"/>
      <c r="AH392" s="1382"/>
      <c r="AI392" s="1382"/>
      <c r="AJ392" s="181"/>
      <c r="AK392" s="181"/>
      <c r="AL392" s="181"/>
      <c r="AM392" s="181"/>
      <c r="AN392" s="181"/>
      <c r="AO392" s="181"/>
      <c r="AP392" s="181"/>
      <c r="AQ392" s="181"/>
      <c r="AR392" s="181"/>
      <c r="AS392" s="181"/>
      <c r="AT392" s="181"/>
      <c r="AU392" s="181"/>
      <c r="AV392" s="181"/>
      <c r="AW392" s="181"/>
    </row>
    <row r="393" spans="1:49" s="30" customFormat="1" ht="15" hidden="1" customHeight="1" x14ac:dyDescent="0.25">
      <c r="A393" s="1507" t="str">
        <f>IF(SD_apply="Yes",IF(COUNTIF('01 - SD'!D393:G393,"Y")&gt;0,"Y",IF(COUNTIF('01 - SD'!D393:G393,"N"),"N","")),"")</f>
        <v>Y</v>
      </c>
      <c r="B393" s="32"/>
      <c r="C393" s="945"/>
      <c r="D393" s="116"/>
      <c r="E393" s="507"/>
      <c r="F393" s="489" t="str">
        <f>IF('C-Design&amp;Const'!$K393="","",'C-Design&amp;Const'!$K393)</f>
        <v>N</v>
      </c>
      <c r="G393" s="506"/>
      <c r="H393" s="1632" t="str">
        <f>CONCATENATE(IF(E393="N","PLACEHOLDER ROW - ",""),IF(E393="N","",J393),'C-Design&amp;Const'!Z393,)</f>
        <v>All Exterior Elevations with materials identified</v>
      </c>
      <c r="I393" s="193"/>
      <c r="J393" s="578" t="str">
        <f>IF('C-Design&amp;Const'!AF393="","",'C-Design&amp;Const'!AF393)</f>
        <v/>
      </c>
      <c r="K393" s="25" t="str">
        <f>IF(DD_apply="Yes",IF((COUNTIF(D393:G393,"Y")=COUNTIF('01 - SD'!D393:G393,"Y")),"match","no SD match"),"-")</f>
        <v>no SD match</v>
      </c>
      <c r="L393" s="1410" t="str">
        <f>CONCATENATE(IF(ISNUMBER(SEARCH("Placeholder",H393))=TRUE,"&lt;---PM/Planner may hide PLACEHOLDER ROW",""))</f>
        <v/>
      </c>
      <c r="M393" s="1333"/>
      <c r="N393" s="1382"/>
      <c r="O393" s="1382"/>
      <c r="P393" s="1382"/>
      <c r="Q393" s="1382"/>
      <c r="R393" s="1490"/>
      <c r="S393" s="1274"/>
      <c r="T393" s="1274"/>
      <c r="U393" s="1382"/>
      <c r="V393" s="1382"/>
      <c r="W393" s="1382"/>
      <c r="X393" s="1382"/>
      <c r="Y393" s="1382"/>
      <c r="Z393" s="1382"/>
      <c r="AA393" s="1382"/>
      <c r="AB393" s="1382"/>
      <c r="AC393" s="1382"/>
      <c r="AD393" s="1382"/>
      <c r="AE393" s="1382"/>
      <c r="AF393" s="1382"/>
      <c r="AG393" s="1382"/>
      <c r="AH393" s="1382"/>
      <c r="AI393" s="1382"/>
      <c r="AJ393" s="181"/>
      <c r="AK393" s="181"/>
      <c r="AL393" s="181"/>
      <c r="AM393" s="181"/>
      <c r="AN393" s="181"/>
      <c r="AO393" s="181"/>
      <c r="AP393" s="181"/>
      <c r="AQ393" s="181"/>
      <c r="AR393" s="181"/>
      <c r="AS393" s="181"/>
      <c r="AT393" s="181"/>
      <c r="AU393" s="181"/>
      <c r="AV393" s="181"/>
      <c r="AW393" s="181"/>
    </row>
    <row r="394" spans="1:49" s="30" customFormat="1" ht="15" hidden="1" customHeight="1" x14ac:dyDescent="0.25">
      <c r="A394" s="1507" t="str">
        <f>IF(SD_apply="Yes",IF(COUNTIF('01 - SD'!D394:G394,"Y")&gt;0,"Y",IF(COUNTIF('01 - SD'!D394:G394,"N"),"N","")),"")</f>
        <v>Y</v>
      </c>
      <c r="B394" s="32"/>
      <c r="C394" s="945"/>
      <c r="D394" s="116"/>
      <c r="E394" s="508"/>
      <c r="F394" s="509" t="str">
        <f>IF('C-Design&amp;Const'!$K394="","",'C-Design&amp;Const'!$K394)</f>
        <v>N</v>
      </c>
      <c r="G394" s="506"/>
      <c r="H394" s="1632" t="str">
        <f>CONCATENATE(IF(E394="N","PLACEHOLDER ROW - ",""),IF(E394="N","",J394),'C-Design&amp;Const'!Z394,)</f>
        <v>All major public spaces (entrances, galleries, auditoriums, lecture halls, etc…) with materials identified</v>
      </c>
      <c r="I394" s="193"/>
      <c r="J394" s="578" t="str">
        <f>IF('C-Design&amp;Const'!AF394="","",'C-Design&amp;Const'!AF394)</f>
        <v/>
      </c>
      <c r="K394" s="25" t="str">
        <f>IF(DD_apply="Yes",IF((COUNTIF(D394:G394,"Y")=COUNTIF('01 - SD'!D394:G394,"Y")),"match","no SD match"),"-")</f>
        <v>no SD match</v>
      </c>
      <c r="L394" s="1410" t="str">
        <f>CONCATENATE(IF(ISNUMBER(SEARCH("Placeholder",H394))=TRUE,"&lt;---PM/Planner may hide PLACEHOLDER ROW",""))</f>
        <v/>
      </c>
      <c r="M394" s="1333"/>
      <c r="N394" s="1382"/>
      <c r="O394" s="1382"/>
      <c r="P394" s="1382"/>
      <c r="Q394" s="1382"/>
      <c r="R394" s="1490"/>
      <c r="S394" s="1274"/>
      <c r="T394" s="1274"/>
      <c r="U394" s="1382"/>
      <c r="V394" s="1382"/>
      <c r="W394" s="1382"/>
      <c r="X394" s="1382"/>
      <c r="Y394" s="1382"/>
      <c r="Z394" s="1382"/>
      <c r="AA394" s="1382"/>
      <c r="AB394" s="1382"/>
      <c r="AC394" s="1382"/>
      <c r="AD394" s="1382"/>
      <c r="AE394" s="1382"/>
      <c r="AF394" s="1382"/>
      <c r="AG394" s="1382"/>
      <c r="AH394" s="1382"/>
      <c r="AI394" s="1382"/>
      <c r="AJ394" s="181"/>
      <c r="AK394" s="181"/>
      <c r="AL394" s="181"/>
      <c r="AM394" s="181"/>
      <c r="AN394" s="181"/>
      <c r="AO394" s="181"/>
      <c r="AP394" s="181"/>
      <c r="AQ394" s="181"/>
      <c r="AR394" s="181"/>
      <c r="AS394" s="181"/>
      <c r="AT394" s="181"/>
      <c r="AU394" s="181"/>
      <c r="AV394" s="181"/>
      <c r="AW394" s="181"/>
    </row>
    <row r="395" spans="1:49" s="30" customFormat="1" ht="15" hidden="1" customHeight="1" x14ac:dyDescent="0.25">
      <c r="A395" s="1507" t="str">
        <f>IF(SD_apply="Yes",IF(COUNTIF('01 - SD'!D395:G395,"Y")&gt;0,"Y",IF(COUNTIF('01 - SD'!D395:G395,"N"),"N","")),"")</f>
        <v>Y</v>
      </c>
      <c r="B395" s="32"/>
      <c r="C395" s="945"/>
      <c r="D395" s="116"/>
      <c r="E395" s="559" t="str">
        <f>IF('C-Design&amp;Const'!$K395="","",'C-Design&amp;Const'!$K395)</f>
        <v>N</v>
      </c>
      <c r="F395" s="458"/>
      <c r="G395" s="506"/>
      <c r="H395" s="362" t="str">
        <f>CONCATENATE(IF(E395="N","PLACEHOLDER ROW - ",""),IF(E395="N","",J395),'C-Design&amp;Const'!Z395,)</f>
        <v>PLACEHOLDER ROW - Stacked Floor Plans with space types show by color (include key)</v>
      </c>
      <c r="I395" s="193"/>
      <c r="J395" s="578" t="str">
        <f>IF('C-Design&amp;Const'!AF395="","",'C-Design&amp;Const'!AF395)</f>
        <v/>
      </c>
      <c r="K395" s="25" t="str">
        <f>IF(DD_apply="Yes",IF((COUNTIF(D395:G395,"Y")=COUNTIF('01 - SD'!D395:G395,"Y")),"match","no SD match"),"-")</f>
        <v>no SD match</v>
      </c>
      <c r="L395" s="1410" t="str">
        <f t="shared" si="17"/>
        <v>&lt;---PM/Planner may hide PLACEHOLDER ROW</v>
      </c>
      <c r="M395" s="1333"/>
      <c r="N395" s="1382"/>
      <c r="O395" s="1382"/>
      <c r="P395" s="1382"/>
      <c r="Q395" s="1382"/>
      <c r="R395" s="1490"/>
      <c r="S395" s="1274"/>
      <c r="T395" s="1274"/>
      <c r="U395" s="1382"/>
      <c r="V395" s="1382"/>
      <c r="W395" s="1382"/>
      <c r="X395" s="1382"/>
      <c r="Y395" s="1382"/>
      <c r="Z395" s="1382"/>
      <c r="AA395" s="1382"/>
      <c r="AB395" s="1382"/>
      <c r="AC395" s="1382"/>
      <c r="AD395" s="1382"/>
      <c r="AE395" s="1382"/>
      <c r="AF395" s="1382"/>
      <c r="AG395" s="1382"/>
      <c r="AH395" s="1382"/>
      <c r="AI395" s="1382"/>
      <c r="AJ395" s="181"/>
      <c r="AK395" s="181"/>
      <c r="AL395" s="181"/>
      <c r="AM395" s="181"/>
      <c r="AN395" s="181"/>
      <c r="AO395" s="181"/>
      <c r="AP395" s="181"/>
      <c r="AQ395" s="181"/>
      <c r="AR395" s="181"/>
      <c r="AS395" s="181"/>
      <c r="AT395" s="181"/>
      <c r="AU395" s="181"/>
      <c r="AV395" s="181"/>
      <c r="AW395" s="181"/>
    </row>
    <row r="396" spans="1:49" s="30" customFormat="1" ht="15" hidden="1" customHeight="1" x14ac:dyDescent="0.25">
      <c r="A396" s="1507" t="str">
        <f>IF(SD_apply="Yes",IF(COUNTIF('01 - SD'!D396:G396,"Y")&gt;0,"Y",IF(COUNTIF('01 - SD'!D396:G396,"N"),"N","")),"")</f>
        <v>Y</v>
      </c>
      <c r="B396" s="32"/>
      <c r="C396" s="945"/>
      <c r="D396" s="116"/>
      <c r="E396" s="559" t="str">
        <f>IF('C-Design&amp;Const'!$K396="","",'C-Design&amp;Const'!$K396)</f>
        <v>N</v>
      </c>
      <c r="F396" s="458"/>
      <c r="G396" s="506"/>
      <c r="H396" s="362" t="str">
        <f>CONCATENATE(IF(E396="N","PLACEHOLDER ROW - ",""),IF(E396="N","",J396),'C-Design&amp;Const'!Z396,)</f>
        <v>PLACEHOLDER ROW - Simple full building sections showing relative spaces and framing from floor to floor.</v>
      </c>
      <c r="I396" s="193"/>
      <c r="J396" s="578" t="str">
        <f>IF('C-Design&amp;Const'!AF396="","",'C-Design&amp;Const'!AF396)</f>
        <v/>
      </c>
      <c r="K396" s="25" t="str">
        <f>IF(DD_apply="Yes",IF((COUNTIF(D396:G396,"Y")=COUNTIF('01 - SD'!D396:G396,"Y")),"match","no SD match"),"-")</f>
        <v>no SD match</v>
      </c>
      <c r="L396" s="1410" t="str">
        <f t="shared" si="17"/>
        <v>&lt;---PM/Planner may hide PLACEHOLDER ROW</v>
      </c>
      <c r="M396" s="1333"/>
      <c r="N396" s="1382"/>
      <c r="O396" s="1382"/>
      <c r="P396" s="1382"/>
      <c r="Q396" s="1382"/>
      <c r="R396" s="1490"/>
      <c r="S396" s="1274"/>
      <c r="T396" s="1274"/>
      <c r="U396" s="1382"/>
      <c r="V396" s="1382"/>
      <c r="W396" s="1382"/>
      <c r="X396" s="1382"/>
      <c r="Y396" s="1382"/>
      <c r="Z396" s="1382"/>
      <c r="AA396" s="1382"/>
      <c r="AB396" s="1382"/>
      <c r="AC396" s="1382"/>
      <c r="AD396" s="1382"/>
      <c r="AE396" s="1382"/>
      <c r="AF396" s="1382"/>
      <c r="AG396" s="1382"/>
      <c r="AH396" s="1382"/>
      <c r="AI396" s="1382"/>
      <c r="AJ396" s="181"/>
      <c r="AK396" s="181"/>
      <c r="AL396" s="181"/>
      <c r="AM396" s="181"/>
      <c r="AN396" s="181"/>
      <c r="AO396" s="181"/>
      <c r="AP396" s="181"/>
      <c r="AQ396" s="181"/>
      <c r="AR396" s="181"/>
      <c r="AS396" s="181"/>
      <c r="AT396" s="181"/>
      <c r="AU396" s="181"/>
      <c r="AV396" s="181"/>
      <c r="AW396" s="181"/>
    </row>
    <row r="397" spans="1:49" s="30" customFormat="1" ht="15" hidden="1" customHeight="1" x14ac:dyDescent="0.25">
      <c r="A397" s="1507" t="str">
        <f>IF(SD_apply="Yes",IF(COUNTIF('01 - SD'!D397:G397,"Y")&gt;0,"Y",IF(COUNTIF('01 - SD'!D397:G397,"N"),"N","")),"")</f>
        <v>Y</v>
      </c>
      <c r="B397" s="32"/>
      <c r="C397" s="945"/>
      <c r="D397" s="116"/>
      <c r="E397" s="559" t="str">
        <f>IF('C-Design&amp;Const'!$K397="","",'C-Design&amp;Const'!$K397)</f>
        <v>N</v>
      </c>
      <c r="F397" s="458"/>
      <c r="G397" s="506"/>
      <c r="H397" s="362" t="str">
        <f>CONCATENATE(IF(E397="N","PLACEHOLDER ROW - ",""),IF(E397="N","",J397),'C-Design&amp;Const'!Z397,)</f>
        <v>PLACEHOLDER ROW - General Air Handling Unit Fan Maps (verify with PM if necessary)</v>
      </c>
      <c r="I397" s="193"/>
      <c r="J397" s="578" t="str">
        <f>IF('C-Design&amp;Const'!AF397="","",'C-Design&amp;Const'!AF397)</f>
        <v/>
      </c>
      <c r="K397" s="25" t="str">
        <f>IF(DD_apply="Yes",IF((COUNTIF(D397:G397,"Y")=COUNTIF('01 - SD'!D397:G397,"Y")),"match","no SD match"),"-")</f>
        <v>no SD match</v>
      </c>
      <c r="L397" s="1410" t="str">
        <f t="shared" si="17"/>
        <v>&lt;---PM/Planner may hide PLACEHOLDER ROW</v>
      </c>
      <c r="M397" s="1333"/>
      <c r="N397" s="1382"/>
      <c r="O397" s="1382"/>
      <c r="P397" s="1382"/>
      <c r="Q397" s="1382"/>
      <c r="R397" s="1490"/>
      <c r="S397" s="1274"/>
      <c r="T397" s="1274"/>
      <c r="U397" s="1382"/>
      <c r="V397" s="1382"/>
      <c r="W397" s="1382"/>
      <c r="X397" s="1382"/>
      <c r="Y397" s="1382"/>
      <c r="Z397" s="1382"/>
      <c r="AA397" s="1382"/>
      <c r="AB397" s="1382"/>
      <c r="AC397" s="1382"/>
      <c r="AD397" s="1382"/>
      <c r="AE397" s="1382"/>
      <c r="AF397" s="1382"/>
      <c r="AG397" s="1382"/>
      <c r="AH397" s="1382"/>
      <c r="AI397" s="1382"/>
      <c r="AJ397" s="181"/>
      <c r="AK397" s="181"/>
      <c r="AL397" s="181"/>
      <c r="AM397" s="181"/>
      <c r="AN397" s="181"/>
      <c r="AO397" s="181"/>
      <c r="AP397" s="181"/>
      <c r="AQ397" s="181"/>
      <c r="AR397" s="181"/>
      <c r="AS397" s="181"/>
      <c r="AT397" s="181"/>
      <c r="AU397" s="181"/>
      <c r="AV397" s="181"/>
      <c r="AW397" s="181"/>
    </row>
    <row r="398" spans="1:49" s="30" customFormat="1" ht="15" hidden="1" customHeight="1" x14ac:dyDescent="0.25">
      <c r="A398" s="1507" t="str">
        <f>IF(SD_apply="Yes",IF(COUNTIF('01 - SD'!D398:G398,"Y")&gt;0,"Y",IF(COUNTIF('01 - SD'!D398:G398,"N"),"N","")),"")</f>
        <v>Y</v>
      </c>
      <c r="B398" s="32"/>
      <c r="C398" s="945"/>
      <c r="D398" s="116"/>
      <c r="E398" s="559" t="str">
        <f>IF('C-Design&amp;Const'!$K398="","",'C-Design&amp;Const'!$K398)</f>
        <v>N</v>
      </c>
      <c r="F398" s="458"/>
      <c r="G398" s="506"/>
      <c r="H398" s="362" t="str">
        <f>CONCATENATE(IF(E398="N","PLACEHOLDER ROW - ",""),IF(E398="N","",J398),'C-Design&amp;Const'!Z398,)</f>
        <v>PLACEHOLDER ROW - Design Concept(s) Considered and Design Concept(s) Selected w/ Construction Budget</v>
      </c>
      <c r="I398" s="193"/>
      <c r="J398" s="578" t="str">
        <f>IF('C-Design&amp;Const'!AF398="","",'C-Design&amp;Const'!AF398)</f>
        <v/>
      </c>
      <c r="K398" s="25" t="str">
        <f>IF(DD_apply="Yes",IF((COUNTIF(D398:G398,"Y")=COUNTIF('01 - SD'!D398:G398,"Y")),"match","no SD match"),"-")</f>
        <v>no SD match</v>
      </c>
      <c r="L398" s="1410" t="str">
        <f t="shared" si="17"/>
        <v>&lt;---PM/Planner may hide PLACEHOLDER ROW</v>
      </c>
      <c r="M398" s="1333"/>
      <c r="N398" s="1382"/>
      <c r="O398" s="1382"/>
      <c r="P398" s="1382"/>
      <c r="Q398" s="1382"/>
      <c r="R398" s="1490"/>
      <c r="S398" s="1274"/>
      <c r="T398" s="1274"/>
      <c r="U398" s="1382"/>
      <c r="V398" s="1382"/>
      <c r="W398" s="1382"/>
      <c r="X398" s="1382"/>
      <c r="Y398" s="1382"/>
      <c r="Z398" s="1382"/>
      <c r="AA398" s="1382"/>
      <c r="AB398" s="1382"/>
      <c r="AC398" s="1382"/>
      <c r="AD398" s="1382"/>
      <c r="AE398" s="1382"/>
      <c r="AF398" s="1382"/>
      <c r="AG398" s="1382"/>
      <c r="AH398" s="1382"/>
      <c r="AI398" s="1382"/>
      <c r="AJ398" s="181"/>
      <c r="AK398" s="181"/>
      <c r="AL398" s="181"/>
      <c r="AM398" s="181"/>
      <c r="AN398" s="181"/>
      <c r="AO398" s="181"/>
      <c r="AP398" s="181"/>
      <c r="AQ398" s="181"/>
      <c r="AR398" s="181"/>
      <c r="AS398" s="181"/>
      <c r="AT398" s="181"/>
      <c r="AU398" s="181"/>
      <c r="AV398" s="181"/>
      <c r="AW398" s="181"/>
    </row>
    <row r="399" spans="1:49" s="30" customFormat="1" ht="15" hidden="1" customHeight="1" x14ac:dyDescent="0.25">
      <c r="A399" s="1507" t="str">
        <f>IF(SD_apply="Yes",IF(COUNTIF('01 - SD'!D399:G399,"Y")&gt;0,"Y",IF(COUNTIF('01 - SD'!D399:G399,"N"),"N","")),"")</f>
        <v>N</v>
      </c>
      <c r="B399" s="32"/>
      <c r="C399" s="945"/>
      <c r="D399" s="116"/>
      <c r="E399" s="559" t="str">
        <f>IF('C-Design&amp;Const'!$K399="","",'C-Design&amp;Const'!$K399)</f>
        <v>N</v>
      </c>
      <c r="F399" s="458"/>
      <c r="G399" s="506"/>
      <c r="H399" s="362" t="str">
        <f>CONCATENATE(IF(E399="N","PLACEHOLDER ROW - ",""),IF(E399="N","",J399),'C-Design&amp;Const'!Z399,)</f>
        <v>PLACEHOLDER ROW - CUSTOM ROW - OPTIONAL CLIENT ITEM</v>
      </c>
      <c r="I399" s="193"/>
      <c r="J399" s="578" t="str">
        <f>IF('C-Design&amp;Const'!AF399="","",'C-Design&amp;Const'!AF399)</f>
        <v/>
      </c>
      <c r="K399" s="25" t="str">
        <f>IF(DD_apply="Yes",IF((COUNTIF(D399:G399,"Y")=COUNTIF('01 - SD'!D399:G399,"Y")),"match","no SD match"),"-")</f>
        <v>match</v>
      </c>
      <c r="L399" s="1410" t="str">
        <f t="shared" si="17"/>
        <v>&lt;---PM/Planner may hide PLACEHOLDER ROW</v>
      </c>
      <c r="M399" s="1333"/>
      <c r="N399" s="1382"/>
      <c r="O399" s="1382"/>
      <c r="P399" s="1382"/>
      <c r="Q399" s="1382"/>
      <c r="R399" s="1490"/>
      <c r="S399" s="1274"/>
      <c r="T399" s="1274"/>
      <c r="U399" s="1382"/>
      <c r="V399" s="1382"/>
      <c r="W399" s="1382"/>
      <c r="X399" s="1382"/>
      <c r="Y399" s="1382"/>
      <c r="Z399" s="1382"/>
      <c r="AA399" s="1382"/>
      <c r="AB399" s="1382"/>
      <c r="AC399" s="1382"/>
      <c r="AD399" s="1382"/>
      <c r="AE399" s="1382"/>
      <c r="AF399" s="1382"/>
      <c r="AG399" s="1382"/>
      <c r="AH399" s="1382"/>
      <c r="AI399" s="1382"/>
      <c r="AJ399" s="181"/>
      <c r="AK399" s="181"/>
      <c r="AL399" s="181"/>
      <c r="AM399" s="181"/>
      <c r="AN399" s="181"/>
      <c r="AO399" s="181"/>
      <c r="AP399" s="181"/>
      <c r="AQ399" s="181"/>
      <c r="AR399" s="181"/>
      <c r="AS399" s="181"/>
      <c r="AT399" s="181"/>
      <c r="AU399" s="181"/>
      <c r="AV399" s="181"/>
      <c r="AW399" s="181"/>
    </row>
    <row r="400" spans="1:49" s="30" customFormat="1" ht="15" hidden="1" customHeight="1" x14ac:dyDescent="0.25">
      <c r="A400" s="1507" t="str">
        <f>IF(SD_apply="Yes",IF(COUNTIF('01 - SD'!D400:G400,"Y")&gt;0,"Y",IF(COUNTIF('01 - SD'!D400:G400,"N"),"N","")),"")</f>
        <v>N</v>
      </c>
      <c r="B400" s="32"/>
      <c r="C400" s="945"/>
      <c r="D400" s="116"/>
      <c r="E400" s="559" t="str">
        <f>IF('C-Design&amp;Const'!$K400="","",'C-Design&amp;Const'!$K400)</f>
        <v>N</v>
      </c>
      <c r="F400" s="458"/>
      <c r="G400" s="506"/>
      <c r="H400" s="362" t="str">
        <f>CONCATENATE(IF(E400="N","PLACEHOLDER ROW - ",""),IF(E400="N","",J400),'C-Design&amp;Const'!Z400,)</f>
        <v>PLACEHOLDER ROW - CUSTOM ROW - OPTIONAL CLIENT ITEM</v>
      </c>
      <c r="I400" s="193"/>
      <c r="J400" s="578" t="str">
        <f>IF('C-Design&amp;Const'!AF400="","",'C-Design&amp;Const'!AF400)</f>
        <v/>
      </c>
      <c r="K400" s="25" t="str">
        <f>IF(DD_apply="Yes",IF((COUNTIF(D400:G400,"Y")=COUNTIF('01 - SD'!D400:G400,"Y")),"match","no SD match"),"-")</f>
        <v>match</v>
      </c>
      <c r="L400" s="1410" t="str">
        <f t="shared" si="17"/>
        <v>&lt;---PM/Planner may hide PLACEHOLDER ROW</v>
      </c>
      <c r="M400" s="1333"/>
      <c r="N400" s="1382"/>
      <c r="O400" s="1382"/>
      <c r="P400" s="1382"/>
      <c r="Q400" s="1382"/>
      <c r="R400" s="1490"/>
      <c r="S400" s="1274"/>
      <c r="T400" s="1274"/>
      <c r="U400" s="1382"/>
      <c r="V400" s="1382"/>
      <c r="W400" s="1382"/>
      <c r="X400" s="1382"/>
      <c r="Y400" s="1382"/>
      <c r="Z400" s="1382"/>
      <c r="AA400" s="1382"/>
      <c r="AB400" s="1382"/>
      <c r="AC400" s="1382"/>
      <c r="AD400" s="1382"/>
      <c r="AE400" s="1382"/>
      <c r="AF400" s="1382"/>
      <c r="AG400" s="1382"/>
      <c r="AH400" s="1382"/>
      <c r="AI400" s="1382"/>
      <c r="AJ400" s="181"/>
      <c r="AK400" s="181"/>
      <c r="AL400" s="181"/>
      <c r="AM400" s="181"/>
      <c r="AN400" s="181"/>
      <c r="AO400" s="181"/>
      <c r="AP400" s="181"/>
      <c r="AQ400" s="181"/>
      <c r="AR400" s="181"/>
      <c r="AS400" s="181"/>
      <c r="AT400" s="181"/>
      <c r="AU400" s="181"/>
      <c r="AV400" s="181"/>
      <c r="AW400" s="181"/>
    </row>
    <row r="401" spans="1:49" s="30" customFormat="1" ht="15" hidden="1" customHeight="1" x14ac:dyDescent="0.25">
      <c r="A401" s="1507" t="str">
        <f>IF(SD_apply="Yes",IF(COUNTIF('01 - SD'!D401:G401,"Y")&gt;0,"Y",IF(COUNTIF('01 - SD'!D401:G401,"N"),"N","")),"")</f>
        <v>N</v>
      </c>
      <c r="B401" s="32"/>
      <c r="C401" s="945"/>
      <c r="D401" s="116"/>
      <c r="E401" s="559" t="str">
        <f>IF('C-Design&amp;Const'!$K401="","",'C-Design&amp;Const'!$K401)</f>
        <v>N</v>
      </c>
      <c r="F401" s="456"/>
      <c r="G401" s="510"/>
      <c r="H401" s="1633" t="str">
        <f>CONCATENATE(IF(E401="N","PLACEHOLDER ROW - ",""),IF(E401="N","",J401),'C-Design&amp;Const'!Z401,)</f>
        <v>PLACEHOLDER ROW - CUSTOM ROW - OPTIONAL CLIENT ITEM</v>
      </c>
      <c r="I401" s="193"/>
      <c r="J401" s="578" t="str">
        <f>IF('C-Design&amp;Const'!AF401="","",'C-Design&amp;Const'!AF401)</f>
        <v/>
      </c>
      <c r="K401" s="25" t="str">
        <f>IF(DD_apply="Yes",IF((COUNTIF(D401:G401,"Y")=COUNTIF('01 - SD'!D401:G401,"Y")),"match","no SD match"),"-")</f>
        <v>match</v>
      </c>
      <c r="L401" s="1410" t="str">
        <f t="shared" si="17"/>
        <v>&lt;---PM/Planner may hide PLACEHOLDER ROW</v>
      </c>
      <c r="M401" s="1333"/>
      <c r="N401" s="1382"/>
      <c r="O401" s="1382"/>
      <c r="P401" s="1382"/>
      <c r="Q401" s="1382"/>
      <c r="R401" s="1490"/>
      <c r="S401" s="1274"/>
      <c r="T401" s="1274"/>
      <c r="U401" s="1382"/>
      <c r="V401" s="1382"/>
      <c r="W401" s="1382"/>
      <c r="X401" s="1382"/>
      <c r="Y401" s="1382"/>
      <c r="Z401" s="1382"/>
      <c r="AA401" s="1382"/>
      <c r="AB401" s="1382"/>
      <c r="AC401" s="1382"/>
      <c r="AD401" s="1382"/>
      <c r="AE401" s="1382"/>
      <c r="AF401" s="1382"/>
      <c r="AG401" s="1382"/>
      <c r="AH401" s="1382"/>
      <c r="AI401" s="1382"/>
      <c r="AJ401" s="181"/>
      <c r="AK401" s="181"/>
      <c r="AL401" s="181"/>
      <c r="AM401" s="181"/>
      <c r="AN401" s="181"/>
      <c r="AO401" s="181"/>
      <c r="AP401" s="181"/>
      <c r="AQ401" s="181"/>
      <c r="AR401" s="181"/>
      <c r="AS401" s="181"/>
      <c r="AT401" s="181"/>
      <c r="AU401" s="181"/>
      <c r="AV401" s="181"/>
      <c r="AW401" s="181"/>
    </row>
    <row r="402" spans="1:49" s="30" customFormat="1" ht="24" hidden="1" customHeight="1" x14ac:dyDescent="0.25">
      <c r="A402" s="1507" t="str">
        <f>IF(SD_apply="Yes",IF(COUNTIF('01 - SD'!D402:G402,"Y")&gt;0,"Y",IF(COUNTIF('01 - SD'!D402:G402,"N"),"N","")),"")</f>
        <v/>
      </c>
      <c r="B402" s="32"/>
      <c r="C402" s="945"/>
      <c r="D402" s="116"/>
      <c r="E402" s="499" t="str">
        <f>IF('C-Design&amp;Const'!$K402="","",'C-Design&amp;Const'!$K402)</f>
        <v/>
      </c>
      <c r="F402" s="411"/>
      <c r="G402" s="511"/>
      <c r="H402" s="1635" t="str">
        <f>CONCATENATE(IF(E402="N","PLACEHOLDER ROW - ",""),IF(E402="N","",J402),'C-Design&amp;Const'!Z402,)</f>
        <v>**  - For ARC, combine these items on to 1 or 2 total slides.</v>
      </c>
      <c r="I402" s="193"/>
      <c r="J402" s="578" t="str">
        <f>IF('C-Design&amp;Const'!AF402="","",'C-Design&amp;Const'!AF402)</f>
        <v/>
      </c>
      <c r="K402" s="25" t="str">
        <f>IF(DD_apply="Yes",IF((COUNTIF(D402:G402,"Y")=COUNTIF('01 - SD'!D402:G402,"Y")),"match","no SD match"),"-")</f>
        <v>match</v>
      </c>
      <c r="L402" s="1410" t="str">
        <f t="shared" ref="L402:L454" si="22">CONCATENATE(IF(ISNUMBER(SEARCH("Placeholder",H402))=TRUE,"&lt;---PM/Planner may hide PLACEHOLDER ROW",""))</f>
        <v/>
      </c>
      <c r="M402" s="1333"/>
      <c r="N402" s="1382"/>
      <c r="O402" s="1382"/>
      <c r="P402" s="1382"/>
      <c r="Q402" s="1382"/>
      <c r="R402" s="1490"/>
      <c r="S402" s="1274"/>
      <c r="T402" s="1274"/>
      <c r="U402" s="1382"/>
      <c r="V402" s="1382"/>
      <c r="W402" s="1382"/>
      <c r="X402" s="1382"/>
      <c r="Y402" s="1382"/>
      <c r="Z402" s="1382"/>
      <c r="AA402" s="1382"/>
      <c r="AB402" s="1382"/>
      <c r="AC402" s="1382"/>
      <c r="AD402" s="1382"/>
      <c r="AE402" s="1382"/>
      <c r="AF402" s="1382"/>
      <c r="AG402" s="1382"/>
      <c r="AH402" s="1382"/>
      <c r="AI402" s="1382"/>
      <c r="AJ402" s="181"/>
      <c r="AK402" s="181"/>
      <c r="AL402" s="181"/>
      <c r="AM402" s="181"/>
      <c r="AN402" s="181"/>
      <c r="AO402" s="181"/>
      <c r="AP402" s="181"/>
      <c r="AQ402" s="181"/>
      <c r="AR402" s="181"/>
      <c r="AS402" s="181"/>
      <c r="AT402" s="181"/>
      <c r="AU402" s="181"/>
      <c r="AV402" s="181"/>
      <c r="AW402" s="181"/>
    </row>
    <row r="403" spans="1:49" s="30" customFormat="1" ht="15" hidden="1" customHeight="1" x14ac:dyDescent="0.25">
      <c r="A403" s="1507" t="str">
        <f>IF(SD_apply="Yes",IF(COUNTIF('01 - SD'!D403:G403,"Y")&gt;0,"Y",IF(COUNTIF('01 - SD'!D403:G403,"N"),"N","")),"")</f>
        <v>Y</v>
      </c>
      <c r="B403" s="32"/>
      <c r="C403" s="945"/>
      <c r="D403" s="1629" t="str">
        <f>IF('C-Design&amp;Const'!$K403="","",'C-Design&amp;Const'!$K403)</f>
        <v>N</v>
      </c>
      <c r="E403" s="1655"/>
      <c r="F403" s="1656"/>
      <c r="G403" s="291" t="str">
        <f>IF('C-Design&amp;Const'!Y403="","",'C-Design&amp;Const'!Y403)</f>
        <v>08b.</v>
      </c>
      <c r="H403" s="1628" t="str">
        <f>CONCATENATE(IF(D403="N","PLACEHOLDER ROW - ",""),IF(D403="N","",J403),'C-Design&amp;Const'!Z403,)</f>
        <v>PLACEHOLDER ROW - Design Presentation - Chancellor's Design Advisory Committee (CDAC)</v>
      </c>
      <c r="I403" s="193"/>
      <c r="J403" s="578" t="str">
        <f>IF('C-Design&amp;Const'!AF403="","",'C-Design&amp;Const'!AF403)</f>
        <v/>
      </c>
      <c r="K403" s="25" t="str">
        <f>IF(DD_apply="Yes",IF((COUNTIF(D403:G403,"Y")=COUNTIF('01 - SD'!D403:G403,"Y")),"match","no SD match"),"-")</f>
        <v>no SD match</v>
      </c>
      <c r="L403" s="1410" t="str">
        <f t="shared" si="22"/>
        <v>&lt;---PM/Planner may hide PLACEHOLDER ROW</v>
      </c>
      <c r="M403" s="1333"/>
      <c r="N403" s="1382"/>
      <c r="O403" s="1382"/>
      <c r="P403" s="1382"/>
      <c r="Q403" s="1382"/>
      <c r="R403" s="1490"/>
      <c r="S403" s="1274"/>
      <c r="T403" s="1274"/>
      <c r="U403" s="1382"/>
      <c r="V403" s="1382"/>
      <c r="W403" s="1382"/>
      <c r="X403" s="1382"/>
      <c r="Y403" s="1382"/>
      <c r="Z403" s="1382"/>
      <c r="AA403" s="1382"/>
      <c r="AB403" s="1382"/>
      <c r="AC403" s="1382"/>
      <c r="AD403" s="1382"/>
      <c r="AE403" s="1382"/>
      <c r="AF403" s="1382"/>
      <c r="AG403" s="1382"/>
      <c r="AH403" s="1382"/>
      <c r="AI403" s="1382"/>
      <c r="AJ403" s="181"/>
      <c r="AK403" s="181"/>
      <c r="AL403" s="181"/>
      <c r="AM403" s="181"/>
      <c r="AN403" s="181"/>
      <c r="AO403" s="181"/>
      <c r="AP403" s="181"/>
      <c r="AQ403" s="181"/>
      <c r="AR403" s="181"/>
      <c r="AS403" s="181"/>
      <c r="AT403" s="181"/>
      <c r="AU403" s="181"/>
      <c r="AV403" s="181"/>
      <c r="AW403" s="181"/>
    </row>
    <row r="404" spans="1:49" s="30" customFormat="1" ht="15" hidden="1" customHeight="1" x14ac:dyDescent="0.25">
      <c r="A404" s="1507" t="str">
        <f>IF(SD_apply="Yes",IF(COUNTIF('01 - SD'!D404:G404,"Y")&gt;0,"Y",IF(COUNTIF('01 - SD'!D404:G404,"N"),"N","")),"")</f>
        <v>Y</v>
      </c>
      <c r="B404" s="32"/>
      <c r="C404" s="945"/>
      <c r="D404" s="116"/>
      <c r="E404" s="559" t="str">
        <f>IF('C-Design&amp;Const'!$K404="","",'C-Design&amp;Const'!$K404)</f>
        <v>N</v>
      </c>
      <c r="F404" s="458"/>
      <c r="G404" s="506"/>
      <c r="H404" s="362" t="str">
        <f>CONCATENATE(IF(E404="N","PLACEHOLDER ROW - ",""),IF(E404="N","",J404),'C-Design&amp;Const'!Z404,)</f>
        <v xml:space="preserve">PLACEHOLDER ROW - Overall Campus Map next to zoomed in aerial image map </v>
      </c>
      <c r="I404" s="193"/>
      <c r="J404" s="578" t="str">
        <f>IF('C-Design&amp;Const'!AF404="","",'C-Design&amp;Const'!AF404)</f>
        <v/>
      </c>
      <c r="K404" s="25" t="str">
        <f>IF(DD_apply="Yes",IF((COUNTIF(D404:G404,"Y")=COUNTIF('01 - SD'!D404:G404,"Y")),"match","no SD match"),"-")</f>
        <v>no SD match</v>
      </c>
      <c r="L404" s="1410" t="str">
        <f t="shared" si="22"/>
        <v>&lt;---PM/Planner may hide PLACEHOLDER ROW</v>
      </c>
      <c r="M404" s="1333"/>
      <c r="N404" s="1382"/>
      <c r="O404" s="1382"/>
      <c r="P404" s="1382"/>
      <c r="Q404" s="1382"/>
      <c r="R404" s="1490"/>
      <c r="S404" s="1274"/>
      <c r="T404" s="1274"/>
      <c r="U404" s="1382"/>
      <c r="V404" s="1382"/>
      <c r="W404" s="1382"/>
      <c r="X404" s="1382"/>
      <c r="Y404" s="1382"/>
      <c r="Z404" s="1382"/>
      <c r="AA404" s="1382"/>
      <c r="AB404" s="1382"/>
      <c r="AC404" s="1382"/>
      <c r="AD404" s="1382"/>
      <c r="AE404" s="1382"/>
      <c r="AF404" s="1382"/>
      <c r="AG404" s="1382"/>
      <c r="AH404" s="1382"/>
      <c r="AI404" s="1382"/>
      <c r="AJ404" s="181"/>
      <c r="AK404" s="181"/>
      <c r="AL404" s="181"/>
      <c r="AM404" s="181"/>
      <c r="AN404" s="181"/>
      <c r="AO404" s="181"/>
      <c r="AP404" s="181"/>
      <c r="AQ404" s="181"/>
      <c r="AR404" s="181"/>
      <c r="AS404" s="181"/>
      <c r="AT404" s="181"/>
      <c r="AU404" s="181"/>
      <c r="AV404" s="181"/>
      <c r="AW404" s="181"/>
    </row>
    <row r="405" spans="1:49" s="30" customFormat="1" ht="15" hidden="1" customHeight="1" x14ac:dyDescent="0.25">
      <c r="A405" s="1507" t="str">
        <f>IF(SD_apply="Yes",IF(COUNTIF('01 - SD'!D405:G405,"Y")&gt;0,"Y",IF(COUNTIF('01 - SD'!D405:G405,"N"),"N","")),"")</f>
        <v>Y</v>
      </c>
      <c r="B405" s="32"/>
      <c r="C405" s="945"/>
      <c r="D405" s="116"/>
      <c r="E405" s="559" t="str">
        <f>IF('C-Design&amp;Const'!$K405="","",'C-Design&amp;Const'!$K405)</f>
        <v>N</v>
      </c>
      <c r="F405" s="458"/>
      <c r="G405" s="506"/>
      <c r="H405" s="362" t="str">
        <f>CONCATENATE(IF(E405="N","PLACEHOLDER ROW - ",""),IF(E405="N","",J405),'C-Design&amp;Const'!Z405,)</f>
        <v>PLACEHOLDER ROW - Building Footprint on Master Plan</v>
      </c>
      <c r="I405" s="193"/>
      <c r="J405" s="578" t="str">
        <f>IF('C-Design&amp;Const'!AF405="","",'C-Design&amp;Const'!AF405)</f>
        <v/>
      </c>
      <c r="K405" s="25" t="str">
        <f>IF(DD_apply="Yes",IF((COUNTIF(D405:G405,"Y")=COUNTIF('01 - SD'!D405:G405,"Y")),"match","no SD match"),"-")</f>
        <v>no SD match</v>
      </c>
      <c r="L405" s="1410" t="str">
        <f t="shared" si="22"/>
        <v>&lt;---PM/Planner may hide PLACEHOLDER ROW</v>
      </c>
      <c r="M405" s="1333"/>
      <c r="N405" s="1382"/>
      <c r="O405" s="1382"/>
      <c r="P405" s="1382"/>
      <c r="Q405" s="1382"/>
      <c r="R405" s="1490"/>
      <c r="S405" s="1274"/>
      <c r="T405" s="1274"/>
      <c r="U405" s="1382"/>
      <c r="V405" s="1382"/>
      <c r="W405" s="1382"/>
      <c r="X405" s="1382"/>
      <c r="Y405" s="1382"/>
      <c r="Z405" s="1382"/>
      <c r="AA405" s="1382"/>
      <c r="AB405" s="1382"/>
      <c r="AC405" s="1382"/>
      <c r="AD405" s="1382"/>
      <c r="AE405" s="1382"/>
      <c r="AF405" s="1382"/>
      <c r="AG405" s="1382"/>
      <c r="AH405" s="1382"/>
      <c r="AI405" s="1382"/>
      <c r="AJ405" s="181"/>
      <c r="AK405" s="181"/>
      <c r="AL405" s="181"/>
      <c r="AM405" s="181"/>
      <c r="AN405" s="181"/>
      <c r="AO405" s="181"/>
      <c r="AP405" s="181"/>
      <c r="AQ405" s="181"/>
      <c r="AR405" s="181"/>
      <c r="AS405" s="181"/>
      <c r="AT405" s="181"/>
      <c r="AU405" s="181"/>
      <c r="AV405" s="181"/>
      <c r="AW405" s="181"/>
    </row>
    <row r="406" spans="1:49" s="30" customFormat="1" ht="15" hidden="1" customHeight="1" x14ac:dyDescent="0.25">
      <c r="A406" s="1507" t="str">
        <f>IF(SD_apply="Yes",IF(COUNTIF('01 - SD'!D406:G406,"Y")&gt;0,"Y",IF(COUNTIF('01 - SD'!D406:G406,"N"),"N","")),"")</f>
        <v>Y</v>
      </c>
      <c r="B406" s="32"/>
      <c r="C406" s="945"/>
      <c r="D406" s="116"/>
      <c r="E406" s="559" t="str">
        <f>IF('C-Design&amp;Const'!$K406="","",'C-Design&amp;Const'!$K406)</f>
        <v>N</v>
      </c>
      <c r="F406" s="458"/>
      <c r="G406" s="506"/>
      <c r="H406" s="362" t="str">
        <f>CONCATENATE(IF(E406="N","PLACEHOLDER ROW - ",""),IF(E406="N","",J406),'C-Design&amp;Const'!Z406,)</f>
        <v>PLACEHOLDER ROW - **Bullet Points of Major Project Goals &amp; Objectives, New GSF, Renovated GSF, Demolished GSF</v>
      </c>
      <c r="I406" s="193"/>
      <c r="J406" s="578" t="str">
        <f>IF('C-Design&amp;Const'!AF406="","",'C-Design&amp;Const'!AF406)</f>
        <v/>
      </c>
      <c r="K406" s="25" t="str">
        <f>IF(DD_apply="Yes",IF((COUNTIF(D406:G406,"Y")=COUNTIF('01 - SD'!D406:G406,"Y")),"match","no SD match"),"-")</f>
        <v>no SD match</v>
      </c>
      <c r="L406" s="1410" t="str">
        <f t="shared" si="22"/>
        <v>&lt;---PM/Planner may hide PLACEHOLDER ROW</v>
      </c>
      <c r="M406" s="1333"/>
      <c r="N406" s="1382"/>
      <c r="O406" s="1382"/>
      <c r="P406" s="1382"/>
      <c r="Q406" s="1382"/>
      <c r="R406" s="1490"/>
      <c r="S406" s="1274"/>
      <c r="T406" s="1274"/>
      <c r="U406" s="1382"/>
      <c r="V406" s="1382"/>
      <c r="W406" s="1382"/>
      <c r="X406" s="1382"/>
      <c r="Y406" s="1382"/>
      <c r="Z406" s="1382"/>
      <c r="AA406" s="1382"/>
      <c r="AB406" s="1382"/>
      <c r="AC406" s="1382"/>
      <c r="AD406" s="1382"/>
      <c r="AE406" s="1382"/>
      <c r="AF406" s="1382"/>
      <c r="AG406" s="1382"/>
      <c r="AH406" s="1382"/>
      <c r="AI406" s="1382"/>
      <c r="AJ406" s="181"/>
      <c r="AK406" s="181"/>
      <c r="AL406" s="181"/>
      <c r="AM406" s="181"/>
      <c r="AN406" s="181"/>
      <c r="AO406" s="181"/>
      <c r="AP406" s="181"/>
      <c r="AQ406" s="181"/>
      <c r="AR406" s="181"/>
      <c r="AS406" s="181"/>
      <c r="AT406" s="181"/>
      <c r="AU406" s="181"/>
      <c r="AV406" s="181"/>
      <c r="AW406" s="181"/>
    </row>
    <row r="407" spans="1:49" s="30" customFormat="1" ht="15" hidden="1" customHeight="1" x14ac:dyDescent="0.25">
      <c r="A407" s="1507" t="str">
        <f>IF(SD_apply="Yes",IF(COUNTIF('01 - SD'!D407:G407,"Y")&gt;0,"Y",IF(COUNTIF('01 - SD'!D407:G407,"N"),"N","")),"")</f>
        <v>Y</v>
      </c>
      <c r="B407" s="32"/>
      <c r="C407" s="945"/>
      <c r="D407" s="116"/>
      <c r="E407" s="559" t="str">
        <f>IF('C-Design&amp;Const'!$K407="","",'C-Design&amp;Const'!$K407)</f>
        <v>N</v>
      </c>
      <c r="F407" s="458"/>
      <c r="G407" s="506"/>
      <c r="H407" s="362" t="str">
        <f>CONCATENATE(IF(E407="N","PLACEHOLDER ROW - ",""),IF(E407="N","",J407),'C-Design&amp;Const'!Z407,)</f>
        <v>PLACEHOLDER ROW - **Overall Construction Budget, Construction Begin &amp; End</v>
      </c>
      <c r="I407" s="193"/>
      <c r="J407" s="578" t="str">
        <f>IF('C-Design&amp;Const'!AF407="","",'C-Design&amp;Const'!AF407)</f>
        <v/>
      </c>
      <c r="K407" s="25" t="str">
        <f>IF(DD_apply="Yes",IF((COUNTIF(D407:G407,"Y")=COUNTIF('01 - SD'!D407:G407,"Y")),"match","no SD match"),"-")</f>
        <v>no SD match</v>
      </c>
      <c r="L407" s="1410" t="str">
        <f t="shared" si="22"/>
        <v>&lt;---PM/Planner may hide PLACEHOLDER ROW</v>
      </c>
      <c r="M407" s="1333"/>
      <c r="N407" s="1382"/>
      <c r="O407" s="1382"/>
      <c r="P407" s="1382"/>
      <c r="Q407" s="1382"/>
      <c r="R407" s="1490"/>
      <c r="S407" s="1274"/>
      <c r="T407" s="1274"/>
      <c r="U407" s="1382"/>
      <c r="V407" s="1382"/>
      <c r="W407" s="1382"/>
      <c r="X407" s="1382"/>
      <c r="Y407" s="1382"/>
      <c r="Z407" s="1382"/>
      <c r="AA407" s="1382"/>
      <c r="AB407" s="1382"/>
      <c r="AC407" s="1382"/>
      <c r="AD407" s="1382"/>
      <c r="AE407" s="1382"/>
      <c r="AF407" s="1382"/>
      <c r="AG407" s="1382"/>
      <c r="AH407" s="1382"/>
      <c r="AI407" s="1382"/>
      <c r="AJ407" s="181"/>
      <c r="AK407" s="181"/>
      <c r="AL407" s="181"/>
      <c r="AM407" s="181"/>
      <c r="AN407" s="181"/>
      <c r="AO407" s="181"/>
      <c r="AP407" s="181"/>
      <c r="AQ407" s="181"/>
      <c r="AR407" s="181"/>
      <c r="AS407" s="181"/>
      <c r="AT407" s="181"/>
      <c r="AU407" s="181"/>
      <c r="AV407" s="181"/>
      <c r="AW407" s="181"/>
    </row>
    <row r="408" spans="1:49" s="30" customFormat="1" ht="15" hidden="1" customHeight="1" x14ac:dyDescent="0.25">
      <c r="A408" s="1507" t="str">
        <f>IF(SD_apply="Yes",IF(COUNTIF('01 - SD'!D408:G408,"Y")&gt;0,"Y",IF(COUNTIF('01 - SD'!D408:G408,"N"),"N","")),"")</f>
        <v>Y</v>
      </c>
      <c r="B408" s="32"/>
      <c r="C408" s="945"/>
      <c r="D408" s="116"/>
      <c r="E408" s="559" t="str">
        <f>IF('C-Design&amp;Const'!$K408="","",'C-Design&amp;Const'!$K408)</f>
        <v>N</v>
      </c>
      <c r="F408" s="458"/>
      <c r="G408" s="506"/>
      <c r="H408" s="362" t="str">
        <f>CONCATENATE(IF(E408="N","PLACEHOLDER ROW - ",""),IF(E408="N","",J408),'C-Design&amp;Const'!Z408,)</f>
        <v>PLACEHOLDER ROW - **LEED Goal and highlights of LEED measures</v>
      </c>
      <c r="I408" s="193"/>
      <c r="J408" s="578" t="str">
        <f>IF('C-Design&amp;Const'!AF408="","",'C-Design&amp;Const'!AF408)</f>
        <v/>
      </c>
      <c r="K408" s="25" t="str">
        <f>IF(DD_apply="Yes",IF((COUNTIF(D408:G408,"Y")=COUNTIF('01 - SD'!D408:G408,"Y")),"match","no SD match"),"-")</f>
        <v>no SD match</v>
      </c>
      <c r="L408" s="1410" t="str">
        <f t="shared" si="22"/>
        <v>&lt;---PM/Planner may hide PLACEHOLDER ROW</v>
      </c>
      <c r="M408" s="1333"/>
      <c r="N408" s="1382"/>
      <c r="O408" s="1382"/>
      <c r="P408" s="1382"/>
      <c r="Q408" s="1382"/>
      <c r="R408" s="1490"/>
      <c r="S408" s="1274"/>
      <c r="T408" s="1274"/>
      <c r="U408" s="1382"/>
      <c r="V408" s="1382"/>
      <c r="W408" s="1382"/>
      <c r="X408" s="1382"/>
      <c r="Y408" s="1382"/>
      <c r="Z408" s="1382"/>
      <c r="AA408" s="1382"/>
      <c r="AB408" s="1382"/>
      <c r="AC408" s="1382"/>
      <c r="AD408" s="1382"/>
      <c r="AE408" s="1382"/>
      <c r="AF408" s="1382"/>
      <c r="AG408" s="1382"/>
      <c r="AH408" s="1382"/>
      <c r="AI408" s="1382"/>
      <c r="AJ408" s="181"/>
      <c r="AK408" s="181"/>
      <c r="AL408" s="181"/>
      <c r="AM408" s="181"/>
      <c r="AN408" s="181"/>
      <c r="AO408" s="181"/>
      <c r="AP408" s="181"/>
      <c r="AQ408" s="181"/>
      <c r="AR408" s="181"/>
      <c r="AS408" s="181"/>
      <c r="AT408" s="181"/>
      <c r="AU408" s="181"/>
      <c r="AV408" s="181"/>
      <c r="AW408" s="181"/>
    </row>
    <row r="409" spans="1:49" s="30" customFormat="1" ht="15" hidden="1" customHeight="1" x14ac:dyDescent="0.25">
      <c r="A409" s="1507" t="str">
        <f>IF(SD_apply="Yes",IF(COUNTIF('01 - SD'!D409:G409,"Y")&gt;0,"Y",IF(COUNTIF('01 - SD'!D409:G409,"N"),"N","")),"")</f>
        <v>Y</v>
      </c>
      <c r="B409" s="32"/>
      <c r="C409" s="945"/>
      <c r="D409" s="116"/>
      <c r="E409" s="559" t="str">
        <f>IF('C-Design&amp;Const'!$K409="","",'C-Design&amp;Const'!$K409)</f>
        <v>N</v>
      </c>
      <c r="F409" s="458"/>
      <c r="G409" s="506"/>
      <c r="H409" s="362" t="str">
        <f>CONCATENATE(IF(E409="N","PLACEHOLDER ROW - ",""),IF(E409="N","",J409),'C-Design&amp;Const'!Z409,)</f>
        <v>PLACEHOLDER ROW - Proposed combined Site / Landscape Plan</v>
      </c>
      <c r="I409" s="193"/>
      <c r="J409" s="578" t="str">
        <f>IF('C-Design&amp;Const'!AF409="","",'C-Design&amp;Const'!AF409)</f>
        <v/>
      </c>
      <c r="K409" s="25" t="str">
        <f>IF(DD_apply="Yes",IF((COUNTIF(D409:G409,"Y")=COUNTIF('01 - SD'!D409:G409,"Y")),"match","no SD match"),"-")</f>
        <v>no SD match</v>
      </c>
      <c r="L409" s="1410" t="str">
        <f t="shared" si="22"/>
        <v>&lt;---PM/Planner may hide PLACEHOLDER ROW</v>
      </c>
      <c r="M409" s="1333"/>
      <c r="N409" s="1382"/>
      <c r="O409" s="1382"/>
      <c r="P409" s="1382"/>
      <c r="Q409" s="1382"/>
      <c r="R409" s="1490"/>
      <c r="S409" s="1274"/>
      <c r="T409" s="1274"/>
      <c r="U409" s="1382"/>
      <c r="V409" s="1382"/>
      <c r="W409" s="1382"/>
      <c r="X409" s="1382"/>
      <c r="Y409" s="1382"/>
      <c r="Z409" s="1382"/>
      <c r="AA409" s="1382"/>
      <c r="AB409" s="1382"/>
      <c r="AC409" s="1382"/>
      <c r="AD409" s="1382"/>
      <c r="AE409" s="1382"/>
      <c r="AF409" s="1382"/>
      <c r="AG409" s="1382"/>
      <c r="AH409" s="1382"/>
      <c r="AI409" s="1382"/>
      <c r="AJ409" s="181"/>
      <c r="AK409" s="181"/>
      <c r="AL409" s="181"/>
      <c r="AM409" s="181"/>
      <c r="AN409" s="181"/>
      <c r="AO409" s="181"/>
      <c r="AP409" s="181"/>
      <c r="AQ409" s="181"/>
      <c r="AR409" s="181"/>
      <c r="AS409" s="181"/>
      <c r="AT409" s="181"/>
      <c r="AU409" s="181"/>
      <c r="AV409" s="181"/>
      <c r="AW409" s="181"/>
    </row>
    <row r="410" spans="1:49" s="30" customFormat="1" ht="15" hidden="1" customHeight="1" x14ac:dyDescent="0.25">
      <c r="A410" s="1507" t="str">
        <f>IF(SD_apply="Yes",IF(COUNTIF('01 - SD'!D413:G413,"Y")&gt;0,"Y",IF(COUNTIF('01 - SD'!D413:G413,"N"),"N","")),"")</f>
        <v>Y</v>
      </c>
      <c r="B410" s="32"/>
      <c r="C410" s="945"/>
      <c r="D410" s="116"/>
      <c r="E410" s="559" t="str">
        <f>IF('C-Design&amp;Const'!$K413="","",'C-Design&amp;Const'!$K413)</f>
        <v>N</v>
      </c>
      <c r="F410" s="458"/>
      <c r="G410" s="506"/>
      <c r="H410" s="362" t="str">
        <f>CONCATENATE(IF(E410="N","PLACEHOLDER ROW - ",""),IF(E410="N","",J410),'C-Design&amp;Const'!Z410,)</f>
        <v xml:space="preserve">PLACEHOLDER ROW - Massing or Renderings of </v>
      </c>
      <c r="I410" s="193"/>
      <c r="J410" s="578" t="str">
        <f>IF('C-Design&amp;Const'!AF413="","",'C-Design&amp;Const'!AF413)</f>
        <v/>
      </c>
      <c r="K410" s="25" t="str">
        <f>IF(DD_apply="Yes",IF((COUNTIF(D410:G410,"Y")=COUNTIF('01 - SD'!D413:G413,"Y")),"match","no SD match"),"-")</f>
        <v>no SD match</v>
      </c>
      <c r="L410" s="1410" t="str">
        <f t="shared" si="22"/>
        <v>&lt;---PM/Planner may hide PLACEHOLDER ROW</v>
      </c>
      <c r="M410" s="1333"/>
      <c r="N410" s="1382"/>
      <c r="O410" s="1382"/>
      <c r="P410" s="1382"/>
      <c r="Q410" s="1382"/>
      <c r="R410" s="1490"/>
      <c r="S410" s="1274"/>
      <c r="T410" s="1274"/>
      <c r="U410" s="1382"/>
      <c r="V410" s="1382"/>
      <c r="W410" s="1382"/>
      <c r="X410" s="1382"/>
      <c r="Y410" s="1382"/>
      <c r="Z410" s="1382"/>
      <c r="AA410" s="1382"/>
      <c r="AB410" s="1382"/>
      <c r="AC410" s="1382"/>
      <c r="AD410" s="1382"/>
      <c r="AE410" s="1382"/>
      <c r="AF410" s="1382"/>
      <c r="AG410" s="1382"/>
      <c r="AH410" s="1382"/>
      <c r="AI410" s="1382"/>
      <c r="AJ410" s="181"/>
      <c r="AK410" s="181"/>
      <c r="AL410" s="181"/>
      <c r="AM410" s="181"/>
      <c r="AN410" s="181"/>
      <c r="AO410" s="181"/>
      <c r="AP410" s="181"/>
      <c r="AQ410" s="181"/>
      <c r="AR410" s="181"/>
      <c r="AS410" s="181"/>
      <c r="AT410" s="181"/>
      <c r="AU410" s="181"/>
      <c r="AV410" s="181"/>
      <c r="AW410" s="181"/>
    </row>
    <row r="411" spans="1:49" s="30" customFormat="1" ht="15" hidden="1" customHeight="1" x14ac:dyDescent="0.25">
      <c r="A411" s="1507" t="str">
        <f>IF(SD_apply="Yes",IF(COUNTIF('01 - SD'!D410:G410,"Y")&gt;0,"Y",IF(COUNTIF('01 - SD'!D410:G410,"N"),"N","")),"")</f>
        <v>Y</v>
      </c>
      <c r="B411" s="32"/>
      <c r="C411" s="945"/>
      <c r="D411" s="116"/>
      <c r="E411" s="473"/>
      <c r="F411" s="559" t="str">
        <f>IF('C-Design&amp;Const'!$K410="","",'C-Design&amp;Const'!$K410)</f>
        <v>N</v>
      </c>
      <c r="G411" s="506"/>
      <c r="H411" s="1632" t="str">
        <f>CONCATENATE(IF(E411="N","PLACEHOLDER ROW - ",""),IF(E411="N","",J411),'C-Design&amp;Const'!Z411,)</f>
        <v>All Exterior Elevations with materials identified</v>
      </c>
      <c r="I411" s="193"/>
      <c r="J411" s="578" t="str">
        <f>IF('C-Design&amp;Const'!AF410="","",'C-Design&amp;Const'!AF410)</f>
        <v/>
      </c>
      <c r="K411" s="25" t="str">
        <f>IF(DD_apply="Yes",IF((COUNTIF(D411:G411,"Y")=COUNTIF('01 - SD'!D410:G410,"Y")),"match","no SD match"),"-")</f>
        <v>no SD match</v>
      </c>
      <c r="L411" s="1410" t="str">
        <f t="shared" si="22"/>
        <v/>
      </c>
      <c r="M411" s="1333"/>
      <c r="N411" s="1382"/>
      <c r="O411" s="1382"/>
      <c r="P411" s="1382"/>
      <c r="Q411" s="1382"/>
      <c r="R411" s="1490"/>
      <c r="S411" s="1274"/>
      <c r="T411" s="1274"/>
      <c r="U411" s="1382"/>
      <c r="V411" s="1382"/>
      <c r="W411" s="1382"/>
      <c r="X411" s="1382"/>
      <c r="Y411" s="1382"/>
      <c r="Z411" s="1382"/>
      <c r="AA411" s="1382"/>
      <c r="AB411" s="1382"/>
      <c r="AC411" s="1382"/>
      <c r="AD411" s="1382"/>
      <c r="AE411" s="1382"/>
      <c r="AF411" s="1382"/>
      <c r="AG411" s="1382"/>
      <c r="AH411" s="1382"/>
      <c r="AI411" s="1382"/>
      <c r="AJ411" s="181"/>
      <c r="AK411" s="181"/>
      <c r="AL411" s="181"/>
      <c r="AM411" s="181"/>
      <c r="AN411" s="181"/>
      <c r="AO411" s="181"/>
      <c r="AP411" s="181"/>
      <c r="AQ411" s="181"/>
      <c r="AR411" s="181"/>
      <c r="AS411" s="181"/>
      <c r="AT411" s="181"/>
      <c r="AU411" s="181"/>
      <c r="AV411" s="181"/>
      <c r="AW411" s="181"/>
    </row>
    <row r="412" spans="1:49" s="30" customFormat="1" ht="15" hidden="1" customHeight="1" x14ac:dyDescent="0.25">
      <c r="A412" s="1507" t="str">
        <f>IF(SD_apply="Yes",IF(COUNTIF('01 - SD'!D411:G411,"Y")&gt;0,"Y",IF(COUNTIF('01 - SD'!D411:G411,"N"),"N","")),"")</f>
        <v>Y</v>
      </c>
      <c r="B412" s="32"/>
      <c r="C412" s="945"/>
      <c r="D412" s="116"/>
      <c r="E412" s="472"/>
      <c r="F412" s="559" t="str">
        <f>IF('C-Design&amp;Const'!$K411="","",'C-Design&amp;Const'!$K411)</f>
        <v>N</v>
      </c>
      <c r="G412" s="506"/>
      <c r="H412" s="1632" t="str">
        <f>CONCATENATE(IF(E412="N","PLACEHOLDER ROW - ",""),IF(E412="N","",J412),'C-Design&amp;Const'!Z412,)</f>
        <v>All major public spaces (entrances, galleries, auditoriums, lecture halls, etc…) with materials identified</v>
      </c>
      <c r="I412" s="193"/>
      <c r="J412" s="578" t="str">
        <f>IF('C-Design&amp;Const'!AF411="","",'C-Design&amp;Const'!AF411)</f>
        <v/>
      </c>
      <c r="K412" s="25" t="str">
        <f>IF(DD_apply="Yes",IF((COUNTIF(D412:G412,"Y")=COUNTIF('01 - SD'!D411:G411,"Y")),"match","no SD match"),"-")</f>
        <v>no SD match</v>
      </c>
      <c r="L412" s="1410" t="str">
        <f t="shared" si="22"/>
        <v/>
      </c>
      <c r="M412" s="1333"/>
      <c r="N412" s="1382"/>
      <c r="O412" s="1382"/>
      <c r="P412" s="1382"/>
      <c r="Q412" s="1382"/>
      <c r="R412" s="1490"/>
      <c r="S412" s="1274"/>
      <c r="T412" s="1274"/>
      <c r="U412" s="1382"/>
      <c r="V412" s="1382"/>
      <c r="W412" s="1382"/>
      <c r="X412" s="1382"/>
      <c r="Y412" s="1382"/>
      <c r="Z412" s="1382"/>
      <c r="AA412" s="1382"/>
      <c r="AB412" s="1382"/>
      <c r="AC412" s="1382"/>
      <c r="AD412" s="1382"/>
      <c r="AE412" s="1382"/>
      <c r="AF412" s="1382"/>
      <c r="AG412" s="1382"/>
      <c r="AH412" s="1382"/>
      <c r="AI412" s="1382"/>
      <c r="AJ412" s="181"/>
      <c r="AK412" s="181"/>
      <c r="AL412" s="181"/>
      <c r="AM412" s="181"/>
      <c r="AN412" s="181"/>
      <c r="AO412" s="181"/>
      <c r="AP412" s="181"/>
      <c r="AQ412" s="181"/>
      <c r="AR412" s="181"/>
      <c r="AS412" s="181"/>
      <c r="AT412" s="181"/>
      <c r="AU412" s="181"/>
      <c r="AV412" s="181"/>
      <c r="AW412" s="181"/>
    </row>
    <row r="413" spans="1:49" s="30" customFormat="1" ht="15" hidden="1" customHeight="1" x14ac:dyDescent="0.25">
      <c r="A413" s="1507" t="str">
        <f>IF(SD_apply="Yes",IF(COUNTIF('01 - SD'!D412:G412,"Y")&gt;0,"Y",IF(COUNTIF('01 - SD'!D412:G412,"N"),"N","")),"")</f>
        <v>Y</v>
      </c>
      <c r="B413" s="32"/>
      <c r="C413" s="945"/>
      <c r="D413" s="116"/>
      <c r="E413" s="559" t="str">
        <f>IF('C-Design&amp;Const'!$K412="","",'C-Design&amp;Const'!$K412)</f>
        <v>N</v>
      </c>
      <c r="F413" s="458"/>
      <c r="G413" s="506"/>
      <c r="H413" s="362" t="str">
        <f>CONCATENATE(IF(E413="N","PLACEHOLDER ROW - ",""),IF(E413="N","",J413),'C-Design&amp;Const'!Z413,)</f>
        <v>PLACEHOLDER ROW - Stacked Floor Plans with space types show by color (include key)</v>
      </c>
      <c r="I413" s="193"/>
      <c r="J413" s="578" t="str">
        <f>IF('C-Design&amp;Const'!AF412="","",'C-Design&amp;Const'!AF412)</f>
        <v/>
      </c>
      <c r="K413" s="25" t="str">
        <f>IF(DD_apply="Yes",IF((COUNTIF(D413:G413,"Y")=COUNTIF('01 - SD'!D412:G412,"Y")),"match","no SD match"),"-")</f>
        <v>no SD match</v>
      </c>
      <c r="L413" s="1410" t="str">
        <f t="shared" si="22"/>
        <v>&lt;---PM/Planner may hide PLACEHOLDER ROW</v>
      </c>
      <c r="M413" s="1333"/>
      <c r="N413" s="1382"/>
      <c r="O413" s="1382"/>
      <c r="P413" s="1382"/>
      <c r="Q413" s="1382"/>
      <c r="R413" s="1490"/>
      <c r="S413" s="1274"/>
      <c r="T413" s="1274"/>
      <c r="U413" s="1382"/>
      <c r="V413" s="1382"/>
      <c r="W413" s="1382"/>
      <c r="X413" s="1382"/>
      <c r="Y413" s="1382"/>
      <c r="Z413" s="1382"/>
      <c r="AA413" s="1382"/>
      <c r="AB413" s="1382"/>
      <c r="AC413" s="1382"/>
      <c r="AD413" s="1382"/>
      <c r="AE413" s="1382"/>
      <c r="AF413" s="1382"/>
      <c r="AG413" s="1382"/>
      <c r="AH413" s="1382"/>
      <c r="AI413" s="1382"/>
      <c r="AJ413" s="181"/>
      <c r="AK413" s="181"/>
      <c r="AL413" s="181"/>
      <c r="AM413" s="181"/>
      <c r="AN413" s="181"/>
      <c r="AO413" s="181"/>
      <c r="AP413" s="181"/>
      <c r="AQ413" s="181"/>
      <c r="AR413" s="181"/>
      <c r="AS413" s="181"/>
      <c r="AT413" s="181"/>
      <c r="AU413" s="181"/>
      <c r="AV413" s="181"/>
      <c r="AW413" s="181"/>
    </row>
    <row r="414" spans="1:49" s="30" customFormat="1" ht="15" hidden="1" customHeight="1" x14ac:dyDescent="0.25">
      <c r="A414" s="1507" t="str">
        <f>IF(SD_apply="Yes",IF(COUNTIF('01 - SD'!D414:G414,"Y")&gt;0,"Y",IF(COUNTIF('01 - SD'!D414:G414,"N"),"N","")),"")</f>
        <v>Y</v>
      </c>
      <c r="B414" s="32"/>
      <c r="C414" s="945"/>
      <c r="D414" s="116"/>
      <c r="E414" s="559" t="str">
        <f>IF('C-Design&amp;Const'!$K414="","",'C-Design&amp;Const'!$K414)</f>
        <v>N</v>
      </c>
      <c r="F414" s="458"/>
      <c r="G414" s="506"/>
      <c r="H414" s="362" t="str">
        <f>CONCATENATE(IF(E414="N","PLACEHOLDER ROW - ",""),IF(E414="N","",J414),'C-Design&amp;Const'!Z414,)</f>
        <v>PLACEHOLDER ROW - Simple full building sections showing relative spaces and framing from floor to floor.</v>
      </c>
      <c r="I414" s="193"/>
      <c r="J414" s="578" t="str">
        <f>IF('C-Design&amp;Const'!AF414="","",'C-Design&amp;Const'!AF414)</f>
        <v/>
      </c>
      <c r="K414" s="25" t="str">
        <f>IF(DD_apply="Yes",IF((COUNTIF(D414:G414,"Y")=COUNTIF('01 - SD'!D414:G414,"Y")),"match","no SD match"),"-")</f>
        <v>no SD match</v>
      </c>
      <c r="L414" s="1410" t="str">
        <f t="shared" si="22"/>
        <v>&lt;---PM/Planner may hide PLACEHOLDER ROW</v>
      </c>
      <c r="M414" s="1333"/>
      <c r="N414" s="1382"/>
      <c r="O414" s="1382"/>
      <c r="P414" s="1382"/>
      <c r="Q414" s="1382"/>
      <c r="R414" s="1490"/>
      <c r="S414" s="1274"/>
      <c r="T414" s="1274"/>
      <c r="U414" s="1382"/>
      <c r="V414" s="1382"/>
      <c r="W414" s="1382"/>
      <c r="X414" s="1382"/>
      <c r="Y414" s="1382"/>
      <c r="Z414" s="1382"/>
      <c r="AA414" s="1382"/>
      <c r="AB414" s="1382"/>
      <c r="AC414" s="1382"/>
      <c r="AD414" s="1382"/>
      <c r="AE414" s="1382"/>
      <c r="AF414" s="1382"/>
      <c r="AG414" s="1382"/>
      <c r="AH414" s="1382"/>
      <c r="AI414" s="1382"/>
      <c r="AJ414" s="181"/>
      <c r="AK414" s="181"/>
      <c r="AL414" s="181"/>
      <c r="AM414" s="181"/>
      <c r="AN414" s="181"/>
      <c r="AO414" s="181"/>
      <c r="AP414" s="181"/>
      <c r="AQ414" s="181"/>
      <c r="AR414" s="181"/>
      <c r="AS414" s="181"/>
      <c r="AT414" s="181"/>
      <c r="AU414" s="181"/>
      <c r="AV414" s="181"/>
      <c r="AW414" s="181"/>
    </row>
    <row r="415" spans="1:49" s="30" customFormat="1" ht="15" hidden="1" customHeight="1" x14ac:dyDescent="0.25">
      <c r="A415" s="1507" t="str">
        <f>IF(SD_apply="Yes",IF(COUNTIF('01 - SD'!D415:G415,"Y")&gt;0,"Y",IF(COUNTIF('01 - SD'!D415:G415,"N"),"N","")),"")</f>
        <v>N</v>
      </c>
      <c r="B415" s="32"/>
      <c r="C415" s="945"/>
      <c r="D415" s="116"/>
      <c r="E415" s="559" t="str">
        <f>IF('C-Design&amp;Const'!$K415="","",'C-Design&amp;Const'!$K415)</f>
        <v>N</v>
      </c>
      <c r="F415" s="458"/>
      <c r="G415" s="506"/>
      <c r="H415" s="362" t="str">
        <f>CONCATENATE(IF(E415="N","PLACEHOLDER ROW - ",""),IF(E415="N","",J415),'C-Design&amp;Const'!Z415,)</f>
        <v>PLACEHOLDER ROW - General Air Handling Unit Fan Maps</v>
      </c>
      <c r="I415" s="193"/>
      <c r="J415" s="578" t="str">
        <f>IF('C-Design&amp;Const'!AF415="","",'C-Design&amp;Const'!AF415)</f>
        <v/>
      </c>
      <c r="K415" s="25" t="str">
        <f>IF(DD_apply="Yes",IF((COUNTIF(D415:G415,"Y")=COUNTIF('01 - SD'!D415:G415,"Y")),"match","no SD match"),"-")</f>
        <v>match</v>
      </c>
      <c r="L415" s="1410" t="str">
        <f t="shared" si="22"/>
        <v>&lt;---PM/Planner may hide PLACEHOLDER ROW</v>
      </c>
      <c r="M415" s="1333"/>
      <c r="N415" s="1382"/>
      <c r="O415" s="1382"/>
      <c r="P415" s="1382"/>
      <c r="Q415" s="1382"/>
      <c r="R415" s="1490"/>
      <c r="S415" s="1274"/>
      <c r="T415" s="1274"/>
      <c r="U415" s="1382"/>
      <c r="V415" s="1382"/>
      <c r="W415" s="1382"/>
      <c r="X415" s="1382"/>
      <c r="Y415" s="1382"/>
      <c r="Z415" s="1382"/>
      <c r="AA415" s="1382"/>
      <c r="AB415" s="1382"/>
      <c r="AC415" s="1382"/>
      <c r="AD415" s="1382"/>
      <c r="AE415" s="1382"/>
      <c r="AF415" s="1382"/>
      <c r="AG415" s="1382"/>
      <c r="AH415" s="1382"/>
      <c r="AI415" s="1382"/>
      <c r="AJ415" s="181"/>
      <c r="AK415" s="181"/>
      <c r="AL415" s="181"/>
      <c r="AM415" s="181"/>
      <c r="AN415" s="181"/>
      <c r="AO415" s="181"/>
      <c r="AP415" s="181"/>
      <c r="AQ415" s="181"/>
      <c r="AR415" s="181"/>
      <c r="AS415" s="181"/>
      <c r="AT415" s="181"/>
      <c r="AU415" s="181"/>
      <c r="AV415" s="181"/>
      <c r="AW415" s="181"/>
    </row>
    <row r="416" spans="1:49" s="30" customFormat="1" ht="15" hidden="1" customHeight="1" x14ac:dyDescent="0.25">
      <c r="A416" s="1507" t="str">
        <f>IF(SD_apply="Yes",IF(COUNTIF('01 - SD'!D416:G416,"Y")&gt;0,"Y",IF(COUNTIF('01 - SD'!D416:G416,"N"),"N","")),"")</f>
        <v>Y</v>
      </c>
      <c r="B416" s="32"/>
      <c r="C416" s="945"/>
      <c r="D416" s="116"/>
      <c r="E416" s="559" t="str">
        <f>IF('C-Design&amp;Const'!$K416="","",'C-Design&amp;Const'!$K416)</f>
        <v>N</v>
      </c>
      <c r="F416" s="458"/>
      <c r="G416" s="506"/>
      <c r="H416" s="362" t="str">
        <f>CONCATENATE(IF(E416="N","PLACEHOLDER ROW - ",""),IF(E416="N","",J416),'C-Design&amp;Const'!Z416,)</f>
        <v>PLACEHOLDER ROW - Incorporated Comments from ARC</v>
      </c>
      <c r="I416" s="193"/>
      <c r="J416" s="578" t="str">
        <f>IF('C-Design&amp;Const'!AF416="","",'C-Design&amp;Const'!AF416)</f>
        <v/>
      </c>
      <c r="K416" s="25" t="str">
        <f>IF(DD_apply="Yes",IF((COUNTIF(D416:G416,"Y")=COUNTIF('01 - SD'!D416:G416,"Y")),"match","no SD match"),"-")</f>
        <v>no SD match</v>
      </c>
      <c r="L416" s="1410" t="str">
        <f t="shared" si="22"/>
        <v>&lt;---PM/Planner may hide PLACEHOLDER ROW</v>
      </c>
      <c r="M416" s="1333"/>
      <c r="N416" s="1382"/>
      <c r="O416" s="1382"/>
      <c r="P416" s="1382"/>
      <c r="Q416" s="1382"/>
      <c r="R416" s="1490"/>
      <c r="S416" s="1274"/>
      <c r="T416" s="1274"/>
      <c r="U416" s="1382"/>
      <c r="V416" s="1382"/>
      <c r="W416" s="1382"/>
      <c r="X416" s="1382"/>
      <c r="Y416" s="1382"/>
      <c r="Z416" s="1382"/>
      <c r="AA416" s="1382"/>
      <c r="AB416" s="1382"/>
      <c r="AC416" s="1382"/>
      <c r="AD416" s="1382"/>
      <c r="AE416" s="1382"/>
      <c r="AF416" s="1382"/>
      <c r="AG416" s="1382"/>
      <c r="AH416" s="1382"/>
      <c r="AI416" s="1382"/>
      <c r="AJ416" s="181"/>
      <c r="AK416" s="181"/>
      <c r="AL416" s="181"/>
      <c r="AM416" s="181"/>
      <c r="AN416" s="181"/>
      <c r="AO416" s="181"/>
      <c r="AP416" s="181"/>
      <c r="AQ416" s="181"/>
      <c r="AR416" s="181"/>
      <c r="AS416" s="181"/>
      <c r="AT416" s="181"/>
      <c r="AU416" s="181"/>
      <c r="AV416" s="181"/>
      <c r="AW416" s="181"/>
    </row>
    <row r="417" spans="1:49" s="30" customFormat="1" ht="15" hidden="1" customHeight="1" x14ac:dyDescent="0.25">
      <c r="A417" s="1507" t="str">
        <f>IF(SD_apply="Yes",IF(COUNTIF('01 - SD'!D417:G417,"Y")&gt;0,"Y",IF(COUNTIF('01 - SD'!D417:G417,"N"),"N","")),"")</f>
        <v>N</v>
      </c>
      <c r="B417" s="32"/>
      <c r="C417" s="945"/>
      <c r="D417" s="116"/>
      <c r="E417" s="559" t="str">
        <f>IF('C-Design&amp;Const'!$K417="","",'C-Design&amp;Const'!$K417)</f>
        <v>N</v>
      </c>
      <c r="F417" s="458"/>
      <c r="G417" s="506"/>
      <c r="H417" s="362" t="str">
        <f>CONCATENATE(IF(E417="N","PLACEHOLDER ROW - ",""),IF(E417="N","",J417),'C-Design&amp;Const'!Z417,)</f>
        <v>PLACEHOLDER ROW - CUSTOM ROW - OPTIONAL CLIENT ITEM</v>
      </c>
      <c r="I417" s="193"/>
      <c r="J417" s="578" t="str">
        <f>IF('C-Design&amp;Const'!AF417="","",'C-Design&amp;Const'!AF417)</f>
        <v/>
      </c>
      <c r="K417" s="25" t="str">
        <f>IF(DD_apply="Yes",IF((COUNTIF(D417:G417,"Y")=COUNTIF('01 - SD'!D417:G417,"Y")),"match","no SD match"),"-")</f>
        <v>match</v>
      </c>
      <c r="L417" s="1410" t="str">
        <f t="shared" si="22"/>
        <v>&lt;---PM/Planner may hide PLACEHOLDER ROW</v>
      </c>
      <c r="M417" s="1333"/>
      <c r="N417" s="1382"/>
      <c r="O417" s="1382"/>
      <c r="P417" s="1382"/>
      <c r="Q417" s="1382"/>
      <c r="R417" s="1490"/>
      <c r="S417" s="1274"/>
      <c r="T417" s="1274"/>
      <c r="U417" s="1382"/>
      <c r="V417" s="1382"/>
      <c r="W417" s="1382"/>
      <c r="X417" s="1382"/>
      <c r="Y417" s="1382"/>
      <c r="Z417" s="1382"/>
      <c r="AA417" s="1382"/>
      <c r="AB417" s="1382"/>
      <c r="AC417" s="1382"/>
      <c r="AD417" s="1382"/>
      <c r="AE417" s="1382"/>
      <c r="AF417" s="1382"/>
      <c r="AG417" s="1382"/>
      <c r="AH417" s="1382"/>
      <c r="AI417" s="1382"/>
      <c r="AJ417" s="181"/>
      <c r="AK417" s="181"/>
      <c r="AL417" s="181"/>
      <c r="AM417" s="181"/>
      <c r="AN417" s="181"/>
      <c r="AO417" s="181"/>
      <c r="AP417" s="181"/>
      <c r="AQ417" s="181"/>
      <c r="AR417" s="181"/>
      <c r="AS417" s="181"/>
      <c r="AT417" s="181"/>
      <c r="AU417" s="181"/>
      <c r="AV417" s="181"/>
      <c r="AW417" s="181"/>
    </row>
    <row r="418" spans="1:49" s="30" customFormat="1" ht="15" hidden="1" customHeight="1" x14ac:dyDescent="0.25">
      <c r="A418" s="1507" t="str">
        <f>IF(SD_apply="Yes",IF(COUNTIF('01 - SD'!D418:G418,"Y")&gt;0,"Y",IF(COUNTIF('01 - SD'!D418:G418,"N"),"N","")),"")</f>
        <v>N</v>
      </c>
      <c r="B418" s="32"/>
      <c r="C418" s="945"/>
      <c r="D418" s="116"/>
      <c r="E418" s="559" t="str">
        <f>IF('C-Design&amp;Const'!$K418="","",'C-Design&amp;Const'!$K418)</f>
        <v>N</v>
      </c>
      <c r="F418" s="458"/>
      <c r="G418" s="506"/>
      <c r="H418" s="362" t="str">
        <f>CONCATENATE(IF(E418="N","PLACEHOLDER ROW - ",""),IF(E418="N","",J418),'C-Design&amp;Const'!Z418,)</f>
        <v>PLACEHOLDER ROW - CUSTOM ROW - OPTIONAL CLIENT ITEM</v>
      </c>
      <c r="I418" s="193"/>
      <c r="J418" s="578" t="str">
        <f>IF('C-Design&amp;Const'!AF418="","",'C-Design&amp;Const'!AF418)</f>
        <v/>
      </c>
      <c r="K418" s="25" t="str">
        <f>IF(DD_apply="Yes",IF((COUNTIF(D418:G418,"Y")=COUNTIF('01 - SD'!D418:G418,"Y")),"match","no SD match"),"-")</f>
        <v>match</v>
      </c>
      <c r="L418" s="1410" t="str">
        <f t="shared" si="22"/>
        <v>&lt;---PM/Planner may hide PLACEHOLDER ROW</v>
      </c>
      <c r="M418" s="1333"/>
      <c r="N418" s="1382"/>
      <c r="O418" s="1382"/>
      <c r="P418" s="1382"/>
      <c r="Q418" s="1382"/>
      <c r="R418" s="1490"/>
      <c r="S418" s="1274"/>
      <c r="T418" s="1274"/>
      <c r="U418" s="1382"/>
      <c r="V418" s="1382"/>
      <c r="W418" s="1382"/>
      <c r="X418" s="1382"/>
      <c r="Y418" s="1382"/>
      <c r="Z418" s="1382"/>
      <c r="AA418" s="1382"/>
      <c r="AB418" s="1382"/>
      <c r="AC418" s="1382"/>
      <c r="AD418" s="1382"/>
      <c r="AE418" s="1382"/>
      <c r="AF418" s="1382"/>
      <c r="AG418" s="1382"/>
      <c r="AH418" s="1382"/>
      <c r="AI418" s="1382"/>
      <c r="AJ418" s="181"/>
      <c r="AK418" s="181"/>
      <c r="AL418" s="181"/>
      <c r="AM418" s="181"/>
      <c r="AN418" s="181"/>
      <c r="AO418" s="181"/>
      <c r="AP418" s="181"/>
      <c r="AQ418" s="181"/>
      <c r="AR418" s="181"/>
      <c r="AS418" s="181"/>
      <c r="AT418" s="181"/>
      <c r="AU418" s="181"/>
      <c r="AV418" s="181"/>
      <c r="AW418" s="181"/>
    </row>
    <row r="419" spans="1:49" s="30" customFormat="1" ht="15" hidden="1" customHeight="1" x14ac:dyDescent="0.25">
      <c r="A419" s="1507" t="str">
        <f>IF(SD_apply="Yes",IF(COUNTIF('01 - SD'!D419:G419,"Y")&gt;0,"Y",IF(COUNTIF('01 - SD'!D419:G419,"N"),"N","")),"")</f>
        <v>N</v>
      </c>
      <c r="B419" s="32"/>
      <c r="C419" s="945"/>
      <c r="D419" s="116"/>
      <c r="E419" s="559" t="str">
        <f>IF('C-Design&amp;Const'!$K419="","",'C-Design&amp;Const'!$K419)</f>
        <v>N</v>
      </c>
      <c r="F419" s="458"/>
      <c r="G419" s="506"/>
      <c r="H419" s="362" t="str">
        <f>CONCATENATE(IF(E419="N","PLACEHOLDER ROW - ",""),IF(E419="N","",J419),'C-Design&amp;Const'!Z419,)</f>
        <v>PLACEHOLDER ROW - CUSTOM ROW - OPTIONAL CLIENT ITEM</v>
      </c>
      <c r="I419" s="193"/>
      <c r="J419" s="578" t="str">
        <f>IF('C-Design&amp;Const'!AF419="","",'C-Design&amp;Const'!AF419)</f>
        <v/>
      </c>
      <c r="K419" s="25" t="str">
        <f>IF(DD_apply="Yes",IF((COUNTIF(D419:G419,"Y")=COUNTIF('01 - SD'!D419:G419,"Y")),"match","no SD match"),"-")</f>
        <v>match</v>
      </c>
      <c r="L419" s="1410" t="str">
        <f t="shared" si="22"/>
        <v>&lt;---PM/Planner may hide PLACEHOLDER ROW</v>
      </c>
      <c r="M419" s="1333"/>
      <c r="N419" s="1382"/>
      <c r="O419" s="1382"/>
      <c r="P419" s="1382"/>
      <c r="Q419" s="1382"/>
      <c r="R419" s="1490"/>
      <c r="S419" s="1274"/>
      <c r="T419" s="1274"/>
      <c r="U419" s="1382"/>
      <c r="V419" s="1382"/>
      <c r="W419" s="1382"/>
      <c r="X419" s="1382"/>
      <c r="Y419" s="1382"/>
      <c r="Z419" s="1382"/>
      <c r="AA419" s="1382"/>
      <c r="AB419" s="1382"/>
      <c r="AC419" s="1382"/>
      <c r="AD419" s="1382"/>
      <c r="AE419" s="1382"/>
      <c r="AF419" s="1382"/>
      <c r="AG419" s="1382"/>
      <c r="AH419" s="1382"/>
      <c r="AI419" s="1382"/>
      <c r="AJ419" s="181"/>
      <c r="AK419" s="181"/>
      <c r="AL419" s="181"/>
      <c r="AM419" s="181"/>
      <c r="AN419" s="181"/>
      <c r="AO419" s="181"/>
      <c r="AP419" s="181"/>
      <c r="AQ419" s="181"/>
      <c r="AR419" s="181"/>
      <c r="AS419" s="181"/>
      <c r="AT419" s="181"/>
      <c r="AU419" s="181"/>
      <c r="AV419" s="181"/>
      <c r="AW419" s="181"/>
    </row>
    <row r="420" spans="1:49" s="30" customFormat="1" ht="15" hidden="1" customHeight="1" x14ac:dyDescent="0.25">
      <c r="A420" s="1507" t="str">
        <f>IF(SD_apply="Yes",IF(COUNTIF('01 - SD'!D420:G420,"Y")&gt;0,"Y",IF(COUNTIF('01 - SD'!D420:G420,"N"),"N","")),"")</f>
        <v>N</v>
      </c>
      <c r="B420" s="32"/>
      <c r="C420" s="945"/>
      <c r="D420" s="116"/>
      <c r="E420" s="559" t="str">
        <f>IF('C-Design&amp;Const'!$K420="","",'C-Design&amp;Const'!$K420)</f>
        <v>N</v>
      </c>
      <c r="F420" s="458"/>
      <c r="G420" s="506"/>
      <c r="H420" s="362" t="str">
        <f>CONCATENATE(IF(E420="N","PLACEHOLDER ROW - ",""),IF(E420="N","",J420),'C-Design&amp;Const'!Z420,)</f>
        <v>PLACEHOLDER ROW - CUSTOM ROW - OPTIONAL CLIENT ITEM</v>
      </c>
      <c r="I420" s="193"/>
      <c r="J420" s="578" t="str">
        <f>IF('C-Design&amp;Const'!AF420="","",'C-Design&amp;Const'!AF420)</f>
        <v/>
      </c>
      <c r="K420" s="25" t="str">
        <f>IF(DD_apply="Yes",IF((COUNTIF(D420:G420,"Y")=COUNTIF('01 - SD'!D420:G420,"Y")),"match","no SD match"),"-")</f>
        <v>match</v>
      </c>
      <c r="L420" s="1410" t="str">
        <f t="shared" si="22"/>
        <v>&lt;---PM/Planner may hide PLACEHOLDER ROW</v>
      </c>
      <c r="M420" s="1333"/>
      <c r="N420" s="1382"/>
      <c r="O420" s="1382"/>
      <c r="P420" s="1382"/>
      <c r="Q420" s="1382"/>
      <c r="R420" s="1490"/>
      <c r="S420" s="1274"/>
      <c r="T420" s="1274"/>
      <c r="U420" s="1382"/>
      <c r="V420" s="1382"/>
      <c r="W420" s="1382"/>
      <c r="X420" s="1382"/>
      <c r="Y420" s="1382"/>
      <c r="Z420" s="1382"/>
      <c r="AA420" s="1382"/>
      <c r="AB420" s="1382"/>
      <c r="AC420" s="1382"/>
      <c r="AD420" s="1382"/>
      <c r="AE420" s="1382"/>
      <c r="AF420" s="1382"/>
      <c r="AG420" s="1382"/>
      <c r="AH420" s="1382"/>
      <c r="AI420" s="1382"/>
      <c r="AJ420" s="181"/>
      <c r="AK420" s="181"/>
      <c r="AL420" s="181"/>
      <c r="AM420" s="181"/>
      <c r="AN420" s="181"/>
      <c r="AO420" s="181"/>
      <c r="AP420" s="181"/>
      <c r="AQ420" s="181"/>
      <c r="AR420" s="181"/>
      <c r="AS420" s="181"/>
      <c r="AT420" s="181"/>
      <c r="AU420" s="181"/>
      <c r="AV420" s="181"/>
      <c r="AW420" s="181"/>
    </row>
    <row r="421" spans="1:49" s="30" customFormat="1" ht="23.25" hidden="1" customHeight="1" x14ac:dyDescent="0.25">
      <c r="A421" s="1507" t="str">
        <f>IF(SD_apply="Yes",IF(COUNTIF('01 - SD'!D421:G421,"Y")&gt;0,"Y",IF(COUNTIF('01 - SD'!D421:G421,"N"),"N","")),"")</f>
        <v/>
      </c>
      <c r="B421" s="32"/>
      <c r="C421" s="945"/>
      <c r="D421" s="116"/>
      <c r="E421" s="487"/>
      <c r="F421" s="1657"/>
      <c r="G421" s="1630"/>
      <c r="H421" s="1631" t="str">
        <f>CONCATENATE(IF(E421="N","PLACEHOLDER ROW - ",""),IF(E421="N","",J421),'C-Design&amp;Const'!Z421,)</f>
        <v>**  - For CDAC, combine these items on to 1 or 2 total slides.</v>
      </c>
      <c r="I421" s="193"/>
      <c r="J421" s="578" t="str">
        <f>IF('C-Design&amp;Const'!AF421="","",'C-Design&amp;Const'!AF421)</f>
        <v/>
      </c>
      <c r="K421" s="25" t="str">
        <f>IF(DD_apply="Yes",IF((COUNTIF(D421:G421,"Y")=COUNTIF('01 - SD'!D421:G421,"Y")),"match","no SD match"),"-")</f>
        <v>match</v>
      </c>
      <c r="L421" s="1410" t="str">
        <f t="shared" si="22"/>
        <v/>
      </c>
      <c r="M421" s="1333"/>
      <c r="N421" s="1382"/>
      <c r="O421" s="1382"/>
      <c r="P421" s="1382"/>
      <c r="Q421" s="1382"/>
      <c r="R421" s="1490"/>
      <c r="S421" s="1274"/>
      <c r="T421" s="1274"/>
      <c r="U421" s="1382"/>
      <c r="V421" s="1382"/>
      <c r="W421" s="1382"/>
      <c r="X421" s="1382"/>
      <c r="Y421" s="1382"/>
      <c r="Z421" s="1382"/>
      <c r="AA421" s="1382"/>
      <c r="AB421" s="1382"/>
      <c r="AC421" s="1382"/>
      <c r="AD421" s="1382"/>
      <c r="AE421" s="1382"/>
      <c r="AF421" s="1382"/>
      <c r="AG421" s="1382"/>
      <c r="AH421" s="1382"/>
      <c r="AI421" s="1382"/>
      <c r="AJ421" s="181"/>
      <c r="AK421" s="181"/>
      <c r="AL421" s="181"/>
      <c r="AM421" s="181"/>
      <c r="AN421" s="181"/>
      <c r="AO421" s="181"/>
      <c r="AP421" s="181"/>
      <c r="AQ421" s="181"/>
      <c r="AR421" s="181"/>
      <c r="AS421" s="181"/>
      <c r="AT421" s="181"/>
      <c r="AU421" s="181"/>
      <c r="AV421" s="181"/>
      <c r="AW421" s="181"/>
    </row>
    <row r="422" spans="1:49" s="30" customFormat="1" ht="15" hidden="1" customHeight="1" x14ac:dyDescent="0.25">
      <c r="A422" s="1507" t="str">
        <f>IF(SD_apply="Yes",IF(COUNTIF('01 - SD'!D422:G422,"Y")&gt;0,"Y",IF(COUNTIF('01 - SD'!D422:G422,"N"),"N","")),"")</f>
        <v>Y</v>
      </c>
      <c r="B422" s="32"/>
      <c r="C422" s="945"/>
      <c r="D422" s="116"/>
      <c r="E422" s="559" t="str">
        <f>IF('C-Design&amp;Const'!$K422="","",'C-Design&amp;Const'!$K422)</f>
        <v>N</v>
      </c>
      <c r="F422" s="1658"/>
      <c r="G422" s="1627" t="str">
        <f>IF('C-Design&amp;Const'!Y422="","",'C-Design&amp;Const'!Y422)</f>
        <v>08c.</v>
      </c>
      <c r="H422" s="1628" t="str">
        <f>CONCATENATE(IF(E422="N","PLACEHOLDER ROW - ",""),IF(E422="N","",J422),'C-Design&amp;Const'!Z422,)</f>
        <v>PLACEHOLDER ROW - Design Presentation - President and Chancellor</v>
      </c>
      <c r="I422" s="193"/>
      <c r="J422" s="578" t="str">
        <f>IF('C-Design&amp;Const'!AF422="","",'C-Design&amp;Const'!AF422)</f>
        <v/>
      </c>
      <c r="K422" s="25" t="str">
        <f>IF(DD_apply="Yes",IF((COUNTIF(D422:G422,"Y")=COUNTIF('01 - SD'!D422:G422,"Y")),"match","no SD match"),"-")</f>
        <v>no SD match</v>
      </c>
      <c r="L422" s="1410" t="str">
        <f t="shared" si="22"/>
        <v>&lt;---PM/Planner may hide PLACEHOLDER ROW</v>
      </c>
      <c r="M422" s="1333"/>
      <c r="N422" s="1382"/>
      <c r="O422" s="1382"/>
      <c r="P422" s="1382"/>
      <c r="Q422" s="1382"/>
      <c r="R422" s="1490"/>
      <c r="S422" s="1274"/>
      <c r="T422" s="1274"/>
      <c r="U422" s="1382"/>
      <c r="V422" s="1382"/>
      <c r="W422" s="1382"/>
      <c r="X422" s="1382"/>
      <c r="Y422" s="1382"/>
      <c r="Z422" s="1382"/>
      <c r="AA422" s="1382"/>
      <c r="AB422" s="1382"/>
      <c r="AC422" s="1382"/>
      <c r="AD422" s="1382"/>
      <c r="AE422" s="1382"/>
      <c r="AF422" s="1382"/>
      <c r="AG422" s="1382"/>
      <c r="AH422" s="1382"/>
      <c r="AI422" s="1382"/>
      <c r="AJ422" s="181"/>
      <c r="AK422" s="181"/>
      <c r="AL422" s="181"/>
      <c r="AM422" s="181"/>
      <c r="AN422" s="181"/>
      <c r="AO422" s="181"/>
      <c r="AP422" s="181"/>
      <c r="AQ422" s="181"/>
      <c r="AR422" s="181"/>
      <c r="AS422" s="181"/>
      <c r="AT422" s="181"/>
      <c r="AU422" s="181"/>
      <c r="AV422" s="181"/>
      <c r="AW422" s="181"/>
    </row>
    <row r="423" spans="1:49" s="30" customFormat="1" ht="15" hidden="1" customHeight="1" x14ac:dyDescent="0.25">
      <c r="A423" s="1507" t="str">
        <f>IF(SD_apply="Yes",IF(COUNTIF('01 - SD'!D423:G423,"Y")&gt;0,"Y",IF(COUNTIF('01 - SD'!D423:G423,"N"),"N","")),"")</f>
        <v/>
      </c>
      <c r="B423" s="32"/>
      <c r="C423" s="945"/>
      <c r="D423" s="116"/>
      <c r="E423" s="559" t="str">
        <f>IF('C-Design&amp;Const'!$K423="","",'C-Design&amp;Const'!$K423)</f>
        <v/>
      </c>
      <c r="F423" s="458"/>
      <c r="G423" s="1627" t="str">
        <f>IF('C-Design&amp;Const'!Y423="","",'C-Design&amp;Const'!Y423)</f>
        <v/>
      </c>
      <c r="H423" s="1666" t="str">
        <f>CONCATENATE(IF(E423="N","PLACEHOLDER ROW - ",""),IF(E423="N","",J423),'C-Design&amp;Const'!Z423,)</f>
        <v>Brochures for Board of Trustees</v>
      </c>
      <c r="I423" s="193"/>
      <c r="J423" s="578" t="str">
        <f>IF('C-Design&amp;Const'!AF423="","",'C-Design&amp;Const'!AF423)</f>
        <v/>
      </c>
      <c r="K423" s="25" t="str">
        <f>IF(DD_apply="Yes",IF((COUNTIF(D423:G423,"Y")=COUNTIF('01 - SD'!D423:G423,"Y")),"match","no SD match"),"-")</f>
        <v>match</v>
      </c>
      <c r="L423" s="1410" t="str">
        <f t="shared" si="22"/>
        <v/>
      </c>
      <c r="M423" s="1333"/>
      <c r="N423" s="1382"/>
      <c r="O423" s="1382"/>
      <c r="P423" s="1382"/>
      <c r="Q423" s="1382"/>
      <c r="R423" s="1490"/>
      <c r="S423" s="1274"/>
      <c r="T423" s="1274"/>
      <c r="U423" s="1382"/>
      <c r="V423" s="1382"/>
      <c r="W423" s="1382"/>
      <c r="X423" s="1382"/>
      <c r="Y423" s="1382"/>
      <c r="Z423" s="1382"/>
      <c r="AA423" s="1382"/>
      <c r="AB423" s="1382"/>
      <c r="AC423" s="1382"/>
      <c r="AD423" s="1382"/>
      <c r="AE423" s="1382"/>
      <c r="AF423" s="1382"/>
      <c r="AG423" s="1382"/>
      <c r="AH423" s="1382"/>
      <c r="AI423" s="1382"/>
      <c r="AJ423" s="181"/>
      <c r="AK423" s="181"/>
      <c r="AL423" s="181"/>
      <c r="AM423" s="181"/>
      <c r="AN423" s="181"/>
      <c r="AO423" s="181"/>
      <c r="AP423" s="181"/>
      <c r="AQ423" s="181"/>
      <c r="AR423" s="181"/>
      <c r="AS423" s="181"/>
      <c r="AT423" s="181"/>
      <c r="AU423" s="181"/>
      <c r="AV423" s="181"/>
      <c r="AW423" s="181"/>
    </row>
    <row r="424" spans="1:49" s="30" customFormat="1" ht="15" hidden="1" customHeight="1" x14ac:dyDescent="0.25">
      <c r="A424" s="1507" t="str">
        <f>IF(SD_apply="Yes",IF(COUNTIF('01 - SD'!D424:G424,"Y")&gt;0,"Y",IF(COUNTIF('01 - SD'!D424:G424,"N"),"N","")),"")</f>
        <v/>
      </c>
      <c r="B424" s="32"/>
      <c r="C424" s="945"/>
      <c r="D424" s="116"/>
      <c r="E424" s="559" t="str">
        <f>IF('C-Design&amp;Const'!$K424="","",'C-Design&amp;Const'!$K424)</f>
        <v/>
      </c>
      <c r="F424" s="458"/>
      <c r="G424" s="1627" t="str">
        <f>IF('C-Design&amp;Const'!Y424="","",'C-Design&amp;Const'!Y424)</f>
        <v>08d.</v>
      </c>
      <c r="H424" s="1666" t="str">
        <f>CONCATENATE(IF(E424="N","PLACEHOLDER ROW - ",""),IF(E424="N","",J424),'C-Design&amp;Const'!Z424,)</f>
        <v>Design Presentation - Board of Trustees - Audit, Budget, Finance, &amp; Facilities Committee</v>
      </c>
      <c r="I424" s="193"/>
      <c r="J424" s="578" t="str">
        <f>IF('C-Design&amp;Const'!AF424="","",'C-Design&amp;Const'!AF424)</f>
        <v/>
      </c>
      <c r="K424" s="25" t="str">
        <f>IF(DD_apply="Yes",IF((COUNTIF(D424:G424,"Y")=COUNTIF('01 - SD'!D424:G424,"Y")),"match","no SD match"),"-")</f>
        <v>match</v>
      </c>
      <c r="L424" s="1410" t="str">
        <f t="shared" si="22"/>
        <v/>
      </c>
      <c r="M424" s="1333"/>
      <c r="N424" s="1382"/>
      <c r="O424" s="1382"/>
      <c r="P424" s="1382"/>
      <c r="Q424" s="1382"/>
      <c r="R424" s="1490"/>
      <c r="S424" s="1274"/>
      <c r="T424" s="1274"/>
      <c r="U424" s="1333"/>
      <c r="V424" s="1382"/>
      <c r="W424" s="1382"/>
      <c r="X424" s="1382"/>
      <c r="Y424" s="1382"/>
      <c r="Z424" s="1382"/>
      <c r="AA424" s="1382"/>
      <c r="AB424" s="1382"/>
      <c r="AC424" s="1382"/>
      <c r="AD424" s="1382"/>
      <c r="AE424" s="1382"/>
      <c r="AF424" s="1382"/>
      <c r="AG424" s="1382"/>
      <c r="AH424" s="1382"/>
      <c r="AI424" s="1382"/>
      <c r="AJ424" s="181"/>
      <c r="AK424" s="181"/>
      <c r="AL424" s="181"/>
      <c r="AM424" s="181"/>
      <c r="AN424" s="181"/>
      <c r="AO424" s="181"/>
      <c r="AP424" s="181"/>
      <c r="AQ424" s="181"/>
      <c r="AR424" s="181"/>
      <c r="AS424" s="181"/>
      <c r="AT424" s="181"/>
      <c r="AU424" s="181"/>
      <c r="AV424" s="181"/>
      <c r="AW424" s="181"/>
    </row>
    <row r="425" spans="1:49" s="30" customFormat="1" ht="15" hidden="1" customHeight="1" x14ac:dyDescent="0.25">
      <c r="A425" s="1507" t="str">
        <f>IF(SD_apply="Yes",IF(COUNTIF('01 - SD'!D425:G425,"Y")&gt;0,"Y",IF(COUNTIF('01 - SD'!D425:G425,"N"),"N","")),"")</f>
        <v>Y</v>
      </c>
      <c r="B425" s="32"/>
      <c r="C425" s="945"/>
      <c r="D425" s="116"/>
      <c r="E425" s="559" t="str">
        <f>IF('C-Design&amp;Const'!$K425="","",'C-Design&amp;Const'!$K425)</f>
        <v>N</v>
      </c>
      <c r="F425" s="458"/>
      <c r="G425" s="506"/>
      <c r="H425" s="362" t="str">
        <f>CONCATENATE(IF(E425="N","PLACEHOLDER ROW - ",""),IF(E425="N","",J425),'C-Design&amp;Const'!Z425,)</f>
        <v xml:space="preserve">PLACEHOLDER ROW - Overall Campus Map next to zoomed in aerial image map </v>
      </c>
      <c r="I425" s="193"/>
      <c r="J425" s="578" t="str">
        <f>IF('C-Design&amp;Const'!AF425="","",'C-Design&amp;Const'!AF425)</f>
        <v/>
      </c>
      <c r="K425" s="25" t="str">
        <f>IF(DD_apply="Yes",IF((COUNTIF(D425:G425,"Y")=COUNTIF('01 - SD'!D425:G425,"Y")),"match","no SD match"),"-")</f>
        <v>no SD match</v>
      </c>
      <c r="L425" s="1410" t="str">
        <f t="shared" si="22"/>
        <v>&lt;---PM/Planner may hide PLACEHOLDER ROW</v>
      </c>
      <c r="M425" s="1333"/>
      <c r="N425" s="1382"/>
      <c r="O425" s="1382"/>
      <c r="P425" s="1382"/>
      <c r="Q425" s="1382"/>
      <c r="R425" s="1490"/>
      <c r="S425" s="1274"/>
      <c r="T425" s="1274"/>
      <c r="U425" s="1333"/>
      <c r="V425" s="1382"/>
      <c r="W425" s="1382"/>
      <c r="X425" s="1382"/>
      <c r="Y425" s="1382"/>
      <c r="Z425" s="1382"/>
      <c r="AA425" s="1382"/>
      <c r="AB425" s="1382"/>
      <c r="AC425" s="1382"/>
      <c r="AD425" s="1382"/>
      <c r="AE425" s="1382"/>
      <c r="AF425" s="1382"/>
      <c r="AG425" s="1382"/>
      <c r="AH425" s="1382"/>
      <c r="AI425" s="1382"/>
      <c r="AJ425" s="181"/>
      <c r="AK425" s="181"/>
      <c r="AL425" s="181"/>
      <c r="AM425" s="181"/>
      <c r="AN425" s="181"/>
      <c r="AO425" s="181"/>
      <c r="AP425" s="181"/>
      <c r="AQ425" s="181"/>
      <c r="AR425" s="181"/>
      <c r="AS425" s="181"/>
      <c r="AT425" s="181"/>
      <c r="AU425" s="181"/>
      <c r="AV425" s="181"/>
      <c r="AW425" s="181"/>
    </row>
    <row r="426" spans="1:49" s="30" customFormat="1" ht="15" hidden="1" customHeight="1" x14ac:dyDescent="0.25">
      <c r="A426" s="1507" t="str">
        <f>IF(SD_apply="Yes",IF(COUNTIF('01 - SD'!D426:G426,"Y")&gt;0,"Y",IF(COUNTIF('01 - SD'!D426:G426,"N"),"N","")),"")</f>
        <v>Y</v>
      </c>
      <c r="B426" s="32"/>
      <c r="C426" s="945"/>
      <c r="D426" s="116"/>
      <c r="E426" s="559" t="str">
        <f>IF('C-Design&amp;Const'!$K426="","",'C-Design&amp;Const'!$K426)</f>
        <v>N</v>
      </c>
      <c r="F426" s="458"/>
      <c r="G426" s="506"/>
      <c r="H426" s="362" t="str">
        <f>CONCATENATE(IF(E426="N","PLACEHOLDER ROW - ",""),IF(E426="N","",J426),'C-Design&amp;Const'!Z426,)</f>
        <v>PLACEHOLDER ROW - Building Footprint on Master Plan</v>
      </c>
      <c r="I426" s="193"/>
      <c r="J426" s="578" t="str">
        <f>IF('C-Design&amp;Const'!AF426="","",'C-Design&amp;Const'!AF426)</f>
        <v/>
      </c>
      <c r="K426" s="25" t="str">
        <f>IF(DD_apply="Yes",IF((COUNTIF(D426:G426,"Y")=COUNTIF('01 - SD'!D426:G426,"Y")),"match","no SD match"),"-")</f>
        <v>no SD match</v>
      </c>
      <c r="L426" s="1410" t="str">
        <f t="shared" si="22"/>
        <v>&lt;---PM/Planner may hide PLACEHOLDER ROW</v>
      </c>
      <c r="M426" s="1333"/>
      <c r="N426" s="1382"/>
      <c r="O426" s="1382"/>
      <c r="P426" s="1382"/>
      <c r="Q426" s="1382"/>
      <c r="R426" s="1490"/>
      <c r="S426" s="1274"/>
      <c r="T426" s="1274"/>
      <c r="U426" s="1333"/>
      <c r="V426" s="1382"/>
      <c r="W426" s="1382"/>
      <c r="X426" s="1382"/>
      <c r="Y426" s="1382"/>
      <c r="Z426" s="1382"/>
      <c r="AA426" s="1382"/>
      <c r="AB426" s="1382"/>
      <c r="AC426" s="1382"/>
      <c r="AD426" s="1382"/>
      <c r="AE426" s="1382"/>
      <c r="AF426" s="1382"/>
      <c r="AG426" s="1382"/>
      <c r="AH426" s="1382"/>
      <c r="AI426" s="1382"/>
      <c r="AJ426" s="181"/>
      <c r="AK426" s="181"/>
      <c r="AL426" s="181"/>
      <c r="AM426" s="181"/>
      <c r="AN426" s="181"/>
      <c r="AO426" s="181"/>
      <c r="AP426" s="181"/>
      <c r="AQ426" s="181"/>
      <c r="AR426" s="181"/>
      <c r="AS426" s="181"/>
      <c r="AT426" s="181"/>
      <c r="AU426" s="181"/>
      <c r="AV426" s="181"/>
      <c r="AW426" s="181"/>
    </row>
    <row r="427" spans="1:49" s="30" customFormat="1" ht="15" hidden="1" customHeight="1" x14ac:dyDescent="0.25">
      <c r="A427" s="1507" t="str">
        <f>IF(SD_apply="Yes",IF(COUNTIF('01 - SD'!D427:G427,"Y")&gt;0,"Y",IF(COUNTIF('01 - SD'!D427:G427,"N"),"N","")),"")</f>
        <v>Y</v>
      </c>
      <c r="B427" s="32"/>
      <c r="C427" s="945"/>
      <c r="D427" s="116"/>
      <c r="E427" s="559" t="str">
        <f>IF('C-Design&amp;Const'!$K427="","",'C-Design&amp;Const'!$K427)</f>
        <v>N</v>
      </c>
      <c r="F427" s="458"/>
      <c r="G427" s="506"/>
      <c r="H427" s="362" t="str">
        <f>CONCATENATE(IF(E427="N","PLACEHOLDER ROW - ",""),IF(E427="N","",J427),'C-Design&amp;Const'!Z427,)</f>
        <v>PLACEHOLDER ROW - **Bullet Points of Major Project Goals &amp; Objectives, New GSF, Renovated GSF, Demolished GSF</v>
      </c>
      <c r="I427" s="193"/>
      <c r="J427" s="578" t="str">
        <f>IF('C-Design&amp;Const'!AF427="","",'C-Design&amp;Const'!AF427)</f>
        <v/>
      </c>
      <c r="K427" s="25" t="str">
        <f>IF(DD_apply="Yes",IF((COUNTIF(D427:G427,"Y")=COUNTIF('01 - SD'!D427:G427,"Y")),"match","no SD match"),"-")</f>
        <v>no SD match</v>
      </c>
      <c r="L427" s="1410" t="str">
        <f t="shared" si="22"/>
        <v>&lt;---PM/Planner may hide PLACEHOLDER ROW</v>
      </c>
      <c r="M427" s="1333"/>
      <c r="N427" s="1382"/>
      <c r="O427" s="1382"/>
      <c r="P427" s="1382"/>
      <c r="Q427" s="1382"/>
      <c r="R427" s="1490"/>
      <c r="S427" s="1274"/>
      <c r="T427" s="1274"/>
      <c r="U427" s="1333"/>
      <c r="V427" s="1382"/>
      <c r="W427" s="1382"/>
      <c r="X427" s="1382"/>
      <c r="Y427" s="1382"/>
      <c r="Z427" s="1382"/>
      <c r="AA427" s="1382"/>
      <c r="AB427" s="1382"/>
      <c r="AC427" s="1382"/>
      <c r="AD427" s="1382"/>
      <c r="AE427" s="1382"/>
      <c r="AF427" s="1382"/>
      <c r="AG427" s="1382"/>
      <c r="AH427" s="1382"/>
      <c r="AI427" s="1382"/>
      <c r="AJ427" s="181"/>
      <c r="AK427" s="181"/>
      <c r="AL427" s="181"/>
      <c r="AM427" s="181"/>
      <c r="AN427" s="181"/>
      <c r="AO427" s="181"/>
      <c r="AP427" s="181"/>
      <c r="AQ427" s="181"/>
      <c r="AR427" s="181"/>
      <c r="AS427" s="181"/>
      <c r="AT427" s="181"/>
      <c r="AU427" s="181"/>
      <c r="AV427" s="181"/>
      <c r="AW427" s="181"/>
    </row>
    <row r="428" spans="1:49" s="30" customFormat="1" ht="15" hidden="1" customHeight="1" x14ac:dyDescent="0.25">
      <c r="A428" s="1507" t="str">
        <f>IF(SD_apply="Yes",IF(COUNTIF('01 - SD'!D428:G428,"Y")&gt;0,"Y",IF(COUNTIF('01 - SD'!D428:G428,"N"),"N","")),"")</f>
        <v>N</v>
      </c>
      <c r="B428" s="32"/>
      <c r="C428" s="945"/>
      <c r="D428" s="116"/>
      <c r="E428" s="559" t="str">
        <f>IF('C-Design&amp;Const'!$K428="","",'C-Design&amp;Const'!$K428)</f>
        <v>N</v>
      </c>
      <c r="F428" s="458"/>
      <c r="G428" s="506"/>
      <c r="H428" s="362" t="str">
        <f>CONCATENATE(IF(E428="N","PLACEHOLDER ROW - ",""),IF(E428="N","",J428),'C-Design&amp;Const'!Z428,)</f>
        <v>PLACEHOLDER ROW - **Overall Construction Budget, Construction Begin &amp; End</v>
      </c>
      <c r="I428" s="193"/>
      <c r="J428" s="578" t="str">
        <f>IF('C-Design&amp;Const'!AF428="","",'C-Design&amp;Const'!AF428)</f>
        <v/>
      </c>
      <c r="K428" s="25" t="str">
        <f>IF(DD_apply="Yes",IF((COUNTIF(D428:G428,"Y")=COUNTIF('01 - SD'!D428:G428,"Y")),"match","no SD match"),"-")</f>
        <v>match</v>
      </c>
      <c r="L428" s="1410" t="str">
        <f t="shared" si="22"/>
        <v>&lt;---PM/Planner may hide PLACEHOLDER ROW</v>
      </c>
      <c r="M428" s="1333"/>
      <c r="N428" s="1382"/>
      <c r="O428" s="1382"/>
      <c r="P428" s="1382"/>
      <c r="Q428" s="1382"/>
      <c r="R428" s="1490"/>
      <c r="S428" s="1274"/>
      <c r="T428" s="1274"/>
      <c r="U428" s="1333"/>
      <c r="V428" s="1382"/>
      <c r="W428" s="1382"/>
      <c r="X428" s="1382"/>
      <c r="Y428" s="1382"/>
      <c r="Z428" s="1382"/>
      <c r="AA428" s="1382"/>
      <c r="AB428" s="1382"/>
      <c r="AC428" s="1382"/>
      <c r="AD428" s="1382"/>
      <c r="AE428" s="1382"/>
      <c r="AF428" s="1382"/>
      <c r="AG428" s="1382"/>
      <c r="AH428" s="1382"/>
      <c r="AI428" s="1382"/>
      <c r="AJ428" s="181"/>
      <c r="AK428" s="181"/>
      <c r="AL428" s="181"/>
      <c r="AM428" s="181"/>
      <c r="AN428" s="181"/>
      <c r="AO428" s="181"/>
      <c r="AP428" s="181"/>
      <c r="AQ428" s="181"/>
      <c r="AR428" s="181"/>
      <c r="AS428" s="181"/>
      <c r="AT428" s="181"/>
      <c r="AU428" s="181"/>
      <c r="AV428" s="181"/>
      <c r="AW428" s="181"/>
    </row>
    <row r="429" spans="1:49" s="30" customFormat="1" ht="15" hidden="1" customHeight="1" x14ac:dyDescent="0.25">
      <c r="A429" s="1507" t="str">
        <f>IF(SD_apply="Yes",IF(COUNTIF('01 - SD'!D429:G429,"Y")&gt;0,"Y",IF(COUNTIF('01 - SD'!D429:G429,"N"),"N","")),"")</f>
        <v>N</v>
      </c>
      <c r="B429" s="32"/>
      <c r="C429" s="945"/>
      <c r="D429" s="116"/>
      <c r="E429" s="559" t="str">
        <f>IF('C-Design&amp;Const'!$K429="","",'C-Design&amp;Const'!$K429)</f>
        <v>N</v>
      </c>
      <c r="F429" s="458"/>
      <c r="G429" s="506"/>
      <c r="H429" s="362" t="str">
        <f>CONCATENATE(IF(E429="N","PLACEHOLDER ROW - ",""),IF(E429="N","",J429),'C-Design&amp;Const'!Z429,)</f>
        <v>PLACEHOLDER ROW - **LEED Goal and highlights of LEED measures</v>
      </c>
      <c r="I429" s="193"/>
      <c r="J429" s="578" t="str">
        <f>IF('C-Design&amp;Const'!AF429="","",'C-Design&amp;Const'!AF429)</f>
        <v/>
      </c>
      <c r="K429" s="25" t="str">
        <f>IF(DD_apply="Yes",IF((COUNTIF(D429:G429,"Y")=COUNTIF('01 - SD'!D429:G429,"Y")),"match","no SD match"),"-")</f>
        <v>match</v>
      </c>
      <c r="L429" s="1410" t="str">
        <f t="shared" si="22"/>
        <v>&lt;---PM/Planner may hide PLACEHOLDER ROW</v>
      </c>
      <c r="M429" s="1333"/>
      <c r="N429" s="1382"/>
      <c r="O429" s="1382"/>
      <c r="P429" s="1382"/>
      <c r="Q429" s="1382"/>
      <c r="R429" s="1490"/>
      <c r="S429" s="1274"/>
      <c r="T429" s="1274"/>
      <c r="U429" s="1333"/>
      <c r="V429" s="1382"/>
      <c r="W429" s="1382"/>
      <c r="X429" s="1382"/>
      <c r="Y429" s="1382"/>
      <c r="Z429" s="1382"/>
      <c r="AA429" s="1382"/>
      <c r="AB429" s="1382"/>
      <c r="AC429" s="1382"/>
      <c r="AD429" s="1382"/>
      <c r="AE429" s="1382"/>
      <c r="AF429" s="1382"/>
      <c r="AG429" s="1382"/>
      <c r="AH429" s="1382"/>
      <c r="AI429" s="1382"/>
      <c r="AJ429" s="181"/>
      <c r="AK429" s="181"/>
      <c r="AL429" s="181"/>
      <c r="AM429" s="181"/>
      <c r="AN429" s="181"/>
      <c r="AO429" s="181"/>
      <c r="AP429" s="181"/>
      <c r="AQ429" s="181"/>
      <c r="AR429" s="181"/>
      <c r="AS429" s="181"/>
      <c r="AT429" s="181"/>
      <c r="AU429" s="181"/>
      <c r="AV429" s="181"/>
      <c r="AW429" s="181"/>
    </row>
    <row r="430" spans="1:49" s="30" customFormat="1" ht="15" hidden="1" customHeight="1" x14ac:dyDescent="0.25">
      <c r="A430" s="1507" t="str">
        <f>IF(SD_apply="Yes",IF(COUNTIF('01 - SD'!D430:G430,"Y")&gt;0,"Y",IF(COUNTIF('01 - SD'!D430:G430,"N"),"N","")),"")</f>
        <v>Y</v>
      </c>
      <c r="B430" s="32"/>
      <c r="C430" s="945"/>
      <c r="D430" s="116"/>
      <c r="E430" s="559" t="str">
        <f>IF('C-Design&amp;Const'!$K430="","",'C-Design&amp;Const'!$K430)</f>
        <v>N</v>
      </c>
      <c r="F430" s="458"/>
      <c r="G430" s="506"/>
      <c r="H430" s="362" t="str">
        <f>CONCATENATE(IF(E430="N","PLACEHOLDER ROW - ",""),IF(E430="N","",J430),'C-Design&amp;Const'!Z430,)</f>
        <v>PLACEHOLDER ROW - Proposed combined Site / Landscape Plan</v>
      </c>
      <c r="I430" s="193"/>
      <c r="J430" s="578" t="str">
        <f>IF('C-Design&amp;Const'!AF430="","",'C-Design&amp;Const'!AF430)</f>
        <v/>
      </c>
      <c r="K430" s="25" t="str">
        <f>IF(DD_apply="Yes",IF((COUNTIF(D430:G430,"Y")=COUNTIF('01 - SD'!D430:G430,"Y")),"match","no SD match"),"-")</f>
        <v>no SD match</v>
      </c>
      <c r="L430" s="1410" t="str">
        <f t="shared" si="22"/>
        <v>&lt;---PM/Planner may hide PLACEHOLDER ROW</v>
      </c>
      <c r="M430" s="1333"/>
      <c r="N430" s="1382"/>
      <c r="O430" s="1382"/>
      <c r="P430" s="1382"/>
      <c r="Q430" s="1382"/>
      <c r="R430" s="1492"/>
      <c r="S430" s="1274"/>
      <c r="T430" s="1274"/>
      <c r="U430" s="1333"/>
      <c r="V430" s="1382"/>
      <c r="W430" s="1382"/>
      <c r="X430" s="1382"/>
      <c r="Y430" s="1382"/>
      <c r="Z430" s="1382"/>
      <c r="AA430" s="1382"/>
      <c r="AB430" s="1382"/>
      <c r="AC430" s="1382"/>
      <c r="AD430" s="1382"/>
      <c r="AE430" s="1382"/>
      <c r="AF430" s="1382"/>
      <c r="AG430" s="1382"/>
      <c r="AH430" s="1382"/>
      <c r="AI430" s="1382"/>
      <c r="AJ430" s="181"/>
      <c r="AK430" s="181"/>
      <c r="AL430" s="181"/>
      <c r="AM430" s="181"/>
      <c r="AN430" s="181"/>
      <c r="AO430" s="181"/>
      <c r="AP430" s="181"/>
      <c r="AQ430" s="181"/>
      <c r="AR430" s="181"/>
      <c r="AS430" s="181"/>
      <c r="AT430" s="181"/>
      <c r="AU430" s="181"/>
      <c r="AV430" s="181"/>
      <c r="AW430" s="181"/>
    </row>
    <row r="431" spans="1:49" s="30" customFormat="1" ht="15" hidden="1" customHeight="1" x14ac:dyDescent="0.25">
      <c r="A431" s="1507" t="str">
        <f>IF(SD_apply="Yes",IF(COUNTIF('01 - SD'!D431:G431,"Y")&gt;0,"Y",IF(COUNTIF('01 - SD'!D431:G431,"N"),"N","")),"")</f>
        <v>Y</v>
      </c>
      <c r="B431" s="32"/>
      <c r="C431" s="945"/>
      <c r="D431" s="116"/>
      <c r="E431" s="559" t="str">
        <f>IF('C-Design&amp;Const'!$K431="","",'C-Design&amp;Const'!$K431)</f>
        <v>N</v>
      </c>
      <c r="F431" s="458"/>
      <c r="G431" s="506"/>
      <c r="H431" s="362" t="str">
        <f>CONCATENATE(IF(E431="N","PLACEHOLDER ROW - ",""),IF(E431="N","",J431),'C-Design&amp;Const'!Z431,)</f>
        <v xml:space="preserve">PLACEHOLDER ROW - Massing or Renderings of </v>
      </c>
      <c r="I431" s="193"/>
      <c r="J431" s="578" t="str">
        <f>IF('C-Design&amp;Const'!AF431="","",'C-Design&amp;Const'!AF431)</f>
        <v/>
      </c>
      <c r="K431" s="25" t="str">
        <f>IF(DD_apply="Yes",IF((COUNTIF(D431:G431,"Y")=COUNTIF('01 - SD'!D431:G431,"Y")),"match","no SD match"),"-")</f>
        <v>no SD match</v>
      </c>
      <c r="L431" s="1410" t="str">
        <f t="shared" si="22"/>
        <v>&lt;---PM/Planner may hide PLACEHOLDER ROW</v>
      </c>
      <c r="M431" s="1333"/>
      <c r="N431" s="1382"/>
      <c r="O431" s="1382"/>
      <c r="P431" s="1382"/>
      <c r="Q431" s="1382"/>
      <c r="R431" s="1447"/>
      <c r="S431" s="1274"/>
      <c r="T431" s="1274"/>
      <c r="U431" s="1333"/>
      <c r="V431" s="1382"/>
      <c r="W431" s="1382"/>
      <c r="X431" s="1382"/>
      <c r="Y431" s="1382"/>
      <c r="Z431" s="1382"/>
      <c r="AA431" s="1382"/>
      <c r="AB431" s="1382"/>
      <c r="AC431" s="1382"/>
      <c r="AD431" s="1382"/>
      <c r="AE431" s="1382"/>
      <c r="AF431" s="1382"/>
      <c r="AG431" s="1382"/>
      <c r="AH431" s="1382"/>
      <c r="AI431" s="1382"/>
      <c r="AJ431" s="181"/>
      <c r="AK431" s="181"/>
      <c r="AL431" s="181"/>
      <c r="AM431" s="181"/>
      <c r="AN431" s="181"/>
      <c r="AO431" s="181"/>
      <c r="AP431" s="181"/>
      <c r="AQ431" s="181"/>
      <c r="AR431" s="181"/>
      <c r="AS431" s="181"/>
      <c r="AT431" s="181"/>
      <c r="AU431" s="181"/>
      <c r="AV431" s="181"/>
      <c r="AW431" s="181"/>
    </row>
    <row r="432" spans="1:49" s="30" customFormat="1" ht="15" hidden="1" customHeight="1" x14ac:dyDescent="0.25">
      <c r="A432" s="1507" t="str">
        <f>IF(SD_apply="Yes",IF(COUNTIF('01 - SD'!D432:G432,"Y")&gt;0,"Y",IF(COUNTIF('01 - SD'!D432:G432,"N"),"N","")),"")</f>
        <v>Y</v>
      </c>
      <c r="B432" s="32"/>
      <c r="C432" s="945"/>
      <c r="D432" s="116"/>
      <c r="E432" s="473"/>
      <c r="F432" s="559" t="str">
        <f>IF('C-Design&amp;Const'!$K432="","",'C-Design&amp;Const'!$K432)</f>
        <v>N</v>
      </c>
      <c r="G432" s="506"/>
      <c r="H432" s="1632" t="str">
        <f>CONCATENATE(IF(E432="N","PLACEHOLDER ROW - ",""),IF(E432="N","",J432),'C-Design&amp;Const'!Z432,)</f>
        <v>All Exterior Elevations with materials identified</v>
      </c>
      <c r="I432" s="193"/>
      <c r="J432" s="578" t="str">
        <f>IF('C-Design&amp;Const'!AF432="","",'C-Design&amp;Const'!AF432)</f>
        <v/>
      </c>
      <c r="K432" s="25" t="str">
        <f>IF(DD_apply="Yes",IF((COUNTIF(D432:G432,"Y")=COUNTIF('01 - SD'!D432:G432,"Y")),"match","no SD match"),"-")</f>
        <v>no SD match</v>
      </c>
      <c r="L432" s="1410" t="str">
        <f t="shared" si="22"/>
        <v/>
      </c>
      <c r="M432" s="1333"/>
      <c r="N432" s="1382"/>
      <c r="O432" s="1382"/>
      <c r="P432" s="1382"/>
      <c r="Q432" s="1382"/>
      <c r="R432" s="1487"/>
      <c r="S432" s="1274"/>
      <c r="T432" s="1274"/>
      <c r="U432" s="1333"/>
      <c r="V432" s="1382"/>
      <c r="W432" s="1382"/>
      <c r="X432" s="1382"/>
      <c r="Y432" s="1382"/>
      <c r="Z432" s="1382"/>
      <c r="AA432" s="1382"/>
      <c r="AB432" s="1382"/>
      <c r="AC432" s="1382"/>
      <c r="AD432" s="1382"/>
      <c r="AE432" s="1382"/>
      <c r="AF432" s="1382"/>
      <c r="AG432" s="1382"/>
      <c r="AH432" s="1382"/>
      <c r="AI432" s="1382"/>
      <c r="AJ432" s="181"/>
      <c r="AK432" s="181"/>
      <c r="AL432" s="181"/>
      <c r="AM432" s="181"/>
      <c r="AN432" s="181"/>
      <c r="AO432" s="181"/>
      <c r="AP432" s="181"/>
      <c r="AQ432" s="181"/>
      <c r="AR432" s="181"/>
      <c r="AS432" s="181"/>
      <c r="AT432" s="181"/>
      <c r="AU432" s="181"/>
      <c r="AV432" s="181"/>
      <c r="AW432" s="181"/>
    </row>
    <row r="433" spans="1:49" s="30" customFormat="1" ht="15" hidden="1" customHeight="1" x14ac:dyDescent="0.25">
      <c r="A433" s="1507" t="str">
        <f>IF(SD_apply="Yes",IF(COUNTIF('01 - SD'!D433:G433,"Y")&gt;0,"Y",IF(COUNTIF('01 - SD'!D433:G433,"N"),"N","")),"")</f>
        <v>Y</v>
      </c>
      <c r="B433" s="32"/>
      <c r="C433" s="945"/>
      <c r="D433" s="116"/>
      <c r="E433" s="472"/>
      <c r="F433" s="559" t="str">
        <f>IF('C-Design&amp;Const'!$K433="","",'C-Design&amp;Const'!$K433)</f>
        <v>N</v>
      </c>
      <c r="G433" s="506"/>
      <c r="H433" s="1632" t="str">
        <f>CONCATENATE(IF(E433="N","PLACEHOLDER ROW - ",""),IF(E433="N","",J433),'C-Design&amp;Const'!Z433,)</f>
        <v>All major public spaces (entrances, galleries, auditoriums, lecture halls, etc…) with materials identified</v>
      </c>
      <c r="I433" s="193"/>
      <c r="J433" s="578" t="str">
        <f>IF('C-Design&amp;Const'!AF433="","",'C-Design&amp;Const'!AF433)</f>
        <v/>
      </c>
      <c r="K433" s="25" t="str">
        <f>IF(DD_apply="Yes",IF((COUNTIF(D433:G433,"Y")=COUNTIF('01 - SD'!D433:G433,"Y")),"match","no SD match"),"-")</f>
        <v>no SD match</v>
      </c>
      <c r="L433" s="1410" t="str">
        <f t="shared" si="22"/>
        <v/>
      </c>
      <c r="M433" s="1333"/>
      <c r="N433" s="1382"/>
      <c r="O433" s="1382"/>
      <c r="P433" s="1382"/>
      <c r="Q433" s="1382"/>
      <c r="R433" s="1444"/>
      <c r="S433" s="1274"/>
      <c r="T433" s="1274"/>
      <c r="U433" s="1333"/>
      <c r="V433" s="1382"/>
      <c r="W433" s="1382"/>
      <c r="X433" s="1382"/>
      <c r="Y433" s="1382"/>
      <c r="Z433" s="1382"/>
      <c r="AA433" s="1382"/>
      <c r="AB433" s="1382"/>
      <c r="AC433" s="1382"/>
      <c r="AD433" s="1382"/>
      <c r="AE433" s="1382"/>
      <c r="AF433" s="1382"/>
      <c r="AG433" s="1382"/>
      <c r="AH433" s="1382"/>
      <c r="AI433" s="1382"/>
      <c r="AJ433" s="181"/>
      <c r="AK433" s="181"/>
      <c r="AL433" s="181"/>
      <c r="AM433" s="181"/>
      <c r="AN433" s="181"/>
      <c r="AO433" s="181"/>
      <c r="AP433" s="181"/>
      <c r="AQ433" s="181"/>
      <c r="AR433" s="181"/>
      <c r="AS433" s="181"/>
      <c r="AT433" s="181"/>
      <c r="AU433" s="181"/>
      <c r="AV433" s="181"/>
      <c r="AW433" s="181"/>
    </row>
    <row r="434" spans="1:49" s="30" customFormat="1" ht="15" hidden="1" customHeight="1" x14ac:dyDescent="0.25">
      <c r="A434" s="1507" t="str">
        <f>IF(SD_apply="Yes",IF(COUNTIF('01 - SD'!D434:G434,"Y")&gt;0,"Y",IF(COUNTIF('01 - SD'!D434:G434,"N"),"N","")),"")</f>
        <v>Y</v>
      </c>
      <c r="B434" s="32"/>
      <c r="C434" s="945"/>
      <c r="D434" s="116"/>
      <c r="E434" s="559" t="str">
        <f>IF('C-Design&amp;Const'!$K434="","",'C-Design&amp;Const'!$K434)</f>
        <v>N</v>
      </c>
      <c r="F434" s="458"/>
      <c r="G434" s="506"/>
      <c r="H434" s="362" t="str">
        <f>CONCATENATE(IF(E434="N","PLACEHOLDER ROW - ",""),IF(E434="N","",J434),'C-Design&amp;Const'!Z434,)</f>
        <v>PLACEHOLDER ROW - Stacked Floor Plans with space types show by color (include key)</v>
      </c>
      <c r="I434" s="193"/>
      <c r="J434" s="578" t="str">
        <f>IF('C-Design&amp;Const'!AF434="","",'C-Design&amp;Const'!AF434)</f>
        <v/>
      </c>
      <c r="K434" s="25" t="str">
        <f>IF(DD_apply="Yes",IF((COUNTIF(D434:G434,"Y")=COUNTIF('01 - SD'!D434:G434,"Y")),"match","no SD match"),"-")</f>
        <v>no SD match</v>
      </c>
      <c r="L434" s="1410" t="str">
        <f>CONCATENATE(IF(ISNUMBER(SEARCH("Placeholder",H434))=TRUE,"&lt;---PM/Planner may hide PLACEHOLDER ROW",""))</f>
        <v>&lt;---PM/Planner may hide PLACEHOLDER ROW</v>
      </c>
      <c r="M434" s="1333"/>
      <c r="N434" s="1382"/>
      <c r="O434" s="1382"/>
      <c r="P434" s="1382"/>
      <c r="Q434" s="1382"/>
      <c r="R434" s="1447"/>
      <c r="S434" s="1274"/>
      <c r="T434" s="1274"/>
      <c r="U434" s="1333"/>
      <c r="V434" s="1382"/>
      <c r="W434" s="1382"/>
      <c r="X434" s="1382"/>
      <c r="Y434" s="1382"/>
      <c r="Z434" s="1382"/>
      <c r="AA434" s="1382"/>
      <c r="AB434" s="1382"/>
      <c r="AC434" s="1382"/>
      <c r="AD434" s="1382"/>
      <c r="AE434" s="1382"/>
      <c r="AF434" s="1382"/>
      <c r="AG434" s="1382"/>
      <c r="AH434" s="1382"/>
      <c r="AI434" s="1382"/>
      <c r="AJ434" s="181"/>
      <c r="AK434" s="181"/>
      <c r="AL434" s="181"/>
      <c r="AM434" s="181"/>
      <c r="AN434" s="181"/>
      <c r="AO434" s="181"/>
      <c r="AP434" s="181"/>
      <c r="AQ434" s="181"/>
      <c r="AR434" s="181"/>
      <c r="AS434" s="181"/>
      <c r="AT434" s="181"/>
      <c r="AU434" s="181"/>
      <c r="AV434" s="181"/>
      <c r="AW434" s="181"/>
    </row>
    <row r="435" spans="1:49" s="30" customFormat="1" ht="15" hidden="1" customHeight="1" x14ac:dyDescent="0.25">
      <c r="A435" s="1507" t="str">
        <f>IF(SD_apply="Yes",IF(COUNTIF('01 - SD'!D435:G435,"Y")&gt;0,"Y",IF(COUNTIF('01 - SD'!D435:G435,"N"),"N","")),"")</f>
        <v>N</v>
      </c>
      <c r="B435" s="32"/>
      <c r="C435" s="945"/>
      <c r="D435" s="116"/>
      <c r="E435" s="559" t="str">
        <f>IF('C-Design&amp;Const'!$K435="","",'C-Design&amp;Const'!$K435)</f>
        <v>N</v>
      </c>
      <c r="F435" s="458"/>
      <c r="G435" s="506"/>
      <c r="H435" s="362" t="str">
        <f>CONCATENATE(IF(E435="N","PLACEHOLDER ROW - ",""),IF(E435="N","",J435),'C-Design&amp;Const'!Z435,)</f>
        <v>PLACEHOLDER ROW - Simple full building sections showing relative spaces and framing from floor to floor.</v>
      </c>
      <c r="I435" s="193"/>
      <c r="J435" s="578" t="str">
        <f>IF('C-Design&amp;Const'!AF435="","",'C-Design&amp;Const'!AF435)</f>
        <v/>
      </c>
      <c r="K435" s="25" t="str">
        <f>IF(DD_apply="Yes",IF((COUNTIF(D435:G435,"Y")=COUNTIF('01 - SD'!D435:G435,"Y")),"match","no SD match"),"-")</f>
        <v>match</v>
      </c>
      <c r="L435" s="1410" t="str">
        <f t="shared" si="22"/>
        <v>&lt;---PM/Planner may hide PLACEHOLDER ROW</v>
      </c>
      <c r="M435" s="1333"/>
      <c r="N435" s="1382"/>
      <c r="O435" s="1382"/>
      <c r="P435" s="1382"/>
      <c r="Q435" s="1382"/>
      <c r="R435" s="1284"/>
      <c r="S435" s="1274"/>
      <c r="T435" s="1274"/>
      <c r="U435" s="1333"/>
      <c r="V435" s="1382"/>
      <c r="W435" s="1382"/>
      <c r="X435" s="1382"/>
      <c r="Y435" s="1382"/>
      <c r="Z435" s="1382"/>
      <c r="AA435" s="1382"/>
      <c r="AB435" s="1382"/>
      <c r="AC435" s="1382"/>
      <c r="AD435" s="1382"/>
      <c r="AE435" s="1382"/>
      <c r="AF435" s="1382"/>
      <c r="AG435" s="1382"/>
      <c r="AH435" s="1382"/>
      <c r="AI435" s="1382"/>
      <c r="AJ435" s="181"/>
      <c r="AK435" s="181"/>
      <c r="AL435" s="181"/>
      <c r="AM435" s="181"/>
      <c r="AN435" s="181"/>
      <c r="AO435" s="181"/>
      <c r="AP435" s="181"/>
      <c r="AQ435" s="181"/>
      <c r="AR435" s="181"/>
      <c r="AS435" s="181"/>
      <c r="AT435" s="181"/>
      <c r="AU435" s="181"/>
      <c r="AV435" s="181"/>
      <c r="AW435" s="181"/>
    </row>
    <row r="436" spans="1:49" s="30" customFormat="1" ht="15" hidden="1" customHeight="1" x14ac:dyDescent="0.25">
      <c r="A436" s="1507" t="str">
        <f>IF(SD_apply="Yes",IF(COUNTIF('01 - SD'!D436:G436,"Y")&gt;0,"Y",IF(COUNTIF('01 - SD'!D436:G436,"N"),"N","")),"")</f>
        <v>N</v>
      </c>
      <c r="B436" s="32"/>
      <c r="C436" s="945"/>
      <c r="D436" s="116"/>
      <c r="E436" s="559" t="str">
        <f>IF('C-Design&amp;Const'!$K436="","",'C-Design&amp;Const'!$K436)</f>
        <v>N</v>
      </c>
      <c r="F436" s="458"/>
      <c r="G436" s="506"/>
      <c r="H436" s="362" t="str">
        <f>CONCATENATE(IF(E436="N","PLACEHOLDER ROW - ",""),IF(E436="N","",J436),'C-Design&amp;Const'!Z436,)</f>
        <v>PLACEHOLDER ROW - General Air Handling Unit Fan Maps</v>
      </c>
      <c r="I436" s="193"/>
      <c r="J436" s="578" t="str">
        <f>IF('C-Design&amp;Const'!AF436="","",'C-Design&amp;Const'!AF436)</f>
        <v/>
      </c>
      <c r="K436" s="25" t="str">
        <f>IF(DD_apply="Yes",IF((COUNTIF(D436:G436,"Y")=COUNTIF('01 - SD'!D436:G436,"Y")),"match","no SD match"),"-")</f>
        <v>match</v>
      </c>
      <c r="L436" s="1410" t="str">
        <f t="shared" si="22"/>
        <v>&lt;---PM/Planner may hide PLACEHOLDER ROW</v>
      </c>
      <c r="M436" s="1333"/>
      <c r="N436" s="1382"/>
      <c r="O436" s="1382"/>
      <c r="P436" s="1382"/>
      <c r="Q436" s="1382"/>
      <c r="R436" s="1453"/>
      <c r="S436" s="1274"/>
      <c r="T436" s="1274"/>
      <c r="U436" s="1333"/>
      <c r="V436" s="1382"/>
      <c r="W436" s="1382"/>
      <c r="X436" s="1382"/>
      <c r="Y436" s="1382"/>
      <c r="Z436" s="1382"/>
      <c r="AA436" s="1382"/>
      <c r="AB436" s="1382"/>
      <c r="AC436" s="1382"/>
      <c r="AD436" s="1382"/>
      <c r="AE436" s="1382"/>
      <c r="AF436" s="1382"/>
      <c r="AG436" s="1382"/>
      <c r="AH436" s="1382"/>
      <c r="AI436" s="1382"/>
      <c r="AJ436" s="181"/>
      <c r="AK436" s="181"/>
      <c r="AL436" s="181"/>
      <c r="AM436" s="181"/>
      <c r="AN436" s="181"/>
      <c r="AO436" s="181"/>
      <c r="AP436" s="181"/>
      <c r="AQ436" s="181"/>
      <c r="AR436" s="181"/>
      <c r="AS436" s="181"/>
      <c r="AT436" s="181"/>
      <c r="AU436" s="181"/>
      <c r="AV436" s="181"/>
      <c r="AW436" s="181"/>
    </row>
    <row r="437" spans="1:49" s="30" customFormat="1" ht="15" hidden="1" customHeight="1" x14ac:dyDescent="0.25">
      <c r="A437" s="1507" t="str">
        <f>IF(SD_apply="Yes",IF(COUNTIF('01 - SD'!D437:G437,"Y")&gt;0,"Y",IF(COUNTIF('01 - SD'!D437:G437,"N"),"N","")),"")</f>
        <v>Y</v>
      </c>
      <c r="B437" s="32"/>
      <c r="C437" s="945"/>
      <c r="D437" s="116"/>
      <c r="E437" s="559" t="str">
        <f>IF('C-Design&amp;Const'!$K437="","",'C-Design&amp;Const'!$K437)</f>
        <v>N</v>
      </c>
      <c r="F437" s="458"/>
      <c r="G437" s="506"/>
      <c r="H437" s="362" t="str">
        <f>CONCATENATE(IF(E437="N","PLACEHOLDER ROW - ",""),IF(E437="N","",J437),'C-Design&amp;Const'!Z437,)</f>
        <v>PLACEHOLDER ROW - Incorporated Comments from CDAC</v>
      </c>
      <c r="I437" s="193"/>
      <c r="J437" s="578" t="str">
        <f>IF('C-Design&amp;Const'!AF437="","",'C-Design&amp;Const'!AF437)</f>
        <v/>
      </c>
      <c r="K437" s="25" t="str">
        <f>IF(DD_apply="Yes",IF((COUNTIF(D437:G437,"Y")=COUNTIF('01 - SD'!D437:G437,"Y")),"match","no SD match"),"-")</f>
        <v>no SD match</v>
      </c>
      <c r="L437" s="1410" t="str">
        <f t="shared" si="22"/>
        <v>&lt;---PM/Planner may hide PLACEHOLDER ROW</v>
      </c>
      <c r="M437" s="1333"/>
      <c r="N437" s="1382"/>
      <c r="O437" s="1382"/>
      <c r="P437" s="1382"/>
      <c r="Q437" s="1382"/>
      <c r="R437" s="1453"/>
      <c r="S437" s="1274"/>
      <c r="T437" s="1274"/>
      <c r="U437" s="1333"/>
      <c r="V437" s="1382"/>
      <c r="W437" s="1382"/>
      <c r="X437" s="1382"/>
      <c r="Y437" s="1382"/>
      <c r="Z437" s="1382"/>
      <c r="AA437" s="1382"/>
      <c r="AB437" s="1382"/>
      <c r="AC437" s="1382"/>
      <c r="AD437" s="1382"/>
      <c r="AE437" s="1382"/>
      <c r="AF437" s="1382"/>
      <c r="AG437" s="1382"/>
      <c r="AH437" s="1382"/>
      <c r="AI437" s="1382"/>
      <c r="AJ437" s="181"/>
      <c r="AK437" s="181"/>
      <c r="AL437" s="181"/>
      <c r="AM437" s="181"/>
      <c r="AN437" s="181"/>
      <c r="AO437" s="181"/>
      <c r="AP437" s="181"/>
      <c r="AQ437" s="181"/>
      <c r="AR437" s="181"/>
      <c r="AS437" s="181"/>
      <c r="AT437" s="181"/>
      <c r="AU437" s="181"/>
      <c r="AV437" s="181"/>
      <c r="AW437" s="181"/>
    </row>
    <row r="438" spans="1:49" s="30" customFormat="1" ht="15" hidden="1" customHeight="1" x14ac:dyDescent="0.25">
      <c r="A438" s="1507" t="str">
        <f>IF(SD_apply="Yes",IF(COUNTIF('01 - SD'!D438:G438,"Y")&gt;0,"Y",IF(COUNTIF('01 - SD'!D438:G438,"N"),"N","")),"")</f>
        <v>N</v>
      </c>
      <c r="B438" s="32"/>
      <c r="C438" s="945"/>
      <c r="D438" s="116"/>
      <c r="E438" s="559" t="str">
        <f>IF('C-Design&amp;Const'!$K438="","",'C-Design&amp;Const'!$K438)</f>
        <v>N</v>
      </c>
      <c r="F438" s="458"/>
      <c r="G438" s="506"/>
      <c r="H438" s="362" t="str">
        <f>CONCATENATE(IF(E438="N","PLACEHOLDER ROW - ",""),IF(E438="N","",J438),'C-Design&amp;Const'!Z438,)</f>
        <v>PLACEHOLDER ROW - CUSTOM ROW - OPTIONAL CLIENT ITEM</v>
      </c>
      <c r="I438" s="193"/>
      <c r="J438" s="578" t="str">
        <f>IF('C-Design&amp;Const'!AF438="","",'C-Design&amp;Const'!AF438)</f>
        <v/>
      </c>
      <c r="K438" s="25" t="str">
        <f>IF(DD_apply="Yes",IF((COUNTIF(D438:G438,"Y")=COUNTIF('01 - SD'!D438:G438,"Y")),"match","no SD match"),"-")</f>
        <v>match</v>
      </c>
      <c r="L438" s="1410" t="str">
        <f t="shared" si="22"/>
        <v>&lt;---PM/Planner may hide PLACEHOLDER ROW</v>
      </c>
      <c r="M438" s="1333"/>
      <c r="N438" s="1382"/>
      <c r="O438" s="1382"/>
      <c r="P438" s="1382"/>
      <c r="Q438" s="1382"/>
      <c r="R438" s="1453"/>
      <c r="S438" s="1274"/>
      <c r="T438" s="1274"/>
      <c r="U438" s="1333"/>
      <c r="V438" s="1382"/>
      <c r="W438" s="1382"/>
      <c r="X438" s="1382"/>
      <c r="Y438" s="1382"/>
      <c r="Z438" s="1382"/>
      <c r="AA438" s="1382"/>
      <c r="AB438" s="1382"/>
      <c r="AC438" s="1382"/>
      <c r="AD438" s="1382"/>
      <c r="AE438" s="1382"/>
      <c r="AF438" s="1382"/>
      <c r="AG438" s="1382"/>
      <c r="AH438" s="1382"/>
      <c r="AI438" s="1382"/>
      <c r="AJ438" s="181"/>
      <c r="AK438" s="181"/>
      <c r="AL438" s="181"/>
      <c r="AM438" s="181"/>
      <c r="AN438" s="181"/>
      <c r="AO438" s="181"/>
      <c r="AP438" s="181"/>
      <c r="AQ438" s="181"/>
      <c r="AR438" s="181"/>
      <c r="AS438" s="181"/>
      <c r="AT438" s="181"/>
      <c r="AU438" s="181"/>
      <c r="AV438" s="181"/>
      <c r="AW438" s="181"/>
    </row>
    <row r="439" spans="1:49" s="30" customFormat="1" ht="15" hidden="1" customHeight="1" x14ac:dyDescent="0.25">
      <c r="A439" s="1507" t="str">
        <f>IF(SD_apply="Yes",IF(COUNTIF('01 - SD'!D439:G439,"Y")&gt;0,"Y",IF(COUNTIF('01 - SD'!D439:G439,"N"),"N","")),"")</f>
        <v>N</v>
      </c>
      <c r="B439" s="32"/>
      <c r="C439" s="945"/>
      <c r="D439" s="116"/>
      <c r="E439" s="559" t="str">
        <f>IF('C-Design&amp;Const'!$K439="","",'C-Design&amp;Const'!$K439)</f>
        <v>N</v>
      </c>
      <c r="F439" s="458"/>
      <c r="G439" s="506"/>
      <c r="H439" s="362" t="str">
        <f>CONCATENATE(IF(E439="N","PLACEHOLDER ROW - ",""),IF(E439="N","",J439),'C-Design&amp;Const'!Z439,)</f>
        <v>PLACEHOLDER ROW - CUSTOM ROW - OPTIONAL CLIENT ITEM</v>
      </c>
      <c r="I439" s="193"/>
      <c r="J439" s="578" t="str">
        <f>IF('C-Design&amp;Const'!AF439="","",'C-Design&amp;Const'!AF439)</f>
        <v/>
      </c>
      <c r="K439" s="25" t="str">
        <f>IF(DD_apply="Yes",IF((COUNTIF(D439:G439,"Y")=COUNTIF('01 - SD'!D439:G439,"Y")),"match","no SD match"),"-")</f>
        <v>match</v>
      </c>
      <c r="L439" s="1410" t="str">
        <f t="shared" si="22"/>
        <v>&lt;---PM/Planner may hide PLACEHOLDER ROW</v>
      </c>
      <c r="M439" s="1333"/>
      <c r="N439" s="1382"/>
      <c r="O439" s="1382"/>
      <c r="P439" s="1382"/>
      <c r="Q439" s="1382"/>
      <c r="R439" s="1453"/>
      <c r="S439" s="1274"/>
      <c r="T439" s="1274"/>
      <c r="U439" s="1333"/>
      <c r="V439" s="1382"/>
      <c r="W439" s="1382"/>
      <c r="X439" s="1382"/>
      <c r="Y439" s="1382"/>
      <c r="Z439" s="1382"/>
      <c r="AA439" s="1382"/>
      <c r="AB439" s="1382"/>
      <c r="AC439" s="1382"/>
      <c r="AD439" s="1382"/>
      <c r="AE439" s="1382"/>
      <c r="AF439" s="1382"/>
      <c r="AG439" s="1382"/>
      <c r="AH439" s="1382"/>
      <c r="AI439" s="1382"/>
      <c r="AJ439" s="181"/>
      <c r="AK439" s="181"/>
      <c r="AL439" s="181"/>
      <c r="AM439" s="181"/>
      <c r="AN439" s="181"/>
      <c r="AO439" s="181"/>
      <c r="AP439" s="181"/>
      <c r="AQ439" s="181"/>
      <c r="AR439" s="181"/>
      <c r="AS439" s="181"/>
      <c r="AT439" s="181"/>
      <c r="AU439" s="181"/>
      <c r="AV439" s="181"/>
      <c r="AW439" s="181"/>
    </row>
    <row r="440" spans="1:49" s="30" customFormat="1" ht="15" hidden="1" customHeight="1" x14ac:dyDescent="0.25">
      <c r="A440" s="1507" t="str">
        <f>IF(SD_apply="Yes",IF(COUNTIF('01 - SD'!D440:G440,"Y")&gt;0,"Y",IF(COUNTIF('01 - SD'!D440:G440,"N"),"N","")),"")</f>
        <v>N</v>
      </c>
      <c r="B440" s="32"/>
      <c r="C440" s="945"/>
      <c r="D440" s="116"/>
      <c r="E440" s="559" t="str">
        <f>IF('C-Design&amp;Const'!$K440="","",'C-Design&amp;Const'!$K440)</f>
        <v>N</v>
      </c>
      <c r="F440" s="458"/>
      <c r="G440" s="506"/>
      <c r="H440" s="362" t="str">
        <f>CONCATENATE(IF(E440="N","PLACEHOLDER ROW - ",""),IF(E440="N","",J440),'C-Design&amp;Const'!Z440,)</f>
        <v>PLACEHOLDER ROW - CUSTOM ROW - OPTIONAL CLIENT ITEM</v>
      </c>
      <c r="I440" s="193"/>
      <c r="J440" s="578" t="str">
        <f>IF('C-Design&amp;Const'!AF440="","",'C-Design&amp;Const'!AF440)</f>
        <v/>
      </c>
      <c r="K440" s="25" t="str">
        <f>IF(DD_apply="Yes",IF((COUNTIF(D440:G440,"Y")=COUNTIF('01 - SD'!D440:G440,"Y")),"match","no SD match"),"-")</f>
        <v>match</v>
      </c>
      <c r="L440" s="1410" t="str">
        <f t="shared" si="22"/>
        <v>&lt;---PM/Planner may hide PLACEHOLDER ROW</v>
      </c>
      <c r="M440" s="1333"/>
      <c r="N440" s="1382"/>
      <c r="O440" s="1382"/>
      <c r="P440" s="1382"/>
      <c r="Q440" s="1382"/>
      <c r="R440" s="1453"/>
      <c r="S440" s="1274"/>
      <c r="T440" s="1274"/>
      <c r="U440" s="1333"/>
      <c r="V440" s="1382"/>
      <c r="W440" s="1382"/>
      <c r="X440" s="1382"/>
      <c r="Y440" s="1382"/>
      <c r="Z440" s="1382"/>
      <c r="AA440" s="1382"/>
      <c r="AB440" s="1382"/>
      <c r="AC440" s="1382"/>
      <c r="AD440" s="1382"/>
      <c r="AE440" s="1382"/>
      <c r="AF440" s="1382"/>
      <c r="AG440" s="1382"/>
      <c r="AH440" s="1382"/>
      <c r="AI440" s="1382"/>
      <c r="AJ440" s="181"/>
      <c r="AK440" s="181"/>
      <c r="AL440" s="181"/>
      <c r="AM440" s="181"/>
      <c r="AN440" s="181"/>
      <c r="AO440" s="181"/>
      <c r="AP440" s="181"/>
      <c r="AQ440" s="181"/>
      <c r="AR440" s="181"/>
      <c r="AS440" s="181"/>
      <c r="AT440" s="181"/>
      <c r="AU440" s="181"/>
      <c r="AV440" s="181"/>
      <c r="AW440" s="181"/>
    </row>
    <row r="441" spans="1:49" s="30" customFormat="1" ht="15" hidden="1" customHeight="1" x14ac:dyDescent="0.25">
      <c r="A441" s="1507" t="str">
        <f>IF(SD_apply="Yes",IF(COUNTIF('01 - SD'!D441:G441,"Y")&gt;0,"Y",IF(COUNTIF('01 - SD'!D441:G441,"N"),"N","")),"")</f>
        <v>N</v>
      </c>
      <c r="B441" s="32"/>
      <c r="C441" s="945"/>
      <c r="D441" s="116"/>
      <c r="E441" s="559" t="str">
        <f>IF('C-Design&amp;Const'!$K441="","",'C-Design&amp;Const'!$K441)</f>
        <v>N</v>
      </c>
      <c r="F441" s="513"/>
      <c r="G441" s="510"/>
      <c r="H441" s="1634" t="str">
        <f>CONCATENATE(IF(E441="N","PLACEHOLDER ROW - ",""),IF(E441="N","",J441),'C-Design&amp;Const'!Z441,)</f>
        <v>PLACEHOLDER ROW - CUSTOM ROW - OPTIONAL CLIENT ITEM</v>
      </c>
      <c r="I441" s="186"/>
      <c r="J441" s="578" t="str">
        <f>IF('C-Design&amp;Const'!AF441="","",'C-Design&amp;Const'!AF441)</f>
        <v/>
      </c>
      <c r="K441" s="25" t="str">
        <f>IF(DD_apply="Yes",IF((COUNTIF(D441:G441,"Y")=COUNTIF('01 - SD'!D441:G441,"Y")),"match","no SD match"),"-")</f>
        <v>match</v>
      </c>
      <c r="L441" s="1410" t="str">
        <f t="shared" si="22"/>
        <v>&lt;---PM/Planner may hide PLACEHOLDER ROW</v>
      </c>
      <c r="M441" s="1333"/>
      <c r="N441" s="1382"/>
      <c r="O441" s="1382"/>
      <c r="P441" s="1382"/>
      <c r="Q441" s="1382"/>
      <c r="R441" s="1284"/>
      <c r="S441" s="1274"/>
      <c r="T441" s="1274"/>
      <c r="U441" s="1333"/>
      <c r="V441" s="1382"/>
      <c r="W441" s="1382"/>
      <c r="X441" s="1382"/>
      <c r="Y441" s="1382"/>
      <c r="Z441" s="1382"/>
      <c r="AA441" s="1382"/>
      <c r="AB441" s="1382"/>
      <c r="AC441" s="1382"/>
      <c r="AD441" s="1382"/>
      <c r="AE441" s="1382"/>
      <c r="AF441" s="1382"/>
      <c r="AG441" s="1382"/>
      <c r="AH441" s="1382"/>
      <c r="AI441" s="1382"/>
      <c r="AJ441" s="181"/>
      <c r="AK441" s="181"/>
      <c r="AL441" s="181"/>
      <c r="AM441" s="181"/>
      <c r="AN441" s="181"/>
      <c r="AO441" s="181"/>
      <c r="AP441" s="181"/>
      <c r="AQ441" s="181"/>
      <c r="AR441" s="181"/>
      <c r="AS441" s="181"/>
      <c r="AT441" s="181"/>
      <c r="AU441" s="181"/>
      <c r="AV441" s="181"/>
      <c r="AW441" s="181"/>
    </row>
    <row r="442" spans="1:49" s="30" customFormat="1" ht="24" hidden="1" customHeight="1" x14ac:dyDescent="0.25">
      <c r="A442" s="1503" t="str">
        <f>IF(SD_apply="Yes",IF(COUNTIF('01 - SD'!D442:G442,"Y")&gt;0,"Y",IF(COUNTIF('01 - SD'!D442:G442,"N"),"N","")),"")</f>
        <v/>
      </c>
      <c r="B442" s="32"/>
      <c r="C442" s="945"/>
      <c r="D442" s="116"/>
      <c r="E442" s="411"/>
      <c r="F442" s="411"/>
      <c r="G442" s="511"/>
      <c r="H442" s="512" t="str">
        <f>CONCATENATE(IF(E442="N","PLACEHOLDER ROW - ",""),IF(E442="N","",J442),'C-Design&amp;Const'!Z442,)</f>
        <v>**  - For presentations, combine these items on to 1 or 2 total slides.</v>
      </c>
      <c r="I442" s="186"/>
      <c r="J442" s="578" t="str">
        <f>IF('C-Design&amp;Const'!AF442="","",'C-Design&amp;Const'!AF442)</f>
        <v/>
      </c>
      <c r="K442" s="25" t="str">
        <f>IF(DD_apply="Yes",IF((COUNTIF(D442:G442,"Y")=COUNTIF('01 - SD'!D442:G442,"Y")),"match","no SD match"),"-")</f>
        <v>match</v>
      </c>
      <c r="L442" s="1410" t="str">
        <f t="shared" si="22"/>
        <v/>
      </c>
      <c r="M442" s="1333"/>
      <c r="N442" s="1382"/>
      <c r="O442" s="1382"/>
      <c r="P442" s="1382"/>
      <c r="Q442" s="1382"/>
      <c r="R442" s="1284"/>
      <c r="S442" s="1274"/>
      <c r="T442" s="1274"/>
      <c r="U442" s="1333"/>
      <c r="V442" s="1382"/>
      <c r="W442" s="1382"/>
      <c r="X442" s="1382"/>
      <c r="Y442" s="1382"/>
      <c r="Z442" s="1382"/>
      <c r="AA442" s="1382"/>
      <c r="AB442" s="1382"/>
      <c r="AC442" s="1382"/>
      <c r="AD442" s="1382"/>
      <c r="AE442" s="1382"/>
      <c r="AF442" s="1382"/>
      <c r="AG442" s="1382"/>
      <c r="AH442" s="1382"/>
      <c r="AI442" s="1382"/>
      <c r="AJ442" s="181"/>
      <c r="AK442" s="181"/>
      <c r="AL442" s="181"/>
      <c r="AM442" s="181"/>
      <c r="AN442" s="181"/>
      <c r="AO442" s="181"/>
      <c r="AP442" s="181"/>
      <c r="AQ442" s="181"/>
      <c r="AR442" s="181"/>
      <c r="AS442" s="181"/>
      <c r="AT442" s="181"/>
      <c r="AU442" s="181"/>
      <c r="AV442" s="181"/>
      <c r="AW442" s="181"/>
    </row>
    <row r="443" spans="1:49" s="30" customFormat="1" ht="44.25" customHeight="1" x14ac:dyDescent="0.3">
      <c r="A443" s="1503" t="str">
        <f>IF(SD_apply="Yes",IF(COUNTIF('01 - SD'!D443:G443,"Y")&gt;0,"Y",IF(COUNTIF('01 - SD'!D443:G443,"N"),"N","")),"")</f>
        <v>Y</v>
      </c>
      <c r="B443" s="32"/>
      <c r="C443" s="945"/>
      <c r="D443" s="1641" t="str">
        <f>IF('C-Design&amp;Const'!$K443="","",'C-Design&amp;Const'!$K443)</f>
        <v>Y</v>
      </c>
      <c r="E443" s="503"/>
      <c r="F443" s="444"/>
      <c r="G443" s="319" t="str">
        <f>IF('C-Design&amp;Const'!Y443="","",'C-Design&amp;Const'!Y443)</f>
        <v>09.</v>
      </c>
      <c r="H443" s="453" t="str">
        <f>CONCATENATE('C-Design&amp;Const'!Z443,IF(D443="N"," Not Used In This Design Phase",J443))</f>
        <v>Illinois State Historic Preservation Office (ISHPO)</v>
      </c>
      <c r="I443" s="184"/>
      <c r="J443" s="578" t="str">
        <f>IF('C-Design&amp;Const'!AF443="","",'C-Design&amp;Const'!AF443)</f>
        <v/>
      </c>
      <c r="K443" s="25" t="str">
        <f>IF(DD_apply="Yes",IF((COUNTIF(D443:G443,"Y")=COUNTIF('01 - SD'!D443:G443,"Y")),"match","no SD match"),"-")</f>
        <v>match</v>
      </c>
      <c r="L443" s="1410" t="str">
        <f t="shared" si="22"/>
        <v/>
      </c>
      <c r="M443" s="1333"/>
      <c r="N443" s="1382"/>
      <c r="O443" s="1382"/>
      <c r="P443" s="1382"/>
      <c r="Q443" s="1382"/>
      <c r="R443" s="1453"/>
      <c r="S443" s="1448"/>
      <c r="T443" s="1274"/>
      <c r="U443" s="1333"/>
      <c r="V443" s="1333"/>
      <c r="W443" s="1333"/>
      <c r="X443" s="1333"/>
      <c r="Y443" s="1382"/>
      <c r="Z443" s="1382"/>
      <c r="AA443" s="1382"/>
      <c r="AB443" s="1382"/>
      <c r="AC443" s="1382"/>
      <c r="AD443" s="1382"/>
      <c r="AE443" s="1382"/>
      <c r="AF443" s="1382"/>
      <c r="AG443" s="1382"/>
      <c r="AH443" s="1382"/>
      <c r="AI443" s="1382"/>
      <c r="AJ443" s="181"/>
      <c r="AK443" s="181"/>
      <c r="AL443" s="181"/>
      <c r="AM443" s="181"/>
      <c r="AN443" s="181"/>
      <c r="AO443" s="181"/>
      <c r="AP443" s="181"/>
      <c r="AQ443" s="181"/>
      <c r="AR443" s="181"/>
      <c r="AS443" s="181"/>
      <c r="AT443" s="181"/>
      <c r="AU443" s="181"/>
      <c r="AV443" s="181"/>
      <c r="AW443" s="181"/>
    </row>
    <row r="444" spans="1:49" ht="15" customHeight="1" x14ac:dyDescent="0.25">
      <c r="A444" s="1507" t="str">
        <f>IF(SD_apply="Yes",IF(COUNTIF('01 - SD'!D444:G444,"Y")&gt;0,"Y",IF(COUNTIF('01 - SD'!D444:G444,"N"),"N","")),"")</f>
        <v>Y</v>
      </c>
      <c r="B444" s="32"/>
      <c r="C444" s="947"/>
      <c r="D444" s="986"/>
      <c r="E444" s="559" t="str">
        <f>IF('C-Design&amp;Const'!$K444="","",'C-Design&amp;Const'!$K444)</f>
        <v>N</v>
      </c>
      <c r="F444" s="513"/>
      <c r="G444" s="510"/>
      <c r="H444" s="801" t="str">
        <f>CONCATENATE(IF(F444="N","PLACEHOLDER ROW - ",""),'C-Design&amp;Const'!Z444,IF(F444="N","",J444))</f>
        <v>Meeting notes from walk through with ISHPO</v>
      </c>
      <c r="I444" s="184"/>
      <c r="J444" s="578" t="str">
        <f>IF('C-Design&amp;Const'!AF444="","",'C-Design&amp;Const'!AF444)</f>
        <v/>
      </c>
      <c r="K444" s="25" t="str">
        <f>IF(DD_apply="Yes",IF((COUNTIF(D444:G444,"Y")=COUNTIF('01 - SD'!D444:G444,"Y")),"match","no SD match"),"-")</f>
        <v>no SD match</v>
      </c>
      <c r="L444" s="1410" t="str">
        <f t="shared" si="22"/>
        <v/>
      </c>
      <c r="M444" s="1333"/>
      <c r="N444" s="1333"/>
      <c r="O444" s="1333"/>
      <c r="P444" s="1333"/>
      <c r="Q444" s="1333"/>
      <c r="R444" s="1453"/>
      <c r="S444" s="1284"/>
      <c r="T444" s="1284"/>
      <c r="U444" s="1333"/>
      <c r="V444" s="1333"/>
      <c r="W444" s="1333"/>
      <c r="X444" s="1333"/>
      <c r="Y444" s="1333"/>
      <c r="Z444" s="1333"/>
      <c r="AA444" s="1333"/>
      <c r="AB444" s="1333"/>
      <c r="AC444" s="1333"/>
      <c r="AD444" s="1333"/>
      <c r="AE444" s="1333"/>
      <c r="AF444" s="1333"/>
      <c r="AG444" s="1333"/>
      <c r="AH444" s="1333"/>
      <c r="AI444" s="1333"/>
    </row>
    <row r="445" spans="1:49" ht="15" customHeight="1" x14ac:dyDescent="0.25">
      <c r="A445" s="1507" t="str">
        <f>IF(SD_apply="Yes",IF(COUNTIF('01 - SD'!D445:G445,"Y")&gt;0,"Y",IF(COUNTIF('01 - SD'!D445:G445,"N"),"N","")),"")</f>
        <v>Y</v>
      </c>
      <c r="B445" s="32"/>
      <c r="C445" s="947"/>
      <c r="D445" s="986"/>
      <c r="E445" s="559" t="str">
        <f>IF('C-Design&amp;Const'!$K445="","",'C-Design&amp;Const'!$K445)</f>
        <v>N</v>
      </c>
      <c r="F445" s="513"/>
      <c r="G445" s="510"/>
      <c r="H445" s="801" t="str">
        <f>CONCATENATE(IF(F445="N","PLACEHOLDER ROW - ",""),'C-Design&amp;Const'!Z445,IF(F445="N","",J445))</f>
        <v>Narrative on building and historical significance</v>
      </c>
      <c r="I445" s="184"/>
      <c r="J445" s="578" t="str">
        <f>IF('C-Design&amp;Const'!AF445="","",'C-Design&amp;Const'!AF445)</f>
        <v/>
      </c>
      <c r="K445" s="25" t="str">
        <f>IF(DD_apply="Yes",IF((COUNTIF(D445:G445,"Y")=COUNTIF('01 - SD'!D445:G445,"Y")),"match","no SD match"),"-")</f>
        <v>no SD match</v>
      </c>
      <c r="L445" s="1410" t="str">
        <f t="shared" si="22"/>
        <v/>
      </c>
      <c r="M445" s="1333"/>
      <c r="N445" s="1333"/>
      <c r="O445" s="1333"/>
      <c r="P445" s="1333"/>
      <c r="Q445" s="1333"/>
      <c r="R445" s="1453"/>
      <c r="S445" s="1284"/>
      <c r="T445" s="1284"/>
      <c r="U445" s="1333"/>
      <c r="V445" s="1333"/>
      <c r="W445" s="1333"/>
      <c r="X445" s="1333"/>
      <c r="Y445" s="1333"/>
      <c r="Z445" s="1333"/>
      <c r="AA445" s="1333"/>
      <c r="AB445" s="1333"/>
      <c r="AC445" s="1333"/>
      <c r="AD445" s="1333"/>
      <c r="AE445" s="1333"/>
      <c r="AF445" s="1333"/>
      <c r="AG445" s="1333"/>
      <c r="AH445" s="1333"/>
      <c r="AI445" s="1333"/>
    </row>
    <row r="446" spans="1:49" ht="15" customHeight="1" x14ac:dyDescent="0.25">
      <c r="A446" s="1507" t="str">
        <f>IF(SD_apply="Yes",IF(COUNTIF('01 - SD'!D446:G446,"Y")&gt;0,"Y",IF(COUNTIF('01 - SD'!D446:G446,"N"),"N","")),"")</f>
        <v>Y</v>
      </c>
      <c r="B446" s="32"/>
      <c r="C446" s="947"/>
      <c r="D446" s="986"/>
      <c r="E446" s="559" t="str">
        <f>IF('C-Design&amp;Const'!$K446="","",'C-Design&amp;Const'!$K446)</f>
        <v>N</v>
      </c>
      <c r="F446" s="513"/>
      <c r="G446" s="510"/>
      <c r="H446" s="801" t="str">
        <f>CONCATENATE(IF(F446="N","PLACEHOLDER ROW - ",""),'C-Design&amp;Const'!Z446,IF(F446="N","",J446))</f>
        <v>Exterior Photographic Documentation</v>
      </c>
      <c r="I446" s="184"/>
      <c r="J446" s="578" t="str">
        <f>IF('C-Design&amp;Const'!AF446="","",'C-Design&amp;Const'!AF446)</f>
        <v/>
      </c>
      <c r="K446" s="25" t="str">
        <f>IF(DD_apply="Yes",IF((COUNTIF(D446:G446,"Y")=COUNTIF('01 - SD'!D446:G446,"Y")),"match","no SD match"),"-")</f>
        <v>no SD match</v>
      </c>
      <c r="L446" s="1410" t="str">
        <f t="shared" si="22"/>
        <v/>
      </c>
      <c r="M446" s="1333"/>
      <c r="N446" s="1333"/>
      <c r="O446" s="1333"/>
      <c r="P446" s="1333"/>
      <c r="Q446" s="1333"/>
      <c r="R446" s="1453"/>
      <c r="S446" s="1284"/>
      <c r="T446" s="1284"/>
      <c r="U446" s="1333"/>
      <c r="V446" s="1333"/>
      <c r="W446" s="1333"/>
      <c r="X446" s="1333"/>
      <c r="Y446" s="1333"/>
      <c r="Z446" s="1333"/>
      <c r="AA446" s="1333"/>
      <c r="AB446" s="1333"/>
      <c r="AC446" s="1333"/>
      <c r="AD446" s="1333"/>
      <c r="AE446" s="1333"/>
      <c r="AF446" s="1333"/>
      <c r="AG446" s="1333"/>
      <c r="AH446" s="1333"/>
      <c r="AI446" s="1333"/>
    </row>
    <row r="447" spans="1:49" ht="15" customHeight="1" x14ac:dyDescent="0.25">
      <c r="A447" s="1507" t="str">
        <f>IF(SD_apply="Yes",IF(COUNTIF('01 - SD'!D447:G447,"Y")&gt;0,"Y",IF(COUNTIF('01 - SD'!D447:G447,"N"),"N","")),"")</f>
        <v>Y</v>
      </c>
      <c r="C447" s="947"/>
      <c r="D447" s="986"/>
      <c r="E447" s="559" t="str">
        <f>IF('C-Design&amp;Const'!$K447="","",'C-Design&amp;Const'!$K447)</f>
        <v>Y</v>
      </c>
      <c r="F447" s="513"/>
      <c r="G447" s="510"/>
      <c r="H447" s="801" t="str">
        <f>CONCATENATE(IF(F447="N","PLACEHOLDER ROW - ",""),'C-Design&amp;Const'!Z447,IF(F447="N","",J447))</f>
        <v>Exterior preservation drawings</v>
      </c>
      <c r="I447" s="184"/>
      <c r="J447" s="578" t="str">
        <f>IF('C-Design&amp;Const'!AF447="","",'C-Design&amp;Const'!AF447)</f>
        <v/>
      </c>
      <c r="K447" s="25" t="str">
        <f>IF(DD_apply="Yes",IF((COUNTIF(D447:G447,"Y")=COUNTIF('01 - SD'!D447:G447,"Y")),"match","no SD match"),"-")</f>
        <v>match</v>
      </c>
      <c r="L447" s="1410" t="str">
        <f t="shared" si="22"/>
        <v/>
      </c>
      <c r="M447" s="1351"/>
      <c r="N447" s="1333"/>
      <c r="O447" s="1333"/>
      <c r="P447" s="1333"/>
      <c r="Q447" s="1333"/>
      <c r="R447" s="1453"/>
      <c r="S447" s="1488"/>
      <c r="T447" s="1284"/>
      <c r="U447" s="1333"/>
      <c r="V447" s="1333"/>
      <c r="W447" s="1333"/>
      <c r="X447" s="1333"/>
      <c r="Y447" s="1333"/>
      <c r="Z447" s="1333"/>
      <c r="AA447" s="1333"/>
      <c r="AB447" s="1333"/>
      <c r="AC447" s="1333"/>
      <c r="AD447" s="1333"/>
      <c r="AE447" s="1333"/>
      <c r="AF447" s="1333"/>
      <c r="AG447" s="1333"/>
      <c r="AH447" s="1333"/>
      <c r="AI447" s="1333"/>
    </row>
    <row r="448" spans="1:49" ht="15" customHeight="1" x14ac:dyDescent="0.25">
      <c r="A448" s="1507" t="str">
        <f>IF(SD_apply="Yes",IF(COUNTIF('01 - SD'!D448:G448,"Y")&gt;0,"Y",IF(COUNTIF('01 - SD'!D448:G448,"N"),"N","")),"")</f>
        <v>Y</v>
      </c>
      <c r="C448" s="947"/>
      <c r="D448" s="986"/>
      <c r="E448" s="559" t="str">
        <f>IF('C-Design&amp;Const'!$K448="","",'C-Design&amp;Const'!$K448)</f>
        <v>N</v>
      </c>
      <c r="F448" s="513"/>
      <c r="G448" s="510"/>
      <c r="H448" s="801" t="str">
        <f>CONCATENATE(IF(F448="N","PLACEHOLDER ROW - ",""),'C-Design&amp;Const'!Z448,IF(F448="N","",J448))</f>
        <v>Interior Photographic Documentation</v>
      </c>
      <c r="I448" s="184"/>
      <c r="J448" s="578" t="str">
        <f>IF('C-Design&amp;Const'!AF448="","",'C-Design&amp;Const'!AF448)</f>
        <v/>
      </c>
      <c r="K448" s="25" t="str">
        <f>IF(DD_apply="Yes",IF((COUNTIF(D448:G448,"Y")=COUNTIF('01 - SD'!D448:G448,"Y")),"match","no SD match"),"-")</f>
        <v>no SD match</v>
      </c>
      <c r="L448" s="1410" t="str">
        <f t="shared" si="22"/>
        <v/>
      </c>
      <c r="M448" s="1351"/>
      <c r="N448" s="1333"/>
      <c r="O448" s="1333"/>
      <c r="P448" s="1333"/>
      <c r="Q448" s="1333"/>
      <c r="R448" s="1453"/>
      <c r="S448" s="1488"/>
      <c r="T448" s="1284"/>
      <c r="U448" s="1333"/>
      <c r="V448" s="1333"/>
      <c r="W448" s="1333"/>
      <c r="X448" s="1333"/>
      <c r="Y448" s="1333"/>
      <c r="Z448" s="1333"/>
      <c r="AA448" s="1333"/>
      <c r="AB448" s="1333"/>
      <c r="AC448" s="1333"/>
      <c r="AD448" s="1333"/>
      <c r="AE448" s="1333"/>
      <c r="AF448" s="1333"/>
      <c r="AG448" s="1333"/>
      <c r="AH448" s="1333"/>
      <c r="AI448" s="1333"/>
    </row>
    <row r="449" spans="1:49" ht="15" customHeight="1" x14ac:dyDescent="0.25">
      <c r="A449" s="1507" t="str">
        <f>IF(SD_apply="Yes",IF(COUNTIF('01 - SD'!D449:G449,"Y")&gt;0,"Y",IF(COUNTIF('01 - SD'!D449:G449,"N"),"N","")),"")</f>
        <v>Y</v>
      </c>
      <c r="C449" s="947"/>
      <c r="D449" s="986"/>
      <c r="E449" s="559" t="str">
        <f>IF('C-Design&amp;Const'!$K449="","",'C-Design&amp;Const'!$K449)</f>
        <v>Y</v>
      </c>
      <c r="F449" s="513"/>
      <c r="G449" s="510"/>
      <c r="H449" s="801" t="str">
        <f>CONCATENATE(IF(F449="N","PLACEHOLDER ROW - ",""),'C-Design&amp;Const'!Z449,IF(F449="N","",J449))</f>
        <v>Interior preservation drawings</v>
      </c>
      <c r="I449" s="184"/>
      <c r="J449" s="578" t="str">
        <f>IF('C-Design&amp;Const'!AF449="","",'C-Design&amp;Const'!AF449)</f>
        <v/>
      </c>
      <c r="K449" s="25" t="str">
        <f>IF(DD_apply="Yes",IF((COUNTIF(D449:G449,"Y")=COUNTIF('01 - SD'!D449:G449,"Y")),"match","no SD match"),"-")</f>
        <v>match</v>
      </c>
      <c r="L449" s="1410" t="str">
        <f t="shared" si="22"/>
        <v/>
      </c>
      <c r="M449" s="1351"/>
      <c r="N449" s="1333"/>
      <c r="O449" s="1333"/>
      <c r="P449" s="1333"/>
      <c r="Q449" s="1333"/>
      <c r="R449" s="1453"/>
      <c r="S449" s="1488"/>
      <c r="T449" s="1284"/>
      <c r="U449" s="1333"/>
      <c r="V449" s="1333"/>
      <c r="W449" s="1333"/>
      <c r="X449" s="1333"/>
      <c r="Y449" s="1333"/>
      <c r="Z449" s="1333"/>
      <c r="AA449" s="1333"/>
      <c r="AB449" s="1333"/>
      <c r="AC449" s="1333"/>
      <c r="AD449" s="1333"/>
      <c r="AE449" s="1333"/>
      <c r="AF449" s="1333"/>
      <c r="AG449" s="1333"/>
      <c r="AH449" s="1333"/>
      <c r="AI449" s="1333"/>
    </row>
    <row r="450" spans="1:49" ht="15" customHeight="1" x14ac:dyDescent="0.25">
      <c r="A450" s="1507" t="str">
        <f>IF(SD_apply="Yes",IF(COUNTIF('01 - SD'!D450:G450,"Y")&gt;0,"Y",IF(COUNTIF('01 - SD'!D450:G450,"N"),"N","")),"")</f>
        <v>N</v>
      </c>
      <c r="C450" s="947"/>
      <c r="D450" s="986"/>
      <c r="E450" s="559" t="str">
        <f>IF('C-Design&amp;Const'!$K450="","",'C-Design&amp;Const'!$K450)</f>
        <v>N</v>
      </c>
      <c r="F450" s="513"/>
      <c r="G450" s="510"/>
      <c r="H450" s="802" t="str">
        <f>CONCATENATE(IF(F450="N","PLACEHOLDER ROW - ",""),'C-Design&amp;Const'!Z450,IF(F450="N","",J450))</f>
        <v>Historic Illinois Building Survey</v>
      </c>
      <c r="I450" s="184"/>
      <c r="J450" s="578" t="str">
        <f>IF('C-Design&amp;Const'!AF450="","",'C-Design&amp;Const'!AF450)</f>
        <v/>
      </c>
      <c r="K450" s="25" t="str">
        <f>IF(DD_apply="Yes",IF((COUNTIF(D450:G450,"Y")=COUNTIF('01 - SD'!D450:G450,"Y")),"match","no SD match"),"-")</f>
        <v>match</v>
      </c>
      <c r="L450" s="1410" t="str">
        <f t="shared" si="22"/>
        <v/>
      </c>
      <c r="M450" s="1351"/>
      <c r="N450" s="1333"/>
      <c r="O450" s="1333"/>
      <c r="P450" s="1333"/>
      <c r="Q450" s="1333"/>
      <c r="R450" s="1453"/>
      <c r="S450" s="1488"/>
      <c r="T450" s="1284"/>
      <c r="U450" s="1333"/>
      <c r="V450" s="1333"/>
      <c r="W450" s="1333"/>
      <c r="X450" s="1333"/>
      <c r="Y450" s="1333"/>
      <c r="Z450" s="1333"/>
      <c r="AA450" s="1333"/>
      <c r="AB450" s="1333"/>
      <c r="AC450" s="1333"/>
      <c r="AD450" s="1333"/>
      <c r="AE450" s="1333"/>
      <c r="AF450" s="1333"/>
      <c r="AG450" s="1333"/>
      <c r="AH450" s="1333"/>
      <c r="AI450" s="1333"/>
    </row>
    <row r="451" spans="1:49" ht="15" customHeight="1" x14ac:dyDescent="0.25">
      <c r="A451" s="1507" t="str">
        <f>IF(SD_apply="Yes",IF(COUNTIF('01 - SD'!D451:G451,"Y")&gt;0,"Y",IF(COUNTIF('01 - SD'!D451:G451,"N"),"N","")),"")</f>
        <v>N</v>
      </c>
      <c r="C451" s="947"/>
      <c r="D451" s="986"/>
      <c r="E451" s="559" t="str">
        <f>IF('C-Design&amp;Const'!$K451="","",'C-Design&amp;Const'!$K451)</f>
        <v>N</v>
      </c>
      <c r="F451" s="513"/>
      <c r="G451" s="510"/>
      <c r="H451" s="802" t="str">
        <f>CONCATENATE(IF(F451="N","PLACEHOLDER ROW - ",""),'C-Design&amp;Const'!Z451,IF(F451="N","",J451))</f>
        <v>Historic Illinois Engineering Record</v>
      </c>
      <c r="I451" s="184"/>
      <c r="J451" s="578" t="str">
        <f>IF('C-Design&amp;Const'!AF451="","",'C-Design&amp;Const'!AF451)</f>
        <v/>
      </c>
      <c r="K451" s="25" t="str">
        <f>IF(DD_apply="Yes",IF((COUNTIF(D451:G451,"Y")=COUNTIF('01 - SD'!D451:G451,"Y")),"match","no SD match"),"-")</f>
        <v>match</v>
      </c>
      <c r="L451" s="1410" t="str">
        <f t="shared" si="22"/>
        <v/>
      </c>
      <c r="M451" s="1351"/>
      <c r="N451" s="1333"/>
      <c r="O451" s="1333"/>
      <c r="P451" s="1333"/>
      <c r="Q451" s="1333"/>
      <c r="R451" s="1453"/>
      <c r="S451" s="1488"/>
      <c r="T451" s="1284"/>
      <c r="U451" s="1333"/>
      <c r="V451" s="1333"/>
      <c r="W451" s="1333"/>
      <c r="X451" s="1333"/>
      <c r="Y451" s="1333"/>
      <c r="Z451" s="1333"/>
      <c r="AA451" s="1333"/>
      <c r="AB451" s="1333"/>
      <c r="AC451" s="1333"/>
      <c r="AD451" s="1333"/>
      <c r="AE451" s="1333"/>
      <c r="AF451" s="1333"/>
      <c r="AG451" s="1333"/>
      <c r="AH451" s="1333"/>
      <c r="AI451" s="1333"/>
    </row>
    <row r="452" spans="1:49" ht="15" customHeight="1" x14ac:dyDescent="0.25">
      <c r="A452" s="1507" t="str">
        <f>IF(SD_apply="Yes",IF(COUNTIF('01 - SD'!D452:G452,"Y")&gt;0,"Y",IF(COUNTIF('01 - SD'!D452:G452,"N"),"N","")),"")</f>
        <v>N</v>
      </c>
      <c r="C452" s="947"/>
      <c r="D452" s="986"/>
      <c r="E452" s="559" t="str">
        <f>IF('C-Design&amp;Const'!$K452="","",'C-Design&amp;Const'!$K452)</f>
        <v>N</v>
      </c>
      <c r="F452" s="513"/>
      <c r="G452" s="510"/>
      <c r="H452" s="802" t="str">
        <f>CONCATENATE(IF(F452="N","PLACEHOLDER ROW - ",""),'C-Design&amp;Const'!Z452,IF(F452="N","",J452))</f>
        <v>ISHPO item to be determined per project</v>
      </c>
      <c r="I452" s="184"/>
      <c r="J452" s="578" t="str">
        <f>IF('C-Design&amp;Const'!AF452="","",'C-Design&amp;Const'!AF452)</f>
        <v/>
      </c>
      <c r="K452" s="25" t="str">
        <f>IF(DD_apply="Yes",IF((COUNTIF(D452:G452,"Y")=COUNTIF('01 - SD'!D452:G452,"Y")),"match","no SD match"),"-")</f>
        <v>match</v>
      </c>
      <c r="L452" s="1410" t="str">
        <f t="shared" si="22"/>
        <v/>
      </c>
      <c r="M452" s="1351"/>
      <c r="N452" s="1333"/>
      <c r="O452" s="1333"/>
      <c r="P452" s="1333"/>
      <c r="Q452" s="1333"/>
      <c r="R452" s="1453"/>
      <c r="S452" s="1488"/>
      <c r="T452" s="1284"/>
      <c r="U452" s="1333"/>
      <c r="V452" s="1333"/>
      <c r="W452" s="1333"/>
      <c r="X452" s="1333"/>
      <c r="Y452" s="1333"/>
      <c r="Z452" s="1333"/>
      <c r="AA452" s="1333"/>
      <c r="AB452" s="1333"/>
      <c r="AC452" s="1333"/>
      <c r="AD452" s="1333"/>
      <c r="AE452" s="1333"/>
      <c r="AF452" s="1333"/>
      <c r="AG452" s="1333"/>
      <c r="AH452" s="1333"/>
      <c r="AI452" s="1333"/>
    </row>
    <row r="453" spans="1:49" ht="15" customHeight="1" x14ac:dyDescent="0.25">
      <c r="A453" s="1507" t="str">
        <f>IF(SD_apply="Yes",IF(COUNTIF('01 - SD'!D453:G453,"Y")&gt;0,"Y",IF(COUNTIF('01 - SD'!D453:G453,"N"),"N","")),"")</f>
        <v>N</v>
      </c>
      <c r="C453" s="947"/>
      <c r="D453" s="986"/>
      <c r="E453" s="559" t="str">
        <f>IF('C-Design&amp;Const'!$K453="","",'C-Design&amp;Const'!$K453)</f>
        <v>N</v>
      </c>
      <c r="F453" s="513"/>
      <c r="G453" s="510"/>
      <c r="H453" s="802" t="str">
        <f>CONCATENATE(IF(F453="N","PLACEHOLDER ROW - ",""),'C-Design&amp;Const'!Z453,IF(F453="N","",J453))</f>
        <v>ISHPO item to be determined per project</v>
      </c>
      <c r="I453" s="184"/>
      <c r="J453" s="578" t="str">
        <f>IF('C-Design&amp;Const'!AF453="","",'C-Design&amp;Const'!AF453)</f>
        <v/>
      </c>
      <c r="K453" s="25" t="str">
        <f>IF(DD_apply="Yes",IF((COUNTIF(D453:G453,"Y")=COUNTIF('01 - SD'!D453:G453,"Y")),"match","no SD match"),"-")</f>
        <v>match</v>
      </c>
      <c r="L453" s="1410" t="str">
        <f t="shared" si="22"/>
        <v/>
      </c>
      <c r="M453" s="1351"/>
      <c r="N453" s="1333"/>
      <c r="O453" s="1333"/>
      <c r="P453" s="1333"/>
      <c r="Q453" s="1333"/>
      <c r="R453" s="1453"/>
      <c r="S453" s="1488"/>
      <c r="T453" s="1284"/>
      <c r="U453" s="1333"/>
      <c r="V453" s="1333"/>
      <c r="W453" s="1333"/>
      <c r="X453" s="1333"/>
      <c r="Y453" s="1333"/>
      <c r="Z453" s="1333"/>
      <c r="AA453" s="1333"/>
      <c r="AB453" s="1333"/>
      <c r="AC453" s="1333"/>
      <c r="AD453" s="1333"/>
      <c r="AE453" s="1333"/>
      <c r="AF453" s="1333"/>
      <c r="AG453" s="1333"/>
      <c r="AH453" s="1333"/>
      <c r="AI453" s="1333"/>
    </row>
    <row r="454" spans="1:49" ht="14.25" customHeight="1" x14ac:dyDescent="0.25">
      <c r="A454" s="1507" t="str">
        <f>IF(SD_apply="Yes",IF(COUNTIF('01 - SD'!D454:G454,"Y")&gt;0,"Y",IF(COUNTIF('01 - SD'!D454:G454,"N"),"N","")),"")</f>
        <v>N</v>
      </c>
      <c r="C454" s="947"/>
      <c r="D454" s="986"/>
      <c r="E454" s="559" t="str">
        <f>IF('C-Design&amp;Const'!$K454="","",'C-Design&amp;Const'!$K454)</f>
        <v>N</v>
      </c>
      <c r="F454" s="513"/>
      <c r="G454" s="510"/>
      <c r="H454" s="802" t="str">
        <f>CONCATENATE(IF(F454="N","PLACEHOLDER ROW - ",""),'C-Design&amp;Const'!Z454,IF(F454="N","",J454))</f>
        <v>ISHPO item to be determined per project</v>
      </c>
      <c r="I454" s="184"/>
      <c r="J454" s="578" t="str">
        <f>IF('C-Design&amp;Const'!AF454="","",'C-Design&amp;Const'!AF454)</f>
        <v/>
      </c>
      <c r="K454" s="25" t="str">
        <f>IF(DD_apply="Yes",IF((COUNTIF(D454:G454,"Y")=COUNTIF('01 - SD'!D454:G454,"Y")),"match","no SD match"),"-")</f>
        <v>match</v>
      </c>
      <c r="L454" s="1410" t="str">
        <f t="shared" si="22"/>
        <v/>
      </c>
      <c r="M454" s="1351"/>
      <c r="N454" s="1333"/>
      <c r="O454" s="1333"/>
      <c r="P454" s="1333"/>
      <c r="Q454" s="1333"/>
      <c r="R454" s="1453"/>
      <c r="S454" s="1488"/>
      <c r="T454" s="1284"/>
      <c r="U454" s="1333"/>
      <c r="V454" s="1333"/>
      <c r="W454" s="1333"/>
      <c r="X454" s="1333"/>
      <c r="Y454" s="1333"/>
      <c r="Z454" s="1333"/>
      <c r="AA454" s="1333"/>
      <c r="AB454" s="1333"/>
      <c r="AC454" s="1333"/>
      <c r="AD454" s="1333"/>
      <c r="AE454" s="1333"/>
      <c r="AF454" s="1333"/>
      <c r="AG454" s="1333"/>
      <c r="AH454" s="1333"/>
      <c r="AI454" s="1333"/>
    </row>
    <row r="455" spans="1:49" ht="18.75" x14ac:dyDescent="0.25">
      <c r="A455" s="1508" t="str">
        <f>IF(SD_apply="Yes",IF(COUNTIF('01 - SD'!D456:G456,"Y")&gt;0,"Y",IF(COUNTIF('01 - SD'!D456:G456,"N"),"N","")),"")</f>
        <v/>
      </c>
      <c r="B455" s="32"/>
      <c r="C455" s="947"/>
      <c r="D455" s="986"/>
      <c r="E455" s="986"/>
      <c r="F455" s="524"/>
      <c r="G455" s="803"/>
      <c r="H455" s="804"/>
      <c r="I455" s="184"/>
      <c r="J455" s="578" t="str">
        <f>IF('C-Design&amp;Const'!AF455="","",'C-Design&amp;Const'!AF455)</f>
        <v/>
      </c>
      <c r="K455" s="25"/>
      <c r="L455" s="1384"/>
      <c r="M455" s="1333"/>
      <c r="N455" s="1333"/>
      <c r="O455" s="1333"/>
      <c r="P455" s="1333"/>
      <c r="Q455" s="1333"/>
      <c r="R455" s="1453"/>
      <c r="S455" s="1284"/>
      <c r="T455" s="1284"/>
      <c r="U455" s="1333"/>
      <c r="V455" s="1333"/>
      <c r="W455" s="1333"/>
      <c r="X455" s="1333"/>
      <c r="Y455" s="1333"/>
      <c r="Z455" s="1333"/>
      <c r="AA455" s="1333"/>
      <c r="AB455" s="1333"/>
      <c r="AC455" s="1333"/>
      <c r="AD455" s="1333"/>
      <c r="AE455" s="1333"/>
      <c r="AF455" s="1333"/>
      <c r="AG455" s="1333"/>
      <c r="AH455" s="1333"/>
      <c r="AI455" s="1333"/>
    </row>
    <row r="456" spans="1:49" s="30" customFormat="1" x14ac:dyDescent="0.25">
      <c r="A456" s="1407"/>
      <c r="B456" s="1273"/>
      <c r="C456" s="1493"/>
      <c r="D456" s="1415"/>
      <c r="E456" s="1415"/>
      <c r="F456" s="1415"/>
      <c r="G456" s="1494"/>
      <c r="H456" s="1495"/>
      <c r="I456" s="1496"/>
      <c r="J456" s="1274"/>
      <c r="K456" s="1419"/>
      <c r="L456" s="1419"/>
      <c r="M456" s="1419"/>
      <c r="N456" s="1419"/>
      <c r="O456" s="1382"/>
      <c r="P456" s="1382"/>
      <c r="Q456" s="1382"/>
      <c r="R456" s="1453"/>
      <c r="S456" s="1448"/>
      <c r="T456" s="1274"/>
      <c r="U456" s="1333"/>
      <c r="V456" s="1333"/>
      <c r="W456" s="1333"/>
      <c r="X456" s="1333"/>
      <c r="Y456" s="1382"/>
      <c r="Z456" s="1382"/>
      <c r="AA456" s="1382"/>
      <c r="AB456" s="1382"/>
      <c r="AC456" s="1382"/>
      <c r="AD456" s="1382"/>
      <c r="AE456" s="1382"/>
      <c r="AF456" s="1382"/>
      <c r="AG456" s="1382"/>
      <c r="AH456" s="1382"/>
      <c r="AI456" s="1382"/>
      <c r="AJ456" s="181"/>
      <c r="AK456" s="181"/>
      <c r="AL456" s="181"/>
      <c r="AM456" s="181"/>
      <c r="AN456" s="181"/>
      <c r="AO456" s="181"/>
      <c r="AP456" s="181"/>
      <c r="AQ456" s="181"/>
      <c r="AR456" s="181"/>
      <c r="AS456" s="181"/>
      <c r="AT456" s="181"/>
      <c r="AU456" s="181"/>
      <c r="AV456" s="181"/>
      <c r="AW456" s="181"/>
    </row>
    <row r="457" spans="1:49" s="30" customFormat="1" ht="18.75" x14ac:dyDescent="0.25">
      <c r="A457" s="1407"/>
      <c r="B457" s="1273"/>
      <c r="C457" s="1493"/>
      <c r="D457" s="1274"/>
      <c r="E457" s="1274"/>
      <c r="F457" s="1274"/>
      <c r="G457" s="1274"/>
      <c r="H457" s="1274"/>
      <c r="I457" s="1469"/>
      <c r="J457" s="1382"/>
      <c r="K457" s="1419"/>
      <c r="L457" s="1419"/>
      <c r="M457" s="1419"/>
      <c r="N457" s="1419"/>
      <c r="O457" s="1382"/>
      <c r="P457" s="1382"/>
      <c r="Q457" s="1382"/>
      <c r="R457" s="1382"/>
      <c r="S457" s="1382"/>
      <c r="T457" s="1382"/>
      <c r="U457" s="1382"/>
      <c r="V457" s="1382"/>
      <c r="W457" s="1382"/>
      <c r="X457" s="1382"/>
      <c r="Y457" s="1382"/>
      <c r="Z457" s="1382"/>
      <c r="AA457" s="1382"/>
      <c r="AB457" s="1382"/>
      <c r="AC457" s="1382"/>
      <c r="AD457" s="1382"/>
      <c r="AE457" s="1382"/>
      <c r="AF457" s="1382"/>
      <c r="AG457" s="1382"/>
      <c r="AH457" s="1382"/>
      <c r="AI457" s="1382"/>
      <c r="AJ457" s="181"/>
      <c r="AK457" s="181"/>
      <c r="AL457" s="181"/>
      <c r="AM457" s="181"/>
      <c r="AN457" s="181"/>
      <c r="AO457" s="181"/>
      <c r="AP457" s="181"/>
      <c r="AQ457" s="181"/>
      <c r="AR457" s="181"/>
      <c r="AS457" s="181"/>
      <c r="AT457" s="181"/>
      <c r="AU457" s="181"/>
      <c r="AV457" s="181"/>
      <c r="AW457" s="181"/>
    </row>
    <row r="458" spans="1:49" s="30" customFormat="1" ht="15" customHeight="1" x14ac:dyDescent="0.25">
      <c r="A458" s="1407"/>
      <c r="B458" s="1273"/>
      <c r="C458" s="1493"/>
      <c r="D458" s="1274"/>
      <c r="E458" s="1274"/>
      <c r="F458" s="1274"/>
      <c r="G458" s="1274"/>
      <c r="H458" s="1274"/>
      <c r="I458" s="1469"/>
      <c r="J458" s="1382"/>
      <c r="K458" s="1419"/>
      <c r="L458" s="1419"/>
      <c r="M458" s="1419"/>
      <c r="N458" s="1419"/>
      <c r="O458" s="1382"/>
      <c r="P458" s="1382"/>
      <c r="Q458" s="1382"/>
      <c r="R458" s="1382"/>
      <c r="S458" s="1382"/>
      <c r="T458" s="1382"/>
      <c r="U458" s="1382"/>
      <c r="V458" s="1382"/>
      <c r="W458" s="1382"/>
      <c r="X458" s="1382"/>
      <c r="Y458" s="1382"/>
      <c r="Z458" s="1382"/>
      <c r="AA458" s="1382"/>
      <c r="AB458" s="1382"/>
      <c r="AC458" s="1382"/>
      <c r="AD458" s="1382"/>
      <c r="AE458" s="1382"/>
      <c r="AF458" s="1382"/>
      <c r="AG458" s="1382"/>
      <c r="AH458" s="1382"/>
      <c r="AI458" s="1382"/>
      <c r="AJ458" s="181"/>
      <c r="AK458" s="181"/>
      <c r="AL458" s="181"/>
      <c r="AM458" s="181"/>
      <c r="AN458" s="181"/>
      <c r="AO458" s="181"/>
      <c r="AP458" s="181"/>
      <c r="AQ458" s="181"/>
      <c r="AR458" s="181"/>
      <c r="AS458" s="181"/>
      <c r="AT458" s="181"/>
      <c r="AU458" s="181"/>
      <c r="AV458" s="181"/>
      <c r="AW458" s="181"/>
    </row>
    <row r="459" spans="1:49" s="30" customFormat="1" ht="15" customHeight="1" x14ac:dyDescent="0.25">
      <c r="A459" s="1407"/>
      <c r="B459" s="1273"/>
      <c r="C459" s="1493"/>
      <c r="D459" s="1274"/>
      <c r="E459" s="1274"/>
      <c r="F459" s="1274"/>
      <c r="G459" s="1274"/>
      <c r="H459" s="1274"/>
      <c r="I459" s="1469"/>
      <c r="J459" s="1382"/>
      <c r="K459" s="1419"/>
      <c r="L459" s="1419"/>
      <c r="M459" s="1419"/>
      <c r="N459" s="1419"/>
      <c r="O459" s="1382"/>
      <c r="P459" s="1382"/>
      <c r="Q459" s="1382"/>
      <c r="R459" s="1382"/>
      <c r="S459" s="1382"/>
      <c r="T459" s="1382"/>
      <c r="U459" s="1382"/>
      <c r="V459" s="1382"/>
      <c r="W459" s="1382"/>
      <c r="X459" s="1382"/>
      <c r="Y459" s="1382"/>
      <c r="Z459" s="1382"/>
      <c r="AA459" s="1382"/>
      <c r="AB459" s="1382"/>
      <c r="AC459" s="1382"/>
      <c r="AD459" s="1382"/>
      <c r="AE459" s="1382"/>
      <c r="AF459" s="1382"/>
      <c r="AG459" s="1382"/>
      <c r="AH459" s="1382"/>
      <c r="AI459" s="1382"/>
      <c r="AJ459" s="181"/>
      <c r="AK459" s="181"/>
      <c r="AL459" s="181"/>
      <c r="AM459" s="181"/>
      <c r="AN459" s="181"/>
      <c r="AO459" s="181"/>
      <c r="AP459" s="181"/>
      <c r="AQ459" s="181"/>
      <c r="AR459" s="181"/>
      <c r="AS459" s="181"/>
      <c r="AT459" s="181"/>
      <c r="AU459" s="181"/>
      <c r="AV459" s="181"/>
      <c r="AW459" s="181"/>
    </row>
    <row r="460" spans="1:49" ht="5.25" customHeight="1" x14ac:dyDescent="0.25">
      <c r="A460" s="1331"/>
      <c r="B460" s="1405"/>
      <c r="C460" s="1497"/>
      <c r="D460" s="1474"/>
      <c r="E460" s="1474"/>
      <c r="F460" s="1474"/>
      <c r="G460" s="1498"/>
      <c r="H460" s="1369"/>
      <c r="I460" s="1406"/>
      <c r="J460" s="1284"/>
      <c r="K460" s="1419"/>
      <c r="L460" s="1333"/>
      <c r="M460" s="1333"/>
      <c r="N460" s="1351"/>
      <c r="O460" s="1333"/>
      <c r="P460" s="1333"/>
      <c r="Q460" s="1333"/>
      <c r="R460" s="1453"/>
      <c r="S460" s="1284"/>
      <c r="T460" s="1284"/>
      <c r="U460" s="1333"/>
      <c r="V460" s="1333"/>
      <c r="W460" s="1333"/>
      <c r="X460" s="1333"/>
      <c r="Y460" s="1333"/>
      <c r="Z460" s="1333"/>
      <c r="AA460" s="1333"/>
      <c r="AB460" s="1333"/>
      <c r="AC460" s="1333"/>
      <c r="AD460" s="1333"/>
      <c r="AE460" s="1333"/>
      <c r="AF460" s="1333"/>
      <c r="AG460" s="1333"/>
      <c r="AH460" s="1333"/>
      <c r="AI460" s="1333"/>
    </row>
    <row r="461" spans="1:49" x14ac:dyDescent="0.25">
      <c r="A461" s="1370"/>
      <c r="B461" s="1285"/>
      <c r="C461" s="1284"/>
      <c r="D461" s="1364"/>
      <c r="E461" s="1364"/>
      <c r="F461" s="1364"/>
      <c r="G461" s="1499"/>
      <c r="H461" s="1333"/>
      <c r="I461" s="1351"/>
      <c r="J461" s="1284"/>
      <c r="K461" s="1419"/>
      <c r="L461" s="1392"/>
      <c r="M461" s="1374"/>
      <c r="N461" s="1351"/>
      <c r="O461" s="1333"/>
      <c r="P461" s="1333"/>
      <c r="Q461" s="1333"/>
      <c r="R461" s="1453"/>
      <c r="S461" s="1445"/>
      <c r="T461" s="1284"/>
      <c r="U461" s="1333"/>
      <c r="V461" s="1333"/>
      <c r="W461" s="1333"/>
      <c r="X461" s="1333"/>
      <c r="Y461" s="1333"/>
      <c r="Z461" s="1333"/>
      <c r="AA461" s="1333"/>
      <c r="AB461" s="1333"/>
      <c r="AC461" s="1333"/>
      <c r="AD461" s="1333"/>
      <c r="AE461" s="1333"/>
      <c r="AF461" s="1333"/>
      <c r="AG461" s="1333"/>
      <c r="AH461" s="1333"/>
      <c r="AI461" s="1333"/>
    </row>
    <row r="462" spans="1:49" x14ac:dyDescent="0.25">
      <c r="A462" s="1342"/>
      <c r="B462" s="1284"/>
      <c r="C462" s="1284"/>
      <c r="D462" s="1364"/>
      <c r="E462" s="1364"/>
      <c r="F462" s="1364"/>
      <c r="G462" s="1499"/>
      <c r="H462" s="1333"/>
      <c r="I462" s="1333"/>
      <c r="J462" s="1284"/>
      <c r="K462" s="1419"/>
      <c r="L462" s="1358"/>
      <c r="M462" s="1351"/>
      <c r="N462" s="1333"/>
      <c r="O462" s="1333"/>
      <c r="P462" s="1333"/>
      <c r="Q462" s="1333"/>
      <c r="R462" s="1453"/>
      <c r="S462" s="1488"/>
      <c r="T462" s="1284"/>
      <c r="U462" s="1333"/>
      <c r="V462" s="1333"/>
      <c r="W462" s="1333"/>
      <c r="X462" s="1333"/>
      <c r="Y462" s="1333"/>
      <c r="Z462" s="1333"/>
      <c r="AA462" s="1333"/>
      <c r="AB462" s="1333"/>
      <c r="AC462" s="1333"/>
      <c r="AD462" s="1333"/>
      <c r="AE462" s="1333"/>
      <c r="AF462" s="1333"/>
      <c r="AG462" s="1333"/>
      <c r="AH462" s="1333"/>
      <c r="AI462" s="1333"/>
    </row>
    <row r="463" spans="1:49" x14ac:dyDescent="0.25">
      <c r="A463" s="1342"/>
      <c r="B463" s="1284"/>
      <c r="C463" s="1287" t="str">
        <f ca="1">CONCATENATE("UIUC Template Change Log hidden below for TAB [",MID(CELL("filename",C16),FIND("]",CELL("filename",C16))+1,255),"] :")</f>
        <v>UIUC Template Change Log hidden below for TAB [02 - DD] :</v>
      </c>
      <c r="D463" s="1364"/>
      <c r="E463" s="1364"/>
      <c r="F463" s="1364"/>
      <c r="G463" s="1499"/>
      <c r="H463" s="1333"/>
      <c r="I463" s="1333"/>
      <c r="J463" s="1284"/>
      <c r="K463" s="1419"/>
      <c r="L463" s="1358"/>
      <c r="M463" s="1351"/>
      <c r="N463" s="1333"/>
      <c r="O463" s="1333"/>
      <c r="P463" s="1333"/>
      <c r="Q463" s="1333"/>
      <c r="R463" s="1453"/>
      <c r="S463" s="1284"/>
      <c r="T463" s="1284"/>
      <c r="U463" s="1333"/>
      <c r="V463" s="1333"/>
      <c r="W463" s="1333"/>
      <c r="X463" s="1333"/>
      <c r="Y463" s="1333"/>
      <c r="Z463" s="1333"/>
      <c r="AA463" s="1333"/>
      <c r="AB463" s="1333"/>
      <c r="AC463" s="1333"/>
      <c r="AD463" s="1333"/>
      <c r="AE463" s="1333"/>
      <c r="AF463" s="1333"/>
      <c r="AG463" s="1333"/>
      <c r="AH463" s="1333"/>
      <c r="AI463" s="1333"/>
    </row>
    <row r="464" spans="1:49" x14ac:dyDescent="0.25">
      <c r="A464" s="1342"/>
      <c r="B464" s="1284"/>
      <c r="C464" s="1284"/>
      <c r="D464" s="1364"/>
      <c r="E464" s="1364"/>
      <c r="F464" s="1364"/>
      <c r="G464" s="1499"/>
      <c r="H464" s="1333"/>
      <c r="I464" s="1333"/>
      <c r="J464" s="1284"/>
      <c r="K464" s="1419"/>
      <c r="L464" s="1358"/>
      <c r="M464" s="1333"/>
      <c r="N464" s="1333"/>
      <c r="O464" s="1333"/>
      <c r="P464" s="1333"/>
      <c r="Q464" s="1333"/>
      <c r="R464" s="1453"/>
      <c r="S464" s="1284"/>
      <c r="T464" s="1284"/>
      <c r="U464" s="1333"/>
      <c r="V464" s="1333"/>
      <c r="W464" s="1333"/>
      <c r="X464" s="1333"/>
      <c r="Y464" s="1333"/>
      <c r="Z464" s="1333"/>
      <c r="AA464" s="1333"/>
      <c r="AB464" s="1333"/>
      <c r="AC464" s="1333"/>
      <c r="AD464" s="1333"/>
      <c r="AE464" s="1333"/>
      <c r="AF464" s="1333"/>
      <c r="AG464" s="1333"/>
      <c r="AH464" s="1333"/>
      <c r="AI464" s="1333"/>
    </row>
    <row r="465" spans="1:49" hidden="1" x14ac:dyDescent="0.25">
      <c r="A465" s="1342"/>
      <c r="B465" s="1284"/>
      <c r="C465" s="2062">
        <v>42486</v>
      </c>
      <c r="D465" s="2062"/>
      <c r="E465" s="2062"/>
      <c r="F465" s="1297"/>
      <c r="G465" s="1297" t="s">
        <v>639</v>
      </c>
      <c r="H465" s="1333"/>
      <c r="I465" s="1333"/>
      <c r="J465" s="1284"/>
      <c r="K465" s="1419"/>
      <c r="L465" s="1358"/>
      <c r="M465" s="1333"/>
      <c r="N465" s="1333"/>
      <c r="O465" s="1333"/>
      <c r="P465" s="1333"/>
      <c r="Q465" s="1333"/>
      <c r="R465" s="1453"/>
      <c r="S465" s="1284"/>
      <c r="T465" s="1284"/>
      <c r="U465" s="1333"/>
      <c r="V465" s="1333"/>
      <c r="W465" s="1333"/>
      <c r="X465" s="1333"/>
      <c r="Y465" s="1333"/>
      <c r="Z465" s="1333"/>
      <c r="AA465" s="1333"/>
      <c r="AB465" s="1333"/>
      <c r="AC465" s="1333"/>
      <c r="AD465" s="1333"/>
      <c r="AE465" s="1333"/>
      <c r="AF465" s="1333"/>
      <c r="AG465" s="1333"/>
      <c r="AH465" s="1333"/>
      <c r="AI465" s="1333"/>
    </row>
    <row r="466" spans="1:49" hidden="1" x14ac:dyDescent="0.25">
      <c r="A466" s="1342"/>
      <c r="B466" s="1284"/>
      <c r="C466" s="2062"/>
      <c r="D466" s="2062"/>
      <c r="E466" s="2062"/>
      <c r="F466" s="1297"/>
      <c r="G466" s="1297" t="s">
        <v>675</v>
      </c>
      <c r="H466" s="1333"/>
      <c r="I466" s="1333"/>
      <c r="J466" s="1284"/>
      <c r="K466" s="1419"/>
      <c r="L466" s="1358"/>
      <c r="M466" s="1333"/>
      <c r="N466" s="1333"/>
      <c r="O466" s="1333"/>
      <c r="P466" s="1333"/>
      <c r="Q466" s="1333"/>
      <c r="R466" s="1453"/>
      <c r="S466" s="1284"/>
      <c r="T466" s="1284"/>
      <c r="U466" s="1333"/>
      <c r="V466" s="1333"/>
      <c r="W466" s="1333"/>
      <c r="X466" s="1333"/>
      <c r="Y466" s="1333"/>
      <c r="Z466" s="1333"/>
      <c r="AA466" s="1333"/>
      <c r="AB466" s="1333"/>
      <c r="AC466" s="1333"/>
      <c r="AD466" s="1333"/>
      <c r="AE466" s="1333"/>
      <c r="AF466" s="1333"/>
      <c r="AG466" s="1333"/>
      <c r="AH466" s="1333"/>
      <c r="AI466" s="1333"/>
      <c r="AV466"/>
      <c r="AW466"/>
    </row>
    <row r="467" spans="1:49" hidden="1" x14ac:dyDescent="0.25">
      <c r="A467" s="1331"/>
      <c r="B467" s="1284"/>
      <c r="C467" s="1291"/>
      <c r="D467" s="1284"/>
      <c r="E467" s="1303"/>
      <c r="F467" s="1364"/>
      <c r="G467" s="1297" t="s">
        <v>680</v>
      </c>
      <c r="H467" s="1333"/>
      <c r="I467" s="1333"/>
      <c r="J467" s="1284"/>
      <c r="K467" s="1419"/>
      <c r="L467" s="1333"/>
      <c r="M467" s="1333"/>
      <c r="N467" s="1333"/>
      <c r="O467" s="1333"/>
      <c r="P467" s="1333"/>
      <c r="Q467" s="1333"/>
      <c r="R467" s="1453"/>
      <c r="S467" s="1284"/>
      <c r="T467" s="1284"/>
      <c r="U467" s="1333"/>
      <c r="V467" s="1333"/>
      <c r="W467" s="1333"/>
      <c r="X467" s="1333"/>
      <c r="Y467" s="1333"/>
      <c r="Z467" s="1333"/>
      <c r="AA467" s="1333"/>
      <c r="AB467" s="1333"/>
      <c r="AC467" s="1333"/>
      <c r="AD467" s="1333"/>
      <c r="AE467" s="1333"/>
      <c r="AF467" s="1333"/>
      <c r="AG467" s="1333"/>
      <c r="AH467" s="1333"/>
      <c r="AI467" s="1333"/>
    </row>
    <row r="468" spans="1:49" hidden="1" x14ac:dyDescent="0.25">
      <c r="A468" s="1331"/>
      <c r="B468" s="1284"/>
      <c r="C468" s="1284"/>
      <c r="D468" s="1364"/>
      <c r="E468" s="1364"/>
      <c r="F468" s="1364"/>
      <c r="G468" s="1499"/>
      <c r="H468" s="1333"/>
      <c r="I468" s="1333"/>
      <c r="J468" s="1284"/>
      <c r="K468" s="1419"/>
      <c r="L468" s="1333"/>
      <c r="M468" s="1333"/>
      <c r="N468" s="1333"/>
      <c r="O468" s="1333"/>
      <c r="P468" s="1333"/>
      <c r="Q468" s="1333"/>
      <c r="R468" s="1453"/>
      <c r="S468" s="1284"/>
      <c r="T468" s="1284"/>
      <c r="U468" s="1333"/>
      <c r="V468" s="1333"/>
      <c r="W468" s="1333"/>
      <c r="X468" s="1333"/>
      <c r="Y468" s="1333"/>
      <c r="Z468" s="1333"/>
      <c r="AA468" s="1333"/>
      <c r="AB468" s="1333"/>
      <c r="AC468" s="1333"/>
      <c r="AD468" s="1333"/>
      <c r="AE468" s="1333"/>
      <c r="AF468" s="1333"/>
      <c r="AG468" s="1333"/>
      <c r="AH468" s="1333"/>
      <c r="AI468" s="1333"/>
    </row>
    <row r="469" spans="1:49" hidden="1" x14ac:dyDescent="0.25">
      <c r="A469" s="1331"/>
      <c r="B469" s="1284"/>
      <c r="C469" s="2062">
        <v>42490</v>
      </c>
      <c r="D469" s="2062"/>
      <c r="E469" s="2062"/>
      <c r="F469" s="1297"/>
      <c r="G469" s="1297" t="s">
        <v>684</v>
      </c>
      <c r="H469" s="1333"/>
      <c r="I469" s="1333"/>
      <c r="J469" s="1284"/>
      <c r="K469" s="1419"/>
      <c r="L469" s="1333"/>
      <c r="M469" s="1333"/>
      <c r="N469" s="1333"/>
      <c r="O469" s="1333"/>
      <c r="P469" s="1333"/>
      <c r="Q469" s="1333"/>
      <c r="R469" s="1453"/>
      <c r="S469" s="1489"/>
      <c r="T469" s="1284"/>
      <c r="U469" s="1333"/>
      <c r="V469" s="1333"/>
      <c r="W469" s="1333"/>
      <c r="X469" s="1333"/>
      <c r="Y469" s="1333"/>
      <c r="Z469" s="1333"/>
      <c r="AA469" s="1333"/>
      <c r="AB469" s="1333"/>
      <c r="AC469" s="1333"/>
      <c r="AD469" s="1333"/>
      <c r="AE469" s="1333"/>
      <c r="AF469" s="1333"/>
      <c r="AG469" s="1333"/>
      <c r="AH469" s="1333"/>
      <c r="AI469" s="1333"/>
    </row>
    <row r="470" spans="1:49" hidden="1" x14ac:dyDescent="0.25">
      <c r="A470" s="1331"/>
      <c r="B470" s="1284"/>
      <c r="C470" s="1291"/>
      <c r="D470" s="1284"/>
      <c r="E470" s="1303"/>
      <c r="F470" s="1364"/>
      <c r="G470" s="1291" t="s">
        <v>688</v>
      </c>
      <c r="H470" s="1333"/>
      <c r="I470" s="1333"/>
      <c r="J470" s="1284"/>
      <c r="K470" s="1419"/>
      <c r="L470" s="1333"/>
      <c r="M470" s="1333"/>
      <c r="N470" s="1333"/>
      <c r="O470" s="1333"/>
      <c r="P470" s="1333"/>
      <c r="Q470" s="1333"/>
      <c r="R470" s="1453"/>
      <c r="S470" s="1284"/>
      <c r="T470" s="1284"/>
      <c r="U470" s="1333"/>
      <c r="V470" s="1333"/>
      <c r="W470" s="1333"/>
      <c r="X470" s="1333"/>
      <c r="Y470" s="1333"/>
      <c r="Z470" s="1333"/>
      <c r="AA470" s="1333"/>
      <c r="AB470" s="1333"/>
      <c r="AC470" s="1333"/>
      <c r="AD470" s="1333"/>
      <c r="AE470" s="1333"/>
      <c r="AF470" s="1333"/>
      <c r="AG470" s="1333"/>
      <c r="AH470" s="1333"/>
      <c r="AI470" s="1333"/>
    </row>
    <row r="471" spans="1:49" hidden="1" x14ac:dyDescent="0.25">
      <c r="A471" s="1331"/>
      <c r="B471" s="1284"/>
      <c r="C471" s="1291"/>
      <c r="D471" s="1284"/>
      <c r="E471" s="1303"/>
      <c r="F471" s="1364"/>
      <c r="G471" s="1291" t="s">
        <v>689</v>
      </c>
      <c r="H471" s="1333"/>
      <c r="I471" s="1333"/>
      <c r="J471" s="1284"/>
      <c r="K471" s="1419"/>
      <c r="L471" s="1333"/>
      <c r="M471" s="1333"/>
      <c r="N471" s="1333"/>
      <c r="O471" s="1333"/>
      <c r="P471" s="1333"/>
      <c r="Q471" s="1333"/>
      <c r="R471" s="1453"/>
      <c r="S471" s="1284"/>
      <c r="T471" s="1284"/>
      <c r="U471" s="1333"/>
      <c r="V471" s="1333"/>
      <c r="W471" s="1333"/>
      <c r="X471" s="1333"/>
      <c r="Y471" s="1333"/>
      <c r="Z471" s="1333"/>
      <c r="AA471" s="1333"/>
      <c r="AB471" s="1333"/>
      <c r="AC471" s="1333"/>
      <c r="AD471" s="1333"/>
      <c r="AE471" s="1333"/>
      <c r="AF471" s="1333"/>
      <c r="AG471" s="1333"/>
      <c r="AH471" s="1333"/>
      <c r="AI471" s="1333"/>
    </row>
    <row r="472" spans="1:49" hidden="1" x14ac:dyDescent="0.25">
      <c r="A472" s="1331"/>
      <c r="B472" s="1284"/>
      <c r="C472" s="1291"/>
      <c r="D472" s="1284"/>
      <c r="E472" s="1303"/>
      <c r="F472" s="1364"/>
      <c r="G472" s="1291"/>
      <c r="H472" s="1333"/>
      <c r="I472" s="1333"/>
      <c r="J472" s="1284"/>
      <c r="K472" s="1419"/>
      <c r="L472" s="1333"/>
      <c r="M472" s="1333"/>
      <c r="N472" s="1333"/>
      <c r="O472" s="1333"/>
      <c r="P472" s="1333"/>
      <c r="Q472" s="1333"/>
      <c r="R472" s="1453"/>
      <c r="S472" s="1284"/>
      <c r="T472" s="1284"/>
      <c r="U472" s="1333"/>
      <c r="V472" s="1333"/>
      <c r="W472" s="1333"/>
      <c r="X472" s="1333"/>
      <c r="Y472" s="1333"/>
      <c r="Z472" s="1333"/>
      <c r="AA472" s="1333"/>
      <c r="AB472" s="1333"/>
      <c r="AC472" s="1333"/>
      <c r="AD472" s="1333"/>
      <c r="AE472" s="1333"/>
      <c r="AF472" s="1333"/>
      <c r="AG472" s="1333"/>
      <c r="AH472" s="1333"/>
      <c r="AI472" s="1333"/>
    </row>
    <row r="473" spans="1:49" hidden="1" x14ac:dyDescent="0.25">
      <c r="A473" s="1331"/>
      <c r="B473" s="1284"/>
      <c r="C473" s="2062">
        <v>42492</v>
      </c>
      <c r="D473" s="2062"/>
      <c r="E473" s="2062"/>
      <c r="F473" s="1297"/>
      <c r="G473" s="1297" t="s">
        <v>695</v>
      </c>
      <c r="H473" s="1333"/>
      <c r="I473" s="1333"/>
      <c r="J473" s="1284"/>
      <c r="K473" s="1419"/>
      <c r="L473" s="1333"/>
      <c r="M473" s="1333"/>
      <c r="N473" s="1333"/>
      <c r="O473" s="1333"/>
      <c r="P473" s="1333"/>
      <c r="Q473" s="1333"/>
      <c r="R473" s="1453"/>
      <c r="S473" s="1284"/>
      <c r="T473" s="1284"/>
      <c r="U473" s="1333"/>
      <c r="V473" s="1333"/>
      <c r="W473" s="1333"/>
      <c r="X473" s="1333"/>
      <c r="Y473" s="1333"/>
      <c r="Z473" s="1333"/>
      <c r="AA473" s="1333"/>
      <c r="AB473" s="1333"/>
      <c r="AC473" s="1333"/>
      <c r="AD473" s="1333"/>
      <c r="AE473" s="1333"/>
      <c r="AF473" s="1333"/>
      <c r="AG473" s="1333"/>
      <c r="AH473" s="1333"/>
      <c r="AI473" s="1333"/>
    </row>
    <row r="474" spans="1:49" hidden="1" x14ac:dyDescent="0.25">
      <c r="A474" s="1331"/>
      <c r="B474" s="1284"/>
      <c r="C474" s="1291"/>
      <c r="D474" s="1284"/>
      <c r="E474" s="1291"/>
      <c r="F474" s="1284"/>
      <c r="G474" s="1291"/>
      <c r="H474" s="1284"/>
      <c r="I474" s="1333"/>
      <c r="J474" s="1284"/>
      <c r="K474" s="1419"/>
      <c r="L474" s="1333"/>
      <c r="M474" s="1333"/>
      <c r="N474" s="1333"/>
      <c r="O474" s="1333"/>
      <c r="P474" s="1333"/>
      <c r="Q474" s="1333"/>
      <c r="R474" s="1284"/>
      <c r="S474" s="1284"/>
      <c r="T474" s="1284"/>
      <c r="U474" s="1333"/>
      <c r="V474" s="1333"/>
      <c r="W474" s="1333"/>
      <c r="X474" s="1333"/>
      <c r="Y474" s="1333"/>
      <c r="Z474" s="1333"/>
      <c r="AA474" s="1333"/>
      <c r="AB474" s="1333"/>
      <c r="AC474" s="1333"/>
      <c r="AD474" s="1333"/>
      <c r="AE474" s="1333"/>
      <c r="AF474" s="1333"/>
      <c r="AG474" s="1333"/>
      <c r="AH474" s="1333"/>
      <c r="AI474" s="1333"/>
    </row>
    <row r="475" spans="1:49" hidden="1" x14ac:dyDescent="0.25">
      <c r="A475" s="1331"/>
      <c r="B475" s="1284"/>
      <c r="C475" s="2062">
        <v>42496</v>
      </c>
      <c r="D475" s="2062"/>
      <c r="E475" s="2062"/>
      <c r="F475" s="1297"/>
      <c r="G475" s="1297" t="s">
        <v>721</v>
      </c>
      <c r="H475" s="1284"/>
      <c r="I475" s="1333"/>
      <c r="J475" s="1284"/>
      <c r="K475" s="1419"/>
      <c r="L475" s="1333"/>
      <c r="M475" s="1333"/>
      <c r="N475" s="1333"/>
      <c r="O475" s="1333"/>
      <c r="P475" s="1333"/>
      <c r="Q475" s="1333"/>
      <c r="R475" s="1453"/>
      <c r="S475" s="1284"/>
      <c r="T475" s="1284"/>
      <c r="U475" s="1333"/>
      <c r="V475" s="1333"/>
      <c r="W475" s="1333"/>
      <c r="X475" s="1333"/>
      <c r="Y475" s="1333"/>
      <c r="Z475" s="1333"/>
      <c r="AA475" s="1333"/>
      <c r="AB475" s="1333"/>
      <c r="AC475" s="1333"/>
      <c r="AD475" s="1333"/>
      <c r="AE475" s="1333"/>
      <c r="AF475" s="1333"/>
      <c r="AG475" s="1333"/>
      <c r="AH475" s="1333"/>
      <c r="AI475" s="1333"/>
    </row>
    <row r="476" spans="1:49" hidden="1" x14ac:dyDescent="0.25">
      <c r="A476" s="1331"/>
      <c r="B476" s="1284"/>
      <c r="C476" s="1291"/>
      <c r="D476" s="1284"/>
      <c r="E476" s="1291"/>
      <c r="F476" s="1284"/>
      <c r="G476" s="1291"/>
      <c r="H476" s="1284"/>
      <c r="I476" s="1333"/>
      <c r="J476" s="1284"/>
      <c r="K476" s="1419"/>
      <c r="L476" s="1333"/>
      <c r="M476" s="1333"/>
      <c r="N476" s="1333"/>
      <c r="O476" s="1333"/>
      <c r="P476" s="1333"/>
      <c r="Q476" s="1333"/>
      <c r="R476" s="1453"/>
      <c r="S476" s="1284"/>
      <c r="T476" s="1284"/>
      <c r="U476" s="1333"/>
      <c r="V476" s="1333"/>
      <c r="W476" s="1333"/>
      <c r="X476" s="1333"/>
      <c r="Y476" s="1333"/>
      <c r="Z476" s="1333"/>
      <c r="AA476" s="1333"/>
      <c r="AB476" s="1333"/>
      <c r="AC476" s="1333"/>
      <c r="AD476" s="1333"/>
      <c r="AE476" s="1333"/>
      <c r="AF476" s="1333"/>
      <c r="AG476" s="1333"/>
      <c r="AH476" s="1333"/>
      <c r="AI476" s="1333"/>
    </row>
    <row r="477" spans="1:49" hidden="1" x14ac:dyDescent="0.25">
      <c r="A477" s="1331"/>
      <c r="B477" s="1284"/>
      <c r="C477" s="2062">
        <v>42635</v>
      </c>
      <c r="D477" s="2062"/>
      <c r="E477" s="2062"/>
      <c r="F477" s="1297"/>
      <c r="G477" s="1297" t="s">
        <v>838</v>
      </c>
      <c r="H477" s="1284"/>
      <c r="I477" s="1333"/>
      <c r="J477" s="1284"/>
      <c r="K477" s="1419"/>
      <c r="L477" s="1333"/>
      <c r="M477" s="1333"/>
      <c r="N477" s="1333"/>
      <c r="O477" s="1333"/>
      <c r="P477" s="1333"/>
      <c r="Q477" s="1333"/>
      <c r="R477" s="1284"/>
      <c r="S477" s="1284"/>
      <c r="T477" s="1284"/>
      <c r="U477" s="1333"/>
      <c r="V477" s="1333"/>
      <c r="W477" s="1333"/>
      <c r="X477" s="1333"/>
      <c r="Y477" s="1333"/>
      <c r="Z477" s="1333"/>
      <c r="AA477" s="1333"/>
      <c r="AB477" s="1333"/>
      <c r="AC477" s="1333"/>
      <c r="AD477" s="1333"/>
      <c r="AE477" s="1333"/>
      <c r="AF477" s="1333"/>
      <c r="AG477" s="1333"/>
      <c r="AH477" s="1333"/>
      <c r="AI477" s="1333"/>
    </row>
    <row r="478" spans="1:49" hidden="1" x14ac:dyDescent="0.25">
      <c r="A478" s="1331"/>
      <c r="B478" s="1284"/>
      <c r="C478" s="2062"/>
      <c r="D478" s="2062"/>
      <c r="E478" s="2062"/>
      <c r="F478" s="1297"/>
      <c r="G478" s="1297" t="s">
        <v>837</v>
      </c>
      <c r="H478" s="1284"/>
      <c r="I478" s="1333"/>
      <c r="J478" s="1284"/>
      <c r="K478" s="1419"/>
      <c r="L478" s="1333"/>
      <c r="M478" s="1333"/>
      <c r="N478" s="1333"/>
      <c r="O478" s="1333"/>
      <c r="P478" s="1333"/>
      <c r="Q478" s="1333"/>
      <c r="R478" s="1453"/>
      <c r="S478" s="1284"/>
      <c r="T478" s="1284"/>
      <c r="U478" s="1333"/>
      <c r="V478" s="1333"/>
      <c r="W478" s="1333"/>
      <c r="X478" s="1333"/>
      <c r="Y478" s="1333"/>
      <c r="Z478" s="1333"/>
      <c r="AA478" s="1333"/>
      <c r="AB478" s="1333"/>
      <c r="AC478" s="1333"/>
      <c r="AD478" s="1333"/>
      <c r="AE478" s="1333"/>
      <c r="AF478" s="1333"/>
      <c r="AG478" s="1333"/>
      <c r="AH478" s="1333"/>
      <c r="AI478" s="1333"/>
    </row>
    <row r="479" spans="1:49" hidden="1" x14ac:dyDescent="0.25">
      <c r="A479" s="1331"/>
      <c r="B479" s="1284"/>
      <c r="C479" s="1291"/>
      <c r="D479" s="1284"/>
      <c r="E479" s="1291"/>
      <c r="F479" s="1284"/>
      <c r="G479" s="1291"/>
      <c r="H479" s="1284"/>
      <c r="I479" s="1333"/>
      <c r="J479" s="1284"/>
      <c r="K479" s="1419"/>
      <c r="L479" s="1333"/>
      <c r="M479" s="1333"/>
      <c r="N479" s="1333"/>
      <c r="O479" s="1333"/>
      <c r="P479" s="1333"/>
      <c r="Q479" s="1333"/>
      <c r="R479" s="1453"/>
      <c r="S479" s="1284"/>
      <c r="T479" s="1284"/>
      <c r="U479" s="1333"/>
      <c r="V479" s="1333"/>
      <c r="W479" s="1333"/>
      <c r="X479" s="1333"/>
      <c r="Y479" s="1333"/>
      <c r="Z479" s="1333"/>
      <c r="AA479" s="1333"/>
      <c r="AB479" s="1333"/>
      <c r="AC479" s="1333"/>
      <c r="AD479" s="1333"/>
      <c r="AE479" s="1333"/>
      <c r="AF479" s="1333"/>
      <c r="AG479" s="1333"/>
      <c r="AH479" s="1333"/>
      <c r="AI479" s="1333"/>
    </row>
    <row r="480" spans="1:49" hidden="1" x14ac:dyDescent="0.25">
      <c r="A480" s="1331"/>
      <c r="B480" s="1284"/>
      <c r="C480" s="2062">
        <v>42653</v>
      </c>
      <c r="D480" s="2062"/>
      <c r="E480" s="2062"/>
      <c r="F480" s="1297"/>
      <c r="G480" s="1297" t="s">
        <v>867</v>
      </c>
      <c r="H480" s="1284"/>
      <c r="I480" s="1333"/>
      <c r="J480" s="1284"/>
      <c r="K480" s="1419"/>
      <c r="L480" s="1333"/>
      <c r="M480" s="1333"/>
      <c r="N480" s="1333"/>
      <c r="O480" s="1333"/>
      <c r="P480" s="1333"/>
      <c r="Q480" s="1333"/>
      <c r="R480" s="1453"/>
      <c r="S480" s="1284"/>
      <c r="T480" s="1284"/>
      <c r="U480" s="1333"/>
      <c r="V480" s="1333"/>
      <c r="W480" s="1333"/>
      <c r="X480" s="1333"/>
      <c r="Y480" s="1333"/>
      <c r="Z480" s="1333"/>
      <c r="AA480" s="1333"/>
      <c r="AB480" s="1333"/>
      <c r="AC480" s="1333"/>
      <c r="AD480" s="1333"/>
      <c r="AE480" s="1333"/>
      <c r="AF480" s="1333"/>
      <c r="AG480" s="1333"/>
      <c r="AH480" s="1333"/>
      <c r="AI480" s="1333"/>
    </row>
    <row r="481" spans="1:35" hidden="1" x14ac:dyDescent="0.25">
      <c r="A481" s="1331"/>
      <c r="B481" s="1284"/>
      <c r="C481" s="1291"/>
      <c r="D481" s="1284"/>
      <c r="E481" s="1500"/>
      <c r="F481" s="1284"/>
      <c r="G481" s="1291"/>
      <c r="H481" s="1284"/>
      <c r="I481" s="1333"/>
      <c r="J481" s="1284"/>
      <c r="K481" s="1419"/>
      <c r="L481" s="1333"/>
      <c r="M481" s="1333"/>
      <c r="N481" s="1333"/>
      <c r="O481" s="1333"/>
      <c r="P481" s="1333"/>
      <c r="Q481" s="1333"/>
      <c r="R481" s="1453"/>
      <c r="S481" s="1284"/>
      <c r="T481" s="1284"/>
      <c r="U481" s="1333"/>
      <c r="V481" s="1333"/>
      <c r="W481" s="1333"/>
      <c r="X481" s="1333"/>
      <c r="Y481" s="1333"/>
      <c r="Z481" s="1333"/>
      <c r="AA481" s="1333"/>
      <c r="AB481" s="1333"/>
      <c r="AC481" s="1333"/>
      <c r="AD481" s="1333"/>
      <c r="AE481" s="1333"/>
      <c r="AF481" s="1333"/>
      <c r="AG481" s="1333"/>
      <c r="AH481" s="1333"/>
      <c r="AI481" s="1333"/>
    </row>
    <row r="482" spans="1:35" hidden="1" x14ac:dyDescent="0.25">
      <c r="A482" s="1331"/>
      <c r="B482" s="1284"/>
      <c r="C482" s="2062">
        <v>42696</v>
      </c>
      <c r="D482" s="2062"/>
      <c r="E482" s="2062"/>
      <c r="F482" s="1297"/>
      <c r="G482" s="1418" t="s">
        <v>890</v>
      </c>
      <c r="H482" s="1303"/>
      <c r="I482" s="1333"/>
      <c r="J482" s="1284"/>
      <c r="K482" s="1419"/>
      <c r="L482" s="1333"/>
      <c r="M482" s="1333"/>
      <c r="N482" s="1333"/>
      <c r="O482" s="1333"/>
      <c r="P482" s="1333"/>
      <c r="Q482" s="1333"/>
      <c r="R482" s="1453"/>
      <c r="S482" s="1284"/>
      <c r="T482" s="1284"/>
      <c r="U482" s="1333"/>
      <c r="V482" s="1333"/>
      <c r="W482" s="1333"/>
      <c r="X482" s="1333"/>
      <c r="Y482" s="1333"/>
      <c r="Z482" s="1333"/>
      <c r="AA482" s="1333"/>
      <c r="AB482" s="1333"/>
      <c r="AC482" s="1333"/>
      <c r="AD482" s="1333"/>
      <c r="AE482" s="1333"/>
      <c r="AF482" s="1333"/>
      <c r="AG482" s="1333"/>
      <c r="AH482" s="1333"/>
      <c r="AI482" s="1333"/>
    </row>
    <row r="483" spans="1:35" hidden="1" x14ac:dyDescent="0.25">
      <c r="A483" s="1331"/>
      <c r="B483" s="1284"/>
      <c r="C483" s="1291"/>
      <c r="D483" s="1284"/>
      <c r="E483" s="1303"/>
      <c r="F483" s="1364"/>
      <c r="G483" s="1365"/>
      <c r="H483" s="1333"/>
      <c r="I483" s="1333"/>
      <c r="J483" s="1284"/>
      <c r="K483" s="1419"/>
      <c r="L483" s="1333"/>
      <c r="M483" s="1333"/>
      <c r="N483" s="1333"/>
      <c r="O483" s="1333"/>
      <c r="P483" s="1333"/>
      <c r="Q483" s="1333"/>
      <c r="R483" s="1284"/>
      <c r="S483" s="1284"/>
      <c r="T483" s="1284"/>
      <c r="U483" s="1333"/>
      <c r="V483" s="1333"/>
      <c r="W483" s="1333"/>
      <c r="X483" s="1333"/>
      <c r="Y483" s="1333"/>
      <c r="Z483" s="1333"/>
      <c r="AA483" s="1333"/>
      <c r="AB483" s="1333"/>
      <c r="AC483" s="1333"/>
      <c r="AD483" s="1333"/>
      <c r="AE483" s="1333"/>
      <c r="AF483" s="1333"/>
      <c r="AG483" s="1333"/>
      <c r="AH483" s="1333"/>
      <c r="AI483" s="1333"/>
    </row>
    <row r="484" spans="1:35" hidden="1" x14ac:dyDescent="0.25">
      <c r="A484" s="1331"/>
      <c r="B484" s="1284"/>
      <c r="C484" s="2062">
        <v>42702</v>
      </c>
      <c r="D484" s="2062"/>
      <c r="E484" s="2062"/>
      <c r="F484" s="1297"/>
      <c r="G484" s="1418" t="s">
        <v>896</v>
      </c>
      <c r="H484" s="1333"/>
      <c r="I484" s="1333"/>
      <c r="J484" s="1284"/>
      <c r="K484" s="1419"/>
      <c r="L484" s="1333"/>
      <c r="M484" s="1333"/>
      <c r="N484" s="1333"/>
      <c r="O484" s="1333"/>
      <c r="P484" s="1333"/>
      <c r="Q484" s="1333"/>
      <c r="R484" s="1453"/>
      <c r="S484" s="1284"/>
      <c r="T484" s="1284"/>
      <c r="U484" s="1333"/>
      <c r="V484" s="1333"/>
      <c r="W484" s="1333"/>
      <c r="X484" s="1333"/>
      <c r="Y484" s="1333"/>
      <c r="Z484" s="1333"/>
      <c r="AA484" s="1333"/>
      <c r="AB484" s="1333"/>
      <c r="AC484" s="1333"/>
      <c r="AD484" s="1333"/>
      <c r="AE484" s="1333"/>
      <c r="AF484" s="1333"/>
      <c r="AG484" s="1333"/>
      <c r="AH484" s="1333"/>
      <c r="AI484" s="1333"/>
    </row>
    <row r="485" spans="1:35" hidden="1" x14ac:dyDescent="0.25">
      <c r="A485" s="1331"/>
      <c r="B485" s="1284"/>
      <c r="C485" s="2062"/>
      <c r="D485" s="2062"/>
      <c r="E485" s="2062"/>
      <c r="F485" s="1297"/>
      <c r="G485" s="1418" t="s">
        <v>899</v>
      </c>
      <c r="H485" s="1333"/>
      <c r="I485" s="1333"/>
      <c r="J485" s="1284"/>
      <c r="K485" s="1419"/>
      <c r="L485" s="1333"/>
      <c r="M485" s="1333"/>
      <c r="N485" s="1333"/>
      <c r="O485" s="1333"/>
      <c r="P485" s="1333"/>
      <c r="Q485" s="1333"/>
      <c r="R485" s="1453"/>
      <c r="S485" s="1488"/>
      <c r="T485" s="1284"/>
      <c r="U485" s="1333"/>
      <c r="V485" s="1333"/>
      <c r="W485" s="1333"/>
      <c r="X485" s="1333"/>
      <c r="Y485" s="1333"/>
      <c r="Z485" s="1333"/>
      <c r="AA485" s="1333"/>
      <c r="AB485" s="1333"/>
      <c r="AC485" s="1333"/>
      <c r="AD485" s="1333"/>
      <c r="AE485" s="1333"/>
      <c r="AF485" s="1333"/>
      <c r="AG485" s="1333"/>
      <c r="AH485" s="1333"/>
      <c r="AI485" s="1333"/>
    </row>
    <row r="486" spans="1:35" hidden="1" x14ac:dyDescent="0.25">
      <c r="A486" s="1331"/>
      <c r="B486" s="1284"/>
      <c r="C486" s="1291"/>
      <c r="D486" s="1284"/>
      <c r="E486" s="1303"/>
      <c r="F486" s="1364"/>
      <c r="G486" s="1365"/>
      <c r="H486" s="1333"/>
      <c r="I486" s="1333"/>
      <c r="J486" s="1284"/>
      <c r="K486" s="1419"/>
      <c r="L486" s="1333"/>
      <c r="M486" s="1333"/>
      <c r="N486" s="1333"/>
      <c r="O486" s="1333"/>
      <c r="P486" s="1333"/>
      <c r="Q486" s="1333"/>
      <c r="R486" s="1453"/>
      <c r="S486" s="1284"/>
      <c r="T486" s="1284"/>
      <c r="U486" s="1333"/>
      <c r="V486" s="1333"/>
      <c r="W486" s="1333"/>
      <c r="X486" s="1333"/>
      <c r="Y486" s="1333"/>
      <c r="Z486" s="1333"/>
      <c r="AA486" s="1333"/>
      <c r="AB486" s="1333"/>
      <c r="AC486" s="1333"/>
      <c r="AD486" s="1333"/>
      <c r="AE486" s="1333"/>
      <c r="AF486" s="1333"/>
      <c r="AG486" s="1333"/>
      <c r="AH486" s="1333"/>
      <c r="AI486" s="1333"/>
    </row>
    <row r="487" spans="1:35" hidden="1" x14ac:dyDescent="0.25">
      <c r="A487" s="1331"/>
      <c r="B487" s="1284"/>
      <c r="C487" s="2062">
        <v>42947</v>
      </c>
      <c r="D487" s="2062"/>
      <c r="E487" s="2062"/>
      <c r="F487" s="1297"/>
      <c r="G487" s="1297" t="s">
        <v>962</v>
      </c>
      <c r="H487" s="1333"/>
      <c r="I487" s="1333"/>
      <c r="J487" s="1284"/>
      <c r="K487" s="1419"/>
      <c r="L487" s="1333"/>
      <c r="M487" s="1333"/>
      <c r="N487" s="1333"/>
      <c r="O487" s="1333"/>
      <c r="P487" s="1333"/>
      <c r="Q487" s="1333"/>
      <c r="R487" s="1453"/>
      <c r="S487" s="1284"/>
      <c r="T487" s="1284"/>
      <c r="U487" s="1333"/>
      <c r="V487" s="1333"/>
      <c r="W487" s="1333"/>
      <c r="X487" s="1333"/>
      <c r="Y487" s="1333"/>
      <c r="Z487" s="1333"/>
      <c r="AA487" s="1333"/>
      <c r="AB487" s="1333"/>
      <c r="AC487" s="1333"/>
      <c r="AD487" s="1333"/>
      <c r="AE487" s="1333"/>
      <c r="AF487" s="1333"/>
      <c r="AG487" s="1333"/>
      <c r="AH487" s="1333"/>
      <c r="AI487" s="1333"/>
    </row>
    <row r="488" spans="1:35" hidden="1" x14ac:dyDescent="0.25">
      <c r="A488" s="1331"/>
      <c r="B488" s="1284"/>
      <c r="C488" s="2062"/>
      <c r="D488" s="2062"/>
      <c r="E488" s="2062"/>
      <c r="F488" s="1297"/>
      <c r="G488" s="1297" t="s">
        <v>1018</v>
      </c>
      <c r="H488" s="1333"/>
      <c r="I488" s="1333"/>
      <c r="J488" s="1284"/>
      <c r="K488" s="1419"/>
      <c r="L488" s="1333"/>
      <c r="M488" s="1333"/>
      <c r="N488" s="1333"/>
      <c r="O488" s="1333"/>
      <c r="P488" s="1333"/>
      <c r="Q488" s="1333"/>
      <c r="R488" s="1453"/>
      <c r="S488" s="1489"/>
      <c r="T488" s="1284"/>
      <c r="U488" s="1333"/>
      <c r="V488" s="1333"/>
      <c r="W488" s="1333"/>
      <c r="X488" s="1333"/>
      <c r="Y488" s="1333"/>
      <c r="Z488" s="1333"/>
      <c r="AA488" s="1333"/>
      <c r="AB488" s="1333"/>
      <c r="AC488" s="1333"/>
      <c r="AD488" s="1333"/>
      <c r="AE488" s="1333"/>
      <c r="AF488" s="1333"/>
      <c r="AG488" s="1333"/>
      <c r="AH488" s="1333"/>
      <c r="AI488" s="1333"/>
    </row>
    <row r="489" spans="1:35" hidden="1" x14ac:dyDescent="0.25">
      <c r="A489" s="1331"/>
      <c r="B489" s="1284"/>
      <c r="C489" s="2062"/>
      <c r="D489" s="2062"/>
      <c r="E489" s="2062"/>
      <c r="F489" s="1297"/>
      <c r="G489" s="1418" t="s">
        <v>1015</v>
      </c>
      <c r="H489" s="1333"/>
      <c r="I489" s="1333"/>
      <c r="J489" s="1284"/>
      <c r="K489" s="1419"/>
      <c r="L489" s="1333"/>
      <c r="M489" s="1333"/>
      <c r="N489" s="1333"/>
      <c r="O489" s="1333"/>
      <c r="P489" s="1333"/>
      <c r="Q489" s="1333"/>
      <c r="R489" s="1453"/>
      <c r="S489" s="1284"/>
      <c r="T489" s="1284"/>
      <c r="U489" s="1333"/>
      <c r="V489" s="1333"/>
      <c r="W489" s="1333"/>
      <c r="X489" s="1333"/>
      <c r="Y489" s="1333"/>
      <c r="Z489" s="1333"/>
      <c r="AA489" s="1333"/>
      <c r="AB489" s="1333"/>
      <c r="AC489" s="1333"/>
      <c r="AD489" s="1333"/>
      <c r="AE489" s="1333"/>
      <c r="AF489" s="1333"/>
      <c r="AG489" s="1333"/>
      <c r="AH489" s="1333"/>
      <c r="AI489" s="1333"/>
    </row>
    <row r="490" spans="1:35" hidden="1" x14ac:dyDescent="0.25">
      <c r="A490" s="1331"/>
      <c r="B490" s="1284"/>
      <c r="C490" s="2062"/>
      <c r="D490" s="2062"/>
      <c r="E490" s="2062"/>
      <c r="F490" s="1297"/>
      <c r="G490" s="1418" t="s">
        <v>1012</v>
      </c>
      <c r="H490" s="1333"/>
      <c r="I490" s="1333"/>
      <c r="J490" s="1284"/>
      <c r="K490" s="1419"/>
      <c r="L490" s="1333"/>
      <c r="M490" s="1333"/>
      <c r="N490" s="1333"/>
      <c r="O490" s="1333"/>
      <c r="P490" s="1333"/>
      <c r="Q490" s="1333"/>
      <c r="R490" s="1284"/>
      <c r="S490" s="1284"/>
      <c r="T490" s="1284"/>
      <c r="U490" s="1333"/>
      <c r="V490" s="1333"/>
      <c r="W490" s="1333"/>
      <c r="X490" s="1333"/>
      <c r="Y490" s="1333"/>
      <c r="Z490" s="1333"/>
      <c r="AA490" s="1333"/>
      <c r="AB490" s="1333"/>
      <c r="AC490" s="1333"/>
      <c r="AD490" s="1333"/>
      <c r="AE490" s="1333"/>
      <c r="AF490" s="1333"/>
      <c r="AG490" s="1333"/>
      <c r="AH490" s="1333"/>
      <c r="AI490" s="1333"/>
    </row>
    <row r="491" spans="1:35" hidden="1" x14ac:dyDescent="0.25">
      <c r="A491" s="1331"/>
      <c r="B491" s="1284"/>
      <c r="C491" s="2062"/>
      <c r="D491" s="2062"/>
      <c r="E491" s="2062"/>
      <c r="F491" s="1297"/>
      <c r="G491" s="1660" t="s">
        <v>1013</v>
      </c>
      <c r="H491" s="1333"/>
      <c r="I491" s="1333"/>
      <c r="J491" s="1284"/>
      <c r="K491" s="1419"/>
      <c r="L491" s="1333"/>
      <c r="M491" s="1333"/>
      <c r="N491" s="1333"/>
      <c r="O491" s="1333"/>
      <c r="P491" s="1333"/>
      <c r="Q491" s="1333"/>
      <c r="R491" s="1453"/>
      <c r="S491" s="1284"/>
      <c r="T491" s="1284"/>
      <c r="U491" s="1333"/>
      <c r="V491" s="1333"/>
      <c r="W491" s="1333"/>
      <c r="X491" s="1333"/>
      <c r="Y491" s="1333"/>
      <c r="Z491" s="1333"/>
      <c r="AA491" s="1333"/>
      <c r="AB491" s="1333"/>
      <c r="AC491" s="1333"/>
      <c r="AD491" s="1333"/>
      <c r="AE491" s="1333"/>
      <c r="AF491" s="1333"/>
      <c r="AG491" s="1333"/>
      <c r="AH491" s="1333"/>
      <c r="AI491" s="1333"/>
    </row>
    <row r="492" spans="1:35" hidden="1" x14ac:dyDescent="0.25">
      <c r="A492" s="1331"/>
      <c r="B492" s="1284"/>
      <c r="C492" s="2062"/>
      <c r="D492" s="2062"/>
      <c r="E492" s="2062"/>
      <c r="F492" s="1297"/>
      <c r="G492" s="1660" t="s">
        <v>1014</v>
      </c>
      <c r="H492" s="1333"/>
      <c r="I492" s="1333"/>
      <c r="J492" s="1284"/>
      <c r="K492" s="1419"/>
      <c r="L492" s="1333"/>
      <c r="M492" s="1333"/>
      <c r="N492" s="1333"/>
      <c r="O492" s="1333"/>
      <c r="P492" s="1333"/>
      <c r="Q492" s="1333"/>
      <c r="R492" s="1453"/>
      <c r="S492" s="1284"/>
      <c r="T492" s="1284"/>
      <c r="U492" s="1333"/>
      <c r="V492" s="1333"/>
      <c r="W492" s="1333"/>
      <c r="X492" s="1333"/>
      <c r="Y492" s="1333"/>
      <c r="Z492" s="1333"/>
      <c r="AA492" s="1333"/>
      <c r="AB492" s="1333"/>
      <c r="AC492" s="1333"/>
      <c r="AD492" s="1333"/>
      <c r="AE492" s="1333"/>
      <c r="AF492" s="1333"/>
      <c r="AG492" s="1333"/>
      <c r="AH492" s="1333"/>
      <c r="AI492" s="1333"/>
    </row>
    <row r="493" spans="1:35" hidden="1" x14ac:dyDescent="0.25">
      <c r="A493" s="1331"/>
      <c r="B493" s="1284"/>
      <c r="C493" s="2062"/>
      <c r="D493" s="2062"/>
      <c r="E493" s="2062"/>
      <c r="F493" s="1297"/>
      <c r="G493" s="1418"/>
      <c r="H493" s="1333"/>
      <c r="I493" s="1333"/>
      <c r="J493" s="1284"/>
      <c r="K493" s="1419"/>
      <c r="L493" s="1333"/>
      <c r="M493" s="1333"/>
      <c r="N493" s="1333"/>
      <c r="O493" s="1333"/>
      <c r="P493" s="1333"/>
      <c r="Q493" s="1333"/>
      <c r="R493" s="1453"/>
      <c r="S493" s="1284"/>
      <c r="T493" s="1284"/>
      <c r="U493" s="1333"/>
      <c r="V493" s="1333"/>
      <c r="W493" s="1333"/>
      <c r="X493" s="1333"/>
      <c r="Y493" s="1333"/>
      <c r="Z493" s="1333"/>
      <c r="AA493" s="1333"/>
      <c r="AB493" s="1333"/>
      <c r="AC493" s="1333"/>
      <c r="AD493" s="1333"/>
      <c r="AE493" s="1333"/>
      <c r="AF493" s="1333"/>
      <c r="AG493" s="1333"/>
      <c r="AH493" s="1333"/>
      <c r="AI493" s="1333"/>
    </row>
    <row r="494" spans="1:35" hidden="1" x14ac:dyDescent="0.25">
      <c r="A494" s="1331"/>
      <c r="B494" s="1284"/>
      <c r="C494" s="2062">
        <v>42993</v>
      </c>
      <c r="D494" s="2062"/>
      <c r="E494" s="2062"/>
      <c r="F494" s="1297"/>
      <c r="G494" s="1297" t="s">
        <v>1084</v>
      </c>
      <c r="H494" s="1333"/>
      <c r="I494" s="1333"/>
      <c r="J494" s="1284"/>
      <c r="K494" s="1419"/>
      <c r="L494" s="1333"/>
      <c r="M494" s="1333"/>
      <c r="N494" s="1333"/>
      <c r="O494" s="1333"/>
      <c r="P494" s="1333"/>
      <c r="Q494" s="1333"/>
      <c r="R494" s="1453"/>
      <c r="S494" s="1489"/>
      <c r="T494" s="1284"/>
      <c r="U494" s="1333"/>
      <c r="V494" s="1333"/>
      <c r="W494" s="1333"/>
      <c r="X494" s="1333"/>
      <c r="Y494" s="1333"/>
      <c r="Z494" s="1333"/>
      <c r="AA494" s="1333"/>
      <c r="AB494" s="1333"/>
      <c r="AC494" s="1333"/>
      <c r="AD494" s="1333"/>
      <c r="AE494" s="1333"/>
      <c r="AF494" s="1333"/>
      <c r="AG494" s="1333"/>
      <c r="AH494" s="1333"/>
      <c r="AI494" s="1333"/>
    </row>
    <row r="495" spans="1:35" hidden="1" x14ac:dyDescent="0.25">
      <c r="A495" s="1331"/>
      <c r="B495" s="1284"/>
      <c r="C495" s="2062"/>
      <c r="D495" s="2062"/>
      <c r="E495" s="2062"/>
      <c r="F495" s="1364"/>
      <c r="G495" s="1297"/>
      <c r="H495" s="1333"/>
      <c r="I495" s="1333"/>
      <c r="J495" s="1284"/>
      <c r="K495" s="1419"/>
      <c r="L495" s="1333"/>
      <c r="M495" s="1333"/>
      <c r="N495" s="1333"/>
      <c r="O495" s="1333"/>
      <c r="P495" s="1333"/>
      <c r="Q495" s="1333"/>
      <c r="R495" s="1453"/>
      <c r="S495" s="1284"/>
      <c r="T495" s="1284"/>
      <c r="U495" s="1333"/>
      <c r="V495" s="1333"/>
      <c r="W495" s="1333"/>
      <c r="X495" s="1333"/>
      <c r="Y495" s="1333"/>
      <c r="Z495" s="1333"/>
      <c r="AA495" s="1333"/>
      <c r="AB495" s="1333"/>
      <c r="AC495" s="1333"/>
      <c r="AD495" s="1333"/>
      <c r="AE495" s="1333"/>
      <c r="AF495" s="1333"/>
      <c r="AG495" s="1333"/>
      <c r="AH495" s="1333"/>
      <c r="AI495" s="1333"/>
    </row>
    <row r="496" spans="1:35" hidden="1" x14ac:dyDescent="0.25">
      <c r="A496" s="1331"/>
      <c r="B496" s="1284"/>
      <c r="C496" s="2062">
        <v>43084</v>
      </c>
      <c r="D496" s="2062"/>
      <c r="E496" s="2062"/>
      <c r="F496" s="1364"/>
      <c r="G496" s="1297" t="s">
        <v>1127</v>
      </c>
      <c r="H496" s="1333"/>
      <c r="I496" s="1333"/>
      <c r="J496" s="1284"/>
      <c r="K496" s="1419"/>
      <c r="L496" s="1333"/>
      <c r="M496" s="1333"/>
      <c r="N496" s="1333"/>
      <c r="O496" s="1333"/>
      <c r="P496" s="1333"/>
      <c r="Q496" s="1333"/>
      <c r="R496" s="1453"/>
      <c r="S496" s="1284"/>
      <c r="T496" s="1284"/>
      <c r="U496" s="1333"/>
      <c r="V496" s="1333"/>
      <c r="W496" s="1333"/>
      <c r="X496" s="1333"/>
      <c r="Y496" s="1333"/>
      <c r="Z496" s="1333"/>
      <c r="AA496" s="1333"/>
      <c r="AB496" s="1333"/>
      <c r="AC496" s="1333"/>
      <c r="AD496" s="1333"/>
      <c r="AE496" s="1333"/>
      <c r="AF496" s="1333"/>
      <c r="AG496" s="1333"/>
      <c r="AH496" s="1333"/>
      <c r="AI496" s="1333"/>
    </row>
    <row r="497" spans="1:35" hidden="1" x14ac:dyDescent="0.25">
      <c r="A497" s="1331"/>
      <c r="B497" s="1284"/>
      <c r="C497" s="2062"/>
      <c r="D497" s="2062"/>
      <c r="E497" s="2062"/>
      <c r="F497" s="1364"/>
      <c r="G497" s="1297"/>
      <c r="H497" s="1333"/>
      <c r="I497" s="1333"/>
      <c r="J497" s="1284"/>
      <c r="K497" s="1419"/>
      <c r="L497" s="1333"/>
      <c r="M497" s="1333"/>
      <c r="N497" s="1333"/>
      <c r="O497" s="1333"/>
      <c r="P497" s="1333"/>
      <c r="Q497" s="1333"/>
      <c r="R497" s="1284"/>
      <c r="S497" s="1284"/>
      <c r="T497" s="1284"/>
      <c r="U497" s="1333"/>
      <c r="V497" s="1333"/>
      <c r="W497" s="1333"/>
      <c r="X497" s="1333"/>
      <c r="Y497" s="1333"/>
      <c r="Z497" s="1333"/>
      <c r="AA497" s="1333"/>
      <c r="AB497" s="1333"/>
      <c r="AC497" s="1333"/>
      <c r="AD497" s="1333"/>
      <c r="AE497" s="1333"/>
      <c r="AF497" s="1333"/>
      <c r="AG497" s="1333"/>
      <c r="AH497" s="1333"/>
      <c r="AI497" s="1333"/>
    </row>
    <row r="498" spans="1:35" x14ac:dyDescent="0.25">
      <c r="A498" s="1331"/>
      <c r="B498" s="1284"/>
      <c r="C498" s="2062"/>
      <c r="D498" s="2062"/>
      <c r="E498" s="2062"/>
      <c r="F498" s="1364"/>
      <c r="G498" s="1297"/>
      <c r="H498" s="1333"/>
      <c r="I498" s="1333"/>
      <c r="J498" s="1284"/>
      <c r="K498" s="1419"/>
      <c r="L498" s="1333"/>
      <c r="M498" s="1333"/>
      <c r="N498" s="1333"/>
      <c r="O498" s="1333"/>
      <c r="P498" s="1333"/>
      <c r="Q498" s="1333"/>
      <c r="R498" s="1453"/>
      <c r="S498" s="1284"/>
      <c r="T498" s="1284"/>
      <c r="U498" s="1333"/>
      <c r="V498" s="1333"/>
      <c r="W498" s="1333"/>
      <c r="X498" s="1333"/>
      <c r="Y498" s="1333"/>
      <c r="Z498" s="1333"/>
      <c r="AA498" s="1333"/>
      <c r="AB498" s="1333"/>
      <c r="AC498" s="1333"/>
      <c r="AD498" s="1333"/>
      <c r="AE498" s="1333"/>
      <c r="AF498" s="1333"/>
      <c r="AG498" s="1333"/>
      <c r="AH498" s="1333"/>
      <c r="AI498" s="1333"/>
    </row>
    <row r="499" spans="1:35" x14ac:dyDescent="0.25">
      <c r="A499" s="1331"/>
      <c r="B499" s="1284"/>
      <c r="C499" s="2062"/>
      <c r="D499" s="2062"/>
      <c r="E499" s="2062"/>
      <c r="F499" s="1364"/>
      <c r="G499" s="1297"/>
      <c r="H499" s="1333"/>
      <c r="I499" s="1333"/>
      <c r="J499" s="1284"/>
      <c r="K499" s="1419"/>
      <c r="L499" s="1333"/>
      <c r="M499" s="1333"/>
      <c r="N499" s="1333"/>
      <c r="O499" s="1333"/>
      <c r="P499" s="1333"/>
      <c r="Q499" s="1333"/>
      <c r="R499" s="1453"/>
      <c r="S499" s="1284"/>
      <c r="T499" s="1284"/>
      <c r="U499" s="1333"/>
      <c r="V499" s="1333"/>
      <c r="W499" s="1333"/>
      <c r="X499" s="1333"/>
      <c r="Y499" s="1333"/>
      <c r="Z499" s="1333"/>
      <c r="AA499" s="1333"/>
      <c r="AB499" s="1333"/>
      <c r="AC499" s="1333"/>
      <c r="AD499" s="1333"/>
      <c r="AE499" s="1333"/>
      <c r="AF499" s="1333"/>
      <c r="AG499" s="1333"/>
      <c r="AH499" s="1333"/>
      <c r="AI499" s="1333"/>
    </row>
    <row r="500" spans="1:35" x14ac:dyDescent="0.25">
      <c r="A500" s="1331"/>
      <c r="B500" s="1284"/>
      <c r="C500" s="2062"/>
      <c r="D500" s="2062"/>
      <c r="E500" s="2062"/>
      <c r="F500" s="1364"/>
      <c r="G500" s="1297"/>
      <c r="H500" s="1333"/>
      <c r="I500" s="1333"/>
      <c r="J500" s="1284"/>
      <c r="K500" s="1419"/>
      <c r="L500" s="1333"/>
      <c r="M500" s="1333"/>
      <c r="N500" s="1333"/>
      <c r="O500" s="1333"/>
      <c r="P500" s="1333"/>
      <c r="Q500" s="1333"/>
      <c r="R500" s="1453"/>
      <c r="S500" s="1284"/>
      <c r="T500" s="1284"/>
      <c r="U500" s="1333"/>
      <c r="V500" s="1333"/>
      <c r="W500" s="1333"/>
      <c r="X500" s="1333"/>
      <c r="Y500" s="1333"/>
      <c r="Z500" s="1333"/>
      <c r="AA500" s="1333"/>
      <c r="AB500" s="1333"/>
      <c r="AC500" s="1333"/>
      <c r="AD500" s="1333"/>
      <c r="AE500" s="1333"/>
      <c r="AF500" s="1333"/>
      <c r="AG500" s="1333"/>
      <c r="AH500" s="1333"/>
      <c r="AI500" s="1333"/>
    </row>
    <row r="501" spans="1:35" x14ac:dyDescent="0.25">
      <c r="A501" s="1331"/>
      <c r="B501" s="1284"/>
      <c r="C501" s="2062"/>
      <c r="D501" s="2062"/>
      <c r="E501" s="2062"/>
      <c r="F501" s="1364"/>
      <c r="G501" s="1297"/>
      <c r="H501" s="1333"/>
      <c r="I501" s="1333"/>
      <c r="J501" s="1284"/>
      <c r="K501" s="1419"/>
      <c r="L501" s="1333"/>
      <c r="M501" s="1333"/>
      <c r="N501" s="1333"/>
      <c r="O501" s="1333"/>
      <c r="P501" s="1333"/>
      <c r="Q501" s="1333"/>
      <c r="R501" s="1453"/>
      <c r="S501" s="1489"/>
      <c r="T501" s="1284"/>
      <c r="U501" s="1333"/>
      <c r="V501" s="1333"/>
      <c r="W501" s="1333"/>
      <c r="X501" s="1333"/>
      <c r="Y501" s="1333"/>
      <c r="Z501" s="1333"/>
      <c r="AA501" s="1333"/>
      <c r="AB501" s="1333"/>
      <c r="AC501" s="1333"/>
      <c r="AD501" s="1333"/>
      <c r="AE501" s="1333"/>
      <c r="AF501" s="1333"/>
      <c r="AG501" s="1333"/>
      <c r="AH501" s="1333"/>
      <c r="AI501" s="1333"/>
    </row>
    <row r="502" spans="1:35" x14ac:dyDescent="0.25">
      <c r="A502" s="1331"/>
      <c r="B502" s="1284"/>
      <c r="C502" s="2062"/>
      <c r="D502" s="2062"/>
      <c r="E502" s="2062"/>
      <c r="F502" s="1364"/>
      <c r="G502" s="1297"/>
      <c r="H502" s="1333"/>
      <c r="I502" s="1333"/>
      <c r="J502" s="1284"/>
      <c r="K502" s="1419"/>
      <c r="L502" s="1333"/>
      <c r="M502" s="1333"/>
      <c r="N502" s="1333"/>
      <c r="O502" s="1333"/>
      <c r="P502" s="1333"/>
      <c r="Q502" s="1333"/>
      <c r="R502" s="1453"/>
      <c r="S502" s="1284"/>
      <c r="T502" s="1284"/>
      <c r="U502" s="1333"/>
      <c r="V502" s="1333"/>
      <c r="W502" s="1333"/>
      <c r="X502" s="1333"/>
      <c r="Y502" s="1333"/>
      <c r="Z502" s="1333"/>
      <c r="AA502" s="1333"/>
      <c r="AB502" s="1333"/>
      <c r="AC502" s="1333"/>
      <c r="AD502" s="1333"/>
      <c r="AE502" s="1333"/>
      <c r="AF502" s="1333"/>
      <c r="AG502" s="1333"/>
      <c r="AH502" s="1333"/>
      <c r="AI502" s="1333"/>
    </row>
    <row r="503" spans="1:35" x14ac:dyDescent="0.25">
      <c r="A503" s="1331"/>
      <c r="B503" s="1284"/>
      <c r="C503" s="2062"/>
      <c r="D503" s="2062"/>
      <c r="E503" s="2062"/>
      <c r="F503" s="1364"/>
      <c r="G503" s="1297"/>
      <c r="H503" s="1333"/>
      <c r="I503" s="1333"/>
      <c r="J503" s="1284"/>
      <c r="K503" s="1419"/>
      <c r="L503" s="1333"/>
      <c r="M503" s="1333"/>
      <c r="N503" s="1333"/>
      <c r="O503" s="1333"/>
      <c r="P503" s="1333"/>
      <c r="Q503" s="1333"/>
      <c r="R503" s="1453"/>
      <c r="S503" s="1284"/>
      <c r="T503" s="1284"/>
      <c r="U503" s="1333"/>
      <c r="V503" s="1333"/>
      <c r="W503" s="1333"/>
      <c r="X503" s="1333"/>
      <c r="Y503" s="1333"/>
      <c r="Z503" s="1333"/>
      <c r="AA503" s="1333"/>
      <c r="AB503" s="1333"/>
      <c r="AC503" s="1333"/>
      <c r="AD503" s="1333"/>
      <c r="AE503" s="1333"/>
      <c r="AF503" s="1333"/>
      <c r="AG503" s="1333"/>
      <c r="AH503" s="1333"/>
      <c r="AI503" s="1333"/>
    </row>
    <row r="504" spans="1:35" x14ac:dyDescent="0.25">
      <c r="A504" s="1331"/>
      <c r="B504" s="1284"/>
      <c r="C504" s="2062"/>
      <c r="D504" s="2062"/>
      <c r="E504" s="2062"/>
      <c r="F504" s="1364"/>
      <c r="G504" s="1297"/>
      <c r="H504" s="1333"/>
      <c r="I504" s="1333"/>
      <c r="J504" s="1284"/>
      <c r="K504" s="1419"/>
      <c r="L504" s="1333"/>
      <c r="M504" s="1333"/>
      <c r="N504" s="1333"/>
      <c r="O504" s="1333"/>
      <c r="P504" s="1333"/>
      <c r="Q504" s="1333"/>
      <c r="R504" s="1284"/>
      <c r="S504" s="1284"/>
      <c r="T504" s="1284"/>
      <c r="U504" s="1333"/>
      <c r="V504" s="1333"/>
      <c r="W504" s="1333"/>
      <c r="X504" s="1333"/>
      <c r="Y504" s="1333"/>
      <c r="Z504" s="1333"/>
      <c r="AA504" s="1333"/>
      <c r="AB504" s="1333"/>
      <c r="AC504" s="1333"/>
      <c r="AD504" s="1333"/>
      <c r="AE504" s="1333"/>
      <c r="AF504" s="1333"/>
      <c r="AG504" s="1333"/>
      <c r="AH504" s="1333"/>
      <c r="AI504" s="1333"/>
    </row>
    <row r="505" spans="1:35" x14ac:dyDescent="0.25">
      <c r="A505" s="1331"/>
      <c r="B505" s="1284"/>
      <c r="C505" s="2062"/>
      <c r="D505" s="2062"/>
      <c r="E505" s="2062"/>
      <c r="F505" s="1364"/>
      <c r="G505" s="1297"/>
      <c r="H505" s="1333"/>
      <c r="I505" s="1333"/>
      <c r="J505" s="1284"/>
      <c r="K505" s="1419"/>
      <c r="L505" s="1333"/>
      <c r="M505" s="1333"/>
      <c r="N505" s="1333"/>
      <c r="O505" s="1333"/>
      <c r="P505" s="1333"/>
      <c r="Q505" s="1333"/>
      <c r="R505" s="1453"/>
      <c r="S505" s="1284"/>
      <c r="T505" s="1284"/>
      <c r="U505" s="1333"/>
      <c r="V505" s="1333"/>
      <c r="W505" s="1333"/>
      <c r="X505" s="1333"/>
      <c r="Y505" s="1333"/>
      <c r="Z505" s="1333"/>
      <c r="AA505" s="1333"/>
      <c r="AB505" s="1333"/>
      <c r="AC505" s="1333"/>
      <c r="AD505" s="1333"/>
      <c r="AE505" s="1333"/>
      <c r="AF505" s="1333"/>
      <c r="AG505" s="1333"/>
      <c r="AH505" s="1333"/>
      <c r="AI505" s="1333"/>
    </row>
    <row r="506" spans="1:35" x14ac:dyDescent="0.25">
      <c r="A506" s="1331"/>
      <c r="B506" s="1284"/>
      <c r="C506" s="2062"/>
      <c r="D506" s="2062"/>
      <c r="E506" s="2062"/>
      <c r="F506" s="1364"/>
      <c r="G506" s="1297"/>
      <c r="H506" s="1333"/>
      <c r="I506" s="1333"/>
      <c r="J506" s="1284"/>
      <c r="K506" s="1419"/>
      <c r="L506" s="1333"/>
      <c r="M506" s="1333"/>
      <c r="N506" s="1333"/>
      <c r="O506" s="1333"/>
      <c r="P506" s="1333"/>
      <c r="Q506" s="1333"/>
      <c r="R506" s="1453"/>
      <c r="S506" s="1284"/>
      <c r="T506" s="1284"/>
      <c r="U506" s="1333"/>
      <c r="V506" s="1333"/>
      <c r="W506" s="1333"/>
      <c r="X506" s="1333"/>
      <c r="Y506" s="1333"/>
      <c r="Z506" s="1333"/>
      <c r="AA506" s="1333"/>
      <c r="AB506" s="1333"/>
      <c r="AC506" s="1333"/>
      <c r="AD506" s="1333"/>
      <c r="AE506" s="1333"/>
      <c r="AF506" s="1333"/>
      <c r="AG506" s="1333"/>
      <c r="AH506" s="1333"/>
      <c r="AI506" s="1333"/>
    </row>
    <row r="507" spans="1:35" x14ac:dyDescent="0.25">
      <c r="A507" s="1331"/>
      <c r="B507" s="1284"/>
      <c r="C507" s="2062"/>
      <c r="D507" s="2062"/>
      <c r="E507" s="2062"/>
      <c r="F507" s="1364"/>
      <c r="G507" s="1365"/>
      <c r="H507" s="1333"/>
      <c r="I507" s="1333"/>
      <c r="J507" s="1284"/>
      <c r="K507" s="1419"/>
      <c r="L507" s="1333"/>
      <c r="M507" s="1333"/>
      <c r="N507" s="1333"/>
      <c r="O507" s="1333"/>
      <c r="P507" s="1333"/>
      <c r="Q507" s="1333"/>
      <c r="R507" s="1453"/>
      <c r="S507" s="1284"/>
      <c r="T507" s="1284"/>
      <c r="U507" s="1333"/>
      <c r="V507" s="1333"/>
      <c r="W507" s="1333"/>
      <c r="X507" s="1333"/>
      <c r="Y507" s="1333"/>
      <c r="Z507" s="1333"/>
      <c r="AA507" s="1333"/>
      <c r="AB507" s="1333"/>
      <c r="AC507" s="1333"/>
      <c r="AD507" s="1333"/>
      <c r="AE507" s="1333"/>
      <c r="AF507" s="1333"/>
      <c r="AG507" s="1333"/>
      <c r="AH507" s="1333"/>
      <c r="AI507" s="1333"/>
    </row>
    <row r="508" spans="1:35" x14ac:dyDescent="0.25">
      <c r="A508" s="1331"/>
      <c r="B508" s="1284"/>
      <c r="C508" s="2062"/>
      <c r="D508" s="2062"/>
      <c r="E508" s="2062"/>
      <c r="F508" s="1364"/>
      <c r="G508" s="1365"/>
      <c r="H508" s="1333"/>
      <c r="I508" s="1333"/>
      <c r="J508" s="1284"/>
      <c r="K508" s="1419"/>
      <c r="L508" s="1333"/>
      <c r="M508" s="1333"/>
      <c r="N508" s="1333"/>
      <c r="O508" s="1333"/>
      <c r="P508" s="1333"/>
      <c r="Q508" s="1333"/>
      <c r="R508" s="1453"/>
      <c r="S508" s="1489"/>
      <c r="T508" s="1284"/>
      <c r="U508" s="1333"/>
      <c r="V508" s="1333"/>
      <c r="W508" s="1333"/>
      <c r="X508" s="1333"/>
      <c r="Y508" s="1333"/>
      <c r="Z508" s="1333"/>
      <c r="AA508" s="1333"/>
      <c r="AB508" s="1333"/>
      <c r="AC508" s="1333"/>
      <c r="AD508" s="1333"/>
      <c r="AE508" s="1333"/>
      <c r="AF508" s="1333"/>
      <c r="AG508" s="1333"/>
      <c r="AH508" s="1333"/>
      <c r="AI508" s="1333"/>
    </row>
    <row r="509" spans="1:35" x14ac:dyDescent="0.25">
      <c r="A509" s="1331"/>
      <c r="B509" s="1284"/>
      <c r="C509" s="2062"/>
      <c r="D509" s="2062"/>
      <c r="E509" s="2062"/>
      <c r="F509" s="1364"/>
      <c r="G509" s="1365"/>
      <c r="H509" s="1333"/>
      <c r="I509" s="1333"/>
      <c r="J509" s="1284"/>
      <c r="K509" s="1419"/>
      <c r="L509" s="1333"/>
      <c r="M509" s="1333"/>
      <c r="N509" s="1333"/>
      <c r="O509" s="1333"/>
      <c r="P509" s="1333"/>
      <c r="Q509" s="1333"/>
      <c r="R509" s="1453"/>
      <c r="S509" s="1284"/>
      <c r="T509" s="1284"/>
      <c r="U509" s="1333"/>
      <c r="V509" s="1333"/>
      <c r="W509" s="1333"/>
      <c r="X509" s="1333"/>
      <c r="Y509" s="1333"/>
      <c r="Z509" s="1333"/>
      <c r="AA509" s="1333"/>
      <c r="AB509" s="1333"/>
      <c r="AC509" s="1333"/>
      <c r="AD509" s="1333"/>
      <c r="AE509" s="1333"/>
      <c r="AF509" s="1333"/>
      <c r="AG509" s="1333"/>
      <c r="AH509" s="1333"/>
      <c r="AI509" s="1333"/>
    </row>
    <row r="510" spans="1:35" x14ac:dyDescent="0.25">
      <c r="A510" s="1331"/>
      <c r="B510" s="1284"/>
      <c r="C510" s="2062"/>
      <c r="D510" s="2062"/>
      <c r="E510" s="2062"/>
      <c r="F510" s="1364"/>
      <c r="G510" s="1365"/>
      <c r="H510" s="1333"/>
      <c r="I510" s="1333"/>
      <c r="J510" s="1284"/>
      <c r="K510" s="1419"/>
      <c r="L510" s="1333"/>
      <c r="M510" s="1333"/>
      <c r="N510" s="1333"/>
      <c r="O510" s="1333"/>
      <c r="P510" s="1333"/>
      <c r="Q510" s="1333"/>
      <c r="R510" s="1453"/>
      <c r="S510" s="1284"/>
      <c r="T510" s="1284"/>
      <c r="U510" s="1333"/>
      <c r="V510" s="1333"/>
      <c r="W510" s="1333"/>
      <c r="X510" s="1333"/>
      <c r="Y510" s="1333"/>
      <c r="Z510" s="1333"/>
      <c r="AA510" s="1333"/>
      <c r="AB510" s="1333"/>
      <c r="AC510" s="1333"/>
      <c r="AD510" s="1333"/>
      <c r="AE510" s="1333"/>
      <c r="AF510" s="1333"/>
      <c r="AG510" s="1333"/>
      <c r="AH510" s="1333"/>
      <c r="AI510" s="1333"/>
    </row>
    <row r="511" spans="1:35" x14ac:dyDescent="0.25">
      <c r="A511" s="1331"/>
      <c r="B511" s="1284"/>
      <c r="C511" s="2062"/>
      <c r="D511" s="2062"/>
      <c r="E511" s="2062"/>
      <c r="F511" s="1364"/>
      <c r="G511" s="1365"/>
      <c r="H511" s="1333"/>
      <c r="I511" s="1333"/>
      <c r="J511" s="1284"/>
      <c r="K511" s="1419"/>
      <c r="L511" s="1333"/>
      <c r="M511" s="1333"/>
      <c r="N511" s="1333"/>
      <c r="O511" s="1333"/>
      <c r="P511" s="1333"/>
      <c r="Q511" s="1333"/>
      <c r="R511" s="1453"/>
      <c r="S511" s="1284"/>
      <c r="T511" s="1284"/>
      <c r="U511" s="1333"/>
      <c r="V511" s="1333"/>
      <c r="W511" s="1333"/>
      <c r="X511" s="1333"/>
      <c r="Y511" s="1333"/>
      <c r="Z511" s="1333"/>
      <c r="AA511" s="1333"/>
      <c r="AB511" s="1333"/>
      <c r="AC511" s="1333"/>
      <c r="AD511" s="1333"/>
      <c r="AE511" s="1333"/>
      <c r="AF511" s="1333"/>
      <c r="AG511" s="1333"/>
      <c r="AH511" s="1333"/>
      <c r="AI511" s="1333"/>
    </row>
    <row r="512" spans="1:35" x14ac:dyDescent="0.25">
      <c r="A512" s="1331"/>
      <c r="B512" s="1284"/>
      <c r="C512" s="2062"/>
      <c r="D512" s="2062"/>
      <c r="E512" s="2062"/>
      <c r="F512" s="1364"/>
      <c r="G512" s="1365"/>
      <c r="H512" s="1333"/>
      <c r="I512" s="1333"/>
      <c r="J512" s="1284"/>
      <c r="K512" s="1419"/>
      <c r="L512" s="1333"/>
      <c r="M512" s="1333"/>
      <c r="N512" s="1333"/>
      <c r="O512" s="1333"/>
      <c r="P512" s="1333"/>
      <c r="Q512" s="1333"/>
      <c r="R512" s="1453"/>
      <c r="S512" s="1284"/>
      <c r="T512" s="1284"/>
      <c r="U512" s="1333"/>
      <c r="V512" s="1333"/>
      <c r="W512" s="1333"/>
      <c r="X512" s="1333"/>
      <c r="Y512" s="1333"/>
      <c r="Z512" s="1333"/>
      <c r="AA512" s="1333"/>
      <c r="AB512" s="1333"/>
      <c r="AC512" s="1333"/>
      <c r="AD512" s="1333"/>
      <c r="AE512" s="1333"/>
      <c r="AF512" s="1333"/>
      <c r="AG512" s="1333"/>
      <c r="AH512" s="1333"/>
      <c r="AI512" s="1333"/>
    </row>
    <row r="513" spans="1:35" x14ac:dyDescent="0.25">
      <c r="A513" s="1331"/>
      <c r="B513" s="1284"/>
      <c r="C513" s="2062"/>
      <c r="D513" s="2062"/>
      <c r="E513" s="2062"/>
      <c r="F513" s="1364"/>
      <c r="G513" s="1365"/>
      <c r="H513" s="1333"/>
      <c r="I513" s="1333"/>
      <c r="J513" s="1284"/>
      <c r="K513" s="1333"/>
      <c r="L513" s="1333"/>
      <c r="M513" s="1333"/>
      <c r="N513" s="1333"/>
      <c r="O513" s="1333"/>
      <c r="P513" s="1333"/>
      <c r="Q513" s="1333"/>
      <c r="R513" s="1453"/>
      <c r="S513" s="1284"/>
      <c r="T513" s="1284"/>
      <c r="U513" s="1333"/>
      <c r="V513" s="1333"/>
      <c r="W513" s="1333"/>
      <c r="X513" s="1333"/>
      <c r="Y513" s="1333"/>
      <c r="Z513" s="1333"/>
      <c r="AA513" s="1333"/>
      <c r="AB513" s="1333"/>
      <c r="AC513" s="1333"/>
      <c r="AD513" s="1333"/>
      <c r="AE513" s="1333"/>
      <c r="AF513" s="1333"/>
      <c r="AG513" s="1333"/>
      <c r="AH513" s="1333"/>
      <c r="AI513" s="1333"/>
    </row>
    <row r="514" spans="1:35" x14ac:dyDescent="0.25">
      <c r="A514" s="1331"/>
      <c r="B514" s="1284"/>
      <c r="C514" s="2062"/>
      <c r="D514" s="2062"/>
      <c r="E514" s="2062"/>
      <c r="F514" s="1364"/>
      <c r="G514" s="1365"/>
      <c r="H514" s="1333"/>
      <c r="I514" s="1333"/>
      <c r="J514" s="1284"/>
      <c r="K514" s="1333"/>
      <c r="L514" s="1333"/>
      <c r="M514" s="1333"/>
      <c r="N514" s="1333"/>
      <c r="O514" s="1333"/>
      <c r="P514" s="1333"/>
      <c r="Q514" s="1333"/>
      <c r="R514" s="1453"/>
      <c r="S514" s="1284"/>
      <c r="T514" s="1284"/>
      <c r="U514" s="1333"/>
      <c r="V514" s="1333"/>
      <c r="W514" s="1333"/>
      <c r="X514" s="1333"/>
      <c r="Y514" s="1333"/>
      <c r="Z514" s="1333"/>
      <c r="AA514" s="1333"/>
      <c r="AB514" s="1333"/>
      <c r="AC514" s="1333"/>
      <c r="AD514" s="1333"/>
      <c r="AE514" s="1333"/>
      <c r="AF514" s="1333"/>
      <c r="AG514" s="1333"/>
      <c r="AH514" s="1333"/>
      <c r="AI514" s="1333"/>
    </row>
    <row r="515" spans="1:35" x14ac:dyDescent="0.25">
      <c r="A515" s="1331"/>
      <c r="B515" s="1284"/>
      <c r="C515" s="1284"/>
      <c r="D515" s="1364"/>
      <c r="E515" s="1364"/>
      <c r="F515" s="1364"/>
      <c r="G515" s="1365"/>
      <c r="H515" s="1333"/>
      <c r="I515" s="1333"/>
      <c r="J515" s="1284"/>
      <c r="K515" s="1333"/>
      <c r="L515" s="1333"/>
      <c r="M515" s="1333"/>
      <c r="N515" s="1333"/>
      <c r="O515" s="1333"/>
      <c r="P515" s="1333"/>
      <c r="Q515" s="1333"/>
      <c r="R515" s="1453"/>
      <c r="S515" s="1489"/>
      <c r="T515" s="1284"/>
      <c r="U515" s="1333"/>
      <c r="V515" s="1333"/>
      <c r="W515" s="1333"/>
      <c r="X515" s="1333"/>
      <c r="Y515" s="1333"/>
      <c r="Z515" s="1333"/>
      <c r="AA515" s="1333"/>
      <c r="AB515" s="1333"/>
      <c r="AC515" s="1333"/>
      <c r="AD515" s="1333"/>
      <c r="AE515" s="1333"/>
      <c r="AF515" s="1333"/>
      <c r="AG515" s="1333"/>
      <c r="AH515" s="1333"/>
      <c r="AI515" s="1333"/>
    </row>
    <row r="516" spans="1:35" x14ac:dyDescent="0.25">
      <c r="A516" s="1331"/>
      <c r="B516" s="1284"/>
      <c r="C516" s="1284"/>
      <c r="D516" s="1364"/>
      <c r="E516" s="1364"/>
      <c r="F516" s="1364"/>
      <c r="G516" s="1365"/>
      <c r="H516" s="1333"/>
      <c r="I516" s="1333"/>
      <c r="J516" s="1284"/>
      <c r="K516" s="1333"/>
      <c r="L516" s="1333"/>
      <c r="M516" s="1333"/>
      <c r="N516" s="1333"/>
      <c r="O516" s="1333"/>
      <c r="P516" s="1333"/>
      <c r="Q516" s="1333"/>
      <c r="R516" s="1284"/>
      <c r="S516" s="1284"/>
      <c r="T516" s="1284"/>
      <c r="U516" s="1333"/>
      <c r="V516" s="1333"/>
      <c r="W516" s="1333"/>
      <c r="X516" s="1333"/>
      <c r="Y516" s="1333"/>
      <c r="Z516" s="1333"/>
      <c r="AA516" s="1333"/>
      <c r="AB516" s="1333"/>
      <c r="AC516" s="1333"/>
      <c r="AD516" s="1333"/>
      <c r="AE516" s="1333"/>
      <c r="AF516" s="1333"/>
      <c r="AG516" s="1333"/>
      <c r="AH516" s="1333"/>
      <c r="AI516" s="1333"/>
    </row>
    <row r="517" spans="1:35" x14ac:dyDescent="0.25">
      <c r="A517" s="1331"/>
      <c r="B517" s="1284"/>
      <c r="C517" s="1284"/>
      <c r="D517" s="1364"/>
      <c r="E517" s="1364"/>
      <c r="F517" s="1364"/>
      <c r="G517" s="1365"/>
      <c r="H517" s="1333"/>
      <c r="I517" s="1333"/>
      <c r="J517" s="1284"/>
      <c r="K517" s="1333"/>
      <c r="L517" s="1333"/>
      <c r="M517" s="1333"/>
      <c r="N517" s="1333"/>
      <c r="O517" s="1333"/>
      <c r="P517" s="1333"/>
      <c r="Q517" s="1333"/>
      <c r="R517" s="1453"/>
      <c r="S517" s="1284"/>
      <c r="T517" s="1284"/>
      <c r="U517" s="1333"/>
      <c r="V517" s="1333"/>
      <c r="W517" s="1333"/>
      <c r="X517" s="1333"/>
      <c r="Y517" s="1333"/>
      <c r="Z517" s="1333"/>
      <c r="AA517" s="1333"/>
      <c r="AB517" s="1333"/>
      <c r="AC517" s="1333"/>
      <c r="AD517" s="1333"/>
      <c r="AE517" s="1333"/>
      <c r="AF517" s="1333"/>
      <c r="AG517" s="1333"/>
      <c r="AH517" s="1333"/>
      <c r="AI517" s="1333"/>
    </row>
    <row r="518" spans="1:35" x14ac:dyDescent="0.25">
      <c r="A518" s="1331"/>
      <c r="B518" s="1284"/>
      <c r="C518" s="1284"/>
      <c r="D518" s="1364"/>
      <c r="E518" s="1364"/>
      <c r="F518" s="1364"/>
      <c r="G518" s="1365"/>
      <c r="H518" s="1333"/>
      <c r="I518" s="1333"/>
      <c r="J518" s="1284"/>
      <c r="K518" s="1333"/>
      <c r="L518" s="1333"/>
      <c r="M518" s="1333"/>
      <c r="N518" s="1333"/>
      <c r="O518" s="1333"/>
      <c r="P518" s="1333"/>
      <c r="Q518" s="1333"/>
      <c r="R518" s="1453"/>
      <c r="S518" s="1284"/>
      <c r="T518" s="1284"/>
      <c r="U518" s="1333"/>
      <c r="V518" s="1333"/>
      <c r="W518" s="1333"/>
      <c r="X518" s="1333"/>
      <c r="Y518" s="1333"/>
      <c r="Z518" s="1333"/>
      <c r="AA518" s="1333"/>
      <c r="AB518" s="1333"/>
      <c r="AC518" s="1333"/>
      <c r="AD518" s="1333"/>
      <c r="AE518" s="1333"/>
      <c r="AF518" s="1333"/>
      <c r="AG518" s="1333"/>
      <c r="AH518" s="1333"/>
      <c r="AI518" s="1333"/>
    </row>
    <row r="519" spans="1:35" x14ac:dyDescent="0.25">
      <c r="A519" s="1331"/>
      <c r="B519" s="1284"/>
      <c r="C519" s="1284"/>
      <c r="D519" s="1364"/>
      <c r="E519" s="1364"/>
      <c r="F519" s="1364"/>
      <c r="G519" s="1365"/>
      <c r="H519" s="1333"/>
      <c r="I519" s="1333"/>
      <c r="J519" s="1284"/>
      <c r="K519" s="1333"/>
      <c r="L519" s="1333"/>
      <c r="M519" s="1333"/>
      <c r="N519" s="1333"/>
      <c r="O519" s="1333"/>
      <c r="P519" s="1333"/>
      <c r="Q519" s="1333"/>
      <c r="R519" s="1453"/>
      <c r="S519" s="1284"/>
      <c r="T519" s="1284"/>
      <c r="U519" s="1333"/>
      <c r="V519" s="1333"/>
      <c r="W519" s="1333"/>
      <c r="X519" s="1333"/>
      <c r="Y519" s="1333"/>
      <c r="Z519" s="1333"/>
      <c r="AA519" s="1333"/>
      <c r="AB519" s="1333"/>
      <c r="AC519" s="1333"/>
      <c r="AD519" s="1333"/>
      <c r="AE519" s="1333"/>
      <c r="AF519" s="1333"/>
      <c r="AG519" s="1333"/>
      <c r="AH519" s="1333"/>
      <c r="AI519" s="1333"/>
    </row>
    <row r="520" spans="1:35" x14ac:dyDescent="0.25">
      <c r="A520" s="1331"/>
      <c r="B520" s="1284"/>
      <c r="C520" s="1284"/>
      <c r="D520" s="1364"/>
      <c r="E520" s="1364"/>
      <c r="F520" s="1364"/>
      <c r="G520" s="1365"/>
      <c r="H520" s="1333"/>
      <c r="I520" s="1333"/>
      <c r="J520" s="1284"/>
      <c r="K520" s="1333"/>
      <c r="L520" s="1333"/>
      <c r="M520" s="1333"/>
      <c r="N520" s="1333"/>
      <c r="O520" s="1333"/>
      <c r="P520" s="1333"/>
      <c r="Q520" s="1333"/>
      <c r="R520" s="1284"/>
      <c r="S520" s="1284"/>
      <c r="T520" s="1284"/>
      <c r="U520" s="1333"/>
      <c r="V520" s="1333"/>
      <c r="W520" s="1333"/>
      <c r="X520" s="1333"/>
      <c r="Y520" s="1333"/>
      <c r="Z520" s="1333"/>
      <c r="AA520" s="1333"/>
      <c r="AB520" s="1333"/>
      <c r="AC520" s="1333"/>
      <c r="AD520" s="1333"/>
      <c r="AE520" s="1333"/>
      <c r="AF520" s="1333"/>
      <c r="AG520" s="1333"/>
      <c r="AH520" s="1333"/>
      <c r="AI520" s="1333"/>
    </row>
    <row r="521" spans="1:35" x14ac:dyDescent="0.25">
      <c r="A521" s="1331"/>
      <c r="B521" s="1284"/>
      <c r="C521" s="1284"/>
      <c r="D521" s="1364"/>
      <c r="E521" s="1364"/>
      <c r="F521" s="1364"/>
      <c r="G521" s="1365"/>
      <c r="H521" s="1333"/>
      <c r="I521" s="1333"/>
      <c r="J521" s="1284"/>
      <c r="K521" s="1333"/>
      <c r="L521" s="1333"/>
      <c r="M521" s="1333"/>
      <c r="N521" s="1333"/>
      <c r="O521" s="1333"/>
      <c r="P521" s="1333"/>
      <c r="Q521" s="1333"/>
      <c r="R521" s="1453"/>
      <c r="S521" s="1284"/>
      <c r="T521" s="1284"/>
      <c r="U521" s="1333"/>
      <c r="V521" s="1333"/>
      <c r="W521" s="1333"/>
      <c r="X521" s="1333"/>
      <c r="Y521" s="1333"/>
      <c r="Z521" s="1333"/>
      <c r="AA521" s="1333"/>
      <c r="AB521" s="1333"/>
      <c r="AC521" s="1333"/>
      <c r="AD521" s="1333"/>
      <c r="AE521" s="1333"/>
      <c r="AF521" s="1333"/>
      <c r="AG521" s="1333"/>
      <c r="AH521" s="1333"/>
      <c r="AI521" s="1333"/>
    </row>
    <row r="522" spans="1:35" x14ac:dyDescent="0.25">
      <c r="A522" s="1331"/>
      <c r="B522" s="1284"/>
      <c r="C522" s="1284"/>
      <c r="D522" s="1364"/>
      <c r="E522" s="1364"/>
      <c r="F522" s="1364"/>
      <c r="G522" s="1365"/>
      <c r="H522" s="1333"/>
      <c r="I522" s="1333"/>
      <c r="J522" s="1284"/>
      <c r="K522" s="1333"/>
      <c r="L522" s="1333"/>
      <c r="M522" s="1333"/>
      <c r="N522" s="1333"/>
      <c r="O522" s="1333"/>
      <c r="P522" s="1333"/>
      <c r="Q522" s="1333"/>
      <c r="R522" s="1453"/>
      <c r="S522" s="1284"/>
      <c r="T522" s="1284"/>
      <c r="U522" s="1333"/>
      <c r="V522" s="1333"/>
      <c r="W522" s="1333"/>
      <c r="X522" s="1333"/>
      <c r="Y522" s="1333"/>
      <c r="Z522" s="1333"/>
      <c r="AA522" s="1333"/>
      <c r="AB522" s="1333"/>
      <c r="AC522" s="1333"/>
      <c r="AD522" s="1333"/>
      <c r="AE522" s="1333"/>
      <c r="AF522" s="1333"/>
      <c r="AG522" s="1333"/>
      <c r="AH522" s="1333"/>
      <c r="AI522" s="1333"/>
    </row>
    <row r="523" spans="1:35" x14ac:dyDescent="0.25">
      <c r="A523" s="1331"/>
      <c r="B523" s="1284"/>
      <c r="C523" s="1284"/>
      <c r="D523" s="1364"/>
      <c r="E523" s="1364"/>
      <c r="F523" s="1364"/>
      <c r="G523" s="1365"/>
      <c r="H523" s="1333"/>
      <c r="I523" s="1333"/>
      <c r="J523" s="1284"/>
      <c r="K523" s="1333"/>
      <c r="L523" s="1333"/>
      <c r="M523" s="1333"/>
      <c r="N523" s="1333"/>
      <c r="O523" s="1333"/>
      <c r="P523" s="1333"/>
      <c r="Q523" s="1333"/>
      <c r="R523" s="1453"/>
      <c r="S523" s="1284"/>
      <c r="T523" s="1284"/>
      <c r="U523" s="1333"/>
      <c r="V523" s="1333"/>
      <c r="W523" s="1333"/>
      <c r="X523" s="1333"/>
      <c r="Y523" s="1333"/>
      <c r="Z523" s="1333"/>
      <c r="AA523" s="1333"/>
      <c r="AB523" s="1333"/>
      <c r="AC523" s="1333"/>
      <c r="AD523" s="1333"/>
      <c r="AE523" s="1333"/>
      <c r="AF523" s="1333"/>
      <c r="AG523" s="1333"/>
      <c r="AH523" s="1333"/>
      <c r="AI523" s="1333"/>
    </row>
    <row r="524" spans="1:35" x14ac:dyDescent="0.25">
      <c r="A524" s="1331"/>
      <c r="B524" s="1284"/>
      <c r="C524" s="1284"/>
      <c r="D524" s="1364"/>
      <c r="E524" s="1364"/>
      <c r="F524" s="1364"/>
      <c r="G524" s="1365"/>
      <c r="H524" s="1333"/>
      <c r="I524" s="1333"/>
      <c r="J524" s="1284"/>
      <c r="K524" s="1333"/>
      <c r="L524" s="1333"/>
      <c r="M524" s="1333"/>
      <c r="N524" s="1333"/>
      <c r="O524" s="1333"/>
      <c r="P524" s="1333"/>
      <c r="Q524" s="1333"/>
      <c r="R524" s="1453"/>
      <c r="S524" s="1284"/>
      <c r="T524" s="1284"/>
      <c r="U524" s="1333"/>
      <c r="V524" s="1333"/>
      <c r="W524" s="1333"/>
      <c r="X524" s="1333"/>
      <c r="Y524" s="1333"/>
      <c r="Z524" s="1333"/>
      <c r="AA524" s="1333"/>
      <c r="AB524" s="1333"/>
      <c r="AC524" s="1333"/>
      <c r="AD524" s="1333"/>
      <c r="AE524" s="1333"/>
      <c r="AF524" s="1333"/>
      <c r="AG524" s="1333"/>
      <c r="AH524" s="1333"/>
      <c r="AI524" s="1333"/>
    </row>
    <row r="525" spans="1:35" x14ac:dyDescent="0.25">
      <c r="A525" s="1331"/>
      <c r="B525" s="1284"/>
      <c r="C525" s="1284"/>
      <c r="D525" s="1364"/>
      <c r="E525" s="1364"/>
      <c r="F525" s="1364"/>
      <c r="G525" s="1365"/>
      <c r="H525" s="1333"/>
      <c r="I525" s="1333"/>
      <c r="J525" s="1284"/>
      <c r="K525" s="1333"/>
      <c r="L525" s="1333"/>
      <c r="M525" s="1333"/>
      <c r="N525" s="1333"/>
      <c r="O525" s="1333"/>
      <c r="P525" s="1333"/>
      <c r="Q525" s="1333"/>
      <c r="R525" s="1453"/>
      <c r="S525" s="1284"/>
      <c r="T525" s="1284"/>
      <c r="U525" s="1333"/>
      <c r="V525" s="1333"/>
      <c r="W525" s="1333"/>
      <c r="X525" s="1333"/>
      <c r="Y525" s="1333"/>
      <c r="Z525" s="1333"/>
      <c r="AA525" s="1333"/>
      <c r="AB525" s="1333"/>
      <c r="AC525" s="1333"/>
      <c r="AD525" s="1333"/>
      <c r="AE525" s="1333"/>
      <c r="AF525" s="1333"/>
      <c r="AG525" s="1333"/>
      <c r="AH525" s="1333"/>
      <c r="AI525" s="1333"/>
    </row>
    <row r="526" spans="1:35" x14ac:dyDescent="0.25">
      <c r="A526" s="1331"/>
      <c r="B526" s="1284"/>
      <c r="C526" s="1284"/>
      <c r="D526" s="1364"/>
      <c r="E526" s="1364"/>
      <c r="F526" s="1364"/>
      <c r="G526" s="1365"/>
      <c r="H526" s="1333"/>
      <c r="I526" s="1333"/>
      <c r="J526" s="1284"/>
      <c r="K526" s="1333"/>
      <c r="L526" s="1333"/>
      <c r="M526" s="1333"/>
      <c r="N526" s="1333"/>
      <c r="O526" s="1333"/>
      <c r="P526" s="1333"/>
      <c r="Q526" s="1333"/>
      <c r="R526" s="1453"/>
      <c r="S526" s="1284"/>
      <c r="T526" s="1284"/>
      <c r="U526" s="1333"/>
      <c r="V526" s="1333"/>
      <c r="W526" s="1333"/>
      <c r="X526" s="1333"/>
      <c r="Y526" s="1333"/>
      <c r="Z526" s="1333"/>
      <c r="AA526" s="1333"/>
      <c r="AB526" s="1333"/>
      <c r="AC526" s="1333"/>
      <c r="AD526" s="1333"/>
      <c r="AE526" s="1333"/>
      <c r="AF526" s="1333"/>
      <c r="AG526" s="1333"/>
      <c r="AH526" s="1333"/>
      <c r="AI526" s="1333"/>
    </row>
    <row r="527" spans="1:35" x14ac:dyDescent="0.25">
      <c r="A527" s="1331"/>
      <c r="B527" s="1284"/>
      <c r="C527" s="1284"/>
      <c r="D527" s="1364"/>
      <c r="E527" s="1364"/>
      <c r="F527" s="1364"/>
      <c r="G527" s="1365"/>
      <c r="H527" s="1333"/>
      <c r="I527" s="1333"/>
      <c r="J527" s="1284"/>
      <c r="K527" s="1333"/>
      <c r="L527" s="1333"/>
      <c r="M527" s="1333"/>
      <c r="N527" s="1333"/>
      <c r="O527" s="1333"/>
      <c r="P527" s="1333"/>
      <c r="Q527" s="1333"/>
      <c r="R527" s="1453"/>
      <c r="S527" s="1489"/>
      <c r="T527" s="1284"/>
      <c r="U527" s="1333"/>
      <c r="V527" s="1333"/>
      <c r="W527" s="1333"/>
      <c r="X527" s="1333"/>
      <c r="Y527" s="1333"/>
      <c r="Z527" s="1333"/>
      <c r="AA527" s="1333"/>
      <c r="AB527" s="1333"/>
      <c r="AC527" s="1333"/>
      <c r="AD527" s="1333"/>
      <c r="AE527" s="1333"/>
      <c r="AF527" s="1333"/>
      <c r="AG527" s="1333"/>
      <c r="AH527" s="1333"/>
      <c r="AI527" s="1333"/>
    </row>
    <row r="528" spans="1:35" x14ac:dyDescent="0.25">
      <c r="A528" s="1331"/>
      <c r="B528" s="1284"/>
      <c r="C528" s="1284"/>
      <c r="D528" s="1364"/>
      <c r="E528" s="1364"/>
      <c r="F528" s="1364"/>
      <c r="G528" s="1365"/>
      <c r="H528" s="1333"/>
      <c r="I528" s="1333"/>
      <c r="J528" s="1284"/>
      <c r="K528" s="1333"/>
      <c r="L528" s="1333"/>
      <c r="M528" s="1333"/>
      <c r="N528" s="1333"/>
      <c r="O528" s="1333"/>
      <c r="P528" s="1333"/>
      <c r="Q528" s="1333"/>
      <c r="R528" s="1454"/>
      <c r="S528" s="1284"/>
      <c r="T528" s="1284"/>
      <c r="U528" s="1333"/>
      <c r="V528" s="1333"/>
      <c r="W528" s="1333"/>
      <c r="X528" s="1333"/>
      <c r="Y528" s="1333"/>
      <c r="Z528" s="1333"/>
      <c r="AA528" s="1333"/>
      <c r="AB528" s="1333"/>
      <c r="AC528" s="1333"/>
      <c r="AD528" s="1333"/>
      <c r="AE528" s="1333"/>
      <c r="AF528" s="1333"/>
      <c r="AG528" s="1333"/>
      <c r="AH528" s="1333"/>
      <c r="AI528" s="1333"/>
    </row>
    <row r="529" spans="1:35" x14ac:dyDescent="0.25">
      <c r="A529" s="1331"/>
      <c r="B529" s="1284"/>
      <c r="C529" s="1284"/>
      <c r="D529" s="1364"/>
      <c r="E529" s="1364"/>
      <c r="F529" s="1364"/>
      <c r="G529" s="1365"/>
      <c r="H529" s="1333"/>
      <c r="I529" s="1333"/>
      <c r="J529" s="1284"/>
      <c r="K529" s="1333"/>
      <c r="L529" s="1333"/>
      <c r="M529" s="1333"/>
      <c r="N529" s="1333"/>
      <c r="O529" s="1333"/>
      <c r="P529" s="1333"/>
      <c r="Q529" s="1333"/>
      <c r="R529" s="1454"/>
      <c r="S529" s="1284"/>
      <c r="T529" s="1284"/>
      <c r="U529" s="1333"/>
      <c r="V529" s="1333"/>
      <c r="W529" s="1333"/>
      <c r="X529" s="1333"/>
      <c r="Y529" s="1333"/>
      <c r="Z529" s="1333"/>
      <c r="AA529" s="1333"/>
      <c r="AB529" s="1333"/>
      <c r="AC529" s="1333"/>
      <c r="AD529" s="1333"/>
      <c r="AE529" s="1333"/>
      <c r="AF529" s="1333"/>
      <c r="AG529" s="1333"/>
      <c r="AH529" s="1333"/>
      <c r="AI529" s="1333"/>
    </row>
    <row r="530" spans="1:35" x14ac:dyDescent="0.25">
      <c r="A530" s="1331"/>
      <c r="B530" s="1284"/>
      <c r="C530" s="1284"/>
      <c r="D530" s="1364"/>
      <c r="E530" s="1364"/>
      <c r="F530" s="1364"/>
      <c r="G530" s="1365"/>
      <c r="H530" s="1333"/>
      <c r="I530" s="1333"/>
      <c r="J530" s="1284"/>
      <c r="K530" s="1333"/>
      <c r="L530" s="1333"/>
      <c r="M530" s="1333"/>
      <c r="N530" s="1333"/>
      <c r="O530" s="1333"/>
      <c r="P530" s="1333"/>
      <c r="Q530" s="1333"/>
      <c r="R530" s="1454"/>
      <c r="S530" s="1284"/>
      <c r="T530" s="1284"/>
      <c r="U530" s="1333"/>
      <c r="V530" s="1333"/>
      <c r="W530" s="1333"/>
      <c r="X530" s="1333"/>
      <c r="Y530" s="1333"/>
      <c r="Z530" s="1333"/>
      <c r="AA530" s="1333"/>
      <c r="AB530" s="1333"/>
      <c r="AC530" s="1333"/>
      <c r="AD530" s="1333"/>
      <c r="AE530" s="1333"/>
      <c r="AF530" s="1333"/>
      <c r="AG530" s="1333"/>
      <c r="AH530" s="1333"/>
      <c r="AI530" s="1333"/>
    </row>
    <row r="531" spans="1:35" x14ac:dyDescent="0.25">
      <c r="A531" s="1331"/>
      <c r="B531" s="1284"/>
      <c r="C531" s="1284"/>
      <c r="D531" s="1364"/>
      <c r="E531" s="1364"/>
      <c r="F531" s="1364"/>
      <c r="G531" s="1365"/>
      <c r="H531" s="1333"/>
      <c r="I531" s="1333"/>
      <c r="J531" s="1284"/>
      <c r="K531" s="1333"/>
      <c r="L531" s="1333"/>
      <c r="M531" s="1333"/>
      <c r="N531" s="1333"/>
      <c r="O531" s="1333"/>
      <c r="P531" s="1333"/>
      <c r="Q531" s="1333"/>
      <c r="R531" s="1454"/>
      <c r="S531" s="1489"/>
      <c r="T531" s="1284"/>
      <c r="U531" s="1333"/>
      <c r="V531" s="1333"/>
      <c r="W531" s="1333"/>
      <c r="X531" s="1333"/>
      <c r="Y531" s="1333"/>
      <c r="Z531" s="1333"/>
      <c r="AA531" s="1333"/>
      <c r="AB531" s="1333"/>
      <c r="AC531" s="1333"/>
      <c r="AD531" s="1333"/>
      <c r="AE531" s="1333"/>
      <c r="AF531" s="1333"/>
      <c r="AG531" s="1333"/>
      <c r="AH531" s="1333"/>
      <c r="AI531" s="1333"/>
    </row>
    <row r="532" spans="1:35" x14ac:dyDescent="0.25">
      <c r="A532" s="1331"/>
      <c r="B532" s="1284"/>
      <c r="C532" s="1284"/>
      <c r="D532" s="1364"/>
      <c r="E532" s="1364"/>
      <c r="F532" s="1364"/>
      <c r="G532" s="1365"/>
      <c r="H532" s="1333"/>
      <c r="I532" s="1333"/>
      <c r="J532" s="1284"/>
      <c r="K532" s="1333"/>
      <c r="L532" s="1333"/>
      <c r="M532" s="1333"/>
      <c r="N532" s="1333"/>
      <c r="O532" s="1333"/>
      <c r="P532" s="1333"/>
      <c r="Q532" s="1333"/>
      <c r="R532" s="1454"/>
      <c r="S532" s="1284"/>
      <c r="T532" s="1284"/>
      <c r="U532" s="1333"/>
      <c r="V532" s="1333"/>
      <c r="W532" s="1333"/>
      <c r="X532" s="1333"/>
      <c r="Y532" s="1333"/>
      <c r="Z532" s="1333"/>
      <c r="AA532" s="1333"/>
      <c r="AB532" s="1333"/>
      <c r="AC532" s="1333"/>
      <c r="AD532" s="1333"/>
      <c r="AE532" s="1333"/>
      <c r="AF532" s="1333"/>
      <c r="AG532" s="1333"/>
      <c r="AH532" s="1333"/>
      <c r="AI532" s="1333"/>
    </row>
    <row r="533" spans="1:35" x14ac:dyDescent="0.25">
      <c r="A533" s="1331"/>
      <c r="B533" s="1284"/>
      <c r="C533" s="1284"/>
      <c r="D533" s="1364"/>
      <c r="E533" s="1364"/>
      <c r="F533" s="1364"/>
      <c r="G533" s="1365"/>
      <c r="H533" s="1333"/>
      <c r="I533" s="1333"/>
      <c r="J533" s="1284"/>
      <c r="K533" s="1333"/>
      <c r="L533" s="1333"/>
      <c r="M533" s="1333"/>
      <c r="N533" s="1333"/>
      <c r="O533" s="1333"/>
      <c r="P533" s="1333"/>
      <c r="Q533" s="1333"/>
      <c r="R533" s="1454"/>
      <c r="S533" s="1284"/>
      <c r="T533" s="1284"/>
      <c r="U533" s="1333"/>
      <c r="V533" s="1333"/>
      <c r="W533" s="1333"/>
      <c r="X533" s="1333"/>
      <c r="Y533" s="1333"/>
      <c r="Z533" s="1333"/>
      <c r="AA533" s="1333"/>
      <c r="AB533" s="1333"/>
      <c r="AC533" s="1333"/>
      <c r="AD533" s="1333"/>
      <c r="AE533" s="1333"/>
      <c r="AF533" s="1333"/>
      <c r="AG533" s="1333"/>
      <c r="AH533" s="1333"/>
      <c r="AI533" s="1333"/>
    </row>
    <row r="534" spans="1:35" x14ac:dyDescent="0.25">
      <c r="A534" s="1331"/>
      <c r="B534" s="1284"/>
      <c r="C534" s="1284"/>
      <c r="D534" s="1364"/>
      <c r="E534" s="1364"/>
      <c r="F534" s="1364"/>
      <c r="G534" s="1365"/>
      <c r="H534" s="1333"/>
      <c r="I534" s="1333"/>
      <c r="J534" s="1284"/>
      <c r="K534" s="1333"/>
      <c r="L534" s="1333"/>
      <c r="M534" s="1333"/>
      <c r="N534" s="1333"/>
      <c r="O534" s="1333"/>
      <c r="P534" s="1333"/>
      <c r="Q534" s="1333"/>
      <c r="R534" s="1454"/>
      <c r="S534" s="1284"/>
      <c r="T534" s="1284"/>
      <c r="U534" s="1333"/>
      <c r="V534" s="1333"/>
      <c r="W534" s="1333"/>
      <c r="X534" s="1333"/>
      <c r="Y534" s="1333"/>
      <c r="Z534" s="1333"/>
      <c r="AA534" s="1333"/>
      <c r="AB534" s="1333"/>
      <c r="AC534" s="1333"/>
      <c r="AD534" s="1333"/>
      <c r="AE534" s="1333"/>
      <c r="AF534" s="1333"/>
      <c r="AG534" s="1333"/>
      <c r="AH534" s="1333"/>
      <c r="AI534" s="1333"/>
    </row>
    <row r="535" spans="1:35" x14ac:dyDescent="0.25">
      <c r="A535" s="1331"/>
      <c r="B535" s="1284"/>
      <c r="C535" s="1284"/>
      <c r="D535" s="1364"/>
      <c r="E535" s="1364"/>
      <c r="F535" s="1364"/>
      <c r="G535" s="1365"/>
      <c r="H535" s="1333"/>
      <c r="I535" s="1333"/>
      <c r="J535" s="1284"/>
      <c r="K535" s="1333"/>
      <c r="L535" s="1333"/>
      <c r="M535" s="1333"/>
      <c r="N535" s="1333"/>
      <c r="O535" s="1333"/>
      <c r="P535" s="1333"/>
      <c r="Q535" s="1333"/>
      <c r="R535" s="1453"/>
      <c r="S535" s="1284"/>
      <c r="T535" s="1284"/>
      <c r="U535" s="1333"/>
      <c r="V535" s="1333"/>
      <c r="W535" s="1333"/>
      <c r="X535" s="1333"/>
      <c r="Y535" s="1333"/>
      <c r="Z535" s="1333"/>
      <c r="AA535" s="1333"/>
      <c r="AB535" s="1333"/>
      <c r="AC535" s="1333"/>
      <c r="AD535" s="1333"/>
      <c r="AE535" s="1333"/>
      <c r="AF535" s="1333"/>
      <c r="AG535" s="1333"/>
      <c r="AH535" s="1333"/>
      <c r="AI535" s="1333"/>
    </row>
    <row r="536" spans="1:35" x14ac:dyDescent="0.25">
      <c r="A536" s="1331"/>
      <c r="B536" s="1284"/>
      <c r="C536" s="1284"/>
      <c r="D536" s="1364"/>
      <c r="E536" s="1364"/>
      <c r="F536" s="1364"/>
      <c r="G536" s="1365"/>
      <c r="H536" s="1333"/>
      <c r="I536" s="1333"/>
      <c r="J536" s="1284"/>
      <c r="K536" s="1333"/>
      <c r="L536" s="1333"/>
      <c r="M536" s="1333"/>
      <c r="N536" s="1333"/>
      <c r="O536" s="1333"/>
      <c r="P536" s="1333"/>
      <c r="Q536" s="1333"/>
      <c r="R536" s="1284"/>
      <c r="S536" s="1284"/>
      <c r="T536" s="1284"/>
      <c r="U536" s="1333"/>
      <c r="V536" s="1333"/>
      <c r="W536" s="1333"/>
      <c r="X536" s="1333"/>
      <c r="Y536" s="1333"/>
      <c r="Z536" s="1333"/>
      <c r="AA536" s="1333"/>
      <c r="AB536" s="1333"/>
      <c r="AC536" s="1333"/>
      <c r="AD536" s="1333"/>
      <c r="AE536" s="1333"/>
      <c r="AF536" s="1333"/>
      <c r="AG536" s="1333"/>
      <c r="AH536" s="1333"/>
      <c r="AI536" s="1333"/>
    </row>
    <row r="537" spans="1:35" x14ac:dyDescent="0.25">
      <c r="A537" s="1331"/>
      <c r="B537" s="1284"/>
      <c r="C537" s="1284"/>
      <c r="D537" s="1364"/>
      <c r="E537" s="1364"/>
      <c r="F537" s="1364"/>
      <c r="G537" s="1365"/>
      <c r="H537" s="1333"/>
      <c r="I537" s="1333"/>
      <c r="J537" s="1284"/>
      <c r="K537" s="1333"/>
      <c r="L537" s="1333"/>
      <c r="M537" s="1333"/>
      <c r="N537" s="1333"/>
      <c r="O537" s="1333"/>
      <c r="P537" s="1333"/>
      <c r="Q537" s="1333"/>
      <c r="R537" s="1453"/>
      <c r="S537" s="1284"/>
      <c r="T537" s="1284"/>
      <c r="U537" s="1333"/>
      <c r="V537" s="1333"/>
      <c r="W537" s="1333"/>
      <c r="X537" s="1333"/>
      <c r="Y537" s="1333"/>
      <c r="Z537" s="1333"/>
      <c r="AA537" s="1333"/>
      <c r="AB537" s="1333"/>
      <c r="AC537" s="1333"/>
      <c r="AD537" s="1333"/>
      <c r="AE537" s="1333"/>
      <c r="AF537" s="1333"/>
      <c r="AG537" s="1333"/>
      <c r="AH537" s="1333"/>
      <c r="AI537" s="1333"/>
    </row>
    <row r="538" spans="1:35" x14ac:dyDescent="0.25">
      <c r="A538" s="1331"/>
      <c r="B538" s="1284"/>
      <c r="C538" s="1284"/>
      <c r="D538" s="1364"/>
      <c r="E538" s="1364"/>
      <c r="F538" s="1364"/>
      <c r="G538" s="1365"/>
      <c r="H538" s="1333"/>
      <c r="I538" s="1333"/>
      <c r="J538" s="1284"/>
      <c r="K538" s="1333"/>
      <c r="L538" s="1333"/>
      <c r="M538" s="1333"/>
      <c r="N538" s="1333"/>
      <c r="O538" s="1333"/>
      <c r="P538" s="1333"/>
      <c r="Q538" s="1333"/>
      <c r="R538" s="1453"/>
      <c r="S538" s="1284"/>
      <c r="T538" s="1284"/>
      <c r="U538" s="1333"/>
      <c r="V538" s="1333"/>
      <c r="W538" s="1333"/>
      <c r="X538" s="1333"/>
      <c r="Y538" s="1333"/>
      <c r="Z538" s="1333"/>
      <c r="AA538" s="1333"/>
      <c r="AB538" s="1333"/>
      <c r="AC538" s="1333"/>
      <c r="AD538" s="1333"/>
      <c r="AE538" s="1333"/>
      <c r="AF538" s="1333"/>
      <c r="AG538" s="1333"/>
      <c r="AH538" s="1333"/>
      <c r="AI538" s="1333"/>
    </row>
    <row r="539" spans="1:35" x14ac:dyDescent="0.25">
      <c r="A539" s="1331"/>
      <c r="B539" s="1284"/>
      <c r="C539" s="1284"/>
      <c r="D539" s="1364"/>
      <c r="E539" s="1364"/>
      <c r="F539" s="1364"/>
      <c r="G539" s="1365"/>
      <c r="H539" s="1333"/>
      <c r="I539" s="1333"/>
      <c r="J539" s="1284"/>
      <c r="K539" s="1333"/>
      <c r="L539" s="1333"/>
      <c r="M539" s="1333"/>
      <c r="N539" s="1333"/>
      <c r="O539" s="1333"/>
      <c r="P539" s="1333"/>
      <c r="Q539" s="1333"/>
      <c r="R539" s="1453"/>
      <c r="S539" s="1284"/>
      <c r="T539" s="1284"/>
      <c r="U539" s="1333"/>
      <c r="V539" s="1333"/>
      <c r="W539" s="1333"/>
      <c r="X539" s="1333"/>
      <c r="Y539" s="1333"/>
      <c r="Z539" s="1333"/>
      <c r="AA539" s="1333"/>
      <c r="AB539" s="1333"/>
      <c r="AC539" s="1333"/>
      <c r="AD539" s="1333"/>
      <c r="AE539" s="1333"/>
      <c r="AF539" s="1333"/>
      <c r="AG539" s="1333"/>
      <c r="AH539" s="1333"/>
      <c r="AI539" s="1333"/>
    </row>
    <row r="540" spans="1:35" x14ac:dyDescent="0.25">
      <c r="A540" s="1331"/>
      <c r="B540" s="1284"/>
      <c r="C540" s="1284"/>
      <c r="D540" s="1364"/>
      <c r="E540" s="1364"/>
      <c r="F540" s="1364"/>
      <c r="G540" s="1365"/>
      <c r="H540" s="1333"/>
      <c r="I540" s="1333"/>
      <c r="J540" s="1284"/>
      <c r="K540" s="1333"/>
      <c r="L540" s="1333"/>
      <c r="M540" s="1333"/>
      <c r="N540" s="1333"/>
      <c r="O540" s="1333"/>
      <c r="P540" s="1333"/>
      <c r="Q540" s="1333"/>
      <c r="R540" s="1284"/>
      <c r="S540" s="1284"/>
      <c r="T540" s="1284"/>
      <c r="U540" s="1333"/>
      <c r="V540" s="1333"/>
      <c r="W540" s="1333"/>
      <c r="X540" s="1333"/>
      <c r="Y540" s="1333"/>
      <c r="Z540" s="1333"/>
      <c r="AA540" s="1333"/>
      <c r="AB540" s="1333"/>
      <c r="AC540" s="1333"/>
      <c r="AD540" s="1333"/>
      <c r="AE540" s="1333"/>
      <c r="AF540" s="1333"/>
      <c r="AG540" s="1333"/>
      <c r="AH540" s="1333"/>
      <c r="AI540" s="1333"/>
    </row>
    <row r="541" spans="1:35" x14ac:dyDescent="0.25">
      <c r="A541" s="1331"/>
      <c r="B541" s="1284"/>
      <c r="C541" s="1284"/>
      <c r="D541" s="1364"/>
      <c r="E541" s="1364"/>
      <c r="F541" s="1364"/>
      <c r="G541" s="1365"/>
      <c r="H541" s="1333"/>
      <c r="I541" s="1333"/>
      <c r="J541" s="1284"/>
      <c r="K541" s="1333"/>
      <c r="L541" s="1333"/>
      <c r="M541" s="1333"/>
      <c r="N541" s="1333"/>
      <c r="O541" s="1333"/>
      <c r="P541" s="1333"/>
      <c r="Q541" s="1333"/>
      <c r="R541" s="1453"/>
      <c r="S541" s="1284"/>
      <c r="T541" s="1284"/>
      <c r="U541" s="1333"/>
      <c r="V541" s="1333"/>
      <c r="W541" s="1333"/>
      <c r="X541" s="1333"/>
      <c r="Y541" s="1333"/>
      <c r="Z541" s="1333"/>
      <c r="AA541" s="1333"/>
      <c r="AB541" s="1333"/>
      <c r="AC541" s="1333"/>
      <c r="AD541" s="1333"/>
      <c r="AE541" s="1333"/>
      <c r="AF541" s="1333"/>
      <c r="AG541" s="1333"/>
      <c r="AH541" s="1333"/>
      <c r="AI541" s="1333"/>
    </row>
    <row r="542" spans="1:35" x14ac:dyDescent="0.25">
      <c r="A542" s="1331"/>
      <c r="B542" s="1284"/>
      <c r="C542" s="1284"/>
      <c r="D542" s="1364"/>
      <c r="E542" s="1364"/>
      <c r="F542" s="1364"/>
      <c r="G542" s="1365"/>
      <c r="H542" s="1333"/>
      <c r="I542" s="1333"/>
      <c r="J542" s="1284"/>
      <c r="K542" s="1333"/>
      <c r="L542" s="1333"/>
      <c r="M542" s="1333"/>
      <c r="N542" s="1333"/>
      <c r="O542" s="1333"/>
      <c r="P542" s="1333"/>
      <c r="Q542" s="1333"/>
      <c r="R542" s="1453"/>
      <c r="S542" s="1284"/>
      <c r="T542" s="1284"/>
      <c r="U542" s="1333"/>
      <c r="V542" s="1333"/>
      <c r="W542" s="1333"/>
      <c r="X542" s="1333"/>
      <c r="Y542" s="1333"/>
      <c r="Z542" s="1333"/>
      <c r="AA542" s="1333"/>
      <c r="AB542" s="1333"/>
      <c r="AC542" s="1333"/>
      <c r="AD542" s="1333"/>
      <c r="AE542" s="1333"/>
      <c r="AF542" s="1333"/>
      <c r="AG542" s="1333"/>
      <c r="AH542" s="1333"/>
      <c r="AI542" s="1333"/>
    </row>
    <row r="543" spans="1:35" x14ac:dyDescent="0.25">
      <c r="A543" s="1331"/>
      <c r="B543" s="1284"/>
      <c r="C543" s="1284"/>
      <c r="D543" s="1364"/>
      <c r="E543" s="1364"/>
      <c r="F543" s="1364"/>
      <c r="G543" s="1365"/>
      <c r="H543" s="1333"/>
      <c r="I543" s="1333"/>
      <c r="J543" s="1284"/>
      <c r="K543" s="1333"/>
      <c r="L543" s="1333"/>
      <c r="M543" s="1333"/>
      <c r="N543" s="1333"/>
      <c r="O543" s="1333"/>
      <c r="P543" s="1333"/>
      <c r="Q543" s="1333"/>
      <c r="R543" s="1333"/>
      <c r="S543" s="1284"/>
      <c r="T543" s="1284"/>
      <c r="U543" s="1333"/>
      <c r="V543" s="1333"/>
      <c r="W543" s="1333"/>
      <c r="X543" s="1333"/>
      <c r="Y543" s="1333"/>
      <c r="Z543" s="1333"/>
      <c r="AA543" s="1333"/>
      <c r="AB543" s="1333"/>
      <c r="AC543" s="1333"/>
      <c r="AD543" s="1333"/>
      <c r="AE543" s="1333"/>
      <c r="AF543" s="1333"/>
      <c r="AG543" s="1333"/>
      <c r="AH543" s="1333"/>
      <c r="AI543" s="1333"/>
    </row>
    <row r="544" spans="1:35" x14ac:dyDescent="0.25">
      <c r="A544" s="1331"/>
      <c r="B544" s="1284"/>
      <c r="C544" s="1284"/>
      <c r="D544" s="1364"/>
      <c r="E544" s="1364"/>
      <c r="F544" s="1364"/>
      <c r="G544" s="1365"/>
      <c r="H544" s="1333"/>
      <c r="I544" s="1333"/>
      <c r="J544" s="1284"/>
      <c r="K544" s="1333"/>
      <c r="L544" s="1333"/>
      <c r="M544" s="1333"/>
      <c r="N544" s="1333"/>
      <c r="O544" s="1333"/>
      <c r="P544" s="1333"/>
      <c r="Q544" s="1333"/>
      <c r="R544" s="1333"/>
      <c r="S544" s="1284"/>
      <c r="T544" s="1284"/>
      <c r="U544" s="1333"/>
      <c r="V544" s="1333"/>
      <c r="W544" s="1333"/>
      <c r="X544" s="1333"/>
      <c r="Y544" s="1333"/>
      <c r="Z544" s="1333"/>
      <c r="AA544" s="1333"/>
      <c r="AB544" s="1333"/>
      <c r="AC544" s="1333"/>
      <c r="AD544" s="1333"/>
      <c r="AE544" s="1333"/>
      <c r="AF544" s="1333"/>
      <c r="AG544" s="1333"/>
      <c r="AH544" s="1333"/>
      <c r="AI544" s="1333"/>
    </row>
    <row r="545" spans="1:35" x14ac:dyDescent="0.25">
      <c r="A545" s="1331"/>
      <c r="B545" s="1284"/>
      <c r="C545" s="1284"/>
      <c r="D545" s="1364"/>
      <c r="E545" s="1364"/>
      <c r="F545" s="1364"/>
      <c r="G545" s="1365"/>
      <c r="H545" s="1333"/>
      <c r="I545" s="1333"/>
      <c r="J545" s="1284"/>
      <c r="K545" s="1333"/>
      <c r="L545" s="1333"/>
      <c r="M545" s="1333"/>
      <c r="N545" s="1333"/>
      <c r="O545" s="1333"/>
      <c r="P545" s="1333"/>
      <c r="Q545" s="1333"/>
      <c r="R545" s="1333"/>
      <c r="S545" s="1284"/>
      <c r="T545" s="1284"/>
      <c r="U545" s="1333"/>
      <c r="V545" s="1333"/>
      <c r="W545" s="1333"/>
      <c r="X545" s="1333"/>
      <c r="Y545" s="1333"/>
      <c r="Z545" s="1333"/>
      <c r="AA545" s="1333"/>
      <c r="AB545" s="1333"/>
      <c r="AC545" s="1333"/>
      <c r="AD545" s="1333"/>
      <c r="AE545" s="1333"/>
      <c r="AF545" s="1333"/>
      <c r="AG545" s="1333"/>
      <c r="AH545" s="1333"/>
      <c r="AI545" s="1333"/>
    </row>
    <row r="546" spans="1:35" x14ac:dyDescent="0.25">
      <c r="A546" s="1331"/>
      <c r="B546" s="1284"/>
      <c r="C546" s="1284"/>
      <c r="D546" s="1364"/>
      <c r="E546" s="1364"/>
      <c r="F546" s="1364"/>
      <c r="G546" s="1365"/>
      <c r="H546" s="1333"/>
      <c r="I546" s="1333"/>
      <c r="J546" s="1284"/>
      <c r="K546" s="1333"/>
      <c r="L546" s="1333"/>
      <c r="M546" s="1333"/>
      <c r="N546" s="1333"/>
      <c r="O546" s="1333"/>
      <c r="P546" s="1333"/>
      <c r="Q546" s="1333"/>
      <c r="R546" s="1333"/>
      <c r="S546" s="1284"/>
      <c r="T546" s="1284"/>
      <c r="U546" s="1333"/>
      <c r="V546" s="1333"/>
      <c r="W546" s="1333"/>
      <c r="X546" s="1333"/>
      <c r="Y546" s="1333"/>
      <c r="Z546" s="1333"/>
      <c r="AA546" s="1333"/>
      <c r="AB546" s="1333"/>
      <c r="AC546" s="1333"/>
      <c r="AD546" s="1333"/>
      <c r="AE546" s="1333"/>
      <c r="AF546" s="1333"/>
      <c r="AG546" s="1333"/>
      <c r="AH546" s="1333"/>
      <c r="AI546" s="1333"/>
    </row>
    <row r="547" spans="1:35" x14ac:dyDescent="0.25">
      <c r="A547" s="1331"/>
      <c r="B547" s="1284"/>
      <c r="C547" s="1284"/>
      <c r="D547" s="1364"/>
      <c r="E547" s="1364"/>
      <c r="F547" s="1364"/>
      <c r="G547" s="1365"/>
      <c r="H547" s="1333"/>
      <c r="I547" s="1333"/>
      <c r="J547" s="1284"/>
      <c r="K547" s="1333"/>
      <c r="L547" s="1333"/>
      <c r="M547" s="1333"/>
      <c r="N547" s="1333"/>
      <c r="O547" s="1333"/>
      <c r="P547" s="1333"/>
      <c r="Q547" s="1333"/>
      <c r="R547" s="1333"/>
      <c r="S547" s="1489"/>
      <c r="T547" s="1284"/>
      <c r="U547" s="1333"/>
      <c r="V547" s="1333"/>
      <c r="W547" s="1333"/>
      <c r="X547" s="1333"/>
      <c r="Y547" s="1333"/>
      <c r="Z547" s="1333"/>
      <c r="AA547" s="1333"/>
      <c r="AB547" s="1333"/>
      <c r="AC547" s="1333"/>
      <c r="AD547" s="1333"/>
      <c r="AE547" s="1333"/>
      <c r="AF547" s="1333"/>
      <c r="AG547" s="1333"/>
      <c r="AH547" s="1333"/>
      <c r="AI547" s="1333"/>
    </row>
    <row r="548" spans="1:35" x14ac:dyDescent="0.25">
      <c r="A548" s="1331"/>
      <c r="B548" s="1284"/>
      <c r="C548" s="1284"/>
      <c r="D548" s="1364"/>
      <c r="E548" s="1364"/>
      <c r="F548" s="1364"/>
      <c r="G548" s="1365"/>
      <c r="H548" s="1333"/>
      <c r="I548" s="1333"/>
      <c r="J548" s="1284"/>
      <c r="K548" s="1333"/>
      <c r="L548" s="1333"/>
      <c r="M548" s="1333"/>
      <c r="N548" s="1333"/>
      <c r="O548" s="1333"/>
      <c r="P548" s="1333"/>
      <c r="Q548" s="1333"/>
      <c r="R548" s="1333"/>
      <c r="S548" s="1284"/>
      <c r="T548" s="1284"/>
      <c r="U548" s="1333"/>
      <c r="V548" s="1333"/>
      <c r="W548" s="1333"/>
      <c r="X548" s="1333"/>
      <c r="Y548" s="1333"/>
      <c r="Z548" s="1333"/>
      <c r="AA548" s="1333"/>
      <c r="AB548" s="1333"/>
      <c r="AC548" s="1333"/>
      <c r="AD548" s="1333"/>
      <c r="AE548" s="1333"/>
      <c r="AF548" s="1333"/>
      <c r="AG548" s="1333"/>
      <c r="AH548" s="1333"/>
      <c r="AI548" s="1333"/>
    </row>
    <row r="549" spans="1:35" x14ac:dyDescent="0.25">
      <c r="A549" s="1331"/>
      <c r="B549" s="1284"/>
      <c r="C549" s="1284"/>
      <c r="D549" s="1364"/>
      <c r="E549" s="1364"/>
      <c r="F549" s="1364"/>
      <c r="G549" s="1365"/>
      <c r="H549" s="1333"/>
      <c r="I549" s="1333"/>
      <c r="J549" s="1284"/>
      <c r="K549" s="1333"/>
      <c r="L549" s="1333"/>
      <c r="M549" s="1333"/>
      <c r="N549" s="1333"/>
      <c r="O549" s="1333"/>
      <c r="P549" s="1333"/>
      <c r="Q549" s="1333"/>
      <c r="R549" s="1333"/>
      <c r="S549" s="1284"/>
      <c r="T549" s="1284"/>
      <c r="U549" s="1333"/>
      <c r="V549" s="1333"/>
      <c r="W549" s="1333"/>
      <c r="X549" s="1333"/>
      <c r="Y549" s="1333"/>
      <c r="Z549" s="1333"/>
      <c r="AA549" s="1333"/>
      <c r="AB549" s="1333"/>
      <c r="AC549" s="1333"/>
      <c r="AD549" s="1333"/>
      <c r="AE549" s="1333"/>
      <c r="AF549" s="1333"/>
      <c r="AG549" s="1333"/>
      <c r="AH549" s="1333"/>
      <c r="AI549" s="1333"/>
    </row>
    <row r="550" spans="1:35" x14ac:dyDescent="0.25">
      <c r="A550" s="1331"/>
      <c r="B550" s="1284"/>
      <c r="C550" s="1284"/>
      <c r="D550" s="1364"/>
      <c r="E550" s="1364"/>
      <c r="F550" s="1364"/>
      <c r="G550" s="1365"/>
      <c r="H550" s="1333"/>
      <c r="I550" s="1333"/>
      <c r="J550" s="1284"/>
      <c r="K550" s="1333"/>
      <c r="L550" s="1333"/>
      <c r="M550" s="1333"/>
      <c r="N550" s="1333"/>
      <c r="O550" s="1333"/>
      <c r="P550" s="1333"/>
      <c r="Q550" s="1333"/>
      <c r="R550" s="1333"/>
      <c r="S550" s="1284"/>
      <c r="T550" s="1284"/>
      <c r="U550" s="1333"/>
      <c r="V550" s="1333"/>
      <c r="W550" s="1333"/>
      <c r="X550" s="1333"/>
      <c r="Y550" s="1333"/>
      <c r="Z550" s="1333"/>
      <c r="AA550" s="1333"/>
      <c r="AB550" s="1333"/>
      <c r="AC550" s="1333"/>
      <c r="AD550" s="1333"/>
      <c r="AE550" s="1333"/>
      <c r="AF550" s="1333"/>
      <c r="AG550" s="1333"/>
      <c r="AH550" s="1333"/>
      <c r="AI550" s="1333"/>
    </row>
    <row r="551" spans="1:35" x14ac:dyDescent="0.25">
      <c r="A551" s="1331"/>
      <c r="B551" s="1284"/>
      <c r="C551" s="1284"/>
      <c r="D551" s="1364"/>
      <c r="E551" s="1364"/>
      <c r="F551" s="1364"/>
      <c r="G551" s="1365"/>
      <c r="H551" s="1333"/>
      <c r="I551" s="1333"/>
      <c r="J551" s="1284"/>
      <c r="K551" s="1333"/>
      <c r="L551" s="1333"/>
      <c r="M551" s="1333"/>
      <c r="N551" s="1333"/>
      <c r="O551" s="1333"/>
      <c r="P551" s="1333"/>
      <c r="Q551" s="1333"/>
      <c r="R551" s="1333"/>
      <c r="S551" s="1489"/>
      <c r="T551" s="1284"/>
      <c r="U551" s="1333"/>
      <c r="V551" s="1333"/>
      <c r="W551" s="1333"/>
      <c r="X551" s="1333"/>
      <c r="Y551" s="1333"/>
      <c r="Z551" s="1333"/>
      <c r="AA551" s="1333"/>
      <c r="AB551" s="1333"/>
      <c r="AC551" s="1333"/>
      <c r="AD551" s="1333"/>
      <c r="AE551" s="1333"/>
      <c r="AF551" s="1333"/>
      <c r="AG551" s="1333"/>
      <c r="AH551" s="1333"/>
      <c r="AI551" s="1333"/>
    </row>
    <row r="552" spans="1:35" x14ac:dyDescent="0.25">
      <c r="A552" s="1331"/>
      <c r="B552" s="1284"/>
      <c r="C552" s="1284"/>
      <c r="D552" s="1364"/>
      <c r="E552" s="1364"/>
      <c r="F552" s="1364"/>
      <c r="G552" s="1365"/>
      <c r="H552" s="1333"/>
      <c r="I552" s="1333"/>
      <c r="J552" s="1284"/>
      <c r="K552" s="1333"/>
      <c r="L552" s="1333"/>
      <c r="M552" s="1333"/>
      <c r="N552" s="1333"/>
      <c r="O552" s="1333"/>
      <c r="P552" s="1333"/>
      <c r="Q552" s="1333"/>
      <c r="R552" s="1333"/>
      <c r="S552" s="1284"/>
      <c r="T552" s="1284"/>
      <c r="U552" s="1333"/>
      <c r="V552" s="1333"/>
      <c r="W552" s="1333"/>
      <c r="X552" s="1333"/>
      <c r="Y552" s="1333"/>
      <c r="Z552" s="1333"/>
      <c r="AA552" s="1333"/>
      <c r="AB552" s="1333"/>
      <c r="AC552" s="1333"/>
      <c r="AD552" s="1333"/>
      <c r="AE552" s="1333"/>
      <c r="AF552" s="1333"/>
      <c r="AG552" s="1333"/>
      <c r="AH552" s="1333"/>
      <c r="AI552" s="1333"/>
    </row>
    <row r="553" spans="1:35" x14ac:dyDescent="0.25">
      <c r="A553" s="1331"/>
      <c r="B553" s="1284"/>
      <c r="C553" s="1284"/>
      <c r="D553" s="1364"/>
      <c r="E553" s="1364"/>
      <c r="F553" s="1364"/>
      <c r="G553" s="1365"/>
      <c r="H553" s="1333"/>
      <c r="I553" s="1333"/>
      <c r="J553" s="1284"/>
      <c r="K553" s="1333"/>
      <c r="L553" s="1333"/>
      <c r="M553" s="1333"/>
      <c r="N553" s="1333"/>
      <c r="O553" s="1333"/>
      <c r="P553" s="1333"/>
      <c r="Q553" s="1333"/>
      <c r="R553" s="1333"/>
      <c r="S553" s="1284"/>
      <c r="T553" s="1284"/>
      <c r="U553" s="1333"/>
      <c r="V553" s="1333"/>
      <c r="W553" s="1333"/>
      <c r="X553" s="1333"/>
      <c r="Y553" s="1333"/>
      <c r="Z553" s="1333"/>
      <c r="AA553" s="1333"/>
      <c r="AB553" s="1333"/>
      <c r="AC553" s="1333"/>
      <c r="AD553" s="1333"/>
      <c r="AE553" s="1333"/>
      <c r="AF553" s="1333"/>
      <c r="AG553" s="1333"/>
      <c r="AH553" s="1333"/>
      <c r="AI553" s="1333"/>
    </row>
    <row r="554" spans="1:35" x14ac:dyDescent="0.25">
      <c r="A554" s="1331"/>
      <c r="B554" s="1284"/>
      <c r="C554" s="1284"/>
      <c r="D554" s="1364"/>
      <c r="E554" s="1364"/>
      <c r="F554" s="1364"/>
      <c r="G554" s="1365"/>
      <c r="H554" s="1333"/>
      <c r="I554" s="1333"/>
      <c r="J554" s="1284"/>
      <c r="K554" s="1333"/>
      <c r="L554" s="1333"/>
      <c r="M554" s="1333"/>
      <c r="N554" s="1333"/>
      <c r="O554" s="1333"/>
      <c r="P554" s="1333"/>
      <c r="Q554" s="1333"/>
      <c r="R554" s="1333"/>
      <c r="S554" s="1333"/>
      <c r="T554" s="1284"/>
      <c r="U554" s="1333"/>
      <c r="V554" s="1333"/>
      <c r="W554" s="1333"/>
      <c r="X554" s="1333"/>
      <c r="Y554" s="1333"/>
      <c r="Z554" s="1333"/>
      <c r="AA554" s="1333"/>
      <c r="AB554" s="1333"/>
      <c r="AC554" s="1333"/>
      <c r="AD554" s="1333"/>
      <c r="AE554" s="1333"/>
      <c r="AF554" s="1333"/>
      <c r="AG554" s="1333"/>
      <c r="AH554" s="1333"/>
      <c r="AI554" s="1333"/>
    </row>
    <row r="555" spans="1:35" x14ac:dyDescent="0.25">
      <c r="A555" s="1331"/>
      <c r="B555" s="1284"/>
      <c r="C555" s="1284"/>
      <c r="D555" s="1364"/>
      <c r="E555" s="1364"/>
      <c r="F555" s="1364"/>
      <c r="G555" s="1365"/>
      <c r="H555" s="1333"/>
      <c r="I555" s="1333"/>
      <c r="J555" s="1284"/>
      <c r="K555" s="1333"/>
      <c r="L555" s="1333"/>
      <c r="M555" s="1333"/>
      <c r="N555" s="1333"/>
      <c r="O555" s="1333"/>
      <c r="P555" s="1333"/>
      <c r="Q555" s="1333"/>
      <c r="R555" s="1333"/>
      <c r="S555" s="1333"/>
      <c r="T555" s="1284"/>
      <c r="U555" s="1333"/>
      <c r="V555" s="1333"/>
      <c r="W555" s="1333"/>
      <c r="X555" s="1333"/>
      <c r="Y555" s="1333"/>
      <c r="Z555" s="1333"/>
      <c r="AA555" s="1333"/>
      <c r="AB555" s="1333"/>
      <c r="AC555" s="1333"/>
      <c r="AD555" s="1333"/>
      <c r="AE555" s="1333"/>
      <c r="AF555" s="1333"/>
      <c r="AG555" s="1333"/>
      <c r="AH555" s="1333"/>
      <c r="AI555" s="1333"/>
    </row>
    <row r="556" spans="1:35" x14ac:dyDescent="0.25">
      <c r="A556" s="1331"/>
      <c r="B556" s="1284"/>
      <c r="C556" s="1284"/>
      <c r="D556" s="1364"/>
      <c r="E556" s="1364"/>
      <c r="F556" s="1364"/>
      <c r="G556" s="1365"/>
      <c r="H556" s="1333"/>
      <c r="I556" s="1333"/>
      <c r="J556" s="1284"/>
      <c r="K556" s="1333"/>
      <c r="L556" s="1333"/>
      <c r="M556" s="1333"/>
      <c r="N556" s="1333"/>
      <c r="O556" s="1333"/>
      <c r="P556" s="1333"/>
      <c r="Q556" s="1333"/>
      <c r="R556" s="1333"/>
      <c r="S556" s="1333"/>
      <c r="T556" s="1284"/>
      <c r="U556" s="1333"/>
      <c r="V556" s="1333"/>
      <c r="W556" s="1333"/>
      <c r="X556" s="1333"/>
      <c r="Y556" s="1333"/>
      <c r="Z556" s="1333"/>
      <c r="AA556" s="1333"/>
      <c r="AB556" s="1333"/>
      <c r="AC556" s="1333"/>
      <c r="AD556" s="1333"/>
      <c r="AE556" s="1333"/>
      <c r="AF556" s="1333"/>
      <c r="AG556" s="1333"/>
      <c r="AH556" s="1333"/>
      <c r="AI556" s="1333"/>
    </row>
    <row r="557" spans="1:35" x14ac:dyDescent="0.25">
      <c r="A557" s="1331"/>
      <c r="B557" s="1284"/>
      <c r="C557" s="1284"/>
      <c r="D557" s="1364"/>
      <c r="E557" s="1364"/>
      <c r="F557" s="1364"/>
      <c r="G557" s="1365"/>
      <c r="H557" s="1333"/>
      <c r="I557" s="1333"/>
      <c r="J557" s="1284"/>
      <c r="K557" s="1333"/>
      <c r="L557" s="1333"/>
      <c r="M557" s="1333"/>
      <c r="N557" s="1333"/>
      <c r="O557" s="1333"/>
      <c r="P557" s="1333"/>
      <c r="Q557" s="1333"/>
      <c r="R557" s="1333"/>
      <c r="S557" s="1333"/>
      <c r="T557" s="1284"/>
      <c r="U557" s="1333"/>
      <c r="V557" s="1333"/>
      <c r="W557" s="1333"/>
      <c r="X557" s="1333"/>
      <c r="Y557" s="1333"/>
      <c r="Z557" s="1333"/>
      <c r="AA557" s="1333"/>
      <c r="AB557" s="1333"/>
      <c r="AC557" s="1333"/>
      <c r="AD557" s="1333"/>
      <c r="AE557" s="1333"/>
      <c r="AF557" s="1333"/>
      <c r="AG557" s="1333"/>
      <c r="AH557" s="1333"/>
      <c r="AI557" s="1333"/>
    </row>
    <row r="558" spans="1:35" x14ac:dyDescent="0.25">
      <c r="A558" s="1331"/>
      <c r="B558" s="1284"/>
      <c r="C558" s="1284"/>
      <c r="D558" s="1364"/>
      <c r="E558" s="1364"/>
      <c r="F558" s="1364"/>
      <c r="G558" s="1365"/>
      <c r="H558" s="1333"/>
      <c r="I558" s="1333"/>
      <c r="J558" s="1284"/>
      <c r="K558" s="1333"/>
      <c r="L558" s="1333"/>
      <c r="M558" s="1333"/>
      <c r="N558" s="1333"/>
      <c r="O558" s="1333"/>
      <c r="P558" s="1333"/>
      <c r="Q558" s="1333"/>
      <c r="R558" s="1333"/>
      <c r="S558" s="1333"/>
      <c r="T558" s="1284"/>
      <c r="U558" s="1333"/>
      <c r="V558" s="1333"/>
      <c r="W558" s="1333"/>
      <c r="X558" s="1333"/>
      <c r="Y558" s="1333"/>
      <c r="Z558" s="1333"/>
      <c r="AA558" s="1333"/>
      <c r="AB558" s="1333"/>
      <c r="AC558" s="1333"/>
      <c r="AD558" s="1333"/>
      <c r="AE558" s="1333"/>
      <c r="AF558" s="1333"/>
      <c r="AG558" s="1333"/>
      <c r="AH558" s="1333"/>
      <c r="AI558" s="1333"/>
    </row>
    <row r="559" spans="1:35" x14ac:dyDescent="0.25">
      <c r="A559" s="1331"/>
      <c r="B559" s="1284"/>
      <c r="C559" s="1284"/>
      <c r="D559" s="1364"/>
      <c r="E559" s="1364"/>
      <c r="F559" s="1364"/>
      <c r="G559" s="1365"/>
      <c r="H559" s="1333"/>
      <c r="I559" s="1333"/>
      <c r="J559" s="1284"/>
      <c r="K559" s="1333"/>
      <c r="L559" s="1333"/>
      <c r="M559" s="1333"/>
      <c r="N559" s="1333"/>
      <c r="O559" s="1333"/>
      <c r="P559" s="1333"/>
      <c r="Q559" s="1333"/>
      <c r="R559" s="1333"/>
      <c r="S559" s="1333"/>
      <c r="T559" s="1284"/>
      <c r="U559" s="1333"/>
      <c r="V559" s="1333"/>
      <c r="W559" s="1333"/>
      <c r="X559" s="1333"/>
      <c r="Y559" s="1333"/>
      <c r="Z559" s="1333"/>
      <c r="AA559" s="1333"/>
      <c r="AB559" s="1333"/>
      <c r="AC559" s="1333"/>
      <c r="AD559" s="1333"/>
      <c r="AE559" s="1333"/>
      <c r="AF559" s="1333"/>
      <c r="AG559" s="1333"/>
      <c r="AH559" s="1333"/>
      <c r="AI559" s="1333"/>
    </row>
    <row r="560" spans="1:35" x14ac:dyDescent="0.25">
      <c r="A560" s="1331"/>
      <c r="B560" s="1284"/>
      <c r="C560" s="1284"/>
      <c r="D560" s="1364"/>
      <c r="E560" s="1364"/>
      <c r="F560" s="1364"/>
      <c r="G560" s="1365"/>
      <c r="H560" s="1333"/>
      <c r="I560" s="1333"/>
      <c r="J560" s="1284"/>
      <c r="K560" s="1333"/>
      <c r="L560" s="1333"/>
      <c r="M560" s="1333"/>
      <c r="N560" s="1333"/>
      <c r="O560" s="1333"/>
      <c r="P560" s="1333"/>
      <c r="Q560" s="1333"/>
      <c r="R560" s="1333"/>
      <c r="S560" s="1333"/>
      <c r="T560" s="1284"/>
      <c r="U560" s="1333"/>
      <c r="V560" s="1333"/>
      <c r="W560" s="1333"/>
      <c r="X560" s="1333"/>
      <c r="Y560" s="1333"/>
      <c r="Z560" s="1333"/>
      <c r="AA560" s="1333"/>
      <c r="AB560" s="1333"/>
      <c r="AC560" s="1333"/>
      <c r="AD560" s="1333"/>
      <c r="AE560" s="1333"/>
      <c r="AF560" s="1333"/>
      <c r="AG560" s="1333"/>
      <c r="AH560" s="1333"/>
      <c r="AI560" s="1333"/>
    </row>
    <row r="561" spans="1:35" x14ac:dyDescent="0.25">
      <c r="A561" s="1331"/>
      <c r="B561" s="1284"/>
      <c r="C561" s="1284"/>
      <c r="D561" s="1364"/>
      <c r="E561" s="1364"/>
      <c r="F561" s="1364"/>
      <c r="G561" s="1365"/>
      <c r="H561" s="1333"/>
      <c r="I561" s="1333"/>
      <c r="J561" s="1284"/>
      <c r="K561" s="1333"/>
      <c r="L561" s="1333"/>
      <c r="M561" s="1333"/>
      <c r="N561" s="1333"/>
      <c r="O561" s="1333"/>
      <c r="P561" s="1333"/>
      <c r="Q561" s="1333"/>
      <c r="R561" s="1333"/>
      <c r="S561" s="1333"/>
      <c r="T561" s="1284"/>
      <c r="U561" s="1333"/>
      <c r="V561" s="1333"/>
      <c r="W561" s="1333"/>
      <c r="X561" s="1333"/>
      <c r="Y561" s="1333"/>
      <c r="Z561" s="1333"/>
      <c r="AA561" s="1333"/>
      <c r="AB561" s="1333"/>
      <c r="AC561" s="1333"/>
      <c r="AD561" s="1333"/>
      <c r="AE561" s="1333"/>
      <c r="AF561" s="1333"/>
      <c r="AG561" s="1333"/>
      <c r="AH561" s="1333"/>
      <c r="AI561" s="1333"/>
    </row>
    <row r="562" spans="1:35" x14ac:dyDescent="0.25">
      <c r="A562" s="1331"/>
      <c r="B562" s="1284"/>
      <c r="C562" s="1284"/>
      <c r="D562" s="1364"/>
      <c r="E562" s="1364"/>
      <c r="F562" s="1364"/>
      <c r="G562" s="1365"/>
      <c r="H562" s="1333"/>
      <c r="I562" s="1333"/>
      <c r="J562" s="1284"/>
      <c r="K562" s="1333"/>
      <c r="L562" s="1333"/>
      <c r="M562" s="1333"/>
      <c r="N562" s="1333"/>
      <c r="O562" s="1333"/>
      <c r="P562" s="1333"/>
      <c r="Q562" s="1333"/>
      <c r="R562" s="1333"/>
      <c r="S562" s="1333"/>
      <c r="T562" s="1284"/>
      <c r="U562" s="1333"/>
      <c r="V562" s="1333"/>
      <c r="W562" s="1333"/>
      <c r="X562" s="1333"/>
      <c r="Y562" s="1333"/>
      <c r="Z562" s="1333"/>
      <c r="AA562" s="1333"/>
      <c r="AB562" s="1333"/>
      <c r="AC562" s="1333"/>
      <c r="AD562" s="1333"/>
      <c r="AE562" s="1333"/>
      <c r="AF562" s="1333"/>
      <c r="AG562" s="1333"/>
      <c r="AH562" s="1333"/>
      <c r="AI562" s="1333"/>
    </row>
    <row r="563" spans="1:35" x14ac:dyDescent="0.25">
      <c r="A563" s="1331"/>
      <c r="B563" s="1284"/>
      <c r="C563" s="1284"/>
      <c r="D563" s="1364"/>
      <c r="E563" s="1364"/>
      <c r="F563" s="1364"/>
      <c r="G563" s="1365"/>
      <c r="H563" s="1333"/>
      <c r="I563" s="1333"/>
      <c r="J563" s="1284"/>
      <c r="K563" s="1333"/>
      <c r="L563" s="1333"/>
      <c r="M563" s="1333"/>
      <c r="N563" s="1333"/>
      <c r="O563" s="1333"/>
      <c r="P563" s="1333"/>
      <c r="Q563" s="1333"/>
      <c r="R563" s="1333"/>
      <c r="S563" s="1333"/>
      <c r="T563" s="1284"/>
      <c r="U563" s="1333"/>
      <c r="V563" s="1333"/>
      <c r="W563" s="1333"/>
      <c r="X563" s="1333"/>
      <c r="Y563" s="1333"/>
      <c r="Z563" s="1333"/>
      <c r="AA563" s="1333"/>
      <c r="AB563" s="1333"/>
      <c r="AC563" s="1333"/>
      <c r="AD563" s="1333"/>
      <c r="AE563" s="1333"/>
      <c r="AF563" s="1333"/>
      <c r="AG563" s="1333"/>
      <c r="AH563" s="1333"/>
      <c r="AI563" s="1333"/>
    </row>
    <row r="564" spans="1:35" x14ac:dyDescent="0.25">
      <c r="A564" s="1331"/>
      <c r="B564" s="1284"/>
      <c r="C564" s="1284"/>
      <c r="D564" s="1364"/>
      <c r="E564" s="1364"/>
      <c r="F564" s="1364"/>
      <c r="G564" s="1365"/>
      <c r="H564" s="1333"/>
      <c r="I564" s="1333"/>
      <c r="J564" s="1284"/>
      <c r="K564" s="1333"/>
      <c r="L564" s="1333"/>
      <c r="M564" s="1333"/>
      <c r="N564" s="1333"/>
      <c r="O564" s="1333"/>
      <c r="P564" s="1333"/>
      <c r="Q564" s="1333"/>
      <c r="R564" s="1333"/>
      <c r="S564" s="1333"/>
      <c r="T564" s="1284"/>
      <c r="U564" s="1333"/>
      <c r="V564" s="1333"/>
      <c r="W564" s="1333"/>
      <c r="X564" s="1333"/>
      <c r="Y564" s="1333"/>
      <c r="Z564" s="1333"/>
      <c r="AA564" s="1333"/>
      <c r="AB564" s="1333"/>
      <c r="AC564" s="1333"/>
      <c r="AD564" s="1333"/>
      <c r="AE564" s="1333"/>
      <c r="AF564" s="1333"/>
      <c r="AG564" s="1333"/>
      <c r="AH564" s="1333"/>
      <c r="AI564" s="1333"/>
    </row>
    <row r="565" spans="1:35" x14ac:dyDescent="0.25">
      <c r="A565" s="1331"/>
      <c r="B565" s="1284"/>
      <c r="C565" s="1284"/>
      <c r="D565" s="1364"/>
      <c r="E565" s="1364"/>
      <c r="F565" s="1364"/>
      <c r="G565" s="1365"/>
      <c r="H565" s="1333"/>
      <c r="I565" s="1333"/>
      <c r="J565" s="1284"/>
      <c r="K565" s="1333"/>
      <c r="L565" s="1333"/>
      <c r="M565" s="1333"/>
      <c r="N565" s="1333"/>
      <c r="O565" s="1333"/>
      <c r="P565" s="1333"/>
      <c r="Q565" s="1333"/>
      <c r="R565" s="1333"/>
      <c r="S565" s="1333"/>
      <c r="T565" s="1284"/>
      <c r="U565" s="1333"/>
      <c r="V565" s="1333"/>
      <c r="W565" s="1333"/>
      <c r="X565" s="1333"/>
      <c r="Y565" s="1333"/>
      <c r="Z565" s="1333"/>
      <c r="AA565" s="1333"/>
      <c r="AB565" s="1333"/>
      <c r="AC565" s="1333"/>
      <c r="AD565" s="1333"/>
      <c r="AE565" s="1333"/>
      <c r="AF565" s="1333"/>
      <c r="AG565" s="1333"/>
      <c r="AH565" s="1333"/>
      <c r="AI565" s="1333"/>
    </row>
    <row r="566" spans="1:35" x14ac:dyDescent="0.25">
      <c r="A566" s="1331"/>
      <c r="B566" s="1284"/>
      <c r="C566" s="1284"/>
      <c r="D566" s="1364"/>
      <c r="E566" s="1364"/>
      <c r="F566" s="1364"/>
      <c r="G566" s="1365"/>
      <c r="H566" s="1333"/>
      <c r="I566" s="1333"/>
      <c r="J566" s="1284"/>
      <c r="K566" s="1333"/>
      <c r="L566" s="1333"/>
      <c r="M566" s="1333"/>
      <c r="N566" s="1333"/>
      <c r="O566" s="1333"/>
      <c r="P566" s="1333"/>
      <c r="Q566" s="1333"/>
      <c r="R566" s="1333"/>
      <c r="S566" s="1333"/>
      <c r="T566" s="1284"/>
      <c r="U566" s="1333"/>
      <c r="V566" s="1333"/>
      <c r="W566" s="1333"/>
      <c r="X566" s="1333"/>
      <c r="Y566" s="1333"/>
      <c r="Z566" s="1333"/>
      <c r="AA566" s="1333"/>
      <c r="AB566" s="1333"/>
      <c r="AC566" s="1333"/>
      <c r="AD566" s="1333"/>
      <c r="AE566" s="1333"/>
      <c r="AF566" s="1333"/>
      <c r="AG566" s="1333"/>
      <c r="AH566" s="1333"/>
      <c r="AI566" s="1333"/>
    </row>
    <row r="567" spans="1:35" x14ac:dyDescent="0.25">
      <c r="A567" s="1331"/>
      <c r="B567" s="1284"/>
      <c r="C567" s="1284"/>
      <c r="D567" s="1364"/>
      <c r="E567" s="1364"/>
      <c r="F567" s="1364"/>
      <c r="G567" s="1365"/>
      <c r="H567" s="1333"/>
      <c r="I567" s="1333"/>
      <c r="J567" s="1284"/>
      <c r="K567" s="1333"/>
      <c r="L567" s="1333"/>
      <c r="M567" s="1333"/>
      <c r="N567" s="1333"/>
      <c r="O567" s="1333"/>
      <c r="P567" s="1333"/>
      <c r="Q567" s="1333"/>
      <c r="R567" s="1333"/>
      <c r="S567" s="1333"/>
      <c r="T567" s="1284"/>
      <c r="U567" s="1333"/>
      <c r="V567" s="1333"/>
      <c r="W567" s="1333"/>
      <c r="X567" s="1333"/>
      <c r="Y567" s="1333"/>
      <c r="Z567" s="1333"/>
      <c r="AA567" s="1333"/>
      <c r="AB567" s="1333"/>
      <c r="AC567" s="1333"/>
      <c r="AD567" s="1333"/>
      <c r="AE567" s="1333"/>
      <c r="AF567" s="1333"/>
      <c r="AG567" s="1333"/>
      <c r="AH567" s="1333"/>
      <c r="AI567" s="1333"/>
    </row>
    <row r="568" spans="1:35" x14ac:dyDescent="0.25">
      <c r="A568" s="1331"/>
      <c r="B568" s="1284"/>
      <c r="C568" s="1284"/>
      <c r="D568" s="1364"/>
      <c r="E568" s="1364"/>
      <c r="F568" s="1364"/>
      <c r="G568" s="1365"/>
      <c r="H568" s="1333"/>
      <c r="I568" s="1333"/>
      <c r="J568" s="1284"/>
      <c r="K568" s="1333"/>
      <c r="L568" s="1333"/>
      <c r="M568" s="1333"/>
      <c r="N568" s="1333"/>
      <c r="O568" s="1333"/>
      <c r="P568" s="1333"/>
      <c r="Q568" s="1333"/>
      <c r="R568" s="1333"/>
      <c r="S568" s="1333"/>
      <c r="T568" s="1284"/>
      <c r="U568" s="1333"/>
      <c r="V568" s="1333"/>
      <c r="W568" s="1333"/>
      <c r="X568" s="1333"/>
      <c r="Y568" s="1333"/>
      <c r="Z568" s="1333"/>
      <c r="AA568" s="1333"/>
      <c r="AB568" s="1333"/>
      <c r="AC568" s="1333"/>
      <c r="AD568" s="1333"/>
      <c r="AE568" s="1333"/>
      <c r="AF568" s="1333"/>
      <c r="AG568" s="1333"/>
      <c r="AH568" s="1333"/>
      <c r="AI568" s="1333"/>
    </row>
    <row r="569" spans="1:35" x14ac:dyDescent="0.25">
      <c r="A569" s="1331"/>
      <c r="B569" s="1284"/>
      <c r="C569" s="1284"/>
      <c r="D569" s="1364"/>
      <c r="E569" s="1364"/>
      <c r="F569" s="1364"/>
      <c r="G569" s="1365"/>
      <c r="H569" s="1333"/>
      <c r="I569" s="1333"/>
      <c r="J569" s="1284"/>
      <c r="K569" s="1333"/>
      <c r="L569" s="1333"/>
      <c r="M569" s="1333"/>
      <c r="N569" s="1333"/>
      <c r="O569" s="1333"/>
      <c r="P569" s="1333"/>
      <c r="Q569" s="1333"/>
      <c r="R569" s="1333"/>
      <c r="S569" s="1333"/>
      <c r="T569" s="1284"/>
      <c r="U569" s="1333"/>
      <c r="V569" s="1333"/>
      <c r="W569" s="1333"/>
      <c r="X569" s="1333"/>
      <c r="Y569" s="1333"/>
      <c r="Z569" s="1333"/>
      <c r="AA569" s="1333"/>
      <c r="AB569" s="1333"/>
      <c r="AC569" s="1333"/>
      <c r="AD569" s="1333"/>
      <c r="AE569" s="1333"/>
      <c r="AF569" s="1333"/>
      <c r="AG569" s="1333"/>
      <c r="AH569" s="1333"/>
      <c r="AI569" s="1333"/>
    </row>
    <row r="570" spans="1:35" x14ac:dyDescent="0.25">
      <c r="A570" s="1331"/>
      <c r="B570" s="1284"/>
      <c r="C570" s="1284"/>
      <c r="D570" s="1364"/>
      <c r="E570" s="1364"/>
      <c r="F570" s="1364"/>
      <c r="G570" s="1365"/>
      <c r="H570" s="1333"/>
      <c r="I570" s="1333"/>
      <c r="J570" s="1284"/>
      <c r="K570" s="1333"/>
      <c r="L570" s="1333"/>
      <c r="M570" s="1333"/>
      <c r="N570" s="1333"/>
      <c r="O570" s="1333"/>
      <c r="P570" s="1333"/>
      <c r="Q570" s="1333"/>
      <c r="R570" s="1333"/>
      <c r="S570" s="1333"/>
      <c r="T570" s="1284"/>
      <c r="U570" s="1333"/>
      <c r="V570" s="1333"/>
      <c r="W570" s="1333"/>
      <c r="X570" s="1333"/>
      <c r="Y570" s="1333"/>
      <c r="Z570" s="1333"/>
      <c r="AA570" s="1333"/>
      <c r="AB570" s="1333"/>
      <c r="AC570" s="1333"/>
      <c r="AD570" s="1333"/>
      <c r="AE570" s="1333"/>
      <c r="AF570" s="1333"/>
      <c r="AG570" s="1333"/>
      <c r="AH570" s="1333"/>
      <c r="AI570" s="1333"/>
    </row>
    <row r="571" spans="1:35" x14ac:dyDescent="0.25">
      <c r="A571" s="1331"/>
      <c r="B571" s="1284"/>
      <c r="C571" s="1284"/>
      <c r="D571" s="1364"/>
      <c r="E571" s="1364"/>
      <c r="F571" s="1364"/>
      <c r="G571" s="1365"/>
      <c r="H571" s="1333"/>
      <c r="I571" s="1333"/>
      <c r="J571" s="1284"/>
      <c r="K571" s="1333"/>
      <c r="L571" s="1333"/>
      <c r="M571" s="1333"/>
      <c r="N571" s="1333"/>
      <c r="O571" s="1333"/>
      <c r="P571" s="1333"/>
      <c r="Q571" s="1333"/>
      <c r="R571" s="1333"/>
      <c r="S571" s="1333"/>
      <c r="T571" s="1284"/>
      <c r="U571" s="1333"/>
      <c r="V571" s="1333"/>
      <c r="W571" s="1333"/>
      <c r="X571" s="1333"/>
      <c r="Y571" s="1333"/>
      <c r="Z571" s="1333"/>
      <c r="AA571" s="1333"/>
      <c r="AB571" s="1333"/>
      <c r="AC571" s="1333"/>
      <c r="AD571" s="1333"/>
      <c r="AE571" s="1333"/>
      <c r="AF571" s="1333"/>
      <c r="AG571" s="1333"/>
      <c r="AH571" s="1333"/>
      <c r="AI571" s="1333"/>
    </row>
    <row r="572" spans="1:35" x14ac:dyDescent="0.25">
      <c r="A572" s="1331"/>
      <c r="B572" s="1284"/>
      <c r="C572" s="1284"/>
      <c r="D572" s="1364"/>
      <c r="E572" s="1364"/>
      <c r="F572" s="1364"/>
      <c r="G572" s="1365"/>
      <c r="H572" s="1333"/>
      <c r="I572" s="1333"/>
      <c r="J572" s="1284"/>
      <c r="K572" s="1333"/>
      <c r="L572" s="1333"/>
      <c r="M572" s="1333"/>
      <c r="N572" s="1333"/>
      <c r="O572" s="1333"/>
      <c r="P572" s="1333"/>
      <c r="Q572" s="1333"/>
      <c r="R572" s="1333"/>
      <c r="S572" s="1333"/>
      <c r="T572" s="1284"/>
      <c r="U572" s="1333"/>
      <c r="V572" s="1333"/>
      <c r="W572" s="1333"/>
      <c r="X572" s="1333"/>
      <c r="Y572" s="1333"/>
      <c r="Z572" s="1333"/>
      <c r="AA572" s="1333"/>
      <c r="AB572" s="1333"/>
      <c r="AC572" s="1333"/>
      <c r="AD572" s="1333"/>
      <c r="AE572" s="1333"/>
      <c r="AF572" s="1333"/>
      <c r="AG572" s="1333"/>
      <c r="AH572" s="1333"/>
      <c r="AI572" s="1333"/>
    </row>
    <row r="573" spans="1:35" x14ac:dyDescent="0.25">
      <c r="A573" s="1331"/>
      <c r="B573" s="1284"/>
      <c r="C573" s="1284"/>
      <c r="D573" s="1364"/>
      <c r="E573" s="1364"/>
      <c r="F573" s="1364"/>
      <c r="G573" s="1365"/>
      <c r="H573" s="1333"/>
      <c r="I573" s="1333"/>
      <c r="J573" s="1284"/>
      <c r="K573" s="1333"/>
      <c r="L573" s="1333"/>
      <c r="M573" s="1333"/>
      <c r="N573" s="1333"/>
      <c r="O573" s="1333"/>
      <c r="P573" s="1333"/>
      <c r="Q573" s="1333"/>
      <c r="R573" s="1333"/>
      <c r="S573" s="1333"/>
      <c r="T573" s="1284"/>
      <c r="U573" s="1333"/>
      <c r="V573" s="1333"/>
      <c r="W573" s="1333"/>
      <c r="X573" s="1333"/>
      <c r="Y573" s="1333"/>
      <c r="Z573" s="1333"/>
      <c r="AA573" s="1333"/>
      <c r="AB573" s="1333"/>
      <c r="AC573" s="1333"/>
      <c r="AD573" s="1333"/>
      <c r="AE573" s="1333"/>
      <c r="AF573" s="1333"/>
      <c r="AG573" s="1333"/>
      <c r="AH573" s="1333"/>
      <c r="AI573" s="1333"/>
    </row>
    <row r="574" spans="1:35" x14ac:dyDescent="0.25">
      <c r="A574" s="1331"/>
      <c r="B574" s="1284"/>
      <c r="C574" s="1284"/>
      <c r="D574" s="1364"/>
      <c r="E574" s="1364"/>
      <c r="F574" s="1364"/>
      <c r="G574" s="1365"/>
      <c r="H574" s="1333"/>
      <c r="I574" s="1333"/>
      <c r="J574" s="1284"/>
      <c r="K574" s="1333"/>
      <c r="L574" s="1333"/>
      <c r="M574" s="1333"/>
      <c r="N574" s="1333"/>
      <c r="O574" s="1333"/>
      <c r="P574" s="1333"/>
      <c r="Q574" s="1333"/>
      <c r="R574" s="1333"/>
      <c r="S574" s="1333"/>
      <c r="T574" s="1284"/>
      <c r="U574" s="1333"/>
      <c r="V574" s="1333"/>
      <c r="W574" s="1333"/>
      <c r="X574" s="1333"/>
      <c r="Y574" s="1333"/>
      <c r="Z574" s="1333"/>
      <c r="AA574" s="1333"/>
      <c r="AB574" s="1333"/>
      <c r="AC574" s="1333"/>
      <c r="AD574" s="1333"/>
      <c r="AE574" s="1333"/>
      <c r="AF574" s="1333"/>
      <c r="AG574" s="1333"/>
      <c r="AH574" s="1333"/>
      <c r="AI574" s="1333"/>
    </row>
    <row r="575" spans="1:35" x14ac:dyDescent="0.25">
      <c r="A575" s="1331"/>
      <c r="B575" s="1284"/>
      <c r="C575" s="1284"/>
      <c r="D575" s="1364"/>
      <c r="E575" s="1364"/>
      <c r="F575" s="1364"/>
      <c r="G575" s="1365"/>
      <c r="H575" s="1333"/>
      <c r="I575" s="1333"/>
      <c r="J575" s="1284"/>
      <c r="K575" s="1333"/>
      <c r="L575" s="1333"/>
      <c r="M575" s="1333"/>
      <c r="N575" s="1333"/>
      <c r="O575" s="1333"/>
      <c r="P575" s="1333"/>
      <c r="Q575" s="1333"/>
      <c r="R575" s="1333"/>
      <c r="S575" s="1333"/>
      <c r="T575" s="1284"/>
      <c r="U575" s="1333"/>
      <c r="V575" s="1333"/>
      <c r="W575" s="1333"/>
      <c r="X575" s="1333"/>
      <c r="Y575" s="1333"/>
      <c r="Z575" s="1333"/>
      <c r="AA575" s="1333"/>
      <c r="AB575" s="1333"/>
      <c r="AC575" s="1333"/>
      <c r="AD575" s="1333"/>
      <c r="AE575" s="1333"/>
      <c r="AF575" s="1333"/>
      <c r="AG575" s="1333"/>
      <c r="AH575" s="1333"/>
      <c r="AI575" s="1333"/>
    </row>
    <row r="576" spans="1:35" x14ac:dyDescent="0.25">
      <c r="A576" s="1331"/>
      <c r="B576" s="1284"/>
      <c r="C576" s="1284"/>
      <c r="D576" s="1364"/>
      <c r="E576" s="1364"/>
      <c r="F576" s="1364"/>
      <c r="G576" s="1365"/>
      <c r="H576" s="1333"/>
      <c r="I576" s="1333"/>
      <c r="J576" s="1284"/>
      <c r="K576" s="1333"/>
      <c r="L576" s="1333"/>
      <c r="M576" s="1333"/>
      <c r="N576" s="1333"/>
      <c r="O576" s="1333"/>
      <c r="P576" s="1333"/>
      <c r="Q576" s="1333"/>
      <c r="R576" s="1333"/>
      <c r="S576" s="1333"/>
      <c r="T576" s="1284"/>
      <c r="U576" s="1333"/>
      <c r="V576" s="1333"/>
      <c r="W576" s="1333"/>
      <c r="X576" s="1333"/>
      <c r="Y576" s="1333"/>
      <c r="Z576" s="1333"/>
      <c r="AA576" s="1333"/>
      <c r="AB576" s="1333"/>
      <c r="AC576" s="1333"/>
      <c r="AD576" s="1333"/>
      <c r="AE576" s="1333"/>
      <c r="AF576" s="1333"/>
      <c r="AG576" s="1333"/>
      <c r="AH576" s="1333"/>
      <c r="AI576" s="1333"/>
    </row>
    <row r="577" spans="1:35" x14ac:dyDescent="0.25">
      <c r="A577" s="1331"/>
      <c r="B577" s="1284"/>
      <c r="C577" s="1284"/>
      <c r="D577" s="1364"/>
      <c r="E577" s="1364"/>
      <c r="F577" s="1364"/>
      <c r="G577" s="1365"/>
      <c r="H577" s="1333"/>
      <c r="I577" s="1333"/>
      <c r="J577" s="1284"/>
      <c r="K577" s="1333"/>
      <c r="L577" s="1333"/>
      <c r="M577" s="1333"/>
      <c r="N577" s="1333"/>
      <c r="O577" s="1333"/>
      <c r="P577" s="1333"/>
      <c r="Q577" s="1333"/>
      <c r="R577" s="1333"/>
      <c r="S577" s="1333"/>
      <c r="T577" s="1284"/>
      <c r="U577" s="1333"/>
      <c r="V577" s="1333"/>
      <c r="W577" s="1333"/>
      <c r="X577" s="1333"/>
      <c r="Y577" s="1333"/>
      <c r="Z577" s="1333"/>
      <c r="AA577" s="1333"/>
      <c r="AB577" s="1333"/>
      <c r="AC577" s="1333"/>
      <c r="AD577" s="1333"/>
      <c r="AE577" s="1333"/>
      <c r="AF577" s="1333"/>
      <c r="AG577" s="1333"/>
      <c r="AH577" s="1333"/>
      <c r="AI577" s="1333"/>
    </row>
    <row r="578" spans="1:35" x14ac:dyDescent="0.25">
      <c r="A578" s="1331"/>
      <c r="B578" s="1284"/>
      <c r="C578" s="1284"/>
      <c r="D578" s="1364"/>
      <c r="E578" s="1364"/>
      <c r="F578" s="1364"/>
      <c r="G578" s="1365"/>
      <c r="H578" s="1333"/>
      <c r="I578" s="1333"/>
      <c r="J578" s="1284"/>
      <c r="K578" s="1333"/>
      <c r="L578" s="1333"/>
      <c r="M578" s="1333"/>
      <c r="N578" s="1333"/>
      <c r="O578" s="1333"/>
      <c r="P578" s="1333"/>
      <c r="Q578" s="1333"/>
      <c r="R578" s="1333"/>
      <c r="S578" s="1333"/>
      <c r="T578" s="1284"/>
      <c r="U578" s="1333"/>
      <c r="V578" s="1333"/>
      <c r="W578" s="1333"/>
      <c r="X578" s="1333"/>
      <c r="Y578" s="1333"/>
      <c r="Z578" s="1333"/>
      <c r="AA578" s="1333"/>
      <c r="AB578" s="1333"/>
      <c r="AC578" s="1333"/>
      <c r="AD578" s="1333"/>
      <c r="AE578" s="1333"/>
      <c r="AF578" s="1333"/>
      <c r="AG578" s="1333"/>
      <c r="AH578" s="1333"/>
      <c r="AI578" s="1333"/>
    </row>
    <row r="579" spans="1:35" x14ac:dyDescent="0.25">
      <c r="A579" s="1331"/>
      <c r="B579" s="1284"/>
      <c r="C579" s="1284"/>
      <c r="D579" s="1364"/>
      <c r="E579" s="1364"/>
      <c r="F579" s="1364"/>
      <c r="G579" s="1365"/>
      <c r="H579" s="1333"/>
      <c r="I579" s="1333"/>
      <c r="J579" s="1284"/>
      <c r="K579" s="1333"/>
      <c r="L579" s="1333"/>
      <c r="M579" s="1333"/>
      <c r="N579" s="1333"/>
      <c r="O579" s="1333"/>
      <c r="P579" s="1333"/>
      <c r="Q579" s="1333"/>
      <c r="R579" s="1333"/>
      <c r="S579" s="1333"/>
      <c r="T579" s="1284"/>
      <c r="U579" s="1333"/>
      <c r="V579" s="1333"/>
      <c r="W579" s="1333"/>
      <c r="X579" s="1333"/>
      <c r="Y579" s="1333"/>
      <c r="Z579" s="1333"/>
      <c r="AA579" s="1333"/>
      <c r="AB579" s="1333"/>
      <c r="AC579" s="1333"/>
      <c r="AD579" s="1333"/>
      <c r="AE579" s="1333"/>
      <c r="AF579" s="1333"/>
      <c r="AG579" s="1333"/>
      <c r="AH579" s="1333"/>
      <c r="AI579" s="1333"/>
    </row>
    <row r="580" spans="1:35" x14ac:dyDescent="0.25">
      <c r="A580" s="1331"/>
      <c r="B580" s="1284"/>
      <c r="C580" s="1284"/>
      <c r="D580" s="1364"/>
      <c r="E580" s="1364"/>
      <c r="F580" s="1364"/>
      <c r="G580" s="1365"/>
      <c r="H580" s="1333"/>
      <c r="I580" s="1333"/>
      <c r="J580" s="1284"/>
      <c r="K580" s="1333"/>
      <c r="L580" s="1333"/>
      <c r="M580" s="1333"/>
      <c r="N580" s="1333"/>
      <c r="O580" s="1333"/>
      <c r="P580" s="1333"/>
      <c r="Q580" s="1333"/>
      <c r="R580" s="1333"/>
      <c r="S580" s="1333"/>
      <c r="T580" s="1284"/>
      <c r="U580" s="1333"/>
      <c r="V580" s="1333"/>
      <c r="W580" s="1333"/>
      <c r="X580" s="1333"/>
      <c r="Y580" s="1333"/>
      <c r="Z580" s="1333"/>
      <c r="AA580" s="1333"/>
      <c r="AB580" s="1333"/>
      <c r="AC580" s="1333"/>
      <c r="AD580" s="1333"/>
      <c r="AE580" s="1333"/>
      <c r="AF580" s="1333"/>
      <c r="AG580" s="1333"/>
      <c r="AH580" s="1333"/>
      <c r="AI580" s="1333"/>
    </row>
    <row r="581" spans="1:35" x14ac:dyDescent="0.25">
      <c r="A581" s="1331"/>
      <c r="B581" s="1284"/>
      <c r="C581" s="1284"/>
      <c r="D581" s="1364"/>
      <c r="E581" s="1364"/>
      <c r="F581" s="1364"/>
      <c r="G581" s="1365"/>
      <c r="H581" s="1333"/>
      <c r="I581" s="1333"/>
      <c r="J581" s="1284"/>
      <c r="K581" s="1333"/>
      <c r="L581" s="1333"/>
      <c r="M581" s="1333"/>
      <c r="N581" s="1333"/>
      <c r="O581" s="1333"/>
      <c r="P581" s="1333"/>
      <c r="Q581" s="1333"/>
      <c r="R581" s="1333"/>
      <c r="S581" s="1333"/>
      <c r="T581" s="1284"/>
      <c r="U581" s="1333"/>
      <c r="V581" s="1333"/>
      <c r="W581" s="1333"/>
      <c r="X581" s="1333"/>
      <c r="Y581" s="1333"/>
      <c r="Z581" s="1333"/>
      <c r="AA581" s="1333"/>
      <c r="AB581" s="1333"/>
      <c r="AC581" s="1333"/>
      <c r="AD581" s="1333"/>
      <c r="AE581" s="1333"/>
      <c r="AF581" s="1333"/>
      <c r="AG581" s="1333"/>
      <c r="AH581" s="1333"/>
      <c r="AI581" s="1333"/>
    </row>
    <row r="582" spans="1:35" x14ac:dyDescent="0.25">
      <c r="A582" s="1331"/>
      <c r="B582" s="1284"/>
      <c r="C582" s="1284"/>
      <c r="D582" s="1364"/>
      <c r="E582" s="1364"/>
      <c r="F582" s="1364"/>
      <c r="G582" s="1365"/>
      <c r="H582" s="1333"/>
      <c r="I582" s="1333"/>
      <c r="J582" s="1284"/>
      <c r="K582" s="1333"/>
      <c r="L582" s="1333"/>
      <c r="M582" s="1333"/>
      <c r="N582" s="1333"/>
      <c r="O582" s="1333"/>
      <c r="P582" s="1333"/>
      <c r="Q582" s="1333"/>
      <c r="R582" s="1333"/>
      <c r="S582" s="1333"/>
      <c r="T582" s="1284"/>
      <c r="U582" s="1333"/>
      <c r="V582" s="1333"/>
      <c r="W582" s="1333"/>
      <c r="X582" s="1333"/>
      <c r="Y582" s="1333"/>
      <c r="Z582" s="1333"/>
      <c r="AA582" s="1333"/>
      <c r="AB582" s="1333"/>
      <c r="AC582" s="1333"/>
      <c r="AD582" s="1333"/>
      <c r="AE582" s="1333"/>
      <c r="AF582" s="1333"/>
      <c r="AG582" s="1333"/>
      <c r="AH582" s="1333"/>
      <c r="AI582" s="1333"/>
    </row>
    <row r="583" spans="1:35" x14ac:dyDescent="0.25">
      <c r="A583" s="1331"/>
      <c r="B583" s="1284"/>
      <c r="C583" s="1284"/>
      <c r="D583" s="1364"/>
      <c r="E583" s="1364"/>
      <c r="F583" s="1364"/>
      <c r="G583" s="1365"/>
      <c r="H583" s="1333"/>
      <c r="I583" s="1333"/>
      <c r="J583" s="1284"/>
      <c r="K583" s="1333"/>
      <c r="L583" s="1333"/>
      <c r="M583" s="1333"/>
      <c r="N583" s="1333"/>
      <c r="O583" s="1333"/>
      <c r="P583" s="1333"/>
      <c r="Q583" s="1333"/>
      <c r="R583" s="1333"/>
      <c r="S583" s="1333"/>
      <c r="T583" s="1284"/>
      <c r="U583" s="1333"/>
      <c r="V583" s="1333"/>
      <c r="W583" s="1333"/>
      <c r="X583" s="1333"/>
      <c r="Y583" s="1333"/>
      <c r="Z583" s="1333"/>
      <c r="AA583" s="1333"/>
      <c r="AB583" s="1333"/>
      <c r="AC583" s="1333"/>
      <c r="AD583" s="1333"/>
      <c r="AE583" s="1333"/>
      <c r="AF583" s="1333"/>
      <c r="AG583" s="1333"/>
      <c r="AH583" s="1333"/>
      <c r="AI583" s="1333"/>
    </row>
    <row r="584" spans="1:35" x14ac:dyDescent="0.25">
      <c r="A584" s="1331"/>
      <c r="B584" s="1284"/>
      <c r="C584" s="1284"/>
      <c r="D584" s="1364"/>
      <c r="E584" s="1364"/>
      <c r="F584" s="1364"/>
      <c r="G584" s="1365"/>
      <c r="H584" s="1333"/>
      <c r="I584" s="1333"/>
      <c r="J584" s="1284"/>
      <c r="K584" s="1333"/>
      <c r="L584" s="1333"/>
      <c r="M584" s="1333"/>
      <c r="N584" s="1333"/>
      <c r="O584" s="1333"/>
      <c r="P584" s="1333"/>
      <c r="Q584" s="1333"/>
      <c r="R584" s="1333"/>
      <c r="S584" s="1333"/>
      <c r="T584" s="1284"/>
      <c r="U584" s="1333"/>
      <c r="V584" s="1333"/>
      <c r="W584" s="1333"/>
      <c r="X584" s="1333"/>
      <c r="Y584" s="1333"/>
      <c r="Z584" s="1333"/>
      <c r="AA584" s="1333"/>
      <c r="AB584" s="1333"/>
      <c r="AC584" s="1333"/>
      <c r="AD584" s="1333"/>
      <c r="AE584" s="1333"/>
      <c r="AF584" s="1333"/>
      <c r="AG584" s="1333"/>
      <c r="AH584" s="1333"/>
      <c r="AI584" s="1333"/>
    </row>
    <row r="585" spans="1:35" x14ac:dyDescent="0.25">
      <c r="A585" s="1331"/>
      <c r="B585" s="1284"/>
      <c r="C585" s="1284"/>
      <c r="D585" s="1364"/>
      <c r="E585" s="1364"/>
      <c r="F585" s="1364"/>
      <c r="G585" s="1365"/>
      <c r="H585" s="1333"/>
      <c r="I585" s="1333"/>
      <c r="J585" s="1284"/>
      <c r="K585" s="1333"/>
      <c r="L585" s="1333"/>
      <c r="M585" s="1333"/>
      <c r="N585" s="1333"/>
      <c r="O585" s="1333"/>
      <c r="P585" s="1333"/>
      <c r="Q585" s="1333"/>
      <c r="R585" s="1333"/>
      <c r="S585" s="1333"/>
      <c r="T585" s="1284"/>
      <c r="U585" s="1333"/>
      <c r="V585" s="1333"/>
      <c r="W585" s="1333"/>
      <c r="X585" s="1333"/>
      <c r="Y585" s="1333"/>
      <c r="Z585" s="1333"/>
      <c r="AA585" s="1333"/>
      <c r="AB585" s="1333"/>
      <c r="AC585" s="1333"/>
      <c r="AD585" s="1333"/>
      <c r="AE585" s="1333"/>
      <c r="AF585" s="1333"/>
      <c r="AG585" s="1333"/>
      <c r="AH585" s="1333"/>
      <c r="AI585" s="1333"/>
    </row>
    <row r="586" spans="1:35" x14ac:dyDescent="0.25">
      <c r="A586" s="1331"/>
      <c r="B586" s="1284"/>
      <c r="C586" s="1284"/>
      <c r="D586" s="1364"/>
      <c r="E586" s="1364"/>
      <c r="F586" s="1364"/>
      <c r="G586" s="1365"/>
      <c r="H586" s="1333"/>
      <c r="I586" s="1333"/>
      <c r="J586" s="1284"/>
      <c r="K586" s="1333"/>
      <c r="L586" s="1333"/>
      <c r="M586" s="1333"/>
      <c r="N586" s="1333"/>
      <c r="O586" s="1333"/>
      <c r="P586" s="1333"/>
      <c r="Q586" s="1333"/>
      <c r="R586" s="1333"/>
      <c r="S586" s="1333"/>
      <c r="T586" s="1284"/>
      <c r="U586" s="1333"/>
      <c r="V586" s="1333"/>
      <c r="W586" s="1333"/>
      <c r="X586" s="1333"/>
      <c r="Y586" s="1333"/>
      <c r="Z586" s="1333"/>
      <c r="AA586" s="1333"/>
      <c r="AB586" s="1333"/>
      <c r="AC586" s="1333"/>
      <c r="AD586" s="1333"/>
      <c r="AE586" s="1333"/>
      <c r="AF586" s="1333"/>
      <c r="AG586" s="1333"/>
      <c r="AH586" s="1333"/>
      <c r="AI586" s="1333"/>
    </row>
    <row r="587" spans="1:35" x14ac:dyDescent="0.25">
      <c r="A587" s="1331"/>
      <c r="B587" s="1284"/>
      <c r="C587" s="1284"/>
      <c r="D587" s="1364"/>
      <c r="E587" s="1364"/>
      <c r="F587" s="1364"/>
      <c r="G587" s="1365"/>
      <c r="H587" s="1333"/>
      <c r="I587" s="1333"/>
      <c r="J587" s="1284"/>
      <c r="K587" s="1333"/>
      <c r="L587" s="1333"/>
      <c r="M587" s="1333"/>
      <c r="N587" s="1333"/>
      <c r="O587" s="1333"/>
      <c r="P587" s="1333"/>
      <c r="Q587" s="1333"/>
      <c r="R587" s="1333"/>
      <c r="S587" s="1333"/>
      <c r="T587" s="1284"/>
      <c r="U587" s="1333"/>
      <c r="V587" s="1333"/>
      <c r="W587" s="1333"/>
      <c r="X587" s="1333"/>
      <c r="Y587" s="1333"/>
      <c r="Z587" s="1333"/>
      <c r="AA587" s="1333"/>
      <c r="AB587" s="1333"/>
      <c r="AC587" s="1333"/>
      <c r="AD587" s="1333"/>
      <c r="AE587" s="1333"/>
      <c r="AF587" s="1333"/>
      <c r="AG587" s="1333"/>
      <c r="AH587" s="1333"/>
      <c r="AI587" s="1333"/>
    </row>
    <row r="588" spans="1:35" x14ac:dyDescent="0.25">
      <c r="A588" s="1331"/>
      <c r="B588" s="1284"/>
      <c r="C588" s="1284"/>
      <c r="D588" s="1364"/>
      <c r="E588" s="1364"/>
      <c r="F588" s="1364"/>
      <c r="G588" s="1365"/>
      <c r="H588" s="1333"/>
      <c r="I588" s="1333"/>
      <c r="J588" s="1284"/>
      <c r="K588" s="1333"/>
      <c r="L588" s="1333"/>
      <c r="M588" s="1333"/>
      <c r="N588" s="1333"/>
      <c r="O588" s="1333"/>
      <c r="P588" s="1333"/>
      <c r="Q588" s="1333"/>
      <c r="R588" s="1333"/>
      <c r="S588" s="1333"/>
      <c r="T588" s="1284"/>
      <c r="U588" s="1333"/>
      <c r="V588" s="1333"/>
      <c r="W588" s="1333"/>
      <c r="X588" s="1333"/>
      <c r="Y588" s="1333"/>
      <c r="Z588" s="1333"/>
      <c r="AA588" s="1333"/>
      <c r="AB588" s="1333"/>
      <c r="AC588" s="1333"/>
      <c r="AD588" s="1333"/>
      <c r="AE588" s="1333"/>
      <c r="AF588" s="1333"/>
      <c r="AG588" s="1333"/>
      <c r="AH588" s="1333"/>
      <c r="AI588" s="1333"/>
    </row>
    <row r="589" spans="1:35" x14ac:dyDescent="0.25">
      <c r="A589" s="1331"/>
      <c r="B589" s="1284"/>
      <c r="C589" s="1284"/>
      <c r="D589" s="1364"/>
      <c r="E589" s="1364"/>
      <c r="F589" s="1364"/>
      <c r="G589" s="1365"/>
      <c r="H589" s="1333"/>
      <c r="I589" s="1333"/>
      <c r="J589" s="1284"/>
      <c r="K589" s="1333"/>
      <c r="L589" s="1333"/>
      <c r="M589" s="1333"/>
      <c r="N589" s="1333"/>
      <c r="O589" s="1333"/>
      <c r="P589" s="1333"/>
      <c r="Q589" s="1333"/>
      <c r="R589" s="1333"/>
      <c r="S589" s="1333"/>
      <c r="T589" s="1284"/>
      <c r="U589" s="1333"/>
      <c r="V589" s="1333"/>
      <c r="W589" s="1333"/>
      <c r="X589" s="1333"/>
      <c r="Y589" s="1333"/>
      <c r="Z589" s="1333"/>
      <c r="AA589" s="1333"/>
      <c r="AB589" s="1333"/>
      <c r="AC589" s="1333"/>
      <c r="AD589" s="1333"/>
      <c r="AE589" s="1333"/>
      <c r="AF589" s="1333"/>
      <c r="AG589" s="1333"/>
      <c r="AH589" s="1333"/>
      <c r="AI589" s="1333"/>
    </row>
    <row r="590" spans="1:35" x14ac:dyDescent="0.25">
      <c r="A590" s="1331"/>
      <c r="B590" s="1284"/>
      <c r="C590" s="1284"/>
      <c r="D590" s="1364"/>
      <c r="E590" s="1364"/>
      <c r="F590" s="1364"/>
      <c r="G590" s="1365"/>
      <c r="H590" s="1333"/>
      <c r="I590" s="1333"/>
      <c r="J590" s="1284"/>
      <c r="K590" s="1333"/>
      <c r="L590" s="1333"/>
      <c r="M590" s="1333"/>
      <c r="N590" s="1333"/>
      <c r="O590" s="1333"/>
      <c r="P590" s="1333"/>
      <c r="Q590" s="1333"/>
      <c r="R590" s="1333"/>
      <c r="S590" s="1333"/>
      <c r="T590" s="1284"/>
      <c r="U590" s="1333"/>
      <c r="V590" s="1333"/>
      <c r="W590" s="1333"/>
      <c r="X590" s="1333"/>
      <c r="Y590" s="1333"/>
      <c r="Z590" s="1333"/>
      <c r="AA590" s="1333"/>
      <c r="AB590" s="1333"/>
      <c r="AC590" s="1333"/>
      <c r="AD590" s="1333"/>
      <c r="AE590" s="1333"/>
      <c r="AF590" s="1333"/>
      <c r="AG590" s="1333"/>
      <c r="AH590" s="1333"/>
      <c r="AI590" s="1333"/>
    </row>
    <row r="591" spans="1:35" x14ac:dyDescent="0.25">
      <c r="A591" s="1331"/>
      <c r="B591" s="1284"/>
      <c r="C591" s="1284"/>
      <c r="D591" s="1364"/>
      <c r="E591" s="1364"/>
      <c r="F591" s="1364"/>
      <c r="G591" s="1365"/>
      <c r="H591" s="1333"/>
      <c r="I591" s="1333"/>
      <c r="J591" s="1284"/>
      <c r="K591" s="1333"/>
      <c r="L591" s="1333"/>
      <c r="M591" s="1333"/>
      <c r="N591" s="1333"/>
      <c r="O591" s="1333"/>
      <c r="P591" s="1333"/>
      <c r="Q591" s="1333"/>
      <c r="R591" s="1333"/>
      <c r="S591" s="1333"/>
      <c r="T591" s="1284"/>
      <c r="U591" s="1333"/>
      <c r="V591" s="1333"/>
      <c r="W591" s="1333"/>
      <c r="X591" s="1333"/>
      <c r="Y591" s="1333"/>
      <c r="Z591" s="1333"/>
      <c r="AA591" s="1333"/>
      <c r="AB591" s="1333"/>
      <c r="AC591" s="1333"/>
      <c r="AD591" s="1333"/>
      <c r="AE591" s="1333"/>
      <c r="AF591" s="1333"/>
      <c r="AG591" s="1333"/>
      <c r="AH591" s="1333"/>
      <c r="AI591" s="1333"/>
    </row>
    <row r="592" spans="1:35" x14ac:dyDescent="0.25">
      <c r="A592" s="1331"/>
      <c r="B592" s="1284"/>
      <c r="C592" s="1284"/>
      <c r="D592" s="1364"/>
      <c r="E592" s="1364"/>
      <c r="F592" s="1364"/>
      <c r="G592" s="1365"/>
      <c r="H592" s="1333"/>
      <c r="I592" s="1333"/>
      <c r="J592" s="1284"/>
      <c r="K592" s="1333"/>
      <c r="L592" s="1333"/>
      <c r="M592" s="1333"/>
      <c r="N592" s="1333"/>
      <c r="O592" s="1333"/>
      <c r="P592" s="1333"/>
      <c r="Q592" s="1333"/>
      <c r="R592" s="1333"/>
      <c r="S592" s="1333"/>
      <c r="T592" s="1284"/>
      <c r="U592" s="1333"/>
      <c r="V592" s="1333"/>
      <c r="W592" s="1333"/>
      <c r="X592" s="1333"/>
      <c r="Y592" s="1333"/>
      <c r="Z592" s="1333"/>
      <c r="AA592" s="1333"/>
      <c r="AB592" s="1333"/>
      <c r="AC592" s="1333"/>
      <c r="AD592" s="1333"/>
      <c r="AE592" s="1333"/>
      <c r="AF592" s="1333"/>
      <c r="AG592" s="1333"/>
      <c r="AH592" s="1333"/>
      <c r="AI592" s="1333"/>
    </row>
    <row r="593" spans="1:35" x14ac:dyDescent="0.25">
      <c r="A593" s="1331"/>
      <c r="B593" s="1284"/>
      <c r="C593" s="1284"/>
      <c r="D593" s="1364"/>
      <c r="E593" s="1364"/>
      <c r="F593" s="1364"/>
      <c r="G593" s="1365"/>
      <c r="H593" s="1333"/>
      <c r="I593" s="1333"/>
      <c r="J593" s="1284"/>
      <c r="K593" s="1333"/>
      <c r="L593" s="1333"/>
      <c r="M593" s="1333"/>
      <c r="N593" s="1333"/>
      <c r="O593" s="1333"/>
      <c r="P593" s="1333"/>
      <c r="Q593" s="1333"/>
      <c r="R593" s="1333"/>
      <c r="S593" s="1333"/>
      <c r="T593" s="1284"/>
      <c r="U593" s="1333"/>
      <c r="V593" s="1333"/>
      <c r="W593" s="1333"/>
      <c r="X593" s="1333"/>
      <c r="Y593" s="1333"/>
      <c r="Z593" s="1333"/>
      <c r="AA593" s="1333"/>
      <c r="AB593" s="1333"/>
      <c r="AC593" s="1333"/>
      <c r="AD593" s="1333"/>
      <c r="AE593" s="1333"/>
      <c r="AF593" s="1333"/>
      <c r="AG593" s="1333"/>
      <c r="AH593" s="1333"/>
      <c r="AI593" s="1333"/>
    </row>
    <row r="594" spans="1:35" x14ac:dyDescent="0.25">
      <c r="A594" s="1331"/>
      <c r="B594" s="1284"/>
      <c r="C594" s="1284"/>
      <c r="D594" s="1364"/>
      <c r="E594" s="1364"/>
      <c r="F594" s="1364"/>
      <c r="G594" s="1365"/>
      <c r="H594" s="1333"/>
      <c r="I594" s="1333"/>
      <c r="J594" s="1284"/>
      <c r="K594" s="1333"/>
      <c r="L594" s="1333"/>
      <c r="M594" s="1333"/>
      <c r="N594" s="1333"/>
      <c r="O594" s="1333"/>
      <c r="P594" s="1333"/>
      <c r="Q594" s="1333"/>
      <c r="R594" s="1333"/>
      <c r="S594" s="1333"/>
      <c r="T594" s="1284"/>
      <c r="U594" s="1333"/>
      <c r="V594" s="1333"/>
      <c r="W594" s="1333"/>
      <c r="X594" s="1333"/>
      <c r="Y594" s="1333"/>
      <c r="Z594" s="1333"/>
      <c r="AA594" s="1333"/>
      <c r="AB594" s="1333"/>
      <c r="AC594" s="1333"/>
      <c r="AD594" s="1333"/>
      <c r="AE594" s="1333"/>
      <c r="AF594" s="1333"/>
      <c r="AG594" s="1333"/>
      <c r="AH594" s="1333"/>
      <c r="AI594" s="1333"/>
    </row>
    <row r="595" spans="1:35" x14ac:dyDescent="0.25">
      <c r="A595" s="1331"/>
      <c r="B595" s="1284"/>
      <c r="C595" s="1284"/>
      <c r="D595" s="1364"/>
      <c r="E595" s="1364"/>
      <c r="F595" s="1364"/>
      <c r="G595" s="1365"/>
      <c r="H595" s="1333"/>
      <c r="I595" s="1333"/>
      <c r="J595" s="1284"/>
      <c r="K595" s="1333"/>
      <c r="L595" s="1333"/>
      <c r="M595" s="1333"/>
      <c r="N595" s="1333"/>
      <c r="O595" s="1333"/>
      <c r="P595" s="1333"/>
      <c r="Q595" s="1333"/>
      <c r="R595" s="1333"/>
      <c r="S595" s="1333"/>
      <c r="T595" s="1284"/>
      <c r="U595" s="1333"/>
      <c r="V595" s="1333"/>
      <c r="W595" s="1333"/>
      <c r="X595" s="1333"/>
      <c r="Y595" s="1333"/>
      <c r="Z595" s="1333"/>
      <c r="AA595" s="1333"/>
      <c r="AB595" s="1333"/>
      <c r="AC595" s="1333"/>
      <c r="AD595" s="1333"/>
      <c r="AE595" s="1333"/>
      <c r="AF595" s="1333"/>
      <c r="AG595" s="1333"/>
      <c r="AH595" s="1333"/>
      <c r="AI595" s="1333"/>
    </row>
    <row r="596" spans="1:35" x14ac:dyDescent="0.25">
      <c r="A596" s="1331"/>
      <c r="B596" s="1284"/>
      <c r="C596" s="1284"/>
      <c r="D596" s="1364"/>
      <c r="E596" s="1364"/>
      <c r="F596" s="1364"/>
      <c r="G596" s="1365"/>
      <c r="H596" s="1333"/>
      <c r="I596" s="1333"/>
      <c r="J596" s="1284"/>
      <c r="K596" s="1333"/>
      <c r="L596" s="1333"/>
      <c r="M596" s="1333"/>
      <c r="N596" s="1333"/>
      <c r="O596" s="1333"/>
      <c r="P596" s="1333"/>
      <c r="Q596" s="1333"/>
      <c r="R596" s="1333"/>
      <c r="S596" s="1333"/>
      <c r="T596" s="1284"/>
      <c r="U596" s="1333"/>
      <c r="V596" s="1333"/>
      <c r="W596" s="1333"/>
      <c r="X596" s="1333"/>
      <c r="Y596" s="1333"/>
      <c r="Z596" s="1333"/>
      <c r="AA596" s="1333"/>
      <c r="AB596" s="1333"/>
      <c r="AC596" s="1333"/>
      <c r="AD596" s="1333"/>
      <c r="AE596" s="1333"/>
      <c r="AF596" s="1333"/>
      <c r="AG596" s="1333"/>
      <c r="AH596" s="1333"/>
      <c r="AI596" s="1333"/>
    </row>
    <row r="597" spans="1:35" x14ac:dyDescent="0.25">
      <c r="A597" s="1331"/>
      <c r="B597" s="1284"/>
      <c r="C597" s="1284"/>
      <c r="D597" s="1364"/>
      <c r="E597" s="1364"/>
      <c r="F597" s="1364"/>
      <c r="G597" s="1365"/>
      <c r="H597" s="1333"/>
      <c r="I597" s="1333"/>
      <c r="J597" s="1284"/>
      <c r="K597" s="1333"/>
      <c r="L597" s="1333"/>
      <c r="M597" s="1333"/>
      <c r="N597" s="1333"/>
      <c r="O597" s="1333"/>
      <c r="P597" s="1333"/>
      <c r="Q597" s="1333"/>
      <c r="R597" s="1333"/>
      <c r="S597" s="1333"/>
      <c r="T597" s="1284"/>
      <c r="U597" s="1333"/>
      <c r="V597" s="1333"/>
      <c r="W597" s="1333"/>
      <c r="X597" s="1333"/>
      <c r="Y597" s="1333"/>
      <c r="Z597" s="1333"/>
      <c r="AA597" s="1333"/>
      <c r="AB597" s="1333"/>
      <c r="AC597" s="1333"/>
      <c r="AD597" s="1333"/>
      <c r="AE597" s="1333"/>
      <c r="AF597" s="1333"/>
      <c r="AG597" s="1333"/>
      <c r="AH597" s="1333"/>
      <c r="AI597" s="1333"/>
    </row>
    <row r="598" spans="1:35" x14ac:dyDescent="0.25">
      <c r="A598" s="1331"/>
      <c r="B598" s="1284"/>
      <c r="C598" s="1284"/>
      <c r="D598" s="1364"/>
      <c r="E598" s="1364"/>
      <c r="F598" s="1364"/>
      <c r="G598" s="1365"/>
      <c r="H598" s="1333"/>
      <c r="I598" s="1333"/>
      <c r="J598" s="1284"/>
      <c r="K598" s="1333"/>
      <c r="L598" s="1333"/>
      <c r="M598" s="1333"/>
      <c r="N598" s="1333"/>
      <c r="O598" s="1333"/>
      <c r="P598" s="1333"/>
      <c r="Q598" s="1333"/>
      <c r="R598" s="1333"/>
      <c r="S598" s="1333"/>
      <c r="T598" s="1284"/>
      <c r="U598" s="1333"/>
      <c r="V598" s="1333"/>
      <c r="W598" s="1333"/>
      <c r="X598" s="1333"/>
      <c r="Y598" s="1333"/>
      <c r="Z598" s="1333"/>
      <c r="AA598" s="1333"/>
      <c r="AB598" s="1333"/>
      <c r="AC598" s="1333"/>
      <c r="AD598" s="1333"/>
      <c r="AE598" s="1333"/>
      <c r="AF598" s="1333"/>
      <c r="AG598" s="1333"/>
      <c r="AH598" s="1333"/>
      <c r="AI598" s="1333"/>
    </row>
    <row r="599" spans="1:35" x14ac:dyDescent="0.25">
      <c r="A599" s="1331"/>
      <c r="B599" s="1284"/>
      <c r="C599" s="1284"/>
      <c r="D599" s="1364"/>
      <c r="E599" s="1364"/>
      <c r="F599" s="1364"/>
      <c r="G599" s="1365"/>
      <c r="H599" s="1333"/>
      <c r="I599" s="1333"/>
      <c r="J599" s="1284"/>
      <c r="K599" s="1333"/>
      <c r="L599" s="1333"/>
      <c r="M599" s="1333"/>
      <c r="N599" s="1333"/>
      <c r="O599" s="1333"/>
      <c r="P599" s="1333"/>
      <c r="Q599" s="1333"/>
      <c r="R599" s="1333"/>
      <c r="S599" s="1333"/>
      <c r="T599" s="1284"/>
      <c r="U599" s="1333"/>
      <c r="V599" s="1333"/>
      <c r="W599" s="1333"/>
      <c r="X599" s="1333"/>
      <c r="Y599" s="1333"/>
      <c r="Z599" s="1333"/>
      <c r="AA599" s="1333"/>
      <c r="AB599" s="1333"/>
      <c r="AC599" s="1333"/>
      <c r="AD599" s="1333"/>
      <c r="AE599" s="1333"/>
      <c r="AF599" s="1333"/>
      <c r="AG599" s="1333"/>
      <c r="AH599" s="1333"/>
      <c r="AI599" s="1333"/>
    </row>
    <row r="600" spans="1:35" x14ac:dyDescent="0.25">
      <c r="A600" s="1331"/>
      <c r="B600" s="1284"/>
      <c r="C600" s="1284"/>
      <c r="D600" s="1364"/>
      <c r="E600" s="1364"/>
      <c r="F600" s="1364"/>
      <c r="G600" s="1365"/>
      <c r="H600" s="1333"/>
      <c r="I600" s="1333"/>
      <c r="J600" s="1284"/>
      <c r="K600" s="1333"/>
      <c r="L600" s="1333"/>
      <c r="M600" s="1333"/>
      <c r="N600" s="1333"/>
      <c r="O600" s="1333"/>
      <c r="P600" s="1333"/>
      <c r="Q600" s="1333"/>
      <c r="R600" s="1333"/>
      <c r="S600" s="1333"/>
      <c r="T600" s="1284"/>
      <c r="U600" s="1333"/>
      <c r="V600" s="1333"/>
      <c r="W600" s="1333"/>
      <c r="X600" s="1333"/>
      <c r="Y600" s="1333"/>
      <c r="Z600" s="1333"/>
      <c r="AA600" s="1333"/>
      <c r="AB600" s="1333"/>
      <c r="AC600" s="1333"/>
      <c r="AD600" s="1333"/>
      <c r="AE600" s="1333"/>
      <c r="AF600" s="1333"/>
      <c r="AG600" s="1333"/>
      <c r="AH600" s="1333"/>
      <c r="AI600" s="1333"/>
    </row>
    <row r="601" spans="1:35" x14ac:dyDescent="0.25">
      <c r="A601" s="1331"/>
      <c r="B601" s="1284"/>
      <c r="C601" s="1284"/>
      <c r="D601" s="1364"/>
      <c r="E601" s="1364"/>
      <c r="F601" s="1364"/>
      <c r="G601" s="1365"/>
      <c r="H601" s="1333"/>
      <c r="I601" s="1333"/>
      <c r="J601" s="1284"/>
      <c r="K601" s="1333"/>
      <c r="L601" s="1333"/>
      <c r="M601" s="1333"/>
      <c r="N601" s="1333"/>
      <c r="O601" s="1333"/>
      <c r="P601" s="1333"/>
      <c r="Q601" s="1333"/>
      <c r="R601" s="1333"/>
      <c r="S601" s="1333"/>
      <c r="T601" s="1284"/>
      <c r="U601" s="1333"/>
      <c r="V601" s="1333"/>
      <c r="W601" s="1333"/>
      <c r="X601" s="1333"/>
      <c r="Y601" s="1333"/>
      <c r="Z601" s="1333"/>
      <c r="AA601" s="1333"/>
      <c r="AB601" s="1333"/>
      <c r="AC601" s="1333"/>
      <c r="AD601" s="1333"/>
      <c r="AE601" s="1333"/>
      <c r="AF601" s="1333"/>
      <c r="AG601" s="1333"/>
      <c r="AH601" s="1333"/>
      <c r="AI601" s="1333"/>
    </row>
    <row r="602" spans="1:35" x14ac:dyDescent="0.25">
      <c r="A602" s="1331"/>
      <c r="B602" s="1284"/>
      <c r="C602" s="1284"/>
      <c r="D602" s="1364"/>
      <c r="E602" s="1364"/>
      <c r="F602" s="1364"/>
      <c r="G602" s="1365"/>
      <c r="H602" s="1333"/>
      <c r="I602" s="1333"/>
      <c r="J602" s="1284"/>
      <c r="K602" s="1333"/>
      <c r="L602" s="1333"/>
      <c r="M602" s="1333"/>
      <c r="N602" s="1333"/>
      <c r="O602" s="1333"/>
      <c r="P602" s="1333"/>
      <c r="Q602" s="1333"/>
      <c r="R602" s="1333"/>
      <c r="S602" s="1333"/>
      <c r="T602" s="1284"/>
      <c r="U602" s="1333"/>
      <c r="V602" s="1333"/>
      <c r="W602" s="1333"/>
      <c r="X602" s="1333"/>
      <c r="Y602" s="1333"/>
      <c r="Z602" s="1333"/>
      <c r="AA602" s="1333"/>
      <c r="AB602" s="1333"/>
      <c r="AC602" s="1333"/>
      <c r="AD602" s="1333"/>
      <c r="AE602" s="1333"/>
      <c r="AF602" s="1333"/>
      <c r="AG602" s="1333"/>
      <c r="AH602" s="1333"/>
      <c r="AI602" s="1333"/>
    </row>
    <row r="603" spans="1:35" x14ac:dyDescent="0.25">
      <c r="A603" s="1331"/>
      <c r="B603" s="1284"/>
      <c r="C603" s="1284"/>
      <c r="D603" s="1364"/>
      <c r="E603" s="1364"/>
      <c r="F603" s="1364"/>
      <c r="G603" s="1365"/>
      <c r="H603" s="1333"/>
      <c r="I603" s="1333"/>
      <c r="J603" s="1284"/>
      <c r="K603" s="1333"/>
      <c r="L603" s="1333"/>
      <c r="M603" s="1333"/>
      <c r="N603" s="1333"/>
      <c r="O603" s="1333"/>
      <c r="P603" s="1333"/>
      <c r="Q603" s="1333"/>
      <c r="R603" s="1333"/>
      <c r="S603" s="1333"/>
      <c r="T603" s="1284"/>
      <c r="U603" s="1333"/>
      <c r="V603" s="1333"/>
      <c r="W603" s="1333"/>
      <c r="X603" s="1333"/>
      <c r="Y603" s="1333"/>
      <c r="Z603" s="1333"/>
      <c r="AA603" s="1333"/>
      <c r="AB603" s="1333"/>
      <c r="AC603" s="1333"/>
      <c r="AD603" s="1333"/>
      <c r="AE603" s="1333"/>
      <c r="AF603" s="1333"/>
      <c r="AG603" s="1333"/>
      <c r="AH603" s="1333"/>
      <c r="AI603" s="1333"/>
    </row>
    <row r="604" spans="1:35" x14ac:dyDescent="0.25">
      <c r="A604" s="1331"/>
      <c r="B604" s="1284"/>
      <c r="C604" s="1284"/>
      <c r="D604" s="1364"/>
      <c r="E604" s="1364"/>
      <c r="F604" s="1364"/>
      <c r="G604" s="1365"/>
      <c r="H604" s="1333"/>
      <c r="I604" s="1333"/>
      <c r="J604" s="1284"/>
      <c r="K604" s="1333"/>
      <c r="L604" s="1333"/>
      <c r="M604" s="1333"/>
      <c r="N604" s="1333"/>
      <c r="O604" s="1333"/>
      <c r="P604" s="1333"/>
      <c r="Q604" s="1333"/>
      <c r="R604" s="1333"/>
      <c r="S604" s="1333"/>
      <c r="T604" s="1284"/>
      <c r="U604" s="1333"/>
      <c r="V604" s="1333"/>
      <c r="W604" s="1333"/>
      <c r="X604" s="1333"/>
      <c r="Y604" s="1333"/>
      <c r="Z604" s="1333"/>
      <c r="AA604" s="1333"/>
      <c r="AB604" s="1333"/>
      <c r="AC604" s="1333"/>
      <c r="AD604" s="1333"/>
      <c r="AE604" s="1333"/>
      <c r="AF604" s="1333"/>
      <c r="AG604" s="1333"/>
      <c r="AH604" s="1333"/>
      <c r="AI604" s="1333"/>
    </row>
    <row r="605" spans="1:35" x14ac:dyDescent="0.25">
      <c r="A605" s="1331"/>
      <c r="B605" s="1284"/>
      <c r="C605" s="1284"/>
      <c r="D605" s="1364"/>
      <c r="E605" s="1364"/>
      <c r="F605" s="1364"/>
      <c r="G605" s="1365"/>
      <c r="H605" s="1333"/>
      <c r="I605" s="1333"/>
      <c r="J605" s="1284"/>
      <c r="K605" s="1333"/>
      <c r="L605" s="1333"/>
      <c r="M605" s="1333"/>
      <c r="N605" s="1333"/>
      <c r="O605" s="1333"/>
      <c r="P605" s="1333"/>
      <c r="Q605" s="1333"/>
      <c r="R605" s="1333"/>
      <c r="S605" s="1333"/>
      <c r="T605" s="1284"/>
      <c r="U605" s="1333"/>
      <c r="V605" s="1333"/>
      <c r="W605" s="1333"/>
      <c r="X605" s="1333"/>
      <c r="Y605" s="1333"/>
      <c r="Z605" s="1333"/>
      <c r="AA605" s="1333"/>
      <c r="AB605" s="1333"/>
      <c r="AC605" s="1333"/>
      <c r="AD605" s="1333"/>
      <c r="AE605" s="1333"/>
      <c r="AF605" s="1333"/>
      <c r="AG605" s="1333"/>
      <c r="AH605" s="1333"/>
      <c r="AI605" s="1333"/>
    </row>
    <row r="606" spans="1:35" x14ac:dyDescent="0.25">
      <c r="A606" s="1331"/>
      <c r="B606" s="1284"/>
      <c r="C606" s="1284"/>
      <c r="D606" s="1364"/>
      <c r="E606" s="1364"/>
      <c r="F606" s="1364"/>
      <c r="G606" s="1365"/>
      <c r="H606" s="1333"/>
      <c r="I606" s="1333"/>
      <c r="J606" s="1284"/>
      <c r="K606" s="1333"/>
      <c r="L606" s="1333"/>
      <c r="M606" s="1333"/>
      <c r="N606" s="1333"/>
      <c r="O606" s="1333"/>
      <c r="P606" s="1333"/>
      <c r="Q606" s="1333"/>
      <c r="R606" s="1333"/>
      <c r="S606" s="1333"/>
      <c r="T606" s="1284"/>
      <c r="U606" s="1333"/>
      <c r="V606" s="1333"/>
      <c r="W606" s="1333"/>
      <c r="X606" s="1333"/>
      <c r="Y606" s="1333"/>
      <c r="Z606" s="1333"/>
      <c r="AA606" s="1333"/>
      <c r="AB606" s="1333"/>
      <c r="AC606" s="1333"/>
      <c r="AD606" s="1333"/>
      <c r="AE606" s="1333"/>
      <c r="AF606" s="1333"/>
      <c r="AG606" s="1333"/>
      <c r="AH606" s="1333"/>
      <c r="AI606" s="1333"/>
    </row>
    <row r="607" spans="1:35" x14ac:dyDescent="0.25">
      <c r="A607" s="1331"/>
      <c r="B607" s="1284"/>
      <c r="C607" s="1284"/>
      <c r="D607" s="1364"/>
      <c r="E607" s="1364"/>
      <c r="F607" s="1364"/>
      <c r="G607" s="1365"/>
      <c r="H607" s="1333"/>
      <c r="I607" s="1333"/>
      <c r="J607" s="1284"/>
      <c r="K607" s="1333"/>
      <c r="L607" s="1333"/>
      <c r="M607" s="1333"/>
      <c r="N607" s="1333"/>
      <c r="O607" s="1333"/>
      <c r="P607" s="1333"/>
      <c r="Q607" s="1333"/>
      <c r="R607" s="1333"/>
      <c r="S607" s="1333"/>
      <c r="T607" s="1284"/>
      <c r="U607" s="1333"/>
      <c r="V607" s="1333"/>
      <c r="W607" s="1333"/>
      <c r="X607" s="1333"/>
      <c r="Y607" s="1333"/>
      <c r="Z607" s="1333"/>
      <c r="AA607" s="1333"/>
      <c r="AB607" s="1333"/>
      <c r="AC607" s="1333"/>
      <c r="AD607" s="1333"/>
      <c r="AE607" s="1333"/>
      <c r="AF607" s="1333"/>
      <c r="AG607" s="1333"/>
      <c r="AH607" s="1333"/>
      <c r="AI607" s="1333"/>
    </row>
    <row r="608" spans="1:35" x14ac:dyDescent="0.25">
      <c r="A608" s="1331"/>
      <c r="B608" s="1284"/>
      <c r="C608" s="1284"/>
      <c r="D608" s="1364"/>
      <c r="E608" s="1364"/>
      <c r="F608" s="1364"/>
      <c r="G608" s="1365"/>
      <c r="H608" s="1333"/>
      <c r="I608" s="1333"/>
      <c r="J608" s="1284"/>
      <c r="K608" s="1333"/>
      <c r="L608" s="1333"/>
      <c r="M608" s="1333"/>
      <c r="N608" s="1333"/>
      <c r="O608" s="1333"/>
      <c r="P608" s="1333"/>
      <c r="Q608" s="1333"/>
      <c r="R608" s="1333"/>
      <c r="S608" s="1333"/>
      <c r="T608" s="1284"/>
      <c r="U608" s="1333"/>
      <c r="V608" s="1333"/>
      <c r="W608" s="1333"/>
      <c r="X608" s="1333"/>
      <c r="Y608" s="1333"/>
      <c r="Z608" s="1333"/>
      <c r="AA608" s="1333"/>
      <c r="AB608" s="1333"/>
      <c r="AC608" s="1333"/>
      <c r="AD608" s="1333"/>
      <c r="AE608" s="1333"/>
      <c r="AF608" s="1333"/>
      <c r="AG608" s="1333"/>
      <c r="AH608" s="1333"/>
      <c r="AI608" s="1333"/>
    </row>
    <row r="609" spans="1:35" x14ac:dyDescent="0.25">
      <c r="A609" s="1331"/>
      <c r="B609" s="1284"/>
      <c r="C609" s="1284"/>
      <c r="D609" s="1364"/>
      <c r="E609" s="1364"/>
      <c r="F609" s="1364"/>
      <c r="G609" s="1365"/>
      <c r="H609" s="1333"/>
      <c r="I609" s="1333"/>
      <c r="J609" s="1333"/>
      <c r="K609" s="1333"/>
      <c r="L609" s="1333"/>
      <c r="M609" s="1333"/>
      <c r="N609" s="1333"/>
      <c r="O609" s="1333"/>
      <c r="P609" s="1333"/>
      <c r="Q609" s="1333"/>
      <c r="R609" s="1333"/>
      <c r="S609" s="1333"/>
      <c r="T609" s="1333"/>
      <c r="U609" s="1333"/>
      <c r="V609" s="1333"/>
      <c r="W609" s="1333"/>
      <c r="X609" s="1333"/>
      <c r="Y609" s="1333"/>
      <c r="Z609" s="1333"/>
      <c r="AA609" s="1333"/>
      <c r="AB609" s="1333"/>
      <c r="AC609" s="1333"/>
      <c r="AD609" s="1333"/>
      <c r="AE609" s="1333"/>
      <c r="AF609" s="1333"/>
      <c r="AG609" s="1333"/>
      <c r="AH609" s="1333"/>
      <c r="AI609" s="1333"/>
    </row>
    <row r="610" spans="1:35" x14ac:dyDescent="0.25">
      <c r="A610" s="1331"/>
      <c r="B610" s="1284"/>
      <c r="C610" s="1284"/>
      <c r="D610" s="1364"/>
      <c r="E610" s="1364"/>
      <c r="F610" s="1364"/>
      <c r="G610" s="1365"/>
      <c r="H610" s="1333"/>
      <c r="I610" s="1333"/>
      <c r="J610" s="1333"/>
      <c r="K610" s="1333"/>
      <c r="L610" s="1333"/>
      <c r="M610" s="1333"/>
      <c r="N610" s="1333"/>
      <c r="O610" s="1333"/>
      <c r="P610" s="1333"/>
      <c r="Q610" s="1333"/>
      <c r="R610" s="1333"/>
      <c r="S610" s="1333"/>
      <c r="T610" s="1333"/>
      <c r="U610" s="1333"/>
      <c r="V610" s="1333"/>
      <c r="W610" s="1333"/>
      <c r="X610" s="1333"/>
      <c r="Y610" s="1333"/>
      <c r="Z610" s="1333"/>
      <c r="AA610" s="1333"/>
      <c r="AB610" s="1333"/>
      <c r="AC610" s="1333"/>
      <c r="AD610" s="1333"/>
      <c r="AE610" s="1333"/>
      <c r="AF610" s="1333"/>
      <c r="AG610" s="1333"/>
      <c r="AH610" s="1333"/>
      <c r="AI610" s="1333"/>
    </row>
    <row r="611" spans="1:35" x14ac:dyDescent="0.25">
      <c r="A611" s="1331"/>
      <c r="B611" s="1284"/>
      <c r="C611" s="1284"/>
      <c r="D611" s="1364"/>
      <c r="E611" s="1364"/>
      <c r="F611" s="1364"/>
      <c r="G611" s="1365"/>
      <c r="H611" s="1333"/>
      <c r="I611" s="1333"/>
      <c r="J611" s="1333"/>
      <c r="K611" s="1333"/>
      <c r="L611" s="1333"/>
      <c r="M611" s="1333"/>
      <c r="N611" s="1333"/>
      <c r="O611" s="1333"/>
      <c r="P611" s="1333"/>
      <c r="Q611" s="1333"/>
      <c r="R611" s="1333"/>
      <c r="S611" s="1333"/>
      <c r="T611" s="1333"/>
      <c r="U611" s="1333"/>
      <c r="V611" s="1333"/>
      <c r="W611" s="1333"/>
      <c r="X611" s="1333"/>
      <c r="Y611" s="1333"/>
      <c r="Z611" s="1333"/>
      <c r="AA611" s="1333"/>
      <c r="AB611" s="1333"/>
      <c r="AC611" s="1333"/>
      <c r="AD611" s="1333"/>
      <c r="AE611" s="1333"/>
      <c r="AF611" s="1333"/>
      <c r="AG611" s="1333"/>
      <c r="AH611" s="1333"/>
      <c r="AI611" s="1333"/>
    </row>
    <row r="612" spans="1:35" x14ac:dyDescent="0.25">
      <c r="A612" s="1331"/>
      <c r="B612" s="1284"/>
      <c r="C612" s="1284"/>
      <c r="D612" s="1364"/>
      <c r="E612" s="1364"/>
      <c r="F612" s="1364"/>
      <c r="G612" s="1365"/>
      <c r="H612" s="1333"/>
      <c r="I612" s="1333"/>
      <c r="J612" s="1333"/>
      <c r="K612" s="1333"/>
      <c r="L612" s="1333"/>
      <c r="M612" s="1333"/>
      <c r="N612" s="1333"/>
      <c r="O612" s="1333"/>
      <c r="P612" s="1333"/>
      <c r="Q612" s="1333"/>
      <c r="R612" s="1333"/>
      <c r="S612" s="1333"/>
      <c r="T612" s="1333"/>
      <c r="U612" s="1333"/>
      <c r="V612" s="1333"/>
      <c r="W612" s="1333"/>
      <c r="X612" s="1333"/>
      <c r="Y612" s="1333"/>
      <c r="Z612" s="1333"/>
      <c r="AA612" s="1333"/>
      <c r="AB612" s="1333"/>
      <c r="AC612" s="1333"/>
      <c r="AD612" s="1333"/>
      <c r="AE612" s="1333"/>
      <c r="AF612" s="1333"/>
      <c r="AG612" s="1333"/>
      <c r="AH612" s="1333"/>
      <c r="AI612" s="1333"/>
    </row>
    <row r="613" spans="1:35" x14ac:dyDescent="0.25">
      <c r="A613" s="1331"/>
      <c r="B613" s="1284"/>
      <c r="C613" s="1284"/>
      <c r="D613" s="1364"/>
      <c r="E613" s="1364"/>
      <c r="F613" s="1364"/>
      <c r="G613" s="1365"/>
      <c r="H613" s="1333"/>
      <c r="I613" s="1333"/>
      <c r="J613" s="1333"/>
      <c r="K613" s="1333"/>
      <c r="L613" s="1333"/>
      <c r="M613" s="1333"/>
      <c r="N613" s="1333"/>
      <c r="O613" s="1333"/>
      <c r="P613" s="1333"/>
      <c r="Q613" s="1333"/>
      <c r="R613" s="1333"/>
      <c r="S613" s="1333"/>
      <c r="T613" s="1333"/>
      <c r="U613" s="1333"/>
      <c r="V613" s="1333"/>
      <c r="W613" s="1333"/>
      <c r="X613" s="1333"/>
      <c r="Y613" s="1333"/>
      <c r="Z613" s="1333"/>
      <c r="AA613" s="1333"/>
      <c r="AB613" s="1333"/>
      <c r="AC613" s="1333"/>
      <c r="AD613" s="1333"/>
      <c r="AE613" s="1333"/>
      <c r="AF613" s="1333"/>
      <c r="AG613" s="1333"/>
      <c r="AH613" s="1333"/>
      <c r="AI613" s="1333"/>
    </row>
    <row r="614" spans="1:35" x14ac:dyDescent="0.25">
      <c r="A614" s="1331"/>
      <c r="B614" s="1284"/>
      <c r="C614" s="1284"/>
      <c r="D614" s="1364"/>
      <c r="E614" s="1364"/>
      <c r="F614" s="1364"/>
      <c r="G614" s="1365"/>
      <c r="H614" s="1333"/>
      <c r="I614" s="1333"/>
      <c r="J614" s="1333"/>
      <c r="K614" s="1333"/>
      <c r="L614" s="1333"/>
      <c r="M614" s="1333"/>
      <c r="N614" s="1333"/>
      <c r="O614" s="1333"/>
      <c r="P614" s="1333"/>
      <c r="Q614" s="1333"/>
      <c r="R614" s="1333"/>
      <c r="S614" s="1333"/>
      <c r="T614" s="1333"/>
      <c r="U614" s="1333"/>
      <c r="V614" s="1333"/>
      <c r="W614" s="1333"/>
      <c r="X614" s="1333"/>
      <c r="Y614" s="1333"/>
      <c r="Z614" s="1333"/>
      <c r="AA614" s="1333"/>
      <c r="AB614" s="1333"/>
      <c r="AC614" s="1333"/>
      <c r="AD614" s="1333"/>
      <c r="AE614" s="1333"/>
      <c r="AF614" s="1333"/>
      <c r="AG614" s="1333"/>
      <c r="AH614" s="1333"/>
      <c r="AI614" s="1333"/>
    </row>
    <row r="615" spans="1:35" x14ac:dyDescent="0.25">
      <c r="A615" s="1331"/>
      <c r="B615" s="1284"/>
      <c r="C615" s="1284"/>
      <c r="D615" s="1364"/>
      <c r="E615" s="1364"/>
      <c r="F615" s="1364"/>
      <c r="G615" s="1365"/>
      <c r="H615" s="1333"/>
      <c r="I615" s="1333"/>
      <c r="J615" s="1333"/>
      <c r="K615" s="1333"/>
      <c r="L615" s="1333"/>
      <c r="M615" s="1333"/>
      <c r="N615" s="1333"/>
      <c r="O615" s="1333"/>
      <c r="P615" s="1333"/>
      <c r="Q615" s="1333"/>
      <c r="R615" s="1333"/>
      <c r="S615" s="1333"/>
      <c r="T615" s="1333"/>
      <c r="U615" s="1333"/>
      <c r="V615" s="1333"/>
      <c r="W615" s="1333"/>
      <c r="X615" s="1333"/>
      <c r="Y615" s="1333"/>
      <c r="Z615" s="1333"/>
      <c r="AA615" s="1333"/>
      <c r="AB615" s="1333"/>
      <c r="AC615" s="1333"/>
      <c r="AD615" s="1333"/>
      <c r="AE615" s="1333"/>
      <c r="AF615" s="1333"/>
      <c r="AG615" s="1333"/>
      <c r="AH615" s="1333"/>
      <c r="AI615" s="1333"/>
    </row>
    <row r="616" spans="1:35" x14ac:dyDescent="0.25">
      <c r="A616" s="1331"/>
      <c r="B616" s="1284"/>
      <c r="C616" s="1284"/>
      <c r="D616" s="1364"/>
      <c r="E616" s="1364"/>
      <c r="F616" s="1364"/>
      <c r="G616" s="1365"/>
      <c r="H616" s="1333"/>
      <c r="I616" s="1333"/>
      <c r="J616" s="1333"/>
      <c r="K616" s="1333"/>
      <c r="L616" s="1333"/>
      <c r="M616" s="1333"/>
      <c r="N616" s="1333"/>
      <c r="O616" s="1333"/>
      <c r="P616" s="1333"/>
      <c r="Q616" s="1333"/>
      <c r="R616" s="1333"/>
      <c r="S616" s="1333"/>
      <c r="T616" s="1333"/>
      <c r="U616" s="1333"/>
      <c r="V616" s="1333"/>
      <c r="W616" s="1333"/>
      <c r="X616" s="1333"/>
      <c r="Y616" s="1333"/>
      <c r="Z616" s="1333"/>
      <c r="AA616" s="1333"/>
      <c r="AB616" s="1333"/>
      <c r="AC616" s="1333"/>
      <c r="AD616" s="1333"/>
      <c r="AE616" s="1333"/>
      <c r="AF616" s="1333"/>
      <c r="AG616" s="1333"/>
      <c r="AH616" s="1333"/>
      <c r="AI616" s="1333"/>
    </row>
    <row r="617" spans="1:35" x14ac:dyDescent="0.25">
      <c r="A617" s="1331"/>
      <c r="B617" s="1284"/>
      <c r="C617" s="1284"/>
      <c r="D617" s="1364"/>
      <c r="E617" s="1364"/>
      <c r="F617" s="1364"/>
      <c r="G617" s="1365"/>
      <c r="H617" s="1333"/>
      <c r="I617" s="1333"/>
      <c r="J617" s="1333"/>
      <c r="K617" s="1333"/>
      <c r="L617" s="1333"/>
      <c r="M617" s="1333"/>
      <c r="N617" s="1333"/>
      <c r="O617" s="1333"/>
      <c r="P617" s="1333"/>
      <c r="Q617" s="1333"/>
      <c r="R617" s="1333"/>
      <c r="S617" s="1333"/>
      <c r="T617" s="1333"/>
      <c r="U617" s="1333"/>
      <c r="V617" s="1333"/>
      <c r="W617" s="1333"/>
      <c r="X617" s="1333"/>
      <c r="Y617" s="1333"/>
      <c r="Z617" s="1333"/>
      <c r="AA617" s="1333"/>
      <c r="AB617" s="1333"/>
      <c r="AC617" s="1333"/>
      <c r="AD617" s="1333"/>
      <c r="AE617" s="1333"/>
      <c r="AF617" s="1333"/>
      <c r="AG617" s="1333"/>
      <c r="AH617" s="1333"/>
      <c r="AI617" s="1333"/>
    </row>
    <row r="618" spans="1:35" x14ac:dyDescent="0.25">
      <c r="A618" s="1331"/>
      <c r="B618" s="1284"/>
      <c r="C618" s="1284"/>
      <c r="D618" s="1364"/>
      <c r="E618" s="1364"/>
      <c r="F618" s="1364"/>
      <c r="G618" s="1365"/>
      <c r="H618" s="1333"/>
      <c r="I618" s="1333"/>
      <c r="J618" s="1333"/>
      <c r="K618" s="1333"/>
      <c r="L618" s="1333"/>
      <c r="M618" s="1333"/>
      <c r="N618" s="1333"/>
      <c r="O618" s="1333"/>
      <c r="P618" s="1333"/>
      <c r="Q618" s="1333"/>
      <c r="R618" s="1333"/>
      <c r="S618" s="1333"/>
      <c r="T618" s="1333"/>
      <c r="U618" s="1333"/>
      <c r="V618" s="1333"/>
      <c r="W618" s="1333"/>
      <c r="X618" s="1333"/>
      <c r="Y618" s="1333"/>
      <c r="Z618" s="1333"/>
      <c r="AA618" s="1333"/>
      <c r="AB618" s="1333"/>
      <c r="AC618" s="1333"/>
      <c r="AD618" s="1333"/>
      <c r="AE618" s="1333"/>
      <c r="AF618" s="1333"/>
      <c r="AG618" s="1333"/>
      <c r="AH618" s="1333"/>
      <c r="AI618" s="1333"/>
    </row>
    <row r="619" spans="1:35" x14ac:dyDescent="0.25">
      <c r="A619" s="1331"/>
      <c r="B619" s="1284"/>
      <c r="C619" s="1284"/>
      <c r="D619" s="1364"/>
      <c r="E619" s="1364"/>
      <c r="F619" s="1364"/>
      <c r="G619" s="1365"/>
      <c r="H619" s="1333"/>
      <c r="I619" s="1333"/>
      <c r="J619" s="1333"/>
      <c r="K619" s="1333"/>
      <c r="L619" s="1333"/>
      <c r="M619" s="1333"/>
      <c r="N619" s="1333"/>
      <c r="O619" s="1333"/>
      <c r="P619" s="1333"/>
      <c r="Q619" s="1333"/>
      <c r="R619" s="1333"/>
      <c r="S619" s="1333"/>
      <c r="T619" s="1333"/>
      <c r="U619" s="1333"/>
      <c r="V619" s="1333"/>
      <c r="W619" s="1333"/>
      <c r="X619" s="1333"/>
      <c r="Y619" s="1333"/>
      <c r="Z619" s="1333"/>
      <c r="AA619" s="1333"/>
      <c r="AB619" s="1333"/>
      <c r="AC619" s="1333"/>
      <c r="AD619" s="1333"/>
      <c r="AE619" s="1333"/>
      <c r="AF619" s="1333"/>
      <c r="AG619" s="1333"/>
      <c r="AH619" s="1333"/>
      <c r="AI619" s="1333"/>
    </row>
    <row r="620" spans="1:35" x14ac:dyDescent="0.25">
      <c r="A620" s="1331"/>
      <c r="B620" s="1284"/>
      <c r="C620" s="1284"/>
      <c r="D620" s="1364"/>
      <c r="E620" s="1364"/>
      <c r="F620" s="1364"/>
      <c r="G620" s="1365"/>
      <c r="H620" s="1333"/>
      <c r="I620" s="1333"/>
      <c r="J620" s="1333"/>
      <c r="K620" s="1333"/>
      <c r="L620" s="1333"/>
      <c r="M620" s="1333"/>
      <c r="N620" s="1333"/>
      <c r="O620" s="1333"/>
      <c r="P620" s="1333"/>
      <c r="Q620" s="1333"/>
      <c r="R620" s="1333"/>
      <c r="S620" s="1333"/>
      <c r="T620" s="1333"/>
      <c r="U620" s="1333"/>
      <c r="V620" s="1333"/>
      <c r="W620" s="1333"/>
      <c r="X620" s="1333"/>
      <c r="Y620" s="1333"/>
      <c r="Z620" s="1333"/>
      <c r="AA620" s="1333"/>
      <c r="AB620" s="1333"/>
      <c r="AC620" s="1333"/>
      <c r="AD620" s="1333"/>
      <c r="AE620" s="1333"/>
      <c r="AF620" s="1333"/>
      <c r="AG620" s="1333"/>
      <c r="AH620" s="1333"/>
      <c r="AI620" s="1333"/>
    </row>
    <row r="621" spans="1:35" x14ac:dyDescent="0.25">
      <c r="A621" s="1331"/>
      <c r="B621" s="1284"/>
      <c r="C621" s="1284"/>
      <c r="D621" s="1364"/>
      <c r="E621" s="1364"/>
      <c r="F621" s="1364"/>
      <c r="G621" s="1365"/>
      <c r="H621" s="1333"/>
      <c r="I621" s="1333"/>
      <c r="J621" s="1333"/>
      <c r="K621" s="1333"/>
      <c r="L621" s="1333"/>
      <c r="M621" s="1333"/>
      <c r="N621" s="1333"/>
      <c r="O621" s="1333"/>
      <c r="P621" s="1333"/>
      <c r="Q621" s="1333"/>
      <c r="R621" s="1333"/>
      <c r="S621" s="1333"/>
      <c r="T621" s="1333"/>
      <c r="U621" s="1333"/>
      <c r="V621" s="1333"/>
      <c r="W621" s="1333"/>
      <c r="X621" s="1333"/>
      <c r="Y621" s="1333"/>
      <c r="Z621" s="1333"/>
      <c r="AA621" s="1333"/>
      <c r="AB621" s="1333"/>
      <c r="AC621" s="1333"/>
      <c r="AD621" s="1333"/>
      <c r="AE621" s="1333"/>
      <c r="AF621" s="1333"/>
      <c r="AG621" s="1333"/>
      <c r="AH621" s="1333"/>
      <c r="AI621" s="1333"/>
    </row>
    <row r="622" spans="1:35" x14ac:dyDescent="0.25">
      <c r="A622" s="1331"/>
      <c r="B622" s="1284"/>
      <c r="C622" s="1284"/>
      <c r="D622" s="1364"/>
      <c r="E622" s="1364"/>
      <c r="F622" s="1364"/>
      <c r="G622" s="1365"/>
      <c r="H622" s="1333"/>
      <c r="I622" s="1333"/>
      <c r="J622" s="1333"/>
      <c r="K622" s="1333"/>
      <c r="L622" s="1333"/>
      <c r="M622" s="1333"/>
      <c r="N622" s="1333"/>
      <c r="O622" s="1333"/>
      <c r="P622" s="1333"/>
      <c r="Q622" s="1333"/>
      <c r="R622" s="1333"/>
      <c r="S622" s="1333"/>
      <c r="T622" s="1333"/>
      <c r="U622" s="1333"/>
      <c r="V622" s="1333"/>
      <c r="W622" s="1333"/>
      <c r="X622" s="1333"/>
      <c r="Y622" s="1333"/>
      <c r="Z622" s="1333"/>
      <c r="AA622" s="1333"/>
      <c r="AB622" s="1333"/>
      <c r="AC622" s="1333"/>
      <c r="AD622" s="1333"/>
      <c r="AE622" s="1333"/>
      <c r="AF622" s="1333"/>
      <c r="AG622" s="1333"/>
      <c r="AH622" s="1333"/>
      <c r="AI622" s="1333"/>
    </row>
    <row r="623" spans="1:35" x14ac:dyDescent="0.25">
      <c r="A623" s="1331"/>
      <c r="B623" s="1284"/>
      <c r="C623" s="1284"/>
      <c r="D623" s="1364"/>
      <c r="E623" s="1364"/>
      <c r="F623" s="1364"/>
      <c r="G623" s="1365"/>
      <c r="H623" s="1333"/>
      <c r="I623" s="1333"/>
      <c r="J623" s="1333"/>
      <c r="K623" s="1333"/>
      <c r="L623" s="1333"/>
      <c r="M623" s="1333"/>
      <c r="N623" s="1333"/>
      <c r="O623" s="1333"/>
      <c r="P623" s="1333"/>
      <c r="Q623" s="1333"/>
      <c r="R623" s="1333"/>
      <c r="S623" s="1333"/>
      <c r="T623" s="1333"/>
      <c r="U623" s="1333"/>
      <c r="V623" s="1333"/>
      <c r="W623" s="1333"/>
      <c r="X623" s="1333"/>
      <c r="Y623" s="1333"/>
      <c r="Z623" s="1333"/>
      <c r="AA623" s="1333"/>
      <c r="AB623" s="1333"/>
      <c r="AC623" s="1333"/>
      <c r="AD623" s="1333"/>
      <c r="AE623" s="1333"/>
      <c r="AF623" s="1333"/>
      <c r="AG623" s="1333"/>
      <c r="AH623" s="1333"/>
      <c r="AI623" s="1333"/>
    </row>
    <row r="624" spans="1:35" x14ac:dyDescent="0.25">
      <c r="A624" s="1331"/>
      <c r="B624" s="1284"/>
      <c r="C624" s="1284"/>
      <c r="D624" s="1364"/>
      <c r="E624" s="1364"/>
      <c r="F624" s="1364"/>
      <c r="G624" s="1365"/>
      <c r="H624" s="1333"/>
      <c r="I624" s="1333"/>
      <c r="J624" s="1333"/>
      <c r="K624" s="1333"/>
      <c r="L624" s="1333"/>
      <c r="M624" s="1333"/>
      <c r="N624" s="1333"/>
      <c r="O624" s="1333"/>
      <c r="P624" s="1333"/>
      <c r="Q624" s="1333"/>
      <c r="R624" s="1333"/>
      <c r="S624" s="1333"/>
      <c r="T624" s="1333"/>
      <c r="U624" s="1333"/>
      <c r="V624" s="1333"/>
      <c r="W624" s="1333"/>
      <c r="X624" s="1333"/>
      <c r="Y624" s="1333"/>
      <c r="Z624" s="1333"/>
      <c r="AA624" s="1333"/>
      <c r="AB624" s="1333"/>
      <c r="AC624" s="1333"/>
      <c r="AD624" s="1333"/>
      <c r="AE624" s="1333"/>
      <c r="AF624" s="1333"/>
      <c r="AG624" s="1333"/>
      <c r="AH624" s="1333"/>
      <c r="AI624" s="1333"/>
    </row>
    <row r="625" spans="1:35" x14ac:dyDescent="0.25">
      <c r="A625" s="1331"/>
      <c r="B625" s="1284"/>
      <c r="C625" s="1284"/>
      <c r="D625" s="1364"/>
      <c r="E625" s="1364"/>
      <c r="F625" s="1364"/>
      <c r="G625" s="1365"/>
      <c r="H625" s="1333"/>
      <c r="I625" s="1333"/>
      <c r="J625" s="1333"/>
      <c r="K625" s="1333"/>
      <c r="L625" s="1333"/>
      <c r="M625" s="1333"/>
      <c r="N625" s="1333"/>
      <c r="O625" s="1333"/>
      <c r="P625" s="1333"/>
      <c r="Q625" s="1333"/>
      <c r="R625" s="1333"/>
      <c r="S625" s="1333"/>
      <c r="T625" s="1333"/>
      <c r="U625" s="1333"/>
      <c r="V625" s="1333"/>
      <c r="W625" s="1333"/>
      <c r="X625" s="1333"/>
      <c r="Y625" s="1333"/>
      <c r="Z625" s="1333"/>
      <c r="AA625" s="1333"/>
      <c r="AB625" s="1333"/>
      <c r="AC625" s="1333"/>
      <c r="AD625" s="1333"/>
      <c r="AE625" s="1333"/>
      <c r="AF625" s="1333"/>
      <c r="AG625" s="1333"/>
      <c r="AH625" s="1333"/>
      <c r="AI625" s="1333"/>
    </row>
    <row r="626" spans="1:35" x14ac:dyDescent="0.25">
      <c r="A626" s="1331"/>
      <c r="B626" s="1284"/>
      <c r="C626" s="1284"/>
      <c r="D626" s="1364"/>
      <c r="E626" s="1364"/>
      <c r="F626" s="1364"/>
      <c r="G626" s="1365"/>
      <c r="H626" s="1333"/>
      <c r="I626" s="1333"/>
      <c r="J626" s="1333"/>
      <c r="K626" s="1333"/>
      <c r="L626" s="1333"/>
      <c r="M626" s="1333"/>
      <c r="N626" s="1333"/>
      <c r="O626" s="1333"/>
      <c r="P626" s="1333"/>
      <c r="Q626" s="1333"/>
      <c r="R626" s="1333"/>
      <c r="S626" s="1333"/>
      <c r="T626" s="1333"/>
      <c r="U626" s="1333"/>
      <c r="V626" s="1333"/>
      <c r="W626" s="1333"/>
      <c r="X626" s="1333"/>
      <c r="Y626" s="1333"/>
      <c r="Z626" s="1333"/>
      <c r="AA626" s="1333"/>
      <c r="AB626" s="1333"/>
      <c r="AC626" s="1333"/>
      <c r="AD626" s="1333"/>
      <c r="AE626" s="1333"/>
      <c r="AF626" s="1333"/>
      <c r="AG626" s="1333"/>
      <c r="AH626" s="1333"/>
      <c r="AI626" s="1333"/>
    </row>
    <row r="627" spans="1:35" x14ac:dyDescent="0.25">
      <c r="A627" s="1331"/>
      <c r="B627" s="1284"/>
      <c r="C627" s="1284"/>
      <c r="D627" s="1364"/>
      <c r="E627" s="1364"/>
      <c r="F627" s="1364"/>
      <c r="G627" s="1365"/>
      <c r="H627" s="1333"/>
      <c r="I627" s="1333"/>
      <c r="J627" s="1333"/>
      <c r="K627" s="1333"/>
      <c r="L627" s="1333"/>
      <c r="M627" s="1333"/>
      <c r="N627" s="1333"/>
      <c r="O627" s="1333"/>
      <c r="P627" s="1333"/>
      <c r="Q627" s="1333"/>
      <c r="R627" s="1333"/>
      <c r="S627" s="1333"/>
      <c r="T627" s="1333"/>
      <c r="U627" s="1333"/>
      <c r="V627" s="1333"/>
      <c r="W627" s="1333"/>
      <c r="X627" s="1333"/>
      <c r="Y627" s="1333"/>
      <c r="Z627" s="1333"/>
      <c r="AA627" s="1333"/>
      <c r="AB627" s="1333"/>
      <c r="AC627" s="1333"/>
      <c r="AD627" s="1333"/>
      <c r="AE627" s="1333"/>
      <c r="AF627" s="1333"/>
      <c r="AG627" s="1333"/>
      <c r="AH627" s="1333"/>
      <c r="AI627" s="1333"/>
    </row>
    <row r="628" spans="1:35" x14ac:dyDescent="0.25">
      <c r="A628" s="1331"/>
      <c r="B628" s="1284"/>
      <c r="C628" s="1284"/>
      <c r="D628" s="1364"/>
      <c r="E628" s="1364"/>
      <c r="F628" s="1364"/>
      <c r="G628" s="1365"/>
      <c r="H628" s="1333"/>
      <c r="I628" s="1333"/>
      <c r="J628" s="1333"/>
      <c r="K628" s="1333"/>
      <c r="L628" s="1333"/>
      <c r="M628" s="1333"/>
      <c r="N628" s="1333"/>
      <c r="O628" s="1333"/>
      <c r="P628" s="1333"/>
      <c r="Q628" s="1333"/>
      <c r="R628" s="1333"/>
      <c r="S628" s="1333"/>
      <c r="T628" s="1333"/>
      <c r="U628" s="1333"/>
      <c r="V628" s="1333"/>
      <c r="W628" s="1333"/>
      <c r="X628" s="1333"/>
      <c r="Y628" s="1333"/>
      <c r="Z628" s="1333"/>
      <c r="AA628" s="1333"/>
      <c r="AB628" s="1333"/>
      <c r="AC628" s="1333"/>
      <c r="AD628" s="1333"/>
      <c r="AE628" s="1333"/>
      <c r="AF628" s="1333"/>
      <c r="AG628" s="1333"/>
      <c r="AH628" s="1333"/>
      <c r="AI628" s="1333"/>
    </row>
    <row r="629" spans="1:35" x14ac:dyDescent="0.25">
      <c r="A629" s="1331"/>
      <c r="B629" s="1284"/>
      <c r="C629" s="1284"/>
      <c r="D629" s="1364"/>
      <c r="E629" s="1364"/>
      <c r="F629" s="1364"/>
      <c r="G629" s="1365"/>
      <c r="H629" s="1333"/>
      <c r="I629" s="1333"/>
      <c r="J629" s="1333"/>
      <c r="K629" s="1333"/>
      <c r="L629" s="1333"/>
      <c r="M629" s="1333"/>
      <c r="N629" s="1333"/>
      <c r="O629" s="1333"/>
      <c r="P629" s="1333"/>
      <c r="Q629" s="1333"/>
      <c r="R629" s="1333"/>
      <c r="S629" s="1333"/>
      <c r="T629" s="1333"/>
      <c r="U629" s="1333"/>
      <c r="V629" s="1333"/>
      <c r="W629" s="1333"/>
      <c r="X629" s="1333"/>
      <c r="Y629" s="1333"/>
      <c r="Z629" s="1333"/>
      <c r="AA629" s="1333"/>
      <c r="AB629" s="1333"/>
      <c r="AC629" s="1333"/>
      <c r="AD629" s="1333"/>
      <c r="AE629" s="1333"/>
      <c r="AF629" s="1333"/>
      <c r="AG629" s="1333"/>
      <c r="AH629" s="1333"/>
      <c r="AI629" s="1333"/>
    </row>
    <row r="630" spans="1:35" x14ac:dyDescent="0.25">
      <c r="A630" s="1331"/>
      <c r="B630" s="1284"/>
      <c r="C630" s="1284"/>
      <c r="D630" s="1364"/>
      <c r="E630" s="1364"/>
      <c r="F630" s="1364"/>
      <c r="G630" s="1365"/>
      <c r="H630" s="1333"/>
      <c r="I630" s="1333"/>
      <c r="J630" s="1333"/>
      <c r="K630" s="1333"/>
      <c r="L630" s="1333"/>
      <c r="M630" s="1333"/>
      <c r="N630" s="1333"/>
      <c r="O630" s="1333"/>
      <c r="P630" s="1333"/>
      <c r="Q630" s="1333"/>
      <c r="R630" s="1333"/>
      <c r="S630" s="1333"/>
      <c r="T630" s="1333"/>
      <c r="U630" s="1333"/>
      <c r="V630" s="1333"/>
      <c r="W630" s="1333"/>
      <c r="X630" s="1333"/>
      <c r="Y630" s="1333"/>
      <c r="Z630" s="1333"/>
      <c r="AA630" s="1333"/>
      <c r="AB630" s="1333"/>
      <c r="AC630" s="1333"/>
      <c r="AD630" s="1333"/>
      <c r="AE630" s="1333"/>
      <c r="AF630" s="1333"/>
      <c r="AG630" s="1333"/>
      <c r="AH630" s="1333"/>
      <c r="AI630" s="1333"/>
    </row>
    <row r="631" spans="1:35" x14ac:dyDescent="0.25">
      <c r="A631" s="1331"/>
      <c r="B631" s="1284"/>
      <c r="C631" s="1284"/>
      <c r="D631" s="1364"/>
      <c r="E631" s="1364"/>
      <c r="F631" s="1364"/>
      <c r="G631" s="1365"/>
      <c r="H631" s="1333"/>
      <c r="I631" s="1333"/>
      <c r="J631" s="1333"/>
      <c r="K631" s="1333"/>
      <c r="L631" s="1333"/>
      <c r="M631" s="1333"/>
      <c r="N631" s="1333"/>
      <c r="O631" s="1333"/>
      <c r="P631" s="1333"/>
      <c r="Q631" s="1333"/>
      <c r="R631" s="1333"/>
      <c r="S631" s="1333"/>
      <c r="T631" s="1333"/>
      <c r="U631" s="1333"/>
      <c r="V631" s="1333"/>
      <c r="W631" s="1333"/>
      <c r="X631" s="1333"/>
      <c r="Y631" s="1333"/>
      <c r="Z631" s="1333"/>
      <c r="AA631" s="1333"/>
      <c r="AB631" s="1333"/>
      <c r="AC631" s="1333"/>
      <c r="AD631" s="1333"/>
      <c r="AE631" s="1333"/>
      <c r="AF631" s="1333"/>
      <c r="AG631" s="1333"/>
      <c r="AH631" s="1333"/>
      <c r="AI631" s="1333"/>
    </row>
    <row r="632" spans="1:35" x14ac:dyDescent="0.25">
      <c r="A632" s="1331"/>
      <c r="B632" s="1284"/>
      <c r="C632" s="1284"/>
      <c r="D632" s="1364"/>
      <c r="E632" s="1364"/>
      <c r="F632" s="1364"/>
      <c r="G632" s="1365"/>
      <c r="H632" s="1333"/>
      <c r="I632" s="1333"/>
      <c r="J632" s="1333"/>
      <c r="K632" s="1333"/>
      <c r="L632" s="1333"/>
      <c r="M632" s="1333"/>
      <c r="N632" s="1333"/>
      <c r="O632" s="1333"/>
      <c r="P632" s="1333"/>
      <c r="Q632" s="1333"/>
      <c r="R632" s="1333"/>
      <c r="S632" s="1333"/>
      <c r="T632" s="1333"/>
      <c r="U632" s="1333"/>
      <c r="V632" s="1333"/>
      <c r="W632" s="1333"/>
      <c r="X632" s="1333"/>
      <c r="Y632" s="1333"/>
      <c r="Z632" s="1333"/>
      <c r="AA632" s="1333"/>
      <c r="AB632" s="1333"/>
      <c r="AC632" s="1333"/>
      <c r="AD632" s="1333"/>
      <c r="AE632" s="1333"/>
      <c r="AF632" s="1333"/>
      <c r="AG632" s="1333"/>
      <c r="AH632" s="1333"/>
      <c r="AI632" s="1333"/>
    </row>
    <row r="633" spans="1:35" x14ac:dyDescent="0.25">
      <c r="A633" s="1331"/>
      <c r="B633" s="1284"/>
      <c r="C633" s="1284"/>
      <c r="D633" s="1364"/>
      <c r="E633" s="1364"/>
      <c r="F633" s="1364"/>
      <c r="G633" s="1365"/>
      <c r="H633" s="1333"/>
      <c r="I633" s="1333"/>
      <c r="J633" s="1333"/>
      <c r="K633" s="1333"/>
      <c r="L633" s="1333"/>
      <c r="M633" s="1333"/>
      <c r="N633" s="1333"/>
      <c r="O633" s="1333"/>
      <c r="P633" s="1333"/>
      <c r="Q633" s="1333"/>
      <c r="R633" s="1333"/>
      <c r="S633" s="1333"/>
      <c r="T633" s="1333"/>
      <c r="U633" s="1333"/>
      <c r="V633" s="1333"/>
      <c r="W633" s="1333"/>
      <c r="X633" s="1333"/>
      <c r="Y633" s="1333"/>
      <c r="Z633" s="1333"/>
      <c r="AA633" s="1333"/>
      <c r="AB633" s="1333"/>
      <c r="AC633" s="1333"/>
      <c r="AD633" s="1333"/>
      <c r="AE633" s="1333"/>
      <c r="AF633" s="1333"/>
      <c r="AG633" s="1333"/>
      <c r="AH633" s="1333"/>
      <c r="AI633" s="1333"/>
    </row>
    <row r="634" spans="1:35" x14ac:dyDescent="0.25">
      <c r="A634" s="1331"/>
      <c r="B634" s="1284"/>
      <c r="C634" s="1284"/>
      <c r="D634" s="1364"/>
      <c r="E634" s="1364"/>
      <c r="F634" s="1364"/>
      <c r="G634" s="1365"/>
      <c r="H634" s="1333"/>
      <c r="I634" s="1333"/>
      <c r="J634" s="1333"/>
      <c r="K634" s="1333"/>
      <c r="L634" s="1333"/>
      <c r="M634" s="1333"/>
      <c r="N634" s="1333"/>
      <c r="O634" s="1333"/>
      <c r="P634" s="1333"/>
      <c r="Q634" s="1333"/>
      <c r="R634" s="1333"/>
      <c r="S634" s="1333"/>
      <c r="T634" s="1333"/>
      <c r="U634" s="1333"/>
      <c r="V634" s="1333"/>
      <c r="W634" s="1333"/>
      <c r="X634" s="1333"/>
      <c r="Y634" s="1333"/>
      <c r="Z634" s="1333"/>
      <c r="AA634" s="1333"/>
      <c r="AB634" s="1333"/>
      <c r="AC634" s="1333"/>
      <c r="AD634" s="1333"/>
      <c r="AE634" s="1333"/>
      <c r="AF634" s="1333"/>
      <c r="AG634" s="1333"/>
      <c r="AH634" s="1333"/>
      <c r="AI634" s="1333"/>
    </row>
    <row r="635" spans="1:35" x14ac:dyDescent="0.25">
      <c r="A635" s="1331"/>
      <c r="B635" s="1284"/>
      <c r="C635" s="1284"/>
      <c r="D635" s="1364"/>
      <c r="E635" s="1364"/>
      <c r="F635" s="1364"/>
      <c r="G635" s="1365"/>
      <c r="H635" s="1333"/>
      <c r="I635" s="1333"/>
      <c r="J635" s="1333"/>
      <c r="K635" s="1333"/>
      <c r="L635" s="1333"/>
      <c r="M635" s="1333"/>
      <c r="N635" s="1333"/>
      <c r="O635" s="1333"/>
      <c r="P635" s="1333"/>
      <c r="Q635" s="1333"/>
      <c r="R635" s="1333"/>
      <c r="S635" s="1333"/>
      <c r="T635" s="1333"/>
      <c r="U635" s="1333"/>
      <c r="V635" s="1333"/>
      <c r="W635" s="1333"/>
      <c r="X635" s="1333"/>
      <c r="Y635" s="1333"/>
      <c r="Z635" s="1333"/>
      <c r="AA635" s="1333"/>
      <c r="AB635" s="1333"/>
      <c r="AC635" s="1333"/>
      <c r="AD635" s="1333"/>
      <c r="AE635" s="1333"/>
      <c r="AF635" s="1333"/>
      <c r="AG635" s="1333"/>
      <c r="AH635" s="1333"/>
      <c r="AI635" s="1333"/>
    </row>
    <row r="636" spans="1:35" x14ac:dyDescent="0.25">
      <c r="A636" s="1331"/>
      <c r="B636" s="1284"/>
      <c r="C636" s="1284"/>
      <c r="D636" s="1364"/>
      <c r="E636" s="1364"/>
      <c r="F636" s="1364"/>
      <c r="G636" s="1365"/>
      <c r="H636" s="1333"/>
      <c r="I636" s="1333"/>
      <c r="J636" s="1333"/>
      <c r="K636" s="1333"/>
      <c r="L636" s="1333"/>
      <c r="M636" s="1333"/>
      <c r="N636" s="1333"/>
      <c r="O636" s="1333"/>
      <c r="P636" s="1333"/>
      <c r="Q636" s="1333"/>
      <c r="R636" s="1333"/>
      <c r="S636" s="1333"/>
      <c r="T636" s="1333"/>
      <c r="U636" s="1333"/>
      <c r="V636" s="1333"/>
      <c r="W636" s="1333"/>
      <c r="X636" s="1333"/>
      <c r="Y636" s="1333"/>
      <c r="Z636" s="1333"/>
      <c r="AA636" s="1333"/>
      <c r="AB636" s="1333"/>
      <c r="AC636" s="1333"/>
      <c r="AD636" s="1333"/>
      <c r="AE636" s="1333"/>
      <c r="AF636" s="1333"/>
      <c r="AG636" s="1333"/>
      <c r="AH636" s="1333"/>
      <c r="AI636" s="1333"/>
    </row>
    <row r="637" spans="1:35" x14ac:dyDescent="0.25">
      <c r="A637" s="1331"/>
      <c r="B637" s="1284"/>
      <c r="C637" s="1284"/>
      <c r="D637" s="1364"/>
      <c r="E637" s="1364"/>
      <c r="F637" s="1364"/>
      <c r="G637" s="1365"/>
      <c r="H637" s="1333"/>
      <c r="I637" s="1333"/>
      <c r="J637" s="1333"/>
      <c r="K637" s="1333"/>
      <c r="L637" s="1333"/>
      <c r="M637" s="1333"/>
      <c r="N637" s="1333"/>
      <c r="O637" s="1333"/>
      <c r="P637" s="1333"/>
      <c r="Q637" s="1333"/>
      <c r="R637" s="1333"/>
      <c r="S637" s="1333"/>
      <c r="T637" s="1333"/>
      <c r="U637" s="1333"/>
      <c r="V637" s="1333"/>
      <c r="W637" s="1333"/>
      <c r="X637" s="1333"/>
      <c r="Y637" s="1333"/>
      <c r="Z637" s="1333"/>
      <c r="AA637" s="1333"/>
      <c r="AB637" s="1333"/>
      <c r="AC637" s="1333"/>
      <c r="AD637" s="1333"/>
      <c r="AE637" s="1333"/>
      <c r="AF637" s="1333"/>
      <c r="AG637" s="1333"/>
      <c r="AH637" s="1333"/>
      <c r="AI637" s="1333"/>
    </row>
    <row r="638" spans="1:35" x14ac:dyDescent="0.25">
      <c r="A638" s="1331"/>
      <c r="B638" s="1284"/>
      <c r="C638" s="1284"/>
      <c r="D638" s="1364"/>
      <c r="E638" s="1364"/>
      <c r="F638" s="1364"/>
      <c r="G638" s="1365"/>
      <c r="H638" s="1333"/>
      <c r="I638" s="1333"/>
      <c r="J638" s="1333"/>
      <c r="K638" s="1333"/>
      <c r="L638" s="1333"/>
      <c r="M638" s="1333"/>
      <c r="N638" s="1333"/>
      <c r="O638" s="1333"/>
      <c r="P638" s="1333"/>
      <c r="Q638" s="1333"/>
      <c r="R638" s="1333"/>
      <c r="S638" s="1333"/>
      <c r="T638" s="1333"/>
      <c r="U638" s="1333"/>
      <c r="V638" s="1333"/>
      <c r="W638" s="1333"/>
      <c r="X638" s="1333"/>
      <c r="Y638" s="1333"/>
      <c r="Z638" s="1333"/>
      <c r="AA638" s="1333"/>
      <c r="AB638" s="1333"/>
      <c r="AC638" s="1333"/>
      <c r="AD638" s="1333"/>
      <c r="AE638" s="1333"/>
      <c r="AF638" s="1333"/>
      <c r="AG638" s="1333"/>
      <c r="AH638" s="1333"/>
      <c r="AI638" s="1333"/>
    </row>
    <row r="639" spans="1:35" x14ac:dyDescent="0.25">
      <c r="A639" s="1331"/>
      <c r="B639" s="1284"/>
      <c r="C639" s="1284"/>
      <c r="D639" s="1364"/>
      <c r="E639" s="1364"/>
      <c r="F639" s="1364"/>
      <c r="G639" s="1365"/>
      <c r="H639" s="1333"/>
      <c r="I639" s="1333"/>
      <c r="J639" s="1333"/>
      <c r="K639" s="1333"/>
      <c r="L639" s="1333"/>
      <c r="M639" s="1333"/>
      <c r="N639" s="1333"/>
      <c r="O639" s="1333"/>
      <c r="P639" s="1333"/>
      <c r="Q639" s="1333"/>
      <c r="R639" s="1333"/>
      <c r="S639" s="1333"/>
      <c r="T639" s="1333"/>
      <c r="U639" s="1333"/>
      <c r="V639" s="1333"/>
      <c r="W639" s="1333"/>
      <c r="X639" s="1333"/>
      <c r="Y639" s="1333"/>
      <c r="Z639" s="1333"/>
      <c r="AA639" s="1333"/>
      <c r="AB639" s="1333"/>
      <c r="AC639" s="1333"/>
      <c r="AD639" s="1333"/>
      <c r="AE639" s="1333"/>
      <c r="AF639" s="1333"/>
      <c r="AG639" s="1333"/>
      <c r="AH639" s="1333"/>
      <c r="AI639" s="1333"/>
    </row>
    <row r="640" spans="1:35" x14ac:dyDescent="0.25">
      <c r="A640" s="1331"/>
      <c r="B640" s="1284"/>
      <c r="C640" s="1284"/>
      <c r="D640" s="1364"/>
      <c r="E640" s="1364"/>
      <c r="F640" s="1364"/>
      <c r="G640" s="1365"/>
      <c r="H640" s="1333"/>
      <c r="I640" s="1333"/>
      <c r="J640" s="1333"/>
      <c r="K640" s="1333"/>
      <c r="L640" s="1333"/>
      <c r="M640" s="1333"/>
      <c r="N640" s="1333"/>
      <c r="O640" s="1333"/>
      <c r="P640" s="1333"/>
      <c r="Q640" s="1333"/>
      <c r="R640" s="1333"/>
      <c r="S640" s="1333"/>
      <c r="T640" s="1333"/>
      <c r="U640" s="1333"/>
      <c r="V640" s="1333"/>
      <c r="W640" s="1333"/>
      <c r="X640" s="1333"/>
      <c r="Y640" s="1333"/>
      <c r="Z640" s="1333"/>
      <c r="AA640" s="1333"/>
      <c r="AB640" s="1333"/>
      <c r="AC640" s="1333"/>
      <c r="AD640" s="1333"/>
      <c r="AE640" s="1333"/>
      <c r="AF640" s="1333"/>
      <c r="AG640" s="1333"/>
      <c r="AH640" s="1333"/>
      <c r="AI640" s="1333"/>
    </row>
    <row r="641" spans="1:35" x14ac:dyDescent="0.25">
      <c r="A641" s="1331"/>
      <c r="B641" s="1284"/>
      <c r="C641" s="1284"/>
      <c r="D641" s="1364"/>
      <c r="E641" s="1364"/>
      <c r="F641" s="1364"/>
      <c r="G641" s="1365"/>
      <c r="H641" s="1333"/>
      <c r="I641" s="1333"/>
      <c r="J641" s="1333"/>
      <c r="K641" s="1333"/>
      <c r="L641" s="1333"/>
      <c r="M641" s="1333"/>
      <c r="N641" s="1333"/>
      <c r="O641" s="1333"/>
      <c r="P641" s="1333"/>
      <c r="Q641" s="1333"/>
      <c r="R641" s="1333"/>
      <c r="S641" s="1333"/>
      <c r="T641" s="1333"/>
      <c r="U641" s="1333"/>
      <c r="V641" s="1333"/>
      <c r="W641" s="1333"/>
      <c r="X641" s="1333"/>
      <c r="Y641" s="1333"/>
      <c r="Z641" s="1333"/>
      <c r="AA641" s="1333"/>
      <c r="AB641" s="1333"/>
      <c r="AC641" s="1333"/>
      <c r="AD641" s="1333"/>
      <c r="AE641" s="1333"/>
      <c r="AF641" s="1333"/>
      <c r="AG641" s="1333"/>
      <c r="AH641" s="1333"/>
      <c r="AI641" s="1333"/>
    </row>
    <row r="642" spans="1:35" x14ac:dyDescent="0.25">
      <c r="A642" s="1331"/>
      <c r="B642" s="1284"/>
      <c r="C642" s="1284"/>
      <c r="D642" s="1364"/>
      <c r="E642" s="1364"/>
      <c r="F642" s="1364"/>
      <c r="G642" s="1365"/>
      <c r="H642" s="1333"/>
      <c r="I642" s="1333"/>
      <c r="J642" s="1333"/>
      <c r="K642" s="1333"/>
      <c r="L642" s="1333"/>
      <c r="M642" s="1333"/>
      <c r="N642" s="1333"/>
      <c r="O642" s="1333"/>
      <c r="P642" s="1333"/>
      <c r="Q642" s="1333"/>
      <c r="R642" s="1333"/>
      <c r="S642" s="1333"/>
      <c r="T642" s="1333"/>
      <c r="U642" s="1333"/>
      <c r="V642" s="1333"/>
      <c r="W642" s="1333"/>
      <c r="X642" s="1333"/>
      <c r="Y642" s="1333"/>
      <c r="Z642" s="1333"/>
      <c r="AA642" s="1333"/>
      <c r="AB642" s="1333"/>
      <c r="AC642" s="1333"/>
      <c r="AD642" s="1333"/>
      <c r="AE642" s="1333"/>
      <c r="AF642" s="1333"/>
      <c r="AG642" s="1333"/>
      <c r="AH642" s="1333"/>
      <c r="AI642" s="1333"/>
    </row>
    <row r="643" spans="1:35" x14ac:dyDescent="0.25">
      <c r="A643" s="1331"/>
      <c r="B643" s="1284"/>
      <c r="C643" s="1284"/>
      <c r="D643" s="1364"/>
      <c r="E643" s="1364"/>
      <c r="F643" s="1364"/>
      <c r="G643" s="1365"/>
      <c r="H643" s="1333"/>
      <c r="I643" s="1333"/>
      <c r="J643" s="1333"/>
      <c r="K643" s="1333"/>
      <c r="L643" s="1333"/>
      <c r="M643" s="1333"/>
      <c r="N643" s="1333"/>
      <c r="O643" s="1333"/>
      <c r="P643" s="1333"/>
      <c r="Q643" s="1333"/>
      <c r="R643" s="1333"/>
      <c r="S643" s="1333"/>
      <c r="T643" s="1333"/>
      <c r="U643" s="1333"/>
      <c r="V643" s="1333"/>
      <c r="W643" s="1333"/>
      <c r="X643" s="1333"/>
      <c r="Y643" s="1333"/>
      <c r="Z643" s="1333"/>
      <c r="AA643" s="1333"/>
      <c r="AB643" s="1333"/>
      <c r="AC643" s="1333"/>
      <c r="AD643" s="1333"/>
      <c r="AE643" s="1333"/>
      <c r="AF643" s="1333"/>
      <c r="AG643" s="1333"/>
      <c r="AH643" s="1333"/>
      <c r="AI643" s="1333"/>
    </row>
    <row r="644" spans="1:35" x14ac:dyDescent="0.25">
      <c r="A644" s="1331"/>
      <c r="B644" s="1284"/>
      <c r="C644" s="1284"/>
      <c r="D644" s="1364"/>
      <c r="E644" s="1364"/>
      <c r="F644" s="1364"/>
      <c r="G644" s="1365"/>
      <c r="H644" s="1333"/>
      <c r="I644" s="1333"/>
      <c r="J644" s="1333"/>
      <c r="K644" s="1333"/>
      <c r="L644" s="1333"/>
      <c r="M644" s="1333"/>
      <c r="N644" s="1333"/>
      <c r="O644" s="1333"/>
      <c r="P644" s="1333"/>
      <c r="Q644" s="1333"/>
      <c r="R644" s="1333"/>
      <c r="S644" s="1333"/>
      <c r="T644" s="1333"/>
      <c r="U644" s="1333"/>
      <c r="V644" s="1333"/>
      <c r="W644" s="1333"/>
      <c r="X644" s="1333"/>
      <c r="Y644" s="1333"/>
      <c r="Z644" s="1333"/>
      <c r="AA644" s="1333"/>
      <c r="AB644" s="1333"/>
      <c r="AC644" s="1333"/>
      <c r="AD644" s="1333"/>
      <c r="AE644" s="1333"/>
      <c r="AF644" s="1333"/>
      <c r="AG644" s="1333"/>
      <c r="AH644" s="1333"/>
      <c r="AI644" s="1333"/>
    </row>
    <row r="645" spans="1:35" x14ac:dyDescent="0.25">
      <c r="A645" s="1331"/>
      <c r="B645" s="1284"/>
      <c r="C645" s="1284"/>
      <c r="D645" s="1364"/>
      <c r="E645" s="1364"/>
      <c r="F645" s="1364"/>
      <c r="G645" s="1365"/>
      <c r="H645" s="1333"/>
      <c r="I645" s="1333"/>
      <c r="J645" s="1333"/>
      <c r="K645" s="1333"/>
      <c r="L645" s="1333"/>
      <c r="M645" s="1333"/>
      <c r="N645" s="1333"/>
      <c r="O645" s="1333"/>
      <c r="P645" s="1333"/>
      <c r="Q645" s="1333"/>
      <c r="R645" s="1333"/>
      <c r="S645" s="1333"/>
      <c r="T645" s="1333"/>
      <c r="U645" s="1333"/>
      <c r="V645" s="1333"/>
      <c r="W645" s="1333"/>
      <c r="X645" s="1333"/>
      <c r="Y645" s="1333"/>
      <c r="Z645" s="1333"/>
      <c r="AA645" s="1333"/>
      <c r="AB645" s="1333"/>
      <c r="AC645" s="1333"/>
      <c r="AD645" s="1333"/>
      <c r="AE645" s="1333"/>
      <c r="AF645" s="1333"/>
      <c r="AG645" s="1333"/>
      <c r="AH645" s="1333"/>
      <c r="AI645" s="1333"/>
    </row>
    <row r="646" spans="1:35" x14ac:dyDescent="0.25">
      <c r="A646" s="1331"/>
      <c r="B646" s="1284"/>
      <c r="C646" s="1284"/>
      <c r="D646" s="1364"/>
      <c r="E646" s="1364"/>
      <c r="F646" s="1364"/>
      <c r="G646" s="1365"/>
      <c r="H646" s="1333"/>
      <c r="I646" s="1333"/>
      <c r="J646" s="1333"/>
      <c r="K646" s="1333"/>
      <c r="L646" s="1333"/>
      <c r="M646" s="1333"/>
      <c r="N646" s="1333"/>
      <c r="O646" s="1333"/>
      <c r="P646" s="1333"/>
      <c r="Q646" s="1333"/>
      <c r="R646" s="1333"/>
      <c r="S646" s="1333"/>
      <c r="T646" s="1333"/>
      <c r="U646" s="1333"/>
      <c r="V646" s="1333"/>
      <c r="W646" s="1333"/>
      <c r="X646" s="1333"/>
      <c r="Y646" s="1333"/>
      <c r="Z646" s="1333"/>
      <c r="AA646" s="1333"/>
      <c r="AB646" s="1333"/>
      <c r="AC646" s="1333"/>
      <c r="AD646" s="1333"/>
      <c r="AE646" s="1333"/>
      <c r="AF646" s="1333"/>
      <c r="AG646" s="1333"/>
      <c r="AH646" s="1333"/>
      <c r="AI646" s="1333"/>
    </row>
    <row r="647" spans="1:35" x14ac:dyDescent="0.25">
      <c r="A647" s="1331"/>
      <c r="B647" s="1284"/>
      <c r="C647" s="1284"/>
      <c r="D647" s="1364"/>
      <c r="E647" s="1364"/>
      <c r="F647" s="1364"/>
      <c r="G647" s="1365"/>
      <c r="H647" s="1333"/>
      <c r="I647" s="1333"/>
      <c r="J647" s="1333"/>
      <c r="K647" s="1333"/>
      <c r="L647" s="1333"/>
      <c r="M647" s="1333"/>
      <c r="N647" s="1333"/>
      <c r="O647" s="1333"/>
      <c r="P647" s="1333"/>
      <c r="Q647" s="1333"/>
      <c r="R647" s="1333"/>
      <c r="S647" s="1333"/>
      <c r="T647" s="1333"/>
      <c r="U647" s="1333"/>
      <c r="V647" s="1333"/>
      <c r="W647" s="1333"/>
      <c r="X647" s="1333"/>
      <c r="Y647" s="1333"/>
      <c r="Z647" s="1333"/>
      <c r="AA647" s="1333"/>
      <c r="AB647" s="1333"/>
      <c r="AC647" s="1333"/>
      <c r="AD647" s="1333"/>
      <c r="AE647" s="1333"/>
      <c r="AF647" s="1333"/>
      <c r="AG647" s="1333"/>
      <c r="AH647" s="1333"/>
      <c r="AI647" s="1333"/>
    </row>
    <row r="648" spans="1:35" x14ac:dyDescent="0.25">
      <c r="A648" s="1331"/>
      <c r="B648" s="1284"/>
      <c r="C648" s="1284"/>
      <c r="D648" s="1364"/>
      <c r="E648" s="1364"/>
      <c r="F648" s="1364"/>
      <c r="G648" s="1365"/>
      <c r="H648" s="1333"/>
      <c r="I648" s="1333"/>
      <c r="J648" s="1333"/>
      <c r="K648" s="1333"/>
      <c r="L648" s="1333"/>
      <c r="M648" s="1333"/>
      <c r="N648" s="1333"/>
      <c r="O648" s="1333"/>
      <c r="P648" s="1333"/>
      <c r="Q648" s="1333"/>
      <c r="R648" s="1333"/>
      <c r="S648" s="1333"/>
      <c r="T648" s="1333"/>
      <c r="U648" s="1333"/>
      <c r="V648" s="1333"/>
      <c r="W648" s="1333"/>
      <c r="X648" s="1333"/>
      <c r="Y648" s="1333"/>
      <c r="Z648" s="1333"/>
      <c r="AA648" s="1333"/>
      <c r="AB648" s="1333"/>
      <c r="AC648" s="1333"/>
      <c r="AD648" s="1333"/>
      <c r="AE648" s="1333"/>
      <c r="AF648" s="1333"/>
      <c r="AG648" s="1333"/>
      <c r="AH648" s="1333"/>
      <c r="AI648" s="1333"/>
    </row>
    <row r="649" spans="1:35" x14ac:dyDescent="0.25">
      <c r="A649" s="1331"/>
      <c r="B649" s="1284"/>
      <c r="C649" s="1284"/>
      <c r="D649" s="1364"/>
      <c r="E649" s="1364"/>
      <c r="F649" s="1364"/>
      <c r="G649" s="1365"/>
      <c r="H649" s="1333"/>
      <c r="I649" s="1333"/>
      <c r="J649" s="1333"/>
      <c r="K649" s="1333"/>
      <c r="L649" s="1333"/>
      <c r="M649" s="1333"/>
      <c r="N649" s="1333"/>
      <c r="O649" s="1333"/>
      <c r="P649" s="1333"/>
      <c r="Q649" s="1333"/>
      <c r="R649" s="1333"/>
      <c r="S649" s="1333"/>
      <c r="T649" s="1333"/>
      <c r="U649" s="1333"/>
      <c r="V649" s="1333"/>
      <c r="W649" s="1333"/>
      <c r="X649" s="1333"/>
      <c r="Y649" s="1333"/>
      <c r="Z649" s="1333"/>
      <c r="AA649" s="1333"/>
      <c r="AB649" s="1333"/>
      <c r="AC649" s="1333"/>
      <c r="AD649" s="1333"/>
      <c r="AE649" s="1333"/>
      <c r="AF649" s="1333"/>
      <c r="AG649" s="1333"/>
      <c r="AH649" s="1333"/>
      <c r="AI649" s="1333"/>
    </row>
    <row r="650" spans="1:35" x14ac:dyDescent="0.25">
      <c r="A650" s="1331"/>
      <c r="B650" s="1284"/>
      <c r="C650" s="1284"/>
      <c r="D650" s="1364"/>
      <c r="E650" s="1364"/>
      <c r="F650" s="1364"/>
      <c r="G650" s="1365"/>
      <c r="H650" s="1333"/>
      <c r="I650" s="1333"/>
      <c r="J650" s="1333"/>
      <c r="K650" s="1333"/>
      <c r="L650" s="1333"/>
      <c r="M650" s="1333"/>
      <c r="N650" s="1333"/>
      <c r="O650" s="1333"/>
      <c r="P650" s="1333"/>
      <c r="Q650" s="1333"/>
      <c r="R650" s="1333"/>
      <c r="S650" s="1333"/>
      <c r="T650" s="1333"/>
      <c r="U650" s="1333"/>
      <c r="V650" s="1333"/>
      <c r="W650" s="1333"/>
      <c r="X650" s="1333"/>
      <c r="Y650" s="1333"/>
      <c r="Z650" s="1333"/>
      <c r="AA650" s="1333"/>
      <c r="AB650" s="1333"/>
      <c r="AC650" s="1333"/>
      <c r="AD650" s="1333"/>
      <c r="AE650" s="1333"/>
      <c r="AF650" s="1333"/>
      <c r="AG650" s="1333"/>
      <c r="AH650" s="1333"/>
      <c r="AI650" s="1333"/>
    </row>
    <row r="651" spans="1:35" x14ac:dyDescent="0.25">
      <c r="A651" s="1331"/>
      <c r="B651" s="1284"/>
      <c r="C651" s="1284"/>
      <c r="D651" s="1364"/>
      <c r="E651" s="1364"/>
      <c r="F651" s="1364"/>
      <c r="G651" s="1365"/>
      <c r="H651" s="1333"/>
      <c r="I651" s="1333"/>
      <c r="J651" s="1333"/>
      <c r="K651" s="1333"/>
      <c r="L651" s="1333"/>
      <c r="M651" s="1333"/>
      <c r="N651" s="1333"/>
      <c r="O651" s="1333"/>
      <c r="P651" s="1333"/>
      <c r="Q651" s="1333"/>
      <c r="R651" s="1333"/>
      <c r="S651" s="1333"/>
      <c r="T651" s="1333"/>
      <c r="U651" s="1333"/>
      <c r="V651" s="1333"/>
      <c r="W651" s="1333"/>
      <c r="X651" s="1333"/>
      <c r="Y651" s="1333"/>
      <c r="Z651" s="1333"/>
      <c r="AA651" s="1333"/>
      <c r="AB651" s="1333"/>
      <c r="AC651" s="1333"/>
      <c r="AD651" s="1333"/>
      <c r="AE651" s="1333"/>
      <c r="AF651" s="1333"/>
      <c r="AG651" s="1333"/>
      <c r="AH651" s="1333"/>
      <c r="AI651" s="1333"/>
    </row>
    <row r="652" spans="1:35" x14ac:dyDescent="0.25">
      <c r="A652" s="1331"/>
      <c r="B652" s="1284"/>
      <c r="C652" s="1284"/>
      <c r="D652" s="1364"/>
      <c r="E652" s="1364"/>
      <c r="F652" s="1364"/>
      <c r="G652" s="1365"/>
      <c r="H652" s="1333"/>
      <c r="I652" s="1333"/>
      <c r="J652" s="1333"/>
      <c r="K652" s="1333"/>
      <c r="L652" s="1333"/>
      <c r="M652" s="1333"/>
      <c r="N652" s="1333"/>
      <c r="O652" s="1333"/>
      <c r="P652" s="1333"/>
      <c r="Q652" s="1333"/>
      <c r="R652" s="1333"/>
      <c r="S652" s="1333"/>
      <c r="T652" s="1333"/>
      <c r="U652" s="1333"/>
      <c r="V652" s="1333"/>
      <c r="W652" s="1333"/>
      <c r="X652" s="1333"/>
      <c r="Y652" s="1333"/>
      <c r="Z652" s="1333"/>
      <c r="AA652" s="1333"/>
      <c r="AB652" s="1333"/>
      <c r="AC652" s="1333"/>
      <c r="AD652" s="1333"/>
      <c r="AE652" s="1333"/>
      <c r="AF652" s="1333"/>
      <c r="AG652" s="1333"/>
      <c r="AH652" s="1333"/>
      <c r="AI652" s="1333"/>
    </row>
    <row r="653" spans="1:35" x14ac:dyDescent="0.25">
      <c r="A653" s="1331"/>
      <c r="B653" s="1284"/>
      <c r="C653" s="1284"/>
      <c r="D653" s="1364"/>
      <c r="E653" s="1364"/>
      <c r="F653" s="1364"/>
      <c r="G653" s="1365"/>
      <c r="H653" s="1333"/>
      <c r="I653" s="1333"/>
      <c r="J653" s="1333"/>
      <c r="K653" s="1333"/>
      <c r="L653" s="1333"/>
      <c r="M653" s="1333"/>
      <c r="N653" s="1333"/>
      <c r="O653" s="1333"/>
      <c r="P653" s="1333"/>
      <c r="Q653" s="1333"/>
      <c r="R653" s="1333"/>
      <c r="S653" s="1333"/>
      <c r="T653" s="1333"/>
      <c r="U653" s="1333"/>
      <c r="V653" s="1333"/>
      <c r="W653" s="1333"/>
      <c r="X653" s="1333"/>
      <c r="Y653" s="1333"/>
      <c r="Z653" s="1333"/>
      <c r="AA653" s="1333"/>
      <c r="AB653" s="1333"/>
      <c r="AC653" s="1333"/>
      <c r="AD653" s="1333"/>
      <c r="AE653" s="1333"/>
      <c r="AF653" s="1333"/>
      <c r="AG653" s="1333"/>
      <c r="AH653" s="1333"/>
      <c r="AI653" s="1333"/>
    </row>
    <row r="654" spans="1:35" x14ac:dyDescent="0.25">
      <c r="A654" s="1331"/>
      <c r="B654" s="1284"/>
      <c r="C654" s="1284"/>
      <c r="D654" s="1364"/>
      <c r="E654" s="1364"/>
      <c r="F654" s="1364"/>
      <c r="G654" s="1365"/>
      <c r="H654" s="1333"/>
      <c r="I654" s="1333"/>
      <c r="J654" s="1333"/>
      <c r="K654" s="1333"/>
      <c r="L654" s="1333"/>
      <c r="M654" s="1333"/>
      <c r="N654" s="1333"/>
      <c r="O654" s="1333"/>
      <c r="P654" s="1333"/>
      <c r="Q654" s="1333"/>
      <c r="R654" s="1333"/>
      <c r="S654" s="1333"/>
      <c r="T654" s="1333"/>
      <c r="U654" s="1333"/>
      <c r="V654" s="1333"/>
      <c r="W654" s="1333"/>
      <c r="X654" s="1333"/>
      <c r="Y654" s="1333"/>
      <c r="Z654" s="1333"/>
      <c r="AA654" s="1333"/>
      <c r="AB654" s="1333"/>
      <c r="AC654" s="1333"/>
      <c r="AD654" s="1333"/>
      <c r="AE654" s="1333"/>
      <c r="AF654" s="1333"/>
      <c r="AG654" s="1333"/>
      <c r="AH654" s="1333"/>
      <c r="AI654" s="1333"/>
    </row>
    <row r="655" spans="1:35" x14ac:dyDescent="0.25">
      <c r="A655" s="1331"/>
      <c r="B655" s="1284"/>
      <c r="C655" s="1284"/>
      <c r="D655" s="1364"/>
      <c r="E655" s="1364"/>
      <c r="F655" s="1364"/>
      <c r="G655" s="1365"/>
      <c r="H655" s="1333"/>
      <c r="I655" s="1333"/>
      <c r="J655" s="1333"/>
      <c r="K655" s="1333"/>
      <c r="L655" s="1333"/>
      <c r="M655" s="1333"/>
      <c r="N655" s="1333"/>
      <c r="O655" s="1333"/>
      <c r="P655" s="1333"/>
      <c r="Q655" s="1333"/>
      <c r="R655" s="1333"/>
      <c r="S655" s="1333"/>
      <c r="T655" s="1333"/>
      <c r="U655" s="1333"/>
      <c r="V655" s="1333"/>
      <c r="W655" s="1333"/>
      <c r="X655" s="1333"/>
      <c r="Y655" s="1333"/>
      <c r="Z655" s="1333"/>
      <c r="AA655" s="1333"/>
      <c r="AB655" s="1333"/>
      <c r="AC655" s="1333"/>
      <c r="AD655" s="1333"/>
      <c r="AE655" s="1333"/>
      <c r="AF655" s="1333"/>
      <c r="AG655" s="1333"/>
      <c r="AH655" s="1333"/>
      <c r="AI655" s="1333"/>
    </row>
    <row r="656" spans="1:35" x14ac:dyDescent="0.25">
      <c r="A656" s="1331"/>
      <c r="B656" s="1284"/>
      <c r="C656" s="1284"/>
      <c r="D656" s="1364"/>
      <c r="E656" s="1364"/>
      <c r="F656" s="1364"/>
      <c r="G656" s="1365"/>
      <c r="H656" s="1333"/>
      <c r="I656" s="1333"/>
      <c r="J656" s="1333"/>
      <c r="K656" s="1333"/>
      <c r="L656" s="1333"/>
      <c r="M656" s="1333"/>
      <c r="N656" s="1333"/>
      <c r="O656" s="1333"/>
      <c r="P656" s="1333"/>
      <c r="Q656" s="1333"/>
      <c r="R656" s="1333"/>
      <c r="S656" s="1333"/>
      <c r="T656" s="1333"/>
      <c r="U656" s="1333"/>
      <c r="V656" s="1333"/>
      <c r="W656" s="1333"/>
      <c r="X656" s="1333"/>
      <c r="Y656" s="1333"/>
      <c r="Z656" s="1333"/>
      <c r="AA656" s="1333"/>
      <c r="AB656" s="1333"/>
      <c r="AC656" s="1333"/>
      <c r="AD656" s="1333"/>
      <c r="AE656" s="1333"/>
      <c r="AF656" s="1333"/>
      <c r="AG656" s="1333"/>
      <c r="AH656" s="1333"/>
      <c r="AI656" s="1333"/>
    </row>
    <row r="657" spans="1:35" x14ac:dyDescent="0.25">
      <c r="A657" s="1331"/>
      <c r="B657" s="1284"/>
      <c r="C657" s="1284"/>
      <c r="D657" s="1364"/>
      <c r="E657" s="1364"/>
      <c r="F657" s="1364"/>
      <c r="G657" s="1365"/>
      <c r="H657" s="1333"/>
      <c r="I657" s="1333"/>
      <c r="J657" s="1333"/>
      <c r="K657" s="1333"/>
      <c r="L657" s="1333"/>
      <c r="M657" s="1333"/>
      <c r="N657" s="1333"/>
      <c r="O657" s="1333"/>
      <c r="P657" s="1333"/>
      <c r="Q657" s="1333"/>
      <c r="R657" s="1333"/>
      <c r="S657" s="1333"/>
      <c r="T657" s="1333"/>
      <c r="U657" s="1333"/>
      <c r="V657" s="1333"/>
      <c r="W657" s="1333"/>
      <c r="X657" s="1333"/>
      <c r="Y657" s="1333"/>
      <c r="Z657" s="1333"/>
      <c r="AA657" s="1333"/>
      <c r="AB657" s="1333"/>
      <c r="AC657" s="1333"/>
      <c r="AD657" s="1333"/>
      <c r="AE657" s="1333"/>
      <c r="AF657" s="1333"/>
      <c r="AG657" s="1333"/>
      <c r="AH657" s="1333"/>
      <c r="AI657" s="1333"/>
    </row>
    <row r="658" spans="1:35" x14ac:dyDescent="0.25">
      <c r="A658" s="1331"/>
      <c r="B658" s="1284"/>
      <c r="C658" s="1284"/>
      <c r="D658" s="1364"/>
      <c r="E658" s="1364"/>
      <c r="F658" s="1364"/>
      <c r="G658" s="1365"/>
      <c r="H658" s="1333"/>
      <c r="I658" s="1333"/>
      <c r="J658" s="1333"/>
      <c r="K658" s="1333"/>
      <c r="L658" s="1333"/>
      <c r="M658" s="1333"/>
      <c r="N658" s="1333"/>
      <c r="O658" s="1333"/>
      <c r="P658" s="1333"/>
      <c r="Q658" s="1333"/>
      <c r="R658" s="1333"/>
      <c r="S658" s="1333"/>
      <c r="T658" s="1333"/>
      <c r="U658" s="1333"/>
      <c r="V658" s="1333"/>
      <c r="W658" s="1333"/>
      <c r="X658" s="1333"/>
      <c r="Y658" s="1333"/>
      <c r="Z658" s="1333"/>
      <c r="AA658" s="1333"/>
      <c r="AB658" s="1333"/>
      <c r="AC658" s="1333"/>
      <c r="AD658" s="1333"/>
      <c r="AE658" s="1333"/>
      <c r="AF658" s="1333"/>
      <c r="AG658" s="1333"/>
      <c r="AH658" s="1333"/>
      <c r="AI658" s="1333"/>
    </row>
    <row r="659" spans="1:35" x14ac:dyDescent="0.25">
      <c r="A659" s="1331"/>
      <c r="B659" s="1284"/>
      <c r="C659" s="1284"/>
      <c r="D659" s="1364"/>
      <c r="E659" s="1364"/>
      <c r="F659" s="1364"/>
      <c r="G659" s="1365"/>
      <c r="H659" s="1333"/>
      <c r="I659" s="1333"/>
      <c r="J659" s="1333"/>
      <c r="K659" s="1333"/>
      <c r="L659" s="1333"/>
      <c r="M659" s="1333"/>
      <c r="N659" s="1333"/>
      <c r="O659" s="1333"/>
      <c r="P659" s="1333"/>
      <c r="Q659" s="1333"/>
      <c r="R659" s="1333"/>
      <c r="S659" s="1333"/>
      <c r="T659" s="1333"/>
      <c r="U659" s="1333"/>
      <c r="V659" s="1333"/>
      <c r="W659" s="1333"/>
      <c r="X659" s="1333"/>
      <c r="Y659" s="1333"/>
      <c r="Z659" s="1333"/>
      <c r="AA659" s="1333"/>
      <c r="AB659" s="1333"/>
      <c r="AC659" s="1333"/>
      <c r="AD659" s="1333"/>
      <c r="AE659" s="1333"/>
      <c r="AF659" s="1333"/>
      <c r="AG659" s="1333"/>
      <c r="AH659" s="1333"/>
      <c r="AI659" s="1333"/>
    </row>
    <row r="660" spans="1:35" x14ac:dyDescent="0.25">
      <c r="A660" s="1331"/>
      <c r="B660" s="1284"/>
      <c r="C660" s="1284"/>
      <c r="D660" s="1364"/>
      <c r="E660" s="1364"/>
      <c r="F660" s="1364"/>
      <c r="G660" s="1365"/>
      <c r="H660" s="1333"/>
      <c r="I660" s="1333"/>
      <c r="J660" s="1333"/>
      <c r="K660" s="1333"/>
      <c r="L660" s="1333"/>
      <c r="M660" s="1333"/>
      <c r="N660" s="1333"/>
      <c r="O660" s="1333"/>
      <c r="P660" s="1333"/>
      <c r="Q660" s="1333"/>
      <c r="R660" s="1333"/>
      <c r="S660" s="1333"/>
      <c r="T660" s="1333"/>
      <c r="U660" s="1333"/>
      <c r="V660" s="1333"/>
      <c r="W660" s="1333"/>
      <c r="X660" s="1333"/>
      <c r="Y660" s="1333"/>
      <c r="Z660" s="1333"/>
      <c r="AA660" s="1333"/>
      <c r="AB660" s="1333"/>
      <c r="AC660" s="1333"/>
      <c r="AD660" s="1333"/>
      <c r="AE660" s="1333"/>
      <c r="AF660" s="1333"/>
      <c r="AG660" s="1333"/>
      <c r="AH660" s="1333"/>
      <c r="AI660" s="1333"/>
    </row>
    <row r="661" spans="1:35" x14ac:dyDescent="0.25">
      <c r="A661" s="1331"/>
      <c r="B661" s="1284"/>
      <c r="C661" s="1284"/>
      <c r="D661" s="1364"/>
      <c r="E661" s="1364"/>
      <c r="F661" s="1364"/>
      <c r="G661" s="1365"/>
      <c r="H661" s="1333"/>
      <c r="I661" s="1333"/>
      <c r="J661" s="1333"/>
      <c r="K661" s="1333"/>
      <c r="L661" s="1333"/>
      <c r="M661" s="1333"/>
      <c r="N661" s="1333"/>
      <c r="O661" s="1333"/>
      <c r="P661" s="1333"/>
      <c r="Q661" s="1333"/>
      <c r="R661" s="1333"/>
      <c r="S661" s="1333"/>
      <c r="T661" s="1333"/>
      <c r="U661" s="1333"/>
      <c r="V661" s="1333"/>
      <c r="W661" s="1333"/>
      <c r="X661" s="1333"/>
      <c r="Y661" s="1333"/>
      <c r="Z661" s="1333"/>
      <c r="AA661" s="1333"/>
      <c r="AB661" s="1333"/>
      <c r="AC661" s="1333"/>
      <c r="AD661" s="1333"/>
      <c r="AE661" s="1333"/>
      <c r="AF661" s="1333"/>
      <c r="AG661" s="1333"/>
      <c r="AH661" s="1333"/>
      <c r="AI661" s="1333"/>
    </row>
    <row r="662" spans="1:35" x14ac:dyDescent="0.25">
      <c r="A662" s="1331"/>
      <c r="B662" s="1284"/>
      <c r="C662" s="1284"/>
      <c r="D662" s="1364"/>
      <c r="E662" s="1364"/>
      <c r="F662" s="1364"/>
      <c r="G662" s="1365"/>
      <c r="H662" s="1333"/>
      <c r="I662" s="1333"/>
      <c r="J662" s="1333"/>
      <c r="K662" s="1333"/>
      <c r="L662" s="1333"/>
      <c r="M662" s="1333"/>
      <c r="N662" s="1333"/>
      <c r="O662" s="1333"/>
      <c r="P662" s="1333"/>
      <c r="Q662" s="1333"/>
      <c r="R662" s="1333"/>
      <c r="S662" s="1333"/>
      <c r="T662" s="1333"/>
      <c r="U662" s="1333"/>
      <c r="V662" s="1333"/>
      <c r="W662" s="1333"/>
      <c r="X662" s="1333"/>
      <c r="Y662" s="1333"/>
      <c r="Z662" s="1333"/>
      <c r="AA662" s="1333"/>
      <c r="AB662" s="1333"/>
      <c r="AC662" s="1333"/>
      <c r="AD662" s="1333"/>
      <c r="AE662" s="1333"/>
      <c r="AF662" s="1333"/>
      <c r="AG662" s="1333"/>
      <c r="AH662" s="1333"/>
      <c r="AI662" s="1333"/>
    </row>
    <row r="663" spans="1:35" x14ac:dyDescent="0.25">
      <c r="A663" s="1331"/>
      <c r="B663" s="1284"/>
      <c r="C663" s="1284"/>
      <c r="D663" s="1364"/>
      <c r="E663" s="1364"/>
      <c r="F663" s="1364"/>
      <c r="G663" s="1365"/>
      <c r="H663" s="1333"/>
      <c r="I663" s="1333"/>
      <c r="J663" s="1333"/>
      <c r="K663" s="1333"/>
      <c r="L663" s="1333"/>
      <c r="M663" s="1333"/>
      <c r="N663" s="1333"/>
      <c r="O663" s="1333"/>
      <c r="P663" s="1333"/>
      <c r="Q663" s="1333"/>
      <c r="R663" s="1333"/>
      <c r="S663" s="1333"/>
      <c r="T663" s="1333"/>
      <c r="U663" s="1333"/>
      <c r="V663" s="1333"/>
      <c r="W663" s="1333"/>
      <c r="X663" s="1333"/>
      <c r="Y663" s="1333"/>
      <c r="Z663" s="1333"/>
      <c r="AA663" s="1333"/>
      <c r="AB663" s="1333"/>
      <c r="AC663" s="1333"/>
      <c r="AD663" s="1333"/>
      <c r="AE663" s="1333"/>
      <c r="AF663" s="1333"/>
      <c r="AG663" s="1333"/>
      <c r="AH663" s="1333"/>
      <c r="AI663" s="1333"/>
    </row>
    <row r="664" spans="1:35" x14ac:dyDescent="0.25">
      <c r="A664" s="1331"/>
      <c r="B664" s="1284"/>
      <c r="C664" s="1284"/>
      <c r="D664" s="1364"/>
      <c r="E664" s="1364"/>
      <c r="F664" s="1364"/>
      <c r="G664" s="1365"/>
      <c r="H664" s="1333"/>
      <c r="I664" s="1333"/>
      <c r="J664" s="1333"/>
      <c r="K664" s="1333"/>
      <c r="L664" s="1333"/>
      <c r="M664" s="1333"/>
      <c r="N664" s="1333"/>
      <c r="O664" s="1333"/>
      <c r="P664" s="1333"/>
      <c r="Q664" s="1333"/>
      <c r="R664" s="1333"/>
      <c r="S664" s="1333"/>
      <c r="T664" s="1333"/>
      <c r="U664" s="1333"/>
      <c r="V664" s="1333"/>
      <c r="W664" s="1333"/>
      <c r="X664" s="1333"/>
      <c r="Y664" s="1333"/>
      <c r="Z664" s="1333"/>
      <c r="AA664" s="1333"/>
      <c r="AB664" s="1333"/>
      <c r="AC664" s="1333"/>
      <c r="AD664" s="1333"/>
      <c r="AE664" s="1333"/>
      <c r="AF664" s="1333"/>
      <c r="AG664" s="1333"/>
      <c r="AH664" s="1333"/>
      <c r="AI664" s="1333"/>
    </row>
    <row r="665" spans="1:35" x14ac:dyDescent="0.25">
      <c r="A665" s="1331"/>
      <c r="B665" s="1284"/>
      <c r="C665" s="1284"/>
      <c r="D665" s="1364"/>
      <c r="E665" s="1364"/>
      <c r="F665" s="1364"/>
      <c r="G665" s="1365"/>
      <c r="H665" s="1333"/>
      <c r="I665" s="1333"/>
      <c r="J665" s="1333"/>
      <c r="K665" s="1333"/>
      <c r="L665" s="1333"/>
      <c r="M665" s="1333"/>
      <c r="N665" s="1333"/>
      <c r="O665" s="1333"/>
      <c r="P665" s="1333"/>
      <c r="Q665" s="1333"/>
      <c r="R665" s="1333"/>
      <c r="S665" s="1333"/>
      <c r="T665" s="1333"/>
      <c r="U665" s="1333"/>
      <c r="V665" s="1333"/>
      <c r="W665" s="1333"/>
      <c r="X665" s="1333"/>
      <c r="Y665" s="1333"/>
      <c r="Z665" s="1333"/>
      <c r="AA665" s="1333"/>
      <c r="AB665" s="1333"/>
      <c r="AC665" s="1333"/>
      <c r="AD665" s="1333"/>
      <c r="AE665" s="1333"/>
      <c r="AF665" s="1333"/>
      <c r="AG665" s="1333"/>
      <c r="AH665" s="1333"/>
      <c r="AI665" s="1333"/>
    </row>
    <row r="666" spans="1:35" x14ac:dyDescent="0.25">
      <c r="A666" s="1331"/>
      <c r="B666" s="1284"/>
      <c r="C666" s="1284"/>
      <c r="D666" s="1364"/>
      <c r="E666" s="1364"/>
      <c r="F666" s="1364"/>
      <c r="G666" s="1365"/>
      <c r="H666" s="1333"/>
      <c r="I666" s="1333"/>
      <c r="J666" s="1333"/>
      <c r="K666" s="1333"/>
      <c r="L666" s="1333"/>
      <c r="M666" s="1333"/>
      <c r="N666" s="1333"/>
      <c r="O666" s="1333"/>
      <c r="P666" s="1333"/>
      <c r="Q666" s="1333"/>
      <c r="R666" s="1333"/>
      <c r="S666" s="1333"/>
      <c r="T666" s="1333"/>
      <c r="U666" s="1333"/>
      <c r="V666" s="1333"/>
      <c r="W666" s="1333"/>
      <c r="X666" s="1333"/>
      <c r="Y666" s="1333"/>
      <c r="Z666" s="1333"/>
      <c r="AA666" s="1333"/>
      <c r="AB666" s="1333"/>
      <c r="AC666" s="1333"/>
      <c r="AD666" s="1333"/>
      <c r="AE666" s="1333"/>
      <c r="AF666" s="1333"/>
      <c r="AG666" s="1333"/>
      <c r="AH666" s="1333"/>
      <c r="AI666" s="1333"/>
    </row>
    <row r="667" spans="1:35" x14ac:dyDescent="0.25">
      <c r="A667" s="1331"/>
      <c r="B667" s="1284"/>
      <c r="C667" s="1284"/>
      <c r="D667" s="1364"/>
      <c r="E667" s="1364"/>
      <c r="F667" s="1364"/>
      <c r="G667" s="1365"/>
      <c r="H667" s="1333"/>
      <c r="I667" s="1333"/>
      <c r="J667" s="1333"/>
      <c r="K667" s="1333"/>
      <c r="L667" s="1333"/>
      <c r="M667" s="1333"/>
      <c r="N667" s="1333"/>
      <c r="O667" s="1333"/>
      <c r="P667" s="1333"/>
      <c r="Q667" s="1333"/>
      <c r="R667" s="1333"/>
      <c r="S667" s="1333"/>
      <c r="T667" s="1333"/>
      <c r="U667" s="1333"/>
      <c r="V667" s="1333"/>
      <c r="W667" s="1333"/>
      <c r="X667" s="1333"/>
      <c r="Y667" s="1333"/>
      <c r="Z667" s="1333"/>
      <c r="AA667" s="1333"/>
      <c r="AB667" s="1333"/>
      <c r="AC667" s="1333"/>
      <c r="AD667" s="1333"/>
      <c r="AE667" s="1333"/>
      <c r="AF667" s="1333"/>
      <c r="AG667" s="1333"/>
      <c r="AH667" s="1333"/>
      <c r="AI667" s="1333"/>
    </row>
    <row r="668" spans="1:35" x14ac:dyDescent="0.25">
      <c r="A668" s="1331"/>
      <c r="B668" s="1284"/>
      <c r="C668" s="1284"/>
      <c r="D668" s="1364"/>
      <c r="E668" s="1364"/>
      <c r="F668" s="1364"/>
      <c r="G668" s="1365"/>
      <c r="H668" s="1333"/>
      <c r="I668" s="1333"/>
      <c r="J668" s="1333"/>
      <c r="K668" s="1333"/>
      <c r="L668" s="1333"/>
      <c r="M668" s="1333"/>
      <c r="N668" s="1333"/>
      <c r="O668" s="1333"/>
      <c r="P668" s="1333"/>
      <c r="Q668" s="1333"/>
      <c r="R668" s="1333"/>
      <c r="S668" s="1333"/>
      <c r="T668" s="1333"/>
      <c r="U668" s="1333"/>
      <c r="V668" s="1333"/>
      <c r="W668" s="1333"/>
      <c r="X668" s="1333"/>
      <c r="Y668" s="1333"/>
      <c r="Z668" s="1333"/>
      <c r="AA668" s="1333"/>
      <c r="AB668" s="1333"/>
      <c r="AC668" s="1333"/>
      <c r="AD668" s="1333"/>
      <c r="AE668" s="1333"/>
      <c r="AF668" s="1333"/>
      <c r="AG668" s="1333"/>
      <c r="AH668" s="1333"/>
      <c r="AI668" s="1333"/>
    </row>
    <row r="669" spans="1:35" x14ac:dyDescent="0.25">
      <c r="A669" s="1331"/>
      <c r="B669" s="1284"/>
      <c r="C669" s="1284"/>
      <c r="D669" s="1364"/>
      <c r="E669" s="1364"/>
      <c r="F669" s="1364"/>
      <c r="G669" s="1365"/>
      <c r="H669" s="1333"/>
      <c r="I669" s="1333"/>
      <c r="J669" s="1333"/>
      <c r="K669" s="1333"/>
      <c r="L669" s="1333"/>
      <c r="M669" s="1333"/>
      <c r="N669" s="1333"/>
      <c r="O669" s="1333"/>
      <c r="P669" s="1333"/>
      <c r="Q669" s="1333"/>
      <c r="R669" s="1333"/>
      <c r="S669" s="1333"/>
      <c r="T669" s="1333"/>
      <c r="U669" s="1333"/>
      <c r="V669" s="1333"/>
      <c r="W669" s="1333"/>
      <c r="X669" s="1333"/>
      <c r="Y669" s="1333"/>
      <c r="Z669" s="1333"/>
      <c r="AA669" s="1333"/>
      <c r="AB669" s="1333"/>
      <c r="AC669" s="1333"/>
      <c r="AD669" s="1333"/>
      <c r="AE669" s="1333"/>
      <c r="AF669" s="1333"/>
      <c r="AG669" s="1333"/>
      <c r="AH669" s="1333"/>
      <c r="AI669" s="1333"/>
    </row>
    <row r="670" spans="1:35" x14ac:dyDescent="0.25">
      <c r="A670" s="1331"/>
      <c r="B670" s="1284"/>
      <c r="C670" s="1284"/>
      <c r="D670" s="1364"/>
      <c r="E670" s="1364"/>
      <c r="F670" s="1364"/>
      <c r="G670" s="1365"/>
      <c r="H670" s="1333"/>
      <c r="I670" s="1333"/>
      <c r="J670" s="1333"/>
      <c r="K670" s="1333"/>
      <c r="L670" s="1333"/>
      <c r="M670" s="1333"/>
      <c r="N670" s="1333"/>
      <c r="O670" s="1333"/>
      <c r="P670" s="1333"/>
      <c r="Q670" s="1333"/>
      <c r="R670" s="1333"/>
      <c r="S670" s="1333"/>
      <c r="T670" s="1333"/>
      <c r="U670" s="1333"/>
      <c r="V670" s="1333"/>
      <c r="W670" s="1333"/>
      <c r="X670" s="1333"/>
      <c r="Y670" s="1333"/>
      <c r="Z670" s="1333"/>
      <c r="AA670" s="1333"/>
      <c r="AB670" s="1333"/>
      <c r="AC670" s="1333"/>
      <c r="AD670" s="1333"/>
      <c r="AE670" s="1333"/>
      <c r="AF670" s="1333"/>
      <c r="AG670" s="1333"/>
      <c r="AH670" s="1333"/>
      <c r="AI670" s="1333"/>
    </row>
    <row r="671" spans="1:35" x14ac:dyDescent="0.25">
      <c r="A671" s="1331"/>
      <c r="B671" s="1284"/>
      <c r="C671" s="1284"/>
      <c r="D671" s="1364"/>
      <c r="E671" s="1364"/>
      <c r="F671" s="1364"/>
      <c r="G671" s="1365"/>
      <c r="H671" s="1333"/>
      <c r="I671" s="1333"/>
      <c r="J671" s="1333"/>
      <c r="K671" s="1333"/>
      <c r="L671" s="1333"/>
      <c r="M671" s="1333"/>
      <c r="N671" s="1333"/>
      <c r="O671" s="1333"/>
      <c r="P671" s="1333"/>
      <c r="Q671" s="1333"/>
      <c r="R671" s="1333"/>
      <c r="S671" s="1333"/>
      <c r="T671" s="1333"/>
      <c r="U671" s="1333"/>
      <c r="V671" s="1333"/>
      <c r="W671" s="1333"/>
      <c r="X671" s="1333"/>
      <c r="Y671" s="1333"/>
      <c r="Z671" s="1333"/>
      <c r="AA671" s="1333"/>
      <c r="AB671" s="1333"/>
      <c r="AC671" s="1333"/>
      <c r="AD671" s="1333"/>
      <c r="AE671" s="1333"/>
      <c r="AF671" s="1333"/>
      <c r="AG671" s="1333"/>
      <c r="AH671" s="1333"/>
      <c r="AI671" s="1333"/>
    </row>
    <row r="672" spans="1:35" x14ac:dyDescent="0.25">
      <c r="A672" s="1331"/>
      <c r="B672" s="1284"/>
      <c r="C672" s="1284"/>
      <c r="D672" s="1364"/>
      <c r="E672" s="1364"/>
      <c r="F672" s="1364"/>
      <c r="G672" s="1365"/>
      <c r="H672" s="1333"/>
      <c r="I672" s="1333"/>
      <c r="J672" s="1333"/>
      <c r="K672" s="1333"/>
      <c r="L672" s="1333"/>
      <c r="M672" s="1333"/>
      <c r="N672" s="1333"/>
      <c r="O672" s="1333"/>
      <c r="P672" s="1333"/>
      <c r="Q672" s="1333"/>
      <c r="R672" s="1333"/>
      <c r="S672" s="1333"/>
      <c r="T672" s="1333"/>
      <c r="U672" s="1333"/>
      <c r="V672" s="1333"/>
      <c r="W672" s="1333"/>
      <c r="X672" s="1333"/>
      <c r="Y672" s="1333"/>
      <c r="Z672" s="1333"/>
      <c r="AA672" s="1333"/>
      <c r="AB672" s="1333"/>
      <c r="AC672" s="1333"/>
      <c r="AD672" s="1333"/>
      <c r="AE672" s="1333"/>
      <c r="AF672" s="1333"/>
      <c r="AG672" s="1333"/>
      <c r="AH672" s="1333"/>
      <c r="AI672" s="1333"/>
    </row>
    <row r="673" spans="1:35" x14ac:dyDescent="0.25">
      <c r="A673" s="1331"/>
      <c r="B673" s="1284"/>
      <c r="C673" s="1284"/>
      <c r="D673" s="1364"/>
      <c r="E673" s="1364"/>
      <c r="F673" s="1364"/>
      <c r="G673" s="1365"/>
      <c r="H673" s="1333"/>
      <c r="I673" s="1333"/>
      <c r="J673" s="1333"/>
      <c r="K673" s="1333"/>
      <c r="L673" s="1333"/>
      <c r="M673" s="1333"/>
      <c r="N673" s="1333"/>
      <c r="O673" s="1333"/>
      <c r="P673" s="1333"/>
      <c r="Q673" s="1333"/>
      <c r="R673" s="1333"/>
      <c r="S673" s="1333"/>
      <c r="T673" s="1333"/>
      <c r="U673" s="1333"/>
      <c r="V673" s="1333"/>
      <c r="W673" s="1333"/>
      <c r="X673" s="1333"/>
      <c r="Y673" s="1333"/>
      <c r="Z673" s="1333"/>
      <c r="AA673" s="1333"/>
      <c r="AB673" s="1333"/>
      <c r="AC673" s="1333"/>
      <c r="AD673" s="1333"/>
      <c r="AE673" s="1333"/>
      <c r="AF673" s="1333"/>
      <c r="AG673" s="1333"/>
      <c r="AH673" s="1333"/>
      <c r="AI673" s="1333"/>
    </row>
    <row r="674" spans="1:35" x14ac:dyDescent="0.25">
      <c r="A674" s="1331"/>
      <c r="B674" s="1284"/>
      <c r="C674" s="1284"/>
      <c r="D674" s="1364"/>
      <c r="E674" s="1364"/>
      <c r="F674" s="1364"/>
      <c r="G674" s="1365"/>
      <c r="H674" s="1333"/>
      <c r="I674" s="1333"/>
      <c r="J674" s="1333"/>
      <c r="K674" s="1333"/>
      <c r="L674" s="1333"/>
      <c r="M674" s="1333"/>
      <c r="N674" s="1333"/>
      <c r="O674" s="1333"/>
      <c r="P674" s="1333"/>
      <c r="Q674" s="1333"/>
      <c r="R674" s="1333"/>
      <c r="S674" s="1333"/>
      <c r="T674" s="1333"/>
      <c r="U674" s="1333"/>
      <c r="V674" s="1333"/>
      <c r="W674" s="1333"/>
      <c r="X674" s="1333"/>
      <c r="Y674" s="1333"/>
      <c r="Z674" s="1333"/>
      <c r="AA674" s="1333"/>
      <c r="AB674" s="1333"/>
      <c r="AC674" s="1333"/>
      <c r="AD674" s="1333"/>
      <c r="AE674" s="1333"/>
      <c r="AF674" s="1333"/>
      <c r="AG674" s="1333"/>
      <c r="AH674" s="1333"/>
      <c r="AI674" s="1333"/>
    </row>
    <row r="675" spans="1:35" x14ac:dyDescent="0.25">
      <c r="A675" s="1331"/>
      <c r="B675" s="1284"/>
      <c r="C675" s="1284"/>
      <c r="D675" s="1364"/>
      <c r="E675" s="1364"/>
      <c r="F675" s="1364"/>
      <c r="G675" s="1365"/>
      <c r="H675" s="1333"/>
      <c r="I675" s="1333"/>
      <c r="J675" s="1333"/>
      <c r="K675" s="1333"/>
      <c r="L675" s="1333"/>
      <c r="M675" s="1333"/>
      <c r="N675" s="1333"/>
      <c r="O675" s="1333"/>
      <c r="P675" s="1333"/>
      <c r="Q675" s="1333"/>
      <c r="R675" s="1333"/>
      <c r="S675" s="1333"/>
      <c r="T675" s="1333"/>
      <c r="U675" s="1333"/>
      <c r="V675" s="1333"/>
      <c r="W675" s="1333"/>
      <c r="X675" s="1333"/>
      <c r="Y675" s="1333"/>
      <c r="Z675" s="1333"/>
      <c r="AA675" s="1333"/>
      <c r="AB675" s="1333"/>
      <c r="AC675" s="1333"/>
      <c r="AD675" s="1333"/>
      <c r="AE675" s="1333"/>
      <c r="AF675" s="1333"/>
      <c r="AG675" s="1333"/>
      <c r="AH675" s="1333"/>
      <c r="AI675" s="1333"/>
    </row>
    <row r="676" spans="1:35" x14ac:dyDescent="0.25">
      <c r="A676" s="1331"/>
      <c r="B676" s="1284"/>
      <c r="C676" s="1284"/>
      <c r="D676" s="1364"/>
      <c r="E676" s="1364"/>
      <c r="F676" s="1364"/>
      <c r="G676" s="1365"/>
      <c r="H676" s="1333"/>
      <c r="I676" s="1333"/>
      <c r="J676" s="1333"/>
      <c r="K676" s="1333"/>
      <c r="L676" s="1333"/>
      <c r="M676" s="1333"/>
      <c r="N676" s="1333"/>
      <c r="O676" s="1333"/>
      <c r="P676" s="1333"/>
      <c r="Q676" s="1333"/>
      <c r="R676" s="1333"/>
      <c r="S676" s="1333"/>
      <c r="T676" s="1333"/>
      <c r="U676" s="1333"/>
      <c r="V676" s="1333"/>
      <c r="W676" s="1333"/>
      <c r="X676" s="1333"/>
      <c r="Y676" s="1333"/>
      <c r="Z676" s="1333"/>
      <c r="AA676" s="1333"/>
      <c r="AB676" s="1333"/>
      <c r="AC676" s="1333"/>
      <c r="AD676" s="1333"/>
      <c r="AE676" s="1333"/>
      <c r="AF676" s="1333"/>
      <c r="AG676" s="1333"/>
      <c r="AH676" s="1333"/>
      <c r="AI676" s="1333"/>
    </row>
    <row r="677" spans="1:35" x14ac:dyDescent="0.25">
      <c r="A677" s="1331"/>
      <c r="B677" s="1284"/>
      <c r="C677" s="1284"/>
      <c r="D677" s="1364"/>
      <c r="E677" s="1364"/>
      <c r="F677" s="1364"/>
      <c r="G677" s="1365"/>
      <c r="H677" s="1333"/>
      <c r="I677" s="1333"/>
      <c r="J677" s="1333"/>
      <c r="K677" s="1333"/>
      <c r="L677" s="1333"/>
      <c r="M677" s="1333"/>
      <c r="N677" s="1333"/>
      <c r="O677" s="1333"/>
      <c r="P677" s="1333"/>
      <c r="Q677" s="1333"/>
      <c r="R677" s="1333"/>
      <c r="S677" s="1333"/>
      <c r="T677" s="1333"/>
      <c r="U677" s="1333"/>
      <c r="V677" s="1333"/>
      <c r="W677" s="1333"/>
      <c r="X677" s="1333"/>
      <c r="Y677" s="1333"/>
      <c r="Z677" s="1333"/>
      <c r="AA677" s="1333"/>
      <c r="AB677" s="1333"/>
      <c r="AC677" s="1333"/>
      <c r="AD677" s="1333"/>
      <c r="AE677" s="1333"/>
      <c r="AF677" s="1333"/>
      <c r="AG677" s="1333"/>
      <c r="AH677" s="1333"/>
      <c r="AI677" s="1333"/>
    </row>
    <row r="678" spans="1:35" x14ac:dyDescent="0.25">
      <c r="A678" s="1331"/>
      <c r="B678" s="1284"/>
      <c r="C678" s="1284"/>
      <c r="D678" s="1364"/>
      <c r="E678" s="1364"/>
      <c r="F678" s="1364"/>
      <c r="G678" s="1365"/>
      <c r="H678" s="1333"/>
      <c r="I678" s="1333"/>
      <c r="J678" s="1333"/>
      <c r="K678" s="1333"/>
      <c r="L678" s="1333"/>
      <c r="M678" s="1333"/>
      <c r="N678" s="1333"/>
      <c r="O678" s="1333"/>
      <c r="P678" s="1333"/>
      <c r="Q678" s="1333"/>
      <c r="R678" s="1333"/>
      <c r="S678" s="1333"/>
      <c r="T678" s="1333"/>
      <c r="U678" s="1333"/>
      <c r="V678" s="1333"/>
      <c r="W678" s="1333"/>
      <c r="X678" s="1333"/>
      <c r="Y678" s="1333"/>
      <c r="Z678" s="1333"/>
      <c r="AA678" s="1333"/>
      <c r="AB678" s="1333"/>
      <c r="AC678" s="1333"/>
      <c r="AD678" s="1333"/>
      <c r="AE678" s="1333"/>
      <c r="AF678" s="1333"/>
      <c r="AG678" s="1333"/>
      <c r="AH678" s="1333"/>
      <c r="AI678" s="1333"/>
    </row>
    <row r="679" spans="1:35" x14ac:dyDescent="0.25">
      <c r="A679" s="1331"/>
      <c r="B679" s="1284"/>
      <c r="C679" s="1284"/>
      <c r="D679" s="1364"/>
      <c r="E679" s="1364"/>
      <c r="F679" s="1364"/>
      <c r="G679" s="1365"/>
      <c r="H679" s="1333"/>
      <c r="I679" s="1333"/>
      <c r="J679" s="1333"/>
      <c r="K679" s="1333"/>
      <c r="L679" s="1333"/>
      <c r="M679" s="1333"/>
      <c r="N679" s="1333"/>
      <c r="O679" s="1333"/>
      <c r="P679" s="1333"/>
      <c r="Q679" s="1333"/>
      <c r="R679" s="1333"/>
      <c r="S679" s="1333"/>
      <c r="T679" s="1333"/>
      <c r="U679" s="1333"/>
      <c r="V679" s="1333"/>
      <c r="W679" s="1333"/>
      <c r="X679" s="1333"/>
      <c r="Y679" s="1333"/>
      <c r="Z679" s="1333"/>
      <c r="AA679" s="1333"/>
      <c r="AB679" s="1333"/>
      <c r="AC679" s="1333"/>
      <c r="AD679" s="1333"/>
      <c r="AE679" s="1333"/>
      <c r="AF679" s="1333"/>
      <c r="AG679" s="1333"/>
      <c r="AH679" s="1333"/>
      <c r="AI679" s="1333"/>
    </row>
    <row r="680" spans="1:35" x14ac:dyDescent="0.25">
      <c r="A680" s="1331"/>
      <c r="B680" s="1284"/>
      <c r="C680" s="1284"/>
      <c r="D680" s="1364"/>
      <c r="E680" s="1364"/>
      <c r="F680" s="1364"/>
      <c r="G680" s="1365"/>
      <c r="H680" s="1333"/>
      <c r="I680" s="1333"/>
      <c r="J680" s="1333"/>
      <c r="K680" s="1333"/>
      <c r="L680" s="1333"/>
      <c r="M680" s="1333"/>
      <c r="N680" s="1333"/>
      <c r="O680" s="1333"/>
      <c r="P680" s="1333"/>
      <c r="Q680" s="1333"/>
      <c r="R680" s="1333"/>
      <c r="S680" s="1333"/>
      <c r="T680" s="1333"/>
      <c r="U680" s="1333"/>
      <c r="V680" s="1333"/>
      <c r="W680" s="1333"/>
      <c r="X680" s="1333"/>
      <c r="Y680" s="1333"/>
      <c r="Z680" s="1333"/>
      <c r="AA680" s="1333"/>
      <c r="AB680" s="1333"/>
      <c r="AC680" s="1333"/>
      <c r="AD680" s="1333"/>
      <c r="AE680" s="1333"/>
      <c r="AF680" s="1333"/>
      <c r="AG680" s="1333"/>
      <c r="AH680" s="1333"/>
      <c r="AI680" s="1333"/>
    </row>
    <row r="681" spans="1:35" x14ac:dyDescent="0.25">
      <c r="A681" s="1331"/>
      <c r="B681" s="1284"/>
      <c r="C681" s="1284"/>
      <c r="D681" s="1364"/>
      <c r="E681" s="1364"/>
      <c r="F681" s="1364"/>
      <c r="G681" s="1365"/>
      <c r="H681" s="1333"/>
      <c r="I681" s="1333"/>
      <c r="J681" s="1333"/>
      <c r="K681" s="1333"/>
      <c r="L681" s="1333"/>
      <c r="M681" s="1333"/>
      <c r="N681" s="1333"/>
      <c r="O681" s="1333"/>
      <c r="P681" s="1333"/>
      <c r="Q681" s="1333"/>
      <c r="R681" s="1333"/>
      <c r="S681" s="1333"/>
      <c r="T681" s="1333"/>
      <c r="U681" s="1333"/>
      <c r="V681" s="1333"/>
      <c r="W681" s="1333"/>
      <c r="X681" s="1333"/>
      <c r="Y681" s="1333"/>
      <c r="Z681" s="1333"/>
      <c r="AA681" s="1333"/>
      <c r="AB681" s="1333"/>
      <c r="AC681" s="1333"/>
      <c r="AD681" s="1333"/>
      <c r="AE681" s="1333"/>
      <c r="AF681" s="1333"/>
      <c r="AG681" s="1333"/>
      <c r="AH681" s="1333"/>
      <c r="AI681" s="1333"/>
    </row>
    <row r="682" spans="1:35" x14ac:dyDescent="0.25">
      <c r="A682" s="1331"/>
      <c r="B682" s="1284"/>
      <c r="C682" s="1284"/>
      <c r="D682" s="1364"/>
      <c r="E682" s="1364"/>
      <c r="F682" s="1364"/>
      <c r="G682" s="1365"/>
      <c r="H682" s="1333"/>
      <c r="I682" s="1333"/>
      <c r="J682" s="1333"/>
      <c r="K682" s="1333"/>
      <c r="L682" s="1333"/>
      <c r="M682" s="1333"/>
      <c r="N682" s="1333"/>
      <c r="O682" s="1333"/>
      <c r="P682" s="1333"/>
      <c r="Q682" s="1333"/>
      <c r="R682" s="1333"/>
      <c r="S682" s="1333"/>
      <c r="T682" s="1333"/>
      <c r="U682" s="1333"/>
      <c r="V682" s="1333"/>
      <c r="W682" s="1333"/>
      <c r="X682" s="1333"/>
      <c r="Y682" s="1333"/>
      <c r="Z682" s="1333"/>
      <c r="AA682" s="1333"/>
      <c r="AB682" s="1333"/>
      <c r="AC682" s="1333"/>
      <c r="AD682" s="1333"/>
      <c r="AE682" s="1333"/>
      <c r="AF682" s="1333"/>
      <c r="AG682" s="1333"/>
      <c r="AH682" s="1333"/>
      <c r="AI682" s="1333"/>
    </row>
    <row r="683" spans="1:35" x14ac:dyDescent="0.25">
      <c r="A683" s="1331"/>
      <c r="B683" s="1284"/>
      <c r="C683" s="1284"/>
      <c r="D683" s="1364"/>
      <c r="E683" s="1364"/>
      <c r="F683" s="1364"/>
      <c r="G683" s="1365"/>
      <c r="H683" s="1333"/>
      <c r="I683" s="1333"/>
      <c r="J683" s="1333"/>
      <c r="K683" s="1333"/>
      <c r="L683" s="1333"/>
      <c r="M683" s="1333"/>
      <c r="N683" s="1333"/>
      <c r="O683" s="1333"/>
      <c r="P683" s="1333"/>
      <c r="Q683" s="1333"/>
      <c r="R683" s="1333"/>
      <c r="S683" s="1333"/>
      <c r="T683" s="1333"/>
      <c r="U683" s="1333"/>
      <c r="V683" s="1333"/>
      <c r="W683" s="1333"/>
      <c r="X683" s="1333"/>
      <c r="Y683" s="1333"/>
      <c r="Z683" s="1333"/>
      <c r="AA683" s="1333"/>
      <c r="AB683" s="1333"/>
      <c r="AC683" s="1333"/>
      <c r="AD683" s="1333"/>
      <c r="AE683" s="1333"/>
      <c r="AF683" s="1333"/>
      <c r="AG683" s="1333"/>
      <c r="AH683" s="1333"/>
      <c r="AI683" s="1333"/>
    </row>
    <row r="684" spans="1:35" x14ac:dyDescent="0.25">
      <c r="A684" s="1331"/>
      <c r="B684" s="1284"/>
      <c r="C684" s="1284"/>
      <c r="D684" s="1364"/>
      <c r="E684" s="1364"/>
      <c r="F684" s="1364"/>
      <c r="G684" s="1365"/>
      <c r="H684" s="1333"/>
      <c r="I684" s="1333"/>
      <c r="J684" s="1333"/>
      <c r="K684" s="1333"/>
      <c r="L684" s="1333"/>
      <c r="M684" s="1333"/>
      <c r="N684" s="1333"/>
      <c r="O684" s="1333"/>
      <c r="P684" s="1333"/>
      <c r="Q684" s="1333"/>
      <c r="R684" s="1333"/>
      <c r="S684" s="1333"/>
      <c r="T684" s="1333"/>
      <c r="U684" s="1333"/>
      <c r="V684" s="1333"/>
      <c r="W684" s="1333"/>
      <c r="X684" s="1333"/>
      <c r="Y684" s="1333"/>
      <c r="Z684" s="1333"/>
      <c r="AA684" s="1333"/>
      <c r="AB684" s="1333"/>
      <c r="AC684" s="1333"/>
      <c r="AD684" s="1333"/>
      <c r="AE684" s="1333"/>
      <c r="AF684" s="1333"/>
      <c r="AG684" s="1333"/>
      <c r="AH684" s="1333"/>
      <c r="AI684" s="1333"/>
    </row>
    <row r="685" spans="1:35" x14ac:dyDescent="0.25">
      <c r="A685" s="1331"/>
      <c r="B685" s="1284"/>
      <c r="C685" s="1284"/>
      <c r="D685" s="1364"/>
      <c r="E685" s="1364"/>
      <c r="F685" s="1364"/>
      <c r="G685" s="1365"/>
      <c r="H685" s="1333"/>
      <c r="I685" s="1333"/>
      <c r="J685" s="1333"/>
      <c r="K685" s="1333"/>
      <c r="L685" s="1333"/>
      <c r="M685" s="1333"/>
      <c r="N685" s="1333"/>
      <c r="O685" s="1333"/>
      <c r="P685" s="1333"/>
      <c r="Q685" s="1333"/>
      <c r="R685" s="1333"/>
      <c r="S685" s="1333"/>
      <c r="T685" s="1333"/>
      <c r="U685" s="1333"/>
      <c r="V685" s="1333"/>
      <c r="W685" s="1333"/>
      <c r="X685" s="1333"/>
      <c r="Y685" s="1333"/>
      <c r="Z685" s="1333"/>
      <c r="AA685" s="1333"/>
      <c r="AB685" s="1333"/>
      <c r="AC685" s="1333"/>
      <c r="AD685" s="1333"/>
      <c r="AE685" s="1333"/>
      <c r="AF685" s="1333"/>
      <c r="AG685" s="1333"/>
      <c r="AH685" s="1333"/>
      <c r="AI685" s="1333"/>
    </row>
    <row r="686" spans="1:35" x14ac:dyDescent="0.25">
      <c r="A686" s="1331"/>
      <c r="B686" s="1284"/>
      <c r="C686" s="1284"/>
      <c r="D686" s="1364"/>
      <c r="E686" s="1364"/>
      <c r="F686" s="1364"/>
      <c r="G686" s="1365"/>
      <c r="H686" s="1333"/>
      <c r="I686" s="1333"/>
      <c r="J686" s="1333"/>
      <c r="K686" s="1333"/>
      <c r="L686" s="1333"/>
      <c r="M686" s="1333"/>
      <c r="N686" s="1333"/>
      <c r="O686" s="1333"/>
      <c r="P686" s="1333"/>
      <c r="Q686" s="1333"/>
      <c r="R686" s="1333"/>
      <c r="S686" s="1333"/>
      <c r="T686" s="1333"/>
      <c r="U686" s="1333"/>
      <c r="V686" s="1333"/>
      <c r="W686" s="1333"/>
      <c r="X686" s="1333"/>
      <c r="Y686" s="1333"/>
      <c r="Z686" s="1333"/>
      <c r="AA686" s="1333"/>
      <c r="AB686" s="1333"/>
      <c r="AC686" s="1333"/>
      <c r="AD686" s="1333"/>
      <c r="AE686" s="1333"/>
      <c r="AF686" s="1333"/>
      <c r="AG686" s="1333"/>
      <c r="AH686" s="1333"/>
      <c r="AI686" s="1333"/>
    </row>
    <row r="687" spans="1:35" x14ac:dyDescent="0.25">
      <c r="A687" s="1331"/>
      <c r="B687" s="1284"/>
      <c r="C687" s="1284"/>
      <c r="D687" s="1364"/>
      <c r="E687" s="1364"/>
      <c r="F687" s="1364"/>
      <c r="G687" s="1365"/>
      <c r="H687" s="1333"/>
      <c r="I687" s="1333"/>
      <c r="J687" s="1333"/>
      <c r="K687" s="1333"/>
      <c r="L687" s="1333"/>
      <c r="M687" s="1333"/>
      <c r="N687" s="1333"/>
      <c r="O687" s="1333"/>
      <c r="P687" s="1333"/>
      <c r="Q687" s="1333"/>
      <c r="R687" s="1333"/>
      <c r="S687" s="1333"/>
      <c r="T687" s="1333"/>
      <c r="U687" s="1333"/>
      <c r="V687" s="1333"/>
      <c r="W687" s="1333"/>
      <c r="X687" s="1333"/>
      <c r="Y687" s="1333"/>
      <c r="Z687" s="1333"/>
      <c r="AA687" s="1333"/>
      <c r="AB687" s="1333"/>
      <c r="AC687" s="1333"/>
      <c r="AD687" s="1333"/>
      <c r="AE687" s="1333"/>
      <c r="AF687" s="1333"/>
      <c r="AG687" s="1333"/>
      <c r="AH687" s="1333"/>
      <c r="AI687" s="1333"/>
    </row>
    <row r="688" spans="1:35" x14ac:dyDescent="0.25">
      <c r="A688" s="1331"/>
      <c r="B688" s="1284"/>
      <c r="C688" s="1284"/>
      <c r="D688" s="1364"/>
      <c r="E688" s="1364"/>
      <c r="F688" s="1364"/>
      <c r="G688" s="1365"/>
      <c r="H688" s="1333"/>
      <c r="I688" s="1333"/>
      <c r="J688" s="1333"/>
      <c r="K688" s="1333"/>
      <c r="L688" s="1333"/>
      <c r="M688" s="1333"/>
      <c r="N688" s="1333"/>
      <c r="O688" s="1333"/>
      <c r="P688" s="1333"/>
      <c r="Q688" s="1333"/>
      <c r="R688" s="1333"/>
      <c r="S688" s="1333"/>
      <c r="T688" s="1333"/>
      <c r="U688" s="1333"/>
      <c r="V688" s="1333"/>
      <c r="W688" s="1333"/>
      <c r="X688" s="1333"/>
      <c r="Y688" s="1333"/>
      <c r="Z688" s="1333"/>
      <c r="AA688" s="1333"/>
      <c r="AB688" s="1333"/>
      <c r="AC688" s="1333"/>
      <c r="AD688" s="1333"/>
      <c r="AE688" s="1333"/>
      <c r="AF688" s="1333"/>
      <c r="AG688" s="1333"/>
      <c r="AH688" s="1333"/>
      <c r="AI688" s="1333"/>
    </row>
    <row r="689" spans="1:35" x14ac:dyDescent="0.25">
      <c r="A689" s="1331"/>
      <c r="B689" s="1284"/>
      <c r="C689" s="1284"/>
      <c r="D689" s="1364"/>
      <c r="E689" s="1364"/>
      <c r="F689" s="1364"/>
      <c r="G689" s="1365"/>
      <c r="H689" s="1333"/>
      <c r="I689" s="1333"/>
      <c r="J689" s="1333"/>
      <c r="K689" s="1333"/>
      <c r="L689" s="1333"/>
      <c r="M689" s="1333"/>
      <c r="N689" s="1333"/>
      <c r="O689" s="1333"/>
      <c r="P689" s="1333"/>
      <c r="Q689" s="1333"/>
      <c r="R689" s="1333"/>
      <c r="S689" s="1333"/>
      <c r="T689" s="1333"/>
      <c r="U689" s="1333"/>
      <c r="V689" s="1333"/>
      <c r="W689" s="1333"/>
      <c r="X689" s="1333"/>
      <c r="Y689" s="1333"/>
      <c r="Z689" s="1333"/>
      <c r="AA689" s="1333"/>
      <c r="AB689" s="1333"/>
      <c r="AC689" s="1333"/>
      <c r="AD689" s="1333"/>
      <c r="AE689" s="1333"/>
      <c r="AF689" s="1333"/>
      <c r="AG689" s="1333"/>
      <c r="AH689" s="1333"/>
      <c r="AI689" s="1333"/>
    </row>
    <row r="690" spans="1:35" x14ac:dyDescent="0.25">
      <c r="A690" s="1331"/>
      <c r="B690" s="1284"/>
      <c r="C690" s="1284"/>
      <c r="D690" s="1364"/>
      <c r="E690" s="1364"/>
      <c r="F690" s="1364"/>
      <c r="G690" s="1365"/>
      <c r="H690" s="1333"/>
      <c r="I690" s="1333"/>
      <c r="J690" s="1333"/>
      <c r="K690" s="1333"/>
      <c r="L690" s="1333"/>
      <c r="M690" s="1333"/>
      <c r="N690" s="1333"/>
      <c r="O690" s="1333"/>
      <c r="P690" s="1333"/>
      <c r="Q690" s="1333"/>
      <c r="R690" s="1333"/>
      <c r="S690" s="1333"/>
      <c r="T690" s="1333"/>
      <c r="U690" s="1333"/>
      <c r="V690" s="1333"/>
      <c r="W690" s="1333"/>
      <c r="X690" s="1333"/>
      <c r="Y690" s="1333"/>
      <c r="Z690" s="1333"/>
      <c r="AA690" s="1333"/>
      <c r="AB690" s="1333"/>
      <c r="AC690" s="1333"/>
      <c r="AD690" s="1333"/>
      <c r="AE690" s="1333"/>
      <c r="AF690" s="1333"/>
      <c r="AG690" s="1333"/>
      <c r="AH690" s="1333"/>
      <c r="AI690" s="1333"/>
    </row>
    <row r="691" spans="1:35" x14ac:dyDescent="0.25">
      <c r="A691" s="1331"/>
      <c r="B691" s="1284"/>
      <c r="C691" s="1284"/>
      <c r="D691" s="1364"/>
      <c r="E691" s="1364"/>
      <c r="F691" s="1364"/>
      <c r="G691" s="1365"/>
      <c r="H691" s="1333"/>
      <c r="I691" s="1333"/>
      <c r="J691" s="1333"/>
      <c r="K691" s="1333"/>
      <c r="L691" s="1333"/>
      <c r="M691" s="1333"/>
      <c r="N691" s="1333"/>
      <c r="O691" s="1333"/>
      <c r="P691" s="1333"/>
      <c r="Q691" s="1333"/>
      <c r="R691" s="1333"/>
      <c r="S691" s="1333"/>
      <c r="T691" s="1333"/>
      <c r="U691" s="1333"/>
      <c r="V691" s="1333"/>
      <c r="W691" s="1333"/>
      <c r="X691" s="1333"/>
      <c r="Y691" s="1333"/>
      <c r="Z691" s="1333"/>
      <c r="AA691" s="1333"/>
      <c r="AB691" s="1333"/>
      <c r="AC691" s="1333"/>
      <c r="AD691" s="1333"/>
      <c r="AE691" s="1333"/>
      <c r="AF691" s="1333"/>
      <c r="AG691" s="1333"/>
      <c r="AH691" s="1333"/>
      <c r="AI691" s="1333"/>
    </row>
    <row r="692" spans="1:35" x14ac:dyDescent="0.25">
      <c r="A692" s="1331"/>
      <c r="B692" s="1284"/>
      <c r="C692" s="1284"/>
      <c r="D692" s="1364"/>
      <c r="E692" s="1364"/>
      <c r="F692" s="1364"/>
      <c r="G692" s="1365"/>
      <c r="H692" s="1333"/>
      <c r="I692" s="1333"/>
      <c r="J692" s="1333"/>
      <c r="K692" s="1333"/>
      <c r="L692" s="1333"/>
      <c r="M692" s="1333"/>
      <c r="N692" s="1333"/>
      <c r="O692" s="1333"/>
      <c r="P692" s="1333"/>
      <c r="Q692" s="1333"/>
      <c r="R692" s="1333"/>
      <c r="S692" s="1333"/>
      <c r="T692" s="1333"/>
      <c r="U692" s="1333"/>
      <c r="V692" s="1333"/>
      <c r="W692" s="1333"/>
      <c r="X692" s="1333"/>
      <c r="Y692" s="1333"/>
      <c r="Z692" s="1333"/>
      <c r="AA692" s="1333"/>
      <c r="AB692" s="1333"/>
      <c r="AC692" s="1333"/>
      <c r="AD692" s="1333"/>
      <c r="AE692" s="1333"/>
      <c r="AF692" s="1333"/>
      <c r="AG692" s="1333"/>
      <c r="AH692" s="1333"/>
      <c r="AI692" s="1333"/>
    </row>
    <row r="693" spans="1:35" x14ac:dyDescent="0.25">
      <c r="A693" s="1331"/>
      <c r="B693" s="1284"/>
      <c r="C693" s="1284"/>
      <c r="D693" s="1364"/>
      <c r="E693" s="1364"/>
      <c r="F693" s="1364"/>
      <c r="G693" s="1365"/>
      <c r="H693" s="1333"/>
      <c r="I693" s="1333"/>
      <c r="J693" s="1333"/>
      <c r="K693" s="1333"/>
      <c r="L693" s="1333"/>
      <c r="M693" s="1333"/>
      <c r="N693" s="1333"/>
      <c r="O693" s="1333"/>
      <c r="P693" s="1333"/>
      <c r="Q693" s="1333"/>
      <c r="R693" s="1333"/>
      <c r="S693" s="1333"/>
      <c r="T693" s="1333"/>
      <c r="U693" s="1333"/>
      <c r="V693" s="1333"/>
      <c r="W693" s="1333"/>
      <c r="X693" s="1333"/>
      <c r="Y693" s="1333"/>
      <c r="Z693" s="1333"/>
      <c r="AA693" s="1333"/>
      <c r="AB693" s="1333"/>
      <c r="AC693" s="1333"/>
      <c r="AD693" s="1333"/>
      <c r="AE693" s="1333"/>
      <c r="AF693" s="1333"/>
      <c r="AG693" s="1333"/>
      <c r="AH693" s="1333"/>
      <c r="AI693" s="1333"/>
    </row>
    <row r="694" spans="1:35" x14ac:dyDescent="0.25">
      <c r="A694" s="1331"/>
      <c r="B694" s="1284"/>
      <c r="C694" s="1284"/>
      <c r="D694" s="1364"/>
      <c r="E694" s="1364"/>
      <c r="F694" s="1364"/>
      <c r="G694" s="1365"/>
      <c r="H694" s="1333"/>
      <c r="I694" s="1333"/>
      <c r="J694" s="1333"/>
      <c r="K694" s="1333"/>
      <c r="L694" s="1333"/>
      <c r="M694" s="1333"/>
      <c r="N694" s="1333"/>
      <c r="O694" s="1333"/>
      <c r="P694" s="1333"/>
      <c r="Q694" s="1333"/>
      <c r="R694" s="1333"/>
      <c r="S694" s="1333"/>
      <c r="T694" s="1333"/>
      <c r="U694" s="1333"/>
      <c r="V694" s="1333"/>
      <c r="W694" s="1333"/>
      <c r="X694" s="1333"/>
      <c r="Y694" s="1333"/>
      <c r="Z694" s="1333"/>
      <c r="AA694" s="1333"/>
      <c r="AB694" s="1333"/>
      <c r="AC694" s="1333"/>
      <c r="AD694" s="1333"/>
      <c r="AE694" s="1333"/>
      <c r="AF694" s="1333"/>
      <c r="AG694" s="1333"/>
      <c r="AH694" s="1333"/>
      <c r="AI694" s="1333"/>
    </row>
    <row r="695" spans="1:35" x14ac:dyDescent="0.25">
      <c r="A695" s="1331"/>
      <c r="B695" s="1284"/>
      <c r="C695" s="1284"/>
      <c r="D695" s="1364"/>
      <c r="E695" s="1364"/>
      <c r="F695" s="1364"/>
      <c r="G695" s="1365"/>
      <c r="H695" s="1333"/>
      <c r="I695" s="1333"/>
      <c r="J695" s="1333"/>
      <c r="K695" s="1333"/>
      <c r="L695" s="1333"/>
      <c r="M695" s="1333"/>
      <c r="N695" s="1333"/>
      <c r="O695" s="1333"/>
      <c r="P695" s="1333"/>
      <c r="Q695" s="1333"/>
      <c r="R695" s="1333"/>
      <c r="S695" s="1333"/>
      <c r="T695" s="1333"/>
      <c r="U695" s="1333"/>
      <c r="V695" s="1333"/>
      <c r="W695" s="1333"/>
      <c r="X695" s="1333"/>
      <c r="Y695" s="1333"/>
      <c r="Z695" s="1333"/>
      <c r="AA695" s="1333"/>
      <c r="AB695" s="1333"/>
      <c r="AC695" s="1333"/>
      <c r="AD695" s="1333"/>
      <c r="AE695" s="1333"/>
      <c r="AF695" s="1333"/>
      <c r="AG695" s="1333"/>
      <c r="AH695" s="1333"/>
      <c r="AI695" s="1333"/>
    </row>
    <row r="696" spans="1:35" x14ac:dyDescent="0.25">
      <c r="A696" s="1331"/>
      <c r="B696" s="1284"/>
      <c r="C696" s="1284"/>
      <c r="D696" s="1364"/>
      <c r="E696" s="1364"/>
      <c r="F696" s="1364"/>
      <c r="G696" s="1365"/>
      <c r="H696" s="1333"/>
      <c r="I696" s="1333"/>
      <c r="J696" s="1333"/>
      <c r="K696" s="1333"/>
      <c r="L696" s="1333"/>
      <c r="M696" s="1333"/>
      <c r="N696" s="1333"/>
      <c r="O696" s="1333"/>
      <c r="P696" s="1333"/>
      <c r="Q696" s="1333"/>
      <c r="R696" s="1333"/>
      <c r="S696" s="1333"/>
      <c r="T696" s="1333"/>
      <c r="U696" s="1333"/>
      <c r="V696" s="1333"/>
      <c r="W696" s="1333"/>
      <c r="X696" s="1333"/>
      <c r="Y696" s="1333"/>
      <c r="Z696" s="1333"/>
      <c r="AA696" s="1333"/>
      <c r="AB696" s="1333"/>
      <c r="AC696" s="1333"/>
      <c r="AD696" s="1333"/>
      <c r="AE696" s="1333"/>
      <c r="AF696" s="1333"/>
      <c r="AG696" s="1333"/>
      <c r="AH696" s="1333"/>
      <c r="AI696" s="1333"/>
    </row>
    <row r="697" spans="1:35" x14ac:dyDescent="0.25">
      <c r="A697" s="1331"/>
      <c r="B697" s="1284"/>
      <c r="C697" s="1284"/>
      <c r="D697" s="1364"/>
      <c r="E697" s="1364"/>
      <c r="F697" s="1364"/>
      <c r="G697" s="1365"/>
      <c r="H697" s="1333"/>
      <c r="I697" s="1333"/>
      <c r="J697" s="1333"/>
      <c r="K697" s="1333"/>
      <c r="L697" s="1333"/>
      <c r="M697" s="1333"/>
      <c r="N697" s="1333"/>
      <c r="O697" s="1333"/>
      <c r="P697" s="1333"/>
      <c r="Q697" s="1333"/>
      <c r="R697" s="1333"/>
      <c r="S697" s="1333"/>
      <c r="T697" s="1333"/>
      <c r="U697" s="1333"/>
      <c r="V697" s="1333"/>
      <c r="W697" s="1333"/>
      <c r="X697" s="1333"/>
      <c r="Y697" s="1333"/>
      <c r="Z697" s="1333"/>
      <c r="AA697" s="1333"/>
      <c r="AB697" s="1333"/>
      <c r="AC697" s="1333"/>
      <c r="AD697" s="1333"/>
      <c r="AE697" s="1333"/>
      <c r="AF697" s="1333"/>
      <c r="AG697" s="1333"/>
      <c r="AH697" s="1333"/>
      <c r="AI697" s="1333"/>
    </row>
    <row r="698" spans="1:35" x14ac:dyDescent="0.25">
      <c r="A698" s="1331"/>
      <c r="B698" s="1284"/>
      <c r="C698" s="1284"/>
      <c r="D698" s="1364"/>
      <c r="E698" s="1364"/>
      <c r="F698" s="1364"/>
      <c r="G698" s="1365"/>
      <c r="H698" s="1333"/>
      <c r="I698" s="1333"/>
      <c r="J698" s="1333"/>
      <c r="K698" s="1333"/>
      <c r="L698" s="1333"/>
      <c r="M698" s="1333"/>
      <c r="N698" s="1333"/>
      <c r="O698" s="1333"/>
      <c r="P698" s="1333"/>
      <c r="Q698" s="1333"/>
      <c r="R698" s="1333"/>
      <c r="S698" s="1333"/>
      <c r="T698" s="1333"/>
      <c r="U698" s="1333"/>
      <c r="V698" s="1333"/>
      <c r="W698" s="1333"/>
      <c r="X698" s="1333"/>
      <c r="Y698" s="1333"/>
      <c r="Z698" s="1333"/>
      <c r="AA698" s="1333"/>
      <c r="AB698" s="1333"/>
      <c r="AC698" s="1333"/>
      <c r="AD698" s="1333"/>
      <c r="AE698" s="1333"/>
      <c r="AF698" s="1333"/>
      <c r="AG698" s="1333"/>
      <c r="AH698" s="1333"/>
      <c r="AI698" s="1333"/>
    </row>
    <row r="699" spans="1:35" x14ac:dyDescent="0.25">
      <c r="A699" s="1331"/>
      <c r="B699" s="1284"/>
      <c r="C699" s="1284"/>
      <c r="D699" s="1364"/>
      <c r="E699" s="1364"/>
      <c r="F699" s="1364"/>
      <c r="G699" s="1365"/>
      <c r="H699" s="1333"/>
      <c r="I699" s="1333"/>
      <c r="J699" s="1333"/>
      <c r="K699" s="1333"/>
      <c r="L699" s="1333"/>
      <c r="M699" s="1333"/>
      <c r="N699" s="1333"/>
      <c r="O699" s="1333"/>
      <c r="P699" s="1333"/>
      <c r="Q699" s="1333"/>
      <c r="R699" s="1333"/>
      <c r="S699" s="1333"/>
      <c r="T699" s="1333"/>
      <c r="U699" s="1333"/>
      <c r="V699" s="1333"/>
      <c r="W699" s="1333"/>
      <c r="X699" s="1333"/>
      <c r="Y699" s="1333"/>
      <c r="Z699" s="1333"/>
      <c r="AA699" s="1333"/>
      <c r="AB699" s="1333"/>
      <c r="AC699" s="1333"/>
      <c r="AD699" s="1333"/>
      <c r="AE699" s="1333"/>
      <c r="AF699" s="1333"/>
      <c r="AG699" s="1333"/>
      <c r="AH699" s="1333"/>
      <c r="AI699" s="1333"/>
    </row>
    <row r="700" spans="1:35" x14ac:dyDescent="0.25">
      <c r="A700" s="1331"/>
      <c r="B700" s="1284"/>
      <c r="C700" s="1284"/>
      <c r="D700" s="1364"/>
      <c r="E700" s="1364"/>
      <c r="F700" s="1364"/>
      <c r="G700" s="1365"/>
      <c r="H700" s="1333"/>
      <c r="I700" s="1333"/>
      <c r="J700" s="1333"/>
      <c r="K700" s="1333"/>
      <c r="L700" s="1333"/>
      <c r="M700" s="1333"/>
      <c r="N700" s="1333"/>
      <c r="O700" s="1333"/>
      <c r="P700" s="1333"/>
      <c r="Q700" s="1333"/>
      <c r="R700" s="1333"/>
      <c r="S700" s="1333"/>
      <c r="T700" s="1333"/>
      <c r="U700" s="1333"/>
      <c r="V700" s="1333"/>
      <c r="W700" s="1333"/>
      <c r="X700" s="1333"/>
      <c r="Y700" s="1333"/>
      <c r="Z700" s="1333"/>
      <c r="AA700" s="1333"/>
      <c r="AB700" s="1333"/>
      <c r="AC700" s="1333"/>
      <c r="AD700" s="1333"/>
      <c r="AE700" s="1333"/>
      <c r="AF700" s="1333"/>
      <c r="AG700" s="1333"/>
      <c r="AH700" s="1333"/>
      <c r="AI700" s="1333"/>
    </row>
    <row r="701" spans="1:35" x14ac:dyDescent="0.25">
      <c r="A701" s="1331"/>
      <c r="B701" s="1284"/>
      <c r="C701" s="1284"/>
      <c r="D701" s="1364"/>
      <c r="E701" s="1364"/>
      <c r="F701" s="1364"/>
      <c r="G701" s="1365"/>
      <c r="H701" s="1333"/>
      <c r="I701" s="1333"/>
      <c r="J701" s="1333"/>
      <c r="K701" s="1333"/>
      <c r="L701" s="1333"/>
      <c r="M701" s="1333"/>
      <c r="N701" s="1333"/>
      <c r="O701" s="1333"/>
      <c r="P701" s="1333"/>
      <c r="Q701" s="1333"/>
      <c r="R701" s="1333"/>
      <c r="S701" s="1333"/>
      <c r="T701" s="1333"/>
      <c r="U701" s="1333"/>
      <c r="V701" s="1333"/>
      <c r="W701" s="1333"/>
      <c r="X701" s="1333"/>
      <c r="Y701" s="1333"/>
      <c r="Z701" s="1333"/>
      <c r="AA701" s="1333"/>
      <c r="AB701" s="1333"/>
      <c r="AC701" s="1333"/>
      <c r="AD701" s="1333"/>
      <c r="AE701" s="1333"/>
      <c r="AF701" s="1333"/>
      <c r="AG701" s="1333"/>
      <c r="AH701" s="1333"/>
      <c r="AI701" s="1333"/>
    </row>
    <row r="702" spans="1:35" x14ac:dyDescent="0.25">
      <c r="A702" s="1331"/>
      <c r="B702" s="1284"/>
      <c r="C702" s="1284"/>
      <c r="D702" s="1364"/>
      <c r="E702" s="1364"/>
      <c r="F702" s="1364"/>
      <c r="G702" s="1365"/>
      <c r="H702" s="1333"/>
      <c r="I702" s="1333"/>
      <c r="J702" s="1333"/>
      <c r="K702" s="1333"/>
      <c r="L702" s="1333"/>
      <c r="M702" s="1333"/>
      <c r="N702" s="1333"/>
      <c r="O702" s="1333"/>
      <c r="P702" s="1333"/>
      <c r="Q702" s="1333"/>
      <c r="R702" s="1333"/>
      <c r="S702" s="1333"/>
      <c r="T702" s="1333"/>
      <c r="U702" s="1333"/>
      <c r="V702" s="1333"/>
      <c r="W702" s="1333"/>
      <c r="X702" s="1333"/>
      <c r="Y702" s="1333"/>
      <c r="Z702" s="1333"/>
      <c r="AA702" s="1333"/>
      <c r="AB702" s="1333"/>
      <c r="AC702" s="1333"/>
      <c r="AD702" s="1333"/>
      <c r="AE702" s="1333"/>
      <c r="AF702" s="1333"/>
      <c r="AG702" s="1333"/>
      <c r="AH702" s="1333"/>
      <c r="AI702" s="1333"/>
    </row>
    <row r="703" spans="1:35" x14ac:dyDescent="0.25">
      <c r="A703" s="1331"/>
      <c r="B703" s="1284"/>
      <c r="C703" s="1284"/>
      <c r="D703" s="1364"/>
      <c r="E703" s="1364"/>
      <c r="F703" s="1364"/>
      <c r="G703" s="1365"/>
      <c r="H703" s="1333"/>
      <c r="I703" s="1333"/>
      <c r="J703" s="1333"/>
      <c r="K703" s="1333"/>
      <c r="L703" s="1333"/>
      <c r="M703" s="1333"/>
      <c r="N703" s="1333"/>
      <c r="O703" s="1333"/>
      <c r="P703" s="1333"/>
      <c r="Q703" s="1333"/>
      <c r="R703" s="1333"/>
      <c r="S703" s="1333"/>
      <c r="T703" s="1333"/>
      <c r="U703" s="1333"/>
      <c r="V703" s="1333"/>
      <c r="W703" s="1333"/>
      <c r="X703" s="1333"/>
      <c r="Y703" s="1333"/>
      <c r="Z703" s="1333"/>
      <c r="AA703" s="1333"/>
      <c r="AB703" s="1333"/>
      <c r="AC703" s="1333"/>
      <c r="AD703" s="1333"/>
      <c r="AE703" s="1333"/>
      <c r="AF703" s="1333"/>
      <c r="AG703" s="1333"/>
      <c r="AH703" s="1333"/>
      <c r="AI703" s="1333"/>
    </row>
    <row r="704" spans="1:35" x14ac:dyDescent="0.25">
      <c r="A704" s="1331"/>
      <c r="B704" s="1284"/>
      <c r="C704" s="1284"/>
      <c r="D704" s="1364"/>
      <c r="E704" s="1364"/>
      <c r="F704" s="1364"/>
      <c r="G704" s="1365"/>
      <c r="H704" s="1333"/>
      <c r="I704" s="1333"/>
      <c r="J704" s="1333"/>
      <c r="K704" s="1333"/>
      <c r="L704" s="1333"/>
      <c r="M704" s="1333"/>
      <c r="N704" s="1333"/>
      <c r="O704" s="1333"/>
      <c r="P704" s="1333"/>
      <c r="Q704" s="1333"/>
      <c r="R704" s="1333"/>
      <c r="S704" s="1333"/>
      <c r="T704" s="1333"/>
      <c r="U704" s="1333"/>
      <c r="V704" s="1333"/>
      <c r="W704" s="1333"/>
      <c r="X704" s="1333"/>
      <c r="Y704" s="1333"/>
      <c r="Z704" s="1333"/>
      <c r="AA704" s="1333"/>
      <c r="AB704" s="1333"/>
      <c r="AC704" s="1333"/>
      <c r="AD704" s="1333"/>
      <c r="AE704" s="1333"/>
      <c r="AF704" s="1333"/>
      <c r="AG704" s="1333"/>
      <c r="AH704" s="1333"/>
      <c r="AI704" s="1333"/>
    </row>
    <row r="705" spans="1:35" x14ac:dyDescent="0.25">
      <c r="A705" s="1331"/>
      <c r="B705" s="1284"/>
      <c r="C705" s="1284"/>
      <c r="D705" s="1364"/>
      <c r="E705" s="1364"/>
      <c r="F705" s="1364"/>
      <c r="G705" s="1365"/>
      <c r="H705" s="1333"/>
      <c r="I705" s="1333"/>
      <c r="J705" s="1333"/>
      <c r="K705" s="1333"/>
      <c r="L705" s="1333"/>
      <c r="M705" s="1333"/>
      <c r="N705" s="1333"/>
      <c r="O705" s="1333"/>
      <c r="P705" s="1333"/>
      <c r="Q705" s="1333"/>
      <c r="R705" s="1333"/>
      <c r="S705" s="1333"/>
      <c r="T705" s="1333"/>
      <c r="U705" s="1333"/>
      <c r="V705" s="1333"/>
      <c r="W705" s="1333"/>
      <c r="X705" s="1333"/>
      <c r="Y705" s="1333"/>
      <c r="Z705" s="1333"/>
      <c r="AA705" s="1333"/>
      <c r="AB705" s="1333"/>
      <c r="AC705" s="1333"/>
      <c r="AD705" s="1333"/>
      <c r="AE705" s="1333"/>
      <c r="AF705" s="1333"/>
      <c r="AG705" s="1333"/>
      <c r="AH705" s="1333"/>
      <c r="AI705" s="1333"/>
    </row>
    <row r="706" spans="1:35" x14ac:dyDescent="0.25">
      <c r="A706" s="1331"/>
      <c r="B706" s="1284"/>
      <c r="C706" s="1284"/>
      <c r="D706" s="1364"/>
      <c r="E706" s="1364"/>
      <c r="F706" s="1364"/>
      <c r="G706" s="1365"/>
      <c r="H706" s="1333"/>
      <c r="I706" s="1333"/>
      <c r="J706" s="1333"/>
      <c r="K706" s="1333"/>
      <c r="L706" s="1333"/>
      <c r="M706" s="1333"/>
      <c r="N706" s="1333"/>
      <c r="O706" s="1333"/>
      <c r="P706" s="1333"/>
      <c r="Q706" s="1333"/>
      <c r="R706" s="1333"/>
      <c r="S706" s="1333"/>
      <c r="T706" s="1333"/>
      <c r="U706" s="1333"/>
      <c r="V706" s="1333"/>
      <c r="W706" s="1333"/>
      <c r="X706" s="1333"/>
      <c r="Y706" s="1333"/>
      <c r="Z706" s="1333"/>
      <c r="AA706" s="1333"/>
      <c r="AB706" s="1333"/>
      <c r="AC706" s="1333"/>
      <c r="AD706" s="1333"/>
      <c r="AE706" s="1333"/>
      <c r="AF706" s="1333"/>
      <c r="AG706" s="1333"/>
      <c r="AH706" s="1333"/>
      <c r="AI706" s="1333"/>
    </row>
    <row r="707" spans="1:35" x14ac:dyDescent="0.25">
      <c r="A707" s="1331"/>
      <c r="B707" s="1284"/>
      <c r="C707" s="1284"/>
      <c r="D707" s="1364"/>
      <c r="E707" s="1364"/>
      <c r="F707" s="1364"/>
      <c r="G707" s="1365"/>
      <c r="H707" s="1333"/>
      <c r="I707" s="1333"/>
      <c r="J707" s="1333"/>
      <c r="K707" s="1333"/>
      <c r="L707" s="1333"/>
      <c r="M707" s="1333"/>
      <c r="N707" s="1333"/>
      <c r="O707" s="1333"/>
      <c r="P707" s="1333"/>
      <c r="Q707" s="1333"/>
      <c r="R707" s="1333"/>
      <c r="S707" s="1333"/>
      <c r="T707" s="1333"/>
      <c r="U707" s="1333"/>
      <c r="V707" s="1333"/>
      <c r="W707" s="1333"/>
      <c r="X707" s="1333"/>
      <c r="Y707" s="1333"/>
      <c r="Z707" s="1333"/>
      <c r="AA707" s="1333"/>
      <c r="AB707" s="1333"/>
      <c r="AC707" s="1333"/>
      <c r="AD707" s="1333"/>
      <c r="AE707" s="1333"/>
      <c r="AF707" s="1333"/>
      <c r="AG707" s="1333"/>
      <c r="AH707" s="1333"/>
      <c r="AI707" s="1333"/>
    </row>
    <row r="708" spans="1:35" x14ac:dyDescent="0.25">
      <c r="A708" s="1331"/>
      <c r="B708" s="1284"/>
      <c r="C708" s="1284"/>
      <c r="D708" s="1364"/>
      <c r="E708" s="1364"/>
      <c r="F708" s="1364"/>
      <c r="G708" s="1365"/>
      <c r="H708" s="1333"/>
      <c r="I708" s="1333"/>
      <c r="J708" s="1333"/>
      <c r="K708" s="1333"/>
      <c r="L708" s="1333"/>
      <c r="M708" s="1333"/>
      <c r="N708" s="1333"/>
      <c r="O708" s="1333"/>
      <c r="P708" s="1333"/>
      <c r="Q708" s="1333"/>
      <c r="R708" s="1333"/>
      <c r="S708" s="1333"/>
      <c r="T708" s="1333"/>
      <c r="U708" s="1333"/>
      <c r="V708" s="1333"/>
      <c r="W708" s="1333"/>
      <c r="X708" s="1333"/>
      <c r="Y708" s="1333"/>
      <c r="Z708" s="1333"/>
      <c r="AA708" s="1333"/>
      <c r="AB708" s="1333"/>
      <c r="AC708" s="1333"/>
      <c r="AD708" s="1333"/>
      <c r="AE708" s="1333"/>
      <c r="AF708" s="1333"/>
      <c r="AG708" s="1333"/>
      <c r="AH708" s="1333"/>
      <c r="AI708" s="1333"/>
    </row>
    <row r="709" spans="1:35" x14ac:dyDescent="0.25">
      <c r="A709" s="1331"/>
      <c r="B709" s="1284"/>
      <c r="C709" s="1284"/>
      <c r="D709" s="1364"/>
      <c r="E709" s="1364"/>
      <c r="F709" s="1364"/>
      <c r="G709" s="1365"/>
      <c r="H709" s="1333"/>
      <c r="I709" s="1333"/>
      <c r="J709" s="1333"/>
      <c r="K709" s="1333"/>
      <c r="L709" s="1333"/>
      <c r="M709" s="1333"/>
      <c r="N709" s="1333"/>
      <c r="O709" s="1333"/>
      <c r="P709" s="1333"/>
      <c r="Q709" s="1333"/>
      <c r="R709" s="1333"/>
      <c r="S709" s="1333"/>
      <c r="T709" s="1333"/>
      <c r="U709" s="1333"/>
      <c r="V709" s="1333"/>
      <c r="W709" s="1333"/>
      <c r="X709" s="1333"/>
      <c r="Y709" s="1333"/>
      <c r="Z709" s="1333"/>
      <c r="AA709" s="1333"/>
      <c r="AB709" s="1333"/>
      <c r="AC709" s="1333"/>
      <c r="AD709" s="1333"/>
      <c r="AE709" s="1333"/>
      <c r="AF709" s="1333"/>
      <c r="AG709" s="1333"/>
      <c r="AH709" s="1333"/>
      <c r="AI709" s="1333"/>
    </row>
    <row r="710" spans="1:35" x14ac:dyDescent="0.25">
      <c r="A710" s="1331"/>
      <c r="B710" s="1284"/>
      <c r="C710" s="1284"/>
      <c r="D710" s="1364"/>
      <c r="E710" s="1364"/>
      <c r="F710" s="1364"/>
      <c r="G710" s="1365"/>
      <c r="H710" s="1333"/>
      <c r="I710" s="1333"/>
      <c r="J710" s="1333"/>
      <c r="K710" s="1333"/>
      <c r="L710" s="1333"/>
      <c r="M710" s="1333"/>
      <c r="N710" s="1333"/>
      <c r="O710" s="1333"/>
      <c r="P710" s="1333"/>
      <c r="Q710" s="1333"/>
      <c r="R710" s="1333"/>
      <c r="S710" s="1333"/>
      <c r="T710" s="1333"/>
      <c r="U710" s="1333"/>
      <c r="V710" s="1333"/>
      <c r="W710" s="1333"/>
      <c r="X710" s="1333"/>
      <c r="Y710" s="1333"/>
      <c r="Z710" s="1333"/>
      <c r="AA710" s="1333"/>
      <c r="AB710" s="1333"/>
      <c r="AC710" s="1333"/>
      <c r="AD710" s="1333"/>
      <c r="AE710" s="1333"/>
      <c r="AF710" s="1333"/>
      <c r="AG710" s="1333"/>
      <c r="AH710" s="1333"/>
      <c r="AI710" s="1333"/>
    </row>
    <row r="711" spans="1:35" x14ac:dyDescent="0.25">
      <c r="A711" s="1331"/>
      <c r="B711" s="1284"/>
      <c r="C711" s="1284"/>
      <c r="D711" s="1364"/>
      <c r="E711" s="1364"/>
      <c r="F711" s="1364"/>
      <c r="G711" s="1365"/>
      <c r="H711" s="1333"/>
      <c r="I711" s="1333"/>
      <c r="J711" s="1333"/>
      <c r="K711" s="1333"/>
      <c r="L711" s="1333"/>
      <c r="M711" s="1333"/>
      <c r="N711" s="1333"/>
      <c r="O711" s="1333"/>
      <c r="P711" s="1333"/>
      <c r="Q711" s="1333"/>
      <c r="R711" s="1333"/>
      <c r="S711" s="1333"/>
      <c r="T711" s="1333"/>
      <c r="U711" s="1333"/>
      <c r="V711" s="1333"/>
      <c r="W711" s="1333"/>
      <c r="X711" s="1333"/>
      <c r="Y711" s="1333"/>
      <c r="Z711" s="1333"/>
      <c r="AA711" s="1333"/>
      <c r="AB711" s="1333"/>
      <c r="AC711" s="1333"/>
      <c r="AD711" s="1333"/>
      <c r="AE711" s="1333"/>
      <c r="AF711" s="1333"/>
      <c r="AG711" s="1333"/>
      <c r="AH711" s="1333"/>
      <c r="AI711" s="1333"/>
    </row>
    <row r="712" spans="1:35" x14ac:dyDescent="0.25">
      <c r="A712" s="1331"/>
      <c r="B712" s="1284"/>
      <c r="C712" s="1284"/>
      <c r="D712" s="1364"/>
      <c r="E712" s="1364"/>
      <c r="F712" s="1364"/>
      <c r="G712" s="1365"/>
      <c r="H712" s="1333"/>
      <c r="I712" s="1333"/>
      <c r="J712" s="1333"/>
      <c r="K712" s="1333"/>
      <c r="L712" s="1333"/>
      <c r="M712" s="1333"/>
      <c r="N712" s="1333"/>
      <c r="O712" s="1333"/>
      <c r="P712" s="1333"/>
      <c r="Q712" s="1333"/>
      <c r="R712" s="1333"/>
      <c r="S712" s="1333"/>
      <c r="T712" s="1333"/>
      <c r="U712" s="1333"/>
      <c r="V712" s="1333"/>
      <c r="W712" s="1333"/>
      <c r="X712" s="1333"/>
      <c r="Y712" s="1333"/>
      <c r="Z712" s="1333"/>
      <c r="AA712" s="1333"/>
      <c r="AB712" s="1333"/>
      <c r="AC712" s="1333"/>
      <c r="AD712" s="1333"/>
      <c r="AE712" s="1333"/>
      <c r="AF712" s="1333"/>
      <c r="AG712" s="1333"/>
      <c r="AH712" s="1333"/>
      <c r="AI712" s="1333"/>
    </row>
    <row r="713" spans="1:35" x14ac:dyDescent="0.25">
      <c r="A713" s="1331"/>
      <c r="B713" s="1284"/>
      <c r="C713" s="1284"/>
      <c r="D713" s="1364"/>
      <c r="E713" s="1364"/>
      <c r="F713" s="1364"/>
      <c r="G713" s="1365"/>
      <c r="H713" s="1333"/>
      <c r="I713" s="1333"/>
      <c r="J713" s="1333"/>
      <c r="K713" s="1333"/>
      <c r="L713" s="1333"/>
      <c r="M713" s="1333"/>
      <c r="N713" s="1333"/>
      <c r="O713" s="1333"/>
      <c r="P713" s="1333"/>
      <c r="Q713" s="1333"/>
      <c r="R713" s="1333"/>
      <c r="S713" s="1333"/>
      <c r="T713" s="1333"/>
      <c r="U713" s="1333"/>
      <c r="V713" s="1333"/>
      <c r="W713" s="1333"/>
      <c r="X713" s="1333"/>
      <c r="Y713" s="1333"/>
      <c r="Z713" s="1333"/>
      <c r="AA713" s="1333"/>
      <c r="AB713" s="1333"/>
      <c r="AC713" s="1333"/>
      <c r="AD713" s="1333"/>
      <c r="AE713" s="1333"/>
      <c r="AF713" s="1333"/>
      <c r="AG713" s="1333"/>
      <c r="AH713" s="1333"/>
      <c r="AI713" s="1333"/>
    </row>
    <row r="714" spans="1:35" x14ac:dyDescent="0.25">
      <c r="A714" s="1331"/>
      <c r="B714" s="1284"/>
      <c r="C714" s="1284"/>
      <c r="D714" s="1364"/>
      <c r="E714" s="1364"/>
      <c r="F714" s="1364"/>
      <c r="G714" s="1365"/>
      <c r="H714" s="1333"/>
      <c r="I714" s="1333"/>
      <c r="J714" s="1333"/>
      <c r="K714" s="1333"/>
      <c r="L714" s="1333"/>
      <c r="M714" s="1333"/>
      <c r="N714" s="1333"/>
      <c r="O714" s="1333"/>
      <c r="P714" s="1333"/>
      <c r="Q714" s="1333"/>
      <c r="R714" s="1333"/>
      <c r="S714" s="1333"/>
      <c r="T714" s="1333"/>
      <c r="U714" s="1333"/>
      <c r="V714" s="1333"/>
      <c r="W714" s="1333"/>
      <c r="X714" s="1333"/>
      <c r="Y714" s="1333"/>
      <c r="Z714" s="1333"/>
      <c r="AA714" s="1333"/>
      <c r="AB714" s="1333"/>
      <c r="AC714" s="1333"/>
      <c r="AD714" s="1333"/>
      <c r="AE714" s="1333"/>
      <c r="AF714" s="1333"/>
      <c r="AG714" s="1333"/>
      <c r="AH714" s="1333"/>
      <c r="AI714" s="1333"/>
    </row>
    <row r="715" spans="1:35" x14ac:dyDescent="0.25">
      <c r="A715" s="1331"/>
      <c r="B715" s="1284"/>
      <c r="C715" s="1284"/>
      <c r="D715" s="1364"/>
      <c r="E715" s="1364"/>
      <c r="F715" s="1364"/>
      <c r="G715" s="1365"/>
      <c r="H715" s="1333"/>
      <c r="I715" s="1333"/>
      <c r="J715" s="1333"/>
      <c r="K715" s="1333"/>
      <c r="L715" s="1333"/>
      <c r="M715" s="1333"/>
      <c r="N715" s="1333"/>
      <c r="O715" s="1333"/>
      <c r="P715" s="1333"/>
      <c r="Q715" s="1333"/>
      <c r="R715" s="1333"/>
      <c r="S715" s="1333"/>
      <c r="T715" s="1333"/>
      <c r="U715" s="1333"/>
      <c r="V715" s="1333"/>
      <c r="W715" s="1333"/>
      <c r="X715" s="1333"/>
      <c r="Y715" s="1333"/>
      <c r="Z715" s="1333"/>
      <c r="AA715" s="1333"/>
      <c r="AB715" s="1333"/>
      <c r="AC715" s="1333"/>
      <c r="AD715" s="1333"/>
      <c r="AE715" s="1333"/>
      <c r="AF715" s="1333"/>
      <c r="AG715" s="1333"/>
      <c r="AH715" s="1333"/>
      <c r="AI715" s="1333"/>
    </row>
    <row r="716" spans="1:35" x14ac:dyDescent="0.25">
      <c r="A716" s="1331"/>
      <c r="B716" s="1284"/>
      <c r="C716" s="1284"/>
      <c r="D716" s="1364"/>
      <c r="E716" s="1364"/>
      <c r="F716" s="1364"/>
      <c r="G716" s="1365"/>
      <c r="H716" s="1333"/>
      <c r="I716" s="1333"/>
      <c r="J716" s="1333"/>
      <c r="K716" s="1333"/>
      <c r="L716" s="1333"/>
      <c r="M716" s="1333"/>
      <c r="N716" s="1333"/>
      <c r="O716" s="1333"/>
      <c r="P716" s="1333"/>
      <c r="Q716" s="1333"/>
      <c r="R716" s="1333"/>
      <c r="S716" s="1333"/>
      <c r="T716" s="1333"/>
      <c r="U716" s="1333"/>
      <c r="V716" s="1333"/>
      <c r="W716" s="1333"/>
      <c r="X716" s="1333"/>
      <c r="Y716" s="1333"/>
      <c r="Z716" s="1333"/>
      <c r="AA716" s="1333"/>
      <c r="AB716" s="1333"/>
      <c r="AC716" s="1333"/>
      <c r="AD716" s="1333"/>
      <c r="AE716" s="1333"/>
      <c r="AF716" s="1333"/>
      <c r="AG716" s="1333"/>
      <c r="AH716" s="1333"/>
      <c r="AI716" s="1333"/>
    </row>
    <row r="717" spans="1:35" x14ac:dyDescent="0.25">
      <c r="A717" s="1331"/>
      <c r="B717" s="1284"/>
      <c r="C717" s="1284"/>
      <c r="D717" s="1364"/>
      <c r="E717" s="1364"/>
      <c r="F717" s="1364"/>
      <c r="G717" s="1365"/>
      <c r="H717" s="1333"/>
      <c r="I717" s="1333"/>
      <c r="J717" s="1333"/>
      <c r="K717" s="1333"/>
      <c r="L717" s="1333"/>
      <c r="M717" s="1333"/>
      <c r="N717" s="1333"/>
      <c r="O717" s="1333"/>
      <c r="P717" s="1333"/>
      <c r="Q717" s="1333"/>
      <c r="R717" s="1333"/>
      <c r="S717" s="1333"/>
      <c r="T717" s="1333"/>
      <c r="U717" s="1333"/>
      <c r="V717" s="1333"/>
      <c r="W717" s="1333"/>
      <c r="X717" s="1333"/>
      <c r="Y717" s="1333"/>
      <c r="Z717" s="1333"/>
      <c r="AA717" s="1333"/>
      <c r="AB717" s="1333"/>
      <c r="AC717" s="1333"/>
      <c r="AD717" s="1333"/>
      <c r="AE717" s="1333"/>
      <c r="AF717" s="1333"/>
      <c r="AG717" s="1333"/>
      <c r="AH717" s="1333"/>
      <c r="AI717" s="1333"/>
    </row>
    <row r="718" spans="1:35" x14ac:dyDescent="0.25">
      <c r="A718" s="1331"/>
      <c r="B718" s="1284"/>
      <c r="C718" s="1284"/>
      <c r="D718" s="1364"/>
      <c r="E718" s="1364"/>
      <c r="F718" s="1364"/>
      <c r="G718" s="1365"/>
      <c r="H718" s="1333"/>
      <c r="I718" s="1333"/>
      <c r="J718" s="1333"/>
      <c r="K718" s="1333"/>
      <c r="L718" s="1333"/>
      <c r="M718" s="1333"/>
      <c r="N718" s="1333"/>
      <c r="O718" s="1333"/>
      <c r="P718" s="1333"/>
      <c r="Q718" s="1333"/>
      <c r="R718" s="1333"/>
      <c r="S718" s="1333"/>
      <c r="T718" s="1333"/>
      <c r="U718" s="1333"/>
      <c r="V718" s="1333"/>
      <c r="W718" s="1333"/>
      <c r="X718" s="1333"/>
      <c r="Y718" s="1333"/>
      <c r="Z718" s="1333"/>
      <c r="AA718" s="1333"/>
      <c r="AB718" s="1333"/>
      <c r="AC718" s="1333"/>
      <c r="AD718" s="1333"/>
      <c r="AE718" s="1333"/>
      <c r="AF718" s="1333"/>
      <c r="AG718" s="1333"/>
      <c r="AH718" s="1333"/>
      <c r="AI718" s="1333"/>
    </row>
    <row r="719" spans="1:35" x14ac:dyDescent="0.25">
      <c r="A719" s="1331"/>
      <c r="B719" s="1284"/>
      <c r="C719" s="1284"/>
      <c r="D719" s="1364"/>
      <c r="E719" s="1364"/>
      <c r="F719" s="1364"/>
      <c r="G719" s="1365"/>
      <c r="H719" s="1333"/>
      <c r="I719" s="1333"/>
      <c r="J719" s="1333"/>
      <c r="K719" s="1333"/>
      <c r="L719" s="1333"/>
      <c r="M719" s="1333"/>
      <c r="N719" s="1333"/>
      <c r="O719" s="1333"/>
      <c r="P719" s="1333"/>
      <c r="Q719" s="1333"/>
      <c r="R719" s="1333"/>
      <c r="S719" s="1333"/>
      <c r="T719" s="1333"/>
      <c r="U719" s="1333"/>
      <c r="V719" s="1333"/>
      <c r="W719" s="1333"/>
      <c r="X719" s="1333"/>
      <c r="Y719" s="1333"/>
      <c r="Z719" s="1333"/>
      <c r="AA719" s="1333"/>
      <c r="AB719" s="1333"/>
      <c r="AC719" s="1333"/>
      <c r="AD719" s="1333"/>
      <c r="AE719" s="1333"/>
      <c r="AF719" s="1333"/>
      <c r="AG719" s="1333"/>
      <c r="AH719" s="1333"/>
      <c r="AI719" s="1333"/>
    </row>
    <row r="720" spans="1:35" x14ac:dyDescent="0.25">
      <c r="A720" s="1331"/>
      <c r="B720" s="1284"/>
      <c r="C720" s="1284"/>
      <c r="D720" s="1364"/>
      <c r="E720" s="1364"/>
      <c r="F720" s="1364"/>
      <c r="G720" s="1365"/>
      <c r="H720" s="1333"/>
      <c r="I720" s="1333"/>
      <c r="J720" s="1333"/>
      <c r="K720" s="1333"/>
      <c r="L720" s="1333"/>
      <c r="M720" s="1333"/>
      <c r="N720" s="1333"/>
      <c r="O720" s="1333"/>
      <c r="P720" s="1333"/>
      <c r="Q720" s="1333"/>
      <c r="R720" s="1333"/>
      <c r="S720" s="1333"/>
      <c r="T720" s="1333"/>
      <c r="U720" s="1333"/>
      <c r="V720" s="1333"/>
      <c r="W720" s="1333"/>
      <c r="X720" s="1333"/>
      <c r="Y720" s="1333"/>
      <c r="Z720" s="1333"/>
      <c r="AA720" s="1333"/>
      <c r="AB720" s="1333"/>
      <c r="AC720" s="1333"/>
      <c r="AD720" s="1333"/>
      <c r="AE720" s="1333"/>
      <c r="AF720" s="1333"/>
      <c r="AG720" s="1333"/>
      <c r="AH720" s="1333"/>
      <c r="AI720" s="1333"/>
    </row>
    <row r="721" spans="1:35" x14ac:dyDescent="0.25">
      <c r="A721" s="1331"/>
      <c r="B721" s="1284"/>
      <c r="C721" s="1284"/>
      <c r="D721" s="1364"/>
      <c r="E721" s="1364"/>
      <c r="F721" s="1364"/>
      <c r="G721" s="1365"/>
      <c r="H721" s="1333"/>
      <c r="I721" s="1333"/>
      <c r="J721" s="1333"/>
      <c r="K721" s="1333"/>
      <c r="L721" s="1333"/>
      <c r="M721" s="1333"/>
      <c r="N721" s="1333"/>
      <c r="O721" s="1333"/>
      <c r="P721" s="1333"/>
      <c r="Q721" s="1333"/>
      <c r="R721" s="1333"/>
      <c r="S721" s="1333"/>
      <c r="T721" s="1333"/>
      <c r="U721" s="1333"/>
      <c r="V721" s="1333"/>
      <c r="W721" s="1333"/>
      <c r="X721" s="1333"/>
      <c r="Y721" s="1333"/>
      <c r="Z721" s="1333"/>
      <c r="AA721" s="1333"/>
      <c r="AB721" s="1333"/>
      <c r="AC721" s="1333"/>
      <c r="AD721" s="1333"/>
      <c r="AE721" s="1333"/>
      <c r="AF721" s="1333"/>
      <c r="AG721" s="1333"/>
      <c r="AH721" s="1333"/>
      <c r="AI721" s="1333"/>
    </row>
    <row r="722" spans="1:35" x14ac:dyDescent="0.25">
      <c r="A722" s="1331"/>
      <c r="B722" s="1284"/>
      <c r="C722" s="1284"/>
      <c r="D722" s="1364"/>
      <c r="E722" s="1364"/>
      <c r="F722" s="1364"/>
      <c r="G722" s="1365"/>
      <c r="H722" s="1333"/>
      <c r="I722" s="1333"/>
      <c r="J722" s="1333"/>
      <c r="K722" s="1333"/>
      <c r="L722" s="1333"/>
      <c r="M722" s="1333"/>
      <c r="N722" s="1333"/>
      <c r="O722" s="1333"/>
      <c r="P722" s="1333"/>
      <c r="Q722" s="1333"/>
      <c r="R722" s="1333"/>
      <c r="S722" s="1333"/>
      <c r="T722" s="1333"/>
      <c r="U722" s="1333"/>
      <c r="V722" s="1333"/>
      <c r="W722" s="1333"/>
      <c r="X722" s="1333"/>
      <c r="Y722" s="1333"/>
      <c r="Z722" s="1333"/>
      <c r="AA722" s="1333"/>
      <c r="AB722" s="1333"/>
      <c r="AC722" s="1333"/>
      <c r="AD722" s="1333"/>
      <c r="AE722" s="1333"/>
      <c r="AF722" s="1333"/>
      <c r="AG722" s="1333"/>
      <c r="AH722" s="1333"/>
      <c r="AI722" s="1333"/>
    </row>
    <row r="723" spans="1:35" x14ac:dyDescent="0.25">
      <c r="A723" s="1331"/>
      <c r="B723" s="1284"/>
      <c r="C723" s="1284"/>
      <c r="D723" s="1364"/>
      <c r="E723" s="1364"/>
      <c r="F723" s="1364"/>
      <c r="G723" s="1365"/>
      <c r="H723" s="1333"/>
      <c r="I723" s="1333"/>
      <c r="J723" s="1333"/>
      <c r="K723" s="1333"/>
      <c r="L723" s="1333"/>
      <c r="M723" s="1333"/>
      <c r="N723" s="1333"/>
      <c r="O723" s="1333"/>
      <c r="P723" s="1333"/>
      <c r="Q723" s="1333"/>
      <c r="R723" s="1333"/>
      <c r="S723" s="1333"/>
      <c r="T723" s="1333"/>
      <c r="U723" s="1333"/>
      <c r="V723" s="1333"/>
      <c r="W723" s="1333"/>
      <c r="X723" s="1333"/>
      <c r="Y723" s="1333"/>
      <c r="Z723" s="1333"/>
      <c r="AA723" s="1333"/>
      <c r="AB723" s="1333"/>
      <c r="AC723" s="1333"/>
      <c r="AD723" s="1333"/>
      <c r="AE723" s="1333"/>
      <c r="AF723" s="1333"/>
      <c r="AG723" s="1333"/>
      <c r="AH723" s="1333"/>
      <c r="AI723" s="1333"/>
    </row>
    <row r="724" spans="1:35" x14ac:dyDescent="0.25">
      <c r="A724" s="1331"/>
      <c r="B724" s="1284"/>
      <c r="C724" s="1284"/>
      <c r="D724" s="1364"/>
      <c r="E724" s="1364"/>
      <c r="F724" s="1364"/>
      <c r="G724" s="1365"/>
      <c r="H724" s="1333"/>
      <c r="I724" s="1333"/>
      <c r="J724" s="1333"/>
      <c r="K724" s="1333"/>
      <c r="L724" s="1333"/>
      <c r="M724" s="1333"/>
      <c r="N724" s="1333"/>
      <c r="O724" s="1333"/>
      <c r="P724" s="1333"/>
      <c r="Q724" s="1333"/>
      <c r="R724" s="1333"/>
      <c r="S724" s="1333"/>
      <c r="T724" s="1333"/>
      <c r="U724" s="1333"/>
      <c r="V724" s="1333"/>
      <c r="W724" s="1333"/>
      <c r="X724" s="1333"/>
      <c r="Y724" s="1333"/>
      <c r="Z724" s="1333"/>
      <c r="AA724" s="1333"/>
      <c r="AB724" s="1333"/>
      <c r="AC724" s="1333"/>
      <c r="AD724" s="1333"/>
      <c r="AE724" s="1333"/>
      <c r="AF724" s="1333"/>
      <c r="AG724" s="1333"/>
      <c r="AH724" s="1333"/>
      <c r="AI724" s="1333"/>
    </row>
    <row r="725" spans="1:35" x14ac:dyDescent="0.25">
      <c r="A725" s="1331"/>
      <c r="B725" s="1284"/>
      <c r="C725" s="1284"/>
      <c r="D725" s="1364"/>
      <c r="E725" s="1364"/>
      <c r="F725" s="1364"/>
      <c r="G725" s="1365"/>
      <c r="H725" s="1333"/>
      <c r="I725" s="1333"/>
      <c r="J725" s="1333"/>
      <c r="K725" s="1333"/>
      <c r="L725" s="1333"/>
      <c r="M725" s="1333"/>
      <c r="N725" s="1333"/>
      <c r="O725" s="1333"/>
      <c r="P725" s="1333"/>
      <c r="Q725" s="1333"/>
      <c r="R725" s="1333"/>
      <c r="S725" s="1333"/>
      <c r="T725" s="1333"/>
      <c r="U725" s="1333"/>
      <c r="V725" s="1333"/>
      <c r="W725" s="1333"/>
      <c r="X725" s="1333"/>
      <c r="Y725" s="1333"/>
      <c r="Z725" s="1333"/>
      <c r="AA725" s="1333"/>
      <c r="AB725" s="1333"/>
      <c r="AC725" s="1333"/>
      <c r="AD725" s="1333"/>
      <c r="AE725" s="1333"/>
      <c r="AF725" s="1333"/>
      <c r="AG725" s="1333"/>
      <c r="AH725" s="1333"/>
      <c r="AI725" s="1333"/>
    </row>
    <row r="726" spans="1:35" x14ac:dyDescent="0.25">
      <c r="A726" s="1331"/>
      <c r="B726" s="1284"/>
      <c r="C726" s="1284"/>
      <c r="D726" s="1364"/>
      <c r="E726" s="1364"/>
      <c r="F726" s="1364"/>
      <c r="G726" s="1365"/>
      <c r="H726" s="1333"/>
      <c r="I726" s="1333"/>
      <c r="J726" s="1333"/>
      <c r="K726" s="1333"/>
      <c r="L726" s="1333"/>
      <c r="M726" s="1333"/>
      <c r="N726" s="1333"/>
      <c r="O726" s="1333"/>
      <c r="P726" s="1333"/>
      <c r="Q726" s="1333"/>
      <c r="R726" s="1333"/>
      <c r="S726" s="1333"/>
      <c r="T726" s="1333"/>
      <c r="U726" s="1333"/>
      <c r="V726" s="1333"/>
      <c r="W726" s="1333"/>
      <c r="X726" s="1333"/>
      <c r="Y726" s="1333"/>
      <c r="Z726" s="1333"/>
      <c r="AA726" s="1333"/>
      <c r="AB726" s="1333"/>
      <c r="AC726" s="1333"/>
      <c r="AD726" s="1333"/>
      <c r="AE726" s="1333"/>
      <c r="AF726" s="1333"/>
      <c r="AG726" s="1333"/>
      <c r="AH726" s="1333"/>
      <c r="AI726" s="1333"/>
    </row>
    <row r="727" spans="1:35" x14ac:dyDescent="0.25">
      <c r="A727" s="1331"/>
      <c r="B727" s="1284"/>
      <c r="C727" s="1284"/>
      <c r="D727" s="1364"/>
      <c r="E727" s="1364"/>
      <c r="F727" s="1364"/>
      <c r="G727" s="1365"/>
      <c r="H727" s="1333"/>
      <c r="I727" s="1333"/>
      <c r="J727" s="1333"/>
      <c r="K727" s="1333"/>
      <c r="L727" s="1333"/>
      <c r="M727" s="1333"/>
      <c r="N727" s="1333"/>
      <c r="O727" s="1333"/>
      <c r="P727" s="1333"/>
      <c r="Q727" s="1333"/>
      <c r="R727" s="1333"/>
      <c r="S727" s="1333"/>
      <c r="T727" s="1333"/>
      <c r="U727" s="1333"/>
      <c r="V727" s="1333"/>
      <c r="W727" s="1333"/>
      <c r="X727" s="1333"/>
      <c r="Y727" s="1333"/>
      <c r="Z727" s="1333"/>
      <c r="AA727" s="1333"/>
      <c r="AB727" s="1333"/>
      <c r="AC727" s="1333"/>
      <c r="AD727" s="1333"/>
      <c r="AE727" s="1333"/>
      <c r="AF727" s="1333"/>
      <c r="AG727" s="1333"/>
      <c r="AH727" s="1333"/>
      <c r="AI727" s="1333"/>
    </row>
    <row r="728" spans="1:35" x14ac:dyDescent="0.25">
      <c r="A728" s="1331"/>
      <c r="B728" s="1284"/>
      <c r="C728" s="1284"/>
      <c r="D728" s="1364"/>
      <c r="E728" s="1364"/>
      <c r="F728" s="1364"/>
      <c r="G728" s="1365"/>
      <c r="H728" s="1333"/>
      <c r="I728" s="1333"/>
      <c r="J728" s="1333"/>
      <c r="K728" s="1333"/>
      <c r="L728" s="1333"/>
      <c r="M728" s="1333"/>
      <c r="N728" s="1333"/>
      <c r="O728" s="1333"/>
      <c r="P728" s="1333"/>
      <c r="Q728" s="1333"/>
      <c r="R728" s="1333"/>
      <c r="S728" s="1333"/>
      <c r="T728" s="1333"/>
      <c r="U728" s="1333"/>
      <c r="V728" s="1333"/>
      <c r="W728" s="1333"/>
      <c r="X728" s="1333"/>
      <c r="Y728" s="1333"/>
      <c r="Z728" s="1333"/>
      <c r="AA728" s="1333"/>
      <c r="AB728" s="1333"/>
      <c r="AC728" s="1333"/>
      <c r="AD728" s="1333"/>
      <c r="AE728" s="1333"/>
      <c r="AF728" s="1333"/>
      <c r="AG728" s="1333"/>
      <c r="AH728" s="1333"/>
      <c r="AI728" s="1333"/>
    </row>
    <row r="729" spans="1:35" x14ac:dyDescent="0.25">
      <c r="A729" s="1331"/>
      <c r="B729" s="1284"/>
      <c r="C729" s="1284"/>
      <c r="D729" s="1364"/>
      <c r="E729" s="1364"/>
      <c r="F729" s="1364"/>
      <c r="G729" s="1365"/>
      <c r="H729" s="1333"/>
      <c r="I729" s="1333"/>
      <c r="J729" s="1333"/>
      <c r="K729" s="1333"/>
      <c r="L729" s="1333"/>
      <c r="M729" s="1333"/>
      <c r="N729" s="1333"/>
      <c r="O729" s="1333"/>
      <c r="P729" s="1333"/>
      <c r="Q729" s="1333"/>
      <c r="R729" s="1333"/>
      <c r="S729" s="1333"/>
      <c r="T729" s="1333"/>
      <c r="U729" s="1333"/>
      <c r="V729" s="1333"/>
      <c r="W729" s="1333"/>
      <c r="X729" s="1333"/>
      <c r="Y729" s="1333"/>
      <c r="Z729" s="1333"/>
      <c r="AA729" s="1333"/>
      <c r="AB729" s="1333"/>
      <c r="AC729" s="1333"/>
      <c r="AD729" s="1333"/>
      <c r="AE729" s="1333"/>
      <c r="AF729" s="1333"/>
      <c r="AG729" s="1333"/>
      <c r="AH729" s="1333"/>
      <c r="AI729" s="1333"/>
    </row>
    <row r="730" spans="1:35" x14ac:dyDescent="0.25">
      <c r="A730" s="1331"/>
      <c r="B730" s="1284"/>
      <c r="C730" s="1284"/>
      <c r="D730" s="1364"/>
      <c r="E730" s="1364"/>
      <c r="F730" s="1364"/>
      <c r="G730" s="1365"/>
      <c r="H730" s="1333"/>
      <c r="I730" s="1333"/>
      <c r="J730" s="1333"/>
      <c r="K730" s="1333"/>
      <c r="L730" s="1333"/>
      <c r="M730" s="1333"/>
      <c r="N730" s="1333"/>
      <c r="O730" s="1333"/>
      <c r="P730" s="1333"/>
      <c r="Q730" s="1333"/>
      <c r="R730" s="1333"/>
      <c r="S730" s="1333"/>
      <c r="T730" s="1333"/>
      <c r="U730" s="1333"/>
      <c r="V730" s="1333"/>
      <c r="W730" s="1333"/>
      <c r="X730" s="1333"/>
      <c r="Y730" s="1333"/>
      <c r="Z730" s="1333"/>
      <c r="AA730" s="1333"/>
      <c r="AB730" s="1333"/>
      <c r="AC730" s="1333"/>
      <c r="AD730" s="1333"/>
      <c r="AE730" s="1333"/>
      <c r="AF730" s="1333"/>
      <c r="AG730" s="1333"/>
      <c r="AH730" s="1333"/>
      <c r="AI730" s="1333"/>
    </row>
    <row r="731" spans="1:35" x14ac:dyDescent="0.25">
      <c r="A731" s="1331"/>
      <c r="B731" s="1284"/>
      <c r="C731" s="1284"/>
      <c r="D731" s="1364"/>
      <c r="E731" s="1364"/>
      <c r="F731" s="1364"/>
      <c r="G731" s="1365"/>
      <c r="H731" s="1333"/>
      <c r="I731" s="1333"/>
      <c r="J731" s="1333"/>
      <c r="K731" s="1333"/>
      <c r="L731" s="1333"/>
      <c r="M731" s="1333"/>
      <c r="N731" s="1333"/>
      <c r="O731" s="1333"/>
      <c r="P731" s="1333"/>
      <c r="Q731" s="1333"/>
      <c r="R731" s="1333"/>
      <c r="S731" s="1333"/>
      <c r="T731" s="1333"/>
      <c r="U731" s="1333"/>
      <c r="V731" s="1333"/>
      <c r="W731" s="1333"/>
      <c r="X731" s="1333"/>
      <c r="Y731" s="1333"/>
      <c r="Z731" s="1333"/>
      <c r="AA731" s="1333"/>
      <c r="AB731" s="1333"/>
      <c r="AC731" s="1333"/>
      <c r="AD731" s="1333"/>
      <c r="AE731" s="1333"/>
      <c r="AF731" s="1333"/>
      <c r="AG731" s="1333"/>
      <c r="AH731" s="1333"/>
      <c r="AI731" s="1333"/>
    </row>
    <row r="732" spans="1:35" x14ac:dyDescent="0.25">
      <c r="A732" s="1331"/>
      <c r="B732" s="1284"/>
      <c r="C732" s="1284"/>
      <c r="D732" s="1364"/>
      <c r="E732" s="1364"/>
      <c r="F732" s="1364"/>
      <c r="G732" s="1365"/>
      <c r="H732" s="1333"/>
      <c r="I732" s="1333"/>
      <c r="J732" s="1333"/>
      <c r="K732" s="1333"/>
      <c r="L732" s="1333"/>
      <c r="M732" s="1333"/>
      <c r="N732" s="1333"/>
      <c r="O732" s="1333"/>
      <c r="P732" s="1333"/>
      <c r="Q732" s="1333"/>
      <c r="R732" s="1333"/>
      <c r="S732" s="1333"/>
      <c r="T732" s="1333"/>
      <c r="U732" s="1333"/>
      <c r="V732" s="1333"/>
      <c r="W732" s="1333"/>
      <c r="X732" s="1333"/>
      <c r="Y732" s="1333"/>
      <c r="Z732" s="1333"/>
      <c r="AA732" s="1333"/>
      <c r="AB732" s="1333"/>
      <c r="AC732" s="1333"/>
      <c r="AD732" s="1333"/>
      <c r="AE732" s="1333"/>
      <c r="AF732" s="1333"/>
      <c r="AG732" s="1333"/>
      <c r="AH732" s="1333"/>
      <c r="AI732" s="1333"/>
    </row>
    <row r="733" spans="1:35" x14ac:dyDescent="0.25">
      <c r="A733" s="1331"/>
      <c r="B733" s="1284"/>
      <c r="C733" s="1284"/>
      <c r="D733" s="1364"/>
      <c r="E733" s="1364"/>
      <c r="F733" s="1364"/>
      <c r="G733" s="1365"/>
      <c r="H733" s="1333"/>
      <c r="I733" s="1333"/>
      <c r="J733" s="1333"/>
      <c r="K733" s="1333"/>
      <c r="L733" s="1333"/>
      <c r="M733" s="1333"/>
      <c r="N733" s="1333"/>
      <c r="O733" s="1333"/>
      <c r="P733" s="1333"/>
      <c r="Q733" s="1333"/>
      <c r="R733" s="1333"/>
      <c r="S733" s="1333"/>
      <c r="T733" s="1333"/>
      <c r="U733" s="1333"/>
      <c r="V733" s="1333"/>
      <c r="W733" s="1333"/>
      <c r="X733" s="1333"/>
      <c r="Y733" s="1333"/>
      <c r="Z733" s="1333"/>
      <c r="AA733" s="1333"/>
      <c r="AB733" s="1333"/>
      <c r="AC733" s="1333"/>
      <c r="AD733" s="1333"/>
      <c r="AE733" s="1333"/>
      <c r="AF733" s="1333"/>
      <c r="AG733" s="1333"/>
      <c r="AH733" s="1333"/>
      <c r="AI733" s="1333"/>
    </row>
    <row r="734" spans="1:35" x14ac:dyDescent="0.25">
      <c r="A734" s="1331"/>
      <c r="B734" s="1284"/>
      <c r="C734" s="1284"/>
      <c r="D734" s="1364"/>
      <c r="E734" s="1364"/>
      <c r="F734" s="1364"/>
      <c r="G734" s="1365"/>
      <c r="H734" s="1333"/>
      <c r="I734" s="1333"/>
      <c r="J734" s="1333"/>
      <c r="K734" s="1333"/>
      <c r="L734" s="1333"/>
      <c r="M734" s="1333"/>
      <c r="N734" s="1333"/>
      <c r="O734" s="1333"/>
      <c r="P734" s="1333"/>
      <c r="Q734" s="1333"/>
      <c r="R734" s="1333"/>
      <c r="S734" s="1333"/>
      <c r="T734" s="1333"/>
      <c r="U734" s="1333"/>
      <c r="V734" s="1333"/>
      <c r="W734" s="1333"/>
      <c r="X734" s="1333"/>
      <c r="Y734" s="1333"/>
      <c r="Z734" s="1333"/>
      <c r="AA734" s="1333"/>
      <c r="AB734" s="1333"/>
      <c r="AC734" s="1333"/>
      <c r="AD734" s="1333"/>
      <c r="AE734" s="1333"/>
      <c r="AF734" s="1333"/>
      <c r="AG734" s="1333"/>
      <c r="AH734" s="1333"/>
      <c r="AI734" s="1333"/>
    </row>
    <row r="735" spans="1:35" x14ac:dyDescent="0.25">
      <c r="A735" s="1331"/>
      <c r="B735" s="1284"/>
      <c r="C735" s="1284"/>
      <c r="D735" s="1364"/>
      <c r="E735" s="1364"/>
      <c r="F735" s="1364"/>
      <c r="G735" s="1365"/>
      <c r="H735" s="1333"/>
      <c r="I735" s="1333"/>
      <c r="J735" s="1333"/>
      <c r="K735" s="1333"/>
      <c r="L735" s="1333"/>
      <c r="M735" s="1333"/>
      <c r="N735" s="1333"/>
      <c r="O735" s="1333"/>
      <c r="P735" s="1333"/>
      <c r="Q735" s="1333"/>
      <c r="R735" s="1333"/>
      <c r="S735" s="1333"/>
      <c r="T735" s="1333"/>
      <c r="U735" s="1333"/>
      <c r="V735" s="1333"/>
      <c r="W735" s="1333"/>
      <c r="X735" s="1333"/>
      <c r="Y735" s="1333"/>
      <c r="Z735" s="1333"/>
      <c r="AA735" s="1333"/>
      <c r="AB735" s="1333"/>
      <c r="AC735" s="1333"/>
      <c r="AD735" s="1333"/>
      <c r="AE735" s="1333"/>
      <c r="AF735" s="1333"/>
      <c r="AG735" s="1333"/>
      <c r="AH735" s="1333"/>
      <c r="AI735" s="1333"/>
    </row>
    <row r="736" spans="1:35" x14ac:dyDescent="0.25">
      <c r="A736" s="1331"/>
      <c r="B736" s="1284"/>
      <c r="C736" s="1284"/>
      <c r="D736" s="1364"/>
      <c r="E736" s="1364"/>
      <c r="F736" s="1364"/>
      <c r="G736" s="1365"/>
      <c r="H736" s="1333"/>
      <c r="I736" s="1333"/>
      <c r="J736" s="1333"/>
      <c r="K736" s="1333"/>
      <c r="L736" s="1333"/>
      <c r="M736" s="1333"/>
      <c r="N736" s="1333"/>
      <c r="O736" s="1333"/>
      <c r="P736" s="1333"/>
      <c r="Q736" s="1333"/>
      <c r="R736" s="1333"/>
      <c r="S736" s="1333"/>
      <c r="T736" s="1333"/>
      <c r="U736" s="1333"/>
      <c r="V736" s="1333"/>
      <c r="W736" s="1333"/>
      <c r="X736" s="1333"/>
      <c r="Y736" s="1333"/>
      <c r="Z736" s="1333"/>
      <c r="AA736" s="1333"/>
      <c r="AB736" s="1333"/>
      <c r="AC736" s="1333"/>
      <c r="AD736" s="1333"/>
      <c r="AE736" s="1333"/>
      <c r="AF736" s="1333"/>
      <c r="AG736" s="1333"/>
      <c r="AH736" s="1333"/>
      <c r="AI736" s="1333"/>
    </row>
    <row r="737" spans="1:35" x14ac:dyDescent="0.25">
      <c r="A737" s="1331"/>
      <c r="B737" s="1284"/>
      <c r="C737" s="1284"/>
      <c r="D737" s="1364"/>
      <c r="E737" s="1364"/>
      <c r="F737" s="1364"/>
      <c r="G737" s="1365"/>
      <c r="H737" s="1333"/>
      <c r="I737" s="1333"/>
      <c r="J737" s="1333"/>
      <c r="K737" s="1333"/>
      <c r="L737" s="1333"/>
      <c r="M737" s="1333"/>
      <c r="N737" s="1333"/>
      <c r="O737" s="1333"/>
      <c r="P737" s="1333"/>
      <c r="Q737" s="1333"/>
      <c r="R737" s="1333"/>
      <c r="S737" s="1333"/>
      <c r="T737" s="1333"/>
      <c r="U737" s="1333"/>
      <c r="V737" s="1333"/>
      <c r="W737" s="1333"/>
      <c r="X737" s="1333"/>
      <c r="Y737" s="1333"/>
      <c r="Z737" s="1333"/>
      <c r="AA737" s="1333"/>
      <c r="AB737" s="1333"/>
      <c r="AC737" s="1333"/>
      <c r="AD737" s="1333"/>
      <c r="AE737" s="1333"/>
      <c r="AF737" s="1333"/>
      <c r="AG737" s="1333"/>
      <c r="AH737" s="1333"/>
      <c r="AI737" s="1333"/>
    </row>
    <row r="738" spans="1:35" x14ac:dyDescent="0.25">
      <c r="A738" s="1331"/>
      <c r="B738" s="1284"/>
      <c r="C738" s="1284"/>
      <c r="D738" s="1364"/>
      <c r="E738" s="1364"/>
      <c r="F738" s="1364"/>
      <c r="G738" s="1365"/>
      <c r="H738" s="1333"/>
      <c r="I738" s="1333"/>
      <c r="J738" s="1333"/>
      <c r="K738" s="1333"/>
      <c r="L738" s="1333"/>
      <c r="M738" s="1333"/>
      <c r="N738" s="1333"/>
      <c r="O738" s="1333"/>
      <c r="P738" s="1333"/>
      <c r="Q738" s="1333"/>
      <c r="R738" s="1333"/>
      <c r="S738" s="1333"/>
      <c r="T738" s="1333"/>
      <c r="U738" s="1333"/>
      <c r="V738" s="1333"/>
      <c r="W738" s="1333"/>
      <c r="X738" s="1333"/>
      <c r="Y738" s="1333"/>
      <c r="Z738" s="1333"/>
      <c r="AA738" s="1333"/>
      <c r="AB738" s="1333"/>
      <c r="AC738" s="1333"/>
      <c r="AD738" s="1333"/>
      <c r="AE738" s="1333"/>
      <c r="AF738" s="1333"/>
      <c r="AG738" s="1333"/>
      <c r="AH738" s="1333"/>
      <c r="AI738" s="1333"/>
    </row>
    <row r="739" spans="1:35" x14ac:dyDescent="0.25">
      <c r="A739" s="1331"/>
      <c r="B739" s="1284"/>
      <c r="C739" s="1284"/>
      <c r="D739" s="1364"/>
      <c r="E739" s="1364"/>
      <c r="F739" s="1364"/>
      <c r="G739" s="1365"/>
      <c r="H739" s="1333"/>
      <c r="I739" s="1333"/>
      <c r="J739" s="1333"/>
      <c r="K739" s="1333"/>
      <c r="L739" s="1333"/>
      <c r="M739" s="1333"/>
      <c r="N739" s="1333"/>
      <c r="O739" s="1333"/>
      <c r="P739" s="1333"/>
      <c r="Q739" s="1333"/>
      <c r="R739" s="1333"/>
      <c r="S739" s="1333"/>
      <c r="T739" s="1333"/>
      <c r="U739" s="1333"/>
      <c r="V739" s="1333"/>
      <c r="W739" s="1333"/>
      <c r="X739" s="1333"/>
      <c r="Y739" s="1333"/>
      <c r="Z739" s="1333"/>
      <c r="AA739" s="1333"/>
      <c r="AB739" s="1333"/>
      <c r="AC739" s="1333"/>
      <c r="AD739" s="1333"/>
      <c r="AE739" s="1333"/>
      <c r="AF739" s="1333"/>
      <c r="AG739" s="1333"/>
      <c r="AH739" s="1333"/>
      <c r="AI739" s="1333"/>
    </row>
    <row r="740" spans="1:35" x14ac:dyDescent="0.25">
      <c r="A740" s="1331"/>
      <c r="B740" s="1284"/>
      <c r="C740" s="1284"/>
      <c r="D740" s="1364"/>
      <c r="E740" s="1364"/>
      <c r="F740" s="1364"/>
      <c r="G740" s="1365"/>
      <c r="H740" s="1333"/>
      <c r="I740" s="1333"/>
      <c r="J740" s="1333"/>
      <c r="K740" s="1333"/>
      <c r="L740" s="1333"/>
      <c r="M740" s="1333"/>
      <c r="N740" s="1333"/>
      <c r="O740" s="1333"/>
      <c r="P740" s="1333"/>
      <c r="Q740" s="1333"/>
      <c r="R740" s="1333"/>
      <c r="S740" s="1333"/>
      <c r="T740" s="1333"/>
      <c r="U740" s="1333"/>
      <c r="V740" s="1333"/>
      <c r="W740" s="1333"/>
      <c r="X740" s="1333"/>
      <c r="Y740" s="1333"/>
      <c r="Z740" s="1333"/>
      <c r="AA740" s="1333"/>
      <c r="AB740" s="1333"/>
      <c r="AC740" s="1333"/>
      <c r="AD740" s="1333"/>
      <c r="AE740" s="1333"/>
      <c r="AF740" s="1333"/>
      <c r="AG740" s="1333"/>
      <c r="AH740" s="1333"/>
      <c r="AI740" s="1333"/>
    </row>
    <row r="741" spans="1:35" x14ac:dyDescent="0.25">
      <c r="A741" s="1331"/>
      <c r="B741" s="1284"/>
      <c r="C741" s="1284"/>
      <c r="D741" s="1364"/>
      <c r="E741" s="1364"/>
      <c r="F741" s="1364"/>
      <c r="G741" s="1365"/>
      <c r="H741" s="1333"/>
      <c r="I741" s="1333"/>
      <c r="J741" s="1333"/>
      <c r="K741" s="1333"/>
      <c r="L741" s="1333"/>
      <c r="M741" s="1333"/>
      <c r="N741" s="1333"/>
      <c r="O741" s="1333"/>
      <c r="P741" s="1333"/>
      <c r="Q741" s="1333"/>
      <c r="R741" s="1333"/>
      <c r="S741" s="1333"/>
      <c r="T741" s="1333"/>
      <c r="U741" s="1333"/>
      <c r="V741" s="1333"/>
      <c r="W741" s="1333"/>
      <c r="X741" s="1333"/>
      <c r="Y741" s="1333"/>
      <c r="Z741" s="1333"/>
      <c r="AA741" s="1333"/>
      <c r="AB741" s="1333"/>
      <c r="AC741" s="1333"/>
      <c r="AD741" s="1333"/>
      <c r="AE741" s="1333"/>
      <c r="AF741" s="1333"/>
      <c r="AG741" s="1333"/>
      <c r="AH741" s="1333"/>
      <c r="AI741" s="1333"/>
    </row>
    <row r="742" spans="1:35" x14ac:dyDescent="0.25">
      <c r="A742" s="1331"/>
      <c r="B742" s="1284"/>
      <c r="C742" s="1284"/>
      <c r="D742" s="1364"/>
      <c r="E742" s="1364"/>
      <c r="F742" s="1364"/>
      <c r="G742" s="1365"/>
      <c r="H742" s="1333"/>
      <c r="I742" s="1333"/>
      <c r="J742" s="1333"/>
      <c r="K742" s="1333"/>
      <c r="L742" s="1333"/>
      <c r="M742" s="1333"/>
      <c r="N742" s="1333"/>
      <c r="O742" s="1333"/>
      <c r="P742" s="1333"/>
      <c r="Q742" s="1333"/>
      <c r="R742" s="1333"/>
      <c r="S742" s="1333"/>
      <c r="T742" s="1333"/>
      <c r="U742" s="1333"/>
      <c r="V742" s="1333"/>
      <c r="W742" s="1333"/>
      <c r="X742" s="1333"/>
      <c r="Y742" s="1333"/>
      <c r="Z742" s="1333"/>
      <c r="AA742" s="1333"/>
      <c r="AB742" s="1333"/>
      <c r="AC742" s="1333"/>
      <c r="AD742" s="1333"/>
      <c r="AE742" s="1333"/>
      <c r="AF742" s="1333"/>
      <c r="AG742" s="1333"/>
      <c r="AH742" s="1333"/>
      <c r="AI742" s="1333"/>
    </row>
    <row r="743" spans="1:35" x14ac:dyDescent="0.25">
      <c r="A743" s="1331"/>
      <c r="B743" s="1284"/>
      <c r="C743" s="1284"/>
      <c r="D743" s="1364"/>
      <c r="E743" s="1364"/>
      <c r="F743" s="1364"/>
      <c r="G743" s="1365"/>
      <c r="H743" s="1333"/>
      <c r="I743" s="1333"/>
      <c r="J743" s="1333"/>
      <c r="K743" s="1333"/>
      <c r="L743" s="1333"/>
      <c r="M743" s="1333"/>
      <c r="N743" s="1333"/>
      <c r="O743" s="1333"/>
      <c r="P743" s="1333"/>
      <c r="Q743" s="1333"/>
      <c r="R743" s="1333"/>
      <c r="S743" s="1333"/>
      <c r="T743" s="1333"/>
      <c r="U743" s="1333"/>
      <c r="V743" s="1333"/>
      <c r="W743" s="1333"/>
      <c r="X743" s="1333"/>
      <c r="Y743" s="1333"/>
      <c r="Z743" s="1333"/>
      <c r="AA743" s="1333"/>
      <c r="AB743" s="1333"/>
      <c r="AC743" s="1333"/>
      <c r="AD743" s="1333"/>
      <c r="AE743" s="1333"/>
      <c r="AF743" s="1333"/>
      <c r="AG743" s="1333"/>
      <c r="AH743" s="1333"/>
      <c r="AI743" s="1333"/>
    </row>
    <row r="744" spans="1:35" x14ac:dyDescent="0.25">
      <c r="A744" s="1331"/>
      <c r="B744" s="1284"/>
      <c r="C744" s="1284"/>
      <c r="D744" s="1364"/>
      <c r="E744" s="1364"/>
      <c r="F744" s="1364"/>
      <c r="G744" s="1365"/>
      <c r="H744" s="1333"/>
      <c r="I744" s="1333"/>
      <c r="J744" s="1333"/>
      <c r="K744" s="1333"/>
      <c r="L744" s="1333"/>
      <c r="M744" s="1333"/>
      <c r="N744" s="1333"/>
      <c r="O744" s="1333"/>
      <c r="P744" s="1333"/>
      <c r="Q744" s="1333"/>
      <c r="R744" s="1333"/>
      <c r="S744" s="1333"/>
      <c r="T744" s="1333"/>
      <c r="U744" s="1333"/>
      <c r="V744" s="1333"/>
      <c r="W744" s="1333"/>
      <c r="X744" s="1333"/>
      <c r="Y744" s="1333"/>
      <c r="Z744" s="1333"/>
      <c r="AA744" s="1333"/>
      <c r="AB744" s="1333"/>
      <c r="AC744" s="1333"/>
      <c r="AD744" s="1333"/>
      <c r="AE744" s="1333"/>
      <c r="AF744" s="1333"/>
      <c r="AG744" s="1333"/>
      <c r="AH744" s="1333"/>
      <c r="AI744" s="1333"/>
    </row>
    <row r="745" spans="1:35" x14ac:dyDescent="0.25">
      <c r="A745" s="1331"/>
      <c r="B745" s="1284"/>
      <c r="C745" s="1284"/>
      <c r="D745" s="1364"/>
      <c r="E745" s="1364"/>
      <c r="F745" s="1364"/>
      <c r="G745" s="1365"/>
      <c r="H745" s="1333"/>
      <c r="I745" s="1333"/>
      <c r="J745" s="1333"/>
      <c r="K745" s="1333"/>
      <c r="L745" s="1333"/>
      <c r="M745" s="1333"/>
      <c r="N745" s="1333"/>
      <c r="O745" s="1333"/>
      <c r="P745" s="1333"/>
      <c r="Q745" s="1333"/>
      <c r="R745" s="1333"/>
      <c r="S745" s="1333"/>
      <c r="T745" s="1333"/>
      <c r="U745" s="1333"/>
      <c r="V745" s="1333"/>
      <c r="W745" s="1333"/>
      <c r="X745" s="1333"/>
      <c r="Y745" s="1333"/>
      <c r="Z745" s="1333"/>
      <c r="AA745" s="1333"/>
      <c r="AB745" s="1333"/>
      <c r="AC745" s="1333"/>
      <c r="AD745" s="1333"/>
      <c r="AE745" s="1333"/>
      <c r="AF745" s="1333"/>
      <c r="AG745" s="1333"/>
      <c r="AH745" s="1333"/>
      <c r="AI745" s="1333"/>
    </row>
    <row r="746" spans="1:35" x14ac:dyDescent="0.25">
      <c r="A746" s="1331"/>
      <c r="B746" s="1284"/>
      <c r="C746" s="1284"/>
      <c r="D746" s="1364"/>
      <c r="E746" s="1364"/>
      <c r="F746" s="1364"/>
      <c r="G746" s="1365"/>
      <c r="H746" s="1333"/>
      <c r="I746" s="1333"/>
      <c r="J746" s="1333"/>
      <c r="K746" s="1333"/>
      <c r="L746" s="1333"/>
      <c r="M746" s="1333"/>
      <c r="N746" s="1333"/>
      <c r="O746" s="1333"/>
      <c r="P746" s="1333"/>
      <c r="Q746" s="1333"/>
      <c r="R746" s="1333"/>
      <c r="S746" s="1333"/>
      <c r="T746" s="1333"/>
      <c r="U746" s="1333"/>
      <c r="V746" s="1333"/>
      <c r="W746" s="1333"/>
      <c r="X746" s="1333"/>
      <c r="Y746" s="1333"/>
      <c r="Z746" s="1333"/>
      <c r="AA746" s="1333"/>
      <c r="AB746" s="1333"/>
      <c r="AC746" s="1333"/>
      <c r="AD746" s="1333"/>
      <c r="AE746" s="1333"/>
      <c r="AF746" s="1333"/>
      <c r="AG746" s="1333"/>
      <c r="AH746" s="1333"/>
      <c r="AI746" s="1333"/>
    </row>
    <row r="747" spans="1:35" x14ac:dyDescent="0.25">
      <c r="A747" s="1331"/>
      <c r="B747" s="1284"/>
      <c r="C747" s="1284"/>
      <c r="D747" s="1364"/>
      <c r="E747" s="1364"/>
      <c r="F747" s="1364"/>
      <c r="G747" s="1365"/>
      <c r="H747" s="1333"/>
      <c r="I747" s="1333"/>
      <c r="J747" s="1333"/>
      <c r="K747" s="1333"/>
      <c r="L747" s="1333"/>
      <c r="M747" s="1333"/>
      <c r="N747" s="1333"/>
      <c r="O747" s="1333"/>
      <c r="P747" s="1333"/>
      <c r="Q747" s="1333"/>
      <c r="R747" s="1333"/>
      <c r="S747" s="1333"/>
      <c r="T747" s="1333"/>
      <c r="U747" s="1333"/>
      <c r="V747" s="1333"/>
      <c r="W747" s="1333"/>
      <c r="X747" s="1333"/>
      <c r="Y747" s="1333"/>
      <c r="Z747" s="1333"/>
      <c r="AA747" s="1333"/>
      <c r="AB747" s="1333"/>
      <c r="AC747" s="1333"/>
      <c r="AD747" s="1333"/>
      <c r="AE747" s="1333"/>
      <c r="AF747" s="1333"/>
      <c r="AG747" s="1333"/>
      <c r="AH747" s="1333"/>
      <c r="AI747" s="1333"/>
    </row>
    <row r="748" spans="1:35" x14ac:dyDescent="0.25">
      <c r="A748" s="1331"/>
      <c r="B748" s="1284"/>
      <c r="C748" s="1284"/>
      <c r="D748" s="1364"/>
      <c r="E748" s="1364"/>
      <c r="F748" s="1364"/>
      <c r="G748" s="1365"/>
      <c r="H748" s="1333"/>
      <c r="I748" s="1333"/>
      <c r="J748" s="1333"/>
      <c r="K748" s="1333"/>
      <c r="L748" s="1333"/>
      <c r="M748" s="1333"/>
      <c r="N748" s="1333"/>
      <c r="O748" s="1333"/>
      <c r="P748" s="1333"/>
      <c r="Q748" s="1333"/>
      <c r="R748" s="1333"/>
      <c r="S748" s="1333"/>
      <c r="T748" s="1333"/>
      <c r="U748" s="1333"/>
      <c r="V748" s="1333"/>
      <c r="W748" s="1333"/>
      <c r="X748" s="1333"/>
      <c r="Y748" s="1333"/>
      <c r="Z748" s="1333"/>
      <c r="AA748" s="1333"/>
      <c r="AB748" s="1333"/>
      <c r="AC748" s="1333"/>
      <c r="AD748" s="1333"/>
      <c r="AE748" s="1333"/>
      <c r="AF748" s="1333"/>
      <c r="AG748" s="1333"/>
      <c r="AH748" s="1333"/>
      <c r="AI748" s="1333"/>
    </row>
    <row r="749" spans="1:35" x14ac:dyDescent="0.25">
      <c r="A749" s="1331"/>
      <c r="B749" s="1284"/>
      <c r="C749" s="1284"/>
      <c r="D749" s="1364"/>
      <c r="E749" s="1364"/>
      <c r="F749" s="1364"/>
      <c r="G749" s="1365"/>
      <c r="H749" s="1333"/>
      <c r="I749" s="1333"/>
      <c r="J749" s="1333"/>
      <c r="K749" s="1333"/>
      <c r="L749" s="1333"/>
      <c r="M749" s="1333"/>
      <c r="N749" s="1333"/>
      <c r="O749" s="1333"/>
      <c r="P749" s="1333"/>
      <c r="Q749" s="1333"/>
      <c r="R749" s="1333"/>
      <c r="S749" s="1333"/>
      <c r="T749" s="1333"/>
      <c r="U749" s="1333"/>
      <c r="V749" s="1333"/>
      <c r="W749" s="1333"/>
      <c r="X749" s="1333"/>
      <c r="Y749" s="1333"/>
      <c r="Z749" s="1333"/>
      <c r="AA749" s="1333"/>
      <c r="AB749" s="1333"/>
      <c r="AC749" s="1333"/>
      <c r="AD749" s="1333"/>
      <c r="AE749" s="1333"/>
      <c r="AF749" s="1333"/>
      <c r="AG749" s="1333"/>
      <c r="AH749" s="1333"/>
      <c r="AI749" s="1333"/>
    </row>
    <row r="750" spans="1:35" x14ac:dyDescent="0.25">
      <c r="A750" s="1331"/>
      <c r="B750" s="1284"/>
      <c r="C750" s="1284"/>
      <c r="D750" s="1364"/>
      <c r="E750" s="1364"/>
      <c r="F750" s="1364"/>
      <c r="G750" s="1365"/>
      <c r="H750" s="1333"/>
      <c r="I750" s="1333"/>
      <c r="J750" s="1333"/>
      <c r="K750" s="1333"/>
      <c r="L750" s="1333"/>
      <c r="M750" s="1333"/>
      <c r="N750" s="1333"/>
      <c r="O750" s="1333"/>
      <c r="P750" s="1333"/>
      <c r="Q750" s="1333"/>
      <c r="R750" s="1333"/>
      <c r="S750" s="1333"/>
      <c r="T750" s="1333"/>
      <c r="U750" s="1333"/>
      <c r="V750" s="1333"/>
      <c r="W750" s="1333"/>
      <c r="X750" s="1333"/>
      <c r="Y750" s="1333"/>
      <c r="Z750" s="1333"/>
      <c r="AA750" s="1333"/>
      <c r="AB750" s="1333"/>
      <c r="AC750" s="1333"/>
      <c r="AD750" s="1333"/>
      <c r="AE750" s="1333"/>
      <c r="AF750" s="1333"/>
      <c r="AG750" s="1333"/>
      <c r="AH750" s="1333"/>
      <c r="AI750" s="1333"/>
    </row>
    <row r="751" spans="1:35" x14ac:dyDescent="0.25">
      <c r="A751" s="1331"/>
      <c r="B751" s="1284"/>
      <c r="C751" s="1284"/>
      <c r="D751" s="1364"/>
      <c r="E751" s="1364"/>
      <c r="F751" s="1364"/>
      <c r="G751" s="1365"/>
      <c r="H751" s="1333"/>
      <c r="I751" s="1333"/>
      <c r="J751" s="1333"/>
      <c r="K751" s="1333"/>
      <c r="L751" s="1333"/>
      <c r="M751" s="1333"/>
      <c r="N751" s="1333"/>
      <c r="O751" s="1333"/>
      <c r="P751" s="1333"/>
      <c r="Q751" s="1333"/>
      <c r="R751" s="1333"/>
      <c r="S751" s="1333"/>
      <c r="T751" s="1333"/>
      <c r="U751" s="1333"/>
      <c r="V751" s="1333"/>
      <c r="W751" s="1333"/>
      <c r="X751" s="1333"/>
      <c r="Y751" s="1333"/>
      <c r="Z751" s="1333"/>
      <c r="AA751" s="1333"/>
      <c r="AB751" s="1333"/>
      <c r="AC751" s="1333"/>
      <c r="AD751" s="1333"/>
      <c r="AE751" s="1333"/>
      <c r="AF751" s="1333"/>
      <c r="AG751" s="1333"/>
      <c r="AH751" s="1333"/>
      <c r="AI751" s="1333"/>
    </row>
    <row r="752" spans="1:35" x14ac:dyDescent="0.25">
      <c r="A752" s="1331"/>
      <c r="B752" s="1284"/>
      <c r="C752" s="1284"/>
      <c r="D752" s="1364"/>
      <c r="E752" s="1364"/>
      <c r="F752" s="1364"/>
      <c r="G752" s="1365"/>
      <c r="H752" s="1333"/>
      <c r="I752" s="1333"/>
      <c r="J752" s="1333"/>
      <c r="K752" s="1333"/>
      <c r="L752" s="1333"/>
      <c r="M752" s="1333"/>
      <c r="N752" s="1333"/>
      <c r="O752" s="1333"/>
      <c r="P752" s="1333"/>
      <c r="Q752" s="1333"/>
      <c r="R752" s="1333"/>
      <c r="S752" s="1333"/>
      <c r="T752" s="1333"/>
      <c r="U752" s="1333"/>
      <c r="V752" s="1333"/>
      <c r="W752" s="1333"/>
      <c r="X752" s="1333"/>
      <c r="Y752" s="1333"/>
      <c r="Z752" s="1333"/>
      <c r="AA752" s="1333"/>
      <c r="AB752" s="1333"/>
      <c r="AC752" s="1333"/>
      <c r="AD752" s="1333"/>
      <c r="AE752" s="1333"/>
      <c r="AF752" s="1333"/>
      <c r="AG752" s="1333"/>
      <c r="AH752" s="1333"/>
      <c r="AI752" s="1333"/>
    </row>
    <row r="753" spans="1:35" x14ac:dyDescent="0.25">
      <c r="A753" s="1331"/>
      <c r="B753" s="1284"/>
      <c r="C753" s="1284"/>
      <c r="D753" s="1364"/>
      <c r="E753" s="1364"/>
      <c r="F753" s="1364"/>
      <c r="G753" s="1365"/>
      <c r="H753" s="1333"/>
      <c r="I753" s="1333"/>
      <c r="J753" s="1333"/>
      <c r="K753" s="1333"/>
      <c r="L753" s="1333"/>
      <c r="M753" s="1333"/>
      <c r="N753" s="1333"/>
      <c r="O753" s="1333"/>
      <c r="P753" s="1333"/>
      <c r="Q753" s="1333"/>
      <c r="R753" s="1333"/>
      <c r="S753" s="1333"/>
      <c r="T753" s="1333"/>
      <c r="U753" s="1333"/>
      <c r="V753" s="1333"/>
      <c r="W753" s="1333"/>
      <c r="X753" s="1333"/>
      <c r="Y753" s="1333"/>
      <c r="Z753" s="1333"/>
      <c r="AA753" s="1333"/>
      <c r="AB753" s="1333"/>
      <c r="AC753" s="1333"/>
      <c r="AD753" s="1333"/>
      <c r="AE753" s="1333"/>
      <c r="AF753" s="1333"/>
      <c r="AG753" s="1333"/>
      <c r="AH753" s="1333"/>
      <c r="AI753" s="1333"/>
    </row>
    <row r="754" spans="1:35" x14ac:dyDescent="0.25">
      <c r="A754" s="1331"/>
      <c r="B754" s="1284"/>
      <c r="C754" s="1284"/>
      <c r="D754" s="1364"/>
      <c r="E754" s="1364"/>
      <c r="F754" s="1364"/>
      <c r="G754" s="1365"/>
      <c r="H754" s="1333"/>
      <c r="I754" s="1333"/>
      <c r="J754" s="1333"/>
      <c r="K754" s="1333"/>
      <c r="L754" s="1333"/>
      <c r="M754" s="1333"/>
      <c r="N754" s="1333"/>
      <c r="O754" s="1333"/>
      <c r="P754" s="1333"/>
      <c r="Q754" s="1333"/>
      <c r="R754" s="1333"/>
      <c r="S754" s="1333"/>
      <c r="T754" s="1333"/>
      <c r="U754" s="1333"/>
      <c r="V754" s="1333"/>
      <c r="W754" s="1333"/>
      <c r="X754" s="1333"/>
      <c r="Y754" s="1333"/>
      <c r="Z754" s="1333"/>
      <c r="AA754" s="1333"/>
      <c r="AB754" s="1333"/>
      <c r="AC754" s="1333"/>
      <c r="AD754" s="1333"/>
      <c r="AE754" s="1333"/>
      <c r="AF754" s="1333"/>
      <c r="AG754" s="1333"/>
      <c r="AH754" s="1333"/>
      <c r="AI754" s="1333"/>
    </row>
    <row r="755" spans="1:35" x14ac:dyDescent="0.25">
      <c r="A755" s="1331"/>
      <c r="B755" s="1284"/>
      <c r="C755" s="1284"/>
      <c r="D755" s="1364"/>
      <c r="E755" s="1364"/>
      <c r="F755" s="1364"/>
      <c r="G755" s="1365"/>
      <c r="H755" s="1333"/>
      <c r="I755" s="1333"/>
      <c r="J755" s="1333"/>
      <c r="K755" s="1333"/>
      <c r="L755" s="1333"/>
      <c r="M755" s="1333"/>
      <c r="N755" s="1333"/>
      <c r="O755" s="1333"/>
      <c r="P755" s="1333"/>
      <c r="Q755" s="1333"/>
      <c r="R755" s="1333"/>
      <c r="S755" s="1333"/>
      <c r="T755" s="1333"/>
      <c r="U755" s="1333"/>
      <c r="V755" s="1333"/>
      <c r="W755" s="1333"/>
      <c r="X755" s="1333"/>
      <c r="Y755" s="1333"/>
      <c r="Z755" s="1333"/>
      <c r="AA755" s="1333"/>
      <c r="AB755" s="1333"/>
      <c r="AC755" s="1333"/>
      <c r="AD755" s="1333"/>
      <c r="AE755" s="1333"/>
      <c r="AF755" s="1333"/>
      <c r="AG755" s="1333"/>
      <c r="AH755" s="1333"/>
      <c r="AI755" s="1333"/>
    </row>
    <row r="756" spans="1:35" x14ac:dyDescent="0.25">
      <c r="A756" s="1331"/>
      <c r="B756" s="1284"/>
      <c r="C756" s="1284"/>
      <c r="D756" s="1364"/>
      <c r="E756" s="1364"/>
      <c r="F756" s="1364"/>
      <c r="G756" s="1365"/>
      <c r="H756" s="1333"/>
      <c r="I756" s="1333"/>
      <c r="J756" s="1333"/>
      <c r="K756" s="1333"/>
      <c r="L756" s="1333"/>
      <c r="M756" s="1333"/>
      <c r="N756" s="1333"/>
      <c r="O756" s="1333"/>
      <c r="P756" s="1333"/>
      <c r="Q756" s="1333"/>
      <c r="R756" s="1333"/>
      <c r="S756" s="1333"/>
      <c r="T756" s="1333"/>
      <c r="U756" s="1333"/>
      <c r="V756" s="1333"/>
      <c r="W756" s="1333"/>
      <c r="X756" s="1333"/>
      <c r="Y756" s="1333"/>
      <c r="Z756" s="1333"/>
      <c r="AA756" s="1333"/>
      <c r="AB756" s="1333"/>
      <c r="AC756" s="1333"/>
      <c r="AD756" s="1333"/>
      <c r="AE756" s="1333"/>
      <c r="AF756" s="1333"/>
      <c r="AG756" s="1333"/>
      <c r="AH756" s="1333"/>
      <c r="AI756" s="1333"/>
    </row>
    <row r="757" spans="1:35" x14ac:dyDescent="0.25">
      <c r="A757" s="1331"/>
      <c r="B757" s="1284"/>
      <c r="C757" s="1284"/>
      <c r="D757" s="1364"/>
      <c r="E757" s="1364"/>
      <c r="F757" s="1364"/>
      <c r="G757" s="1365"/>
      <c r="H757" s="1333"/>
      <c r="I757" s="1333"/>
      <c r="J757" s="1333"/>
      <c r="K757" s="1333"/>
      <c r="L757" s="1333"/>
      <c r="M757" s="1333"/>
      <c r="N757" s="1333"/>
      <c r="O757" s="1333"/>
      <c r="P757" s="1333"/>
      <c r="Q757" s="1333"/>
      <c r="R757" s="1333"/>
      <c r="S757" s="1333"/>
      <c r="T757" s="1333"/>
      <c r="U757" s="1333"/>
      <c r="V757" s="1333"/>
      <c r="W757" s="1333"/>
      <c r="X757" s="1333"/>
      <c r="Y757" s="1333"/>
      <c r="Z757" s="1333"/>
      <c r="AA757" s="1333"/>
      <c r="AB757" s="1333"/>
      <c r="AC757" s="1333"/>
      <c r="AD757" s="1333"/>
      <c r="AE757" s="1333"/>
      <c r="AF757" s="1333"/>
      <c r="AG757" s="1333"/>
      <c r="AH757" s="1333"/>
      <c r="AI757" s="1333"/>
    </row>
    <row r="758" spans="1:35" x14ac:dyDescent="0.25">
      <c r="A758" s="1331"/>
      <c r="B758" s="1284"/>
      <c r="C758" s="1284"/>
      <c r="D758" s="1364"/>
      <c r="E758" s="1364"/>
      <c r="F758" s="1364"/>
      <c r="G758" s="1365"/>
      <c r="H758" s="1333"/>
      <c r="I758" s="1333"/>
      <c r="J758" s="1333"/>
      <c r="K758" s="1333"/>
      <c r="L758" s="1333"/>
      <c r="M758" s="1333"/>
      <c r="N758" s="1333"/>
      <c r="O758" s="1333"/>
      <c r="P758" s="1333"/>
      <c r="Q758" s="1333"/>
      <c r="R758" s="1333"/>
      <c r="S758" s="1333"/>
      <c r="T758" s="1333"/>
      <c r="U758" s="1333"/>
      <c r="V758" s="1333"/>
      <c r="W758" s="1333"/>
      <c r="X758" s="1333"/>
      <c r="Y758" s="1333"/>
      <c r="Z758" s="1333"/>
      <c r="AA758" s="1333"/>
      <c r="AB758" s="1333"/>
      <c r="AC758" s="1333"/>
      <c r="AD758" s="1333"/>
      <c r="AE758" s="1333"/>
      <c r="AF758" s="1333"/>
      <c r="AG758" s="1333"/>
      <c r="AH758" s="1333"/>
      <c r="AI758" s="1333"/>
    </row>
    <row r="759" spans="1:35" x14ac:dyDescent="0.25">
      <c r="A759" s="1331"/>
      <c r="B759" s="1284"/>
      <c r="C759" s="1284"/>
      <c r="D759" s="1364"/>
      <c r="E759" s="1364"/>
      <c r="F759" s="1364"/>
      <c r="G759" s="1365"/>
      <c r="H759" s="1333"/>
      <c r="I759" s="1333"/>
      <c r="J759" s="1333"/>
      <c r="K759" s="1333"/>
      <c r="L759" s="1333"/>
      <c r="M759" s="1333"/>
      <c r="N759" s="1333"/>
      <c r="O759" s="1333"/>
      <c r="P759" s="1333"/>
      <c r="Q759" s="1333"/>
      <c r="R759" s="1333"/>
      <c r="S759" s="1333"/>
      <c r="T759" s="1333"/>
      <c r="U759" s="1333"/>
      <c r="V759" s="1333"/>
      <c r="W759" s="1333"/>
      <c r="X759" s="1333"/>
      <c r="Y759" s="1333"/>
      <c r="Z759" s="1333"/>
      <c r="AA759" s="1333"/>
      <c r="AB759" s="1333"/>
      <c r="AC759" s="1333"/>
      <c r="AD759" s="1333"/>
      <c r="AE759" s="1333"/>
      <c r="AF759" s="1333"/>
      <c r="AG759" s="1333"/>
      <c r="AH759" s="1333"/>
      <c r="AI759" s="1333"/>
    </row>
    <row r="760" spans="1:35" x14ac:dyDescent="0.25">
      <c r="A760" s="1331"/>
      <c r="B760" s="1284"/>
      <c r="C760" s="1284"/>
      <c r="D760" s="1364"/>
      <c r="E760" s="1364"/>
      <c r="F760" s="1364"/>
      <c r="G760" s="1365"/>
      <c r="H760" s="1333"/>
      <c r="I760" s="1333"/>
      <c r="J760" s="1333"/>
      <c r="K760" s="1333"/>
      <c r="L760" s="1333"/>
      <c r="M760" s="1333"/>
      <c r="N760" s="1333"/>
      <c r="O760" s="1333"/>
      <c r="P760" s="1333"/>
      <c r="Q760" s="1333"/>
      <c r="R760" s="1333"/>
      <c r="S760" s="1333"/>
      <c r="T760" s="1333"/>
      <c r="U760" s="1333"/>
      <c r="V760" s="1333"/>
      <c r="W760" s="1333"/>
      <c r="X760" s="1333"/>
      <c r="Y760" s="1333"/>
      <c r="Z760" s="1333"/>
      <c r="AA760" s="1333"/>
      <c r="AB760" s="1333"/>
      <c r="AC760" s="1333"/>
      <c r="AD760" s="1333"/>
      <c r="AE760" s="1333"/>
      <c r="AF760" s="1333"/>
      <c r="AG760" s="1333"/>
      <c r="AH760" s="1333"/>
      <c r="AI760" s="1333"/>
    </row>
    <row r="761" spans="1:35" x14ac:dyDescent="0.25">
      <c r="A761" s="1331"/>
      <c r="B761" s="1284"/>
      <c r="C761" s="1284"/>
      <c r="D761" s="1364"/>
      <c r="E761" s="1364"/>
      <c r="F761" s="1364"/>
      <c r="G761" s="1365"/>
      <c r="H761" s="1333"/>
      <c r="I761" s="1333"/>
      <c r="J761" s="1333"/>
      <c r="K761" s="1333"/>
      <c r="L761" s="1333"/>
      <c r="M761" s="1333"/>
      <c r="N761" s="1333"/>
      <c r="O761" s="1333"/>
      <c r="P761" s="1333"/>
      <c r="Q761" s="1333"/>
      <c r="R761" s="1333"/>
      <c r="S761" s="1333"/>
      <c r="T761" s="1333"/>
      <c r="U761" s="1333"/>
      <c r="V761" s="1333"/>
      <c r="W761" s="1333"/>
      <c r="X761" s="1333"/>
      <c r="Y761" s="1333"/>
      <c r="Z761" s="1333"/>
      <c r="AA761" s="1333"/>
      <c r="AB761" s="1333"/>
      <c r="AC761" s="1333"/>
      <c r="AD761" s="1333"/>
      <c r="AE761" s="1333"/>
      <c r="AF761" s="1333"/>
      <c r="AG761" s="1333"/>
      <c r="AH761" s="1333"/>
      <c r="AI761" s="1333"/>
    </row>
    <row r="762" spans="1:35" x14ac:dyDescent="0.25">
      <c r="A762" s="1331"/>
      <c r="B762" s="1284"/>
      <c r="C762" s="1284"/>
      <c r="D762" s="1364"/>
      <c r="E762" s="1364"/>
      <c r="F762" s="1364"/>
      <c r="G762" s="1365"/>
      <c r="H762" s="1333"/>
      <c r="I762" s="1333"/>
      <c r="J762" s="1333"/>
      <c r="K762" s="1333"/>
      <c r="L762" s="1333"/>
      <c r="M762" s="1333"/>
      <c r="N762" s="1333"/>
      <c r="O762" s="1333"/>
      <c r="P762" s="1333"/>
      <c r="Q762" s="1333"/>
      <c r="R762" s="1333"/>
      <c r="S762" s="1333"/>
      <c r="T762" s="1333"/>
      <c r="U762" s="1333"/>
      <c r="V762" s="1333"/>
      <c r="W762" s="1333"/>
      <c r="X762" s="1333"/>
      <c r="Y762" s="1333"/>
      <c r="Z762" s="1333"/>
      <c r="AA762" s="1333"/>
      <c r="AB762" s="1333"/>
      <c r="AC762" s="1333"/>
      <c r="AD762" s="1333"/>
      <c r="AE762" s="1333"/>
      <c r="AF762" s="1333"/>
      <c r="AG762" s="1333"/>
      <c r="AH762" s="1333"/>
      <c r="AI762" s="1333"/>
    </row>
    <row r="763" spans="1:35" x14ac:dyDescent="0.25">
      <c r="A763" s="1331"/>
      <c r="B763" s="1284"/>
      <c r="C763" s="1284"/>
      <c r="D763" s="1364"/>
      <c r="E763" s="1364"/>
      <c r="F763" s="1364"/>
      <c r="G763" s="1365"/>
      <c r="H763" s="1333"/>
      <c r="I763" s="1333"/>
      <c r="J763" s="1333"/>
      <c r="K763" s="1333"/>
      <c r="L763" s="1333"/>
      <c r="M763" s="1333"/>
      <c r="N763" s="1333"/>
      <c r="O763" s="1333"/>
      <c r="P763" s="1333"/>
      <c r="Q763" s="1333"/>
      <c r="R763" s="1333"/>
      <c r="S763" s="1333"/>
      <c r="T763" s="1333"/>
      <c r="U763" s="1333"/>
      <c r="V763" s="1333"/>
      <c r="W763" s="1333"/>
      <c r="X763" s="1333"/>
      <c r="Y763" s="1333"/>
      <c r="Z763" s="1333"/>
      <c r="AA763" s="1333"/>
      <c r="AB763" s="1333"/>
      <c r="AC763" s="1333"/>
      <c r="AD763" s="1333"/>
      <c r="AE763" s="1333"/>
      <c r="AF763" s="1333"/>
      <c r="AG763" s="1333"/>
      <c r="AH763" s="1333"/>
      <c r="AI763" s="1333"/>
    </row>
    <row r="764" spans="1:35" x14ac:dyDescent="0.25">
      <c r="A764" s="1331"/>
      <c r="B764" s="1284"/>
      <c r="C764" s="1284"/>
      <c r="D764" s="1364"/>
      <c r="E764" s="1364"/>
      <c r="F764" s="1364"/>
      <c r="G764" s="1365"/>
      <c r="H764" s="1333"/>
      <c r="I764" s="1333"/>
      <c r="J764" s="1333"/>
      <c r="K764" s="1333"/>
      <c r="L764" s="1333"/>
      <c r="M764" s="1333"/>
      <c r="N764" s="1333"/>
      <c r="O764" s="1333"/>
      <c r="P764" s="1333"/>
      <c r="Q764" s="1333"/>
      <c r="R764" s="1333"/>
      <c r="S764" s="1333"/>
      <c r="T764" s="1333"/>
      <c r="U764" s="1333"/>
      <c r="V764" s="1333"/>
      <c r="W764" s="1333"/>
      <c r="X764" s="1333"/>
      <c r="Y764" s="1333"/>
      <c r="Z764" s="1333"/>
      <c r="AA764" s="1333"/>
      <c r="AB764" s="1333"/>
      <c r="AC764" s="1333"/>
      <c r="AD764" s="1333"/>
      <c r="AE764" s="1333"/>
      <c r="AF764" s="1333"/>
      <c r="AG764" s="1333"/>
      <c r="AH764" s="1333"/>
      <c r="AI764" s="1333"/>
    </row>
    <row r="765" spans="1:35" x14ac:dyDescent="0.25">
      <c r="A765" s="1331"/>
      <c r="B765" s="1284"/>
      <c r="C765" s="1284"/>
      <c r="D765" s="1364"/>
      <c r="E765" s="1364"/>
      <c r="F765" s="1364"/>
      <c r="G765" s="1365"/>
      <c r="H765" s="1333"/>
      <c r="I765" s="1333"/>
      <c r="J765" s="1333"/>
      <c r="K765" s="1333"/>
      <c r="L765" s="1333"/>
      <c r="M765" s="1333"/>
      <c r="N765" s="1333"/>
      <c r="O765" s="1333"/>
      <c r="P765" s="1333"/>
      <c r="Q765" s="1333"/>
      <c r="R765" s="1333"/>
      <c r="S765" s="1333"/>
      <c r="T765" s="1333"/>
      <c r="U765" s="1333"/>
      <c r="V765" s="1333"/>
      <c r="W765" s="1333"/>
      <c r="X765" s="1333"/>
      <c r="Y765" s="1333"/>
      <c r="Z765" s="1333"/>
      <c r="AA765" s="1333"/>
      <c r="AB765" s="1333"/>
      <c r="AC765" s="1333"/>
      <c r="AD765" s="1333"/>
      <c r="AE765" s="1333"/>
      <c r="AF765" s="1333"/>
      <c r="AG765" s="1333"/>
      <c r="AH765" s="1333"/>
      <c r="AI765" s="1333"/>
    </row>
    <row r="766" spans="1:35" x14ac:dyDescent="0.25">
      <c r="A766" s="1331"/>
      <c r="B766" s="1284"/>
      <c r="C766" s="1284"/>
      <c r="D766" s="1364"/>
      <c r="E766" s="1364"/>
      <c r="F766" s="1364"/>
      <c r="G766" s="1365"/>
      <c r="H766" s="1333"/>
      <c r="I766" s="1333"/>
      <c r="J766" s="1333"/>
      <c r="K766" s="1333"/>
      <c r="L766" s="1333"/>
      <c r="M766" s="1333"/>
      <c r="N766" s="1333"/>
      <c r="O766" s="1333"/>
      <c r="P766" s="1333"/>
      <c r="Q766" s="1333"/>
      <c r="R766" s="1333"/>
      <c r="S766" s="1333"/>
      <c r="T766" s="1333"/>
      <c r="U766" s="1333"/>
      <c r="V766" s="1333"/>
      <c r="W766" s="1333"/>
      <c r="X766" s="1333"/>
      <c r="Y766" s="1333"/>
      <c r="Z766" s="1333"/>
      <c r="AA766" s="1333"/>
      <c r="AB766" s="1333"/>
      <c r="AC766" s="1333"/>
      <c r="AD766" s="1333"/>
      <c r="AE766" s="1333"/>
      <c r="AF766" s="1333"/>
      <c r="AG766" s="1333"/>
      <c r="AH766" s="1333"/>
      <c r="AI766" s="1333"/>
    </row>
    <row r="767" spans="1:35" x14ac:dyDescent="0.25">
      <c r="A767" s="1331"/>
      <c r="B767" s="1284"/>
      <c r="C767" s="1284"/>
      <c r="D767" s="1364"/>
      <c r="E767" s="1364"/>
      <c r="F767" s="1364"/>
      <c r="G767" s="1365"/>
      <c r="H767" s="1333"/>
      <c r="I767" s="1333"/>
      <c r="J767" s="1333"/>
      <c r="K767" s="1333"/>
      <c r="L767" s="1333"/>
      <c r="M767" s="1333"/>
      <c r="N767" s="1333"/>
      <c r="O767" s="1333"/>
      <c r="P767" s="1333"/>
      <c r="Q767" s="1333"/>
      <c r="R767" s="1333"/>
      <c r="S767" s="1333"/>
      <c r="T767" s="1333"/>
      <c r="U767" s="1333"/>
      <c r="V767" s="1333"/>
      <c r="W767" s="1333"/>
      <c r="X767" s="1333"/>
      <c r="Y767" s="1333"/>
      <c r="Z767" s="1333"/>
      <c r="AA767" s="1333"/>
      <c r="AB767" s="1333"/>
      <c r="AC767" s="1333"/>
      <c r="AD767" s="1333"/>
      <c r="AE767" s="1333"/>
      <c r="AF767" s="1333"/>
      <c r="AG767" s="1333"/>
      <c r="AH767" s="1333"/>
      <c r="AI767" s="1333"/>
    </row>
    <row r="768" spans="1:35" x14ac:dyDescent="0.25">
      <c r="A768" s="1331"/>
      <c r="B768" s="1284"/>
      <c r="C768" s="1284"/>
      <c r="D768" s="1364"/>
      <c r="E768" s="1364"/>
      <c r="F768" s="1364"/>
      <c r="G768" s="1365"/>
      <c r="H768" s="1333"/>
      <c r="I768" s="1333"/>
      <c r="J768" s="1333"/>
      <c r="K768" s="1333"/>
      <c r="L768" s="1333"/>
      <c r="M768" s="1333"/>
      <c r="N768" s="1333"/>
      <c r="O768" s="1333"/>
      <c r="P768" s="1333"/>
      <c r="Q768" s="1333"/>
      <c r="R768" s="1333"/>
      <c r="S768" s="1333"/>
      <c r="T768" s="1333"/>
      <c r="U768" s="1333"/>
      <c r="V768" s="1333"/>
      <c r="W768" s="1333"/>
      <c r="X768" s="1333"/>
      <c r="Y768" s="1333"/>
      <c r="Z768" s="1333"/>
      <c r="AA768" s="1333"/>
      <c r="AB768" s="1333"/>
      <c r="AC768" s="1333"/>
      <c r="AD768" s="1333"/>
      <c r="AE768" s="1333"/>
      <c r="AF768" s="1333"/>
      <c r="AG768" s="1333"/>
      <c r="AH768" s="1333"/>
      <c r="AI768" s="1333"/>
    </row>
    <row r="769" spans="1:35" x14ac:dyDescent="0.25">
      <c r="A769" s="1331"/>
      <c r="B769" s="1284"/>
      <c r="C769" s="1284"/>
      <c r="D769" s="1364"/>
      <c r="E769" s="1364"/>
      <c r="F769" s="1364"/>
      <c r="G769" s="1365"/>
      <c r="H769" s="1333"/>
      <c r="I769" s="1333"/>
      <c r="J769" s="1333"/>
      <c r="K769" s="1333"/>
      <c r="L769" s="1333"/>
      <c r="M769" s="1333"/>
      <c r="N769" s="1333"/>
      <c r="O769" s="1333"/>
      <c r="P769" s="1333"/>
      <c r="Q769" s="1333"/>
      <c r="R769" s="1333"/>
      <c r="S769" s="1333"/>
      <c r="T769" s="1333"/>
      <c r="U769" s="1333"/>
      <c r="V769" s="1333"/>
      <c r="W769" s="1333"/>
      <c r="X769" s="1333"/>
      <c r="Y769" s="1333"/>
      <c r="Z769" s="1333"/>
      <c r="AA769" s="1333"/>
      <c r="AB769" s="1333"/>
      <c r="AC769" s="1333"/>
      <c r="AD769" s="1333"/>
      <c r="AE769" s="1333"/>
      <c r="AF769" s="1333"/>
      <c r="AG769" s="1333"/>
      <c r="AH769" s="1333"/>
      <c r="AI769" s="1333"/>
    </row>
    <row r="770" spans="1:35" x14ac:dyDescent="0.25">
      <c r="A770" s="1331"/>
      <c r="B770" s="1284"/>
      <c r="C770" s="1284"/>
      <c r="D770" s="1364"/>
      <c r="E770" s="1364"/>
      <c r="F770" s="1364"/>
      <c r="G770" s="1365"/>
      <c r="H770" s="1333"/>
      <c r="I770" s="1333"/>
      <c r="J770" s="1333"/>
      <c r="K770" s="1333"/>
      <c r="L770" s="1333"/>
      <c r="M770" s="1333"/>
      <c r="N770" s="1333"/>
      <c r="O770" s="1333"/>
      <c r="P770" s="1333"/>
      <c r="Q770" s="1333"/>
      <c r="R770" s="1333"/>
      <c r="S770" s="1333"/>
      <c r="T770" s="1333"/>
      <c r="U770" s="1333"/>
      <c r="V770" s="1333"/>
      <c r="W770" s="1333"/>
      <c r="X770" s="1333"/>
      <c r="Y770" s="1333"/>
      <c r="Z770" s="1333"/>
      <c r="AA770" s="1333"/>
      <c r="AB770" s="1333"/>
      <c r="AC770" s="1333"/>
      <c r="AD770" s="1333"/>
      <c r="AE770" s="1333"/>
      <c r="AF770" s="1333"/>
      <c r="AG770" s="1333"/>
      <c r="AH770" s="1333"/>
      <c r="AI770" s="1333"/>
    </row>
    <row r="771" spans="1:35" x14ac:dyDescent="0.25">
      <c r="A771" s="1331"/>
      <c r="B771" s="1284"/>
      <c r="C771" s="1284"/>
      <c r="D771" s="1364"/>
      <c r="E771" s="1364"/>
      <c r="F771" s="1364"/>
      <c r="G771" s="1365"/>
      <c r="H771" s="1333"/>
      <c r="I771" s="1333"/>
      <c r="J771" s="1333"/>
      <c r="K771" s="1333"/>
      <c r="L771" s="1333"/>
      <c r="M771" s="1333"/>
      <c r="N771" s="1333"/>
      <c r="O771" s="1333"/>
      <c r="P771" s="1333"/>
      <c r="Q771" s="1333"/>
      <c r="R771" s="1333"/>
      <c r="S771" s="1333"/>
      <c r="T771" s="1333"/>
      <c r="U771" s="1333"/>
      <c r="V771" s="1333"/>
      <c r="W771" s="1333"/>
      <c r="X771" s="1333"/>
      <c r="Y771" s="1333"/>
      <c r="Z771" s="1333"/>
      <c r="AA771" s="1333"/>
      <c r="AB771" s="1333"/>
      <c r="AC771" s="1333"/>
      <c r="AD771" s="1333"/>
      <c r="AE771" s="1333"/>
      <c r="AF771" s="1333"/>
      <c r="AG771" s="1333"/>
      <c r="AH771" s="1333"/>
      <c r="AI771" s="1333"/>
    </row>
    <row r="772" spans="1:35" x14ac:dyDescent="0.25">
      <c r="A772" s="1331"/>
      <c r="B772" s="1284"/>
      <c r="C772" s="1284"/>
      <c r="D772" s="1364"/>
      <c r="E772" s="1364"/>
      <c r="F772" s="1364"/>
      <c r="G772" s="1365"/>
      <c r="H772" s="1333"/>
      <c r="I772" s="1333"/>
      <c r="J772" s="1333"/>
      <c r="K772" s="1333"/>
      <c r="L772" s="1333"/>
      <c r="M772" s="1333"/>
      <c r="N772" s="1333"/>
      <c r="O772" s="1333"/>
      <c r="P772" s="1333"/>
      <c r="Q772" s="1333"/>
      <c r="R772" s="1333"/>
      <c r="S772" s="1333"/>
      <c r="T772" s="1333"/>
      <c r="U772" s="1333"/>
      <c r="V772" s="1333"/>
      <c r="W772" s="1333"/>
      <c r="X772" s="1333"/>
      <c r="Y772" s="1333"/>
      <c r="Z772" s="1333"/>
      <c r="AA772" s="1333"/>
      <c r="AB772" s="1333"/>
      <c r="AC772" s="1333"/>
      <c r="AD772" s="1333"/>
      <c r="AE772" s="1333"/>
      <c r="AF772" s="1333"/>
      <c r="AG772" s="1333"/>
      <c r="AH772" s="1333"/>
      <c r="AI772" s="1333"/>
    </row>
    <row r="773" spans="1:35" x14ac:dyDescent="0.25">
      <c r="A773" s="1331"/>
      <c r="B773" s="1284"/>
      <c r="C773" s="1284"/>
      <c r="D773" s="1364"/>
      <c r="E773" s="1364"/>
      <c r="F773" s="1364"/>
      <c r="G773" s="1365"/>
      <c r="H773" s="1333"/>
      <c r="I773" s="1333"/>
      <c r="J773" s="1333"/>
      <c r="K773" s="1333"/>
      <c r="L773" s="1333"/>
      <c r="M773" s="1333"/>
      <c r="N773" s="1333"/>
      <c r="O773" s="1333"/>
      <c r="P773" s="1333"/>
      <c r="Q773" s="1333"/>
      <c r="R773" s="1333"/>
      <c r="S773" s="1333"/>
      <c r="T773" s="1333"/>
      <c r="U773" s="1333"/>
      <c r="V773" s="1333"/>
      <c r="W773" s="1333"/>
      <c r="X773" s="1333"/>
      <c r="Y773" s="1333"/>
      <c r="Z773" s="1333"/>
      <c r="AA773" s="1333"/>
      <c r="AB773" s="1333"/>
      <c r="AC773" s="1333"/>
      <c r="AD773" s="1333"/>
      <c r="AE773" s="1333"/>
      <c r="AF773" s="1333"/>
      <c r="AG773" s="1333"/>
      <c r="AH773" s="1333"/>
      <c r="AI773" s="1333"/>
    </row>
    <row r="774" spans="1:35" x14ac:dyDescent="0.25">
      <c r="A774" s="1331"/>
      <c r="B774" s="1284"/>
      <c r="C774" s="1284"/>
      <c r="D774" s="1364"/>
      <c r="E774" s="1364"/>
      <c r="F774" s="1364"/>
      <c r="G774" s="1365"/>
      <c r="H774" s="1333"/>
      <c r="I774" s="1333"/>
      <c r="J774" s="1333"/>
      <c r="K774" s="1333"/>
      <c r="L774" s="1333"/>
      <c r="M774" s="1333"/>
      <c r="N774" s="1333"/>
      <c r="O774" s="1333"/>
      <c r="P774" s="1333"/>
      <c r="Q774" s="1333"/>
      <c r="R774" s="1333"/>
      <c r="S774" s="1333"/>
      <c r="T774" s="1333"/>
      <c r="U774" s="1333"/>
      <c r="V774" s="1333"/>
      <c r="W774" s="1333"/>
      <c r="X774" s="1333"/>
      <c r="Y774" s="1333"/>
      <c r="Z774" s="1333"/>
      <c r="AA774" s="1333"/>
      <c r="AB774" s="1333"/>
      <c r="AC774" s="1333"/>
      <c r="AD774" s="1333"/>
      <c r="AE774" s="1333"/>
      <c r="AF774" s="1333"/>
      <c r="AG774" s="1333"/>
      <c r="AH774" s="1333"/>
      <c r="AI774" s="1333"/>
    </row>
    <row r="775" spans="1:35" x14ac:dyDescent="0.25">
      <c r="A775" s="1331"/>
      <c r="B775" s="1284"/>
      <c r="C775" s="1284"/>
      <c r="D775" s="1364"/>
      <c r="E775" s="1364"/>
      <c r="F775" s="1364"/>
      <c r="G775" s="1365"/>
      <c r="H775" s="1333"/>
      <c r="I775" s="1333"/>
      <c r="J775" s="1333"/>
      <c r="K775" s="1333"/>
      <c r="L775" s="1333"/>
      <c r="M775" s="1333"/>
      <c r="N775" s="1333"/>
      <c r="O775" s="1333"/>
      <c r="P775" s="1333"/>
      <c r="Q775" s="1333"/>
      <c r="R775" s="1333"/>
      <c r="S775" s="1333"/>
      <c r="T775" s="1333"/>
      <c r="U775" s="1333"/>
      <c r="V775" s="1333"/>
      <c r="W775" s="1333"/>
      <c r="X775" s="1333"/>
      <c r="Y775" s="1333"/>
      <c r="Z775" s="1333"/>
      <c r="AA775" s="1333"/>
      <c r="AB775" s="1333"/>
      <c r="AC775" s="1333"/>
      <c r="AD775" s="1333"/>
      <c r="AE775" s="1333"/>
      <c r="AF775" s="1333"/>
      <c r="AG775" s="1333"/>
      <c r="AH775" s="1333"/>
      <c r="AI775" s="1333"/>
    </row>
    <row r="776" spans="1:35" x14ac:dyDescent="0.25">
      <c r="A776" s="1331"/>
      <c r="B776" s="1284"/>
      <c r="C776" s="1284"/>
      <c r="D776" s="1364"/>
      <c r="E776" s="1364"/>
      <c r="F776" s="1364"/>
      <c r="G776" s="1365"/>
      <c r="H776" s="1333"/>
      <c r="I776" s="1333"/>
      <c r="J776" s="1333"/>
      <c r="K776" s="1333"/>
      <c r="L776" s="1333"/>
      <c r="M776" s="1333"/>
      <c r="N776" s="1333"/>
      <c r="O776" s="1333"/>
      <c r="P776" s="1333"/>
      <c r="Q776" s="1333"/>
      <c r="R776" s="1333"/>
      <c r="S776" s="1333"/>
      <c r="T776" s="1333"/>
      <c r="U776" s="1333"/>
      <c r="V776" s="1333"/>
      <c r="W776" s="1333"/>
      <c r="X776" s="1333"/>
      <c r="Y776" s="1333"/>
      <c r="Z776" s="1333"/>
      <c r="AA776" s="1333"/>
      <c r="AB776" s="1333"/>
      <c r="AC776" s="1333"/>
      <c r="AD776" s="1333"/>
      <c r="AE776" s="1333"/>
      <c r="AF776" s="1333"/>
      <c r="AG776" s="1333"/>
      <c r="AH776" s="1333"/>
      <c r="AI776" s="1333"/>
    </row>
    <row r="777" spans="1:35" x14ac:dyDescent="0.25">
      <c r="A777" s="1331"/>
      <c r="B777" s="1284"/>
      <c r="C777" s="1284"/>
      <c r="D777" s="1364"/>
      <c r="E777" s="1364"/>
      <c r="F777" s="1364"/>
      <c r="G777" s="1365"/>
      <c r="H777" s="1333"/>
      <c r="I777" s="1333"/>
      <c r="J777" s="1333"/>
      <c r="K777" s="1333"/>
      <c r="L777" s="1333"/>
      <c r="M777" s="1333"/>
      <c r="N777" s="1333"/>
      <c r="O777" s="1333"/>
      <c r="P777" s="1333"/>
      <c r="Q777" s="1333"/>
      <c r="R777" s="1333"/>
      <c r="S777" s="1333"/>
      <c r="T777" s="1333"/>
      <c r="U777" s="1333"/>
      <c r="V777" s="1333"/>
      <c r="W777" s="1333"/>
      <c r="X777" s="1333"/>
      <c r="Y777" s="1333"/>
      <c r="Z777" s="1333"/>
      <c r="AA777" s="1333"/>
      <c r="AB777" s="1333"/>
      <c r="AC777" s="1333"/>
      <c r="AD777" s="1333"/>
      <c r="AE777" s="1333"/>
      <c r="AF777" s="1333"/>
      <c r="AG777" s="1333"/>
      <c r="AH777" s="1333"/>
      <c r="AI777" s="1333"/>
    </row>
    <row r="778" spans="1:35" x14ac:dyDescent="0.25">
      <c r="A778" s="1331"/>
      <c r="B778" s="1284"/>
      <c r="C778" s="1284"/>
      <c r="D778" s="1364"/>
      <c r="E778" s="1364"/>
      <c r="F778" s="1364"/>
      <c r="G778" s="1365"/>
      <c r="H778" s="1333"/>
      <c r="I778" s="1333"/>
      <c r="J778" s="1333"/>
      <c r="K778" s="1333"/>
      <c r="L778" s="1333"/>
      <c r="M778" s="1333"/>
      <c r="N778" s="1333"/>
      <c r="O778" s="1333"/>
      <c r="P778" s="1333"/>
      <c r="Q778" s="1333"/>
      <c r="R778" s="1333"/>
      <c r="S778" s="1333"/>
      <c r="T778" s="1333"/>
      <c r="U778" s="1333"/>
      <c r="V778" s="1333"/>
      <c r="W778" s="1333"/>
      <c r="X778" s="1333"/>
      <c r="Y778" s="1333"/>
      <c r="Z778" s="1333"/>
      <c r="AA778" s="1333"/>
      <c r="AB778" s="1333"/>
      <c r="AC778" s="1333"/>
      <c r="AD778" s="1333"/>
      <c r="AE778" s="1333"/>
      <c r="AF778" s="1333"/>
      <c r="AG778" s="1333"/>
      <c r="AH778" s="1333"/>
      <c r="AI778" s="1333"/>
    </row>
    <row r="779" spans="1:35" x14ac:dyDescent="0.25">
      <c r="A779" s="1331"/>
      <c r="B779" s="1284"/>
      <c r="C779" s="1284"/>
      <c r="D779" s="1364"/>
      <c r="E779" s="1364"/>
      <c r="F779" s="1364"/>
      <c r="G779" s="1365"/>
      <c r="H779" s="1333"/>
      <c r="I779" s="1333"/>
      <c r="J779" s="1333"/>
      <c r="K779" s="1333"/>
      <c r="L779" s="1333"/>
      <c r="M779" s="1333"/>
      <c r="N779" s="1333"/>
      <c r="O779" s="1333"/>
      <c r="P779" s="1333"/>
      <c r="Q779" s="1333"/>
      <c r="R779" s="1333"/>
      <c r="S779" s="1333"/>
      <c r="T779" s="1333"/>
      <c r="U779" s="1333"/>
      <c r="V779" s="1333"/>
      <c r="W779" s="1333"/>
      <c r="X779" s="1333"/>
      <c r="Y779" s="1333"/>
      <c r="Z779" s="1333"/>
      <c r="AA779" s="1333"/>
      <c r="AB779" s="1333"/>
      <c r="AC779" s="1333"/>
      <c r="AD779" s="1333"/>
      <c r="AE779" s="1333"/>
      <c r="AF779" s="1333"/>
      <c r="AG779" s="1333"/>
      <c r="AH779" s="1333"/>
      <c r="AI779" s="1333"/>
    </row>
    <row r="780" spans="1:35" x14ac:dyDescent="0.25">
      <c r="A780" s="1331"/>
      <c r="B780" s="1284"/>
      <c r="C780" s="1284"/>
      <c r="D780" s="1364"/>
      <c r="E780" s="1364"/>
      <c r="F780" s="1364"/>
      <c r="G780" s="1365"/>
      <c r="H780" s="1333"/>
      <c r="I780" s="1333"/>
      <c r="J780" s="1333"/>
      <c r="K780" s="1333"/>
      <c r="L780" s="1333"/>
      <c r="M780" s="1333"/>
      <c r="N780" s="1333"/>
      <c r="O780" s="1333"/>
      <c r="P780" s="1333"/>
      <c r="Q780" s="1333"/>
      <c r="R780" s="1333"/>
      <c r="S780" s="1333"/>
      <c r="T780" s="1333"/>
      <c r="U780" s="1333"/>
      <c r="V780" s="1333"/>
      <c r="W780" s="1333"/>
      <c r="X780" s="1333"/>
      <c r="Y780" s="1333"/>
      <c r="Z780" s="1333"/>
      <c r="AA780" s="1333"/>
      <c r="AB780" s="1333"/>
      <c r="AC780" s="1333"/>
      <c r="AD780" s="1333"/>
      <c r="AE780" s="1333"/>
      <c r="AF780" s="1333"/>
      <c r="AG780" s="1333"/>
      <c r="AH780" s="1333"/>
      <c r="AI780" s="1333"/>
    </row>
    <row r="781" spans="1:35" x14ac:dyDescent="0.25">
      <c r="A781" s="1331"/>
      <c r="B781" s="1284"/>
      <c r="C781" s="1284"/>
      <c r="D781" s="1364"/>
      <c r="E781" s="1364"/>
      <c r="F781" s="1364"/>
      <c r="G781" s="1365"/>
      <c r="H781" s="1333"/>
      <c r="I781" s="1333"/>
      <c r="J781" s="1333"/>
      <c r="K781" s="1333"/>
      <c r="L781" s="1333"/>
      <c r="M781" s="1333"/>
      <c r="N781" s="1333"/>
      <c r="O781" s="1333"/>
      <c r="P781" s="1333"/>
      <c r="Q781" s="1333"/>
      <c r="R781" s="1333"/>
      <c r="S781" s="1333"/>
      <c r="T781" s="1333"/>
      <c r="U781" s="1333"/>
      <c r="V781" s="1333"/>
      <c r="W781" s="1333"/>
      <c r="X781" s="1333"/>
      <c r="Y781" s="1333"/>
      <c r="Z781" s="1333"/>
      <c r="AA781" s="1333"/>
      <c r="AB781" s="1333"/>
      <c r="AC781" s="1333"/>
      <c r="AD781" s="1333"/>
      <c r="AE781" s="1333"/>
      <c r="AF781" s="1333"/>
      <c r="AG781" s="1333"/>
      <c r="AH781" s="1333"/>
      <c r="AI781" s="1333"/>
    </row>
    <row r="782" spans="1:35" x14ac:dyDescent="0.25">
      <c r="A782" s="1331"/>
      <c r="B782" s="1284"/>
      <c r="C782" s="1284"/>
      <c r="D782" s="1364"/>
      <c r="E782" s="1364"/>
      <c r="F782" s="1364"/>
      <c r="G782" s="1365"/>
      <c r="H782" s="1333"/>
      <c r="I782" s="1333"/>
      <c r="J782" s="1333"/>
      <c r="K782" s="1333"/>
      <c r="L782" s="1333"/>
      <c r="M782" s="1333"/>
      <c r="N782" s="1333"/>
      <c r="O782" s="1333"/>
      <c r="P782" s="1333"/>
      <c r="Q782" s="1333"/>
      <c r="R782" s="1333"/>
      <c r="S782" s="1333"/>
      <c r="T782" s="1333"/>
      <c r="U782" s="1333"/>
      <c r="V782" s="1333"/>
      <c r="W782" s="1333"/>
      <c r="X782" s="1333"/>
      <c r="Y782" s="1333"/>
      <c r="Z782" s="1333"/>
      <c r="AA782" s="1333"/>
      <c r="AB782" s="1333"/>
      <c r="AC782" s="1333"/>
      <c r="AD782" s="1333"/>
      <c r="AE782" s="1333"/>
      <c r="AF782" s="1333"/>
      <c r="AG782" s="1333"/>
      <c r="AH782" s="1333"/>
      <c r="AI782" s="1333"/>
    </row>
    <row r="783" spans="1:35" x14ac:dyDescent="0.25">
      <c r="A783" s="1331"/>
      <c r="B783" s="1284"/>
      <c r="C783" s="1284"/>
      <c r="D783" s="1364"/>
      <c r="E783" s="1364"/>
      <c r="F783" s="1364"/>
      <c r="G783" s="1365"/>
      <c r="H783" s="1333"/>
      <c r="I783" s="1333"/>
      <c r="J783" s="1333"/>
      <c r="K783" s="1333"/>
      <c r="L783" s="1333"/>
      <c r="M783" s="1333"/>
      <c r="N783" s="1333"/>
      <c r="O783" s="1333"/>
      <c r="P783" s="1333"/>
      <c r="Q783" s="1333"/>
      <c r="R783" s="1333"/>
      <c r="S783" s="1333"/>
      <c r="T783" s="1333"/>
      <c r="U783" s="1333"/>
      <c r="V783" s="1333"/>
      <c r="W783" s="1333"/>
      <c r="X783" s="1333"/>
      <c r="Y783" s="1333"/>
      <c r="Z783" s="1333"/>
      <c r="AA783" s="1333"/>
      <c r="AB783" s="1333"/>
      <c r="AC783" s="1333"/>
      <c r="AD783" s="1333"/>
      <c r="AE783" s="1333"/>
      <c r="AF783" s="1333"/>
      <c r="AG783" s="1333"/>
      <c r="AH783" s="1333"/>
      <c r="AI783" s="1333"/>
    </row>
    <row r="784" spans="1:35" x14ac:dyDescent="0.25">
      <c r="A784" s="1331"/>
      <c r="B784" s="1284"/>
      <c r="C784" s="1284"/>
      <c r="D784" s="1364"/>
      <c r="E784" s="1364"/>
      <c r="F784" s="1364"/>
      <c r="G784" s="1365"/>
      <c r="H784" s="1333"/>
      <c r="I784" s="1333"/>
      <c r="J784" s="1333"/>
      <c r="K784" s="1333"/>
      <c r="L784" s="1333"/>
      <c r="M784" s="1333"/>
      <c r="N784" s="1333"/>
      <c r="O784" s="1333"/>
      <c r="P784" s="1333"/>
      <c r="Q784" s="1333"/>
      <c r="R784" s="1333"/>
      <c r="S784" s="1333"/>
      <c r="T784" s="1333"/>
      <c r="U784" s="1333"/>
      <c r="V784" s="1333"/>
      <c r="W784" s="1333"/>
      <c r="X784" s="1333"/>
      <c r="Y784" s="1333"/>
      <c r="Z784" s="1333"/>
      <c r="AA784" s="1333"/>
      <c r="AB784" s="1333"/>
      <c r="AC784" s="1333"/>
      <c r="AD784" s="1333"/>
      <c r="AE784" s="1333"/>
      <c r="AF784" s="1333"/>
      <c r="AG784" s="1333"/>
      <c r="AH784" s="1333"/>
      <c r="AI784" s="1333"/>
    </row>
    <row r="785" spans="1:35" x14ac:dyDescent="0.25">
      <c r="A785" s="1331"/>
      <c r="B785" s="1284"/>
      <c r="C785" s="1284"/>
      <c r="D785" s="1364"/>
      <c r="E785" s="1364"/>
      <c r="F785" s="1364"/>
      <c r="G785" s="1365"/>
      <c r="H785" s="1333"/>
      <c r="I785" s="1333"/>
      <c r="J785" s="1333"/>
      <c r="K785" s="1333"/>
      <c r="L785" s="1333"/>
      <c r="M785" s="1333"/>
      <c r="N785" s="1333"/>
      <c r="O785" s="1333"/>
      <c r="P785" s="1333"/>
      <c r="Q785" s="1333"/>
      <c r="R785" s="1333"/>
      <c r="S785" s="1333"/>
      <c r="T785" s="1333"/>
      <c r="U785" s="1333"/>
      <c r="V785" s="1333"/>
      <c r="W785" s="1333"/>
      <c r="X785" s="1333"/>
      <c r="Y785" s="1333"/>
      <c r="Z785" s="1333"/>
      <c r="AA785" s="1333"/>
      <c r="AB785" s="1333"/>
      <c r="AC785" s="1333"/>
      <c r="AD785" s="1333"/>
      <c r="AE785" s="1333"/>
      <c r="AF785" s="1333"/>
      <c r="AG785" s="1333"/>
      <c r="AH785" s="1333"/>
      <c r="AI785" s="1333"/>
    </row>
    <row r="786" spans="1:35" x14ac:dyDescent="0.25">
      <c r="A786" s="1331"/>
      <c r="B786" s="1284"/>
      <c r="C786" s="1284"/>
      <c r="D786" s="1364"/>
      <c r="E786" s="1364"/>
      <c r="F786" s="1364"/>
      <c r="G786" s="1365"/>
      <c r="H786" s="1333"/>
      <c r="I786" s="1333"/>
      <c r="J786" s="1333"/>
      <c r="K786" s="1333"/>
      <c r="L786" s="1333"/>
      <c r="M786" s="1333"/>
      <c r="N786" s="1333"/>
      <c r="O786" s="1333"/>
      <c r="P786" s="1333"/>
      <c r="Q786" s="1333"/>
      <c r="R786" s="1333"/>
      <c r="S786" s="1333"/>
      <c r="T786" s="1333"/>
      <c r="U786" s="1333"/>
      <c r="V786" s="1333"/>
      <c r="W786" s="1333"/>
      <c r="X786" s="1333"/>
      <c r="Y786" s="1333"/>
      <c r="Z786" s="1333"/>
      <c r="AA786" s="1333"/>
      <c r="AB786" s="1333"/>
      <c r="AC786" s="1333"/>
      <c r="AD786" s="1333"/>
      <c r="AE786" s="1333"/>
      <c r="AF786" s="1333"/>
      <c r="AG786" s="1333"/>
      <c r="AH786" s="1333"/>
      <c r="AI786" s="1333"/>
    </row>
    <row r="787" spans="1:35" x14ac:dyDescent="0.25">
      <c r="A787" s="1331"/>
      <c r="B787" s="1284"/>
      <c r="C787" s="1284"/>
      <c r="D787" s="1364"/>
      <c r="E787" s="1364"/>
      <c r="F787" s="1364"/>
      <c r="G787" s="1365"/>
      <c r="H787" s="1333"/>
      <c r="I787" s="1333"/>
      <c r="J787" s="1333"/>
      <c r="K787" s="1333"/>
      <c r="L787" s="1333"/>
      <c r="M787" s="1333"/>
      <c r="N787" s="1333"/>
      <c r="O787" s="1333"/>
      <c r="P787" s="1333"/>
      <c r="Q787" s="1333"/>
      <c r="R787" s="1333"/>
      <c r="S787" s="1333"/>
      <c r="T787" s="1333"/>
      <c r="U787" s="1333"/>
      <c r="V787" s="1333"/>
      <c r="W787" s="1333"/>
      <c r="X787" s="1333"/>
      <c r="Y787" s="1333"/>
      <c r="Z787" s="1333"/>
      <c r="AA787" s="1333"/>
      <c r="AB787" s="1333"/>
      <c r="AC787" s="1333"/>
      <c r="AD787" s="1333"/>
      <c r="AE787" s="1333"/>
      <c r="AF787" s="1333"/>
      <c r="AG787" s="1333"/>
      <c r="AH787" s="1333"/>
      <c r="AI787" s="1333"/>
    </row>
  </sheetData>
  <sheetProtection formatColumns="0" formatRows="0" selectLockedCells="1"/>
  <mergeCells count="51">
    <mergeCell ref="C465:E465"/>
    <mergeCell ref="C466:E466"/>
    <mergeCell ref="C477:E477"/>
    <mergeCell ref="C480:E480"/>
    <mergeCell ref="C478:E478"/>
    <mergeCell ref="C475:E475"/>
    <mergeCell ref="C473:E473"/>
    <mergeCell ref="C469:E469"/>
    <mergeCell ref="F3:H3"/>
    <mergeCell ref="C487:E487"/>
    <mergeCell ref="A15:A23"/>
    <mergeCell ref="C15:H15"/>
    <mergeCell ref="C16:H16"/>
    <mergeCell ref="D23:F23"/>
    <mergeCell ref="G23:H23"/>
    <mergeCell ref="C19:H19"/>
    <mergeCell ref="C18:H18"/>
    <mergeCell ref="C21:D21"/>
    <mergeCell ref="F21:G21"/>
    <mergeCell ref="C22:D22"/>
    <mergeCell ref="F22:G22"/>
    <mergeCell ref="C484:E484"/>
    <mergeCell ref="C485:E485"/>
    <mergeCell ref="C482:E482"/>
    <mergeCell ref="C493:E493"/>
    <mergeCell ref="C494:E494"/>
    <mergeCell ref="C488:E488"/>
    <mergeCell ref="C489:E489"/>
    <mergeCell ref="C490:E490"/>
    <mergeCell ref="C491:E491"/>
    <mergeCell ref="C492:E492"/>
    <mergeCell ref="C495:E495"/>
    <mergeCell ref="C496:E496"/>
    <mergeCell ref="C497:E497"/>
    <mergeCell ref="C498:E498"/>
    <mergeCell ref="C499:E499"/>
    <mergeCell ref="C500:E500"/>
    <mergeCell ref="C501:E501"/>
    <mergeCell ref="C502:E502"/>
    <mergeCell ref="C503:E503"/>
    <mergeCell ref="C504:E504"/>
    <mergeCell ref="C505:E505"/>
    <mergeCell ref="C506:E506"/>
    <mergeCell ref="C507:E507"/>
    <mergeCell ref="C508:E508"/>
    <mergeCell ref="C509:E509"/>
    <mergeCell ref="C510:E510"/>
    <mergeCell ref="C511:E511"/>
    <mergeCell ref="C512:E512"/>
    <mergeCell ref="C513:E513"/>
    <mergeCell ref="C514:E514"/>
  </mergeCells>
  <conditionalFormatting sqref="E206:H381">
    <cfRule type="expression" dxfId="1219" priority="868">
      <formula>$D$206="N"</formula>
    </cfRule>
  </conditionalFormatting>
  <conditionalFormatting sqref="F218:H230">
    <cfRule type="expression" dxfId="1218" priority="875">
      <formula>$E$218="N"</formula>
    </cfRule>
  </conditionalFormatting>
  <conditionalFormatting sqref="F231:H254">
    <cfRule type="expression" dxfId="1217" priority="927">
      <formula>$E$231="N"</formula>
    </cfRule>
  </conditionalFormatting>
  <conditionalFormatting sqref="F270:H278">
    <cfRule type="expression" dxfId="1216" priority="939">
      <formula>$E$270="N"</formula>
    </cfRule>
  </conditionalFormatting>
  <conditionalFormatting sqref="F279:H288">
    <cfRule type="expression" dxfId="1215" priority="941">
      <formula>$E$279="N"</formula>
    </cfRule>
  </conditionalFormatting>
  <conditionalFormatting sqref="F289:H298">
    <cfRule type="expression" dxfId="1214" priority="958">
      <formula>$E$289="N"</formula>
    </cfRule>
  </conditionalFormatting>
  <conditionalFormatting sqref="F299:H308">
    <cfRule type="expression" dxfId="1213" priority="966">
      <formula>$E$299="N"</formula>
    </cfRule>
  </conditionalFormatting>
  <conditionalFormatting sqref="F316:H331">
    <cfRule type="expression" dxfId="1212" priority="968">
      <formula>$E$316="N"</formula>
    </cfRule>
  </conditionalFormatting>
  <conditionalFormatting sqref="F332:H339">
    <cfRule type="expression" dxfId="1211" priority="969">
      <formula>$E$332="N"</formula>
    </cfRule>
  </conditionalFormatting>
  <conditionalFormatting sqref="F358:H366">
    <cfRule type="expression" dxfId="1210" priority="972">
      <formula>$E$358="N"</formula>
    </cfRule>
  </conditionalFormatting>
  <conditionalFormatting sqref="F350:H357">
    <cfRule type="expression" dxfId="1209" priority="975">
      <formula>$E$350="N"</formula>
    </cfRule>
  </conditionalFormatting>
  <conditionalFormatting sqref="F340:H349">
    <cfRule type="expression" dxfId="1208" priority="970">
      <formula>$E$340="N"</formula>
    </cfRule>
  </conditionalFormatting>
  <conditionalFormatting sqref="F255:H269">
    <cfRule type="expression" dxfId="1207" priority="928">
      <formula>$E$255="N"</formula>
    </cfRule>
  </conditionalFormatting>
  <conditionalFormatting sqref="C16:I16 K16">
    <cfRule type="cellIs" dxfId="1206" priority="250" operator="equal">
      <formula>"NO DESIGN - DESIGN DEVELOPMENT DOES NOT APPLY"</formula>
    </cfRule>
    <cfRule type="cellIs" dxfId="1205" priority="251" operator="equal">
      <formula>"DESIGN DEVELOPMENT DOES NOT APPLY"</formula>
    </cfRule>
  </conditionalFormatting>
  <conditionalFormatting sqref="E126:H126">
    <cfRule type="expression" dxfId="1204" priority="853">
      <formula>$D$126="N"</formula>
    </cfRule>
  </conditionalFormatting>
  <conditionalFormatting sqref="E39:H39">
    <cfRule type="expression" dxfId="1203" priority="800">
      <formula>$D$39="N"</formula>
    </cfRule>
  </conditionalFormatting>
  <conditionalFormatting sqref="E168:H168">
    <cfRule type="expression" dxfId="1202" priority="858">
      <formula>$D$168="N"</formula>
    </cfRule>
  </conditionalFormatting>
  <conditionalFormatting sqref="E206:H206">
    <cfRule type="expression" dxfId="1201" priority="865">
      <formula>$D$206="N"</formula>
    </cfRule>
  </conditionalFormatting>
  <conditionalFormatting sqref="E180:H180">
    <cfRule type="expression" dxfId="1200" priority="863">
      <formula>$D$180="N"</formula>
    </cfRule>
  </conditionalFormatting>
  <conditionalFormatting sqref="E37:H37">
    <cfRule type="expression" dxfId="1199" priority="798">
      <formula>$D$37="N"</formula>
    </cfRule>
  </conditionalFormatting>
  <conditionalFormatting sqref="E32:H32">
    <cfRule type="expression" dxfId="1198" priority="796">
      <formula>$D$32="N"</formula>
    </cfRule>
  </conditionalFormatting>
  <conditionalFormatting sqref="E27:H27">
    <cfRule type="expression" dxfId="1197" priority="282">
      <formula>$D$27="N"</formula>
    </cfRule>
  </conditionalFormatting>
  <conditionalFormatting sqref="E25:H25">
    <cfRule type="expression" dxfId="1196" priority="279">
      <formula>$D$25="N"</formula>
    </cfRule>
  </conditionalFormatting>
  <conditionalFormatting sqref="G25:H456">
    <cfRule type="expression" dxfId="1195" priority="248">
      <formula>$F25="N"</formula>
    </cfRule>
  </conditionalFormatting>
  <conditionalFormatting sqref="E39:H125">
    <cfRule type="expression" dxfId="1194" priority="801">
      <formula>$D$39="N"</formula>
    </cfRule>
  </conditionalFormatting>
  <conditionalFormatting sqref="E126:H167">
    <cfRule type="expression" dxfId="1193" priority="854">
      <formula>$D$126="N"</formula>
    </cfRule>
  </conditionalFormatting>
  <conditionalFormatting sqref="E180:H205">
    <cfRule type="expression" dxfId="1192" priority="864">
      <formula>$D$180="N"</formula>
    </cfRule>
  </conditionalFormatting>
  <conditionalFormatting sqref="E385:H385">
    <cfRule type="expression" dxfId="1191" priority="977">
      <formula>$D$385="N"</formula>
    </cfRule>
  </conditionalFormatting>
  <conditionalFormatting sqref="E385:H442">
    <cfRule type="expression" dxfId="1190" priority="978">
      <formula>$D$385="N"</formula>
    </cfRule>
  </conditionalFormatting>
  <conditionalFormatting sqref="E443:H443">
    <cfRule type="expression" dxfId="1189" priority="979">
      <formula>$D$443="N"</formula>
    </cfRule>
  </conditionalFormatting>
  <conditionalFormatting sqref="F25:H456">
    <cfRule type="expression" dxfId="1188" priority="163">
      <formula>$E25="N"</formula>
    </cfRule>
  </conditionalFormatting>
  <conditionalFormatting sqref="E382:H382">
    <cfRule type="expression" dxfId="1187" priority="976">
      <formula>$D$382="N"</formula>
    </cfRule>
  </conditionalFormatting>
  <conditionalFormatting sqref="L455">
    <cfRule type="expression" dxfId="1186" priority="524">
      <formula>$D455="Y"</formula>
    </cfRule>
  </conditionalFormatting>
  <conditionalFormatting sqref="F367:H374">
    <cfRule type="expression" dxfId="1185" priority="973">
      <formula>$E$367="n"</formula>
    </cfRule>
  </conditionalFormatting>
  <conditionalFormatting sqref="F403:H456">
    <cfRule type="expression" dxfId="1184" priority="249">
      <formula>$D403="N"</formula>
    </cfRule>
  </conditionalFormatting>
  <conditionalFormatting sqref="L24 L455">
    <cfRule type="containsText" dxfId="1183" priority="265" operator="containsText" text="HIDE">
      <formula>NOT(ISERROR(SEARCH("HIDE",L24)))</formula>
    </cfRule>
  </conditionalFormatting>
  <conditionalFormatting sqref="A25:A59 A61:A65 A67:A82 A84:A90 A92:A95 A97:A100 A102:A109 A111:A114 A116:A117 A119:A120 A237:A257 A260:A273 A275:A282 A284:A292 A294:A302 A304:A312 A314:A319 A321:A334 A337:A342 A345:A352 A355:A360 A363:A367 A370:A455 A222:A227 A235 A229:A233 A122:A220">
    <cfRule type="expression" dxfId="1182" priority="258">
      <formula>$K25="no DD match"</formula>
    </cfRule>
  </conditionalFormatting>
  <conditionalFormatting sqref="A26:A59 A173:A177 A135:A144 A61:A65 A67:A82 A84:A90 A92:A95 A97:A100 A102:A108">
    <cfRule type="expression" dxfId="1181" priority="257">
      <formula>$K26="no DD match"</formula>
    </cfRule>
  </conditionalFormatting>
  <conditionalFormatting sqref="K260:K270 K273 K282 K292 K302 K319 K345:K350 K218 K316 K337:K340 K355:K358 K237:K255 K227 K223:K224 K61:K65 K363:K367 K67:K82 K84:K90 K92:K95 K97:K100 K102:K109 K111:K114 K116:K117 K119:K120 K122:K133 K275:K279 K284:K289 K294:K299 K304:K308 K321:K332 K370:K455 K135:K168 K229:K231 K173:K210 K25:K59">
    <cfRule type="containsText" dxfId="1180" priority="255" operator="containsText" text="no SD match">
      <formula>NOT(ISERROR(SEARCH("no SD match",K25)))</formula>
    </cfRule>
  </conditionalFormatting>
  <conditionalFormatting sqref="F56:H125">
    <cfRule type="expression" dxfId="1179" priority="851">
      <formula>$E$56="N"</formula>
    </cfRule>
  </conditionalFormatting>
  <conditionalFormatting sqref="E174:H174">
    <cfRule type="expression" dxfId="1178" priority="861">
      <formula>$D$174="N"</formula>
    </cfRule>
  </conditionalFormatting>
  <conditionalFormatting sqref="E174:H178">
    <cfRule type="expression" dxfId="1177" priority="862">
      <formula>$D$174="N"</formula>
    </cfRule>
  </conditionalFormatting>
  <conditionalFormatting sqref="E443:H455">
    <cfRule type="expression" dxfId="1176" priority="1189">
      <formula>$D$443="N"</formula>
    </cfRule>
  </conditionalFormatting>
  <conditionalFormatting sqref="C25:H456">
    <cfRule type="expression" dxfId="1175" priority="252">
      <formula>$G25="N"</formula>
    </cfRule>
  </conditionalFormatting>
  <conditionalFormatting sqref="G373:H379">
    <cfRule type="expression" dxfId="1174" priority="974">
      <formula>$F$373="N"</formula>
    </cfRule>
  </conditionalFormatting>
  <conditionalFormatting sqref="K222">
    <cfRule type="containsText" dxfId="1173" priority="230" operator="containsText" text="no SD match">
      <formula>NOT(ISERROR(SEARCH("no SD match",K222)))</formula>
    </cfRule>
  </conditionalFormatting>
  <conditionalFormatting sqref="K225:K226">
    <cfRule type="containsText" dxfId="1172" priority="228" operator="containsText" text="no SD match">
      <formula>NOT(ISERROR(SEARCH("no SD match",K225)))</formula>
    </cfRule>
  </conditionalFormatting>
  <conditionalFormatting sqref="K219:K220">
    <cfRule type="containsText" dxfId="1171" priority="226" operator="containsText" text="no SD match">
      <formula>NOT(ISERROR(SEARCH("no SD match",K219)))</formula>
    </cfRule>
  </conditionalFormatting>
  <conditionalFormatting sqref="K232:K233">
    <cfRule type="containsText" dxfId="1170" priority="224" operator="containsText" text="no SD match">
      <formula>NOT(ISERROR(SEARCH("no SD match",K232)))</formula>
    </cfRule>
  </conditionalFormatting>
  <conditionalFormatting sqref="K256:K257">
    <cfRule type="containsText" dxfId="1169" priority="222" operator="containsText" text="no SD match">
      <formula>NOT(ISERROR(SEARCH("no SD match",K256)))</formula>
    </cfRule>
  </conditionalFormatting>
  <conditionalFormatting sqref="K271:K272">
    <cfRule type="containsText" dxfId="1168" priority="220" operator="containsText" text="no SD match">
      <formula>NOT(ISERROR(SEARCH("no SD match",K271)))</formula>
    </cfRule>
  </conditionalFormatting>
  <conditionalFormatting sqref="K280:K281">
    <cfRule type="containsText" dxfId="1167" priority="218" operator="containsText" text="no SD match">
      <formula>NOT(ISERROR(SEARCH("no SD match",K280)))</formula>
    </cfRule>
  </conditionalFormatting>
  <conditionalFormatting sqref="K290:K291">
    <cfRule type="containsText" dxfId="1166" priority="216" operator="containsText" text="no SD match">
      <formula>NOT(ISERROR(SEARCH("no SD match",K290)))</formula>
    </cfRule>
  </conditionalFormatting>
  <conditionalFormatting sqref="K300:K301">
    <cfRule type="containsText" dxfId="1165" priority="214" operator="containsText" text="no SD match">
      <formula>NOT(ISERROR(SEARCH("no SD match",K300)))</formula>
    </cfRule>
  </conditionalFormatting>
  <conditionalFormatting sqref="K317:K318">
    <cfRule type="containsText" dxfId="1164" priority="212" operator="containsText" text="no SD match">
      <formula>NOT(ISERROR(SEARCH("no SD match",K317)))</formula>
    </cfRule>
  </conditionalFormatting>
  <conditionalFormatting sqref="K333:K334">
    <cfRule type="containsText" dxfId="1163" priority="210" operator="containsText" text="no SD match">
      <formula>NOT(ISERROR(SEARCH("no SD match",K333)))</formula>
    </cfRule>
  </conditionalFormatting>
  <conditionalFormatting sqref="K359:K360">
    <cfRule type="containsText" dxfId="1162" priority="208" operator="containsText" text="no SD match">
      <formula>NOT(ISERROR(SEARCH("no SD match",K359)))</formula>
    </cfRule>
  </conditionalFormatting>
  <conditionalFormatting sqref="K341:K342">
    <cfRule type="containsText" dxfId="1161" priority="206" operator="containsText" text="no SD match">
      <formula>NOT(ISERROR(SEARCH("no SD match",K341)))</formula>
    </cfRule>
  </conditionalFormatting>
  <conditionalFormatting sqref="K351:K352">
    <cfRule type="containsText" dxfId="1160" priority="204" operator="containsText" text="no SD match">
      <formula>NOT(ISERROR(SEARCH("no SD match",K351)))</formula>
    </cfRule>
  </conditionalFormatting>
  <conditionalFormatting sqref="K235">
    <cfRule type="containsText" dxfId="1159" priority="202" operator="containsText" text="no SD match">
      <formula>NOT(ISERROR(SEARCH("no SD match",K235)))</formula>
    </cfRule>
  </conditionalFormatting>
  <conditionalFormatting sqref="H25:H456">
    <cfRule type="containsText" dxfId="1158" priority="124" operator="containsText" text="Placeholder">
      <formula>NOT(ISERROR(SEARCH("Placeholder",H25)))</formula>
    </cfRule>
  </conditionalFormatting>
  <conditionalFormatting sqref="E168:H172">
    <cfRule type="expression" dxfId="1157" priority="859">
      <formula>$D$168="N"</formula>
    </cfRule>
  </conditionalFormatting>
  <conditionalFormatting sqref="C15:H16 C18:H18">
    <cfRule type="containsText" dxfId="1156" priority="164" operator="containsText" text="##">
      <formula>NOT(ISERROR(SEARCH("##",C15)))</formula>
    </cfRule>
    <cfRule type="containsText" dxfId="1155" priority="169" operator="containsText" text="Insert">
      <formula>NOT(ISERROR(SEARCH("Insert",C15)))</formula>
    </cfRule>
    <cfRule type="containsText" dxfId="1154" priority="194" operator="containsText" text="Choose">
      <formula>NOT(ISERROR(SEARCH("Choose",C15)))</formula>
    </cfRule>
  </conditionalFormatting>
  <conditionalFormatting sqref="F211:H217">
    <cfRule type="expression" dxfId="1153" priority="871">
      <formula>$E$211="N"</formula>
    </cfRule>
  </conditionalFormatting>
  <conditionalFormatting sqref="F309:H315">
    <cfRule type="expression" dxfId="1152" priority="967">
      <formula>$E$309="N"</formula>
    </cfRule>
  </conditionalFormatting>
  <conditionalFormatting sqref="D403 F403:H403">
    <cfRule type="expression" dxfId="1151" priority="41131">
      <formula>#REF!="N"</formula>
    </cfRule>
  </conditionalFormatting>
  <conditionalFormatting sqref="C403">
    <cfRule type="expression" dxfId="1150" priority="41146">
      <formula>#REF!="Y"</formula>
    </cfRule>
    <cfRule type="expression" dxfId="1149" priority="41147">
      <formula>$D403="Y"</formula>
    </cfRule>
    <cfRule type="expression" dxfId="1148" priority="41148">
      <formula>$F403="Y"</formula>
    </cfRule>
  </conditionalFormatting>
  <conditionalFormatting sqref="L15:L21">
    <cfRule type="containsText" dxfId="1147" priority="87" operator="containsText" text="Enter/Update">
      <formula>NOT(ISERROR(SEARCH("Enter/Update",L15)))</formula>
    </cfRule>
    <cfRule type="containsText" dxfId="1146" priority="88" operator="containsText" text="&lt;----Fill in information">
      <formula>NOT(ISERROR(SEARCH("&lt;----Fill in information",L15)))</formula>
    </cfRule>
  </conditionalFormatting>
  <conditionalFormatting sqref="A66">
    <cfRule type="expression" dxfId="1145" priority="80">
      <formula>$K66="no DD match"</formula>
    </cfRule>
  </conditionalFormatting>
  <conditionalFormatting sqref="A66">
    <cfRule type="expression" dxfId="1144" priority="79">
      <formula>$K66="no DD match"</formula>
    </cfRule>
  </conditionalFormatting>
  <conditionalFormatting sqref="A83">
    <cfRule type="expression" dxfId="1143" priority="69">
      <formula>$K83="no DD match"</formula>
    </cfRule>
  </conditionalFormatting>
  <conditionalFormatting sqref="A83">
    <cfRule type="expression" dxfId="1142" priority="68">
      <formula>$K83="no DD match"</formula>
    </cfRule>
  </conditionalFormatting>
  <conditionalFormatting sqref="A91">
    <cfRule type="expression" dxfId="1141" priority="67">
      <formula>$K91="no DD match"</formula>
    </cfRule>
  </conditionalFormatting>
  <conditionalFormatting sqref="A91">
    <cfRule type="expression" dxfId="1140" priority="66">
      <formula>$K91="no DD match"</formula>
    </cfRule>
  </conditionalFormatting>
  <conditionalFormatting sqref="A96">
    <cfRule type="expression" dxfId="1139" priority="65">
      <formula>$K96="no DD match"</formula>
    </cfRule>
  </conditionalFormatting>
  <conditionalFormatting sqref="A96">
    <cfRule type="expression" dxfId="1138" priority="64">
      <formula>$K96="no DD match"</formula>
    </cfRule>
  </conditionalFormatting>
  <conditionalFormatting sqref="A101">
    <cfRule type="expression" dxfId="1137" priority="63">
      <formula>$K101="no DD match"</formula>
    </cfRule>
  </conditionalFormatting>
  <conditionalFormatting sqref="A101">
    <cfRule type="expression" dxfId="1136" priority="62">
      <formula>$K101="no DD match"</formula>
    </cfRule>
  </conditionalFormatting>
  <conditionalFormatting sqref="A110">
    <cfRule type="expression" dxfId="1135" priority="61">
      <formula>$K110="no DD match"</formula>
    </cfRule>
  </conditionalFormatting>
  <conditionalFormatting sqref="A110">
    <cfRule type="expression" dxfId="1134" priority="60">
      <formula>$K110="no DD match"</formula>
    </cfRule>
  </conditionalFormatting>
  <conditionalFormatting sqref="A115">
    <cfRule type="expression" dxfId="1133" priority="59">
      <formula>$K115="no DD match"</formula>
    </cfRule>
  </conditionalFormatting>
  <conditionalFormatting sqref="A115">
    <cfRule type="expression" dxfId="1132" priority="58">
      <formula>$K115="no DD match"</formula>
    </cfRule>
  </conditionalFormatting>
  <conditionalFormatting sqref="A118">
    <cfRule type="expression" dxfId="1131" priority="57">
      <formula>$K118="no DD match"</formula>
    </cfRule>
  </conditionalFormatting>
  <conditionalFormatting sqref="A118">
    <cfRule type="expression" dxfId="1130" priority="56">
      <formula>$K118="no DD match"</formula>
    </cfRule>
  </conditionalFormatting>
  <conditionalFormatting sqref="A121">
    <cfRule type="expression" dxfId="1129" priority="55">
      <formula>$K121="no DD match"</formula>
    </cfRule>
  </conditionalFormatting>
  <conditionalFormatting sqref="A121">
    <cfRule type="expression" dxfId="1128" priority="54">
      <formula>$K121="no DD match"</formula>
    </cfRule>
  </conditionalFormatting>
  <conditionalFormatting sqref="A236">
    <cfRule type="expression" dxfId="1127" priority="47">
      <formula>$K236="no DD match"</formula>
    </cfRule>
  </conditionalFormatting>
  <conditionalFormatting sqref="A259">
    <cfRule type="expression" dxfId="1126" priority="37">
      <formula>$K259="no DD match"</formula>
    </cfRule>
  </conditionalFormatting>
  <conditionalFormatting sqref="A274">
    <cfRule type="expression" dxfId="1125" priority="36">
      <formula>$K274="no DD match"</formula>
    </cfRule>
  </conditionalFormatting>
  <conditionalFormatting sqref="A283">
    <cfRule type="expression" dxfId="1124" priority="35">
      <formula>$K283="no DD match"</formula>
    </cfRule>
  </conditionalFormatting>
  <conditionalFormatting sqref="A293">
    <cfRule type="expression" dxfId="1123" priority="34">
      <formula>$K293="no DD match"</formula>
    </cfRule>
  </conditionalFormatting>
  <conditionalFormatting sqref="A303">
    <cfRule type="expression" dxfId="1122" priority="33">
      <formula>$K303="no DD match"</formula>
    </cfRule>
  </conditionalFormatting>
  <conditionalFormatting sqref="A313">
    <cfRule type="expression" dxfId="1121" priority="32">
      <formula>$K313="no DD match"</formula>
    </cfRule>
  </conditionalFormatting>
  <conditionalFormatting sqref="A320">
    <cfRule type="expression" dxfId="1120" priority="31">
      <formula>$K320="no DD match"</formula>
    </cfRule>
  </conditionalFormatting>
  <conditionalFormatting sqref="A335:A336">
    <cfRule type="expression" dxfId="1119" priority="30">
      <formula>$K335="no DD match"</formula>
    </cfRule>
  </conditionalFormatting>
  <conditionalFormatting sqref="A343:A344">
    <cfRule type="expression" dxfId="1118" priority="29">
      <formula>$K343="no DD match"</formula>
    </cfRule>
  </conditionalFormatting>
  <conditionalFormatting sqref="A353:A354">
    <cfRule type="expression" dxfId="1117" priority="28">
      <formula>$K353="no DD match"</formula>
    </cfRule>
  </conditionalFormatting>
  <conditionalFormatting sqref="A361:A362">
    <cfRule type="expression" dxfId="1116" priority="27">
      <formula>$K361="no DD match"</formula>
    </cfRule>
  </conditionalFormatting>
  <conditionalFormatting sqref="A368">
    <cfRule type="expression" dxfId="1115" priority="26">
      <formula>$K368="no DD match"</formula>
    </cfRule>
  </conditionalFormatting>
  <conditionalFormatting sqref="A369">
    <cfRule type="expression" dxfId="1114" priority="25">
      <formula>$K369="no DD match"</formula>
    </cfRule>
  </conditionalFormatting>
  <conditionalFormatting sqref="A221">
    <cfRule type="expression" dxfId="1113" priority="18">
      <formula>$K221="no DD match"</formula>
    </cfRule>
  </conditionalFormatting>
  <conditionalFormatting sqref="A234">
    <cfRule type="expression" dxfId="1112" priority="9">
      <formula>$K234="no DD match"</formula>
    </cfRule>
  </conditionalFormatting>
  <conditionalFormatting sqref="A258">
    <cfRule type="expression" dxfId="1111" priority="8">
      <formula>$K258="no DD match"</formula>
    </cfRule>
  </conditionalFormatting>
  <conditionalFormatting sqref="H5:J5">
    <cfRule type="expression" dxfId="1110" priority="6">
      <formula>$D$126="N"</formula>
    </cfRule>
  </conditionalFormatting>
  <conditionalFormatting sqref="H6:J6">
    <cfRule type="expression" dxfId="1109" priority="5">
      <formula>$D$126="N"</formula>
    </cfRule>
  </conditionalFormatting>
  <conditionalFormatting sqref="C18:H456">
    <cfRule type="expression" dxfId="1108" priority="1">
      <formula>$C$16="NO DESIGN - DESIGN DEVELOPMENT DOES NOT APPLY"</formula>
    </cfRule>
    <cfRule type="expression" dxfId="1107" priority="2">
      <formula>$C$16="DESIGN DEVELOPMENT DOES NOT APPLY"</formula>
    </cfRule>
  </conditionalFormatting>
  <conditionalFormatting sqref="D25:G456">
    <cfRule type="cellIs" dxfId="1106" priority="142" operator="equal">
      <formula>"Y"</formula>
    </cfRule>
    <cfRule type="cellIs" dxfId="1105" priority="162" operator="equal">
      <formula>"?"</formula>
    </cfRule>
  </conditionalFormatting>
  <conditionalFormatting sqref="C25:C456">
    <cfRule type="expression" dxfId="1104" priority="253">
      <formula>$D25="Y"</formula>
    </cfRule>
    <cfRule type="expression" dxfId="1103" priority="278">
      <formula>$E25="Y"</formula>
    </cfRule>
    <cfRule type="expression" dxfId="1102" priority="280">
      <formula>$F25="Y"</formula>
    </cfRule>
  </conditionalFormatting>
  <conditionalFormatting sqref="D28:H30">
    <cfRule type="expression" dxfId="1101" priority="795">
      <formula>$D$27="N"</formula>
    </cfRule>
  </conditionalFormatting>
  <conditionalFormatting sqref="D33:H35">
    <cfRule type="expression" dxfId="1100" priority="797">
      <formula>$D$32="N"</formula>
    </cfRule>
  </conditionalFormatting>
  <dataValidations count="3">
    <dataValidation type="list" allowBlank="1" showInputMessage="1" showErrorMessage="1" sqref="C23">
      <formula1>$C$8:$C$11</formula1>
    </dataValidation>
    <dataValidation type="list" allowBlank="1" showInputMessage="1" showErrorMessage="1" sqref="F6 D4 E5">
      <formula1>$D$8:$D$11</formula1>
    </dataValidation>
    <dataValidation allowBlank="1" showInputMessage="1" showErrorMessage="1" promptTitle="NO INPUTS IN THESE CELLS" prompt="Changes are only made in TAB C." sqref="C21:H21 D403 D404:H455 F403:H403 D25:H402"/>
  </dataValidations>
  <printOptions horizontalCentered="1"/>
  <pageMargins left="0.45" right="0.45" top="0.5" bottom="0.6" header="0.3" footer="0.3"/>
  <pageSetup scale="85" fitToHeight="9" orientation="portrait" r:id="rId1"/>
  <headerFooter>
    <oddFooter>&amp;L&amp;"Ebrima,Bold"&amp;10TAB &amp;A&amp;C&amp;"Ebrima,Regular"&amp;8&amp;P of &amp;N&amp;R&amp;G</oddFooter>
  </headerFooter>
  <rowBreaks count="3" manualBreakCount="3">
    <brk id="69" min="2" max="7" man="1"/>
    <brk id="325" min="2" max="7" man="1"/>
    <brk id="366" min="2" max="7" man="1"/>
  </rowBreaks>
  <drawing r:id="rId2"/>
  <legacyDrawing r:id="rId3"/>
  <legacyDrawingHF r:id="rId4"/>
  <extLst>
    <ext xmlns:x14="http://schemas.microsoft.com/office/spreadsheetml/2009/9/main" uri="{78C0D931-6437-407d-A8EE-F0AAD7539E65}">
      <x14:conditionalFormattings>
        <x14:conditionalFormatting xmlns:xm="http://schemas.microsoft.com/office/excel/2006/main">
          <x14:cfRule type="expression" priority="1161" id="{03ADFFED-9F5A-4523-894B-D80A8736895D}">
            <xm:f>'00 - Concept.'!$D449="N"</xm:f>
            <x14:dxf>
              <font>
                <strike/>
              </font>
            </x14:dxf>
          </x14:cfRule>
          <xm:sqref>I457</xm:sqref>
        </x14:conditionalFormatting>
        <x14:conditionalFormatting xmlns:xm="http://schemas.microsoft.com/office/excel/2006/main">
          <x14:cfRule type="expression" priority="377" id="{D547DED6-AF56-48B4-9D94-41A610739255}">
            <xm:f>'00 - Concept.'!$F355="N"</xm:f>
            <x14:dxf>
              <font>
                <strike/>
              </font>
            </x14:dxf>
          </x14:cfRule>
          <xm:sqref>I365:I366 I347</xm:sqref>
        </x14:conditionalFormatting>
        <x14:conditionalFormatting xmlns:xm="http://schemas.microsoft.com/office/excel/2006/main">
          <x14:cfRule type="expression" priority="376" id="{2DAA2E56-5899-4E2C-A118-0CA910EA9711}">
            <xm:f>'00 - Concept.'!$E450="N"</xm:f>
            <x14:dxf>
              <font>
                <strike/>
              </font>
            </x14:dxf>
          </x14:cfRule>
          <xm:sqref>I458</xm:sqref>
        </x14:conditionalFormatting>
        <x14:conditionalFormatting xmlns:xm="http://schemas.microsoft.com/office/excel/2006/main">
          <x14:cfRule type="expression" priority="2104" id="{D547DED6-AF56-48B4-9D94-41A610739255}">
            <xm:f>'00 - Concept.'!$F451="N"</xm:f>
            <x14:dxf>
              <font>
                <strike/>
              </font>
            </x14:dxf>
          </x14:cfRule>
          <xm:sqref>I459</xm:sqref>
        </x14:conditionalFormatting>
        <x14:conditionalFormatting xmlns:xm="http://schemas.microsoft.com/office/excel/2006/main">
          <x14:cfRule type="expression" priority="302" id="{2A96C06F-98DA-4AF0-BF02-71244F0E91E8}">
            <xm:f>'00 - Concept.'!$F270="N"</xm:f>
            <x14:dxf>
              <font>
                <strike/>
              </font>
            </x14:dxf>
          </x14:cfRule>
          <xm:sqref>I243:I245</xm:sqref>
        </x14:conditionalFormatting>
        <x14:conditionalFormatting xmlns:xm="http://schemas.microsoft.com/office/excel/2006/main">
          <x14:cfRule type="expression" priority="8095" id="{2DAA2E56-5899-4E2C-A118-0CA910EA9711}">
            <xm:f>'00 - Concept.'!$E374="N"</xm:f>
            <x14:dxf>
              <font>
                <strike/>
              </font>
            </x14:dxf>
          </x14:cfRule>
          <xm:sqref>I367</xm:sqref>
        </x14:conditionalFormatting>
        <x14:conditionalFormatting xmlns:xm="http://schemas.microsoft.com/office/excel/2006/main">
          <x14:cfRule type="expression" priority="14912" id="{2DAA2E56-5899-4E2C-A118-0CA910EA9711}">
            <xm:f>'00 - Concept.'!$E155="N"</xm:f>
            <x14:dxf>
              <font>
                <strike/>
              </font>
            </x14:dxf>
          </x14:cfRule>
          <xm:sqref>I113:I114</xm:sqref>
        </x14:conditionalFormatting>
        <x14:conditionalFormatting xmlns:xm="http://schemas.microsoft.com/office/excel/2006/main">
          <x14:cfRule type="expression" priority="14913" id="{2DAA2E56-5899-4E2C-A118-0CA910EA9711}">
            <xm:f>'00 - Concept.'!#REF!="N"</xm:f>
            <x14:dxf>
              <font>
                <strike/>
              </font>
            </x14:dxf>
          </x14:cfRule>
          <xm:sqref>I141:I144</xm:sqref>
        </x14:conditionalFormatting>
        <x14:conditionalFormatting xmlns:xm="http://schemas.microsoft.com/office/excel/2006/main">
          <x14:cfRule type="expression" priority="14924" id="{2DAA2E56-5899-4E2C-A118-0CA910EA9711}">
            <xm:f>'00 - Concept.'!$E157="N"</xm:f>
            <x14:dxf>
              <font>
                <strike/>
              </font>
            </x14:dxf>
          </x14:cfRule>
          <xm:sqref>I123:I124</xm:sqref>
        </x14:conditionalFormatting>
        <x14:conditionalFormatting xmlns:xm="http://schemas.microsoft.com/office/excel/2006/main">
          <x14:cfRule type="expression" priority="15045" id="{D547DED6-AF56-48B4-9D94-41A610739255}">
            <xm:f>'00 - Concept.'!#REF!="N"</xm:f>
            <x14:dxf>
              <font>
                <strike/>
              </font>
            </x14:dxf>
          </x14:cfRule>
          <xm:sqref>I208:I210</xm:sqref>
        </x14:conditionalFormatting>
        <x14:conditionalFormatting xmlns:xm="http://schemas.microsoft.com/office/excel/2006/main">
          <x14:cfRule type="expression" priority="15047" id="{2A96C06F-98DA-4AF0-BF02-71244F0E91E8}">
            <xm:f>'00 - Concept.'!#REF!="N"</xm:f>
            <x14:dxf>
              <font>
                <strike/>
              </font>
            </x14:dxf>
          </x14:cfRule>
          <xm:sqref>I200 I202:I203</xm:sqref>
        </x14:conditionalFormatting>
        <x14:conditionalFormatting xmlns:xm="http://schemas.microsoft.com/office/excel/2006/main">
          <x14:cfRule type="expression" priority="17557" id="{2A96C06F-98DA-4AF0-BF02-71244F0E91E8}">
            <xm:f>'00 - Concept.'!$F261="N"</xm:f>
            <x14:dxf>
              <font>
                <strike/>
              </font>
            </x14:dxf>
          </x14:cfRule>
          <xm:sqref>I229 I331</xm:sqref>
        </x14:conditionalFormatting>
        <x14:conditionalFormatting xmlns:xm="http://schemas.microsoft.com/office/excel/2006/main">
          <x14:cfRule type="expression" priority="17645" id="{D547DED6-AF56-48B4-9D94-41A610739255}">
            <xm:f>'00 - Concept.'!$F326="N"</xm:f>
            <x14:dxf>
              <font>
                <strike/>
              </font>
            </x14:dxf>
          </x14:cfRule>
          <xm:sqref>I306</xm:sqref>
        </x14:conditionalFormatting>
        <x14:conditionalFormatting xmlns:xm="http://schemas.microsoft.com/office/excel/2006/main">
          <x14:cfRule type="expression" priority="26283" id="{2DAA2E56-5899-4E2C-A118-0CA910EA9711}">
            <xm:f>'00 - Concept.'!$E173="N"</xm:f>
            <x14:dxf>
              <font>
                <strike/>
              </font>
            </x14:dxf>
          </x14:cfRule>
          <xm:sqref>I148:I150</xm:sqref>
        </x14:conditionalFormatting>
        <x14:conditionalFormatting xmlns:xm="http://schemas.microsoft.com/office/excel/2006/main">
          <x14:cfRule type="expression" priority="39827" id="{D547DED6-AF56-48B4-9D94-41A610739255}">
            <xm:f>'00 - Concept.'!$F182="N"</xm:f>
            <x14:dxf>
              <font>
                <strike/>
              </font>
            </x14:dxf>
          </x14:cfRule>
          <xm:sqref>I197</xm:sqref>
        </x14:conditionalFormatting>
        <x14:conditionalFormatting xmlns:xm="http://schemas.microsoft.com/office/excel/2006/main">
          <x14:cfRule type="expression" priority="41234" id="{2DAA2E56-5899-4E2C-A118-0CA910EA9711}">
            <xm:f>'00 - Concept.'!$E44="N"</xm:f>
            <x14:dxf>
              <font>
                <strike/>
              </font>
            </x14:dxf>
          </x14:cfRule>
          <xm:sqref>I45:I47</xm:sqref>
        </x14:conditionalFormatting>
        <x14:conditionalFormatting xmlns:xm="http://schemas.microsoft.com/office/excel/2006/main">
          <x14:cfRule type="expression" priority="44201" id="{2DAA2E56-5899-4E2C-A118-0CA910EA9711}">
            <xm:f>'00 - Concept.'!$E157="N"</xm:f>
            <x14:dxf>
              <font>
                <strike/>
              </font>
            </x14:dxf>
          </x14:cfRule>
          <xm:sqref>I116</xm:sqref>
        </x14:conditionalFormatting>
        <x14:conditionalFormatting xmlns:xm="http://schemas.microsoft.com/office/excel/2006/main">
          <x14:cfRule type="expression" priority="44251" id="{2DAA2E56-5899-4E2C-A118-0CA910EA9711}">
            <xm:f>'00 - Concept.'!$E167="N"</xm:f>
            <x14:dxf>
              <font>
                <strike/>
              </font>
            </x14:dxf>
          </x14:cfRule>
          <xm:sqref>I146:I147</xm:sqref>
        </x14:conditionalFormatting>
        <x14:conditionalFormatting xmlns:xm="http://schemas.microsoft.com/office/excel/2006/main">
          <x14:cfRule type="expression" priority="44300" id="{D547DED6-AF56-48B4-9D94-41A610739255}">
            <xm:f>'00 - Concept.'!$F202="N"</xm:f>
            <x14:dxf>
              <font>
                <strike/>
              </font>
            </x14:dxf>
          </x14:cfRule>
          <xm:sqref>I187</xm:sqref>
        </x14:conditionalFormatting>
        <x14:conditionalFormatting xmlns:xm="http://schemas.microsoft.com/office/excel/2006/main">
          <x14:cfRule type="expression" priority="44349" id="{D547DED6-AF56-48B4-9D94-41A610739255}">
            <xm:f>'00 - Concept.'!$F197="N"</xm:f>
            <x14:dxf>
              <font>
                <strike/>
              </font>
            </x14:dxf>
          </x14:cfRule>
          <xm:sqref>I193</xm:sqref>
        </x14:conditionalFormatting>
        <x14:conditionalFormatting xmlns:xm="http://schemas.microsoft.com/office/excel/2006/main">
          <x14:cfRule type="expression" priority="44449" id="{2DAA2E56-5899-4E2C-A118-0CA910EA9711}">
            <xm:f>'00 - Concept.'!$E40="N"</xm:f>
            <x14:dxf>
              <font>
                <strike/>
              </font>
            </x14:dxf>
          </x14:cfRule>
          <xm:sqref>I40:I44</xm:sqref>
        </x14:conditionalFormatting>
        <x14:conditionalFormatting xmlns:xm="http://schemas.microsoft.com/office/excel/2006/main">
          <x14:cfRule type="expression" priority="44498" id="{2DAA2E56-5899-4E2C-A118-0CA910EA9711}">
            <xm:f>'00 - Concept.'!$E44="N"</xm:f>
            <x14:dxf>
              <font>
                <strike/>
              </font>
            </x14:dxf>
          </x14:cfRule>
          <xm:sqref>I48:I51</xm:sqref>
        </x14:conditionalFormatting>
        <x14:conditionalFormatting xmlns:xm="http://schemas.microsoft.com/office/excel/2006/main">
          <x14:cfRule type="expression" priority="44549" id="{D547DED6-AF56-48B4-9D94-41A610739255}">
            <xm:f>'00 - Concept.'!$F341="N"</xm:f>
            <x14:dxf>
              <font>
                <strike/>
              </font>
            </x14:dxf>
          </x14:cfRule>
          <xm:sqref>I348</xm:sqref>
        </x14:conditionalFormatting>
        <x14:conditionalFormatting xmlns:xm="http://schemas.microsoft.com/office/excel/2006/main">
          <x14:cfRule type="expression" priority="7" id="{44769D78-B775-43C6-8615-04F1FAF874A4}">
            <xm:f>'00 - Concept.'!$D4="N"</xm:f>
            <x14:dxf>
              <font>
                <strike/>
              </font>
            </x14:dxf>
          </x14:cfRule>
          <xm:sqref>G4</xm:sqref>
        </x14:conditionalFormatting>
        <x14:conditionalFormatting xmlns:xm="http://schemas.microsoft.com/office/excel/2006/main">
          <x14:cfRule type="expression" priority="53510" id="{2DAA2E56-5899-4E2C-A118-0CA910EA9711}">
            <xm:f>'00 - Concept.'!$E187="N"</xm:f>
            <x14:dxf>
              <font>
                <strike/>
              </font>
            </x14:dxf>
          </x14:cfRule>
          <xm:sqref>I178</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AW787"/>
  <sheetViews>
    <sheetView showGridLines="0" view="pageBreakPreview" topLeftCell="B1" zoomScaleNormal="100" zoomScaleSheetLayoutView="100" workbookViewId="0">
      <pane ySplit="23" topLeftCell="A24" activePane="bottomLeft" state="frozen"/>
      <selection pane="bottomLeft" activeCell="G26" sqref="G26"/>
    </sheetView>
  </sheetViews>
  <sheetFormatPr defaultRowHeight="15" x14ac:dyDescent="0.25"/>
  <cols>
    <col min="1" max="1" width="5.7109375" style="91" hidden="1" customWidth="1"/>
    <col min="2" max="2" width="0.85546875" customWidth="1"/>
    <col min="3" max="3" width="9.28515625" customWidth="1"/>
    <col min="4" max="6" width="3.28515625" style="16" customWidth="1"/>
    <col min="7" max="7" width="7.42578125" style="19" customWidth="1"/>
    <col min="8" max="8" width="86" style="17" customWidth="1"/>
    <col min="9" max="9" width="0.85546875" style="17" customWidth="1"/>
    <col min="10" max="10" width="12.28515625" style="17" hidden="1" customWidth="1"/>
    <col min="11" max="11" width="9.140625" style="17" hidden="1" customWidth="1"/>
    <col min="12" max="16" width="9.140625" style="17" customWidth="1"/>
    <col min="17" max="18" width="9.140625" style="17"/>
    <col min="19" max="19" width="15.7109375" style="17" customWidth="1"/>
    <col min="20" max="48" width="9.140625" style="17"/>
  </cols>
  <sheetData>
    <row r="1" spans="1:48" s="542" customFormat="1" hidden="1" x14ac:dyDescent="0.25">
      <c r="A1" s="1331"/>
      <c r="D1" s="543"/>
      <c r="E1" s="543"/>
      <c r="F1" s="543"/>
      <c r="G1" s="19"/>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row>
    <row r="2" spans="1:48" s="542" customFormat="1" hidden="1" x14ac:dyDescent="0.25">
      <c r="A2" s="1331"/>
      <c r="D2" s="543"/>
      <c r="E2" s="543"/>
      <c r="F2" s="543"/>
      <c r="G2" s="19"/>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row>
    <row r="3" spans="1:48" ht="30" customHeight="1" thickBot="1" x14ac:dyDescent="0.3">
      <c r="A3" s="1331"/>
      <c r="B3" s="542"/>
      <c r="C3" s="1577" t="s">
        <v>46</v>
      </c>
      <c r="D3" s="1577"/>
      <c r="E3" s="1577"/>
      <c r="F3" s="2296" t="str">
        <f ca="1">CONCATENATE("READ DIRECTIONS FILE FIRST.  PSC should print &amp; use at 50% CD submittals. PM/ Planner only should hide non-applicable rows.  Choices for applicability are in the tab [",MID(CELL("filename",Date_edited_TAB_C),FIND("]",CELL("filename",Date_edited_TAB_C))+1,255),"]")</f>
        <v>READ DIRECTIONS FILE FIRST.  PSC should print &amp; use at 50% CD submittals. PM/ Planner only should hide non-applicable rows.  Choices for applicability are in the tab [C-Design&amp;Const]</v>
      </c>
      <c r="G3" s="2296"/>
      <c r="H3" s="2296"/>
      <c r="I3" s="1421"/>
      <c r="J3" s="1186"/>
      <c r="K3" s="1186"/>
      <c r="L3" s="1186"/>
      <c r="M3" s="1186"/>
      <c r="N3" s="1186"/>
      <c r="O3" s="1186"/>
      <c r="P3" s="1186"/>
      <c r="Q3" s="1186"/>
      <c r="R3" s="1333"/>
      <c r="S3" s="1333"/>
      <c r="T3" s="1333"/>
      <c r="U3" s="1333"/>
      <c r="V3" s="1333"/>
      <c r="W3" s="1333"/>
      <c r="X3" s="1333"/>
      <c r="Y3" s="1333"/>
      <c r="Z3" s="1333"/>
      <c r="AA3" s="1333"/>
      <c r="AB3" s="1333"/>
      <c r="AC3" s="1333"/>
      <c r="AD3" s="1333"/>
      <c r="AE3" s="1333"/>
      <c r="AF3" s="1333"/>
      <c r="AG3" s="1333"/>
      <c r="AH3" s="1333"/>
      <c r="AI3" s="1333"/>
      <c r="AJ3" s="1333"/>
      <c r="AV3"/>
    </row>
    <row r="4" spans="1:48" ht="19.5" hidden="1" thickTop="1" x14ac:dyDescent="0.25">
      <c r="A4" s="1331"/>
      <c r="C4" s="34"/>
      <c r="D4" s="35" t="s">
        <v>37</v>
      </c>
      <c r="E4" s="36"/>
      <c r="F4" s="37"/>
      <c r="G4" s="38" t="s">
        <v>39</v>
      </c>
      <c r="H4" s="54" t="s">
        <v>219</v>
      </c>
      <c r="I4" s="63"/>
      <c r="K4" s="53" t="s">
        <v>142</v>
      </c>
      <c r="L4" s="1333"/>
      <c r="M4" s="1333"/>
      <c r="N4" s="1333"/>
      <c r="O4" s="1333"/>
      <c r="P4" s="1333"/>
      <c r="Q4" s="1333"/>
      <c r="R4" s="1333"/>
      <c r="S4" s="1333"/>
      <c r="T4" s="1333"/>
      <c r="U4" s="1333"/>
      <c r="V4" s="1333"/>
      <c r="W4" s="1333"/>
      <c r="X4" s="1333"/>
      <c r="Y4" s="1333"/>
      <c r="Z4" s="1333"/>
      <c r="AA4" s="1333"/>
      <c r="AB4" s="1333"/>
      <c r="AC4" s="1333"/>
      <c r="AD4" s="1333"/>
      <c r="AE4" s="1333"/>
      <c r="AF4" s="1333"/>
      <c r="AG4" s="1333"/>
      <c r="AH4" s="1333"/>
      <c r="AI4" s="1333"/>
      <c r="AJ4" s="1333"/>
      <c r="AV4"/>
    </row>
    <row r="5" spans="1:48" hidden="1" x14ac:dyDescent="0.25">
      <c r="A5" s="1342"/>
      <c r="C5" s="39"/>
      <c r="D5" s="21"/>
      <c r="E5" s="29" t="s">
        <v>37</v>
      </c>
      <c r="F5" s="22"/>
      <c r="G5" s="33"/>
      <c r="H5" s="40" t="s">
        <v>50</v>
      </c>
      <c r="I5" s="299"/>
      <c r="J5" s="62"/>
      <c r="K5" s="153" t="s">
        <v>49</v>
      </c>
      <c r="L5" s="1351"/>
      <c r="M5" s="1351"/>
      <c r="N5" s="1333"/>
      <c r="O5" s="1333"/>
      <c r="P5" s="1333"/>
      <c r="Q5" s="1333"/>
      <c r="R5" s="1333"/>
      <c r="S5" s="1333"/>
      <c r="T5" s="1333"/>
      <c r="U5" s="1333"/>
      <c r="V5" s="1333"/>
      <c r="W5" s="1333"/>
      <c r="X5" s="1333"/>
      <c r="Y5" s="1333"/>
      <c r="Z5" s="1333"/>
      <c r="AA5" s="1333"/>
      <c r="AB5" s="1333"/>
      <c r="AC5" s="1333"/>
      <c r="AD5" s="1333"/>
      <c r="AE5" s="1333"/>
      <c r="AF5" s="1333"/>
      <c r="AG5" s="1333"/>
      <c r="AH5" s="1333"/>
      <c r="AI5" s="1333"/>
      <c r="AJ5" s="1333"/>
      <c r="AV5"/>
    </row>
    <row r="6" spans="1:48" ht="15.75" hidden="1" thickBot="1" x14ac:dyDescent="0.3">
      <c r="A6" s="1342"/>
      <c r="C6" s="41"/>
      <c r="D6" s="42"/>
      <c r="E6" s="42"/>
      <c r="F6" s="43" t="s">
        <v>37</v>
      </c>
      <c r="G6" s="44"/>
      <c r="H6" s="45" t="s">
        <v>51</v>
      </c>
      <c r="I6" s="300"/>
      <c r="J6" s="62"/>
      <c r="K6" s="62"/>
      <c r="L6" s="1351"/>
      <c r="M6" s="1351"/>
      <c r="N6" s="1333"/>
      <c r="O6" s="1333"/>
      <c r="P6" s="1333"/>
      <c r="Q6" s="1333"/>
      <c r="R6" s="1333"/>
      <c r="S6" s="1333"/>
      <c r="T6" s="1333"/>
      <c r="U6" s="1333"/>
      <c r="V6" s="1333"/>
      <c r="W6" s="1333"/>
      <c r="X6" s="1333"/>
      <c r="Y6" s="1333"/>
      <c r="Z6" s="1333"/>
      <c r="AA6" s="1333"/>
      <c r="AB6" s="1333"/>
      <c r="AC6" s="1333"/>
      <c r="AD6" s="1333"/>
      <c r="AE6" s="1333"/>
      <c r="AF6" s="1333"/>
      <c r="AG6" s="1333"/>
      <c r="AH6" s="1333"/>
      <c r="AI6" s="1333"/>
      <c r="AJ6" s="1333"/>
      <c r="AV6"/>
    </row>
    <row r="7" spans="1:48" hidden="1" x14ac:dyDescent="0.25">
      <c r="A7" s="1342"/>
      <c r="C7" s="47" t="s">
        <v>71</v>
      </c>
      <c r="D7" s="47" t="s">
        <v>45</v>
      </c>
      <c r="E7" s="47"/>
      <c r="F7" s="47"/>
      <c r="G7" s="48"/>
      <c r="H7" s="96" t="s">
        <v>107</v>
      </c>
      <c r="I7" s="301"/>
      <c r="J7" s="62"/>
      <c r="K7" s="62"/>
      <c r="L7" s="1351"/>
      <c r="M7" s="1351"/>
      <c r="N7" s="1333"/>
      <c r="O7" s="1333"/>
      <c r="P7" s="1333"/>
      <c r="Q7" s="1333"/>
      <c r="R7" s="1333"/>
      <c r="S7" s="1333"/>
      <c r="T7" s="1333"/>
      <c r="U7" s="1333"/>
      <c r="V7" s="1333"/>
      <c r="W7" s="1333"/>
      <c r="X7" s="1333"/>
      <c r="Y7" s="1333"/>
      <c r="Z7" s="1333"/>
      <c r="AA7" s="1333"/>
      <c r="AB7" s="1333"/>
      <c r="AC7" s="1333"/>
      <c r="AD7" s="1333"/>
      <c r="AE7" s="1333"/>
      <c r="AF7" s="1333"/>
      <c r="AG7" s="1333"/>
      <c r="AH7" s="1333"/>
      <c r="AI7" s="1333"/>
      <c r="AJ7" s="1333"/>
    </row>
    <row r="8" spans="1:48" hidden="1" x14ac:dyDescent="0.25">
      <c r="A8" s="1342"/>
      <c r="C8" s="20" t="s">
        <v>100</v>
      </c>
      <c r="D8" s="20" t="s">
        <v>37</v>
      </c>
      <c r="E8" s="46" t="s">
        <v>47</v>
      </c>
      <c r="H8" s="97" t="s">
        <v>268</v>
      </c>
      <c r="I8" s="264"/>
      <c r="J8" s="62"/>
      <c r="K8" s="62"/>
      <c r="L8" s="1351"/>
      <c r="M8" s="1351"/>
      <c r="N8" s="1333"/>
      <c r="O8" s="1333"/>
      <c r="P8" s="1333"/>
      <c r="Q8" s="1333"/>
      <c r="R8" s="1333"/>
      <c r="S8" s="1333"/>
      <c r="T8" s="1333"/>
      <c r="U8" s="1333"/>
      <c r="V8" s="1333"/>
      <c r="W8" s="1333"/>
      <c r="X8" s="1333"/>
      <c r="Y8" s="1333"/>
      <c r="Z8" s="1333"/>
      <c r="AA8" s="1333"/>
      <c r="AB8" s="1333"/>
      <c r="AC8" s="1333"/>
      <c r="AD8" s="1333"/>
      <c r="AE8" s="1333"/>
      <c r="AF8" s="1333"/>
      <c r="AG8" s="1333"/>
      <c r="AH8" s="1333"/>
      <c r="AI8" s="1333"/>
      <c r="AJ8" s="1333"/>
    </row>
    <row r="9" spans="1:48" hidden="1" x14ac:dyDescent="0.25">
      <c r="A9" s="1342"/>
      <c r="C9" s="20" t="s">
        <v>72</v>
      </c>
      <c r="D9" s="20" t="s">
        <v>38</v>
      </c>
      <c r="E9" s="46" t="s">
        <v>47</v>
      </c>
      <c r="H9" s="97" t="s">
        <v>53</v>
      </c>
      <c r="I9" s="264"/>
      <c r="J9" s="62"/>
      <c r="K9" s="62"/>
      <c r="L9" s="1351"/>
      <c r="M9" s="1351"/>
      <c r="N9" s="1333"/>
      <c r="O9" s="1333"/>
      <c r="P9" s="1333"/>
      <c r="Q9" s="1333"/>
      <c r="R9" s="1333"/>
      <c r="S9" s="1333"/>
      <c r="T9" s="1333"/>
      <c r="U9" s="1333"/>
      <c r="V9" s="1333"/>
      <c r="W9" s="1333"/>
      <c r="X9" s="1333"/>
      <c r="Y9" s="1333"/>
      <c r="Z9" s="1333"/>
      <c r="AA9" s="1333"/>
      <c r="AB9" s="1333"/>
      <c r="AC9" s="1333"/>
      <c r="AD9" s="1333"/>
      <c r="AE9" s="1333"/>
      <c r="AF9" s="1333"/>
      <c r="AG9" s="1333"/>
      <c r="AH9" s="1333"/>
      <c r="AI9" s="1333"/>
      <c r="AJ9" s="1333"/>
    </row>
    <row r="10" spans="1:48" hidden="1" x14ac:dyDescent="0.25">
      <c r="A10" s="1342"/>
      <c r="C10" s="20"/>
      <c r="D10" s="20" t="s">
        <v>21</v>
      </c>
      <c r="E10" s="46" t="s">
        <v>47</v>
      </c>
      <c r="H10" s="98" t="s">
        <v>109</v>
      </c>
      <c r="I10" s="264"/>
      <c r="J10" s="62"/>
      <c r="K10" s="62"/>
      <c r="L10" s="1351"/>
      <c r="M10" s="1351"/>
      <c r="N10" s="1333"/>
      <c r="O10" s="1333"/>
      <c r="P10" s="1333"/>
      <c r="Q10" s="1333"/>
      <c r="R10" s="1333"/>
      <c r="S10" s="1333"/>
      <c r="T10" s="1333"/>
      <c r="U10" s="1333"/>
      <c r="V10" s="1333"/>
      <c r="W10" s="1333"/>
      <c r="X10" s="1333"/>
      <c r="Y10" s="1333"/>
      <c r="Z10" s="1333"/>
      <c r="AA10" s="1333"/>
      <c r="AB10" s="1333"/>
      <c r="AC10" s="1333"/>
      <c r="AD10" s="1333"/>
      <c r="AE10" s="1333"/>
      <c r="AF10" s="1333"/>
      <c r="AG10" s="1333"/>
      <c r="AH10" s="1333"/>
      <c r="AI10" s="1333"/>
      <c r="AJ10" s="1333"/>
    </row>
    <row r="11" spans="1:48" hidden="1" x14ac:dyDescent="0.25">
      <c r="A11" s="1342"/>
      <c r="C11" s="20"/>
      <c r="D11" s="20"/>
      <c r="I11" s="264"/>
      <c r="J11" s="62"/>
      <c r="K11" s="62"/>
      <c r="L11" s="1351"/>
      <c r="M11" s="1351"/>
      <c r="N11" s="1333"/>
      <c r="O11" s="1333"/>
      <c r="P11" s="1333"/>
      <c r="Q11" s="1333"/>
      <c r="R11" s="1333"/>
      <c r="S11" s="1333"/>
      <c r="T11" s="1333"/>
      <c r="U11" s="1333"/>
      <c r="V11" s="1333"/>
      <c r="W11" s="1333"/>
      <c r="X11" s="1333"/>
      <c r="Y11" s="1333"/>
      <c r="Z11" s="1333"/>
      <c r="AA11" s="1333"/>
      <c r="AB11" s="1333"/>
      <c r="AC11" s="1333"/>
      <c r="AD11" s="1333"/>
      <c r="AE11" s="1333"/>
      <c r="AF11" s="1333"/>
      <c r="AG11" s="1333"/>
      <c r="AH11" s="1333"/>
      <c r="AI11" s="1333"/>
      <c r="AJ11" s="1333"/>
    </row>
    <row r="12" spans="1:48" hidden="1" x14ac:dyDescent="0.25">
      <c r="A12" s="1342"/>
      <c r="I12" s="264"/>
      <c r="J12" s="62"/>
      <c r="K12" s="62"/>
      <c r="L12" s="1351"/>
      <c r="M12" s="1351"/>
      <c r="N12" s="1333"/>
      <c r="O12" s="1333"/>
      <c r="P12" s="1333"/>
      <c r="Q12" s="1333"/>
      <c r="R12" s="1333"/>
      <c r="S12" s="1333"/>
      <c r="T12" s="1333"/>
      <c r="U12" s="1333"/>
      <c r="V12" s="1333"/>
      <c r="W12" s="1333"/>
      <c r="X12" s="1333"/>
      <c r="Y12" s="1333"/>
      <c r="Z12" s="1333"/>
      <c r="AA12" s="1333"/>
      <c r="AB12" s="1333"/>
      <c r="AC12" s="1333"/>
      <c r="AD12" s="1333"/>
      <c r="AE12" s="1333"/>
      <c r="AF12" s="1333"/>
      <c r="AG12" s="1333"/>
      <c r="AH12" s="1333"/>
      <c r="AI12" s="1333"/>
      <c r="AJ12" s="1333"/>
    </row>
    <row r="13" spans="1:48" ht="6" customHeight="1" thickTop="1" x14ac:dyDescent="0.25">
      <c r="A13" s="1367"/>
      <c r="I13" s="264"/>
      <c r="J13" s="140"/>
      <c r="K13" s="140"/>
      <c r="L13" s="1369"/>
      <c r="M13" s="1369"/>
      <c r="N13" s="1333"/>
      <c r="O13" s="1333"/>
      <c r="P13" s="1333"/>
      <c r="Q13" s="1333"/>
      <c r="R13" s="1333"/>
      <c r="S13" s="1333"/>
      <c r="T13" s="1333"/>
      <c r="U13" s="1333"/>
      <c r="V13" s="1333"/>
      <c r="W13" s="1333"/>
      <c r="X13" s="1333"/>
      <c r="Y13" s="1333"/>
      <c r="Z13" s="1333"/>
      <c r="AA13" s="1333"/>
      <c r="AB13" s="1333"/>
      <c r="AC13" s="1333"/>
      <c r="AD13" s="1333"/>
      <c r="AE13" s="1333"/>
      <c r="AF13" s="1333"/>
      <c r="AG13" s="1333"/>
      <c r="AH13" s="1333"/>
      <c r="AI13" s="1333"/>
      <c r="AJ13" s="1333"/>
    </row>
    <row r="14" spans="1:48" ht="6" customHeight="1" x14ac:dyDescent="0.25">
      <c r="A14" s="1331"/>
      <c r="B14" s="119"/>
      <c r="C14" s="120"/>
      <c r="D14" s="121"/>
      <c r="E14" s="121"/>
      <c r="F14" s="121"/>
      <c r="G14" s="122"/>
      <c r="H14" s="123"/>
      <c r="I14" s="124"/>
      <c r="L14" s="1333"/>
      <c r="M14" s="1333"/>
      <c r="N14" s="1333"/>
      <c r="O14" s="1333"/>
      <c r="P14" s="1333"/>
      <c r="Q14" s="1333"/>
      <c r="R14" s="1333"/>
      <c r="S14" s="1333"/>
      <c r="T14" s="1333"/>
      <c r="U14" s="1333"/>
      <c r="V14" s="1333"/>
      <c r="W14" s="1333"/>
      <c r="X14" s="1333"/>
      <c r="Y14" s="1333"/>
      <c r="Z14" s="1333"/>
      <c r="AA14" s="1333"/>
      <c r="AB14" s="1333"/>
      <c r="AC14" s="1333"/>
      <c r="AD14" s="1333"/>
      <c r="AE14" s="1333"/>
      <c r="AF14" s="1333"/>
      <c r="AG14" s="1333"/>
      <c r="AH14" s="1333"/>
      <c r="AI14" s="1333"/>
      <c r="AJ14" s="1333"/>
    </row>
    <row r="15" spans="1:48" ht="18.75" customHeight="1" x14ac:dyDescent="0.3">
      <c r="A15" s="2291" t="str">
        <f>IF(DD_apply="Yes","DD list of applicability","-")</f>
        <v>DD list of applicability</v>
      </c>
      <c r="B15" s="125"/>
      <c r="C15" s="2297" t="str">
        <f>CONCATENATE(Project_No," - ",Project_Name)</f>
        <v>U12345 - Davenport Hall Addition &amp; Remodel - Example</v>
      </c>
      <c r="D15" s="2297"/>
      <c r="E15" s="2297"/>
      <c r="F15" s="2297"/>
      <c r="G15" s="2297"/>
      <c r="H15" s="2297"/>
      <c r="I15" s="126"/>
      <c r="J15" s="141"/>
      <c r="K15" s="2301" t="str">
        <f>IF(CD50_apply="Yes","Check match w/ DD list","-")</f>
        <v>Check match w/ DD list</v>
      </c>
      <c r="L15" s="1378" t="str">
        <f ca="1">CONCATENATE(IF(ISNUMBER(SEARCH("INSERT",C15))=TRUE,"&lt;----Fill in information in tab [","&lt;----ECHOED from Tab ["),MID(CELL("filename",'A-Info, Phases, Recip.'!D4),FIND("]",CELL("filename",'A-Info, Phases, Recip.'!D4))+1,255),"]")</f>
        <v>&lt;----ECHOED from Tab [A-Info, Phases, Recip.]</v>
      </c>
      <c r="M15" s="1333"/>
      <c r="N15" s="1333"/>
      <c r="O15" s="1333"/>
      <c r="P15" s="1333"/>
      <c r="Q15" s="1333"/>
      <c r="R15" s="1333"/>
      <c r="S15" s="1333"/>
      <c r="T15" s="1333"/>
      <c r="U15" s="1333"/>
      <c r="V15" s="1333"/>
      <c r="W15" s="1333"/>
      <c r="X15" s="1333"/>
      <c r="Y15" s="1333"/>
      <c r="Z15" s="1333"/>
      <c r="AA15" s="1333"/>
      <c r="AB15" s="1333"/>
      <c r="AC15" s="1333"/>
      <c r="AD15" s="1333"/>
      <c r="AE15" s="1333"/>
      <c r="AF15" s="1333"/>
      <c r="AG15" s="1333"/>
      <c r="AH15" s="1333"/>
      <c r="AI15" s="1333"/>
      <c r="AJ15" s="1333"/>
    </row>
    <row r="16" spans="1:48" ht="18.75" x14ac:dyDescent="0.3">
      <c r="A16" s="2291"/>
      <c r="B16" s="125"/>
      <c r="C16" s="2054" t="str">
        <f>IF(OR(Design="Design does not apply",Construction="Construction does not apply",Feasibility_Concept="Conceptualization Only",Feasibility_Concept="Feasibility Study"),"NO DESIGN - 50% CD DOES NOT APPLY",IF(CD50_apply="NO","50% CD DOES NOT APPLY",CONCATENATE(VLOOKUP(_50CD_placeholder,'A-Info, Phases, Recip.'!$E$126:$F$141,2,FALSE)," - PSC Minimum List of Deliverables")))</f>
        <v>50% CD - PSC Minimum List of Deliverables</v>
      </c>
      <c r="D16" s="2054"/>
      <c r="E16" s="2054"/>
      <c r="F16" s="2054"/>
      <c r="G16" s="2054"/>
      <c r="H16" s="2054"/>
      <c r="I16" s="126"/>
      <c r="J16" s="141"/>
      <c r="K16" s="2301"/>
      <c r="L16" s="1442" t="str">
        <f ca="1">CONCATENATE("&lt;----Phase Applicability chosen in Tab [",MID(CELL("filename",'A-Info, Phases, Recip.'!D4),FIND("]",CELL("filename",'A-Info, Phases, Recip.'!D4))+1,255),"]")</f>
        <v>&lt;----Phase Applicability chosen in Tab [A-Info, Phases, Recip.]</v>
      </c>
      <c r="M16" s="1333"/>
      <c r="N16" s="1333"/>
      <c r="O16" s="1333"/>
      <c r="P16" s="1333"/>
      <c r="Q16" s="1333"/>
      <c r="R16" s="1333"/>
      <c r="S16" s="1333"/>
      <c r="T16" s="1333"/>
      <c r="U16" s="1333"/>
      <c r="V16" s="1333"/>
      <c r="W16" s="1333"/>
      <c r="X16" s="1333"/>
      <c r="Y16" s="1333"/>
      <c r="Z16" s="1333"/>
      <c r="AA16" s="1333"/>
      <c r="AB16" s="1333"/>
      <c r="AC16" s="1333"/>
      <c r="AD16" s="1333"/>
      <c r="AE16" s="1333"/>
      <c r="AF16" s="1333"/>
      <c r="AG16" s="1333"/>
      <c r="AH16" s="1333"/>
      <c r="AI16" s="1333"/>
      <c r="AJ16" s="1333"/>
    </row>
    <row r="17" spans="1:48" s="542" customFormat="1" ht="7.5" customHeight="1" x14ac:dyDescent="0.3">
      <c r="A17" s="2291"/>
      <c r="B17" s="125"/>
      <c r="C17" s="1047"/>
      <c r="D17" s="1047"/>
      <c r="E17" s="1047"/>
      <c r="F17" s="1047"/>
      <c r="G17" s="1047"/>
      <c r="H17" s="1047"/>
      <c r="I17" s="126"/>
      <c r="J17" s="141"/>
      <c r="K17" s="2301"/>
      <c r="L17" s="1442"/>
      <c r="M17" s="1333"/>
      <c r="N17" s="1333"/>
      <c r="O17" s="1333"/>
      <c r="P17" s="1333"/>
      <c r="Q17" s="1333"/>
      <c r="R17" s="1333"/>
      <c r="S17" s="1333"/>
      <c r="T17" s="1333"/>
      <c r="U17" s="1333"/>
      <c r="V17" s="1333"/>
      <c r="W17" s="1333"/>
      <c r="X17" s="1333"/>
      <c r="Y17" s="1333"/>
      <c r="Z17" s="1333"/>
      <c r="AA17" s="1333"/>
      <c r="AB17" s="1333"/>
      <c r="AC17" s="1333"/>
      <c r="AD17" s="1333"/>
      <c r="AE17" s="1333"/>
      <c r="AF17" s="1333"/>
      <c r="AG17" s="1333"/>
      <c r="AH17" s="1333"/>
      <c r="AI17" s="1333"/>
      <c r="AJ17" s="1333"/>
      <c r="AK17" s="17"/>
      <c r="AL17" s="17"/>
      <c r="AM17" s="17"/>
      <c r="AN17" s="17"/>
      <c r="AO17" s="17"/>
      <c r="AP17" s="17"/>
      <c r="AQ17" s="17"/>
      <c r="AR17" s="17"/>
      <c r="AS17" s="17"/>
      <c r="AT17" s="17"/>
      <c r="AU17" s="17"/>
      <c r="AV17" s="17"/>
    </row>
    <row r="18" spans="1:48" ht="11.1" customHeight="1" x14ac:dyDescent="0.25">
      <c r="A18" s="2291"/>
      <c r="B18" s="125"/>
      <c r="C18" s="2055" t="str">
        <f>CONCATENATE("Const. Delivery = ",Const_Delivery_Method," ; Const. Type = ",Const_Type,"; LEED Goal = ",IF(LEED_Goal="none","N/A",LEED_Goal),"; Bldg, lot, or Utility: ",Bldg_No_or_Utility)</f>
        <v>Const. Delivery = BID ; Const. Type = Remodeling/Addition; LEED Goal = Silver - Certified; Bldg, lot, or Utility: 0001</v>
      </c>
      <c r="D18" s="2055"/>
      <c r="E18" s="2055"/>
      <c r="F18" s="2055"/>
      <c r="G18" s="2055"/>
      <c r="H18" s="2055"/>
      <c r="I18" s="127"/>
      <c r="J18" s="141"/>
      <c r="K18" s="2301"/>
      <c r="L18" s="1378" t="str">
        <f ca="1">CONCATENATE(IF(OR(ISNUMBER(SEARCH("Select",C18))=TRUE,ISNUMBER(SEARCH("Choose",D18))=TRUE,ISNUMBER(SEARCH("####",C18))=TRUE),"&lt;----Fill in information in tab [","&lt;----ECHOED from Tab ["),MID(CELL("filename",'A-Info, Phases, Recip.'!D6),FIND("]",CELL("filename",'A-Info, Phases, Recip.'!D6))+1,255),"]")</f>
        <v>&lt;----ECHOED from Tab [A-Info, Phases, Recip.]</v>
      </c>
      <c r="M18" s="1333"/>
      <c r="N18" s="1333"/>
      <c r="O18" s="1333"/>
      <c r="P18" s="1333"/>
      <c r="Q18" s="1333"/>
      <c r="R18" s="1333"/>
      <c r="S18" s="1509" t="s">
        <v>33</v>
      </c>
      <c r="T18" s="1509" t="s">
        <v>33</v>
      </c>
      <c r="U18" s="1333"/>
      <c r="V18" s="1333"/>
      <c r="W18" s="1333"/>
      <c r="X18" s="1333"/>
      <c r="Y18" s="1333"/>
      <c r="Z18" s="1333"/>
      <c r="AA18" s="1333"/>
      <c r="AB18" s="1333"/>
      <c r="AC18" s="1333"/>
      <c r="AD18" s="1333"/>
      <c r="AE18" s="1333"/>
      <c r="AF18" s="1333"/>
      <c r="AG18" s="1333"/>
      <c r="AH18" s="1333"/>
      <c r="AI18" s="1333"/>
      <c r="AJ18" s="1333"/>
    </row>
    <row r="19" spans="1:48" ht="11.1" customHeight="1" x14ac:dyDescent="0.25">
      <c r="A19" s="2291"/>
      <c r="B19" s="125"/>
      <c r="C19" s="2057" t="str">
        <f>CONCATENATE("Master Template last updated on: ",TEXT(Form_Update,"MM/DD/YYYY"),".  Struck out text is not required.")</f>
        <v>Master Template last updated on: 08/31/2020.  Struck out text is not required.</v>
      </c>
      <c r="D19" s="2057"/>
      <c r="E19" s="2057"/>
      <c r="F19" s="2057"/>
      <c r="G19" s="2057"/>
      <c r="H19" s="2057"/>
      <c r="I19" s="128"/>
      <c r="J19" s="141"/>
      <c r="K19" s="2301"/>
      <c r="L19" s="1333"/>
      <c r="M19" s="1333"/>
      <c r="N19" s="1333"/>
      <c r="O19" s="1333"/>
      <c r="P19" s="1333"/>
      <c r="Q19" s="1333"/>
      <c r="R19" s="1333"/>
      <c r="S19" s="1509" t="s">
        <v>33</v>
      </c>
      <c r="T19" s="1509" t="s">
        <v>33</v>
      </c>
      <c r="U19" s="1333"/>
      <c r="V19" s="1333"/>
      <c r="W19" s="1333"/>
      <c r="X19" s="1333"/>
      <c r="Y19" s="1333"/>
      <c r="Z19" s="1333"/>
      <c r="AA19" s="1333"/>
      <c r="AB19" s="1333"/>
      <c r="AC19" s="1333"/>
      <c r="AD19" s="1333"/>
      <c r="AE19" s="1333"/>
      <c r="AF19" s="1333"/>
      <c r="AG19" s="1333"/>
      <c r="AH19" s="1333"/>
      <c r="AI19" s="1333"/>
      <c r="AJ19" s="1333"/>
      <c r="AU19"/>
      <c r="AV19"/>
    </row>
    <row r="20" spans="1:48" ht="9" customHeight="1" x14ac:dyDescent="0.25">
      <c r="A20" s="2291"/>
      <c r="B20" s="125"/>
      <c r="C20" s="18"/>
      <c r="D20" s="21"/>
      <c r="E20" s="21"/>
      <c r="F20" s="21"/>
      <c r="G20" s="129"/>
      <c r="H20" s="62"/>
      <c r="I20" s="130"/>
      <c r="J20" s="141"/>
      <c r="K20" s="2301"/>
      <c r="L20" s="1333"/>
      <c r="M20" s="1333"/>
      <c r="N20" s="1333"/>
      <c r="O20" s="1333"/>
      <c r="P20" s="1333"/>
      <c r="Q20" s="1333"/>
      <c r="R20" s="1333"/>
      <c r="S20" s="1509" t="s">
        <v>33</v>
      </c>
      <c r="T20" s="1509" t="s">
        <v>33</v>
      </c>
      <c r="U20" s="1333"/>
      <c r="V20" s="1333"/>
      <c r="W20" s="1333"/>
      <c r="X20" s="1333"/>
      <c r="Y20" s="1333"/>
      <c r="Z20" s="1333"/>
      <c r="AA20" s="1333"/>
      <c r="AB20" s="1333"/>
      <c r="AC20" s="1333"/>
      <c r="AD20" s="1333"/>
      <c r="AE20" s="1333"/>
      <c r="AF20" s="1333"/>
      <c r="AG20" s="1333"/>
      <c r="AH20" s="1333"/>
      <c r="AI20" s="1333"/>
      <c r="AJ20" s="1333"/>
    </row>
    <row r="21" spans="1:48" ht="12.75" customHeight="1" x14ac:dyDescent="0.25">
      <c r="A21" s="2291"/>
      <c r="B21" s="125"/>
      <c r="C21" s="2276">
        <f>IF(Date_edited_TAB_C="","",Date_edited_TAB_C)</f>
        <v>44069</v>
      </c>
      <c r="D21" s="2276"/>
      <c r="E21" s="348"/>
      <c r="F21" s="2277" t="str">
        <f>IF(Edit_by_Entity_TAB_C="","",Edit_by_Entity_TAB_C)</f>
        <v>PM</v>
      </c>
      <c r="G21" s="2277"/>
      <c r="H21" s="99" t="str">
        <f>IF(Editor_Name_TAB_C="","",Editor_Name_TAB_C)</f>
        <v>Smith</v>
      </c>
      <c r="I21" s="128"/>
      <c r="J21" s="141"/>
      <c r="K21" s="2301"/>
      <c r="L21" s="1443" t="str">
        <f ca="1">CONCATENATE("&lt;----Enter/Update ''EDIT DATE'' / ''ENTITY'' / ''EDITOR NAME'' in TAB [",MID(CELL("filename",Date_edited_TAB_C),FIND("]",CELL("filename",Date_edited_TAB_C))+1,255),"]")</f>
        <v>&lt;----Enter/Update ''EDIT DATE'' / ''ENTITY'' / ''EDITOR NAME'' in TAB [C-Design&amp;Const]</v>
      </c>
      <c r="M21" s="1333"/>
      <c r="N21" s="1333"/>
      <c r="O21" s="1333"/>
      <c r="P21" s="1333"/>
      <c r="Q21" s="1333"/>
      <c r="R21" s="1333"/>
      <c r="S21" s="1509" t="s">
        <v>33</v>
      </c>
      <c r="T21" s="1509" t="s">
        <v>33</v>
      </c>
      <c r="U21" s="1333"/>
      <c r="V21" s="1333"/>
      <c r="W21" s="1333"/>
      <c r="X21" s="1333"/>
      <c r="Y21" s="1333"/>
      <c r="Z21" s="1333"/>
      <c r="AA21" s="1333"/>
      <c r="AB21" s="1333"/>
      <c r="AC21" s="1333"/>
      <c r="AD21" s="1333"/>
      <c r="AE21" s="1333"/>
      <c r="AF21" s="1333"/>
      <c r="AG21" s="1333"/>
      <c r="AH21" s="1333"/>
      <c r="AI21" s="1333"/>
      <c r="AJ21" s="1333"/>
    </row>
    <row r="22" spans="1:48" ht="15" customHeight="1" x14ac:dyDescent="0.25">
      <c r="A22" s="2291"/>
      <c r="B22" s="125"/>
      <c r="C22" s="2060" t="s">
        <v>106</v>
      </c>
      <c r="D22" s="2060"/>
      <c r="E22" s="21"/>
      <c r="F22" s="2060" t="s">
        <v>267</v>
      </c>
      <c r="G22" s="2060"/>
      <c r="H22" s="114" t="s">
        <v>110</v>
      </c>
      <c r="I22" s="128"/>
      <c r="J22" s="141"/>
      <c r="K22" s="2301"/>
      <c r="L22" s="1333"/>
      <c r="M22" s="1333"/>
      <c r="N22" s="1333"/>
      <c r="O22" s="1333"/>
      <c r="P22" s="1333"/>
      <c r="Q22" s="1333"/>
      <c r="R22" s="1333"/>
      <c r="S22" s="1509" t="s">
        <v>33</v>
      </c>
      <c r="T22" s="1509" t="s">
        <v>33</v>
      </c>
      <c r="U22" s="1333"/>
      <c r="V22" s="1333"/>
      <c r="W22" s="1333"/>
      <c r="X22" s="1333"/>
      <c r="Y22" s="1333"/>
      <c r="Z22" s="1333"/>
      <c r="AA22" s="1333"/>
      <c r="AB22" s="1333"/>
      <c r="AC22" s="1333"/>
      <c r="AD22" s="1333"/>
      <c r="AE22" s="1333"/>
      <c r="AF22" s="1333"/>
      <c r="AG22" s="1333"/>
      <c r="AH22" s="1333"/>
      <c r="AI22" s="1333"/>
      <c r="AJ22" s="1333"/>
    </row>
    <row r="23" spans="1:48" ht="27.6" customHeight="1" thickBot="1" x14ac:dyDescent="0.3">
      <c r="A23" s="2291"/>
      <c r="B23" s="125"/>
      <c r="C23" s="24" t="s">
        <v>100</v>
      </c>
      <c r="D23" s="2298" t="s">
        <v>36</v>
      </c>
      <c r="E23" s="2298"/>
      <c r="F23" s="2298"/>
      <c r="G23" s="2299" t="s">
        <v>783</v>
      </c>
      <c r="H23" s="2300"/>
      <c r="I23" s="131"/>
      <c r="J23" s="418" t="s">
        <v>389</v>
      </c>
      <c r="K23" s="2301"/>
      <c r="L23" s="1379" t="s">
        <v>48</v>
      </c>
      <c r="M23" s="1379"/>
      <c r="N23" s="1379"/>
      <c r="O23" s="1379"/>
      <c r="P23" s="1333"/>
      <c r="Q23" s="1333"/>
      <c r="R23" s="1333"/>
      <c r="S23" s="1333"/>
      <c r="T23" s="1333"/>
      <c r="U23" s="1333"/>
      <c r="V23" s="1333"/>
      <c r="W23" s="1333"/>
      <c r="X23" s="1333"/>
      <c r="Y23" s="1333"/>
      <c r="Z23" s="1333"/>
      <c r="AA23" s="1333"/>
      <c r="AB23" s="1333"/>
      <c r="AC23" s="1333"/>
      <c r="AD23" s="1333"/>
      <c r="AE23" s="1333"/>
      <c r="AF23" s="1333"/>
      <c r="AG23" s="1333"/>
      <c r="AH23" s="1333"/>
      <c r="AI23" s="1333"/>
      <c r="AJ23" s="1333"/>
    </row>
    <row r="24" spans="1:48" s="1" customFormat="1" ht="6.75" customHeight="1" thickTop="1" x14ac:dyDescent="0.25">
      <c r="A24" s="1331"/>
      <c r="B24" s="67"/>
      <c r="C24" s="25"/>
      <c r="D24" s="26"/>
      <c r="E24" s="26"/>
      <c r="F24" s="26"/>
      <c r="G24" s="27"/>
      <c r="H24" s="27"/>
      <c r="I24" s="132"/>
      <c r="J24" s="17"/>
      <c r="K24" s="13"/>
      <c r="L24" s="1333"/>
      <c r="M24" s="1333"/>
      <c r="N24" s="1333"/>
      <c r="O24" s="1333"/>
      <c r="P24" s="1333"/>
      <c r="Q24" s="1333"/>
      <c r="R24" s="1333"/>
      <c r="S24" s="1333"/>
      <c r="T24" s="1333"/>
      <c r="U24" s="1333"/>
      <c r="V24" s="1333"/>
      <c r="W24" s="1333"/>
      <c r="X24" s="1333"/>
      <c r="Y24" s="1333"/>
      <c r="Z24" s="1333"/>
      <c r="AA24" s="1333"/>
      <c r="AB24" s="1333"/>
      <c r="AC24" s="1333"/>
      <c r="AD24" s="1333"/>
      <c r="AE24" s="1333"/>
      <c r="AF24" s="1333"/>
      <c r="AG24" s="1333"/>
      <c r="AH24" s="1333"/>
      <c r="AI24" s="1333"/>
      <c r="AJ24" s="1333"/>
      <c r="AK24" s="13"/>
      <c r="AL24" s="13"/>
      <c r="AM24" s="13"/>
      <c r="AN24" s="13"/>
      <c r="AO24" s="13"/>
      <c r="AP24" s="13"/>
      <c r="AQ24" s="13"/>
      <c r="AR24" s="13"/>
      <c r="AS24" s="13"/>
      <c r="AT24" s="13"/>
      <c r="AU24" s="13"/>
      <c r="AV24" s="13"/>
    </row>
    <row r="25" spans="1:48" s="181" customFormat="1" ht="18.75" x14ac:dyDescent="0.25">
      <c r="A25" s="1501" t="str">
        <f>IF(DD_apply="Yes",IF(COUNTIF('02 - DD'!D25:G25,"Y")&gt;0,"Y",IF(COUNTIF('02 - DD'!D25:G25,"N"),"N","")),"")</f>
        <v>Y</v>
      </c>
      <c r="B25" s="177"/>
      <c r="C25" s="945"/>
      <c r="D25" s="559" t="str">
        <f>IF('C-Design&amp;Const'!$M25="","",'C-Design&amp;Const'!$M25)</f>
        <v>Y</v>
      </c>
      <c r="E25" s="234"/>
      <c r="F25" s="235"/>
      <c r="G25" s="291" t="str">
        <f>IF('C-Design&amp;Const'!Y25="","",'C-Design&amp;Const'!Y25)</f>
        <v>00. *</v>
      </c>
      <c r="H25" s="290" t="str">
        <f>(CONCATENATE('C-Design&amp;Const'!Z25,IF(D25="N"," Not Used In This Design Phase",J25)))</f>
        <v>Minimum List of Deliverables - Current</v>
      </c>
      <c r="I25" s="184"/>
      <c r="J25" s="578" t="str">
        <f>IF('C-Design&amp;Const'!AG25="","",'C-Design&amp;Const'!AG25)</f>
        <v xml:space="preserve"> - Current</v>
      </c>
      <c r="K25" s="285" t="str">
        <f>IF(CD50_apply="Yes",IF((COUNTIF(D25:G25,"Y")=COUNTIF('02 - DD'!D25:G25,"Y")),"match","no DD match"),"-")</f>
        <v>match</v>
      </c>
      <c r="L25" s="1410" t="str">
        <f t="shared" ref="L25:L40" si="0">CONCATENATE(IF(ISNUMBER(SEARCH("Placeholder",H25))=TRUE,"&lt;---PM/Planner may hide PLACEHOLDER ROW",""))</f>
        <v/>
      </c>
      <c r="M25" s="1382"/>
      <c r="N25" s="1382"/>
      <c r="O25" s="1382"/>
      <c r="P25" s="1382"/>
      <c r="Q25" s="1447"/>
      <c r="R25" s="1448"/>
      <c r="S25" s="1274"/>
      <c r="T25" s="1382"/>
      <c r="U25" s="1382"/>
      <c r="V25" s="1382"/>
      <c r="W25" s="1382"/>
      <c r="X25" s="1382"/>
      <c r="Y25" s="1382"/>
      <c r="Z25" s="1382"/>
      <c r="AA25" s="1382"/>
      <c r="AB25" s="1382"/>
      <c r="AC25" s="1382"/>
      <c r="AD25" s="1382"/>
      <c r="AE25" s="1382"/>
      <c r="AF25" s="1382"/>
      <c r="AG25" s="1382"/>
      <c r="AH25" s="1382"/>
      <c r="AI25" s="1382"/>
      <c r="AJ25" s="1382"/>
    </row>
    <row r="26" spans="1:48" s="181" customFormat="1" ht="16.5" customHeight="1" x14ac:dyDescent="0.25">
      <c r="A26" s="1516" t="str">
        <f>IF(DD_apply="Yes",IF(COUNTIF('02 - DD'!D26:G26,"Y")&gt;0,"Y",IF(COUNTIF('02 - DD'!D26:G26,"N"),"N","")),"")</f>
        <v/>
      </c>
      <c r="B26" s="177"/>
      <c r="C26" s="945"/>
      <c r="D26" s="411"/>
      <c r="E26" s="411"/>
      <c r="F26" s="411"/>
      <c r="G26" s="511"/>
      <c r="H26" s="455"/>
      <c r="I26" s="186"/>
      <c r="J26" s="578" t="str">
        <f>IF('C-Design&amp;Const'!AG26="","",'C-Design&amp;Const'!AG26)</f>
        <v/>
      </c>
      <c r="K26" s="285" t="str">
        <f>IF(CD50_apply="Yes",IF((COUNTIF(D26:G26,"Y")=COUNTIF('02 - DD'!D26:G26,"Y")),"match","no DD match"),"-")</f>
        <v>match</v>
      </c>
      <c r="L26" s="1410" t="str">
        <f t="shared" si="0"/>
        <v/>
      </c>
      <c r="M26" s="1382"/>
      <c r="N26" s="1382"/>
      <c r="O26" s="1382"/>
      <c r="P26" s="1382"/>
      <c r="Q26" s="1492"/>
      <c r="R26" s="1274"/>
      <c r="S26" s="1274"/>
      <c r="T26" s="1382"/>
      <c r="U26" s="1382"/>
      <c r="V26" s="1382"/>
      <c r="W26" s="1382"/>
      <c r="X26" s="1382"/>
      <c r="Y26" s="1382"/>
      <c r="Z26" s="1382"/>
      <c r="AA26" s="1382"/>
      <c r="AB26" s="1382"/>
      <c r="AC26" s="1382"/>
      <c r="AD26" s="1382"/>
      <c r="AE26" s="1382"/>
      <c r="AF26" s="1382"/>
      <c r="AG26" s="1382"/>
      <c r="AH26" s="1382"/>
      <c r="AI26" s="1382"/>
      <c r="AJ26" s="1382"/>
    </row>
    <row r="27" spans="1:48" s="181" customFormat="1" ht="37.5" x14ac:dyDescent="0.25">
      <c r="A27" s="1501" t="str">
        <f>IF(DD_apply="Yes",IF(COUNTIF('02 - DD'!D27:G27,"Y")&gt;0,"Y",IF(COUNTIF('02 - DD'!D27:G27,"N"),"N","")),"")</f>
        <v>Y</v>
      </c>
      <c r="B27" s="177"/>
      <c r="C27" s="945"/>
      <c r="D27" s="559" t="str">
        <f>IF('C-Design&amp;Const'!$M27="","",'C-Design&amp;Const'!$M27)</f>
        <v>Y</v>
      </c>
      <c r="E27" s="234"/>
      <c r="F27" s="235"/>
      <c r="G27" s="291" t="str">
        <f>IF('C-Design&amp;Const'!Y27="","",'C-Design&amp;Const'!Y27)</f>
        <v>01.</v>
      </c>
      <c r="H27" s="290" t="str">
        <f>(CONCATENATE('C-Design&amp;Const'!Z27,IF(D27="N"," Not Used In This Design Phase",J27)))</f>
        <v>Construction Cost Estimate - Quantity Takeoff in CSI Format (Complete with Bid Alts.)</v>
      </c>
      <c r="I27" s="184"/>
      <c r="J27" s="578" t="str">
        <f>IF('C-Design&amp;Const'!AG27="","",'C-Design&amp;Const'!AG27)</f>
        <v xml:space="preserve"> - Quantity Takeoff in CSI Format (Complete with Bid Alts.)</v>
      </c>
      <c r="K27" s="285" t="str">
        <f>IF(CD50_apply="Yes",IF((COUNTIF(D27:G27,"Y")=COUNTIF('02 - DD'!D27:G27,"Y")),"match","no DD match"),"-")</f>
        <v>match</v>
      </c>
      <c r="L27" s="1410" t="str">
        <f t="shared" si="0"/>
        <v/>
      </c>
      <c r="M27" s="1382"/>
      <c r="N27" s="1382"/>
      <c r="O27" s="1382"/>
      <c r="P27" s="1382"/>
      <c r="Q27" s="1447"/>
      <c r="R27" s="1448"/>
      <c r="S27" s="1274"/>
      <c r="T27" s="1382"/>
      <c r="U27" s="1382"/>
      <c r="V27" s="1382"/>
      <c r="W27" s="1382"/>
      <c r="X27" s="1382"/>
      <c r="Y27" s="1382"/>
      <c r="Z27" s="1382"/>
      <c r="AA27" s="1382"/>
      <c r="AB27" s="1382"/>
      <c r="AC27" s="1382"/>
      <c r="AD27" s="1382"/>
      <c r="AE27" s="1382"/>
      <c r="AF27" s="1382"/>
      <c r="AG27" s="1382"/>
      <c r="AH27" s="1382"/>
      <c r="AI27" s="1382"/>
      <c r="AJ27" s="1382"/>
    </row>
    <row r="28" spans="1:48" s="551" customFormat="1" ht="15" customHeight="1" x14ac:dyDescent="0.25">
      <c r="A28" s="1501"/>
      <c r="B28" s="549"/>
      <c r="C28" s="945"/>
      <c r="D28" s="463"/>
      <c r="E28" s="359" t="str">
        <f>IF('C-Design&amp;Const'!$M28="","",'C-Design&amp;Const'!$M28)</f>
        <v>Y</v>
      </c>
      <c r="F28" s="235"/>
      <c r="G28" s="291"/>
      <c r="H28" s="325" t="str">
        <f>CONCATENATE(IF(ISNUMBER(SEARCH("Placeholder",'C-Design&amp;Const'!Z28))=TRUE,"",IF(E28="N","PLACEHOLDER ROW - ","")),'C-Design&amp;Const'!Z28,IF(E28="N","",J28))</f>
        <v xml:space="preserve">Construction Cost Estimate (Updates to) </v>
      </c>
      <c r="I28" s="552"/>
      <c r="J28" s="578" t="str">
        <f>IF('C-Design&amp;Const'!AG28="","",'C-Design&amp;Const'!AG28)</f>
        <v xml:space="preserve"> (Updates to) </v>
      </c>
      <c r="K28" s="285" t="str">
        <f>IF(CD50_apply="Yes",IF((COUNTIF(D28:G28,"Y")=COUNTIF('02 - DD'!D28:G28,"Y")),"match","no DD match"),"-")</f>
        <v>match</v>
      </c>
      <c r="L28" s="1410"/>
      <c r="M28" s="1382"/>
      <c r="N28" s="1382"/>
      <c r="O28" s="1382"/>
      <c r="P28" s="1382"/>
      <c r="Q28" s="1447"/>
      <c r="R28" s="1448"/>
      <c r="S28" s="1274"/>
      <c r="T28" s="1382"/>
      <c r="U28" s="1382"/>
      <c r="V28" s="1382"/>
      <c r="W28" s="1382"/>
      <c r="X28" s="1382"/>
      <c r="Y28" s="1382"/>
      <c r="Z28" s="1382"/>
      <c r="AA28" s="1382"/>
      <c r="AB28" s="1382"/>
      <c r="AC28" s="1382"/>
      <c r="AD28" s="1382"/>
      <c r="AE28" s="1382"/>
      <c r="AF28" s="1382"/>
      <c r="AG28" s="1382"/>
      <c r="AH28" s="1382"/>
      <c r="AI28" s="1382"/>
      <c r="AJ28" s="1382"/>
    </row>
    <row r="29" spans="1:48" s="551" customFormat="1" ht="15" customHeight="1" x14ac:dyDescent="0.25">
      <c r="A29" s="1501"/>
      <c r="B29" s="549"/>
      <c r="C29" s="945"/>
      <c r="D29" s="463"/>
      <c r="E29" s="359" t="str">
        <f>IF('C-Design&amp;Const'!$M29="","",'C-Design&amp;Const'!$M29)</f>
        <v>Y</v>
      </c>
      <c r="F29" s="235"/>
      <c r="G29" s="291"/>
      <c r="H29" s="325" t="str">
        <f>CONCATENATE(IF(ISNUMBER(SEARCH("Placeholder",'C-Design&amp;Const'!Z29))=TRUE,"",IF(E29="N","PLACEHOLDER ROW - ","")),'C-Design&amp;Const'!Z29,IF(E29="N","",J29))</f>
        <v xml:space="preserve">Reconciliation with Owner's 3rd party estimater (Updates to) </v>
      </c>
      <c r="I29" s="552"/>
      <c r="J29" s="578" t="str">
        <f>IF('C-Design&amp;Const'!AG29="","",'C-Design&amp;Const'!AG29)</f>
        <v xml:space="preserve"> (Updates to) </v>
      </c>
      <c r="K29" s="285" t="str">
        <f>IF(CD50_apply="Yes",IF((COUNTIF(D29:G29,"Y")=COUNTIF('02 - DD'!D29:G29,"Y")),"match","no DD match"),"-")</f>
        <v>match</v>
      </c>
      <c r="L29" s="1410"/>
      <c r="M29" s="1382"/>
      <c r="N29" s="1382"/>
      <c r="O29" s="1382"/>
      <c r="P29" s="1382"/>
      <c r="Q29" s="1447"/>
      <c r="R29" s="1448"/>
      <c r="S29" s="1274"/>
      <c r="T29" s="1382"/>
      <c r="U29" s="1382"/>
      <c r="V29" s="1382"/>
      <c r="W29" s="1382"/>
      <c r="X29" s="1382"/>
      <c r="Y29" s="1382"/>
      <c r="Z29" s="1382"/>
      <c r="AA29" s="1382"/>
      <c r="AB29" s="1382"/>
      <c r="AC29" s="1382"/>
      <c r="AD29" s="1382"/>
      <c r="AE29" s="1382"/>
      <c r="AF29" s="1382"/>
      <c r="AG29" s="1382"/>
      <c r="AH29" s="1382"/>
      <c r="AI29" s="1382"/>
      <c r="AJ29" s="1382"/>
    </row>
    <row r="30" spans="1:48" s="551" customFormat="1" ht="15" customHeight="1" x14ac:dyDescent="0.25">
      <c r="A30" s="1501"/>
      <c r="B30" s="549"/>
      <c r="C30" s="945"/>
      <c r="D30" s="463"/>
      <c r="E30" s="359" t="str">
        <f>IF('C-Design&amp;Const'!$M30="","",'C-Design&amp;Const'!$M30)</f>
        <v>N</v>
      </c>
      <c r="F30" s="235"/>
      <c r="G30" s="291"/>
      <c r="H30" s="1967" t="str">
        <f>CONCATENATE(IF(ISNUMBER(SEARCH("Placeholder",'C-Design&amp;Const'!Z30))=TRUE,"",IF(E30="N","PLACEHOLDER ROW - ","")),'C-Design&amp;Const'!Z30,IF(E30="N","",J30))</f>
        <v>PLACEHOLDER ROW - CUSTOM ROW - OPTIONAL CLIENT ITEM</v>
      </c>
      <c r="I30" s="552"/>
      <c r="J30" s="578" t="str">
        <f>IF('C-Design&amp;Const'!AG30="","",'C-Design&amp;Const'!AG30)</f>
        <v xml:space="preserve"> (Updates to) </v>
      </c>
      <c r="K30" s="285" t="str">
        <f>IF(CD50_apply="Yes",IF((COUNTIF(D30:G30,"Y")=COUNTIF('02 - DD'!D30:G30,"Y")),"match","no DD match"),"-")</f>
        <v>match</v>
      </c>
      <c r="L30" s="1410"/>
      <c r="M30" s="1382"/>
      <c r="N30" s="1382"/>
      <c r="O30" s="1382"/>
      <c r="P30" s="1382"/>
      <c r="Q30" s="1447"/>
      <c r="R30" s="1448"/>
      <c r="S30" s="1274"/>
      <c r="T30" s="1382"/>
      <c r="U30" s="1382"/>
      <c r="V30" s="1382"/>
      <c r="W30" s="1382"/>
      <c r="X30" s="1382"/>
      <c r="Y30" s="1382"/>
      <c r="Z30" s="1382"/>
      <c r="AA30" s="1382"/>
      <c r="AB30" s="1382"/>
      <c r="AC30" s="1382"/>
      <c r="AD30" s="1382"/>
      <c r="AE30" s="1382"/>
      <c r="AF30" s="1382"/>
      <c r="AG30" s="1382"/>
      <c r="AH30" s="1382"/>
      <c r="AI30" s="1382"/>
      <c r="AJ30" s="1382"/>
    </row>
    <row r="31" spans="1:48" s="181" customFormat="1" ht="19.5" customHeight="1" x14ac:dyDescent="0.25">
      <c r="A31" s="1516" t="str">
        <f>IF(DD_apply="Yes",IF(COUNTIF('02 - DD'!D31:G31,"Y")&gt;0,"Y",IF(COUNTIF('02 - DD'!D31:G31,"N"),"N","")),"")</f>
        <v/>
      </c>
      <c r="B31" s="177"/>
      <c r="C31" s="945"/>
      <c r="D31" s="411"/>
      <c r="E31" s="411"/>
      <c r="F31" s="411"/>
      <c r="G31" s="511"/>
      <c r="H31" s="512" t="str">
        <f>IF(D27="N","",IF('C-Design&amp;Const'!Z31="","",'C-Design&amp;Const'!Z31))</f>
        <v>Estimates for all ADA upgrades and deficiency corrections shall be broken out in an additional estimate</v>
      </c>
      <c r="I31" s="186"/>
      <c r="J31" s="578" t="str">
        <f>IF('C-Design&amp;Const'!AG31="","",'C-Design&amp;Const'!AG31)</f>
        <v/>
      </c>
      <c r="K31" s="285" t="str">
        <f>IF(CD50_apply="Yes",IF((COUNTIF(D31:G31,"Y")=COUNTIF('02 - DD'!D31:G31,"Y")),"match","no DD match"),"-")</f>
        <v>match</v>
      </c>
      <c r="L31" s="1410" t="str">
        <f t="shared" si="0"/>
        <v/>
      </c>
      <c r="M31" s="1382"/>
      <c r="N31" s="1382"/>
      <c r="O31" s="1382"/>
      <c r="P31" s="1382"/>
      <c r="Q31" s="1492"/>
      <c r="R31" s="1274"/>
      <c r="S31" s="1274"/>
      <c r="T31" s="1382"/>
      <c r="U31" s="1382"/>
      <c r="V31" s="1382"/>
      <c r="W31" s="1382"/>
      <c r="X31" s="1382"/>
      <c r="Y31" s="1382"/>
      <c r="Z31" s="1382"/>
      <c r="AA31" s="1382"/>
      <c r="AB31" s="1382"/>
      <c r="AC31" s="1382"/>
      <c r="AD31" s="1382"/>
      <c r="AE31" s="1382"/>
      <c r="AF31" s="1382"/>
      <c r="AG31" s="1382"/>
      <c r="AH31" s="1382"/>
      <c r="AI31" s="1382"/>
      <c r="AJ31" s="1382"/>
    </row>
    <row r="32" spans="1:48" s="181" customFormat="1" ht="18.75" x14ac:dyDescent="0.25">
      <c r="A32" s="1501" t="str">
        <f>IF(DD_apply="Yes",IF(COUNTIF('02 - DD'!D32:G32,"Y")&gt;0,"Y",IF(COUNTIF('02 - DD'!D32:G32,"N"),"N","")),"")</f>
        <v>Y</v>
      </c>
      <c r="B32" s="177"/>
      <c r="C32" s="945"/>
      <c r="D32" s="559" t="str">
        <f>IF('C-Design&amp;Const'!$M32="","",'C-Design&amp;Const'!$M32)</f>
        <v>Y</v>
      </c>
      <c r="E32" s="234"/>
      <c r="F32" s="235"/>
      <c r="G32" s="291" t="str">
        <f>IF('C-Design&amp;Const'!Y32="","",'C-Design&amp;Const'!Y32)</f>
        <v>02. *</v>
      </c>
      <c r="H32" s="290" t="str">
        <f>(CONCATENATE('C-Design&amp;Const'!Z32,IF(D32="N"," Not Used In This Design Phase",J32)))</f>
        <v>Project Schedule - Updated</v>
      </c>
      <c r="I32" s="184"/>
      <c r="J32" s="578" t="str">
        <f>IF('C-Design&amp;Const'!AG32="","",'C-Design&amp;Const'!AG32)</f>
        <v xml:space="preserve"> - Updated</v>
      </c>
      <c r="K32" s="285" t="str">
        <f>IF(CD50_apply="Yes",IF((COUNTIF(D32:G32,"Y")=COUNTIF('02 - DD'!D32:G32,"Y")),"match","no DD match"),"-")</f>
        <v>match</v>
      </c>
      <c r="L32" s="1410" t="str">
        <f t="shared" si="0"/>
        <v/>
      </c>
      <c r="M32" s="1382"/>
      <c r="N32" s="1382"/>
      <c r="O32" s="1382"/>
      <c r="P32" s="1382"/>
      <c r="Q32" s="1447"/>
      <c r="R32" s="1448"/>
      <c r="S32" s="1274"/>
      <c r="T32" s="1382"/>
      <c r="U32" s="1382"/>
      <c r="V32" s="1382"/>
      <c r="W32" s="1382"/>
      <c r="X32" s="1382"/>
      <c r="Y32" s="1382"/>
      <c r="Z32" s="1382"/>
      <c r="AA32" s="1382"/>
      <c r="AB32" s="1382"/>
      <c r="AC32" s="1382"/>
      <c r="AD32" s="1382"/>
      <c r="AE32" s="1382"/>
      <c r="AF32" s="1382"/>
      <c r="AG32" s="1382"/>
      <c r="AH32" s="1382"/>
      <c r="AI32" s="1382"/>
      <c r="AJ32" s="1382"/>
    </row>
    <row r="33" spans="1:49" s="551" customFormat="1" ht="15" customHeight="1" x14ac:dyDescent="0.25">
      <c r="A33" s="1501"/>
      <c r="B33" s="549"/>
      <c r="C33" s="945"/>
      <c r="D33" s="463"/>
      <c r="E33" s="359" t="str">
        <f>IF('C-Design&amp;Const'!$M33="","",'C-Design&amp;Const'!$M33)</f>
        <v>Y</v>
      </c>
      <c r="F33" s="235"/>
      <c r="G33" s="291"/>
      <c r="H33" s="325" t="str">
        <f>CONCATENATE(IF(ISNUMBER(SEARCH("Placeholder",'C-Design&amp;Const'!Z33))=TRUE,"",IF(E33="N","PLACEHOLDER ROW - ","")),'C-Design&amp;Const'!Z33,IF(E33="N","",J33))</f>
        <v xml:space="preserve">Project Schedule (Updates to) </v>
      </c>
      <c r="I33" s="552"/>
      <c r="J33" s="578" t="str">
        <f>IF('C-Design&amp;Const'!AG33="","",'C-Design&amp;Const'!AG33)</f>
        <v xml:space="preserve"> (Updates to) </v>
      </c>
      <c r="K33" s="285" t="str">
        <f>IF(CD50_apply="Yes",IF((COUNTIF(D33:G33,"Y")=COUNTIF('02 - DD'!D33:G33,"Y")),"match","no DD match"),"-")</f>
        <v>match</v>
      </c>
      <c r="L33" s="1410"/>
      <c r="M33" s="1382"/>
      <c r="N33" s="1382"/>
      <c r="O33" s="1382"/>
      <c r="P33" s="1382"/>
      <c r="Q33" s="1447"/>
      <c r="R33" s="1448"/>
      <c r="S33" s="1274"/>
      <c r="T33" s="1382"/>
      <c r="U33" s="1382"/>
      <c r="V33" s="1382"/>
      <c r="W33" s="1382"/>
      <c r="X33" s="1382"/>
      <c r="Y33" s="1382"/>
      <c r="Z33" s="1382"/>
      <c r="AA33" s="1382"/>
      <c r="AB33" s="1382"/>
      <c r="AC33" s="1382"/>
      <c r="AD33" s="1382"/>
      <c r="AE33" s="1382"/>
      <c r="AF33" s="1382"/>
      <c r="AG33" s="1382"/>
      <c r="AH33" s="1382"/>
      <c r="AI33" s="1382"/>
      <c r="AJ33" s="1382"/>
    </row>
    <row r="34" spans="1:49" s="551" customFormat="1" ht="15" customHeight="1" x14ac:dyDescent="0.25">
      <c r="A34" s="1501"/>
      <c r="B34" s="549"/>
      <c r="C34" s="945"/>
      <c r="D34" s="463"/>
      <c r="E34" s="359" t="str">
        <f>IF('C-Design&amp;Const'!$M34="","",'C-Design&amp;Const'!$M34)</f>
        <v>Y</v>
      </c>
      <c r="F34" s="235"/>
      <c r="G34" s="291"/>
      <c r="H34" s="325" t="str">
        <f>CONCATENATE(IF(ISNUMBER(SEARCH("Placeholder",'C-Design&amp;Const'!Z34))=TRUE,"",IF(E34="N","PLACEHOLDER ROW - ","")),'C-Design&amp;Const'!Z34,IF(E34="N","",J34))</f>
        <v xml:space="preserve">Summary of Coordination with Owner's 3rd party scheduler (Updates to) </v>
      </c>
      <c r="I34" s="552"/>
      <c r="J34" s="578" t="str">
        <f>IF('C-Design&amp;Const'!AG34="","",'C-Design&amp;Const'!AG34)</f>
        <v xml:space="preserve"> (Updates to) </v>
      </c>
      <c r="K34" s="285" t="str">
        <f>IF(CD50_apply="Yes",IF((COUNTIF(D34:G34,"Y")=COUNTIF('02 - DD'!D34:G34,"Y")),"match","no DD match"),"-")</f>
        <v>match</v>
      </c>
      <c r="L34" s="1410"/>
      <c r="M34" s="1382"/>
      <c r="N34" s="1382"/>
      <c r="O34" s="1382"/>
      <c r="P34" s="1382"/>
      <c r="Q34" s="1447"/>
      <c r="R34" s="1448"/>
      <c r="S34" s="1274"/>
      <c r="T34" s="1382"/>
      <c r="U34" s="1382"/>
      <c r="V34" s="1382"/>
      <c r="W34" s="1382"/>
      <c r="X34" s="1382"/>
      <c r="Y34" s="1382"/>
      <c r="Z34" s="1382"/>
      <c r="AA34" s="1382"/>
      <c r="AB34" s="1382"/>
      <c r="AC34" s="1382"/>
      <c r="AD34" s="1382"/>
      <c r="AE34" s="1382"/>
      <c r="AF34" s="1382"/>
      <c r="AG34" s="1382"/>
      <c r="AH34" s="1382"/>
      <c r="AI34" s="1382"/>
      <c r="AJ34" s="1382"/>
    </row>
    <row r="35" spans="1:49" s="551" customFormat="1" ht="15" customHeight="1" x14ac:dyDescent="0.25">
      <c r="A35" s="1501"/>
      <c r="B35" s="549"/>
      <c r="C35" s="945"/>
      <c r="D35" s="463"/>
      <c r="E35" s="359" t="str">
        <f>IF('C-Design&amp;Const'!$M35="","",'C-Design&amp;Const'!$M35)</f>
        <v>N</v>
      </c>
      <c r="F35" s="235"/>
      <c r="G35" s="291"/>
      <c r="H35" s="325" t="str">
        <f>CONCATENATE(IF(ISNUMBER(SEARCH("Placeholder",'C-Design&amp;Const'!Z35))=TRUE,"",IF(E35="N","PLACEHOLDER ROW - ","")),'C-Design&amp;Const'!Z35,IF(E35="N","",J35))</f>
        <v>PLACEHOLDER ROW - Reconciliation with Owner's 3rd party scheduler</v>
      </c>
      <c r="I35" s="552"/>
      <c r="J35" s="578" t="str">
        <f>IF('C-Design&amp;Const'!AG35="","",'C-Design&amp;Const'!AG35)</f>
        <v xml:space="preserve"> (Updates to) </v>
      </c>
      <c r="K35" s="285" t="str">
        <f>IF(CD50_apply="Yes",IF((COUNTIF(D35:G35,"Y")=COUNTIF('02 - DD'!D35:G35,"Y")),"match","no DD match"),"-")</f>
        <v>match</v>
      </c>
      <c r="L35" s="1410"/>
      <c r="M35" s="1382"/>
      <c r="N35" s="1382"/>
      <c r="O35" s="1382"/>
      <c r="P35" s="1382"/>
      <c r="Q35" s="1447"/>
      <c r="R35" s="1448"/>
      <c r="S35" s="1274"/>
      <c r="T35" s="1382"/>
      <c r="U35" s="1382"/>
      <c r="V35" s="1382"/>
      <c r="W35" s="1382"/>
      <c r="X35" s="1382"/>
      <c r="Y35" s="1382"/>
      <c r="Z35" s="1382"/>
      <c r="AA35" s="1382"/>
      <c r="AB35" s="1382"/>
      <c r="AC35" s="1382"/>
      <c r="AD35" s="1382"/>
      <c r="AE35" s="1382"/>
      <c r="AF35" s="1382"/>
      <c r="AG35" s="1382"/>
      <c r="AH35" s="1382"/>
      <c r="AI35" s="1382"/>
      <c r="AJ35" s="1382"/>
    </row>
    <row r="36" spans="1:49" s="181" customFormat="1" x14ac:dyDescent="0.25">
      <c r="A36" s="1516" t="str">
        <f>IF(DD_apply="Yes",IF(COUNTIF('02 - DD'!D36:G36,"Y")&gt;0,"Y",IF(COUNTIF('02 - DD'!D36:G36,"N"),"N","")),"")</f>
        <v/>
      </c>
      <c r="B36" s="177"/>
      <c r="C36" s="945"/>
      <c r="D36" s="411"/>
      <c r="E36" s="411"/>
      <c r="F36" s="411"/>
      <c r="G36" s="511"/>
      <c r="H36" s="411"/>
      <c r="I36" s="186"/>
      <c r="J36" s="578" t="str">
        <f>IF('C-Design&amp;Const'!AG36="","",'C-Design&amp;Const'!AG36)</f>
        <v/>
      </c>
      <c r="K36" s="285" t="str">
        <f>IF(CD50_apply="Yes",IF((COUNTIF(D36:G36,"Y")=COUNTIF('02 - DD'!D36:G36,"Y")),"match","no DD match"),"-")</f>
        <v>match</v>
      </c>
      <c r="L36" s="1410" t="str">
        <f t="shared" si="0"/>
        <v/>
      </c>
      <c r="M36" s="1382"/>
      <c r="N36" s="1382"/>
      <c r="O36" s="1382"/>
      <c r="P36" s="1382"/>
      <c r="Q36" s="1492"/>
      <c r="R36" s="1274"/>
      <c r="S36" s="1274"/>
      <c r="T36" s="1382"/>
      <c r="U36" s="1382"/>
      <c r="V36" s="1382"/>
      <c r="W36" s="1382"/>
      <c r="X36" s="1382"/>
      <c r="Y36" s="1382"/>
      <c r="Z36" s="1382"/>
      <c r="AA36" s="1382"/>
      <c r="AB36" s="1382"/>
      <c r="AC36" s="1382"/>
      <c r="AD36" s="1382"/>
      <c r="AE36" s="1382"/>
      <c r="AF36" s="1382"/>
      <c r="AG36" s="1382"/>
      <c r="AH36" s="1382"/>
      <c r="AI36" s="1382"/>
      <c r="AJ36" s="1382"/>
    </row>
    <row r="37" spans="1:49" s="181" customFormat="1" ht="18.75" x14ac:dyDescent="0.25">
      <c r="A37" s="1501" t="str">
        <f>IF(DD_apply="Yes",IF(COUNTIF('02 - DD'!D37:G37,"Y")&gt;0,"Y",IF(COUNTIF('02 - DD'!D37:G37,"N"),"N","")),"")</f>
        <v>Y</v>
      </c>
      <c r="B37" s="177"/>
      <c r="C37" s="945"/>
      <c r="D37" s="559" t="str">
        <f>IF('C-Design&amp;Const'!$M37="","",'C-Design&amp;Const'!$M37)</f>
        <v>Y</v>
      </c>
      <c r="E37" s="234"/>
      <c r="F37" s="235"/>
      <c r="G37" s="291" t="str">
        <f>IF('C-Design&amp;Const'!Y37="","",'C-Design&amp;Const'!Y37)</f>
        <v>03.</v>
      </c>
      <c r="H37" s="290" t="str">
        <f>(CONCATENATE('C-Design&amp;Const'!Z37,IF(D37="N"," Not Used In This Design Phase",J37)))</f>
        <v>Written Response to Comments</v>
      </c>
      <c r="I37" s="184"/>
      <c r="J37" s="578" t="str">
        <f>IF('C-Design&amp;Const'!AG37="","",'C-Design&amp;Const'!AG37)</f>
        <v/>
      </c>
      <c r="K37" s="285" t="str">
        <f>IF(CD50_apply="Yes",IF((COUNTIF(D37:G37,"Y")=COUNTIF('02 - DD'!D37:G37,"Y")),"match","no DD match"),"-")</f>
        <v>match</v>
      </c>
      <c r="L37" s="1410" t="str">
        <f t="shared" si="0"/>
        <v/>
      </c>
      <c r="M37" s="1382"/>
      <c r="N37" s="1382"/>
      <c r="O37" s="1382"/>
      <c r="P37" s="1382"/>
      <c r="Q37" s="1447"/>
      <c r="R37" s="1448"/>
      <c r="S37" s="1274"/>
      <c r="T37" s="1382"/>
      <c r="U37" s="1382"/>
      <c r="V37" s="1382"/>
      <c r="W37" s="1382"/>
      <c r="X37" s="1382"/>
      <c r="Y37" s="1382"/>
      <c r="Z37" s="1382"/>
      <c r="AA37" s="1382"/>
      <c r="AB37" s="1382"/>
      <c r="AC37" s="1382"/>
      <c r="AD37" s="1382"/>
      <c r="AE37" s="1382"/>
      <c r="AF37" s="1382"/>
      <c r="AG37" s="1382"/>
      <c r="AH37" s="1382"/>
      <c r="AI37" s="1382"/>
      <c r="AJ37" s="1382"/>
    </row>
    <row r="38" spans="1:49" s="181" customFormat="1" x14ac:dyDescent="0.25">
      <c r="A38" s="1516" t="str">
        <f>IF(DD_apply="Yes",IF(COUNTIF('02 - DD'!D38:G38,"Y")&gt;0,"Y",IF(COUNTIF('02 - DD'!D38:G38,"N"),"N","")),"")</f>
        <v/>
      </c>
      <c r="B38" s="177"/>
      <c r="C38" s="945"/>
      <c r="D38" s="411"/>
      <c r="E38" s="411"/>
      <c r="F38" s="411"/>
      <c r="G38" s="511"/>
      <c r="H38" s="411"/>
      <c r="I38" s="186"/>
      <c r="J38" s="578" t="str">
        <f>IF('C-Design&amp;Const'!AG38="","",'C-Design&amp;Const'!AG38)</f>
        <v/>
      </c>
      <c r="K38" s="285" t="str">
        <f>IF(CD50_apply="Yes",IF((COUNTIF(D38:G38,"Y")=COUNTIF('02 - DD'!D38:G38,"Y")),"match","no DD match"),"-")</f>
        <v>match</v>
      </c>
      <c r="L38" s="1410" t="str">
        <f t="shared" si="0"/>
        <v/>
      </c>
      <c r="M38" s="1382"/>
      <c r="N38" s="1382"/>
      <c r="O38" s="1382"/>
      <c r="P38" s="1382"/>
      <c r="Q38" s="1448"/>
      <c r="R38" s="1274"/>
      <c r="S38" s="1274"/>
      <c r="T38" s="1382"/>
      <c r="U38" s="1382"/>
      <c r="V38" s="1382"/>
      <c r="W38" s="1382"/>
      <c r="X38" s="1382"/>
      <c r="Y38" s="1382"/>
      <c r="Z38" s="1382"/>
      <c r="AA38" s="1382"/>
      <c r="AB38" s="1382"/>
      <c r="AC38" s="1382"/>
      <c r="AD38" s="1382"/>
      <c r="AE38" s="1382"/>
      <c r="AF38" s="1382"/>
      <c r="AG38" s="1382"/>
      <c r="AH38" s="1382"/>
      <c r="AI38" s="1382"/>
      <c r="AJ38" s="1382"/>
    </row>
    <row r="39" spans="1:49" s="181" customFormat="1" ht="20.100000000000001" customHeight="1" x14ac:dyDescent="0.25">
      <c r="A39" s="1501" t="str">
        <f>IF(DD_apply="Yes",IF(COUNTIF('02 - DD'!D39:G39,"Y")&gt;0,"Y",IF(COUNTIF('02 - DD'!D39:G39,"N"),"N","")),"")</f>
        <v>Y</v>
      </c>
      <c r="B39" s="177"/>
      <c r="C39" s="945"/>
      <c r="D39" s="559" t="str">
        <f>IF('C-Design&amp;Const'!$M39="","",'C-Design&amp;Const'!$M39)</f>
        <v>Y</v>
      </c>
      <c r="E39" s="234"/>
      <c r="F39" s="235"/>
      <c r="G39" s="291" t="str">
        <f>IF('C-Design&amp;Const'!Y39="","",'C-Design&amp;Const'!Y39)</f>
        <v>04a. *</v>
      </c>
      <c r="H39" s="290" t="str">
        <f>(CONCATENATE('C-Design&amp;Const'!Z39,IF(D39="N"," Not Used In This Design Phase",J39)))</f>
        <v>Basis of Design (BOD) - Updates only</v>
      </c>
      <c r="I39" s="180"/>
      <c r="J39" s="578" t="str">
        <f>IF('C-Design&amp;Const'!AG39="","",'C-Design&amp;Const'!AG39)</f>
        <v xml:space="preserve"> - Updates only</v>
      </c>
      <c r="K39" s="285" t="str">
        <f>IF(CD50_apply="Yes",IF((COUNTIF(D39:G39,"Y")=COUNTIF('02 - DD'!D39:G39,"Y")),"match","no DD match"),"-")</f>
        <v>match</v>
      </c>
      <c r="L39" s="1410" t="str">
        <f t="shared" si="0"/>
        <v/>
      </c>
      <c r="M39" s="1382"/>
      <c r="N39" s="1382"/>
      <c r="O39" s="1382"/>
      <c r="P39" s="1382"/>
      <c r="Q39" s="1447"/>
      <c r="R39" s="1448"/>
      <c r="S39" s="1274"/>
      <c r="T39" s="1382"/>
      <c r="U39" s="1382"/>
      <c r="V39" s="1382"/>
      <c r="W39" s="1382"/>
      <c r="X39" s="1382"/>
      <c r="Y39" s="1382"/>
      <c r="Z39" s="1382"/>
      <c r="AA39" s="1382"/>
      <c r="AB39" s="1382"/>
      <c r="AC39" s="1382"/>
      <c r="AD39" s="1382"/>
      <c r="AE39" s="1382"/>
      <c r="AF39" s="1382"/>
      <c r="AG39" s="1382"/>
      <c r="AH39" s="1382"/>
      <c r="AI39" s="1382"/>
      <c r="AJ39" s="1382"/>
      <c r="AW39" s="30"/>
    </row>
    <row r="40" spans="1:49" s="30" customFormat="1" ht="15" customHeight="1" x14ac:dyDescent="0.25">
      <c r="A40" s="1407" t="str">
        <f>IF(DD_apply="Yes",IF(COUNTIF('02 - DD'!D40:G40,"Y")&gt;0,"Y",IF(COUNTIF('02 - DD'!D40:G40,"N"),"N","")),"")</f>
        <v>Y</v>
      </c>
      <c r="B40" s="191"/>
      <c r="C40" s="945"/>
      <c r="D40" s="463"/>
      <c r="E40" s="359" t="str">
        <f>IF('C-Design&amp;Const'!$M40="","",'C-Design&amp;Const'!$M40)</f>
        <v>Y</v>
      </c>
      <c r="F40" s="235"/>
      <c r="G40" s="291"/>
      <c r="H40" s="325" t="str">
        <f>CONCATENATE(IF(ISNUMBER(SEARCH("Placeholder",'C-Design&amp;Const'!Z40))=TRUE,"",IF(E40="N","PLACEHOLDER ROW - ","")),'C-Design&amp;Const'!Z40,IF(E40="N","",J40))</f>
        <v xml:space="preserve">Project Description  (Updates to) </v>
      </c>
      <c r="I40" s="184"/>
      <c r="J40" s="578" t="str">
        <f>IF('C-Design&amp;Const'!AG40="","",'C-Design&amp;Const'!AG40)</f>
        <v xml:space="preserve"> (Updates to) </v>
      </c>
      <c r="K40" s="285" t="str">
        <f>IF(CD50_apply="Yes",IF((COUNTIF(D40:G40,"Y")=COUNTIF('02 - DD'!D40:G40,"Y")),"match","no DD match"),"-")</f>
        <v>match</v>
      </c>
      <c r="L40" s="1410" t="str">
        <f t="shared" si="0"/>
        <v/>
      </c>
      <c r="M40" s="1333"/>
      <c r="N40" s="1382"/>
      <c r="O40" s="1382"/>
      <c r="P40" s="1382"/>
      <c r="Q40" s="1382"/>
      <c r="R40" s="1382"/>
      <c r="S40" s="1382"/>
      <c r="T40" s="1382"/>
      <c r="U40" s="1382"/>
      <c r="V40" s="1382"/>
      <c r="W40" s="1382"/>
      <c r="X40" s="1382"/>
      <c r="Y40" s="1382"/>
      <c r="Z40" s="1382"/>
      <c r="AA40" s="1382"/>
      <c r="AB40" s="1382"/>
      <c r="AC40" s="1382"/>
      <c r="AD40" s="1382"/>
      <c r="AE40" s="1382"/>
      <c r="AF40" s="1382"/>
      <c r="AG40" s="1382"/>
      <c r="AH40" s="1382"/>
      <c r="AI40" s="1382"/>
      <c r="AJ40" s="1382"/>
      <c r="AK40" s="181"/>
      <c r="AL40" s="181"/>
      <c r="AM40" s="181"/>
      <c r="AN40" s="181"/>
      <c r="AO40" s="181"/>
      <c r="AP40" s="181"/>
      <c r="AQ40" s="181"/>
      <c r="AR40" s="181"/>
      <c r="AS40" s="181"/>
      <c r="AT40" s="181"/>
      <c r="AU40" s="181"/>
      <c r="AV40" s="181"/>
      <c r="AW40" s="181"/>
    </row>
    <row r="41" spans="1:49" s="30" customFormat="1" ht="15" customHeight="1" x14ac:dyDescent="0.25">
      <c r="A41" s="1407" t="str">
        <f>IF(DD_apply="Yes",IF(COUNTIF('02 - DD'!D41:G41,"Y")&gt;0,"Y",IF(COUNTIF('02 - DD'!D41:G41,"N"),"N","")),"")</f>
        <v>Y</v>
      </c>
      <c r="B41" s="191"/>
      <c r="C41" s="945"/>
      <c r="D41" s="463"/>
      <c r="E41" s="359" t="str">
        <f>IF('C-Design&amp;Const'!$M41="","",'C-Design&amp;Const'!$M41)</f>
        <v>N</v>
      </c>
      <c r="F41" s="235"/>
      <c r="G41" s="291"/>
      <c r="H41" s="362" t="str">
        <f>CONCATENATE(IF(ISNUMBER(SEARCH("Placeholder",'C-Design&amp;Const'!Z41))=TRUE,"",IF(E41="N","PLACEHOLDER ROW - ","")),'C-Design&amp;Const'!Z41,IF(E41="N","",J41))</f>
        <v xml:space="preserve">PLACEHOLDER ROW - Program Needs Assessment </v>
      </c>
      <c r="I41" s="184"/>
      <c r="J41" s="578" t="str">
        <f>IF('C-Design&amp;Const'!AG41="","",'C-Design&amp;Const'!AG41)</f>
        <v xml:space="preserve"> (Updates to) </v>
      </c>
      <c r="K41" s="285" t="str">
        <f>IF(CD50_apply="Yes",IF((COUNTIF(D41:G41,"Y")=COUNTIF('02 - DD'!D41:G41,"Y")),"match","no DD match"),"-")</f>
        <v>no DD match</v>
      </c>
      <c r="L41" s="1410" t="str">
        <f>CONCATENATE(IF(ISNUMBER(SEARCH("Placeholder",H41))=TRUE,"&lt;---PM/Planner may hide PLACEHOLDER ROW",""))</f>
        <v>&lt;---PM/Planner may hide PLACEHOLDER ROW</v>
      </c>
      <c r="M41" s="1333"/>
      <c r="N41" s="1382"/>
      <c r="O41" s="1382"/>
      <c r="P41" s="1382"/>
      <c r="Q41" s="1382"/>
      <c r="R41" s="1382"/>
      <c r="S41" s="1382"/>
      <c r="T41" s="1382"/>
      <c r="U41" s="1382"/>
      <c r="V41" s="1382"/>
      <c r="W41" s="1382"/>
      <c r="X41" s="1382"/>
      <c r="Y41" s="1382"/>
      <c r="Z41" s="1382"/>
      <c r="AA41" s="1382"/>
      <c r="AB41" s="1382"/>
      <c r="AC41" s="1382"/>
      <c r="AD41" s="1382"/>
      <c r="AE41" s="1382"/>
      <c r="AF41" s="1382"/>
      <c r="AG41" s="1382"/>
      <c r="AH41" s="1382"/>
      <c r="AI41" s="1382"/>
      <c r="AJ41" s="1382"/>
      <c r="AK41" s="181"/>
      <c r="AL41" s="181"/>
      <c r="AM41" s="181"/>
      <c r="AN41" s="181"/>
      <c r="AO41" s="181"/>
      <c r="AP41" s="181"/>
      <c r="AQ41" s="181"/>
      <c r="AR41" s="181"/>
      <c r="AS41" s="181"/>
      <c r="AT41" s="181"/>
      <c r="AU41" s="181"/>
      <c r="AV41" s="181"/>
      <c r="AW41" s="181"/>
    </row>
    <row r="42" spans="1:49" s="30" customFormat="1" ht="15" customHeight="1" x14ac:dyDescent="0.25">
      <c r="A42" s="1407" t="str">
        <f>IF(DD_apply="Yes",IF(COUNTIF('02 - DD'!D42:G42,"Y")&gt;0,"Y",IF(COUNTIF('02 - DD'!D42:G42,"N"),"N","")),"")</f>
        <v>Y</v>
      </c>
      <c r="B42" s="191"/>
      <c r="C42" s="945"/>
      <c r="D42" s="463"/>
      <c r="E42" s="359" t="str">
        <f>IF('C-Design&amp;Const'!$M42="","",'C-Design&amp;Const'!$M42)</f>
        <v>N</v>
      </c>
      <c r="F42" s="235"/>
      <c r="G42" s="291"/>
      <c r="H42" s="362" t="str">
        <f>CONCATENATE(IF(ISNUMBER(SEARCH("Placeholder",'C-Design&amp;Const'!Z42))=TRUE,"",IF(E42="N","PLACEHOLDER ROW - ","")),'C-Design&amp;Const'!Z42,IF(E42="N","",J42))</f>
        <v xml:space="preserve">PLACEHOLDER ROW - Program Summary / Analysis </v>
      </c>
      <c r="I42" s="184"/>
      <c r="J42" s="578" t="str">
        <f>IF('C-Design&amp;Const'!AG42="","",'C-Design&amp;Const'!AG42)</f>
        <v xml:space="preserve"> (Updates to) </v>
      </c>
      <c r="K42" s="285" t="str">
        <f>IF(CD50_apply="Yes",IF((COUNTIF(D42:G42,"Y")=COUNTIF('02 - DD'!D42:G42,"Y")),"match","no DD match"),"-")</f>
        <v>no DD match</v>
      </c>
      <c r="L42" s="1410" t="str">
        <f t="shared" ref="L42:L119" si="1">CONCATENATE(IF(ISNUMBER(SEARCH("Placeholder",H42))=TRUE,"&lt;---PM/Planner may hide PLACEHOLDER ROW",""))</f>
        <v>&lt;---PM/Planner may hide PLACEHOLDER ROW</v>
      </c>
      <c r="M42" s="1333"/>
      <c r="N42" s="1382"/>
      <c r="O42" s="1382"/>
      <c r="P42" s="1382"/>
      <c r="Q42" s="1382"/>
      <c r="R42" s="1382"/>
      <c r="S42" s="1382"/>
      <c r="T42" s="1382"/>
      <c r="U42" s="1382"/>
      <c r="V42" s="1382"/>
      <c r="W42" s="1382"/>
      <c r="X42" s="1382"/>
      <c r="Y42" s="1382"/>
      <c r="Z42" s="1382"/>
      <c r="AA42" s="1382"/>
      <c r="AB42" s="1382"/>
      <c r="AC42" s="1382"/>
      <c r="AD42" s="1382"/>
      <c r="AE42" s="1382"/>
      <c r="AF42" s="1382"/>
      <c r="AG42" s="1382"/>
      <c r="AH42" s="1382"/>
      <c r="AI42" s="1382"/>
      <c r="AJ42" s="1382"/>
      <c r="AK42" s="181"/>
      <c r="AL42" s="181"/>
      <c r="AM42" s="181"/>
      <c r="AN42" s="181"/>
      <c r="AO42" s="181"/>
      <c r="AP42" s="181"/>
      <c r="AQ42" s="181"/>
      <c r="AR42" s="181"/>
      <c r="AS42" s="181"/>
      <c r="AT42" s="181"/>
      <c r="AU42" s="181"/>
      <c r="AV42" s="181"/>
      <c r="AW42" s="181"/>
    </row>
    <row r="43" spans="1:49" s="30" customFormat="1" ht="15" customHeight="1" x14ac:dyDescent="0.25">
      <c r="A43" s="1407" t="str">
        <f>IF(DD_apply="Yes",IF(COUNTIF('02 - DD'!D43:G43,"Y")&gt;0,"Y",IF(COUNTIF('02 - DD'!D43:G43,"N"),"N","")),"")</f>
        <v>N</v>
      </c>
      <c r="B43" s="191"/>
      <c r="C43" s="945"/>
      <c r="D43" s="463"/>
      <c r="E43" s="359" t="str">
        <f>IF('C-Design&amp;Const'!$M43="","",'C-Design&amp;Const'!$M43)</f>
        <v>N</v>
      </c>
      <c r="F43" s="235"/>
      <c r="G43" s="291"/>
      <c r="H43" s="362" t="str">
        <f>CONCATENATE(IF(ISNUMBER(SEARCH("Placeholder",'C-Design&amp;Const'!Z43))=TRUE,"",IF(E43="N","PLACEHOLDER ROW - ","")),'C-Design&amp;Const'!Z43,IF(E43="N","",J43))</f>
        <v>PLACEHOLDER - Program Study</v>
      </c>
      <c r="I43" s="184"/>
      <c r="J43" s="578" t="str">
        <f>IF('C-Design&amp;Const'!AG43="","",'C-Design&amp;Const'!AG43)</f>
        <v xml:space="preserve"> (Updates to) </v>
      </c>
      <c r="K43" s="285" t="str">
        <f>IF(CD50_apply="Yes",IF((COUNTIF(D43:G43,"Y")=COUNTIF('02 - DD'!D43:G43,"Y")),"match","no DD match"),"-")</f>
        <v>match</v>
      </c>
      <c r="L43" s="1410" t="str">
        <f t="shared" si="1"/>
        <v>&lt;---PM/Planner may hide PLACEHOLDER ROW</v>
      </c>
      <c r="M43" s="1333"/>
      <c r="N43" s="1382"/>
      <c r="O43" s="1382"/>
      <c r="P43" s="1382"/>
      <c r="Q43" s="1382"/>
      <c r="R43" s="1382"/>
      <c r="S43" s="1382"/>
      <c r="T43" s="1382"/>
      <c r="U43" s="1382"/>
      <c r="V43" s="1382"/>
      <c r="W43" s="1382"/>
      <c r="X43" s="1382"/>
      <c r="Y43" s="1382"/>
      <c r="Z43" s="1382"/>
      <c r="AA43" s="1382"/>
      <c r="AB43" s="1382"/>
      <c r="AC43" s="1382"/>
      <c r="AD43" s="1382"/>
      <c r="AE43" s="1382"/>
      <c r="AF43" s="1382"/>
      <c r="AG43" s="1382"/>
      <c r="AH43" s="1382"/>
      <c r="AI43" s="1382"/>
      <c r="AJ43" s="1382"/>
      <c r="AK43" s="181"/>
      <c r="AL43" s="181"/>
      <c r="AM43" s="181"/>
      <c r="AN43" s="181"/>
      <c r="AO43" s="181"/>
      <c r="AP43" s="181"/>
      <c r="AQ43" s="181"/>
      <c r="AR43" s="181"/>
      <c r="AS43" s="181"/>
      <c r="AT43" s="181"/>
      <c r="AU43" s="181"/>
      <c r="AV43" s="181"/>
      <c r="AW43" s="181"/>
    </row>
    <row r="44" spans="1:49" s="30" customFormat="1" ht="15" customHeight="1" x14ac:dyDescent="0.25">
      <c r="A44" s="1407" t="str">
        <f>IF(DD_apply="Yes",IF(COUNTIF('02 - DD'!D44:G44,"Y")&gt;0,"Y",IF(COUNTIF('02 - DD'!D44:G44,"N"),"N","")),"")</f>
        <v>Y</v>
      </c>
      <c r="B44" s="191"/>
      <c r="C44" s="945"/>
      <c r="D44" s="463"/>
      <c r="E44" s="359" t="str">
        <f>IF('C-Design&amp;Const'!$M44="","",'C-Design&amp;Const'!$M44)</f>
        <v>N</v>
      </c>
      <c r="F44" s="235"/>
      <c r="G44" s="291"/>
      <c r="H44" s="325" t="str">
        <f>CONCATENATE(IF(ISNUMBER(SEARCH("Placeholder",'C-Design&amp;Const'!Z44))=TRUE,"",IF(E44="N","PLACEHOLDER ROW - ","")),'C-Design&amp;Const'!Z44,IF(E44="N","",J44))</f>
        <v xml:space="preserve">PLACEHOLDER ROW - Major Project Goals; Objectives; and Design Requirements </v>
      </c>
      <c r="I44" s="184"/>
      <c r="J44" s="578" t="str">
        <f>IF('C-Design&amp;Const'!AG44="","",'C-Design&amp;Const'!AG44)</f>
        <v xml:space="preserve"> (Updates to) </v>
      </c>
      <c r="K44" s="285" t="str">
        <f>IF(CD50_apply="Yes",IF((COUNTIF(D44:G44,"Y")=COUNTIF('02 - DD'!D44:G44,"Y")),"match","no DD match"),"-")</f>
        <v>no DD match</v>
      </c>
      <c r="L44" s="1410" t="str">
        <f t="shared" si="1"/>
        <v>&lt;---PM/Planner may hide PLACEHOLDER ROW</v>
      </c>
      <c r="M44" s="1333"/>
      <c r="N44" s="1382"/>
      <c r="O44" s="1382"/>
      <c r="P44" s="1382"/>
      <c r="Q44" s="1382"/>
      <c r="R44" s="1382"/>
      <c r="S44" s="1382"/>
      <c r="T44" s="1382"/>
      <c r="U44" s="1382"/>
      <c r="V44" s="1382"/>
      <c r="W44" s="1382"/>
      <c r="X44" s="1382"/>
      <c r="Y44" s="1382"/>
      <c r="Z44" s="1382"/>
      <c r="AA44" s="1382"/>
      <c r="AB44" s="1382"/>
      <c r="AC44" s="1382"/>
      <c r="AD44" s="1382"/>
      <c r="AE44" s="1382"/>
      <c r="AF44" s="1382"/>
      <c r="AG44" s="1382"/>
      <c r="AH44" s="1382"/>
      <c r="AI44" s="1382"/>
      <c r="AJ44" s="1382"/>
      <c r="AK44" s="181"/>
      <c r="AL44" s="181"/>
      <c r="AM44" s="181"/>
      <c r="AN44" s="181"/>
      <c r="AO44" s="181"/>
      <c r="AP44" s="181"/>
      <c r="AQ44" s="181"/>
      <c r="AR44" s="181"/>
      <c r="AS44" s="181"/>
      <c r="AT44" s="181"/>
      <c r="AU44" s="181"/>
      <c r="AV44" s="181"/>
      <c r="AW44" s="181"/>
    </row>
    <row r="45" spans="1:49" s="30" customFormat="1" ht="15.75" customHeight="1" x14ac:dyDescent="0.25">
      <c r="A45" s="1407" t="str">
        <f>IF(DD_apply="Yes",IF(COUNTIF('02 - DD'!D45:G45,"Y")&gt;0,"Y",IF(COUNTIF('02 - DD'!D45:G45,"N"),"N","")),"")</f>
        <v>Y</v>
      </c>
      <c r="B45" s="191"/>
      <c r="C45" s="945"/>
      <c r="D45" s="463"/>
      <c r="E45" s="359" t="str">
        <f>IF('C-Design&amp;Const'!$M45="","",'C-Design&amp;Const'!$M45)</f>
        <v>Y</v>
      </c>
      <c r="F45" s="235"/>
      <c r="G45" s="291"/>
      <c r="H45" s="325" t="str">
        <f>CONCATENATE(IF(ISNUMBER(SEARCH("Placeholder",'C-Design&amp;Const'!Z45))=TRUE,"",IF(E45="N","PLACEHOLDER ROW - ","")),'C-Design&amp;Const'!Z45,IF(E45="N","",J45))</f>
        <v xml:space="preserve">Special Considerations  (Updates to) </v>
      </c>
      <c r="I45" s="184"/>
      <c r="J45" s="578" t="str">
        <f>IF('C-Design&amp;Const'!AG45="","",'C-Design&amp;Const'!AG45)</f>
        <v xml:space="preserve"> (Updates to) </v>
      </c>
      <c r="K45" s="285" t="str">
        <f>IF(CD50_apply="Yes",IF((COUNTIF(D45:G45,"Y")=COUNTIF('02 - DD'!D45:G45,"Y")),"match","no DD match"),"-")</f>
        <v>match</v>
      </c>
      <c r="L45" s="1410" t="str">
        <f t="shared" si="1"/>
        <v/>
      </c>
      <c r="M45" s="1382"/>
      <c r="N45" s="1382"/>
      <c r="O45" s="1382"/>
      <c r="P45" s="1382"/>
      <c r="Q45" s="1382"/>
      <c r="R45" s="1382"/>
      <c r="S45" s="1382"/>
      <c r="T45" s="1382"/>
      <c r="U45" s="1382"/>
      <c r="V45" s="1382"/>
      <c r="W45" s="1382"/>
      <c r="X45" s="1382"/>
      <c r="Y45" s="1382"/>
      <c r="Z45" s="1382"/>
      <c r="AA45" s="1382"/>
      <c r="AB45" s="1382"/>
      <c r="AC45" s="1382"/>
      <c r="AD45" s="1382"/>
      <c r="AE45" s="1382"/>
      <c r="AF45" s="1382"/>
      <c r="AG45" s="1382"/>
      <c r="AH45" s="1382"/>
      <c r="AI45" s="1382"/>
      <c r="AJ45" s="1382"/>
      <c r="AK45" s="181"/>
      <c r="AL45" s="181"/>
      <c r="AM45" s="181"/>
      <c r="AN45" s="181"/>
      <c r="AO45" s="181"/>
      <c r="AP45" s="181"/>
      <c r="AQ45" s="181"/>
      <c r="AR45" s="181"/>
      <c r="AS45" s="181"/>
      <c r="AT45" s="181"/>
      <c r="AU45" s="181"/>
      <c r="AV45" s="181"/>
      <c r="AW45" s="181"/>
    </row>
    <row r="46" spans="1:49" s="30" customFormat="1" ht="15.75" customHeight="1" x14ac:dyDescent="0.25">
      <c r="A46" s="1407" t="str">
        <f>IF(DD_apply="Yes",IF(COUNTIF('02 - DD'!D46:G46,"Y")&gt;0,"Y",IF(COUNTIF('02 - DD'!D46:G46,"N"),"N","")),"")</f>
        <v>Y</v>
      </c>
      <c r="B46" s="191"/>
      <c r="C46" s="945"/>
      <c r="D46" s="463"/>
      <c r="E46" s="359" t="str">
        <f>IF('C-Design&amp;Const'!$M46="","",'C-Design&amp;Const'!$M46)</f>
        <v>Y</v>
      </c>
      <c r="F46" s="235"/>
      <c r="G46" s="291"/>
      <c r="H46" s="325" t="str">
        <f>CONCATENATE(IF(ISNUMBER(SEARCH("Placeholder",'C-Design&amp;Const'!Z46))=TRUE,"",IF(E46="N","PLACEHOLDER ROW - ","")),'C-Design&amp;Const'!Z46,IF(E46="N","",J46))</f>
        <v xml:space="preserve">Code Analysis - As Applicable  (Updates to) </v>
      </c>
      <c r="I46" s="184"/>
      <c r="J46" s="578" t="str">
        <f>IF('C-Design&amp;Const'!AG46="","",'C-Design&amp;Const'!AG46)</f>
        <v xml:space="preserve"> (Updates to) </v>
      </c>
      <c r="K46" s="285" t="str">
        <f>IF(CD50_apply="Yes",IF((COUNTIF(D46:G46,"Y")=COUNTIF('02 - DD'!D46:G46,"Y")),"match","no DD match"),"-")</f>
        <v>match</v>
      </c>
      <c r="L46" s="1410" t="str">
        <f t="shared" si="1"/>
        <v/>
      </c>
      <c r="M46" s="1382"/>
      <c r="N46" s="1382"/>
      <c r="O46" s="1382"/>
      <c r="P46" s="1382"/>
      <c r="Q46" s="1382"/>
      <c r="R46" s="1382"/>
      <c r="S46" s="1382"/>
      <c r="T46" s="1382"/>
      <c r="U46" s="1382"/>
      <c r="V46" s="1382"/>
      <c r="W46" s="1382"/>
      <c r="X46" s="1382"/>
      <c r="Y46" s="1382"/>
      <c r="Z46" s="1382"/>
      <c r="AA46" s="1382"/>
      <c r="AB46" s="1382"/>
      <c r="AC46" s="1382"/>
      <c r="AD46" s="1382"/>
      <c r="AE46" s="1382"/>
      <c r="AF46" s="1382"/>
      <c r="AG46" s="1382"/>
      <c r="AH46" s="1382"/>
      <c r="AI46" s="1382"/>
      <c r="AJ46" s="1382"/>
      <c r="AK46" s="181"/>
      <c r="AL46" s="181"/>
      <c r="AM46" s="181"/>
      <c r="AN46" s="181"/>
      <c r="AO46" s="181"/>
      <c r="AP46" s="181"/>
      <c r="AQ46" s="181"/>
      <c r="AR46" s="181"/>
      <c r="AS46" s="181"/>
      <c r="AT46" s="181"/>
      <c r="AU46" s="181"/>
      <c r="AV46" s="181"/>
      <c r="AW46" s="181"/>
    </row>
    <row r="47" spans="1:49" s="30" customFormat="1" ht="15.75" customHeight="1" x14ac:dyDescent="0.25">
      <c r="A47" s="1407" t="str">
        <f>IF(DD_apply="Yes",IF(COUNTIF('02 - DD'!D47:G47,"Y")&gt;0,"Y",IF(COUNTIF('02 - DD'!D47:G47,"N"),"N","")),"")</f>
        <v>Y</v>
      </c>
      <c r="B47" s="191"/>
      <c r="C47" s="945"/>
      <c r="D47" s="463"/>
      <c r="E47" s="359" t="str">
        <f>IF('C-Design&amp;Const'!$M47="","",'C-Design&amp;Const'!$M47)</f>
        <v>Y</v>
      </c>
      <c r="F47" s="235"/>
      <c r="G47" s="291"/>
      <c r="H47" s="325" t="str">
        <f>CONCATENATE(IF(ISNUMBER(SEARCH("Placeholder",'C-Design&amp;Const'!Z47))=TRUE,"",IF(E47="N","PLACEHOLDER ROW - ","")),'C-Design&amp;Const'!Z47,IF(E47="N","",J47))</f>
        <v xml:space="preserve">Permit Analysis  - As Applicable  (Updates to) </v>
      </c>
      <c r="I47" s="184"/>
      <c r="J47" s="578" t="str">
        <f>IF('C-Design&amp;Const'!AG47="","",'C-Design&amp;Const'!AG47)</f>
        <v xml:space="preserve"> (Updates to) </v>
      </c>
      <c r="K47" s="285" t="str">
        <f>IF(CD50_apply="Yes",IF((COUNTIF(D47:G47,"Y")=COUNTIF('02 - DD'!D47:G47,"Y")),"match","no DD match"),"-")</f>
        <v>match</v>
      </c>
      <c r="L47" s="1410" t="str">
        <f t="shared" si="1"/>
        <v/>
      </c>
      <c r="M47" s="1382"/>
      <c r="N47" s="1382"/>
      <c r="O47" s="1382"/>
      <c r="P47" s="1382"/>
      <c r="Q47" s="1382"/>
      <c r="R47" s="1382"/>
      <c r="S47" s="1382"/>
      <c r="T47" s="1382"/>
      <c r="U47" s="1382"/>
      <c r="V47" s="1382"/>
      <c r="W47" s="1382"/>
      <c r="X47" s="1382"/>
      <c r="Y47" s="1382"/>
      <c r="Z47" s="1382"/>
      <c r="AA47" s="1382"/>
      <c r="AB47" s="1382"/>
      <c r="AC47" s="1382"/>
      <c r="AD47" s="1382"/>
      <c r="AE47" s="1382"/>
      <c r="AF47" s="1382"/>
      <c r="AG47" s="1382"/>
      <c r="AH47" s="1382"/>
      <c r="AI47" s="1382"/>
      <c r="AJ47" s="1382"/>
      <c r="AK47" s="181"/>
      <c r="AL47" s="181"/>
      <c r="AM47" s="181"/>
      <c r="AN47" s="181"/>
      <c r="AO47" s="181"/>
      <c r="AP47" s="181"/>
      <c r="AQ47" s="181"/>
      <c r="AR47" s="181"/>
      <c r="AS47" s="181"/>
      <c r="AT47" s="181"/>
      <c r="AU47" s="181"/>
      <c r="AV47" s="181"/>
      <c r="AW47" s="181"/>
    </row>
    <row r="48" spans="1:49" s="30" customFormat="1" ht="15.75" customHeight="1" x14ac:dyDescent="0.25">
      <c r="A48" s="1407" t="str">
        <f>IF(DD_apply="Yes",IF(COUNTIF('02 - DD'!D48:G48,"Y")&gt;0,"Y",IF(COUNTIF('02 - DD'!D48:G48,"N"),"N","")),"")</f>
        <v>Y</v>
      </c>
      <c r="B48" s="191"/>
      <c r="C48" s="945"/>
      <c r="D48" s="463"/>
      <c r="E48" s="359" t="str">
        <f>IF('C-Design&amp;Const'!$M48="","",'C-Design&amp;Const'!$M48)</f>
        <v>Y</v>
      </c>
      <c r="F48" s="235"/>
      <c r="G48" s="291"/>
      <c r="H48" s="325" t="str">
        <f>CONCATENATE(IF(ISNUMBER(SEARCH("Placeholder",'C-Design&amp;Const'!Z48))=TRUE,"",IF(E48="N","PLACEHOLDER ROW - ","")),'C-Design&amp;Const'!Z48,IF(E48="N","",J48))</f>
        <v>Variances - As Applicable  (Approved to date &amp; awaiting approval)</v>
      </c>
      <c r="I48" s="184"/>
      <c r="J48" s="578" t="str">
        <f>IF('C-Design&amp;Const'!AG48="","",'C-Design&amp;Const'!AG48)</f>
        <v xml:space="preserve"> (Approved to date &amp; awaiting approval)</v>
      </c>
      <c r="K48" s="285" t="str">
        <f>IF(CD50_apply="Yes",IF((COUNTIF(D48:G48,"Y")=COUNTIF('02 - DD'!D48:G48,"Y")),"match","no DD match"),"-")</f>
        <v>match</v>
      </c>
      <c r="L48" s="1410" t="str">
        <f t="shared" si="1"/>
        <v/>
      </c>
      <c r="M48" s="1382"/>
      <c r="N48" s="1382"/>
      <c r="O48" s="1382"/>
      <c r="P48" s="1382"/>
      <c r="Q48" s="1382"/>
      <c r="R48" s="1382"/>
      <c r="S48" s="1382"/>
      <c r="T48" s="1382"/>
      <c r="U48" s="1382"/>
      <c r="V48" s="1382"/>
      <c r="W48" s="1382"/>
      <c r="X48" s="1382"/>
      <c r="Y48" s="1382"/>
      <c r="Z48" s="1382"/>
      <c r="AA48" s="1382"/>
      <c r="AB48" s="1382"/>
      <c r="AC48" s="1382"/>
      <c r="AD48" s="1382"/>
      <c r="AE48" s="1382"/>
      <c r="AF48" s="1382"/>
      <c r="AG48" s="1382"/>
      <c r="AH48" s="1382"/>
      <c r="AI48" s="1382"/>
      <c r="AJ48" s="1382"/>
      <c r="AK48" s="181"/>
      <c r="AL48" s="181"/>
      <c r="AM48" s="181"/>
      <c r="AN48" s="181"/>
      <c r="AO48" s="181"/>
      <c r="AP48" s="181"/>
      <c r="AQ48" s="181"/>
      <c r="AR48" s="181"/>
      <c r="AS48" s="181"/>
      <c r="AT48" s="181"/>
      <c r="AU48" s="181"/>
      <c r="AV48" s="181"/>
      <c r="AW48" s="181"/>
    </row>
    <row r="49" spans="1:49" s="30" customFormat="1" ht="24.75" customHeight="1" x14ac:dyDescent="0.25">
      <c r="A49" s="1407" t="str">
        <f>IF(DD_apply="Yes",IF(COUNTIF('02 - DD'!D49:G49,"Y")&gt;0,"Y",IF(COUNTIF('02 - DD'!D49:G49,"N"),"N","")),"")</f>
        <v>Y</v>
      </c>
      <c r="B49" s="191"/>
      <c r="C49" s="945"/>
      <c r="D49" s="463"/>
      <c r="E49" s="359" t="str">
        <f>IF('C-Design&amp;Const'!$M49="","",'C-Design&amp;Const'!$M49)</f>
        <v>N</v>
      </c>
      <c r="F49" s="235"/>
      <c r="G49" s="291"/>
      <c r="H49" s="362" t="str">
        <f>CONCATENATE(IF(ISNUMBER(SEARCH("Placeholder",'C-Design&amp;Const'!Z49))=TRUE,"",IF(E49="N","PLACEHOLDER ROW - ","")),'C-Design&amp;Const'!Z49,IF(E49="N","",J49))</f>
        <v xml:space="preserve">PLACEHOLDER ROW - Results of itemized Area Analysis Comparing the Net-to-Gross Square Feet  - Per Floor; Per Assembly Space; and Per Building as applicable </v>
      </c>
      <c r="I49" s="184"/>
      <c r="J49" s="578" t="str">
        <f>IF('C-Design&amp;Const'!AG49="","",'C-Design&amp;Const'!AG49)</f>
        <v xml:space="preserve"> (Updates to) </v>
      </c>
      <c r="K49" s="285" t="str">
        <f>IF(CD50_apply="Yes",IF((COUNTIF(D49:G49,"Y")=COUNTIF('02 - DD'!D49:G49,"Y")),"match","no DD match"),"-")</f>
        <v>no DD match</v>
      </c>
      <c r="L49" s="1410" t="str">
        <f t="shared" si="1"/>
        <v>&lt;---PM/Planner may hide PLACEHOLDER ROW</v>
      </c>
      <c r="M49" s="1382"/>
      <c r="N49" s="1382"/>
      <c r="O49" s="1382"/>
      <c r="P49" s="1382"/>
      <c r="Q49" s="1382"/>
      <c r="R49" s="1382"/>
      <c r="S49" s="1382"/>
      <c r="T49" s="1382"/>
      <c r="U49" s="1382"/>
      <c r="V49" s="1382"/>
      <c r="W49" s="1382"/>
      <c r="X49" s="1382"/>
      <c r="Y49" s="1382"/>
      <c r="Z49" s="1382"/>
      <c r="AA49" s="1382"/>
      <c r="AB49" s="1382"/>
      <c r="AC49" s="1382"/>
      <c r="AD49" s="1382"/>
      <c r="AE49" s="1382"/>
      <c r="AF49" s="1382"/>
      <c r="AG49" s="1382"/>
      <c r="AH49" s="1382"/>
      <c r="AI49" s="1382"/>
      <c r="AJ49" s="1382"/>
      <c r="AK49" s="181"/>
      <c r="AL49" s="181"/>
      <c r="AM49" s="181"/>
      <c r="AN49" s="181"/>
      <c r="AO49" s="181"/>
      <c r="AP49" s="181"/>
      <c r="AQ49" s="181"/>
      <c r="AR49" s="181"/>
      <c r="AS49" s="181"/>
      <c r="AT49" s="181"/>
      <c r="AU49" s="181"/>
      <c r="AV49" s="181"/>
      <c r="AW49" s="181"/>
    </row>
    <row r="50" spans="1:49" s="181" customFormat="1" x14ac:dyDescent="0.25">
      <c r="A50" s="1407" t="str">
        <f>IF(DD_apply="Yes",IF(COUNTIF('02 - DD'!D50:G50,"Y")&gt;0,"Y",IF(COUNTIF('02 - DD'!D50:G50,"N"),"N","")),"")</f>
        <v>N</v>
      </c>
      <c r="B50" s="177"/>
      <c r="C50" s="945"/>
      <c r="D50" s="411"/>
      <c r="E50" s="559" t="str">
        <f>IF('C-Design&amp;Const'!$M50="","",'C-Design&amp;Const'!$M50)</f>
        <v>N</v>
      </c>
      <c r="F50" s="458"/>
      <c r="G50" s="506"/>
      <c r="H50" s="362" t="str">
        <f>CONCATENATE(IF(ISNUMBER(SEARCH("Placeholder",'C-Design&amp;Const'!Z50))=TRUE,"",IF(E50="N","PLACEHOLDER ROW - ","")),'C-Design&amp;Const'!Z50,IF(E50="N","",J50))</f>
        <v xml:space="preserve">PLACEHOLDER ROW - Room Type Alternative Concepts </v>
      </c>
      <c r="I50" s="193"/>
      <c r="J50" s="578" t="str">
        <f>IF('C-Design&amp;Const'!AG50="","",'C-Design&amp;Const'!AG50)</f>
        <v xml:space="preserve"> (Updates to) </v>
      </c>
      <c r="K50" s="285" t="str">
        <f>IF(CD50_apply="Yes",IF((COUNTIF(D50:G50,"Y")=COUNTIF('02 - DD'!D50:G50,"Y")),"match","no DD match"),"-")</f>
        <v>match</v>
      </c>
      <c r="L50" s="1410" t="str">
        <f t="shared" si="1"/>
        <v>&lt;---PM/Planner may hide PLACEHOLDER ROW</v>
      </c>
      <c r="M50" s="1382"/>
      <c r="N50" s="1382"/>
      <c r="O50" s="1382"/>
      <c r="P50" s="1382"/>
      <c r="Q50" s="1490"/>
      <c r="R50" s="1274"/>
      <c r="S50" s="1274"/>
      <c r="T50" s="1382"/>
      <c r="U50" s="1382"/>
      <c r="V50" s="1382"/>
      <c r="W50" s="1382"/>
      <c r="X50" s="1382"/>
      <c r="Y50" s="1382"/>
      <c r="Z50" s="1382"/>
      <c r="AA50" s="1382"/>
      <c r="AB50" s="1382"/>
      <c r="AC50" s="1382"/>
      <c r="AD50" s="1382"/>
      <c r="AE50" s="1382"/>
      <c r="AF50" s="1382"/>
      <c r="AG50" s="1382"/>
      <c r="AH50" s="1382"/>
      <c r="AI50" s="1382"/>
      <c r="AJ50" s="1382"/>
      <c r="AW50" s="30"/>
    </row>
    <row r="51" spans="1:49" s="181" customFormat="1" x14ac:dyDescent="0.25">
      <c r="A51" s="1407" t="str">
        <f>IF(DD_apply="Yes",IF(COUNTIF('02 - DD'!D51:G51,"Y")&gt;0,"Y",IF(COUNTIF('02 - DD'!D51:G51,"N"),"N","")),"")</f>
        <v>N</v>
      </c>
      <c r="B51" s="177"/>
      <c r="C51" s="945"/>
      <c r="D51" s="411"/>
      <c r="E51" s="559" t="str">
        <f>IF('C-Design&amp;Const'!$M51="","",'C-Design&amp;Const'!$M51)</f>
        <v>N</v>
      </c>
      <c r="F51" s="458"/>
      <c r="G51" s="506"/>
      <c r="H51" s="362" t="str">
        <f>CONCATENATE(IF(ISNUMBER(SEARCH("Placeholder",'C-Design&amp;Const'!Z51))=TRUE,"",IF(E51="N","PLACEHOLDER ROW - ","")),'C-Design&amp;Const'!Z51,IF(E51="N","",J51))</f>
        <v xml:space="preserve">PLACEHOLDER ROW - Design Concept(s) </v>
      </c>
      <c r="I51" s="193"/>
      <c r="J51" s="578" t="str">
        <f>IF('C-Design&amp;Const'!AG51="","",'C-Design&amp;Const'!AG51)</f>
        <v/>
      </c>
      <c r="K51" s="285" t="str">
        <f>IF(CD50_apply="Yes",IF((COUNTIF(D51:G51,"Y")=COUNTIF('02 - DD'!D51:G51,"Y")),"match","no DD match"),"-")</f>
        <v>match</v>
      </c>
      <c r="L51" s="1410" t="str">
        <f t="shared" si="1"/>
        <v>&lt;---PM/Planner may hide PLACEHOLDER ROW</v>
      </c>
      <c r="M51" s="1382"/>
      <c r="N51" s="1382"/>
      <c r="O51" s="1382"/>
      <c r="P51" s="1382"/>
      <c r="Q51" s="1490"/>
      <c r="R51" s="1274"/>
      <c r="S51" s="1274"/>
      <c r="T51" s="1382"/>
      <c r="U51" s="1382"/>
      <c r="V51" s="1382"/>
      <c r="W51" s="1382"/>
      <c r="X51" s="1382"/>
      <c r="Y51" s="1382"/>
      <c r="Z51" s="1382"/>
      <c r="AA51" s="1382"/>
      <c r="AB51" s="1382"/>
      <c r="AC51" s="1382"/>
      <c r="AD51" s="1382"/>
      <c r="AE51" s="1382"/>
      <c r="AF51" s="1382"/>
      <c r="AG51" s="1382"/>
      <c r="AH51" s="1382"/>
      <c r="AI51" s="1382"/>
      <c r="AJ51" s="1382"/>
      <c r="AW51" s="30"/>
    </row>
    <row r="52" spans="1:49" s="181" customFormat="1" x14ac:dyDescent="0.25">
      <c r="A52" s="1407" t="str">
        <f>IF(DD_apply="Yes",IF(COUNTIF('02 - DD'!D52:G52,"Y")&gt;0,"Y",IF(COUNTIF('02 - DD'!D52:G52,"N"),"N","")),"")</f>
        <v>N</v>
      </c>
      <c r="B52" s="177"/>
      <c r="C52" s="945"/>
      <c r="D52" s="411"/>
      <c r="E52" s="559" t="str">
        <f>IF('C-Design&amp;Const'!$M52="","",'C-Design&amp;Const'!$M52)</f>
        <v>N</v>
      </c>
      <c r="F52" s="458"/>
      <c r="G52" s="506"/>
      <c r="H52" s="362" t="str">
        <f>CONCATENATE(IF(ISNUMBER(SEARCH("Placeholder",'C-Design&amp;Const'!Z52))=TRUE,"",IF(E52="N","PLACEHOLDER ROW - ","")),'C-Design&amp;Const'!Z52,IF(E52="N","",J52))</f>
        <v xml:space="preserve">PLACEHOLDER ROW - Master Plan Impact and Options </v>
      </c>
      <c r="I52" s="193"/>
      <c r="J52" s="578" t="str">
        <f>IF('C-Design&amp;Const'!AG52="","",'C-Design&amp;Const'!AG52)</f>
        <v xml:space="preserve"> (Updates to) </v>
      </c>
      <c r="K52" s="285" t="str">
        <f>IF(CD50_apply="Yes",IF((COUNTIF(D52:G52,"Y")=COUNTIF('02 - DD'!D52:G52,"Y")),"match","no DD match"),"-")</f>
        <v>match</v>
      </c>
      <c r="L52" s="1410" t="str">
        <f t="shared" si="1"/>
        <v>&lt;---PM/Planner may hide PLACEHOLDER ROW</v>
      </c>
      <c r="M52" s="1382"/>
      <c r="N52" s="1382"/>
      <c r="O52" s="1382"/>
      <c r="P52" s="1382"/>
      <c r="Q52" s="1490"/>
      <c r="R52" s="1274"/>
      <c r="S52" s="1274"/>
      <c r="T52" s="1382"/>
      <c r="U52" s="1382"/>
      <c r="V52" s="1382"/>
      <c r="W52" s="1382"/>
      <c r="X52" s="1382"/>
      <c r="Y52" s="1382"/>
      <c r="Z52" s="1382"/>
      <c r="AA52" s="1382"/>
      <c r="AB52" s="1382"/>
      <c r="AC52" s="1382"/>
      <c r="AD52" s="1382"/>
      <c r="AE52" s="1382"/>
      <c r="AF52" s="1382"/>
      <c r="AG52" s="1382"/>
      <c r="AH52" s="1382"/>
      <c r="AI52" s="1382"/>
      <c r="AJ52" s="1382"/>
      <c r="AW52" s="30"/>
    </row>
    <row r="53" spans="1:49" s="181" customFormat="1" x14ac:dyDescent="0.25">
      <c r="A53" s="1407" t="str">
        <f>IF(DD_apply="Yes",IF(COUNTIF('02 - DD'!D53:G53,"Y")&gt;0,"Y",IF(COUNTIF('02 - DD'!D53:G53,"N"),"N","")),"")</f>
        <v>N</v>
      </c>
      <c r="B53" s="177"/>
      <c r="C53" s="945"/>
      <c r="D53" s="411"/>
      <c r="E53" s="559" t="str">
        <f>IF('C-Design&amp;Const'!$M53="","",'C-Design&amp;Const'!$M53)</f>
        <v>N</v>
      </c>
      <c r="F53" s="458"/>
      <c r="G53" s="506"/>
      <c r="H53" s="795" t="str">
        <f>CONCATENATE(IF(ISNUMBER(SEARCH("Placeholder",'C-Design&amp;Const'!Z53))=TRUE,"",IF(E53="N","PLACEHOLDER ROW - ","")),'C-Design&amp;Const'!Z53,IF(E53="N","",J53))</f>
        <v>PLACEHOLDER ROW - Required adjacent property acquisitions</v>
      </c>
      <c r="I53" s="193"/>
      <c r="J53" s="578" t="str">
        <f>IF('C-Design&amp;Const'!AG53="","",'C-Design&amp;Const'!AG53)</f>
        <v xml:space="preserve"> (Updates to) </v>
      </c>
      <c r="K53" s="285" t="str">
        <f>IF(CD50_apply="Yes",IF((COUNTIF(D53:G53,"Y")=COUNTIF('02 - DD'!D53:G53,"Y")),"match","no DD match"),"-")</f>
        <v>match</v>
      </c>
      <c r="L53" s="1410" t="str">
        <f t="shared" si="1"/>
        <v>&lt;---PM/Planner may hide PLACEHOLDER ROW</v>
      </c>
      <c r="M53" s="1382"/>
      <c r="N53" s="1382"/>
      <c r="O53" s="1382"/>
      <c r="P53" s="1382"/>
      <c r="Q53" s="1490"/>
      <c r="R53" s="1274"/>
      <c r="S53" s="1274"/>
      <c r="T53" s="1382"/>
      <c r="U53" s="1382"/>
      <c r="V53" s="1382"/>
      <c r="W53" s="1382"/>
      <c r="X53" s="1382"/>
      <c r="Y53" s="1382"/>
      <c r="Z53" s="1382"/>
      <c r="AA53" s="1382"/>
      <c r="AB53" s="1382"/>
      <c r="AC53" s="1382"/>
      <c r="AD53" s="1382"/>
      <c r="AE53" s="1382"/>
      <c r="AF53" s="1382"/>
      <c r="AG53" s="1382"/>
      <c r="AH53" s="1382"/>
      <c r="AI53" s="1382"/>
      <c r="AJ53" s="1382"/>
      <c r="AW53" s="30"/>
    </row>
    <row r="54" spans="1:49" s="181" customFormat="1" x14ac:dyDescent="0.25">
      <c r="A54" s="1407" t="str">
        <f>IF(DD_apply="Yes",IF(COUNTIF('02 - DD'!D54:G54,"Y")&gt;0,"Y",IF(COUNTIF('02 - DD'!D54:G54,"N"),"N","")),"")</f>
        <v>N</v>
      </c>
      <c r="B54" s="177"/>
      <c r="C54" s="945"/>
      <c r="D54" s="411"/>
      <c r="E54" s="559" t="str">
        <f>IF('C-Design&amp;Const'!$M54="","",'C-Design&amp;Const'!$M54)</f>
        <v>N</v>
      </c>
      <c r="F54" s="458"/>
      <c r="G54" s="506"/>
      <c r="H54" s="795" t="str">
        <f>CONCATENATE(IF(ISNUMBER(SEARCH("Placeholder",'C-Design&amp;Const'!Z54))=TRUE,"",IF(E54="N","PLACEHOLDER ROW - ","")),'C-Design&amp;Const'!Z54,IF(E54="N","",J54))</f>
        <v>PLACEHOLDER ROW - CUSTOM ROW - OPTIONAL CLIENT ITEM</v>
      </c>
      <c r="I54" s="193"/>
      <c r="J54" s="578" t="str">
        <f>IF('C-Design&amp;Const'!AG54="","",'C-Design&amp;Const'!AG54)</f>
        <v xml:space="preserve"> (Updates to) </v>
      </c>
      <c r="K54" s="285" t="str">
        <f>IF(CD50_apply="Yes",IF((COUNTIF(D54:G54,"Y")=COUNTIF('02 - DD'!D54:G54,"Y")),"match","no DD match"),"-")</f>
        <v>match</v>
      </c>
      <c r="L54" s="1410" t="str">
        <f t="shared" si="1"/>
        <v>&lt;---PM/Planner may hide PLACEHOLDER ROW</v>
      </c>
      <c r="M54" s="1382"/>
      <c r="N54" s="1382"/>
      <c r="O54" s="1382"/>
      <c r="P54" s="1382"/>
      <c r="Q54" s="1490"/>
      <c r="R54" s="1274"/>
      <c r="S54" s="1274"/>
      <c r="T54" s="1382"/>
      <c r="U54" s="1382"/>
      <c r="V54" s="1382"/>
      <c r="W54" s="1382"/>
      <c r="X54" s="1382"/>
      <c r="Y54" s="1382"/>
      <c r="Z54" s="1382"/>
      <c r="AA54" s="1382"/>
      <c r="AB54" s="1382"/>
      <c r="AC54" s="1382"/>
      <c r="AD54" s="1382"/>
      <c r="AE54" s="1382"/>
      <c r="AF54" s="1382"/>
      <c r="AG54" s="1382"/>
      <c r="AH54" s="1382"/>
      <c r="AI54" s="1382"/>
      <c r="AJ54" s="1382"/>
      <c r="AW54" s="30"/>
    </row>
    <row r="55" spans="1:49" s="181" customFormat="1" hidden="1" x14ac:dyDescent="0.25">
      <c r="A55" s="1407" t="str">
        <f>IF(DD_apply="Yes",IF(COUNTIF('02 - DD'!D55:G55,"Y")&gt;0,"Y",IF(COUNTIF('02 - DD'!D55:G55,"N"),"N","")),"")</f>
        <v>N</v>
      </c>
      <c r="B55" s="177"/>
      <c r="C55" s="945"/>
      <c r="D55" s="411"/>
      <c r="E55" s="559" t="str">
        <f>IF('C-Design&amp;Const'!$M55="","",'C-Design&amp;Const'!$M55)</f>
        <v>N</v>
      </c>
      <c r="F55" s="458"/>
      <c r="G55" s="506"/>
      <c r="H55" s="795" t="str">
        <f>CONCATENATE(IF(ISNUMBER(SEARCH("Placeholder",'C-Design&amp;Const'!Z55))=TRUE,"",IF(E55="N","PLACEHOLDER ROW - ","")),'C-Design&amp;Const'!Z55,IF(E55="N","",J55))</f>
        <v>PLACEHOLDER ROW - CUSTOM ROW - OPTIONAL CLIENT ITEM</v>
      </c>
      <c r="I55" s="193"/>
      <c r="J55" s="578" t="str">
        <f>IF('C-Design&amp;Const'!AG55="","",'C-Design&amp;Const'!AG55)</f>
        <v/>
      </c>
      <c r="K55" s="285" t="str">
        <f>IF(CD50_apply="Yes",IF((COUNTIF(D55:G55,"Y")=COUNTIF('02 - DD'!D55:G55,"Y")),"match","no DD match"),"-")</f>
        <v>match</v>
      </c>
      <c r="L55" s="1410" t="str">
        <f t="shared" si="1"/>
        <v>&lt;---PM/Planner may hide PLACEHOLDER ROW</v>
      </c>
      <c r="M55" s="1382"/>
      <c r="N55" s="1382"/>
      <c r="O55" s="1382"/>
      <c r="P55" s="1382"/>
      <c r="Q55" s="1490"/>
      <c r="R55" s="1274"/>
      <c r="S55" s="1274"/>
      <c r="T55" s="1382"/>
      <c r="U55" s="1382"/>
      <c r="V55" s="1382"/>
      <c r="W55" s="1382"/>
      <c r="X55" s="1382"/>
      <c r="Y55" s="1382"/>
      <c r="Z55" s="1382"/>
      <c r="AA55" s="1382"/>
      <c r="AB55" s="1382"/>
      <c r="AC55" s="1382"/>
      <c r="AD55" s="1382"/>
      <c r="AE55" s="1382"/>
      <c r="AF55" s="1382"/>
      <c r="AG55" s="1382"/>
      <c r="AH55" s="1382"/>
      <c r="AI55" s="1382"/>
      <c r="AJ55" s="1382"/>
      <c r="AW55" s="30"/>
    </row>
    <row r="56" spans="1:49" s="181" customFormat="1" ht="15.75" x14ac:dyDescent="0.25">
      <c r="A56" s="1407" t="str">
        <f>IF(DD_apply="Yes",IF(COUNTIF('02 - DD'!D56:G56,"Y")&gt;0,"Y",IF(COUNTIF('02 - DD'!D56:G56,"N"),"N","")),"")</f>
        <v>Y</v>
      </c>
      <c r="B56" s="177"/>
      <c r="C56" s="945"/>
      <c r="D56" s="411"/>
      <c r="E56" s="559" t="str">
        <f>IF('C-Design&amp;Const'!$M56="","",'C-Design&amp;Const'!$M56)</f>
        <v>Y</v>
      </c>
      <c r="F56" s="458"/>
      <c r="G56" s="506"/>
      <c r="H56" s="462" t="str">
        <f>CONCATENATE(IF(E56="N","PLACEHOLDER ROW - ",""),'C-Design&amp;Const'!Z56,IF(E56="N","",J56))</f>
        <v xml:space="preserve">Building &amp; Site Systems Narratives (Updates to) </v>
      </c>
      <c r="I56" s="193"/>
      <c r="J56" s="578" t="str">
        <f>IF('C-Design&amp;Const'!AG56="","",'C-Design&amp;Const'!AG56)</f>
        <v xml:space="preserve"> (Updates to) </v>
      </c>
      <c r="K56" s="285" t="str">
        <f>IF(CD50_apply="Yes",IF((COUNTIF(D56:G56,"Y")=COUNTIF('02 - DD'!D56:G56,"Y")),"match","no DD match"),"-")</f>
        <v>match</v>
      </c>
      <c r="L56" s="1410" t="str">
        <f t="shared" si="1"/>
        <v/>
      </c>
      <c r="M56" s="1382"/>
      <c r="N56" s="1382"/>
      <c r="O56" s="1382"/>
      <c r="P56" s="1382"/>
      <c r="Q56" s="1490"/>
      <c r="R56" s="1274"/>
      <c r="S56" s="1274"/>
      <c r="T56" s="1382"/>
      <c r="U56" s="1382"/>
      <c r="V56" s="1382"/>
      <c r="W56" s="1382"/>
      <c r="X56" s="1382"/>
      <c r="Y56" s="1382"/>
      <c r="Z56" s="1382"/>
      <c r="AA56" s="1382"/>
      <c r="AB56" s="1382"/>
      <c r="AC56" s="1382"/>
      <c r="AD56" s="1382"/>
      <c r="AE56" s="1382"/>
      <c r="AF56" s="1382"/>
      <c r="AG56" s="1382"/>
      <c r="AH56" s="1382"/>
      <c r="AI56" s="1382"/>
      <c r="AJ56" s="1382"/>
      <c r="AW56" s="30"/>
    </row>
    <row r="57" spans="1:49" s="181" customFormat="1" ht="28.5" x14ac:dyDescent="0.25">
      <c r="A57" s="1407" t="str">
        <f>IF(DD_apply="Yes",IF(COUNTIF('02 - DD'!D57:G57,"Y")&gt;0,"Y",IF(COUNTIF('02 - DD'!D57:G57,"N"),"N","")),"")</f>
        <v/>
      </c>
      <c r="B57" s="177"/>
      <c r="C57" s="945"/>
      <c r="D57" s="411"/>
      <c r="E57" s="411"/>
      <c r="F57" s="411"/>
      <c r="G57" s="513"/>
      <c r="H57" s="362" t="str">
        <f>CONCATENATE(IF(E57="N","PLACEHOLDER ROW - ",""),IF(E57="N","",J57),'C-Design&amp;Const'!Z57,)</f>
        <v>Under separate bound cover, any detailed results, reports, surveys, tests, etc… for existing systems verification.</v>
      </c>
      <c r="I57" s="193"/>
      <c r="J57" s="578" t="str">
        <f>IF('C-Design&amp;Const'!AG57="","",'C-Design&amp;Const'!AG57)</f>
        <v/>
      </c>
      <c r="K57" s="285" t="str">
        <f>IF(CD50_apply="Yes",IF((COUNTIF(D57:G57,"Y")=COUNTIF('02 - DD'!D57:G57,"Y")),"match","no DD match"),"-")</f>
        <v>match</v>
      </c>
      <c r="L57" s="1410" t="str">
        <f t="shared" si="1"/>
        <v/>
      </c>
      <c r="M57" s="1382"/>
      <c r="N57" s="1382"/>
      <c r="O57" s="1382"/>
      <c r="P57" s="1382"/>
      <c r="Q57" s="1490"/>
      <c r="R57" s="1274"/>
      <c r="S57" s="1274"/>
      <c r="T57" s="1382"/>
      <c r="U57" s="1382"/>
      <c r="V57" s="1382"/>
      <c r="W57" s="1382"/>
      <c r="X57" s="1382"/>
      <c r="Y57" s="1382"/>
      <c r="Z57" s="1382"/>
      <c r="AA57" s="1382"/>
      <c r="AB57" s="1382"/>
      <c r="AC57" s="1382"/>
      <c r="AD57" s="1382"/>
      <c r="AE57" s="1382"/>
      <c r="AF57" s="1382"/>
      <c r="AG57" s="1382"/>
      <c r="AH57" s="1382"/>
      <c r="AI57" s="1382"/>
      <c r="AJ57" s="1382"/>
      <c r="AW57" s="30"/>
    </row>
    <row r="58" spans="1:49" s="181" customFormat="1" ht="42.75" x14ac:dyDescent="0.25">
      <c r="A58" s="1407" t="str">
        <f>IF(DD_apply="Yes",IF(COUNTIF('02 - DD'!D58:G58,"Y")&gt;0,"Y",IF(COUNTIF('02 - DD'!D58:G58,"N"),"N","")),"")</f>
        <v>Y</v>
      </c>
      <c r="B58" s="177"/>
      <c r="C58" s="945"/>
      <c r="D58" s="411"/>
      <c r="E58" s="411"/>
      <c r="F58" s="559" t="str">
        <f>IF('C-Design&amp;Const'!$M58="","",'C-Design&amp;Const'!$M58)</f>
        <v>Y</v>
      </c>
      <c r="G58" s="506"/>
      <c r="H58" s="408" t="str">
        <f>CONCATENATE(IF(F58="N","PLACEHOLDER ROW - ",""),'C-Design&amp;Const'!Z58,IF(F58="N","",J58))</f>
        <v xml:space="preserve">Site / Civil / Landscape - Storm Water Management for changes in impervious area **(List assumptions for mitigation.  Verify existing system.  Any outlet into field tiles must be verified for size, location, and condition) (Updates to) </v>
      </c>
      <c r="I58" s="193"/>
      <c r="J58" s="578" t="str">
        <f>IF('C-Design&amp;Const'!AG58="","",'C-Design&amp;Const'!AG58)</f>
        <v xml:space="preserve"> (Updates to) </v>
      </c>
      <c r="K58" s="285" t="str">
        <f>IF(CD50_apply="Yes",IF((COUNTIF(D58:G58,"Y")=COUNTIF('02 - DD'!D58:G58,"Y")),"match","no DD match"),"-")</f>
        <v>match</v>
      </c>
      <c r="L58" s="1410" t="str">
        <f t="shared" si="1"/>
        <v/>
      </c>
      <c r="M58" s="1382"/>
      <c r="N58" s="1382"/>
      <c r="O58" s="1382"/>
      <c r="P58" s="1382"/>
      <c r="Q58" s="1490"/>
      <c r="R58" s="1274"/>
      <c r="S58" s="1274"/>
      <c r="T58" s="1382"/>
      <c r="U58" s="1382"/>
      <c r="V58" s="1382"/>
      <c r="W58" s="1382"/>
      <c r="X58" s="1382"/>
      <c r="Y58" s="1382"/>
      <c r="Z58" s="1382"/>
      <c r="AA58" s="1382"/>
      <c r="AB58" s="1382"/>
      <c r="AC58" s="1382"/>
      <c r="AD58" s="1382"/>
      <c r="AE58" s="1382"/>
      <c r="AF58" s="1382"/>
      <c r="AG58" s="1382"/>
      <c r="AH58" s="1382"/>
      <c r="AI58" s="1382"/>
      <c r="AJ58" s="1382"/>
      <c r="AW58" s="30"/>
    </row>
    <row r="59" spans="1:49" s="181" customFormat="1" ht="28.5" x14ac:dyDescent="0.25">
      <c r="A59" s="1407" t="str">
        <f>IF(DD_apply="Yes",IF(COUNTIF('02 - DD'!D59:G59,"Y")&gt;0,"Y",IF(COUNTIF('02 - DD'!D59:G59,"N"),"N","")),"")</f>
        <v>Y</v>
      </c>
      <c r="B59" s="177"/>
      <c r="C59" s="945"/>
      <c r="D59" s="411"/>
      <c r="E59" s="411"/>
      <c r="F59" s="559" t="str">
        <f>IF('C-Design&amp;Const'!$M59="","",'C-Design&amp;Const'!$M59)</f>
        <v>Y</v>
      </c>
      <c r="G59" s="506"/>
      <c r="H59" s="408" t="str">
        <f>CONCATENATE(IF(F59="N","PLACEHOLDER ROW - ",""),'C-Design&amp;Const'!Z59,IF(F59="N","",J59))</f>
        <v xml:space="preserve">Site / Civil / Landscape - Bike Parking, Vehicle Parking,  Driveways, Multimodal Transporation (Updates to) </v>
      </c>
      <c r="I59" s="193"/>
      <c r="J59" s="578" t="str">
        <f>IF('C-Design&amp;Const'!AG59="","",'C-Design&amp;Const'!AG59)</f>
        <v xml:space="preserve"> (Updates to) </v>
      </c>
      <c r="K59" s="285" t="str">
        <f>IF(CD50_apply="Yes",IF((COUNTIF(D59:G59,"Y")=COUNTIF('02 - DD'!D59:G59,"Y")),"match","no DD match"),"-")</f>
        <v>match</v>
      </c>
      <c r="L59" s="1410" t="str">
        <f t="shared" si="1"/>
        <v/>
      </c>
      <c r="M59" s="1382"/>
      <c r="N59" s="1382"/>
      <c r="O59" s="1382"/>
      <c r="P59" s="1382"/>
      <c r="Q59" s="1490"/>
      <c r="R59" s="1274"/>
      <c r="S59" s="1274"/>
      <c r="T59" s="1382"/>
      <c r="U59" s="1382"/>
      <c r="V59" s="1382"/>
      <c r="W59" s="1382"/>
      <c r="X59" s="1382"/>
      <c r="Y59" s="1382"/>
      <c r="Z59" s="1382"/>
      <c r="AA59" s="1382"/>
      <c r="AB59" s="1382"/>
      <c r="AC59" s="1382"/>
      <c r="AD59" s="1382"/>
      <c r="AE59" s="1382"/>
      <c r="AF59" s="1382"/>
      <c r="AG59" s="1382"/>
      <c r="AH59" s="1382"/>
      <c r="AI59" s="1382"/>
      <c r="AJ59" s="1382"/>
      <c r="AW59" s="30"/>
    </row>
    <row r="60" spans="1:49" s="548" customFormat="1" x14ac:dyDescent="0.25">
      <c r="A60" s="1407" t="str">
        <f>IF(DD_apply="Yes",IF(COUNTIF('02 - DD'!D60:G60,"Y")&gt;0,"Y",IF(COUNTIF('02 - DD'!D60:G60,"N"),"N","")),"")</f>
        <v>Y</v>
      </c>
      <c r="B60" s="1061"/>
      <c r="C60" s="945"/>
      <c r="D60" s="499"/>
      <c r="E60" s="499"/>
      <c r="F60" s="559" t="str">
        <f>IF('C-Design&amp;Const'!$M60="","",'C-Design&amp;Const'!$M60)</f>
        <v>Y</v>
      </c>
      <c r="G60" s="1062"/>
      <c r="H60" s="408" t="str">
        <f>CONCATENATE(IF(F60="N","PLACEHOLDER ROW - ",""),'C-Design&amp;Const'!Z60,IF(F60="N","",J60))</f>
        <v xml:space="preserve">Site / Civil / Landscape - Waste &amp; Recycling Hauling, Service Access, &amp; Loading Zones (Updates to) </v>
      </c>
      <c r="I60" s="1063"/>
      <c r="J60" s="1064" t="str">
        <f>IF('C-Design&amp;Const'!AG60="","",'C-Design&amp;Const'!AG60)</f>
        <v xml:space="preserve"> (Updates to) </v>
      </c>
      <c r="K60" s="285" t="str">
        <f>IF(CD50_apply="Yes",IF((COUNTIF(D60:G60,"Y")=COUNTIF('02 - DD'!D60:G60,"Y")),"match","no DD match"),"-")</f>
        <v>match</v>
      </c>
      <c r="L60" s="1408" t="str">
        <f t="shared" ref="L60" si="2">CONCATENATE(IF(ISNUMBER(SEARCH("Placeholder",H60))=TRUE,"&lt;---PM/Planner may hide PLACEHOLDER ROW",""))</f>
        <v/>
      </c>
      <c r="M60" s="1510"/>
      <c r="N60" s="1510"/>
      <c r="O60" s="1510"/>
      <c r="P60" s="1510"/>
      <c r="Q60" s="1491"/>
      <c r="R60" s="1407"/>
      <c r="S60" s="1407"/>
      <c r="T60" s="1510"/>
      <c r="U60" s="1510"/>
      <c r="V60" s="1510"/>
      <c r="W60" s="1510"/>
      <c r="X60" s="1510"/>
      <c r="Y60" s="1510"/>
      <c r="Z60" s="1510"/>
      <c r="AA60" s="1510"/>
      <c r="AB60" s="1510"/>
      <c r="AC60" s="1510"/>
      <c r="AD60" s="1510"/>
      <c r="AE60" s="1510"/>
      <c r="AF60" s="1510"/>
      <c r="AG60" s="1510"/>
      <c r="AH60" s="1510"/>
      <c r="AI60" s="1510"/>
      <c r="AJ60" s="1510"/>
      <c r="AW60" s="553"/>
    </row>
    <row r="61" spans="1:49" s="181" customFormat="1" x14ac:dyDescent="0.25">
      <c r="A61" s="1407" t="str">
        <f>IF(DD_apply="Yes",IF(COUNTIF('02 - DD'!D61:G61,"Y")&gt;0,"Y",IF(COUNTIF('02 - DD'!D61:G61,"N"),"N","")),"")</f>
        <v>Y</v>
      </c>
      <c r="B61" s="177"/>
      <c r="C61" s="945"/>
      <c r="D61" s="411"/>
      <c r="E61" s="411"/>
      <c r="F61" s="559" t="str">
        <f>IF('C-Design&amp;Const'!$M61="","",'C-Design&amp;Const'!$M61)</f>
        <v>Y</v>
      </c>
      <c r="G61" s="506"/>
      <c r="H61" s="408" t="str">
        <f>CONCATENATE(IF(F61="N","PLACEHOLDER ROW - ",""),'C-Design&amp;Const'!Z61,IF(F61="N","",J61))</f>
        <v xml:space="preserve">Site / Civil / Landscape - Sidewalks, Plazas, Landscape (Updates to) </v>
      </c>
      <c r="I61" s="193"/>
      <c r="J61" s="578" t="str">
        <f>IF('C-Design&amp;Const'!AG61="","",'C-Design&amp;Const'!AG61)</f>
        <v xml:space="preserve"> (Updates to) </v>
      </c>
      <c r="K61" s="285" t="str">
        <f>IF(CD50_apply="Yes",IF((COUNTIF(D61:G61,"Y")=COUNTIF('02 - DD'!D61:G61,"Y")),"match","no DD match"),"-")</f>
        <v>match</v>
      </c>
      <c r="L61" s="1410" t="str">
        <f t="shared" si="1"/>
        <v/>
      </c>
      <c r="M61" s="1382"/>
      <c r="N61" s="1382"/>
      <c r="O61" s="1382"/>
      <c r="P61" s="1382"/>
      <c r="Q61" s="1490"/>
      <c r="R61" s="1274"/>
      <c r="S61" s="1274"/>
      <c r="T61" s="1382"/>
      <c r="U61" s="1382"/>
      <c r="V61" s="1382"/>
      <c r="W61" s="1382"/>
      <c r="X61" s="1382"/>
      <c r="Y61" s="1382"/>
      <c r="Z61" s="1382"/>
      <c r="AA61" s="1382"/>
      <c r="AB61" s="1382"/>
      <c r="AC61" s="1382"/>
      <c r="AD61" s="1382"/>
      <c r="AE61" s="1382"/>
      <c r="AF61" s="1382"/>
      <c r="AG61" s="1382"/>
      <c r="AH61" s="1382"/>
      <c r="AI61" s="1382"/>
      <c r="AJ61" s="1382"/>
      <c r="AW61" s="30"/>
    </row>
    <row r="62" spans="1:49" s="181" customFormat="1" x14ac:dyDescent="0.25">
      <c r="A62" s="1407" t="str">
        <f>IF(DD_apply="Yes",IF(COUNTIF('02 - DD'!D62:G62,"Y")&gt;0,"Y",IF(COUNTIF('02 - DD'!D62:G62,"N"),"N","")),"")</f>
        <v>Y</v>
      </c>
      <c r="B62" s="177"/>
      <c r="C62" s="945"/>
      <c r="D62" s="411"/>
      <c r="E62" s="411"/>
      <c r="F62" s="559" t="str">
        <f>IF('C-Design&amp;Const'!$M62="","",'C-Design&amp;Const'!$M62)</f>
        <v>Y</v>
      </c>
      <c r="G62" s="506"/>
      <c r="H62" s="408" t="str">
        <f>CONCATENATE(IF(F62="N","PLACEHOLDER ROW - ",""),'C-Design&amp;Const'!Z62,IF(F62="N","",J62))</f>
        <v xml:space="preserve">Site / Civil / Landscape - Demolition &amp; Site Clearing (Updates to) </v>
      </c>
      <c r="I62" s="193"/>
      <c r="J62" s="578" t="str">
        <f>IF('C-Design&amp;Const'!AG62="","",'C-Design&amp;Const'!AG62)</f>
        <v xml:space="preserve"> (Updates to) </v>
      </c>
      <c r="K62" s="285" t="str">
        <f>IF(CD50_apply="Yes",IF((COUNTIF(D62:G62,"Y")=COUNTIF('02 - DD'!D62:G62,"Y")),"match","no DD match"),"-")</f>
        <v>match</v>
      </c>
      <c r="L62" s="1410" t="str">
        <f t="shared" si="1"/>
        <v/>
      </c>
      <c r="M62" s="1382"/>
      <c r="N62" s="1382"/>
      <c r="O62" s="1382"/>
      <c r="P62" s="1382"/>
      <c r="Q62" s="1490"/>
      <c r="R62" s="1274"/>
      <c r="S62" s="1274"/>
      <c r="T62" s="1382"/>
      <c r="U62" s="1382"/>
      <c r="V62" s="1382"/>
      <c r="W62" s="1382"/>
      <c r="X62" s="1382"/>
      <c r="Y62" s="1382"/>
      <c r="Z62" s="1382"/>
      <c r="AA62" s="1382"/>
      <c r="AB62" s="1382"/>
      <c r="AC62" s="1382"/>
      <c r="AD62" s="1382"/>
      <c r="AE62" s="1382"/>
      <c r="AF62" s="1382"/>
      <c r="AG62" s="1382"/>
      <c r="AH62" s="1382"/>
      <c r="AI62" s="1382"/>
      <c r="AJ62" s="1382"/>
      <c r="AW62" s="30"/>
    </row>
    <row r="63" spans="1:49" s="181" customFormat="1" x14ac:dyDescent="0.25">
      <c r="A63" s="1407" t="str">
        <f>IF(DD_apply="Yes",IF(COUNTIF('02 - DD'!D63:G63,"Y")&gt;0,"Y",IF(COUNTIF('02 - DD'!D63:G63,"N"),"N","")),"")</f>
        <v>Y</v>
      </c>
      <c r="B63" s="177"/>
      <c r="C63" s="945"/>
      <c r="D63" s="411"/>
      <c r="E63" s="411"/>
      <c r="F63" s="559" t="str">
        <f>IF('C-Design&amp;Const'!$M63="","",'C-Design&amp;Const'!$M63)</f>
        <v>Y</v>
      </c>
      <c r="G63" s="506"/>
      <c r="H63" s="408" t="str">
        <f>CONCATENATE(IF(F63="N","PLACEHOLDER ROW - ",""),'C-Design&amp;Const'!Z63,IF(F63="N","",J63))</f>
        <v xml:space="preserve">Site / Civil / Landscape - Utility Relocations (Updates to) </v>
      </c>
      <c r="I63" s="193"/>
      <c r="J63" s="578" t="str">
        <f>IF('C-Design&amp;Const'!AG63="","",'C-Design&amp;Const'!AG63)</f>
        <v xml:space="preserve"> (Updates to) </v>
      </c>
      <c r="K63" s="285" t="str">
        <f>IF(CD50_apply="Yes",IF((COUNTIF(D63:G63,"Y")=COUNTIF('02 - DD'!D63:G63,"Y")),"match","no DD match"),"-")</f>
        <v>match</v>
      </c>
      <c r="L63" s="1410" t="str">
        <f t="shared" si="1"/>
        <v/>
      </c>
      <c r="M63" s="1382"/>
      <c r="N63" s="1382"/>
      <c r="O63" s="1382"/>
      <c r="P63" s="1382"/>
      <c r="Q63" s="1490"/>
      <c r="R63" s="1274"/>
      <c r="S63" s="1274"/>
      <c r="T63" s="1382"/>
      <c r="U63" s="1382"/>
      <c r="V63" s="1382"/>
      <c r="W63" s="1382"/>
      <c r="X63" s="1382"/>
      <c r="Y63" s="1382"/>
      <c r="Z63" s="1382"/>
      <c r="AA63" s="1382"/>
      <c r="AB63" s="1382"/>
      <c r="AC63" s="1382"/>
      <c r="AD63" s="1382"/>
      <c r="AE63" s="1382"/>
      <c r="AF63" s="1382"/>
      <c r="AG63" s="1382"/>
      <c r="AH63" s="1382"/>
      <c r="AI63" s="1382"/>
      <c r="AJ63" s="1382"/>
      <c r="AW63" s="30"/>
    </row>
    <row r="64" spans="1:49" s="181" customFormat="1" x14ac:dyDescent="0.25">
      <c r="A64" s="1407" t="str">
        <f>IF(DD_apply="Yes",IF(COUNTIF('02 - DD'!D64:G64,"Y")&gt;0,"Y",IF(COUNTIF('02 - DD'!D64:G64,"N"),"N","")),"")</f>
        <v>Y</v>
      </c>
      <c r="B64" s="177"/>
      <c r="C64" s="945"/>
      <c r="D64" s="411"/>
      <c r="E64" s="411"/>
      <c r="F64" s="559" t="str">
        <f>IF('C-Design&amp;Const'!$M64="","",'C-Design&amp;Const'!$M64)</f>
        <v>Y</v>
      </c>
      <c r="G64" s="506"/>
      <c r="H64" s="408" t="str">
        <f>CONCATENATE(IF(F64="N","PLACEHOLDER ROW - ",""),'C-Design&amp;Const'!Z64,IF(F64="N","",J64))</f>
        <v xml:space="preserve">Site / Civil / Landscape - Utility Abandonments (Updates to) </v>
      </c>
      <c r="I64" s="193"/>
      <c r="J64" s="578" t="str">
        <f>IF('C-Design&amp;Const'!AG64="","",'C-Design&amp;Const'!AG64)</f>
        <v xml:space="preserve"> (Updates to) </v>
      </c>
      <c r="K64" s="285" t="str">
        <f>IF(CD50_apply="Yes",IF((COUNTIF(D64:G64,"Y")=COUNTIF('02 - DD'!D64:G64,"Y")),"match","no DD match"),"-")</f>
        <v>match</v>
      </c>
      <c r="L64" s="1410" t="str">
        <f t="shared" si="1"/>
        <v/>
      </c>
      <c r="M64" s="1382"/>
      <c r="N64" s="1382"/>
      <c r="O64" s="1382"/>
      <c r="P64" s="1382"/>
      <c r="Q64" s="1490"/>
      <c r="R64" s="1274"/>
      <c r="S64" s="1274"/>
      <c r="T64" s="1382"/>
      <c r="U64" s="1382"/>
      <c r="V64" s="1382"/>
      <c r="W64" s="1382"/>
      <c r="X64" s="1382"/>
      <c r="Y64" s="1382"/>
      <c r="Z64" s="1382"/>
      <c r="AA64" s="1382"/>
      <c r="AB64" s="1382"/>
      <c r="AC64" s="1382"/>
      <c r="AD64" s="1382"/>
      <c r="AE64" s="1382"/>
      <c r="AF64" s="1382"/>
      <c r="AG64" s="1382"/>
      <c r="AH64" s="1382"/>
      <c r="AI64" s="1382"/>
      <c r="AJ64" s="1382"/>
      <c r="AW64" s="30"/>
    </row>
    <row r="65" spans="1:49" s="181" customFormat="1" x14ac:dyDescent="0.25">
      <c r="A65" s="1407" t="str">
        <f>IF(DD_apply="Yes",IF(COUNTIF('02 - DD'!D65:G65,"Y")&gt;0,"Y",IF(COUNTIF('02 - DD'!D65:G65,"N"),"N","")),"")</f>
        <v>N</v>
      </c>
      <c r="B65" s="177"/>
      <c r="C65" s="945"/>
      <c r="D65" s="411"/>
      <c r="E65" s="411"/>
      <c r="F65" s="559" t="str">
        <f>IF('C-Design&amp;Const'!$M65="","",'C-Design&amp;Const'!$M65)</f>
        <v>N</v>
      </c>
      <c r="G65" s="506"/>
      <c r="H65" s="408" t="str">
        <f>CONCATENATE(IF(F65="N","PLACEHOLDER ROW - ",""),'C-Design&amp;Const'!Z65,IF(F65="N","",J65))</f>
        <v>PLACEHOLDER ROW - Site / Civil / Landscape - CUSTOM</v>
      </c>
      <c r="I65" s="193"/>
      <c r="J65" s="578" t="str">
        <f>IF('C-Design&amp;Const'!AG65="","",'C-Design&amp;Const'!AG65)</f>
        <v xml:space="preserve"> (Updates to) </v>
      </c>
      <c r="K65" s="285" t="str">
        <f>IF(CD50_apply="Yes",IF((COUNTIF(D65:G65,"Y")=COUNTIF('02 - DD'!D65:G65,"Y")),"match","no DD match"),"-")</f>
        <v>match</v>
      </c>
      <c r="L65" s="1410" t="str">
        <f t="shared" si="1"/>
        <v>&lt;---PM/Planner may hide PLACEHOLDER ROW</v>
      </c>
      <c r="M65" s="1382"/>
      <c r="N65" s="1382"/>
      <c r="O65" s="1382"/>
      <c r="P65" s="1382"/>
      <c r="Q65" s="1490"/>
      <c r="R65" s="1274"/>
      <c r="S65" s="1274"/>
      <c r="T65" s="1382"/>
      <c r="U65" s="1382"/>
      <c r="V65" s="1382"/>
      <c r="W65" s="1382"/>
      <c r="X65" s="1382"/>
      <c r="Y65" s="1382"/>
      <c r="Z65" s="1382"/>
      <c r="AA65" s="1382"/>
      <c r="AB65" s="1382"/>
      <c r="AC65" s="1382"/>
      <c r="AD65" s="1382"/>
      <c r="AE65" s="1382"/>
      <c r="AF65" s="1382"/>
      <c r="AG65" s="1382"/>
      <c r="AH65" s="1382"/>
      <c r="AI65" s="1382"/>
      <c r="AJ65" s="1382"/>
      <c r="AW65" s="30"/>
    </row>
    <row r="66" spans="1:49" s="551" customFormat="1" x14ac:dyDescent="0.25">
      <c r="A66" s="1407" t="str">
        <f>IF(DD_apply="Yes",IF(COUNTIF('02 - DD'!D66:G66,"Y")&gt;0,"Y",IF(COUNTIF('02 - DD'!D66:G66,"N"),"N","")),"")</f>
        <v>Y</v>
      </c>
      <c r="B66" s="549"/>
      <c r="C66" s="945"/>
      <c r="D66" s="411"/>
      <c r="E66" s="411"/>
      <c r="F66" s="559" t="str">
        <f>IF('C-Design&amp;Const'!$M66="","",'C-Design&amp;Const'!$M66)</f>
        <v>Y</v>
      </c>
      <c r="G66" s="506"/>
      <c r="H66" s="408" t="str">
        <f>CONCATENATE(IF(F66="N","PLACEHOLDER ROW - ",""),'C-Design&amp;Const'!Z66,IF(F66="N","",J66))</f>
        <v xml:space="preserve">Architectural - Demolition(s) (Updates to) </v>
      </c>
      <c r="I66" s="193"/>
      <c r="J66" s="578" t="str">
        <f>IF('C-Design&amp;Const'!AG66="","",'C-Design&amp;Const'!AG66)</f>
        <v xml:space="preserve"> (Updates to) </v>
      </c>
      <c r="K66" s="285" t="str">
        <f>IF(CD50_apply="Yes",IF((COUNTIF(D66:G66,"Y")=COUNTIF('02 - DD'!D66:G66,"Y")),"match","no DD match"),"-")</f>
        <v>match</v>
      </c>
      <c r="L66" s="1410" t="str">
        <f t="shared" ref="L66" si="3">CONCATENATE(IF(ISNUMBER(SEARCH("Placeholder",H66))=TRUE,"&lt;---PM/Planner may hide PLACEHOLDER ROW",""))</f>
        <v/>
      </c>
      <c r="M66" s="1382"/>
      <c r="N66" s="1382"/>
      <c r="O66" s="1382"/>
      <c r="P66" s="1382"/>
      <c r="Q66" s="1490"/>
      <c r="R66" s="1274"/>
      <c r="S66" s="1274"/>
      <c r="T66" s="1382"/>
      <c r="U66" s="1382"/>
      <c r="V66" s="1382"/>
      <c r="W66" s="1382"/>
      <c r="X66" s="1382"/>
      <c r="Y66" s="1382"/>
      <c r="Z66" s="1382"/>
      <c r="AA66" s="1382"/>
      <c r="AB66" s="1382"/>
      <c r="AC66" s="1382"/>
      <c r="AD66" s="1382"/>
      <c r="AE66" s="1382"/>
      <c r="AF66" s="1382"/>
      <c r="AG66" s="1382"/>
      <c r="AH66" s="1382"/>
      <c r="AI66" s="1382"/>
      <c r="AJ66" s="1382"/>
      <c r="AW66" s="545"/>
    </row>
    <row r="67" spans="1:49" s="181" customFormat="1" x14ac:dyDescent="0.25">
      <c r="A67" s="1407" t="str">
        <f>IF(DD_apply="Yes",IF(COUNTIF('02 - DD'!D67:G67,"Y")&gt;0,"Y",IF(COUNTIF('02 - DD'!D67:G67,"N"),"N","")),"")</f>
        <v>Y</v>
      </c>
      <c r="B67" s="177"/>
      <c r="C67" s="945"/>
      <c r="D67" s="411"/>
      <c r="E67" s="411"/>
      <c r="F67" s="559" t="str">
        <f>IF('C-Design&amp;Const'!$M67="","",'C-Design&amp;Const'!$M67)</f>
        <v>Y</v>
      </c>
      <c r="G67" s="506"/>
      <c r="H67" s="408" t="str">
        <f>CONCATENATE(IF(F67="N","PLACEHOLDER ROW - ",""),'C-Design&amp;Const'!Z67,IF(F67="N","",J67))</f>
        <v xml:space="preserve">Architectural - Space Use (Updates to) </v>
      </c>
      <c r="I67" s="193"/>
      <c r="J67" s="578" t="str">
        <f>IF('C-Design&amp;Const'!AG67="","",'C-Design&amp;Const'!AG67)</f>
        <v xml:space="preserve"> (Updates to) </v>
      </c>
      <c r="K67" s="285" t="str">
        <f>IF(CD50_apply="Yes",IF((COUNTIF(D67:G67,"Y")=COUNTIF('02 - DD'!D67:G67,"Y")),"match","no DD match"),"-")</f>
        <v>match</v>
      </c>
      <c r="L67" s="1410" t="str">
        <f t="shared" si="1"/>
        <v/>
      </c>
      <c r="M67" s="1382"/>
      <c r="N67" s="1382"/>
      <c r="O67" s="1382"/>
      <c r="P67" s="1382"/>
      <c r="Q67" s="1490"/>
      <c r="R67" s="1274"/>
      <c r="S67" s="1274"/>
      <c r="T67" s="1382"/>
      <c r="U67" s="1382"/>
      <c r="V67" s="1382"/>
      <c r="W67" s="1382"/>
      <c r="X67" s="1382"/>
      <c r="Y67" s="1382"/>
      <c r="Z67" s="1382"/>
      <c r="AA67" s="1382"/>
      <c r="AB67" s="1382"/>
      <c r="AC67" s="1382"/>
      <c r="AD67" s="1382"/>
      <c r="AE67" s="1382"/>
      <c r="AF67" s="1382"/>
      <c r="AG67" s="1382"/>
      <c r="AH67" s="1382"/>
      <c r="AI67" s="1382"/>
      <c r="AJ67" s="1382"/>
      <c r="AW67" s="30"/>
    </row>
    <row r="68" spans="1:49" s="181" customFormat="1" x14ac:dyDescent="0.25">
      <c r="A68" s="1407" t="str">
        <f>IF(DD_apply="Yes",IF(COUNTIF('02 - DD'!D68:G68,"Y")&gt;0,"Y",IF(COUNTIF('02 - DD'!D68:G68,"N"),"N","")),"")</f>
        <v>Y</v>
      </c>
      <c r="B68" s="177"/>
      <c r="C68" s="945"/>
      <c r="D68" s="411"/>
      <c r="E68" s="411"/>
      <c r="F68" s="559" t="str">
        <f>IF('C-Design&amp;Const'!$M68="","",'C-Design&amp;Const'!$M68)</f>
        <v>Y</v>
      </c>
      <c r="G68" s="506"/>
      <c r="H68" s="408" t="str">
        <f>CONCATENATE(IF(F68="N","PLACEHOLDER ROW - ",""),'C-Design&amp;Const'!Z68,IF(F68="N","",J68))</f>
        <v xml:space="preserve">Architectural - Historical Preservation (Updates to) </v>
      </c>
      <c r="I68" s="193"/>
      <c r="J68" s="578" t="str">
        <f>IF('C-Design&amp;Const'!AG68="","",'C-Design&amp;Const'!AG68)</f>
        <v xml:space="preserve"> (Updates to) </v>
      </c>
      <c r="K68" s="285" t="str">
        <f>IF(CD50_apply="Yes",IF((COUNTIF(D68:G68,"Y")=COUNTIF('02 - DD'!D68:G68,"Y")),"match","no DD match"),"-")</f>
        <v>match</v>
      </c>
      <c r="L68" s="1410" t="str">
        <f t="shared" si="1"/>
        <v/>
      </c>
      <c r="M68" s="1382"/>
      <c r="N68" s="1382"/>
      <c r="O68" s="1382"/>
      <c r="P68" s="1382"/>
      <c r="Q68" s="1490"/>
      <c r="R68" s="1274"/>
      <c r="S68" s="1274"/>
      <c r="T68" s="1382"/>
      <c r="U68" s="1382"/>
      <c r="V68" s="1382"/>
      <c r="W68" s="1382"/>
      <c r="X68" s="1382"/>
      <c r="Y68" s="1382"/>
      <c r="Z68" s="1382"/>
      <c r="AA68" s="1382"/>
      <c r="AB68" s="1382"/>
      <c r="AC68" s="1382"/>
      <c r="AD68" s="1382"/>
      <c r="AE68" s="1382"/>
      <c r="AF68" s="1382"/>
      <c r="AG68" s="1382"/>
      <c r="AH68" s="1382"/>
      <c r="AI68" s="1382"/>
      <c r="AJ68" s="1382"/>
      <c r="AW68" s="30"/>
    </row>
    <row r="69" spans="1:49" s="181" customFormat="1" ht="25.5" customHeight="1" x14ac:dyDescent="0.25">
      <c r="A69" s="1407" t="str">
        <f>IF(DD_apply="Yes",IF(COUNTIF('02 - DD'!D69:G69,"Y")&gt;0,"Y",IF(COUNTIF('02 - DD'!D69:G69,"N"),"N","")),"")</f>
        <v>Y</v>
      </c>
      <c r="B69" s="177"/>
      <c r="C69" s="945"/>
      <c r="D69" s="411"/>
      <c r="E69" s="411"/>
      <c r="F69" s="559" t="str">
        <f>IF('C-Design&amp;Const'!$M69="","",'C-Design&amp;Const'!$M69)</f>
        <v>Y</v>
      </c>
      <c r="G69" s="506"/>
      <c r="H69" s="408" t="str">
        <f>CONCATENATE(IF(F69="N","PLACEHOLDER ROW - ",""),'C-Design&amp;Const'!Z69,IF(F69="N","",J69))</f>
        <v xml:space="preserve">Architectural - Building Envelope **(existing systems verification recommended on renovations) (Updates to) </v>
      </c>
      <c r="I69" s="193"/>
      <c r="J69" s="578" t="str">
        <f>IF('C-Design&amp;Const'!AG69="","",'C-Design&amp;Const'!AG69)</f>
        <v xml:space="preserve"> (Updates to) </v>
      </c>
      <c r="K69" s="285" t="str">
        <f>IF(CD50_apply="Yes",IF((COUNTIF(D69:G69,"Y")=COUNTIF('02 - DD'!D69:G69,"Y")),"match","no DD match"),"-")</f>
        <v>match</v>
      </c>
      <c r="L69" s="1410" t="str">
        <f t="shared" si="1"/>
        <v/>
      </c>
      <c r="M69" s="1382"/>
      <c r="N69" s="1382"/>
      <c r="O69" s="1382"/>
      <c r="P69" s="1382"/>
      <c r="Q69" s="1490"/>
      <c r="R69" s="1274"/>
      <c r="S69" s="1274"/>
      <c r="T69" s="1382"/>
      <c r="U69" s="1382"/>
      <c r="V69" s="1382"/>
      <c r="W69" s="1382"/>
      <c r="X69" s="1382"/>
      <c r="Y69" s="1382"/>
      <c r="Z69" s="1382"/>
      <c r="AA69" s="1382"/>
      <c r="AB69" s="1382"/>
      <c r="AC69" s="1382"/>
      <c r="AD69" s="1382"/>
      <c r="AE69" s="1382"/>
      <c r="AF69" s="1382"/>
      <c r="AG69" s="1382"/>
      <c r="AH69" s="1382"/>
      <c r="AI69" s="1382"/>
      <c r="AJ69" s="1382"/>
      <c r="AW69" s="30"/>
    </row>
    <row r="70" spans="1:49" s="181" customFormat="1" x14ac:dyDescent="0.25">
      <c r="A70" s="1407" t="str">
        <f>IF(DD_apply="Yes",IF(COUNTIF('02 - DD'!D70:G70,"Y")&gt;0,"Y",IF(COUNTIF('02 - DD'!D70:G70,"N"),"N","")),"")</f>
        <v>Y</v>
      </c>
      <c r="B70" s="177"/>
      <c r="C70" s="945"/>
      <c r="D70" s="411"/>
      <c r="E70" s="411"/>
      <c r="F70" s="559" t="str">
        <f>IF('C-Design&amp;Const'!$M70="","",'C-Design&amp;Const'!$M70)</f>
        <v>Y</v>
      </c>
      <c r="G70" s="506"/>
      <c r="H70" s="408" t="str">
        <f>CONCATENATE(IF(F70="N","PLACEHOLDER ROW - ",""),'C-Design&amp;Const'!Z70,IF(F70="N","",J70))</f>
        <v xml:space="preserve">Architectural - Interiors (Updates to) </v>
      </c>
      <c r="I70" s="193"/>
      <c r="J70" s="578" t="str">
        <f>IF('C-Design&amp;Const'!AG70="","",'C-Design&amp;Const'!AG70)</f>
        <v xml:space="preserve"> (Updates to) </v>
      </c>
      <c r="K70" s="285" t="str">
        <f>IF(CD50_apply="Yes",IF((COUNTIF(D70:G70,"Y")=COUNTIF('02 - DD'!D70:G70,"Y")),"match","no DD match"),"-")</f>
        <v>match</v>
      </c>
      <c r="L70" s="1410" t="str">
        <f t="shared" si="1"/>
        <v/>
      </c>
      <c r="M70" s="1382"/>
      <c r="N70" s="1382"/>
      <c r="O70" s="1382"/>
      <c r="P70" s="1382"/>
      <c r="Q70" s="1490"/>
      <c r="R70" s="1274"/>
      <c r="S70" s="1274"/>
      <c r="T70" s="1382"/>
      <c r="U70" s="1382"/>
      <c r="V70" s="1382"/>
      <c r="W70" s="1382"/>
      <c r="X70" s="1382"/>
      <c r="Y70" s="1382"/>
      <c r="Z70" s="1382"/>
      <c r="AA70" s="1382"/>
      <c r="AB70" s="1382"/>
      <c r="AC70" s="1382"/>
      <c r="AD70" s="1382"/>
      <c r="AE70" s="1382"/>
      <c r="AF70" s="1382"/>
      <c r="AG70" s="1382"/>
      <c r="AH70" s="1382"/>
      <c r="AI70" s="1382"/>
      <c r="AJ70" s="1382"/>
      <c r="AW70" s="30"/>
    </row>
    <row r="71" spans="1:49" s="181" customFormat="1" x14ac:dyDescent="0.25">
      <c r="A71" s="1407" t="str">
        <f>IF(DD_apply="Yes",IF(COUNTIF('02 - DD'!D71:G71,"Y")&gt;0,"Y",IF(COUNTIF('02 - DD'!D71:G71,"N"),"N","")),"")</f>
        <v>Y</v>
      </c>
      <c r="B71" s="177"/>
      <c r="C71" s="945"/>
      <c r="D71" s="411"/>
      <c r="E71" s="411"/>
      <c r="F71" s="559" t="str">
        <f>IF('C-Design&amp;Const'!$M71="","",'C-Design&amp;Const'!$M71)</f>
        <v>Y</v>
      </c>
      <c r="G71" s="506"/>
      <c r="H71" s="408" t="str">
        <f>CONCATENATE(IF(F71="N","PLACEHOLDER ROW - ",""),'C-Design&amp;Const'!Z71,IF(F71="N","",J71))</f>
        <v xml:space="preserve">Architectural - Interior and Exterior Signage  (Updates to) </v>
      </c>
      <c r="I71" s="193"/>
      <c r="J71" s="578" t="str">
        <f>IF('C-Design&amp;Const'!AG71="","",'C-Design&amp;Const'!AG71)</f>
        <v xml:space="preserve"> (Updates to) </v>
      </c>
      <c r="K71" s="285" t="str">
        <f>IF(CD50_apply="Yes",IF((COUNTIF(D71:G71,"Y")=COUNTIF('02 - DD'!D71:G71,"Y")),"match","no DD match"),"-")</f>
        <v>match</v>
      </c>
      <c r="L71" s="1410" t="str">
        <f t="shared" si="1"/>
        <v/>
      </c>
      <c r="M71" s="1382"/>
      <c r="N71" s="1382"/>
      <c r="O71" s="1382"/>
      <c r="P71" s="1382"/>
      <c r="Q71" s="1490"/>
      <c r="R71" s="1274"/>
      <c r="S71" s="1274"/>
      <c r="T71" s="1382"/>
      <c r="U71" s="1382"/>
      <c r="V71" s="1382"/>
      <c r="W71" s="1382"/>
      <c r="X71" s="1382"/>
      <c r="Y71" s="1382"/>
      <c r="Z71" s="1382"/>
      <c r="AA71" s="1382"/>
      <c r="AB71" s="1382"/>
      <c r="AC71" s="1382"/>
      <c r="AD71" s="1382"/>
      <c r="AE71" s="1382"/>
      <c r="AF71" s="1382"/>
      <c r="AG71" s="1382"/>
      <c r="AH71" s="1382"/>
      <c r="AI71" s="1382"/>
      <c r="AJ71" s="1382"/>
      <c r="AW71" s="30"/>
    </row>
    <row r="72" spans="1:49" s="181" customFormat="1" ht="28.5" x14ac:dyDescent="0.25">
      <c r="A72" s="1407" t="str">
        <f>IF(DD_apply="Yes",IF(COUNTIF('02 - DD'!D72:G72,"Y")&gt;0,"Y",IF(COUNTIF('02 - DD'!D72:G72,"N"),"N","")),"")</f>
        <v>Y</v>
      </c>
      <c r="B72" s="177"/>
      <c r="C72" s="945"/>
      <c r="D72" s="411"/>
      <c r="E72" s="411"/>
      <c r="F72" s="559" t="str">
        <f>IF('C-Design&amp;Const'!$M72="","",'C-Design&amp;Const'!$M72)</f>
        <v>Y</v>
      </c>
      <c r="G72" s="506"/>
      <c r="H72" s="408" t="str">
        <f>CONCATENATE(IF(F72="N","PLACEHOLDER ROW - ",""),'C-Design&amp;Const'!Z72,IF(F72="N","",J72))</f>
        <v xml:space="preserve">Architectural - Elevators  **(existing systems verification recommended on renovations) (Updates to) </v>
      </c>
      <c r="I72" s="193"/>
      <c r="J72" s="578" t="str">
        <f>IF('C-Design&amp;Const'!AG72="","",'C-Design&amp;Const'!AG72)</f>
        <v xml:space="preserve"> (Updates to) </v>
      </c>
      <c r="K72" s="285" t="str">
        <f>IF(CD50_apply="Yes",IF((COUNTIF(D72:G72,"Y")=COUNTIF('02 - DD'!D72:G72,"Y")),"match","no DD match"),"-")</f>
        <v>match</v>
      </c>
      <c r="L72" s="1410" t="str">
        <f t="shared" si="1"/>
        <v/>
      </c>
      <c r="M72" s="1382"/>
      <c r="N72" s="1382"/>
      <c r="O72" s="1382"/>
      <c r="P72" s="1382"/>
      <c r="Q72" s="1490"/>
      <c r="R72" s="1274"/>
      <c r="S72" s="1274"/>
      <c r="T72" s="1382"/>
      <c r="U72" s="1382"/>
      <c r="V72" s="1382"/>
      <c r="W72" s="1382"/>
      <c r="X72" s="1382"/>
      <c r="Y72" s="1382"/>
      <c r="Z72" s="1382"/>
      <c r="AA72" s="1382"/>
      <c r="AB72" s="1382"/>
      <c r="AC72" s="1382"/>
      <c r="AD72" s="1382"/>
      <c r="AE72" s="1382"/>
      <c r="AF72" s="1382"/>
      <c r="AG72" s="1382"/>
      <c r="AH72" s="1382"/>
      <c r="AI72" s="1382"/>
      <c r="AJ72" s="1382"/>
      <c r="AW72" s="30"/>
    </row>
    <row r="73" spans="1:49" s="181" customFormat="1" x14ac:dyDescent="0.25">
      <c r="A73" s="1407" t="str">
        <f>IF(DD_apply="Yes",IF(COUNTIF('02 - DD'!D73:G73,"Y")&gt;0,"Y",IF(COUNTIF('02 - DD'!D73:G73,"N"),"N","")),"")</f>
        <v>N</v>
      </c>
      <c r="B73" s="177"/>
      <c r="C73" s="945"/>
      <c r="D73" s="411"/>
      <c r="E73" s="411"/>
      <c r="F73" s="559" t="str">
        <f>IF('C-Design&amp;Const'!$M73="","",'C-Design&amp;Const'!$M73)</f>
        <v>N</v>
      </c>
      <c r="G73" s="506"/>
      <c r="H73" s="408" t="str">
        <f>CONCATENATE(IF(F73="N","PLACEHOLDER ROW - ",""),'C-Design&amp;Const'!Z73,IF(F73="N","",J73))</f>
        <v>PLACEHOLDER ROW - Architectural - CUSTOM</v>
      </c>
      <c r="I73" s="193"/>
      <c r="J73" s="578" t="str">
        <f>IF('C-Design&amp;Const'!AG73="","",'C-Design&amp;Const'!AG73)</f>
        <v xml:space="preserve"> (Updates to) </v>
      </c>
      <c r="K73" s="285" t="str">
        <f>IF(CD50_apply="Yes",IF((COUNTIF(D73:G73,"Y")=COUNTIF('02 - DD'!D73:G73,"Y")),"match","no DD match"),"-")</f>
        <v>match</v>
      </c>
      <c r="L73" s="1410" t="str">
        <f t="shared" si="1"/>
        <v>&lt;---PM/Planner may hide PLACEHOLDER ROW</v>
      </c>
      <c r="M73" s="1382"/>
      <c r="N73" s="1382"/>
      <c r="O73" s="1382"/>
      <c r="P73" s="1382"/>
      <c r="Q73" s="1490"/>
      <c r="R73" s="1274"/>
      <c r="S73" s="1274"/>
      <c r="T73" s="1382"/>
      <c r="U73" s="1382"/>
      <c r="V73" s="1382"/>
      <c r="W73" s="1382"/>
      <c r="X73" s="1382"/>
      <c r="Y73" s="1382"/>
      <c r="Z73" s="1382"/>
      <c r="AA73" s="1382"/>
      <c r="AB73" s="1382"/>
      <c r="AC73" s="1382"/>
      <c r="AD73" s="1382"/>
      <c r="AE73" s="1382"/>
      <c r="AF73" s="1382"/>
      <c r="AG73" s="1382"/>
      <c r="AH73" s="1382"/>
      <c r="AI73" s="1382"/>
      <c r="AJ73" s="1382"/>
      <c r="AW73" s="30"/>
    </row>
    <row r="74" spans="1:49" s="181" customFormat="1" x14ac:dyDescent="0.25">
      <c r="A74" s="1407" t="str">
        <f>IF(DD_apply="Yes",IF(COUNTIF('02 - DD'!D74:G74,"Y")&gt;0,"Y",IF(COUNTIF('02 - DD'!D74:G74,"N"),"N","")),"")</f>
        <v>N</v>
      </c>
      <c r="B74" s="177"/>
      <c r="C74" s="945"/>
      <c r="D74" s="411"/>
      <c r="E74" s="411"/>
      <c r="F74" s="559" t="str">
        <f>IF('C-Design&amp;Const'!$M74="","",'C-Design&amp;Const'!$M74)</f>
        <v>N</v>
      </c>
      <c r="G74" s="506"/>
      <c r="H74" s="408" t="str">
        <f>CONCATENATE(IF(F74="N","PLACEHOLDER ROW - ",""),'C-Design&amp;Const'!Z74,IF(F74="N","",J74))</f>
        <v>PLACEHOLDER ROW - Architectural - CUSTOM</v>
      </c>
      <c r="I74" s="193"/>
      <c r="J74" s="578" t="str">
        <f>IF('C-Design&amp;Const'!AG74="","",'C-Design&amp;Const'!AG74)</f>
        <v xml:space="preserve"> (Updates to) </v>
      </c>
      <c r="K74" s="285" t="str">
        <f>IF(CD50_apply="Yes",IF((COUNTIF(D74:G74,"Y")=COUNTIF('02 - DD'!D74:G74,"Y")),"match","no DD match"),"-")</f>
        <v>match</v>
      </c>
      <c r="L74" s="1410" t="str">
        <f t="shared" si="1"/>
        <v>&lt;---PM/Planner may hide PLACEHOLDER ROW</v>
      </c>
      <c r="M74" s="1382"/>
      <c r="N74" s="1382"/>
      <c r="O74" s="1382"/>
      <c r="P74" s="1382"/>
      <c r="Q74" s="1490"/>
      <c r="R74" s="1274"/>
      <c r="S74" s="1274"/>
      <c r="T74" s="1382"/>
      <c r="U74" s="1382"/>
      <c r="V74" s="1382"/>
      <c r="W74" s="1382"/>
      <c r="X74" s="1382"/>
      <c r="Y74" s="1382"/>
      <c r="Z74" s="1382"/>
      <c r="AA74" s="1382"/>
      <c r="AB74" s="1382"/>
      <c r="AC74" s="1382"/>
      <c r="AD74" s="1382"/>
      <c r="AE74" s="1382"/>
      <c r="AF74" s="1382"/>
      <c r="AG74" s="1382"/>
      <c r="AH74" s="1382"/>
      <c r="AI74" s="1382"/>
      <c r="AJ74" s="1382"/>
      <c r="AW74" s="30"/>
    </row>
    <row r="75" spans="1:49" s="181" customFormat="1" x14ac:dyDescent="0.25">
      <c r="A75" s="1407" t="str">
        <f>IF(DD_apply="Yes",IF(COUNTIF('02 - DD'!D75:G75,"Y")&gt;0,"Y",IF(COUNTIF('02 - DD'!D75:G75,"N"),"N","")),"")</f>
        <v>Y</v>
      </c>
      <c r="B75" s="177"/>
      <c r="C75" s="945"/>
      <c r="D75" s="411"/>
      <c r="E75" s="411"/>
      <c r="F75" s="559" t="str">
        <f>IF('C-Design&amp;Const'!$M75="","",'C-Design&amp;Const'!$M75)</f>
        <v>Y</v>
      </c>
      <c r="G75" s="506"/>
      <c r="H75" s="408" t="str">
        <f>CONCATENATE(IF(F75="N","PLACEHOLDER ROW - ",""),'C-Design&amp;Const'!Z75,IF(F75="N","",J75))</f>
        <v xml:space="preserve">Structural - Demolition(s) (Updates to) </v>
      </c>
      <c r="I75" s="193"/>
      <c r="J75" s="578" t="str">
        <f>IF('C-Design&amp;Const'!AG75="","",'C-Design&amp;Const'!AG75)</f>
        <v xml:space="preserve"> (Updates to) </v>
      </c>
      <c r="K75" s="285" t="str">
        <f>IF(CD50_apply="Yes",IF((COUNTIF(D75:G75,"Y")=COUNTIF('02 - DD'!D75:G75,"Y")),"match","no DD match"),"-")</f>
        <v>match</v>
      </c>
      <c r="L75" s="1410" t="str">
        <f t="shared" si="1"/>
        <v/>
      </c>
      <c r="M75" s="1382"/>
      <c r="N75" s="1382"/>
      <c r="O75" s="1382"/>
      <c r="P75" s="1382"/>
      <c r="Q75" s="1490"/>
      <c r="R75" s="1274"/>
      <c r="S75" s="1274"/>
      <c r="T75" s="1382"/>
      <c r="U75" s="1382"/>
      <c r="V75" s="1382"/>
      <c r="W75" s="1382"/>
      <c r="X75" s="1382"/>
      <c r="Y75" s="1382"/>
      <c r="Z75" s="1382"/>
      <c r="AA75" s="1382"/>
      <c r="AB75" s="1382"/>
      <c r="AC75" s="1382"/>
      <c r="AD75" s="1382"/>
      <c r="AE75" s="1382"/>
      <c r="AF75" s="1382"/>
      <c r="AG75" s="1382"/>
      <c r="AH75" s="1382"/>
      <c r="AI75" s="1382"/>
      <c r="AJ75" s="1382"/>
      <c r="AW75" s="30"/>
    </row>
    <row r="76" spans="1:49" s="181" customFormat="1" x14ac:dyDescent="0.25">
      <c r="A76" s="1407" t="str">
        <f>IF(DD_apply="Yes",IF(COUNTIF('02 - DD'!D76:G76,"Y")&gt;0,"Y",IF(COUNTIF('02 - DD'!D76:G76,"N"),"N","")),"")</f>
        <v>Y</v>
      </c>
      <c r="B76" s="177"/>
      <c r="C76" s="945"/>
      <c r="D76" s="411"/>
      <c r="E76" s="411"/>
      <c r="F76" s="559" t="str">
        <f>IF('C-Design&amp;Const'!$M76="","",'C-Design&amp;Const'!$M76)</f>
        <v>Y</v>
      </c>
      <c r="G76" s="506"/>
      <c r="H76" s="408" t="str">
        <f>CONCATENATE(IF(F76="N","PLACEHOLDER ROW - ",""),'C-Design&amp;Const'!Z76,IF(F76="N","",J76))</f>
        <v xml:space="preserve">Structural - Gravity Loads (Updates to) </v>
      </c>
      <c r="I76" s="193"/>
      <c r="J76" s="578" t="str">
        <f>IF('C-Design&amp;Const'!AG76="","",'C-Design&amp;Const'!AG76)</f>
        <v xml:space="preserve"> (Updates to) </v>
      </c>
      <c r="K76" s="285" t="str">
        <f>IF(CD50_apply="Yes",IF((COUNTIF(D76:G76,"Y")=COUNTIF('02 - DD'!D76:G76,"Y")),"match","no DD match"),"-")</f>
        <v>match</v>
      </c>
      <c r="L76" s="1410" t="str">
        <f t="shared" si="1"/>
        <v/>
      </c>
      <c r="M76" s="1382"/>
      <c r="N76" s="1382"/>
      <c r="O76" s="1382"/>
      <c r="P76" s="1382"/>
      <c r="Q76" s="1490"/>
      <c r="R76" s="1274"/>
      <c r="S76" s="1274"/>
      <c r="T76" s="1382"/>
      <c r="U76" s="1382"/>
      <c r="V76" s="1382"/>
      <c r="W76" s="1382"/>
      <c r="X76" s="1382"/>
      <c r="Y76" s="1382"/>
      <c r="Z76" s="1382"/>
      <c r="AA76" s="1382"/>
      <c r="AB76" s="1382"/>
      <c r="AC76" s="1382"/>
      <c r="AD76" s="1382"/>
      <c r="AE76" s="1382"/>
      <c r="AF76" s="1382"/>
      <c r="AG76" s="1382"/>
      <c r="AH76" s="1382"/>
      <c r="AI76" s="1382"/>
      <c r="AJ76" s="1382"/>
      <c r="AW76" s="30"/>
    </row>
    <row r="77" spans="1:49" s="181" customFormat="1" x14ac:dyDescent="0.25">
      <c r="A77" s="1407" t="str">
        <f>IF(DD_apply="Yes",IF(COUNTIF('02 - DD'!D77:G77,"Y")&gt;0,"Y",IF(COUNTIF('02 - DD'!D77:G77,"N"),"N","")),"")</f>
        <v>Y</v>
      </c>
      <c r="B77" s="177"/>
      <c r="C77" s="945"/>
      <c r="D77" s="411"/>
      <c r="E77" s="411"/>
      <c r="F77" s="559" t="str">
        <f>IF('C-Design&amp;Const'!$M77="","",'C-Design&amp;Const'!$M77)</f>
        <v>Y</v>
      </c>
      <c r="G77" s="506"/>
      <c r="H77" s="408" t="str">
        <f>CONCATENATE(IF(F77="N","PLACEHOLDER ROW - ",""),'C-Design&amp;Const'!Z77,IF(F77="N","",J77))</f>
        <v xml:space="preserve">Structural - Lateral loads and force resisting systems (Updates to) </v>
      </c>
      <c r="I77" s="193"/>
      <c r="J77" s="578" t="str">
        <f>IF('C-Design&amp;Const'!AG77="","",'C-Design&amp;Const'!AG77)</f>
        <v xml:space="preserve"> (Updates to) </v>
      </c>
      <c r="K77" s="285" t="str">
        <f>IF(CD50_apply="Yes",IF((COUNTIF(D77:G77,"Y")=COUNTIF('02 - DD'!D77:G77,"Y")),"match","no DD match"),"-")</f>
        <v>match</v>
      </c>
      <c r="L77" s="1410" t="str">
        <f t="shared" si="1"/>
        <v/>
      </c>
      <c r="M77" s="1382"/>
      <c r="N77" s="1382"/>
      <c r="O77" s="1382"/>
      <c r="P77" s="1382"/>
      <c r="Q77" s="1490"/>
      <c r="R77" s="1274"/>
      <c r="S77" s="1274"/>
      <c r="T77" s="1382"/>
      <c r="U77" s="1382"/>
      <c r="V77" s="1382"/>
      <c r="W77" s="1382"/>
      <c r="X77" s="1382"/>
      <c r="Y77" s="1382"/>
      <c r="Z77" s="1382"/>
      <c r="AA77" s="1382"/>
      <c r="AB77" s="1382"/>
      <c r="AC77" s="1382"/>
      <c r="AD77" s="1382"/>
      <c r="AE77" s="1382"/>
      <c r="AF77" s="1382"/>
      <c r="AG77" s="1382"/>
      <c r="AH77" s="1382"/>
      <c r="AI77" s="1382"/>
      <c r="AJ77" s="1382"/>
      <c r="AW77" s="30"/>
    </row>
    <row r="78" spans="1:49" s="181" customFormat="1" x14ac:dyDescent="0.25">
      <c r="A78" s="1407" t="str">
        <f>IF(DD_apply="Yes",IF(COUNTIF('02 - DD'!D78:G78,"Y")&gt;0,"Y",IF(COUNTIF('02 - DD'!D78:G78,"N"),"N","")),"")</f>
        <v>Y</v>
      </c>
      <c r="B78" s="177"/>
      <c r="C78" s="945"/>
      <c r="D78" s="411"/>
      <c r="E78" s="411"/>
      <c r="F78" s="559" t="str">
        <f>IF('C-Design&amp;Const'!$M78="","",'C-Design&amp;Const'!$M78)</f>
        <v>Y</v>
      </c>
      <c r="G78" s="506"/>
      <c r="H78" s="408" t="str">
        <f>CONCATENATE(IF(F78="N","PLACEHOLDER ROW - ",""),'C-Design&amp;Const'!Z78,IF(F78="N","",J78))</f>
        <v xml:space="preserve">Structural - Foundation Systems (Updates to) </v>
      </c>
      <c r="I78" s="193"/>
      <c r="J78" s="578" t="str">
        <f>IF('C-Design&amp;Const'!AG78="","",'C-Design&amp;Const'!AG78)</f>
        <v xml:space="preserve"> (Updates to) </v>
      </c>
      <c r="K78" s="285" t="str">
        <f>IF(CD50_apply="Yes",IF((COUNTIF(D78:G78,"Y")=COUNTIF('02 - DD'!D78:G78,"Y")),"match","no DD match"),"-")</f>
        <v>match</v>
      </c>
      <c r="L78" s="1410" t="str">
        <f t="shared" si="1"/>
        <v/>
      </c>
      <c r="M78" s="1382"/>
      <c r="N78" s="1382"/>
      <c r="O78" s="1382"/>
      <c r="P78" s="1382"/>
      <c r="Q78" s="1490"/>
      <c r="R78" s="1274"/>
      <c r="S78" s="1274"/>
      <c r="T78" s="1382"/>
      <c r="U78" s="1382"/>
      <c r="V78" s="1382"/>
      <c r="W78" s="1382"/>
      <c r="X78" s="1382"/>
      <c r="Y78" s="1382"/>
      <c r="Z78" s="1382"/>
      <c r="AA78" s="1382"/>
      <c r="AB78" s="1382"/>
      <c r="AC78" s="1382"/>
      <c r="AD78" s="1382"/>
      <c r="AE78" s="1382"/>
      <c r="AF78" s="1382"/>
      <c r="AG78" s="1382"/>
      <c r="AH78" s="1382"/>
      <c r="AI78" s="1382"/>
      <c r="AJ78" s="1382"/>
      <c r="AW78" s="30"/>
    </row>
    <row r="79" spans="1:49" s="181" customFormat="1" ht="24" customHeight="1" x14ac:dyDescent="0.25">
      <c r="A79" s="1407" t="str">
        <f>IF(DD_apply="Yes",IF(COUNTIF('02 - DD'!D79:G79,"Y")&gt;0,"Y",IF(COUNTIF('02 - DD'!D79:G79,"N"),"N","")),"")</f>
        <v>Y</v>
      </c>
      <c r="B79" s="177"/>
      <c r="C79" s="945"/>
      <c r="D79" s="411"/>
      <c r="E79" s="411"/>
      <c r="F79" s="559" t="str">
        <f>IF('C-Design&amp;Const'!$M79="","",'C-Design&amp;Const'!$M79)</f>
        <v>Y</v>
      </c>
      <c r="G79" s="506"/>
      <c r="H79" s="408" t="str">
        <f>CONCATENATE(IF(F79="N","PLACEHOLDER ROW - ",""),'C-Design&amp;Const'!Z79,IF(F79="N","",J79))</f>
        <v xml:space="preserve">Structural - Block, concrete, &amp; steel  **(existing systems verification recommended on renovations) (Updates to) </v>
      </c>
      <c r="I79" s="193"/>
      <c r="J79" s="578" t="str">
        <f>IF('C-Design&amp;Const'!AG79="","",'C-Design&amp;Const'!AG79)</f>
        <v xml:space="preserve"> (Updates to) </v>
      </c>
      <c r="K79" s="285" t="str">
        <f>IF(CD50_apply="Yes",IF((COUNTIF(D79:G79,"Y")=COUNTIF('02 - DD'!D79:G79,"Y")),"match","no DD match"),"-")</f>
        <v>match</v>
      </c>
      <c r="L79" s="1410" t="str">
        <f t="shared" si="1"/>
        <v/>
      </c>
      <c r="M79" s="1382"/>
      <c r="N79" s="1382"/>
      <c r="O79" s="1382"/>
      <c r="P79" s="1382"/>
      <c r="Q79" s="1490"/>
      <c r="R79" s="1274"/>
      <c r="S79" s="1274"/>
      <c r="T79" s="1382"/>
      <c r="U79" s="1382"/>
      <c r="V79" s="1382"/>
      <c r="W79" s="1382"/>
      <c r="X79" s="1382"/>
      <c r="Y79" s="1382"/>
      <c r="Z79" s="1382"/>
      <c r="AA79" s="1382"/>
      <c r="AB79" s="1382"/>
      <c r="AC79" s="1382"/>
      <c r="AD79" s="1382"/>
      <c r="AE79" s="1382"/>
      <c r="AF79" s="1382"/>
      <c r="AG79" s="1382"/>
      <c r="AH79" s="1382"/>
      <c r="AI79" s="1382"/>
      <c r="AJ79" s="1382"/>
      <c r="AW79" s="30"/>
    </row>
    <row r="80" spans="1:49" s="181" customFormat="1" x14ac:dyDescent="0.25">
      <c r="A80" s="1407" t="str">
        <f>IF(DD_apply="Yes",IF(COUNTIF('02 - DD'!D80:G80,"Y")&gt;0,"Y",IF(COUNTIF('02 - DD'!D80:G80,"N"),"N","")),"")</f>
        <v>N</v>
      </c>
      <c r="B80" s="177"/>
      <c r="C80" s="945"/>
      <c r="D80" s="411"/>
      <c r="E80" s="411"/>
      <c r="F80" s="559" t="str">
        <f>IF('C-Design&amp;Const'!$M80="","",'C-Design&amp;Const'!$M80)</f>
        <v>N</v>
      </c>
      <c r="G80" s="506"/>
      <c r="H80" s="408" t="str">
        <f>CONCATENATE(IF(F80="N","PLACEHOLDER ROW - ",""),'C-Design&amp;Const'!Z80,IF(F80="N","",J80))</f>
        <v>PLACEHOLDER ROW - Structural - CUSTOM</v>
      </c>
      <c r="I80" s="193"/>
      <c r="J80" s="578" t="str">
        <f>IF('C-Design&amp;Const'!AG80="","",'C-Design&amp;Const'!AG80)</f>
        <v xml:space="preserve"> (Updates to) </v>
      </c>
      <c r="K80" s="285" t="str">
        <f>IF(CD50_apply="Yes",IF((COUNTIF(D80:G80,"Y")=COUNTIF('02 - DD'!D80:G80,"Y")),"match","no DD match"),"-")</f>
        <v>match</v>
      </c>
      <c r="L80" s="1410" t="str">
        <f t="shared" si="1"/>
        <v>&lt;---PM/Planner may hide PLACEHOLDER ROW</v>
      </c>
      <c r="M80" s="1382"/>
      <c r="N80" s="1382"/>
      <c r="O80" s="1382"/>
      <c r="P80" s="1382"/>
      <c r="Q80" s="1490"/>
      <c r="R80" s="1274"/>
      <c r="S80" s="1274"/>
      <c r="T80" s="1382"/>
      <c r="U80" s="1382"/>
      <c r="V80" s="1382"/>
      <c r="W80" s="1382"/>
      <c r="X80" s="1382"/>
      <c r="Y80" s="1382"/>
      <c r="Z80" s="1382"/>
      <c r="AA80" s="1382"/>
      <c r="AB80" s="1382"/>
      <c r="AC80" s="1382"/>
      <c r="AD80" s="1382"/>
      <c r="AE80" s="1382"/>
      <c r="AF80" s="1382"/>
      <c r="AG80" s="1382"/>
      <c r="AH80" s="1382"/>
      <c r="AI80" s="1382"/>
      <c r="AJ80" s="1382"/>
      <c r="AW80" s="30"/>
    </row>
    <row r="81" spans="1:49" s="181" customFormat="1" x14ac:dyDescent="0.25">
      <c r="A81" s="1407" t="str">
        <f>IF(DD_apply="Yes",IF(COUNTIF('02 - DD'!D81:G81,"Y")&gt;0,"Y",IF(COUNTIF('02 - DD'!D81:G81,"N"),"N","")),"")</f>
        <v>N</v>
      </c>
      <c r="B81" s="177"/>
      <c r="C81" s="945"/>
      <c r="D81" s="411"/>
      <c r="E81" s="411"/>
      <c r="F81" s="559" t="str">
        <f>IF('C-Design&amp;Const'!$M81="","",'C-Design&amp;Const'!$M81)</f>
        <v>N</v>
      </c>
      <c r="G81" s="506"/>
      <c r="H81" s="408" t="str">
        <f>CONCATENATE(IF(F81="N","PLACEHOLDER ROW - ",""),'C-Design&amp;Const'!Z81,IF(F81="N","",J81))</f>
        <v>PLACEHOLDER ROW - Structural - CUSTOM</v>
      </c>
      <c r="I81" s="193"/>
      <c r="J81" s="578" t="str">
        <f>IF('C-Design&amp;Const'!AG81="","",'C-Design&amp;Const'!AG81)</f>
        <v xml:space="preserve"> (Updates to) </v>
      </c>
      <c r="K81" s="285" t="str">
        <f>IF(CD50_apply="Yes",IF((COUNTIF(D81:G81,"Y")=COUNTIF('02 - DD'!D81:G81,"Y")),"match","no DD match"),"-")</f>
        <v>match</v>
      </c>
      <c r="L81" s="1410" t="str">
        <f t="shared" si="1"/>
        <v>&lt;---PM/Planner may hide PLACEHOLDER ROW</v>
      </c>
      <c r="M81" s="1382"/>
      <c r="N81" s="1382"/>
      <c r="O81" s="1382"/>
      <c r="P81" s="1382"/>
      <c r="Q81" s="1490"/>
      <c r="R81" s="1274"/>
      <c r="S81" s="1274"/>
      <c r="T81" s="1382"/>
      <c r="U81" s="1382"/>
      <c r="V81" s="1382"/>
      <c r="W81" s="1382"/>
      <c r="X81" s="1382"/>
      <c r="Y81" s="1382"/>
      <c r="Z81" s="1382"/>
      <c r="AA81" s="1382"/>
      <c r="AB81" s="1382"/>
      <c r="AC81" s="1382"/>
      <c r="AD81" s="1382"/>
      <c r="AE81" s="1382"/>
      <c r="AF81" s="1382"/>
      <c r="AG81" s="1382"/>
      <c r="AH81" s="1382"/>
      <c r="AI81" s="1382"/>
      <c r="AJ81" s="1382"/>
      <c r="AW81" s="30"/>
    </row>
    <row r="82" spans="1:49" s="181" customFormat="1" x14ac:dyDescent="0.25">
      <c r="A82" s="1407" t="str">
        <f>IF(DD_apply="Yes",IF(COUNTIF('02 - DD'!D82:G82,"Y")&gt;0,"Y",IF(COUNTIF('02 - DD'!D82:G82,"N"),"N","")),"")</f>
        <v>Y</v>
      </c>
      <c r="B82" s="177"/>
      <c r="C82" s="945"/>
      <c r="D82" s="411"/>
      <c r="E82" s="411"/>
      <c r="F82" s="559" t="str">
        <f>IF('C-Design&amp;Const'!$M82="","",'C-Design&amp;Const'!$M82)</f>
        <v>Y</v>
      </c>
      <c r="G82" s="506"/>
      <c r="H82" s="408" t="str">
        <f>CONCATENATE(IF(F82="N","PLACEHOLDER ROW - ",""),'C-Design&amp;Const'!Z82,IF(F82="N","",J82))</f>
        <v xml:space="preserve">Plumbing  - General System(s) - **(verify existing system for renovations) (Updates to) </v>
      </c>
      <c r="I82" s="193"/>
      <c r="J82" s="578" t="str">
        <f>IF('C-Design&amp;Const'!AG82="","",'C-Design&amp;Const'!AG82)</f>
        <v xml:space="preserve"> (Updates to) </v>
      </c>
      <c r="K82" s="285" t="str">
        <f>IF(CD50_apply="Yes",IF((COUNTIF(D82:G82,"Y")=COUNTIF('02 - DD'!D82:G82,"Y")),"match","no DD match"),"-")</f>
        <v>match</v>
      </c>
      <c r="L82" s="1410" t="str">
        <f t="shared" si="1"/>
        <v/>
      </c>
      <c r="M82" s="1382"/>
      <c r="N82" s="1382"/>
      <c r="O82" s="1382"/>
      <c r="P82" s="1382"/>
      <c r="Q82" s="1490"/>
      <c r="R82" s="1274"/>
      <c r="S82" s="1274"/>
      <c r="T82" s="1382"/>
      <c r="U82" s="1382"/>
      <c r="V82" s="1382"/>
      <c r="W82" s="1382"/>
      <c r="X82" s="1382"/>
      <c r="Y82" s="1382"/>
      <c r="Z82" s="1382"/>
      <c r="AA82" s="1382"/>
      <c r="AB82" s="1382"/>
      <c r="AC82" s="1382"/>
      <c r="AD82" s="1382"/>
      <c r="AE82" s="1382"/>
      <c r="AF82" s="1382"/>
      <c r="AG82" s="1382"/>
      <c r="AH82" s="1382"/>
      <c r="AI82" s="1382"/>
      <c r="AJ82" s="1382"/>
      <c r="AW82" s="30"/>
    </row>
    <row r="83" spans="1:49" s="551" customFormat="1" x14ac:dyDescent="0.25">
      <c r="A83" s="1407" t="str">
        <f>IF(DD_apply="Yes",IF(COUNTIF('02 - DD'!D83:G83,"Y")&gt;0,"Y",IF(COUNTIF('02 - DD'!D83:G83,"N"),"N","")),"")</f>
        <v>Y</v>
      </c>
      <c r="B83" s="549"/>
      <c r="C83" s="945"/>
      <c r="D83" s="411"/>
      <c r="E83" s="411"/>
      <c r="F83" s="559" t="str">
        <f>IF('C-Design&amp;Const'!$M83="","",'C-Design&amp;Const'!$M83)</f>
        <v>Y</v>
      </c>
      <c r="G83" s="506"/>
      <c r="H83" s="408" t="str">
        <f>CONCATENATE(IF(F83="N","PLACEHOLDER ROW - ",""),'C-Design&amp;Const'!Z83,IF(F83="N","",J83))</f>
        <v xml:space="preserve">Plumbing - Demolition(s) (Updates to) </v>
      </c>
      <c r="I83" s="193"/>
      <c r="J83" s="578" t="str">
        <f>IF('C-Design&amp;Const'!AG83="","",'C-Design&amp;Const'!AG83)</f>
        <v xml:space="preserve"> (Updates to) </v>
      </c>
      <c r="K83" s="285" t="str">
        <f>IF(CD50_apply="Yes",IF((COUNTIF(D83:G83,"Y")=COUNTIF('02 - DD'!D83:G83,"Y")),"match","no DD match"),"-")</f>
        <v>match</v>
      </c>
      <c r="L83" s="1410" t="str">
        <f t="shared" si="1"/>
        <v/>
      </c>
      <c r="M83" s="1382"/>
      <c r="N83" s="1382"/>
      <c r="O83" s="1382"/>
      <c r="P83" s="1382"/>
      <c r="Q83" s="1490"/>
      <c r="R83" s="1274"/>
      <c r="S83" s="1274"/>
      <c r="T83" s="1382"/>
      <c r="U83" s="1382"/>
      <c r="V83" s="1382"/>
      <c r="W83" s="1382"/>
      <c r="X83" s="1382"/>
      <c r="Y83" s="1382"/>
      <c r="Z83" s="1382"/>
      <c r="AA83" s="1382"/>
      <c r="AB83" s="1382"/>
      <c r="AC83" s="1382"/>
      <c r="AD83" s="1382"/>
      <c r="AE83" s="1382"/>
      <c r="AF83" s="1382"/>
      <c r="AG83" s="1382"/>
      <c r="AH83" s="1382"/>
      <c r="AI83" s="1382"/>
      <c r="AJ83" s="1382"/>
      <c r="AW83" s="545"/>
    </row>
    <row r="84" spans="1:49" s="181" customFormat="1" ht="28.5" x14ac:dyDescent="0.25">
      <c r="A84" s="1407" t="str">
        <f>IF(DD_apply="Yes",IF(COUNTIF('02 - DD'!D84:G84,"Y")&gt;0,"Y",IF(COUNTIF('02 - DD'!D84:G84,"N"),"N","")),"")</f>
        <v>Y</v>
      </c>
      <c r="B84" s="177"/>
      <c r="C84" s="945"/>
      <c r="D84" s="411"/>
      <c r="E84" s="411"/>
      <c r="F84" s="559" t="str">
        <f>IF('C-Design&amp;Const'!$M84="","",'C-Design&amp;Const'!$M84)</f>
        <v>Y</v>
      </c>
      <c r="G84" s="506"/>
      <c r="H84" s="408" t="str">
        <f>CONCATENATE(IF(F84="N","PLACEHOLDER ROW - ",""),'C-Design&amp;Const'!Z84,IF(F84="N","",J84))</f>
        <v xml:space="preserve">Plumbing - Fixtures  **(Fixture Unit Analysis as verification of existing systems on renovations) (Updates to) </v>
      </c>
      <c r="I84" s="193"/>
      <c r="J84" s="578" t="str">
        <f>IF('C-Design&amp;Const'!AG84="","",'C-Design&amp;Const'!AG84)</f>
        <v xml:space="preserve"> (Updates to) </v>
      </c>
      <c r="K84" s="285" t="str">
        <f>IF(CD50_apply="Yes",IF((COUNTIF(D84:G84,"Y")=COUNTIF('02 - DD'!D84:G84,"Y")),"match","no DD match"),"-")</f>
        <v>match</v>
      </c>
      <c r="L84" s="1410" t="str">
        <f t="shared" si="1"/>
        <v/>
      </c>
      <c r="M84" s="1382"/>
      <c r="N84" s="1382"/>
      <c r="O84" s="1382"/>
      <c r="P84" s="1382"/>
      <c r="Q84" s="1490"/>
      <c r="R84" s="1274"/>
      <c r="S84" s="1274"/>
      <c r="T84" s="1382"/>
      <c r="U84" s="1382"/>
      <c r="V84" s="1382"/>
      <c r="W84" s="1382"/>
      <c r="X84" s="1382"/>
      <c r="Y84" s="1382"/>
      <c r="Z84" s="1382"/>
      <c r="AA84" s="1382"/>
      <c r="AB84" s="1382"/>
      <c r="AC84" s="1382"/>
      <c r="AD84" s="1382"/>
      <c r="AE84" s="1382"/>
      <c r="AF84" s="1382"/>
      <c r="AG84" s="1382"/>
      <c r="AH84" s="1382"/>
      <c r="AI84" s="1382"/>
      <c r="AJ84" s="1382"/>
      <c r="AW84" s="30"/>
    </row>
    <row r="85" spans="1:49" s="181" customFormat="1" x14ac:dyDescent="0.25">
      <c r="A85" s="1407" t="str">
        <f>IF(DD_apply="Yes",IF(COUNTIF('02 - DD'!D85:G85,"Y")&gt;0,"Y",IF(COUNTIF('02 - DD'!D85:G85,"N"),"N","")),"")</f>
        <v>Y</v>
      </c>
      <c r="B85" s="177"/>
      <c r="C85" s="945"/>
      <c r="D85" s="411"/>
      <c r="E85" s="411"/>
      <c r="F85" s="559" t="str">
        <f>IF('C-Design&amp;Const'!$M85="","",'C-Design&amp;Const'!$M85)</f>
        <v>Y</v>
      </c>
      <c r="G85" s="506"/>
      <c r="H85" s="408" t="str">
        <f>CONCATENATE(IF(F85="N","PLACEHOLDER ROW - ",""),'C-Design&amp;Const'!Z85,IF(F85="N","",J85))</f>
        <v xml:space="preserve">Plumbing - Air/Gas  **(verify existing system for renovations) (Updates to) </v>
      </c>
      <c r="I85" s="193"/>
      <c r="J85" s="578" t="str">
        <f>IF('C-Design&amp;Const'!AG85="","",'C-Design&amp;Const'!AG85)</f>
        <v xml:space="preserve"> (Updates to) </v>
      </c>
      <c r="K85" s="285" t="str">
        <f>IF(CD50_apply="Yes",IF((COUNTIF(D85:G85,"Y")=COUNTIF('02 - DD'!D85:G85,"Y")),"match","no DD match"),"-")</f>
        <v>match</v>
      </c>
      <c r="L85" s="1410" t="str">
        <f t="shared" si="1"/>
        <v/>
      </c>
      <c r="M85" s="1382"/>
      <c r="N85" s="1382"/>
      <c r="O85" s="1382"/>
      <c r="P85" s="1382"/>
      <c r="Q85" s="1490"/>
      <c r="R85" s="1274"/>
      <c r="S85" s="1274"/>
      <c r="T85" s="1382"/>
      <c r="U85" s="1382"/>
      <c r="V85" s="1382"/>
      <c r="W85" s="1382"/>
      <c r="X85" s="1382"/>
      <c r="Y85" s="1382"/>
      <c r="Z85" s="1382"/>
      <c r="AA85" s="1382"/>
      <c r="AB85" s="1382"/>
      <c r="AC85" s="1382"/>
      <c r="AD85" s="1382"/>
      <c r="AE85" s="1382"/>
      <c r="AF85" s="1382"/>
      <c r="AG85" s="1382"/>
      <c r="AH85" s="1382"/>
      <c r="AI85" s="1382"/>
      <c r="AJ85" s="1382"/>
      <c r="AW85" s="30"/>
    </row>
    <row r="86" spans="1:49" s="181" customFormat="1" x14ac:dyDescent="0.25">
      <c r="A86" s="1407" t="str">
        <f>IF(DD_apply="Yes",IF(COUNTIF('02 - DD'!D86:G86,"Y")&gt;0,"Y",IF(COUNTIF('02 - DD'!D86:G86,"N"),"N","")),"")</f>
        <v>Y</v>
      </c>
      <c r="B86" s="177"/>
      <c r="C86" s="945"/>
      <c r="D86" s="411"/>
      <c r="E86" s="411"/>
      <c r="F86" s="559" t="str">
        <f>IF('C-Design&amp;Const'!$M86="","",'C-Design&amp;Const'!$M86)</f>
        <v>Y</v>
      </c>
      <c r="G86" s="506"/>
      <c r="H86" s="408" t="str">
        <f>CONCATENATE(IF(F86="N","PLACEHOLDER ROW - ",""),'C-Design&amp;Const'!Z86,IF(F86="N","",J86))</f>
        <v xml:space="preserve">Plumbing - Water  **(verify existing system for renovations) (Updates to) </v>
      </c>
      <c r="I86" s="193"/>
      <c r="J86" s="578" t="str">
        <f>IF('C-Design&amp;Const'!AG86="","",'C-Design&amp;Const'!AG86)</f>
        <v xml:space="preserve"> (Updates to) </v>
      </c>
      <c r="K86" s="285" t="str">
        <f>IF(CD50_apply="Yes",IF((COUNTIF(D86:G86,"Y")=COUNTIF('02 - DD'!D86:G86,"Y")),"match","no DD match"),"-")</f>
        <v>match</v>
      </c>
      <c r="L86" s="1410" t="str">
        <f t="shared" si="1"/>
        <v/>
      </c>
      <c r="M86" s="1382"/>
      <c r="N86" s="1382"/>
      <c r="O86" s="1382"/>
      <c r="P86" s="1382"/>
      <c r="Q86" s="1490"/>
      <c r="R86" s="1274"/>
      <c r="S86" s="1274"/>
      <c r="T86" s="1382"/>
      <c r="U86" s="1382"/>
      <c r="V86" s="1382"/>
      <c r="W86" s="1382"/>
      <c r="X86" s="1382"/>
      <c r="Y86" s="1382"/>
      <c r="Z86" s="1382"/>
      <c r="AA86" s="1382"/>
      <c r="AB86" s="1382"/>
      <c r="AC86" s="1382"/>
      <c r="AD86" s="1382"/>
      <c r="AE86" s="1382"/>
      <c r="AF86" s="1382"/>
      <c r="AG86" s="1382"/>
      <c r="AH86" s="1382"/>
      <c r="AI86" s="1382"/>
      <c r="AJ86" s="1382"/>
      <c r="AW86" s="30"/>
    </row>
    <row r="87" spans="1:49" s="181" customFormat="1" x14ac:dyDescent="0.25">
      <c r="A87" s="1407" t="str">
        <f>IF(DD_apply="Yes",IF(COUNTIF('02 - DD'!D87:G87,"Y")&gt;0,"Y",IF(COUNTIF('02 - DD'!D87:G87,"N"),"N","")),"")</f>
        <v>Y</v>
      </c>
      <c r="B87" s="177"/>
      <c r="C87" s="945"/>
      <c r="D87" s="411"/>
      <c r="E87" s="411"/>
      <c r="F87" s="559" t="str">
        <f>IF('C-Design&amp;Const'!$M87="","",'C-Design&amp;Const'!$M87)</f>
        <v>Y</v>
      </c>
      <c r="G87" s="506"/>
      <c r="H87" s="408" t="str">
        <f>CONCATENATE(IF(F87="N","PLACEHOLDER ROW - ",""),'C-Design&amp;Const'!Z87,IF(F87="N","",J87))</f>
        <v xml:space="preserve">Plumbing - Sanitary **(verify existing system for renovations) (Updates to) </v>
      </c>
      <c r="I87" s="193"/>
      <c r="J87" s="578" t="str">
        <f>IF('C-Design&amp;Const'!AG87="","",'C-Design&amp;Const'!AG87)</f>
        <v xml:space="preserve"> (Updates to) </v>
      </c>
      <c r="K87" s="285" t="str">
        <f>IF(CD50_apply="Yes",IF((COUNTIF(D87:G87,"Y")=COUNTIF('02 - DD'!D87:G87,"Y")),"match","no DD match"),"-")</f>
        <v>match</v>
      </c>
      <c r="L87" s="1410" t="str">
        <f t="shared" si="1"/>
        <v/>
      </c>
      <c r="M87" s="1382"/>
      <c r="N87" s="1382"/>
      <c r="O87" s="1382"/>
      <c r="P87" s="1382"/>
      <c r="Q87" s="1490"/>
      <c r="R87" s="1274"/>
      <c r="S87" s="1274"/>
      <c r="T87" s="1382"/>
      <c r="U87" s="1382"/>
      <c r="V87" s="1382"/>
      <c r="W87" s="1382"/>
      <c r="X87" s="1382"/>
      <c r="Y87" s="1382"/>
      <c r="Z87" s="1382"/>
      <c r="AA87" s="1382"/>
      <c r="AB87" s="1382"/>
      <c r="AC87" s="1382"/>
      <c r="AD87" s="1382"/>
      <c r="AE87" s="1382"/>
      <c r="AF87" s="1382"/>
      <c r="AG87" s="1382"/>
      <c r="AH87" s="1382"/>
      <c r="AI87" s="1382"/>
      <c r="AJ87" s="1382"/>
      <c r="AW87" s="30"/>
    </row>
    <row r="88" spans="1:49" s="181" customFormat="1" x14ac:dyDescent="0.25">
      <c r="A88" s="1407" t="str">
        <f>IF(DD_apply="Yes",IF(COUNTIF('02 - DD'!D88:G88,"Y")&gt;0,"Y",IF(COUNTIF('02 - DD'!D88:G88,"N"),"N","")),"")</f>
        <v>Y</v>
      </c>
      <c r="B88" s="177"/>
      <c r="C88" s="945"/>
      <c r="D88" s="411"/>
      <c r="E88" s="411"/>
      <c r="F88" s="559" t="str">
        <f>IF('C-Design&amp;Const'!$M88="","",'C-Design&amp;Const'!$M88)</f>
        <v>N</v>
      </c>
      <c r="G88" s="506"/>
      <c r="H88" s="408" t="str">
        <f>CONCATENATE(IF(F88="N","PLACEHOLDER ROW - ",""),'C-Design&amp;Const'!Z88,IF(F88="N","",J88))</f>
        <v>PLACEHOLDER ROW - Plumbing - Cut Sheets or Product Data Sheets on Plumbing Fixtures</v>
      </c>
      <c r="I88" s="193"/>
      <c r="J88" s="578" t="str">
        <f>IF('C-Design&amp;Const'!AG88="","",'C-Design&amp;Const'!AG88)</f>
        <v xml:space="preserve"> (Updates to) </v>
      </c>
      <c r="K88" s="285" t="str">
        <f>IF(CD50_apply="Yes",IF((COUNTIF(D88:G88,"Y")=COUNTIF('02 - DD'!D88:G88,"Y")),"match","no DD match"),"-")</f>
        <v>no DD match</v>
      </c>
      <c r="L88" s="1410" t="str">
        <f t="shared" si="1"/>
        <v>&lt;---PM/Planner may hide PLACEHOLDER ROW</v>
      </c>
      <c r="M88" s="1382"/>
      <c r="N88" s="1382"/>
      <c r="O88" s="1382"/>
      <c r="P88" s="1382"/>
      <c r="Q88" s="1490"/>
      <c r="R88" s="1274"/>
      <c r="S88" s="1274"/>
      <c r="T88" s="1382"/>
      <c r="U88" s="1382"/>
      <c r="V88" s="1382"/>
      <c r="W88" s="1382"/>
      <c r="X88" s="1382"/>
      <c r="Y88" s="1382"/>
      <c r="Z88" s="1382"/>
      <c r="AA88" s="1382"/>
      <c r="AB88" s="1382"/>
      <c r="AC88" s="1382"/>
      <c r="AD88" s="1382"/>
      <c r="AE88" s="1382"/>
      <c r="AF88" s="1382"/>
      <c r="AG88" s="1382"/>
      <c r="AH88" s="1382"/>
      <c r="AI88" s="1382"/>
      <c r="AJ88" s="1382"/>
      <c r="AW88" s="30"/>
    </row>
    <row r="89" spans="1:49" s="181" customFormat="1" x14ac:dyDescent="0.25">
      <c r="A89" s="1407" t="str">
        <f>IF(DD_apply="Yes",IF(COUNTIF('02 - DD'!D89:G89,"Y")&gt;0,"Y",IF(COUNTIF('02 - DD'!D89:G89,"N"),"N","")),"")</f>
        <v>Y</v>
      </c>
      <c r="B89" s="177"/>
      <c r="C89" s="945"/>
      <c r="D89" s="411"/>
      <c r="E89" s="411"/>
      <c r="F89" s="559" t="str">
        <f>IF('C-Design&amp;Const'!$M89="","",'C-Design&amp;Const'!$M89)</f>
        <v>Y</v>
      </c>
      <c r="G89" s="506"/>
      <c r="H89" s="408" t="str">
        <f>CONCATENATE(IF(F89="N","PLACEHOLDER ROW - ",""),'C-Design&amp;Const'!Z89,IF(F89="N","",J89))</f>
        <v xml:space="preserve">Fire Suppression System(s) **(verify existing system for renovations) (Updates to) </v>
      </c>
      <c r="I89" s="193"/>
      <c r="J89" s="578" t="str">
        <f>IF('C-Design&amp;Const'!AG89="","",'C-Design&amp;Const'!AG89)</f>
        <v xml:space="preserve"> (Updates to) </v>
      </c>
      <c r="K89" s="285" t="str">
        <f>IF(CD50_apply="Yes",IF((COUNTIF(D89:G89,"Y")=COUNTIF('02 - DD'!D89:G89,"Y")),"match","no DD match"),"-")</f>
        <v>match</v>
      </c>
      <c r="L89" s="1410" t="str">
        <f t="shared" si="1"/>
        <v/>
      </c>
      <c r="M89" s="1382"/>
      <c r="N89" s="1382"/>
      <c r="O89" s="1382"/>
      <c r="P89" s="1382"/>
      <c r="Q89" s="1490"/>
      <c r="R89" s="1274"/>
      <c r="S89" s="1274"/>
      <c r="T89" s="1382"/>
      <c r="U89" s="1382"/>
      <c r="V89" s="1382"/>
      <c r="W89" s="1382"/>
      <c r="X89" s="1382"/>
      <c r="Y89" s="1382"/>
      <c r="Z89" s="1382"/>
      <c r="AA89" s="1382"/>
      <c r="AB89" s="1382"/>
      <c r="AC89" s="1382"/>
      <c r="AD89" s="1382"/>
      <c r="AE89" s="1382"/>
      <c r="AF89" s="1382"/>
      <c r="AG89" s="1382"/>
      <c r="AH89" s="1382"/>
      <c r="AI89" s="1382"/>
      <c r="AJ89" s="1382"/>
      <c r="AW89" s="30"/>
    </row>
    <row r="90" spans="1:49" s="181" customFormat="1" x14ac:dyDescent="0.25">
      <c r="A90" s="1407" t="str">
        <f>IF(DD_apply="Yes",IF(COUNTIF('02 - DD'!D90:G90,"Y")&gt;0,"Y",IF(COUNTIF('02 - DD'!D90:G90,"N"),"N","")),"")</f>
        <v>Y</v>
      </c>
      <c r="B90" s="177"/>
      <c r="C90" s="945"/>
      <c r="D90" s="411"/>
      <c r="E90" s="411"/>
      <c r="F90" s="559" t="str">
        <f>IF('C-Design&amp;Const'!$M90="","",'C-Design&amp;Const'!$M90)</f>
        <v>Y</v>
      </c>
      <c r="G90" s="506"/>
      <c r="H90" s="408" t="str">
        <f>CONCATENATE(IF(F90="N","PLACEHOLDER ROW - ",""),'C-Design&amp;Const'!Z90,IF(F90="N","",J90))</f>
        <v xml:space="preserve">Heating - General System(s) **(verify existing system for renovations) (Updates to) </v>
      </c>
      <c r="I90" s="193"/>
      <c r="J90" s="578" t="str">
        <f>IF('C-Design&amp;Const'!AG90="","",'C-Design&amp;Const'!AG90)</f>
        <v xml:space="preserve"> (Updates to) </v>
      </c>
      <c r="K90" s="285" t="str">
        <f>IF(CD50_apply="Yes",IF((COUNTIF(D90:G90,"Y")=COUNTIF('02 - DD'!D90:G90,"Y")),"match","no DD match"),"-")</f>
        <v>match</v>
      </c>
      <c r="L90" s="1410" t="str">
        <f t="shared" si="1"/>
        <v/>
      </c>
      <c r="M90" s="1382"/>
      <c r="N90" s="1382"/>
      <c r="O90" s="1382"/>
      <c r="P90" s="1382"/>
      <c r="Q90" s="1490"/>
      <c r="R90" s="1274"/>
      <c r="S90" s="1274"/>
      <c r="T90" s="1382"/>
      <c r="U90" s="1382"/>
      <c r="V90" s="1382"/>
      <c r="W90" s="1382"/>
      <c r="X90" s="1382"/>
      <c r="Y90" s="1382"/>
      <c r="Z90" s="1382"/>
      <c r="AA90" s="1382"/>
      <c r="AB90" s="1382"/>
      <c r="AC90" s="1382"/>
      <c r="AD90" s="1382"/>
      <c r="AE90" s="1382"/>
      <c r="AF90" s="1382"/>
      <c r="AG90" s="1382"/>
      <c r="AH90" s="1382"/>
      <c r="AI90" s="1382"/>
      <c r="AJ90" s="1382"/>
      <c r="AW90" s="30"/>
    </row>
    <row r="91" spans="1:49" s="551" customFormat="1" x14ac:dyDescent="0.25">
      <c r="A91" s="1407" t="str">
        <f>IF(DD_apply="Yes",IF(COUNTIF('02 - DD'!D91:G91,"Y")&gt;0,"Y",IF(COUNTIF('02 - DD'!D91:G91,"N"),"N","")),"")</f>
        <v>Y</v>
      </c>
      <c r="B91" s="549"/>
      <c r="C91" s="945"/>
      <c r="D91" s="411"/>
      <c r="E91" s="411"/>
      <c r="F91" s="559" t="str">
        <f>IF('C-Design&amp;Const'!$M91="","",'C-Design&amp;Const'!$M91)</f>
        <v>Y</v>
      </c>
      <c r="G91" s="506"/>
      <c r="H91" s="408" t="str">
        <f>CONCATENATE(IF(F91="N","PLACEHOLDER ROW - ",""),'C-Design&amp;Const'!Z91,IF(F91="N","",J91))</f>
        <v xml:space="preserve">Heating - Demolition(s) (Updates to) </v>
      </c>
      <c r="I91" s="193"/>
      <c r="J91" s="578" t="str">
        <f>IF('C-Design&amp;Const'!AG91="","",'C-Design&amp;Const'!AG91)</f>
        <v xml:space="preserve"> (Updates to) </v>
      </c>
      <c r="K91" s="285" t="str">
        <f>IF(CD50_apply="Yes",IF((COUNTIF(D91:G91,"Y")=COUNTIF('02 - DD'!D91:G91,"Y")),"match","no DD match"),"-")</f>
        <v>match</v>
      </c>
      <c r="L91" s="1410" t="str">
        <f t="shared" ref="L91" si="4">CONCATENATE(IF(ISNUMBER(SEARCH("Placeholder",H91))=TRUE,"&lt;---PM/Planner may hide PLACEHOLDER ROW",""))</f>
        <v/>
      </c>
      <c r="M91" s="1382"/>
      <c r="N91" s="1382"/>
      <c r="O91" s="1382"/>
      <c r="P91" s="1382"/>
      <c r="Q91" s="1490"/>
      <c r="R91" s="1274"/>
      <c r="S91" s="1274"/>
      <c r="T91" s="1382"/>
      <c r="U91" s="1382"/>
      <c r="V91" s="1382"/>
      <c r="W91" s="1382"/>
      <c r="X91" s="1382"/>
      <c r="Y91" s="1382"/>
      <c r="Z91" s="1382"/>
      <c r="AA91" s="1382"/>
      <c r="AB91" s="1382"/>
      <c r="AC91" s="1382"/>
      <c r="AD91" s="1382"/>
      <c r="AE91" s="1382"/>
      <c r="AF91" s="1382"/>
      <c r="AG91" s="1382"/>
      <c r="AH91" s="1382"/>
      <c r="AI91" s="1382"/>
      <c r="AJ91" s="1382"/>
      <c r="AW91" s="545"/>
    </row>
    <row r="92" spans="1:49" s="181" customFormat="1" x14ac:dyDescent="0.25">
      <c r="A92" s="1407" t="str">
        <f>IF(DD_apply="Yes",IF(COUNTIF('02 - DD'!D92:G92,"Y")&gt;0,"Y",IF(COUNTIF('02 - DD'!D92:G92,"N"),"N","")),"")</f>
        <v>Y</v>
      </c>
      <c r="B92" s="177"/>
      <c r="C92" s="945"/>
      <c r="D92" s="411"/>
      <c r="E92" s="411"/>
      <c r="F92" s="559" t="str">
        <f>IF('C-Design&amp;Const'!$M92="","",'C-Design&amp;Const'!$M92)</f>
        <v>Y</v>
      </c>
      <c r="G92" s="506"/>
      <c r="H92" s="408" t="str">
        <f>CONCATENATE(IF(F92="N","PLACEHOLDER ROW - ",""),'C-Design&amp;Const'!Z92,IF(F92="N","",J92))</f>
        <v xml:space="preserve">Heating - Gas (and verify existing system for renovations)* (Updates to) </v>
      </c>
      <c r="I92" s="193"/>
      <c r="J92" s="578" t="str">
        <f>IF('C-Design&amp;Const'!AG92="","",'C-Design&amp;Const'!AG92)</f>
        <v xml:space="preserve"> (Updates to) </v>
      </c>
      <c r="K92" s="285" t="str">
        <f>IF(CD50_apply="Yes",IF((COUNTIF(D92:G92,"Y")=COUNTIF('02 - DD'!D92:G92,"Y")),"match","no DD match"),"-")</f>
        <v>match</v>
      </c>
      <c r="L92" s="1410" t="str">
        <f t="shared" si="1"/>
        <v/>
      </c>
      <c r="M92" s="1382"/>
      <c r="N92" s="1382"/>
      <c r="O92" s="1382"/>
      <c r="P92" s="1382"/>
      <c r="Q92" s="1490"/>
      <c r="R92" s="1274"/>
      <c r="S92" s="1274"/>
      <c r="T92" s="1382"/>
      <c r="U92" s="1382"/>
      <c r="V92" s="1382"/>
      <c r="W92" s="1382"/>
      <c r="X92" s="1382"/>
      <c r="Y92" s="1382"/>
      <c r="Z92" s="1382"/>
      <c r="AA92" s="1382"/>
      <c r="AB92" s="1382"/>
      <c r="AC92" s="1382"/>
      <c r="AD92" s="1382"/>
      <c r="AE92" s="1382"/>
      <c r="AF92" s="1382"/>
      <c r="AG92" s="1382"/>
      <c r="AH92" s="1382"/>
      <c r="AI92" s="1382"/>
      <c r="AJ92" s="1382"/>
      <c r="AW92" s="30"/>
    </row>
    <row r="93" spans="1:49" s="181" customFormat="1" x14ac:dyDescent="0.25">
      <c r="A93" s="1407" t="str">
        <f>IF(DD_apply="Yes",IF(COUNTIF('02 - DD'!D93:G93,"Y")&gt;0,"Y",IF(COUNTIF('02 - DD'!D93:G93,"N"),"N","")),"")</f>
        <v>Y</v>
      </c>
      <c r="B93" s="177"/>
      <c r="C93" s="945"/>
      <c r="D93" s="411"/>
      <c r="E93" s="411"/>
      <c r="F93" s="559" t="str">
        <f>IF('C-Design&amp;Const'!$M93="","",'C-Design&amp;Const'!$M93)</f>
        <v>Y</v>
      </c>
      <c r="G93" s="506"/>
      <c r="H93" s="408" t="str">
        <f>CONCATENATE(IF(F93="N","PLACEHOLDER ROW - ",""),'C-Design&amp;Const'!Z93,IF(F93="N","",J93))</f>
        <v xml:space="preserve">Heating -  Steam  (and verify existing system for renovations)* (Updates to) </v>
      </c>
      <c r="I93" s="193"/>
      <c r="J93" s="578" t="str">
        <f>IF('C-Design&amp;Const'!AG93="","",'C-Design&amp;Const'!AG93)</f>
        <v xml:space="preserve"> (Updates to) </v>
      </c>
      <c r="K93" s="285" t="str">
        <f>IF(CD50_apply="Yes",IF((COUNTIF(D93:G93,"Y")=COUNTIF('02 - DD'!D93:G93,"Y")),"match","no DD match"),"-")</f>
        <v>match</v>
      </c>
      <c r="L93" s="1410" t="str">
        <f t="shared" si="1"/>
        <v/>
      </c>
      <c r="M93" s="1382"/>
      <c r="N93" s="1382"/>
      <c r="O93" s="1382"/>
      <c r="P93" s="1382"/>
      <c r="Q93" s="1490"/>
      <c r="R93" s="1274"/>
      <c r="S93" s="1274"/>
      <c r="T93" s="1382"/>
      <c r="U93" s="1382"/>
      <c r="V93" s="1382"/>
      <c r="W93" s="1382"/>
      <c r="X93" s="1382"/>
      <c r="Y93" s="1382"/>
      <c r="Z93" s="1382"/>
      <c r="AA93" s="1382"/>
      <c r="AB93" s="1382"/>
      <c r="AC93" s="1382"/>
      <c r="AD93" s="1382"/>
      <c r="AE93" s="1382"/>
      <c r="AF93" s="1382"/>
      <c r="AG93" s="1382"/>
      <c r="AH93" s="1382"/>
      <c r="AI93" s="1382"/>
      <c r="AJ93" s="1382"/>
      <c r="AW93" s="30"/>
    </row>
    <row r="94" spans="1:49" s="181" customFormat="1" x14ac:dyDescent="0.25">
      <c r="A94" s="1407" t="str">
        <f>IF(DD_apply="Yes",IF(COUNTIF('02 - DD'!D94:G94,"Y")&gt;0,"Y",IF(COUNTIF('02 - DD'!D94:G94,"N"),"N","")),"")</f>
        <v>N</v>
      </c>
      <c r="B94" s="177"/>
      <c r="C94" s="945"/>
      <c r="D94" s="411"/>
      <c r="E94" s="411"/>
      <c r="F94" s="559" t="str">
        <f>IF('C-Design&amp;Const'!$M94="","",'C-Design&amp;Const'!$M94)</f>
        <v>N</v>
      </c>
      <c r="G94" s="506"/>
      <c r="H94" s="408" t="str">
        <f>CONCATENATE(IF(F94="N","PLACEHOLDER ROW - ",""),'C-Design&amp;Const'!Z94,IF(F94="N","",J94))</f>
        <v>PLACEHOLDER ROW - Heating - CUSTOM</v>
      </c>
      <c r="I94" s="193"/>
      <c r="J94" s="578" t="str">
        <f>IF('C-Design&amp;Const'!AG94="","",'C-Design&amp;Const'!AG94)</f>
        <v xml:space="preserve"> (Updates to) </v>
      </c>
      <c r="K94" s="285" t="str">
        <f>IF(CD50_apply="Yes",IF((COUNTIF(D94:G94,"Y")=COUNTIF('02 - DD'!D94:G94,"Y")),"match","no DD match"),"-")</f>
        <v>match</v>
      </c>
      <c r="L94" s="1410" t="str">
        <f t="shared" si="1"/>
        <v>&lt;---PM/Planner may hide PLACEHOLDER ROW</v>
      </c>
      <c r="M94" s="1382"/>
      <c r="N94" s="1382"/>
      <c r="O94" s="1382"/>
      <c r="P94" s="1382"/>
      <c r="Q94" s="1490"/>
      <c r="R94" s="1274"/>
      <c r="S94" s="1274"/>
      <c r="T94" s="1382"/>
      <c r="U94" s="1382"/>
      <c r="V94" s="1382"/>
      <c r="W94" s="1382"/>
      <c r="X94" s="1382"/>
      <c r="Y94" s="1382"/>
      <c r="Z94" s="1382"/>
      <c r="AA94" s="1382"/>
      <c r="AB94" s="1382"/>
      <c r="AC94" s="1382"/>
      <c r="AD94" s="1382"/>
      <c r="AE94" s="1382"/>
      <c r="AF94" s="1382"/>
      <c r="AG94" s="1382"/>
      <c r="AH94" s="1382"/>
      <c r="AI94" s="1382"/>
      <c r="AJ94" s="1382"/>
      <c r="AW94" s="30"/>
    </row>
    <row r="95" spans="1:49" s="181" customFormat="1" x14ac:dyDescent="0.25">
      <c r="A95" s="1407" t="str">
        <f>IF(DD_apply="Yes",IF(COUNTIF('02 - DD'!D95:G95,"Y")&gt;0,"Y",IF(COUNTIF('02 - DD'!D95:G95,"N"),"N","")),"")</f>
        <v>Y</v>
      </c>
      <c r="B95" s="177"/>
      <c r="C95" s="945"/>
      <c r="D95" s="411"/>
      <c r="E95" s="411"/>
      <c r="F95" s="559" t="str">
        <f>IF('C-Design&amp;Const'!$M95="","",'C-Design&amp;Const'!$M95)</f>
        <v>Y</v>
      </c>
      <c r="G95" s="506"/>
      <c r="H95" s="408" t="str">
        <f>CONCATENATE(IF(F95="N","PLACEHOLDER ROW - ",""),'C-Design&amp;Const'!Z95,IF(F95="N","",J95))</f>
        <v xml:space="preserve">Ventilation - General System(s)  **(verify existing system for renovations) (Updates to) </v>
      </c>
      <c r="I95" s="193"/>
      <c r="J95" s="578" t="str">
        <f>IF('C-Design&amp;Const'!AG95="","",'C-Design&amp;Const'!AG95)</f>
        <v xml:space="preserve"> (Updates to) </v>
      </c>
      <c r="K95" s="285" t="str">
        <f>IF(CD50_apply="Yes",IF((COUNTIF(D95:G95,"Y")=COUNTIF('02 - DD'!D95:G95,"Y")),"match","no DD match"),"-")</f>
        <v>match</v>
      </c>
      <c r="L95" s="1410" t="str">
        <f t="shared" si="1"/>
        <v/>
      </c>
      <c r="M95" s="1382"/>
      <c r="N95" s="1382"/>
      <c r="O95" s="1382"/>
      <c r="P95" s="1382"/>
      <c r="Q95" s="1490"/>
      <c r="R95" s="1274"/>
      <c r="S95" s="1274"/>
      <c r="T95" s="1382"/>
      <c r="U95" s="1382"/>
      <c r="V95" s="1382"/>
      <c r="W95" s="1382"/>
      <c r="X95" s="1382"/>
      <c r="Y95" s="1382"/>
      <c r="Z95" s="1382"/>
      <c r="AA95" s="1382"/>
      <c r="AB95" s="1382"/>
      <c r="AC95" s="1382"/>
      <c r="AD95" s="1382"/>
      <c r="AE95" s="1382"/>
      <c r="AF95" s="1382"/>
      <c r="AG95" s="1382"/>
      <c r="AH95" s="1382"/>
      <c r="AI95" s="1382"/>
      <c r="AJ95" s="1382"/>
      <c r="AW95" s="30"/>
    </row>
    <row r="96" spans="1:49" s="551" customFormat="1" x14ac:dyDescent="0.25">
      <c r="A96" s="1407" t="str">
        <f>IF(DD_apply="Yes",IF(COUNTIF('02 - DD'!D96:G96,"Y")&gt;0,"Y",IF(COUNTIF('02 - DD'!D96:G96,"N"),"N","")),"")</f>
        <v>Y</v>
      </c>
      <c r="B96" s="549"/>
      <c r="C96" s="945"/>
      <c r="D96" s="411"/>
      <c r="E96" s="411"/>
      <c r="F96" s="559" t="str">
        <f>IF('C-Design&amp;Const'!$M96="","",'C-Design&amp;Const'!$M96)</f>
        <v>Y</v>
      </c>
      <c r="G96" s="506"/>
      <c r="H96" s="408" t="str">
        <f>CONCATENATE(IF(F96="N","PLACEHOLDER ROW - ",""),'C-Design&amp;Const'!Z96,IF(F96="N","",J96))</f>
        <v xml:space="preserve">Ventilation - Demolition(s) (Updates to) </v>
      </c>
      <c r="I96" s="193"/>
      <c r="J96" s="578" t="str">
        <f>IF('C-Design&amp;Const'!AG96="","",'C-Design&amp;Const'!AG96)</f>
        <v xml:space="preserve"> (Updates to) </v>
      </c>
      <c r="K96" s="285" t="str">
        <f>IF(CD50_apply="Yes",IF((COUNTIF(D96:G96,"Y")=COUNTIF('02 - DD'!D96:G96,"Y")),"match","no DD match"),"-")</f>
        <v>match</v>
      </c>
      <c r="L96" s="1410" t="str">
        <f t="shared" si="1"/>
        <v/>
      </c>
      <c r="M96" s="1382"/>
      <c r="N96" s="1382"/>
      <c r="O96" s="1382"/>
      <c r="P96" s="1382"/>
      <c r="Q96" s="1490"/>
      <c r="R96" s="1274"/>
      <c r="S96" s="1274"/>
      <c r="T96" s="1382"/>
      <c r="U96" s="1382"/>
      <c r="V96" s="1382"/>
      <c r="W96" s="1382"/>
      <c r="X96" s="1382"/>
      <c r="Y96" s="1382"/>
      <c r="Z96" s="1382"/>
      <c r="AA96" s="1382"/>
      <c r="AB96" s="1382"/>
      <c r="AC96" s="1382"/>
      <c r="AD96" s="1382"/>
      <c r="AE96" s="1382"/>
      <c r="AF96" s="1382"/>
      <c r="AG96" s="1382"/>
      <c r="AH96" s="1382"/>
      <c r="AI96" s="1382"/>
      <c r="AJ96" s="1382"/>
      <c r="AW96" s="545"/>
    </row>
    <row r="97" spans="1:49" s="181" customFormat="1" x14ac:dyDescent="0.25">
      <c r="A97" s="1407" t="str">
        <f>IF(DD_apply="Yes",IF(COUNTIF('02 - DD'!D97:G97,"Y")&gt;0,"Y",IF(COUNTIF('02 - DD'!D97:G97,"N"),"N","")),"")</f>
        <v>Y</v>
      </c>
      <c r="B97" s="177"/>
      <c r="C97" s="945"/>
      <c r="D97" s="411"/>
      <c r="E97" s="411"/>
      <c r="F97" s="559" t="str">
        <f>IF('C-Design&amp;Const'!$M97="","",'C-Design&amp;Const'!$M97)</f>
        <v>Y</v>
      </c>
      <c r="G97" s="506"/>
      <c r="H97" s="408" t="str">
        <f>CONCATENATE(IF(F97="N","PLACEHOLDER ROW - ",""),'C-Design&amp;Const'!Z97,IF(F97="N","",J97))</f>
        <v xml:space="preserve">Ventilation - Refrigeration Systems **(verify existing system for renovations) (Updates to) </v>
      </c>
      <c r="I97" s="193"/>
      <c r="J97" s="578" t="str">
        <f>IF('C-Design&amp;Const'!AG97="","",'C-Design&amp;Const'!AG97)</f>
        <v xml:space="preserve"> (Updates to) </v>
      </c>
      <c r="K97" s="285" t="str">
        <f>IF(CD50_apply="Yes",IF((COUNTIF(D97:G97,"Y")=COUNTIF('02 - DD'!D97:G97,"Y")),"match","no DD match"),"-")</f>
        <v>match</v>
      </c>
      <c r="L97" s="1410" t="str">
        <f t="shared" si="1"/>
        <v/>
      </c>
      <c r="M97" s="1382"/>
      <c r="N97" s="1382"/>
      <c r="O97" s="1382"/>
      <c r="P97" s="1382"/>
      <c r="Q97" s="1490"/>
      <c r="R97" s="1274"/>
      <c r="S97" s="1274"/>
      <c r="T97" s="1382"/>
      <c r="U97" s="1382"/>
      <c r="V97" s="1382"/>
      <c r="W97" s="1382"/>
      <c r="X97" s="1382"/>
      <c r="Y97" s="1382"/>
      <c r="Z97" s="1382"/>
      <c r="AA97" s="1382"/>
      <c r="AB97" s="1382"/>
      <c r="AC97" s="1382"/>
      <c r="AD97" s="1382"/>
      <c r="AE97" s="1382"/>
      <c r="AF97" s="1382"/>
      <c r="AG97" s="1382"/>
      <c r="AH97" s="1382"/>
      <c r="AI97" s="1382"/>
      <c r="AJ97" s="1382"/>
      <c r="AW97" s="30"/>
    </row>
    <row r="98" spans="1:49" s="181" customFormat="1" x14ac:dyDescent="0.25">
      <c r="A98" s="1407" t="str">
        <f>IF(DD_apply="Yes",IF(COUNTIF('02 - DD'!D98:G98,"Y")&gt;0,"Y",IF(COUNTIF('02 - DD'!D98:G98,"N"),"N","")),"")</f>
        <v>Y</v>
      </c>
      <c r="B98" s="177"/>
      <c r="C98" s="945"/>
      <c r="D98" s="411"/>
      <c r="E98" s="411"/>
      <c r="F98" s="559" t="str">
        <f>IF('C-Design&amp;Const'!$M98="","",'C-Design&amp;Const'!$M98)</f>
        <v>Y</v>
      </c>
      <c r="G98" s="506"/>
      <c r="H98" s="408" t="str">
        <f>CONCATENATE(IF(F98="N","PLACEHOLDER ROW - ",""),'C-Design&amp;Const'!Z98,IF(F98="N","",J98))</f>
        <v xml:space="preserve">Ventilation - Chilled Water  **(verify existing system for renovations) (Updates to) </v>
      </c>
      <c r="I98" s="193"/>
      <c r="J98" s="578" t="str">
        <f>IF('C-Design&amp;Const'!AG98="","",'C-Design&amp;Const'!AG98)</f>
        <v xml:space="preserve"> (Updates to) </v>
      </c>
      <c r="K98" s="285" t="str">
        <f>IF(CD50_apply="Yes",IF((COUNTIF(D98:G98,"Y")=COUNTIF('02 - DD'!D98:G98,"Y")),"match","no DD match"),"-")</f>
        <v>match</v>
      </c>
      <c r="L98" s="1410" t="str">
        <f t="shared" si="1"/>
        <v/>
      </c>
      <c r="M98" s="1382"/>
      <c r="N98" s="1382"/>
      <c r="O98" s="1382"/>
      <c r="P98" s="1382"/>
      <c r="Q98" s="1490"/>
      <c r="R98" s="1274"/>
      <c r="S98" s="1274"/>
      <c r="T98" s="1382"/>
      <c r="U98" s="1382"/>
      <c r="V98" s="1382"/>
      <c r="W98" s="1382"/>
      <c r="X98" s="1382"/>
      <c r="Y98" s="1382"/>
      <c r="Z98" s="1382"/>
      <c r="AA98" s="1382"/>
      <c r="AB98" s="1382"/>
      <c r="AC98" s="1382"/>
      <c r="AD98" s="1382"/>
      <c r="AE98" s="1382"/>
      <c r="AF98" s="1382"/>
      <c r="AG98" s="1382"/>
      <c r="AH98" s="1382"/>
      <c r="AI98" s="1382"/>
      <c r="AJ98" s="1382"/>
      <c r="AW98" s="30"/>
    </row>
    <row r="99" spans="1:49" s="181" customFormat="1" x14ac:dyDescent="0.25">
      <c r="A99" s="1407" t="str">
        <f>IF(DD_apply="Yes",IF(COUNTIF('02 - DD'!D99:G99,"Y")&gt;0,"Y",IF(COUNTIF('02 - DD'!D99:G99,"N"),"N","")),"")</f>
        <v>N</v>
      </c>
      <c r="B99" s="177"/>
      <c r="C99" s="945"/>
      <c r="D99" s="411"/>
      <c r="E99" s="411"/>
      <c r="F99" s="559" t="str">
        <f>IF('C-Design&amp;Const'!$M99="","",'C-Design&amp;Const'!$M99)</f>
        <v>N</v>
      </c>
      <c r="G99" s="506"/>
      <c r="H99" s="408" t="str">
        <f>CONCATENATE(IF(F99="N","PLACEHOLDER ROW - ",""),'C-Design&amp;Const'!Z99,IF(F99="N","",J99))</f>
        <v>PLACEHOLDER ROW - Ventilation - CUSTOM</v>
      </c>
      <c r="I99" s="193"/>
      <c r="J99" s="578" t="str">
        <f>IF('C-Design&amp;Const'!AG99="","",'C-Design&amp;Const'!AG99)</f>
        <v xml:space="preserve"> (Updates to) </v>
      </c>
      <c r="K99" s="285" t="str">
        <f>IF(CD50_apply="Yes",IF((COUNTIF(D99:G99,"Y")=COUNTIF('02 - DD'!D99:G99,"Y")),"match","no DD match"),"-")</f>
        <v>match</v>
      </c>
      <c r="L99" s="1410" t="str">
        <f t="shared" si="1"/>
        <v>&lt;---PM/Planner may hide PLACEHOLDER ROW</v>
      </c>
      <c r="M99" s="1382"/>
      <c r="N99" s="1382"/>
      <c r="O99" s="1382"/>
      <c r="P99" s="1382"/>
      <c r="Q99" s="1490"/>
      <c r="R99" s="1274"/>
      <c r="S99" s="1274"/>
      <c r="T99" s="1382"/>
      <c r="U99" s="1382"/>
      <c r="V99" s="1382"/>
      <c r="W99" s="1382"/>
      <c r="X99" s="1382"/>
      <c r="Y99" s="1382"/>
      <c r="Z99" s="1382"/>
      <c r="AA99" s="1382"/>
      <c r="AB99" s="1382"/>
      <c r="AC99" s="1382"/>
      <c r="AD99" s="1382"/>
      <c r="AE99" s="1382"/>
      <c r="AF99" s="1382"/>
      <c r="AG99" s="1382"/>
      <c r="AH99" s="1382"/>
      <c r="AI99" s="1382"/>
      <c r="AJ99" s="1382"/>
      <c r="AW99" s="30"/>
    </row>
    <row r="100" spans="1:49" s="181" customFormat="1" x14ac:dyDescent="0.25">
      <c r="A100" s="1407" t="str">
        <f>IF(DD_apply="Yes",IF(COUNTIF('02 - DD'!D100:G100,"Y")&gt;0,"Y",IF(COUNTIF('02 - DD'!D100:G100,"N"),"N","")),"")</f>
        <v>Y</v>
      </c>
      <c r="B100" s="177"/>
      <c r="C100" s="945"/>
      <c r="D100" s="411"/>
      <c r="E100" s="411"/>
      <c r="F100" s="559" t="str">
        <f>IF('C-Design&amp;Const'!$M100="","",'C-Design&amp;Const'!$M100)</f>
        <v>Y</v>
      </c>
      <c r="G100" s="506"/>
      <c r="H100" s="408" t="str">
        <f>CONCATENATE(IF(F100="N","PLACEHOLDER ROW - ",""),'C-Design&amp;Const'!Z100,IF(F100="N","",J100))</f>
        <v xml:space="preserve">Electrical - General System(s) - **(verify existing system for renovations) (Updates to) </v>
      </c>
      <c r="I100" s="193"/>
      <c r="J100" s="578" t="str">
        <f>IF('C-Design&amp;Const'!AG100="","",'C-Design&amp;Const'!AG100)</f>
        <v xml:space="preserve"> (Updates to) </v>
      </c>
      <c r="K100" s="285" t="str">
        <f>IF(CD50_apply="Yes",IF((COUNTIF(D100:G100,"Y")=COUNTIF('02 - DD'!D100:G100,"Y")),"match","no DD match"),"-")</f>
        <v>match</v>
      </c>
      <c r="L100" s="1410" t="str">
        <f t="shared" si="1"/>
        <v/>
      </c>
      <c r="M100" s="1382"/>
      <c r="N100" s="1382"/>
      <c r="O100" s="1382"/>
      <c r="P100" s="1382"/>
      <c r="Q100" s="1490"/>
      <c r="R100" s="1274"/>
      <c r="S100" s="1274"/>
      <c r="T100" s="1382"/>
      <c r="U100" s="1382"/>
      <c r="V100" s="1382"/>
      <c r="W100" s="1382"/>
      <c r="X100" s="1382"/>
      <c r="Y100" s="1382"/>
      <c r="Z100" s="1382"/>
      <c r="AA100" s="1382"/>
      <c r="AB100" s="1382"/>
      <c r="AC100" s="1382"/>
      <c r="AD100" s="1382"/>
      <c r="AE100" s="1382"/>
      <c r="AF100" s="1382"/>
      <c r="AG100" s="1382"/>
      <c r="AH100" s="1382"/>
      <c r="AI100" s="1382"/>
      <c r="AJ100" s="1382"/>
      <c r="AW100" s="30"/>
    </row>
    <row r="101" spans="1:49" s="551" customFormat="1" x14ac:dyDescent="0.25">
      <c r="A101" s="1407" t="str">
        <f>IF(DD_apply="Yes",IF(COUNTIF('02 - DD'!D101:G101,"Y")&gt;0,"Y",IF(COUNTIF('02 - DD'!D101:G101,"N"),"N","")),"")</f>
        <v>Y</v>
      </c>
      <c r="B101" s="549"/>
      <c r="C101" s="945"/>
      <c r="D101" s="411"/>
      <c r="E101" s="411"/>
      <c r="F101" s="559" t="str">
        <f>IF('C-Design&amp;Const'!$M101="","",'C-Design&amp;Const'!$M101)</f>
        <v>Y</v>
      </c>
      <c r="G101" s="506"/>
      <c r="H101" s="408" t="str">
        <f>CONCATENATE(IF(F101="N","PLACEHOLDER ROW - ",""),'C-Design&amp;Const'!Z101,IF(F101="N","",J101))</f>
        <v xml:space="preserve">Electrical - Demolition(s) (Updates to) </v>
      </c>
      <c r="I101" s="193"/>
      <c r="J101" s="578" t="str">
        <f>IF('C-Design&amp;Const'!AG101="","",'C-Design&amp;Const'!AG101)</f>
        <v xml:space="preserve"> (Updates to) </v>
      </c>
      <c r="K101" s="285" t="str">
        <f>IF(CD50_apply="Yes",IF((COUNTIF(D101:G101,"Y")=COUNTIF('02 - DD'!D101:G101,"Y")),"match","no DD match"),"-")</f>
        <v>match</v>
      </c>
      <c r="L101" s="1410" t="str">
        <f t="shared" ref="L101" si="5">CONCATENATE(IF(ISNUMBER(SEARCH("Placeholder",H101))=TRUE,"&lt;---PM/Planner may hide PLACEHOLDER ROW",""))</f>
        <v/>
      </c>
      <c r="M101" s="1382"/>
      <c r="N101" s="1382"/>
      <c r="O101" s="1382"/>
      <c r="P101" s="1382"/>
      <c r="Q101" s="1490"/>
      <c r="R101" s="1274"/>
      <c r="S101" s="1274"/>
      <c r="T101" s="1382"/>
      <c r="U101" s="1382"/>
      <c r="V101" s="1382"/>
      <c r="W101" s="1382"/>
      <c r="X101" s="1382"/>
      <c r="Y101" s="1382"/>
      <c r="Z101" s="1382"/>
      <c r="AA101" s="1382"/>
      <c r="AB101" s="1382"/>
      <c r="AC101" s="1382"/>
      <c r="AD101" s="1382"/>
      <c r="AE101" s="1382"/>
      <c r="AF101" s="1382"/>
      <c r="AG101" s="1382"/>
      <c r="AH101" s="1382"/>
      <c r="AI101" s="1382"/>
      <c r="AJ101" s="1382"/>
      <c r="AW101" s="545"/>
    </row>
    <row r="102" spans="1:49" s="181" customFormat="1" x14ac:dyDescent="0.25">
      <c r="A102" s="1407" t="str">
        <f>IF(DD_apply="Yes",IF(COUNTIF('02 - DD'!D102:G102,"Y")&gt;0,"Y",IF(COUNTIF('02 - DD'!D102:G102,"N"),"N","")),"")</f>
        <v>Y</v>
      </c>
      <c r="B102" s="177"/>
      <c r="C102" s="945"/>
      <c r="D102" s="411"/>
      <c r="E102" s="411"/>
      <c r="F102" s="559" t="str">
        <f>IF('C-Design&amp;Const'!$M102="","",'C-Design&amp;Const'!$M102)</f>
        <v>Y</v>
      </c>
      <c r="G102" s="506"/>
      <c r="H102" s="408" t="str">
        <f>CONCATENATE(IF(F102="N","PLACEHOLDER ROW - ",""),'C-Design&amp;Const'!Z102,IF(F102="N","",J102))</f>
        <v xml:space="preserve">Electrical - Lighting **(verify existing system for renovations) (Updates to) </v>
      </c>
      <c r="I102" s="193"/>
      <c r="J102" s="578" t="str">
        <f>IF('C-Design&amp;Const'!AG102="","",'C-Design&amp;Const'!AG102)</f>
        <v xml:space="preserve"> (Updates to) </v>
      </c>
      <c r="K102" s="285" t="str">
        <f>IF(CD50_apply="Yes",IF((COUNTIF(D102:G102,"Y")=COUNTIF('02 - DD'!D102:G102,"Y")),"match","no DD match"),"-")</f>
        <v>match</v>
      </c>
      <c r="L102" s="1410" t="str">
        <f t="shared" si="1"/>
        <v/>
      </c>
      <c r="M102" s="1382"/>
      <c r="N102" s="1382"/>
      <c r="O102" s="1382"/>
      <c r="P102" s="1382"/>
      <c r="Q102" s="1490"/>
      <c r="R102" s="1274"/>
      <c r="S102" s="1274"/>
      <c r="T102" s="1382"/>
      <c r="U102" s="1382"/>
      <c r="V102" s="1382"/>
      <c r="W102" s="1382"/>
      <c r="X102" s="1382"/>
      <c r="Y102" s="1382"/>
      <c r="Z102" s="1382"/>
      <c r="AA102" s="1382"/>
      <c r="AB102" s="1382"/>
      <c r="AC102" s="1382"/>
      <c r="AD102" s="1382"/>
      <c r="AE102" s="1382"/>
      <c r="AF102" s="1382"/>
      <c r="AG102" s="1382"/>
      <c r="AH102" s="1382"/>
      <c r="AI102" s="1382"/>
      <c r="AJ102" s="1382"/>
      <c r="AW102" s="30"/>
    </row>
    <row r="103" spans="1:49" s="181" customFormat="1" x14ac:dyDescent="0.25">
      <c r="A103" s="1407" t="str">
        <f>IF(DD_apply="Yes",IF(COUNTIF('02 - DD'!D103:G103,"Y")&gt;0,"Y",IF(COUNTIF('02 - DD'!D103:G103,"N"),"N","")),"")</f>
        <v>Y</v>
      </c>
      <c r="B103" s="177"/>
      <c r="C103" s="945"/>
      <c r="D103" s="411"/>
      <c r="E103" s="411"/>
      <c r="F103" s="559" t="str">
        <f>IF('C-Design&amp;Const'!$M103="","",'C-Design&amp;Const'!$M103)</f>
        <v>Y</v>
      </c>
      <c r="G103" s="506"/>
      <c r="H103" s="796" t="str">
        <f>CONCATENATE(IF(F103="N","PLACEHOLDER ROW - ",""),'C-Design&amp;Const'!Z103,IF(F103="N","",J103))</f>
        <v xml:space="preserve">Electrical - Elevators **(verify existing system for renovations) (Updates to) </v>
      </c>
      <c r="I103" s="193"/>
      <c r="J103" s="578" t="str">
        <f>IF('C-Design&amp;Const'!AG103="","",'C-Design&amp;Const'!AG103)</f>
        <v xml:space="preserve"> (Updates to) </v>
      </c>
      <c r="K103" s="285" t="str">
        <f>IF(CD50_apply="Yes",IF((COUNTIF(D103:G103,"Y")=COUNTIF('02 - DD'!D103:G103,"Y")),"match","no DD match"),"-")</f>
        <v>match</v>
      </c>
      <c r="L103" s="1410" t="str">
        <f t="shared" si="1"/>
        <v/>
      </c>
      <c r="M103" s="1382"/>
      <c r="N103" s="1382"/>
      <c r="O103" s="1382"/>
      <c r="P103" s="1382"/>
      <c r="Q103" s="1490"/>
      <c r="R103" s="1274"/>
      <c r="S103" s="1274"/>
      <c r="T103" s="1382"/>
      <c r="U103" s="1382"/>
      <c r="V103" s="1382"/>
      <c r="W103" s="1382"/>
      <c r="X103" s="1382"/>
      <c r="Y103" s="1382"/>
      <c r="Z103" s="1382"/>
      <c r="AA103" s="1382"/>
      <c r="AB103" s="1382"/>
      <c r="AC103" s="1382"/>
      <c r="AD103" s="1382"/>
      <c r="AE103" s="1382"/>
      <c r="AF103" s="1382"/>
      <c r="AG103" s="1382"/>
      <c r="AH103" s="1382"/>
      <c r="AI103" s="1382"/>
      <c r="AJ103" s="1382"/>
      <c r="AW103" s="30"/>
    </row>
    <row r="104" spans="1:49" s="181" customFormat="1" x14ac:dyDescent="0.25">
      <c r="A104" s="1407" t="str">
        <f>IF(DD_apply="Yes",IF(COUNTIF('02 - DD'!D104:G104,"Y")&gt;0,"Y",IF(COUNTIF('02 - DD'!D104:G104,"N"),"N","")),"")</f>
        <v>Y</v>
      </c>
      <c r="B104" s="177"/>
      <c r="C104" s="945"/>
      <c r="D104" s="411"/>
      <c r="E104" s="411"/>
      <c r="F104" s="559" t="str">
        <f>IF('C-Design&amp;Const'!$M104="","",'C-Design&amp;Const'!$M104)</f>
        <v>Y</v>
      </c>
      <c r="G104" s="506"/>
      <c r="H104" s="408" t="str">
        <f>CONCATENATE(IF(F104="N","PLACEHOLDER ROW - ",""),'C-Design&amp;Const'!Z104,IF(F104="N","",J104))</f>
        <v xml:space="preserve">Electrical - Lightning Protection System(s) **(verify existing system for renovations) (Updates to) </v>
      </c>
      <c r="I104" s="193"/>
      <c r="J104" s="578" t="str">
        <f>IF('C-Design&amp;Const'!AG104="","",'C-Design&amp;Const'!AG104)</f>
        <v xml:space="preserve"> (Updates to) </v>
      </c>
      <c r="K104" s="285" t="str">
        <f>IF(CD50_apply="Yes",IF((COUNTIF(D104:G104,"Y")=COUNTIF('02 - DD'!D104:G104,"Y")),"match","no DD match"),"-")</f>
        <v>match</v>
      </c>
      <c r="L104" s="1410" t="str">
        <f t="shared" si="1"/>
        <v/>
      </c>
      <c r="M104" s="1382"/>
      <c r="N104" s="1382"/>
      <c r="O104" s="1382"/>
      <c r="P104" s="1382"/>
      <c r="Q104" s="1490"/>
      <c r="R104" s="1274"/>
      <c r="S104" s="1274"/>
      <c r="T104" s="1382"/>
      <c r="U104" s="1382"/>
      <c r="V104" s="1382"/>
      <c r="W104" s="1382"/>
      <c r="X104" s="1382"/>
      <c r="Y104" s="1382"/>
      <c r="Z104" s="1382"/>
      <c r="AA104" s="1382"/>
      <c r="AB104" s="1382"/>
      <c r="AC104" s="1382"/>
      <c r="AD104" s="1382"/>
      <c r="AE104" s="1382"/>
      <c r="AF104" s="1382"/>
      <c r="AG104" s="1382"/>
      <c r="AH104" s="1382"/>
      <c r="AI104" s="1382"/>
      <c r="AJ104" s="1382"/>
      <c r="AW104" s="30"/>
    </row>
    <row r="105" spans="1:49" s="181" customFormat="1" x14ac:dyDescent="0.25">
      <c r="A105" s="1407" t="str">
        <f>IF(DD_apply="Yes",IF(COUNTIF('02 - DD'!D105:G105,"Y")&gt;0,"Y",IF(COUNTIF('02 - DD'!D105:G105,"N"),"N","")),"")</f>
        <v>Y</v>
      </c>
      <c r="B105" s="177"/>
      <c r="C105" s="945"/>
      <c r="D105" s="411"/>
      <c r="E105" s="411"/>
      <c r="F105" s="559" t="str">
        <f>IF('C-Design&amp;Const'!$M105="","",'C-Design&amp;Const'!$M105)</f>
        <v>Y</v>
      </c>
      <c r="G105" s="506"/>
      <c r="H105" s="408" t="str">
        <f>CONCATENATE(IF(F105="N","PLACEHOLDER ROW - ",""),'C-Design&amp;Const'!Z105,IF(F105="N","",J105))</f>
        <v xml:space="preserve">Electrical - Fire Alarm System(s) **(verify existing system for renovations) (Updates to) </v>
      </c>
      <c r="I105" s="193"/>
      <c r="J105" s="578" t="str">
        <f>IF('C-Design&amp;Const'!AG105="","",'C-Design&amp;Const'!AG105)</f>
        <v xml:space="preserve"> (Updates to) </v>
      </c>
      <c r="K105" s="285" t="str">
        <f>IF(CD50_apply="Yes",IF((COUNTIF(D105:G105,"Y")=COUNTIF('02 - DD'!D105:G105,"Y")),"match","no DD match"),"-")</f>
        <v>match</v>
      </c>
      <c r="L105" s="1410" t="str">
        <f t="shared" si="1"/>
        <v/>
      </c>
      <c r="M105" s="1382"/>
      <c r="N105" s="1382"/>
      <c r="O105" s="1382"/>
      <c r="P105" s="1382"/>
      <c r="Q105" s="1490"/>
      <c r="R105" s="1274"/>
      <c r="S105" s="1274"/>
      <c r="T105" s="1382"/>
      <c r="U105" s="1382"/>
      <c r="V105" s="1382"/>
      <c r="W105" s="1382"/>
      <c r="X105" s="1382"/>
      <c r="Y105" s="1382"/>
      <c r="Z105" s="1382"/>
      <c r="AA105" s="1382"/>
      <c r="AB105" s="1382"/>
      <c r="AC105" s="1382"/>
      <c r="AD105" s="1382"/>
      <c r="AE105" s="1382"/>
      <c r="AF105" s="1382"/>
      <c r="AG105" s="1382"/>
      <c r="AH105" s="1382"/>
      <c r="AI105" s="1382"/>
      <c r="AJ105" s="1382"/>
      <c r="AW105" s="30"/>
    </row>
    <row r="106" spans="1:49" s="181" customFormat="1" ht="27.75" customHeight="1" x14ac:dyDescent="0.25">
      <c r="A106" s="1407" t="str">
        <f>IF(DD_apply="Yes",IF(COUNTIF('02 - DD'!D106:G106,"Y")&gt;0,"Y",IF(COUNTIF('02 - DD'!D106:G106,"N"),"N","")),"")</f>
        <v>Y</v>
      </c>
      <c r="B106" s="177"/>
      <c r="C106" s="945"/>
      <c r="D106" s="411"/>
      <c r="E106" s="411"/>
      <c r="F106" s="559" t="str">
        <f>IF('C-Design&amp;Const'!$M106="","",'C-Design&amp;Const'!$M106)</f>
        <v>Y</v>
      </c>
      <c r="G106" s="506"/>
      <c r="H106" s="408" t="str">
        <f>CONCATENATE(IF(F106="N","PLACEHOLDER ROW - ",""),'C-Design&amp;Const'!Z106,IF(F106="N","",J106))</f>
        <v xml:space="preserve">Electrical - Emergency Generator systems to support **(verify existing systems for renovations) (Updates to) </v>
      </c>
      <c r="I106" s="193"/>
      <c r="J106" s="578" t="str">
        <f>IF('C-Design&amp;Const'!AG106="","",'C-Design&amp;Const'!AG106)</f>
        <v xml:space="preserve"> (Updates to) </v>
      </c>
      <c r="K106" s="285" t="str">
        <f>IF(CD50_apply="Yes",IF((COUNTIF(D106:G106,"Y")=COUNTIF('02 - DD'!D106:G106,"Y")),"match","no DD match"),"-")</f>
        <v>match</v>
      </c>
      <c r="L106" s="1410" t="str">
        <f t="shared" si="1"/>
        <v/>
      </c>
      <c r="M106" s="1382"/>
      <c r="N106" s="1382"/>
      <c r="O106" s="1382"/>
      <c r="P106" s="1382"/>
      <c r="Q106" s="1490"/>
      <c r="R106" s="1274"/>
      <c r="S106" s="1274"/>
      <c r="T106" s="1382"/>
      <c r="U106" s="1382"/>
      <c r="V106" s="1382"/>
      <c r="W106" s="1382"/>
      <c r="X106" s="1382"/>
      <c r="Y106" s="1382"/>
      <c r="Z106" s="1382"/>
      <c r="AA106" s="1382"/>
      <c r="AB106" s="1382"/>
      <c r="AC106" s="1382"/>
      <c r="AD106" s="1382"/>
      <c r="AE106" s="1382"/>
      <c r="AF106" s="1382"/>
      <c r="AG106" s="1382"/>
      <c r="AH106" s="1382"/>
      <c r="AI106" s="1382"/>
      <c r="AJ106" s="1382"/>
      <c r="AW106" s="30"/>
    </row>
    <row r="107" spans="1:49" s="181" customFormat="1" x14ac:dyDescent="0.25">
      <c r="A107" s="1407" t="str">
        <f>IF(DD_apply="Yes",IF(COUNTIF('02 - DD'!D107:G107,"Y")&gt;0,"Y",IF(COUNTIF('02 - DD'!D107:G107,"N"),"N","")),"")</f>
        <v>Y</v>
      </c>
      <c r="B107" s="177"/>
      <c r="C107" s="945"/>
      <c r="D107" s="411"/>
      <c r="E107" s="411"/>
      <c r="F107" s="559" t="str">
        <f>IF('C-Design&amp;Const'!$M107="","",'C-Design&amp;Const'!$M107)</f>
        <v>N</v>
      </c>
      <c r="G107" s="506"/>
      <c r="H107" s="408" t="str">
        <f>CONCATENATE(IF(F107="N","PLACEHOLDER ROW - ",""),'C-Design&amp;Const'!Z107,IF(F107="N","",J107))</f>
        <v>PLACEHOLDER ROW - Electrical - Cut Sheets or Product Sheets on Lighting fixtures</v>
      </c>
      <c r="I107" s="193"/>
      <c r="J107" s="578" t="str">
        <f>IF('C-Design&amp;Const'!AG107="","",'C-Design&amp;Const'!AG107)</f>
        <v xml:space="preserve"> (Updates to) </v>
      </c>
      <c r="K107" s="285" t="str">
        <f>IF(CD50_apply="Yes",IF((COUNTIF(D107:G107,"Y")=COUNTIF('02 - DD'!D107:G107,"Y")),"match","no DD match"),"-")</f>
        <v>no DD match</v>
      </c>
      <c r="L107" s="1410" t="str">
        <f t="shared" si="1"/>
        <v>&lt;---PM/Planner may hide PLACEHOLDER ROW</v>
      </c>
      <c r="M107" s="1382"/>
      <c r="N107" s="1382"/>
      <c r="O107" s="1382"/>
      <c r="P107" s="1382"/>
      <c r="Q107" s="1490"/>
      <c r="R107" s="1274"/>
      <c r="S107" s="1274"/>
      <c r="T107" s="1382"/>
      <c r="U107" s="1382"/>
      <c r="V107" s="1382"/>
      <c r="W107" s="1382"/>
      <c r="X107" s="1382"/>
      <c r="Y107" s="1382"/>
      <c r="Z107" s="1382"/>
      <c r="AA107" s="1382"/>
      <c r="AB107" s="1382"/>
      <c r="AC107" s="1382"/>
      <c r="AD107" s="1382"/>
      <c r="AE107" s="1382"/>
      <c r="AF107" s="1382"/>
      <c r="AG107" s="1382"/>
      <c r="AH107" s="1382"/>
      <c r="AI107" s="1382"/>
      <c r="AJ107" s="1382"/>
      <c r="AW107" s="30"/>
    </row>
    <row r="108" spans="1:49" s="181" customFormat="1" x14ac:dyDescent="0.25">
      <c r="A108" s="1407" t="str">
        <f>IF(DD_apply="Yes",IF(COUNTIF('02 - DD'!D108:G108,"Y")&gt;0,"Y",IF(COUNTIF('02 - DD'!D108:G108,"N"),"N","")),"")</f>
        <v>N</v>
      </c>
      <c r="B108" s="177"/>
      <c r="C108" s="945"/>
      <c r="D108" s="411"/>
      <c r="E108" s="411"/>
      <c r="F108" s="559" t="str">
        <f>IF('C-Design&amp;Const'!$M108="","",'C-Design&amp;Const'!$M108)</f>
        <v>N</v>
      </c>
      <c r="G108" s="506"/>
      <c r="H108" s="408" t="str">
        <f>CONCATENATE(IF(F108="N","PLACEHOLDER ROW - ",""),'C-Design&amp;Const'!Z108,IF(F108="N","",J108))</f>
        <v>PLACEHOLDER ROW - Electrical - CUSTOM</v>
      </c>
      <c r="I108" s="193"/>
      <c r="J108" s="578" t="str">
        <f>IF('C-Design&amp;Const'!AG108="","",'C-Design&amp;Const'!AG108)</f>
        <v xml:space="preserve"> (Updates to) </v>
      </c>
      <c r="K108" s="285" t="str">
        <f>IF(CD50_apply="Yes",IF((COUNTIF(D108:G108,"Y")=COUNTIF('02 - DD'!D108:G108,"Y")),"match","no DD match"),"-")</f>
        <v>match</v>
      </c>
      <c r="L108" s="1410" t="str">
        <f t="shared" si="1"/>
        <v>&lt;---PM/Planner may hide PLACEHOLDER ROW</v>
      </c>
      <c r="M108" s="1382"/>
      <c r="N108" s="1382"/>
      <c r="O108" s="1382"/>
      <c r="P108" s="1382"/>
      <c r="Q108" s="1490"/>
      <c r="R108" s="1274"/>
      <c r="S108" s="1274"/>
      <c r="T108" s="1382"/>
      <c r="U108" s="1382"/>
      <c r="V108" s="1382"/>
      <c r="W108" s="1382"/>
      <c r="X108" s="1382"/>
      <c r="Y108" s="1382"/>
      <c r="Z108" s="1382"/>
      <c r="AA108" s="1382"/>
      <c r="AB108" s="1382"/>
      <c r="AC108" s="1382"/>
      <c r="AD108" s="1382"/>
      <c r="AE108" s="1382"/>
      <c r="AF108" s="1382"/>
      <c r="AG108" s="1382"/>
      <c r="AH108" s="1382"/>
      <c r="AI108" s="1382"/>
      <c r="AJ108" s="1382"/>
      <c r="AW108" s="30"/>
    </row>
    <row r="109" spans="1:49" s="181" customFormat="1" ht="22.5" customHeight="1" x14ac:dyDescent="0.25">
      <c r="A109" s="1407" t="str">
        <f>IF(DD_apply="Yes",IF(COUNTIF('02 - DD'!D109:G109,"Y")&gt;0,"Y",IF(COUNTIF('02 - DD'!D109:G109,"N"),"N","")),"")</f>
        <v>Y</v>
      </c>
      <c r="B109" s="177"/>
      <c r="C109" s="945"/>
      <c r="D109" s="411"/>
      <c r="E109" s="411"/>
      <c r="F109" s="559" t="str">
        <f>IF('C-Design&amp;Const'!$M109="","",'C-Design&amp;Const'!$M109)</f>
        <v>Y</v>
      </c>
      <c r="G109" s="506"/>
      <c r="H109" s="408" t="str">
        <f>CONCATENATE(IF(F109="N","PLACEHOLDER ROW - ",""),'C-Design&amp;Const'!Z109,IF(F109="N","",J109))</f>
        <v xml:space="preserve">Building Automation Systems- General - **(verify existing system for renovations) (Updates to) </v>
      </c>
      <c r="I109" s="193"/>
      <c r="J109" s="578" t="str">
        <f>IF('C-Design&amp;Const'!AG109="","",'C-Design&amp;Const'!AG109)</f>
        <v xml:space="preserve"> (Updates to) </v>
      </c>
      <c r="K109" s="285" t="str">
        <f>IF(CD50_apply="Yes",IF((COUNTIF(D109:G109,"Y")=COUNTIF('02 - DD'!D109:G109,"Y")),"match","no DD match"),"-")</f>
        <v>match</v>
      </c>
      <c r="L109" s="1410" t="str">
        <f>CONCATENATE(IF(ISNUMBER(SEARCH("Placeholder",H109))=TRUE,"&lt;---PM/Planner may hide PLACEHOLDER ROW",""))</f>
        <v/>
      </c>
      <c r="M109" s="1382"/>
      <c r="N109" s="1382"/>
      <c r="O109" s="1382"/>
      <c r="P109" s="1382"/>
      <c r="Q109" s="1490"/>
      <c r="R109" s="1274"/>
      <c r="S109" s="1274"/>
      <c r="T109" s="1382"/>
      <c r="U109" s="1382"/>
      <c r="V109" s="1382"/>
      <c r="W109" s="1382"/>
      <c r="X109" s="1382"/>
      <c r="Y109" s="1382"/>
      <c r="Z109" s="1382"/>
      <c r="AA109" s="1382"/>
      <c r="AB109" s="1382"/>
      <c r="AC109" s="1382"/>
      <c r="AD109" s="1382"/>
      <c r="AE109" s="1382"/>
      <c r="AF109" s="1382"/>
      <c r="AG109" s="1382"/>
      <c r="AH109" s="1382"/>
      <c r="AI109" s="1382"/>
      <c r="AJ109" s="1382"/>
      <c r="AW109" s="30"/>
    </row>
    <row r="110" spans="1:49" s="551" customFormat="1" x14ac:dyDescent="0.25">
      <c r="A110" s="1407" t="str">
        <f>IF(DD_apply="Yes",IF(COUNTIF('02 - DD'!D110:G110,"Y")&gt;0,"Y",IF(COUNTIF('02 - DD'!D110:G110,"N"),"N","")),"")</f>
        <v>Y</v>
      </c>
      <c r="B110" s="549"/>
      <c r="C110" s="945"/>
      <c r="D110" s="411"/>
      <c r="E110" s="411"/>
      <c r="F110" s="559" t="str">
        <f>IF('C-Design&amp;Const'!$M110="","",'C-Design&amp;Const'!$M110)</f>
        <v>Y</v>
      </c>
      <c r="G110" s="506"/>
      <c r="H110" s="408" t="str">
        <f>CONCATENATE(IF(F110="N","PLACEHOLDER ROW - ",""),'C-Design&amp;Const'!Z110,IF(F110="N","",J110))</f>
        <v xml:space="preserve">Building Automation Systems - Demolition(s) (Updates to) </v>
      </c>
      <c r="I110" s="193"/>
      <c r="J110" s="578" t="str">
        <f>IF('C-Design&amp;Const'!AG110="","",'C-Design&amp;Const'!AG110)</f>
        <v xml:space="preserve"> (Updates to) </v>
      </c>
      <c r="K110" s="285" t="str">
        <f>IF(CD50_apply="Yes",IF((COUNTIF(D110:G110,"Y")=COUNTIF('02 - DD'!D110:G110,"Y")),"match","no DD match"),"-")</f>
        <v>match</v>
      </c>
      <c r="L110" s="1410" t="str">
        <f t="shared" ref="L110" si="6">CONCATENATE(IF(ISNUMBER(SEARCH("Placeholder",H110))=TRUE,"&lt;---PM/Planner may hide PLACEHOLDER ROW",""))</f>
        <v/>
      </c>
      <c r="M110" s="1382"/>
      <c r="N110" s="1382"/>
      <c r="O110" s="1382"/>
      <c r="P110" s="1382"/>
      <c r="Q110" s="1490"/>
      <c r="R110" s="1274"/>
      <c r="S110" s="1274"/>
      <c r="T110" s="1382"/>
      <c r="U110" s="1382"/>
      <c r="V110" s="1382"/>
      <c r="W110" s="1382"/>
      <c r="X110" s="1382"/>
      <c r="Y110" s="1382"/>
      <c r="Z110" s="1382"/>
      <c r="AA110" s="1382"/>
      <c r="AB110" s="1382"/>
      <c r="AC110" s="1382"/>
      <c r="AD110" s="1382"/>
      <c r="AE110" s="1382"/>
      <c r="AF110" s="1382"/>
      <c r="AG110" s="1382"/>
      <c r="AH110" s="1382"/>
      <c r="AI110" s="1382"/>
      <c r="AJ110" s="1382"/>
      <c r="AW110" s="545"/>
    </row>
    <row r="111" spans="1:49" s="181" customFormat="1" x14ac:dyDescent="0.25">
      <c r="A111" s="1407" t="str">
        <f>IF(DD_apply="Yes",IF(COUNTIF('02 - DD'!D111:G111,"Y")&gt;0,"Y",IF(COUNTIF('02 - DD'!D111:G111,"N"),"N","")),"")</f>
        <v>Y</v>
      </c>
      <c r="B111" s="177"/>
      <c r="C111" s="945"/>
      <c r="D111" s="411"/>
      <c r="E111" s="411"/>
      <c r="F111" s="559" t="str">
        <f>IF('C-Design&amp;Const'!$M111="","",'C-Design&amp;Const'!$M111)</f>
        <v>Y</v>
      </c>
      <c r="G111" s="506"/>
      <c r="H111" s="408" t="str">
        <f>CONCATENATE(IF(F111="N","PLACEHOLDER ROW - ",""),'C-Design&amp;Const'!Z111,IF(F111="N","",J111))</f>
        <v xml:space="preserve">Building Automation Systems - Systems Network Architecture (Updates to) </v>
      </c>
      <c r="I111" s="193"/>
      <c r="J111" s="578" t="str">
        <f>IF('C-Design&amp;Const'!AG111="","",'C-Design&amp;Const'!AG111)</f>
        <v xml:space="preserve"> (Updates to) </v>
      </c>
      <c r="K111" s="285" t="str">
        <f>IF(CD50_apply="Yes",IF((COUNTIF(D111:G111,"Y")=COUNTIF('02 - DD'!D111:G111,"Y")),"match","no DD match"),"-")</f>
        <v>match</v>
      </c>
      <c r="L111" s="1410" t="str">
        <f>CONCATENATE(IF(ISNUMBER(SEARCH("Placeholder",H111))=TRUE,"&lt;---PM/Planner may hide PLACEHOLDER ROW",""))</f>
        <v/>
      </c>
      <c r="M111" s="1382"/>
      <c r="N111" s="1382"/>
      <c r="O111" s="1382"/>
      <c r="P111" s="1382"/>
      <c r="Q111" s="1490"/>
      <c r="R111" s="1274"/>
      <c r="S111" s="1274"/>
      <c r="T111" s="1382"/>
      <c r="U111" s="1382"/>
      <c r="V111" s="1382"/>
      <c r="W111" s="1382"/>
      <c r="X111" s="1382"/>
      <c r="Y111" s="1382"/>
      <c r="Z111" s="1382"/>
      <c r="AA111" s="1382"/>
      <c r="AB111" s="1382"/>
      <c r="AC111" s="1382"/>
      <c r="AD111" s="1382"/>
      <c r="AE111" s="1382"/>
      <c r="AF111" s="1382"/>
      <c r="AG111" s="1382"/>
      <c r="AH111" s="1382"/>
      <c r="AI111" s="1382"/>
      <c r="AJ111" s="1382"/>
      <c r="AW111" s="30"/>
    </row>
    <row r="112" spans="1:49" s="181" customFormat="1" x14ac:dyDescent="0.25">
      <c r="A112" s="1407" t="str">
        <f>IF(DD_apply="Yes",IF(COUNTIF('02 - DD'!D112:G112,"Y")&gt;0,"Y",IF(COUNTIF('02 - DD'!D112:G112,"N"),"N","")),"")</f>
        <v>Y</v>
      </c>
      <c r="B112" s="177"/>
      <c r="C112" s="945"/>
      <c r="D112" s="411"/>
      <c r="E112" s="411"/>
      <c r="F112" s="559" t="str">
        <f>IF('C-Design&amp;Const'!$M112="","",'C-Design&amp;Const'!$M112)</f>
        <v>Y</v>
      </c>
      <c r="G112" s="506"/>
      <c r="H112" s="408" t="str">
        <f>CONCATENATE(IF(F112="N","PLACEHOLDER ROW - ",""),'C-Design&amp;Const'!Z112,IF(F112="N","",J112))</f>
        <v xml:space="preserve">Building Automation Systems - HVAC Temperature Controls System(s) (Updates to) </v>
      </c>
      <c r="I112" s="193"/>
      <c r="J112" s="578" t="str">
        <f>IF('C-Design&amp;Const'!AG112="","",'C-Design&amp;Const'!AG112)</f>
        <v xml:space="preserve"> (Updates to) </v>
      </c>
      <c r="K112" s="285" t="str">
        <f>IF(CD50_apply="Yes",IF((COUNTIF(D112:G112,"Y")=COUNTIF('02 - DD'!D112:G112,"Y")),"match","no DD match"),"-")</f>
        <v>match</v>
      </c>
      <c r="L112" s="1410" t="str">
        <f>CONCATENATE(IF(ISNUMBER(SEARCH("Placeholder",H112))=TRUE,"&lt;---PM/Planner may hide PLACEHOLDER ROW",""))</f>
        <v/>
      </c>
      <c r="M112" s="1382"/>
      <c r="N112" s="1382"/>
      <c r="O112" s="1382"/>
      <c r="P112" s="1382"/>
      <c r="Q112" s="1490"/>
      <c r="R112" s="1274"/>
      <c r="S112" s="1274"/>
      <c r="T112" s="1382"/>
      <c r="U112" s="1382"/>
      <c r="V112" s="1382"/>
      <c r="W112" s="1382"/>
      <c r="X112" s="1382"/>
      <c r="Y112" s="1382"/>
      <c r="Z112" s="1382"/>
      <c r="AA112" s="1382"/>
      <c r="AB112" s="1382"/>
      <c r="AC112" s="1382"/>
      <c r="AD112" s="1382"/>
      <c r="AE112" s="1382"/>
      <c r="AF112" s="1382"/>
      <c r="AG112" s="1382"/>
      <c r="AH112" s="1382"/>
      <c r="AI112" s="1382"/>
      <c r="AJ112" s="1382"/>
      <c r="AW112" s="30"/>
    </row>
    <row r="113" spans="1:49" s="181" customFormat="1" x14ac:dyDescent="0.25">
      <c r="A113" s="1407" t="str">
        <f>IF(DD_apply="Yes",IF(COUNTIF('02 - DD'!D113:G113,"Y")&gt;0,"Y",IF(COUNTIF('02 - DD'!D113:G113,"N"),"N","")),"")</f>
        <v>N</v>
      </c>
      <c r="B113" s="177"/>
      <c r="C113" s="945"/>
      <c r="D113" s="411"/>
      <c r="E113" s="411"/>
      <c r="F113" s="559" t="str">
        <f>IF('C-Design&amp;Const'!$M113="","",'C-Design&amp;Const'!$M113)</f>
        <v>N</v>
      </c>
      <c r="G113" s="506"/>
      <c r="H113" s="408" t="str">
        <f>CONCATENATE(IF(F113="N","PLACEHOLDER ROW - ",""),'C-Design&amp;Const'!Z113,IF(F113="N","",J113))</f>
        <v>PLACEHOLDER ROW - Building Automation Systems - CUSTOM</v>
      </c>
      <c r="I113" s="193"/>
      <c r="J113" s="578" t="str">
        <f>IF('C-Design&amp;Const'!AG113="","",'C-Design&amp;Const'!AG113)</f>
        <v xml:space="preserve"> (Updates to) </v>
      </c>
      <c r="K113" s="285" t="str">
        <f>IF(CD50_apply="Yes",IF((COUNTIF(D113:G113,"Y")=COUNTIF('02 - DD'!D113:G113,"Y")),"match","no DD match"),"-")</f>
        <v>match</v>
      </c>
      <c r="L113" s="1410" t="str">
        <f>CONCATENATE(IF(ISNUMBER(SEARCH("Placeholder",H113))=TRUE,"&lt;---PM/Planner may hide PLACEHOLDER ROW",""))</f>
        <v>&lt;---PM/Planner may hide PLACEHOLDER ROW</v>
      </c>
      <c r="M113" s="1382"/>
      <c r="N113" s="1382"/>
      <c r="O113" s="1382"/>
      <c r="P113" s="1382"/>
      <c r="Q113" s="1490"/>
      <c r="R113" s="1274"/>
      <c r="S113" s="1274"/>
      <c r="T113" s="1382"/>
      <c r="U113" s="1382"/>
      <c r="V113" s="1382"/>
      <c r="W113" s="1382"/>
      <c r="X113" s="1382"/>
      <c r="Y113" s="1382"/>
      <c r="Z113" s="1382"/>
      <c r="AA113" s="1382"/>
      <c r="AB113" s="1382"/>
      <c r="AC113" s="1382"/>
      <c r="AD113" s="1382"/>
      <c r="AE113" s="1382"/>
      <c r="AF113" s="1382"/>
      <c r="AG113" s="1382"/>
      <c r="AH113" s="1382"/>
      <c r="AI113" s="1382"/>
      <c r="AJ113" s="1382"/>
      <c r="AW113" s="30"/>
    </row>
    <row r="114" spans="1:49" s="181" customFormat="1" x14ac:dyDescent="0.25">
      <c r="A114" s="1407" t="str">
        <f>IF(DD_apply="Yes",IF(COUNTIF('02 - DD'!D114:G114,"Y")&gt;0,"Y",IF(COUNTIF('02 - DD'!D114:G114,"N"),"N","")),"")</f>
        <v>Y</v>
      </c>
      <c r="B114" s="177"/>
      <c r="C114" s="945"/>
      <c r="D114" s="411"/>
      <c r="E114" s="411"/>
      <c r="F114" s="559" t="str">
        <f>IF('C-Design&amp;Const'!$M114="","",'C-Design&amp;Const'!$M114)</f>
        <v>Y</v>
      </c>
      <c r="G114" s="506"/>
      <c r="H114" s="408" t="str">
        <f>CONCATENATE(IF(F114="N","PLACEHOLDER ROW - ",""),'C-Design&amp;Const'!Z114,IF(F114="N","",J114))</f>
        <v xml:space="preserve">Access Controls - General Systems (Updates to) </v>
      </c>
      <c r="I114" s="193"/>
      <c r="J114" s="578" t="str">
        <f>IF('C-Design&amp;Const'!AG114="","",'C-Design&amp;Const'!AG114)</f>
        <v xml:space="preserve"> (Updates to) </v>
      </c>
      <c r="K114" s="285" t="str">
        <f>IF(CD50_apply="Yes",IF((COUNTIF(D114:G114,"Y")=COUNTIF('02 - DD'!D114:G114,"Y")),"match","no DD match"),"-")</f>
        <v>match</v>
      </c>
      <c r="L114" s="1410" t="str">
        <f>CONCATENATE(IF(ISNUMBER(SEARCH("Placeholder",H114))=TRUE,"&lt;---PM/Planner may hide PLACEHOLDER ROW",""))</f>
        <v/>
      </c>
      <c r="M114" s="1382"/>
      <c r="N114" s="1382"/>
      <c r="O114" s="1382"/>
      <c r="P114" s="1382"/>
      <c r="Q114" s="1490"/>
      <c r="R114" s="1274"/>
      <c r="S114" s="1274"/>
      <c r="T114" s="1382"/>
      <c r="U114" s="1382"/>
      <c r="V114" s="1382"/>
      <c r="W114" s="1382"/>
      <c r="X114" s="1382"/>
      <c r="Y114" s="1382"/>
      <c r="Z114" s="1382"/>
      <c r="AA114" s="1382"/>
      <c r="AB114" s="1382"/>
      <c r="AC114" s="1382"/>
      <c r="AD114" s="1382"/>
      <c r="AE114" s="1382"/>
      <c r="AF114" s="1382"/>
      <c r="AG114" s="1382"/>
      <c r="AH114" s="1382"/>
      <c r="AI114" s="1382"/>
      <c r="AJ114" s="1382"/>
      <c r="AW114" s="30"/>
    </row>
    <row r="115" spans="1:49" s="551" customFormat="1" x14ac:dyDescent="0.25">
      <c r="A115" s="1407" t="str">
        <f>IF(DD_apply="Yes",IF(COUNTIF('02 - DD'!D115:G115,"Y")&gt;0,"Y",IF(COUNTIF('02 - DD'!D115:G115,"N"),"N","")),"")</f>
        <v>Y</v>
      </c>
      <c r="B115" s="549"/>
      <c r="C115" s="945"/>
      <c r="D115" s="411"/>
      <c r="E115" s="411"/>
      <c r="F115" s="559" t="str">
        <f>IF('C-Design&amp;Const'!$M115="","",'C-Design&amp;Const'!$M115)</f>
        <v>Y</v>
      </c>
      <c r="G115" s="506"/>
      <c r="H115" s="408" t="str">
        <f>CONCATENATE(IF(F115="N","PLACEHOLDER ROW - ",""),'C-Design&amp;Const'!Z115,IF(F115="N","",J115))</f>
        <v xml:space="preserve">Access Controls - Demolition(s) (Updates to) </v>
      </c>
      <c r="I115" s="193"/>
      <c r="J115" s="578" t="str">
        <f>IF('C-Design&amp;Const'!AG115="","",'C-Design&amp;Const'!AG115)</f>
        <v xml:space="preserve"> (Updates to) </v>
      </c>
      <c r="K115" s="285" t="str">
        <f>IF(CD50_apply="Yes",IF((COUNTIF(D115:G115,"Y")=COUNTIF('02 - DD'!D115:G115,"Y")),"match","no DD match"),"-")</f>
        <v>match</v>
      </c>
      <c r="L115" s="1410" t="str">
        <f t="shared" ref="L115" si="7">CONCATENATE(IF(ISNUMBER(SEARCH("Placeholder",H115))=TRUE,"&lt;---PM/Planner may hide PLACEHOLDER ROW",""))</f>
        <v/>
      </c>
      <c r="M115" s="1382"/>
      <c r="N115" s="1382"/>
      <c r="O115" s="1382"/>
      <c r="P115" s="1382"/>
      <c r="Q115" s="1490"/>
      <c r="R115" s="1274"/>
      <c r="S115" s="1274"/>
      <c r="T115" s="1382"/>
      <c r="U115" s="1382"/>
      <c r="V115" s="1382"/>
      <c r="W115" s="1382"/>
      <c r="X115" s="1382"/>
      <c r="Y115" s="1382"/>
      <c r="Z115" s="1382"/>
      <c r="AA115" s="1382"/>
      <c r="AB115" s="1382"/>
      <c r="AC115" s="1382"/>
      <c r="AD115" s="1382"/>
      <c r="AE115" s="1382"/>
      <c r="AF115" s="1382"/>
      <c r="AG115" s="1382"/>
      <c r="AH115" s="1382"/>
      <c r="AI115" s="1382"/>
      <c r="AJ115" s="1382"/>
      <c r="AW115" s="545"/>
    </row>
    <row r="116" spans="1:49" s="181" customFormat="1" x14ac:dyDescent="0.25">
      <c r="A116" s="1407" t="str">
        <f>IF(DD_apply="Yes",IF(COUNTIF('02 - DD'!D117:G117,"Y")&gt;0,"Y",IF(COUNTIF('02 - DD'!D117:G117,"N"),"N","")),"")</f>
        <v>Y</v>
      </c>
      <c r="B116" s="177"/>
      <c r="C116" s="945"/>
      <c r="D116" s="411"/>
      <c r="E116" s="411"/>
      <c r="F116" s="559" t="str">
        <f>IF('C-Design&amp;Const'!$M116="","",'C-Design&amp;Const'!$M116)</f>
        <v>N</v>
      </c>
      <c r="G116" s="506"/>
      <c r="H116" s="408" t="str">
        <f>CONCATENATE(IF(F116="N","PLACEHOLDER ROW - ",""),'C-Design&amp;Const'!Z116,IF(F116="N","",J116))</f>
        <v>PLACEHOLDER ROW - Access Controls - CUSTOM</v>
      </c>
      <c r="I116" s="193"/>
      <c r="J116" s="578" t="str">
        <f>IF('C-Design&amp;Const'!AG117="","",'C-Design&amp;Const'!AG117)</f>
        <v xml:space="preserve"> (Updates to) </v>
      </c>
      <c r="K116" s="285" t="str">
        <f>IF(CD50_apply="Yes",IF((COUNTIF(D116:G116,"Y")=COUNTIF('02 - DD'!D117:G117,"Y")),"match","no DD match"),"-")</f>
        <v>no DD match</v>
      </c>
      <c r="L116" s="1410" t="str">
        <f t="shared" si="1"/>
        <v>&lt;---PM/Planner may hide PLACEHOLDER ROW</v>
      </c>
      <c r="M116" s="1382"/>
      <c r="N116" s="1382"/>
      <c r="O116" s="1382"/>
      <c r="P116" s="1382"/>
      <c r="Q116" s="1490"/>
      <c r="R116" s="1274"/>
      <c r="S116" s="1274"/>
      <c r="T116" s="1382"/>
      <c r="U116" s="1382"/>
      <c r="V116" s="1382"/>
      <c r="W116" s="1382"/>
      <c r="X116" s="1382"/>
      <c r="Y116" s="1382"/>
      <c r="Z116" s="1382"/>
      <c r="AA116" s="1382"/>
      <c r="AB116" s="1382"/>
      <c r="AC116" s="1382"/>
      <c r="AD116" s="1382"/>
      <c r="AE116" s="1382"/>
      <c r="AF116" s="1382"/>
      <c r="AG116" s="1382"/>
      <c r="AH116" s="1382"/>
      <c r="AI116" s="1382"/>
      <c r="AJ116" s="1382"/>
      <c r="AW116" s="30"/>
    </row>
    <row r="117" spans="1:49" s="181" customFormat="1" x14ac:dyDescent="0.25">
      <c r="A117" s="1407" t="str">
        <f>IF(DD_apply="Yes",IF(COUNTIF('02 - DD'!D119:G119,"Y")&gt;0,"Y",IF(COUNTIF('02 - DD'!D119:G119,"N"),"N","")),"")</f>
        <v>N</v>
      </c>
      <c r="B117" s="177"/>
      <c r="C117" s="945"/>
      <c r="D117" s="411"/>
      <c r="E117" s="411"/>
      <c r="F117" s="559" t="str">
        <f>IF('C-Design&amp;Const'!$M117="","",'C-Design&amp;Const'!$M117)</f>
        <v>Y</v>
      </c>
      <c r="G117" s="506"/>
      <c r="H117" s="408" t="str">
        <f>CONCATENATE(IF(F117="N","PLACEHOLDER ROW - ",""),'C-Design&amp;Const'!Z117,IF(F117="N","",J117))</f>
        <v xml:space="preserve">Telecom - General Systems  (Updates to) </v>
      </c>
      <c r="I117" s="193"/>
      <c r="J117" s="578" t="str">
        <f>IF('C-Design&amp;Const'!AG119="","",'C-Design&amp;Const'!AG119)</f>
        <v xml:space="preserve"> (Updates to) </v>
      </c>
      <c r="K117" s="285" t="str">
        <f>IF(CD50_apply="Yes",IF((COUNTIF(D117:G117,"Y")=COUNTIF('02 - DD'!D119:G119,"Y")),"match","no DD match"),"-")</f>
        <v>no DD match</v>
      </c>
      <c r="L117" s="1410" t="str">
        <f t="shared" si="1"/>
        <v/>
      </c>
      <c r="M117" s="1382"/>
      <c r="N117" s="1382"/>
      <c r="O117" s="1382"/>
      <c r="P117" s="1382"/>
      <c r="Q117" s="1490"/>
      <c r="R117" s="1274"/>
      <c r="S117" s="1274"/>
      <c r="T117" s="1382"/>
      <c r="U117" s="1382"/>
      <c r="V117" s="1382"/>
      <c r="W117" s="1382"/>
      <c r="X117" s="1382"/>
      <c r="Y117" s="1382"/>
      <c r="Z117" s="1382"/>
      <c r="AA117" s="1382"/>
      <c r="AB117" s="1382"/>
      <c r="AC117" s="1382"/>
      <c r="AD117" s="1382"/>
      <c r="AE117" s="1382"/>
      <c r="AF117" s="1382"/>
      <c r="AG117" s="1382"/>
      <c r="AH117" s="1382"/>
      <c r="AI117" s="1382"/>
      <c r="AJ117" s="1382"/>
      <c r="AW117" s="30"/>
    </row>
    <row r="118" spans="1:49" s="551" customFormat="1" x14ac:dyDescent="0.25">
      <c r="A118" s="1407" t="str">
        <f>IF(DD_apply="Yes",IF(COUNTIF('02 - DD'!D118:G118,"Y")&gt;0,"Y",IF(COUNTIF('02 - DD'!D118:G118,"N"),"N","")),"")</f>
        <v>Y</v>
      </c>
      <c r="B118" s="549"/>
      <c r="C118" s="945"/>
      <c r="D118" s="411"/>
      <c r="E118" s="411"/>
      <c r="F118" s="559" t="str">
        <f>IF('C-Design&amp;Const'!$M118="","",'C-Design&amp;Const'!$M118)</f>
        <v>Y</v>
      </c>
      <c r="G118" s="506"/>
      <c r="H118" s="408" t="str">
        <f>CONCATENATE(IF(F118="N","PLACEHOLDER ROW - ",""),'C-Design&amp;Const'!Z118,IF(F118="N","",J118))</f>
        <v xml:space="preserve">Telecom - Demolition(s) (Updates to) </v>
      </c>
      <c r="I118" s="193"/>
      <c r="J118" s="578" t="str">
        <f>IF('C-Design&amp;Const'!AG118="","",'C-Design&amp;Const'!AG118)</f>
        <v xml:space="preserve"> (Updates to) </v>
      </c>
      <c r="K118" s="285" t="str">
        <f>IF(CD50_apply="Yes",IF((COUNTIF(D118:G118,"Y")=COUNTIF('02 - DD'!D118:G118,"Y")),"match","no DD match"),"-")</f>
        <v>match</v>
      </c>
      <c r="L118" s="1410" t="str">
        <f t="shared" si="1"/>
        <v/>
      </c>
      <c r="M118" s="1382"/>
      <c r="N118" s="1382"/>
      <c r="O118" s="1382"/>
      <c r="P118" s="1382"/>
      <c r="Q118" s="1490"/>
      <c r="R118" s="1274"/>
      <c r="S118" s="1274"/>
      <c r="T118" s="1382"/>
      <c r="U118" s="1382"/>
      <c r="V118" s="1382"/>
      <c r="W118" s="1382"/>
      <c r="X118" s="1382"/>
      <c r="Y118" s="1382"/>
      <c r="Z118" s="1382"/>
      <c r="AA118" s="1382"/>
      <c r="AB118" s="1382"/>
      <c r="AC118" s="1382"/>
      <c r="AD118" s="1382"/>
      <c r="AE118" s="1382"/>
      <c r="AF118" s="1382"/>
      <c r="AG118" s="1382"/>
      <c r="AH118" s="1382"/>
      <c r="AI118" s="1382"/>
      <c r="AJ118" s="1382"/>
      <c r="AW118" s="545"/>
    </row>
    <row r="119" spans="1:49" s="181" customFormat="1" x14ac:dyDescent="0.25">
      <c r="A119" s="1407" t="str">
        <f>IF(DD_apply="Yes",IF(COUNTIF('02 - DD'!D120:G120,"Y")&gt;0,"Y",IF(COUNTIF('02 - DD'!D120:G120,"N"),"N","")),"")</f>
        <v>Y</v>
      </c>
      <c r="B119" s="177"/>
      <c r="C119" s="945"/>
      <c r="D119" s="411"/>
      <c r="E119" s="411"/>
      <c r="F119" s="559" t="str">
        <f>IF('C-Design&amp;Const'!$M119="","",'C-Design&amp;Const'!$M119)</f>
        <v>N</v>
      </c>
      <c r="G119" s="506"/>
      <c r="H119" s="408" t="str">
        <f>CONCATENATE(IF(F119="N","PLACEHOLDER ROW - ",""),'C-Design&amp;Const'!Z119,IF(F119="N","",J119))</f>
        <v>PLACEHOLDER ROW - Telecom - CUSTOM</v>
      </c>
      <c r="I119" s="193"/>
      <c r="J119" s="578" t="str">
        <f>IF('C-Design&amp;Const'!AG120="","",'C-Design&amp;Const'!AG120)</f>
        <v xml:space="preserve"> (Updates to) </v>
      </c>
      <c r="K119" s="285" t="str">
        <f>IF(CD50_apply="Yes",IF((COUNTIF(D119:G119,"Y")=COUNTIF('02 - DD'!D120:G120,"Y")),"match","no DD match"),"-")</f>
        <v>no DD match</v>
      </c>
      <c r="L119" s="1410" t="str">
        <f t="shared" si="1"/>
        <v>&lt;---PM/Planner may hide PLACEHOLDER ROW</v>
      </c>
      <c r="M119" s="1382"/>
      <c r="N119" s="1382"/>
      <c r="O119" s="1382"/>
      <c r="P119" s="1382"/>
      <c r="Q119" s="1490"/>
      <c r="R119" s="1274"/>
      <c r="S119" s="1274"/>
      <c r="T119" s="1382"/>
      <c r="U119" s="1382"/>
      <c r="V119" s="1382"/>
      <c r="W119" s="1382"/>
      <c r="X119" s="1382"/>
      <c r="Y119" s="1382"/>
      <c r="Z119" s="1382"/>
      <c r="AA119" s="1382"/>
      <c r="AB119" s="1382"/>
      <c r="AC119" s="1382"/>
      <c r="AD119" s="1382"/>
      <c r="AE119" s="1382"/>
      <c r="AF119" s="1382"/>
      <c r="AG119" s="1382"/>
      <c r="AH119" s="1382"/>
      <c r="AI119" s="1382"/>
      <c r="AJ119" s="1382"/>
      <c r="AW119" s="30"/>
    </row>
    <row r="120" spans="1:49" s="181" customFormat="1" x14ac:dyDescent="0.25">
      <c r="A120" s="1407" t="str">
        <f>IF(DD_apply="Yes",IF(COUNTIF('02 - DD'!D122:G122,"Y")&gt;0,"Y",IF(COUNTIF('02 - DD'!D122:G122,"N"),"N","")),"")</f>
        <v>N</v>
      </c>
      <c r="B120" s="177"/>
      <c r="C120" s="945"/>
      <c r="D120" s="411"/>
      <c r="E120" s="411"/>
      <c r="F120" s="559" t="str">
        <f>IF('C-Design&amp;Const'!$M120="","",'C-Design&amp;Const'!$M120)</f>
        <v>Y</v>
      </c>
      <c r="G120" s="506"/>
      <c r="H120" s="408" t="str">
        <f>CONCATENATE(IF(F120="N","PLACEHOLDER ROW - ",""),'C-Design&amp;Const'!Z120,IF(F120="N","",J120))</f>
        <v xml:space="preserve">Audio Visual - General Systems (Updates to) </v>
      </c>
      <c r="I120" s="193"/>
      <c r="J120" s="578" t="str">
        <f>IF('C-Design&amp;Const'!AG122="","",'C-Design&amp;Const'!AG122)</f>
        <v xml:space="preserve"> (Updates to) </v>
      </c>
      <c r="K120" s="285" t="str">
        <f>IF(CD50_apply="Yes",IF((COUNTIF(D120:G120,"Y")=COUNTIF('02 - DD'!D122:G122,"Y")),"match","no DD match"),"-")</f>
        <v>no DD match</v>
      </c>
      <c r="L120" s="1410" t="str">
        <f t="shared" ref="L120:L185" si="8">CONCATENATE(IF(ISNUMBER(SEARCH("Placeholder",H120))=TRUE,"&lt;---PM/Planner may hide PLACEHOLDER ROW",""))</f>
        <v/>
      </c>
      <c r="M120" s="1382"/>
      <c r="N120" s="1382"/>
      <c r="O120" s="1382"/>
      <c r="P120" s="1382"/>
      <c r="Q120" s="1490"/>
      <c r="R120" s="1274"/>
      <c r="S120" s="1274"/>
      <c r="T120" s="1382"/>
      <c r="U120" s="1382"/>
      <c r="V120" s="1382"/>
      <c r="W120" s="1382"/>
      <c r="X120" s="1382"/>
      <c r="Y120" s="1382"/>
      <c r="Z120" s="1382"/>
      <c r="AA120" s="1382"/>
      <c r="AB120" s="1382"/>
      <c r="AC120" s="1382"/>
      <c r="AD120" s="1382"/>
      <c r="AE120" s="1382"/>
      <c r="AF120" s="1382"/>
      <c r="AG120" s="1382"/>
      <c r="AH120" s="1382"/>
      <c r="AI120" s="1382"/>
      <c r="AJ120" s="1382"/>
      <c r="AW120" s="30"/>
    </row>
    <row r="121" spans="1:49" s="551" customFormat="1" x14ac:dyDescent="0.25">
      <c r="A121" s="1407" t="str">
        <f>IF(DD_apply="Yes",IF(COUNTIF('02 - DD'!D121:G121,"Y")&gt;0,"Y",IF(COUNTIF('02 - DD'!D121:G121,"N"),"N","")),"")</f>
        <v>Y</v>
      </c>
      <c r="B121" s="549"/>
      <c r="C121" s="945"/>
      <c r="D121" s="411"/>
      <c r="E121" s="411"/>
      <c r="F121" s="559" t="str">
        <f>IF('C-Design&amp;Const'!$M121="","",'C-Design&amp;Const'!$M121)</f>
        <v>Y</v>
      </c>
      <c r="G121" s="506"/>
      <c r="H121" s="408" t="str">
        <f>CONCATENATE(IF(F121="N","PLACEHOLDER ROW - ",""),'C-Design&amp;Const'!Z121,IF(F121="N","",J121))</f>
        <v xml:space="preserve">Audio Visual - Demolition(s) (Updates to) </v>
      </c>
      <c r="I121" s="193"/>
      <c r="J121" s="578" t="str">
        <f>IF('C-Design&amp;Const'!AG121="","",'C-Design&amp;Const'!AG121)</f>
        <v xml:space="preserve"> (Updates to) </v>
      </c>
      <c r="K121" s="285" t="str">
        <f>IF(CD50_apply="Yes",IF((COUNTIF(D121:G121,"Y")=COUNTIF('02 - DD'!D121:G121,"Y")),"match","no DD match"),"-")</f>
        <v>match</v>
      </c>
      <c r="L121" s="1410" t="str">
        <f t="shared" si="8"/>
        <v/>
      </c>
      <c r="M121" s="1382"/>
      <c r="N121" s="1382"/>
      <c r="O121" s="1382"/>
      <c r="P121" s="1382"/>
      <c r="Q121" s="1490"/>
      <c r="R121" s="1274"/>
      <c r="S121" s="1274"/>
      <c r="T121" s="1382"/>
      <c r="U121" s="1382"/>
      <c r="V121" s="1382"/>
      <c r="W121" s="1382"/>
      <c r="X121" s="1382"/>
      <c r="Y121" s="1382"/>
      <c r="Z121" s="1382"/>
      <c r="AA121" s="1382"/>
      <c r="AB121" s="1382"/>
      <c r="AC121" s="1382"/>
      <c r="AD121" s="1382"/>
      <c r="AE121" s="1382"/>
      <c r="AF121" s="1382"/>
      <c r="AG121" s="1382"/>
      <c r="AH121" s="1382"/>
      <c r="AI121" s="1382"/>
      <c r="AJ121" s="1382"/>
      <c r="AW121" s="545"/>
    </row>
    <row r="122" spans="1:49" s="181" customFormat="1" x14ac:dyDescent="0.25">
      <c r="A122" s="1407" t="str">
        <f>IF(DD_apply="Yes",IF(COUNTIF('02 - DD'!D116:G116,"Y")&gt;0,"Y",IF(COUNTIF('02 - DD'!D116:G116,"N"),"N","")),"")</f>
        <v>N</v>
      </c>
      <c r="B122" s="177"/>
      <c r="C122" s="945"/>
      <c r="D122" s="411"/>
      <c r="E122" s="411"/>
      <c r="F122" s="559" t="str">
        <f>IF('C-Design&amp;Const'!$M122="","",'C-Design&amp;Const'!$M122)</f>
        <v>N</v>
      </c>
      <c r="G122" s="506"/>
      <c r="H122" s="408" t="str">
        <f>CONCATENATE(IF(F122="N","PLACEHOLDER ROW - ",""),'C-Design&amp;Const'!Z122,IF(F122="N","",J122))</f>
        <v>PLACEHOLDER ROW - Audio Visual - CUSTOM</v>
      </c>
      <c r="I122" s="193"/>
      <c r="J122" s="578" t="str">
        <f>IF('C-Design&amp;Const'!AG116="","",'C-Design&amp;Const'!AG116)</f>
        <v xml:space="preserve"> (Updates to) </v>
      </c>
      <c r="K122" s="285" t="str">
        <f>IF(CD50_apply="Yes",IF((COUNTIF(D122:G122,"Y")=COUNTIF('02 - DD'!D116:G116,"Y")),"match","no DD match"),"-")</f>
        <v>match</v>
      </c>
      <c r="L122" s="1410" t="str">
        <f t="shared" si="8"/>
        <v>&lt;---PM/Planner may hide PLACEHOLDER ROW</v>
      </c>
      <c r="M122" s="1382"/>
      <c r="N122" s="1382"/>
      <c r="O122" s="1382"/>
      <c r="P122" s="1382"/>
      <c r="Q122" s="1490"/>
      <c r="R122" s="1274"/>
      <c r="S122" s="1274"/>
      <c r="T122" s="1382"/>
      <c r="U122" s="1382"/>
      <c r="V122" s="1382"/>
      <c r="W122" s="1382"/>
      <c r="X122" s="1382"/>
      <c r="Y122" s="1382"/>
      <c r="Z122" s="1382"/>
      <c r="AA122" s="1382"/>
      <c r="AB122" s="1382"/>
      <c r="AC122" s="1382"/>
      <c r="AD122" s="1382"/>
      <c r="AE122" s="1382"/>
      <c r="AF122" s="1382"/>
      <c r="AG122" s="1382"/>
      <c r="AH122" s="1382"/>
      <c r="AI122" s="1382"/>
      <c r="AJ122" s="1382"/>
      <c r="AW122" s="30"/>
    </row>
    <row r="123" spans="1:49" s="181" customFormat="1" x14ac:dyDescent="0.25">
      <c r="A123" s="1407" t="str">
        <f>IF(DD_apply="Yes",IF(COUNTIF('02 - DD'!D123:G123,"Y")&gt;0,"Y",IF(COUNTIF('02 - DD'!D123:G123,"N"),"N","")),"")</f>
        <v>N</v>
      </c>
      <c r="B123" s="177"/>
      <c r="C123" s="945"/>
      <c r="D123" s="411"/>
      <c r="E123" s="411"/>
      <c r="F123" s="559" t="str">
        <f>IF('C-Design&amp;Const'!$M123="","",'C-Design&amp;Const'!$M123)</f>
        <v>N</v>
      </c>
      <c r="G123" s="506"/>
      <c r="H123" s="408" t="str">
        <f>CONCATENATE(IF(F123="N","PLACEHOLDER ROW - ",""),'C-Design&amp;Const'!Z123,IF(F123="N","",J123))</f>
        <v>PLACEHOLDER ROW - CUSTOM ROW - OPTIONAL CLIENT ITEM</v>
      </c>
      <c r="I123" s="193"/>
      <c r="J123" s="578" t="str">
        <f>IF('C-Design&amp;Const'!AG123="","",'C-Design&amp;Const'!AG123)</f>
        <v xml:space="preserve"> (Updates to) </v>
      </c>
      <c r="K123" s="285" t="str">
        <f>IF(CD50_apply="Yes",IF((COUNTIF(D123:G123,"Y")=COUNTIF('02 - DD'!D123:G123,"Y")),"match","no DD match"),"-")</f>
        <v>match</v>
      </c>
      <c r="L123" s="1410" t="str">
        <f t="shared" si="8"/>
        <v>&lt;---PM/Planner may hide PLACEHOLDER ROW</v>
      </c>
      <c r="M123" s="1382"/>
      <c r="N123" s="1382"/>
      <c r="O123" s="1382"/>
      <c r="P123" s="1382"/>
      <c r="Q123" s="1490"/>
      <c r="R123" s="1274"/>
      <c r="S123" s="1274"/>
      <c r="T123" s="1382"/>
      <c r="U123" s="1382"/>
      <c r="V123" s="1382"/>
      <c r="W123" s="1382"/>
      <c r="X123" s="1382"/>
      <c r="Y123" s="1382"/>
      <c r="Z123" s="1382"/>
      <c r="AA123" s="1382"/>
      <c r="AB123" s="1382"/>
      <c r="AC123" s="1382"/>
      <c r="AD123" s="1382"/>
      <c r="AE123" s="1382"/>
      <c r="AF123" s="1382"/>
      <c r="AG123" s="1382"/>
      <c r="AH123" s="1382"/>
      <c r="AI123" s="1382"/>
      <c r="AJ123" s="1382"/>
      <c r="AW123" s="30"/>
    </row>
    <row r="124" spans="1:49" s="181" customFormat="1" hidden="1" x14ac:dyDescent="0.25">
      <c r="A124" s="1407" t="str">
        <f>IF(DD_apply="Yes",IF(COUNTIF('02 - DD'!D124:G124,"Y")&gt;0,"Y",IF(COUNTIF('02 - DD'!D124:G124,"N"),"N","")),"")</f>
        <v>N</v>
      </c>
      <c r="B124" s="177"/>
      <c r="C124" s="945"/>
      <c r="D124" s="411"/>
      <c r="E124" s="411"/>
      <c r="F124" s="559" t="str">
        <f>IF('C-Design&amp;Const'!$M124="","",'C-Design&amp;Const'!$M124)</f>
        <v>N</v>
      </c>
      <c r="G124" s="506"/>
      <c r="H124" s="408" t="str">
        <f>CONCATENATE(IF(F124="N","PLACEHOLDER ROW - ",""),'C-Design&amp;Const'!Z124,IF(F124="N","",J124))</f>
        <v>PLACEHOLDER ROW - CUSTOM ROW - OPTIONAL CLIENT ITEM</v>
      </c>
      <c r="I124" s="193"/>
      <c r="J124" s="578" t="str">
        <f>IF('C-Design&amp;Const'!AG124="","",'C-Design&amp;Const'!AG124)</f>
        <v xml:space="preserve"> (Updates to) </v>
      </c>
      <c r="K124" s="285" t="str">
        <f>IF(CD50_apply="Yes",IF((COUNTIF(D124:G124,"Y")=COUNTIF('02 - DD'!D124:G124,"Y")),"match","no DD match"),"-")</f>
        <v>match</v>
      </c>
      <c r="L124" s="1410" t="str">
        <f t="shared" si="8"/>
        <v>&lt;---PM/Planner may hide PLACEHOLDER ROW</v>
      </c>
      <c r="M124" s="1382"/>
      <c r="N124" s="1382"/>
      <c r="O124" s="1382"/>
      <c r="P124" s="1382"/>
      <c r="Q124" s="1490"/>
      <c r="R124" s="1274"/>
      <c r="S124" s="1274"/>
      <c r="T124" s="1382"/>
      <c r="U124" s="1382"/>
      <c r="V124" s="1382"/>
      <c r="W124" s="1382"/>
      <c r="X124" s="1382"/>
      <c r="Y124" s="1382"/>
      <c r="Z124" s="1382"/>
      <c r="AA124" s="1382"/>
      <c r="AB124" s="1382"/>
      <c r="AC124" s="1382"/>
      <c r="AD124" s="1382"/>
      <c r="AE124" s="1382"/>
      <c r="AF124" s="1382"/>
      <c r="AG124" s="1382"/>
      <c r="AH124" s="1382"/>
      <c r="AI124" s="1382"/>
      <c r="AJ124" s="1382"/>
      <c r="AW124" s="30"/>
    </row>
    <row r="125" spans="1:49" s="181" customFormat="1" ht="24.75" customHeight="1" x14ac:dyDescent="0.25">
      <c r="A125" s="1516" t="str">
        <f>IF(DD_apply="Yes",IF(COUNTIF('02 - DD'!D125:G125,"Y")&gt;0,"Y",IF(COUNTIF('02 - DD'!D125:G125,"N"),"N","")),"")</f>
        <v/>
      </c>
      <c r="B125" s="177"/>
      <c r="C125" s="945"/>
      <c r="D125" s="411"/>
      <c r="E125" s="411"/>
      <c r="F125" s="411"/>
      <c r="G125" s="511"/>
      <c r="H125" s="411"/>
      <c r="I125" s="186"/>
      <c r="J125" s="578" t="str">
        <f>IF('C-Design&amp;Const'!AG125="","",'C-Design&amp;Const'!AG125)</f>
        <v/>
      </c>
      <c r="K125" s="285" t="str">
        <f>IF(CD50_apply="Yes",IF((COUNTIF(D125:G125,"Y")=COUNTIF('02 - DD'!D125:G125,"Y")),"match","no DD match"),"-")</f>
        <v>match</v>
      </c>
      <c r="L125" s="1410" t="str">
        <f t="shared" si="8"/>
        <v/>
      </c>
      <c r="M125" s="1382"/>
      <c r="N125" s="1382"/>
      <c r="O125" s="1382"/>
      <c r="P125" s="1382"/>
      <c r="Q125" s="1490"/>
      <c r="R125" s="1274"/>
      <c r="S125" s="1274"/>
      <c r="T125" s="1382"/>
      <c r="U125" s="1382"/>
      <c r="V125" s="1382"/>
      <c r="W125" s="1382"/>
      <c r="X125" s="1382"/>
      <c r="Y125" s="1382"/>
      <c r="Z125" s="1382"/>
      <c r="AA125" s="1382"/>
      <c r="AB125" s="1382"/>
      <c r="AC125" s="1382"/>
      <c r="AD125" s="1382"/>
      <c r="AE125" s="1382"/>
      <c r="AF125" s="1382"/>
      <c r="AG125" s="1382"/>
      <c r="AH125" s="1382"/>
      <c r="AI125" s="1382"/>
      <c r="AJ125" s="1382"/>
    </row>
    <row r="126" spans="1:49" s="181" customFormat="1" ht="18.75" x14ac:dyDescent="0.25">
      <c r="A126" s="1501" t="str">
        <f>IF(DD_apply="Yes",IF(COUNTIF('02 - DD'!D126:G126,"Y")&gt;0,"Y",IF(COUNTIF('02 - DD'!D126:G126,"N"),"N","")),"")</f>
        <v>Y</v>
      </c>
      <c r="B126" s="177"/>
      <c r="C126" s="945"/>
      <c r="D126" s="559" t="str">
        <f>IF('C-Design&amp;Const'!$M126="","",'C-Design&amp;Const'!$M126)</f>
        <v>Y</v>
      </c>
      <c r="E126" s="234"/>
      <c r="F126" s="235"/>
      <c r="G126" s="291" t="str">
        <f>IF('C-Design&amp;Const'!Y126="","",'C-Design&amp;Const'!Y126)</f>
        <v>04b.</v>
      </c>
      <c r="H126" s="290" t="str">
        <f>(CONCATENATE('C-Design&amp;Const'!Z126,IF(D126="N"," Not Used In This Design Phase",J126)))</f>
        <v>Project Applicable Information / Calculations - Updated</v>
      </c>
      <c r="I126" s="180"/>
      <c r="J126" s="578" t="str">
        <f>IF('C-Design&amp;Const'!AG126="","",'C-Design&amp;Const'!AG126)</f>
        <v xml:space="preserve"> - Updated</v>
      </c>
      <c r="K126" s="285" t="str">
        <f>IF(CD50_apply="Yes",IF((COUNTIF(D126:G126,"Y")=COUNTIF('02 - DD'!D126:G126,"Y")),"match","no DD match"),"-")</f>
        <v>match</v>
      </c>
      <c r="L126" s="1410" t="str">
        <f t="shared" si="8"/>
        <v/>
      </c>
      <c r="M126" s="1382"/>
      <c r="N126" s="1382"/>
      <c r="O126" s="1382"/>
      <c r="P126" s="1382"/>
      <c r="Q126" s="1447"/>
      <c r="R126" s="1448"/>
      <c r="S126" s="1274"/>
      <c r="T126" s="1382"/>
      <c r="U126" s="1382"/>
      <c r="V126" s="1382"/>
      <c r="W126" s="1382"/>
      <c r="X126" s="1382"/>
      <c r="Y126" s="1382"/>
      <c r="Z126" s="1382"/>
      <c r="AA126" s="1382"/>
      <c r="AB126" s="1382"/>
      <c r="AC126" s="1382"/>
      <c r="AD126" s="1382"/>
      <c r="AE126" s="1382"/>
      <c r="AF126" s="1382"/>
      <c r="AG126" s="1382"/>
      <c r="AH126" s="1382"/>
      <c r="AI126" s="1382"/>
      <c r="AJ126" s="1382"/>
      <c r="AW126" s="30"/>
    </row>
    <row r="127" spans="1:49" s="181" customFormat="1" x14ac:dyDescent="0.25">
      <c r="A127" s="1407" t="str">
        <f>IF(DD_apply="Yes",IF(COUNTIF('02 - DD'!D127:G127,"Y")&gt;0,"Y",IF(COUNTIF('02 - DD'!D127:G127,"N"),"N","")),"")</f>
        <v>Y</v>
      </c>
      <c r="B127" s="177"/>
      <c r="C127" s="945"/>
      <c r="D127" s="321"/>
      <c r="E127" s="559" t="str">
        <f>IF('C-Design&amp;Const'!$M127="","",'C-Design&amp;Const'!$M127)</f>
        <v>Y</v>
      </c>
      <c r="F127" s="560"/>
      <c r="G127" s="558"/>
      <c r="H127" s="340" t="str">
        <f>CONCATENATE(IF(E127="N","PLACEHOLDER ROW - ",""),IF(E127="N","",J127),'C-Design&amp;Const'!Z127,)</f>
        <v>(Updates to) Occupancy calculations between existing and proposed; breaking down the FTE</v>
      </c>
      <c r="I127" s="193"/>
      <c r="J127" s="578" t="str">
        <f>IF('C-Design&amp;Const'!AG127="","",'C-Design&amp;Const'!AG127)</f>
        <v xml:space="preserve">(Updates to) </v>
      </c>
      <c r="K127" s="285" t="str">
        <f>IF(CD50_apply="Yes",IF((COUNTIF(D127:G127,"Y")=COUNTIF('02 - DD'!D127:G127,"Y")),"match","no DD match"),"-")</f>
        <v>match</v>
      </c>
      <c r="L127" s="1410" t="str">
        <f t="shared" si="8"/>
        <v/>
      </c>
      <c r="M127" s="1382"/>
      <c r="N127" s="1382"/>
      <c r="O127" s="1382"/>
      <c r="P127" s="1382"/>
      <c r="Q127" s="1490"/>
      <c r="R127" s="1274"/>
      <c r="S127" s="1274"/>
      <c r="T127" s="1382"/>
      <c r="U127" s="1382"/>
      <c r="V127" s="1382"/>
      <c r="W127" s="1382"/>
      <c r="X127" s="1382"/>
      <c r="Y127" s="1382"/>
      <c r="Z127" s="1382"/>
      <c r="AA127" s="1382"/>
      <c r="AB127" s="1382"/>
      <c r="AC127" s="1382"/>
      <c r="AD127" s="1382"/>
      <c r="AE127" s="1382"/>
      <c r="AF127" s="1382"/>
      <c r="AG127" s="1382"/>
      <c r="AH127" s="1382"/>
      <c r="AI127" s="1382"/>
      <c r="AJ127" s="1382"/>
      <c r="AW127" s="30"/>
    </row>
    <row r="128" spans="1:49" s="181" customFormat="1" hidden="1" x14ac:dyDescent="0.25">
      <c r="A128" s="1407" t="str">
        <f>IF(DD_apply="Yes",IF(COUNTIF('02 - DD'!D128:G128,"Y")&gt;0,"Y",IF(COUNTIF('02 - DD'!D128:G128,"N"),"N","")),"")</f>
        <v>Y</v>
      </c>
      <c r="B128" s="177"/>
      <c r="C128" s="945"/>
      <c r="D128" s="321"/>
      <c r="E128" s="559" t="str">
        <f>IF('C-Design&amp;Const'!$M128="","",'C-Design&amp;Const'!$M128)</f>
        <v>N</v>
      </c>
      <c r="F128" s="478"/>
      <c r="G128" s="485"/>
      <c r="H128" s="358" t="str">
        <f>CONCATENATE(IF(E128="N","PLACEHOLDER ROW - ",""),IF(E128="N","",J128),'C-Design&amp;Const'!Z128,)</f>
        <v>PLACEHOLDER ROW - Soil Borings and Soils Report</v>
      </c>
      <c r="I128" s="193"/>
      <c r="J128" s="578" t="str">
        <f>IF('C-Design&amp;Const'!AG128="","",'C-Design&amp;Const'!AG128)</f>
        <v xml:space="preserve">(Complete) </v>
      </c>
      <c r="K128" s="285" t="str">
        <f>IF(CD50_apply="Yes",IF((COUNTIF(D128:G128,"Y")=COUNTIF('02 - DD'!D128:G128,"Y")),"match","no DD match"),"-")</f>
        <v>no DD match</v>
      </c>
      <c r="L128" s="1410" t="str">
        <f t="shared" si="8"/>
        <v>&lt;---PM/Planner may hide PLACEHOLDER ROW</v>
      </c>
      <c r="M128" s="1382"/>
      <c r="N128" s="1382"/>
      <c r="O128" s="1382"/>
      <c r="P128" s="1382"/>
      <c r="Q128" s="1490"/>
      <c r="R128" s="1274"/>
      <c r="S128" s="1274"/>
      <c r="T128" s="1382"/>
      <c r="U128" s="1382"/>
      <c r="V128" s="1382"/>
      <c r="W128" s="1382"/>
      <c r="X128" s="1382"/>
      <c r="Y128" s="1382"/>
      <c r="Z128" s="1382"/>
      <c r="AA128" s="1382"/>
      <c r="AB128" s="1382"/>
      <c r="AC128" s="1382"/>
      <c r="AD128" s="1382"/>
      <c r="AE128" s="1382"/>
      <c r="AF128" s="1382"/>
      <c r="AG128" s="1382"/>
      <c r="AH128" s="1382"/>
      <c r="AI128" s="1382"/>
      <c r="AJ128" s="1382"/>
      <c r="AW128" s="30"/>
    </row>
    <row r="129" spans="1:49" s="181" customFormat="1" x14ac:dyDescent="0.25">
      <c r="A129" s="1407" t="str">
        <f>IF(DD_apply="Yes",IF(COUNTIF('02 - DD'!D129:G129,"Y")&gt;0,"Y",IF(COUNTIF('02 - DD'!D129:G129,"N"),"N","")),"")</f>
        <v>Y</v>
      </c>
      <c r="B129" s="177"/>
      <c r="C129" s="945"/>
      <c r="D129" s="321"/>
      <c r="E129" s="559" t="str">
        <f>IF('C-Design&amp;Const'!$M129="","",'C-Design&amp;Const'!$M129)</f>
        <v>Y</v>
      </c>
      <c r="F129" s="460"/>
      <c r="G129" s="485"/>
      <c r="H129" s="340" t="str">
        <f>CONCATENATE(IF(E129="N","PLACEHOLDER ROW - ",""),IF(E129="N","",J129),'C-Design&amp;Const'!Z129,)</f>
        <v>(Complete) Stormwater Runoff Rate Calculation/Model Results and Water Detention</v>
      </c>
      <c r="I129" s="193"/>
      <c r="J129" s="578" t="str">
        <f>IF('C-Design&amp;Const'!AG129="","",'C-Design&amp;Const'!AG129)</f>
        <v xml:space="preserve">(Complete) </v>
      </c>
      <c r="K129" s="285" t="str">
        <f>IF(CD50_apply="Yes",IF((COUNTIF(D129:G129,"Y")=COUNTIF('02 - DD'!D129:G129,"Y")),"match","no DD match"),"-")</f>
        <v>match</v>
      </c>
      <c r="L129" s="1410" t="str">
        <f t="shared" si="8"/>
        <v/>
      </c>
      <c r="M129" s="1382"/>
      <c r="N129" s="1382"/>
      <c r="O129" s="1382"/>
      <c r="P129" s="1382"/>
      <c r="Q129" s="1490"/>
      <c r="R129" s="1274"/>
      <c r="S129" s="1274"/>
      <c r="T129" s="1382"/>
      <c r="U129" s="1382"/>
      <c r="V129" s="1382"/>
      <c r="W129" s="1382"/>
      <c r="X129" s="1382"/>
      <c r="Y129" s="1382"/>
      <c r="Z129" s="1382"/>
      <c r="AA129" s="1382"/>
      <c r="AB129" s="1382"/>
      <c r="AC129" s="1382"/>
      <c r="AD129" s="1382"/>
      <c r="AE129" s="1382"/>
      <c r="AF129" s="1382"/>
      <c r="AG129" s="1382"/>
      <c r="AH129" s="1382"/>
      <c r="AI129" s="1382"/>
      <c r="AJ129" s="1382"/>
      <c r="AW129" s="30"/>
    </row>
    <row r="130" spans="1:49" s="181" customFormat="1" x14ac:dyDescent="0.25">
      <c r="A130" s="1407" t="str">
        <f>IF(DD_apply="Yes",IF(COUNTIF('02 - DD'!D130:G130,"Y")&gt;0,"Y",IF(COUNTIF('02 - DD'!D130:G130,"N"),"N","")),"")</f>
        <v>Y</v>
      </c>
      <c r="B130" s="177"/>
      <c r="C130" s="945"/>
      <c r="D130" s="321"/>
      <c r="E130" s="559" t="str">
        <f>IF('C-Design&amp;Const'!$M130="","",'C-Design&amp;Const'!$M130)</f>
        <v>Y</v>
      </c>
      <c r="F130" s="460"/>
      <c r="G130" s="485"/>
      <c r="H130" s="340" t="str">
        <f>CONCATENATE(IF(E130="N","PLACEHOLDER ROW - ",""),IF(E130="N","",J130),'C-Design&amp;Const'!Z130,)</f>
        <v>(Complete) Asbestos and Lead Survey and Recommendations</v>
      </c>
      <c r="I130" s="193"/>
      <c r="J130" s="578" t="str">
        <f>IF('C-Design&amp;Const'!AG130="","",'C-Design&amp;Const'!AG130)</f>
        <v xml:space="preserve">(Complete) </v>
      </c>
      <c r="K130" s="285" t="str">
        <f>IF(CD50_apply="Yes",IF((COUNTIF(D130:G130,"Y")=COUNTIF('02 - DD'!D130:G130,"Y")),"match","no DD match"),"-")</f>
        <v>match</v>
      </c>
      <c r="L130" s="1410" t="str">
        <f t="shared" si="8"/>
        <v/>
      </c>
      <c r="M130" s="1382"/>
      <c r="N130" s="1382"/>
      <c r="O130" s="1382"/>
      <c r="P130" s="1382"/>
      <c r="Q130" s="1490"/>
      <c r="R130" s="1274"/>
      <c r="S130" s="1274"/>
      <c r="T130" s="1382"/>
      <c r="U130" s="1382"/>
      <c r="V130" s="1382"/>
      <c r="W130" s="1382"/>
      <c r="X130" s="1382"/>
      <c r="Y130" s="1382"/>
      <c r="Z130" s="1382"/>
      <c r="AA130" s="1382"/>
      <c r="AB130" s="1382"/>
      <c r="AC130" s="1382"/>
      <c r="AD130" s="1382"/>
      <c r="AE130" s="1382"/>
      <c r="AF130" s="1382"/>
      <c r="AG130" s="1382"/>
      <c r="AH130" s="1382"/>
      <c r="AI130" s="1382"/>
      <c r="AJ130" s="1382"/>
      <c r="AW130" s="30"/>
    </row>
    <row r="131" spans="1:49" s="181" customFormat="1" ht="12.75" hidden="1" customHeight="1" x14ac:dyDescent="0.25">
      <c r="A131" s="1407" t="str">
        <f>IF(DD_apply="Yes",IF(COUNTIF('02 - DD'!D131:G131,"Y")&gt;0,"Y",IF(COUNTIF('02 - DD'!D131:G131,"N"),"N","")),"")</f>
        <v>Y</v>
      </c>
      <c r="B131" s="177"/>
      <c r="C131" s="945"/>
      <c r="D131" s="321"/>
      <c r="E131" s="559" t="str">
        <f>IF('C-Design&amp;Const'!$M131="","",'C-Design&amp;Const'!$M131)</f>
        <v>N</v>
      </c>
      <c r="F131" s="460"/>
      <c r="G131" s="485"/>
      <c r="H131" s="358" t="str">
        <f>CONCATENATE(IF(E131="N","PLACEHOLDER ROW - ",""),IF(E131="N","",J131),'C-Design&amp;Const'!Z131,)</f>
        <v>PLACEHOLDER ROW - Results of Hazardous Materials Testing and Hazardous Materials Mediation Plan</v>
      </c>
      <c r="I131" s="193"/>
      <c r="J131" s="578" t="str">
        <f>IF('C-Design&amp;Const'!AG131="","",'C-Design&amp;Const'!AG131)</f>
        <v/>
      </c>
      <c r="K131" s="285" t="str">
        <f>IF(CD50_apply="Yes",IF((COUNTIF(D131:G131,"Y")=COUNTIF('02 - DD'!D131:G131,"Y")),"match","no DD match"),"-")</f>
        <v>no DD match</v>
      </c>
      <c r="L131" s="1410" t="str">
        <f t="shared" si="8"/>
        <v>&lt;---PM/Planner may hide PLACEHOLDER ROW</v>
      </c>
      <c r="M131" s="1382"/>
      <c r="N131" s="1382"/>
      <c r="O131" s="1382"/>
      <c r="P131" s="1382"/>
      <c r="Q131" s="1490"/>
      <c r="R131" s="1274"/>
      <c r="S131" s="1274"/>
      <c r="T131" s="1382"/>
      <c r="U131" s="1382"/>
      <c r="V131" s="1382"/>
      <c r="W131" s="1382"/>
      <c r="X131" s="1382"/>
      <c r="Y131" s="1382"/>
      <c r="Z131" s="1382"/>
      <c r="AA131" s="1382"/>
      <c r="AB131" s="1382"/>
      <c r="AC131" s="1382"/>
      <c r="AD131" s="1382"/>
      <c r="AE131" s="1382"/>
      <c r="AF131" s="1382"/>
      <c r="AG131" s="1382"/>
      <c r="AH131" s="1382"/>
      <c r="AI131" s="1382"/>
      <c r="AJ131" s="1382"/>
      <c r="AW131" s="30"/>
    </row>
    <row r="132" spans="1:49" s="181" customFormat="1" hidden="1" x14ac:dyDescent="0.25">
      <c r="A132" s="1407" t="str">
        <f>IF(DD_apply="Yes",IF(COUNTIF('02 - DD'!D132:G132,"Y")&gt;0,"Y",IF(COUNTIF('02 - DD'!D132:G132,"N"),"N","")),"")</f>
        <v>Y</v>
      </c>
      <c r="B132" s="177"/>
      <c r="C132" s="945"/>
      <c r="D132" s="321"/>
      <c r="E132" s="559" t="str">
        <f>IF('C-Design&amp;Const'!$M132="","",'C-Design&amp;Const'!$M132)</f>
        <v>N</v>
      </c>
      <c r="F132" s="478"/>
      <c r="G132" s="485"/>
      <c r="H132" s="358" t="str">
        <f>CONCATENATE(IF(E132="N","PLACEHOLDER ROW - ",""),IF(E132="N","",J132),'C-Design&amp;Const'!Z132,)</f>
        <v>PLACEHOLDER ROW - EPA &amp; State Permits (including but not limited to SWPPP)</v>
      </c>
      <c r="I132" s="193"/>
      <c r="J132" s="578" t="str">
        <f>IF('C-Design&amp;Const'!AG132="","",'C-Design&amp;Const'!AG132)</f>
        <v/>
      </c>
      <c r="K132" s="285" t="str">
        <f>IF(CD50_apply="Yes",IF((COUNTIF(D132:G132,"Y")=COUNTIF('02 - DD'!D132:G132,"Y")),"match","no DD match"),"-")</f>
        <v>no DD match</v>
      </c>
      <c r="L132" s="1410" t="str">
        <f t="shared" si="8"/>
        <v>&lt;---PM/Planner may hide PLACEHOLDER ROW</v>
      </c>
      <c r="M132" s="1382"/>
      <c r="N132" s="1382"/>
      <c r="O132" s="1382"/>
      <c r="P132" s="1382"/>
      <c r="Q132" s="1490"/>
      <c r="R132" s="1274"/>
      <c r="S132" s="1274"/>
      <c r="T132" s="1382"/>
      <c r="U132" s="1382"/>
      <c r="V132" s="1382"/>
      <c r="W132" s="1382"/>
      <c r="X132" s="1382"/>
      <c r="Y132" s="1382"/>
      <c r="Z132" s="1382"/>
      <c r="AA132" s="1382"/>
      <c r="AB132" s="1382"/>
      <c r="AC132" s="1382"/>
      <c r="AD132" s="1382"/>
      <c r="AE132" s="1382"/>
      <c r="AF132" s="1382"/>
      <c r="AG132" s="1382"/>
      <c r="AH132" s="1382"/>
      <c r="AI132" s="1382"/>
      <c r="AJ132" s="1382"/>
      <c r="AW132" s="30"/>
    </row>
    <row r="133" spans="1:49" s="181" customFormat="1" x14ac:dyDescent="0.25">
      <c r="A133" s="1407" t="str">
        <f>IF(DD_apply="Yes",IF(COUNTIF('02 - DD'!D133:G133,"Y")&gt;0,"Y",IF(COUNTIF('02 - DD'!D133:G133,"N"),"N","")),"")</f>
        <v>Y</v>
      </c>
      <c r="B133" s="177"/>
      <c r="C133" s="945"/>
      <c r="D133" s="321"/>
      <c r="E133" s="559" t="str">
        <f>IF('C-Design&amp;Const'!$M133="","",'C-Design&amp;Const'!$M133)</f>
        <v>Y</v>
      </c>
      <c r="F133" s="478"/>
      <c r="G133" s="485"/>
      <c r="H133" s="340" t="str">
        <f>CONCATENATE(IF(E133="N","PLACEHOLDER ROW - ",""),IF(E133="N","",J133),'C-Design&amp;Const'!Z133,)</f>
        <v xml:space="preserve">(Complete) Saftey &amp; Compliance / Environmental - Checklist   </v>
      </c>
      <c r="I133" s="193"/>
      <c r="J133" s="578" t="str">
        <f>IF('C-Design&amp;Const'!AG133="","",'C-Design&amp;Const'!AG133)</f>
        <v xml:space="preserve">(Complete) </v>
      </c>
      <c r="K133" s="285" t="str">
        <f>IF(CD50_apply="Yes",IF((COUNTIF(D133:G133,"Y")=COUNTIF('02 - DD'!D133:G133,"Y")),"match","no DD match"),"-")</f>
        <v>match</v>
      </c>
      <c r="L133" s="1410" t="str">
        <f t="shared" si="8"/>
        <v/>
      </c>
      <c r="M133" s="1382"/>
      <c r="N133" s="1382"/>
      <c r="O133" s="1382"/>
      <c r="P133" s="1382"/>
      <c r="Q133" s="1490"/>
      <c r="R133" s="1274"/>
      <c r="S133" s="1274"/>
      <c r="T133" s="1382"/>
      <c r="U133" s="1382"/>
      <c r="V133" s="1382"/>
      <c r="W133" s="1382"/>
      <c r="X133" s="1382"/>
      <c r="Y133" s="1382"/>
      <c r="Z133" s="1382"/>
      <c r="AA133" s="1382"/>
      <c r="AB133" s="1382"/>
      <c r="AC133" s="1382"/>
      <c r="AD133" s="1382"/>
      <c r="AE133" s="1382"/>
      <c r="AF133" s="1382"/>
      <c r="AG133" s="1382"/>
      <c r="AH133" s="1382"/>
      <c r="AI133" s="1382"/>
      <c r="AJ133" s="1382"/>
      <c r="AW133" s="30"/>
    </row>
    <row r="134" spans="1:49" s="551" customFormat="1" x14ac:dyDescent="0.25">
      <c r="A134" s="1407" t="str">
        <f>IF(DD_apply="Yes",IF(COUNTIF('02 - DD'!D134:G134,"Y")&gt;0,"Y",IF(COUNTIF('02 - DD'!D134:G134,"N"),"N","")),"")</f>
        <v>Y</v>
      </c>
      <c r="B134" s="549"/>
      <c r="C134" s="945"/>
      <c r="D134" s="321"/>
      <c r="E134" s="559" t="str">
        <f>IF('C-Design&amp;Const'!$M134="","",'C-Design&amp;Const'!$M134)</f>
        <v>Y</v>
      </c>
      <c r="F134" s="478"/>
      <c r="G134" s="485"/>
      <c r="H134" s="340" t="str">
        <f>CONCATENATE(IF(E134="N","PLACEHOLDER ROW - ",""),IF(E134="N","",J134),'C-Design&amp;Const'!Z134,)</f>
        <v>(Approx. 50% Complete) Excel files of all equipment schedules for all disciplines.</v>
      </c>
      <c r="I134" s="193"/>
      <c r="J134" s="578" t="str">
        <f>IF('C-Design&amp;Const'!AG134="","",'C-Design&amp;Const'!AG134)</f>
        <v xml:space="preserve">(Approx. 50% Complete) </v>
      </c>
      <c r="K134" s="285" t="str">
        <f>IF(CD50_apply="Yes",IF((COUNTIF(D134:G134,"Y")=COUNTIF('02 - DD'!D134:G134,"Y")),"match","no DD match"),"-")</f>
        <v>match</v>
      </c>
      <c r="L134" s="1410" t="str">
        <f t="shared" ref="L134" si="9">CONCATENATE(IF(ISNUMBER(SEARCH("Placeholder",H134))=TRUE,"&lt;---PM/Planner may hide PLACEHOLDER ROW",""))</f>
        <v/>
      </c>
      <c r="M134" s="1382"/>
      <c r="N134" s="1382"/>
      <c r="O134" s="1382"/>
      <c r="P134" s="1382"/>
      <c r="Q134" s="1490"/>
      <c r="R134" s="1274"/>
      <c r="S134" s="1274"/>
      <c r="T134" s="1382"/>
      <c r="U134" s="1382"/>
      <c r="V134" s="1382"/>
      <c r="W134" s="1382"/>
      <c r="X134" s="1382"/>
      <c r="Y134" s="1382"/>
      <c r="Z134" s="1382"/>
      <c r="AA134" s="1382"/>
      <c r="AB134" s="1382"/>
      <c r="AC134" s="1382"/>
      <c r="AD134" s="1382"/>
      <c r="AE134" s="1382"/>
      <c r="AF134" s="1382"/>
      <c r="AG134" s="1382"/>
      <c r="AH134" s="1382"/>
      <c r="AI134" s="1382"/>
      <c r="AJ134" s="1382"/>
      <c r="AW134" s="545"/>
    </row>
    <row r="135" spans="1:49" s="181" customFormat="1" ht="28.5" x14ac:dyDescent="0.25">
      <c r="A135" s="1407" t="str">
        <f>IF(DD_apply="Yes",IF(COUNTIF('02 - DD'!D135:G135,"Y")&gt;0,"Y",IF(COUNTIF('02 - DD'!D135:G135,"N"),"N","")),"")</f>
        <v>Y</v>
      </c>
      <c r="B135" s="177"/>
      <c r="C135" s="945"/>
      <c r="D135" s="321"/>
      <c r="E135" s="559" t="str">
        <f>IF('C-Design&amp;Const'!$M135="","",'C-Design&amp;Const'!$M135)</f>
        <v>N</v>
      </c>
      <c r="F135" s="478"/>
      <c r="G135" s="485"/>
      <c r="H135" s="340" t="str">
        <f>CONCATENATE(IF(E135="N","PLACEHOLDER ROW - ",""),IF(E135="N","",J135),'C-Design&amp;Const'!Z135,)</f>
        <v>PLACEHOLDER ROW - Results of existing exterior envelope material tests or strengths (i.e. brick and mortar tests, pull tests of existing mechanical fasteners, etc…)</v>
      </c>
      <c r="I135" s="193"/>
      <c r="J135" s="578" t="str">
        <f>IF('C-Design&amp;Const'!AG135="","",'C-Design&amp;Const'!AG135)</f>
        <v/>
      </c>
      <c r="K135" s="285" t="str">
        <f>IF(CD50_apply="Yes",IF((COUNTIF(D135:G135,"Y")=COUNTIF('02 - DD'!D135:G135,"Y")),"match","no DD match"),"-")</f>
        <v>no DD match</v>
      </c>
      <c r="L135" s="1410" t="str">
        <f t="shared" si="8"/>
        <v>&lt;---PM/Planner may hide PLACEHOLDER ROW</v>
      </c>
      <c r="M135" s="1382"/>
      <c r="N135" s="1382"/>
      <c r="O135" s="1382"/>
      <c r="P135" s="1382"/>
      <c r="Q135" s="1490"/>
      <c r="R135" s="1274"/>
      <c r="S135" s="1274"/>
      <c r="T135" s="1382"/>
      <c r="U135" s="1382"/>
      <c r="V135" s="1382"/>
      <c r="W135" s="1382"/>
      <c r="X135" s="1382"/>
      <c r="Y135" s="1382"/>
      <c r="Z135" s="1382"/>
      <c r="AA135" s="1382"/>
      <c r="AB135" s="1382"/>
      <c r="AC135" s="1382"/>
      <c r="AD135" s="1382"/>
      <c r="AE135" s="1382"/>
      <c r="AF135" s="1382"/>
      <c r="AG135" s="1382"/>
      <c r="AH135" s="1382"/>
      <c r="AI135" s="1382"/>
      <c r="AJ135" s="1382"/>
      <c r="AW135" s="30"/>
    </row>
    <row r="136" spans="1:49" s="181" customFormat="1" ht="28.5" x14ac:dyDescent="0.25">
      <c r="A136" s="1407" t="str">
        <f>IF(DD_apply="Yes",IF(COUNTIF('02 - DD'!D136:G136,"Y")&gt;0,"Y",IF(COUNTIF('02 - DD'!D136:G136,"N"),"N","")),"")</f>
        <v>Y</v>
      </c>
      <c r="B136" s="177"/>
      <c r="C136" s="945"/>
      <c r="D136" s="321"/>
      <c r="E136" s="559" t="str">
        <f>IF('C-Design&amp;Const'!$M136="","",'C-Design&amp;Const'!$M136)</f>
        <v>N</v>
      </c>
      <c r="F136" s="460"/>
      <c r="G136" s="485"/>
      <c r="H136" s="340" t="str">
        <f>CONCATENATE(IF(E136="N","PLACEHOLDER ROW - ",""),IF(E136="N","",J136),'C-Design&amp;Const'!Z136,)</f>
        <v>PLACEHOLDER ROW - Results of any existing structural materials tests or verification / scans of structure layout.</v>
      </c>
      <c r="I136" s="193"/>
      <c r="J136" s="578" t="str">
        <f>IF('C-Design&amp;Const'!AG136="","",'C-Design&amp;Const'!AG136)</f>
        <v/>
      </c>
      <c r="K136" s="285" t="str">
        <f>IF(CD50_apply="Yes",IF((COUNTIF(D136:G136,"Y")=COUNTIF('02 - DD'!D136:G136,"Y")),"match","no DD match"),"-")</f>
        <v>no DD match</v>
      </c>
      <c r="L136" s="1410" t="str">
        <f t="shared" si="8"/>
        <v>&lt;---PM/Planner may hide PLACEHOLDER ROW</v>
      </c>
      <c r="M136" s="1382"/>
      <c r="N136" s="1382"/>
      <c r="O136" s="1382"/>
      <c r="P136" s="1382"/>
      <c r="Q136" s="1490"/>
      <c r="R136" s="1274"/>
      <c r="S136" s="1274"/>
      <c r="T136" s="1382"/>
      <c r="U136" s="1382"/>
      <c r="V136" s="1382"/>
      <c r="W136" s="1382"/>
      <c r="X136" s="1382"/>
      <c r="Y136" s="1382"/>
      <c r="Z136" s="1382"/>
      <c r="AA136" s="1382"/>
      <c r="AB136" s="1382"/>
      <c r="AC136" s="1382"/>
      <c r="AD136" s="1382"/>
      <c r="AE136" s="1382"/>
      <c r="AF136" s="1382"/>
      <c r="AG136" s="1382"/>
      <c r="AH136" s="1382"/>
      <c r="AI136" s="1382"/>
      <c r="AJ136" s="1382"/>
      <c r="AW136" s="30"/>
    </row>
    <row r="137" spans="1:49" s="181" customFormat="1" ht="28.5" x14ac:dyDescent="0.25">
      <c r="A137" s="1407" t="str">
        <f>IF(DD_apply="Yes",IF(COUNTIF('02 - DD'!D137:G137,"Y")&gt;0,"Y",IF(COUNTIF('02 - DD'!D137:G137,"N"),"N","")),"")</f>
        <v>Y</v>
      </c>
      <c r="B137" s="177"/>
      <c r="C137" s="945"/>
      <c r="D137" s="321"/>
      <c r="E137" s="559" t="str">
        <f>IF('C-Design&amp;Const'!$M137="","",'C-Design&amp;Const'!$M137)</f>
        <v>Y</v>
      </c>
      <c r="F137" s="460"/>
      <c r="G137" s="485"/>
      <c r="H137" s="340" t="str">
        <f>CONCATENATE(IF(E137="N","PLACEHOLDER ROW - ",""),IF(E137="N","",J137),'C-Design&amp;Const'!Z137,)</f>
        <v>(Substantially Complete) Summary of floor analysis for required strengthening (for new walls, materials, mechanical equipment change in use).</v>
      </c>
      <c r="I137" s="193"/>
      <c r="J137" s="578" t="str">
        <f>IF('C-Design&amp;Const'!AG137="","",'C-Design&amp;Const'!AG137)</f>
        <v xml:space="preserve">(Substantially Complete) </v>
      </c>
      <c r="K137" s="285" t="str">
        <f>IF(CD50_apply="Yes",IF((COUNTIF(D137:G137,"Y")=COUNTIF('02 - DD'!D137:G137,"Y")),"match","no DD match"),"-")</f>
        <v>match</v>
      </c>
      <c r="L137" s="1410" t="str">
        <f t="shared" si="8"/>
        <v/>
      </c>
      <c r="M137" s="1382"/>
      <c r="N137" s="1382"/>
      <c r="O137" s="1382"/>
      <c r="P137" s="1382"/>
      <c r="Q137" s="1490"/>
      <c r="R137" s="1274"/>
      <c r="S137" s="1274"/>
      <c r="T137" s="1382"/>
      <c r="U137" s="1382"/>
      <c r="V137" s="1382"/>
      <c r="W137" s="1382"/>
      <c r="X137" s="1382"/>
      <c r="Y137" s="1382"/>
      <c r="Z137" s="1382"/>
      <c r="AA137" s="1382"/>
      <c r="AB137" s="1382"/>
      <c r="AC137" s="1382"/>
      <c r="AD137" s="1382"/>
      <c r="AE137" s="1382"/>
      <c r="AF137" s="1382"/>
      <c r="AG137" s="1382"/>
      <c r="AH137" s="1382"/>
      <c r="AI137" s="1382"/>
      <c r="AJ137" s="1382"/>
      <c r="AW137" s="30"/>
    </row>
    <row r="138" spans="1:49" s="181" customFormat="1" ht="28.5" x14ac:dyDescent="0.25">
      <c r="A138" s="1407" t="str">
        <f>IF(DD_apply="Yes",IF(COUNTIF('02 - DD'!D138:G138,"Y")&gt;0,"Y",IF(COUNTIF('02 - DD'!D138:G138,"N"),"N","")),"")</f>
        <v>Y</v>
      </c>
      <c r="B138" s="177"/>
      <c r="C138" s="945"/>
      <c r="D138" s="321"/>
      <c r="E138" s="559" t="str">
        <f>IF('C-Design&amp;Const'!$M138="","",'C-Design&amp;Const'!$M138)</f>
        <v>Y</v>
      </c>
      <c r="F138" s="460"/>
      <c r="G138" s="485"/>
      <c r="H138" s="340" t="str">
        <f>CONCATENATE(IF(E138="N","PLACEHOLDER ROW - ",""),IF(E138="N","",J138),'C-Design&amp;Const'!Z138,)</f>
        <v>(Substantially Complete) Summary of lateral force resisting systems (for new tributary load or compromising of existing system).</v>
      </c>
      <c r="I138" s="193"/>
      <c r="J138" s="578" t="str">
        <f>IF('C-Design&amp;Const'!AG138="","",'C-Design&amp;Const'!AG138)</f>
        <v xml:space="preserve">(Substantially Complete) </v>
      </c>
      <c r="K138" s="285" t="str">
        <f>IF(CD50_apply="Yes",IF((COUNTIF(D138:G138,"Y")=COUNTIF('02 - DD'!D138:G138,"Y")),"match","no DD match"),"-")</f>
        <v>match</v>
      </c>
      <c r="L138" s="1410" t="str">
        <f t="shared" si="8"/>
        <v/>
      </c>
      <c r="M138" s="1382"/>
      <c r="N138" s="1382"/>
      <c r="O138" s="1382"/>
      <c r="P138" s="1382"/>
      <c r="Q138" s="1490"/>
      <c r="R138" s="1274"/>
      <c r="S138" s="1274"/>
      <c r="T138" s="1382"/>
      <c r="U138" s="1382"/>
      <c r="V138" s="1382"/>
      <c r="W138" s="1382"/>
      <c r="X138" s="1382"/>
      <c r="Y138" s="1382"/>
      <c r="Z138" s="1382"/>
      <c r="AA138" s="1382"/>
      <c r="AB138" s="1382"/>
      <c r="AC138" s="1382"/>
      <c r="AD138" s="1382"/>
      <c r="AE138" s="1382"/>
      <c r="AF138" s="1382"/>
      <c r="AG138" s="1382"/>
      <c r="AH138" s="1382"/>
      <c r="AI138" s="1382"/>
      <c r="AJ138" s="1382"/>
      <c r="AW138" s="30"/>
    </row>
    <row r="139" spans="1:49" s="181" customFormat="1" x14ac:dyDescent="0.25">
      <c r="A139" s="1407" t="str">
        <f>IF(DD_apply="Yes",IF(COUNTIF('02 - DD'!D139:G139,"Y")&gt;0,"Y",IF(COUNTIF('02 - DD'!D139:G139,"N"),"N","")),"")</f>
        <v>Y</v>
      </c>
      <c r="B139" s="177"/>
      <c r="C139" s="945"/>
      <c r="D139" s="321"/>
      <c r="E139" s="559" t="str">
        <f>IF('C-Design&amp;Const'!$M139="","",'C-Design&amp;Const'!$M139)</f>
        <v>Y</v>
      </c>
      <c r="F139" s="478"/>
      <c r="G139" s="487"/>
      <c r="H139" s="340" t="str">
        <f>CONCATENATE(IF(E139="N","PLACEHOLDER ROW - ",""),IF(E139="N","",J139),'C-Design&amp;Const'!Z139,)</f>
        <v xml:space="preserve"> (Updates to) LEED Version (v4) Prerequisites Narrative</v>
      </c>
      <c r="I139" s="193"/>
      <c r="J139" s="578" t="str">
        <f>IF('C-Design&amp;Const'!AG139="","",'C-Design&amp;Const'!AG139)</f>
        <v xml:space="preserve"> (Updates to) </v>
      </c>
      <c r="K139" s="285" t="str">
        <f>IF(CD50_apply="Yes",IF((COUNTIF(D139:G139,"Y")=COUNTIF('02 - DD'!D139:G139,"Y")),"match","no DD match"),"-")</f>
        <v>match</v>
      </c>
      <c r="L139" s="1410" t="str">
        <f t="shared" si="8"/>
        <v/>
      </c>
      <c r="M139" s="1382"/>
      <c r="N139" s="1382"/>
      <c r="O139" s="1382"/>
      <c r="P139" s="1382"/>
      <c r="Q139" s="1511"/>
      <c r="R139" s="1274"/>
      <c r="S139" s="1274"/>
      <c r="T139" s="1382"/>
      <c r="U139" s="1382"/>
      <c r="V139" s="1382"/>
      <c r="W139" s="1382"/>
      <c r="X139" s="1382"/>
      <c r="Y139" s="1382"/>
      <c r="Z139" s="1382"/>
      <c r="AA139" s="1382"/>
      <c r="AB139" s="1382"/>
      <c r="AC139" s="1382"/>
      <c r="AD139" s="1382"/>
      <c r="AE139" s="1382"/>
      <c r="AF139" s="1382"/>
      <c r="AG139" s="1382"/>
      <c r="AH139" s="1382"/>
      <c r="AI139" s="1382"/>
      <c r="AJ139" s="1382"/>
      <c r="AW139" s="30"/>
    </row>
    <row r="140" spans="1:49" s="181" customFormat="1" ht="28.5" x14ac:dyDescent="0.25">
      <c r="A140" s="1407" t="str">
        <f>IF(DD_apply="Yes",IF(COUNTIF('02 - DD'!D140:G140,"Y")&gt;0,"Y",IF(COUNTIF('02 - DD'!D140:G140,"N"),"N","")),"")</f>
        <v>Y</v>
      </c>
      <c r="B140" s="177"/>
      <c r="C140" s="945"/>
      <c r="D140" s="321"/>
      <c r="E140" s="559" t="str">
        <f>IF('C-Design&amp;Const'!$M140="","",'C-Design&amp;Const'!$M140)</f>
        <v>Y</v>
      </c>
      <c r="F140" s="560"/>
      <c r="G140" s="487"/>
      <c r="H140" s="340" t="str">
        <f>CONCATENATE(IF(E140="N","PLACEHOLDER ROW - ",""),IF(E140="N","",J140),'C-Design&amp;Const'!Z140,)</f>
        <v>LEED Minimum Silver or better Registration (&gt;10,000 sqft and/or Capital Projects &gt;= $5million; Major renovations or New Construction)</v>
      </c>
      <c r="I140" s="193"/>
      <c r="J140" s="578" t="str">
        <f>IF('C-Design&amp;Const'!AG140="","",'C-Design&amp;Const'!AG140)</f>
        <v/>
      </c>
      <c r="K140" s="285" t="str">
        <f>IF(CD50_apply="Yes",IF((COUNTIF(D140:G140,"Y")=COUNTIF('02 - DD'!D140:G140,"Y")),"match","no DD match"),"-")</f>
        <v>match</v>
      </c>
      <c r="L140" s="1410" t="str">
        <f t="shared" si="8"/>
        <v/>
      </c>
      <c r="M140" s="1382"/>
      <c r="N140" s="1382"/>
      <c r="O140" s="1382"/>
      <c r="P140" s="1382"/>
      <c r="Q140" s="1490"/>
      <c r="R140" s="1274"/>
      <c r="S140" s="1274"/>
      <c r="T140" s="1382"/>
      <c r="U140" s="1382"/>
      <c r="V140" s="1382"/>
      <c r="W140" s="1382"/>
      <c r="X140" s="1382"/>
      <c r="Y140" s="1382"/>
      <c r="Z140" s="1382"/>
      <c r="AA140" s="1382"/>
      <c r="AB140" s="1382"/>
      <c r="AC140" s="1382"/>
      <c r="AD140" s="1382"/>
      <c r="AE140" s="1382"/>
      <c r="AF140" s="1382"/>
      <c r="AG140" s="1382"/>
      <c r="AH140" s="1382"/>
      <c r="AI140" s="1382"/>
      <c r="AJ140" s="1382"/>
      <c r="AW140" s="30"/>
    </row>
    <row r="141" spans="1:49" s="181" customFormat="1" ht="15.75" x14ac:dyDescent="0.25">
      <c r="A141" s="1407" t="str">
        <f>IF(DD_apply="Yes",IF(COUNTIF('02 - DD'!D141:G141,"Y")&gt;0,"Y",IF(COUNTIF('02 - DD'!D141:G141,"N"),"N","")),"")</f>
        <v>Y</v>
      </c>
      <c r="B141" s="177"/>
      <c r="C141" s="945"/>
      <c r="D141" s="411"/>
      <c r="E141" s="359" t="str">
        <f>IF('C-Design&amp;Const'!$M141="","",'C-Design&amp;Const'!$M141)</f>
        <v>Y</v>
      </c>
      <c r="F141" s="456"/>
      <c r="G141" s="510"/>
      <c r="H141" s="340" t="str">
        <f>CONCATENATE(IF(E141="N","PLACEHOLDER ROW - ",""),IF(E141="N","",J141),'C-Design&amp;Const'!Z141,)</f>
        <v xml:space="preserve"> (Updates to) LEED Project Checklist - (previously referred to as LEED Scorecard) </v>
      </c>
      <c r="I141" s="186"/>
      <c r="J141" s="578" t="str">
        <f>IF('C-Design&amp;Const'!AG141="","",'C-Design&amp;Const'!AG141)</f>
        <v xml:space="preserve"> (Updates to) </v>
      </c>
      <c r="K141" s="285" t="str">
        <f>IF(CD50_apply="Yes",IF((COUNTIF(D141:G141,"Y")=COUNTIF('02 - DD'!D141:G141,"Y")),"match","no DD match"),"-")</f>
        <v>match</v>
      </c>
      <c r="L141" s="1410" t="str">
        <f t="shared" si="8"/>
        <v/>
      </c>
      <c r="M141" s="1382"/>
      <c r="N141" s="1382"/>
      <c r="O141" s="1382"/>
      <c r="P141" s="1382"/>
      <c r="Q141" s="1490"/>
      <c r="R141" s="1274"/>
      <c r="S141" s="1274"/>
      <c r="T141" s="1382"/>
      <c r="U141" s="1382"/>
      <c r="V141" s="1382"/>
      <c r="W141" s="1382"/>
      <c r="X141" s="1382"/>
      <c r="Y141" s="1382"/>
      <c r="Z141" s="1382"/>
      <c r="AA141" s="1382"/>
      <c r="AB141" s="1382"/>
      <c r="AC141" s="1382"/>
      <c r="AD141" s="1382"/>
      <c r="AE141" s="1382"/>
      <c r="AF141" s="1382"/>
      <c r="AG141" s="1382"/>
      <c r="AH141" s="1382"/>
      <c r="AI141" s="1382"/>
      <c r="AJ141" s="1382"/>
    </row>
    <row r="142" spans="1:49" s="181" customFormat="1" ht="15.75" x14ac:dyDescent="0.25">
      <c r="A142" s="1407" t="str">
        <f>IF(DD_apply="Yes",IF(COUNTIF('02 - DD'!D142:G142,"Y")&gt;0,"Y",IF(COUNTIF('02 - DD'!D142:G142,"N"),"N","")),"")</f>
        <v>Y</v>
      </c>
      <c r="B142" s="177"/>
      <c r="C142" s="945"/>
      <c r="D142" s="411"/>
      <c r="E142" s="359" t="str">
        <f>IF('C-Design&amp;Const'!$M142="","",'C-Design&amp;Const'!$M142)</f>
        <v>Y</v>
      </c>
      <c r="F142" s="456"/>
      <c r="G142" s="510"/>
      <c r="H142" s="340" t="str">
        <f>CONCATENATE(IF(E142="N","PLACEHOLDER ROW - ",""),IF(E142="N","",J142),'C-Design&amp;Const'!Z142,)</f>
        <v xml:space="preserve">Substantially CompleteEnergy Model (per ASHRAE 90.1, version from 2013  ) </v>
      </c>
      <c r="I142" s="186"/>
      <c r="J142" s="578" t="str">
        <f>IF('C-Design&amp;Const'!AG142="","",'C-Design&amp;Const'!AG142)</f>
        <v>Substantially Complete</v>
      </c>
      <c r="K142" s="285" t="str">
        <f>IF(CD50_apply="Yes",IF((COUNTIF(D142:G142,"Y")=COUNTIF('02 - DD'!D142:G142,"Y")),"match","no DD match"),"-")</f>
        <v>match</v>
      </c>
      <c r="L142" s="1410" t="str">
        <f t="shared" si="8"/>
        <v/>
      </c>
      <c r="M142" s="1382"/>
      <c r="N142" s="1382"/>
      <c r="O142" s="1382"/>
      <c r="P142" s="1382"/>
      <c r="Q142" s="1490"/>
      <c r="R142" s="1274"/>
      <c r="S142" s="1274"/>
      <c r="T142" s="1382"/>
      <c r="U142" s="1382"/>
      <c r="V142" s="1382"/>
      <c r="W142" s="1382"/>
      <c r="X142" s="1382"/>
      <c r="Y142" s="1382"/>
      <c r="Z142" s="1382"/>
      <c r="AA142" s="1382"/>
      <c r="AB142" s="1382"/>
      <c r="AC142" s="1382"/>
      <c r="AD142" s="1382"/>
      <c r="AE142" s="1382"/>
      <c r="AF142" s="1382"/>
      <c r="AG142" s="1382"/>
      <c r="AH142" s="1382"/>
      <c r="AI142" s="1382"/>
      <c r="AJ142" s="1382"/>
    </row>
    <row r="143" spans="1:49" s="181" customFormat="1" ht="15.75" x14ac:dyDescent="0.25">
      <c r="A143" s="1407" t="str">
        <f>IF(DD_apply="Yes",IF(COUNTIF('02 - DD'!D143:G143,"Y")&gt;0,"Y",IF(COUNTIF('02 - DD'!D143:G143,"N"),"N","")),"")</f>
        <v>Y</v>
      </c>
      <c r="B143" s="177"/>
      <c r="C143" s="945"/>
      <c r="D143" s="411"/>
      <c r="E143" s="359" t="str">
        <f>IF('C-Design&amp;Const'!$M143="","",'C-Design&amp;Const'!$M143)</f>
        <v>Y</v>
      </c>
      <c r="F143" s="456"/>
      <c r="G143" s="510"/>
      <c r="H143" s="340" t="str">
        <f>CONCATENATE(IF(E143="N","PLACEHOLDER ROW - ",""),IF(E143="N","",J143),'C-Design&amp;Const'!Z143,)</f>
        <v xml:space="preserve"> (Updates to) Life Cycle Cost Analysis for selected systems (for projects exceeding 25,000 SF)</v>
      </c>
      <c r="I143" s="186"/>
      <c r="J143" s="578" t="str">
        <f>IF('C-Design&amp;Const'!AG143="","",'C-Design&amp;Const'!AG143)</f>
        <v xml:space="preserve"> (Updates to) </v>
      </c>
      <c r="K143" s="285" t="str">
        <f>IF(CD50_apply="Yes",IF((COUNTIF(D143:G143,"Y")=COUNTIF('02 - DD'!D143:G143,"Y")),"match","no DD match"),"-")</f>
        <v>match</v>
      </c>
      <c r="L143" s="1410" t="str">
        <f t="shared" si="8"/>
        <v/>
      </c>
      <c r="M143" s="1382"/>
      <c r="N143" s="1382"/>
      <c r="O143" s="1382"/>
      <c r="P143" s="1382"/>
      <c r="Q143" s="1490"/>
      <c r="R143" s="1274"/>
      <c r="S143" s="1274"/>
      <c r="T143" s="1382"/>
      <c r="U143" s="1382"/>
      <c r="V143" s="1382"/>
      <c r="W143" s="1382"/>
      <c r="X143" s="1382"/>
      <c r="Y143" s="1382"/>
      <c r="Z143" s="1382"/>
      <c r="AA143" s="1382"/>
      <c r="AB143" s="1382"/>
      <c r="AC143" s="1382"/>
      <c r="AD143" s="1382"/>
      <c r="AE143" s="1382"/>
      <c r="AF143" s="1382"/>
      <c r="AG143" s="1382"/>
      <c r="AH143" s="1382"/>
      <c r="AI143" s="1382"/>
      <c r="AJ143" s="1382"/>
    </row>
    <row r="144" spans="1:49" s="181" customFormat="1" ht="15.75" x14ac:dyDescent="0.25">
      <c r="A144" s="1407" t="str">
        <f>IF(DD_apply="Yes",IF(COUNTIF('02 - DD'!D144:G144,"Y")&gt;0,"Y",IF(COUNTIF('02 - DD'!D144:G144,"N"),"N","")),"")</f>
        <v>Y</v>
      </c>
      <c r="B144" s="177"/>
      <c r="C144" s="945"/>
      <c r="D144" s="411"/>
      <c r="E144" s="359" t="str">
        <f>IF('C-Design&amp;Const'!$M144="","",'C-Design&amp;Const'!$M144)</f>
        <v>Y</v>
      </c>
      <c r="F144" s="456"/>
      <c r="G144" s="510"/>
      <c r="H144" s="340" t="str">
        <f>CONCATENATE(IF(E144="N","PLACEHOLDER ROW - ",""),IF(E144="N","",J144),'C-Design&amp;Const'!Z144,)</f>
        <v xml:space="preserve"> (Updates to) Energy Budget </v>
      </c>
      <c r="I144" s="186"/>
      <c r="J144" s="578" t="str">
        <f>IF('C-Design&amp;Const'!AG144="","",'C-Design&amp;Const'!AG144)</f>
        <v xml:space="preserve"> (Updates to) </v>
      </c>
      <c r="K144" s="285" t="str">
        <f>IF(CD50_apply="Yes",IF((COUNTIF(D144:G144,"Y")=COUNTIF('02 - DD'!D144:G144,"Y")),"match","no DD match"),"-")</f>
        <v>match</v>
      </c>
      <c r="L144" s="1410" t="str">
        <f t="shared" si="8"/>
        <v/>
      </c>
      <c r="M144" s="1382"/>
      <c r="N144" s="1382"/>
      <c r="O144" s="1382"/>
      <c r="P144" s="1382"/>
      <c r="Q144" s="1490"/>
      <c r="R144" s="1274"/>
      <c r="S144" s="1274"/>
      <c r="T144" s="1382"/>
      <c r="U144" s="1382"/>
      <c r="V144" s="1382"/>
      <c r="W144" s="1382"/>
      <c r="X144" s="1382"/>
      <c r="Y144" s="1382"/>
      <c r="Z144" s="1382"/>
      <c r="AA144" s="1382"/>
      <c r="AB144" s="1382"/>
      <c r="AC144" s="1382"/>
      <c r="AD144" s="1382"/>
      <c r="AE144" s="1382"/>
      <c r="AF144" s="1382"/>
      <c r="AG144" s="1382"/>
      <c r="AH144" s="1382"/>
      <c r="AI144" s="1382"/>
      <c r="AJ144" s="1382"/>
    </row>
    <row r="145" spans="1:49" s="181" customFormat="1" x14ac:dyDescent="0.25">
      <c r="A145" s="1407" t="str">
        <f>IF(DD_apply="Yes",IF(COUNTIF('02 - DD'!D145:G145,"Y")&gt;0,"Y",IF(COUNTIF('02 - DD'!D145:G145,"N"),"N","")),"")</f>
        <v>N</v>
      </c>
      <c r="B145" s="177"/>
      <c r="C145" s="945"/>
      <c r="D145" s="411"/>
      <c r="E145" s="559" t="str">
        <f>IF('C-Design&amp;Const'!$M146="","",'C-Design&amp;Const'!$M146)</f>
        <v>N</v>
      </c>
      <c r="F145" s="458"/>
      <c r="G145" s="506"/>
      <c r="H145" s="358" t="str">
        <f>CONCATENATE(IF(E145="N","PLACEHOLDER ROW - ",""),IF(E145="N","",J145),'C-Design&amp;Const'!Z146,)</f>
        <v xml:space="preserve">PLACEHOLDER ROW - Chilled Water Capacity Charge form </v>
      </c>
      <c r="I145" s="193"/>
      <c r="J145" s="578" t="str">
        <f>IF('C-Design&amp;Const'!AG146="","",'C-Design&amp;Const'!AG146)</f>
        <v/>
      </c>
      <c r="K145" s="285" t="str">
        <f>IF(CD50_apply="Yes",IF((COUNTIF(D145:G145,"Y")=COUNTIF('02 - DD'!D145:G145,"Y")),"match","no DD match"),"-")</f>
        <v>match</v>
      </c>
      <c r="L145" s="1410" t="str">
        <f>CONCATENATE(IF(ISNUMBER(SEARCH("Placeholder",H145))=TRUE,"&lt;---PM/Planner may hide PLACEHOLDER ROW",""))</f>
        <v>&lt;---PM/Planner may hide PLACEHOLDER ROW</v>
      </c>
      <c r="M145" s="1382"/>
      <c r="N145" s="1382"/>
      <c r="O145" s="1382"/>
      <c r="P145" s="1382"/>
      <c r="Q145" s="1490"/>
      <c r="R145" s="1274"/>
      <c r="S145" s="1274"/>
      <c r="T145" s="1382"/>
      <c r="U145" s="1382"/>
      <c r="V145" s="1382"/>
      <c r="W145" s="1382"/>
      <c r="X145" s="1382"/>
      <c r="Y145" s="1382"/>
      <c r="Z145" s="1382"/>
      <c r="AA145" s="1382"/>
      <c r="AB145" s="1382"/>
      <c r="AC145" s="1382"/>
      <c r="AD145" s="1382"/>
      <c r="AE145" s="1382"/>
      <c r="AF145" s="1382"/>
      <c r="AG145" s="1382"/>
      <c r="AH145" s="1382"/>
      <c r="AI145" s="1382"/>
      <c r="AJ145" s="1382"/>
      <c r="AW145" s="30"/>
    </row>
    <row r="146" spans="1:49" s="181" customFormat="1" ht="15.75" x14ac:dyDescent="0.25">
      <c r="A146" s="1407" t="str">
        <f>IF(DD_apply="Yes",IF(COUNTIF('02 - DD'!D146:G146,"Y")&gt;0,"Y",IF(COUNTIF('02 - DD'!D146:G146,"N"),"N","")),"")</f>
        <v>Y</v>
      </c>
      <c r="B146" s="177"/>
      <c r="C146" s="945"/>
      <c r="D146" s="411"/>
      <c r="E146" s="359" t="str">
        <f>IF('C-Design&amp;Const'!$M145="","",'C-Design&amp;Const'!$M145)</f>
        <v>Y</v>
      </c>
      <c r="F146" s="456"/>
      <c r="G146" s="510"/>
      <c r="H146" s="340" t="str">
        <f>CONCATENATE(IF(E146="N","PLACEHOLDER ROW - ",""),IF(E146="N","",J146),'C-Design&amp;Const'!Z145,)</f>
        <v xml:space="preserve"> (Updates to) Utilities Peak Load Estimates</v>
      </c>
      <c r="I146" s="186"/>
      <c r="J146" s="578" t="str">
        <f>IF('C-Design&amp;Const'!AG145="","",'C-Design&amp;Const'!AG145)</f>
        <v xml:space="preserve"> (Updates to) </v>
      </c>
      <c r="K146" s="285" t="str">
        <f>IF(CD50_apply="Yes",IF((COUNTIF(D146:G146,"Y")=COUNTIF('02 - DD'!D146:G146,"Y")),"match","no DD match"),"-")</f>
        <v>match</v>
      </c>
      <c r="L146" s="1410" t="str">
        <f t="shared" si="8"/>
        <v/>
      </c>
      <c r="M146" s="1382"/>
      <c r="N146" s="1382"/>
      <c r="O146" s="1382"/>
      <c r="P146" s="1382"/>
      <c r="Q146" s="1490"/>
      <c r="R146" s="1274"/>
      <c r="S146" s="1274"/>
      <c r="T146" s="1382"/>
      <c r="U146" s="1382"/>
      <c r="V146" s="1382"/>
      <c r="W146" s="1382"/>
      <c r="X146" s="1382"/>
      <c r="Y146" s="1382"/>
      <c r="Z146" s="1382"/>
      <c r="AA146" s="1382"/>
      <c r="AB146" s="1382"/>
      <c r="AC146" s="1382"/>
      <c r="AD146" s="1382"/>
      <c r="AE146" s="1382"/>
      <c r="AF146" s="1382"/>
      <c r="AG146" s="1382"/>
      <c r="AH146" s="1382"/>
      <c r="AI146" s="1382"/>
      <c r="AJ146" s="1382"/>
    </row>
    <row r="147" spans="1:49" s="181" customFormat="1" ht="15.75" x14ac:dyDescent="0.25">
      <c r="A147" s="1407" t="str">
        <f>IF(DD_apply="Yes",IF(COUNTIF('02 - DD'!D147:G147,"Y")&gt;0,"Y",IF(COUNTIF('02 - DD'!D147:G147,"N"),"N","")),"")</f>
        <v>Y</v>
      </c>
      <c r="B147" s="177"/>
      <c r="C147" s="945"/>
      <c r="D147" s="411"/>
      <c r="E147" s="359" t="str">
        <f>IF('C-Design&amp;Const'!$M147="","",'C-Design&amp;Const'!$M147)</f>
        <v>Y</v>
      </c>
      <c r="F147" s="456"/>
      <c r="G147" s="510"/>
      <c r="H147" s="340" t="str">
        <f>CONCATENATE(IF(E147="N","PLACEHOLDER ROW - ",""),IF(E147="N","",J147),'C-Design&amp;Const'!Z147,)</f>
        <v xml:space="preserve">Energy Standards – proof of compliance </v>
      </c>
      <c r="I147" s="186"/>
      <c r="J147" s="578" t="str">
        <f>IF('C-Design&amp;Const'!AG147="","",'C-Design&amp;Const'!AG147)</f>
        <v/>
      </c>
      <c r="K147" s="285" t="str">
        <f>IF(CD50_apply="Yes",IF((COUNTIF(D147:G147,"Y")=COUNTIF('02 - DD'!D147:G147,"Y")),"match","no DD match"),"-")</f>
        <v>match</v>
      </c>
      <c r="L147" s="1410" t="str">
        <f t="shared" si="8"/>
        <v/>
      </c>
      <c r="M147" s="1382"/>
      <c r="N147" s="1382"/>
      <c r="O147" s="1382"/>
      <c r="P147" s="1382"/>
      <c r="Q147" s="1490"/>
      <c r="R147" s="1274"/>
      <c r="S147" s="1274"/>
      <c r="T147" s="1382"/>
      <c r="U147" s="1382"/>
      <c r="V147" s="1382"/>
      <c r="W147" s="1382"/>
      <c r="X147" s="1382"/>
      <c r="Y147" s="1382"/>
      <c r="Z147" s="1382"/>
      <c r="AA147" s="1382"/>
      <c r="AB147" s="1382"/>
      <c r="AC147" s="1382"/>
      <c r="AD147" s="1382"/>
      <c r="AE147" s="1382"/>
      <c r="AF147" s="1382"/>
      <c r="AG147" s="1382"/>
      <c r="AH147" s="1382"/>
      <c r="AI147" s="1382"/>
      <c r="AJ147" s="1382"/>
    </row>
    <row r="148" spans="1:49" s="181" customFormat="1" ht="24" customHeight="1" x14ac:dyDescent="0.25">
      <c r="A148" s="1407" t="str">
        <f>IF(DD_apply="Yes",IF(COUNTIF('02 - DD'!D148:G148,"Y")&gt;0,"Y",IF(COUNTIF('02 - DD'!D148:G148,"N"),"N","")),"")</f>
        <v>Y</v>
      </c>
      <c r="B148" s="177"/>
      <c r="C148" s="945"/>
      <c r="D148" s="411"/>
      <c r="E148" s="359" t="str">
        <f>IF('C-Design&amp;Const'!$M148="","",'C-Design&amp;Const'!$M148)</f>
        <v>Y</v>
      </c>
      <c r="F148" s="456"/>
      <c r="G148" s="510"/>
      <c r="H148" s="340" t="str">
        <f>CONCATENATE(IF(E148="N","PLACEHOLDER ROW - ",""),IF(E148="N","",J148),'C-Design&amp;Const'!Z148,)</f>
        <v xml:space="preserve">(Substantially Complete) Hydraulic Analysis for water and waste - ** calculations available upon request </v>
      </c>
      <c r="I148" s="186"/>
      <c r="J148" s="578" t="str">
        <f>IF('C-Design&amp;Const'!AG148="","",'C-Design&amp;Const'!AG148)</f>
        <v xml:space="preserve">(Substantially Complete) </v>
      </c>
      <c r="K148" s="285" t="str">
        <f>IF(CD50_apply="Yes",IF((COUNTIF(D148:G148,"Y")=COUNTIF('02 - DD'!D148:G148,"Y")),"match","no DD match"),"-")</f>
        <v>match</v>
      </c>
      <c r="L148" s="1410" t="str">
        <f t="shared" si="8"/>
        <v/>
      </c>
      <c r="M148" s="1382"/>
      <c r="N148" s="1382"/>
      <c r="O148" s="1382"/>
      <c r="P148" s="1382"/>
      <c r="Q148" s="1490"/>
      <c r="R148" s="1274"/>
      <c r="S148" s="1274"/>
      <c r="T148" s="1382"/>
      <c r="U148" s="1382"/>
      <c r="V148" s="1382"/>
      <c r="W148" s="1382"/>
      <c r="X148" s="1382"/>
      <c r="Y148" s="1382"/>
      <c r="Z148" s="1382"/>
      <c r="AA148" s="1382"/>
      <c r="AB148" s="1382"/>
      <c r="AC148" s="1382"/>
      <c r="AD148" s="1382"/>
      <c r="AE148" s="1382"/>
      <c r="AF148" s="1382"/>
      <c r="AG148" s="1382"/>
      <c r="AH148" s="1382"/>
      <c r="AI148" s="1382"/>
      <c r="AJ148" s="1382"/>
    </row>
    <row r="149" spans="1:49" s="181" customFormat="1" ht="24" customHeight="1" x14ac:dyDescent="0.25">
      <c r="A149" s="1407" t="str">
        <f>IF(DD_apply="Yes",IF(COUNTIF('02 - DD'!D149:G149,"Y")&gt;0,"Y",IF(COUNTIF('02 - DD'!D149:G149,"N"),"N","")),"")</f>
        <v>Y</v>
      </c>
      <c r="B149" s="177"/>
      <c r="C149" s="945"/>
      <c r="D149" s="411"/>
      <c r="E149" s="359" t="str">
        <f>IF('C-Design&amp;Const'!$M149="","",'C-Design&amp;Const'!$M149)</f>
        <v>Y</v>
      </c>
      <c r="F149" s="456"/>
      <c r="G149" s="510"/>
      <c r="H149" s="340" t="str">
        <f>CONCATENATE(IF(E149="N","PLACEHOLDER ROW - ",""),IF(E149="N","",J149),'C-Design&amp;Const'!Z149,)</f>
        <v xml:space="preserve">(Substantially Complete) Hydraulic Analysis for fire protection - ** calculations available upon request </v>
      </c>
      <c r="I149" s="186"/>
      <c r="J149" s="578" t="str">
        <f>IF('C-Design&amp;Const'!AG149="","",'C-Design&amp;Const'!AG149)</f>
        <v xml:space="preserve">(Substantially Complete) </v>
      </c>
      <c r="K149" s="285" t="str">
        <f>IF(CD50_apply="Yes",IF((COUNTIF(D149:G149,"Y")=COUNTIF('02 - DD'!D149:G149,"Y")),"match","no DD match"),"-")</f>
        <v>match</v>
      </c>
      <c r="L149" s="1410" t="str">
        <f t="shared" si="8"/>
        <v/>
      </c>
      <c r="M149" s="1382"/>
      <c r="N149" s="1382"/>
      <c r="O149" s="1382"/>
      <c r="P149" s="1382"/>
      <c r="Q149" s="1490"/>
      <c r="R149" s="1274"/>
      <c r="S149" s="1274"/>
      <c r="T149" s="1382"/>
      <c r="U149" s="1382"/>
      <c r="V149" s="1382"/>
      <c r="W149" s="1382"/>
      <c r="X149" s="1382"/>
      <c r="Y149" s="1382"/>
      <c r="Z149" s="1382"/>
      <c r="AA149" s="1382"/>
      <c r="AB149" s="1382"/>
      <c r="AC149" s="1382"/>
      <c r="AD149" s="1382"/>
      <c r="AE149" s="1382"/>
      <c r="AF149" s="1382"/>
      <c r="AG149" s="1382"/>
      <c r="AH149" s="1382"/>
      <c r="AI149" s="1382"/>
      <c r="AJ149" s="1382"/>
    </row>
    <row r="150" spans="1:49" s="181" customFormat="1" ht="15.75" x14ac:dyDescent="0.25">
      <c r="A150" s="1407" t="str">
        <f>IF(DD_apply="Yes",IF(COUNTIF('02 - DD'!D150:G150,"Y")&gt;0,"Y",IF(COUNTIF('02 - DD'!D150:G150,"N"),"N","")),"")</f>
        <v>N</v>
      </c>
      <c r="B150" s="177"/>
      <c r="C150" s="945"/>
      <c r="D150" s="411"/>
      <c r="E150" s="359" t="str">
        <f>IF('C-Design&amp;Const'!$M150="","",'C-Design&amp;Const'!$M150)</f>
        <v>N</v>
      </c>
      <c r="F150" s="456"/>
      <c r="G150" s="510"/>
      <c r="H150" s="340" t="str">
        <f>CONCATENATE(IF(E150="N","PLACEHOLDER ROW - ",""),IF(E150="N","",J150),'C-Design&amp;Const'!Z150,)</f>
        <v>PLACEHOLDER ROW - Harmonic Analysis Report for VFDs (N/A till construction)</v>
      </c>
      <c r="I150" s="186"/>
      <c r="J150" s="578" t="str">
        <f>IF('C-Design&amp;Const'!AG150="","",'C-Design&amp;Const'!AG150)</f>
        <v/>
      </c>
      <c r="K150" s="285" t="str">
        <f>IF(CD50_apply="Yes",IF((COUNTIF(D150:G150,"Y")=COUNTIF('02 - DD'!D150:G150,"Y")),"match","no DD match"),"-")</f>
        <v>match</v>
      </c>
      <c r="L150" s="1410" t="str">
        <f t="shared" si="8"/>
        <v>&lt;---PM/Planner may hide PLACEHOLDER ROW</v>
      </c>
      <c r="M150" s="1382"/>
      <c r="N150" s="1382"/>
      <c r="O150" s="1382"/>
      <c r="P150" s="1382"/>
      <c r="Q150" s="1490"/>
      <c r="R150" s="1274"/>
      <c r="S150" s="1274"/>
      <c r="T150" s="1382"/>
      <c r="U150" s="1382"/>
      <c r="V150" s="1382"/>
      <c r="W150" s="1382"/>
      <c r="X150" s="1382"/>
      <c r="Y150" s="1382"/>
      <c r="Z150" s="1382"/>
      <c r="AA150" s="1382"/>
      <c r="AB150" s="1382"/>
      <c r="AC150" s="1382"/>
      <c r="AD150" s="1382"/>
      <c r="AE150" s="1382"/>
      <c r="AF150" s="1382"/>
      <c r="AG150" s="1382"/>
      <c r="AH150" s="1382"/>
      <c r="AI150" s="1382"/>
      <c r="AJ150" s="1382"/>
    </row>
    <row r="151" spans="1:49" s="181" customFormat="1" ht="12.75" customHeight="1" x14ac:dyDescent="0.25">
      <c r="A151" s="1407" t="str">
        <f>IF(DD_apply="Yes",IF(COUNTIF('02 - DD'!D151:G151,"Y")&gt;0,"Y",IF(COUNTIF('02 - DD'!D151:G151,"N"),"N","")),"")</f>
        <v>Y</v>
      </c>
      <c r="B151" s="177"/>
      <c r="C151" s="945"/>
      <c r="D151" s="321"/>
      <c r="E151" s="559" t="str">
        <f>IF('C-Design&amp;Const'!$M151="","",'C-Design&amp;Const'!$M151)</f>
        <v>Y</v>
      </c>
      <c r="F151" s="478"/>
      <c r="G151" s="485"/>
      <c r="H151" s="340" t="str">
        <f>CONCATENATE(IF(E151="N","PLACEHOLDER ROW - ",""),IF(E151="N","",J151),'C-Design&amp;Const'!Z151,)</f>
        <v xml:space="preserve">(Substantially Complete) Results of Emergency Generator Load Calculation - ** calculations available upon request </v>
      </c>
      <c r="I151" s="193"/>
      <c r="J151" s="578" t="str">
        <f>IF('C-Design&amp;Const'!AG151="","",'C-Design&amp;Const'!AG151)</f>
        <v xml:space="preserve">(Substantially Complete) </v>
      </c>
      <c r="K151" s="285" t="str">
        <f>IF(CD50_apply="Yes",IF((COUNTIF(D151:G151,"Y")=COUNTIF('02 - DD'!D151:G151,"Y")),"match","no DD match"),"-")</f>
        <v>match</v>
      </c>
      <c r="L151" s="1410" t="str">
        <f t="shared" si="8"/>
        <v/>
      </c>
      <c r="M151" s="1382"/>
      <c r="N151" s="1382"/>
      <c r="O151" s="1382"/>
      <c r="P151" s="1382"/>
      <c r="Q151" s="1490"/>
      <c r="R151" s="1274"/>
      <c r="S151" s="1274"/>
      <c r="T151" s="1382"/>
      <c r="U151" s="1382"/>
      <c r="V151" s="1382"/>
      <c r="W151" s="1382"/>
      <c r="X151" s="1382"/>
      <c r="Y151" s="1382"/>
      <c r="Z151" s="1382"/>
      <c r="AA151" s="1382"/>
      <c r="AB151" s="1382"/>
      <c r="AC151" s="1382"/>
      <c r="AD151" s="1382"/>
      <c r="AE151" s="1382"/>
      <c r="AF151" s="1382"/>
      <c r="AG151" s="1382"/>
      <c r="AH151" s="1382"/>
      <c r="AI151" s="1382"/>
      <c r="AJ151" s="1382"/>
      <c r="AW151" s="30"/>
    </row>
    <row r="152" spans="1:49" s="181" customFormat="1" x14ac:dyDescent="0.25">
      <c r="A152" s="1407" t="str">
        <f>IF(DD_apply="Yes",IF(COUNTIF('02 - DD'!D152:G152,"Y")&gt;0,"Y",IF(COUNTIF('02 - DD'!D152:G152,"N"),"N","")),"")</f>
        <v>N</v>
      </c>
      <c r="B152" s="177"/>
      <c r="C152" s="945"/>
      <c r="D152" s="411"/>
      <c r="E152" s="559" t="str">
        <f>IF('C-Design&amp;Const'!$M152="","",'C-Design&amp;Const'!$M152)</f>
        <v>N</v>
      </c>
      <c r="F152" s="458"/>
      <c r="G152" s="506"/>
      <c r="H152" s="340" t="str">
        <f>CONCATENATE(IF(E152="N","PLACEHOLDER ROW - ",""),IF(E152="N","",J152),'C-Design&amp;Const'!Z152,)</f>
        <v>PLACEHOLDER ROW - CUSTOM ROW - OPTIONAL CLIENT ITEM</v>
      </c>
      <c r="I152" s="193"/>
      <c r="J152" s="578" t="str">
        <f>IF('C-Design&amp;Const'!AG152="","",'C-Design&amp;Const'!AG152)</f>
        <v xml:space="preserve">(Substantially Complete) </v>
      </c>
      <c r="K152" s="285" t="str">
        <f>IF(CD50_apply="Yes",IF((COUNTIF(D152:G152,"Y")=COUNTIF('02 - DD'!D152:G152,"Y")),"match","no DD match"),"-")</f>
        <v>match</v>
      </c>
      <c r="L152" s="1410" t="str">
        <f t="shared" si="8"/>
        <v>&lt;---PM/Planner may hide PLACEHOLDER ROW</v>
      </c>
      <c r="M152" s="1382"/>
      <c r="N152" s="1382"/>
      <c r="O152" s="1382"/>
      <c r="P152" s="1382"/>
      <c r="Q152" s="1490"/>
      <c r="R152" s="1274"/>
      <c r="S152" s="1274"/>
      <c r="T152" s="1382"/>
      <c r="U152" s="1382"/>
      <c r="V152" s="1382"/>
      <c r="W152" s="1382"/>
      <c r="X152" s="1382"/>
      <c r="Y152" s="1382"/>
      <c r="Z152" s="1382"/>
      <c r="AA152" s="1382"/>
      <c r="AB152" s="1382"/>
      <c r="AC152" s="1382"/>
      <c r="AD152" s="1382"/>
      <c r="AE152" s="1382"/>
      <c r="AF152" s="1382"/>
      <c r="AG152" s="1382"/>
      <c r="AH152" s="1382"/>
      <c r="AI152" s="1382"/>
      <c r="AJ152" s="1382"/>
      <c r="AW152" s="30"/>
    </row>
    <row r="153" spans="1:49" s="181" customFormat="1" ht="27" customHeight="1" x14ac:dyDescent="0.25">
      <c r="A153" s="1407" t="str">
        <f>IF(DD_apply="Yes",IF(COUNTIF('02 - DD'!D153:G153,"Y")&gt;0,"Y",IF(COUNTIF('02 - DD'!D153:G153,"N"),"N","")),"")</f>
        <v>Y</v>
      </c>
      <c r="B153" s="177"/>
      <c r="C153" s="945"/>
      <c r="D153" s="411"/>
      <c r="E153" s="559" t="str">
        <f>IF('C-Design&amp;Const'!$M153="","",'C-Design&amp;Const'!$M153)</f>
        <v>Y</v>
      </c>
      <c r="F153" s="458"/>
      <c r="G153" s="506"/>
      <c r="H153" s="340" t="str">
        <f>CONCATENATE(IF(E153="N","PLACEHOLDER ROW - ",""),IF(E153="N","",J153),'C-Design&amp;Const'!Z153,)</f>
        <v xml:space="preserve">(Substantially Complete) Results of Transformer Load Calculation -** calculations available upon request </v>
      </c>
      <c r="I153" s="193"/>
      <c r="J153" s="578" t="str">
        <f>IF('C-Design&amp;Const'!AG153="","",'C-Design&amp;Const'!AG153)</f>
        <v xml:space="preserve">(Substantially Complete) </v>
      </c>
      <c r="K153" s="285" t="str">
        <f>IF(CD50_apply="Yes",IF((COUNTIF(D153:G153,"Y")=COUNTIF('02 - DD'!D153:G153,"Y")),"match","no DD match"),"-")</f>
        <v>match</v>
      </c>
      <c r="L153" s="1410" t="str">
        <f t="shared" si="8"/>
        <v/>
      </c>
      <c r="M153" s="1382"/>
      <c r="N153" s="1382"/>
      <c r="O153" s="1382"/>
      <c r="P153" s="1382"/>
      <c r="Q153" s="1490"/>
      <c r="R153" s="1274"/>
      <c r="S153" s="1274"/>
      <c r="T153" s="1382"/>
      <c r="U153" s="1382"/>
      <c r="V153" s="1382"/>
      <c r="W153" s="1382"/>
      <c r="X153" s="1382"/>
      <c r="Y153" s="1382"/>
      <c r="Z153" s="1382"/>
      <c r="AA153" s="1382"/>
      <c r="AB153" s="1382"/>
      <c r="AC153" s="1382"/>
      <c r="AD153" s="1382"/>
      <c r="AE153" s="1382"/>
      <c r="AF153" s="1382"/>
      <c r="AG153" s="1382"/>
      <c r="AH153" s="1382"/>
      <c r="AI153" s="1382"/>
      <c r="AJ153" s="1382"/>
      <c r="AW153" s="30"/>
    </row>
    <row r="154" spans="1:49" s="181" customFormat="1" ht="28.5" x14ac:dyDescent="0.25">
      <c r="A154" s="1407" t="str">
        <f>IF(DD_apply="Yes",IF(COUNTIF('02 - DD'!D154:G154,"Y")&gt;0,"Y",IF(COUNTIF('02 - DD'!D154:G154,"N"),"N","")),"")</f>
        <v>Y</v>
      </c>
      <c r="B154" s="177"/>
      <c r="C154" s="945"/>
      <c r="D154" s="411"/>
      <c r="E154" s="559" t="str">
        <f>IF('C-Design&amp;Const'!$M154="","",'C-Design&amp;Const'!$M154)</f>
        <v>Y</v>
      </c>
      <c r="F154" s="458"/>
      <c r="G154" s="506"/>
      <c r="H154" s="340" t="str">
        <f>CONCATENATE(IF(E154="N","PLACEHOLDER ROW - ",""),IF(E154="N","",J154),'C-Design&amp;Const'!Z154,)</f>
        <v xml:space="preserve">(Substantially Complete) Results of Short-Circuit (Fault) Analysis of Building Electrical System- ** calculations available upon request </v>
      </c>
      <c r="I154" s="193"/>
      <c r="J154" s="578" t="str">
        <f>IF('C-Design&amp;Const'!AG154="","",'C-Design&amp;Const'!AG154)</f>
        <v xml:space="preserve">(Substantially Complete) </v>
      </c>
      <c r="K154" s="285" t="str">
        <f>IF(CD50_apply="Yes",IF((COUNTIF(D154:G154,"Y")=COUNTIF('02 - DD'!D154:G154,"Y")),"match","no DD match"),"-")</f>
        <v>match</v>
      </c>
      <c r="L154" s="1410" t="str">
        <f t="shared" si="8"/>
        <v/>
      </c>
      <c r="M154" s="1382"/>
      <c r="N154" s="1382"/>
      <c r="O154" s="1382"/>
      <c r="P154" s="1382"/>
      <c r="Q154" s="1490"/>
      <c r="R154" s="1274"/>
      <c r="S154" s="1274"/>
      <c r="T154" s="1382"/>
      <c r="U154" s="1382"/>
      <c r="V154" s="1382"/>
      <c r="W154" s="1382"/>
      <c r="X154" s="1382"/>
      <c r="Y154" s="1382"/>
      <c r="Z154" s="1382"/>
      <c r="AA154" s="1382"/>
      <c r="AB154" s="1382"/>
      <c r="AC154" s="1382"/>
      <c r="AD154" s="1382"/>
      <c r="AE154" s="1382"/>
      <c r="AF154" s="1382"/>
      <c r="AG154" s="1382"/>
      <c r="AH154" s="1382"/>
      <c r="AI154" s="1382"/>
      <c r="AJ154" s="1382"/>
      <c r="AW154" s="30"/>
    </row>
    <row r="155" spans="1:49" s="181" customFormat="1" ht="26.1" customHeight="1" x14ac:dyDescent="0.25">
      <c r="A155" s="1407" t="str">
        <f>IF(DD_apply="Yes",IF(COUNTIF('02 - DD'!D155:G155,"Y")&gt;0,"Y",IF(COUNTIF('02 - DD'!D155:G155,"N"),"N","")),"")</f>
        <v>Y</v>
      </c>
      <c r="B155" s="177"/>
      <c r="C155" s="945"/>
      <c r="D155" s="411"/>
      <c r="E155" s="559" t="str">
        <f>IF('C-Design&amp;Const'!$M155="","",'C-Design&amp;Const'!$M155)</f>
        <v>Y</v>
      </c>
      <c r="F155" s="458"/>
      <c r="G155" s="506"/>
      <c r="H155" s="340" t="str">
        <f>CONCATENATE(IF(E155="N","PLACEHOLDER ROW - ",""),IF(E155="N","",J155),'C-Design&amp;Const'!Z155,)</f>
        <v xml:space="preserve">(Substantially Complete) Extensions of Primary Electrical Distribution-** calculations available upon request </v>
      </c>
      <c r="I155" s="193"/>
      <c r="J155" s="578" t="str">
        <f>IF('C-Design&amp;Const'!AG155="","",'C-Design&amp;Const'!AG155)</f>
        <v xml:space="preserve">(Substantially Complete) </v>
      </c>
      <c r="K155" s="285" t="str">
        <f>IF(CD50_apply="Yes",IF((COUNTIF(D155:G155,"Y")=COUNTIF('02 - DD'!D155:G155,"Y")),"match","no DD match"),"-")</f>
        <v>match</v>
      </c>
      <c r="L155" s="1410" t="str">
        <f t="shared" si="8"/>
        <v/>
      </c>
      <c r="M155" s="1382"/>
      <c r="N155" s="1382"/>
      <c r="O155" s="1382"/>
      <c r="P155" s="1382"/>
      <c r="Q155" s="1490"/>
      <c r="R155" s="1274"/>
      <c r="S155" s="1274"/>
      <c r="T155" s="1382"/>
      <c r="U155" s="1382"/>
      <c r="V155" s="1382"/>
      <c r="W155" s="1382"/>
      <c r="X155" s="1382"/>
      <c r="Y155" s="1382"/>
      <c r="Z155" s="1382"/>
      <c r="AA155" s="1382"/>
      <c r="AB155" s="1382"/>
      <c r="AC155" s="1382"/>
      <c r="AD155" s="1382"/>
      <c r="AE155" s="1382"/>
      <c r="AF155" s="1382"/>
      <c r="AG155" s="1382"/>
      <c r="AH155" s="1382"/>
      <c r="AI155" s="1382"/>
      <c r="AJ155" s="1382"/>
      <c r="AW155" s="30"/>
    </row>
    <row r="156" spans="1:49" s="181" customFormat="1" ht="42.75" x14ac:dyDescent="0.25">
      <c r="A156" s="1407" t="str">
        <f>IF(DD_apply="Yes",IF(COUNTIF('02 - DD'!D156:G156,"Y")&gt;0,"Y",IF(COUNTIF('02 - DD'!D156:G156,"N"),"N","")),"")</f>
        <v>Y</v>
      </c>
      <c r="B156" s="177"/>
      <c r="C156" s="945"/>
      <c r="D156" s="411"/>
      <c r="E156" s="559" t="str">
        <f>IF('C-Design&amp;Const'!$M156="","",'C-Design&amp;Const'!$M156)</f>
        <v>Y</v>
      </c>
      <c r="F156" s="458"/>
      <c r="G156" s="506"/>
      <c r="H156" s="340" t="str">
        <f>CONCATENATE(IF(E156="N","PLACEHOLDER ROW - ",""),IF(E156="N","",J156),'C-Design&amp;Const'!Z156,)</f>
        <v xml:space="preserve">(Substantially Complete) Results of Proposed Lighting Power Density Calculation (output from COMcheck software or similar) showing Compliance with Energy Codes and Standards -** calculations available upon request </v>
      </c>
      <c r="I156" s="193"/>
      <c r="J156" s="578" t="str">
        <f>IF('C-Design&amp;Const'!AG156="","",'C-Design&amp;Const'!AG156)</f>
        <v xml:space="preserve">(Substantially Complete) </v>
      </c>
      <c r="K156" s="285" t="str">
        <f>IF(CD50_apply="Yes",IF((COUNTIF(D156:G156,"Y")=COUNTIF('02 - DD'!D156:G156,"Y")),"match","no DD match"),"-")</f>
        <v>match</v>
      </c>
      <c r="L156" s="1410" t="str">
        <f t="shared" si="8"/>
        <v/>
      </c>
      <c r="M156" s="1382"/>
      <c r="N156" s="1382"/>
      <c r="O156" s="1382"/>
      <c r="P156" s="1382"/>
      <c r="Q156" s="1490"/>
      <c r="R156" s="1274"/>
      <c r="S156" s="1274"/>
      <c r="T156" s="1382"/>
      <c r="U156" s="1382"/>
      <c r="V156" s="1382"/>
      <c r="W156" s="1382"/>
      <c r="X156" s="1382"/>
      <c r="Y156" s="1382"/>
      <c r="Z156" s="1382"/>
      <c r="AA156" s="1382"/>
      <c r="AB156" s="1382"/>
      <c r="AC156" s="1382"/>
      <c r="AD156" s="1382"/>
      <c r="AE156" s="1382"/>
      <c r="AF156" s="1382"/>
      <c r="AG156" s="1382"/>
      <c r="AH156" s="1382"/>
      <c r="AI156" s="1382"/>
      <c r="AJ156" s="1382"/>
      <c r="AW156" s="30"/>
    </row>
    <row r="157" spans="1:49" s="181" customFormat="1" ht="28.5" x14ac:dyDescent="0.25">
      <c r="A157" s="1407" t="str">
        <f>IF(DD_apply="Yes",IF(COUNTIF('02 - DD'!D157:G157,"Y")&gt;0,"Y",IF(COUNTIF('02 - DD'!D157:G157,"N"),"N","")),"")</f>
        <v>Y</v>
      </c>
      <c r="B157" s="177"/>
      <c r="C157" s="945"/>
      <c r="D157" s="411"/>
      <c r="E157" s="559" t="str">
        <f>IF('C-Design&amp;Const'!$M157="","",'C-Design&amp;Const'!$M157)</f>
        <v>Y</v>
      </c>
      <c r="F157" s="458"/>
      <c r="G157" s="506"/>
      <c r="H157" s="340" t="str">
        <f>CONCATENATE(IF(E157="N","PLACEHOLDER ROW - ",""),IF(E157="N","",J157),'C-Design&amp;Const'!Z157,)</f>
        <v>(Substantially Complete) Results of Point-by-Point Exterior Lighting Calculations Showing Compliance with IESNA Recommendations</v>
      </c>
      <c r="I157" s="193"/>
      <c r="J157" s="578" t="str">
        <f>IF('C-Design&amp;Const'!AG157="","",'C-Design&amp;Const'!AG157)</f>
        <v xml:space="preserve">(Substantially Complete) </v>
      </c>
      <c r="K157" s="285" t="str">
        <f>IF(CD50_apply="Yes",IF((COUNTIF(D157:G157,"Y")=COUNTIF('02 - DD'!D157:G157,"Y")),"match","no DD match"),"-")</f>
        <v>match</v>
      </c>
      <c r="L157" s="1410" t="str">
        <f t="shared" si="8"/>
        <v/>
      </c>
      <c r="M157" s="1382"/>
      <c r="N157" s="1382"/>
      <c r="O157" s="1382"/>
      <c r="P157" s="1382"/>
      <c r="Q157" s="1490"/>
      <c r="R157" s="1274"/>
      <c r="S157" s="1274"/>
      <c r="T157" s="1382"/>
      <c r="U157" s="1382"/>
      <c r="V157" s="1382"/>
      <c r="W157" s="1382"/>
      <c r="X157" s="1382"/>
      <c r="Y157" s="1382"/>
      <c r="Z157" s="1382"/>
      <c r="AA157" s="1382"/>
      <c r="AB157" s="1382"/>
      <c r="AC157" s="1382"/>
      <c r="AD157" s="1382"/>
      <c r="AE157" s="1382"/>
      <c r="AF157" s="1382"/>
      <c r="AG157" s="1382"/>
      <c r="AH157" s="1382"/>
      <c r="AI157" s="1382"/>
      <c r="AJ157" s="1382"/>
      <c r="AW157" s="30"/>
    </row>
    <row r="158" spans="1:49" s="181" customFormat="1" ht="26.1" customHeight="1" x14ac:dyDescent="0.25">
      <c r="A158" s="1407" t="str">
        <f>IF(DD_apply="Yes",IF(COUNTIF('02 - DD'!D158:G158,"Y")&gt;0,"Y",IF(COUNTIF('02 - DD'!D158:G158,"N"),"N","")),"")</f>
        <v>Y</v>
      </c>
      <c r="B158" s="177"/>
      <c r="C158" s="945"/>
      <c r="D158" s="411"/>
      <c r="E158" s="559" t="str">
        <f>IF('C-Design&amp;Const'!$M158="","",'C-Design&amp;Const'!$M158)</f>
        <v>Y</v>
      </c>
      <c r="F158" s="458"/>
      <c r="G158" s="506"/>
      <c r="H158" s="340" t="str">
        <f>CONCATENATE(IF(E158="N","PLACEHOLDER ROW - ",""),IF(E158="N","",J158),'C-Design&amp;Const'!Z158,)</f>
        <v>(Substantially Complete) Results of Point-by-Point Interior Lighting Calculations for Each Typical Space</v>
      </c>
      <c r="I158" s="193"/>
      <c r="J158" s="578" t="str">
        <f>IF('C-Design&amp;Const'!AG158="","",'C-Design&amp;Const'!AG158)</f>
        <v xml:space="preserve">(Substantially Complete) </v>
      </c>
      <c r="K158" s="285" t="str">
        <f>IF(CD50_apply="Yes",IF((COUNTIF(D158:G158,"Y")=COUNTIF('02 - DD'!D158:G158,"Y")),"match","no DD match"),"-")</f>
        <v>match</v>
      </c>
      <c r="L158" s="1410" t="str">
        <f t="shared" si="8"/>
        <v/>
      </c>
      <c r="M158" s="1382"/>
      <c r="N158" s="1382"/>
      <c r="O158" s="1382"/>
      <c r="P158" s="1382"/>
      <c r="Q158" s="1490"/>
      <c r="R158" s="1274"/>
      <c r="S158" s="1274"/>
      <c r="T158" s="1382"/>
      <c r="U158" s="1382"/>
      <c r="V158" s="1382"/>
      <c r="W158" s="1382"/>
      <c r="X158" s="1382"/>
      <c r="Y158" s="1382"/>
      <c r="Z158" s="1382"/>
      <c r="AA158" s="1382"/>
      <c r="AB158" s="1382"/>
      <c r="AC158" s="1382"/>
      <c r="AD158" s="1382"/>
      <c r="AE158" s="1382"/>
      <c r="AF158" s="1382"/>
      <c r="AG158" s="1382"/>
      <c r="AH158" s="1382"/>
      <c r="AI158" s="1382"/>
      <c r="AJ158" s="1382"/>
      <c r="AW158" s="30"/>
    </row>
    <row r="159" spans="1:49" s="181" customFormat="1" x14ac:dyDescent="0.25">
      <c r="A159" s="1407" t="str">
        <f>IF(DD_apply="Yes",IF(COUNTIF('02 - DD'!D159:G159,"Y")&gt;0,"Y",IF(COUNTIF('02 - DD'!D159:G159,"N"),"N","")),"")</f>
        <v>Y</v>
      </c>
      <c r="B159" s="177"/>
      <c r="C159" s="945"/>
      <c r="D159" s="411"/>
      <c r="E159" s="559" t="str">
        <f>IF('C-Design&amp;Const'!$M159="","",'C-Design&amp;Const'!$M159)</f>
        <v>Y</v>
      </c>
      <c r="F159" s="458"/>
      <c r="G159" s="506"/>
      <c r="H159" s="340" t="str">
        <f>CONCATENATE(IF(E159="N","PLACEHOLDER ROW - ",""),IF(E159="N","",J159),'C-Design&amp;Const'!Z159,)</f>
        <v xml:space="preserve">(Substantially Complete) Extensions of Primary Building Automation Systems </v>
      </c>
      <c r="I159" s="193"/>
      <c r="J159" s="578" t="str">
        <f>IF('C-Design&amp;Const'!AG159="","",'C-Design&amp;Const'!AG159)</f>
        <v xml:space="preserve">(Substantially Complete) </v>
      </c>
      <c r="K159" s="285" t="str">
        <f>IF(CD50_apply="Yes",IF((COUNTIF(D159:G159,"Y")=COUNTIF('02 - DD'!D159:G159,"Y")),"match","no DD match"),"-")</f>
        <v>match</v>
      </c>
      <c r="L159" s="1410" t="str">
        <f t="shared" si="8"/>
        <v/>
      </c>
      <c r="M159" s="1382"/>
      <c r="N159" s="1382"/>
      <c r="O159" s="1382"/>
      <c r="P159" s="1382"/>
      <c r="Q159" s="1490"/>
      <c r="R159" s="1274"/>
      <c r="S159" s="1274"/>
      <c r="T159" s="1382"/>
      <c r="U159" s="1382"/>
      <c r="V159" s="1382"/>
      <c r="W159" s="1382"/>
      <c r="X159" s="1382"/>
      <c r="Y159" s="1382"/>
      <c r="Z159" s="1382"/>
      <c r="AA159" s="1382"/>
      <c r="AB159" s="1382"/>
      <c r="AC159" s="1382"/>
      <c r="AD159" s="1382"/>
      <c r="AE159" s="1382"/>
      <c r="AF159" s="1382"/>
      <c r="AG159" s="1382"/>
      <c r="AH159" s="1382"/>
      <c r="AI159" s="1382"/>
      <c r="AJ159" s="1382"/>
      <c r="AW159" s="30"/>
    </row>
    <row r="160" spans="1:49" s="181" customFormat="1" x14ac:dyDescent="0.25">
      <c r="A160" s="1407" t="str">
        <f>IF(DD_apply="Yes",IF(COUNTIF('02 - DD'!D160:G160,"Y")&gt;0,"Y",IF(COUNTIF('02 - DD'!D160:G160,"N"),"N","")),"")</f>
        <v>Y</v>
      </c>
      <c r="B160" s="177"/>
      <c r="C160" s="945"/>
      <c r="D160" s="411"/>
      <c r="E160" s="559" t="str">
        <f>IF('C-Design&amp;Const'!$M160="","",'C-Design&amp;Const'!$M160)</f>
        <v>Y</v>
      </c>
      <c r="F160" s="458"/>
      <c r="G160" s="506"/>
      <c r="H160" s="358" t="str">
        <f>CONCATENATE(IF(E160="N","PLACEHOLDER ROW - ",""),IF(E160="N","",J160),'C-Design&amp;Const'!Z160,)</f>
        <v>(IDNR Consultation Results) IDNR Consultation (EcoCAT and results)</v>
      </c>
      <c r="I160" s="193"/>
      <c r="J160" s="578" t="str">
        <f>IF('C-Design&amp;Const'!AG160="","",'C-Design&amp;Const'!AG160)</f>
        <v xml:space="preserve">(IDNR Consultation Results) </v>
      </c>
      <c r="K160" s="285" t="str">
        <f>IF(CD50_apply="Yes",IF((COUNTIF(D160:G160,"Y")=COUNTIF('02 - DD'!D160:G160,"Y")),"match","no DD match"),"-")</f>
        <v>match</v>
      </c>
      <c r="L160" s="1410" t="str">
        <f t="shared" si="8"/>
        <v/>
      </c>
      <c r="M160" s="1382"/>
      <c r="N160" s="1382"/>
      <c r="O160" s="1382"/>
      <c r="P160" s="1382"/>
      <c r="Q160" s="1490"/>
      <c r="R160" s="1274"/>
      <c r="S160" s="1274"/>
      <c r="T160" s="1382"/>
      <c r="U160" s="1382"/>
      <c r="V160" s="1382"/>
      <c r="W160" s="1382"/>
      <c r="X160" s="1382"/>
      <c r="Y160" s="1382"/>
      <c r="Z160" s="1382"/>
      <c r="AA160" s="1382"/>
      <c r="AB160" s="1382"/>
      <c r="AC160" s="1382"/>
      <c r="AD160" s="1382"/>
      <c r="AE160" s="1382"/>
      <c r="AF160" s="1382"/>
      <c r="AG160" s="1382"/>
      <c r="AH160" s="1382"/>
      <c r="AI160" s="1382"/>
      <c r="AJ160" s="1382"/>
      <c r="AW160" s="30"/>
    </row>
    <row r="161" spans="1:49" s="181" customFormat="1" x14ac:dyDescent="0.25">
      <c r="A161" s="1407" t="str">
        <f>IF(DD_apply="Yes",IF(COUNTIF('02 - DD'!D161:G161,"Y")&gt;0,"Y",IF(COUNTIF('02 - DD'!D161:G161,"N"),"N","")),"")</f>
        <v>N</v>
      </c>
      <c r="B161" s="177"/>
      <c r="C161" s="945"/>
      <c r="D161" s="411"/>
      <c r="E161" s="559" t="str">
        <f>IF('C-Design&amp;Const'!$M161="","",'C-Design&amp;Const'!$M161)</f>
        <v>N</v>
      </c>
      <c r="F161" s="458"/>
      <c r="G161" s="506"/>
      <c r="H161" s="358" t="str">
        <f>CONCATENATE(IF(E161="N","PLACEHOLDER ROW - ",""),IF(E161="N","",J161),'C-Design&amp;Const'!Z161,)</f>
        <v>PLACEHOLDER ROW - Results of Environmental Impact Assessments or Statements</v>
      </c>
      <c r="I161" s="193"/>
      <c r="J161" s="578" t="str">
        <f>IF('C-Design&amp;Const'!AG161="","",'C-Design&amp;Const'!AG161)</f>
        <v xml:space="preserve">(Substantially Complete) </v>
      </c>
      <c r="K161" s="285" t="str">
        <f>IF(CD50_apply="Yes",IF((COUNTIF(D161:G161,"Y")=COUNTIF('02 - DD'!D161:G161,"Y")),"match","no DD match"),"-")</f>
        <v>match</v>
      </c>
      <c r="L161" s="1410" t="str">
        <f t="shared" si="8"/>
        <v>&lt;---PM/Planner may hide PLACEHOLDER ROW</v>
      </c>
      <c r="M161" s="1382"/>
      <c r="N161" s="1382"/>
      <c r="O161" s="1382"/>
      <c r="P161" s="1382"/>
      <c r="Q161" s="1490"/>
      <c r="R161" s="1274"/>
      <c r="S161" s="1274"/>
      <c r="T161" s="1382"/>
      <c r="U161" s="1382"/>
      <c r="V161" s="1382"/>
      <c r="W161" s="1382"/>
      <c r="X161" s="1382"/>
      <c r="Y161" s="1382"/>
      <c r="Z161" s="1382"/>
      <c r="AA161" s="1382"/>
      <c r="AB161" s="1382"/>
      <c r="AC161" s="1382"/>
      <c r="AD161" s="1382"/>
      <c r="AE161" s="1382"/>
      <c r="AF161" s="1382"/>
      <c r="AG161" s="1382"/>
      <c r="AH161" s="1382"/>
      <c r="AI161" s="1382"/>
      <c r="AJ161" s="1382"/>
      <c r="AW161" s="30"/>
    </row>
    <row r="162" spans="1:49" s="181" customFormat="1" x14ac:dyDescent="0.25">
      <c r="A162" s="1407" t="str">
        <f>IF(DD_apply="Yes",IF(COUNTIF('02 - DD'!D162:G162,"Y")&gt;0,"Y",IF(COUNTIF('02 - DD'!D162:G162,"N"),"N","")),"")</f>
        <v>N</v>
      </c>
      <c r="B162" s="177"/>
      <c r="C162" s="945"/>
      <c r="D162" s="411"/>
      <c r="E162" s="559" t="str">
        <f>IF('C-Design&amp;Const'!$M162="","",'C-Design&amp;Const'!$M162)</f>
        <v>N</v>
      </c>
      <c r="F162" s="458"/>
      <c r="G162" s="506"/>
      <c r="H162" s="358" t="str">
        <f>CONCATENATE(IF(E162="N","PLACEHOLDER ROW - ",""),IF(E162="N","",J162),'C-Design&amp;Const'!Z162,)</f>
        <v>PLACEHOLDER ROW - Results of Archealogical Field Reports or Assessments</v>
      </c>
      <c r="I162" s="193"/>
      <c r="J162" s="578" t="str">
        <f>IF('C-Design&amp;Const'!AG162="","",'C-Design&amp;Const'!AG162)</f>
        <v xml:space="preserve">(Substantially Complete) </v>
      </c>
      <c r="K162" s="285" t="str">
        <f>IF(CD50_apply="Yes",IF((COUNTIF(D162:G162,"Y")=COUNTIF('02 - DD'!D162:G162,"Y")),"match","no DD match"),"-")</f>
        <v>match</v>
      </c>
      <c r="L162" s="1410" t="str">
        <f t="shared" si="8"/>
        <v>&lt;---PM/Planner may hide PLACEHOLDER ROW</v>
      </c>
      <c r="M162" s="1382"/>
      <c r="N162" s="1382"/>
      <c r="O162" s="1382"/>
      <c r="P162" s="1382"/>
      <c r="Q162" s="1490"/>
      <c r="R162" s="1274"/>
      <c r="S162" s="1274"/>
      <c r="T162" s="1382"/>
      <c r="U162" s="1382"/>
      <c r="V162" s="1382"/>
      <c r="W162" s="1382"/>
      <c r="X162" s="1382"/>
      <c r="Y162" s="1382"/>
      <c r="Z162" s="1382"/>
      <c r="AA162" s="1382"/>
      <c r="AB162" s="1382"/>
      <c r="AC162" s="1382"/>
      <c r="AD162" s="1382"/>
      <c r="AE162" s="1382"/>
      <c r="AF162" s="1382"/>
      <c r="AG162" s="1382"/>
      <c r="AH162" s="1382"/>
      <c r="AI162" s="1382"/>
      <c r="AJ162" s="1382"/>
      <c r="AW162" s="30"/>
    </row>
    <row r="163" spans="1:49" s="181" customFormat="1" x14ac:dyDescent="0.25">
      <c r="A163" s="1407" t="str">
        <f>IF(DD_apply="Yes",IF(COUNTIF('02 - DD'!D163:G163,"Y")&gt;0,"Y",IF(COUNTIF('02 - DD'!D163:G163,"N"),"N","")),"")</f>
        <v>N</v>
      </c>
      <c r="B163" s="177"/>
      <c r="C163" s="945"/>
      <c r="D163" s="411"/>
      <c r="E163" s="559" t="str">
        <f>IF('C-Design&amp;Const'!$M163="","",'C-Design&amp;Const'!$M163)</f>
        <v>N</v>
      </c>
      <c r="F163" s="458"/>
      <c r="G163" s="506"/>
      <c r="H163" s="358" t="str">
        <f>CONCATENATE(IF(E163="N","PLACEHOLDER ROW - ",""),IF(E163="N","",J163),'C-Design&amp;Const'!Z163,)</f>
        <v>PLACEHOLDER ROW - CUSTOM ROW - OPTIONAL CLIENT ITEM</v>
      </c>
      <c r="I163" s="193"/>
      <c r="J163" s="578" t="str">
        <f>IF('C-Design&amp;Const'!AG163="","",'C-Design&amp;Const'!AG163)</f>
        <v xml:space="preserve">(Substantially Complete) </v>
      </c>
      <c r="K163" s="285" t="str">
        <f>IF(CD50_apply="Yes",IF((COUNTIF(D163:G163,"Y")=COUNTIF('02 - DD'!D163:G163,"Y")),"match","no DD match"),"-")</f>
        <v>match</v>
      </c>
      <c r="L163" s="1410" t="str">
        <f t="shared" si="8"/>
        <v>&lt;---PM/Planner may hide PLACEHOLDER ROW</v>
      </c>
      <c r="M163" s="1382"/>
      <c r="N163" s="1382"/>
      <c r="O163" s="1382"/>
      <c r="P163" s="1382"/>
      <c r="Q163" s="1490"/>
      <c r="R163" s="1274"/>
      <c r="S163" s="1274"/>
      <c r="T163" s="1382"/>
      <c r="U163" s="1382"/>
      <c r="V163" s="1382"/>
      <c r="W163" s="1382"/>
      <c r="X163" s="1382"/>
      <c r="Y163" s="1382"/>
      <c r="Z163" s="1382"/>
      <c r="AA163" s="1382"/>
      <c r="AB163" s="1382"/>
      <c r="AC163" s="1382"/>
      <c r="AD163" s="1382"/>
      <c r="AE163" s="1382"/>
      <c r="AF163" s="1382"/>
      <c r="AG163" s="1382"/>
      <c r="AH163" s="1382"/>
      <c r="AI163" s="1382"/>
      <c r="AJ163" s="1382"/>
      <c r="AW163" s="30"/>
    </row>
    <row r="164" spans="1:49" s="181" customFormat="1" x14ac:dyDescent="0.25">
      <c r="A164" s="1407" t="str">
        <f>IF(DD_apply="Yes",IF(COUNTIF('02 - DD'!D164:G164,"Y")&gt;0,"Y",IF(COUNTIF('02 - DD'!D164:G164,"N"),"N","")),"")</f>
        <v>N</v>
      </c>
      <c r="B164" s="177"/>
      <c r="C164" s="945"/>
      <c r="D164" s="411"/>
      <c r="E164" s="559" t="str">
        <f>IF('C-Design&amp;Const'!$M164="","",'C-Design&amp;Const'!$M164)</f>
        <v>N</v>
      </c>
      <c r="F164" s="458"/>
      <c r="G164" s="506"/>
      <c r="H164" s="358" t="str">
        <f>CONCATENATE(IF(E164="N","PLACEHOLDER ROW - ",""),IF(E164="N","",J164),'C-Design&amp;Const'!Z164,)</f>
        <v>PLACEHOLDER ROW - CUSTOM ROW - OPTIONAL CLIENT ITEM</v>
      </c>
      <c r="I164" s="193"/>
      <c r="J164" s="578" t="str">
        <f>IF('C-Design&amp;Const'!AG164="","",'C-Design&amp;Const'!AG164)</f>
        <v xml:space="preserve">(Substantially Complete) </v>
      </c>
      <c r="K164" s="285" t="str">
        <f>IF(CD50_apply="Yes",IF((COUNTIF(D164:G164,"Y")=COUNTIF('02 - DD'!D164:G164,"Y")),"match","no DD match"),"-")</f>
        <v>match</v>
      </c>
      <c r="L164" s="1410" t="str">
        <f t="shared" si="8"/>
        <v>&lt;---PM/Planner may hide PLACEHOLDER ROW</v>
      </c>
      <c r="M164" s="1382"/>
      <c r="N164" s="1382"/>
      <c r="O164" s="1382"/>
      <c r="P164" s="1382"/>
      <c r="Q164" s="1490"/>
      <c r="R164" s="1274"/>
      <c r="S164" s="1274"/>
      <c r="T164" s="1382"/>
      <c r="U164" s="1382"/>
      <c r="V164" s="1382"/>
      <c r="W164" s="1382"/>
      <c r="X164" s="1382"/>
      <c r="Y164" s="1382"/>
      <c r="Z164" s="1382"/>
      <c r="AA164" s="1382"/>
      <c r="AB164" s="1382"/>
      <c r="AC164" s="1382"/>
      <c r="AD164" s="1382"/>
      <c r="AE164" s="1382"/>
      <c r="AF164" s="1382"/>
      <c r="AG164" s="1382"/>
      <c r="AH164" s="1382"/>
      <c r="AI164" s="1382"/>
      <c r="AJ164" s="1382"/>
      <c r="AW164" s="30"/>
    </row>
    <row r="165" spans="1:49" s="181" customFormat="1" x14ac:dyDescent="0.25">
      <c r="A165" s="1407" t="str">
        <f>IF(DD_apply="Yes",IF(COUNTIF('02 - DD'!D165:G165,"Y")&gt;0,"Y",IF(COUNTIF('02 - DD'!D165:G165,"N"),"N","")),"")</f>
        <v>N</v>
      </c>
      <c r="B165" s="177"/>
      <c r="C165" s="945"/>
      <c r="D165" s="411"/>
      <c r="E165" s="559" t="str">
        <f>IF('C-Design&amp;Const'!$M165="","",'C-Design&amp;Const'!$M165)</f>
        <v>N</v>
      </c>
      <c r="F165" s="458"/>
      <c r="G165" s="506"/>
      <c r="H165" s="358" t="str">
        <f>CONCATENATE(IF(E165="N","PLACEHOLDER ROW - ",""),IF(E165="N","",J165),'C-Design&amp;Const'!Z165,)</f>
        <v>PLACEHOLDER ROW - CUSTOM ROW - OPTIONAL CLIENT ITEM</v>
      </c>
      <c r="I165" s="193"/>
      <c r="J165" s="578" t="str">
        <f>IF('C-Design&amp;Const'!AG165="","",'C-Design&amp;Const'!AG165)</f>
        <v xml:space="preserve">(Substantially Complete) </v>
      </c>
      <c r="K165" s="285" t="str">
        <f>IF(CD50_apply="Yes",IF((COUNTIF(D165:G165,"Y")=COUNTIF('02 - DD'!D165:G165,"Y")),"match","no DD match"),"-")</f>
        <v>match</v>
      </c>
      <c r="L165" s="1410" t="str">
        <f t="shared" si="8"/>
        <v>&lt;---PM/Planner may hide PLACEHOLDER ROW</v>
      </c>
      <c r="M165" s="1382"/>
      <c r="N165" s="1382"/>
      <c r="O165" s="1382"/>
      <c r="P165" s="1382"/>
      <c r="Q165" s="1490"/>
      <c r="R165" s="1274"/>
      <c r="S165" s="1274"/>
      <c r="T165" s="1382"/>
      <c r="U165" s="1382"/>
      <c r="V165" s="1382"/>
      <c r="W165" s="1382"/>
      <c r="X165" s="1382"/>
      <c r="Y165" s="1382"/>
      <c r="Z165" s="1382"/>
      <c r="AA165" s="1382"/>
      <c r="AB165" s="1382"/>
      <c r="AC165" s="1382"/>
      <c r="AD165" s="1382"/>
      <c r="AE165" s="1382"/>
      <c r="AF165" s="1382"/>
      <c r="AG165" s="1382"/>
      <c r="AH165" s="1382"/>
      <c r="AI165" s="1382"/>
      <c r="AJ165" s="1382"/>
      <c r="AW165" s="30"/>
    </row>
    <row r="166" spans="1:49" s="181" customFormat="1" x14ac:dyDescent="0.25">
      <c r="A166" s="1407" t="str">
        <f>IF(DD_apply="Yes",IF(COUNTIF('02 - DD'!D166:G166,"Y")&gt;0,"Y",IF(COUNTIF('02 - DD'!D166:G166,"N"),"N","")),"")</f>
        <v>N</v>
      </c>
      <c r="B166" s="177"/>
      <c r="C166" s="945"/>
      <c r="D166" s="411"/>
      <c r="E166" s="559" t="str">
        <f>IF('C-Design&amp;Const'!$M166="","",'C-Design&amp;Const'!$M166)</f>
        <v>N</v>
      </c>
      <c r="F166" s="458"/>
      <c r="G166" s="506"/>
      <c r="H166" s="358" t="str">
        <f>CONCATENATE(IF(E166="N","PLACEHOLDER ROW - ",""),IF(E166="N","",J166),'C-Design&amp;Const'!Z166,)</f>
        <v>PLACEHOLDER ROW - CUSTOM ROW - OPTIONAL CLIENT ITEM</v>
      </c>
      <c r="I166" s="193"/>
      <c r="J166" s="578" t="str">
        <f>IF('C-Design&amp;Const'!AG166="","",'C-Design&amp;Const'!AG166)</f>
        <v xml:space="preserve">(Substantially Complete) </v>
      </c>
      <c r="K166" s="285" t="str">
        <f>IF(CD50_apply="Yes",IF((COUNTIF(D166:G166,"Y")=COUNTIF('02 - DD'!D166:G166,"Y")),"match","no DD match"),"-")</f>
        <v>match</v>
      </c>
      <c r="L166" s="1410" t="str">
        <f t="shared" si="8"/>
        <v>&lt;---PM/Planner may hide PLACEHOLDER ROW</v>
      </c>
      <c r="M166" s="1382"/>
      <c r="N166" s="1382"/>
      <c r="O166" s="1382"/>
      <c r="P166" s="1382"/>
      <c r="Q166" s="1490"/>
      <c r="R166" s="1274"/>
      <c r="S166" s="1274"/>
      <c r="T166" s="1382"/>
      <c r="U166" s="1382"/>
      <c r="V166" s="1382"/>
      <c r="W166" s="1382"/>
      <c r="X166" s="1382"/>
      <c r="Y166" s="1382"/>
      <c r="Z166" s="1382"/>
      <c r="AA166" s="1382"/>
      <c r="AB166" s="1382"/>
      <c r="AC166" s="1382"/>
      <c r="AD166" s="1382"/>
      <c r="AE166" s="1382"/>
      <c r="AF166" s="1382"/>
      <c r="AG166" s="1382"/>
      <c r="AH166" s="1382"/>
      <c r="AI166" s="1382"/>
      <c r="AJ166" s="1382"/>
      <c r="AW166" s="30"/>
    </row>
    <row r="167" spans="1:49" s="181" customFormat="1" x14ac:dyDescent="0.25">
      <c r="A167" s="1516" t="str">
        <f>IF(DD_apply="Yes",IF(COUNTIF('02 - DD'!D167:G167,"Y")&gt;0,"Y",IF(COUNTIF('02 - DD'!D167:G167,"N"),"N","")),"")</f>
        <v/>
      </c>
      <c r="B167" s="177"/>
      <c r="C167" s="945"/>
      <c r="D167" s="411"/>
      <c r="E167" s="411"/>
      <c r="F167" s="411"/>
      <c r="G167" s="511"/>
      <c r="H167" s="420" t="str">
        <f>CONCATENATE(IF(E167="N","PLACEHOLDER ROW - ",""),IF(E167="N","",J167),'C-Design&amp;Const'!Z167,)</f>
        <v/>
      </c>
      <c r="I167" s="186"/>
      <c r="J167" s="578" t="str">
        <f>IF('C-Design&amp;Const'!AG167="","",'C-Design&amp;Const'!AG167)</f>
        <v/>
      </c>
      <c r="K167" s="285" t="str">
        <f>IF(CD50_apply="Yes",IF((COUNTIF(D167:G167,"Y")=COUNTIF('02 - DD'!D167:G167,"Y")),"match","no DD match"),"-")</f>
        <v>match</v>
      </c>
      <c r="L167" s="1410" t="str">
        <f t="shared" si="8"/>
        <v/>
      </c>
      <c r="M167" s="1382"/>
      <c r="N167" s="1382"/>
      <c r="O167" s="1382"/>
      <c r="P167" s="1382"/>
      <c r="Q167" s="1490"/>
      <c r="R167" s="1274"/>
      <c r="S167" s="1274"/>
      <c r="T167" s="1382"/>
      <c r="U167" s="1382"/>
      <c r="V167" s="1382"/>
      <c r="W167" s="1382"/>
      <c r="X167" s="1382"/>
      <c r="Y167" s="1382"/>
      <c r="Z167" s="1382"/>
      <c r="AA167" s="1382"/>
      <c r="AB167" s="1382"/>
      <c r="AC167" s="1382"/>
      <c r="AD167" s="1382"/>
      <c r="AE167" s="1382"/>
      <c r="AF167" s="1382"/>
      <c r="AG167" s="1382"/>
      <c r="AH167" s="1382"/>
      <c r="AI167" s="1382"/>
      <c r="AJ167" s="1382"/>
    </row>
    <row r="168" spans="1:49" s="181" customFormat="1" ht="21.75" customHeight="1" x14ac:dyDescent="0.25">
      <c r="A168" s="1501" t="str">
        <f>IF(DD_apply="Yes",IF(COUNTIF('02 - DD'!D168:G168,"Y")&gt;0,"Y",IF(COUNTIF('02 - DD'!D168:G168,"N"),"N","")),"")</f>
        <v>Y</v>
      </c>
      <c r="B168" s="177"/>
      <c r="C168" s="945"/>
      <c r="D168" s="559" t="str">
        <f>IF('C-Design&amp;Const'!$M168="","",'C-Design&amp;Const'!$M168)</f>
        <v>Y</v>
      </c>
      <c r="E168" s="234"/>
      <c r="F168" s="235"/>
      <c r="G168" s="291" t="str">
        <f>IF('C-Design&amp;Const'!Y168="","",'C-Design&amp;Const'!Y168)</f>
        <v>05a.</v>
      </c>
      <c r="H168" s="290" t="str">
        <f>(CONCATENATE('C-Design&amp;Const'!Z168,IF(D168="N"," Not Used In This Design Phase",J168)))</f>
        <v>Ext. &amp; Int. Finishes Binder(s)/Finishes Board(s)  - Updates - Including Bid Alts</v>
      </c>
      <c r="I168" s="185"/>
      <c r="J168" s="578" t="str">
        <f>IF('C-Design&amp;Const'!AG168="","",'C-Design&amp;Const'!AG168)</f>
        <v xml:space="preserve"> - Updates - Including Bid Alts</v>
      </c>
      <c r="K168" s="285" t="str">
        <f>IF(CD50_apply="Yes",IF((COUNTIF(D168:G168,"Y")=COUNTIF('02 - DD'!D168:G168,"Y")),"match","no DD match"),"-")</f>
        <v>match</v>
      </c>
      <c r="L168" s="1410" t="str">
        <f t="shared" si="8"/>
        <v/>
      </c>
      <c r="M168" s="1382"/>
      <c r="N168" s="1382"/>
      <c r="O168" s="1382"/>
      <c r="P168" s="1382"/>
      <c r="Q168" s="1447"/>
      <c r="R168" s="1448"/>
      <c r="S168" s="1274"/>
      <c r="T168" s="1382"/>
      <c r="U168" s="1382"/>
      <c r="V168" s="1382"/>
      <c r="W168" s="1382"/>
      <c r="X168" s="1382"/>
      <c r="Y168" s="1382"/>
      <c r="Z168" s="1382"/>
      <c r="AA168" s="1382"/>
      <c r="AB168" s="1382"/>
      <c r="AC168" s="1382"/>
      <c r="AD168" s="1382"/>
      <c r="AE168" s="1382"/>
      <c r="AF168" s="1382"/>
      <c r="AG168" s="1382"/>
      <c r="AH168" s="1382"/>
      <c r="AI168" s="1382"/>
      <c r="AJ168" s="1382"/>
    </row>
    <row r="169" spans="1:49" s="551" customFormat="1" ht="26.25" customHeight="1" x14ac:dyDescent="0.25">
      <c r="A169" s="1510" t="str">
        <f>IF(DD_apply="Yes",IF(COUNTIF('02 - DD'!D169:G169,"Y")&gt;0,"Y",IF(COUNTIF('02 - DD'!D169:G169,"N"),"N","")),"")</f>
        <v>Y</v>
      </c>
      <c r="B169" s="549"/>
      <c r="C169" s="945"/>
      <c r="D169" s="411"/>
      <c r="E169" s="559" t="str">
        <f>IF('C-Design&amp;Const'!$M169="","",'C-Design&amp;Const'!$M169)</f>
        <v>Y</v>
      </c>
      <c r="F169" s="458"/>
      <c r="G169" s="506"/>
      <c r="H169" s="340" t="str">
        <f>CONCATENATE(IF(E169="N","PLACEHOLDER ROW - ",""),IF(E169="N","",J169),'C-Design&amp;Const'!Z169,)</f>
        <v xml:space="preserve">(Substantially Complete) Product Samples of Floor Coverings, Wall Covering, Window Treatment, Ceiling Tile, etc... </v>
      </c>
      <c r="I169" s="193"/>
      <c r="J169" s="578" t="str">
        <f>IF('C-Design&amp;Const'!AG169="","",'C-Design&amp;Const'!AG169)</f>
        <v xml:space="preserve">(Substantially Complete) </v>
      </c>
      <c r="K169" s="285" t="str">
        <f>IF(CD50_apply="Yes",IF((COUNTIF(D169:G169,"Y")=COUNTIF('02 - DD'!D169:G169,"Y")),"match","no DD match"),"-")</f>
        <v>match</v>
      </c>
      <c r="L169" s="1410" t="str">
        <f t="shared" ref="L169:L172" si="10">CONCATENATE(IF(ISNUMBER(SEARCH("Placeholder",H169))=TRUE,"&lt;---PM/Planner may hide PLACEHOLDER ROW",""))</f>
        <v/>
      </c>
      <c r="M169" s="1382"/>
      <c r="N169" s="1382"/>
      <c r="O169" s="1382"/>
      <c r="P169" s="1382"/>
      <c r="Q169" s="1490"/>
      <c r="R169" s="1274"/>
      <c r="S169" s="1274"/>
      <c r="T169" s="1382"/>
      <c r="U169" s="1382"/>
      <c r="V169" s="1382"/>
      <c r="W169" s="1382"/>
      <c r="X169" s="1382"/>
      <c r="Y169" s="1382"/>
      <c r="Z169" s="1382"/>
      <c r="AA169" s="1382"/>
      <c r="AB169" s="1382"/>
      <c r="AC169" s="1382"/>
      <c r="AD169" s="1382"/>
      <c r="AE169" s="1382"/>
      <c r="AF169" s="1382"/>
      <c r="AG169" s="1382"/>
      <c r="AH169" s="1382"/>
      <c r="AI169" s="1382"/>
      <c r="AJ169" s="1382"/>
      <c r="AW169" s="545"/>
    </row>
    <row r="170" spans="1:49" s="551" customFormat="1" x14ac:dyDescent="0.25">
      <c r="A170" s="1510" t="str">
        <f>IF(DD_apply="Yes",IF(COUNTIF('02 - DD'!D170:G170,"Y")&gt;0,"Y",IF(COUNTIF('02 - DD'!D170:G170,"N"),"N","")),"")</f>
        <v>Y</v>
      </c>
      <c r="B170" s="549"/>
      <c r="C170" s="945"/>
      <c r="D170" s="411"/>
      <c r="E170" s="559" t="str">
        <f>IF('C-Design&amp;Const'!$M170="","",'C-Design&amp;Const'!$M170)</f>
        <v>Y</v>
      </c>
      <c r="F170" s="456"/>
      <c r="G170" s="510"/>
      <c r="H170" s="340" t="str">
        <f>CONCATENATE(IF(E170="N","PLACEHOLDER ROW - ",""),IF(E170="N","",J170),'C-Design&amp;Const'!Z170,)</f>
        <v>(Substantially Complete) Paint selections and combinations</v>
      </c>
      <c r="I170" s="193"/>
      <c r="J170" s="578" t="str">
        <f>IF('C-Design&amp;Const'!AG170="","",'C-Design&amp;Const'!AG170)</f>
        <v xml:space="preserve">(Substantially Complete) </v>
      </c>
      <c r="K170" s="285" t="str">
        <f>IF(CD50_apply="Yes",IF((COUNTIF(D170:G170,"Y")=COUNTIF('02 - DD'!D170:G170,"Y")),"match","no DD match"),"-")</f>
        <v>match</v>
      </c>
      <c r="L170" s="1410" t="str">
        <f t="shared" si="10"/>
        <v/>
      </c>
      <c r="M170" s="1382"/>
      <c r="N170" s="1382"/>
      <c r="O170" s="1382"/>
      <c r="P170" s="1382"/>
      <c r="Q170" s="1490"/>
      <c r="R170" s="1274"/>
      <c r="S170" s="1274"/>
      <c r="T170" s="1382"/>
      <c r="U170" s="1382"/>
      <c r="V170" s="1382"/>
      <c r="W170" s="1382"/>
      <c r="X170" s="1382"/>
      <c r="Y170" s="1382"/>
      <c r="Z170" s="1382"/>
      <c r="AA170" s="1382"/>
      <c r="AB170" s="1382"/>
      <c r="AC170" s="1382"/>
      <c r="AD170" s="1382"/>
      <c r="AE170" s="1382"/>
      <c r="AF170" s="1382"/>
      <c r="AG170" s="1382"/>
      <c r="AH170" s="1382"/>
      <c r="AI170" s="1382"/>
      <c r="AJ170" s="1382"/>
      <c r="AW170" s="545"/>
    </row>
    <row r="171" spans="1:49" s="551" customFormat="1" ht="15" customHeight="1" x14ac:dyDescent="0.25">
      <c r="A171" s="1510" t="str">
        <f>IF(DD_apply="Yes",IF(COUNTIF('02 - DD'!D171:G171,"Y")&gt;0,"Y",IF(COUNTIF('02 - DD'!D171:G171,"N"),"N","")),"")</f>
        <v>N</v>
      </c>
      <c r="B171" s="549"/>
      <c r="C171" s="945"/>
      <c r="D171" s="411"/>
      <c r="E171" s="559" t="str">
        <f>IF('C-Design&amp;Const'!$M171="","",'C-Design&amp;Const'!$M171)</f>
        <v>Y</v>
      </c>
      <c r="F171" s="235"/>
      <c r="G171" s="94"/>
      <c r="H171" s="340" t="str">
        <f>CONCATENATE(IF(E171="N","PLACEHOLDER ROW - ",""),IF(E171="N","",J171),'C-Design&amp;Const'!Z171,)</f>
        <v>(revisions to) PSC contracted mock-ups to match existing brick</v>
      </c>
      <c r="I171" s="195"/>
      <c r="J171" s="578" t="str">
        <f>IF('C-Design&amp;Const'!AG171="","",'C-Design&amp;Const'!AG171)</f>
        <v xml:space="preserve">(revisions to) </v>
      </c>
      <c r="K171" s="285" t="str">
        <f>IF(CD50_apply="Yes",IF((COUNTIF(D171:G171,"Y")=COUNTIF('02 - DD'!D171:G171,"Y")),"match","no DD match"),"-")</f>
        <v>no DD match</v>
      </c>
      <c r="L171" s="1410" t="str">
        <f t="shared" si="10"/>
        <v/>
      </c>
      <c r="M171" s="1382"/>
      <c r="N171" s="1382"/>
      <c r="O171" s="1382"/>
      <c r="P171" s="1382"/>
      <c r="Q171" s="1447"/>
      <c r="R171" s="1448"/>
      <c r="S171" s="1274"/>
      <c r="T171" s="1382"/>
      <c r="U171" s="1382"/>
      <c r="V171" s="1382"/>
      <c r="W171" s="1382"/>
      <c r="X171" s="1382"/>
      <c r="Y171" s="1382"/>
      <c r="Z171" s="1382"/>
      <c r="AA171" s="1382"/>
      <c r="AB171" s="1382"/>
      <c r="AC171" s="1382"/>
      <c r="AD171" s="1382"/>
      <c r="AE171" s="1382"/>
      <c r="AF171" s="1382"/>
      <c r="AG171" s="1382"/>
      <c r="AH171" s="1382"/>
      <c r="AI171" s="1382"/>
      <c r="AJ171" s="1382"/>
      <c r="AW171" s="545"/>
    </row>
    <row r="172" spans="1:49" s="545" customFormat="1" ht="15" customHeight="1" x14ac:dyDescent="0.25">
      <c r="A172" s="1407" t="str">
        <f>IF(DD_apply="Yes",IF(COUNTIF('02 - DD'!D172:G172,"Y")&gt;0,"Y",IF(COUNTIF('02 - DD'!D172:G172,"N"),"N","")),"")</f>
        <v>N</v>
      </c>
      <c r="B172" s="554"/>
      <c r="C172" s="945"/>
      <c r="D172" s="463"/>
      <c r="E172" s="359" t="str">
        <f>IF('C-Design&amp;Const'!$M172="","",'C-Design&amp;Const'!$M172)</f>
        <v>N</v>
      </c>
      <c r="F172" s="235"/>
      <c r="G172" s="291"/>
      <c r="H172" s="340" t="str">
        <f>CONCATENATE(IF(E172="N","PLACEHOLDER ROW - ",""),IF(E172="N","",J172),'C-Design&amp;Const'!Z172,)</f>
        <v>PLACEHOLDER ROW - CUSTOM ROW - OPTIONAL CLIENT ITEM</v>
      </c>
      <c r="I172" s="552"/>
      <c r="J172" s="578" t="str">
        <f>IF('C-Design&amp;Const'!AG172="","",'C-Design&amp;Const'!AG172)</f>
        <v xml:space="preserve">(Substantially Complete) </v>
      </c>
      <c r="K172" s="285" t="str">
        <f>IF(CD50_apply="Yes",IF((COUNTIF(D172:G172,"Y")=COUNTIF('02 - DD'!D172:G172,"Y")),"match","no DD match"),"-")</f>
        <v>match</v>
      </c>
      <c r="L172" s="1410" t="str">
        <f t="shared" si="10"/>
        <v>&lt;---PM/Planner may hide PLACEHOLDER ROW</v>
      </c>
      <c r="M172" s="1333"/>
      <c r="N172" s="1382"/>
      <c r="O172" s="1382"/>
      <c r="P172" s="1382"/>
      <c r="Q172" s="1382"/>
      <c r="R172" s="1382"/>
      <c r="S172" s="1382"/>
      <c r="T172" s="1382"/>
      <c r="U172" s="1382"/>
      <c r="V172" s="1382"/>
      <c r="W172" s="1382"/>
      <c r="X172" s="1382"/>
      <c r="Y172" s="1382"/>
      <c r="Z172" s="1382"/>
      <c r="AA172" s="1382"/>
      <c r="AB172" s="1382"/>
      <c r="AC172" s="1382"/>
      <c r="AD172" s="1382"/>
      <c r="AE172" s="1382"/>
      <c r="AF172" s="1382"/>
      <c r="AG172" s="1382"/>
      <c r="AH172" s="1382"/>
      <c r="AI172" s="1382"/>
      <c r="AJ172" s="1382"/>
      <c r="AK172" s="551"/>
      <c r="AL172" s="551"/>
      <c r="AM172" s="551"/>
      <c r="AN172" s="551"/>
      <c r="AO172" s="551"/>
      <c r="AP172" s="551"/>
      <c r="AQ172" s="551"/>
      <c r="AR172" s="551"/>
      <c r="AS172" s="551"/>
      <c r="AT172" s="551"/>
      <c r="AU172" s="551"/>
      <c r="AV172" s="551"/>
      <c r="AW172" s="551"/>
    </row>
    <row r="173" spans="1:49" s="181" customFormat="1" x14ac:dyDescent="0.25">
      <c r="A173" s="1516" t="str">
        <f>IF(DD_apply="Yes",IF(COUNTIF('02 - DD'!D173:G173,"Y")&gt;0,"Y",IF(COUNTIF('02 - DD'!D173:G173,"N"),"N","")),"")</f>
        <v/>
      </c>
      <c r="B173" s="177"/>
      <c r="C173" s="945"/>
      <c r="D173" s="411"/>
      <c r="E173" s="411"/>
      <c r="F173" s="411"/>
      <c r="G173" s="511"/>
      <c r="H173" s="411"/>
      <c r="I173" s="186"/>
      <c r="J173" s="578" t="str">
        <f>IF('C-Design&amp;Const'!AG173="","",'C-Design&amp;Const'!AG173)</f>
        <v/>
      </c>
      <c r="K173" s="285" t="str">
        <f>IF(CD50_apply="Yes",IF((COUNTIF(D173:G173,"Y")=COUNTIF('02 - DD'!D173:G173,"Y")),"match","no DD match"),"-")</f>
        <v>match</v>
      </c>
      <c r="L173" s="1410" t="str">
        <f t="shared" si="8"/>
        <v/>
      </c>
      <c r="M173" s="1382"/>
      <c r="N173" s="1382"/>
      <c r="O173" s="1382"/>
      <c r="P173" s="1382"/>
      <c r="Q173" s="1490"/>
      <c r="R173" s="1274"/>
      <c r="S173" s="1274"/>
      <c r="T173" s="1382"/>
      <c r="U173" s="1382"/>
      <c r="V173" s="1382"/>
      <c r="W173" s="1382"/>
      <c r="X173" s="1382"/>
      <c r="Y173" s="1382"/>
      <c r="Z173" s="1382"/>
      <c r="AA173" s="1382"/>
      <c r="AB173" s="1382"/>
      <c r="AC173" s="1382"/>
      <c r="AD173" s="1382"/>
      <c r="AE173" s="1382"/>
      <c r="AF173" s="1382"/>
      <c r="AG173" s="1382"/>
      <c r="AH173" s="1382"/>
      <c r="AI173" s="1382"/>
      <c r="AJ173" s="1382"/>
    </row>
    <row r="174" spans="1:49" s="181" customFormat="1" ht="30" customHeight="1" x14ac:dyDescent="0.25">
      <c r="A174" s="1501" t="str">
        <f>IF(DD_apply="Yes",IF(COUNTIF('02 - DD'!D174:G174,"Y")&gt;0,"Y",IF(COUNTIF('02 - DD'!D174:G174,"N"),"N","")),"")</f>
        <v>Y</v>
      </c>
      <c r="B174" s="177"/>
      <c r="C174" s="945"/>
      <c r="D174" s="559" t="str">
        <f>IF('C-Design&amp;Const'!$M174="","",'C-Design&amp;Const'!$M174)</f>
        <v>Y</v>
      </c>
      <c r="E174" s="234"/>
      <c r="F174" s="235"/>
      <c r="G174" s="291" t="str">
        <f>IF('C-Design&amp;Const'!Y174="","",'C-Design&amp;Const'!Y174)</f>
        <v>05b.</v>
      </c>
      <c r="H174" s="290" t="str">
        <f>(CONCATENATE('C-Design&amp;Const'!Z174,IF(D174="N"," Not Used In This Design Phase",J174)))</f>
        <v>Furnitures, Fixtures, and Equipment Binder(s) - Updates - Including Bid Alts</v>
      </c>
      <c r="I174" s="185"/>
      <c r="J174" s="578" t="str">
        <f>IF('C-Design&amp;Const'!AG174="","",'C-Design&amp;Const'!AG174)</f>
        <v xml:space="preserve"> - Updates - Including Bid Alts</v>
      </c>
      <c r="K174" s="285" t="str">
        <f>IF(CD50_apply="Yes",IF((COUNTIF(D174:G174,"Y")=COUNTIF('02 - DD'!D174:G174,"Y")),"match","no DD match"),"-")</f>
        <v>match</v>
      </c>
      <c r="L174" s="1410" t="str">
        <f t="shared" si="8"/>
        <v/>
      </c>
      <c r="M174" s="1382"/>
      <c r="N174" s="1382"/>
      <c r="O174" s="1382"/>
      <c r="P174" s="1382"/>
      <c r="Q174" s="1447"/>
      <c r="R174" s="1448"/>
      <c r="S174" s="1274"/>
      <c r="T174" s="1382"/>
      <c r="U174" s="1382"/>
      <c r="V174" s="1382"/>
      <c r="W174" s="1382"/>
      <c r="X174" s="1382"/>
      <c r="Y174" s="1382"/>
      <c r="Z174" s="1382"/>
      <c r="AA174" s="1382"/>
      <c r="AB174" s="1382"/>
      <c r="AC174" s="1382"/>
      <c r="AD174" s="1382"/>
      <c r="AE174" s="1382"/>
      <c r="AF174" s="1382"/>
      <c r="AG174" s="1382"/>
      <c r="AH174" s="1382"/>
      <c r="AI174" s="1382"/>
      <c r="AJ174" s="1382"/>
    </row>
    <row r="175" spans="1:49" s="181" customFormat="1" x14ac:dyDescent="0.25">
      <c r="A175" s="1510" t="str">
        <f>IF(DD_apply="Yes",IF(COUNTIF('02 - DD'!D175:G175,"Y")&gt;0,"Y",IF(COUNTIF('02 - DD'!D175:G175,"N"),"N","")),"")</f>
        <v>Y</v>
      </c>
      <c r="B175" s="177"/>
      <c r="C175" s="945"/>
      <c r="D175" s="411"/>
      <c r="E175" s="559" t="str">
        <f>IF('C-Design&amp;Const'!$M175="","",'C-Design&amp;Const'!$M175)</f>
        <v>Y</v>
      </c>
      <c r="F175" s="458"/>
      <c r="G175" s="506"/>
      <c r="H175" s="340" t="str">
        <f>CONCATENATE(IF(E175="N","PLACEHOLDER ROW - ",""),IF(E175="N","",J175),'C-Design&amp;Const'!Z175,)</f>
        <v>(Substantially Complete) Cut Sheets</v>
      </c>
      <c r="I175" s="193"/>
      <c r="J175" s="578" t="str">
        <f>IF('C-Design&amp;Const'!AG175="","",'C-Design&amp;Const'!AG175)</f>
        <v xml:space="preserve">(Substantially Complete) </v>
      </c>
      <c r="K175" s="285" t="str">
        <f>IF(CD50_apply="Yes",IF((COUNTIF(D175:G175,"Y")=COUNTIF('02 - DD'!D175:G175,"Y")),"match","no DD match"),"-")</f>
        <v>match</v>
      </c>
      <c r="L175" s="1410" t="str">
        <f t="shared" si="8"/>
        <v/>
      </c>
      <c r="M175" s="1382"/>
      <c r="N175" s="1382"/>
      <c r="O175" s="1382"/>
      <c r="P175" s="1382"/>
      <c r="Q175" s="1490"/>
      <c r="R175" s="1274"/>
      <c r="S175" s="1274"/>
      <c r="T175" s="1382"/>
      <c r="U175" s="1382"/>
      <c r="V175" s="1382"/>
      <c r="W175" s="1382"/>
      <c r="X175" s="1382"/>
      <c r="Y175" s="1382"/>
      <c r="Z175" s="1382"/>
      <c r="AA175" s="1382"/>
      <c r="AB175" s="1382"/>
      <c r="AC175" s="1382"/>
      <c r="AD175" s="1382"/>
      <c r="AE175" s="1382"/>
      <c r="AF175" s="1382"/>
      <c r="AG175" s="1382"/>
      <c r="AH175" s="1382"/>
      <c r="AI175" s="1382"/>
      <c r="AJ175" s="1382"/>
      <c r="AW175" s="30"/>
    </row>
    <row r="176" spans="1:49" s="181" customFormat="1" x14ac:dyDescent="0.25">
      <c r="A176" s="1510" t="str">
        <f>IF(DD_apply="Yes",IF(COUNTIF('02 - DD'!D176:G176,"Y")&gt;0,"Y",IF(COUNTIF('02 - DD'!D176:G176,"N"),"N","")),"")</f>
        <v>Y</v>
      </c>
      <c r="B176" s="177"/>
      <c r="C176" s="945"/>
      <c r="D176" s="411"/>
      <c r="E176" s="559" t="str">
        <f>IF('C-Design&amp;Const'!$M176="","",'C-Design&amp;Const'!$M176)</f>
        <v>Y</v>
      </c>
      <c r="F176" s="456"/>
      <c r="G176" s="510"/>
      <c r="H176" s="340" t="str">
        <f>CONCATENATE(IF(E176="N","PLACEHOLDER ROW - ",""),IF(E176="N","",J176),'C-Design&amp;Const'!Z176,)</f>
        <v>(Substantially Complete) Product Samples</v>
      </c>
      <c r="I176" s="193"/>
      <c r="J176" s="578" t="str">
        <f>IF('C-Design&amp;Const'!AG176="","",'C-Design&amp;Const'!AG176)</f>
        <v xml:space="preserve">(Substantially Complete) </v>
      </c>
      <c r="K176" s="285" t="str">
        <f>IF(CD50_apply="Yes",IF((COUNTIF(D176:G176,"Y")=COUNTIF('02 - DD'!D176:G176,"Y")),"match","no DD match"),"-")</f>
        <v>match</v>
      </c>
      <c r="L176" s="1410" t="str">
        <f t="shared" si="8"/>
        <v/>
      </c>
      <c r="M176" s="1382"/>
      <c r="N176" s="1382"/>
      <c r="O176" s="1382"/>
      <c r="P176" s="1382"/>
      <c r="Q176" s="1490"/>
      <c r="R176" s="1274"/>
      <c r="S176" s="1274"/>
      <c r="T176" s="1382"/>
      <c r="U176" s="1382"/>
      <c r="V176" s="1382"/>
      <c r="W176" s="1382"/>
      <c r="X176" s="1382"/>
      <c r="Y176" s="1382"/>
      <c r="Z176" s="1382"/>
      <c r="AA176" s="1382"/>
      <c r="AB176" s="1382"/>
      <c r="AC176" s="1382"/>
      <c r="AD176" s="1382"/>
      <c r="AE176" s="1382"/>
      <c r="AF176" s="1382"/>
      <c r="AG176" s="1382"/>
      <c r="AH176" s="1382"/>
      <c r="AI176" s="1382"/>
      <c r="AJ176" s="1382"/>
      <c r="AW176" s="30"/>
    </row>
    <row r="177" spans="1:49" s="181" customFormat="1" ht="15" customHeight="1" x14ac:dyDescent="0.25">
      <c r="A177" s="1510" t="str">
        <f>IF(DD_apply="Yes",IF(COUNTIF('02 - DD'!D177:G177,"Y")&gt;0,"Y",IF(COUNTIF('02 - DD'!D177:G177,"N"),"N","")),"")</f>
        <v>Y</v>
      </c>
      <c r="B177" s="177"/>
      <c r="C177" s="945"/>
      <c r="D177" s="411"/>
      <c r="E177" s="559" t="str">
        <f>IF('C-Design&amp;Const'!$M177="","",'C-Design&amp;Const'!$M177)</f>
        <v>Y</v>
      </c>
      <c r="F177" s="235"/>
      <c r="G177" s="94"/>
      <c r="H177" s="340" t="str">
        <f>CONCATENATE(IF(E177="N","PLACEHOLDER ROW - ",""),IF(E177="N","",J177),'C-Design&amp;Const'!Z177,)</f>
        <v>(Substantially Complete) "Furniture Information Form" (electronic)</v>
      </c>
      <c r="I177" s="195"/>
      <c r="J177" s="578" t="str">
        <f>IF('C-Design&amp;Const'!AG177="","",'C-Design&amp;Const'!AG177)</f>
        <v xml:space="preserve">(Substantially Complete) </v>
      </c>
      <c r="K177" s="285" t="str">
        <f>IF(CD50_apply="Yes",IF((COUNTIF(D177:G177,"Y")=COUNTIF('02 - DD'!D177:G177,"Y")),"match","no DD match"),"-")</f>
        <v>match</v>
      </c>
      <c r="L177" s="1410" t="str">
        <f t="shared" si="8"/>
        <v/>
      </c>
      <c r="M177" s="1382"/>
      <c r="N177" s="1382"/>
      <c r="O177" s="1382"/>
      <c r="P177" s="1382"/>
      <c r="Q177" s="1447"/>
      <c r="R177" s="1448"/>
      <c r="S177" s="1274"/>
      <c r="T177" s="1382"/>
      <c r="U177" s="1382"/>
      <c r="V177" s="1382"/>
      <c r="W177" s="1382"/>
      <c r="X177" s="1382"/>
      <c r="Y177" s="1382"/>
      <c r="Z177" s="1382"/>
      <c r="AA177" s="1382"/>
      <c r="AB177" s="1382"/>
      <c r="AC177" s="1382"/>
      <c r="AD177" s="1382"/>
      <c r="AE177" s="1382"/>
      <c r="AF177" s="1382"/>
      <c r="AG177" s="1382"/>
      <c r="AH177" s="1382"/>
      <c r="AI177" s="1382"/>
      <c r="AJ177" s="1382"/>
      <c r="AW177" s="30"/>
    </row>
    <row r="178" spans="1:49" s="30" customFormat="1" ht="15" customHeight="1" x14ac:dyDescent="0.25">
      <c r="A178" s="1407" t="str">
        <f>IF(DD_apply="Yes",IF(COUNTIF('02 - DD'!D178:G178,"Y")&gt;0,"Y",IF(COUNTIF('02 - DD'!D178:G178,"N"),"N","")),"")</f>
        <v>N</v>
      </c>
      <c r="B178" s="191"/>
      <c r="C178" s="945"/>
      <c r="D178" s="463"/>
      <c r="E178" s="359" t="str">
        <f>IF('C-Design&amp;Const'!$M178="","",'C-Design&amp;Const'!$M178)</f>
        <v>N</v>
      </c>
      <c r="F178" s="235"/>
      <c r="G178" s="291"/>
      <c r="H178" s="340" t="str">
        <f>CONCATENATE(IF(E178="N","PLACEHOLDER ROW - ",""),IF(E178="N","",J178),'C-Design&amp;Const'!Z178,)</f>
        <v>PLACEHOLDER ROW - CUSTOM ROW - OPTIONAL CLIENT ITEM</v>
      </c>
      <c r="I178" s="184"/>
      <c r="J178" s="578" t="str">
        <f>IF('C-Design&amp;Const'!AG178="","",'C-Design&amp;Const'!AG178)</f>
        <v xml:space="preserve">(Substantially Complete) </v>
      </c>
      <c r="K178" s="285" t="str">
        <f>IF(CD50_apply="Yes",IF((COUNTIF(D178:G178,"Y")=COUNTIF('02 - DD'!D178:G178,"Y")),"match","no DD match"),"-")</f>
        <v>match</v>
      </c>
      <c r="L178" s="1410" t="str">
        <f t="shared" si="8"/>
        <v>&lt;---PM/Planner may hide PLACEHOLDER ROW</v>
      </c>
      <c r="M178" s="1333"/>
      <c r="N178" s="1382"/>
      <c r="O178" s="1382"/>
      <c r="P178" s="1382"/>
      <c r="Q178" s="1382"/>
      <c r="R178" s="1382"/>
      <c r="S178" s="1382"/>
      <c r="T178" s="1382"/>
      <c r="U178" s="1382"/>
      <c r="V178" s="1382"/>
      <c r="W178" s="1382"/>
      <c r="X178" s="1382"/>
      <c r="Y178" s="1382"/>
      <c r="Z178" s="1382"/>
      <c r="AA178" s="1382"/>
      <c r="AB178" s="1382"/>
      <c r="AC178" s="1382"/>
      <c r="AD178" s="1382"/>
      <c r="AE178" s="1382"/>
      <c r="AF178" s="1382"/>
      <c r="AG178" s="1382"/>
      <c r="AH178" s="1382"/>
      <c r="AI178" s="1382"/>
      <c r="AJ178" s="1382"/>
      <c r="AK178" s="181"/>
      <c r="AL178" s="181"/>
      <c r="AM178" s="181"/>
      <c r="AN178" s="181"/>
      <c r="AO178" s="181"/>
      <c r="AP178" s="181"/>
      <c r="AQ178" s="181"/>
      <c r="AR178" s="181"/>
      <c r="AS178" s="181"/>
      <c r="AT178" s="181"/>
      <c r="AU178" s="181"/>
      <c r="AV178" s="181"/>
      <c r="AW178" s="181"/>
    </row>
    <row r="179" spans="1:49" s="181" customFormat="1" x14ac:dyDescent="0.25">
      <c r="A179" s="1510" t="str">
        <f>IF(DD_apply="Yes",IF(COUNTIF('02 - DD'!D179:G179,"Y")&gt;0,"Y",IF(COUNTIF('02 - DD'!D179:G179,"N"),"N","")),"")</f>
        <v/>
      </c>
      <c r="B179" s="177"/>
      <c r="C179" s="945"/>
      <c r="D179" s="411"/>
      <c r="E179" s="411"/>
      <c r="F179" s="411"/>
      <c r="G179" s="511"/>
      <c r="H179" s="411"/>
      <c r="I179" s="186"/>
      <c r="J179" s="578" t="str">
        <f>IF('C-Design&amp;Const'!AG179="","",'C-Design&amp;Const'!AG179)</f>
        <v/>
      </c>
      <c r="K179" s="285" t="str">
        <f>IF(CD50_apply="Yes",IF((COUNTIF(D179:G179,"Y")=COUNTIF('02 - DD'!D179:G179,"Y")),"match","no DD match"),"-")</f>
        <v>match</v>
      </c>
      <c r="L179" s="1410" t="str">
        <f t="shared" si="8"/>
        <v/>
      </c>
      <c r="M179" s="1382"/>
      <c r="N179" s="1382"/>
      <c r="O179" s="1382"/>
      <c r="P179" s="1382"/>
      <c r="Q179" s="1448"/>
      <c r="R179" s="1274"/>
      <c r="S179" s="1274"/>
      <c r="T179" s="1382"/>
      <c r="U179" s="1382"/>
      <c r="V179" s="1382"/>
      <c r="W179" s="1382"/>
      <c r="X179" s="1382"/>
      <c r="Y179" s="1382"/>
      <c r="Z179" s="1382"/>
      <c r="AA179" s="1382"/>
      <c r="AB179" s="1382"/>
      <c r="AC179" s="1382"/>
      <c r="AD179" s="1382"/>
      <c r="AE179" s="1382"/>
      <c r="AF179" s="1382"/>
      <c r="AG179" s="1382"/>
      <c r="AH179" s="1382"/>
      <c r="AI179" s="1382"/>
      <c r="AJ179" s="1382"/>
    </row>
    <row r="180" spans="1:49" s="181" customFormat="1" ht="23.25" customHeight="1" x14ac:dyDescent="0.25">
      <c r="A180" s="1501" t="str">
        <f>IF(DD_apply="Yes",IF(COUNTIF('02 - DD'!D180:G180,"Y")&gt;0,"Y",IF(COUNTIF('02 - DD'!D180:G180,"N"),"N","")),"")</f>
        <v>Y</v>
      </c>
      <c r="B180" s="177"/>
      <c r="C180" s="945"/>
      <c r="D180" s="559" t="str">
        <f>IF('C-Design&amp;Const'!$M180="","",'C-Design&amp;Const'!$M180)</f>
        <v>Y</v>
      </c>
      <c r="E180" s="234"/>
      <c r="F180" s="235"/>
      <c r="G180" s="291" t="str">
        <f>IF('C-Design&amp;Const'!Y180="","",'C-Design&amp;Const'!Y180)</f>
        <v>06.</v>
      </c>
      <c r="H180" s="290" t="str">
        <f>(CONCATENATE('C-Design&amp;Const'!Z180,IF(D180="N"," Not Used In This Design Phase",J180)))</f>
        <v>Project Manual  (Including Bid Alts.)</v>
      </c>
      <c r="I180" s="184"/>
      <c r="J180" s="578" t="str">
        <f>IF('C-Design&amp;Const'!AG180="","",'C-Design&amp;Const'!AG180)</f>
        <v xml:space="preserve"> (Including Bid Alts.)</v>
      </c>
      <c r="K180" s="285" t="str">
        <f>IF(CD50_apply="Yes",IF((COUNTIF(D180:G180,"Y")=COUNTIF('02 - DD'!D180:G180,"Y")),"match","no DD match"),"-")</f>
        <v>match</v>
      </c>
      <c r="L180" s="1410" t="str">
        <f t="shared" si="8"/>
        <v/>
      </c>
      <c r="M180" s="1382"/>
      <c r="N180" s="1382"/>
      <c r="O180" s="1382"/>
      <c r="P180" s="1382"/>
      <c r="Q180" s="1447"/>
      <c r="R180" s="1448"/>
      <c r="S180" s="1274"/>
      <c r="T180" s="1382"/>
      <c r="U180" s="1382"/>
      <c r="V180" s="1382"/>
      <c r="W180" s="1382"/>
      <c r="X180" s="1382"/>
      <c r="Y180" s="1382"/>
      <c r="Z180" s="1382"/>
      <c r="AA180" s="1382"/>
      <c r="AB180" s="1382"/>
      <c r="AC180" s="1382"/>
      <c r="AD180" s="1382"/>
      <c r="AE180" s="1382"/>
      <c r="AF180" s="1382"/>
      <c r="AG180" s="1382"/>
      <c r="AH180" s="1382"/>
      <c r="AI180" s="1382"/>
      <c r="AJ180" s="1382"/>
      <c r="AW180" s="30"/>
    </row>
    <row r="181" spans="1:49" s="181" customFormat="1" ht="18" customHeight="1" x14ac:dyDescent="0.25">
      <c r="A181" s="1510" t="str">
        <f>IF(DD_apply="Yes",IF(COUNTIF('02 - DD'!D181:G181,"Y")&gt;0,"Y",IF(COUNTIF('02 - DD'!D181:G181,"N"),"N","")),"")</f>
        <v>N</v>
      </c>
      <c r="B181" s="177"/>
      <c r="C181" s="945"/>
      <c r="D181" s="411"/>
      <c r="E181" s="559" t="str">
        <f>IF('C-Design&amp;Const'!$M181="","",'C-Design&amp;Const'!$M181)</f>
        <v>N</v>
      </c>
      <c r="F181" s="458"/>
      <c r="G181" s="506"/>
      <c r="H181" s="358" t="str">
        <f>CONCATENATE(IF(E181="N","PLACEHOLDER ROW - ",""),IF(E181="N","",J181),'C-Design&amp;Const'!Z181,)</f>
        <v>PLACEHOLDER ROW - Summary of Changes by Discipline (beyond corrections from comments) - UNDER SEPARATE COVER &amp; NOT BOUND WITH MANUAL.</v>
      </c>
      <c r="I181" s="193"/>
      <c r="J181" s="578" t="str">
        <f>IF('C-Design&amp;Const'!AG181="","",'C-Design&amp;Const'!AG181)</f>
        <v/>
      </c>
      <c r="K181" s="285" t="str">
        <f>IF(CD50_apply="Yes",IF((COUNTIF(D181:G181,"Y")=COUNTIF('02 - DD'!D181:G181,"Y")),"match","no DD match"),"-")</f>
        <v>match</v>
      </c>
      <c r="L181" s="1410" t="str">
        <f t="shared" si="8"/>
        <v>&lt;---PM/Planner may hide PLACEHOLDER ROW</v>
      </c>
      <c r="M181" s="1382"/>
      <c r="N181" s="1382"/>
      <c r="O181" s="1382"/>
      <c r="P181" s="1382"/>
      <c r="Q181" s="1490"/>
      <c r="R181" s="1274"/>
      <c r="S181" s="1274"/>
      <c r="T181" s="1382"/>
      <c r="U181" s="1382"/>
      <c r="V181" s="1382"/>
      <c r="W181" s="1382"/>
      <c r="X181" s="1382"/>
      <c r="Y181" s="1382"/>
      <c r="Z181" s="1382"/>
      <c r="AA181" s="1382"/>
      <c r="AB181" s="1382"/>
      <c r="AC181" s="1382"/>
      <c r="AD181" s="1382"/>
      <c r="AE181" s="1382"/>
      <c r="AF181" s="1382"/>
      <c r="AG181" s="1382"/>
      <c r="AH181" s="1382"/>
      <c r="AI181" s="1382"/>
      <c r="AJ181" s="1382"/>
      <c r="AW181" s="30"/>
    </row>
    <row r="182" spans="1:49" s="181" customFormat="1" ht="28.5" x14ac:dyDescent="0.25">
      <c r="A182" s="1510" t="str">
        <f>IF(DD_apply="Yes",IF(COUNTIF('02 - DD'!D182:G182,"Y")&gt;0,"Y",IF(COUNTIF('02 - DD'!D182:G182,"N"),"N","")),"")</f>
        <v>N</v>
      </c>
      <c r="B182" s="177"/>
      <c r="C182" s="945"/>
      <c r="D182" s="411"/>
      <c r="E182" s="359" t="str">
        <f>IF('C-Design&amp;Const'!$M182="","",'C-Design&amp;Const'!$M182)</f>
        <v>N</v>
      </c>
      <c r="F182" s="510"/>
      <c r="G182" s="510"/>
      <c r="H182" s="410" t="str">
        <f>CONCATENATE(IF(E182="N","PLACEHOLDER ROW - ",""),IF(E182="N","",J182),'C-Design&amp;Const'!Z182,)</f>
        <v>PLACEHOLDER ROW - Checklist for specification sections with submittals required (materials, shop drawings, calcs, etc…) - UNDER SEPARATE COVER &amp; NOT BOUND WITH MANUAL.</v>
      </c>
      <c r="I182" s="186"/>
      <c r="J182" s="578" t="str">
        <f>IF('C-Design&amp;Const'!AG182="","",'C-Design&amp;Const'!AG182)</f>
        <v/>
      </c>
      <c r="K182" s="285" t="str">
        <f>IF(CD50_apply="Yes",IF((COUNTIF(D182:G182,"Y")=COUNTIF('02 - DD'!D182:G182,"Y")),"match","no DD match"),"-")</f>
        <v>match</v>
      </c>
      <c r="L182" s="1410" t="str">
        <f>CONCATENATE(IF(ISNUMBER(SEARCH("Placeholder",H182))=TRUE,"&lt;---PM/Planner may hide PLACEHOLDER ROW",""))</f>
        <v>&lt;---PM/Planner may hide PLACEHOLDER ROW</v>
      </c>
      <c r="M182" s="1382"/>
      <c r="N182" s="1382"/>
      <c r="O182" s="1382"/>
      <c r="P182" s="1490"/>
      <c r="Q182" s="1274"/>
      <c r="R182" s="1274"/>
      <c r="S182" s="1382"/>
      <c r="T182" s="1382"/>
      <c r="U182" s="1382"/>
      <c r="V182" s="1382"/>
      <c r="W182" s="1382"/>
      <c r="X182" s="1382"/>
      <c r="Y182" s="1382"/>
      <c r="Z182" s="1382"/>
      <c r="AA182" s="1382"/>
      <c r="AB182" s="1382"/>
      <c r="AC182" s="1382"/>
      <c r="AD182" s="1382"/>
      <c r="AE182" s="1382"/>
      <c r="AF182" s="1382"/>
      <c r="AG182" s="1382"/>
      <c r="AH182" s="1382"/>
      <c r="AI182" s="1382"/>
      <c r="AJ182" s="1382"/>
    </row>
    <row r="183" spans="1:49" s="181" customFormat="1" x14ac:dyDescent="0.25">
      <c r="A183" s="1510" t="str">
        <f>IF(DD_apply="Yes",IF(COUNTIF('02 - DD'!D183:G183,"Y")&gt;0,"Y",IF(COUNTIF('02 - DD'!D183:G183,"N"),"N","")),"")</f>
        <v>N</v>
      </c>
      <c r="B183" s="177"/>
      <c r="C183" s="945"/>
      <c r="D183" s="411"/>
      <c r="E183" s="559" t="str">
        <f>IF('C-Design&amp;Const'!$M183="","",'C-Design&amp;Const'!$M183)</f>
        <v>Y</v>
      </c>
      <c r="F183" s="456"/>
      <c r="G183" s="506"/>
      <c r="H183" s="238" t="str">
        <f>CONCATENATE(IF(E183="N","PLACEHOLDER ROW - ",""),IF(E183="N","",J183),'C-Design&amp;Const'!Z183,)</f>
        <v xml:space="preserve">(Substantially Complete) Front End Documents  [Div 00] </v>
      </c>
      <c r="I183" s="193"/>
      <c r="J183" s="578" t="str">
        <f>IF('C-Design&amp;Const'!AG183="","",'C-Design&amp;Const'!AG183)</f>
        <v xml:space="preserve">(Substantially Complete) </v>
      </c>
      <c r="K183" s="285" t="str">
        <f>IF(CD50_apply="Yes",IF((COUNTIF(D183:G183,"Y")=COUNTIF('02 - DD'!D183:G183,"Y")),"match","no DD match"),"-")</f>
        <v>no DD match</v>
      </c>
      <c r="L183" s="1410" t="str">
        <f t="shared" si="8"/>
        <v/>
      </c>
      <c r="M183" s="1382"/>
      <c r="N183" s="1382"/>
      <c r="O183" s="1382"/>
      <c r="P183" s="1512"/>
      <c r="Q183" s="1274"/>
      <c r="R183" s="1274"/>
      <c r="S183" s="1382"/>
      <c r="T183" s="1382"/>
      <c r="U183" s="1382"/>
      <c r="V183" s="1382"/>
      <c r="W183" s="1382"/>
      <c r="X183" s="1382"/>
      <c r="Y183" s="1382"/>
      <c r="Z183" s="1382"/>
      <c r="AA183" s="1382"/>
      <c r="AB183" s="1382"/>
      <c r="AC183" s="1382"/>
      <c r="AD183" s="1382"/>
      <c r="AE183" s="1382"/>
      <c r="AF183" s="1382"/>
      <c r="AG183" s="1382"/>
      <c r="AH183" s="1382"/>
      <c r="AI183" s="1382"/>
      <c r="AJ183" s="1382"/>
      <c r="AV183" s="30"/>
    </row>
    <row r="184" spans="1:49" s="181" customFormat="1" hidden="1" x14ac:dyDescent="0.25">
      <c r="A184" s="1510" t="str">
        <f>IF(DD_apply="Yes",IF(COUNTIF('02 - DD'!D184:G184,"Y")&gt;0,"Y",IF(COUNTIF('02 - DD'!D184:G184,"N"),"N","")),"")</f>
        <v>Y</v>
      </c>
      <c r="B184" s="177"/>
      <c r="C184" s="945"/>
      <c r="D184" s="411"/>
      <c r="E184" s="559" t="str">
        <f>IF('C-Design&amp;Const'!$M184="","",'C-Design&amp;Const'!$M184)</f>
        <v>N</v>
      </c>
      <c r="F184" s="456"/>
      <c r="G184" s="510"/>
      <c r="H184" s="410" t="str">
        <f>CONCATENATE(IF(E184="N","PLACEHOLDER ROW - ",""),IF(E184="N","",J184),'C-Design&amp;Const'!Z184,)</f>
        <v>PLACEHOLDER ROW - Outline Specifications (CSI Format)</v>
      </c>
      <c r="I184" s="193"/>
      <c r="J184" s="578" t="str">
        <f>IF('C-Design&amp;Const'!AG184="","",'C-Design&amp;Const'!AG184)</f>
        <v/>
      </c>
      <c r="K184" s="285" t="str">
        <f>IF(CD50_apply="Yes",IF((COUNTIF(D184:G184,"Y")=COUNTIF('02 - DD'!D184:G184,"Y")),"match","no DD match"),"-")</f>
        <v>no DD match</v>
      </c>
      <c r="L184" s="1410" t="str">
        <f t="shared" si="8"/>
        <v>&lt;---PM/Planner may hide PLACEHOLDER ROW</v>
      </c>
      <c r="M184" s="1382"/>
      <c r="N184" s="1382"/>
      <c r="O184" s="1382"/>
      <c r="P184" s="1490"/>
      <c r="Q184" s="1274"/>
      <c r="R184" s="1274"/>
      <c r="S184" s="1382"/>
      <c r="T184" s="1382"/>
      <c r="U184" s="1382"/>
      <c r="V184" s="1382"/>
      <c r="W184" s="1382"/>
      <c r="X184" s="1382"/>
      <c r="Y184" s="1382"/>
      <c r="Z184" s="1382"/>
      <c r="AA184" s="1382"/>
      <c r="AB184" s="1382"/>
      <c r="AC184" s="1382"/>
      <c r="AD184" s="1382"/>
      <c r="AE184" s="1382"/>
      <c r="AF184" s="1382"/>
      <c r="AG184" s="1382"/>
      <c r="AH184" s="1382"/>
      <c r="AI184" s="1382"/>
      <c r="AJ184" s="1382"/>
      <c r="AV184" s="30"/>
    </row>
    <row r="185" spans="1:49" s="181" customFormat="1" x14ac:dyDescent="0.25">
      <c r="A185" s="1510" t="str">
        <f>IF(DD_apply="Yes",IF(COUNTIF('02 - DD'!D185:G185,"Y")&gt;0,"Y",IF(COUNTIF('02 - DD'!D185:G185,"N"),"N","")),"")</f>
        <v>N</v>
      </c>
      <c r="B185" s="177"/>
      <c r="C185" s="945"/>
      <c r="D185" s="411"/>
      <c r="E185" s="559" t="str">
        <f>IF('C-Design&amp;Const'!$M185="","",'C-Design&amp;Const'!$M185)</f>
        <v>Y</v>
      </c>
      <c r="F185" s="456"/>
      <c r="G185" s="510"/>
      <c r="H185" s="238" t="str">
        <f>CONCATENATE(IF(E185="N","PLACEHOLDER ROW - ",""),IF(E185="N","",J185),'C-Design&amp;Const'!Z185,)</f>
        <v>(Substantially Complete) Technical Specifications  [Div 01 and after]</v>
      </c>
      <c r="I185" s="193"/>
      <c r="J185" s="578" t="str">
        <f>IF('C-Design&amp;Const'!AG185="","",'C-Design&amp;Const'!AG185)</f>
        <v xml:space="preserve">(Substantially Complete) </v>
      </c>
      <c r="K185" s="285" t="str">
        <f>IF(CD50_apply="Yes",IF((COUNTIF(D185:G185,"Y")=COUNTIF('02 - DD'!D185:G185,"Y")),"match","no DD match"),"-")</f>
        <v>no DD match</v>
      </c>
      <c r="L185" s="1410" t="str">
        <f t="shared" si="8"/>
        <v/>
      </c>
      <c r="M185" s="1382"/>
      <c r="N185" s="1382"/>
      <c r="O185" s="1382"/>
      <c r="P185" s="1382"/>
      <c r="Q185" s="1490"/>
      <c r="R185" s="1274"/>
      <c r="S185" s="1274"/>
      <c r="T185" s="1382"/>
      <c r="U185" s="1382"/>
      <c r="V185" s="1382"/>
      <c r="W185" s="1382"/>
      <c r="X185" s="1382"/>
      <c r="Y185" s="1382"/>
      <c r="Z185" s="1382"/>
      <c r="AA185" s="1382"/>
      <c r="AB185" s="1382"/>
      <c r="AC185" s="1382"/>
      <c r="AD185" s="1382"/>
      <c r="AE185" s="1382"/>
      <c r="AF185" s="1382"/>
      <c r="AG185" s="1382"/>
      <c r="AH185" s="1382"/>
      <c r="AI185" s="1382"/>
      <c r="AJ185" s="1382"/>
      <c r="AW185" s="30"/>
    </row>
    <row r="186" spans="1:49" s="181" customFormat="1" ht="18.75" x14ac:dyDescent="0.25">
      <c r="A186" s="1510" t="str">
        <f>IF(DD_apply="Yes",IF(COUNTIF('02 - DD'!D186:G186,"Y")&gt;0,"Y",IF(COUNTIF('02 - DD'!D186:G186,"N"),"N","")),"")</f>
        <v>Y</v>
      </c>
      <c r="B186" s="177"/>
      <c r="C186" s="945"/>
      <c r="D186" s="411"/>
      <c r="E186" s="559" t="str">
        <f>IF('C-Design&amp;Const'!$M186="","",'C-Design&amp;Const'!$M186)</f>
        <v>Y</v>
      </c>
      <c r="F186" s="235"/>
      <c r="G186" s="94"/>
      <c r="H186" s="238" t="str">
        <f>CONCATENATE(IF(E186="N","PLACEHOLDER ROW - ",""),IF(E186="N","",J186),'C-Design&amp;Const'!Z186,)</f>
        <v xml:space="preserve">(Substantially Complete) FF&amp;E Outline Specification for at least 2 competitor packages </v>
      </c>
      <c r="I186" s="195"/>
      <c r="J186" s="578" t="str">
        <f>IF('C-Design&amp;Const'!AG186="","",'C-Design&amp;Const'!AG186)</f>
        <v xml:space="preserve">(Substantially Complete) </v>
      </c>
      <c r="K186" s="285" t="str">
        <f>IF(CD50_apply="Yes",IF((COUNTIF(D186:G186,"Y")=COUNTIF('02 - DD'!D186:G186,"Y")),"match","no DD match"),"-")</f>
        <v>match</v>
      </c>
      <c r="L186" s="1410" t="str">
        <f t="shared" ref="L186:L261" si="11">CONCATENATE(IF(ISNUMBER(SEARCH("Placeholder",H186))=TRUE,"&lt;---PM/Planner may hide PLACEHOLDER ROW",""))</f>
        <v/>
      </c>
      <c r="M186" s="1382"/>
      <c r="N186" s="1382"/>
      <c r="O186" s="1382"/>
      <c r="P186" s="1382"/>
      <c r="Q186" s="1447"/>
      <c r="R186" s="1448"/>
      <c r="S186" s="1274"/>
      <c r="T186" s="1382"/>
      <c r="U186" s="1382"/>
      <c r="V186" s="1382"/>
      <c r="W186" s="1382"/>
      <c r="X186" s="1382"/>
      <c r="Y186" s="1382"/>
      <c r="Z186" s="1382"/>
      <c r="AA186" s="1382"/>
      <c r="AB186" s="1382"/>
      <c r="AC186" s="1382"/>
      <c r="AD186" s="1382"/>
      <c r="AE186" s="1382"/>
      <c r="AF186" s="1382"/>
      <c r="AG186" s="1382"/>
      <c r="AH186" s="1382"/>
      <c r="AI186" s="1382"/>
      <c r="AJ186" s="1382"/>
      <c r="AW186" s="30"/>
    </row>
    <row r="187" spans="1:49" s="181" customFormat="1" x14ac:dyDescent="0.25">
      <c r="A187" s="1510" t="str">
        <f>IF(DD_apply="Yes",IF(COUNTIF('02 - DD'!D187:G187,"Y")&gt;0,"Y",IF(COUNTIF('02 - DD'!D187:G187,"N"),"N","")),"")</f>
        <v>N</v>
      </c>
      <c r="B187" s="177"/>
      <c r="C187" s="945"/>
      <c r="D187" s="411"/>
      <c r="E187" s="559" t="str">
        <f>IF('C-Design&amp;Const'!$M187="","",'C-Design&amp;Const'!$M187)</f>
        <v>Y</v>
      </c>
      <c r="F187" s="510"/>
      <c r="G187" s="510"/>
      <c r="H187" s="238" t="str">
        <f>CONCATENATE(IF(E187="N","PLACEHOLDER ROW - ",""),IF(E187="N","",J187),'C-Design&amp;Const'!Z187,)</f>
        <v>(Substantially Complete) Furniture Information Form (FIF)</v>
      </c>
      <c r="I187" s="193"/>
      <c r="J187" s="578" t="str">
        <f>IF('C-Design&amp;Const'!AG187="","",'C-Design&amp;Const'!AG187)</f>
        <v xml:space="preserve">(Substantially Complete) </v>
      </c>
      <c r="K187" s="285" t="str">
        <f>IF(CD50_apply="Yes",IF((COUNTIF(D187:G187,"Y")=COUNTIF('02 - DD'!D187:G187,"Y")),"match","no DD match"),"-")</f>
        <v>no DD match</v>
      </c>
      <c r="L187" s="1410" t="str">
        <f>CONCATENATE(IF(ISNUMBER(SEARCH("Placeholder",H187))=TRUE,"&lt;---PM/Planner may hide PLACEHOLDER ROW",""))</f>
        <v/>
      </c>
      <c r="M187" s="1382"/>
      <c r="N187" s="1382"/>
      <c r="O187" s="1382"/>
      <c r="P187" s="1490"/>
      <c r="Q187" s="1274"/>
      <c r="R187" s="1274"/>
      <c r="S187" s="1382"/>
      <c r="T187" s="1382"/>
      <c r="U187" s="1382"/>
      <c r="V187" s="1382"/>
      <c r="W187" s="1382"/>
      <c r="X187" s="1382"/>
      <c r="Y187" s="1382"/>
      <c r="Z187" s="1382"/>
      <c r="AA187" s="1382"/>
      <c r="AB187" s="1382"/>
      <c r="AC187" s="1382"/>
      <c r="AD187" s="1382"/>
      <c r="AE187" s="1382"/>
      <c r="AF187" s="1382"/>
      <c r="AG187" s="1382"/>
      <c r="AH187" s="1382"/>
      <c r="AI187" s="1382"/>
      <c r="AJ187" s="1382"/>
      <c r="AV187" s="30"/>
    </row>
    <row r="188" spans="1:49" s="181" customFormat="1" x14ac:dyDescent="0.25">
      <c r="A188" s="1510" t="str">
        <f>IF(DD_apply="Yes",IF(COUNTIF('02 - DD'!D188:G188,"Y")&gt;0,"Y",IF(COUNTIF('02 - DD'!D188:G188,"N"),"N","")),"")</f>
        <v>Y</v>
      </c>
      <c r="B188" s="177"/>
      <c r="C188" s="945"/>
      <c r="D188" s="411"/>
      <c r="E188" s="559" t="str">
        <f>IF('C-Design&amp;Const'!$M188="","",'C-Design&amp;Const'!$M188)</f>
        <v>Y</v>
      </c>
      <c r="F188" s="510"/>
      <c r="G188" s="510"/>
      <c r="H188" s="238" t="str">
        <f>CONCATENATE(IF(E188="N","PLACEHOLDER ROW - ",""),IF(E188="N","",J188),'C-Design&amp;Const'!Z188,)</f>
        <v xml:space="preserve">(Substantially Complete) Voice/Data Communications System Requirements </v>
      </c>
      <c r="I188" s="193"/>
      <c r="J188" s="578" t="str">
        <f>IF('C-Design&amp;Const'!AG188="","",'C-Design&amp;Const'!AG188)</f>
        <v xml:space="preserve">(Substantially Complete) </v>
      </c>
      <c r="K188" s="285" t="str">
        <f>IF(CD50_apply="Yes",IF((COUNTIF(D188:G188,"Y")=COUNTIF('02 - DD'!D188:G188,"Y")),"match","no DD match"),"-")</f>
        <v>match</v>
      </c>
      <c r="L188" s="1410" t="str">
        <f t="shared" si="11"/>
        <v/>
      </c>
      <c r="M188" s="1382"/>
      <c r="N188" s="1382"/>
      <c r="O188" s="1382"/>
      <c r="P188" s="1490"/>
      <c r="Q188" s="1274"/>
      <c r="R188" s="1274"/>
      <c r="S188" s="1382"/>
      <c r="T188" s="1382"/>
      <c r="U188" s="1382"/>
      <c r="V188" s="1382"/>
      <c r="W188" s="1382"/>
      <c r="X188" s="1382"/>
      <c r="Y188" s="1382"/>
      <c r="Z188" s="1382"/>
      <c r="AA188" s="1382"/>
      <c r="AB188" s="1382"/>
      <c r="AC188" s="1382"/>
      <c r="AD188" s="1382"/>
      <c r="AE188" s="1382"/>
      <c r="AF188" s="1382"/>
      <c r="AG188" s="1382"/>
      <c r="AH188" s="1382"/>
      <c r="AI188" s="1382"/>
      <c r="AJ188" s="1382"/>
      <c r="AV188" s="30"/>
    </row>
    <row r="189" spans="1:49" s="181" customFormat="1" ht="42.75" x14ac:dyDescent="0.25">
      <c r="A189" s="1510" t="str">
        <f>IF(DD_apply="Yes",IF(COUNTIF('02 - DD'!D189:G189,"Y")&gt;0,"Y",IF(COUNTIF('02 - DD'!D189:G189,"N"),"N","")),"")</f>
        <v>Y</v>
      </c>
      <c r="B189" s="177"/>
      <c r="C189" s="945"/>
      <c r="D189" s="411"/>
      <c r="E189" s="559" t="str">
        <f>IF('C-Design&amp;Const'!$M189="","",'C-Design&amp;Const'!$M189)</f>
        <v>Y</v>
      </c>
      <c r="F189" s="510"/>
      <c r="G189" s="510"/>
      <c r="H189" s="238" t="str">
        <f>CONCATENATE(IF(E189="N","PLACEHOLDER ROW - ",""),IF(E189="N","",J189),'C-Design&amp;Const'!Z189,)</f>
        <v xml:space="preserve">(Substantially Complete) AV Systems Requirements, including Millwork, Associated Cooling, Power, Grounding, Data / Telecomm, Acoustics &amp; Noise Control, and Lighting System. Cables Identified by Manufacturer/Model Number. </v>
      </c>
      <c r="I189" s="193"/>
      <c r="J189" s="578" t="str">
        <f>IF('C-Design&amp;Const'!AG189="","",'C-Design&amp;Const'!AG189)</f>
        <v xml:space="preserve">(Substantially Complete) </v>
      </c>
      <c r="K189" s="285" t="str">
        <f>IF(CD50_apply="Yes",IF((COUNTIF(D189:G189,"Y")=COUNTIF('02 - DD'!D189:G189,"Y")),"match","no DD match"),"-")</f>
        <v>match</v>
      </c>
      <c r="L189" s="1410" t="str">
        <f t="shared" si="11"/>
        <v/>
      </c>
      <c r="M189" s="1382"/>
      <c r="N189" s="1382"/>
      <c r="O189" s="1382"/>
      <c r="P189" s="1490"/>
      <c r="Q189" s="1274"/>
      <c r="R189" s="1274"/>
      <c r="S189" s="1382"/>
      <c r="T189" s="1382"/>
      <c r="U189" s="1382"/>
      <c r="V189" s="1382"/>
      <c r="W189" s="1382"/>
      <c r="X189" s="1382"/>
      <c r="Y189" s="1382"/>
      <c r="Z189" s="1382"/>
      <c r="AA189" s="1382"/>
      <c r="AB189" s="1382"/>
      <c r="AC189" s="1382"/>
      <c r="AD189" s="1382"/>
      <c r="AE189" s="1382"/>
      <c r="AF189" s="1382"/>
      <c r="AG189" s="1382"/>
      <c r="AH189" s="1382"/>
      <c r="AI189" s="1382"/>
      <c r="AJ189" s="1382"/>
      <c r="AV189" s="30"/>
    </row>
    <row r="190" spans="1:49" s="181" customFormat="1" x14ac:dyDescent="0.25">
      <c r="A190" s="1510" t="str">
        <f>IF(DD_apply="Yes",IF(COUNTIF('02 - DD'!D190:G190,"Y")&gt;0,"Y",IF(COUNTIF('02 - DD'!D190:G190,"N"),"N","")),"")</f>
        <v>N</v>
      </c>
      <c r="B190" s="177"/>
      <c r="C190" s="945"/>
      <c r="D190" s="411"/>
      <c r="E190" s="559" t="str">
        <f>IF('C-Design&amp;Const'!$M190="","",'C-Design&amp;Const'!$M190)</f>
        <v>Y</v>
      </c>
      <c r="F190" s="510"/>
      <c r="G190" s="510"/>
      <c r="H190" s="238" t="str">
        <f>CONCATENATE(IF(E190="N","PLACEHOLDER ROW - ",""),IF(E190="N","",J190),'C-Design&amp;Const'!Z190,)</f>
        <v>(Substantially Complete) Audio / Visual Basis of Material (AV BOM)</v>
      </c>
      <c r="I190" s="193"/>
      <c r="J190" s="578" t="str">
        <f>IF('C-Design&amp;Const'!AG190="","",'C-Design&amp;Const'!AG190)</f>
        <v xml:space="preserve">(Substantially Complete) </v>
      </c>
      <c r="K190" s="285" t="str">
        <f>IF(CD50_apply="Yes",IF((COUNTIF(D190:G190,"Y")=COUNTIF('02 - DD'!D190:G190,"Y")),"match","no DD match"),"-")</f>
        <v>no DD match</v>
      </c>
      <c r="L190" s="1410" t="str">
        <f>CONCATENATE(IF(ISNUMBER(SEARCH("Placeholder",H190))=TRUE,"&lt;---PM/Planner may hide PLACEHOLDER ROW",""))</f>
        <v/>
      </c>
      <c r="M190" s="1382"/>
      <c r="N190" s="1382"/>
      <c r="O190" s="1382"/>
      <c r="P190" s="1490"/>
      <c r="Q190" s="1274"/>
      <c r="R190" s="1274"/>
      <c r="S190" s="1382"/>
      <c r="T190" s="1382"/>
      <c r="U190" s="1382"/>
      <c r="V190" s="1382"/>
      <c r="W190" s="1382"/>
      <c r="X190" s="1382"/>
      <c r="Y190" s="1382"/>
      <c r="Z190" s="1382"/>
      <c r="AA190" s="1382"/>
      <c r="AB190" s="1382"/>
      <c r="AC190" s="1382"/>
      <c r="AD190" s="1382"/>
      <c r="AE190" s="1382"/>
      <c r="AF190" s="1382"/>
      <c r="AG190" s="1382"/>
      <c r="AH190" s="1382"/>
      <c r="AI190" s="1382"/>
      <c r="AJ190" s="1382"/>
      <c r="AV190" s="30"/>
    </row>
    <row r="191" spans="1:49" s="181" customFormat="1" x14ac:dyDescent="0.25">
      <c r="A191" s="1510" t="str">
        <f>IF(DD_apply="Yes",IF(COUNTIF('02 - DD'!D191:G191,"Y")&gt;0,"Y",IF(COUNTIF('02 - DD'!D191:G191,"N"),"N","")),"")</f>
        <v>N</v>
      </c>
      <c r="B191" s="177"/>
      <c r="C191" s="945"/>
      <c r="D191" s="411"/>
      <c r="E191" s="559" t="str">
        <f>IF('C-Design&amp;Const'!$M191="","",'C-Design&amp;Const'!$M191)</f>
        <v>Y</v>
      </c>
      <c r="F191" s="510"/>
      <c r="G191" s="510"/>
      <c r="H191" s="358" t="str">
        <f>CONCATENATE(IF(E191="N","PLACEHOLDER ROW - ",""),IF(E191="N","",J191),'C-Design&amp;Const'!Z191,)</f>
        <v>Soil Borings and Soils Report (With Applicable Section)</v>
      </c>
      <c r="I191" s="193"/>
      <c r="J191" s="578" t="str">
        <f>IF('C-Design&amp;Const'!AG191="","",'C-Design&amp;Const'!AG191)</f>
        <v/>
      </c>
      <c r="K191" s="285" t="str">
        <f>IF(CD50_apply="Yes",IF((COUNTIF(D191:G191,"Y")=COUNTIF('02 - DD'!D191:G191,"Y")),"match","no DD match"),"-")</f>
        <v>no DD match</v>
      </c>
      <c r="L191" s="1410" t="str">
        <f t="shared" si="11"/>
        <v/>
      </c>
      <c r="M191" s="1382"/>
      <c r="N191" s="1382"/>
      <c r="O191" s="1382"/>
      <c r="P191" s="1410"/>
      <c r="Q191" s="1274"/>
      <c r="R191" s="1274"/>
      <c r="S191" s="1382"/>
      <c r="T191" s="1382"/>
      <c r="U191" s="1382"/>
      <c r="V191" s="1382"/>
      <c r="W191" s="1382"/>
      <c r="X191" s="1382"/>
      <c r="Y191" s="1382"/>
      <c r="Z191" s="1382"/>
      <c r="AA191" s="1382"/>
      <c r="AB191" s="1382"/>
      <c r="AC191" s="1382"/>
      <c r="AD191" s="1382"/>
      <c r="AE191" s="1382"/>
      <c r="AF191" s="1382"/>
      <c r="AG191" s="1382"/>
      <c r="AH191" s="1382"/>
      <c r="AI191" s="1382"/>
      <c r="AJ191" s="1382"/>
      <c r="AV191" s="30"/>
    </row>
    <row r="192" spans="1:49" s="181" customFormat="1" ht="31.5" customHeight="1" x14ac:dyDescent="0.25">
      <c r="A192" s="1510" t="str">
        <f>IF(DD_apply="Yes",IF(COUNTIF('02 - DD'!D192:G192,"Y")&gt;0,"Y",IF(COUNTIF('02 - DD'!D192:G192,"N"),"N","")),"")</f>
        <v>N</v>
      </c>
      <c r="B192" s="177"/>
      <c r="C192" s="945"/>
      <c r="D192" s="411"/>
      <c r="E192" s="559" t="str">
        <f>IF('C-Design&amp;Const'!$M192="","",'C-Design&amp;Const'!$M192)</f>
        <v>Y</v>
      </c>
      <c r="F192" s="510"/>
      <c r="G192" s="510"/>
      <c r="H192" s="358" t="str">
        <f>CONCATENATE(IF(E192="N","PLACEHOLDER ROW - ",""),IF(E192="N","",J192),'C-Design&amp;Const'!Z192,)</f>
        <v>Results of Hazardous Materials Testing and Hazardous Materials Mediation Plan (With Applicable Section)</v>
      </c>
      <c r="I192" s="193"/>
      <c r="J192" s="578" t="str">
        <f>IF('C-Design&amp;Const'!AG192="","",'C-Design&amp;Const'!AG192)</f>
        <v/>
      </c>
      <c r="K192" s="285" t="str">
        <f>IF(CD50_apply="Yes",IF((COUNTIF(D192:G192,"Y")=COUNTIF('02 - DD'!D192:G192,"Y")),"match","no DD match"),"-")</f>
        <v>no DD match</v>
      </c>
      <c r="L192" s="1410" t="str">
        <f t="shared" si="11"/>
        <v/>
      </c>
      <c r="M192" s="1382"/>
      <c r="N192" s="1382"/>
      <c r="O192" s="1382"/>
      <c r="P192" s="1490"/>
      <c r="Q192" s="1274"/>
      <c r="R192" s="1274"/>
      <c r="S192" s="1382"/>
      <c r="T192" s="1382"/>
      <c r="U192" s="1382"/>
      <c r="V192" s="1382"/>
      <c r="W192" s="1382"/>
      <c r="X192" s="1382"/>
      <c r="Y192" s="1382"/>
      <c r="Z192" s="1382"/>
      <c r="AA192" s="1382"/>
      <c r="AB192" s="1382"/>
      <c r="AC192" s="1382"/>
      <c r="AD192" s="1382"/>
      <c r="AE192" s="1382"/>
      <c r="AF192" s="1382"/>
      <c r="AG192" s="1382"/>
      <c r="AH192" s="1382"/>
      <c r="AI192" s="1382"/>
      <c r="AJ192" s="1382"/>
      <c r="AV192" s="30"/>
    </row>
    <row r="193" spans="1:49" s="181" customFormat="1" ht="15" customHeight="1" x14ac:dyDescent="0.25">
      <c r="A193" s="1510" t="str">
        <f>IF(DD_apply="Yes",IF(COUNTIF('02 - DD'!D193:G193,"Y")&gt;0,"Y",IF(COUNTIF('02 - DD'!D193:G193,"N"),"N","")),"")</f>
        <v>Y</v>
      </c>
      <c r="B193" s="177"/>
      <c r="C193" s="945"/>
      <c r="D193" s="411"/>
      <c r="E193" s="359" t="str">
        <f>IF('C-Design&amp;Const'!$M193="","",'C-Design&amp;Const'!$M193)</f>
        <v>Y</v>
      </c>
      <c r="F193" s="510"/>
      <c r="G193" s="510"/>
      <c r="H193" s="358" t="str">
        <f>CONCATENATE(IF(E193="N","PLACEHOLDER ROW - ",""),IF(E193="N","",J193),'C-Design&amp;Const'!Z193,)</f>
        <v>(Applied for and received) EPA &amp; State Permits (With Applicable Section)</v>
      </c>
      <c r="I193" s="186"/>
      <c r="J193" s="578" t="str">
        <f>IF('C-Design&amp;Const'!AG193="","",'C-Design&amp;Const'!AG193)</f>
        <v xml:space="preserve">(Applied for and received) </v>
      </c>
      <c r="K193" s="285" t="str">
        <f>IF(CD50_apply="Yes",IF((COUNTIF(D193:G193,"Y")=COUNTIF('02 - DD'!D193:G193,"Y")),"match","no DD match"),"-")</f>
        <v>match</v>
      </c>
      <c r="L193" s="1410" t="str">
        <f t="shared" si="11"/>
        <v/>
      </c>
      <c r="M193" s="1382"/>
      <c r="N193" s="1382"/>
      <c r="O193" s="1382"/>
      <c r="P193" s="1490"/>
      <c r="Q193" s="1274"/>
      <c r="R193" s="1274"/>
      <c r="S193" s="1382"/>
      <c r="T193" s="1382"/>
      <c r="U193" s="1382"/>
      <c r="V193" s="1382"/>
      <c r="W193" s="1382"/>
      <c r="X193" s="1382"/>
      <c r="Y193" s="1382"/>
      <c r="Z193" s="1382"/>
      <c r="AA193" s="1382"/>
      <c r="AB193" s="1382"/>
      <c r="AC193" s="1382"/>
      <c r="AD193" s="1382"/>
      <c r="AE193" s="1382"/>
      <c r="AF193" s="1382"/>
      <c r="AG193" s="1382"/>
      <c r="AH193" s="1382"/>
      <c r="AI193" s="1382"/>
      <c r="AJ193" s="1382"/>
    </row>
    <row r="194" spans="1:49" s="181" customFormat="1" x14ac:dyDescent="0.25">
      <c r="A194" s="1510" t="str">
        <f>IF(DD_apply="Yes",IF(COUNTIF('02 - DD'!D194:G194,"Y")&gt;0,"Y",IF(COUNTIF('02 - DD'!D194:G194,"N"),"N","")),"")</f>
        <v>N</v>
      </c>
      <c r="B194" s="177"/>
      <c r="C194" s="945"/>
      <c r="D194" s="411"/>
      <c r="E194" s="559" t="str">
        <f>IF('C-Design&amp;Const'!$M194="","",'C-Design&amp;Const'!$M194)</f>
        <v>Y</v>
      </c>
      <c r="F194" s="510"/>
      <c r="G194" s="510"/>
      <c r="H194" s="410" t="str">
        <f>CONCATENATE(IF(E194="N","PLACEHOLDER ROW - ",""),IF(E194="N","",J194),'C-Design&amp;Const'!Z194,)</f>
        <v>Results of flow testing (With Applicable Section)</v>
      </c>
      <c r="I194" s="193"/>
      <c r="J194" s="578" t="str">
        <f>IF('C-Design&amp;Const'!AG194="","",'C-Design&amp;Const'!AG194)</f>
        <v/>
      </c>
      <c r="K194" s="285" t="str">
        <f>IF(CD50_apply="Yes",IF((COUNTIF(D194:G194,"Y")=COUNTIF('02 - DD'!D194:G194,"Y")),"match","no DD match"),"-")</f>
        <v>no DD match</v>
      </c>
      <c r="L194" s="1410" t="str">
        <f t="shared" si="11"/>
        <v/>
      </c>
      <c r="M194" s="1382"/>
      <c r="N194" s="1382"/>
      <c r="O194" s="1382"/>
      <c r="P194" s="1490"/>
      <c r="Q194" s="1274"/>
      <c r="R194" s="1274"/>
      <c r="S194" s="1382"/>
      <c r="T194" s="1382"/>
      <c r="U194" s="1382"/>
      <c r="V194" s="1382"/>
      <c r="W194" s="1382"/>
      <c r="X194" s="1382"/>
      <c r="Y194" s="1382"/>
      <c r="Z194" s="1382"/>
      <c r="AA194" s="1382"/>
      <c r="AB194" s="1382"/>
      <c r="AC194" s="1382"/>
      <c r="AD194" s="1382"/>
      <c r="AE194" s="1382"/>
      <c r="AF194" s="1382"/>
      <c r="AG194" s="1382"/>
      <c r="AH194" s="1382"/>
      <c r="AI194" s="1382"/>
      <c r="AJ194" s="1382"/>
      <c r="AV194" s="30"/>
    </row>
    <row r="195" spans="1:49" s="181" customFormat="1" ht="15.75" x14ac:dyDescent="0.25">
      <c r="A195" s="1510" t="str">
        <f>IF(DD_apply="Yes",IF(COUNTIF('02 - DD'!D195:G195,"Y")&gt;0,"Y",IF(COUNTIF('02 - DD'!D195:G195,"N"),"N","")),"")</f>
        <v>N</v>
      </c>
      <c r="B195" s="177"/>
      <c r="C195" s="945"/>
      <c r="D195" s="411"/>
      <c r="E195" s="359" t="str">
        <f>IF('C-Design&amp;Const'!$M195="","",'C-Design&amp;Const'!$M195)</f>
        <v>Y</v>
      </c>
      <c r="F195" s="510"/>
      <c r="G195" s="510"/>
      <c r="H195" s="410" t="str">
        <f>CONCATENATE(IF(E195="N","PLACEHOLDER ROW - ",""),IF(E195="N","",J195),'C-Design&amp;Const'!Z195,)</f>
        <v>Results of existing exterior envelope material tests or strengths (With Applicable section)</v>
      </c>
      <c r="I195" s="186"/>
      <c r="J195" s="578" t="str">
        <f>IF('C-Design&amp;Const'!AG195="","",'C-Design&amp;Const'!AG195)</f>
        <v/>
      </c>
      <c r="K195" s="285" t="str">
        <f>IF(CD50_apply="Yes",IF((COUNTIF(D195:G195,"Y")=COUNTIF('02 - DD'!D195:G195,"Y")),"match","no DD match"),"-")</f>
        <v>no DD match</v>
      </c>
      <c r="L195" s="1410" t="str">
        <f t="shared" si="11"/>
        <v/>
      </c>
      <c r="M195" s="1382"/>
      <c r="N195" s="1382"/>
      <c r="O195" s="1382"/>
      <c r="P195" s="1490"/>
      <c r="Q195" s="1274"/>
      <c r="R195" s="1274"/>
      <c r="S195" s="1382"/>
      <c r="T195" s="1382"/>
      <c r="U195" s="1382"/>
      <c r="V195" s="1382"/>
      <c r="W195" s="1382"/>
      <c r="X195" s="1382"/>
      <c r="Y195" s="1382"/>
      <c r="Z195" s="1382"/>
      <c r="AA195" s="1382"/>
      <c r="AB195" s="1382"/>
      <c r="AC195" s="1382"/>
      <c r="AD195" s="1382"/>
      <c r="AE195" s="1382"/>
      <c r="AF195" s="1382"/>
      <c r="AG195" s="1382"/>
      <c r="AH195" s="1382"/>
      <c r="AI195" s="1382"/>
      <c r="AJ195" s="1382"/>
    </row>
    <row r="196" spans="1:49" s="181" customFormat="1" ht="28.5" x14ac:dyDescent="0.25">
      <c r="A196" s="1510" t="str">
        <f>IF(DD_apply="Yes",IF(COUNTIF('02 - DD'!D196:G196,"Y")&gt;0,"Y",IF(COUNTIF('02 - DD'!D196:G196,"N"),"N","")),"")</f>
        <v>N</v>
      </c>
      <c r="B196" s="177"/>
      <c r="C196" s="945"/>
      <c r="D196" s="411"/>
      <c r="E196" s="559" t="str">
        <f>IF('C-Design&amp;Const'!$M196="","",'C-Design&amp;Const'!$M196)</f>
        <v>Y</v>
      </c>
      <c r="F196" s="510"/>
      <c r="G196" s="510"/>
      <c r="H196" s="410" t="str">
        <f>CONCATENATE(IF(E196="N","PLACEHOLDER ROW - ",""),IF(E196="N","",J196),'C-Design&amp;Const'!Z196,)</f>
        <v>Results of any existing structural materials tests or verification / scans of structure layout. (With Applicable section)</v>
      </c>
      <c r="I196" s="193"/>
      <c r="J196" s="578" t="str">
        <f>IF('C-Design&amp;Const'!AG196="","",'C-Design&amp;Const'!AG196)</f>
        <v/>
      </c>
      <c r="K196" s="285" t="str">
        <f>IF(CD50_apply="Yes",IF((COUNTIF(D196:G196,"Y")=COUNTIF('02 - DD'!D196:G196,"Y")),"match","no DD match"),"-")</f>
        <v>no DD match</v>
      </c>
      <c r="L196" s="1410" t="str">
        <f t="shared" si="11"/>
        <v/>
      </c>
      <c r="M196" s="1382"/>
      <c r="N196" s="1382"/>
      <c r="O196" s="1382"/>
      <c r="P196" s="1490"/>
      <c r="Q196" s="1274"/>
      <c r="R196" s="1274"/>
      <c r="S196" s="1382"/>
      <c r="T196" s="1382"/>
      <c r="U196" s="1382"/>
      <c r="V196" s="1382"/>
      <c r="W196" s="1382"/>
      <c r="X196" s="1382"/>
      <c r="Y196" s="1382"/>
      <c r="Z196" s="1382"/>
      <c r="AA196" s="1382"/>
      <c r="AB196" s="1382"/>
      <c r="AC196" s="1382"/>
      <c r="AD196" s="1382"/>
      <c r="AE196" s="1382"/>
      <c r="AF196" s="1382"/>
      <c r="AG196" s="1382"/>
      <c r="AH196" s="1382"/>
      <c r="AI196" s="1382"/>
      <c r="AJ196" s="1382"/>
      <c r="AV196" s="30"/>
    </row>
    <row r="197" spans="1:49" s="30" customFormat="1" ht="15" customHeight="1" x14ac:dyDescent="0.25">
      <c r="A197" s="1510" t="str">
        <f>IF(DD_apply="Yes",IF(COUNTIF('02 - DD'!D197:G197,"Y")&gt;0,"Y",IF(COUNTIF('02 - DD'!D197:G197,"N"),"N","")),"")</f>
        <v>N</v>
      </c>
      <c r="B197" s="191"/>
      <c r="C197" s="945"/>
      <c r="D197" s="463"/>
      <c r="E197" s="359" t="str">
        <f>IF('C-Design&amp;Const'!$M197="","",'C-Design&amp;Const'!$M197)</f>
        <v>N</v>
      </c>
      <c r="F197" s="291"/>
      <c r="G197" s="291"/>
      <c r="H197" s="410" t="str">
        <f>CONCATENATE(IF(E197="N","PLACEHOLDER ROW - ",""),IF(E197="N","",J197),'C-Design&amp;Const'!Z197,)</f>
        <v>PLACEHOLDER ROW - CUSTOM ROW - OPTIONAL CLIENT ITEM</v>
      </c>
      <c r="I197" s="184"/>
      <c r="J197" s="578" t="str">
        <f>IF('C-Design&amp;Const'!AG197="","",'C-Design&amp;Const'!AG197)</f>
        <v/>
      </c>
      <c r="K197" s="285" t="str">
        <f>IF(CD50_apply="Yes",IF((COUNTIF(D197:G197,"Y")=COUNTIF('02 - DD'!D197:G197,"Y")),"match","no DD match"),"-")</f>
        <v>match</v>
      </c>
      <c r="L197" s="1410" t="str">
        <f t="shared" si="11"/>
        <v>&lt;---PM/Planner may hide PLACEHOLDER ROW</v>
      </c>
      <c r="M197" s="1382"/>
      <c r="N197" s="1382"/>
      <c r="O197" s="1382"/>
      <c r="P197" s="1382"/>
      <c r="Q197" s="1382"/>
      <c r="R197" s="1382"/>
      <c r="S197" s="1382"/>
      <c r="T197" s="1382"/>
      <c r="U197" s="1382"/>
      <c r="V197" s="1382"/>
      <c r="W197" s="1382"/>
      <c r="X197" s="1382"/>
      <c r="Y197" s="1382"/>
      <c r="Z197" s="1382"/>
      <c r="AA197" s="1382"/>
      <c r="AB197" s="1382"/>
      <c r="AC197" s="1382"/>
      <c r="AD197" s="1382"/>
      <c r="AE197" s="1382"/>
      <c r="AF197" s="1382"/>
      <c r="AG197" s="1382"/>
      <c r="AH197" s="1382"/>
      <c r="AI197" s="1382"/>
      <c r="AJ197" s="1382"/>
      <c r="AK197" s="181"/>
      <c r="AL197" s="181"/>
      <c r="AM197" s="181"/>
      <c r="AN197" s="181"/>
      <c r="AO197" s="181"/>
      <c r="AP197" s="181"/>
      <c r="AQ197" s="181"/>
      <c r="AR197" s="181"/>
      <c r="AS197" s="181"/>
      <c r="AT197" s="181"/>
      <c r="AU197" s="181"/>
      <c r="AV197" s="181"/>
      <c r="AW197" s="181"/>
    </row>
    <row r="198" spans="1:49" s="181" customFormat="1" ht="15.75" x14ac:dyDescent="0.25">
      <c r="A198" s="1510" t="str">
        <f>IF(DD_apply="Yes",IF(COUNTIF('02 - DD'!D198:G198,"Y")&gt;0,"Y",IF(COUNTIF('02 - DD'!D198:G198,"N"),"N","")),"")</f>
        <v>N</v>
      </c>
      <c r="B198" s="177"/>
      <c r="C198" s="945"/>
      <c r="D198" s="411"/>
      <c r="E198" s="359" t="str">
        <f>IF('C-Design&amp;Const'!$M198="","",'C-Design&amp;Const'!$M198)</f>
        <v>N</v>
      </c>
      <c r="F198" s="510"/>
      <c r="G198" s="510"/>
      <c r="H198" s="410" t="str">
        <f>CONCATENATE(IF(E198="N","PLACEHOLDER ROW - ",""),IF(E198="N","",J198),'C-Design&amp;Const'!Z198,)</f>
        <v>PLACEHOLDER ROW - CUSTOM ROW - OPTIONAL CLIENT ITEM</v>
      </c>
      <c r="I198" s="186"/>
      <c r="J198" s="578" t="str">
        <f>IF('C-Design&amp;Const'!AG198="","",'C-Design&amp;Const'!AG198)</f>
        <v/>
      </c>
      <c r="K198" s="285" t="str">
        <f>IF(CD50_apply="Yes",IF((COUNTIF(D198:G198,"Y")=COUNTIF('02 - DD'!D198:G198,"Y")),"match","no DD match"),"-")</f>
        <v>match</v>
      </c>
      <c r="L198" s="1410" t="str">
        <f t="shared" si="11"/>
        <v>&lt;---PM/Planner may hide PLACEHOLDER ROW</v>
      </c>
      <c r="M198" s="1382"/>
      <c r="N198" s="1382"/>
      <c r="O198" s="1382"/>
      <c r="P198" s="1490"/>
      <c r="Q198" s="1274"/>
      <c r="R198" s="1274"/>
      <c r="S198" s="1382"/>
      <c r="T198" s="1382"/>
      <c r="U198" s="1382"/>
      <c r="V198" s="1382"/>
      <c r="W198" s="1382"/>
      <c r="X198" s="1382"/>
      <c r="Y198" s="1382"/>
      <c r="Z198" s="1382"/>
      <c r="AA198" s="1382"/>
      <c r="AB198" s="1382"/>
      <c r="AC198" s="1382"/>
      <c r="AD198" s="1382"/>
      <c r="AE198" s="1382"/>
      <c r="AF198" s="1382"/>
      <c r="AG198" s="1382"/>
      <c r="AH198" s="1382"/>
      <c r="AI198" s="1382"/>
      <c r="AJ198" s="1382"/>
    </row>
    <row r="199" spans="1:49" s="181" customFormat="1" ht="15.75" hidden="1" x14ac:dyDescent="0.25">
      <c r="A199" s="1510" t="str">
        <f>IF(DD_apply="Yes",IF(COUNTIF('02 - DD'!D199:G199,"Y")&gt;0,"Y",IF(COUNTIF('02 - DD'!D199:G199,"N"),"N","")),"")</f>
        <v>N</v>
      </c>
      <c r="B199" s="177"/>
      <c r="C199" s="945"/>
      <c r="D199" s="411"/>
      <c r="E199" s="359" t="str">
        <f>IF('C-Design&amp;Const'!$M199="","",'C-Design&amp;Const'!$M199)</f>
        <v>N</v>
      </c>
      <c r="F199" s="510"/>
      <c r="G199" s="510"/>
      <c r="H199" s="410" t="str">
        <f>CONCATENATE(IF(E199="N","PLACEHOLDER ROW - ",""),IF(E199="N","",J199),'C-Design&amp;Const'!Z199,)</f>
        <v>PLACEHOLDER ROW - CUSTOM ROW - OPTIONAL CLIENT ITEM</v>
      </c>
      <c r="I199" s="186"/>
      <c r="J199" s="578" t="str">
        <f>IF('C-Design&amp;Const'!AG199="","",'C-Design&amp;Const'!AG199)</f>
        <v/>
      </c>
      <c r="K199" s="285" t="str">
        <f>IF(CD50_apply="Yes",IF((COUNTIF(D199:G199,"Y")=COUNTIF('02 - DD'!D199:G199,"Y")),"match","no DD match"),"-")</f>
        <v>match</v>
      </c>
      <c r="L199" s="1410" t="str">
        <f t="shared" si="11"/>
        <v>&lt;---PM/Planner may hide PLACEHOLDER ROW</v>
      </c>
      <c r="M199" s="1382"/>
      <c r="N199" s="1382"/>
      <c r="O199" s="1382"/>
      <c r="P199" s="1490"/>
      <c r="Q199" s="1274"/>
      <c r="R199" s="1274"/>
      <c r="S199" s="1382"/>
      <c r="T199" s="1382"/>
      <c r="U199" s="1382"/>
      <c r="V199" s="1382"/>
      <c r="W199" s="1382"/>
      <c r="X199" s="1382"/>
      <c r="Y199" s="1382"/>
      <c r="Z199" s="1382"/>
      <c r="AA199" s="1382"/>
      <c r="AB199" s="1382"/>
      <c r="AC199" s="1382"/>
      <c r="AD199" s="1382"/>
      <c r="AE199" s="1382"/>
      <c r="AF199" s="1382"/>
      <c r="AG199" s="1382"/>
      <c r="AH199" s="1382"/>
      <c r="AI199" s="1382"/>
      <c r="AJ199" s="1382"/>
    </row>
    <row r="200" spans="1:49" s="181" customFormat="1" hidden="1" x14ac:dyDescent="0.25">
      <c r="A200" s="1510" t="str">
        <f>IF(DD_apply="Yes",IF(COUNTIF('02 - DD'!D200:G200,"Y")&gt;0,"Y",IF(COUNTIF('02 - DD'!D200:G200,"N"),"N","")),"")</f>
        <v>N</v>
      </c>
      <c r="B200" s="177"/>
      <c r="C200" s="945"/>
      <c r="D200" s="411"/>
      <c r="E200" s="559" t="str">
        <f>IF('C-Design&amp;Const'!$M200="","",'C-Design&amp;Const'!$M200)</f>
        <v>N</v>
      </c>
      <c r="F200" s="510"/>
      <c r="G200" s="510"/>
      <c r="H200" s="410" t="str">
        <f>CONCATENATE(IF(E200="N","PLACEHOLDER ROW - ",""),IF(E200="N","",J200),'C-Design&amp;Const'!Z200,)</f>
        <v>PLACEHOLDER ROW - CUSTOM ROW - OPTIONAL CLIENT ITEM</v>
      </c>
      <c r="I200" s="193"/>
      <c r="J200" s="578" t="str">
        <f>IF('C-Design&amp;Const'!AG200="","",'C-Design&amp;Const'!AG200)</f>
        <v/>
      </c>
      <c r="K200" s="285" t="str">
        <f>IF(CD50_apply="Yes",IF((COUNTIF(D200:G200,"Y")=COUNTIF('02 - DD'!D200:G200,"Y")),"match","no DD match"),"-")</f>
        <v>match</v>
      </c>
      <c r="L200" s="1410" t="str">
        <f t="shared" si="11"/>
        <v>&lt;---PM/Planner may hide PLACEHOLDER ROW</v>
      </c>
      <c r="M200" s="1382"/>
      <c r="N200" s="1382"/>
      <c r="O200" s="1382"/>
      <c r="P200" s="1490"/>
      <c r="Q200" s="1274"/>
      <c r="R200" s="1274"/>
      <c r="S200" s="1382"/>
      <c r="T200" s="1382"/>
      <c r="U200" s="1382"/>
      <c r="V200" s="1382"/>
      <c r="W200" s="1382"/>
      <c r="X200" s="1382"/>
      <c r="Y200" s="1382"/>
      <c r="Z200" s="1382"/>
      <c r="AA200" s="1382"/>
      <c r="AB200" s="1382"/>
      <c r="AC200" s="1382"/>
      <c r="AD200" s="1382"/>
      <c r="AE200" s="1382"/>
      <c r="AF200" s="1382"/>
      <c r="AG200" s="1382"/>
      <c r="AH200" s="1382"/>
      <c r="AI200" s="1382"/>
      <c r="AJ200" s="1382"/>
      <c r="AV200" s="30"/>
    </row>
    <row r="201" spans="1:49" s="181" customFormat="1" ht="15.75" hidden="1" x14ac:dyDescent="0.25">
      <c r="A201" s="1510" t="str">
        <f>IF(DD_apply="Yes",IF(COUNTIF('02 - DD'!D201:G201,"Y")&gt;0,"Y",IF(COUNTIF('02 - DD'!D201:G201,"N"),"N","")),"")</f>
        <v>N</v>
      </c>
      <c r="B201" s="177"/>
      <c r="C201" s="945"/>
      <c r="D201" s="411"/>
      <c r="E201" s="359" t="str">
        <f>IF('C-Design&amp;Const'!$M201="","",'C-Design&amp;Const'!$M201)</f>
        <v>N</v>
      </c>
      <c r="F201" s="510"/>
      <c r="G201" s="510"/>
      <c r="H201" s="410" t="str">
        <f>CONCATENATE(IF(E201="N","PLACEHOLDER ROW - ",""),IF(E201="N","",J201),'C-Design&amp;Const'!Z201,)</f>
        <v>PLACEHOLDER ROW - CUSTOM ROW - OPTIONAL CLIENT ITEM</v>
      </c>
      <c r="I201" s="186"/>
      <c r="J201" s="578" t="str">
        <f>IF('C-Design&amp;Const'!AG201="","",'C-Design&amp;Const'!AG201)</f>
        <v/>
      </c>
      <c r="K201" s="285" t="str">
        <f>IF(CD50_apply="Yes",IF((COUNTIF(D201:G201,"Y")=COUNTIF('02 - DD'!D201:G201,"Y")),"match","no DD match"),"-")</f>
        <v>match</v>
      </c>
      <c r="L201" s="1410" t="str">
        <f t="shared" si="11"/>
        <v>&lt;---PM/Planner may hide PLACEHOLDER ROW</v>
      </c>
      <c r="M201" s="1382"/>
      <c r="N201" s="1382"/>
      <c r="O201" s="1382"/>
      <c r="P201" s="1490"/>
      <c r="Q201" s="1274"/>
      <c r="R201" s="1274"/>
      <c r="S201" s="1382"/>
      <c r="T201" s="1382"/>
      <c r="U201" s="1382"/>
      <c r="V201" s="1382"/>
      <c r="W201" s="1382"/>
      <c r="X201" s="1382"/>
      <c r="Y201" s="1382"/>
      <c r="Z201" s="1382"/>
      <c r="AA201" s="1382"/>
      <c r="AB201" s="1382"/>
      <c r="AC201" s="1382"/>
      <c r="AD201" s="1382"/>
      <c r="AE201" s="1382"/>
      <c r="AF201" s="1382"/>
      <c r="AG201" s="1382"/>
      <c r="AH201" s="1382"/>
      <c r="AI201" s="1382"/>
      <c r="AJ201" s="1382"/>
    </row>
    <row r="202" spans="1:49" s="181" customFormat="1" hidden="1" x14ac:dyDescent="0.25">
      <c r="A202" s="1510" t="str">
        <f>IF(DD_apply="Yes",IF(COUNTIF('02 - DD'!D202:G202,"Y")&gt;0,"Y",IF(COUNTIF('02 - DD'!D202:G202,"N"),"N","")),"")</f>
        <v>N</v>
      </c>
      <c r="B202" s="177"/>
      <c r="C202" s="945"/>
      <c r="D202" s="411"/>
      <c r="E202" s="559" t="str">
        <f>IF('C-Design&amp;Const'!$M202="","",'C-Design&amp;Const'!$M202)</f>
        <v>N</v>
      </c>
      <c r="F202" s="510"/>
      <c r="G202" s="510"/>
      <c r="H202" s="410" t="str">
        <f>CONCATENATE(IF(E202="N","PLACEHOLDER ROW - ",""),IF(E202="N","",J202),'C-Design&amp;Const'!Z202,)</f>
        <v>PLACEHOLDER ROW - CUSTOM ROW - OPTIONAL CLIENT ITEM</v>
      </c>
      <c r="I202" s="193"/>
      <c r="J202" s="578" t="str">
        <f>IF('C-Design&amp;Const'!AG202="","",'C-Design&amp;Const'!AG202)</f>
        <v/>
      </c>
      <c r="K202" s="285" t="str">
        <f>IF(CD50_apply="Yes",IF((COUNTIF(D202:G202,"Y")=COUNTIF('02 - DD'!D202:G202,"Y")),"match","no DD match"),"-")</f>
        <v>match</v>
      </c>
      <c r="L202" s="1410" t="str">
        <f t="shared" si="11"/>
        <v>&lt;---PM/Planner may hide PLACEHOLDER ROW</v>
      </c>
      <c r="M202" s="1382"/>
      <c r="N202" s="1382"/>
      <c r="O202" s="1382"/>
      <c r="P202" s="1490"/>
      <c r="Q202" s="1274"/>
      <c r="R202" s="1274"/>
      <c r="S202" s="1382"/>
      <c r="T202" s="1382"/>
      <c r="U202" s="1382"/>
      <c r="V202" s="1382"/>
      <c r="W202" s="1382"/>
      <c r="X202" s="1382"/>
      <c r="Y202" s="1382"/>
      <c r="Z202" s="1382"/>
      <c r="AA202" s="1382"/>
      <c r="AB202" s="1382"/>
      <c r="AC202" s="1382"/>
      <c r="AD202" s="1382"/>
      <c r="AE202" s="1382"/>
      <c r="AF202" s="1382"/>
      <c r="AG202" s="1382"/>
      <c r="AH202" s="1382"/>
      <c r="AI202" s="1382"/>
      <c r="AJ202" s="1382"/>
      <c r="AV202" s="30"/>
    </row>
    <row r="203" spans="1:49" s="181" customFormat="1" hidden="1" x14ac:dyDescent="0.25">
      <c r="A203" s="1510" t="str">
        <f>IF(DD_apply="Yes",IF(COUNTIF('02 - DD'!D203:G203,"Y")&gt;0,"Y",IF(COUNTIF('02 - DD'!D203:G203,"N"),"N","")),"")</f>
        <v>N</v>
      </c>
      <c r="B203" s="177"/>
      <c r="C203" s="945"/>
      <c r="D203" s="411"/>
      <c r="E203" s="559" t="str">
        <f>IF('C-Design&amp;Const'!$M203="","",'C-Design&amp;Const'!$M203)</f>
        <v>N</v>
      </c>
      <c r="F203" s="510"/>
      <c r="G203" s="510"/>
      <c r="H203" s="410" t="str">
        <f>CONCATENATE(IF(E203="N","PLACEHOLDER ROW - ",""),IF(E203="N","",J203),'C-Design&amp;Const'!Z203,)</f>
        <v>PLACEHOLDER ROW - CUSTOM ROW - OPTIONAL CLIENT ITEM</v>
      </c>
      <c r="I203" s="193"/>
      <c r="J203" s="578" t="str">
        <f>IF('C-Design&amp;Const'!AG203="","",'C-Design&amp;Const'!AG203)</f>
        <v/>
      </c>
      <c r="K203" s="285" t="str">
        <f>IF(CD50_apply="Yes",IF((COUNTIF(D203:G203,"Y")=COUNTIF('02 - DD'!D203:G203,"Y")),"match","no DD match"),"-")</f>
        <v>match</v>
      </c>
      <c r="L203" s="1410" t="str">
        <f t="shared" si="11"/>
        <v>&lt;---PM/Planner may hide PLACEHOLDER ROW</v>
      </c>
      <c r="M203" s="1382"/>
      <c r="N203" s="1382"/>
      <c r="O203" s="1382"/>
      <c r="P203" s="1490"/>
      <c r="Q203" s="1274"/>
      <c r="R203" s="1274"/>
      <c r="S203" s="1382"/>
      <c r="T203" s="1382"/>
      <c r="U203" s="1382"/>
      <c r="V203" s="1382"/>
      <c r="W203" s="1382"/>
      <c r="X203" s="1382"/>
      <c r="Y203" s="1382"/>
      <c r="Z203" s="1382"/>
      <c r="AA203" s="1382"/>
      <c r="AB203" s="1382"/>
      <c r="AC203" s="1382"/>
      <c r="AD203" s="1382"/>
      <c r="AE203" s="1382"/>
      <c r="AF203" s="1382"/>
      <c r="AG203" s="1382"/>
      <c r="AH203" s="1382"/>
      <c r="AI203" s="1382"/>
      <c r="AJ203" s="1382"/>
      <c r="AV203" s="30"/>
    </row>
    <row r="204" spans="1:49" s="181" customFormat="1" hidden="1" x14ac:dyDescent="0.25">
      <c r="A204" s="1510" t="str">
        <f>IF(DD_apply="Yes",IF(COUNTIF('02 - DD'!D204:G204,"Y")&gt;0,"Y",IF(COUNTIF('02 - DD'!D204:G204,"N"),"N","")),"")</f>
        <v>N</v>
      </c>
      <c r="B204" s="177"/>
      <c r="C204" s="945"/>
      <c r="D204" s="411"/>
      <c r="E204" s="559" t="str">
        <f>IF('C-Design&amp;Const'!$M204="","",'C-Design&amp;Const'!$M204)</f>
        <v>N</v>
      </c>
      <c r="F204" s="510"/>
      <c r="G204" s="510"/>
      <c r="H204" s="410" t="str">
        <f>CONCATENATE(IF(E204="N","PLACEHOLDER ROW - ",""),IF(E204="N","",J204),'C-Design&amp;Const'!Z204,)</f>
        <v>PLACEHOLDER ROW - CUSTOM ROW - OPTIONAL CLIENT ITEM</v>
      </c>
      <c r="I204" s="193"/>
      <c r="J204" s="578" t="str">
        <f>IF('C-Design&amp;Const'!AG204="","",'C-Design&amp;Const'!AG204)</f>
        <v/>
      </c>
      <c r="K204" s="285" t="str">
        <f>IF(CD50_apply="Yes",IF((COUNTIF(D204:G204,"Y")=COUNTIF('02 - DD'!D204:G204,"Y")),"match","no DD match"),"-")</f>
        <v>match</v>
      </c>
      <c r="L204" s="1410" t="str">
        <f t="shared" si="11"/>
        <v>&lt;---PM/Planner may hide PLACEHOLDER ROW</v>
      </c>
      <c r="M204" s="1382"/>
      <c r="N204" s="1382"/>
      <c r="O204" s="1382"/>
      <c r="P204" s="1490"/>
      <c r="Q204" s="1274"/>
      <c r="R204" s="1274"/>
      <c r="S204" s="1382"/>
      <c r="T204" s="1382"/>
      <c r="U204" s="1382"/>
      <c r="V204" s="1382"/>
      <c r="W204" s="1382"/>
      <c r="X204" s="1382"/>
      <c r="Y204" s="1382"/>
      <c r="Z204" s="1382"/>
      <c r="AA204" s="1382"/>
      <c r="AB204" s="1382"/>
      <c r="AC204" s="1382"/>
      <c r="AD204" s="1382"/>
      <c r="AE204" s="1382"/>
      <c r="AF204" s="1382"/>
      <c r="AG204" s="1382"/>
      <c r="AH204" s="1382"/>
      <c r="AI204" s="1382"/>
      <c r="AJ204" s="1382"/>
      <c r="AV204" s="30"/>
    </row>
    <row r="205" spans="1:49" s="181" customFormat="1" ht="15.75" x14ac:dyDescent="0.25">
      <c r="A205" s="1501" t="str">
        <f>IF(DD_apply="Yes",IF(COUNTIF('02 - DD'!D205:G205,"Y")&gt;0,"Y",IF(COUNTIF('02 - DD'!D205:G205,"N"),"N","")),"")</f>
        <v/>
      </c>
      <c r="B205" s="177"/>
      <c r="C205" s="945"/>
      <c r="D205" s="475"/>
      <c r="E205" s="475"/>
      <c r="F205" s="475"/>
      <c r="G205" s="475"/>
      <c r="H205" s="475"/>
      <c r="I205" s="186"/>
      <c r="J205" s="578" t="str">
        <f>IF('C-Design&amp;Const'!AG205="","",'C-Design&amp;Const'!AG205)</f>
        <v/>
      </c>
      <c r="K205" s="285" t="str">
        <f>IF(CD50_apply="Yes",IF((COUNTIF(D205:G205,"Y")=COUNTIF('02 - DD'!D205:G205,"Y")),"match","no DD match"),"-")</f>
        <v>match</v>
      </c>
      <c r="L205" s="1410" t="str">
        <f t="shared" si="11"/>
        <v/>
      </c>
      <c r="M205" s="1382"/>
      <c r="N205" s="1382"/>
      <c r="O205" s="1382"/>
      <c r="P205" s="1382"/>
      <c r="Q205" s="1490"/>
      <c r="R205" s="1274"/>
      <c r="S205" s="1274"/>
      <c r="T205" s="1382"/>
      <c r="U205" s="1382"/>
      <c r="V205" s="1382"/>
      <c r="W205" s="1382"/>
      <c r="X205" s="1382"/>
      <c r="Y205" s="1382"/>
      <c r="Z205" s="1382"/>
      <c r="AA205" s="1382"/>
      <c r="AB205" s="1382"/>
      <c r="AC205" s="1382"/>
      <c r="AD205" s="1382"/>
      <c r="AE205" s="1382"/>
      <c r="AF205" s="1382"/>
      <c r="AG205" s="1382"/>
      <c r="AH205" s="1382"/>
      <c r="AI205" s="1382"/>
      <c r="AJ205" s="1382"/>
    </row>
    <row r="206" spans="1:49" s="181" customFormat="1" ht="18.75" x14ac:dyDescent="0.25">
      <c r="A206" s="1448" t="str">
        <f>IF(DD_apply="Yes",IF(COUNTIF('02 - DD'!D206:G206,"Y")&gt;0,"Y",IF(COUNTIF('02 - DD'!D206:G206,"N"),"N","")),"")</f>
        <v>Y</v>
      </c>
      <c r="B206" s="177"/>
      <c r="C206" s="945"/>
      <c r="D206" s="359" t="str">
        <f>IF('C-Design&amp;Const'!$M206="","",'C-Design&amp;Const'!$M206)</f>
        <v>Y</v>
      </c>
      <c r="E206" s="234"/>
      <c r="F206" s="235"/>
      <c r="G206" s="291" t="str">
        <f>IF('C-Design&amp;Const'!Y206="","",'C-Design&amp;Const'!Y206)</f>
        <v>07a.</v>
      </c>
      <c r="H206" s="290" t="str">
        <f>CONCATENATE('C-Design&amp;Const'!Z206,IF(D206="N"," Not Used In This Design Phase",J206))</f>
        <v>Drawing Set (Including Bid Alts.)</v>
      </c>
      <c r="I206" s="184"/>
      <c r="J206" s="578" t="str">
        <f>IF('C-Design&amp;Const'!AG206="","",'C-Design&amp;Const'!AG206)</f>
        <v xml:space="preserve"> (Including Bid Alts.)</v>
      </c>
      <c r="K206" s="285" t="str">
        <f>IF(CD50_apply="Yes",IF((COUNTIF(D206:G206,"Y")=COUNTIF('02 - DD'!D206:G206,"Y")),"match","no DD match"),"-")</f>
        <v>match</v>
      </c>
      <c r="L206" s="1410" t="str">
        <f t="shared" si="11"/>
        <v/>
      </c>
      <c r="M206" s="1382"/>
      <c r="N206" s="1382"/>
      <c r="O206" s="1382"/>
      <c r="P206" s="1382"/>
      <c r="Q206" s="1447"/>
      <c r="R206" s="1448"/>
      <c r="S206" s="1274"/>
      <c r="T206" s="1382"/>
      <c r="U206" s="1382"/>
      <c r="V206" s="1382"/>
      <c r="W206" s="1382"/>
      <c r="X206" s="1382"/>
      <c r="Y206" s="1382"/>
      <c r="Z206" s="1382"/>
      <c r="AA206" s="1382"/>
      <c r="AB206" s="1382"/>
      <c r="AC206" s="1382"/>
      <c r="AD206" s="1382"/>
      <c r="AE206" s="1382"/>
      <c r="AF206" s="1382"/>
      <c r="AG206" s="1382"/>
      <c r="AH206" s="1382"/>
      <c r="AI206" s="1382"/>
      <c r="AJ206" s="1382"/>
    </row>
    <row r="207" spans="1:49" s="181" customFormat="1" x14ac:dyDescent="0.25">
      <c r="A207" s="1517" t="str">
        <f>IF(DD_apply="Yes",IF(COUNTIF('02 - DD'!D207:G207,"Y")&gt;0,"Y",IF(COUNTIF('02 - DD'!D207:G207,"N"),"N","")),"")</f>
        <v>Y</v>
      </c>
      <c r="B207" s="177"/>
      <c r="C207" s="945"/>
      <c r="D207" s="411"/>
      <c r="E207" s="411"/>
      <c r="F207" s="559" t="str">
        <f>IF('C-Design&amp;Const'!$M207="","",'C-Design&amp;Const'!$M207)</f>
        <v>Y</v>
      </c>
      <c r="G207" s="510"/>
      <c r="H207" s="341" t="str">
        <f>CONCATENATE(IF(F207="N","PLACEHOLDER ROW - ",""),'C-Design&amp;Const'!Z207,IF(F207="N","",J207))</f>
        <v>Title Sheet (Substantially Complete)</v>
      </c>
      <c r="I207" s="197"/>
      <c r="J207" s="578" t="str">
        <f>IF('C-Design&amp;Const'!AG207="","",'C-Design&amp;Const'!AG207)</f>
        <v>(Substantially Complete)</v>
      </c>
      <c r="K207" s="285" t="str">
        <f>IF(CD50_apply="Yes",IF((COUNTIF(D207:G207,"Y")=COUNTIF('02 - DD'!D207:G207,"Y")),"match","no DD match"),"-")</f>
        <v>match</v>
      </c>
      <c r="L207" s="1410" t="str">
        <f t="shared" si="11"/>
        <v/>
      </c>
      <c r="M207" s="1382"/>
      <c r="N207" s="1382"/>
      <c r="O207" s="1382"/>
      <c r="P207" s="1382"/>
      <c r="Q207" s="1490"/>
      <c r="R207" s="1274"/>
      <c r="S207" s="1509"/>
      <c r="T207" s="1382"/>
      <c r="U207" s="1382"/>
      <c r="V207" s="1382"/>
      <c r="W207" s="1382"/>
      <c r="X207" s="1382"/>
      <c r="Y207" s="1382"/>
      <c r="Z207" s="1382"/>
      <c r="AA207" s="1382"/>
      <c r="AB207" s="1382"/>
      <c r="AC207" s="1382"/>
      <c r="AD207" s="1382"/>
      <c r="AE207" s="1382"/>
      <c r="AF207" s="1382"/>
      <c r="AG207" s="1382"/>
      <c r="AH207" s="1382"/>
      <c r="AI207" s="1382"/>
      <c r="AJ207" s="1382"/>
    </row>
    <row r="208" spans="1:49" s="30" customFormat="1" ht="15" customHeight="1" x14ac:dyDescent="0.25">
      <c r="A208" s="1517" t="str">
        <f>IF(DD_apply="Yes",IF(COUNTIF('02 - DD'!D208:G208,"Y")&gt;0,"Y",IF(COUNTIF('02 - DD'!D208:G208,"N"),"N","")),"")</f>
        <v>Y</v>
      </c>
      <c r="B208" s="191"/>
      <c r="C208" s="945"/>
      <c r="D208" s="463"/>
      <c r="E208" s="463"/>
      <c r="F208" s="359" t="str">
        <f>IF('C-Design&amp;Const'!$M208="","",'C-Design&amp;Const'!$M208)</f>
        <v>Y</v>
      </c>
      <c r="G208" s="291"/>
      <c r="H208" s="341" t="str">
        <f>CONCATENATE(IF(F208="N","PLACEHOLDER ROW - ",""),'C-Design&amp;Const'!Z208,IF(F208="N","",J208))</f>
        <v>Code Compliance (Substantially Complete)</v>
      </c>
      <c r="I208" s="184"/>
      <c r="J208" s="578" t="str">
        <f>IF('C-Design&amp;Const'!AG208="","",'C-Design&amp;Const'!AG208)</f>
        <v>(Substantially Complete)</v>
      </c>
      <c r="K208" s="285" t="str">
        <f>IF(CD50_apply="Yes",IF((COUNTIF(D208:G208,"Y")=COUNTIF('02 - DD'!D208:G208,"Y")),"match","no DD match"),"-")</f>
        <v>match</v>
      </c>
      <c r="L208" s="1410" t="str">
        <f t="shared" si="11"/>
        <v/>
      </c>
      <c r="M208" s="1382"/>
      <c r="N208" s="1382"/>
      <c r="O208" s="1382"/>
      <c r="P208" s="1382"/>
      <c r="Q208" s="1382"/>
      <c r="R208" s="1382"/>
      <c r="S208" s="1509"/>
      <c r="T208" s="1382"/>
      <c r="U208" s="1382"/>
      <c r="V208" s="1382"/>
      <c r="W208" s="1382"/>
      <c r="X208" s="1382"/>
      <c r="Y208" s="1382"/>
      <c r="Z208" s="1382"/>
      <c r="AA208" s="1382"/>
      <c r="AB208" s="1382"/>
      <c r="AC208" s="1382"/>
      <c r="AD208" s="1382"/>
      <c r="AE208" s="1382"/>
      <c r="AF208" s="1382"/>
      <c r="AG208" s="1382"/>
      <c r="AH208" s="1382"/>
      <c r="AI208" s="1382"/>
      <c r="AJ208" s="1382"/>
      <c r="AK208" s="181"/>
      <c r="AL208" s="181"/>
      <c r="AM208" s="181"/>
      <c r="AN208" s="181"/>
      <c r="AO208" s="181"/>
      <c r="AP208" s="181"/>
      <c r="AQ208" s="181"/>
      <c r="AR208" s="181"/>
      <c r="AS208" s="181"/>
      <c r="AT208" s="181"/>
      <c r="AU208" s="181"/>
      <c r="AV208" s="181"/>
      <c r="AW208" s="181"/>
    </row>
    <row r="209" spans="1:49" s="30" customFormat="1" ht="15" customHeight="1" x14ac:dyDescent="0.25">
      <c r="A209" s="1517" t="str">
        <f>IF(DD_apply="Yes",IF(COUNTIF('02 - DD'!D209:G209,"Y")&gt;0,"Y",IF(COUNTIF('02 - DD'!D209:G209,"N"),"N","")),"")</f>
        <v>Y</v>
      </c>
      <c r="B209" s="191"/>
      <c r="C209" s="945"/>
      <c r="D209" s="463"/>
      <c r="E209" s="463"/>
      <c r="F209" s="359" t="str">
        <f>IF('C-Design&amp;Const'!$M209="","",'C-Design&amp;Const'!$M209)</f>
        <v>Y</v>
      </c>
      <c r="G209" s="291"/>
      <c r="H209" s="341" t="str">
        <f>CONCATENATE(IF(F209="N","PLACEHOLDER ROW - ",""),'C-Design&amp;Const'!Z209,IF(F209="N","",J209))</f>
        <v>Life Safety (Substantially Complete)</v>
      </c>
      <c r="I209" s="184"/>
      <c r="J209" s="578" t="str">
        <f>IF('C-Design&amp;Const'!AG209="","",'C-Design&amp;Const'!AG209)</f>
        <v>(Substantially Complete)</v>
      </c>
      <c r="K209" s="285" t="str">
        <f>IF(CD50_apply="Yes",IF((COUNTIF(D209:G209,"Y")=COUNTIF('02 - DD'!D209:G209,"Y")),"match","no DD match"),"-")</f>
        <v>match</v>
      </c>
      <c r="L209" s="1410" t="str">
        <f t="shared" si="11"/>
        <v/>
      </c>
      <c r="M209" s="1382"/>
      <c r="N209" s="1382"/>
      <c r="O209" s="1382"/>
      <c r="P209" s="1382"/>
      <c r="Q209" s="1382"/>
      <c r="R209" s="1382"/>
      <c r="S209" s="1509"/>
      <c r="T209" s="1382"/>
      <c r="U209" s="1382"/>
      <c r="V209" s="1382"/>
      <c r="W209" s="1382"/>
      <c r="X209" s="1382"/>
      <c r="Y209" s="1382"/>
      <c r="Z209" s="1382"/>
      <c r="AA209" s="1382"/>
      <c r="AB209" s="1382"/>
      <c r="AC209" s="1382"/>
      <c r="AD209" s="1382"/>
      <c r="AE209" s="1382"/>
      <c r="AF209" s="1382"/>
      <c r="AG209" s="1382"/>
      <c r="AH209" s="1382"/>
      <c r="AI209" s="1382"/>
      <c r="AJ209" s="1382"/>
      <c r="AK209" s="181"/>
      <c r="AL209" s="181"/>
      <c r="AM209" s="181"/>
      <c r="AN209" s="181"/>
      <c r="AO209" s="181"/>
      <c r="AP209" s="181"/>
      <c r="AQ209" s="181"/>
      <c r="AR209" s="181"/>
      <c r="AS209" s="181"/>
      <c r="AT209" s="181"/>
      <c r="AU209" s="181"/>
      <c r="AV209" s="181"/>
      <c r="AW209" s="181"/>
    </row>
    <row r="210" spans="1:49" s="30" customFormat="1" ht="15" customHeight="1" x14ac:dyDescent="0.25">
      <c r="A210" s="1517" t="str">
        <f>IF(DD_apply="Yes",IF(COUNTIF('02 - DD'!D210:G210,"Y")&gt;0,"Y",IF(COUNTIF('02 - DD'!D210:G210,"N"),"N","")),"")</f>
        <v>Y</v>
      </c>
      <c r="B210" s="191"/>
      <c r="C210" s="945"/>
      <c r="D210" s="463"/>
      <c r="E210" s="463"/>
      <c r="F210" s="359" t="str">
        <f>IF('C-Design&amp;Const'!$M210="","",'C-Design&amp;Const'!$M210)</f>
        <v>Y</v>
      </c>
      <c r="G210" s="291"/>
      <c r="H210" s="341" t="str">
        <f>CONCATENATE(IF(F210="N","PLACEHOLDER ROW - ",""),'C-Design&amp;Const'!Z210,IF(F210="N","",J210))</f>
        <v>General Project Info (Substantially Complete)</v>
      </c>
      <c r="I210" s="184"/>
      <c r="J210" s="578" t="str">
        <f>IF('C-Design&amp;Const'!AG210="","",'C-Design&amp;Const'!AG210)</f>
        <v>(Substantially Complete)</v>
      </c>
      <c r="K210" s="285" t="str">
        <f>IF(CD50_apply="Yes",IF((COUNTIF(D210:G210,"Y")=COUNTIF('02 - DD'!D210:G210,"Y")),"match","no DD match"),"-")</f>
        <v>match</v>
      </c>
      <c r="L210" s="1410" t="str">
        <f t="shared" si="11"/>
        <v/>
      </c>
      <c r="M210" s="1382"/>
      <c r="N210" s="1382"/>
      <c r="O210" s="1382"/>
      <c r="P210" s="1382"/>
      <c r="Q210" s="1382"/>
      <c r="R210" s="1382"/>
      <c r="S210" s="1509"/>
      <c r="T210" s="1382"/>
      <c r="U210" s="1382"/>
      <c r="V210" s="1382"/>
      <c r="W210" s="1382"/>
      <c r="X210" s="1382"/>
      <c r="Y210" s="1382"/>
      <c r="Z210" s="1382"/>
      <c r="AA210" s="1382"/>
      <c r="AB210" s="1382"/>
      <c r="AC210" s="1382"/>
      <c r="AD210" s="1382"/>
      <c r="AE210" s="1382"/>
      <c r="AF210" s="1382"/>
      <c r="AG210" s="1382"/>
      <c r="AH210" s="1382"/>
      <c r="AI210" s="1382"/>
      <c r="AJ210" s="1382"/>
      <c r="AK210" s="181"/>
      <c r="AL210" s="181"/>
      <c r="AM210" s="181"/>
      <c r="AN210" s="181"/>
      <c r="AO210" s="181"/>
      <c r="AP210" s="181"/>
      <c r="AQ210" s="181"/>
      <c r="AR210" s="181"/>
      <c r="AS210" s="181"/>
      <c r="AT210" s="181"/>
      <c r="AU210" s="181"/>
      <c r="AV210" s="181"/>
      <c r="AW210" s="181"/>
    </row>
    <row r="211" spans="1:49" s="551" customFormat="1" x14ac:dyDescent="0.25">
      <c r="A211" s="1510" t="str">
        <f>IF(DD_apply="Yes",IF(COUNTIF('02 - DD'!D211:G211,"Y")&gt;0,"Y",IF(COUNTIF('02 - DD'!D211:G211,"N"),"N","")),"")</f>
        <v>Y</v>
      </c>
      <c r="B211" s="549"/>
      <c r="C211" s="945"/>
      <c r="D211" s="411"/>
      <c r="E211" s="559" t="str">
        <f>IF('C-Design&amp;Const'!$M211="","",'C-Design&amp;Const'!$M211)</f>
        <v>Y</v>
      </c>
      <c r="F211" s="456"/>
      <c r="G211" s="510"/>
      <c r="H211" s="347" t="str">
        <f>CONCATENATE(IF(F211="N","PLACEHOLDER ROW - ",""),'C-Design&amp;Const'!Z211,IF(F211="N","",J211))</f>
        <v>Asbestos, Lead Based Paint, &amp; Hazardous Materials Drawings (Including Bid Alts.)</v>
      </c>
      <c r="I211" s="198"/>
      <c r="J211" s="578" t="str">
        <f>IF('C-Design&amp;Const'!AG211="","",'C-Design&amp;Const'!AG211)</f>
        <v xml:space="preserve"> (Including Bid Alts.)</v>
      </c>
      <c r="K211" s="285" t="str">
        <f>IF(CD50_apply="Yes",IF((COUNTIF(D211:G211,"Y")=COUNTIF('02 - DD'!D211:G211,"Y")),"match","no DD match"),"-")</f>
        <v>match</v>
      </c>
      <c r="L211" s="1410" t="str">
        <f t="shared" ref="L211" si="12">CONCATENATE(IF(ISNUMBER(SEARCH("Placeholder",H211))=TRUE,"&lt;---PM/Planner may hide PLACEHOLDER ROW",""))</f>
        <v/>
      </c>
      <c r="M211" s="1382"/>
      <c r="N211" s="1382"/>
      <c r="O211" s="1382"/>
      <c r="P211" s="1382"/>
      <c r="Q211" s="1274"/>
      <c r="R211" s="1488"/>
      <c r="S211" s="1509"/>
      <c r="T211" s="1382"/>
      <c r="U211" s="1382"/>
      <c r="V211" s="1382"/>
      <c r="W211" s="1382"/>
      <c r="X211" s="1382"/>
      <c r="Y211" s="1382"/>
      <c r="Z211" s="1382"/>
      <c r="AA211" s="1382"/>
      <c r="AB211" s="1382"/>
      <c r="AC211" s="1382"/>
      <c r="AD211" s="1382"/>
      <c r="AE211" s="1382"/>
      <c r="AF211" s="1382"/>
      <c r="AG211" s="1382"/>
      <c r="AH211" s="1382"/>
      <c r="AI211" s="1382"/>
      <c r="AJ211" s="1382"/>
    </row>
    <row r="212" spans="1:49" s="545" customFormat="1" x14ac:dyDescent="0.25">
      <c r="A212" s="1518" t="str">
        <f>IF(DD_apply="Yes",IF(COUNTIF('02 - DD'!D212:G212,"Y")&gt;0,"Y",IF(COUNTIF('02 - DD'!D212:G212,"N"),"N","")),"")</f>
        <v>N</v>
      </c>
      <c r="B212" s="554"/>
      <c r="C212" s="945"/>
      <c r="D212" s="411"/>
      <c r="E212" s="411"/>
      <c r="F212" s="559" t="str">
        <f>IF('C-Design&amp;Const'!$M212="","",'C-Design&amp;Const'!$M212)</f>
        <v>N</v>
      </c>
      <c r="G212" s="514"/>
      <c r="H212" s="341" t="str">
        <f>CONCATENATE(IF(F212="N","PLACEHOLDER ROW - ",""),'C-Design&amp;Const'!Z212,IF(F212="N","",J212))</f>
        <v>PLACEHOLDER ROW - CUSTOM - Asbestos</v>
      </c>
      <c r="I212" s="197"/>
      <c r="J212" s="578" t="str">
        <f>IF('C-Design&amp;Const'!AG212="","",'C-Design&amp;Const'!AG212)</f>
        <v>(Substantially Complete)</v>
      </c>
      <c r="K212" s="285" t="str">
        <f>IF(CD50_apply="Yes",IF((COUNTIF(D212:G212,"Y")=COUNTIF('02 - DD'!D212:G212,"Y")),"match","no DD match"),"-")</f>
        <v>match</v>
      </c>
      <c r="L212" s="1410" t="str">
        <f>CONCATENATE(IF(ISNUMBER(SEARCH("Placeholder",H212))=TRUE,"&lt;---PM/Planner may hide PLACEHOLDER ROW",""))</f>
        <v>&lt;---PM/Planner may hide PLACEHOLDER ROW</v>
      </c>
      <c r="M212" s="1382"/>
      <c r="N212" s="1382"/>
      <c r="O212" s="1382"/>
      <c r="P212" s="1382"/>
      <c r="Q212" s="1274"/>
      <c r="R212" s="1513"/>
      <c r="S212" s="1509"/>
      <c r="T212" s="1382"/>
      <c r="U212" s="1382"/>
      <c r="V212" s="1382"/>
      <c r="W212" s="1382"/>
      <c r="X212" s="1382"/>
      <c r="Y212" s="1382"/>
      <c r="Z212" s="1382"/>
      <c r="AA212" s="1382"/>
      <c r="AB212" s="1382"/>
      <c r="AC212" s="1382"/>
      <c r="AD212" s="1382"/>
      <c r="AE212" s="1382"/>
      <c r="AF212" s="1382"/>
      <c r="AG212" s="1382"/>
      <c r="AH212" s="1382"/>
      <c r="AI212" s="1382"/>
      <c r="AJ212" s="1382"/>
      <c r="AK212" s="551"/>
      <c r="AL212" s="551"/>
      <c r="AM212" s="551"/>
      <c r="AN212" s="551"/>
      <c r="AO212" s="551"/>
      <c r="AP212" s="551"/>
      <c r="AQ212" s="551"/>
      <c r="AR212" s="551"/>
      <c r="AS212" s="551"/>
      <c r="AT212" s="551"/>
      <c r="AU212" s="551"/>
      <c r="AV212" s="551"/>
    </row>
    <row r="213" spans="1:49" s="545" customFormat="1" ht="14.25" customHeight="1" x14ac:dyDescent="0.25">
      <c r="A213" s="1518" t="str">
        <f>IF(DD_apply="Yes",IF(COUNTIF('02 - DD'!D213:G213,"Y")&gt;0,"Y",IF(COUNTIF('02 - DD'!D213:G213,"N"),"N","")),"")</f>
        <v>Y</v>
      </c>
      <c r="B213" s="554"/>
      <c r="C213" s="945"/>
      <c r="D213" s="411"/>
      <c r="E213" s="411"/>
      <c r="F213" s="559" t="str">
        <f>IF('C-Design&amp;Const'!$M213="","",'C-Design&amp;Const'!$M213)</f>
        <v>Y</v>
      </c>
      <c r="G213" s="514"/>
      <c r="H213" s="341" t="str">
        <f>CONCATENATE(IF(F213="N","PLACEHOLDER ROW - ",""),'C-Design&amp;Const'!Z213,IF(F213="N","",J213))</f>
        <v>Asbestos Removal, Remediation, Containment (Substantially Complete)</v>
      </c>
      <c r="I213" s="197"/>
      <c r="J213" s="578" t="str">
        <f>IF('C-Design&amp;Const'!AG213="","",'C-Design&amp;Const'!AG213)</f>
        <v>(Substantially Complete)</v>
      </c>
      <c r="K213" s="285" t="str">
        <f>IF(CD50_apply="Yes",IF((COUNTIF(D213:G213,"Y")=COUNTIF('02 - DD'!D213:G213,"Y")),"match","no DD match"),"-")</f>
        <v>match</v>
      </c>
      <c r="L213" s="1410" t="str">
        <f>CONCATENATE(IF(ISNUMBER(SEARCH("Placeholder",H213))=TRUE,"&lt;---PM/Planner may hide PLACEHOLDER ROW",""))</f>
        <v/>
      </c>
      <c r="M213" s="1382"/>
      <c r="N213" s="1382"/>
      <c r="O213" s="1382"/>
      <c r="P213" s="1382"/>
      <c r="Q213" s="1274"/>
      <c r="R213" s="1513"/>
      <c r="S213" s="1509"/>
      <c r="T213" s="1382"/>
      <c r="U213" s="1382"/>
      <c r="V213" s="1382"/>
      <c r="W213" s="1382"/>
      <c r="X213" s="1382"/>
      <c r="Y213" s="1382"/>
      <c r="Z213" s="1382"/>
      <c r="AA213" s="1382"/>
      <c r="AB213" s="1382"/>
      <c r="AC213" s="1382"/>
      <c r="AD213" s="1382"/>
      <c r="AE213" s="1382"/>
      <c r="AF213" s="1382"/>
      <c r="AG213" s="1382"/>
      <c r="AH213" s="1382"/>
      <c r="AI213" s="1382"/>
      <c r="AJ213" s="1382"/>
      <c r="AK213" s="551"/>
      <c r="AL213" s="551"/>
      <c r="AM213" s="551"/>
      <c r="AN213" s="551"/>
      <c r="AO213" s="551"/>
      <c r="AP213" s="551"/>
      <c r="AQ213" s="551"/>
      <c r="AR213" s="551"/>
      <c r="AS213" s="551"/>
      <c r="AT213" s="551"/>
      <c r="AU213" s="551"/>
      <c r="AV213" s="551"/>
    </row>
    <row r="214" spans="1:49" s="545" customFormat="1" x14ac:dyDescent="0.25">
      <c r="A214" s="1518" t="str">
        <f>IF(DD_apply="Yes",IF(COUNTIF('02 - DD'!D214:G214,"Y")&gt;0,"Y",IF(COUNTIF('02 - DD'!D214:G214,"N"),"N","")),"")</f>
        <v>N</v>
      </c>
      <c r="B214" s="554"/>
      <c r="C214" s="945"/>
      <c r="D214" s="411"/>
      <c r="E214" s="411"/>
      <c r="F214" s="559" t="str">
        <f>IF('C-Design&amp;Const'!$M214="","",'C-Design&amp;Const'!$M214)</f>
        <v>N</v>
      </c>
      <c r="G214" s="514"/>
      <c r="H214" s="341" t="str">
        <f>CONCATENATE(IF(F214="N","PLACEHOLDER ROW - ",""),'C-Design&amp;Const'!Z214,IF(F214="N","",J214))</f>
        <v>PLACEHOLDER ROW - CUSTOM - Lead Based Paint</v>
      </c>
      <c r="I214" s="197"/>
      <c r="J214" s="578" t="str">
        <f>IF('C-Design&amp;Const'!AG214="","",'C-Design&amp;Const'!AG214)</f>
        <v>(Complete)</v>
      </c>
      <c r="K214" s="285" t="str">
        <f>IF(CD50_apply="Yes",IF((COUNTIF(D214:G214,"Y")=COUNTIF('02 - DD'!D214:G214,"Y")),"match","no DD match"),"-")</f>
        <v>match</v>
      </c>
      <c r="L214" s="1410" t="str">
        <f t="shared" ref="L214:L217" si="13">CONCATENATE(IF(ISNUMBER(SEARCH("Placeholder",H214))=TRUE,"&lt;---PM/Planner may hide PLACEHOLDER ROW",""))</f>
        <v>&lt;---PM/Planner may hide PLACEHOLDER ROW</v>
      </c>
      <c r="M214" s="1382"/>
      <c r="N214" s="1382"/>
      <c r="O214" s="1382"/>
      <c r="P214" s="1382"/>
      <c r="Q214" s="1274"/>
      <c r="R214" s="1513"/>
      <c r="S214" s="1509"/>
      <c r="T214" s="1382"/>
      <c r="U214" s="1382"/>
      <c r="V214" s="1382"/>
      <c r="W214" s="1382"/>
      <c r="X214" s="1382"/>
      <c r="Y214" s="1382"/>
      <c r="Z214" s="1382"/>
      <c r="AA214" s="1382"/>
      <c r="AB214" s="1382"/>
      <c r="AC214" s="1382"/>
      <c r="AD214" s="1382"/>
      <c r="AE214" s="1382"/>
      <c r="AF214" s="1382"/>
      <c r="AG214" s="1382"/>
      <c r="AH214" s="1382"/>
      <c r="AI214" s="1382"/>
      <c r="AJ214" s="1382"/>
      <c r="AK214" s="551"/>
      <c r="AL214" s="551"/>
      <c r="AM214" s="551"/>
      <c r="AN214" s="551"/>
      <c r="AO214" s="551"/>
      <c r="AP214" s="551"/>
      <c r="AQ214" s="551"/>
      <c r="AR214" s="551"/>
      <c r="AS214" s="551"/>
      <c r="AT214" s="551"/>
      <c r="AU214" s="551"/>
      <c r="AV214" s="551"/>
    </row>
    <row r="215" spans="1:49" s="551" customFormat="1" x14ac:dyDescent="0.25">
      <c r="A215" s="1518" t="str">
        <f>IF(DD_apply="Yes",IF(COUNTIF('02 - DD'!D215:G215,"Y")&gt;0,"Y",IF(COUNTIF('02 - DD'!D215:G215,"N"),"N","")),"")</f>
        <v>Y</v>
      </c>
      <c r="B215" s="549"/>
      <c r="C215" s="945"/>
      <c r="D215" s="411"/>
      <c r="E215" s="411"/>
      <c r="F215" s="559" t="str">
        <f>IF('C-Design&amp;Const'!$M215="","",'C-Design&amp;Const'!$M215)</f>
        <v>Y</v>
      </c>
      <c r="G215" s="510"/>
      <c r="H215" s="341" t="str">
        <f>CONCATENATE(IF(F215="N","PLACEHOLDER ROW - ",""),'C-Design&amp;Const'!Z215,IF(F215="N","",J215))</f>
        <v>Lead Based Paint Removal, Remediation, Containment (Substantially Complete)</v>
      </c>
      <c r="I215" s="197"/>
      <c r="J215" s="578" t="str">
        <f>IF('C-Design&amp;Const'!AG215="","",'C-Design&amp;Const'!AG215)</f>
        <v>(Substantially Complete)</v>
      </c>
      <c r="K215" s="285" t="str">
        <f>IF(CD50_apply="Yes",IF((COUNTIF(D215:G215,"Y")=COUNTIF('02 - DD'!D215:G215,"Y")),"match","no DD match"),"-")</f>
        <v>match</v>
      </c>
      <c r="L215" s="1410" t="str">
        <f t="shared" si="13"/>
        <v/>
      </c>
      <c r="M215" s="1382"/>
      <c r="N215" s="1382"/>
      <c r="O215" s="1382"/>
      <c r="P215" s="1382"/>
      <c r="Q215" s="1490"/>
      <c r="R215" s="1274"/>
      <c r="S215" s="1509"/>
      <c r="T215" s="1382"/>
      <c r="U215" s="1382"/>
      <c r="V215" s="1382"/>
      <c r="W215" s="1382"/>
      <c r="X215" s="1382"/>
      <c r="Y215" s="1382"/>
      <c r="Z215" s="1382"/>
      <c r="AA215" s="1382"/>
      <c r="AB215" s="1382"/>
      <c r="AC215" s="1382"/>
      <c r="AD215" s="1382"/>
      <c r="AE215" s="1382"/>
      <c r="AF215" s="1382"/>
      <c r="AG215" s="1382"/>
      <c r="AH215" s="1382"/>
      <c r="AI215" s="1382"/>
      <c r="AJ215" s="1382"/>
    </row>
    <row r="216" spans="1:49" s="545" customFormat="1" x14ac:dyDescent="0.25">
      <c r="A216" s="1518" t="str">
        <f>IF(DD_apply="Yes",IF(COUNTIF('02 - DD'!D216:G216,"Y")&gt;0,"Y",IF(COUNTIF('02 - DD'!D216:G216,"N"),"N","")),"")</f>
        <v>N</v>
      </c>
      <c r="B216" s="554"/>
      <c r="C216" s="945"/>
      <c r="D216" s="411"/>
      <c r="E216" s="411"/>
      <c r="F216" s="559" t="str">
        <f>IF('C-Design&amp;Const'!$M216="","",'C-Design&amp;Const'!$M216)</f>
        <v>N</v>
      </c>
      <c r="G216" s="514"/>
      <c r="H216" s="341" t="str">
        <f>CONCATENATE(IF(F216="N","PLACEHOLDER ROW - ",""),'C-Design&amp;Const'!Z216,IF(F216="N","",J216))</f>
        <v>PLACEHOLDER ROW - CUSTOM - Hazardous Materials</v>
      </c>
      <c r="I216" s="197"/>
      <c r="J216" s="578" t="str">
        <f>IF('C-Design&amp;Const'!AG216="","",'C-Design&amp;Const'!AG216)</f>
        <v>(Complete)</v>
      </c>
      <c r="K216" s="285" t="str">
        <f>IF(CD50_apply="Yes",IF((COUNTIF(D216:G216,"Y")=COUNTIF('02 - DD'!D216:G216,"Y")),"match","no DD match"),"-")</f>
        <v>match</v>
      </c>
      <c r="L216" s="1410" t="str">
        <f t="shared" si="13"/>
        <v>&lt;---PM/Planner may hide PLACEHOLDER ROW</v>
      </c>
      <c r="M216" s="1382"/>
      <c r="N216" s="1382"/>
      <c r="O216" s="1382"/>
      <c r="P216" s="1382"/>
      <c r="Q216" s="1274"/>
      <c r="R216" s="1513"/>
      <c r="S216" s="1509"/>
      <c r="T216" s="1382"/>
      <c r="U216" s="1382"/>
      <c r="V216" s="1382"/>
      <c r="W216" s="1382"/>
      <c r="X216" s="1382"/>
      <c r="Y216" s="1382"/>
      <c r="Z216" s="1382"/>
      <c r="AA216" s="1382"/>
      <c r="AB216" s="1382"/>
      <c r="AC216" s="1382"/>
      <c r="AD216" s="1382"/>
      <c r="AE216" s="1382"/>
      <c r="AF216" s="1382"/>
      <c r="AG216" s="1382"/>
      <c r="AH216" s="1382"/>
      <c r="AI216" s="1382"/>
      <c r="AJ216" s="1382"/>
      <c r="AK216" s="551"/>
      <c r="AL216" s="551"/>
      <c r="AM216" s="551"/>
      <c r="AN216" s="551"/>
      <c r="AO216" s="551"/>
      <c r="AP216" s="551"/>
      <c r="AQ216" s="551"/>
      <c r="AR216" s="551"/>
      <c r="AS216" s="551"/>
      <c r="AT216" s="551"/>
      <c r="AU216" s="551"/>
      <c r="AV216" s="551"/>
    </row>
    <row r="217" spans="1:49" s="545" customFormat="1" x14ac:dyDescent="0.25">
      <c r="A217" s="1518" t="str">
        <f>IF(DD_apply="Yes",IF(COUNTIF('02 - DD'!D217:G217,"Y")&gt;0,"Y",IF(COUNTIF('02 - DD'!D217:G217,"N"),"N","")),"")</f>
        <v>Y</v>
      </c>
      <c r="B217" s="554"/>
      <c r="C217" s="945"/>
      <c r="D217" s="411"/>
      <c r="E217" s="411"/>
      <c r="F217" s="559" t="str">
        <f>IF('C-Design&amp;Const'!$M217="","",'C-Design&amp;Const'!$M217)</f>
        <v>Y</v>
      </c>
      <c r="G217" s="514"/>
      <c r="H217" s="341" t="str">
        <f>CONCATENATE(IF(F217="N","PLACEHOLDER ROW - ",""),'C-Design&amp;Const'!Z217,IF(F217="N","",J217))</f>
        <v>Other Hazardous Materials Removal, Remediation, Containment (Substantially Complete)</v>
      </c>
      <c r="I217" s="197"/>
      <c r="J217" s="578" t="str">
        <f>IF('C-Design&amp;Const'!AG217="","",'C-Design&amp;Const'!AG217)</f>
        <v>(Substantially Complete)</v>
      </c>
      <c r="K217" s="285" t="str">
        <f>IF(CD50_apply="Yes",IF((COUNTIF(D217:G217,"Y")=COUNTIF('02 - DD'!D217:G217,"Y")),"match","no DD match"),"-")</f>
        <v>match</v>
      </c>
      <c r="L217" s="1410" t="str">
        <f t="shared" si="13"/>
        <v/>
      </c>
      <c r="M217" s="1382"/>
      <c r="N217" s="1382"/>
      <c r="O217" s="1382"/>
      <c r="P217" s="1382"/>
      <c r="Q217" s="1274"/>
      <c r="R217" s="1513"/>
      <c r="S217" s="1509"/>
      <c r="T217" s="1382"/>
      <c r="U217" s="1382"/>
      <c r="V217" s="1382"/>
      <c r="W217" s="1382"/>
      <c r="X217" s="1382"/>
      <c r="Y217" s="1382"/>
      <c r="Z217" s="1382"/>
      <c r="AA217" s="1382"/>
      <c r="AB217" s="1382"/>
      <c r="AC217" s="1382"/>
      <c r="AD217" s="1382"/>
      <c r="AE217" s="1382"/>
      <c r="AF217" s="1382"/>
      <c r="AG217" s="1382"/>
      <c r="AH217" s="1382"/>
      <c r="AI217" s="1382"/>
      <c r="AJ217" s="1382"/>
      <c r="AK217" s="551"/>
      <c r="AL217" s="551"/>
      <c r="AM217" s="551"/>
      <c r="AN217" s="551"/>
      <c r="AO217" s="551"/>
      <c r="AP217" s="551"/>
      <c r="AQ217" s="551"/>
      <c r="AR217" s="551"/>
      <c r="AS217" s="551"/>
      <c r="AT217" s="551"/>
      <c r="AU217" s="551"/>
      <c r="AV217" s="551"/>
    </row>
    <row r="218" spans="1:49" s="181" customFormat="1" x14ac:dyDescent="0.25">
      <c r="A218" s="1510" t="str">
        <f>IF(DD_apply="Yes",IF(COUNTIF('02 - DD'!D218:G218,"Y")&gt;0,"Y",IF(COUNTIF('02 - DD'!D218:G218,"N"),"N","")),"")</f>
        <v>Y</v>
      </c>
      <c r="B218" s="177"/>
      <c r="C218" s="945"/>
      <c r="D218" s="411"/>
      <c r="E218" s="559" t="str">
        <f>IF('C-Design&amp;Const'!$M218="","",'C-Design&amp;Const'!$M218)</f>
        <v>Y</v>
      </c>
      <c r="F218" s="456"/>
      <c r="G218" s="510"/>
      <c r="H218" s="347" t="str">
        <f>CONCATENATE(IF(F218="N","PLACEHOLDER ROW - ",""),'C-Design&amp;Const'!Z218,IF(F218="N","",J218))</f>
        <v>Site, Civil, &amp; Landscape Drawings (Including Bid Alts.)</v>
      </c>
      <c r="I218" s="198"/>
      <c r="J218" s="578" t="str">
        <f>IF('C-Design&amp;Const'!AG218="","",'C-Design&amp;Const'!AG218)</f>
        <v xml:space="preserve"> (Including Bid Alts.)</v>
      </c>
      <c r="K218" s="285" t="str">
        <f>IF(CD50_apply="Yes",IF((COUNTIF(D218:G218,"Y")=COUNTIF('02 - DD'!D218:G218,"Y")),"match","no DD match"),"-")</f>
        <v>match</v>
      </c>
      <c r="L218" s="1410" t="str">
        <f t="shared" si="11"/>
        <v/>
      </c>
      <c r="M218" s="1382"/>
      <c r="N218" s="1382"/>
      <c r="O218" s="1382"/>
      <c r="P218" s="1382"/>
      <c r="Q218" s="1274"/>
      <c r="R218" s="1488"/>
      <c r="S218" s="1509"/>
      <c r="T218" s="1382"/>
      <c r="U218" s="1382"/>
      <c r="V218" s="1382"/>
      <c r="W218" s="1382"/>
      <c r="X218" s="1382"/>
      <c r="Y218" s="1382"/>
      <c r="Z218" s="1382"/>
      <c r="AA218" s="1382"/>
      <c r="AB218" s="1382"/>
      <c r="AC218" s="1382"/>
      <c r="AD218" s="1382"/>
      <c r="AE218" s="1382"/>
      <c r="AF218" s="1382"/>
      <c r="AG218" s="1382"/>
      <c r="AH218" s="1382"/>
      <c r="AI218" s="1382"/>
      <c r="AJ218" s="1382"/>
    </row>
    <row r="219" spans="1:49" s="30" customFormat="1" x14ac:dyDescent="0.25">
      <c r="A219" s="1518" t="str">
        <f>IF(DD_apply="Yes",IF(COUNTIF('02 - DD'!D219:G219,"Y")&gt;0,"Y",IF(COUNTIF('02 - DD'!D219:G219,"N"),"N","")),"")</f>
        <v>N</v>
      </c>
      <c r="B219" s="191"/>
      <c r="C219" s="945"/>
      <c r="D219" s="411"/>
      <c r="E219" s="411"/>
      <c r="F219" s="559" t="str">
        <f>IF('C-Design&amp;Const'!$M219="","",'C-Design&amp;Const'!$M219)</f>
        <v>N</v>
      </c>
      <c r="G219" s="514"/>
      <c r="H219" s="341" t="str">
        <f>CONCATENATE(IF(F219="N","PLACEHOLDER ROW - ",""),'C-Design&amp;Const'!Z219,IF(F219="N","",J219))</f>
        <v>PLACEHOLDER ROW - CUSTOM - Site / Civil / Landscape</v>
      </c>
      <c r="I219" s="197"/>
      <c r="J219" s="578" t="str">
        <f>IF('C-Design&amp;Const'!AG219="","",'C-Design&amp;Const'!AG219)</f>
        <v>(Substantially Complete)</v>
      </c>
      <c r="K219" s="285" t="str">
        <f>IF(CD50_apply="Yes",IF((COUNTIF(D219:G219,"Y")=COUNTIF('02 - DD'!D219:G219,"Y")),"match","no DD match"),"-")</f>
        <v>match</v>
      </c>
      <c r="L219" s="1410" t="str">
        <f>CONCATENATE(IF(ISNUMBER(SEARCH("Placeholder",H219))=TRUE,"&lt;---PM/Planner may hide PLACEHOLDER ROW",""))</f>
        <v>&lt;---PM/Planner may hide PLACEHOLDER ROW</v>
      </c>
      <c r="M219" s="1382"/>
      <c r="N219" s="1382"/>
      <c r="O219" s="1382"/>
      <c r="P219" s="1382"/>
      <c r="Q219" s="1274"/>
      <c r="R219" s="1513"/>
      <c r="S219" s="1509"/>
      <c r="T219" s="1382"/>
      <c r="U219" s="1382"/>
      <c r="V219" s="1382"/>
      <c r="W219" s="1382"/>
      <c r="X219" s="1382"/>
      <c r="Y219" s="1382"/>
      <c r="Z219" s="1382"/>
      <c r="AA219" s="1382"/>
      <c r="AB219" s="1382"/>
      <c r="AC219" s="1382"/>
      <c r="AD219" s="1382"/>
      <c r="AE219" s="1382"/>
      <c r="AF219" s="1382"/>
      <c r="AG219" s="1382"/>
      <c r="AH219" s="1382"/>
      <c r="AI219" s="1382"/>
      <c r="AJ219" s="1382"/>
      <c r="AK219" s="181"/>
      <c r="AL219" s="181"/>
      <c r="AM219" s="181"/>
      <c r="AN219" s="181"/>
      <c r="AO219" s="181"/>
      <c r="AP219" s="181"/>
      <c r="AQ219" s="181"/>
      <c r="AR219" s="181"/>
      <c r="AS219" s="181"/>
      <c r="AT219" s="181"/>
      <c r="AU219" s="181"/>
      <c r="AV219" s="181"/>
    </row>
    <row r="220" spans="1:49" s="30" customFormat="1" ht="14.25" customHeight="1" x14ac:dyDescent="0.25">
      <c r="A220" s="1518" t="str">
        <f>IF(DD_apply="Yes",IF(COUNTIF('02 - DD'!D220:G220,"Y")&gt;0,"Y",IF(COUNTIF('02 - DD'!D220:G220,"N"),"N","")),"")</f>
        <v>N</v>
      </c>
      <c r="B220" s="191"/>
      <c r="C220" s="945"/>
      <c r="D220" s="411"/>
      <c r="E220" s="411"/>
      <c r="F220" s="559" t="str">
        <f>IF('C-Design&amp;Const'!$M220="","",'C-Design&amp;Const'!$M220)</f>
        <v>N</v>
      </c>
      <c r="G220" s="514"/>
      <c r="H220" s="341" t="str">
        <f>CONCATENATE(IF(F220="N","PLACEHOLDER ROW - ",""),'C-Design&amp;Const'!Z220,IF(F220="N","",J220))</f>
        <v>PLACEHOLDER ROW - CUSTOM - Site / Civil / Landscape</v>
      </c>
      <c r="I220" s="197"/>
      <c r="J220" s="578" t="str">
        <f>IF('C-Design&amp;Const'!AG220="","",'C-Design&amp;Const'!AG220)</f>
        <v>(Substantially Complete)</v>
      </c>
      <c r="K220" s="285" t="str">
        <f>IF(CD50_apply="Yes",IF((COUNTIF(D220:G220,"Y")=COUNTIF('02 - DD'!D220:G220,"Y")),"match","no DD match"),"-")</f>
        <v>match</v>
      </c>
      <c r="L220" s="1410" t="str">
        <f>CONCATENATE(IF(ISNUMBER(SEARCH("Placeholder",H220))=TRUE,"&lt;---PM/Planner may hide PLACEHOLDER ROW",""))</f>
        <v>&lt;---PM/Planner may hide PLACEHOLDER ROW</v>
      </c>
      <c r="M220" s="1382"/>
      <c r="N220" s="1382"/>
      <c r="O220" s="1382"/>
      <c r="P220" s="1382"/>
      <c r="Q220" s="1274"/>
      <c r="R220" s="1513"/>
      <c r="S220" s="1509"/>
      <c r="T220" s="1382"/>
      <c r="U220" s="1382"/>
      <c r="V220" s="1382"/>
      <c r="W220" s="1382"/>
      <c r="X220" s="1382"/>
      <c r="Y220" s="1382"/>
      <c r="Z220" s="1382"/>
      <c r="AA220" s="1382"/>
      <c r="AB220" s="1382"/>
      <c r="AC220" s="1382"/>
      <c r="AD220" s="1382"/>
      <c r="AE220" s="1382"/>
      <c r="AF220" s="1382"/>
      <c r="AG220" s="1382"/>
      <c r="AH220" s="1382"/>
      <c r="AI220" s="1382"/>
      <c r="AJ220" s="1382"/>
      <c r="AK220" s="181"/>
      <c r="AL220" s="181"/>
      <c r="AM220" s="181"/>
      <c r="AN220" s="181"/>
      <c r="AO220" s="181"/>
      <c r="AP220" s="181"/>
      <c r="AQ220" s="181"/>
      <c r="AR220" s="181"/>
      <c r="AS220" s="181"/>
      <c r="AT220" s="181"/>
      <c r="AU220" s="181"/>
      <c r="AV220" s="181"/>
    </row>
    <row r="221" spans="1:49" s="545" customFormat="1" ht="14.25" customHeight="1" x14ac:dyDescent="0.25">
      <c r="A221" s="1518" t="str">
        <f>IF(DD_apply="Yes",IF(COUNTIF('02 - DD'!D221:G221,"Y")&gt;0,"Y",IF(COUNTIF('02 - DD'!D221:G221,"N"),"N","")),"")</f>
        <v>Y</v>
      </c>
      <c r="B221" s="554"/>
      <c r="C221" s="945"/>
      <c r="D221" s="411"/>
      <c r="E221" s="411"/>
      <c r="F221" s="559" t="str">
        <f>IF('C-Design&amp;Const'!$M221="","",'C-Design&amp;Const'!$M221)</f>
        <v>Y</v>
      </c>
      <c r="G221" s="514"/>
      <c r="H221" s="341" t="str">
        <f>CONCATENATE(IF(F221="N","PLACEHOLDER ROW - ",""),'C-Design&amp;Const'!Z221,IF(F221="N","",J221))</f>
        <v>Civil, Site, Landscape Symbols, Abbreviations, and General Notes (Substantially Complete)</v>
      </c>
      <c r="I221" s="197"/>
      <c r="J221" s="578" t="str">
        <f>IF('C-Design&amp;Const'!AG221="","",'C-Design&amp;Const'!AG221)</f>
        <v>(Substantially Complete)</v>
      </c>
      <c r="K221" s="285" t="str">
        <f>IF(CD50_apply="Yes",IF((COUNTIF(D221:G221,"Y")=COUNTIF('02 - DD'!D221:G221,"Y")),"match","no DD match"),"-")</f>
        <v>match</v>
      </c>
      <c r="L221" s="1410" t="str">
        <f>CONCATENATE(IF(ISNUMBER(SEARCH("Placeholder",H221))=TRUE,"&lt;---PM/Planner may hide PLACEHOLDER ROW",""))</f>
        <v/>
      </c>
      <c r="M221" s="1382"/>
      <c r="N221" s="1382"/>
      <c r="O221" s="1382"/>
      <c r="P221" s="1382"/>
      <c r="Q221" s="1274"/>
      <c r="R221" s="1513"/>
      <c r="S221" s="1509"/>
      <c r="T221" s="1382"/>
      <c r="U221" s="1382"/>
      <c r="V221" s="1382"/>
      <c r="W221" s="1382"/>
      <c r="X221" s="1382"/>
      <c r="Y221" s="1382"/>
      <c r="Z221" s="1382"/>
      <c r="AA221" s="1382"/>
      <c r="AB221" s="1382"/>
      <c r="AC221" s="1382"/>
      <c r="AD221" s="1382"/>
      <c r="AE221" s="1382"/>
      <c r="AF221" s="1382"/>
      <c r="AG221" s="1382"/>
      <c r="AH221" s="1382"/>
      <c r="AI221" s="1382"/>
      <c r="AJ221" s="1382"/>
      <c r="AK221" s="551"/>
      <c r="AL221" s="551"/>
      <c r="AM221" s="551"/>
      <c r="AN221" s="551"/>
      <c r="AO221" s="551"/>
      <c r="AP221" s="551"/>
      <c r="AQ221" s="551"/>
      <c r="AR221" s="551"/>
      <c r="AS221" s="551"/>
      <c r="AT221" s="551"/>
      <c r="AU221" s="551"/>
      <c r="AV221" s="551"/>
    </row>
    <row r="222" spans="1:49" s="30" customFormat="1" x14ac:dyDescent="0.25">
      <c r="A222" s="1518" t="str">
        <f>IF(DD_apply="Yes",IF(COUNTIF('02 - DD'!D222:G222,"Y")&gt;0,"Y",IF(COUNTIF('02 - DD'!D222:G222,"N"),"N","")),"")</f>
        <v>Y</v>
      </c>
      <c r="B222" s="191"/>
      <c r="C222" s="945"/>
      <c r="D222" s="411"/>
      <c r="E222" s="411"/>
      <c r="F222" s="559" t="str">
        <f>IF('C-Design&amp;Const'!$M222="","",'C-Design&amp;Const'!$M222)</f>
        <v>Y</v>
      </c>
      <c r="G222" s="514"/>
      <c r="H222" s="341" t="str">
        <f>CONCATENATE(IF(F222="N","PLACEHOLDER ROW - ",""),'C-Design&amp;Const'!Z222,IF(F222="N","",J222))</f>
        <v>Site Clearing, Demolitions, &amp; Abandonments (Complete)</v>
      </c>
      <c r="I222" s="197"/>
      <c r="J222" s="578" t="str">
        <f>IF('C-Design&amp;Const'!AG222="","",'C-Design&amp;Const'!AG222)</f>
        <v>(Complete)</v>
      </c>
      <c r="K222" s="285" t="str">
        <f>IF(CD50_apply="Yes",IF((COUNTIF(D222:G222,"Y")=COUNTIF('02 - DD'!D222:G222,"Y")),"match","no DD match"),"-")</f>
        <v>match</v>
      </c>
      <c r="L222" s="1410" t="str">
        <f t="shared" si="11"/>
        <v/>
      </c>
      <c r="M222" s="1382"/>
      <c r="N222" s="1382"/>
      <c r="O222" s="1382"/>
      <c r="P222" s="1382"/>
      <c r="Q222" s="1274"/>
      <c r="R222" s="1513"/>
      <c r="S222" s="1509"/>
      <c r="T222" s="1382"/>
      <c r="U222" s="1382"/>
      <c r="V222" s="1382"/>
      <c r="W222" s="1382"/>
      <c r="X222" s="1382"/>
      <c r="Y222" s="1382"/>
      <c r="Z222" s="1382"/>
      <c r="AA222" s="1382"/>
      <c r="AB222" s="1382"/>
      <c r="AC222" s="1382"/>
      <c r="AD222" s="1382"/>
      <c r="AE222" s="1382"/>
      <c r="AF222" s="1382"/>
      <c r="AG222" s="1382"/>
      <c r="AH222" s="1382"/>
      <c r="AI222" s="1382"/>
      <c r="AJ222" s="1382"/>
      <c r="AK222" s="181"/>
      <c r="AL222" s="181"/>
      <c r="AM222" s="181"/>
      <c r="AN222" s="181"/>
      <c r="AO222" s="181"/>
      <c r="AP222" s="181"/>
      <c r="AQ222" s="181"/>
      <c r="AR222" s="181"/>
      <c r="AS222" s="181"/>
      <c r="AT222" s="181"/>
      <c r="AU222" s="181"/>
      <c r="AV222" s="181"/>
    </row>
    <row r="223" spans="1:49" s="181" customFormat="1" x14ac:dyDescent="0.25">
      <c r="A223" s="1518" t="str">
        <f>IF(DD_apply="Yes",IF(COUNTIF('02 - DD'!D223:G223,"Y")&gt;0,"Y",IF(COUNTIF('02 - DD'!D223:G223,"N"),"N","")),"")</f>
        <v>Y</v>
      </c>
      <c r="B223" s="177"/>
      <c r="C223" s="945"/>
      <c r="D223" s="411"/>
      <c r="E223" s="411"/>
      <c r="F223" s="559" t="str">
        <f>IF('C-Design&amp;Const'!$M223="","",'C-Design&amp;Const'!$M223)</f>
        <v>Y</v>
      </c>
      <c r="G223" s="510"/>
      <c r="H223" s="341" t="str">
        <f>CONCATENATE(IF(F223="N","PLACEHOLDER ROW - ",""),'C-Design&amp;Const'!Z223,IF(F223="N","",J223))</f>
        <v>Site Plan (show tree protection if not yet shown in laydown plan)(Substantially Complete)</v>
      </c>
      <c r="I223" s="197"/>
      <c r="J223" s="578" t="str">
        <f>IF('C-Design&amp;Const'!AG223="","",'C-Design&amp;Const'!AG223)</f>
        <v>(Substantially Complete)</v>
      </c>
      <c r="K223" s="285" t="str">
        <f>IF(CD50_apply="Yes",IF((COUNTIF(D223:G223,"Y")=COUNTIF('02 - DD'!D223:G223,"Y")),"match","no DD match"),"-")</f>
        <v>match</v>
      </c>
      <c r="L223" s="1410" t="str">
        <f t="shared" si="11"/>
        <v/>
      </c>
      <c r="M223" s="1382"/>
      <c r="N223" s="1382"/>
      <c r="O223" s="1382"/>
      <c r="P223" s="1382"/>
      <c r="Q223" s="1490"/>
      <c r="R223" s="1274"/>
      <c r="S223" s="1509"/>
      <c r="T223" s="1382"/>
      <c r="U223" s="1382"/>
      <c r="V223" s="1382"/>
      <c r="W223" s="1382"/>
      <c r="X223" s="1382"/>
      <c r="Y223" s="1382"/>
      <c r="Z223" s="1382"/>
      <c r="AA223" s="1382"/>
      <c r="AB223" s="1382"/>
      <c r="AC223" s="1382"/>
      <c r="AD223" s="1382"/>
      <c r="AE223" s="1382"/>
      <c r="AF223" s="1382"/>
      <c r="AG223" s="1382"/>
      <c r="AH223" s="1382"/>
      <c r="AI223" s="1382"/>
      <c r="AJ223" s="1382"/>
    </row>
    <row r="224" spans="1:49" s="181" customFormat="1" x14ac:dyDescent="0.25">
      <c r="A224" s="1518" t="str">
        <f>IF(DD_apply="Yes",IF(COUNTIF('02 - DD'!D224:G224,"Y")&gt;0,"Y",IF(COUNTIF('02 - DD'!D224:G224,"N"),"N","")),"")</f>
        <v>Y</v>
      </c>
      <c r="B224" s="177"/>
      <c r="C224" s="945"/>
      <c r="D224" s="411"/>
      <c r="E224" s="411"/>
      <c r="F224" s="559" t="str">
        <f>IF('C-Design&amp;Const'!$M224="","",'C-Design&amp;Const'!$M224)</f>
        <v>Y</v>
      </c>
      <c r="G224" s="510"/>
      <c r="H224" s="341" t="str">
        <f>CONCATENATE(IF(F224="N","PLACEHOLDER ROW - ",""),'C-Design&amp;Const'!Z224,IF(F224="N","",J224))</f>
        <v>Storm Water Detention Plan (Complete)</v>
      </c>
      <c r="I224" s="197"/>
      <c r="J224" s="578" t="str">
        <f>IF('C-Design&amp;Const'!AG224="","",'C-Design&amp;Const'!AG224)</f>
        <v>(Complete)</v>
      </c>
      <c r="K224" s="285" t="str">
        <f>IF(CD50_apply="Yes",IF((COUNTIF(D224:G224,"Y")=COUNTIF('02 - DD'!D224:G224,"Y")),"match","no DD match"),"-")</f>
        <v>match</v>
      </c>
      <c r="L224" s="1410" t="str">
        <f>CONCATENATE(IF(ISNUMBER(SEARCH("Placeholder",H224))=TRUE,"&lt;---PM/Planner may hide PLACEHOLDER ROW",""))</f>
        <v/>
      </c>
      <c r="M224" s="1382"/>
      <c r="N224" s="1382"/>
      <c r="O224" s="1382"/>
      <c r="P224" s="1382"/>
      <c r="Q224" s="1490"/>
      <c r="R224" s="1274"/>
      <c r="S224" s="1509"/>
      <c r="T224" s="1382"/>
      <c r="U224" s="1382"/>
      <c r="V224" s="1382"/>
      <c r="W224" s="1382"/>
      <c r="X224" s="1382"/>
      <c r="Y224" s="1382"/>
      <c r="Z224" s="1382"/>
      <c r="AA224" s="1382"/>
      <c r="AB224" s="1382"/>
      <c r="AC224" s="1382"/>
      <c r="AD224" s="1382"/>
      <c r="AE224" s="1382"/>
      <c r="AF224" s="1382"/>
      <c r="AG224" s="1382"/>
      <c r="AH224" s="1382"/>
      <c r="AI224" s="1382"/>
      <c r="AJ224" s="1382"/>
    </row>
    <row r="225" spans="1:49" s="30" customFormat="1" x14ac:dyDescent="0.25">
      <c r="A225" s="1518" t="str">
        <f>IF(DD_apply="Yes",IF(COUNTIF('02 - DD'!D225:G225,"Y")&gt;0,"Y",IF(COUNTIF('02 - DD'!D225:G225,"N"),"N","")),"")</f>
        <v>Y</v>
      </c>
      <c r="B225" s="191"/>
      <c r="C225" s="945"/>
      <c r="D225" s="411"/>
      <c r="E225" s="411"/>
      <c r="F225" s="559" t="str">
        <f>IF('C-Design&amp;Const'!$M225="","",'C-Design&amp;Const'!$M225)</f>
        <v>Y</v>
      </c>
      <c r="G225" s="514"/>
      <c r="H225" s="341" t="str">
        <f>CONCATENATE(IF(F225="N","PLACEHOLDER ROW - ",""),'C-Design&amp;Const'!Z225,IF(F225="N","",J225))</f>
        <v>Pavement, Sidewalks, and/or Utility Sections (Substantially Complete)</v>
      </c>
      <c r="I225" s="197"/>
      <c r="J225" s="578" t="str">
        <f>IF('C-Design&amp;Const'!AG225="","",'C-Design&amp;Const'!AG225)</f>
        <v>(Substantially Complete)</v>
      </c>
      <c r="K225" s="285" t="str">
        <f>IF(CD50_apply="Yes",IF((COUNTIF(D225:G225,"Y")=COUNTIF('02 - DD'!D225:G225,"Y")),"match","no DD match"),"-")</f>
        <v>match</v>
      </c>
      <c r="L225" s="1410" t="str">
        <f t="shared" si="11"/>
        <v/>
      </c>
      <c r="M225" s="1382"/>
      <c r="N225" s="1382"/>
      <c r="O225" s="1382"/>
      <c r="P225" s="1382"/>
      <c r="Q225" s="1274"/>
      <c r="R225" s="1513"/>
      <c r="S225" s="1509"/>
      <c r="T225" s="1382"/>
      <c r="U225" s="1382"/>
      <c r="V225" s="1382"/>
      <c r="W225" s="1382"/>
      <c r="X225" s="1382"/>
      <c r="Y225" s="1382"/>
      <c r="Z225" s="1382"/>
      <c r="AA225" s="1382"/>
      <c r="AB225" s="1382"/>
      <c r="AC225" s="1382"/>
      <c r="AD225" s="1382"/>
      <c r="AE225" s="1382"/>
      <c r="AF225" s="1382"/>
      <c r="AG225" s="1382"/>
      <c r="AH225" s="1382"/>
      <c r="AI225" s="1382"/>
      <c r="AJ225" s="1382"/>
      <c r="AK225" s="181"/>
      <c r="AL225" s="181"/>
      <c r="AM225" s="181"/>
      <c r="AN225" s="181"/>
      <c r="AO225" s="181"/>
      <c r="AP225" s="181"/>
      <c r="AQ225" s="181"/>
      <c r="AR225" s="181"/>
      <c r="AS225" s="181"/>
      <c r="AT225" s="181"/>
      <c r="AU225" s="181"/>
      <c r="AV225" s="181"/>
    </row>
    <row r="226" spans="1:49" s="30" customFormat="1" x14ac:dyDescent="0.25">
      <c r="A226" s="1518" t="str">
        <f>IF(DD_apply="Yes",IF(COUNTIF('02 - DD'!D226:G226,"Y")&gt;0,"Y",IF(COUNTIF('02 - DD'!D226:G226,"N"),"N","")),"")</f>
        <v>Y</v>
      </c>
      <c r="B226" s="191"/>
      <c r="C226" s="945"/>
      <c r="D226" s="411"/>
      <c r="E226" s="411"/>
      <c r="F226" s="559" t="str">
        <f>IF('C-Design&amp;Const'!$M226="","",'C-Design&amp;Const'!$M226)</f>
        <v>Y</v>
      </c>
      <c r="G226" s="514"/>
      <c r="H226" s="341" t="str">
        <f>CONCATENATE(IF(F226="N","PLACEHOLDER ROW - ",""),'C-Design&amp;Const'!Z226,IF(F226="N","",J226))</f>
        <v>Utility Relocations (Substantially Complete)</v>
      </c>
      <c r="I226" s="197"/>
      <c r="J226" s="578" t="str">
        <f>IF('C-Design&amp;Const'!AG226="","",'C-Design&amp;Const'!AG226)</f>
        <v>(Substantially Complete)</v>
      </c>
      <c r="K226" s="285" t="str">
        <f>IF(CD50_apply="Yes",IF((COUNTIF(D226:G226,"Y")=COUNTIF('02 - DD'!D226:G226,"Y")),"match","no DD match"),"-")</f>
        <v>match</v>
      </c>
      <c r="L226" s="1410" t="str">
        <f t="shared" si="11"/>
        <v/>
      </c>
      <c r="M226" s="1382"/>
      <c r="N226" s="1382"/>
      <c r="O226" s="1382"/>
      <c r="P226" s="1382"/>
      <c r="Q226" s="1274"/>
      <c r="R226" s="1513"/>
      <c r="S226" s="1509"/>
      <c r="T226" s="1382"/>
      <c r="U226" s="1382"/>
      <c r="V226" s="1382"/>
      <c r="W226" s="1382"/>
      <c r="X226" s="1382"/>
      <c r="Y226" s="1382"/>
      <c r="Z226" s="1382"/>
      <c r="AA226" s="1382"/>
      <c r="AB226" s="1382"/>
      <c r="AC226" s="1382"/>
      <c r="AD226" s="1382"/>
      <c r="AE226" s="1382"/>
      <c r="AF226" s="1382"/>
      <c r="AG226" s="1382"/>
      <c r="AH226" s="1382"/>
      <c r="AI226" s="1382"/>
      <c r="AJ226" s="1382"/>
      <c r="AK226" s="181"/>
      <c r="AL226" s="181"/>
      <c r="AM226" s="181"/>
      <c r="AN226" s="181"/>
      <c r="AO226" s="181"/>
      <c r="AP226" s="181"/>
      <c r="AQ226" s="181"/>
      <c r="AR226" s="181"/>
      <c r="AS226" s="181"/>
      <c r="AT226" s="181"/>
      <c r="AU226" s="181"/>
      <c r="AV226" s="181"/>
    </row>
    <row r="227" spans="1:49" s="181" customFormat="1" x14ac:dyDescent="0.25">
      <c r="A227" s="1518" t="str">
        <f>IF(DD_apply="Yes",IF(COUNTIF('02 - DD'!D227:G227,"Y")&gt;0,"Y",IF(COUNTIF('02 - DD'!D227:G227,"N"),"N","")),"")</f>
        <v>Y</v>
      </c>
      <c r="B227" s="177"/>
      <c r="C227" s="945"/>
      <c r="D227" s="411"/>
      <c r="E227" s="411"/>
      <c r="F227" s="559" t="str">
        <f>IF('C-Design&amp;Const'!$M227="","",'C-Design&amp;Const'!$M227)</f>
        <v>Y</v>
      </c>
      <c r="G227" s="510"/>
      <c r="H227" s="341" t="str">
        <f>CONCATENATE(IF(F227="N","PLACEHOLDER ROW - ",""),'C-Design&amp;Const'!Z227,IF(F227="N","",J227))</f>
        <v>Utility Site Plan and Details (Substantially Complete)</v>
      </c>
      <c r="I227" s="197"/>
      <c r="J227" s="578" t="str">
        <f>IF('C-Design&amp;Const'!AG227="","",'C-Design&amp;Const'!AG227)</f>
        <v>(Substantially Complete)</v>
      </c>
      <c r="K227" s="285" t="str">
        <f>IF(CD50_apply="Yes",IF((COUNTIF(D227:G227,"Y")=COUNTIF('02 - DD'!D227:G227,"Y")),"match","no DD match"),"-")</f>
        <v>match</v>
      </c>
      <c r="L227" s="1410" t="str">
        <f t="shared" si="11"/>
        <v/>
      </c>
      <c r="M227" s="1382"/>
      <c r="N227" s="1382"/>
      <c r="O227" s="1382"/>
      <c r="P227" s="1382"/>
      <c r="Q227" s="1490"/>
      <c r="R227" s="1274"/>
      <c r="S227" s="1509"/>
      <c r="T227" s="1382"/>
      <c r="U227" s="1382"/>
      <c r="V227" s="1382"/>
      <c r="W227" s="1382"/>
      <c r="X227" s="1382"/>
      <c r="Y227" s="1382"/>
      <c r="Z227" s="1382"/>
      <c r="AA227" s="1382"/>
      <c r="AB227" s="1382"/>
      <c r="AC227" s="1382"/>
      <c r="AD227" s="1382"/>
      <c r="AE227" s="1382"/>
      <c r="AF227" s="1382"/>
      <c r="AG227" s="1382"/>
      <c r="AH227" s="1382"/>
      <c r="AI227" s="1382"/>
      <c r="AJ227" s="1382"/>
    </row>
    <row r="228" spans="1:49" s="551" customFormat="1" x14ac:dyDescent="0.25">
      <c r="A228" s="1518"/>
      <c r="B228" s="549"/>
      <c r="C228" s="945"/>
      <c r="D228" s="411"/>
      <c r="E228" s="411"/>
      <c r="F228" s="559" t="str">
        <f>IF('C-Design&amp;Const'!$M228="","",'C-Design&amp;Const'!$M228)</f>
        <v>Y</v>
      </c>
      <c r="G228" s="506"/>
      <c r="H228" s="341" t="str">
        <f>CONCATENATE(IF(F228="N","PLACEHOLDER ROW - ",""),'C-Design&amp;Const'!Z228,IF(F228="N","",J228))</f>
        <v>Traffic Control Plans - Vehicular &amp; Pedestrian (Substantially Complete)</v>
      </c>
      <c r="I228" s="197"/>
      <c r="J228" s="578" t="str">
        <f>IF('C-Design&amp;Const'!AG228="","",'C-Design&amp;Const'!AG228)</f>
        <v>(Substantially Complete)</v>
      </c>
      <c r="K228" s="285" t="str">
        <f>IF(CD50_apply="Yes",IF((COUNTIF(D228:G228,"Y")=COUNTIF('02 - DD'!D228:G228,"Y")),"match","no DD match"),"-")</f>
        <v>match</v>
      </c>
      <c r="L228" s="1410" t="str">
        <f t="shared" ref="L228" si="14">CONCATENATE(IF(ISNUMBER(SEARCH("Placeholder",H228))=TRUE,"&lt;---PM/Planner may hide PLACEHOLDER ROW",""))</f>
        <v/>
      </c>
      <c r="M228" s="1382"/>
      <c r="N228" s="1382"/>
      <c r="O228" s="1382"/>
      <c r="P228" s="1382"/>
      <c r="Q228" s="1490"/>
      <c r="R228" s="1274"/>
      <c r="S228" s="1509"/>
      <c r="T228" s="1382"/>
      <c r="U228" s="1382"/>
      <c r="V228" s="1382"/>
      <c r="W228" s="1382"/>
      <c r="X228" s="1382"/>
      <c r="Y228" s="1382"/>
      <c r="Z228" s="1382"/>
      <c r="AA228" s="1382"/>
      <c r="AB228" s="1382"/>
      <c r="AC228" s="1382"/>
      <c r="AD228" s="1382"/>
      <c r="AE228" s="1382"/>
      <c r="AF228" s="1382"/>
      <c r="AG228" s="1382"/>
      <c r="AH228" s="1382"/>
      <c r="AI228" s="1382"/>
      <c r="AJ228" s="1382"/>
    </row>
    <row r="229" spans="1:49" s="30" customFormat="1" ht="15.75" customHeight="1" x14ac:dyDescent="0.25">
      <c r="A229" s="1518" t="str">
        <f>IF(DD_apply="Yes",IF(COUNTIF('02 - DD'!D229:G229,"Y")&gt;0,"Y",IF(COUNTIF('02 - DD'!D229:G229,"N"),"N","")),"")</f>
        <v>N</v>
      </c>
      <c r="B229" s="191"/>
      <c r="C229" s="945"/>
      <c r="D229" s="463"/>
      <c r="E229" s="463"/>
      <c r="F229" s="359" t="str">
        <f>IF('C-Design&amp;Const'!$M229="","",'C-Design&amp;Const'!$M229)</f>
        <v>Y</v>
      </c>
      <c r="G229" s="291"/>
      <c r="H229" s="341" t="str">
        <f>CONCATENATE(IF(F229="N","PLACEHOLDER ROW - ",""),'C-Design&amp;Const'!Z229,IF(F229="N","",J229))</f>
        <v>Construction Layout/Laydown Plan with tree protection(Approx. 50% Complete)</v>
      </c>
      <c r="I229" s="184"/>
      <c r="J229" s="578" t="str">
        <f>IF('C-Design&amp;Const'!AG229="","",'C-Design&amp;Const'!AG229)</f>
        <v>(Approx. 50% Complete)</v>
      </c>
      <c r="K229" s="285" t="str">
        <f>IF(CD50_apply="Yes",IF((COUNTIF(D229:G229,"Y")=COUNTIF('02 - DD'!D229:G229,"Y")),"match","no DD match"),"-")</f>
        <v>no DD match</v>
      </c>
      <c r="L229" s="1410" t="str">
        <f t="shared" si="11"/>
        <v/>
      </c>
      <c r="M229" s="1382"/>
      <c r="N229" s="1382"/>
      <c r="O229" s="1382"/>
      <c r="P229" s="1382"/>
      <c r="Q229" s="1382"/>
      <c r="R229" s="1382"/>
      <c r="S229" s="1509"/>
      <c r="T229" s="1382"/>
      <c r="U229" s="1382"/>
      <c r="V229" s="1382"/>
      <c r="W229" s="1382"/>
      <c r="X229" s="1382"/>
      <c r="Y229" s="1382"/>
      <c r="Z229" s="1382"/>
      <c r="AA229" s="1382"/>
      <c r="AB229" s="1382"/>
      <c r="AC229" s="1382"/>
      <c r="AD229" s="1382"/>
      <c r="AE229" s="1382"/>
      <c r="AF229" s="1382"/>
      <c r="AG229" s="1382"/>
      <c r="AH229" s="1382"/>
      <c r="AI229" s="1382"/>
      <c r="AJ229" s="1382"/>
      <c r="AK229" s="181"/>
      <c r="AL229" s="181"/>
      <c r="AM229" s="181"/>
      <c r="AN229" s="181"/>
      <c r="AO229" s="181"/>
      <c r="AP229" s="181"/>
      <c r="AQ229" s="181"/>
      <c r="AR229" s="181"/>
      <c r="AS229" s="181"/>
      <c r="AT229" s="181"/>
      <c r="AU229" s="181"/>
      <c r="AV229" s="181"/>
      <c r="AW229" s="181"/>
    </row>
    <row r="230" spans="1:49" s="181" customFormat="1" x14ac:dyDescent="0.25">
      <c r="A230" s="1518" t="str">
        <f>IF(DD_apply="Yes",IF(COUNTIF('02 - DD'!D230:G230,"Y")&gt;0,"Y",IF(COUNTIF('02 - DD'!D230:G230,"N"),"N","")),"")</f>
        <v>Y</v>
      </c>
      <c r="B230" s="177"/>
      <c r="C230" s="945"/>
      <c r="D230" s="411"/>
      <c r="E230" s="411"/>
      <c r="F230" s="559" t="str">
        <f>IF('C-Design&amp;Const'!$M230="","",'C-Design&amp;Const'!$M230)</f>
        <v>Y</v>
      </c>
      <c r="G230" s="510"/>
      <c r="H230" s="341" t="str">
        <f>CONCATENATE(IF(F230="N","PLACEHOLDER ROW - ",""),'C-Design&amp;Const'!Z230,IF(F230="N","",J230))</f>
        <v>Landscape Plan (Substantially Complete)</v>
      </c>
      <c r="I230" s="197"/>
      <c r="J230" s="578" t="str">
        <f>IF('C-Design&amp;Const'!AG230="","",'C-Design&amp;Const'!AG230)</f>
        <v>(Substantially Complete)</v>
      </c>
      <c r="K230" s="285" t="str">
        <f>IF(CD50_apply="Yes",IF((COUNTIF(D230:G230,"Y")=COUNTIF('02 - DD'!D230:G230,"Y")),"match","no DD match"),"-")</f>
        <v>match</v>
      </c>
      <c r="L230" s="1410" t="str">
        <f t="shared" si="11"/>
        <v/>
      </c>
      <c r="M230" s="1382"/>
      <c r="N230" s="1382"/>
      <c r="O230" s="1382"/>
      <c r="P230" s="1382"/>
      <c r="Q230" s="1490"/>
      <c r="R230" s="1274"/>
      <c r="S230" s="1509"/>
      <c r="T230" s="1382"/>
      <c r="U230" s="1382"/>
      <c r="V230" s="1382"/>
      <c r="W230" s="1382"/>
      <c r="X230" s="1382"/>
      <c r="Y230" s="1382"/>
      <c r="Z230" s="1382"/>
      <c r="AA230" s="1382"/>
      <c r="AB230" s="1382"/>
      <c r="AC230" s="1382"/>
      <c r="AD230" s="1382"/>
      <c r="AE230" s="1382"/>
      <c r="AF230" s="1382"/>
      <c r="AG230" s="1382"/>
      <c r="AH230" s="1382"/>
      <c r="AI230" s="1382"/>
      <c r="AJ230" s="1382"/>
    </row>
    <row r="231" spans="1:49" s="181" customFormat="1" x14ac:dyDescent="0.25">
      <c r="A231" s="1510" t="str">
        <f>IF(DD_apply="Yes",IF(COUNTIF('02 - DD'!D231:G231,"Y")&gt;0,"Y",IF(COUNTIF('02 - DD'!D231:G231,"N"),"N","")),"")</f>
        <v>Y</v>
      </c>
      <c r="B231" s="177"/>
      <c r="C231" s="945"/>
      <c r="D231" s="411"/>
      <c r="E231" s="559" t="str">
        <f>IF('C-Design&amp;Const'!$M231="","",'C-Design&amp;Const'!$M231)</f>
        <v>Y</v>
      </c>
      <c r="F231" s="456"/>
      <c r="G231" s="510"/>
      <c r="H231" s="347" t="str">
        <f>CONCATENATE(IF(F231="N","PLACEHOLDER ROW - ",""),'C-Design&amp;Const'!Z231,IF(F231="N","",J231))</f>
        <v>Architectural Drawings (Including Bid Alts.)</v>
      </c>
      <c r="I231" s="198"/>
      <c r="J231" s="578" t="str">
        <f>IF('C-Design&amp;Const'!AG231="","",'C-Design&amp;Const'!AG231)</f>
        <v xml:space="preserve"> (Including Bid Alts.)</v>
      </c>
      <c r="K231" s="285" t="str">
        <f>IF(CD50_apply="Yes",IF((COUNTIF(D231:G231,"Y")=COUNTIF('02 - DD'!D231:G231,"Y")),"match","no DD match"),"-")</f>
        <v>match</v>
      </c>
      <c r="L231" s="1410" t="str">
        <f t="shared" si="11"/>
        <v/>
      </c>
      <c r="M231" s="1382"/>
      <c r="N231" s="1382"/>
      <c r="O231" s="1382"/>
      <c r="P231" s="1382"/>
      <c r="Q231" s="1274"/>
      <c r="R231" s="1513"/>
      <c r="S231" s="1509"/>
      <c r="T231" s="1382"/>
      <c r="U231" s="1382"/>
      <c r="V231" s="1382"/>
      <c r="W231" s="1382"/>
      <c r="X231" s="1382"/>
      <c r="Y231" s="1382"/>
      <c r="Z231" s="1382"/>
      <c r="AA231" s="1382"/>
      <c r="AB231" s="1382"/>
      <c r="AC231" s="1382"/>
      <c r="AD231" s="1382"/>
      <c r="AE231" s="1382"/>
      <c r="AF231" s="1382"/>
      <c r="AG231" s="1382"/>
      <c r="AH231" s="1382"/>
      <c r="AI231" s="1382"/>
      <c r="AJ231" s="1382"/>
    </row>
    <row r="232" spans="1:49" s="30" customFormat="1" ht="14.25" customHeight="1" x14ac:dyDescent="0.25">
      <c r="A232" s="1518" t="str">
        <f>IF(DD_apply="Yes",IF(COUNTIF('02 - DD'!D232:G232,"Y")&gt;0,"Y",IF(COUNTIF('02 - DD'!D232:G232,"N"),"N","")),"")</f>
        <v>N</v>
      </c>
      <c r="B232" s="191"/>
      <c r="C232" s="945"/>
      <c r="D232" s="411"/>
      <c r="E232" s="411"/>
      <c r="F232" s="559" t="str">
        <f>IF('C-Design&amp;Const'!$M232="","",'C-Design&amp;Const'!$M232)</f>
        <v>?</v>
      </c>
      <c r="G232" s="514"/>
      <c r="H232" s="341" t="str">
        <f>CONCATENATE(IF(F232="N","PLACEHOLDER ROW - ",""),'C-Design&amp;Const'!Z232,IF(F232="N","",J232))</f>
        <v>CUSTOM - Architectural  (Substantially Complete)</v>
      </c>
      <c r="I232" s="197"/>
      <c r="J232" s="578" t="str">
        <f>IF('C-Design&amp;Const'!AG232="","",'C-Design&amp;Const'!AG232)</f>
        <v>(Substantially Complete)</v>
      </c>
      <c r="K232" s="285" t="str">
        <f>IF(CD50_apply="Yes",IF((COUNTIF(D232:G232,"Y")=COUNTIF('02 - DD'!D232:G232,"Y")),"match","no DD match"),"-")</f>
        <v>match</v>
      </c>
      <c r="L232" s="1410" t="str">
        <f t="shared" si="11"/>
        <v/>
      </c>
      <c r="M232" s="1382"/>
      <c r="N232" s="1382"/>
      <c r="O232" s="1382"/>
      <c r="P232" s="1382"/>
      <c r="Q232" s="1274"/>
      <c r="R232" s="1513"/>
      <c r="S232" s="1509"/>
      <c r="T232" s="1382"/>
      <c r="U232" s="1382"/>
      <c r="V232" s="1382"/>
      <c r="W232" s="1382"/>
      <c r="X232" s="1382"/>
      <c r="Y232" s="1382"/>
      <c r="Z232" s="1382"/>
      <c r="AA232" s="1382"/>
      <c r="AB232" s="1382"/>
      <c r="AC232" s="1382"/>
      <c r="AD232" s="1382"/>
      <c r="AE232" s="1382"/>
      <c r="AF232" s="1382"/>
      <c r="AG232" s="1382"/>
      <c r="AH232" s="1382"/>
      <c r="AI232" s="1382"/>
      <c r="AJ232" s="1382"/>
      <c r="AK232" s="181"/>
      <c r="AL232" s="181"/>
      <c r="AM232" s="181"/>
      <c r="AN232" s="181"/>
      <c r="AO232" s="181"/>
      <c r="AP232" s="181"/>
      <c r="AQ232" s="181"/>
      <c r="AR232" s="181"/>
      <c r="AS232" s="181"/>
      <c r="AT232" s="181"/>
      <c r="AU232" s="181"/>
      <c r="AV232" s="181"/>
    </row>
    <row r="233" spans="1:49" s="30" customFormat="1" x14ac:dyDescent="0.25">
      <c r="A233" s="1518" t="str">
        <f>IF(DD_apply="Yes",IF(COUNTIF('02 - DD'!D233:G233,"Y")&gt;0,"Y",IF(COUNTIF('02 - DD'!D233:G233,"N"),"N","")),"")</f>
        <v>N</v>
      </c>
      <c r="B233" s="191"/>
      <c r="C233" s="945"/>
      <c r="D233" s="411"/>
      <c r="E233" s="411"/>
      <c r="F233" s="559" t="str">
        <f>IF('C-Design&amp;Const'!$M233="","",'C-Design&amp;Const'!$M233)</f>
        <v>?</v>
      </c>
      <c r="G233" s="514"/>
      <c r="H233" s="341" t="str">
        <f>CONCATENATE(IF(F233="N","PLACEHOLDER ROW - ",""),'C-Design&amp;Const'!Z233,IF(F233="N","",J233))</f>
        <v>CUSTOM - Architectural  (Substantially Complete)</v>
      </c>
      <c r="I233" s="197"/>
      <c r="J233" s="578" t="str">
        <f>IF('C-Design&amp;Const'!AG233="","",'C-Design&amp;Const'!AG233)</f>
        <v>(Substantially Complete)</v>
      </c>
      <c r="K233" s="285" t="str">
        <f>IF(CD50_apply="Yes",IF((COUNTIF(D233:G233,"Y")=COUNTIF('02 - DD'!D233:G233,"Y")),"match","no DD match"),"-")</f>
        <v>match</v>
      </c>
      <c r="L233" s="1410" t="str">
        <f t="shared" si="11"/>
        <v/>
      </c>
      <c r="M233" s="1382"/>
      <c r="N233" s="1382"/>
      <c r="O233" s="1382"/>
      <c r="P233" s="1382"/>
      <c r="Q233" s="1274"/>
      <c r="R233" s="1513"/>
      <c r="S233" s="1509"/>
      <c r="T233" s="1382"/>
      <c r="U233" s="1382"/>
      <c r="V233" s="1382"/>
      <c r="W233" s="1382"/>
      <c r="X233" s="1382"/>
      <c r="Y233" s="1382"/>
      <c r="Z233" s="1382"/>
      <c r="AA233" s="1382"/>
      <c r="AB233" s="1382"/>
      <c r="AC233" s="1382"/>
      <c r="AD233" s="1382"/>
      <c r="AE233" s="1382"/>
      <c r="AF233" s="1382"/>
      <c r="AG233" s="1382"/>
      <c r="AH233" s="1382"/>
      <c r="AI233" s="1382"/>
      <c r="AJ233" s="1382"/>
      <c r="AK233" s="181"/>
      <c r="AL233" s="181"/>
      <c r="AM233" s="181"/>
      <c r="AN233" s="181"/>
      <c r="AO233" s="181"/>
      <c r="AP233" s="181"/>
      <c r="AQ233" s="181"/>
      <c r="AR233" s="181"/>
      <c r="AS233" s="181"/>
      <c r="AT233" s="181"/>
      <c r="AU233" s="181"/>
      <c r="AV233" s="181"/>
    </row>
    <row r="234" spans="1:49" s="545" customFormat="1" ht="14.25" customHeight="1" x14ac:dyDescent="0.25">
      <c r="A234" s="1518" t="str">
        <f>IF(DD_apply="Yes",IF(COUNTIF('02 - DD'!D234:G234,"Y")&gt;0,"Y",IF(COUNTIF('02 - DD'!D234:G234,"N"),"N","")),"")</f>
        <v>Y</v>
      </c>
      <c r="B234" s="554"/>
      <c r="C234" s="945"/>
      <c r="D234" s="411"/>
      <c r="E234" s="411"/>
      <c r="F234" s="559" t="str">
        <f>IF('C-Design&amp;Const'!$M234="","",'C-Design&amp;Const'!$M234)</f>
        <v>Y</v>
      </c>
      <c r="G234" s="514"/>
      <c r="H234" s="341" t="str">
        <f>CONCATENATE(IF(F234="N","PLACEHOLDER ROW - ",""),'C-Design&amp;Const'!Z234,IF(F234="N","",J234))</f>
        <v>Architectural Symbols, Abbreviations, and General Notes (Substantially Complete)</v>
      </c>
      <c r="I234" s="197"/>
      <c r="J234" s="578" t="str">
        <f>IF('C-Design&amp;Const'!AG234="","",'C-Design&amp;Const'!AG234)</f>
        <v>(Substantially Complete)</v>
      </c>
      <c r="K234" s="285" t="str">
        <f>IF(CD50_apply="Yes",IF((COUNTIF(D234:G234,"Y")=COUNTIF('02 - DD'!D234:G234,"Y")),"match","no DD match"),"-")</f>
        <v>match</v>
      </c>
      <c r="L234" s="1410" t="str">
        <f>CONCATENATE(IF(ISNUMBER(SEARCH("Placeholder",H234))=TRUE,"&lt;---PM/Planner may hide PLACEHOLDER ROW",""))</f>
        <v/>
      </c>
      <c r="M234" s="1382"/>
      <c r="N234" s="1382"/>
      <c r="O234" s="1382"/>
      <c r="P234" s="1382"/>
      <c r="Q234" s="1274"/>
      <c r="R234" s="1513"/>
      <c r="S234" s="1509"/>
      <c r="T234" s="1382"/>
      <c r="U234" s="1382"/>
      <c r="V234" s="1382"/>
      <c r="W234" s="1382"/>
      <c r="X234" s="1382"/>
      <c r="Y234" s="1382"/>
      <c r="Z234" s="1382"/>
      <c r="AA234" s="1382"/>
      <c r="AB234" s="1382"/>
      <c r="AC234" s="1382"/>
      <c r="AD234" s="1382"/>
      <c r="AE234" s="1382"/>
      <c r="AF234" s="1382"/>
      <c r="AG234" s="1382"/>
      <c r="AH234" s="1382"/>
      <c r="AI234" s="1382"/>
      <c r="AJ234" s="1382"/>
      <c r="AK234" s="551"/>
      <c r="AL234" s="551"/>
      <c r="AM234" s="551"/>
      <c r="AN234" s="551"/>
      <c r="AO234" s="551"/>
      <c r="AP234" s="551"/>
      <c r="AQ234" s="551"/>
      <c r="AR234" s="551"/>
      <c r="AS234" s="551"/>
      <c r="AT234" s="551"/>
      <c r="AU234" s="551"/>
      <c r="AV234" s="551"/>
    </row>
    <row r="235" spans="1:49" s="30" customFormat="1" ht="14.25" customHeight="1" x14ac:dyDescent="0.25">
      <c r="A235" s="1518" t="str">
        <f>IF(DD_apply="Yes",IF(COUNTIF('02 - DD'!D235:G235,"Y")&gt;0,"Y",IF(COUNTIF('02 - DD'!D235:G235,"N"),"N","")),"")</f>
        <v>N</v>
      </c>
      <c r="B235" s="191"/>
      <c r="C235" s="945"/>
      <c r="D235" s="411"/>
      <c r="E235" s="411"/>
      <c r="F235" s="559" t="str">
        <f>IF('C-Design&amp;Const'!$M235="","",'C-Design&amp;Const'!$M235)</f>
        <v>N</v>
      </c>
      <c r="G235" s="514"/>
      <c r="H235" s="341" t="str">
        <f>CONCATENATE(IF(F235="N","PLACEHOLDER ROW - ",""),'C-Design&amp;Const'!Z235,IF(F235="N","",J235))</f>
        <v xml:space="preserve">PLACEHOLDER ROW - Renderings </v>
      </c>
      <c r="I235" s="197"/>
      <c r="J235" s="578" t="str">
        <f>IF('C-Design&amp;Const'!AG235="","",'C-Design&amp;Const'!AG235)</f>
        <v>(Substantially Complete)</v>
      </c>
      <c r="K235" s="285" t="str">
        <f>IF(CD50_apply="Yes",IF((COUNTIF(D235:G235,"Y")=COUNTIF('02 - DD'!D235:G235,"Y")),"match","no DD match"),"-")</f>
        <v>match</v>
      </c>
      <c r="L235" s="1410" t="str">
        <f t="shared" si="11"/>
        <v>&lt;---PM/Planner may hide PLACEHOLDER ROW</v>
      </c>
      <c r="M235" s="1382"/>
      <c r="N235" s="1382"/>
      <c r="O235" s="1382"/>
      <c r="P235" s="1382"/>
      <c r="Q235" s="1274"/>
      <c r="R235" s="1513"/>
      <c r="S235" s="1509"/>
      <c r="T235" s="1382"/>
      <c r="U235" s="1382"/>
      <c r="V235" s="1382"/>
      <c r="W235" s="1382"/>
      <c r="X235" s="1382"/>
      <c r="Y235" s="1382"/>
      <c r="Z235" s="1382"/>
      <c r="AA235" s="1382"/>
      <c r="AB235" s="1382"/>
      <c r="AC235" s="1382"/>
      <c r="AD235" s="1382"/>
      <c r="AE235" s="1382"/>
      <c r="AF235" s="1382"/>
      <c r="AG235" s="1382"/>
      <c r="AH235" s="1382"/>
      <c r="AI235" s="1382"/>
      <c r="AJ235" s="1382"/>
      <c r="AK235" s="181"/>
      <c r="AL235" s="181"/>
      <c r="AM235" s="181"/>
      <c r="AN235" s="181"/>
      <c r="AO235" s="181"/>
      <c r="AP235" s="181"/>
      <c r="AQ235" s="181"/>
      <c r="AR235" s="181"/>
      <c r="AS235" s="181"/>
      <c r="AT235" s="181"/>
      <c r="AU235" s="181"/>
      <c r="AV235" s="181"/>
    </row>
    <row r="236" spans="1:49" s="551" customFormat="1" x14ac:dyDescent="0.25">
      <c r="A236" s="1518" t="str">
        <f>IF(DD_apply="Yes",IF(COUNTIF('02 - DD'!D236:G236,"Y")&gt;0,"Y",IF(COUNTIF('02 - DD'!D236:G236,"N"),"N","")),"")</f>
        <v>Y</v>
      </c>
      <c r="B236" s="549"/>
      <c r="C236" s="945"/>
      <c r="D236" s="411"/>
      <c r="E236" s="411"/>
      <c r="F236" s="559" t="str">
        <f>IF('C-Design&amp;Const'!$M236="","",'C-Design&amp;Const'!$M236)</f>
        <v>Y</v>
      </c>
      <c r="G236" s="510"/>
      <c r="H236" s="341" t="str">
        <f>CONCATENATE(IF(F236="N","PLACEHOLDER ROW - ",""),'C-Design&amp;Const'!Z236,IF(F236="N","",J236))</f>
        <v>Demolition(s) (Substantially Complete)</v>
      </c>
      <c r="I236" s="197"/>
      <c r="J236" s="578" t="str">
        <f>IF('C-Design&amp;Const'!AG236="","",'C-Design&amp;Const'!AG236)</f>
        <v>(Substantially Complete)</v>
      </c>
      <c r="K236" s="285" t="str">
        <f>IF(CD50_apply="Yes",IF((COUNTIF(D236:G236,"Y")=COUNTIF('02 - DD'!D236:G236,"Y")),"match","no DD match"),"-")</f>
        <v>match</v>
      </c>
      <c r="L236" s="1410" t="str">
        <f>CONCATENATE(IF(ISNUMBER(SEARCH("Placeholder",H236))=TRUE,"&lt;---PM/Planner may hide PLACEHOLDER ROW",""))</f>
        <v/>
      </c>
      <c r="M236" s="1382"/>
      <c r="N236" s="1382"/>
      <c r="O236" s="1382"/>
      <c r="P236" s="1382"/>
      <c r="Q236" s="1490"/>
      <c r="R236" s="1274"/>
      <c r="S236" s="1509"/>
      <c r="T236" s="1382"/>
      <c r="U236" s="1382"/>
      <c r="V236" s="1382"/>
      <c r="W236" s="1382"/>
      <c r="X236" s="1382"/>
      <c r="Y236" s="1382"/>
      <c r="Z236" s="1382"/>
      <c r="AA236" s="1382"/>
      <c r="AB236" s="1382"/>
      <c r="AC236" s="1382"/>
      <c r="AD236" s="1382"/>
      <c r="AE236" s="1382"/>
      <c r="AF236" s="1382"/>
      <c r="AG236" s="1382"/>
      <c r="AH236" s="1382"/>
      <c r="AI236" s="1382"/>
      <c r="AJ236" s="1382"/>
    </row>
    <row r="237" spans="1:49" s="181" customFormat="1" x14ac:dyDescent="0.25">
      <c r="A237" s="1518" t="str">
        <f>IF(DD_apply="Yes",IF(COUNTIF('02 - DD'!D237:G237,"Y")&gt;0,"Y",IF(COUNTIF('02 - DD'!D237:G237,"N"),"N","")),"")</f>
        <v>Y</v>
      </c>
      <c r="B237" s="177"/>
      <c r="C237" s="945"/>
      <c r="D237" s="411"/>
      <c r="E237" s="411"/>
      <c r="F237" s="559" t="str">
        <f>IF('C-Design&amp;Const'!$M237="","",'C-Design&amp;Const'!$M237)</f>
        <v>Y</v>
      </c>
      <c r="G237" s="510"/>
      <c r="H237" s="341" t="str">
        <f>CONCATENATE(IF(F237="N","PLACEHOLDER ROW - ",""),'C-Design&amp;Const'!Z237,IF(F237="N","",J237))</f>
        <v>Floor Plans - Large Scale (Substantially Complete)</v>
      </c>
      <c r="I237" s="197"/>
      <c r="J237" s="578" t="str">
        <f>IF('C-Design&amp;Const'!AG237="","",'C-Design&amp;Const'!AG237)</f>
        <v>(Substantially Complete)</v>
      </c>
      <c r="K237" s="285" t="str">
        <f>IF(CD50_apply="Yes",IF((COUNTIF(D237:G237,"Y")=COUNTIF('02 - DD'!D237:G237,"Y")),"match","no DD match"),"-")</f>
        <v>match</v>
      </c>
      <c r="L237" s="1410" t="str">
        <f>CONCATENATE(IF(ISNUMBER(SEARCH("Placeholder",H237))=TRUE,"&lt;---PM/Planner may hide PLACEHOLDER ROW",""))</f>
        <v/>
      </c>
      <c r="M237" s="1382"/>
      <c r="N237" s="1382"/>
      <c r="O237" s="1382"/>
      <c r="P237" s="1382"/>
      <c r="Q237" s="1490"/>
      <c r="R237" s="1274"/>
      <c r="S237" s="1509"/>
      <c r="T237" s="1382"/>
      <c r="U237" s="1382"/>
      <c r="V237" s="1382"/>
      <c r="W237" s="1382"/>
      <c r="X237" s="1382"/>
      <c r="Y237" s="1382"/>
      <c r="Z237" s="1382"/>
      <c r="AA237" s="1382"/>
      <c r="AB237" s="1382"/>
      <c r="AC237" s="1382"/>
      <c r="AD237" s="1382"/>
      <c r="AE237" s="1382"/>
      <c r="AF237" s="1382"/>
      <c r="AG237" s="1382"/>
      <c r="AH237" s="1382"/>
      <c r="AI237" s="1382"/>
      <c r="AJ237" s="1382"/>
    </row>
    <row r="238" spans="1:49" s="181" customFormat="1" x14ac:dyDescent="0.25">
      <c r="A238" s="1518" t="str">
        <f>IF(DD_apply="Yes",IF(COUNTIF('02 - DD'!D238:G238,"Y")&gt;0,"Y",IF(COUNTIF('02 - DD'!D238:G238,"N"),"N","")),"")</f>
        <v>Y</v>
      </c>
      <c r="B238" s="177"/>
      <c r="C238" s="945"/>
      <c r="D238" s="411"/>
      <c r="E238" s="411"/>
      <c r="F238" s="559" t="str">
        <f>IF('C-Design&amp;Const'!$M238="","",'C-Design&amp;Const'!$M238)</f>
        <v>Y</v>
      </c>
      <c r="G238" s="510"/>
      <c r="H238" s="341" t="str">
        <f>CONCATENATE(IF(F238="N","PLACEHOLDER ROW - ",""),'C-Design&amp;Const'!Z238,IF(F238="N","",J238))</f>
        <v>Floor Plans (Substantially Complete)</v>
      </c>
      <c r="I238" s="197"/>
      <c r="J238" s="578" t="str">
        <f>IF('C-Design&amp;Const'!AG238="","",'C-Design&amp;Const'!AG238)</f>
        <v>(Substantially Complete)</v>
      </c>
      <c r="K238" s="285" t="str">
        <f>IF(CD50_apply="Yes",IF((COUNTIF(D238:G238,"Y")=COUNTIF('02 - DD'!D238:G238,"Y")),"match","no DD match"),"-")</f>
        <v>match</v>
      </c>
      <c r="L238" s="1410" t="str">
        <f t="shared" si="11"/>
        <v/>
      </c>
      <c r="M238" s="1382"/>
      <c r="N238" s="1382"/>
      <c r="O238" s="1382"/>
      <c r="P238" s="1382"/>
      <c r="Q238" s="1490"/>
      <c r="R238" s="1274"/>
      <c r="S238" s="1509"/>
      <c r="T238" s="1382"/>
      <c r="U238" s="1382"/>
      <c r="V238" s="1382"/>
      <c r="W238" s="1382"/>
      <c r="X238" s="1382"/>
      <c r="Y238" s="1382"/>
      <c r="Z238" s="1382"/>
      <c r="AA238" s="1382"/>
      <c r="AB238" s="1382"/>
      <c r="AC238" s="1382"/>
      <c r="AD238" s="1382"/>
      <c r="AE238" s="1382"/>
      <c r="AF238" s="1382"/>
      <c r="AG238" s="1382"/>
      <c r="AH238" s="1382"/>
      <c r="AI238" s="1382"/>
      <c r="AJ238" s="1382"/>
    </row>
    <row r="239" spans="1:49" s="181" customFormat="1" x14ac:dyDescent="0.25">
      <c r="A239" s="1518" t="str">
        <f>IF(DD_apply="Yes",IF(COUNTIF('02 - DD'!D239:G239,"Y")&gt;0,"Y",IF(COUNTIF('02 - DD'!D239:G239,"N"),"N","")),"")</f>
        <v>Y</v>
      </c>
      <c r="B239" s="177"/>
      <c r="C239" s="945"/>
      <c r="D239" s="411"/>
      <c r="E239" s="411"/>
      <c r="F239" s="559" t="str">
        <f>IF('C-Design&amp;Const'!$M239="","",'C-Design&amp;Const'!$M239)</f>
        <v>Y</v>
      </c>
      <c r="G239" s="510"/>
      <c r="H239" s="341" t="str">
        <f>CONCATENATE(IF(F239="N","PLACEHOLDER ROW - ",""),'C-Design&amp;Const'!Z239,IF(F239="N","",J239))</f>
        <v>Roof Plan (Substantially Complete)</v>
      </c>
      <c r="I239" s="197"/>
      <c r="J239" s="578" t="str">
        <f>IF('C-Design&amp;Const'!AG239="","",'C-Design&amp;Const'!AG239)</f>
        <v>(Substantially Complete)</v>
      </c>
      <c r="K239" s="285" t="str">
        <f>IF(CD50_apply="Yes",IF((COUNTIF(D239:G239,"Y")=COUNTIF('02 - DD'!D239:G239,"Y")),"match","no DD match"),"-")</f>
        <v>match</v>
      </c>
      <c r="L239" s="1410" t="str">
        <f t="shared" si="11"/>
        <v/>
      </c>
      <c r="M239" s="1382"/>
      <c r="N239" s="1382"/>
      <c r="O239" s="1382"/>
      <c r="P239" s="1382"/>
      <c r="Q239" s="1490"/>
      <c r="R239" s="1274"/>
      <c r="S239" s="1509"/>
      <c r="T239" s="1382"/>
      <c r="U239" s="1382"/>
      <c r="V239" s="1382"/>
      <c r="W239" s="1382"/>
      <c r="X239" s="1382"/>
      <c r="Y239" s="1382"/>
      <c r="Z239" s="1382"/>
      <c r="AA239" s="1382"/>
      <c r="AB239" s="1382"/>
      <c r="AC239" s="1382"/>
      <c r="AD239" s="1382"/>
      <c r="AE239" s="1382"/>
      <c r="AF239" s="1382"/>
      <c r="AG239" s="1382"/>
      <c r="AH239" s="1382"/>
      <c r="AI239" s="1382"/>
      <c r="AJ239" s="1382"/>
    </row>
    <row r="240" spans="1:49" s="181" customFormat="1" x14ac:dyDescent="0.25">
      <c r="A240" s="1518" t="str">
        <f>IF(DD_apply="Yes",IF(COUNTIF('02 - DD'!D240:G240,"Y")&gt;0,"Y",IF(COUNTIF('02 - DD'!D240:G240,"N"),"N","")),"")</f>
        <v>Y</v>
      </c>
      <c r="B240" s="177"/>
      <c r="C240" s="945"/>
      <c r="D240" s="411"/>
      <c r="E240" s="411"/>
      <c r="F240" s="559" t="str">
        <f>IF('C-Design&amp;Const'!$M240="","",'C-Design&amp;Const'!$M240)</f>
        <v>Y</v>
      </c>
      <c r="G240" s="510"/>
      <c r="H240" s="341" t="str">
        <f>CONCATENATE(IF(F240="N","PLACEHOLDER ROW - ",""),'C-Design&amp;Const'!Z240,IF(F240="N","",J240))</f>
        <v>Building Elevations - Exterior Including Large Scale Critical Items (Substantially Complete)</v>
      </c>
      <c r="I240" s="197"/>
      <c r="J240" s="578" t="str">
        <f>IF('C-Design&amp;Const'!AG240="","",'C-Design&amp;Const'!AG240)</f>
        <v>Including Large Scale Critical Items (Substantially Complete)</v>
      </c>
      <c r="K240" s="285" t="str">
        <f>IF(CD50_apply="Yes",IF((COUNTIF(D240:G240,"Y")=COUNTIF('02 - DD'!D240:G240,"Y")),"match","no DD match"),"-")</f>
        <v>match</v>
      </c>
      <c r="L240" s="1410" t="str">
        <f t="shared" si="11"/>
        <v/>
      </c>
      <c r="M240" s="1382"/>
      <c r="N240" s="1382"/>
      <c r="O240" s="1382"/>
      <c r="P240" s="1382"/>
      <c r="Q240" s="1490"/>
      <c r="R240" s="1274"/>
      <c r="S240" s="1509"/>
      <c r="T240" s="1382"/>
      <c r="U240" s="1382"/>
      <c r="V240" s="1382"/>
      <c r="W240" s="1382"/>
      <c r="X240" s="1382"/>
      <c r="Y240" s="1382"/>
      <c r="Z240" s="1382"/>
      <c r="AA240" s="1382"/>
      <c r="AB240" s="1382"/>
      <c r="AC240" s="1382"/>
      <c r="AD240" s="1382"/>
      <c r="AE240" s="1382"/>
      <c r="AF240" s="1382"/>
      <c r="AG240" s="1382"/>
      <c r="AH240" s="1382"/>
      <c r="AI240" s="1382"/>
      <c r="AJ240" s="1382"/>
    </row>
    <row r="241" spans="1:49" s="181" customFormat="1" x14ac:dyDescent="0.25">
      <c r="A241" s="1518" t="str">
        <f>IF(DD_apply="Yes",IF(COUNTIF('02 - DD'!D241:G241,"Y")&gt;0,"Y",IF(COUNTIF('02 - DD'!D241:G241,"N"),"N","")),"")</f>
        <v>Y</v>
      </c>
      <c r="B241" s="177"/>
      <c r="C241" s="945"/>
      <c r="D241" s="411"/>
      <c r="E241" s="411"/>
      <c r="F241" s="559" t="str">
        <f>IF('C-Design&amp;Const'!$M241="","",'C-Design&amp;Const'!$M241)</f>
        <v>Y</v>
      </c>
      <c r="G241" s="510"/>
      <c r="H241" s="341" t="str">
        <f>CONCATENATE(IF(F241="N","PLACEHOLDER ROW - ",""),'C-Design&amp;Const'!Z241,IF(F241="N","",J241))</f>
        <v>Transverse and Longitudinal Sections (Substantially Complete)</v>
      </c>
      <c r="I241" s="197"/>
      <c r="J241" s="578" t="str">
        <f>IF('C-Design&amp;Const'!AG241="","",'C-Design&amp;Const'!AG241)</f>
        <v>(Substantially Complete)</v>
      </c>
      <c r="K241" s="285" t="str">
        <f>IF(CD50_apply="Yes",IF((COUNTIF(D241:G241,"Y")=COUNTIF('02 - DD'!D241:G241,"Y")),"match","no DD match"),"-")</f>
        <v>match</v>
      </c>
      <c r="L241" s="1410" t="str">
        <f t="shared" si="11"/>
        <v/>
      </c>
      <c r="M241" s="1382"/>
      <c r="N241" s="1382"/>
      <c r="O241" s="1382"/>
      <c r="P241" s="1382"/>
      <c r="Q241" s="1490"/>
      <c r="R241" s="1274"/>
      <c r="S241" s="1509"/>
      <c r="T241" s="1382"/>
      <c r="U241" s="1382"/>
      <c r="V241" s="1382"/>
      <c r="W241" s="1382"/>
      <c r="X241" s="1382"/>
      <c r="Y241" s="1382"/>
      <c r="Z241" s="1382"/>
      <c r="AA241" s="1382"/>
      <c r="AB241" s="1382"/>
      <c r="AC241" s="1382"/>
      <c r="AD241" s="1382"/>
      <c r="AE241" s="1382"/>
      <c r="AF241" s="1382"/>
      <c r="AG241" s="1382"/>
      <c r="AH241" s="1382"/>
      <c r="AI241" s="1382"/>
      <c r="AJ241" s="1382"/>
    </row>
    <row r="242" spans="1:49" s="181" customFormat="1" x14ac:dyDescent="0.25">
      <c r="A242" s="1518" t="str">
        <f>IF(DD_apply="Yes",IF(COUNTIF('02 - DD'!D242:G242,"Y")&gt;0,"Y",IF(COUNTIF('02 - DD'!D242:G242,"N"),"N","")),"")</f>
        <v>Y</v>
      </c>
      <c r="B242" s="177"/>
      <c r="C242" s="945"/>
      <c r="D242" s="411"/>
      <c r="E242" s="411"/>
      <c r="F242" s="559" t="str">
        <f>IF('C-Design&amp;Const'!$M242="","",'C-Design&amp;Const'!$M242)</f>
        <v>Y</v>
      </c>
      <c r="G242" s="510"/>
      <c r="H242" s="341" t="str">
        <f>CONCATENATE(IF(F242="N","PLACEHOLDER ROW - ",""),'C-Design&amp;Const'!Z242,IF(F242="N","",J242))</f>
        <v>Wall Sections - All Major Exterior (Complete)</v>
      </c>
      <c r="I242" s="197"/>
      <c r="J242" s="578" t="str">
        <f>IF('C-Design&amp;Const'!AG242="","",'C-Design&amp;Const'!AG242)</f>
        <v>(Complete)</v>
      </c>
      <c r="K242" s="285" t="str">
        <f>IF(CD50_apply="Yes",IF((COUNTIF(D242:G242,"Y")=COUNTIF('02 - DD'!D242:G242,"Y")),"match","no DD match"),"-")</f>
        <v>match</v>
      </c>
      <c r="L242" s="1410" t="str">
        <f t="shared" si="11"/>
        <v/>
      </c>
      <c r="M242" s="1382"/>
      <c r="N242" s="1382"/>
      <c r="O242" s="1382"/>
      <c r="P242" s="1382"/>
      <c r="Q242" s="1490"/>
      <c r="R242" s="1274"/>
      <c r="S242" s="1509"/>
      <c r="T242" s="1382"/>
      <c r="U242" s="1382"/>
      <c r="V242" s="1382"/>
      <c r="W242" s="1382"/>
      <c r="X242" s="1382"/>
      <c r="Y242" s="1382"/>
      <c r="Z242" s="1382"/>
      <c r="AA242" s="1382"/>
      <c r="AB242" s="1382"/>
      <c r="AC242" s="1382"/>
      <c r="AD242" s="1382"/>
      <c r="AE242" s="1382"/>
      <c r="AF242" s="1382"/>
      <c r="AG242" s="1382"/>
      <c r="AH242" s="1382"/>
      <c r="AI242" s="1382"/>
      <c r="AJ242" s="1382"/>
    </row>
    <row r="243" spans="1:49" s="30" customFormat="1" ht="15.75" customHeight="1" x14ac:dyDescent="0.25">
      <c r="A243" s="1518" t="str">
        <f>IF(DD_apply="Yes",IF(COUNTIF('02 - DD'!D243:G243,"Y")&gt;0,"Y",IF(COUNTIF('02 - DD'!D243:G243,"N"),"N","")),"")</f>
        <v>N</v>
      </c>
      <c r="B243" s="191"/>
      <c r="C243" s="945"/>
      <c r="D243" s="463"/>
      <c r="E243" s="463"/>
      <c r="F243" s="359" t="str">
        <f>IF('C-Design&amp;Const'!$M243="","",'C-Design&amp;Const'!$M243)</f>
        <v>Y</v>
      </c>
      <c r="G243" s="291"/>
      <c r="H243" s="341" t="str">
        <f>CONCATENATE(IF(F243="N","PLACEHOLDER ROW - ",""),'C-Design&amp;Const'!Z243,IF(F243="N","",J243))</f>
        <v>Partial Sections and Details (Substantially Complete)</v>
      </c>
      <c r="I243" s="184"/>
      <c r="J243" s="578" t="str">
        <f>IF('C-Design&amp;Const'!AG243="","",'C-Design&amp;Const'!AG243)</f>
        <v>(Substantially Complete)</v>
      </c>
      <c r="K243" s="285" t="str">
        <f>IF(CD50_apply="Yes",IF((COUNTIF(D243:G243,"Y")=COUNTIF('02 - DD'!D243:G243,"Y")),"match","no DD match"),"-")</f>
        <v>no DD match</v>
      </c>
      <c r="L243" s="1410" t="str">
        <f t="shared" si="11"/>
        <v/>
      </c>
      <c r="M243" s="1382"/>
      <c r="N243" s="1382"/>
      <c r="O243" s="1382"/>
      <c r="P243" s="1382"/>
      <c r="Q243" s="1382"/>
      <c r="R243" s="1382"/>
      <c r="S243" s="1509"/>
      <c r="T243" s="1382"/>
      <c r="U243" s="1382"/>
      <c r="V243" s="1382"/>
      <c r="W243" s="1382"/>
      <c r="X243" s="1382"/>
      <c r="Y243" s="1382"/>
      <c r="Z243" s="1382"/>
      <c r="AA243" s="1382"/>
      <c r="AB243" s="1382"/>
      <c r="AC243" s="1382"/>
      <c r="AD243" s="1382"/>
      <c r="AE243" s="1382"/>
      <c r="AF243" s="1382"/>
      <c r="AG243" s="1382"/>
      <c r="AH243" s="1382"/>
      <c r="AI243" s="1382"/>
      <c r="AJ243" s="1382"/>
      <c r="AK243" s="181"/>
      <c r="AL243" s="181"/>
      <c r="AM243" s="181"/>
      <c r="AN243" s="181"/>
      <c r="AO243" s="181"/>
      <c r="AP243" s="181"/>
      <c r="AQ243" s="181"/>
      <c r="AR243" s="181"/>
      <c r="AS243" s="181"/>
      <c r="AT243" s="181"/>
      <c r="AU243" s="181"/>
      <c r="AV243" s="181"/>
      <c r="AW243" s="181"/>
    </row>
    <row r="244" spans="1:49" s="30" customFormat="1" ht="15.75" customHeight="1" x14ac:dyDescent="0.25">
      <c r="A244" s="1518" t="str">
        <f>IF(DD_apply="Yes",IF(COUNTIF('02 - DD'!D244:G244,"Y")&gt;0,"Y",IF(COUNTIF('02 - DD'!D244:G244,"N"),"N","")),"")</f>
        <v>Y</v>
      </c>
      <c r="B244" s="191"/>
      <c r="C244" s="945"/>
      <c r="D244" s="463"/>
      <c r="E244" s="463"/>
      <c r="F244" s="359" t="str">
        <f>IF('C-Design&amp;Const'!$M244="","",'C-Design&amp;Const'!$M244)</f>
        <v>Y</v>
      </c>
      <c r="G244" s="291"/>
      <c r="H244" s="341" t="str">
        <f>CONCATENATE(IF(F244="N","PLACEHOLDER ROW - ",""),'C-Design&amp;Const'!Z244,IF(F244="N","",J244))</f>
        <v>Wall / Window Details (Complete)</v>
      </c>
      <c r="I244" s="184"/>
      <c r="J244" s="578" t="str">
        <f>IF('C-Design&amp;Const'!AG244="","",'C-Design&amp;Const'!AG244)</f>
        <v>(Complete)</v>
      </c>
      <c r="K244" s="285" t="str">
        <f>IF(CD50_apply="Yes",IF((COUNTIF(D244:G244,"Y")=COUNTIF('02 - DD'!D244:G244,"Y")),"match","no DD match"),"-")</f>
        <v>match</v>
      </c>
      <c r="L244" s="1410" t="str">
        <f t="shared" si="11"/>
        <v/>
      </c>
      <c r="M244" s="1382"/>
      <c r="N244" s="1382"/>
      <c r="O244" s="1382"/>
      <c r="P244" s="1382"/>
      <c r="Q244" s="1382"/>
      <c r="R244" s="1382"/>
      <c r="S244" s="1509"/>
      <c r="T244" s="1382"/>
      <c r="U244" s="1382"/>
      <c r="V244" s="1382"/>
      <c r="W244" s="1382"/>
      <c r="X244" s="1382"/>
      <c r="Y244" s="1382"/>
      <c r="Z244" s="1382"/>
      <c r="AA244" s="1382"/>
      <c r="AB244" s="1382"/>
      <c r="AC244" s="1382"/>
      <c r="AD244" s="1382"/>
      <c r="AE244" s="1382"/>
      <c r="AF244" s="1382"/>
      <c r="AG244" s="1382"/>
      <c r="AH244" s="1382"/>
      <c r="AI244" s="1382"/>
      <c r="AJ244" s="1382"/>
      <c r="AK244" s="181"/>
      <c r="AL244" s="181"/>
      <c r="AM244" s="181"/>
      <c r="AN244" s="181"/>
      <c r="AO244" s="181"/>
      <c r="AP244" s="181"/>
      <c r="AQ244" s="181"/>
      <c r="AR244" s="181"/>
      <c r="AS244" s="181"/>
      <c r="AT244" s="181"/>
      <c r="AU244" s="181"/>
      <c r="AV244" s="181"/>
      <c r="AW244" s="181"/>
    </row>
    <row r="245" spans="1:49" s="30" customFormat="1" ht="15.75" customHeight="1" x14ac:dyDescent="0.25">
      <c r="A245" s="1518" t="str">
        <f>IF(DD_apply="Yes",IF(COUNTIF('02 - DD'!D245:G245,"Y")&gt;0,"Y",IF(COUNTIF('02 - DD'!D245:G245,"N"),"N","")),"")</f>
        <v>Y</v>
      </c>
      <c r="B245" s="191"/>
      <c r="C245" s="945"/>
      <c r="D245" s="463"/>
      <c r="E245" s="463"/>
      <c r="F245" s="359" t="str">
        <f>IF('C-Design&amp;Const'!$M245="","",'C-Design&amp;Const'!$M245)</f>
        <v>Y</v>
      </c>
      <c r="G245" s="291"/>
      <c r="H245" s="341" t="str">
        <f>CONCATENATE(IF(F245="N","PLACEHOLDER ROW - ",""),'C-Design&amp;Const'!Z245,IF(F245="N","",J245))</f>
        <v>Sections through Elevators (Substantially Complete)</v>
      </c>
      <c r="I245" s="184"/>
      <c r="J245" s="578" t="str">
        <f>IF('C-Design&amp;Const'!AG245="","",'C-Design&amp;Const'!AG245)</f>
        <v>(Substantially Complete)</v>
      </c>
      <c r="K245" s="285" t="str">
        <f>IF(CD50_apply="Yes",IF((COUNTIF(D245:G245,"Y")=COUNTIF('02 - DD'!D245:G245,"Y")),"match","no DD match"),"-")</f>
        <v>match</v>
      </c>
      <c r="L245" s="1410" t="str">
        <f t="shared" si="11"/>
        <v/>
      </c>
      <c r="M245" s="1382"/>
      <c r="N245" s="1382"/>
      <c r="O245" s="1382"/>
      <c r="P245" s="1382"/>
      <c r="Q245" s="1382"/>
      <c r="R245" s="1382"/>
      <c r="S245" s="1509"/>
      <c r="T245" s="1382"/>
      <c r="U245" s="1382"/>
      <c r="V245" s="1382"/>
      <c r="W245" s="1382"/>
      <c r="X245" s="1382"/>
      <c r="Y245" s="1382"/>
      <c r="Z245" s="1382"/>
      <c r="AA245" s="1382"/>
      <c r="AB245" s="1382"/>
      <c r="AC245" s="1382"/>
      <c r="AD245" s="1382"/>
      <c r="AE245" s="1382"/>
      <c r="AF245" s="1382"/>
      <c r="AG245" s="1382"/>
      <c r="AH245" s="1382"/>
      <c r="AI245" s="1382"/>
      <c r="AJ245" s="1382"/>
      <c r="AK245" s="181"/>
      <c r="AL245" s="181"/>
      <c r="AM245" s="181"/>
      <c r="AN245" s="181"/>
      <c r="AO245" s="181"/>
      <c r="AP245" s="181"/>
      <c r="AQ245" s="181"/>
      <c r="AR245" s="181"/>
      <c r="AS245" s="181"/>
      <c r="AT245" s="181"/>
      <c r="AU245" s="181"/>
      <c r="AV245" s="181"/>
      <c r="AW245" s="181"/>
    </row>
    <row r="246" spans="1:49" s="181" customFormat="1" x14ac:dyDescent="0.25">
      <c r="A246" s="1518" t="str">
        <f>IF(DD_apply="Yes",IF(COUNTIF('02 - DD'!D246:G246,"Y")&gt;0,"Y",IF(COUNTIF('02 - DD'!D246:G246,"N"),"N","")),"")</f>
        <v>N</v>
      </c>
      <c r="B246" s="177"/>
      <c r="C246" s="945"/>
      <c r="D246" s="411"/>
      <c r="E246" s="411"/>
      <c r="F246" s="559" t="str">
        <f>IF('C-Design&amp;Const'!$M246="","",'C-Design&amp;Const'!$M246)</f>
        <v>Y</v>
      </c>
      <c r="G246" s="510"/>
      <c r="H246" s="341" t="str">
        <f>CONCATENATE(IF(F246="N","PLACEHOLDER ROW - ",""),'C-Design&amp;Const'!Z246,IF(F246="N","",J246))</f>
        <v>Exterior Wall and Roof Details (Substantially Complete)</v>
      </c>
      <c r="I246" s="197"/>
      <c r="J246" s="578" t="str">
        <f>IF('C-Design&amp;Const'!AG246="","",'C-Design&amp;Const'!AG246)</f>
        <v>(Substantially Complete)</v>
      </c>
      <c r="K246" s="285" t="str">
        <f>IF(CD50_apply="Yes",IF((COUNTIF(D246:G246,"Y")=COUNTIF('02 - DD'!D246:G246,"Y")),"match","no DD match"),"-")</f>
        <v>no DD match</v>
      </c>
      <c r="L246" s="1410" t="str">
        <f t="shared" si="11"/>
        <v/>
      </c>
      <c r="M246" s="1382"/>
      <c r="N246" s="1382"/>
      <c r="O246" s="1382"/>
      <c r="P246" s="1382"/>
      <c r="Q246" s="1490"/>
      <c r="R246" s="1274"/>
      <c r="S246" s="1509"/>
      <c r="T246" s="1382"/>
      <c r="U246" s="1382"/>
      <c r="V246" s="1382"/>
      <c r="W246" s="1382"/>
      <c r="X246" s="1382"/>
      <c r="Y246" s="1382"/>
      <c r="Z246" s="1382"/>
      <c r="AA246" s="1382"/>
      <c r="AB246" s="1382"/>
      <c r="AC246" s="1382"/>
      <c r="AD246" s="1382"/>
      <c r="AE246" s="1382"/>
      <c r="AF246" s="1382"/>
      <c r="AG246" s="1382"/>
      <c r="AH246" s="1382"/>
      <c r="AI246" s="1382"/>
      <c r="AJ246" s="1382"/>
    </row>
    <row r="247" spans="1:49" s="181" customFormat="1" x14ac:dyDescent="0.25">
      <c r="A247" s="1518" t="str">
        <f>IF(DD_apply="Yes",IF(COUNTIF('02 - DD'!D247:G247,"Y")&gt;0,"Y",IF(COUNTIF('02 - DD'!D247:G247,"N"),"N","")),"")</f>
        <v>Y</v>
      </c>
      <c r="B247" s="177"/>
      <c r="C247" s="945"/>
      <c r="D247" s="411"/>
      <c r="E247" s="411"/>
      <c r="F247" s="559" t="str">
        <f>IF('C-Design&amp;Const'!$M247="","",'C-Design&amp;Const'!$M247)</f>
        <v>Y</v>
      </c>
      <c r="G247" s="510"/>
      <c r="H247" s="341" t="str">
        <f>CONCATENATE(IF(F247="N","PLACEHOLDER ROW - ",""),'C-Design&amp;Const'!Z247,IF(F247="N","",J247))</f>
        <v>Reflected Ceiling Plan (Substantially Complete)</v>
      </c>
      <c r="I247" s="197"/>
      <c r="J247" s="578" t="str">
        <f>IF('C-Design&amp;Const'!AG247="","",'C-Design&amp;Const'!AG247)</f>
        <v>(Substantially Complete)</v>
      </c>
      <c r="K247" s="285" t="str">
        <f>IF(CD50_apply="Yes",IF((COUNTIF(D247:G247,"Y")=COUNTIF('02 - DD'!D247:G247,"Y")),"match","no DD match"),"-")</f>
        <v>match</v>
      </c>
      <c r="L247" s="1410" t="str">
        <f t="shared" si="11"/>
        <v/>
      </c>
      <c r="M247" s="1382"/>
      <c r="N247" s="1382"/>
      <c r="O247" s="1382"/>
      <c r="P247" s="1382"/>
      <c r="Q247" s="1490"/>
      <c r="R247" s="1274"/>
      <c r="S247" s="1509"/>
      <c r="T247" s="1382"/>
      <c r="U247" s="1382"/>
      <c r="V247" s="1382"/>
      <c r="W247" s="1382"/>
      <c r="X247" s="1382"/>
      <c r="Y247" s="1382"/>
      <c r="Z247" s="1382"/>
      <c r="AA247" s="1382"/>
      <c r="AB247" s="1382"/>
      <c r="AC247" s="1382"/>
      <c r="AD247" s="1382"/>
      <c r="AE247" s="1382"/>
      <c r="AF247" s="1382"/>
      <c r="AG247" s="1382"/>
      <c r="AH247" s="1382"/>
      <c r="AI247" s="1382"/>
      <c r="AJ247" s="1382"/>
    </row>
    <row r="248" spans="1:49" s="181" customFormat="1" x14ac:dyDescent="0.25">
      <c r="A248" s="1518" t="str">
        <f>IF(DD_apply="Yes",IF(COUNTIF('02 - DD'!D248:G248,"Y")&gt;0,"Y",IF(COUNTIF('02 - DD'!D248:G248,"N"),"N","")),"")</f>
        <v>Y</v>
      </c>
      <c r="B248" s="177"/>
      <c r="C248" s="945"/>
      <c r="D248" s="411"/>
      <c r="E248" s="411"/>
      <c r="F248" s="559" t="str">
        <f>IF('C-Design&amp;Const'!$M248="","",'C-Design&amp;Const'!$M248)</f>
        <v>Y</v>
      </c>
      <c r="G248" s="510"/>
      <c r="H248" s="341" t="str">
        <f>CONCATENATE(IF(F248="N","PLACEHOLDER ROW - ",""),'C-Design&amp;Const'!Z248,IF(F248="N","",J248))</f>
        <v>Interior Elevations and Details(Approx. 50% Complete)</v>
      </c>
      <c r="I248" s="197"/>
      <c r="J248" s="578" t="str">
        <f>IF('C-Design&amp;Const'!AG248="","",'C-Design&amp;Const'!AG248)</f>
        <v>(Approx. 50% Complete)</v>
      </c>
      <c r="K248" s="285" t="str">
        <f>IF(CD50_apply="Yes",IF((COUNTIF(D248:G248,"Y")=COUNTIF('02 - DD'!D248:G248,"Y")),"match","no DD match"),"-")</f>
        <v>match</v>
      </c>
      <c r="L248" s="1410" t="str">
        <f t="shared" si="11"/>
        <v/>
      </c>
      <c r="M248" s="1382"/>
      <c r="N248" s="1382"/>
      <c r="O248" s="1382"/>
      <c r="P248" s="1382"/>
      <c r="Q248" s="1490"/>
      <c r="R248" s="1274"/>
      <c r="S248" s="1509"/>
      <c r="T248" s="1382"/>
      <c r="U248" s="1382"/>
      <c r="V248" s="1382"/>
      <c r="W248" s="1382"/>
      <c r="X248" s="1382"/>
      <c r="Y248" s="1382"/>
      <c r="Z248" s="1382"/>
      <c r="AA248" s="1382"/>
      <c r="AB248" s="1382"/>
      <c r="AC248" s="1382"/>
      <c r="AD248" s="1382"/>
      <c r="AE248" s="1382"/>
      <c r="AF248" s="1382"/>
      <c r="AG248" s="1382"/>
      <c r="AH248" s="1382"/>
      <c r="AI248" s="1382"/>
      <c r="AJ248" s="1382"/>
    </row>
    <row r="249" spans="1:49" s="30" customFormat="1" ht="13.5" customHeight="1" x14ac:dyDescent="0.25">
      <c r="A249" s="1518" t="str">
        <f>IF(DD_apply="Yes",IF(COUNTIF('02 - DD'!D249:G249,"Y")&gt;0,"Y",IF(COUNTIF('02 - DD'!D249:G249,"N"),"N","")),"")</f>
        <v>Y</v>
      </c>
      <c r="B249" s="191"/>
      <c r="C249" s="945"/>
      <c r="D249" s="411"/>
      <c r="E249" s="411"/>
      <c r="F249" s="559" t="str">
        <f>IF('C-Design&amp;Const'!$M249="","",'C-Design&amp;Const'!$M249)</f>
        <v>Y</v>
      </c>
      <c r="G249" s="510"/>
      <c r="H249" s="341" t="str">
        <f>CONCATENATE(IF(F249="N","PLACEHOLDER ROW - ",""),'C-Design&amp;Const'!Z249,IF(F249="N","",J249))</f>
        <v>Door/Hardware; Room Finish; Window; and Equipment Schedules (Approx. 50% Complete)</v>
      </c>
      <c r="I249" s="197"/>
      <c r="J249" s="578" t="str">
        <f>IF('C-Design&amp;Const'!AG249="","",'C-Design&amp;Const'!AG249)</f>
        <v>(Approx. 50% Complete)</v>
      </c>
      <c r="K249" s="285" t="str">
        <f>IF(CD50_apply="Yes",IF((COUNTIF(D249:G249,"Y")=COUNTIF('02 - DD'!D249:G249,"Y")),"match","no DD match"),"-")</f>
        <v>match</v>
      </c>
      <c r="L249" s="1410" t="str">
        <f t="shared" si="11"/>
        <v/>
      </c>
      <c r="M249" s="1382"/>
      <c r="N249" s="1382"/>
      <c r="O249" s="1382"/>
      <c r="P249" s="1382"/>
      <c r="Q249" s="1490"/>
      <c r="R249" s="1274"/>
      <c r="S249" s="1509"/>
      <c r="T249" s="1382"/>
      <c r="U249" s="1382"/>
      <c r="V249" s="1382"/>
      <c r="W249" s="1382"/>
      <c r="X249" s="1382"/>
      <c r="Y249" s="1382"/>
      <c r="Z249" s="1382"/>
      <c r="AA249" s="1382"/>
      <c r="AB249" s="1382"/>
      <c r="AC249" s="1382"/>
      <c r="AD249" s="1382"/>
      <c r="AE249" s="1382"/>
      <c r="AF249" s="1382"/>
      <c r="AG249" s="1382"/>
      <c r="AH249" s="1382"/>
      <c r="AI249" s="1382"/>
      <c r="AJ249" s="1382"/>
      <c r="AK249" s="181"/>
      <c r="AL249" s="181"/>
      <c r="AM249" s="181"/>
      <c r="AN249" s="181"/>
      <c r="AO249" s="181"/>
      <c r="AP249" s="181"/>
      <c r="AQ249" s="181"/>
      <c r="AR249" s="181"/>
      <c r="AS249" s="181"/>
      <c r="AT249" s="181"/>
      <c r="AU249" s="181"/>
      <c r="AV249" s="181"/>
    </row>
    <row r="250" spans="1:49" s="30" customFormat="1" x14ac:dyDescent="0.25">
      <c r="A250" s="1518" t="str">
        <f>IF(DD_apply="Yes",IF(COUNTIF('02 - DD'!D250:G250,"Y")&gt;0,"Y",IF(COUNTIF('02 - DD'!D250:G250,"N"),"N","")),"")</f>
        <v>Y</v>
      </c>
      <c r="B250" s="191"/>
      <c r="C250" s="945"/>
      <c r="D250" s="411"/>
      <c r="E250" s="411"/>
      <c r="F250" s="559" t="str">
        <f>IF('C-Design&amp;Const'!$M250="","",'C-Design&amp;Const'!$M250)</f>
        <v>Y</v>
      </c>
      <c r="G250" s="510"/>
      <c r="H250" s="341" t="str">
        <f>CONCATENATE(IF(F250="N","PLACEHOLDER ROW - ",""),'C-Design&amp;Const'!Z250,IF(F250="N","",J250))</f>
        <v>Interior Partition Types; Door and Window Details (Approx. 50% Complete)</v>
      </c>
      <c r="I250" s="197"/>
      <c r="J250" s="578" t="str">
        <f>IF('C-Design&amp;Const'!AG250="","",'C-Design&amp;Const'!AG250)</f>
        <v>(Approx. 50% Complete)</v>
      </c>
      <c r="K250" s="285" t="str">
        <f>IF(CD50_apply="Yes",IF((COUNTIF(D250:G250,"Y")=COUNTIF('02 - DD'!D250:G250,"Y")),"match","no DD match"),"-")</f>
        <v>match</v>
      </c>
      <c r="L250" s="1410" t="str">
        <f t="shared" si="11"/>
        <v/>
      </c>
      <c r="M250" s="1382"/>
      <c r="N250" s="1382"/>
      <c r="O250" s="1382"/>
      <c r="P250" s="1382"/>
      <c r="Q250" s="1490"/>
      <c r="R250" s="1274"/>
      <c r="S250" s="1509"/>
      <c r="T250" s="1382"/>
      <c r="U250" s="1382"/>
      <c r="V250" s="1382"/>
      <c r="W250" s="1382"/>
      <c r="X250" s="1382"/>
      <c r="Y250" s="1382"/>
      <c r="Z250" s="1382"/>
      <c r="AA250" s="1382"/>
      <c r="AB250" s="1382"/>
      <c r="AC250" s="1382"/>
      <c r="AD250" s="1382"/>
      <c r="AE250" s="1382"/>
      <c r="AF250" s="1382"/>
      <c r="AG250" s="1382"/>
      <c r="AH250" s="1382"/>
      <c r="AI250" s="1382"/>
      <c r="AJ250" s="1382"/>
      <c r="AK250" s="181"/>
      <c r="AL250" s="181"/>
      <c r="AM250" s="181"/>
      <c r="AN250" s="181"/>
      <c r="AO250" s="181"/>
      <c r="AP250" s="181"/>
      <c r="AQ250" s="181"/>
      <c r="AR250" s="181"/>
      <c r="AS250" s="181"/>
      <c r="AT250" s="181"/>
      <c r="AU250" s="181"/>
      <c r="AV250" s="181"/>
    </row>
    <row r="251" spans="1:49" s="30" customFormat="1" x14ac:dyDescent="0.25">
      <c r="A251" s="1518" t="str">
        <f>IF(DD_apply="Yes",IF(COUNTIF('02 - DD'!D251:G251,"Y")&gt;0,"Y",IF(COUNTIF('02 - DD'!D251:G251,"N"),"N","")),"")</f>
        <v>Y</v>
      </c>
      <c r="B251" s="191"/>
      <c r="C251" s="945"/>
      <c r="D251" s="411"/>
      <c r="E251" s="411"/>
      <c r="F251" s="559" t="str">
        <f>IF('C-Design&amp;Const'!$M251="","",'C-Design&amp;Const'!$M251)</f>
        <v>Y</v>
      </c>
      <c r="G251" s="510"/>
      <c r="H251" s="341" t="str">
        <f>CONCATENATE(IF(F251="N","PLACEHOLDER ROW - ",""),'C-Design&amp;Const'!Z251,IF(F251="N","",J251))</f>
        <v>Interior Signage (Approx. 50% Complete)</v>
      </c>
      <c r="I251" s="197"/>
      <c r="J251" s="578" t="str">
        <f>IF('C-Design&amp;Const'!AG251="","",'C-Design&amp;Const'!AG251)</f>
        <v>(Approx. 50% Complete)</v>
      </c>
      <c r="K251" s="285" t="str">
        <f>IF(CD50_apply="Yes",IF((COUNTIF(D251:G251,"Y")=COUNTIF('02 - DD'!D251:G251,"Y")),"match","no DD match"),"-")</f>
        <v>match</v>
      </c>
      <c r="L251" s="1410" t="str">
        <f t="shared" si="11"/>
        <v/>
      </c>
      <c r="M251" s="1382"/>
      <c r="N251" s="1382"/>
      <c r="O251" s="1382"/>
      <c r="P251" s="1382"/>
      <c r="Q251" s="1490"/>
      <c r="R251" s="1274"/>
      <c r="S251" s="1509"/>
      <c r="T251" s="1382"/>
      <c r="U251" s="1382"/>
      <c r="V251" s="1382"/>
      <c r="W251" s="1382"/>
      <c r="X251" s="1382"/>
      <c r="Y251" s="1382"/>
      <c r="Z251" s="1382"/>
      <c r="AA251" s="1382"/>
      <c r="AB251" s="1382"/>
      <c r="AC251" s="1382"/>
      <c r="AD251" s="1382"/>
      <c r="AE251" s="1382"/>
      <c r="AF251" s="1382"/>
      <c r="AG251" s="1382"/>
      <c r="AH251" s="1382"/>
      <c r="AI251" s="1382"/>
      <c r="AJ251" s="1382"/>
      <c r="AK251" s="181"/>
      <c r="AL251" s="181"/>
      <c r="AM251" s="181"/>
      <c r="AN251" s="181"/>
      <c r="AO251" s="181"/>
      <c r="AP251" s="181"/>
      <c r="AQ251" s="181"/>
      <c r="AR251" s="181"/>
      <c r="AS251" s="181"/>
      <c r="AT251" s="181"/>
      <c r="AU251" s="181"/>
      <c r="AV251" s="181"/>
    </row>
    <row r="252" spans="1:49" s="30" customFormat="1" x14ac:dyDescent="0.25">
      <c r="A252" s="1518" t="str">
        <f>IF(DD_apply="Yes",IF(COUNTIF('02 - DD'!D252:G252,"Y")&gt;0,"Y",IF(COUNTIF('02 - DD'!D252:G252,"N"),"N","")),"")</f>
        <v>Y</v>
      </c>
      <c r="B252" s="191"/>
      <c r="C252" s="945"/>
      <c r="D252" s="411"/>
      <c r="E252" s="411"/>
      <c r="F252" s="559" t="str">
        <f>IF('C-Design&amp;Const'!$M252="","",'C-Design&amp;Const'!$M252)</f>
        <v>Y</v>
      </c>
      <c r="G252" s="510"/>
      <c r="H252" s="341" t="str">
        <f>CONCATENATE(IF(F252="N","PLACEHOLDER ROW - ",""),'C-Design&amp;Const'!Z252,IF(F252="N","",J252))</f>
        <v>Fixed Equipment; Casework; and Millwork (Approx. 50% Complete)</v>
      </c>
      <c r="I252" s="197"/>
      <c r="J252" s="578" t="str">
        <f>IF('C-Design&amp;Const'!AG252="","",'C-Design&amp;Const'!AG252)</f>
        <v>(Approx. 50% Complete)</v>
      </c>
      <c r="K252" s="285" t="str">
        <f>IF(CD50_apply="Yes",IF((COUNTIF(D252:G252,"Y")=COUNTIF('02 - DD'!D252:G252,"Y")),"match","no DD match"),"-")</f>
        <v>match</v>
      </c>
      <c r="L252" s="1410" t="str">
        <f t="shared" si="11"/>
        <v/>
      </c>
      <c r="M252" s="1382"/>
      <c r="N252" s="1382"/>
      <c r="O252" s="1382"/>
      <c r="P252" s="1382"/>
      <c r="Q252" s="1490"/>
      <c r="R252" s="1274"/>
      <c r="S252" s="1509"/>
      <c r="T252" s="1382"/>
      <c r="U252" s="1382"/>
      <c r="V252" s="1382"/>
      <c r="W252" s="1382"/>
      <c r="X252" s="1382"/>
      <c r="Y252" s="1382"/>
      <c r="Z252" s="1382"/>
      <c r="AA252" s="1382"/>
      <c r="AB252" s="1382"/>
      <c r="AC252" s="1382"/>
      <c r="AD252" s="1382"/>
      <c r="AE252" s="1382"/>
      <c r="AF252" s="1382"/>
      <c r="AG252" s="1382"/>
      <c r="AH252" s="1382"/>
      <c r="AI252" s="1382"/>
      <c r="AJ252" s="1382"/>
      <c r="AK252" s="181"/>
      <c r="AL252" s="181"/>
      <c r="AM252" s="181"/>
      <c r="AN252" s="181"/>
      <c r="AO252" s="181"/>
      <c r="AP252" s="181"/>
      <c r="AQ252" s="181"/>
      <c r="AR252" s="181"/>
      <c r="AS252" s="181"/>
      <c r="AT252" s="181"/>
      <c r="AU252" s="181"/>
      <c r="AV252" s="181"/>
    </row>
    <row r="253" spans="1:49" s="30" customFormat="1" x14ac:dyDescent="0.25">
      <c r="A253" s="1518" t="str">
        <f>IF(DD_apply="Yes",IF(COUNTIF('02 - DD'!D253:G253,"Y")&gt;0,"Y",IF(COUNTIF('02 - DD'!D253:G253,"N"),"N","")),"")</f>
        <v>Y</v>
      </c>
      <c r="B253" s="191"/>
      <c r="C253" s="945"/>
      <c r="D253" s="411"/>
      <c r="E253" s="411"/>
      <c r="F253" s="559" t="str">
        <f>IF('C-Design&amp;Const'!$M253="","",'C-Design&amp;Const'!$M253)</f>
        <v>Y</v>
      </c>
      <c r="G253" s="510"/>
      <c r="H253" s="341" t="str">
        <f>CONCATENATE(IF(F253="N","PLACEHOLDER ROW - ",""),'C-Design&amp;Const'!Z253,IF(F253="N","",J253))</f>
        <v>FF&amp;E Plans (Substantially Complete)</v>
      </c>
      <c r="I253" s="197"/>
      <c r="J253" s="578" t="str">
        <f>IF('C-Design&amp;Const'!AG253="","",'C-Design&amp;Const'!AG253)</f>
        <v>(Substantially Complete)</v>
      </c>
      <c r="K253" s="285" t="str">
        <f>IF(CD50_apply="Yes",IF((COUNTIF(D253:G253,"Y")=COUNTIF('02 - DD'!D253:G253,"Y")),"match","no DD match"),"-")</f>
        <v>match</v>
      </c>
      <c r="L253" s="1410" t="str">
        <f t="shared" si="11"/>
        <v/>
      </c>
      <c r="M253" s="1382"/>
      <c r="N253" s="1382"/>
      <c r="O253" s="1382"/>
      <c r="P253" s="1382"/>
      <c r="Q253" s="1274"/>
      <c r="R253" s="1488"/>
      <c r="S253" s="1509"/>
      <c r="T253" s="1382"/>
      <c r="U253" s="1382"/>
      <c r="V253" s="1382"/>
      <c r="W253" s="1382"/>
      <c r="X253" s="1382"/>
      <c r="Y253" s="1382"/>
      <c r="Z253" s="1382"/>
      <c r="AA253" s="1382"/>
      <c r="AB253" s="1382"/>
      <c r="AC253" s="1382"/>
      <c r="AD253" s="1382"/>
      <c r="AE253" s="1382"/>
      <c r="AF253" s="1382"/>
      <c r="AG253" s="1382"/>
      <c r="AH253" s="1382"/>
      <c r="AI253" s="1382"/>
      <c r="AJ253" s="1382"/>
      <c r="AK253" s="181"/>
      <c r="AL253" s="181"/>
      <c r="AM253" s="181"/>
      <c r="AN253" s="181"/>
      <c r="AO253" s="181"/>
      <c r="AP253" s="181"/>
      <c r="AQ253" s="181"/>
      <c r="AR253" s="181"/>
      <c r="AS253" s="181"/>
      <c r="AT253" s="181"/>
      <c r="AU253" s="181"/>
      <c r="AV253" s="181"/>
    </row>
    <row r="254" spans="1:49" s="30" customFormat="1" x14ac:dyDescent="0.25">
      <c r="A254" s="1518" t="str">
        <f>IF(DD_apply="Yes",IF(COUNTIF('02 - DD'!D254:G254,"Y")&gt;0,"Y",IF(COUNTIF('02 - DD'!D254:G254,"N"),"N","")),"")</f>
        <v>N</v>
      </c>
      <c r="B254" s="191"/>
      <c r="C254" s="945"/>
      <c r="D254" s="411"/>
      <c r="E254" s="411"/>
      <c r="F254" s="559" t="str">
        <f>IF('C-Design&amp;Const'!$M254="","",'C-Design&amp;Const'!$M254)</f>
        <v>N</v>
      </c>
      <c r="G254" s="510"/>
      <c r="H254" s="341" t="str">
        <f>CONCATENATE(IF(F254="N","PLACEHOLDER ROW - ",""),'C-Design&amp;Const'!Z254,IF(F254="N","",J254))</f>
        <v xml:space="preserve">PLACEHOLDER ROW - CUSTOM - Architectural  </v>
      </c>
      <c r="I254" s="197"/>
      <c r="J254" s="578" t="str">
        <f>IF('C-Design&amp;Const'!AG254="","",'C-Design&amp;Const'!AG254)</f>
        <v>(Substantially Complete)</v>
      </c>
      <c r="K254" s="285" t="str">
        <f>IF(CD50_apply="Yes",IF((COUNTIF(D254:G254,"Y")=COUNTIF('02 - DD'!D254:G254,"Y")),"match","no DD match"),"-")</f>
        <v>match</v>
      </c>
      <c r="L254" s="1410" t="str">
        <f t="shared" si="11"/>
        <v>&lt;---PM/Planner may hide PLACEHOLDER ROW</v>
      </c>
      <c r="M254" s="1382"/>
      <c r="N254" s="1382"/>
      <c r="O254" s="1382"/>
      <c r="P254" s="1382"/>
      <c r="Q254" s="1490"/>
      <c r="R254" s="1274"/>
      <c r="S254" s="1509"/>
      <c r="T254" s="1382"/>
      <c r="U254" s="1382"/>
      <c r="V254" s="1382"/>
      <c r="W254" s="1382"/>
      <c r="X254" s="1382"/>
      <c r="Y254" s="1382"/>
      <c r="Z254" s="1382"/>
      <c r="AA254" s="1382"/>
      <c r="AB254" s="1382"/>
      <c r="AC254" s="1382"/>
      <c r="AD254" s="1382"/>
      <c r="AE254" s="1382"/>
      <c r="AF254" s="1382"/>
      <c r="AG254" s="1382"/>
      <c r="AH254" s="1382"/>
      <c r="AI254" s="1382"/>
      <c r="AJ254" s="1382"/>
      <c r="AK254" s="181"/>
      <c r="AL254" s="181"/>
      <c r="AM254" s="181"/>
      <c r="AN254" s="181"/>
      <c r="AO254" s="181"/>
      <c r="AP254" s="181"/>
      <c r="AQ254" s="181"/>
      <c r="AR254" s="181"/>
      <c r="AS254" s="181"/>
      <c r="AT254" s="181"/>
      <c r="AU254" s="181"/>
      <c r="AV254" s="181"/>
    </row>
    <row r="255" spans="1:49" s="30" customFormat="1" x14ac:dyDescent="0.25">
      <c r="A255" s="1407" t="str">
        <f>IF(DD_apply="Yes",IF(COUNTIF('02 - DD'!D255:G255,"Y")&gt;0,"Y",IF(COUNTIF('02 - DD'!D255:G255,"N"),"N","")),"")</f>
        <v>Y</v>
      </c>
      <c r="B255" s="191"/>
      <c r="C255" s="945"/>
      <c r="D255" s="411"/>
      <c r="E255" s="559" t="str">
        <f>IF('C-Design&amp;Const'!$M255="","",'C-Design&amp;Const'!$M255)</f>
        <v>Y</v>
      </c>
      <c r="F255" s="456"/>
      <c r="G255" s="510"/>
      <c r="H255" s="347" t="str">
        <f>CONCATENATE(IF(F255="N","PLACEHOLDER ROW - ",""),'C-Design&amp;Const'!Z255,IF(F255="N","",J255))</f>
        <v>Structural Drawings (Including Bid Alts.)</v>
      </c>
      <c r="I255" s="198"/>
      <c r="J255" s="578" t="str">
        <f>IF('C-Design&amp;Const'!AG255="","",'C-Design&amp;Const'!AG255)</f>
        <v xml:space="preserve"> (Including Bid Alts.)</v>
      </c>
      <c r="K255" s="285" t="str">
        <f>IF(CD50_apply="Yes",IF((COUNTIF(D255:G255,"Y")=COUNTIF('02 - DD'!D255:G255,"Y")),"match","no DD match"),"-")</f>
        <v>match</v>
      </c>
      <c r="L255" s="1410" t="str">
        <f t="shared" si="11"/>
        <v/>
      </c>
      <c r="M255" s="1382"/>
      <c r="N255" s="1382"/>
      <c r="O255" s="1382"/>
      <c r="P255" s="1382"/>
      <c r="Q255" s="1490"/>
      <c r="R255" s="1274"/>
      <c r="S255" s="1509"/>
      <c r="T255" s="1382"/>
      <c r="U255" s="1382"/>
      <c r="V255" s="1382"/>
      <c r="W255" s="1382"/>
      <c r="X255" s="1382"/>
      <c r="Y255" s="1382"/>
      <c r="Z255" s="1382"/>
      <c r="AA255" s="1382"/>
      <c r="AB255" s="1382"/>
      <c r="AC255" s="1382"/>
      <c r="AD255" s="1382"/>
      <c r="AE255" s="1382"/>
      <c r="AF255" s="1382"/>
      <c r="AG255" s="1382"/>
      <c r="AH255" s="1382"/>
      <c r="AI255" s="1382"/>
      <c r="AJ255" s="1382"/>
      <c r="AK255" s="181"/>
      <c r="AL255" s="181"/>
      <c r="AM255" s="181"/>
      <c r="AN255" s="181"/>
      <c r="AO255" s="181"/>
      <c r="AP255" s="181"/>
      <c r="AQ255" s="181"/>
      <c r="AR255" s="181"/>
      <c r="AS255" s="181"/>
      <c r="AT255" s="181"/>
      <c r="AU255" s="181"/>
      <c r="AV255" s="181"/>
    </row>
    <row r="256" spans="1:49" s="30" customFormat="1" ht="14.25" customHeight="1" x14ac:dyDescent="0.25">
      <c r="A256" s="1518" t="str">
        <f>IF(DD_apply="Yes",IF(COUNTIF('02 - DD'!D256:G256,"Y")&gt;0,"Y",IF(COUNTIF('02 - DD'!D256:G256,"N"),"N","")),"")</f>
        <v>N</v>
      </c>
      <c r="B256" s="191"/>
      <c r="C256" s="945"/>
      <c r="D256" s="411"/>
      <c r="E256" s="411"/>
      <c r="F256" s="559" t="str">
        <f>IF('C-Design&amp;Const'!$M256="","",'C-Design&amp;Const'!$M256)</f>
        <v>N</v>
      </c>
      <c r="G256" s="514"/>
      <c r="H256" s="341" t="str">
        <f>CONCATENATE(IF(F256="N","PLACEHOLDER ROW - ",""),'C-Design&amp;Const'!Z256,IF(F256="N","",J256))</f>
        <v xml:space="preserve">PLACEHOLDER ROW - CUSTOM - Structural  </v>
      </c>
      <c r="I256" s="197"/>
      <c r="J256" s="578" t="str">
        <f>IF('C-Design&amp;Const'!AG256="","",'C-Design&amp;Const'!AG256)</f>
        <v>(Substantially Complete)</v>
      </c>
      <c r="K256" s="285" t="str">
        <f>IF(CD50_apply="Yes",IF((COUNTIF(D256:G256,"Y")=COUNTIF('02 - DD'!D256:G256,"Y")),"match","no DD match"),"-")</f>
        <v>match</v>
      </c>
      <c r="L256" s="1410" t="str">
        <f t="shared" si="11"/>
        <v>&lt;---PM/Planner may hide PLACEHOLDER ROW</v>
      </c>
      <c r="M256" s="1382"/>
      <c r="N256" s="1382"/>
      <c r="O256" s="1382"/>
      <c r="P256" s="1382"/>
      <c r="Q256" s="1274"/>
      <c r="R256" s="1513"/>
      <c r="S256" s="1509"/>
      <c r="T256" s="1382"/>
      <c r="U256" s="1382"/>
      <c r="V256" s="1382"/>
      <c r="W256" s="1382"/>
      <c r="X256" s="1382"/>
      <c r="Y256" s="1382"/>
      <c r="Z256" s="1382"/>
      <c r="AA256" s="1382"/>
      <c r="AB256" s="1382"/>
      <c r="AC256" s="1382"/>
      <c r="AD256" s="1382"/>
      <c r="AE256" s="1382"/>
      <c r="AF256" s="1382"/>
      <c r="AG256" s="1382"/>
      <c r="AH256" s="1382"/>
      <c r="AI256" s="1382"/>
      <c r="AJ256" s="1382"/>
      <c r="AK256" s="181"/>
      <c r="AL256" s="181"/>
      <c r="AM256" s="181"/>
      <c r="AN256" s="181"/>
      <c r="AO256" s="181"/>
      <c r="AP256" s="181"/>
      <c r="AQ256" s="181"/>
      <c r="AR256" s="181"/>
      <c r="AS256" s="181"/>
      <c r="AT256" s="181"/>
      <c r="AU256" s="181"/>
      <c r="AV256" s="181"/>
    </row>
    <row r="257" spans="1:48" s="30" customFormat="1" x14ac:dyDescent="0.25">
      <c r="A257" s="1518" t="str">
        <f>IF(DD_apply="Yes",IF(COUNTIF('02 - DD'!D257:G257,"Y")&gt;0,"Y",IF(COUNTIF('02 - DD'!D257:G257,"N"),"N","")),"")</f>
        <v>N</v>
      </c>
      <c r="B257" s="191"/>
      <c r="C257" s="945"/>
      <c r="D257" s="411"/>
      <c r="E257" s="411"/>
      <c r="F257" s="559" t="str">
        <f>IF('C-Design&amp;Const'!$M257="","",'C-Design&amp;Const'!$M257)</f>
        <v>N</v>
      </c>
      <c r="G257" s="514"/>
      <c r="H257" s="341" t="str">
        <f>CONCATENATE(IF(F257="N","PLACEHOLDER ROW - ",""),'C-Design&amp;Const'!Z257,IF(F257="N","",J257))</f>
        <v xml:space="preserve">PLACEHOLDER ROW - CUSTOM - Structural  </v>
      </c>
      <c r="I257" s="197"/>
      <c r="J257" s="578" t="str">
        <f>IF('C-Design&amp;Const'!AG257="","",'C-Design&amp;Const'!AG257)</f>
        <v>(Substantially Complete)</v>
      </c>
      <c r="K257" s="285" t="str">
        <f>IF(CD50_apply="Yes",IF((COUNTIF(D257:G257,"Y")=COUNTIF('02 - DD'!D257:G257,"Y")),"match","no DD match"),"-")</f>
        <v>match</v>
      </c>
      <c r="L257" s="1410" t="str">
        <f t="shared" si="11"/>
        <v>&lt;---PM/Planner may hide PLACEHOLDER ROW</v>
      </c>
      <c r="M257" s="1382"/>
      <c r="N257" s="1382"/>
      <c r="O257" s="1382"/>
      <c r="P257" s="1382"/>
      <c r="Q257" s="1274"/>
      <c r="R257" s="1513"/>
      <c r="S257" s="1509"/>
      <c r="T257" s="1382"/>
      <c r="U257" s="1382"/>
      <c r="V257" s="1382"/>
      <c r="W257" s="1382"/>
      <c r="X257" s="1382"/>
      <c r="Y257" s="1382"/>
      <c r="Z257" s="1382"/>
      <c r="AA257" s="1382"/>
      <c r="AB257" s="1382"/>
      <c r="AC257" s="1382"/>
      <c r="AD257" s="1382"/>
      <c r="AE257" s="1382"/>
      <c r="AF257" s="1382"/>
      <c r="AG257" s="1382"/>
      <c r="AH257" s="1382"/>
      <c r="AI257" s="1382"/>
      <c r="AJ257" s="1382"/>
      <c r="AK257" s="181"/>
      <c r="AL257" s="181"/>
      <c r="AM257" s="181"/>
      <c r="AN257" s="181"/>
      <c r="AO257" s="181"/>
      <c r="AP257" s="181"/>
      <c r="AQ257" s="181"/>
      <c r="AR257" s="181"/>
      <c r="AS257" s="181"/>
      <c r="AT257" s="181"/>
      <c r="AU257" s="181"/>
      <c r="AV257" s="181"/>
    </row>
    <row r="258" spans="1:48" s="545" customFormat="1" ht="14.25" customHeight="1" x14ac:dyDescent="0.25">
      <c r="A258" s="1518" t="str">
        <f>IF(DD_apply="Yes",IF(COUNTIF('02 - DD'!D258:G258,"Y")&gt;0,"Y",IF(COUNTIF('02 - DD'!D258:G258,"N"),"N","")),"")</f>
        <v>Y</v>
      </c>
      <c r="B258" s="554"/>
      <c r="C258" s="945"/>
      <c r="D258" s="411"/>
      <c r="E258" s="411"/>
      <c r="F258" s="559" t="str">
        <f>IF('C-Design&amp;Const'!$M258="","",'C-Design&amp;Const'!$M258)</f>
        <v>Y</v>
      </c>
      <c r="G258" s="514"/>
      <c r="H258" s="341" t="str">
        <f>CONCATENATE(IF(F258="N","PLACEHOLDER ROW - ",""),'C-Design&amp;Const'!Z258,IF(F258="N","",J258))</f>
        <v>Structural Symbols, Abbreviations, and General Notes (Substantially Complete)</v>
      </c>
      <c r="I258" s="197"/>
      <c r="J258" s="578" t="str">
        <f>IF('C-Design&amp;Const'!AG258="","",'C-Design&amp;Const'!AG258)</f>
        <v>(Substantially Complete)</v>
      </c>
      <c r="K258" s="285" t="str">
        <f>IF(CD50_apply="Yes",IF((COUNTIF(D258:G258,"Y")=COUNTIF('02 - DD'!D258:G258,"Y")),"match","no DD match"),"-")</f>
        <v>match</v>
      </c>
      <c r="L258" s="1410" t="str">
        <f>CONCATENATE(IF(ISNUMBER(SEARCH("Placeholder",H258))=TRUE,"&lt;---PM/Planner may hide PLACEHOLDER ROW",""))</f>
        <v/>
      </c>
      <c r="M258" s="1382"/>
      <c r="N258" s="1382"/>
      <c r="O258" s="1382"/>
      <c r="P258" s="1382"/>
      <c r="Q258" s="1274"/>
      <c r="R258" s="1513"/>
      <c r="S258" s="1509"/>
      <c r="T258" s="1382"/>
      <c r="U258" s="1382"/>
      <c r="V258" s="1382"/>
      <c r="W258" s="1382"/>
      <c r="X258" s="1382"/>
      <c r="Y258" s="1382"/>
      <c r="Z258" s="1382"/>
      <c r="AA258" s="1382"/>
      <c r="AB258" s="1382"/>
      <c r="AC258" s="1382"/>
      <c r="AD258" s="1382"/>
      <c r="AE258" s="1382"/>
      <c r="AF258" s="1382"/>
      <c r="AG258" s="1382"/>
      <c r="AH258" s="1382"/>
      <c r="AI258" s="1382"/>
      <c r="AJ258" s="1382"/>
      <c r="AK258" s="551"/>
      <c r="AL258" s="551"/>
      <c r="AM258" s="551"/>
      <c r="AN258" s="551"/>
      <c r="AO258" s="551"/>
      <c r="AP258" s="551"/>
      <c r="AQ258" s="551"/>
      <c r="AR258" s="551"/>
      <c r="AS258" s="551"/>
      <c r="AT258" s="551"/>
      <c r="AU258" s="551"/>
      <c r="AV258" s="551"/>
    </row>
    <row r="259" spans="1:48" s="551" customFormat="1" x14ac:dyDescent="0.25">
      <c r="A259" s="1518" t="str">
        <f>IF(DD_apply="Yes",IF(COUNTIF('02 - DD'!D259:G259,"Y")&gt;0,"Y",IF(COUNTIF('02 - DD'!D259:G259,"N"),"N","")),"")</f>
        <v>Y</v>
      </c>
      <c r="B259" s="549"/>
      <c r="C259" s="945"/>
      <c r="D259" s="411"/>
      <c r="E259" s="411"/>
      <c r="F259" s="559" t="str">
        <f>IF('C-Design&amp;Const'!$M259="","",'C-Design&amp;Const'!$M259)</f>
        <v>Y</v>
      </c>
      <c r="G259" s="510"/>
      <c r="H259" s="341" t="str">
        <f>CONCATENATE(IF(F259="N","PLACEHOLDER ROW - ",""),'C-Design&amp;Const'!Z259,IF(F259="N","",J259))</f>
        <v>Structural Demolition(s) (Substantially Complete)</v>
      </c>
      <c r="I259" s="197"/>
      <c r="J259" s="578" t="str">
        <f>IF('C-Design&amp;Const'!AG259="","",'C-Design&amp;Const'!AG259)</f>
        <v>(Substantially Complete)</v>
      </c>
      <c r="K259" s="285" t="str">
        <f>IF(CD50_apply="Yes",IF((COUNTIF(D259:G259,"Y")=COUNTIF('02 - DD'!D259:G259,"Y")),"match","no DD match"),"-")</f>
        <v>match</v>
      </c>
      <c r="L259" s="1410" t="str">
        <f>CONCATENATE(IF(ISNUMBER(SEARCH("Placeholder",H259))=TRUE,"&lt;---PM/Planner may hide PLACEHOLDER ROW",""))</f>
        <v/>
      </c>
      <c r="M259" s="1382"/>
      <c r="N259" s="1382"/>
      <c r="O259" s="1382"/>
      <c r="P259" s="1382"/>
      <c r="Q259" s="1490"/>
      <c r="R259" s="1274"/>
      <c r="S259" s="1509"/>
      <c r="T259" s="1382"/>
      <c r="U259" s="1382"/>
      <c r="V259" s="1382"/>
      <c r="W259" s="1382"/>
      <c r="X259" s="1382"/>
      <c r="Y259" s="1382"/>
      <c r="Z259" s="1382"/>
      <c r="AA259" s="1382"/>
      <c r="AB259" s="1382"/>
      <c r="AC259" s="1382"/>
      <c r="AD259" s="1382"/>
      <c r="AE259" s="1382"/>
      <c r="AF259" s="1382"/>
      <c r="AG259" s="1382"/>
      <c r="AH259" s="1382"/>
      <c r="AI259" s="1382"/>
      <c r="AJ259" s="1382"/>
    </row>
    <row r="260" spans="1:48" s="30" customFormat="1" x14ac:dyDescent="0.25">
      <c r="A260" s="1518" t="str">
        <f>IF(DD_apply="Yes",IF(COUNTIF('02 - DD'!D260:G260,"Y")&gt;0,"Y",IF(COUNTIF('02 - DD'!D260:G260,"N"),"N","")),"")</f>
        <v>Y</v>
      </c>
      <c r="B260" s="191"/>
      <c r="C260" s="945"/>
      <c r="D260" s="411"/>
      <c r="E260" s="411"/>
      <c r="F260" s="559" t="str">
        <f>IF('C-Design&amp;Const'!$M260="","",'C-Design&amp;Const'!$M260)</f>
        <v>Y</v>
      </c>
      <c r="G260" s="510"/>
      <c r="H260" s="341" t="str">
        <f>CONCATENATE(IF(F260="N","PLACEHOLDER ROW - ",""),'C-Design&amp;Const'!Z260,IF(F260="N","",J260))</f>
        <v>Foundation Plan (Substantially Complete)</v>
      </c>
      <c r="I260" s="197"/>
      <c r="J260" s="578" t="str">
        <f>IF('C-Design&amp;Const'!AG260="","",'C-Design&amp;Const'!AG260)</f>
        <v>(Substantially Complete)</v>
      </c>
      <c r="K260" s="285" t="str">
        <f>IF(CD50_apply="Yes",IF((COUNTIF(D260:G260,"Y")=COUNTIF('02 - DD'!D260:G260,"Y")),"match","no DD match"),"-")</f>
        <v>match</v>
      </c>
      <c r="L260" s="1410" t="str">
        <f t="shared" si="11"/>
        <v/>
      </c>
      <c r="M260" s="1382"/>
      <c r="N260" s="1382"/>
      <c r="O260" s="1382"/>
      <c r="P260" s="1382"/>
      <c r="Q260" s="1274"/>
      <c r="R260" s="1513"/>
      <c r="S260" s="1509"/>
      <c r="T260" s="1382"/>
      <c r="U260" s="1382"/>
      <c r="V260" s="1382"/>
      <c r="W260" s="1382"/>
      <c r="X260" s="1382"/>
      <c r="Y260" s="1382"/>
      <c r="Z260" s="1382"/>
      <c r="AA260" s="1382"/>
      <c r="AB260" s="1382"/>
      <c r="AC260" s="1382"/>
      <c r="AD260" s="1382"/>
      <c r="AE260" s="1382"/>
      <c r="AF260" s="1382"/>
      <c r="AG260" s="1382"/>
      <c r="AH260" s="1382"/>
      <c r="AI260" s="1382"/>
      <c r="AJ260" s="1382"/>
      <c r="AK260" s="181"/>
      <c r="AL260" s="181"/>
      <c r="AM260" s="181"/>
      <c r="AN260" s="181"/>
      <c r="AO260" s="181"/>
      <c r="AP260" s="181"/>
      <c r="AQ260" s="181"/>
      <c r="AR260" s="181"/>
      <c r="AS260" s="181"/>
      <c r="AT260" s="181"/>
      <c r="AU260" s="181"/>
      <c r="AV260" s="181"/>
    </row>
    <row r="261" spans="1:48" s="30" customFormat="1" x14ac:dyDescent="0.25">
      <c r="A261" s="1518" t="str">
        <f>IF(DD_apply="Yes",IF(COUNTIF('02 - DD'!D261:G261,"Y")&gt;0,"Y",IF(COUNTIF('02 - DD'!D261:G261,"N"),"N","")),"")</f>
        <v>Y</v>
      </c>
      <c r="B261" s="191"/>
      <c r="C261" s="945"/>
      <c r="D261" s="411"/>
      <c r="E261" s="411"/>
      <c r="F261" s="559" t="str">
        <f>IF('C-Design&amp;Const'!$M261="","",'C-Design&amp;Const'!$M261)</f>
        <v>Y</v>
      </c>
      <c r="G261" s="510"/>
      <c r="H261" s="341" t="str">
        <f>CONCATENATE(IF(F261="N","PLACEHOLDER ROW - ",""),'C-Design&amp;Const'!Z261,IF(F261="N","",J261))</f>
        <v>Foundation to wall connections (bolted/reinforcing bar dowels) (Approx. 50% Complete)</v>
      </c>
      <c r="I261" s="197"/>
      <c r="J261" s="578" t="str">
        <f>IF('C-Design&amp;Const'!AG261="","",'C-Design&amp;Const'!AG261)</f>
        <v>(Approx. 50% Complete)</v>
      </c>
      <c r="K261" s="285" t="str">
        <f>IF(CD50_apply="Yes",IF((COUNTIF(D261:G261,"Y")=COUNTIF('02 - DD'!D261:G261,"Y")),"match","no DD match"),"-")</f>
        <v>match</v>
      </c>
      <c r="L261" s="1410" t="str">
        <f t="shared" si="11"/>
        <v/>
      </c>
      <c r="M261" s="1382"/>
      <c r="N261" s="1382"/>
      <c r="O261" s="1382"/>
      <c r="P261" s="1382"/>
      <c r="Q261" s="1490"/>
      <c r="R261" s="1274"/>
      <c r="S261" s="1509"/>
      <c r="T261" s="1382"/>
      <c r="U261" s="1382"/>
      <c r="V261" s="1382"/>
      <c r="W261" s="1382"/>
      <c r="X261" s="1382"/>
      <c r="Y261" s="1382"/>
      <c r="Z261" s="1382"/>
      <c r="AA261" s="1382"/>
      <c r="AB261" s="1382"/>
      <c r="AC261" s="1382"/>
      <c r="AD261" s="1382"/>
      <c r="AE261" s="1382"/>
      <c r="AF261" s="1382"/>
      <c r="AG261" s="1382"/>
      <c r="AH261" s="1382"/>
      <c r="AI261" s="1382"/>
      <c r="AJ261" s="1382"/>
      <c r="AK261" s="181"/>
      <c r="AL261" s="181"/>
      <c r="AM261" s="181"/>
      <c r="AN261" s="181"/>
      <c r="AO261" s="181"/>
      <c r="AP261" s="181"/>
      <c r="AQ261" s="181"/>
      <c r="AR261" s="181"/>
      <c r="AS261" s="181"/>
      <c r="AT261" s="181"/>
      <c r="AU261" s="181"/>
      <c r="AV261" s="181"/>
    </row>
    <row r="262" spans="1:48" s="30" customFormat="1" x14ac:dyDescent="0.25">
      <c r="A262" s="1518" t="str">
        <f>IF(DD_apply="Yes",IF(COUNTIF('02 - DD'!D262:G262,"Y")&gt;0,"Y",IF(COUNTIF('02 - DD'!D262:G262,"N"),"N","")),"")</f>
        <v>Y</v>
      </c>
      <c r="B262" s="191"/>
      <c r="C262" s="945"/>
      <c r="D262" s="411"/>
      <c r="E262" s="411"/>
      <c r="F262" s="559" t="str">
        <f>IF('C-Design&amp;Const'!$M262="","",'C-Design&amp;Const'!$M262)</f>
        <v>Y</v>
      </c>
      <c r="G262" s="510"/>
      <c r="H262" s="341" t="str">
        <f>CONCATENATE(IF(F262="N","PLACEHOLDER ROW - ",""),'C-Design&amp;Const'!Z262,IF(F262="N","",J262))</f>
        <v>Column and Base Plate Schedule (Approx. 50% Complete)</v>
      </c>
      <c r="I262" s="197"/>
      <c r="J262" s="578" t="str">
        <f>IF('C-Design&amp;Const'!AG262="","",'C-Design&amp;Const'!AG262)</f>
        <v>(Approx. 50% Complete)</v>
      </c>
      <c r="K262" s="285" t="str">
        <f>IF(CD50_apply="Yes",IF((COUNTIF(D262:G262,"Y")=COUNTIF('02 - DD'!D262:G262,"Y")),"match","no DD match"),"-")</f>
        <v>match</v>
      </c>
      <c r="L262" s="1410" t="str">
        <f t="shared" ref="L262:L339" si="15">CONCATENATE(IF(ISNUMBER(SEARCH("Placeholder",H262))=TRUE,"&lt;---PM/Planner may hide PLACEHOLDER ROW",""))</f>
        <v/>
      </c>
      <c r="M262" s="1382"/>
      <c r="N262" s="1382"/>
      <c r="O262" s="1382"/>
      <c r="P262" s="1382"/>
      <c r="Q262" s="1490"/>
      <c r="R262" s="1274"/>
      <c r="S262" s="1509"/>
      <c r="T262" s="1382"/>
      <c r="U262" s="1382"/>
      <c r="V262" s="1382"/>
      <c r="W262" s="1382"/>
      <c r="X262" s="1382"/>
      <c r="Y262" s="1382"/>
      <c r="Z262" s="1382"/>
      <c r="AA262" s="1382"/>
      <c r="AB262" s="1382"/>
      <c r="AC262" s="1382"/>
      <c r="AD262" s="1382"/>
      <c r="AE262" s="1382"/>
      <c r="AF262" s="1382"/>
      <c r="AG262" s="1382"/>
      <c r="AH262" s="1382"/>
      <c r="AI262" s="1382"/>
      <c r="AJ262" s="1382"/>
      <c r="AK262" s="181"/>
      <c r="AL262" s="181"/>
      <c r="AM262" s="181"/>
      <c r="AN262" s="181"/>
      <c r="AO262" s="181"/>
      <c r="AP262" s="181"/>
      <c r="AQ262" s="181"/>
      <c r="AR262" s="181"/>
      <c r="AS262" s="181"/>
      <c r="AT262" s="181"/>
      <c r="AU262" s="181"/>
      <c r="AV262" s="181"/>
    </row>
    <row r="263" spans="1:48" s="30" customFormat="1" x14ac:dyDescent="0.25">
      <c r="A263" s="1518" t="str">
        <f>IF(DD_apply="Yes",IF(COUNTIF('02 - DD'!D263:G263,"Y")&gt;0,"Y",IF(COUNTIF('02 - DD'!D263:G263,"N"),"N","")),"")</f>
        <v>Y</v>
      </c>
      <c r="B263" s="191"/>
      <c r="C263" s="945"/>
      <c r="D263" s="411"/>
      <c r="E263" s="411"/>
      <c r="F263" s="559" t="str">
        <f>IF('C-Design&amp;Const'!$M263="","",'C-Design&amp;Const'!$M263)</f>
        <v>Y</v>
      </c>
      <c r="G263" s="510"/>
      <c r="H263" s="341" t="str">
        <f>CONCATENATE(IF(F263="N","PLACEHOLDER ROW - ",""),'C-Design&amp;Const'!Z263,IF(F263="N","",J263))</f>
        <v>Foundation Individual Details (Approx. 50% Complete)</v>
      </c>
      <c r="I263" s="197"/>
      <c r="J263" s="578" t="str">
        <f>IF('C-Design&amp;Const'!AG263="","",'C-Design&amp;Const'!AG263)</f>
        <v>(Approx. 50% Complete)</v>
      </c>
      <c r="K263" s="285" t="str">
        <f>IF(CD50_apply="Yes",IF((COUNTIF(D263:G263,"Y")=COUNTIF('02 - DD'!D263:G263,"Y")),"match","no DD match"),"-")</f>
        <v>match</v>
      </c>
      <c r="L263" s="1410" t="str">
        <f t="shared" si="15"/>
        <v/>
      </c>
      <c r="M263" s="1382"/>
      <c r="N263" s="1382"/>
      <c r="O263" s="1382"/>
      <c r="P263" s="1382"/>
      <c r="Q263" s="1490"/>
      <c r="R263" s="1274"/>
      <c r="S263" s="1509"/>
      <c r="T263" s="1382"/>
      <c r="U263" s="1382"/>
      <c r="V263" s="1382"/>
      <c r="W263" s="1382"/>
      <c r="X263" s="1382"/>
      <c r="Y263" s="1382"/>
      <c r="Z263" s="1382"/>
      <c r="AA263" s="1382"/>
      <c r="AB263" s="1382"/>
      <c r="AC263" s="1382"/>
      <c r="AD263" s="1382"/>
      <c r="AE263" s="1382"/>
      <c r="AF263" s="1382"/>
      <c r="AG263" s="1382"/>
      <c r="AH263" s="1382"/>
      <c r="AI263" s="1382"/>
      <c r="AJ263" s="1382"/>
      <c r="AK263" s="181"/>
      <c r="AL263" s="181"/>
      <c r="AM263" s="181"/>
      <c r="AN263" s="181"/>
      <c r="AO263" s="181"/>
      <c r="AP263" s="181"/>
      <c r="AQ263" s="181"/>
      <c r="AR263" s="181"/>
      <c r="AS263" s="181"/>
      <c r="AT263" s="181"/>
      <c r="AU263" s="181"/>
      <c r="AV263" s="181"/>
    </row>
    <row r="264" spans="1:48" s="30" customFormat="1" x14ac:dyDescent="0.25">
      <c r="A264" s="1518" t="str">
        <f>IF(DD_apply="Yes",IF(COUNTIF('02 - DD'!D264:G264,"Y")&gt;0,"Y",IF(COUNTIF('02 - DD'!D264:G264,"N"),"N","")),"")</f>
        <v>Y</v>
      </c>
      <c r="B264" s="191"/>
      <c r="C264" s="945"/>
      <c r="D264" s="411"/>
      <c r="E264" s="411"/>
      <c r="F264" s="559" t="str">
        <f>IF('C-Design&amp;Const'!$M264="","",'C-Design&amp;Const'!$M264)</f>
        <v>Y</v>
      </c>
      <c r="G264" s="510"/>
      <c r="H264" s="341" t="str">
        <f>CONCATENATE(IF(F264="N","PLACEHOLDER ROW - ",""),'C-Design&amp;Const'!Z264,IF(F264="N","",J264))</f>
        <v>Structural Masonry Wall Plan (Substantially Complete)</v>
      </c>
      <c r="I264" s="197"/>
      <c r="J264" s="578" t="str">
        <f>IF('C-Design&amp;Const'!AG264="","",'C-Design&amp;Const'!AG264)</f>
        <v>(Substantially Complete)</v>
      </c>
      <c r="K264" s="285" t="str">
        <f>IF(CD50_apply="Yes",IF((COUNTIF(D264:G264,"Y")=COUNTIF('02 - DD'!D264:G264,"Y")),"match","no DD match"),"-")</f>
        <v>match</v>
      </c>
      <c r="L264" s="1410" t="str">
        <f t="shared" si="15"/>
        <v/>
      </c>
      <c r="M264" s="1382"/>
      <c r="N264" s="1382"/>
      <c r="O264" s="1382"/>
      <c r="P264" s="1382"/>
      <c r="Q264" s="1490"/>
      <c r="R264" s="1274"/>
      <c r="S264" s="1509"/>
      <c r="T264" s="1382"/>
      <c r="U264" s="1382"/>
      <c r="V264" s="1382"/>
      <c r="W264" s="1382"/>
      <c r="X264" s="1382"/>
      <c r="Y264" s="1382"/>
      <c r="Z264" s="1382"/>
      <c r="AA264" s="1382"/>
      <c r="AB264" s="1382"/>
      <c r="AC264" s="1382"/>
      <c r="AD264" s="1382"/>
      <c r="AE264" s="1382"/>
      <c r="AF264" s="1382"/>
      <c r="AG264" s="1382"/>
      <c r="AH264" s="1382"/>
      <c r="AI264" s="1382"/>
      <c r="AJ264" s="1382"/>
      <c r="AK264" s="181"/>
      <c r="AL264" s="181"/>
      <c r="AM264" s="181"/>
      <c r="AN264" s="181"/>
      <c r="AO264" s="181"/>
      <c r="AP264" s="181"/>
      <c r="AQ264" s="181"/>
      <c r="AR264" s="181"/>
      <c r="AS264" s="181"/>
      <c r="AT264" s="181"/>
      <c r="AU264" s="181"/>
      <c r="AV264" s="181"/>
    </row>
    <row r="265" spans="1:48" s="30" customFormat="1" x14ac:dyDescent="0.25">
      <c r="A265" s="1518" t="str">
        <f>IF(DD_apply="Yes",IF(COUNTIF('02 - DD'!D265:G265,"Y")&gt;0,"Y",IF(COUNTIF('02 - DD'!D265:G265,"N"),"N","")),"")</f>
        <v>Y</v>
      </c>
      <c r="B265" s="191"/>
      <c r="C265" s="945"/>
      <c r="D265" s="411"/>
      <c r="E265" s="411"/>
      <c r="F265" s="559" t="str">
        <f>IF('C-Design&amp;Const'!$M265="","",'C-Design&amp;Const'!$M265)</f>
        <v>Y</v>
      </c>
      <c r="G265" s="510"/>
      <c r="H265" s="341" t="str">
        <f>CONCATENATE(IF(F265="N","PLACEHOLDER ROW - ",""),'C-Design&amp;Const'!Z265,IF(F265="N","",J265))</f>
        <v>Structural Masonry Details (Approx. 50% Complete)</v>
      </c>
      <c r="I265" s="197"/>
      <c r="J265" s="578" t="str">
        <f>IF('C-Design&amp;Const'!AG265="","",'C-Design&amp;Const'!AG265)</f>
        <v>(Approx. 50% Complete)</v>
      </c>
      <c r="K265" s="285" t="str">
        <f>IF(CD50_apply="Yes",IF((COUNTIF(D265:G265,"Y")=COUNTIF('02 - DD'!D265:G265,"Y")),"match","no DD match"),"-")</f>
        <v>match</v>
      </c>
      <c r="L265" s="1410" t="str">
        <f t="shared" si="15"/>
        <v/>
      </c>
      <c r="M265" s="1382"/>
      <c r="N265" s="1382"/>
      <c r="O265" s="1382"/>
      <c r="P265" s="1382"/>
      <c r="Q265" s="1490"/>
      <c r="R265" s="1274"/>
      <c r="S265" s="1509"/>
      <c r="T265" s="1382"/>
      <c r="U265" s="1382"/>
      <c r="V265" s="1382"/>
      <c r="W265" s="1382"/>
      <c r="X265" s="1382"/>
      <c r="Y265" s="1382"/>
      <c r="Z265" s="1382"/>
      <c r="AA265" s="1382"/>
      <c r="AB265" s="1382"/>
      <c r="AC265" s="1382"/>
      <c r="AD265" s="1382"/>
      <c r="AE265" s="1382"/>
      <c r="AF265" s="1382"/>
      <c r="AG265" s="1382"/>
      <c r="AH265" s="1382"/>
      <c r="AI265" s="1382"/>
      <c r="AJ265" s="1382"/>
      <c r="AK265" s="181"/>
      <c r="AL265" s="181"/>
      <c r="AM265" s="181"/>
      <c r="AN265" s="181"/>
      <c r="AO265" s="181"/>
      <c r="AP265" s="181"/>
      <c r="AQ265" s="181"/>
      <c r="AR265" s="181"/>
      <c r="AS265" s="181"/>
      <c r="AT265" s="181"/>
      <c r="AU265" s="181"/>
      <c r="AV265" s="181"/>
    </row>
    <row r="266" spans="1:48" s="30" customFormat="1" x14ac:dyDescent="0.25">
      <c r="A266" s="1518" t="str">
        <f>IF(DD_apply="Yes",IF(COUNTIF('02 - DD'!D266:G266,"Y")&gt;0,"Y",IF(COUNTIF('02 - DD'!D266:G266,"N"),"N","")),"")</f>
        <v>Y</v>
      </c>
      <c r="B266" s="191"/>
      <c r="C266" s="945"/>
      <c r="D266" s="411"/>
      <c r="E266" s="411"/>
      <c r="F266" s="559" t="str">
        <f>IF('C-Design&amp;Const'!$M266="","",'C-Design&amp;Const'!$M266)</f>
        <v>Y</v>
      </c>
      <c r="G266" s="510"/>
      <c r="H266" s="341" t="str">
        <f>CONCATENATE(IF(F266="N","PLACEHOLDER ROW - ",""),'C-Design&amp;Const'!Z266,IF(F266="N","",J266))</f>
        <v>Lintel Details (Approx. 50% Complete)</v>
      </c>
      <c r="I266" s="197"/>
      <c r="J266" s="578" t="str">
        <f>IF('C-Design&amp;Const'!AG266="","",'C-Design&amp;Const'!AG266)</f>
        <v>(Approx. 50% Complete)</v>
      </c>
      <c r="K266" s="285" t="str">
        <f>IF(CD50_apply="Yes",IF((COUNTIF(D266:G266,"Y")=COUNTIF('02 - DD'!D266:G266,"Y")),"match","no DD match"),"-")</f>
        <v>match</v>
      </c>
      <c r="L266" s="1410" t="str">
        <f t="shared" si="15"/>
        <v/>
      </c>
      <c r="M266" s="1382"/>
      <c r="N266" s="1382"/>
      <c r="O266" s="1382"/>
      <c r="P266" s="1382"/>
      <c r="Q266" s="1490"/>
      <c r="R266" s="1274"/>
      <c r="S266" s="1509"/>
      <c r="T266" s="1382"/>
      <c r="U266" s="1382"/>
      <c r="V266" s="1382"/>
      <c r="W266" s="1382"/>
      <c r="X266" s="1382"/>
      <c r="Y266" s="1382"/>
      <c r="Z266" s="1382"/>
      <c r="AA266" s="1382"/>
      <c r="AB266" s="1382"/>
      <c r="AC266" s="1382"/>
      <c r="AD266" s="1382"/>
      <c r="AE266" s="1382"/>
      <c r="AF266" s="1382"/>
      <c r="AG266" s="1382"/>
      <c r="AH266" s="1382"/>
      <c r="AI266" s="1382"/>
      <c r="AJ266" s="1382"/>
      <c r="AK266" s="181"/>
      <c r="AL266" s="181"/>
      <c r="AM266" s="181"/>
      <c r="AN266" s="181"/>
      <c r="AO266" s="181"/>
      <c r="AP266" s="181"/>
      <c r="AQ266" s="181"/>
      <c r="AR266" s="181"/>
      <c r="AS266" s="181"/>
      <c r="AT266" s="181"/>
      <c r="AU266" s="181"/>
      <c r="AV266" s="181"/>
    </row>
    <row r="267" spans="1:48" s="30" customFormat="1" x14ac:dyDescent="0.25">
      <c r="A267" s="1518" t="str">
        <f>IF(DD_apply="Yes",IF(COUNTIF('02 - DD'!D267:G267,"Y")&gt;0,"Y",IF(COUNTIF('02 - DD'!D267:G267,"N"),"N","")),"")</f>
        <v>Y</v>
      </c>
      <c r="B267" s="191"/>
      <c r="C267" s="945"/>
      <c r="D267" s="411"/>
      <c r="E267" s="411"/>
      <c r="F267" s="559" t="str">
        <f>IF('C-Design&amp;Const'!$M267="","",'C-Design&amp;Const'!$M267)</f>
        <v>Y</v>
      </c>
      <c r="G267" s="510"/>
      <c r="H267" s="341" t="str">
        <f>CONCATENATE(IF(F267="N","PLACEHOLDER ROW - ",""),'C-Design&amp;Const'!Z267,IF(F267="N","",J267))</f>
        <v>Lateral Force Resisting System Plan and Details (Substantially Complete)</v>
      </c>
      <c r="I267" s="197"/>
      <c r="J267" s="578" t="str">
        <f>IF('C-Design&amp;Const'!AG267="","",'C-Design&amp;Const'!AG267)</f>
        <v>(Substantially Complete)</v>
      </c>
      <c r="K267" s="285" t="str">
        <f>IF(CD50_apply="Yes",IF((COUNTIF(D267:G267,"Y")=COUNTIF('02 - DD'!D267:G267,"Y")),"match","no DD match"),"-")</f>
        <v>match</v>
      </c>
      <c r="L267" s="1410" t="str">
        <f t="shared" si="15"/>
        <v/>
      </c>
      <c r="M267" s="1382"/>
      <c r="N267" s="1382"/>
      <c r="O267" s="1382"/>
      <c r="P267" s="1382"/>
      <c r="Q267" s="1490"/>
      <c r="R267" s="1274"/>
      <c r="S267" s="1509"/>
      <c r="T267" s="1382"/>
      <c r="U267" s="1382"/>
      <c r="V267" s="1382"/>
      <c r="W267" s="1382"/>
      <c r="X267" s="1382"/>
      <c r="Y267" s="1382"/>
      <c r="Z267" s="1382"/>
      <c r="AA267" s="1382"/>
      <c r="AB267" s="1382"/>
      <c r="AC267" s="1382"/>
      <c r="AD267" s="1382"/>
      <c r="AE267" s="1382"/>
      <c r="AF267" s="1382"/>
      <c r="AG267" s="1382"/>
      <c r="AH267" s="1382"/>
      <c r="AI267" s="1382"/>
      <c r="AJ267" s="1382"/>
      <c r="AK267" s="181"/>
      <c r="AL267" s="181"/>
      <c r="AM267" s="181"/>
      <c r="AN267" s="181"/>
      <c r="AO267" s="181"/>
      <c r="AP267" s="181"/>
      <c r="AQ267" s="181"/>
      <c r="AR267" s="181"/>
      <c r="AS267" s="181"/>
      <c r="AT267" s="181"/>
      <c r="AU267" s="181"/>
      <c r="AV267" s="181"/>
    </row>
    <row r="268" spans="1:48" s="30" customFormat="1" x14ac:dyDescent="0.25">
      <c r="A268" s="1518" t="str">
        <f>IF(DD_apply="Yes",IF(COUNTIF('02 - DD'!D268:G268,"Y")&gt;0,"Y",IF(COUNTIF('02 - DD'!D268:G268,"N"),"N","")),"")</f>
        <v>Y</v>
      </c>
      <c r="B268" s="191"/>
      <c r="C268" s="945"/>
      <c r="D268" s="411"/>
      <c r="E268" s="411"/>
      <c r="F268" s="559" t="str">
        <f>IF('C-Design&amp;Const'!$M268="","",'C-Design&amp;Const'!$M268)</f>
        <v>Y</v>
      </c>
      <c r="G268" s="510"/>
      <c r="H268" s="341" t="str">
        <f>CONCATENATE(IF(F268="N","PLACEHOLDER ROW - ",""),'C-Design&amp;Const'!Z268,IF(F268="N","",J268))</f>
        <v>Floor Framing Plans (Substantially Complete)</v>
      </c>
      <c r="I268" s="200"/>
      <c r="J268" s="578" t="str">
        <f>IF('C-Design&amp;Const'!AG268="","",'C-Design&amp;Const'!AG268)</f>
        <v>(Substantially Complete)</v>
      </c>
      <c r="K268" s="285" t="str">
        <f>IF(CD50_apply="Yes",IF((COUNTIF(D268:G268,"Y")=COUNTIF('02 - DD'!D268:G268,"Y")),"match","no DD match"),"-")</f>
        <v>match</v>
      </c>
      <c r="L268" s="1410" t="str">
        <f t="shared" si="15"/>
        <v/>
      </c>
      <c r="M268" s="1382"/>
      <c r="N268" s="1382"/>
      <c r="O268" s="1382"/>
      <c r="P268" s="1382"/>
      <c r="Q268" s="1490"/>
      <c r="R268" s="1274"/>
      <c r="S268" s="1509"/>
      <c r="T268" s="1382"/>
      <c r="U268" s="1382"/>
      <c r="V268" s="1382"/>
      <c r="W268" s="1382"/>
      <c r="X268" s="1382"/>
      <c r="Y268" s="1382"/>
      <c r="Z268" s="1382"/>
      <c r="AA268" s="1382"/>
      <c r="AB268" s="1382"/>
      <c r="AC268" s="1382"/>
      <c r="AD268" s="1382"/>
      <c r="AE268" s="1382"/>
      <c r="AF268" s="1382"/>
      <c r="AG268" s="1382"/>
      <c r="AH268" s="1382"/>
      <c r="AI268" s="1382"/>
      <c r="AJ268" s="1382"/>
      <c r="AK268" s="181"/>
      <c r="AL268" s="181"/>
      <c r="AM268" s="181"/>
      <c r="AN268" s="181"/>
      <c r="AO268" s="181"/>
      <c r="AP268" s="181"/>
      <c r="AQ268" s="181"/>
      <c r="AR268" s="181"/>
      <c r="AS268" s="181"/>
      <c r="AT268" s="181"/>
      <c r="AU268" s="181"/>
      <c r="AV268" s="181"/>
    </row>
    <row r="269" spans="1:48" s="30" customFormat="1" x14ac:dyDescent="0.25">
      <c r="A269" s="1518" t="str">
        <f>IF(DD_apply="Yes",IF(COUNTIF('02 - DD'!D269:G269,"Y")&gt;0,"Y",IF(COUNTIF('02 - DD'!D269:G269,"N"),"N","")),"")</f>
        <v>Y</v>
      </c>
      <c r="B269" s="191"/>
      <c r="C269" s="945"/>
      <c r="D269" s="411"/>
      <c r="E269" s="411"/>
      <c r="F269" s="559" t="str">
        <f>IF('C-Design&amp;Const'!$M269="","",'C-Design&amp;Const'!$M269)</f>
        <v>Y</v>
      </c>
      <c r="G269" s="510"/>
      <c r="H269" s="341" t="str">
        <f>CONCATENATE(IF(F269="N","PLACEHOLDER ROW - ",""),'C-Design&amp;Const'!Z269,IF(F269="N","",J269))</f>
        <v>Roof Framing Details (Substantially Complete)</v>
      </c>
      <c r="I269" s="200"/>
      <c r="J269" s="578" t="str">
        <f>IF('C-Design&amp;Const'!AG269="","",'C-Design&amp;Const'!AG269)</f>
        <v>(Substantially Complete)</v>
      </c>
      <c r="K269" s="285" t="str">
        <f>IF(CD50_apply="Yes",IF((COUNTIF(D269:G269,"Y")=COUNTIF('02 - DD'!D269:G269,"Y")),"match","no DD match"),"-")</f>
        <v>match</v>
      </c>
      <c r="L269" s="1410" t="str">
        <f t="shared" si="15"/>
        <v/>
      </c>
      <c r="M269" s="1382"/>
      <c r="N269" s="1382"/>
      <c r="O269" s="1382"/>
      <c r="P269" s="1382"/>
      <c r="Q269" s="1490"/>
      <c r="R269" s="1274"/>
      <c r="S269" s="1509"/>
      <c r="T269" s="1382"/>
      <c r="U269" s="1382"/>
      <c r="V269" s="1382"/>
      <c r="W269" s="1382"/>
      <c r="X269" s="1382"/>
      <c r="Y269" s="1382"/>
      <c r="Z269" s="1382"/>
      <c r="AA269" s="1382"/>
      <c r="AB269" s="1382"/>
      <c r="AC269" s="1382"/>
      <c r="AD269" s="1382"/>
      <c r="AE269" s="1382"/>
      <c r="AF269" s="1382"/>
      <c r="AG269" s="1382"/>
      <c r="AH269" s="1382"/>
      <c r="AI269" s="1382"/>
      <c r="AJ269" s="1382"/>
      <c r="AK269" s="181"/>
      <c r="AL269" s="181"/>
      <c r="AM269" s="181"/>
      <c r="AN269" s="181"/>
      <c r="AO269" s="181"/>
      <c r="AP269" s="181"/>
      <c r="AQ269" s="181"/>
      <c r="AR269" s="181"/>
      <c r="AS269" s="181"/>
      <c r="AT269" s="181"/>
      <c r="AU269" s="181"/>
      <c r="AV269" s="181"/>
    </row>
    <row r="270" spans="1:48" s="30" customFormat="1" x14ac:dyDescent="0.25">
      <c r="A270" s="1407" t="str">
        <f>IF(DD_apply="Yes",IF(COUNTIF('02 - DD'!D270:G270,"Y")&gt;0,"Y",IF(COUNTIF('02 - DD'!D270:G270,"N"),"N","")),"")</f>
        <v>Y</v>
      </c>
      <c r="B270" s="191"/>
      <c r="C270" s="945"/>
      <c r="D270" s="411"/>
      <c r="E270" s="559" t="str">
        <f>IF('C-Design&amp;Const'!$M270="","",'C-Design&amp;Const'!$M270)</f>
        <v>Y</v>
      </c>
      <c r="F270" s="456"/>
      <c r="G270" s="510"/>
      <c r="H270" s="347" t="str">
        <f>CONCATENATE(IF(F270="N","PLACEHOLDER ROW - ",""),'C-Design&amp;Const'!Z270,IF(F270="N","",J270))</f>
        <v>Plumbing Drawings (Including Bid Alts.)</v>
      </c>
      <c r="I270" s="198"/>
      <c r="J270" s="578" t="str">
        <f>IF('C-Design&amp;Const'!AG270="","",'C-Design&amp;Const'!AG270)</f>
        <v xml:space="preserve"> (Including Bid Alts.)</v>
      </c>
      <c r="K270" s="285" t="str">
        <f>IF(CD50_apply="Yes",IF((COUNTIF(D270:G270,"Y")=COUNTIF('02 - DD'!D270:G270,"Y")),"match","no DD match"),"-")</f>
        <v>match</v>
      </c>
      <c r="L270" s="1410" t="str">
        <f t="shared" si="15"/>
        <v/>
      </c>
      <c r="M270" s="1382"/>
      <c r="N270" s="1382"/>
      <c r="O270" s="1382"/>
      <c r="P270" s="1382"/>
      <c r="Q270" s="1490"/>
      <c r="R270" s="1274"/>
      <c r="S270" s="1509"/>
      <c r="T270" s="1382"/>
      <c r="U270" s="1382"/>
      <c r="V270" s="1382"/>
      <c r="W270" s="1382"/>
      <c r="X270" s="1382"/>
      <c r="Y270" s="1382"/>
      <c r="Z270" s="1382"/>
      <c r="AA270" s="1382"/>
      <c r="AB270" s="1382"/>
      <c r="AC270" s="1382"/>
      <c r="AD270" s="1382"/>
      <c r="AE270" s="1382"/>
      <c r="AF270" s="1382"/>
      <c r="AG270" s="1382"/>
      <c r="AH270" s="1382"/>
      <c r="AI270" s="1382"/>
      <c r="AJ270" s="1382"/>
      <c r="AK270" s="181"/>
      <c r="AL270" s="181"/>
      <c r="AM270" s="181"/>
      <c r="AN270" s="181"/>
      <c r="AO270" s="181"/>
      <c r="AP270" s="181"/>
      <c r="AQ270" s="181"/>
      <c r="AR270" s="181"/>
      <c r="AS270" s="181"/>
      <c r="AT270" s="181"/>
      <c r="AU270" s="181"/>
      <c r="AV270" s="181"/>
    </row>
    <row r="271" spans="1:48" s="30" customFormat="1" ht="14.25" customHeight="1" x14ac:dyDescent="0.25">
      <c r="A271" s="1518" t="str">
        <f>IF(DD_apply="Yes",IF(COUNTIF('02 - DD'!D271:G271,"Y")&gt;0,"Y",IF(COUNTIF('02 - DD'!D271:G271,"N"),"N","")),"")</f>
        <v>N</v>
      </c>
      <c r="B271" s="191"/>
      <c r="C271" s="945"/>
      <c r="D271" s="411"/>
      <c r="E271" s="411"/>
      <c r="F271" s="559" t="str">
        <f>IF('C-Design&amp;Const'!$M271="","",'C-Design&amp;Const'!$M271)</f>
        <v>N</v>
      </c>
      <c r="G271" s="514"/>
      <c r="H271" s="341" t="str">
        <f>CONCATENATE(IF(F271="N","PLACEHOLDER ROW - ",""),'C-Design&amp;Const'!Z271,IF(F271="N","",J271))</f>
        <v xml:space="preserve">PLACEHOLDER ROW - CUSTOM - Plumbing  </v>
      </c>
      <c r="I271" s="197"/>
      <c r="J271" s="578" t="str">
        <f>IF('C-Design&amp;Const'!AG271="","",'C-Design&amp;Const'!AG271)</f>
        <v>(Substantially Complete)</v>
      </c>
      <c r="K271" s="285" t="str">
        <f>IF(CD50_apply="Yes",IF((COUNTIF(D271:G271,"Y")=COUNTIF('02 - DD'!D271:G271,"Y")),"match","no DD match"),"-")</f>
        <v>match</v>
      </c>
      <c r="L271" s="1410" t="str">
        <f t="shared" si="15"/>
        <v>&lt;---PM/Planner may hide PLACEHOLDER ROW</v>
      </c>
      <c r="M271" s="1382"/>
      <c r="N271" s="1382"/>
      <c r="O271" s="1382"/>
      <c r="P271" s="1382"/>
      <c r="Q271" s="1274"/>
      <c r="R271" s="1513"/>
      <c r="S271" s="1509"/>
      <c r="T271" s="1382"/>
      <c r="U271" s="1382"/>
      <c r="V271" s="1382"/>
      <c r="W271" s="1382"/>
      <c r="X271" s="1382"/>
      <c r="Y271" s="1382"/>
      <c r="Z271" s="1382"/>
      <c r="AA271" s="1382"/>
      <c r="AB271" s="1382"/>
      <c r="AC271" s="1382"/>
      <c r="AD271" s="1382"/>
      <c r="AE271" s="1382"/>
      <c r="AF271" s="1382"/>
      <c r="AG271" s="1382"/>
      <c r="AH271" s="1382"/>
      <c r="AI271" s="1382"/>
      <c r="AJ271" s="1382"/>
      <c r="AK271" s="181"/>
      <c r="AL271" s="181"/>
      <c r="AM271" s="181"/>
      <c r="AN271" s="181"/>
      <c r="AO271" s="181"/>
      <c r="AP271" s="181"/>
      <c r="AQ271" s="181"/>
      <c r="AR271" s="181"/>
      <c r="AS271" s="181"/>
      <c r="AT271" s="181"/>
      <c r="AU271" s="181"/>
      <c r="AV271" s="181"/>
    </row>
    <row r="272" spans="1:48" s="30" customFormat="1" x14ac:dyDescent="0.25">
      <c r="A272" s="1518" t="str">
        <f>IF(DD_apply="Yes",IF(COUNTIF('02 - DD'!D272:G272,"Y")&gt;0,"Y",IF(COUNTIF('02 - DD'!D272:G272,"N"),"N","")),"")</f>
        <v>N</v>
      </c>
      <c r="B272" s="191"/>
      <c r="C272" s="945"/>
      <c r="D272" s="411"/>
      <c r="E272" s="411"/>
      <c r="F272" s="559" t="str">
        <f>IF('C-Design&amp;Const'!$M272="","",'C-Design&amp;Const'!$M272)</f>
        <v>N</v>
      </c>
      <c r="G272" s="514"/>
      <c r="H272" s="341" t="str">
        <f>CONCATENATE(IF(F272="N","PLACEHOLDER ROW - ",""),'C-Design&amp;Const'!Z272,IF(F272="N","",J272))</f>
        <v xml:space="preserve">PLACEHOLDER ROW - CUSTOM - Plumbing  </v>
      </c>
      <c r="I272" s="197"/>
      <c r="J272" s="578" t="str">
        <f>IF('C-Design&amp;Const'!AG272="","",'C-Design&amp;Const'!AG272)</f>
        <v>(Substantially Complete)</v>
      </c>
      <c r="K272" s="285" t="str">
        <f>IF(CD50_apply="Yes",IF((COUNTIF(D272:G272,"Y")=COUNTIF('02 - DD'!D272:G272,"Y")),"match","no DD match"),"-")</f>
        <v>match</v>
      </c>
      <c r="L272" s="1410" t="str">
        <f t="shared" si="15"/>
        <v>&lt;---PM/Planner may hide PLACEHOLDER ROW</v>
      </c>
      <c r="M272" s="1382"/>
      <c r="N272" s="1382"/>
      <c r="O272" s="1382"/>
      <c r="P272" s="1382"/>
      <c r="Q272" s="1274"/>
      <c r="R272" s="1513"/>
      <c r="S272" s="1509"/>
      <c r="T272" s="1382"/>
      <c r="U272" s="1382"/>
      <c r="V272" s="1382"/>
      <c r="W272" s="1382"/>
      <c r="X272" s="1382"/>
      <c r="Y272" s="1382"/>
      <c r="Z272" s="1382"/>
      <c r="AA272" s="1382"/>
      <c r="AB272" s="1382"/>
      <c r="AC272" s="1382"/>
      <c r="AD272" s="1382"/>
      <c r="AE272" s="1382"/>
      <c r="AF272" s="1382"/>
      <c r="AG272" s="1382"/>
      <c r="AH272" s="1382"/>
      <c r="AI272" s="1382"/>
      <c r="AJ272" s="1382"/>
      <c r="AK272" s="181"/>
      <c r="AL272" s="181"/>
      <c r="AM272" s="181"/>
      <c r="AN272" s="181"/>
      <c r="AO272" s="181"/>
      <c r="AP272" s="181"/>
      <c r="AQ272" s="181"/>
      <c r="AR272" s="181"/>
      <c r="AS272" s="181"/>
      <c r="AT272" s="181"/>
      <c r="AU272" s="181"/>
      <c r="AV272" s="181"/>
    </row>
    <row r="273" spans="1:48" s="30" customFormat="1" x14ac:dyDescent="0.25">
      <c r="A273" s="1518" t="str">
        <f>IF(DD_apply="Yes",IF(COUNTIF('02 - DD'!D273:G273,"Y")&gt;0,"Y",IF(COUNTIF('02 - DD'!D273:G273,"N"),"N","")),"")</f>
        <v>Y</v>
      </c>
      <c r="B273" s="191"/>
      <c r="C273" s="945"/>
      <c r="D273" s="411"/>
      <c r="E273" s="411"/>
      <c r="F273" s="559" t="str">
        <f>IF('C-Design&amp;Const'!$M273="","",'C-Design&amp;Const'!$M273)</f>
        <v>Y</v>
      </c>
      <c r="G273" s="510"/>
      <c r="H273" s="341" t="str">
        <f>CONCATENATE(IF(F273="N","PLACEHOLDER ROW - ",""),'C-Design&amp;Const'!Z273,IF(F273="N","",J273))</f>
        <v>Plumbing Symbols, Abbreviations, and General Notes (Complete)</v>
      </c>
      <c r="I273" s="197"/>
      <c r="J273" s="578" t="str">
        <f>IF('C-Design&amp;Const'!AG273="","",'C-Design&amp;Const'!AG273)</f>
        <v>(Complete)</v>
      </c>
      <c r="K273" s="285" t="str">
        <f>IF(CD50_apply="Yes",IF((COUNTIF(D273:G273,"Y")=COUNTIF('02 - DD'!D273:G273,"Y")),"match","no DD match"),"-")</f>
        <v>match</v>
      </c>
      <c r="L273" s="1410" t="str">
        <f t="shared" si="15"/>
        <v/>
      </c>
      <c r="M273" s="1382"/>
      <c r="N273" s="1382"/>
      <c r="O273" s="1382"/>
      <c r="P273" s="1382"/>
      <c r="Q273" s="1490"/>
      <c r="R273" s="1274"/>
      <c r="S273" s="1509"/>
      <c r="T273" s="1382"/>
      <c r="U273" s="1382"/>
      <c r="V273" s="1382"/>
      <c r="W273" s="1382"/>
      <c r="X273" s="1382"/>
      <c r="Y273" s="1382"/>
      <c r="Z273" s="1382"/>
      <c r="AA273" s="1382"/>
      <c r="AB273" s="1382"/>
      <c r="AC273" s="1382"/>
      <c r="AD273" s="1382"/>
      <c r="AE273" s="1382"/>
      <c r="AF273" s="1382"/>
      <c r="AG273" s="1382"/>
      <c r="AH273" s="1382"/>
      <c r="AI273" s="1382"/>
      <c r="AJ273" s="1382"/>
      <c r="AK273" s="181"/>
      <c r="AL273" s="181"/>
      <c r="AM273" s="181"/>
      <c r="AN273" s="181"/>
      <c r="AO273" s="181"/>
      <c r="AP273" s="181"/>
      <c r="AQ273" s="181"/>
      <c r="AR273" s="181"/>
      <c r="AS273" s="181"/>
      <c r="AT273" s="181"/>
      <c r="AU273" s="181"/>
      <c r="AV273" s="181"/>
    </row>
    <row r="274" spans="1:48" s="551" customFormat="1" x14ac:dyDescent="0.25">
      <c r="A274" s="1518" t="str">
        <f>IF(DD_apply="Yes",IF(COUNTIF('02 - DD'!D274:G274,"Y")&gt;0,"Y",IF(COUNTIF('02 - DD'!D274:G274,"N"),"N","")),"")</f>
        <v>Y</v>
      </c>
      <c r="B274" s="549"/>
      <c r="C274" s="945"/>
      <c r="D274" s="411"/>
      <c r="E274" s="411"/>
      <c r="F274" s="559" t="str">
        <f>IF('C-Design&amp;Const'!$M274="","",'C-Design&amp;Const'!$M274)</f>
        <v>Y</v>
      </c>
      <c r="G274" s="510"/>
      <c r="H274" s="341" t="str">
        <f>CONCATENATE(IF(F274="N","PLACEHOLDER ROW - ",""),'C-Design&amp;Const'!Z274,IF(F274="N","",J274))</f>
        <v>Plumbing Demolition(s) (Substantially Complete)</v>
      </c>
      <c r="I274" s="197"/>
      <c r="J274" s="578" t="str">
        <f>IF('C-Design&amp;Const'!AG274="","",'C-Design&amp;Const'!AG274)</f>
        <v>(Substantially Complete)</v>
      </c>
      <c r="K274" s="285" t="str">
        <f>IF(CD50_apply="Yes",IF((COUNTIF(D274:G274,"Y")=COUNTIF('02 - DD'!D274:G274,"Y")),"match","no DD match"),"-")</f>
        <v>match</v>
      </c>
      <c r="L274" s="1410" t="str">
        <f>CONCATENATE(IF(ISNUMBER(SEARCH("Placeholder",H274))=TRUE,"&lt;---PM/Planner may hide PLACEHOLDER ROW",""))</f>
        <v/>
      </c>
      <c r="M274" s="1382"/>
      <c r="N274" s="1382"/>
      <c r="O274" s="1382"/>
      <c r="P274" s="1382"/>
      <c r="Q274" s="1490"/>
      <c r="R274" s="1274"/>
      <c r="S274" s="1509"/>
      <c r="T274" s="1382"/>
      <c r="U274" s="1382"/>
      <c r="V274" s="1382"/>
      <c r="W274" s="1382"/>
      <c r="X274" s="1382"/>
      <c r="Y274" s="1382"/>
      <c r="Z274" s="1382"/>
      <c r="AA274" s="1382"/>
      <c r="AB274" s="1382"/>
      <c r="AC274" s="1382"/>
      <c r="AD274" s="1382"/>
      <c r="AE274" s="1382"/>
      <c r="AF274" s="1382"/>
      <c r="AG274" s="1382"/>
      <c r="AH274" s="1382"/>
      <c r="AI274" s="1382"/>
      <c r="AJ274" s="1382"/>
    </row>
    <row r="275" spans="1:48" s="30" customFormat="1" x14ac:dyDescent="0.25">
      <c r="A275" s="1518" t="str">
        <f>IF(DD_apply="Yes",IF(COUNTIF('02 - DD'!D275:G275,"Y")&gt;0,"Y",IF(COUNTIF('02 - DD'!D275:G275,"N"),"N","")),"")</f>
        <v>Y</v>
      </c>
      <c r="B275" s="191"/>
      <c r="C275" s="945"/>
      <c r="D275" s="411"/>
      <c r="E275" s="411"/>
      <c r="F275" s="559" t="str">
        <f>IF('C-Design&amp;Const'!$M275="","",'C-Design&amp;Const'!$M275)</f>
        <v>Y</v>
      </c>
      <c r="G275" s="510"/>
      <c r="H275" s="341" t="str">
        <f>CONCATENATE(IF(F275="N","PLACEHOLDER ROW - ",""),'C-Design&amp;Const'!Z275,IF(F275="N","",J275))</f>
        <v>Plumbing Floor Plans and Roof Plan (Substantially Complete)</v>
      </c>
      <c r="I275" s="197"/>
      <c r="J275" s="578" t="str">
        <f>IF('C-Design&amp;Const'!AG275="","",'C-Design&amp;Const'!AG275)</f>
        <v>(Substantially Complete)</v>
      </c>
      <c r="K275" s="285" t="str">
        <f>IF(CD50_apply="Yes",IF((COUNTIF(D275:G275,"Y")=COUNTIF('02 - DD'!D275:G275,"Y")),"match","no DD match"),"-")</f>
        <v>match</v>
      </c>
      <c r="L275" s="1410" t="str">
        <f t="shared" si="15"/>
        <v/>
      </c>
      <c r="M275" s="1382"/>
      <c r="N275" s="1382"/>
      <c r="O275" s="1382"/>
      <c r="P275" s="1382"/>
      <c r="Q275" s="1490"/>
      <c r="R275" s="1274"/>
      <c r="S275" s="1509"/>
      <c r="T275" s="1382"/>
      <c r="U275" s="1382"/>
      <c r="V275" s="1382"/>
      <c r="W275" s="1382"/>
      <c r="X275" s="1382"/>
      <c r="Y275" s="1382"/>
      <c r="Z275" s="1382"/>
      <c r="AA275" s="1382"/>
      <c r="AB275" s="1382"/>
      <c r="AC275" s="1382"/>
      <c r="AD275" s="1382"/>
      <c r="AE275" s="1382"/>
      <c r="AF275" s="1382"/>
      <c r="AG275" s="1382"/>
      <c r="AH275" s="1382"/>
      <c r="AI275" s="1382"/>
      <c r="AJ275" s="1382"/>
      <c r="AK275" s="181"/>
      <c r="AL275" s="181"/>
      <c r="AM275" s="181"/>
      <c r="AN275" s="181"/>
      <c r="AO275" s="181"/>
      <c r="AP275" s="181"/>
      <c r="AQ275" s="181"/>
      <c r="AR275" s="181"/>
      <c r="AS275" s="181"/>
      <c r="AT275" s="181"/>
      <c r="AU275" s="181"/>
      <c r="AV275" s="181"/>
    </row>
    <row r="276" spans="1:48" s="30" customFormat="1" x14ac:dyDescent="0.25">
      <c r="A276" s="1518" t="str">
        <f>IF(DD_apply="Yes",IF(COUNTIF('02 - DD'!D276:G276,"Y")&gt;0,"Y",IF(COUNTIF('02 - DD'!D276:G276,"N"),"N","")),"")</f>
        <v>Y</v>
      </c>
      <c r="B276" s="191"/>
      <c r="C276" s="945"/>
      <c r="D276" s="411"/>
      <c r="E276" s="411"/>
      <c r="F276" s="559" t="str">
        <f>IF('C-Design&amp;Const'!$M276="","",'C-Design&amp;Const'!$M276)</f>
        <v>Y</v>
      </c>
      <c r="G276" s="510"/>
      <c r="H276" s="341" t="str">
        <f>CONCATENATE(IF(F276="N","PLACEHOLDER ROW - ",""),'C-Design&amp;Const'!Z276,IF(F276="N","",J276))</f>
        <v>Plumbing Sanitary, Vent, Storm, Water Riser Diagram (Complete)</v>
      </c>
      <c r="I276" s="197"/>
      <c r="J276" s="578" t="str">
        <f>IF('C-Design&amp;Const'!AG276="","",'C-Design&amp;Const'!AG276)</f>
        <v>(Complete)</v>
      </c>
      <c r="K276" s="285" t="str">
        <f>IF(CD50_apply="Yes",IF((COUNTIF(D276:G276,"Y")=COUNTIF('02 - DD'!D276:G276,"Y")),"match","no DD match"),"-")</f>
        <v>match</v>
      </c>
      <c r="L276" s="1410" t="str">
        <f t="shared" si="15"/>
        <v/>
      </c>
      <c r="M276" s="1382"/>
      <c r="N276" s="1382"/>
      <c r="O276" s="1382"/>
      <c r="P276" s="1382"/>
      <c r="Q276" s="1490"/>
      <c r="R276" s="1274"/>
      <c r="S276" s="1509"/>
      <c r="T276" s="1382"/>
      <c r="U276" s="1382"/>
      <c r="V276" s="1382"/>
      <c r="W276" s="1382"/>
      <c r="X276" s="1382"/>
      <c r="Y276" s="1382"/>
      <c r="Z276" s="1382"/>
      <c r="AA276" s="1382"/>
      <c r="AB276" s="1382"/>
      <c r="AC276" s="1382"/>
      <c r="AD276" s="1382"/>
      <c r="AE276" s="1382"/>
      <c r="AF276" s="1382"/>
      <c r="AG276" s="1382"/>
      <c r="AH276" s="1382"/>
      <c r="AI276" s="1382"/>
      <c r="AJ276" s="1382"/>
      <c r="AK276" s="181"/>
      <c r="AL276" s="181"/>
      <c r="AM276" s="181"/>
      <c r="AN276" s="181"/>
      <c r="AO276" s="181"/>
      <c r="AP276" s="181"/>
      <c r="AQ276" s="181"/>
      <c r="AR276" s="181"/>
      <c r="AS276" s="181"/>
      <c r="AT276" s="181"/>
      <c r="AU276" s="181"/>
      <c r="AV276" s="181"/>
    </row>
    <row r="277" spans="1:48" s="30" customFormat="1" x14ac:dyDescent="0.25">
      <c r="A277" s="1518" t="str">
        <f>IF(DD_apply="Yes",IF(COUNTIF('02 - DD'!D277:G277,"Y")&gt;0,"Y",IF(COUNTIF('02 - DD'!D277:G277,"N"),"N","")),"")</f>
        <v>Y</v>
      </c>
      <c r="B277" s="191"/>
      <c r="C277" s="945"/>
      <c r="D277" s="411"/>
      <c r="E277" s="411"/>
      <c r="F277" s="559" t="str">
        <f>IF('C-Design&amp;Const'!$M277="","",'C-Design&amp;Const'!$M277)</f>
        <v>Y</v>
      </c>
      <c r="G277" s="510"/>
      <c r="H277" s="341" t="str">
        <f>CONCATENATE(IF(F277="N","PLACEHOLDER ROW - ",""),'C-Design&amp;Const'!Z277,IF(F277="N","",J277))</f>
        <v>Plumbing Details and Sections (Approx. 50% Complete)</v>
      </c>
      <c r="I277" s="197"/>
      <c r="J277" s="578" t="str">
        <f>IF('C-Design&amp;Const'!AG277="","",'C-Design&amp;Const'!AG277)</f>
        <v>(Approx. 50% Complete)</v>
      </c>
      <c r="K277" s="285" t="str">
        <f>IF(CD50_apply="Yes",IF((COUNTIF(D277:G277,"Y")=COUNTIF('02 - DD'!D277:G277,"Y")),"match","no DD match"),"-")</f>
        <v>match</v>
      </c>
      <c r="L277" s="1410" t="str">
        <f t="shared" si="15"/>
        <v/>
      </c>
      <c r="M277" s="1382"/>
      <c r="N277" s="1382"/>
      <c r="O277" s="1382"/>
      <c r="P277" s="1382"/>
      <c r="Q277" s="1274"/>
      <c r="R277" s="1513"/>
      <c r="S277" s="1509"/>
      <c r="T277" s="1382"/>
      <c r="U277" s="1382"/>
      <c r="V277" s="1382"/>
      <c r="W277" s="1382"/>
      <c r="X277" s="1382"/>
      <c r="Y277" s="1382"/>
      <c r="Z277" s="1382"/>
      <c r="AA277" s="1382"/>
      <c r="AB277" s="1382"/>
      <c r="AC277" s="1382"/>
      <c r="AD277" s="1382"/>
      <c r="AE277" s="1382"/>
      <c r="AF277" s="1382"/>
      <c r="AG277" s="1382"/>
      <c r="AH277" s="1382"/>
      <c r="AI277" s="1382"/>
      <c r="AJ277" s="1382"/>
      <c r="AK277" s="181"/>
      <c r="AL277" s="181"/>
      <c r="AM277" s="181"/>
      <c r="AN277" s="181"/>
      <c r="AO277" s="181"/>
      <c r="AP277" s="181"/>
      <c r="AQ277" s="181"/>
      <c r="AR277" s="181"/>
      <c r="AS277" s="181"/>
      <c r="AT277" s="181"/>
      <c r="AU277" s="181"/>
      <c r="AV277" s="181"/>
    </row>
    <row r="278" spans="1:48" s="30" customFormat="1" x14ac:dyDescent="0.25">
      <c r="A278" s="1518" t="str">
        <f>IF(DD_apply="Yes",IF(COUNTIF('02 - DD'!D278:G278,"Y")&gt;0,"Y",IF(COUNTIF('02 - DD'!D278:G278,"N"),"N","")),"")</f>
        <v>Y</v>
      </c>
      <c r="B278" s="191"/>
      <c r="C278" s="945"/>
      <c r="D278" s="411"/>
      <c r="E278" s="411"/>
      <c r="F278" s="559" t="str">
        <f>IF('C-Design&amp;Const'!$M278="","",'C-Design&amp;Const'!$M278)</f>
        <v>Y</v>
      </c>
      <c r="G278" s="510"/>
      <c r="H278" s="341" t="str">
        <f>CONCATENATE(IF(F278="N","PLACEHOLDER ROW - ",""),'C-Design&amp;Const'!Z278,IF(F278="N","",J278))</f>
        <v>Plumbing Fixture Schedule (Approx. 50% Complete)</v>
      </c>
      <c r="I278" s="197"/>
      <c r="J278" s="578" t="str">
        <f>IF('C-Design&amp;Const'!AG278="","",'C-Design&amp;Const'!AG278)</f>
        <v>(Approx. 50% Complete)</v>
      </c>
      <c r="K278" s="285" t="str">
        <f>IF(CD50_apply="Yes",IF((COUNTIF(D278:G278,"Y")=COUNTIF('02 - DD'!D278:G278,"Y")),"match","no DD match"),"-")</f>
        <v>match</v>
      </c>
      <c r="L278" s="1410" t="str">
        <f t="shared" si="15"/>
        <v/>
      </c>
      <c r="M278" s="1382"/>
      <c r="N278" s="1382"/>
      <c r="O278" s="1382"/>
      <c r="P278" s="1382"/>
      <c r="Q278" s="1490"/>
      <c r="R278" s="1382"/>
      <c r="S278" s="1509"/>
      <c r="T278" s="1382"/>
      <c r="U278" s="1382"/>
      <c r="V278" s="1382"/>
      <c r="W278" s="1382"/>
      <c r="X278" s="1382"/>
      <c r="Y278" s="1382"/>
      <c r="Z278" s="1382"/>
      <c r="AA278" s="1382"/>
      <c r="AB278" s="1382"/>
      <c r="AC278" s="1382"/>
      <c r="AD278" s="1382"/>
      <c r="AE278" s="1382"/>
      <c r="AF278" s="1382"/>
      <c r="AG278" s="1382"/>
      <c r="AH278" s="1382"/>
      <c r="AI278" s="1382"/>
      <c r="AJ278" s="1382"/>
      <c r="AK278" s="181"/>
      <c r="AL278" s="181"/>
      <c r="AM278" s="181"/>
      <c r="AN278" s="181"/>
      <c r="AO278" s="181"/>
      <c r="AP278" s="181"/>
      <c r="AQ278" s="181"/>
      <c r="AR278" s="181"/>
      <c r="AS278" s="181"/>
      <c r="AT278" s="181"/>
      <c r="AU278" s="181"/>
      <c r="AV278" s="181"/>
    </row>
    <row r="279" spans="1:48" s="30" customFormat="1" x14ac:dyDescent="0.25">
      <c r="A279" s="1407" t="str">
        <f>IF(DD_apply="Yes",IF(COUNTIF('02 - DD'!D279:G279,"Y")&gt;0,"Y",IF(COUNTIF('02 - DD'!D279:G279,"N"),"N","")),"")</f>
        <v>Y</v>
      </c>
      <c r="B279" s="191"/>
      <c r="C279" s="945"/>
      <c r="D279" s="411"/>
      <c r="E279" s="559" t="str">
        <f>IF('C-Design&amp;Const'!$M279="","",'C-Design&amp;Const'!$M279)</f>
        <v>Y</v>
      </c>
      <c r="F279" s="456"/>
      <c r="G279" s="510"/>
      <c r="H279" s="347" t="str">
        <f>CONCATENATE(IF(F279="N","PLACEHOLDER ROW - ",""),'C-Design&amp;Const'!Z279,IF(F279="N","",J279))</f>
        <v>Fire Protection / Fire Suppression Drawings (Including Bid Alts.)</v>
      </c>
      <c r="I279" s="198"/>
      <c r="J279" s="578" t="str">
        <f>IF('C-Design&amp;Const'!AG279="","",'C-Design&amp;Const'!AG279)</f>
        <v xml:space="preserve"> (Including Bid Alts.)</v>
      </c>
      <c r="K279" s="285" t="str">
        <f>IF(CD50_apply="Yes",IF((COUNTIF(D279:G279,"Y")=COUNTIF('02 - DD'!D279:G279,"Y")),"match","no DD match"),"-")</f>
        <v>match</v>
      </c>
      <c r="L279" s="1410" t="str">
        <f t="shared" si="15"/>
        <v/>
      </c>
      <c r="M279" s="1382"/>
      <c r="N279" s="1382"/>
      <c r="O279" s="1382"/>
      <c r="P279" s="1382"/>
      <c r="Q279" s="1490"/>
      <c r="R279" s="1382"/>
      <c r="S279" s="1509"/>
      <c r="T279" s="1382"/>
      <c r="U279" s="1382"/>
      <c r="V279" s="1382"/>
      <c r="W279" s="1382"/>
      <c r="X279" s="1382"/>
      <c r="Y279" s="1382"/>
      <c r="Z279" s="1382"/>
      <c r="AA279" s="1382"/>
      <c r="AB279" s="1382"/>
      <c r="AC279" s="1382"/>
      <c r="AD279" s="1382"/>
      <c r="AE279" s="1382"/>
      <c r="AF279" s="1382"/>
      <c r="AG279" s="1382"/>
      <c r="AH279" s="1382"/>
      <c r="AI279" s="1382"/>
      <c r="AJ279" s="1382"/>
      <c r="AK279" s="181"/>
      <c r="AL279" s="181"/>
      <c r="AM279" s="181"/>
      <c r="AN279" s="181"/>
      <c r="AO279" s="181"/>
      <c r="AP279" s="181"/>
      <c r="AQ279" s="181"/>
      <c r="AR279" s="181"/>
      <c r="AS279" s="181"/>
      <c r="AT279" s="181"/>
      <c r="AU279" s="181"/>
      <c r="AV279" s="181"/>
    </row>
    <row r="280" spans="1:48" s="30" customFormat="1" ht="14.25" customHeight="1" x14ac:dyDescent="0.25">
      <c r="A280" s="1518" t="str">
        <f>IF(DD_apply="Yes",IF(COUNTIF('02 - DD'!D280:G280,"Y")&gt;0,"Y",IF(COUNTIF('02 - DD'!D280:G280,"N"),"N","")),"")</f>
        <v>N</v>
      </c>
      <c r="B280" s="191"/>
      <c r="C280" s="945"/>
      <c r="D280" s="411"/>
      <c r="E280" s="411"/>
      <c r="F280" s="559" t="str">
        <f>IF('C-Design&amp;Const'!$M280="","",'C-Design&amp;Const'!$M280)</f>
        <v>N</v>
      </c>
      <c r="G280" s="514"/>
      <c r="H280" s="341" t="str">
        <f>CONCATENATE(IF(F280="N","PLACEHOLDER ROW - ",""),'C-Design&amp;Const'!Z280,IF(F280="N","",J280))</f>
        <v xml:space="preserve">PLACEHOLDER ROW - CUSTOM - Fire Suppression  </v>
      </c>
      <c r="I280" s="197"/>
      <c r="J280" s="578" t="str">
        <f>IF('C-Design&amp;Const'!AG280="","",'C-Design&amp;Const'!AG280)</f>
        <v>(Substantially Complete)</v>
      </c>
      <c r="K280" s="285" t="str">
        <f>IF(CD50_apply="Yes",IF((COUNTIF(D280:G280,"Y")=COUNTIF('02 - DD'!D280:G280,"Y")),"match","no DD match"),"-")</f>
        <v>match</v>
      </c>
      <c r="L280" s="1410" t="str">
        <f t="shared" si="15"/>
        <v>&lt;---PM/Planner may hide PLACEHOLDER ROW</v>
      </c>
      <c r="M280" s="1382"/>
      <c r="N280" s="1382"/>
      <c r="O280" s="1382"/>
      <c r="P280" s="1382"/>
      <c r="Q280" s="1274"/>
      <c r="R280" s="1513"/>
      <c r="S280" s="1509"/>
      <c r="T280" s="1382"/>
      <c r="U280" s="1382"/>
      <c r="V280" s="1382"/>
      <c r="W280" s="1382"/>
      <c r="X280" s="1382"/>
      <c r="Y280" s="1382"/>
      <c r="Z280" s="1382"/>
      <c r="AA280" s="1382"/>
      <c r="AB280" s="1382"/>
      <c r="AC280" s="1382"/>
      <c r="AD280" s="1382"/>
      <c r="AE280" s="1382"/>
      <c r="AF280" s="1382"/>
      <c r="AG280" s="1382"/>
      <c r="AH280" s="1382"/>
      <c r="AI280" s="1382"/>
      <c r="AJ280" s="1382"/>
      <c r="AK280" s="181"/>
      <c r="AL280" s="181"/>
      <c r="AM280" s="181"/>
      <c r="AN280" s="181"/>
      <c r="AO280" s="181"/>
      <c r="AP280" s="181"/>
      <c r="AQ280" s="181"/>
      <c r="AR280" s="181"/>
      <c r="AS280" s="181"/>
      <c r="AT280" s="181"/>
      <c r="AU280" s="181"/>
      <c r="AV280" s="181"/>
    </row>
    <row r="281" spans="1:48" s="30" customFormat="1" x14ac:dyDescent="0.25">
      <c r="A281" s="1518" t="str">
        <f>IF(DD_apply="Yes",IF(COUNTIF('02 - DD'!D281:G281,"Y")&gt;0,"Y",IF(COUNTIF('02 - DD'!D281:G281,"N"),"N","")),"")</f>
        <v>N</v>
      </c>
      <c r="B281" s="191"/>
      <c r="C281" s="945"/>
      <c r="D281" s="411"/>
      <c r="E281" s="411"/>
      <c r="F281" s="559" t="str">
        <f>IF('C-Design&amp;Const'!$M281="","",'C-Design&amp;Const'!$M281)</f>
        <v>N</v>
      </c>
      <c r="G281" s="514"/>
      <c r="H281" s="341" t="str">
        <f>CONCATENATE(IF(F281="N","PLACEHOLDER ROW - ",""),'C-Design&amp;Const'!Z281,IF(F281="N","",J281))</f>
        <v xml:space="preserve">PLACEHOLDER ROW - CUSTOM - Fire Suppression  </v>
      </c>
      <c r="I281" s="197"/>
      <c r="J281" s="578" t="str">
        <f>IF('C-Design&amp;Const'!AG281="","",'C-Design&amp;Const'!AG281)</f>
        <v>(Substantially Complete)</v>
      </c>
      <c r="K281" s="285" t="str">
        <f>IF(CD50_apply="Yes",IF((COUNTIF(D281:G281,"Y")=COUNTIF('02 - DD'!D281:G281,"Y")),"match","no DD match"),"-")</f>
        <v>match</v>
      </c>
      <c r="L281" s="1410" t="str">
        <f t="shared" si="15"/>
        <v>&lt;---PM/Planner may hide PLACEHOLDER ROW</v>
      </c>
      <c r="M281" s="1382"/>
      <c r="N281" s="1382"/>
      <c r="O281" s="1382"/>
      <c r="P281" s="1382"/>
      <c r="Q281" s="1274"/>
      <c r="R281" s="1513"/>
      <c r="S281" s="1509"/>
      <c r="T281" s="1382"/>
      <c r="U281" s="1382"/>
      <c r="V281" s="1382"/>
      <c r="W281" s="1382"/>
      <c r="X281" s="1382"/>
      <c r="Y281" s="1382"/>
      <c r="Z281" s="1382"/>
      <c r="AA281" s="1382"/>
      <c r="AB281" s="1382"/>
      <c r="AC281" s="1382"/>
      <c r="AD281" s="1382"/>
      <c r="AE281" s="1382"/>
      <c r="AF281" s="1382"/>
      <c r="AG281" s="1382"/>
      <c r="AH281" s="1382"/>
      <c r="AI281" s="1382"/>
      <c r="AJ281" s="1382"/>
      <c r="AK281" s="181"/>
      <c r="AL281" s="181"/>
      <c r="AM281" s="181"/>
      <c r="AN281" s="181"/>
      <c r="AO281" s="181"/>
      <c r="AP281" s="181"/>
      <c r="AQ281" s="181"/>
      <c r="AR281" s="181"/>
      <c r="AS281" s="181"/>
      <c r="AT281" s="181"/>
      <c r="AU281" s="181"/>
      <c r="AV281" s="181"/>
    </row>
    <row r="282" spans="1:48" s="30" customFormat="1" x14ac:dyDescent="0.25">
      <c r="A282" s="1518" t="str">
        <f>IF(DD_apply="Yes",IF(COUNTIF('02 - DD'!D282:G282,"Y")&gt;0,"Y",IF(COUNTIF('02 - DD'!D282:G282,"N"),"N","")),"")</f>
        <v>Y</v>
      </c>
      <c r="B282" s="191"/>
      <c r="C282" s="945"/>
      <c r="D282" s="411"/>
      <c r="E282" s="411"/>
      <c r="F282" s="559" t="str">
        <f>IF('C-Design&amp;Const'!$M282="","",'C-Design&amp;Const'!$M282)</f>
        <v>Y</v>
      </c>
      <c r="G282" s="510"/>
      <c r="H282" s="341" t="str">
        <f>CONCATENATE(IF(F282="N","PLACEHOLDER ROW - ",""),'C-Design&amp;Const'!Z282,IF(F282="N","",J282))</f>
        <v>Sprinkler System Symbols, Abbreviations, and General Notes (Complete)</v>
      </c>
      <c r="I282" s="197"/>
      <c r="J282" s="578" t="str">
        <f>IF('C-Design&amp;Const'!AG282="","",'C-Design&amp;Const'!AG282)</f>
        <v>(Complete)</v>
      </c>
      <c r="K282" s="285" t="str">
        <f>IF(CD50_apply="Yes",IF((COUNTIF(D282:G282,"Y")=COUNTIF('02 - DD'!D282:G282,"Y")),"match","no DD match"),"-")</f>
        <v>match</v>
      </c>
      <c r="L282" s="1410" t="str">
        <f t="shared" si="15"/>
        <v/>
      </c>
      <c r="M282" s="1382"/>
      <c r="N282" s="1382"/>
      <c r="O282" s="1382"/>
      <c r="P282" s="1382"/>
      <c r="Q282" s="1490"/>
      <c r="R282" s="1382"/>
      <c r="S282" s="1509"/>
      <c r="T282" s="1382"/>
      <c r="U282" s="1382"/>
      <c r="V282" s="1382"/>
      <c r="W282" s="1382"/>
      <c r="X282" s="1382"/>
      <c r="Y282" s="1382"/>
      <c r="Z282" s="1382"/>
      <c r="AA282" s="1382"/>
      <c r="AB282" s="1382"/>
      <c r="AC282" s="1382"/>
      <c r="AD282" s="1382"/>
      <c r="AE282" s="1382"/>
      <c r="AF282" s="1382"/>
      <c r="AG282" s="1382"/>
      <c r="AH282" s="1382"/>
      <c r="AI282" s="1382"/>
      <c r="AJ282" s="1382"/>
      <c r="AK282" s="181"/>
      <c r="AL282" s="181"/>
      <c r="AM282" s="181"/>
      <c r="AN282" s="181"/>
      <c r="AO282" s="181"/>
      <c r="AP282" s="181"/>
      <c r="AQ282" s="181"/>
      <c r="AR282" s="181"/>
      <c r="AS282" s="181"/>
      <c r="AT282" s="181"/>
      <c r="AU282" s="181"/>
      <c r="AV282" s="181"/>
    </row>
    <row r="283" spans="1:48" s="551" customFormat="1" x14ac:dyDescent="0.25">
      <c r="A283" s="1518" t="str">
        <f>IF(DD_apply="Yes",IF(COUNTIF('02 - DD'!D283:G283,"Y")&gt;0,"Y",IF(COUNTIF('02 - DD'!D283:G283,"N"),"N","")),"")</f>
        <v>Y</v>
      </c>
      <c r="B283" s="549"/>
      <c r="C283" s="945"/>
      <c r="D283" s="411"/>
      <c r="E283" s="411"/>
      <c r="F283" s="559" t="str">
        <f>IF('C-Design&amp;Const'!$M283="","",'C-Design&amp;Const'!$M283)</f>
        <v>Y</v>
      </c>
      <c r="G283" s="510"/>
      <c r="H283" s="341" t="str">
        <f>CONCATENATE(IF(F283="N","PLACEHOLDER ROW - ",""),'C-Design&amp;Const'!Z283,IF(F283="N","",J283))</f>
        <v>Sprinkler System Demolition(s) (Substantially Complete)</v>
      </c>
      <c r="I283" s="197"/>
      <c r="J283" s="578" t="str">
        <f>IF('C-Design&amp;Const'!AG283="","",'C-Design&amp;Const'!AG283)</f>
        <v>(Substantially Complete)</v>
      </c>
      <c r="K283" s="285" t="str">
        <f>IF(CD50_apply="Yes",IF((COUNTIF(D283:G283,"Y")=COUNTIF('02 - DD'!D283:G283,"Y")),"match","no DD match"),"-")</f>
        <v>match</v>
      </c>
      <c r="L283" s="1410" t="str">
        <f>CONCATENATE(IF(ISNUMBER(SEARCH("Placeholder",H283))=TRUE,"&lt;---PM/Planner may hide PLACEHOLDER ROW",""))</f>
        <v/>
      </c>
      <c r="M283" s="1382"/>
      <c r="N283" s="1382"/>
      <c r="O283" s="1382"/>
      <c r="P283" s="1382"/>
      <c r="Q283" s="1490"/>
      <c r="R283" s="1274"/>
      <c r="S283" s="1509"/>
      <c r="T283" s="1382"/>
      <c r="U283" s="1382"/>
      <c r="V283" s="1382"/>
      <c r="W283" s="1382"/>
      <c r="X283" s="1382"/>
      <c r="Y283" s="1382"/>
      <c r="Z283" s="1382"/>
      <c r="AA283" s="1382"/>
      <c r="AB283" s="1382"/>
      <c r="AC283" s="1382"/>
      <c r="AD283" s="1382"/>
      <c r="AE283" s="1382"/>
      <c r="AF283" s="1382"/>
      <c r="AG283" s="1382"/>
      <c r="AH283" s="1382"/>
      <c r="AI283" s="1382"/>
      <c r="AJ283" s="1382"/>
    </row>
    <row r="284" spans="1:48" s="30" customFormat="1" x14ac:dyDescent="0.25">
      <c r="A284" s="1518" t="str">
        <f>IF(DD_apply="Yes",IF(COUNTIF('02 - DD'!D284:G284,"Y")&gt;0,"Y",IF(COUNTIF('02 - DD'!D284:G284,"N"),"N","")),"")</f>
        <v>Y</v>
      </c>
      <c r="B284" s="191"/>
      <c r="C284" s="945"/>
      <c r="D284" s="411"/>
      <c r="E284" s="411"/>
      <c r="F284" s="559" t="str">
        <f>IF('C-Design&amp;Const'!$M284="","",'C-Design&amp;Const'!$M284)</f>
        <v>Y</v>
      </c>
      <c r="G284" s="510"/>
      <c r="H284" s="341" t="str">
        <f>CONCATENATE(IF(F284="N","PLACEHOLDER ROW - ",""),'C-Design&amp;Const'!Z284,IF(F284="N","",J284))</f>
        <v>Sprinkler System Floor Plans (Approx. 50% Complete)</v>
      </c>
      <c r="I284" s="197"/>
      <c r="J284" s="578" t="str">
        <f>IF('C-Design&amp;Const'!AG284="","",'C-Design&amp;Const'!AG284)</f>
        <v>(Approx. 50% Complete)</v>
      </c>
      <c r="K284" s="285" t="str">
        <f>IF(CD50_apply="Yes",IF((COUNTIF(D284:G284,"Y")=COUNTIF('02 - DD'!D284:G284,"Y")),"match","no DD match"),"-")</f>
        <v>match</v>
      </c>
      <c r="L284" s="1410" t="str">
        <f t="shared" si="15"/>
        <v/>
      </c>
      <c r="M284" s="1382"/>
      <c r="N284" s="1382"/>
      <c r="O284" s="1382"/>
      <c r="P284" s="1382"/>
      <c r="Q284" s="1490"/>
      <c r="R284" s="1382"/>
      <c r="S284" s="1509"/>
      <c r="T284" s="1382"/>
      <c r="U284" s="1382"/>
      <c r="V284" s="1382"/>
      <c r="W284" s="1382"/>
      <c r="X284" s="1382"/>
      <c r="Y284" s="1382"/>
      <c r="Z284" s="1382"/>
      <c r="AA284" s="1382"/>
      <c r="AB284" s="1382"/>
      <c r="AC284" s="1382"/>
      <c r="AD284" s="1382"/>
      <c r="AE284" s="1382"/>
      <c r="AF284" s="1382"/>
      <c r="AG284" s="1382"/>
      <c r="AH284" s="1382"/>
      <c r="AI284" s="1382"/>
      <c r="AJ284" s="1382"/>
      <c r="AK284" s="181"/>
      <c r="AL284" s="181"/>
      <c r="AM284" s="181"/>
      <c r="AN284" s="181"/>
      <c r="AO284" s="181"/>
      <c r="AP284" s="181"/>
      <c r="AQ284" s="181"/>
      <c r="AR284" s="181"/>
      <c r="AS284" s="181"/>
      <c r="AT284" s="181"/>
      <c r="AU284" s="181"/>
      <c r="AV284" s="181"/>
    </row>
    <row r="285" spans="1:48" s="30" customFormat="1" x14ac:dyDescent="0.25">
      <c r="A285" s="1518" t="str">
        <f>IF(DD_apply="Yes",IF(COUNTIF('02 - DD'!D285:G285,"Y")&gt;0,"Y",IF(COUNTIF('02 - DD'!D285:G285,"N"),"N","")),"")</f>
        <v>Y</v>
      </c>
      <c r="B285" s="191"/>
      <c r="C285" s="945"/>
      <c r="D285" s="411"/>
      <c r="E285" s="411"/>
      <c r="F285" s="559" t="str">
        <f>IF('C-Design&amp;Const'!$M285="","",'C-Design&amp;Const'!$M285)</f>
        <v>Y</v>
      </c>
      <c r="G285" s="510"/>
      <c r="H285" s="341" t="str">
        <f>CONCATENATE(IF(F285="N","PLACEHOLDER ROW - ",""),'C-Design&amp;Const'!Z285,IF(F285="N","",J285))</f>
        <v>Sprinkler System Flow and Riser Diagrams (Complete)</v>
      </c>
      <c r="I285" s="197"/>
      <c r="J285" s="578" t="str">
        <f>IF('C-Design&amp;Const'!AG285="","",'C-Design&amp;Const'!AG285)</f>
        <v>(Complete)</v>
      </c>
      <c r="K285" s="285" t="str">
        <f>IF(CD50_apply="Yes",IF((COUNTIF(D285:G285,"Y")=COUNTIF('02 - DD'!D285:G285,"Y")),"match","no DD match"),"-")</f>
        <v>match</v>
      </c>
      <c r="L285" s="1410" t="str">
        <f t="shared" si="15"/>
        <v/>
      </c>
      <c r="M285" s="1382"/>
      <c r="N285" s="1382"/>
      <c r="O285" s="1382"/>
      <c r="P285" s="1382"/>
      <c r="Q285" s="1274"/>
      <c r="R285" s="1513"/>
      <c r="S285" s="1509"/>
      <c r="T285" s="1382"/>
      <c r="U285" s="1382"/>
      <c r="V285" s="1382"/>
      <c r="W285" s="1382"/>
      <c r="X285" s="1382"/>
      <c r="Y285" s="1382"/>
      <c r="Z285" s="1382"/>
      <c r="AA285" s="1382"/>
      <c r="AB285" s="1382"/>
      <c r="AC285" s="1382"/>
      <c r="AD285" s="1382"/>
      <c r="AE285" s="1382"/>
      <c r="AF285" s="1382"/>
      <c r="AG285" s="1382"/>
      <c r="AH285" s="1382"/>
      <c r="AI285" s="1382"/>
      <c r="AJ285" s="1382"/>
      <c r="AK285" s="181"/>
      <c r="AL285" s="181"/>
      <c r="AM285" s="181"/>
      <c r="AN285" s="181"/>
      <c r="AO285" s="181"/>
      <c r="AP285" s="181"/>
      <c r="AQ285" s="181"/>
      <c r="AR285" s="181"/>
      <c r="AS285" s="181"/>
      <c r="AT285" s="181"/>
      <c r="AU285" s="181"/>
      <c r="AV285" s="181"/>
    </row>
    <row r="286" spans="1:48" s="30" customFormat="1" x14ac:dyDescent="0.25">
      <c r="A286" s="1518" t="str">
        <f>IF(DD_apply="Yes",IF(COUNTIF('02 - DD'!D286:G286,"Y")&gt;0,"Y",IF(COUNTIF('02 - DD'!D286:G286,"N"),"N","")),"")</f>
        <v>Y</v>
      </c>
      <c r="B286" s="191"/>
      <c r="C286" s="945"/>
      <c r="D286" s="411"/>
      <c r="E286" s="411"/>
      <c r="F286" s="559" t="str">
        <f>IF('C-Design&amp;Const'!$M286="","",'C-Design&amp;Const'!$M286)</f>
        <v>Y</v>
      </c>
      <c r="G286" s="510"/>
      <c r="H286" s="341" t="str">
        <f>CONCATENATE(IF(F286="N","PLACEHOLDER ROW - ",""),'C-Design&amp;Const'!Z286,IF(F286="N","",J286))</f>
        <v>Sprinkler/Fire Pump Room Large Scale Plan (Approx. 50% Complete)</v>
      </c>
      <c r="I286" s="197"/>
      <c r="J286" s="578" t="str">
        <f>IF('C-Design&amp;Const'!AG286="","",'C-Design&amp;Const'!AG286)</f>
        <v>(Approx. 50% Complete)</v>
      </c>
      <c r="K286" s="285" t="str">
        <f>IF(CD50_apply="Yes",IF((COUNTIF(D286:G286,"Y")=COUNTIF('02 - DD'!D286:G286,"Y")),"match","no DD match"),"-")</f>
        <v>match</v>
      </c>
      <c r="L286" s="1410" t="str">
        <f t="shared" si="15"/>
        <v/>
      </c>
      <c r="M286" s="1382"/>
      <c r="N286" s="1382"/>
      <c r="O286" s="1382"/>
      <c r="P286" s="1382"/>
      <c r="Q286" s="1490"/>
      <c r="R286" s="1274"/>
      <c r="S286" s="1509"/>
      <c r="T286" s="1382"/>
      <c r="U286" s="1382"/>
      <c r="V286" s="1382"/>
      <c r="W286" s="1382"/>
      <c r="X286" s="1382"/>
      <c r="Y286" s="1382"/>
      <c r="Z286" s="1382"/>
      <c r="AA286" s="1382"/>
      <c r="AB286" s="1382"/>
      <c r="AC286" s="1382"/>
      <c r="AD286" s="1382"/>
      <c r="AE286" s="1382"/>
      <c r="AF286" s="1382"/>
      <c r="AG286" s="1382"/>
      <c r="AH286" s="1382"/>
      <c r="AI286" s="1382"/>
      <c r="AJ286" s="1382"/>
      <c r="AK286" s="181"/>
      <c r="AL286" s="181"/>
      <c r="AM286" s="181"/>
      <c r="AN286" s="181"/>
      <c r="AO286" s="181"/>
      <c r="AP286" s="181"/>
      <c r="AQ286" s="181"/>
      <c r="AR286" s="181"/>
      <c r="AS286" s="181"/>
      <c r="AT286" s="181"/>
      <c r="AU286" s="181"/>
      <c r="AV286" s="181"/>
    </row>
    <row r="287" spans="1:48" s="30" customFormat="1" x14ac:dyDescent="0.25">
      <c r="A287" s="1518" t="str">
        <f>IF(DD_apply="Yes",IF(COUNTIF('02 - DD'!D287:G287,"Y")&gt;0,"Y",IF(COUNTIF('02 - DD'!D287:G287,"N"),"N","")),"")</f>
        <v>Y</v>
      </c>
      <c r="B287" s="191"/>
      <c r="C287" s="945"/>
      <c r="D287" s="411"/>
      <c r="E287" s="411"/>
      <c r="F287" s="559" t="str">
        <f>IF('C-Design&amp;Const'!$M287="","",'C-Design&amp;Const'!$M287)</f>
        <v>Y</v>
      </c>
      <c r="G287" s="510"/>
      <c r="H287" s="341" t="str">
        <f>CONCATENATE(IF(F287="N","PLACEHOLDER ROW - ",""),'C-Design&amp;Const'!Z287,IF(F287="N","",J287))</f>
        <v>Sprinkler System Equipment Schedule (Approx. 50% Complete)</v>
      </c>
      <c r="I287" s="197"/>
      <c r="J287" s="578" t="str">
        <f>IF('C-Design&amp;Const'!AG287="","",'C-Design&amp;Const'!AG287)</f>
        <v>(Approx. 50% Complete)</v>
      </c>
      <c r="K287" s="285" t="str">
        <f>IF(CD50_apply="Yes",IF((COUNTIF(D287:G287,"Y")=COUNTIF('02 - DD'!D287:G287,"Y")),"match","no DD match"),"-")</f>
        <v>match</v>
      </c>
      <c r="L287" s="1410" t="str">
        <f t="shared" si="15"/>
        <v/>
      </c>
      <c r="M287" s="1382"/>
      <c r="N287" s="1382"/>
      <c r="O287" s="1382"/>
      <c r="P287" s="1382"/>
      <c r="Q287" s="1490"/>
      <c r="R287" s="1274"/>
      <c r="S287" s="1509"/>
      <c r="T287" s="1382"/>
      <c r="U287" s="1382"/>
      <c r="V287" s="1382"/>
      <c r="W287" s="1382"/>
      <c r="X287" s="1382"/>
      <c r="Y287" s="1382"/>
      <c r="Z287" s="1382"/>
      <c r="AA287" s="1382"/>
      <c r="AB287" s="1382"/>
      <c r="AC287" s="1382"/>
      <c r="AD287" s="1382"/>
      <c r="AE287" s="1382"/>
      <c r="AF287" s="1382"/>
      <c r="AG287" s="1382"/>
      <c r="AH287" s="1382"/>
      <c r="AI287" s="1382"/>
      <c r="AJ287" s="1382"/>
      <c r="AK287" s="181"/>
      <c r="AL287" s="181"/>
      <c r="AM287" s="181"/>
      <c r="AN287" s="181"/>
      <c r="AO287" s="181"/>
      <c r="AP287" s="181"/>
      <c r="AQ287" s="181"/>
      <c r="AR287" s="181"/>
      <c r="AS287" s="181"/>
      <c r="AT287" s="181"/>
      <c r="AU287" s="181"/>
      <c r="AV287" s="181"/>
    </row>
    <row r="288" spans="1:48" s="30" customFormat="1" x14ac:dyDescent="0.25">
      <c r="A288" s="1518" t="str">
        <f>IF(DD_apply="Yes",IF(COUNTIF('02 - DD'!D288:G288,"Y")&gt;0,"Y",IF(COUNTIF('02 - DD'!D288:G288,"N"),"N","")),"")</f>
        <v>N</v>
      </c>
      <c r="B288" s="191"/>
      <c r="C288" s="945"/>
      <c r="D288" s="411"/>
      <c r="E288" s="411"/>
      <c r="F288" s="559" t="str">
        <f>IF('C-Design&amp;Const'!$M288="","",'C-Design&amp;Const'!$M288)</f>
        <v>Y</v>
      </c>
      <c r="G288" s="510"/>
      <c r="H288" s="341" t="str">
        <f>CONCATENATE(IF(F288="N","PLACEHOLDER ROW - ",""),'C-Design&amp;Const'!Z288,IF(F288="N","",J288))</f>
        <v>Sprinkler System Details and Sections (Substantially Complete)</v>
      </c>
      <c r="I288" s="197"/>
      <c r="J288" s="578" t="str">
        <f>IF('C-Design&amp;Const'!AG288="","",'C-Design&amp;Const'!AG288)</f>
        <v>(Substantially Complete)</v>
      </c>
      <c r="K288" s="285" t="str">
        <f>IF(CD50_apply="Yes",IF((COUNTIF(D288:G288,"Y")=COUNTIF('02 - DD'!D288:G288,"Y")),"match","no DD match"),"-")</f>
        <v>no DD match</v>
      </c>
      <c r="L288" s="1410" t="str">
        <f t="shared" si="15"/>
        <v/>
      </c>
      <c r="M288" s="1382"/>
      <c r="N288" s="1382"/>
      <c r="O288" s="1382"/>
      <c r="P288" s="1382"/>
      <c r="Q288" s="1490"/>
      <c r="R288" s="1274"/>
      <c r="S288" s="1509"/>
      <c r="T288" s="1382"/>
      <c r="U288" s="1382"/>
      <c r="V288" s="1382"/>
      <c r="W288" s="1382"/>
      <c r="X288" s="1382"/>
      <c r="Y288" s="1382"/>
      <c r="Z288" s="1382"/>
      <c r="AA288" s="1382"/>
      <c r="AB288" s="1382"/>
      <c r="AC288" s="1382"/>
      <c r="AD288" s="1382"/>
      <c r="AE288" s="1382"/>
      <c r="AF288" s="1382"/>
      <c r="AG288" s="1382"/>
      <c r="AH288" s="1382"/>
      <c r="AI288" s="1382"/>
      <c r="AJ288" s="1382"/>
      <c r="AK288" s="181"/>
      <c r="AL288" s="181"/>
      <c r="AM288" s="181"/>
      <c r="AN288" s="181"/>
      <c r="AO288" s="181"/>
      <c r="AP288" s="181"/>
      <c r="AQ288" s="181"/>
      <c r="AR288" s="181"/>
      <c r="AS288" s="181"/>
      <c r="AT288" s="181"/>
      <c r="AU288" s="181"/>
      <c r="AV288" s="181"/>
    </row>
    <row r="289" spans="1:48" s="30" customFormat="1" x14ac:dyDescent="0.25">
      <c r="A289" s="1407" t="str">
        <f>IF(DD_apply="Yes",IF(COUNTIF('02 - DD'!D289:G289,"Y")&gt;0,"Y",IF(COUNTIF('02 - DD'!D289:G289,"N"),"N","")),"")</f>
        <v>Y</v>
      </c>
      <c r="B289" s="191"/>
      <c r="C289" s="945"/>
      <c r="D289" s="411"/>
      <c r="E289" s="559" t="str">
        <f>IF('C-Design&amp;Const'!$M289="","",'C-Design&amp;Const'!$M289)</f>
        <v>Y</v>
      </c>
      <c r="F289" s="456"/>
      <c r="G289" s="510"/>
      <c r="H289" s="347" t="str">
        <f>CONCATENATE(IF(F289="N","PLACEHOLDER ROW - ",""),'C-Design&amp;Const'!Z289,IF(F289="N","",J289))</f>
        <v>Heating Drawings (Including Bid Alts.)</v>
      </c>
      <c r="I289" s="198"/>
      <c r="J289" s="578" t="str">
        <f>IF('C-Design&amp;Const'!AG289="","",'C-Design&amp;Const'!AG289)</f>
        <v xml:space="preserve"> (Including Bid Alts.)</v>
      </c>
      <c r="K289" s="285" t="str">
        <f>IF(CD50_apply="Yes",IF((COUNTIF(D289:G289,"Y")=COUNTIF('02 - DD'!D289:G289,"Y")),"match","no DD match"),"-")</f>
        <v>match</v>
      </c>
      <c r="L289" s="1410" t="str">
        <f t="shared" si="15"/>
        <v/>
      </c>
      <c r="M289" s="1382"/>
      <c r="N289" s="1382"/>
      <c r="O289" s="1382"/>
      <c r="P289" s="1382"/>
      <c r="Q289" s="1490"/>
      <c r="R289" s="1274"/>
      <c r="S289" s="1509"/>
      <c r="T289" s="1382"/>
      <c r="U289" s="1382"/>
      <c r="V289" s="1382"/>
      <c r="W289" s="1382"/>
      <c r="X289" s="1382"/>
      <c r="Y289" s="1382"/>
      <c r="Z289" s="1382"/>
      <c r="AA289" s="1382"/>
      <c r="AB289" s="1382"/>
      <c r="AC289" s="1382"/>
      <c r="AD289" s="1382"/>
      <c r="AE289" s="1382"/>
      <c r="AF289" s="1382"/>
      <c r="AG289" s="1382"/>
      <c r="AH289" s="1382"/>
      <c r="AI289" s="1382"/>
      <c r="AJ289" s="1382"/>
      <c r="AK289" s="181"/>
      <c r="AL289" s="181"/>
      <c r="AM289" s="181"/>
      <c r="AN289" s="181"/>
      <c r="AO289" s="181"/>
      <c r="AP289" s="181"/>
      <c r="AQ289" s="181"/>
      <c r="AR289" s="181"/>
      <c r="AS289" s="181"/>
      <c r="AT289" s="181"/>
      <c r="AU289" s="181"/>
      <c r="AV289" s="181"/>
    </row>
    <row r="290" spans="1:48" s="30" customFormat="1" ht="14.25" customHeight="1" x14ac:dyDescent="0.25">
      <c r="A290" s="1518" t="str">
        <f>IF(DD_apply="Yes",IF(COUNTIF('02 - DD'!D290:G290,"Y")&gt;0,"Y",IF(COUNTIF('02 - DD'!D290:G290,"N"),"N","")),"")</f>
        <v>N</v>
      </c>
      <c r="B290" s="191"/>
      <c r="C290" s="945"/>
      <c r="D290" s="411"/>
      <c r="E290" s="411"/>
      <c r="F290" s="559" t="str">
        <f>IF('C-Design&amp;Const'!$M290="","",'C-Design&amp;Const'!$M290)</f>
        <v>N</v>
      </c>
      <c r="G290" s="514"/>
      <c r="H290" s="341" t="str">
        <f>CONCATENATE(IF(F290="N","PLACEHOLDER ROW - ",""),'C-Design&amp;Const'!Z290,IF(F290="N","",J290))</f>
        <v xml:space="preserve">PLACEHOLDER ROW - CUSTOM - Heating  </v>
      </c>
      <c r="I290" s="197"/>
      <c r="J290" s="578" t="str">
        <f>IF('C-Design&amp;Const'!AG290="","",'C-Design&amp;Const'!AG290)</f>
        <v>(Substantially Complete)</v>
      </c>
      <c r="K290" s="285" t="str">
        <f>IF(CD50_apply="Yes",IF((COUNTIF(D290:G290,"Y")=COUNTIF('02 - DD'!D290:G290,"Y")),"match","no DD match"),"-")</f>
        <v>match</v>
      </c>
      <c r="L290" s="1410" t="str">
        <f t="shared" si="15"/>
        <v>&lt;---PM/Planner may hide PLACEHOLDER ROW</v>
      </c>
      <c r="M290" s="1382"/>
      <c r="N290" s="1382"/>
      <c r="O290" s="1382"/>
      <c r="P290" s="1382"/>
      <c r="Q290" s="1274"/>
      <c r="R290" s="1513"/>
      <c r="S290" s="1509"/>
      <c r="T290" s="1382"/>
      <c r="U290" s="1382"/>
      <c r="V290" s="1382"/>
      <c r="W290" s="1382"/>
      <c r="X290" s="1382"/>
      <c r="Y290" s="1382"/>
      <c r="Z290" s="1382"/>
      <c r="AA290" s="1382"/>
      <c r="AB290" s="1382"/>
      <c r="AC290" s="1382"/>
      <c r="AD290" s="1382"/>
      <c r="AE290" s="1382"/>
      <c r="AF290" s="1382"/>
      <c r="AG290" s="1382"/>
      <c r="AH290" s="1382"/>
      <c r="AI290" s="1382"/>
      <c r="AJ290" s="1382"/>
      <c r="AK290" s="181"/>
      <c r="AL290" s="181"/>
      <c r="AM290" s="181"/>
      <c r="AN290" s="181"/>
      <c r="AO290" s="181"/>
      <c r="AP290" s="181"/>
      <c r="AQ290" s="181"/>
      <c r="AR290" s="181"/>
      <c r="AS290" s="181"/>
      <c r="AT290" s="181"/>
      <c r="AU290" s="181"/>
      <c r="AV290" s="181"/>
    </row>
    <row r="291" spans="1:48" s="30" customFormat="1" x14ac:dyDescent="0.25">
      <c r="A291" s="1518" t="str">
        <f>IF(DD_apply="Yes",IF(COUNTIF('02 - DD'!D291:G291,"Y")&gt;0,"Y",IF(COUNTIF('02 - DD'!D291:G291,"N"),"N","")),"")</f>
        <v>N</v>
      </c>
      <c r="B291" s="191"/>
      <c r="C291" s="945"/>
      <c r="D291" s="411"/>
      <c r="E291" s="411"/>
      <c r="F291" s="559" t="str">
        <f>IF('C-Design&amp;Const'!$M291="","",'C-Design&amp;Const'!$M291)</f>
        <v>N</v>
      </c>
      <c r="G291" s="514"/>
      <c r="H291" s="341" t="str">
        <f>CONCATENATE(IF(F291="N","PLACEHOLDER ROW - ",""),'C-Design&amp;Const'!Z291,IF(F291="N","",J291))</f>
        <v xml:space="preserve">PLACEHOLDER ROW - CUSTOM - Heating  </v>
      </c>
      <c r="I291" s="197"/>
      <c r="J291" s="578" t="str">
        <f>IF('C-Design&amp;Const'!AG291="","",'C-Design&amp;Const'!AG291)</f>
        <v>(Substantially Complete)</v>
      </c>
      <c r="K291" s="285" t="str">
        <f>IF(CD50_apply="Yes",IF((COUNTIF(D291:G291,"Y")=COUNTIF('02 - DD'!D291:G291,"Y")),"match","no DD match"),"-")</f>
        <v>match</v>
      </c>
      <c r="L291" s="1410" t="str">
        <f t="shared" si="15"/>
        <v>&lt;---PM/Planner may hide PLACEHOLDER ROW</v>
      </c>
      <c r="M291" s="1382"/>
      <c r="N291" s="1382"/>
      <c r="O291" s="1382"/>
      <c r="P291" s="1382"/>
      <c r="Q291" s="1274"/>
      <c r="R291" s="1513"/>
      <c r="S291" s="1509"/>
      <c r="T291" s="1382"/>
      <c r="U291" s="1382"/>
      <c r="V291" s="1382"/>
      <c r="W291" s="1382"/>
      <c r="X291" s="1382"/>
      <c r="Y291" s="1382"/>
      <c r="Z291" s="1382"/>
      <c r="AA291" s="1382"/>
      <c r="AB291" s="1382"/>
      <c r="AC291" s="1382"/>
      <c r="AD291" s="1382"/>
      <c r="AE291" s="1382"/>
      <c r="AF291" s="1382"/>
      <c r="AG291" s="1382"/>
      <c r="AH291" s="1382"/>
      <c r="AI291" s="1382"/>
      <c r="AJ291" s="1382"/>
      <c r="AK291" s="181"/>
      <c r="AL291" s="181"/>
      <c r="AM291" s="181"/>
      <c r="AN291" s="181"/>
      <c r="AO291" s="181"/>
      <c r="AP291" s="181"/>
      <c r="AQ291" s="181"/>
      <c r="AR291" s="181"/>
      <c r="AS291" s="181"/>
      <c r="AT291" s="181"/>
      <c r="AU291" s="181"/>
      <c r="AV291" s="181"/>
    </row>
    <row r="292" spans="1:48" s="30" customFormat="1" x14ac:dyDescent="0.25">
      <c r="A292" s="1518" t="str">
        <f>IF(DD_apply="Yes",IF(COUNTIF('02 - DD'!D292:G292,"Y")&gt;0,"Y",IF(COUNTIF('02 - DD'!D292:G292,"N"),"N","")),"")</f>
        <v>Y</v>
      </c>
      <c r="B292" s="191"/>
      <c r="C292" s="945"/>
      <c r="D292" s="411"/>
      <c r="E292" s="411"/>
      <c r="F292" s="559" t="str">
        <f>IF('C-Design&amp;Const'!$M292="","",'C-Design&amp;Const'!$M292)</f>
        <v>Y</v>
      </c>
      <c r="G292" s="510"/>
      <c r="H292" s="341" t="str">
        <f>CONCATENATE(IF(F292="N","PLACEHOLDER ROW - ",""),'C-Design&amp;Const'!Z292,IF(F292="N","",J292))</f>
        <v>Heating and A/C Symbols, Abbreviations, and General Notes (Complete)</v>
      </c>
      <c r="I292" s="197"/>
      <c r="J292" s="578" t="str">
        <f>IF('C-Design&amp;Const'!AG292="","",'C-Design&amp;Const'!AG292)</f>
        <v>(Complete)</v>
      </c>
      <c r="K292" s="285" t="str">
        <f>IF(CD50_apply="Yes",IF((COUNTIF(D292:G292,"Y")=COUNTIF('02 - DD'!D292:G292,"Y")),"match","no DD match"),"-")</f>
        <v>match</v>
      </c>
      <c r="L292" s="1410" t="str">
        <f t="shared" si="15"/>
        <v/>
      </c>
      <c r="M292" s="1382"/>
      <c r="N292" s="1382"/>
      <c r="O292" s="1382"/>
      <c r="P292" s="1382"/>
      <c r="Q292" s="1490"/>
      <c r="R292" s="1274"/>
      <c r="S292" s="1509"/>
      <c r="T292" s="1382"/>
      <c r="U292" s="1382"/>
      <c r="V292" s="1382"/>
      <c r="W292" s="1382"/>
      <c r="X292" s="1382"/>
      <c r="Y292" s="1382"/>
      <c r="Z292" s="1382"/>
      <c r="AA292" s="1382"/>
      <c r="AB292" s="1382"/>
      <c r="AC292" s="1382"/>
      <c r="AD292" s="1382"/>
      <c r="AE292" s="1382"/>
      <c r="AF292" s="1382"/>
      <c r="AG292" s="1382"/>
      <c r="AH292" s="1382"/>
      <c r="AI292" s="1382"/>
      <c r="AJ292" s="1382"/>
      <c r="AK292" s="181"/>
      <c r="AL292" s="181"/>
      <c r="AM292" s="181"/>
      <c r="AN292" s="181"/>
      <c r="AO292" s="181"/>
      <c r="AP292" s="181"/>
      <c r="AQ292" s="181"/>
      <c r="AR292" s="181"/>
      <c r="AS292" s="181"/>
      <c r="AT292" s="181"/>
      <c r="AU292" s="181"/>
      <c r="AV292" s="181"/>
    </row>
    <row r="293" spans="1:48" s="551" customFormat="1" x14ac:dyDescent="0.25">
      <c r="A293" s="1518" t="str">
        <f>IF(DD_apply="Yes",IF(COUNTIF('02 - DD'!D293:G293,"Y")&gt;0,"Y",IF(COUNTIF('02 - DD'!D293:G293,"N"),"N","")),"")</f>
        <v>Y</v>
      </c>
      <c r="B293" s="549"/>
      <c r="C293" s="945"/>
      <c r="D293" s="411"/>
      <c r="E293" s="411"/>
      <c r="F293" s="559" t="str">
        <f>IF('C-Design&amp;Const'!$M293="","",'C-Design&amp;Const'!$M293)</f>
        <v>Y</v>
      </c>
      <c r="G293" s="510"/>
      <c r="H293" s="341" t="str">
        <f>CONCATENATE(IF(F293="N","PLACEHOLDER ROW - ",""),'C-Design&amp;Const'!Z293,IF(F293="N","",J293))</f>
        <v>Heating and A/C Demolition(s) (Substantially Complete)</v>
      </c>
      <c r="I293" s="197"/>
      <c r="J293" s="578" t="str">
        <f>IF('C-Design&amp;Const'!AG293="","",'C-Design&amp;Const'!AG293)</f>
        <v>(Substantially Complete)</v>
      </c>
      <c r="K293" s="285" t="str">
        <f>IF(CD50_apply="Yes",IF((COUNTIF(D293:G293,"Y")=COUNTIF('02 - DD'!D293:G293,"Y")),"match","no DD match"),"-")</f>
        <v>match</v>
      </c>
      <c r="L293" s="1410" t="str">
        <f>CONCATENATE(IF(ISNUMBER(SEARCH("Placeholder",H293))=TRUE,"&lt;---PM/Planner may hide PLACEHOLDER ROW",""))</f>
        <v/>
      </c>
      <c r="M293" s="1382"/>
      <c r="N293" s="1382"/>
      <c r="O293" s="1382"/>
      <c r="P293" s="1382"/>
      <c r="Q293" s="1490"/>
      <c r="R293" s="1274"/>
      <c r="S293" s="1509"/>
      <c r="T293" s="1382"/>
      <c r="U293" s="1382"/>
      <c r="V293" s="1382"/>
      <c r="W293" s="1382"/>
      <c r="X293" s="1382"/>
      <c r="Y293" s="1382"/>
      <c r="Z293" s="1382"/>
      <c r="AA293" s="1382"/>
      <c r="AB293" s="1382"/>
      <c r="AC293" s="1382"/>
      <c r="AD293" s="1382"/>
      <c r="AE293" s="1382"/>
      <c r="AF293" s="1382"/>
      <c r="AG293" s="1382"/>
      <c r="AH293" s="1382"/>
      <c r="AI293" s="1382"/>
      <c r="AJ293" s="1382"/>
    </row>
    <row r="294" spans="1:48" s="30" customFormat="1" x14ac:dyDescent="0.25">
      <c r="A294" s="1518" t="str">
        <f>IF(DD_apply="Yes",IF(COUNTIF('02 - DD'!D294:G294,"Y")&gt;0,"Y",IF(COUNTIF('02 - DD'!D294:G294,"N"),"N","")),"")</f>
        <v>Y</v>
      </c>
      <c r="B294" s="191"/>
      <c r="C294" s="945"/>
      <c r="D294" s="411"/>
      <c r="E294" s="411"/>
      <c r="F294" s="559" t="str">
        <f>IF('C-Design&amp;Const'!$M294="","",'C-Design&amp;Const'!$M294)</f>
        <v>Y</v>
      </c>
      <c r="G294" s="510"/>
      <c r="H294" s="341" t="str">
        <f>CONCATENATE(IF(F294="N","PLACEHOLDER ROW - ",""),'C-Design&amp;Const'!Z294,IF(F294="N","",J294))</f>
        <v>Heating and A/C Floor Plans (Approx. 50% Complete)</v>
      </c>
      <c r="I294" s="197"/>
      <c r="J294" s="578" t="str">
        <f>IF('C-Design&amp;Const'!AG294="","",'C-Design&amp;Const'!AG294)</f>
        <v>(Approx. 50% Complete)</v>
      </c>
      <c r="K294" s="285" t="str">
        <f>IF(CD50_apply="Yes",IF((COUNTIF(D294:G294,"Y")=COUNTIF('02 - DD'!D294:G294,"Y")),"match","no DD match"),"-")</f>
        <v>match</v>
      </c>
      <c r="L294" s="1410" t="str">
        <f t="shared" si="15"/>
        <v/>
      </c>
      <c r="M294" s="1382"/>
      <c r="N294" s="1382"/>
      <c r="O294" s="1382"/>
      <c r="P294" s="1382"/>
      <c r="Q294" s="1274"/>
      <c r="R294" s="1513"/>
      <c r="S294" s="1509"/>
      <c r="T294" s="1382"/>
      <c r="U294" s="1382"/>
      <c r="V294" s="1382"/>
      <c r="W294" s="1382"/>
      <c r="X294" s="1382"/>
      <c r="Y294" s="1382"/>
      <c r="Z294" s="1382"/>
      <c r="AA294" s="1382"/>
      <c r="AB294" s="1382"/>
      <c r="AC294" s="1382"/>
      <c r="AD294" s="1382"/>
      <c r="AE294" s="1382"/>
      <c r="AF294" s="1382"/>
      <c r="AG294" s="1382"/>
      <c r="AH294" s="1382"/>
      <c r="AI294" s="1382"/>
      <c r="AJ294" s="1382"/>
      <c r="AK294" s="181"/>
      <c r="AL294" s="181"/>
      <c r="AM294" s="181"/>
      <c r="AN294" s="181"/>
      <c r="AO294" s="181"/>
      <c r="AP294" s="181"/>
      <c r="AQ294" s="181"/>
      <c r="AR294" s="181"/>
      <c r="AS294" s="181"/>
      <c r="AT294" s="181"/>
      <c r="AU294" s="181"/>
      <c r="AV294" s="181"/>
    </row>
    <row r="295" spans="1:48" s="30" customFormat="1" x14ac:dyDescent="0.25">
      <c r="A295" s="1518" t="str">
        <f>IF(DD_apply="Yes",IF(COUNTIF('02 - DD'!D295:G295,"Y")&gt;0,"Y",IF(COUNTIF('02 - DD'!D295:G295,"N"),"N","")),"")</f>
        <v>Y</v>
      </c>
      <c r="B295" s="191"/>
      <c r="C295" s="945"/>
      <c r="D295" s="411"/>
      <c r="E295" s="411"/>
      <c r="F295" s="559" t="str">
        <f>IF('C-Design&amp;Const'!$M295="","",'C-Design&amp;Const'!$M295)</f>
        <v>Y</v>
      </c>
      <c r="G295" s="510"/>
      <c r="H295" s="341" t="str">
        <f>CONCATENATE(IF(F295="N","PLACEHOLDER ROW - ",""),'C-Design&amp;Const'!Z295,IF(F295="N","",J295))</f>
        <v>Heating and Cooling Piping Isometrics/Flow Diagrams (Complete)</v>
      </c>
      <c r="I295" s="197"/>
      <c r="J295" s="578" t="str">
        <f>IF('C-Design&amp;Const'!AG295="","",'C-Design&amp;Const'!AG295)</f>
        <v>(Complete)</v>
      </c>
      <c r="K295" s="285" t="str">
        <f>IF(CD50_apply="Yes",IF((COUNTIF(D295:G295,"Y")=COUNTIF('02 - DD'!D295:G295,"Y")),"match","no DD match"),"-")</f>
        <v>match</v>
      </c>
      <c r="L295" s="1410" t="str">
        <f t="shared" si="15"/>
        <v/>
      </c>
      <c r="M295" s="1382"/>
      <c r="N295" s="1382"/>
      <c r="O295" s="1382"/>
      <c r="P295" s="1382"/>
      <c r="Q295" s="1490"/>
      <c r="R295" s="1274"/>
      <c r="S295" s="1509"/>
      <c r="T295" s="1382"/>
      <c r="U295" s="1382"/>
      <c r="V295" s="1382"/>
      <c r="W295" s="1382"/>
      <c r="X295" s="1382"/>
      <c r="Y295" s="1382"/>
      <c r="Z295" s="1382"/>
      <c r="AA295" s="1382"/>
      <c r="AB295" s="1382"/>
      <c r="AC295" s="1382"/>
      <c r="AD295" s="1382"/>
      <c r="AE295" s="1382"/>
      <c r="AF295" s="1382"/>
      <c r="AG295" s="1382"/>
      <c r="AH295" s="1382"/>
      <c r="AI295" s="1382"/>
      <c r="AJ295" s="1382"/>
      <c r="AK295" s="181"/>
      <c r="AL295" s="181"/>
      <c r="AM295" s="181"/>
      <c r="AN295" s="181"/>
      <c r="AO295" s="181"/>
      <c r="AP295" s="181"/>
      <c r="AQ295" s="181"/>
      <c r="AR295" s="181"/>
      <c r="AS295" s="181"/>
      <c r="AT295" s="181"/>
      <c r="AU295" s="181"/>
      <c r="AV295" s="181"/>
    </row>
    <row r="296" spans="1:48" s="30" customFormat="1" x14ac:dyDescent="0.25">
      <c r="A296" s="1518" t="str">
        <f>IF(DD_apply="Yes",IF(COUNTIF('02 - DD'!D296:G296,"Y")&gt;0,"Y",IF(COUNTIF('02 - DD'!D296:G296,"N"),"N","")),"")</f>
        <v>Y</v>
      </c>
      <c r="B296" s="191"/>
      <c r="C296" s="945"/>
      <c r="D296" s="411"/>
      <c r="E296" s="411"/>
      <c r="F296" s="559" t="str">
        <f>IF('C-Design&amp;Const'!$M296="","",'C-Design&amp;Const'!$M296)</f>
        <v>Y</v>
      </c>
      <c r="G296" s="510"/>
      <c r="H296" s="341" t="str">
        <f>CONCATENATE(IF(F296="N","PLACEHOLDER ROW - ",""),'C-Design&amp;Const'!Z296,IF(F296="N","",J296))</f>
        <v>Heating and A/C Large Scale Mechanical Room Plans (Approx. 50% Complete)</v>
      </c>
      <c r="I296" s="197"/>
      <c r="J296" s="578" t="str">
        <f>IF('C-Design&amp;Const'!AG296="","",'C-Design&amp;Const'!AG296)</f>
        <v>(Approx. 50% Complete)</v>
      </c>
      <c r="K296" s="285" t="str">
        <f>IF(CD50_apply="Yes",IF((COUNTIF(D296:G296,"Y")=COUNTIF('02 - DD'!D296:G296,"Y")),"match","no DD match"),"-")</f>
        <v>match</v>
      </c>
      <c r="L296" s="1410" t="str">
        <f t="shared" si="15"/>
        <v/>
      </c>
      <c r="M296" s="1382"/>
      <c r="N296" s="1382"/>
      <c r="O296" s="1382"/>
      <c r="P296" s="1382"/>
      <c r="Q296" s="1490"/>
      <c r="R296" s="1274"/>
      <c r="S296" s="1509"/>
      <c r="T296" s="1382"/>
      <c r="U296" s="1382"/>
      <c r="V296" s="1382"/>
      <c r="W296" s="1382"/>
      <c r="X296" s="1382"/>
      <c r="Y296" s="1382"/>
      <c r="Z296" s="1382"/>
      <c r="AA296" s="1382"/>
      <c r="AB296" s="1382"/>
      <c r="AC296" s="1382"/>
      <c r="AD296" s="1382"/>
      <c r="AE296" s="1382"/>
      <c r="AF296" s="1382"/>
      <c r="AG296" s="1382"/>
      <c r="AH296" s="1382"/>
      <c r="AI296" s="1382"/>
      <c r="AJ296" s="1382"/>
      <c r="AK296" s="181"/>
      <c r="AL296" s="181"/>
      <c r="AM296" s="181"/>
      <c r="AN296" s="181"/>
      <c r="AO296" s="181"/>
      <c r="AP296" s="181"/>
      <c r="AQ296" s="181"/>
      <c r="AR296" s="181"/>
      <c r="AS296" s="181"/>
      <c r="AT296" s="181"/>
      <c r="AU296" s="181"/>
      <c r="AV296" s="181"/>
    </row>
    <row r="297" spans="1:48" s="30" customFormat="1" x14ac:dyDescent="0.25">
      <c r="A297" s="1518" t="str">
        <f>IF(DD_apply="Yes",IF(COUNTIF('02 - DD'!D297:G297,"Y")&gt;0,"Y",IF(COUNTIF('02 - DD'!D297:G297,"N"),"N","")),"")</f>
        <v>Y</v>
      </c>
      <c r="B297" s="191"/>
      <c r="C297" s="945"/>
      <c r="D297" s="411"/>
      <c r="E297" s="411"/>
      <c r="F297" s="559" t="str">
        <f>IF('C-Design&amp;Const'!$M297="","",'C-Design&amp;Const'!$M297)</f>
        <v>Y</v>
      </c>
      <c r="G297" s="510"/>
      <c r="H297" s="341" t="str">
        <f>CONCATENATE(IF(F297="N","PLACEHOLDER ROW - ",""),'C-Design&amp;Const'!Z297,IF(F297="N","",J297))</f>
        <v>Heating and A/C Equipment Schedule (Approx. 50% Complete)</v>
      </c>
      <c r="I297" s="197"/>
      <c r="J297" s="578" t="str">
        <f>IF('C-Design&amp;Const'!AG297="","",'C-Design&amp;Const'!AG297)</f>
        <v>(Approx. 50% Complete)</v>
      </c>
      <c r="K297" s="285" t="str">
        <f>IF(CD50_apply="Yes",IF((COUNTIF(D297:G297,"Y")=COUNTIF('02 - DD'!D297:G297,"Y")),"match","no DD match"),"-")</f>
        <v>match</v>
      </c>
      <c r="L297" s="1410" t="str">
        <f t="shared" si="15"/>
        <v/>
      </c>
      <c r="M297" s="1382"/>
      <c r="N297" s="1382"/>
      <c r="O297" s="1382"/>
      <c r="P297" s="1382"/>
      <c r="Q297" s="1490"/>
      <c r="R297" s="1274"/>
      <c r="S297" s="1509"/>
      <c r="T297" s="1382"/>
      <c r="U297" s="1382"/>
      <c r="V297" s="1382"/>
      <c r="W297" s="1382"/>
      <c r="X297" s="1382"/>
      <c r="Y297" s="1382"/>
      <c r="Z297" s="1382"/>
      <c r="AA297" s="1382"/>
      <c r="AB297" s="1382"/>
      <c r="AC297" s="1382"/>
      <c r="AD297" s="1382"/>
      <c r="AE297" s="1382"/>
      <c r="AF297" s="1382"/>
      <c r="AG297" s="1382"/>
      <c r="AH297" s="1382"/>
      <c r="AI297" s="1382"/>
      <c r="AJ297" s="1382"/>
      <c r="AK297" s="181"/>
      <c r="AL297" s="181"/>
      <c r="AM297" s="181"/>
      <c r="AN297" s="181"/>
      <c r="AO297" s="181"/>
      <c r="AP297" s="181"/>
      <c r="AQ297" s="181"/>
      <c r="AR297" s="181"/>
      <c r="AS297" s="181"/>
      <c r="AT297" s="181"/>
      <c r="AU297" s="181"/>
      <c r="AV297" s="181"/>
    </row>
    <row r="298" spans="1:48" s="30" customFormat="1" x14ac:dyDescent="0.25">
      <c r="A298" s="1518" t="str">
        <f>IF(DD_apply="Yes",IF(COUNTIF('02 - DD'!D298:G298,"Y")&gt;0,"Y",IF(COUNTIF('02 - DD'!D298:G298,"N"),"N","")),"")</f>
        <v>Y</v>
      </c>
      <c r="B298" s="191"/>
      <c r="C298" s="945"/>
      <c r="D298" s="411"/>
      <c r="E298" s="411"/>
      <c r="F298" s="559" t="str">
        <f>IF('C-Design&amp;Const'!$M298="","",'C-Design&amp;Const'!$M298)</f>
        <v>Y</v>
      </c>
      <c r="G298" s="515"/>
      <c r="H298" s="413" t="str">
        <f>CONCATENATE(IF(F298="N","PLACEHOLDER ROW - ",""),'C-Design&amp;Const'!Z298,IF(F298="N","",J298))</f>
        <v>Heating and A/C Details and Sections (Approx. 50% Complete)</v>
      </c>
      <c r="I298" s="197"/>
      <c r="J298" s="578" t="str">
        <f>IF('C-Design&amp;Const'!AG298="","",'C-Design&amp;Const'!AG298)</f>
        <v>(Approx. 50% Complete)</v>
      </c>
      <c r="K298" s="285" t="str">
        <f>IF(CD50_apply="Yes",IF((COUNTIF(D298:G298,"Y")=COUNTIF('02 - DD'!D298:G298,"Y")),"match","no DD match"),"-")</f>
        <v>match</v>
      </c>
      <c r="L298" s="1410" t="str">
        <f t="shared" si="15"/>
        <v/>
      </c>
      <c r="M298" s="1382"/>
      <c r="N298" s="1382"/>
      <c r="O298" s="1382"/>
      <c r="P298" s="1382"/>
      <c r="Q298" s="1490"/>
      <c r="R298" s="1274"/>
      <c r="S298" s="1509"/>
      <c r="T298" s="1382"/>
      <c r="U298" s="1382"/>
      <c r="V298" s="1382"/>
      <c r="W298" s="1382"/>
      <c r="X298" s="1382"/>
      <c r="Y298" s="1382"/>
      <c r="Z298" s="1382"/>
      <c r="AA298" s="1382"/>
      <c r="AB298" s="1382"/>
      <c r="AC298" s="1382"/>
      <c r="AD298" s="1382"/>
      <c r="AE298" s="1382"/>
      <c r="AF298" s="1382"/>
      <c r="AG298" s="1382"/>
      <c r="AH298" s="1382"/>
      <c r="AI298" s="1382"/>
      <c r="AJ298" s="1382"/>
      <c r="AK298" s="181"/>
      <c r="AL298" s="181"/>
      <c r="AM298" s="181"/>
      <c r="AN298" s="181"/>
      <c r="AO298" s="181"/>
      <c r="AP298" s="181"/>
      <c r="AQ298" s="181"/>
      <c r="AR298" s="181"/>
      <c r="AS298" s="181"/>
      <c r="AT298" s="181"/>
      <c r="AU298" s="181"/>
      <c r="AV298" s="181"/>
    </row>
    <row r="299" spans="1:48" s="30" customFormat="1" x14ac:dyDescent="0.25">
      <c r="A299" s="1407" t="str">
        <f>IF(DD_apply="Yes",IF(COUNTIF('02 - DD'!D299:G299,"Y")&gt;0,"Y",IF(COUNTIF('02 - DD'!D299:G299,"N"),"N","")),"")</f>
        <v>Y</v>
      </c>
      <c r="B299" s="191"/>
      <c r="C299" s="945"/>
      <c r="D299" s="411"/>
      <c r="E299" s="559" t="str">
        <f>IF('C-Design&amp;Const'!$M299="","",'C-Design&amp;Const'!$M299)</f>
        <v>Y</v>
      </c>
      <c r="F299" s="458"/>
      <c r="G299" s="506"/>
      <c r="H299" s="347" t="str">
        <f>CONCATENATE(IF(F299="N","PLACEHOLDER ROW - ",""),'C-Design&amp;Const'!Z299,IF(F299="N","",J299))</f>
        <v>Ventilation Drawings (Including Bid Alts.)</v>
      </c>
      <c r="I299" s="198"/>
      <c r="J299" s="578" t="str">
        <f>IF('C-Design&amp;Const'!AG299="","",'C-Design&amp;Const'!AG299)</f>
        <v xml:space="preserve"> (Including Bid Alts.)</v>
      </c>
      <c r="K299" s="285" t="str">
        <f>IF(CD50_apply="Yes",IF((COUNTIF(D299:G299,"Y")=COUNTIF('02 - DD'!D299:G299,"Y")),"match","no DD match"),"-")</f>
        <v>match</v>
      </c>
      <c r="L299" s="1410" t="str">
        <f t="shared" si="15"/>
        <v/>
      </c>
      <c r="M299" s="1382"/>
      <c r="N299" s="1382"/>
      <c r="O299" s="1382"/>
      <c r="P299" s="1382"/>
      <c r="Q299" s="1490"/>
      <c r="R299" s="1274"/>
      <c r="S299" s="1509"/>
      <c r="T299" s="1382"/>
      <c r="U299" s="1382"/>
      <c r="V299" s="1382"/>
      <c r="W299" s="1382"/>
      <c r="X299" s="1382"/>
      <c r="Y299" s="1382"/>
      <c r="Z299" s="1382"/>
      <c r="AA299" s="1382"/>
      <c r="AB299" s="1382"/>
      <c r="AC299" s="1382"/>
      <c r="AD299" s="1382"/>
      <c r="AE299" s="1382"/>
      <c r="AF299" s="1382"/>
      <c r="AG299" s="1382"/>
      <c r="AH299" s="1382"/>
      <c r="AI299" s="1382"/>
      <c r="AJ299" s="1382"/>
      <c r="AK299" s="181"/>
      <c r="AL299" s="181"/>
      <c r="AM299" s="181"/>
      <c r="AN299" s="181"/>
      <c r="AO299" s="181"/>
      <c r="AP299" s="181"/>
      <c r="AQ299" s="181"/>
      <c r="AR299" s="181"/>
      <c r="AS299" s="181"/>
      <c r="AT299" s="181"/>
      <c r="AU299" s="181"/>
      <c r="AV299" s="181"/>
    </row>
    <row r="300" spans="1:48" s="30" customFormat="1" ht="14.25" customHeight="1" x14ac:dyDescent="0.25">
      <c r="A300" s="1518" t="str">
        <f>IF(DD_apply="Yes",IF(COUNTIF('02 - DD'!D300:G300,"Y")&gt;0,"Y",IF(COUNTIF('02 - DD'!D300:G300,"N"),"N","")),"")</f>
        <v>N</v>
      </c>
      <c r="B300" s="191"/>
      <c r="C300" s="945"/>
      <c r="D300" s="411"/>
      <c r="E300" s="411"/>
      <c r="F300" s="559" t="str">
        <f>IF('C-Design&amp;Const'!$M300="","",'C-Design&amp;Const'!$M300)</f>
        <v>N</v>
      </c>
      <c r="G300" s="514"/>
      <c r="H300" s="341" t="str">
        <f>CONCATENATE(IF(F300="N","PLACEHOLDER ROW - ",""),'C-Design&amp;Const'!Z300,IF(F300="N","",J300))</f>
        <v xml:space="preserve">PLACEHOLDER ROW - CUSTOM - Ventilation  </v>
      </c>
      <c r="I300" s="197"/>
      <c r="J300" s="578" t="str">
        <f>IF('C-Design&amp;Const'!AG300="","",'C-Design&amp;Const'!AG300)</f>
        <v>(Substantially Complete)</v>
      </c>
      <c r="K300" s="285" t="str">
        <f>IF(CD50_apply="Yes",IF((COUNTIF(D300:G300,"Y")=COUNTIF('02 - DD'!D300:G300,"Y")),"match","no DD match"),"-")</f>
        <v>match</v>
      </c>
      <c r="L300" s="1410" t="str">
        <f t="shared" si="15"/>
        <v>&lt;---PM/Planner may hide PLACEHOLDER ROW</v>
      </c>
      <c r="M300" s="1382"/>
      <c r="N300" s="1382"/>
      <c r="O300" s="1382"/>
      <c r="P300" s="1382"/>
      <c r="Q300" s="1274"/>
      <c r="R300" s="1513"/>
      <c r="S300" s="1509"/>
      <c r="T300" s="1382"/>
      <c r="U300" s="1382"/>
      <c r="V300" s="1382"/>
      <c r="W300" s="1382"/>
      <c r="X300" s="1382"/>
      <c r="Y300" s="1382"/>
      <c r="Z300" s="1382"/>
      <c r="AA300" s="1382"/>
      <c r="AB300" s="1382"/>
      <c r="AC300" s="1382"/>
      <c r="AD300" s="1382"/>
      <c r="AE300" s="1382"/>
      <c r="AF300" s="1382"/>
      <c r="AG300" s="1382"/>
      <c r="AH300" s="1382"/>
      <c r="AI300" s="1382"/>
      <c r="AJ300" s="1382"/>
      <c r="AK300" s="181"/>
      <c r="AL300" s="181"/>
      <c r="AM300" s="181"/>
      <c r="AN300" s="181"/>
      <c r="AO300" s="181"/>
      <c r="AP300" s="181"/>
      <c r="AQ300" s="181"/>
      <c r="AR300" s="181"/>
      <c r="AS300" s="181"/>
      <c r="AT300" s="181"/>
      <c r="AU300" s="181"/>
      <c r="AV300" s="181"/>
    </row>
    <row r="301" spans="1:48" s="30" customFormat="1" x14ac:dyDescent="0.25">
      <c r="A301" s="1518" t="str">
        <f>IF(DD_apply="Yes",IF(COUNTIF('02 - DD'!D301:G301,"Y")&gt;0,"Y",IF(COUNTIF('02 - DD'!D301:G301,"N"),"N","")),"")</f>
        <v>N</v>
      </c>
      <c r="B301" s="191"/>
      <c r="C301" s="945"/>
      <c r="D301" s="411"/>
      <c r="E301" s="411"/>
      <c r="F301" s="559" t="str">
        <f>IF('C-Design&amp;Const'!$M301="","",'C-Design&amp;Const'!$M301)</f>
        <v>N</v>
      </c>
      <c r="G301" s="514"/>
      <c r="H301" s="341" t="str">
        <f>CONCATENATE(IF(F301="N","PLACEHOLDER ROW - ",""),'C-Design&amp;Const'!Z301,IF(F301="N","",J301))</f>
        <v xml:space="preserve">PLACEHOLDER ROW - CUSTOM - Ventilation  </v>
      </c>
      <c r="I301" s="197"/>
      <c r="J301" s="578" t="str">
        <f>IF('C-Design&amp;Const'!AG301="","",'C-Design&amp;Const'!AG301)</f>
        <v>(Substantially Complete)</v>
      </c>
      <c r="K301" s="285" t="str">
        <f>IF(CD50_apply="Yes",IF((COUNTIF(D301:G301,"Y")=COUNTIF('02 - DD'!D301:G301,"Y")),"match","no DD match"),"-")</f>
        <v>match</v>
      </c>
      <c r="L301" s="1410" t="str">
        <f t="shared" si="15"/>
        <v>&lt;---PM/Planner may hide PLACEHOLDER ROW</v>
      </c>
      <c r="M301" s="1382"/>
      <c r="N301" s="1382"/>
      <c r="O301" s="1382"/>
      <c r="P301" s="1382"/>
      <c r="Q301" s="1274"/>
      <c r="R301" s="1513"/>
      <c r="S301" s="1509"/>
      <c r="T301" s="1382"/>
      <c r="U301" s="1382"/>
      <c r="V301" s="1382"/>
      <c r="W301" s="1382"/>
      <c r="X301" s="1382"/>
      <c r="Y301" s="1382"/>
      <c r="Z301" s="1382"/>
      <c r="AA301" s="1382"/>
      <c r="AB301" s="1382"/>
      <c r="AC301" s="1382"/>
      <c r="AD301" s="1382"/>
      <c r="AE301" s="1382"/>
      <c r="AF301" s="1382"/>
      <c r="AG301" s="1382"/>
      <c r="AH301" s="1382"/>
      <c r="AI301" s="1382"/>
      <c r="AJ301" s="1382"/>
      <c r="AK301" s="181"/>
      <c r="AL301" s="181"/>
      <c r="AM301" s="181"/>
      <c r="AN301" s="181"/>
      <c r="AO301" s="181"/>
      <c r="AP301" s="181"/>
      <c r="AQ301" s="181"/>
      <c r="AR301" s="181"/>
      <c r="AS301" s="181"/>
      <c r="AT301" s="181"/>
      <c r="AU301" s="181"/>
      <c r="AV301" s="181"/>
    </row>
    <row r="302" spans="1:48" s="30" customFormat="1" x14ac:dyDescent="0.25">
      <c r="A302" s="1518" t="str">
        <f>IF(DD_apply="Yes",IF(COUNTIF('02 - DD'!D302:G302,"Y")&gt;0,"Y",IF(COUNTIF('02 - DD'!D302:G302,"N"),"N","")),"")</f>
        <v>Y</v>
      </c>
      <c r="B302" s="191"/>
      <c r="C302" s="945"/>
      <c r="D302" s="411"/>
      <c r="E302" s="411"/>
      <c r="F302" s="559" t="str">
        <f>IF('C-Design&amp;Const'!$M302="","",'C-Design&amp;Const'!$M302)</f>
        <v>Y</v>
      </c>
      <c r="G302" s="510"/>
      <c r="H302" s="341" t="str">
        <f>CONCATENATE(IF(F302="N","PLACEHOLDER ROW - ",""),'C-Design&amp;Const'!Z302,IF(F302="N","",J302))</f>
        <v>Ventilation Symbols, Abbreviations, and General Notes (Complete)</v>
      </c>
      <c r="I302" s="197"/>
      <c r="J302" s="578" t="str">
        <f>IF('C-Design&amp;Const'!AG302="","",'C-Design&amp;Const'!AG302)</f>
        <v>(Complete)</v>
      </c>
      <c r="K302" s="285" t="str">
        <f>IF(CD50_apply="Yes",IF((COUNTIF(D302:G302,"Y")=COUNTIF('02 - DD'!D302:G302,"Y")),"match","no DD match"),"-")</f>
        <v>match</v>
      </c>
      <c r="L302" s="1410" t="str">
        <f t="shared" si="15"/>
        <v/>
      </c>
      <c r="M302" s="1382"/>
      <c r="N302" s="1382"/>
      <c r="O302" s="1382"/>
      <c r="P302" s="1382"/>
      <c r="Q302" s="1274"/>
      <c r="R302" s="1513"/>
      <c r="S302" s="1509"/>
      <c r="T302" s="1382"/>
      <c r="U302" s="1382"/>
      <c r="V302" s="1382"/>
      <c r="W302" s="1382"/>
      <c r="X302" s="1382"/>
      <c r="Y302" s="1382"/>
      <c r="Z302" s="1382"/>
      <c r="AA302" s="1382"/>
      <c r="AB302" s="1382"/>
      <c r="AC302" s="1382"/>
      <c r="AD302" s="1382"/>
      <c r="AE302" s="1382"/>
      <c r="AF302" s="1382"/>
      <c r="AG302" s="1382"/>
      <c r="AH302" s="1382"/>
      <c r="AI302" s="1382"/>
      <c r="AJ302" s="1382"/>
      <c r="AK302" s="181"/>
      <c r="AL302" s="181"/>
      <c r="AM302" s="181"/>
      <c r="AN302" s="181"/>
      <c r="AO302" s="181"/>
      <c r="AP302" s="181"/>
      <c r="AQ302" s="181"/>
      <c r="AR302" s="181"/>
      <c r="AS302" s="181"/>
      <c r="AT302" s="181"/>
      <c r="AU302" s="181"/>
      <c r="AV302" s="181"/>
    </row>
    <row r="303" spans="1:48" s="551" customFormat="1" x14ac:dyDescent="0.25">
      <c r="A303" s="1518" t="str">
        <f>IF(DD_apply="Yes",IF(COUNTIF('02 - DD'!D303:G303,"Y")&gt;0,"Y",IF(COUNTIF('02 - DD'!D303:G303,"N"),"N","")),"")</f>
        <v>Y</v>
      </c>
      <c r="B303" s="549"/>
      <c r="C303" s="945"/>
      <c r="D303" s="411"/>
      <c r="E303" s="411"/>
      <c r="F303" s="559" t="str">
        <f>IF('C-Design&amp;Const'!$M303="","",'C-Design&amp;Const'!$M303)</f>
        <v>Y</v>
      </c>
      <c r="G303" s="510"/>
      <c r="H303" s="341" t="str">
        <f>CONCATENATE(IF(F303="N","PLACEHOLDER ROW - ",""),'C-Design&amp;Const'!Z303,IF(F303="N","",J303))</f>
        <v>Ventilation Demolition(s) (Substantially Complete)</v>
      </c>
      <c r="I303" s="197"/>
      <c r="J303" s="578" t="str">
        <f>IF('C-Design&amp;Const'!AG303="","",'C-Design&amp;Const'!AG303)</f>
        <v>(Substantially Complete)</v>
      </c>
      <c r="K303" s="285" t="str">
        <f>IF(CD50_apply="Yes",IF((COUNTIF(D303:G303,"Y")=COUNTIF('02 - DD'!D303:G303,"Y")),"match","no DD match"),"-")</f>
        <v>match</v>
      </c>
      <c r="L303" s="1410" t="str">
        <f>CONCATENATE(IF(ISNUMBER(SEARCH("Placeholder",H303))=TRUE,"&lt;---PM/Planner may hide PLACEHOLDER ROW",""))</f>
        <v/>
      </c>
      <c r="M303" s="1382"/>
      <c r="N303" s="1382"/>
      <c r="O303" s="1382"/>
      <c r="P303" s="1382"/>
      <c r="Q303" s="1490"/>
      <c r="R303" s="1274"/>
      <c r="S303" s="1509"/>
      <c r="T303" s="1382"/>
      <c r="U303" s="1382"/>
      <c r="V303" s="1382"/>
      <c r="W303" s="1382"/>
      <c r="X303" s="1382"/>
      <c r="Y303" s="1382"/>
      <c r="Z303" s="1382"/>
      <c r="AA303" s="1382"/>
      <c r="AB303" s="1382"/>
      <c r="AC303" s="1382"/>
      <c r="AD303" s="1382"/>
      <c r="AE303" s="1382"/>
      <c r="AF303" s="1382"/>
      <c r="AG303" s="1382"/>
      <c r="AH303" s="1382"/>
      <c r="AI303" s="1382"/>
      <c r="AJ303" s="1382"/>
    </row>
    <row r="304" spans="1:48" s="30" customFormat="1" x14ac:dyDescent="0.25">
      <c r="A304" s="1518" t="str">
        <f>IF(DD_apply="Yes",IF(COUNTIF('02 - DD'!D304:G304,"Y")&gt;0,"Y",IF(COUNTIF('02 - DD'!D304:G304,"N"),"N","")),"")</f>
        <v>Y</v>
      </c>
      <c r="B304" s="191"/>
      <c r="C304" s="945"/>
      <c r="D304" s="411"/>
      <c r="E304" s="411"/>
      <c r="F304" s="559" t="str">
        <f>IF('C-Design&amp;Const'!$M304="","",'C-Design&amp;Const'!$M304)</f>
        <v>Y</v>
      </c>
      <c r="G304" s="510"/>
      <c r="H304" s="341" t="str">
        <f>CONCATENATE(IF(F304="N","PLACEHOLDER ROW - ",""),'C-Design&amp;Const'!Z304,IF(F304="N","",J304))</f>
        <v>Ventilation Floor Plans (Substantially Complete)</v>
      </c>
      <c r="I304" s="197"/>
      <c r="J304" s="578" t="str">
        <f>IF('C-Design&amp;Const'!AG304="","",'C-Design&amp;Const'!AG304)</f>
        <v>(Substantially Complete)</v>
      </c>
      <c r="K304" s="285" t="str">
        <f>IF(CD50_apply="Yes",IF((COUNTIF(D304:G304,"Y")=COUNTIF('02 - DD'!D304:G304,"Y")),"match","no DD match"),"-")</f>
        <v>match</v>
      </c>
      <c r="L304" s="1410" t="str">
        <f t="shared" si="15"/>
        <v/>
      </c>
      <c r="M304" s="1382"/>
      <c r="N304" s="1382"/>
      <c r="O304" s="1382"/>
      <c r="P304" s="1382"/>
      <c r="Q304" s="1490"/>
      <c r="R304" s="1274"/>
      <c r="S304" s="1509"/>
      <c r="T304" s="1382"/>
      <c r="U304" s="1382"/>
      <c r="V304" s="1382"/>
      <c r="W304" s="1382"/>
      <c r="X304" s="1382"/>
      <c r="Y304" s="1382"/>
      <c r="Z304" s="1382"/>
      <c r="AA304" s="1382"/>
      <c r="AB304" s="1382"/>
      <c r="AC304" s="1382"/>
      <c r="AD304" s="1382"/>
      <c r="AE304" s="1382"/>
      <c r="AF304" s="1382"/>
      <c r="AG304" s="1382"/>
      <c r="AH304" s="1382"/>
      <c r="AI304" s="1382"/>
      <c r="AJ304" s="1382"/>
      <c r="AK304" s="181"/>
      <c r="AL304" s="181"/>
      <c r="AM304" s="181"/>
      <c r="AN304" s="181"/>
      <c r="AO304" s="181"/>
      <c r="AP304" s="181"/>
      <c r="AQ304" s="181"/>
      <c r="AR304" s="181"/>
      <c r="AS304" s="181"/>
      <c r="AT304" s="181"/>
      <c r="AU304" s="181"/>
      <c r="AV304" s="181"/>
    </row>
    <row r="305" spans="1:48" s="30" customFormat="1" x14ac:dyDescent="0.25">
      <c r="A305" s="1518" t="str">
        <f>IF(DD_apply="Yes",IF(COUNTIF('02 - DD'!D305:G305,"Y")&gt;0,"Y",IF(COUNTIF('02 - DD'!D305:G305,"N"),"N","")),"")</f>
        <v>Y</v>
      </c>
      <c r="B305" s="191"/>
      <c r="C305" s="945"/>
      <c r="D305" s="411"/>
      <c r="E305" s="411"/>
      <c r="F305" s="559" t="str">
        <f>IF('C-Design&amp;Const'!$M305="","",'C-Design&amp;Const'!$M305)</f>
        <v>Y</v>
      </c>
      <c r="G305" s="510"/>
      <c r="H305" s="341" t="str">
        <f>CONCATENATE(IF(F305="N","PLACEHOLDER ROW - ",""),'C-Design&amp;Const'!Z305,IF(F305="N","",J305))</f>
        <v>Ventilation Air Flow Diagrams (Complete)</v>
      </c>
      <c r="I305" s="197"/>
      <c r="J305" s="578" t="str">
        <f>IF('C-Design&amp;Const'!AG305="","",'C-Design&amp;Const'!AG305)</f>
        <v>(Complete)</v>
      </c>
      <c r="K305" s="285" t="str">
        <f>IF(CD50_apply="Yes",IF((COUNTIF(D305:G305,"Y")=COUNTIF('02 - DD'!D305:G305,"Y")),"match","no DD match"),"-")</f>
        <v>match</v>
      </c>
      <c r="L305" s="1410" t="str">
        <f t="shared" si="15"/>
        <v/>
      </c>
      <c r="M305" s="1382"/>
      <c r="N305" s="1382"/>
      <c r="O305" s="1382"/>
      <c r="P305" s="1382"/>
      <c r="Q305" s="1490"/>
      <c r="R305" s="1274"/>
      <c r="S305" s="1509"/>
      <c r="T305" s="1382"/>
      <c r="U305" s="1382"/>
      <c r="V305" s="1382"/>
      <c r="W305" s="1382"/>
      <c r="X305" s="1382"/>
      <c r="Y305" s="1382"/>
      <c r="Z305" s="1382"/>
      <c r="AA305" s="1382"/>
      <c r="AB305" s="1382"/>
      <c r="AC305" s="1382"/>
      <c r="AD305" s="1382"/>
      <c r="AE305" s="1382"/>
      <c r="AF305" s="1382"/>
      <c r="AG305" s="1382"/>
      <c r="AH305" s="1382"/>
      <c r="AI305" s="1382"/>
      <c r="AJ305" s="1382"/>
      <c r="AK305" s="181"/>
      <c r="AL305" s="181"/>
      <c r="AM305" s="181"/>
      <c r="AN305" s="181"/>
      <c r="AO305" s="181"/>
      <c r="AP305" s="181"/>
      <c r="AQ305" s="181"/>
      <c r="AR305" s="181"/>
      <c r="AS305" s="181"/>
      <c r="AT305" s="181"/>
      <c r="AU305" s="181"/>
      <c r="AV305" s="181"/>
    </row>
    <row r="306" spans="1:48" s="30" customFormat="1" x14ac:dyDescent="0.25">
      <c r="A306" s="1518" t="str">
        <f>IF(DD_apply="Yes",IF(COUNTIF('02 - DD'!D306:G306,"Y")&gt;0,"Y",IF(COUNTIF('02 - DD'!D306:G306,"N"),"N","")),"")</f>
        <v>Y</v>
      </c>
      <c r="B306" s="191"/>
      <c r="C306" s="945"/>
      <c r="D306" s="411"/>
      <c r="E306" s="411"/>
      <c r="F306" s="559" t="str">
        <f>IF('C-Design&amp;Const'!$M306="","",'C-Design&amp;Const'!$M306)</f>
        <v>Y</v>
      </c>
      <c r="G306" s="510"/>
      <c r="H306" s="341" t="str">
        <f>CONCATENATE(IF(F306="N","PLACEHOLDER ROW - ",""),'C-Design&amp;Const'!Z306,IF(F306="N","",J306))</f>
        <v>Ventilation Large Scale Mechanical Room Plans (Approx. 50% Complete)</v>
      </c>
      <c r="I306" s="197"/>
      <c r="J306" s="578" t="str">
        <f>IF('C-Design&amp;Const'!AG306="","",'C-Design&amp;Const'!AG306)</f>
        <v>(Approx. 50% Complete)</v>
      </c>
      <c r="K306" s="285" t="str">
        <f>IF(CD50_apply="Yes",IF((COUNTIF(D306:G306,"Y")=COUNTIF('02 - DD'!D306:G306,"Y")),"match","no DD match"),"-")</f>
        <v>match</v>
      </c>
      <c r="L306" s="1410" t="str">
        <f t="shared" si="15"/>
        <v/>
      </c>
      <c r="M306" s="1382"/>
      <c r="N306" s="1382"/>
      <c r="O306" s="1382"/>
      <c r="P306" s="1382"/>
      <c r="Q306" s="1490"/>
      <c r="R306" s="1274"/>
      <c r="S306" s="1509"/>
      <c r="T306" s="1382"/>
      <c r="U306" s="1382"/>
      <c r="V306" s="1382"/>
      <c r="W306" s="1382"/>
      <c r="X306" s="1382"/>
      <c r="Y306" s="1382"/>
      <c r="Z306" s="1382"/>
      <c r="AA306" s="1382"/>
      <c r="AB306" s="1382"/>
      <c r="AC306" s="1382"/>
      <c r="AD306" s="1382"/>
      <c r="AE306" s="1382"/>
      <c r="AF306" s="1382"/>
      <c r="AG306" s="1382"/>
      <c r="AH306" s="1382"/>
      <c r="AI306" s="1382"/>
      <c r="AJ306" s="1382"/>
      <c r="AK306" s="181"/>
      <c r="AL306" s="181"/>
      <c r="AM306" s="181"/>
      <c r="AN306" s="181"/>
      <c r="AO306" s="181"/>
      <c r="AP306" s="181"/>
      <c r="AQ306" s="181"/>
      <c r="AR306" s="181"/>
      <c r="AS306" s="181"/>
      <c r="AT306" s="181"/>
      <c r="AU306" s="181"/>
      <c r="AV306" s="181"/>
    </row>
    <row r="307" spans="1:48" s="30" customFormat="1" x14ac:dyDescent="0.25">
      <c r="A307" s="1518" t="str">
        <f>IF(DD_apply="Yes",IF(COUNTIF('02 - DD'!D307:G307,"Y")&gt;0,"Y",IF(COUNTIF('02 - DD'!D307:G307,"N"),"N","")),"")</f>
        <v>Y</v>
      </c>
      <c r="B307" s="191"/>
      <c r="C307" s="945"/>
      <c r="D307" s="411"/>
      <c r="E307" s="411"/>
      <c r="F307" s="559" t="str">
        <f>IF('C-Design&amp;Const'!$M307="","",'C-Design&amp;Const'!$M307)</f>
        <v>Y</v>
      </c>
      <c r="G307" s="510"/>
      <c r="H307" s="341" t="str">
        <f>CONCATENATE(IF(F307="N","PLACEHOLDER ROW - ",""),'C-Design&amp;Const'!Z307,IF(F307="N","",J307))</f>
        <v>Ventilation Details and Sections (Approx. 50% Complete)</v>
      </c>
      <c r="I307" s="197"/>
      <c r="J307" s="578" t="str">
        <f>IF('C-Design&amp;Const'!AG307="","",'C-Design&amp;Const'!AG307)</f>
        <v>(Approx. 50% Complete)</v>
      </c>
      <c r="K307" s="285" t="str">
        <f>IF(CD50_apply="Yes",IF((COUNTIF(D307:G307,"Y")=COUNTIF('02 - DD'!D307:G307,"Y")),"match","no DD match"),"-")</f>
        <v>match</v>
      </c>
      <c r="L307" s="1410" t="str">
        <f t="shared" si="15"/>
        <v/>
      </c>
      <c r="M307" s="1382"/>
      <c r="N307" s="1382"/>
      <c r="O307" s="1382"/>
      <c r="P307" s="1382"/>
      <c r="Q307" s="1490"/>
      <c r="R307" s="1274"/>
      <c r="S307" s="1509"/>
      <c r="T307" s="1382"/>
      <c r="U307" s="1382"/>
      <c r="V307" s="1382"/>
      <c r="W307" s="1382"/>
      <c r="X307" s="1382"/>
      <c r="Y307" s="1382"/>
      <c r="Z307" s="1382"/>
      <c r="AA307" s="1382"/>
      <c r="AB307" s="1382"/>
      <c r="AC307" s="1382"/>
      <c r="AD307" s="1382"/>
      <c r="AE307" s="1382"/>
      <c r="AF307" s="1382"/>
      <c r="AG307" s="1382"/>
      <c r="AH307" s="1382"/>
      <c r="AI307" s="1382"/>
      <c r="AJ307" s="1382"/>
      <c r="AK307" s="181"/>
      <c r="AL307" s="181"/>
      <c r="AM307" s="181"/>
      <c r="AN307" s="181"/>
      <c r="AO307" s="181"/>
      <c r="AP307" s="181"/>
      <c r="AQ307" s="181"/>
      <c r="AR307" s="181"/>
      <c r="AS307" s="181"/>
      <c r="AT307" s="181"/>
      <c r="AU307" s="181"/>
      <c r="AV307" s="181"/>
    </row>
    <row r="308" spans="1:48" s="30" customFormat="1" x14ac:dyDescent="0.25">
      <c r="A308" s="1518" t="str">
        <f>IF(DD_apply="Yes",IF(COUNTIF('02 - DD'!D308:G308,"Y")&gt;0,"Y",IF(COUNTIF('02 - DD'!D308:G308,"N"),"N","")),"")</f>
        <v>Y</v>
      </c>
      <c r="B308" s="191"/>
      <c r="C308" s="945"/>
      <c r="D308" s="411"/>
      <c r="E308" s="411"/>
      <c r="F308" s="559" t="str">
        <f>IF('C-Design&amp;Const'!$M308="","",'C-Design&amp;Const'!$M308)</f>
        <v>Y</v>
      </c>
      <c r="G308" s="510"/>
      <c r="H308" s="341" t="str">
        <f>CONCATENATE(IF(F308="N","PLACEHOLDER ROW - ",""),'C-Design&amp;Const'!Z308,IF(F308="N","",J308))</f>
        <v>Ventilation Equipment Schedule (Approx. 50% Complete)</v>
      </c>
      <c r="I308" s="197"/>
      <c r="J308" s="578" t="str">
        <f>IF('C-Design&amp;Const'!AG308="","",'C-Design&amp;Const'!AG308)</f>
        <v>(Approx. 50% Complete)</v>
      </c>
      <c r="K308" s="285" t="str">
        <f>IF(CD50_apply="Yes",IF((COUNTIF(D308:G308,"Y")=COUNTIF('02 - DD'!D308:G308,"Y")),"match","no DD match"),"-")</f>
        <v>match</v>
      </c>
      <c r="L308" s="1410" t="str">
        <f t="shared" si="15"/>
        <v/>
      </c>
      <c r="M308" s="1382"/>
      <c r="N308" s="1382"/>
      <c r="O308" s="1382"/>
      <c r="P308" s="1382"/>
      <c r="Q308" s="1490"/>
      <c r="R308" s="1274"/>
      <c r="S308" s="1509"/>
      <c r="T308" s="1382"/>
      <c r="U308" s="1382"/>
      <c r="V308" s="1382"/>
      <c r="W308" s="1382"/>
      <c r="X308" s="1382"/>
      <c r="Y308" s="1382"/>
      <c r="Z308" s="1382"/>
      <c r="AA308" s="1382"/>
      <c r="AB308" s="1382"/>
      <c r="AC308" s="1382"/>
      <c r="AD308" s="1382"/>
      <c r="AE308" s="1382"/>
      <c r="AF308" s="1382"/>
      <c r="AG308" s="1382"/>
      <c r="AH308" s="1382"/>
      <c r="AI308" s="1382"/>
      <c r="AJ308" s="1382"/>
      <c r="AK308" s="181"/>
      <c r="AL308" s="181"/>
      <c r="AM308" s="181"/>
      <c r="AN308" s="181"/>
      <c r="AO308" s="181"/>
      <c r="AP308" s="181"/>
      <c r="AQ308" s="181"/>
      <c r="AR308" s="181"/>
      <c r="AS308" s="181"/>
      <c r="AT308" s="181"/>
      <c r="AU308" s="181"/>
      <c r="AV308" s="181"/>
    </row>
    <row r="309" spans="1:48" s="545" customFormat="1" x14ac:dyDescent="0.25">
      <c r="A309" s="1407" t="str">
        <f>IF(DD_apply="Yes",IF(COUNTIF('02 - DD'!D309:G309,"Y")&gt;0,"Y",IF(COUNTIF('02 - DD'!D309:G309,"N"),"N","")),"")</f>
        <v>Y</v>
      </c>
      <c r="B309" s="554"/>
      <c r="C309" s="945"/>
      <c r="D309" s="411"/>
      <c r="E309" s="559" t="str">
        <f>IF('C-Design&amp;Const'!$M309="","",'C-Design&amp;Const'!$M309)</f>
        <v>Y</v>
      </c>
      <c r="F309" s="456"/>
      <c r="G309" s="510"/>
      <c r="H309" s="347" t="str">
        <f>CONCATENATE(IF(F309="N","PLACEHOLDER ROW - ",""),'C-Design&amp;Const'!Z309,IF(F309="N","",J309))</f>
        <v>Temperature Control Drawings (Including Bid Alts.)</v>
      </c>
      <c r="I309" s="198"/>
      <c r="J309" s="578" t="str">
        <f>IF('C-Design&amp;Const'!AG309="","",'C-Design&amp;Const'!AG309)</f>
        <v xml:space="preserve"> (Including Bid Alts.)</v>
      </c>
      <c r="K309" s="285" t="str">
        <f>IF(CD50_apply="Yes",IF((COUNTIF(D309:G309,"Y")=COUNTIF('02 - DD'!D309:G309,"Y")),"match","no DD match"),"-")</f>
        <v>match</v>
      </c>
      <c r="L309" s="1410" t="str">
        <f t="shared" ref="L309:L315" si="16">CONCATENATE(IF(ISNUMBER(SEARCH("Placeholder",H309))=TRUE,"&lt;---PM/Planner may hide PLACEHOLDER ROW",""))</f>
        <v/>
      </c>
      <c r="M309" s="1382"/>
      <c r="N309" s="1382"/>
      <c r="O309" s="1382"/>
      <c r="P309" s="1382"/>
      <c r="Q309" s="1490"/>
      <c r="R309" s="1274"/>
      <c r="S309" s="1509"/>
      <c r="T309" s="1382"/>
      <c r="U309" s="1382"/>
      <c r="V309" s="1382"/>
      <c r="W309" s="1382"/>
      <c r="X309" s="1382"/>
      <c r="Y309" s="1382"/>
      <c r="Z309" s="1382"/>
      <c r="AA309" s="1382"/>
      <c r="AB309" s="1382"/>
      <c r="AC309" s="1382"/>
      <c r="AD309" s="1382"/>
      <c r="AE309" s="1382"/>
      <c r="AF309" s="1382"/>
      <c r="AG309" s="1382"/>
      <c r="AH309" s="1382"/>
      <c r="AI309" s="1382"/>
      <c r="AJ309" s="1382"/>
      <c r="AK309" s="551"/>
      <c r="AL309" s="551"/>
      <c r="AM309" s="551"/>
      <c r="AN309" s="551"/>
      <c r="AO309" s="551"/>
      <c r="AP309" s="551"/>
      <c r="AQ309" s="551"/>
      <c r="AR309" s="551"/>
      <c r="AS309" s="551"/>
      <c r="AT309" s="551"/>
      <c r="AU309" s="551"/>
      <c r="AV309" s="551"/>
    </row>
    <row r="310" spans="1:48" s="545" customFormat="1" ht="14.25" customHeight="1" x14ac:dyDescent="0.25">
      <c r="A310" s="1518" t="str">
        <f>IF(DD_apply="Yes",IF(COUNTIF('02 - DD'!D310:G310,"Y")&gt;0,"Y",IF(COUNTIF('02 - DD'!D310:G310,"N"),"N","")),"")</f>
        <v>N</v>
      </c>
      <c r="B310" s="554"/>
      <c r="C310" s="945"/>
      <c r="D310" s="411"/>
      <c r="E310" s="411"/>
      <c r="F310" s="559" t="str">
        <f>IF('C-Design&amp;Const'!$M310="","",'C-Design&amp;Const'!$M310)</f>
        <v>N</v>
      </c>
      <c r="G310" s="514"/>
      <c r="H310" s="341" t="str">
        <f>CONCATENATE(IF(F310="N","PLACEHOLDER ROW - ",""),'C-Design&amp;Const'!Z310,IF(F310="N","",J310))</f>
        <v>PLACEHOLDER ROW - CUSTOM - Temperature Control</v>
      </c>
      <c r="I310" s="197"/>
      <c r="J310" s="578" t="str">
        <f>IF('C-Design&amp;Const'!AG310="","",'C-Design&amp;Const'!AG310)</f>
        <v>(Substantially Complete)</v>
      </c>
      <c r="K310" s="285" t="str">
        <f>IF(CD50_apply="Yes",IF((COUNTIF(D310:G310,"Y")=COUNTIF('02 - DD'!D310:G310,"Y")),"match","no DD match"),"-")</f>
        <v>match</v>
      </c>
      <c r="L310" s="1410" t="str">
        <f t="shared" si="16"/>
        <v>&lt;---PM/Planner may hide PLACEHOLDER ROW</v>
      </c>
      <c r="M310" s="1382"/>
      <c r="N310" s="1382"/>
      <c r="O310" s="1382"/>
      <c r="P310" s="1382"/>
      <c r="Q310" s="1274"/>
      <c r="R310" s="1513"/>
      <c r="S310" s="1509"/>
      <c r="T310" s="1382"/>
      <c r="U310" s="1382"/>
      <c r="V310" s="1382"/>
      <c r="W310" s="1382"/>
      <c r="X310" s="1382"/>
      <c r="Y310" s="1382"/>
      <c r="Z310" s="1382"/>
      <c r="AA310" s="1382"/>
      <c r="AB310" s="1382"/>
      <c r="AC310" s="1382"/>
      <c r="AD310" s="1382"/>
      <c r="AE310" s="1382"/>
      <c r="AF310" s="1382"/>
      <c r="AG310" s="1382"/>
      <c r="AH310" s="1382"/>
      <c r="AI310" s="1382"/>
      <c r="AJ310" s="1382"/>
      <c r="AK310" s="551"/>
      <c r="AL310" s="551"/>
      <c r="AM310" s="551"/>
      <c r="AN310" s="551"/>
      <c r="AO310" s="551"/>
      <c r="AP310" s="551"/>
      <c r="AQ310" s="551"/>
      <c r="AR310" s="551"/>
      <c r="AS310" s="551"/>
      <c r="AT310" s="551"/>
      <c r="AU310" s="551"/>
      <c r="AV310" s="551"/>
    </row>
    <row r="311" spans="1:48" s="545" customFormat="1" x14ac:dyDescent="0.25">
      <c r="A311" s="1518" t="str">
        <f>IF(DD_apply="Yes",IF(COUNTIF('02 - DD'!D311:G311,"Y")&gt;0,"Y",IF(COUNTIF('02 - DD'!D311:G311,"N"),"N","")),"")</f>
        <v>N</v>
      </c>
      <c r="B311" s="554"/>
      <c r="C311" s="945"/>
      <c r="D311" s="411"/>
      <c r="E311" s="411"/>
      <c r="F311" s="559" t="str">
        <f>IF('C-Design&amp;Const'!$M311="","",'C-Design&amp;Const'!$M311)</f>
        <v>N</v>
      </c>
      <c r="G311" s="514"/>
      <c r="H311" s="341" t="str">
        <f>CONCATENATE(IF(F311="N","PLACEHOLDER ROW - ",""),'C-Design&amp;Const'!Z311,IF(F311="N","",J311))</f>
        <v>PLACEHOLDER ROW - CUSTOM - Temperature Control</v>
      </c>
      <c r="I311" s="197"/>
      <c r="J311" s="578" t="str">
        <f>IF('C-Design&amp;Const'!AG311="","",'C-Design&amp;Const'!AG311)</f>
        <v>(Substantially Complete)</v>
      </c>
      <c r="K311" s="285" t="str">
        <f>IF(CD50_apply="Yes",IF((COUNTIF(D311:G311,"Y")=COUNTIF('02 - DD'!D311:G311,"Y")),"match","no DD match"),"-")</f>
        <v>match</v>
      </c>
      <c r="L311" s="1410" t="str">
        <f t="shared" si="16"/>
        <v>&lt;---PM/Planner may hide PLACEHOLDER ROW</v>
      </c>
      <c r="M311" s="1382"/>
      <c r="N311" s="1382"/>
      <c r="O311" s="1382"/>
      <c r="P311" s="1382"/>
      <c r="Q311" s="1274"/>
      <c r="R311" s="1513"/>
      <c r="S311" s="1509"/>
      <c r="T311" s="1382"/>
      <c r="U311" s="1382"/>
      <c r="V311" s="1382"/>
      <c r="W311" s="1382"/>
      <c r="X311" s="1382"/>
      <c r="Y311" s="1382"/>
      <c r="Z311" s="1382"/>
      <c r="AA311" s="1382"/>
      <c r="AB311" s="1382"/>
      <c r="AC311" s="1382"/>
      <c r="AD311" s="1382"/>
      <c r="AE311" s="1382"/>
      <c r="AF311" s="1382"/>
      <c r="AG311" s="1382"/>
      <c r="AH311" s="1382"/>
      <c r="AI311" s="1382"/>
      <c r="AJ311" s="1382"/>
      <c r="AK311" s="551"/>
      <c r="AL311" s="551"/>
      <c r="AM311" s="551"/>
      <c r="AN311" s="551"/>
      <c r="AO311" s="551"/>
      <c r="AP311" s="551"/>
      <c r="AQ311" s="551"/>
      <c r="AR311" s="551"/>
      <c r="AS311" s="551"/>
      <c r="AT311" s="551"/>
      <c r="AU311" s="551"/>
      <c r="AV311" s="551"/>
    </row>
    <row r="312" spans="1:48" s="545" customFormat="1" x14ac:dyDescent="0.25">
      <c r="A312" s="1518" t="str">
        <f>IF(DD_apply="Yes",IF(COUNTIF('02 - DD'!D312:G312,"Y")&gt;0,"Y",IF(COUNTIF('02 - DD'!D312:G312,"N"),"N","")),"")</f>
        <v>Y</v>
      </c>
      <c r="B312" s="554"/>
      <c r="C312" s="945"/>
      <c r="D312" s="411"/>
      <c r="E312" s="411"/>
      <c r="F312" s="559" t="str">
        <f>IF('C-Design&amp;Const'!$M312="","",'C-Design&amp;Const'!$M312)</f>
        <v>Y</v>
      </c>
      <c r="G312" s="510"/>
      <c r="H312" s="341" t="str">
        <f>CONCATENATE(IF(F312="N","PLACEHOLDER ROW - ",""),'C-Design&amp;Const'!Z312,IF(F312="N","",J312))</f>
        <v>Temperature Control Symbols, Abbreviations, and General Notes (Complete)</v>
      </c>
      <c r="I312" s="197"/>
      <c r="J312" s="578" t="str">
        <f>IF('C-Design&amp;Const'!AG312="","",'C-Design&amp;Const'!AG312)</f>
        <v>(Complete)</v>
      </c>
      <c r="K312" s="285" t="str">
        <f>IF(CD50_apply="Yes",IF((COUNTIF(D312:G312,"Y")=COUNTIF('02 - DD'!D312:G312,"Y")),"match","no DD match"),"-")</f>
        <v>match</v>
      </c>
      <c r="L312" s="1410" t="str">
        <f t="shared" si="16"/>
        <v/>
      </c>
      <c r="M312" s="1382"/>
      <c r="N312" s="1382"/>
      <c r="O312" s="1382"/>
      <c r="P312" s="1382"/>
      <c r="Q312" s="1490"/>
      <c r="R312" s="1274"/>
      <c r="S312" s="1509"/>
      <c r="T312" s="1382"/>
      <c r="U312" s="1382"/>
      <c r="V312" s="1382"/>
      <c r="W312" s="1382"/>
      <c r="X312" s="1382"/>
      <c r="Y312" s="1382"/>
      <c r="Z312" s="1382"/>
      <c r="AA312" s="1382"/>
      <c r="AB312" s="1382"/>
      <c r="AC312" s="1382"/>
      <c r="AD312" s="1382"/>
      <c r="AE312" s="1382"/>
      <c r="AF312" s="1382"/>
      <c r="AG312" s="1382"/>
      <c r="AH312" s="1382"/>
      <c r="AI312" s="1382"/>
      <c r="AJ312" s="1382"/>
      <c r="AK312" s="551"/>
      <c r="AL312" s="551"/>
      <c r="AM312" s="551"/>
      <c r="AN312" s="551"/>
      <c r="AO312" s="551"/>
      <c r="AP312" s="551"/>
      <c r="AQ312" s="551"/>
      <c r="AR312" s="551"/>
      <c r="AS312" s="551"/>
      <c r="AT312" s="551"/>
      <c r="AU312" s="551"/>
      <c r="AV312" s="551"/>
    </row>
    <row r="313" spans="1:48" s="551" customFormat="1" x14ac:dyDescent="0.25">
      <c r="A313" s="1518" t="str">
        <f>IF(DD_apply="Yes",IF(COUNTIF('02 - DD'!D313:G313,"Y")&gt;0,"Y",IF(COUNTIF('02 - DD'!D313:G313,"N"),"N","")),"")</f>
        <v>Y</v>
      </c>
      <c r="B313" s="549"/>
      <c r="C313" s="945"/>
      <c r="D313" s="411"/>
      <c r="E313" s="411"/>
      <c r="F313" s="559" t="str">
        <f>IF('C-Design&amp;Const'!$M313="","",'C-Design&amp;Const'!$M313)</f>
        <v>Y</v>
      </c>
      <c r="G313" s="510"/>
      <c r="H313" s="341" t="str">
        <f>CONCATENATE(IF(F313="N","PLACEHOLDER ROW - ",""),'C-Design&amp;Const'!Z313,IF(F313="N","",J313))</f>
        <v>Temperature Control Demolition(s) (Substantially Complete)</v>
      </c>
      <c r="I313" s="197"/>
      <c r="J313" s="578" t="str">
        <f>IF('C-Design&amp;Const'!AG313="","",'C-Design&amp;Const'!AG313)</f>
        <v>(Substantially Complete)</v>
      </c>
      <c r="K313" s="285" t="str">
        <f>IF(CD50_apply="Yes",IF((COUNTIF(D313:G313,"Y")=COUNTIF('02 - DD'!D313:G313,"Y")),"match","no DD match"),"-")</f>
        <v>match</v>
      </c>
      <c r="L313" s="1410" t="str">
        <f>CONCATENATE(IF(ISNUMBER(SEARCH("Placeholder",H313))=TRUE,"&lt;---PM/Planner may hide PLACEHOLDER ROW",""))</f>
        <v/>
      </c>
      <c r="M313" s="1382"/>
      <c r="N313" s="1382"/>
      <c r="O313" s="1382"/>
      <c r="P313" s="1382"/>
      <c r="Q313" s="1490"/>
      <c r="R313" s="1274"/>
      <c r="S313" s="1509"/>
      <c r="T313" s="1382"/>
      <c r="U313" s="1382"/>
      <c r="V313" s="1382"/>
      <c r="W313" s="1382"/>
      <c r="X313" s="1382"/>
      <c r="Y313" s="1382"/>
      <c r="Z313" s="1382"/>
      <c r="AA313" s="1382"/>
      <c r="AB313" s="1382"/>
      <c r="AC313" s="1382"/>
      <c r="AD313" s="1382"/>
      <c r="AE313" s="1382"/>
      <c r="AF313" s="1382"/>
      <c r="AG313" s="1382"/>
      <c r="AH313" s="1382"/>
      <c r="AI313" s="1382"/>
      <c r="AJ313" s="1382"/>
    </row>
    <row r="314" spans="1:48" s="545" customFormat="1" x14ac:dyDescent="0.25">
      <c r="A314" s="1518" t="str">
        <f>IF(DD_apply="Yes",IF(COUNTIF('02 - DD'!D314:G314,"Y")&gt;0,"Y",IF(COUNTIF('02 - DD'!D314:G314,"N"),"N","")),"")</f>
        <v>Y</v>
      </c>
      <c r="B314" s="554"/>
      <c r="C314" s="945"/>
      <c r="D314" s="411"/>
      <c r="E314" s="411"/>
      <c r="F314" s="559" t="str">
        <f>IF('C-Design&amp;Const'!$M314="","",'C-Design&amp;Const'!$M314)</f>
        <v>Y</v>
      </c>
      <c r="G314" s="510"/>
      <c r="H314" s="341" t="str">
        <f>CONCATENATE(IF(F314="N","PLACEHOLDER ROW - ",""),'C-Design&amp;Const'!Z314,IF(F314="N","",J314))</f>
        <v>Temperature Control Floor Plans (Substantially Complete)</v>
      </c>
      <c r="I314" s="197"/>
      <c r="J314" s="578" t="str">
        <f>IF('C-Design&amp;Const'!AG314="","",'C-Design&amp;Const'!AG314)</f>
        <v>(Substantially Complete)</v>
      </c>
      <c r="K314" s="285" t="str">
        <f>IF(CD50_apply="Yes",IF((COUNTIF(D314:G314,"Y")=COUNTIF('02 - DD'!D314:G314,"Y")),"match","no DD match"),"-")</f>
        <v>match</v>
      </c>
      <c r="L314" s="1410" t="str">
        <f t="shared" si="16"/>
        <v/>
      </c>
      <c r="M314" s="1382"/>
      <c r="N314" s="1382"/>
      <c r="O314" s="1382"/>
      <c r="P314" s="1382"/>
      <c r="Q314" s="1490"/>
      <c r="R314" s="1274"/>
      <c r="S314" s="1509"/>
      <c r="T314" s="1382"/>
      <c r="U314" s="1382"/>
      <c r="V314" s="1382"/>
      <c r="W314" s="1382"/>
      <c r="X314" s="1382"/>
      <c r="Y314" s="1382"/>
      <c r="Z314" s="1382"/>
      <c r="AA314" s="1382"/>
      <c r="AB314" s="1382"/>
      <c r="AC314" s="1382"/>
      <c r="AD314" s="1382"/>
      <c r="AE314" s="1382"/>
      <c r="AF314" s="1382"/>
      <c r="AG314" s="1382"/>
      <c r="AH314" s="1382"/>
      <c r="AI314" s="1382"/>
      <c r="AJ314" s="1382"/>
      <c r="AK314" s="551"/>
      <c r="AL314" s="551"/>
      <c r="AM314" s="551"/>
      <c r="AN314" s="551"/>
      <c r="AO314" s="551"/>
      <c r="AP314" s="551"/>
      <c r="AQ314" s="551"/>
      <c r="AR314" s="551"/>
      <c r="AS314" s="551"/>
      <c r="AT314" s="551"/>
      <c r="AU314" s="551"/>
      <c r="AV314" s="551"/>
    </row>
    <row r="315" spans="1:48" s="545" customFormat="1" x14ac:dyDescent="0.25">
      <c r="A315" s="1518" t="str">
        <f>IF(DD_apply="Yes",IF(COUNTIF('02 - DD'!D315:G315,"Y")&gt;0,"Y",IF(COUNTIF('02 - DD'!D315:G315,"N"),"N","")),"")</f>
        <v>Y</v>
      </c>
      <c r="B315" s="554"/>
      <c r="C315" s="945"/>
      <c r="D315" s="411"/>
      <c r="E315" s="411"/>
      <c r="F315" s="559" t="str">
        <f>IF('C-Design&amp;Const'!$M315="","",'C-Design&amp;Const'!$M315)</f>
        <v>Y</v>
      </c>
      <c r="G315" s="510"/>
      <c r="H315" s="341" t="str">
        <f>CONCATENATE(IF(F315="N","PLACEHOLDER ROW - ",""),'C-Design&amp;Const'!Z315,IF(F315="N","",J315))</f>
        <v>Temperature Control Sequences, Schedules, and Diagrams(Approx. 50% Complete)</v>
      </c>
      <c r="I315" s="197"/>
      <c r="J315" s="578" t="str">
        <f>IF('C-Design&amp;Const'!AG315="","",'C-Design&amp;Const'!AG315)</f>
        <v>(Approx. 50% Complete)</v>
      </c>
      <c r="K315" s="285" t="str">
        <f>IF(CD50_apply="Yes",IF((COUNTIF(D315:G315,"Y")=COUNTIF('02 - DD'!D315:G315,"Y")),"match","no DD match"),"-")</f>
        <v>match</v>
      </c>
      <c r="L315" s="1410" t="str">
        <f t="shared" si="16"/>
        <v/>
      </c>
      <c r="M315" s="1382"/>
      <c r="N315" s="1382"/>
      <c r="O315" s="1382"/>
      <c r="P315" s="1382"/>
      <c r="Q315" s="1490"/>
      <c r="R315" s="1274"/>
      <c r="S315" s="1509"/>
      <c r="T315" s="1382"/>
      <c r="U315" s="1382"/>
      <c r="V315" s="1382"/>
      <c r="W315" s="1382"/>
      <c r="X315" s="1382"/>
      <c r="Y315" s="1382"/>
      <c r="Z315" s="1382"/>
      <c r="AA315" s="1382"/>
      <c r="AB315" s="1382"/>
      <c r="AC315" s="1382"/>
      <c r="AD315" s="1382"/>
      <c r="AE315" s="1382"/>
      <c r="AF315" s="1382"/>
      <c r="AG315" s="1382"/>
      <c r="AH315" s="1382"/>
      <c r="AI315" s="1382"/>
      <c r="AJ315" s="1382"/>
      <c r="AK315" s="551"/>
      <c r="AL315" s="551"/>
      <c r="AM315" s="551"/>
      <c r="AN315" s="551"/>
      <c r="AO315" s="551"/>
      <c r="AP315" s="551"/>
      <c r="AQ315" s="551"/>
      <c r="AR315" s="551"/>
      <c r="AS315" s="551"/>
      <c r="AT315" s="551"/>
      <c r="AU315" s="551"/>
      <c r="AV315" s="551"/>
    </row>
    <row r="316" spans="1:48" s="30" customFormat="1" x14ac:dyDescent="0.25">
      <c r="A316" s="1407" t="str">
        <f>IF(DD_apply="Yes",IF(COUNTIF('02 - DD'!D316:G316,"Y")&gt;0,"Y",IF(COUNTIF('02 - DD'!D316:G316,"N"),"N","")),"")</f>
        <v>Y</v>
      </c>
      <c r="B316" s="191"/>
      <c r="C316" s="945"/>
      <c r="D316" s="411"/>
      <c r="E316" s="559" t="str">
        <f>IF('C-Design&amp;Const'!$M316="","",'C-Design&amp;Const'!$M316)</f>
        <v>Y</v>
      </c>
      <c r="F316" s="456"/>
      <c r="G316" s="510"/>
      <c r="H316" s="347" t="str">
        <f>CONCATENATE(IF(F316="N","PLACEHOLDER ROW - ",""),'C-Design&amp;Const'!Z316,IF(F316="N","",J316))</f>
        <v>Electrical Drawings (Including Bid Alts.)</v>
      </c>
      <c r="I316" s="198"/>
      <c r="J316" s="578" t="str">
        <f>IF('C-Design&amp;Const'!AG316="","",'C-Design&amp;Const'!AG316)</f>
        <v xml:space="preserve"> (Including Bid Alts.)</v>
      </c>
      <c r="K316" s="285" t="str">
        <f>IF(CD50_apply="Yes",IF((COUNTIF(D316:G316,"Y")=COUNTIF('02 - DD'!D316:G316,"Y")),"match","no DD match"),"-")</f>
        <v>match</v>
      </c>
      <c r="L316" s="1410" t="str">
        <f t="shared" si="15"/>
        <v/>
      </c>
      <c r="M316" s="1382"/>
      <c r="N316" s="1382"/>
      <c r="O316" s="1382"/>
      <c r="P316" s="1382"/>
      <c r="Q316" s="1490"/>
      <c r="R316" s="1274"/>
      <c r="S316" s="1509"/>
      <c r="T316" s="1382"/>
      <c r="U316" s="1382"/>
      <c r="V316" s="1382"/>
      <c r="W316" s="1382"/>
      <c r="X316" s="1382"/>
      <c r="Y316" s="1382"/>
      <c r="Z316" s="1382"/>
      <c r="AA316" s="1382"/>
      <c r="AB316" s="1382"/>
      <c r="AC316" s="1382"/>
      <c r="AD316" s="1382"/>
      <c r="AE316" s="1382"/>
      <c r="AF316" s="1382"/>
      <c r="AG316" s="1382"/>
      <c r="AH316" s="1382"/>
      <c r="AI316" s="1382"/>
      <c r="AJ316" s="1382"/>
      <c r="AK316" s="181"/>
      <c r="AL316" s="181"/>
      <c r="AM316" s="181"/>
      <c r="AN316" s="181"/>
      <c r="AO316" s="181"/>
      <c r="AP316" s="181"/>
      <c r="AQ316" s="181"/>
      <c r="AR316" s="181"/>
      <c r="AS316" s="181"/>
      <c r="AT316" s="181"/>
      <c r="AU316" s="181"/>
      <c r="AV316" s="181"/>
    </row>
    <row r="317" spans="1:48" s="30" customFormat="1" ht="14.25" customHeight="1" x14ac:dyDescent="0.25">
      <c r="A317" s="1518" t="str">
        <f>IF(DD_apply="Yes",IF(COUNTIF('02 - DD'!D317:G317,"Y")&gt;0,"Y",IF(COUNTIF('02 - DD'!D317:G317,"N"),"N","")),"")</f>
        <v>N</v>
      </c>
      <c r="B317" s="191"/>
      <c r="C317" s="945"/>
      <c r="D317" s="411"/>
      <c r="E317" s="411"/>
      <c r="F317" s="559" t="str">
        <f>IF('C-Design&amp;Const'!$M317="","",'C-Design&amp;Const'!$M317)</f>
        <v>N</v>
      </c>
      <c r="G317" s="514"/>
      <c r="H317" s="341" t="str">
        <f>CONCATENATE(IF(F317="N","PLACEHOLDER ROW - ",""),'C-Design&amp;Const'!Z317,IF(F317="N","",J317))</f>
        <v xml:space="preserve">PLACEHOLDER ROW - CUSTOM - Electrical  </v>
      </c>
      <c r="I317" s="197"/>
      <c r="J317" s="578" t="str">
        <f>IF('C-Design&amp;Const'!AG317="","",'C-Design&amp;Const'!AG317)</f>
        <v>(Substantially Complete)</v>
      </c>
      <c r="K317" s="285" t="str">
        <f>IF(CD50_apply="Yes",IF((COUNTIF(D317:G317,"Y")=COUNTIF('02 - DD'!D317:G317,"Y")),"match","no DD match"),"-")</f>
        <v>match</v>
      </c>
      <c r="L317" s="1410" t="str">
        <f t="shared" si="15"/>
        <v>&lt;---PM/Planner may hide PLACEHOLDER ROW</v>
      </c>
      <c r="M317" s="1382"/>
      <c r="N317" s="1382"/>
      <c r="O317" s="1382"/>
      <c r="P317" s="1382"/>
      <c r="Q317" s="1274"/>
      <c r="R317" s="1513"/>
      <c r="S317" s="1509"/>
      <c r="T317" s="1382"/>
      <c r="U317" s="1382"/>
      <c r="V317" s="1382"/>
      <c r="W317" s="1382"/>
      <c r="X317" s="1382"/>
      <c r="Y317" s="1382"/>
      <c r="Z317" s="1382"/>
      <c r="AA317" s="1382"/>
      <c r="AB317" s="1382"/>
      <c r="AC317" s="1382"/>
      <c r="AD317" s="1382"/>
      <c r="AE317" s="1382"/>
      <c r="AF317" s="1382"/>
      <c r="AG317" s="1382"/>
      <c r="AH317" s="1382"/>
      <c r="AI317" s="1382"/>
      <c r="AJ317" s="1382"/>
      <c r="AK317" s="181"/>
      <c r="AL317" s="181"/>
      <c r="AM317" s="181"/>
      <c r="AN317" s="181"/>
      <c r="AO317" s="181"/>
      <c r="AP317" s="181"/>
      <c r="AQ317" s="181"/>
      <c r="AR317" s="181"/>
      <c r="AS317" s="181"/>
      <c r="AT317" s="181"/>
      <c r="AU317" s="181"/>
      <c r="AV317" s="181"/>
    </row>
    <row r="318" spans="1:48" s="30" customFormat="1" x14ac:dyDescent="0.25">
      <c r="A318" s="1518" t="str">
        <f>IF(DD_apply="Yes",IF(COUNTIF('02 - DD'!D318:G318,"Y")&gt;0,"Y",IF(COUNTIF('02 - DD'!D318:G318,"N"),"N","")),"")</f>
        <v>N</v>
      </c>
      <c r="B318" s="191"/>
      <c r="C318" s="945"/>
      <c r="D318" s="411"/>
      <c r="E318" s="411"/>
      <c r="F318" s="559" t="str">
        <f>IF('C-Design&amp;Const'!$M318="","",'C-Design&amp;Const'!$M318)</f>
        <v>N</v>
      </c>
      <c r="G318" s="514"/>
      <c r="H318" s="341" t="str">
        <f>CONCATENATE(IF(F318="N","PLACEHOLDER ROW - ",""),'C-Design&amp;Const'!Z318,IF(F318="N","",J318))</f>
        <v xml:space="preserve">PLACEHOLDER ROW - CUSTOM - Electrical  </v>
      </c>
      <c r="I318" s="197"/>
      <c r="J318" s="578" t="str">
        <f>IF('C-Design&amp;Const'!AG318="","",'C-Design&amp;Const'!AG318)</f>
        <v>(Substantially Complete)</v>
      </c>
      <c r="K318" s="285" t="str">
        <f>IF(CD50_apply="Yes",IF((COUNTIF(D318:G318,"Y")=COUNTIF('02 - DD'!D318:G318,"Y")),"match","no DD match"),"-")</f>
        <v>match</v>
      </c>
      <c r="L318" s="1410" t="str">
        <f t="shared" si="15"/>
        <v>&lt;---PM/Planner may hide PLACEHOLDER ROW</v>
      </c>
      <c r="M318" s="1382"/>
      <c r="N318" s="1382"/>
      <c r="O318" s="1382"/>
      <c r="P318" s="1382"/>
      <c r="Q318" s="1274"/>
      <c r="R318" s="1513"/>
      <c r="S318" s="1509"/>
      <c r="T318" s="1382"/>
      <c r="U318" s="1382"/>
      <c r="V318" s="1382"/>
      <c r="W318" s="1382"/>
      <c r="X318" s="1382"/>
      <c r="Y318" s="1382"/>
      <c r="Z318" s="1382"/>
      <c r="AA318" s="1382"/>
      <c r="AB318" s="1382"/>
      <c r="AC318" s="1382"/>
      <c r="AD318" s="1382"/>
      <c r="AE318" s="1382"/>
      <c r="AF318" s="1382"/>
      <c r="AG318" s="1382"/>
      <c r="AH318" s="1382"/>
      <c r="AI318" s="1382"/>
      <c r="AJ318" s="1382"/>
      <c r="AK318" s="181"/>
      <c r="AL318" s="181"/>
      <c r="AM318" s="181"/>
      <c r="AN318" s="181"/>
      <c r="AO318" s="181"/>
      <c r="AP318" s="181"/>
      <c r="AQ318" s="181"/>
      <c r="AR318" s="181"/>
      <c r="AS318" s="181"/>
      <c r="AT318" s="181"/>
      <c r="AU318" s="181"/>
      <c r="AV318" s="181"/>
    </row>
    <row r="319" spans="1:48" s="30" customFormat="1" x14ac:dyDescent="0.25">
      <c r="A319" s="1518" t="str">
        <f>IF(DD_apply="Yes",IF(COUNTIF('02 - DD'!D319:G319,"Y")&gt;0,"Y",IF(COUNTIF('02 - DD'!D319:G319,"N"),"N","")),"")</f>
        <v>Y</v>
      </c>
      <c r="B319" s="191"/>
      <c r="C319" s="945"/>
      <c r="D319" s="411"/>
      <c r="E319" s="411"/>
      <c r="F319" s="559" t="str">
        <f>IF('C-Design&amp;Const'!$M319="","",'C-Design&amp;Const'!$M319)</f>
        <v>Y</v>
      </c>
      <c r="G319" s="510"/>
      <c r="H319" s="341" t="str">
        <f>CONCATENATE(IF(F319="N","PLACEHOLDER ROW - ",""),'C-Design&amp;Const'!Z319,IF(F319="N","",J319))</f>
        <v>Electrical Symbols, Abbreviations, and General Notes (Complete)</v>
      </c>
      <c r="I319" s="197"/>
      <c r="J319" s="578" t="str">
        <f>IF('C-Design&amp;Const'!AG319="","",'C-Design&amp;Const'!AG319)</f>
        <v>(Complete)</v>
      </c>
      <c r="K319" s="285" t="str">
        <f>IF(CD50_apply="Yes",IF((COUNTIF(D319:G319,"Y")=COUNTIF('02 - DD'!D319:G319,"Y")),"match","no DD match"),"-")</f>
        <v>match</v>
      </c>
      <c r="L319" s="1410" t="str">
        <f t="shared" si="15"/>
        <v/>
      </c>
      <c r="M319" s="1382"/>
      <c r="N319" s="1382"/>
      <c r="O319" s="1382"/>
      <c r="P319" s="1382"/>
      <c r="Q319" s="1490"/>
      <c r="R319" s="1274"/>
      <c r="S319" s="1509"/>
      <c r="T319" s="1382"/>
      <c r="U319" s="1382"/>
      <c r="V319" s="1382"/>
      <c r="W319" s="1382"/>
      <c r="X319" s="1382"/>
      <c r="Y319" s="1382"/>
      <c r="Z319" s="1382"/>
      <c r="AA319" s="1382"/>
      <c r="AB319" s="1382"/>
      <c r="AC319" s="1382"/>
      <c r="AD319" s="1382"/>
      <c r="AE319" s="1382"/>
      <c r="AF319" s="1382"/>
      <c r="AG319" s="1382"/>
      <c r="AH319" s="1382"/>
      <c r="AI319" s="1382"/>
      <c r="AJ319" s="1382"/>
      <c r="AK319" s="181"/>
      <c r="AL319" s="181"/>
      <c r="AM319" s="181"/>
      <c r="AN319" s="181"/>
      <c r="AO319" s="181"/>
      <c r="AP319" s="181"/>
      <c r="AQ319" s="181"/>
      <c r="AR319" s="181"/>
      <c r="AS319" s="181"/>
      <c r="AT319" s="181"/>
      <c r="AU319" s="181"/>
      <c r="AV319" s="181"/>
    </row>
    <row r="320" spans="1:48" s="551" customFormat="1" x14ac:dyDescent="0.25">
      <c r="A320" s="1518" t="str">
        <f>IF(DD_apply="Yes",IF(COUNTIF('02 - DD'!D320:G320,"Y")&gt;0,"Y",IF(COUNTIF('02 - DD'!D320:G320,"N"),"N","")),"")</f>
        <v>Y</v>
      </c>
      <c r="B320" s="549"/>
      <c r="C320" s="945"/>
      <c r="D320" s="411"/>
      <c r="E320" s="411"/>
      <c r="F320" s="559" t="str">
        <f>IF('C-Design&amp;Const'!$M320="","",'C-Design&amp;Const'!$M320)</f>
        <v>Y</v>
      </c>
      <c r="G320" s="510"/>
      <c r="H320" s="341" t="str">
        <f>CONCATENATE(IF(F320="N","PLACEHOLDER ROW - ",""),'C-Design&amp;Const'!Z320,IF(F320="N","",J320))</f>
        <v>Electrical Demolition(s) (Substantially Complete)</v>
      </c>
      <c r="I320" s="197"/>
      <c r="J320" s="578" t="str">
        <f>IF('C-Design&amp;Const'!AG320="","",'C-Design&amp;Const'!AG320)</f>
        <v>(Substantially Complete)</v>
      </c>
      <c r="K320" s="285" t="str">
        <f>IF(CD50_apply="Yes",IF((COUNTIF(D320:G320,"Y")=COUNTIF('02 - DD'!D320:G320,"Y")),"match","no DD match"),"-")</f>
        <v>match</v>
      </c>
      <c r="L320" s="1410" t="str">
        <f>CONCATENATE(IF(ISNUMBER(SEARCH("Placeholder",H320))=TRUE,"&lt;---PM/Planner may hide PLACEHOLDER ROW",""))</f>
        <v/>
      </c>
      <c r="M320" s="1382"/>
      <c r="N320" s="1382"/>
      <c r="O320" s="1382"/>
      <c r="P320" s="1382"/>
      <c r="Q320" s="1490"/>
      <c r="R320" s="1274"/>
      <c r="S320" s="1509"/>
      <c r="T320" s="1382"/>
      <c r="U320" s="1382"/>
      <c r="V320" s="1382"/>
      <c r="W320" s="1382"/>
      <c r="X320" s="1382"/>
      <c r="Y320" s="1382"/>
      <c r="Z320" s="1382"/>
      <c r="AA320" s="1382"/>
      <c r="AB320" s="1382"/>
      <c r="AC320" s="1382"/>
      <c r="AD320" s="1382"/>
      <c r="AE320" s="1382"/>
      <c r="AF320" s="1382"/>
      <c r="AG320" s="1382"/>
      <c r="AH320" s="1382"/>
      <c r="AI320" s="1382"/>
      <c r="AJ320" s="1382"/>
    </row>
    <row r="321" spans="1:49" s="30" customFormat="1" x14ac:dyDescent="0.25">
      <c r="A321" s="1518" t="str">
        <f>IF(DD_apply="Yes",IF(COUNTIF('02 - DD'!D321:G321,"Y")&gt;0,"Y",IF(COUNTIF('02 - DD'!D321:G321,"N"),"N","")),"")</f>
        <v>Y</v>
      </c>
      <c r="B321" s="191"/>
      <c r="C321" s="945"/>
      <c r="D321" s="411"/>
      <c r="E321" s="411"/>
      <c r="F321" s="559" t="str">
        <f>IF('C-Design&amp;Const'!$M321="","",'C-Design&amp;Const'!$M321)</f>
        <v>Y</v>
      </c>
      <c r="G321" s="510"/>
      <c r="H321" s="341" t="str">
        <f>CONCATENATE(IF(F321="N","PLACEHOLDER ROW - ",""),'C-Design&amp;Const'!Z321,IF(F321="N","",J321))</f>
        <v>Electrical Floor Plans w/ Devices for Power (Approx. 50% Complete)</v>
      </c>
      <c r="I321" s="197"/>
      <c r="J321" s="578" t="str">
        <f>IF('C-Design&amp;Const'!AG321="","",'C-Design&amp;Const'!AG321)</f>
        <v>(Approx. 50% Complete)</v>
      </c>
      <c r="K321" s="285" t="str">
        <f>IF(CD50_apply="Yes",IF((COUNTIF(D321:G321,"Y")=COUNTIF('02 - DD'!D321:G321,"Y")),"match","no DD match"),"-")</f>
        <v>match</v>
      </c>
      <c r="L321" s="1410" t="str">
        <f t="shared" si="15"/>
        <v/>
      </c>
      <c r="M321" s="1382"/>
      <c r="N321" s="1382"/>
      <c r="O321" s="1382"/>
      <c r="P321" s="1382"/>
      <c r="Q321" s="1490"/>
      <c r="R321" s="1274"/>
      <c r="S321" s="1509"/>
      <c r="T321" s="1382"/>
      <c r="U321" s="1382"/>
      <c r="V321" s="1382"/>
      <c r="W321" s="1382"/>
      <c r="X321" s="1382"/>
      <c r="Y321" s="1382"/>
      <c r="Z321" s="1382"/>
      <c r="AA321" s="1382"/>
      <c r="AB321" s="1382"/>
      <c r="AC321" s="1382"/>
      <c r="AD321" s="1382"/>
      <c r="AE321" s="1382"/>
      <c r="AF321" s="1382"/>
      <c r="AG321" s="1382"/>
      <c r="AH321" s="1382"/>
      <c r="AI321" s="1382"/>
      <c r="AJ321" s="1382"/>
      <c r="AK321" s="181"/>
      <c r="AL321" s="181"/>
      <c r="AM321" s="181"/>
      <c r="AN321" s="181"/>
      <c r="AO321" s="181"/>
      <c r="AP321" s="181"/>
      <c r="AQ321" s="181"/>
      <c r="AR321" s="181"/>
      <c r="AS321" s="181"/>
      <c r="AT321" s="181"/>
      <c r="AU321" s="181"/>
      <c r="AV321" s="181"/>
    </row>
    <row r="322" spans="1:49" s="30" customFormat="1" x14ac:dyDescent="0.25">
      <c r="A322" s="1518" t="str">
        <f>IF(DD_apply="Yes",IF(COUNTIF('02 - DD'!D322:G322,"Y")&gt;0,"Y",IF(COUNTIF('02 - DD'!D322:G322,"N"),"N","")),"")</f>
        <v>Y</v>
      </c>
      <c r="B322" s="191"/>
      <c r="C322" s="945"/>
      <c r="D322" s="411"/>
      <c r="E322" s="411"/>
      <c r="F322" s="559" t="str">
        <f>IF('C-Design&amp;Const'!$M322="","",'C-Design&amp;Const'!$M322)</f>
        <v>Y</v>
      </c>
      <c r="G322" s="510"/>
      <c r="H322" s="341" t="str">
        <f>CONCATENATE(IF(F322="N","PLACEHOLDER ROW - ",""),'C-Design&amp;Const'!Z322,IF(F322="N","",J322))</f>
        <v>Electrical Lighting Plans; Power Plans (Approx. 50% Complete)</v>
      </c>
      <c r="I322" s="197"/>
      <c r="J322" s="578" t="str">
        <f>IF('C-Design&amp;Const'!AG322="","",'C-Design&amp;Const'!AG322)</f>
        <v>(Approx. 50% Complete)</v>
      </c>
      <c r="K322" s="285" t="str">
        <f>IF(CD50_apply="Yes",IF((COUNTIF(D322:G322,"Y")=COUNTIF('02 - DD'!D322:G322,"Y")),"match","no DD match"),"-")</f>
        <v>match</v>
      </c>
      <c r="L322" s="1410" t="str">
        <f t="shared" si="15"/>
        <v/>
      </c>
      <c r="M322" s="1382"/>
      <c r="N322" s="1382"/>
      <c r="O322" s="1382"/>
      <c r="P322" s="1382"/>
      <c r="Q322" s="1490"/>
      <c r="R322" s="1274"/>
      <c r="S322" s="1509"/>
      <c r="T322" s="1382"/>
      <c r="U322" s="1382"/>
      <c r="V322" s="1382"/>
      <c r="W322" s="1382"/>
      <c r="X322" s="1382"/>
      <c r="Y322" s="1382"/>
      <c r="Z322" s="1382"/>
      <c r="AA322" s="1382"/>
      <c r="AB322" s="1382"/>
      <c r="AC322" s="1382"/>
      <c r="AD322" s="1382"/>
      <c r="AE322" s="1382"/>
      <c r="AF322" s="1382"/>
      <c r="AG322" s="1382"/>
      <c r="AH322" s="1382"/>
      <c r="AI322" s="1382"/>
      <c r="AJ322" s="1382"/>
      <c r="AK322" s="181"/>
      <c r="AL322" s="181"/>
      <c r="AM322" s="181"/>
      <c r="AN322" s="181"/>
      <c r="AO322" s="181"/>
      <c r="AP322" s="181"/>
      <c r="AQ322" s="181"/>
      <c r="AR322" s="181"/>
      <c r="AS322" s="181"/>
      <c r="AT322" s="181"/>
      <c r="AU322" s="181"/>
      <c r="AV322" s="181"/>
    </row>
    <row r="323" spans="1:49" s="30" customFormat="1" x14ac:dyDescent="0.25">
      <c r="A323" s="1518" t="str">
        <f>IF(DD_apply="Yes",IF(COUNTIF('02 - DD'!D323:G323,"Y")&gt;0,"Y",IF(COUNTIF('02 - DD'!D323:G323,"N"),"N","")),"")</f>
        <v>N</v>
      </c>
      <c r="B323" s="191"/>
      <c r="C323" s="945"/>
      <c r="D323" s="411"/>
      <c r="E323" s="411"/>
      <c r="F323" s="559" t="str">
        <f>IF('C-Design&amp;Const'!$M323="","",'C-Design&amp;Const'!$M323)</f>
        <v>Y</v>
      </c>
      <c r="G323" s="510"/>
      <c r="H323" s="341" t="str">
        <f>CONCATENATE(IF(F323="N","PLACEHOLDER ROW - ",""),'C-Design&amp;Const'!Z323,IF(F323="N","",J323))</f>
        <v>Electrical Primary Feed Diagrams (Substantially Complete)</v>
      </c>
      <c r="I323" s="197"/>
      <c r="J323" s="578" t="str">
        <f>IF('C-Design&amp;Const'!AG323="","",'C-Design&amp;Const'!AG323)</f>
        <v>(Substantially Complete)</v>
      </c>
      <c r="K323" s="285" t="str">
        <f>IF(CD50_apply="Yes",IF((COUNTIF(D323:G323,"Y")=COUNTIF('02 - DD'!D323:G323,"Y")),"match","no DD match"),"-")</f>
        <v>no DD match</v>
      </c>
      <c r="L323" s="1410" t="str">
        <f t="shared" si="15"/>
        <v/>
      </c>
      <c r="M323" s="1382"/>
      <c r="N323" s="1382"/>
      <c r="O323" s="1382"/>
      <c r="P323" s="1382"/>
      <c r="Q323" s="1490"/>
      <c r="R323" s="1274"/>
      <c r="S323" s="1509"/>
      <c r="T323" s="1382"/>
      <c r="U323" s="1382"/>
      <c r="V323" s="1382"/>
      <c r="W323" s="1382"/>
      <c r="X323" s="1382"/>
      <c r="Y323" s="1382"/>
      <c r="Z323" s="1382"/>
      <c r="AA323" s="1382"/>
      <c r="AB323" s="1382"/>
      <c r="AC323" s="1382"/>
      <c r="AD323" s="1382"/>
      <c r="AE323" s="1382"/>
      <c r="AF323" s="1382"/>
      <c r="AG323" s="1382"/>
      <c r="AH323" s="1382"/>
      <c r="AI323" s="1382"/>
      <c r="AJ323" s="1382"/>
      <c r="AK323" s="181"/>
      <c r="AL323" s="181"/>
      <c r="AM323" s="181"/>
      <c r="AN323" s="181"/>
      <c r="AO323" s="181"/>
      <c r="AP323" s="181"/>
      <c r="AQ323" s="181"/>
      <c r="AR323" s="181"/>
      <c r="AS323" s="181"/>
      <c r="AT323" s="181"/>
      <c r="AU323" s="181"/>
      <c r="AV323" s="181"/>
    </row>
    <row r="324" spans="1:49" s="30" customFormat="1" x14ac:dyDescent="0.25">
      <c r="A324" s="1518" t="str">
        <f>IF(DD_apply="Yes",IF(COUNTIF('02 - DD'!D324:G324,"Y")&gt;0,"Y",IF(COUNTIF('02 - DD'!D324:G324,"N"),"N","")),"")</f>
        <v>N</v>
      </c>
      <c r="B324" s="191"/>
      <c r="C324" s="945"/>
      <c r="D324" s="411"/>
      <c r="E324" s="411"/>
      <c r="F324" s="559" t="str">
        <f>IF('C-Design&amp;Const'!$M324="","",'C-Design&amp;Const'!$M324)</f>
        <v>Y</v>
      </c>
      <c r="G324" s="510"/>
      <c r="H324" s="341" t="str">
        <f>CONCATENATE(IF(F324="N","PLACEHOLDER ROW - ",""),'C-Design&amp;Const'!Z324,IF(F324="N","",J324))</f>
        <v>Electrical Feeder Schedule (Approx. 50% Complete)</v>
      </c>
      <c r="I324" s="197"/>
      <c r="J324" s="578" t="str">
        <f>IF('C-Design&amp;Const'!AG324="","",'C-Design&amp;Const'!AG324)</f>
        <v>(Approx. 50% Complete)</v>
      </c>
      <c r="K324" s="285" t="str">
        <f>IF(CD50_apply="Yes",IF((COUNTIF(D324:G324,"Y")=COUNTIF('02 - DD'!D324:G324,"Y")),"match","no DD match"),"-")</f>
        <v>no DD match</v>
      </c>
      <c r="L324" s="1410" t="str">
        <f t="shared" si="15"/>
        <v/>
      </c>
      <c r="M324" s="1382"/>
      <c r="N324" s="1382"/>
      <c r="O324" s="1382"/>
      <c r="P324" s="1382"/>
      <c r="Q324" s="1490"/>
      <c r="R324" s="1274"/>
      <c r="S324" s="1509"/>
      <c r="T324" s="1382"/>
      <c r="U324" s="1382"/>
      <c r="V324" s="1382"/>
      <c r="W324" s="1382"/>
      <c r="X324" s="1382"/>
      <c r="Y324" s="1382"/>
      <c r="Z324" s="1382"/>
      <c r="AA324" s="1382"/>
      <c r="AB324" s="1382"/>
      <c r="AC324" s="1382"/>
      <c r="AD324" s="1382"/>
      <c r="AE324" s="1382"/>
      <c r="AF324" s="1382"/>
      <c r="AG324" s="1382"/>
      <c r="AH324" s="1382"/>
      <c r="AI324" s="1382"/>
      <c r="AJ324" s="1382"/>
      <c r="AK324" s="181"/>
      <c r="AL324" s="181"/>
      <c r="AM324" s="181"/>
      <c r="AN324" s="181"/>
      <c r="AO324" s="181"/>
      <c r="AP324" s="181"/>
      <c r="AQ324" s="181"/>
      <c r="AR324" s="181"/>
      <c r="AS324" s="181"/>
      <c r="AT324" s="181"/>
      <c r="AU324" s="181"/>
      <c r="AV324" s="181"/>
    </row>
    <row r="325" spans="1:49" s="30" customFormat="1" x14ac:dyDescent="0.25">
      <c r="A325" s="1518" t="str">
        <f>IF(DD_apply="Yes",IF(COUNTIF('02 - DD'!D325:G325,"Y")&gt;0,"Y",IF(COUNTIF('02 - DD'!D325:G325,"N"),"N","")),"")</f>
        <v>N</v>
      </c>
      <c r="B325" s="191"/>
      <c r="C325" s="945"/>
      <c r="D325" s="411"/>
      <c r="E325" s="411"/>
      <c r="F325" s="559" t="str">
        <f>IF('C-Design&amp;Const'!$M325="","",'C-Design&amp;Const'!$M325)</f>
        <v>Y</v>
      </c>
      <c r="G325" s="510"/>
      <c r="H325" s="341" t="str">
        <f>CONCATENATE(IF(F325="N","PLACEHOLDER ROW - ",""),'C-Design&amp;Const'!Z325,IF(F325="N","",J325))</f>
        <v>Electrical Secondary Riser Diagrams (Complete)</v>
      </c>
      <c r="I325" s="197"/>
      <c r="J325" s="578" t="str">
        <f>IF('C-Design&amp;Const'!AG325="","",'C-Design&amp;Const'!AG325)</f>
        <v>(Complete)</v>
      </c>
      <c r="K325" s="285" t="str">
        <f>IF(CD50_apply="Yes",IF((COUNTIF(D325:G325,"Y")=COUNTIF('02 - DD'!D325:G325,"Y")),"match","no DD match"),"-")</f>
        <v>no DD match</v>
      </c>
      <c r="L325" s="1410" t="str">
        <f t="shared" si="15"/>
        <v/>
      </c>
      <c r="M325" s="1382"/>
      <c r="N325" s="1382"/>
      <c r="O325" s="1382"/>
      <c r="P325" s="1382"/>
      <c r="Q325" s="1274"/>
      <c r="R325" s="1513"/>
      <c r="S325" s="1509"/>
      <c r="T325" s="1382"/>
      <c r="U325" s="1382"/>
      <c r="V325" s="1382"/>
      <c r="W325" s="1382"/>
      <c r="X325" s="1382"/>
      <c r="Y325" s="1382"/>
      <c r="Z325" s="1382"/>
      <c r="AA325" s="1382"/>
      <c r="AB325" s="1382"/>
      <c r="AC325" s="1382"/>
      <c r="AD325" s="1382"/>
      <c r="AE325" s="1382"/>
      <c r="AF325" s="1382"/>
      <c r="AG325" s="1382"/>
      <c r="AH325" s="1382"/>
      <c r="AI325" s="1382"/>
      <c r="AJ325" s="1382"/>
      <c r="AK325" s="181"/>
      <c r="AL325" s="181"/>
      <c r="AM325" s="181"/>
      <c r="AN325" s="181"/>
      <c r="AO325" s="181"/>
      <c r="AP325" s="181"/>
      <c r="AQ325" s="181"/>
      <c r="AR325" s="181"/>
      <c r="AS325" s="181"/>
      <c r="AT325" s="181"/>
      <c r="AU325" s="181"/>
      <c r="AV325" s="181"/>
    </row>
    <row r="326" spans="1:49" s="30" customFormat="1" x14ac:dyDescent="0.25">
      <c r="A326" s="1518" t="str">
        <f>IF(DD_apply="Yes",IF(COUNTIF('02 - DD'!D326:G326,"Y")&gt;0,"Y",IF(COUNTIF('02 - DD'!D326:G326,"N"),"N","")),"")</f>
        <v>N</v>
      </c>
      <c r="B326" s="191"/>
      <c r="C326" s="945"/>
      <c r="D326" s="411"/>
      <c r="E326" s="411"/>
      <c r="F326" s="559" t="str">
        <f>IF('C-Design&amp;Const'!$M326="","",'C-Design&amp;Const'!$M326)</f>
        <v>Y</v>
      </c>
      <c r="G326" s="510"/>
      <c r="H326" s="341" t="str">
        <f>CONCATENATE(IF(F326="N","PLACEHOLDER ROW - ",""),'C-Design&amp;Const'!Z326,IF(F326="N","",J326))</f>
        <v>Electrical Power Distribution Schedule (Complete)</v>
      </c>
      <c r="I326" s="197"/>
      <c r="J326" s="578" t="str">
        <f>IF('C-Design&amp;Const'!AG326="","",'C-Design&amp;Const'!AG326)</f>
        <v>(Complete)</v>
      </c>
      <c r="K326" s="285" t="str">
        <f>IF(CD50_apply="Yes",IF((COUNTIF(D326:G326,"Y")=COUNTIF('02 - DD'!D326:G326,"Y")),"match","no DD match"),"-")</f>
        <v>no DD match</v>
      </c>
      <c r="L326" s="1410" t="str">
        <f t="shared" si="15"/>
        <v/>
      </c>
      <c r="M326" s="1382"/>
      <c r="N326" s="1382"/>
      <c r="O326" s="1382"/>
      <c r="P326" s="1382"/>
      <c r="Q326" s="1490"/>
      <c r="R326" s="1274"/>
      <c r="S326" s="1509"/>
      <c r="T326" s="1382"/>
      <c r="U326" s="1382"/>
      <c r="V326" s="1382"/>
      <c r="W326" s="1382"/>
      <c r="X326" s="1382"/>
      <c r="Y326" s="1382"/>
      <c r="Z326" s="1382"/>
      <c r="AA326" s="1382"/>
      <c r="AB326" s="1382"/>
      <c r="AC326" s="1382"/>
      <c r="AD326" s="1382"/>
      <c r="AE326" s="1382"/>
      <c r="AF326" s="1382"/>
      <c r="AG326" s="1382"/>
      <c r="AH326" s="1382"/>
      <c r="AI326" s="1382"/>
      <c r="AJ326" s="1382"/>
      <c r="AK326" s="181"/>
      <c r="AL326" s="181"/>
      <c r="AM326" s="181"/>
      <c r="AN326" s="181"/>
      <c r="AO326" s="181"/>
      <c r="AP326" s="181"/>
      <c r="AQ326" s="181"/>
      <c r="AR326" s="181"/>
      <c r="AS326" s="181"/>
      <c r="AT326" s="181"/>
      <c r="AU326" s="181"/>
      <c r="AV326" s="181"/>
    </row>
    <row r="327" spans="1:49" s="30" customFormat="1" x14ac:dyDescent="0.25">
      <c r="A327" s="1518" t="str">
        <f>IF(DD_apply="Yes",IF(COUNTIF('02 - DD'!D327:G327,"Y")&gt;0,"Y",IF(COUNTIF('02 - DD'!D327:G327,"N"),"N","")),"")</f>
        <v>N</v>
      </c>
      <c r="B327" s="191"/>
      <c r="C327" s="945"/>
      <c r="D327" s="411"/>
      <c r="E327" s="411"/>
      <c r="F327" s="559" t="str">
        <f>IF('C-Design&amp;Const'!$M327="","",'C-Design&amp;Const'!$M327)</f>
        <v>Y</v>
      </c>
      <c r="G327" s="510"/>
      <c r="H327" s="341" t="str">
        <f>CONCATENATE(IF(F327="N","PLACEHOLDER ROW - ",""),'C-Design&amp;Const'!Z327,IF(F327="N","",J327))</f>
        <v>Electrical Grounding Riser Diagram (Complete)</v>
      </c>
      <c r="I327" s="197"/>
      <c r="J327" s="578" t="str">
        <f>IF('C-Design&amp;Const'!AG327="","",'C-Design&amp;Const'!AG327)</f>
        <v>(Complete)</v>
      </c>
      <c r="K327" s="285" t="str">
        <f>IF(CD50_apply="Yes",IF((COUNTIF(D327:G327,"Y")=COUNTIF('02 - DD'!D327:G327,"Y")),"match","no DD match"),"-")</f>
        <v>no DD match</v>
      </c>
      <c r="L327" s="1410" t="str">
        <f t="shared" si="15"/>
        <v/>
      </c>
      <c r="M327" s="1382"/>
      <c r="N327" s="1382"/>
      <c r="O327" s="1382"/>
      <c r="P327" s="1382"/>
      <c r="Q327" s="1490"/>
      <c r="R327" s="1274"/>
      <c r="S327" s="1509"/>
      <c r="T327" s="1382"/>
      <c r="U327" s="1382"/>
      <c r="V327" s="1382"/>
      <c r="W327" s="1382"/>
      <c r="X327" s="1382"/>
      <c r="Y327" s="1382"/>
      <c r="Z327" s="1382"/>
      <c r="AA327" s="1382"/>
      <c r="AB327" s="1382"/>
      <c r="AC327" s="1382"/>
      <c r="AD327" s="1382"/>
      <c r="AE327" s="1382"/>
      <c r="AF327" s="1382"/>
      <c r="AG327" s="1382"/>
      <c r="AH327" s="1382"/>
      <c r="AI327" s="1382"/>
      <c r="AJ327" s="1382"/>
      <c r="AK327" s="181"/>
      <c r="AL327" s="181"/>
      <c r="AM327" s="181"/>
      <c r="AN327" s="181"/>
      <c r="AO327" s="181"/>
      <c r="AP327" s="181"/>
      <c r="AQ327" s="181"/>
      <c r="AR327" s="181"/>
      <c r="AS327" s="181"/>
      <c r="AT327" s="181"/>
      <c r="AU327" s="181"/>
      <c r="AV327" s="181"/>
    </row>
    <row r="328" spans="1:49" s="30" customFormat="1" x14ac:dyDescent="0.25">
      <c r="A328" s="1518" t="str">
        <f>IF(DD_apply="Yes",IF(COUNTIF('02 - DD'!D328:G328,"Y")&gt;0,"Y",IF(COUNTIF('02 - DD'!D328:G328,"N"),"N","")),"")</f>
        <v>N</v>
      </c>
      <c r="B328" s="191"/>
      <c r="C328" s="945"/>
      <c r="D328" s="411"/>
      <c r="E328" s="411"/>
      <c r="F328" s="559" t="str">
        <f>IF('C-Design&amp;Const'!$M328="","",'C-Design&amp;Const'!$M328)</f>
        <v>Y</v>
      </c>
      <c r="G328" s="510"/>
      <c r="H328" s="341" t="str">
        <f>CONCATENATE(IF(F328="N","PLACEHOLDER ROW - ",""),'C-Design&amp;Const'!Z328,IF(F328="N","",J328))</f>
        <v>Electrical Details (Approx. 50% Complete)</v>
      </c>
      <c r="I328" s="197"/>
      <c r="J328" s="578" t="str">
        <f>IF('C-Design&amp;Const'!AG328="","",'C-Design&amp;Const'!AG328)</f>
        <v>(Approx. 50% Complete)</v>
      </c>
      <c r="K328" s="285" t="str">
        <f>IF(CD50_apply="Yes",IF((COUNTIF(D328:G328,"Y")=COUNTIF('02 - DD'!D328:G328,"Y")),"match","no DD match"),"-")</f>
        <v>no DD match</v>
      </c>
      <c r="L328" s="1410" t="str">
        <f t="shared" si="15"/>
        <v/>
      </c>
      <c r="M328" s="1382"/>
      <c r="N328" s="1382"/>
      <c r="O328" s="1382"/>
      <c r="P328" s="1382"/>
      <c r="Q328" s="1274"/>
      <c r="R328" s="1513"/>
      <c r="S328" s="1509"/>
      <c r="T328" s="1382"/>
      <c r="U328" s="1382"/>
      <c r="V328" s="1382"/>
      <c r="W328" s="1382"/>
      <c r="X328" s="1382"/>
      <c r="Y328" s="1382"/>
      <c r="Z328" s="1382"/>
      <c r="AA328" s="1382"/>
      <c r="AB328" s="1382"/>
      <c r="AC328" s="1382"/>
      <c r="AD328" s="1382"/>
      <c r="AE328" s="1382"/>
      <c r="AF328" s="1382"/>
      <c r="AG328" s="1382"/>
      <c r="AH328" s="1382"/>
      <c r="AI328" s="1382"/>
      <c r="AJ328" s="1382"/>
      <c r="AK328" s="181"/>
      <c r="AL328" s="181"/>
      <c r="AM328" s="181"/>
      <c r="AN328" s="181"/>
      <c r="AO328" s="181"/>
      <c r="AP328" s="181"/>
      <c r="AQ328" s="181"/>
      <c r="AR328" s="181"/>
      <c r="AS328" s="181"/>
      <c r="AT328" s="181"/>
      <c r="AU328" s="181"/>
      <c r="AV328" s="181"/>
    </row>
    <row r="329" spans="1:49" s="30" customFormat="1" x14ac:dyDescent="0.25">
      <c r="A329" s="1518" t="str">
        <f>IF(DD_apply="Yes",IF(COUNTIF('02 - DD'!D329:G329,"Y")&gt;0,"Y",IF(COUNTIF('02 - DD'!D329:G329,"N"),"N","")),"")</f>
        <v>N</v>
      </c>
      <c r="B329" s="191"/>
      <c r="C329" s="945"/>
      <c r="D329" s="411"/>
      <c r="E329" s="411"/>
      <c r="F329" s="559" t="str">
        <f>IF('C-Design&amp;Const'!$M329="","",'C-Design&amp;Const'!$M329)</f>
        <v>Y</v>
      </c>
      <c r="G329" s="510"/>
      <c r="H329" s="341" t="str">
        <f>CONCATENATE(IF(F329="N","PLACEHOLDER ROW - ",""),'C-Design&amp;Const'!Z329,IF(F329="N","",J329))</f>
        <v>Electrical Fixture Schedule and Equipment (Substantially Complete)</v>
      </c>
      <c r="I329" s="197"/>
      <c r="J329" s="578" t="str">
        <f>IF('C-Design&amp;Const'!AG329="","",'C-Design&amp;Const'!AG329)</f>
        <v>(Substantially Complete)</v>
      </c>
      <c r="K329" s="285" t="str">
        <f>IF(CD50_apply="Yes",IF((COUNTIF(D329:G329,"Y")=COUNTIF('02 - DD'!D329:G329,"Y")),"match","no DD match"),"-")</f>
        <v>no DD match</v>
      </c>
      <c r="L329" s="1410" t="str">
        <f t="shared" si="15"/>
        <v/>
      </c>
      <c r="M329" s="1382"/>
      <c r="N329" s="1382"/>
      <c r="O329" s="1382"/>
      <c r="P329" s="1382"/>
      <c r="Q329" s="1490"/>
      <c r="R329" s="1274"/>
      <c r="S329" s="1509"/>
      <c r="T329" s="1382"/>
      <c r="U329" s="1382"/>
      <c r="V329" s="1382"/>
      <c r="W329" s="1382"/>
      <c r="X329" s="1382"/>
      <c r="Y329" s="1382"/>
      <c r="Z329" s="1382"/>
      <c r="AA329" s="1382"/>
      <c r="AB329" s="1382"/>
      <c r="AC329" s="1382"/>
      <c r="AD329" s="1382"/>
      <c r="AE329" s="1382"/>
      <c r="AF329" s="1382"/>
      <c r="AG329" s="1382"/>
      <c r="AH329" s="1382"/>
      <c r="AI329" s="1382"/>
      <c r="AJ329" s="1382"/>
      <c r="AK329" s="181"/>
      <c r="AL329" s="181"/>
      <c r="AM329" s="181"/>
      <c r="AN329" s="181"/>
      <c r="AO329" s="181"/>
      <c r="AP329" s="181"/>
      <c r="AQ329" s="181"/>
      <c r="AR329" s="181"/>
      <c r="AS329" s="181"/>
      <c r="AT329" s="181"/>
      <c r="AU329" s="181"/>
      <c r="AV329" s="181"/>
    </row>
    <row r="330" spans="1:49" s="30" customFormat="1" x14ac:dyDescent="0.25">
      <c r="A330" s="1518" t="str">
        <f>IF(DD_apply="Yes",IF(COUNTIF('02 - DD'!D330:G330,"Y")&gt;0,"Y",IF(COUNTIF('02 - DD'!D330:G330,"N"),"N","")),"")</f>
        <v>N</v>
      </c>
      <c r="B330" s="191"/>
      <c r="C330" s="945"/>
      <c r="D330" s="411"/>
      <c r="E330" s="411"/>
      <c r="F330" s="559" t="str">
        <f>IF('C-Design&amp;Const'!$M330="","",'C-Design&amp;Const'!$M330)</f>
        <v>Y</v>
      </c>
      <c r="G330" s="510"/>
      <c r="H330" s="341" t="str">
        <f>CONCATENATE(IF(F330="N","PLACEHOLDER ROW - ",""),'C-Design&amp;Const'!Z330,IF(F330="N","",J330))</f>
        <v>Electrical Lightning Protection Sections / Diagrams(Substantially Complete)</v>
      </c>
      <c r="I330" s="197"/>
      <c r="J330" s="578" t="str">
        <f>IF('C-Design&amp;Const'!AG330="","",'C-Design&amp;Const'!AG330)</f>
        <v>(Substantially Complete)</v>
      </c>
      <c r="K330" s="285" t="str">
        <f>IF(CD50_apply="Yes",IF((COUNTIF(D330:G330,"Y")=COUNTIF('02 - DD'!D330:G330,"Y")),"match","no DD match"),"-")</f>
        <v>no DD match</v>
      </c>
      <c r="L330" s="1410" t="str">
        <f t="shared" si="15"/>
        <v/>
      </c>
      <c r="M330" s="1382"/>
      <c r="N330" s="1382"/>
      <c r="O330" s="1382"/>
      <c r="P330" s="1382"/>
      <c r="Q330" s="1490"/>
      <c r="R330" s="1274"/>
      <c r="S330" s="1509"/>
      <c r="T330" s="1382"/>
      <c r="U330" s="1382"/>
      <c r="V330" s="1382"/>
      <c r="W330" s="1382"/>
      <c r="X330" s="1382"/>
      <c r="Y330" s="1382"/>
      <c r="Z330" s="1382"/>
      <c r="AA330" s="1382"/>
      <c r="AB330" s="1382"/>
      <c r="AC330" s="1382"/>
      <c r="AD330" s="1382"/>
      <c r="AE330" s="1382"/>
      <c r="AF330" s="1382"/>
      <c r="AG330" s="1382"/>
      <c r="AH330" s="1382"/>
      <c r="AI330" s="1382"/>
      <c r="AJ330" s="1382"/>
      <c r="AK330" s="181"/>
      <c r="AL330" s="181"/>
      <c r="AM330" s="181"/>
      <c r="AN330" s="181"/>
      <c r="AO330" s="181"/>
      <c r="AP330" s="181"/>
      <c r="AQ330" s="181"/>
      <c r="AR330" s="181"/>
      <c r="AS330" s="181"/>
      <c r="AT330" s="181"/>
      <c r="AU330" s="181"/>
      <c r="AV330" s="181"/>
    </row>
    <row r="331" spans="1:49" s="30" customFormat="1" ht="14.25" customHeight="1" x14ac:dyDescent="0.25">
      <c r="A331" s="1518" t="str">
        <f>IF(DD_apply="Yes",IF(COUNTIF('02 - DD'!D331:G331,"Y")&gt;0,"Y",IF(COUNTIF('02 - DD'!D331:G331,"N"),"N","")),"")</f>
        <v>N</v>
      </c>
      <c r="B331" s="191"/>
      <c r="C331" s="945"/>
      <c r="D331" s="463"/>
      <c r="E331" s="463"/>
      <c r="F331" s="359" t="str">
        <f>IF('C-Design&amp;Const'!$M331="","",'C-Design&amp;Const'!$M331)</f>
        <v>Y</v>
      </c>
      <c r="G331" s="291"/>
      <c r="H331" s="341" t="str">
        <f>CONCATENATE(IF(F331="N","PLACEHOLDER ROW - ",""),'C-Design&amp;Const'!Z331,IF(F331="N","",J331))</f>
        <v>Electrical Lightning Protection Details (Substantially Complete)</v>
      </c>
      <c r="I331" s="184"/>
      <c r="J331" s="578" t="str">
        <f>IF('C-Design&amp;Const'!AG331="","",'C-Design&amp;Const'!AG331)</f>
        <v>(Substantially Complete)</v>
      </c>
      <c r="K331" s="285" t="str">
        <f>IF(CD50_apply="Yes",IF((COUNTIF(D331:G331,"Y")=COUNTIF('02 - DD'!D331:G331,"Y")),"match","no DD match"),"-")</f>
        <v>no DD match</v>
      </c>
      <c r="L331" s="1410" t="str">
        <f t="shared" si="15"/>
        <v/>
      </c>
      <c r="M331" s="1382"/>
      <c r="N331" s="1382"/>
      <c r="O331" s="1382"/>
      <c r="P331" s="1382"/>
      <c r="Q331" s="1382"/>
      <c r="R331" s="1382"/>
      <c r="S331" s="1509"/>
      <c r="T331" s="1382"/>
      <c r="U331" s="1382"/>
      <c r="V331" s="1382"/>
      <c r="W331" s="1382"/>
      <c r="X331" s="1382"/>
      <c r="Y331" s="1382"/>
      <c r="Z331" s="1382"/>
      <c r="AA331" s="1382"/>
      <c r="AB331" s="1382"/>
      <c r="AC331" s="1382"/>
      <c r="AD331" s="1382"/>
      <c r="AE331" s="1382"/>
      <c r="AF331" s="1382"/>
      <c r="AG331" s="1382"/>
      <c r="AH331" s="1382"/>
      <c r="AI331" s="1382"/>
      <c r="AJ331" s="1382"/>
      <c r="AK331" s="181"/>
      <c r="AL331" s="181"/>
      <c r="AM331" s="181"/>
      <c r="AN331" s="181"/>
      <c r="AO331" s="181"/>
      <c r="AP331" s="181"/>
      <c r="AQ331" s="181"/>
      <c r="AR331" s="181"/>
      <c r="AS331" s="181"/>
      <c r="AT331" s="181"/>
      <c r="AU331" s="181"/>
      <c r="AV331" s="181"/>
      <c r="AW331" s="181"/>
    </row>
    <row r="332" spans="1:49" s="30" customFormat="1" x14ac:dyDescent="0.25">
      <c r="A332" s="1407" t="str">
        <f>IF(DD_apply="Yes",IF(COUNTIF('02 - DD'!D332:G332,"Y")&gt;0,"Y",IF(COUNTIF('02 - DD'!D332:G332,"N"),"N","")),"")</f>
        <v>Y</v>
      </c>
      <c r="B332" s="191"/>
      <c r="C332" s="945"/>
      <c r="D332" s="411"/>
      <c r="E332" s="559" t="str">
        <f>IF('C-Design&amp;Const'!$M332="","",'C-Design&amp;Const'!$M332)</f>
        <v>Y</v>
      </c>
      <c r="F332" s="456"/>
      <c r="G332" s="510"/>
      <c r="H332" s="347" t="str">
        <f>CONCATENATE(IF(F332="N","PLACEHOLDER ROW - ",""),'C-Design&amp;Const'!Z332,IF(F332="N","",J332))</f>
        <v>Fire Alarm Drawings (Including Bid Alts.)</v>
      </c>
      <c r="I332" s="198"/>
      <c r="J332" s="578" t="str">
        <f>IF('C-Design&amp;Const'!AG332="","",'C-Design&amp;Const'!AG332)</f>
        <v xml:space="preserve"> (Including Bid Alts.)</v>
      </c>
      <c r="K332" s="285" t="str">
        <f>IF(CD50_apply="Yes",IF((COUNTIF(D332:G332,"Y")=COUNTIF('02 - DD'!D332:G332,"Y")),"match","no DD match"),"-")</f>
        <v>match</v>
      </c>
      <c r="L332" s="1410" t="str">
        <f t="shared" si="15"/>
        <v/>
      </c>
      <c r="M332" s="1382"/>
      <c r="N332" s="1382"/>
      <c r="O332" s="1382"/>
      <c r="P332" s="1382"/>
      <c r="Q332" s="1490"/>
      <c r="R332" s="1274"/>
      <c r="S332" s="1509"/>
      <c r="T332" s="1382"/>
      <c r="U332" s="1382"/>
      <c r="V332" s="1382"/>
      <c r="W332" s="1382"/>
      <c r="X332" s="1382"/>
      <c r="Y332" s="1382"/>
      <c r="Z332" s="1382"/>
      <c r="AA332" s="1382"/>
      <c r="AB332" s="1382"/>
      <c r="AC332" s="1382"/>
      <c r="AD332" s="1382"/>
      <c r="AE332" s="1382"/>
      <c r="AF332" s="1382"/>
      <c r="AG332" s="1382"/>
      <c r="AH332" s="1382"/>
      <c r="AI332" s="1382"/>
      <c r="AJ332" s="1382"/>
      <c r="AK332" s="181"/>
      <c r="AL332" s="181"/>
      <c r="AM332" s="181"/>
      <c r="AN332" s="181"/>
      <c r="AO332" s="181"/>
      <c r="AP332" s="181"/>
      <c r="AQ332" s="181"/>
      <c r="AR332" s="181"/>
      <c r="AS332" s="181"/>
      <c r="AT332" s="181"/>
      <c r="AU332" s="181"/>
      <c r="AV332" s="181"/>
    </row>
    <row r="333" spans="1:49" s="30" customFormat="1" ht="14.25" customHeight="1" x14ac:dyDescent="0.25">
      <c r="A333" s="1518" t="str">
        <f>IF(DD_apply="Yes",IF(COUNTIF('02 - DD'!D333:G333,"Y")&gt;0,"Y",IF(COUNTIF('02 - DD'!D333:G333,"N"),"N","")),"")</f>
        <v>N</v>
      </c>
      <c r="B333" s="191"/>
      <c r="C333" s="945"/>
      <c r="D333" s="411"/>
      <c r="E333" s="411"/>
      <c r="F333" s="559" t="str">
        <f>IF('C-Design&amp;Const'!$M333="","",'C-Design&amp;Const'!$M333)</f>
        <v>N</v>
      </c>
      <c r="G333" s="514"/>
      <c r="H333" s="341" t="str">
        <f>CONCATENATE(IF(F333="N","PLACEHOLDER ROW - ",""),'C-Design&amp;Const'!Z333,IF(F333="N","",J333))</f>
        <v xml:space="preserve">PLACEHOLDER ROW - CUSTOM - Fire Alarm  </v>
      </c>
      <c r="I333" s="197"/>
      <c r="J333" s="578" t="str">
        <f>IF('C-Design&amp;Const'!AG333="","",'C-Design&amp;Const'!AG333)</f>
        <v>(Substantially Complete)</v>
      </c>
      <c r="K333" s="285" t="str">
        <f>IF(CD50_apply="Yes",IF((COUNTIF(D333:G333,"Y")=COUNTIF('02 - DD'!D333:G333,"Y")),"match","no DD match"),"-")</f>
        <v>match</v>
      </c>
      <c r="L333" s="1410" t="str">
        <f t="shared" si="15"/>
        <v>&lt;---PM/Planner may hide PLACEHOLDER ROW</v>
      </c>
      <c r="M333" s="1382"/>
      <c r="N333" s="1382"/>
      <c r="O333" s="1382"/>
      <c r="P333" s="1382"/>
      <c r="Q333" s="1274"/>
      <c r="R333" s="1513"/>
      <c r="S333" s="1509"/>
      <c r="T333" s="1382"/>
      <c r="U333" s="1382"/>
      <c r="V333" s="1382"/>
      <c r="W333" s="1382"/>
      <c r="X333" s="1382"/>
      <c r="Y333" s="1382"/>
      <c r="Z333" s="1382"/>
      <c r="AA333" s="1382"/>
      <c r="AB333" s="1382"/>
      <c r="AC333" s="1382"/>
      <c r="AD333" s="1382"/>
      <c r="AE333" s="1382"/>
      <c r="AF333" s="1382"/>
      <c r="AG333" s="1382"/>
      <c r="AH333" s="1382"/>
      <c r="AI333" s="1382"/>
      <c r="AJ333" s="1382"/>
      <c r="AK333" s="181"/>
      <c r="AL333" s="181"/>
      <c r="AM333" s="181"/>
      <c r="AN333" s="181"/>
      <c r="AO333" s="181"/>
      <c r="AP333" s="181"/>
      <c r="AQ333" s="181"/>
      <c r="AR333" s="181"/>
      <c r="AS333" s="181"/>
      <c r="AT333" s="181"/>
      <c r="AU333" s="181"/>
      <c r="AV333" s="181"/>
    </row>
    <row r="334" spans="1:49" s="30" customFormat="1" x14ac:dyDescent="0.25">
      <c r="A334" s="1518" t="str">
        <f>IF(DD_apply="Yes",IF(COUNTIF('02 - DD'!D334:G334,"Y")&gt;0,"Y",IF(COUNTIF('02 - DD'!D334:G334,"N"),"N","")),"")</f>
        <v>N</v>
      </c>
      <c r="B334" s="191"/>
      <c r="C334" s="945"/>
      <c r="D334" s="411"/>
      <c r="E334" s="411"/>
      <c r="F334" s="559" t="str">
        <f>IF('C-Design&amp;Const'!$M334="","",'C-Design&amp;Const'!$M334)</f>
        <v>N</v>
      </c>
      <c r="G334" s="514"/>
      <c r="H334" s="341" t="str">
        <f>CONCATENATE(IF(F334="N","PLACEHOLDER ROW - ",""),'C-Design&amp;Const'!Z334,IF(F334="N","",J334))</f>
        <v xml:space="preserve">PLACEHOLDER ROW - CUSTOM - Fire Alarm  </v>
      </c>
      <c r="I334" s="197"/>
      <c r="J334" s="578" t="str">
        <f>IF('C-Design&amp;Const'!AG334="","",'C-Design&amp;Const'!AG334)</f>
        <v>(Substantially Complete)</v>
      </c>
      <c r="K334" s="285" t="str">
        <f>IF(CD50_apply="Yes",IF((COUNTIF(D334:G334,"Y")=COUNTIF('02 - DD'!D334:G334,"Y")),"match","no DD match"),"-")</f>
        <v>match</v>
      </c>
      <c r="L334" s="1410" t="str">
        <f t="shared" si="15"/>
        <v>&lt;---PM/Planner may hide PLACEHOLDER ROW</v>
      </c>
      <c r="M334" s="1382"/>
      <c r="N334" s="1382"/>
      <c r="O334" s="1382"/>
      <c r="P334" s="1382"/>
      <c r="Q334" s="1274"/>
      <c r="R334" s="1513"/>
      <c r="S334" s="1509"/>
      <c r="T334" s="1382"/>
      <c r="U334" s="1382"/>
      <c r="V334" s="1382"/>
      <c r="W334" s="1382"/>
      <c r="X334" s="1382"/>
      <c r="Y334" s="1382"/>
      <c r="Z334" s="1382"/>
      <c r="AA334" s="1382"/>
      <c r="AB334" s="1382"/>
      <c r="AC334" s="1382"/>
      <c r="AD334" s="1382"/>
      <c r="AE334" s="1382"/>
      <c r="AF334" s="1382"/>
      <c r="AG334" s="1382"/>
      <c r="AH334" s="1382"/>
      <c r="AI334" s="1382"/>
      <c r="AJ334" s="1382"/>
      <c r="AK334" s="181"/>
      <c r="AL334" s="181"/>
      <c r="AM334" s="181"/>
      <c r="AN334" s="181"/>
      <c r="AO334" s="181"/>
      <c r="AP334" s="181"/>
      <c r="AQ334" s="181"/>
      <c r="AR334" s="181"/>
      <c r="AS334" s="181"/>
      <c r="AT334" s="181"/>
      <c r="AU334" s="181"/>
      <c r="AV334" s="181"/>
    </row>
    <row r="335" spans="1:49" s="551" customFormat="1" x14ac:dyDescent="0.25">
      <c r="A335" s="1518" t="str">
        <f>IF(DD_apply="Yes",IF(COUNTIF('02 - DD'!D335:G335,"Y")&gt;0,"Y",IF(COUNTIF('02 - DD'!D335:G335,"N"),"N","")),"")</f>
        <v>Y</v>
      </c>
      <c r="B335" s="549"/>
      <c r="C335" s="945"/>
      <c r="D335" s="411"/>
      <c r="E335" s="411"/>
      <c r="F335" s="559" t="str">
        <f>IF('C-Design&amp;Const'!$M335="","",'C-Design&amp;Const'!$M335)</f>
        <v>Y</v>
      </c>
      <c r="G335" s="510"/>
      <c r="H335" s="341" t="str">
        <f>CONCATENATE(IF(F335="N","PLACEHOLDER ROW - ",""),'C-Design&amp;Const'!Z335,IF(F335="N","",J335))</f>
        <v>Fire Alarm Symbols, Abbreviations, and General Notes (Complete)</v>
      </c>
      <c r="I335" s="197"/>
      <c r="J335" s="578" t="str">
        <f>IF('C-Design&amp;Const'!AG335="","",'C-Design&amp;Const'!AG335)</f>
        <v>(Complete)</v>
      </c>
      <c r="K335" s="285" t="str">
        <f>IF(CD50_apply="Yes",IF((COUNTIF(D335:G335,"Y")=COUNTIF('02 - DD'!D335:G335,"Y")),"match","no DD match"),"-")</f>
        <v>match</v>
      </c>
      <c r="L335" s="1410" t="str">
        <f t="shared" si="15"/>
        <v/>
      </c>
      <c r="M335" s="1382"/>
      <c r="N335" s="1382"/>
      <c r="O335" s="1382"/>
      <c r="P335" s="1382"/>
      <c r="Q335" s="1490"/>
      <c r="R335" s="1274"/>
      <c r="S335" s="1509"/>
      <c r="T335" s="1382"/>
      <c r="U335" s="1382"/>
      <c r="V335" s="1382"/>
      <c r="W335" s="1382"/>
      <c r="X335" s="1382"/>
      <c r="Y335" s="1382"/>
      <c r="Z335" s="1382"/>
      <c r="AA335" s="1382"/>
      <c r="AB335" s="1382"/>
      <c r="AC335" s="1382"/>
      <c r="AD335" s="1382"/>
      <c r="AE335" s="1382"/>
      <c r="AF335" s="1382"/>
      <c r="AG335" s="1382"/>
      <c r="AH335" s="1382"/>
      <c r="AI335" s="1382"/>
      <c r="AJ335" s="1382"/>
    </row>
    <row r="336" spans="1:49" s="551" customFormat="1" x14ac:dyDescent="0.25">
      <c r="A336" s="1518" t="str">
        <f>IF(DD_apply="Yes",IF(COUNTIF('02 - DD'!D336:G336,"Y")&gt;0,"Y",IF(COUNTIF('02 - DD'!D336:G336,"N"),"N","")),"")</f>
        <v>Y</v>
      </c>
      <c r="B336" s="549"/>
      <c r="C336" s="945"/>
      <c r="D336" s="411"/>
      <c r="E336" s="411"/>
      <c r="F336" s="559" t="str">
        <f>IF('C-Design&amp;Const'!$M336="","",'C-Design&amp;Const'!$M336)</f>
        <v>Y</v>
      </c>
      <c r="G336" s="510"/>
      <c r="H336" s="341" t="str">
        <f>CONCATENATE(IF(F336="N","PLACEHOLDER ROW - ",""),'C-Design&amp;Const'!Z336,IF(F336="N","",J336))</f>
        <v>Fire Alarm Demolition(s) (Substantially Complete)</v>
      </c>
      <c r="I336" s="197"/>
      <c r="J336" s="578" t="str">
        <f>IF('C-Design&amp;Const'!AG336="","",'C-Design&amp;Const'!AG336)</f>
        <v>(Substantially Complete)</v>
      </c>
      <c r="K336" s="285" t="str">
        <f>IF(CD50_apply="Yes",IF((COUNTIF(D336:G336,"Y")=COUNTIF('02 - DD'!D336:G336,"Y")),"match","no DD match"),"-")</f>
        <v>match</v>
      </c>
      <c r="L336" s="1410" t="str">
        <f t="shared" si="15"/>
        <v/>
      </c>
      <c r="M336" s="1382"/>
      <c r="N336" s="1382"/>
      <c r="O336" s="1382"/>
      <c r="P336" s="1382"/>
      <c r="Q336" s="1490"/>
      <c r="R336" s="1274"/>
      <c r="S336" s="1509"/>
      <c r="T336" s="1382"/>
      <c r="U336" s="1382"/>
      <c r="V336" s="1382"/>
      <c r="W336" s="1382"/>
      <c r="X336" s="1382"/>
      <c r="Y336" s="1382"/>
      <c r="Z336" s="1382"/>
      <c r="AA336" s="1382"/>
      <c r="AB336" s="1382"/>
      <c r="AC336" s="1382"/>
      <c r="AD336" s="1382"/>
      <c r="AE336" s="1382"/>
      <c r="AF336" s="1382"/>
      <c r="AG336" s="1382"/>
      <c r="AH336" s="1382"/>
      <c r="AI336" s="1382"/>
      <c r="AJ336" s="1382"/>
    </row>
    <row r="337" spans="1:49" s="30" customFormat="1" x14ac:dyDescent="0.25">
      <c r="A337" s="1518" t="str">
        <f>IF(DD_apply="Yes",IF(COUNTIF('02 - DD'!D337:G337,"Y")&gt;0,"Y",IF(COUNTIF('02 - DD'!D337:G337,"N"),"N","")),"")</f>
        <v>Y</v>
      </c>
      <c r="B337" s="191"/>
      <c r="C337" s="945"/>
      <c r="D337" s="411"/>
      <c r="E337" s="411"/>
      <c r="F337" s="559" t="str">
        <f>IF('C-Design&amp;Const'!$M337="","",'C-Design&amp;Const'!$M337)</f>
        <v>Y</v>
      </c>
      <c r="G337" s="510"/>
      <c r="H337" s="341" t="str">
        <f>CONCATENATE(IF(F337="N","PLACEHOLDER ROW - ",""),'C-Design&amp;Const'!Z337,IF(F337="N","",J337))</f>
        <v>Fire Alarm Floor Plans (Substantially Complete)</v>
      </c>
      <c r="I337" s="197"/>
      <c r="J337" s="578" t="str">
        <f>IF('C-Design&amp;Const'!AG337="","",'C-Design&amp;Const'!AG337)</f>
        <v>(Substantially Complete)</v>
      </c>
      <c r="K337" s="285" t="str">
        <f>IF(CD50_apply="Yes",IF((COUNTIF(D337:G337,"Y")=COUNTIF('02 - DD'!D337:G337,"Y")),"match","no DD match"),"-")</f>
        <v>match</v>
      </c>
      <c r="L337" s="1410" t="str">
        <f t="shared" si="15"/>
        <v/>
      </c>
      <c r="M337" s="1382"/>
      <c r="N337" s="1382"/>
      <c r="O337" s="1382"/>
      <c r="P337" s="1382"/>
      <c r="Q337" s="1490"/>
      <c r="R337" s="1274"/>
      <c r="S337" s="1509"/>
      <c r="T337" s="1382"/>
      <c r="U337" s="1382"/>
      <c r="V337" s="1382"/>
      <c r="W337" s="1382"/>
      <c r="X337" s="1382"/>
      <c r="Y337" s="1382"/>
      <c r="Z337" s="1382"/>
      <c r="AA337" s="1382"/>
      <c r="AB337" s="1382"/>
      <c r="AC337" s="1382"/>
      <c r="AD337" s="1382"/>
      <c r="AE337" s="1382"/>
      <c r="AF337" s="1382"/>
      <c r="AG337" s="1382"/>
      <c r="AH337" s="1382"/>
      <c r="AI337" s="1382"/>
      <c r="AJ337" s="1382"/>
      <c r="AK337" s="181"/>
      <c r="AL337" s="181"/>
      <c r="AM337" s="181"/>
      <c r="AN337" s="181"/>
      <c r="AO337" s="181"/>
      <c r="AP337" s="181"/>
      <c r="AQ337" s="181"/>
      <c r="AR337" s="181"/>
      <c r="AS337" s="181"/>
      <c r="AT337" s="181"/>
      <c r="AU337" s="181"/>
      <c r="AV337" s="181"/>
    </row>
    <row r="338" spans="1:49" s="30" customFormat="1" x14ac:dyDescent="0.25">
      <c r="A338" s="1518" t="str">
        <f>IF(DD_apply="Yes",IF(COUNTIF('02 - DD'!D338:G338,"Y")&gt;0,"Y",IF(COUNTIF('02 - DD'!D338:G338,"N"),"N","")),"")</f>
        <v>N</v>
      </c>
      <c r="B338" s="191"/>
      <c r="C338" s="945"/>
      <c r="D338" s="411"/>
      <c r="E338" s="411"/>
      <c r="F338" s="559" t="str">
        <f>IF('C-Design&amp;Const'!$M338="","",'C-Design&amp;Const'!$M338)</f>
        <v>Y</v>
      </c>
      <c r="G338" s="510"/>
      <c r="H338" s="341" t="str">
        <f>CONCATENATE(IF(F338="N","PLACEHOLDER ROW - ",""),'C-Design&amp;Const'!Z338,IF(F338="N","",J338))</f>
        <v>Fire Alarm Riser Diagrams and Connections (Complete)</v>
      </c>
      <c r="I338" s="197"/>
      <c r="J338" s="578" t="str">
        <f>IF('C-Design&amp;Const'!AG338="","",'C-Design&amp;Const'!AG338)</f>
        <v>(Complete)</v>
      </c>
      <c r="K338" s="285" t="str">
        <f>IF(CD50_apply="Yes",IF((COUNTIF(D338:G338,"Y")=COUNTIF('02 - DD'!D338:G338,"Y")),"match","no DD match"),"-")</f>
        <v>no DD match</v>
      </c>
      <c r="L338" s="1410" t="str">
        <f t="shared" si="15"/>
        <v/>
      </c>
      <c r="M338" s="1382"/>
      <c r="N338" s="1382"/>
      <c r="O338" s="1382"/>
      <c r="P338" s="1382"/>
      <c r="Q338" s="1490"/>
      <c r="R338" s="1274"/>
      <c r="S338" s="1509"/>
      <c r="T338" s="1382"/>
      <c r="U338" s="1382"/>
      <c r="V338" s="1382"/>
      <c r="W338" s="1382"/>
      <c r="X338" s="1382"/>
      <c r="Y338" s="1382"/>
      <c r="Z338" s="1382"/>
      <c r="AA338" s="1382"/>
      <c r="AB338" s="1382"/>
      <c r="AC338" s="1382"/>
      <c r="AD338" s="1382"/>
      <c r="AE338" s="1382"/>
      <c r="AF338" s="1382"/>
      <c r="AG338" s="1382"/>
      <c r="AH338" s="1382"/>
      <c r="AI338" s="1382"/>
      <c r="AJ338" s="1382"/>
      <c r="AK338" s="181"/>
      <c r="AL338" s="181"/>
      <c r="AM338" s="181"/>
      <c r="AN338" s="181"/>
      <c r="AO338" s="181"/>
      <c r="AP338" s="181"/>
      <c r="AQ338" s="181"/>
      <c r="AR338" s="181"/>
      <c r="AS338" s="181"/>
      <c r="AT338" s="181"/>
      <c r="AU338" s="181"/>
      <c r="AV338" s="181"/>
    </row>
    <row r="339" spans="1:49" s="30" customFormat="1" x14ac:dyDescent="0.25">
      <c r="A339" s="1518" t="str">
        <f>IF(DD_apply="Yes",IF(COUNTIF('02 - DD'!D339:G339,"Y")&gt;0,"Y",IF(COUNTIF('02 - DD'!D339:G339,"N"),"N","")),"")</f>
        <v>N</v>
      </c>
      <c r="B339" s="191"/>
      <c r="C339" s="945"/>
      <c r="D339" s="411"/>
      <c r="E339" s="411"/>
      <c r="F339" s="559" t="str">
        <f>IF('C-Design&amp;Const'!$M339="","",'C-Design&amp;Const'!$M339)</f>
        <v>Y</v>
      </c>
      <c r="G339" s="510"/>
      <c r="H339" s="341" t="str">
        <f>CONCATENATE(IF(F339="N","PLACEHOLDER ROW - ",""),'C-Design&amp;Const'!Z339,IF(F339="N","",J339))</f>
        <v>Fire Alarm Details (Approx. 50% Complete)</v>
      </c>
      <c r="I339" s="197"/>
      <c r="J339" s="578" t="str">
        <f>IF('C-Design&amp;Const'!AG339="","",'C-Design&amp;Const'!AG339)</f>
        <v>(Approx. 50% Complete)</v>
      </c>
      <c r="K339" s="285" t="str">
        <f>IF(CD50_apply="Yes",IF((COUNTIF(D339:G339,"Y")=COUNTIF('02 - DD'!D339:G339,"Y")),"match","no DD match"),"-")</f>
        <v>no DD match</v>
      </c>
      <c r="L339" s="1410" t="str">
        <f t="shared" si="15"/>
        <v/>
      </c>
      <c r="M339" s="1382"/>
      <c r="N339" s="1382"/>
      <c r="O339" s="1382"/>
      <c r="P339" s="1382"/>
      <c r="Q339" s="1490"/>
      <c r="R339" s="1274"/>
      <c r="S339" s="1509"/>
      <c r="T339" s="1382"/>
      <c r="U339" s="1382"/>
      <c r="V339" s="1382"/>
      <c r="W339" s="1382"/>
      <c r="X339" s="1382"/>
      <c r="Y339" s="1382"/>
      <c r="Z339" s="1382"/>
      <c r="AA339" s="1382"/>
      <c r="AB339" s="1382"/>
      <c r="AC339" s="1382"/>
      <c r="AD339" s="1382"/>
      <c r="AE339" s="1382"/>
      <c r="AF339" s="1382"/>
      <c r="AG339" s="1382"/>
      <c r="AH339" s="1382"/>
      <c r="AI339" s="1382"/>
      <c r="AJ339" s="1382"/>
      <c r="AK339" s="181"/>
      <c r="AL339" s="181"/>
      <c r="AM339" s="181"/>
      <c r="AN339" s="181"/>
      <c r="AO339" s="181"/>
      <c r="AP339" s="181"/>
      <c r="AQ339" s="181"/>
      <c r="AR339" s="181"/>
      <c r="AS339" s="181"/>
      <c r="AT339" s="181"/>
      <c r="AU339" s="181"/>
      <c r="AV339" s="181"/>
    </row>
    <row r="340" spans="1:49" s="30" customFormat="1" ht="30" x14ac:dyDescent="0.25">
      <c r="A340" s="1407" t="str">
        <f>IF(DD_apply="Yes",IF(COUNTIF('02 - DD'!D340:G340,"Y")&gt;0,"Y",IF(COUNTIF('02 - DD'!D340:G340,"N"),"N","")),"")</f>
        <v>Y</v>
      </c>
      <c r="B340" s="191"/>
      <c r="C340" s="945"/>
      <c r="D340" s="411"/>
      <c r="E340" s="559" t="str">
        <f>IF('C-Design&amp;Const'!$M340="","",'C-Design&amp;Const'!$M340)</f>
        <v>Y</v>
      </c>
      <c r="F340" s="411"/>
      <c r="G340" s="510"/>
      <c r="H340" s="347" t="str">
        <f>CONCATENATE(IF(F340="N","PLACEHOLDER ROW - ",""),'C-Design&amp;Const'!Z340,IF(F340="N","",J340))</f>
        <v>Building Automation Systems Drawings (HVAC Instrumentation and Control) (Including Bid Alts.)</v>
      </c>
      <c r="I340" s="198"/>
      <c r="J340" s="578" t="str">
        <f>IF('C-Design&amp;Const'!AG340="","",'C-Design&amp;Const'!AG340)</f>
        <v xml:space="preserve"> (Including Bid Alts.)</v>
      </c>
      <c r="K340" s="285" t="str">
        <f>IF(CD50_apply="Yes",IF((COUNTIF(D340:G340,"Y")=COUNTIF('02 - DD'!D340:G340,"Y")),"match","no DD match"),"-")</f>
        <v>match</v>
      </c>
      <c r="L340" s="1410" t="str">
        <f>CONCATENATE(IF(ISNUMBER(SEARCH("Placeholder",H340))=TRUE,"&lt;---PM/Planner may hide PLACEHOLDER ROW",""))</f>
        <v/>
      </c>
      <c r="M340" s="1382"/>
      <c r="N340" s="1382"/>
      <c r="O340" s="1382"/>
      <c r="P340" s="1382"/>
      <c r="Q340" s="1490"/>
      <c r="R340" s="1274"/>
      <c r="S340" s="1509"/>
      <c r="T340" s="1382"/>
      <c r="U340" s="1382"/>
      <c r="V340" s="1382"/>
      <c r="W340" s="1382"/>
      <c r="X340" s="1382"/>
      <c r="Y340" s="1382"/>
      <c r="Z340" s="1382"/>
      <c r="AA340" s="1382"/>
      <c r="AB340" s="1382"/>
      <c r="AC340" s="1382"/>
      <c r="AD340" s="1382"/>
      <c r="AE340" s="1382"/>
      <c r="AF340" s="1382"/>
      <c r="AG340" s="1382"/>
      <c r="AH340" s="1382"/>
      <c r="AI340" s="1382"/>
      <c r="AJ340" s="1382"/>
      <c r="AK340" s="181"/>
      <c r="AL340" s="181"/>
      <c r="AM340" s="181"/>
      <c r="AN340" s="181"/>
      <c r="AO340" s="181"/>
      <c r="AP340" s="181"/>
      <c r="AQ340" s="181"/>
      <c r="AR340" s="181"/>
      <c r="AS340" s="181"/>
      <c r="AT340" s="181"/>
      <c r="AU340" s="181"/>
      <c r="AV340" s="181"/>
    </row>
    <row r="341" spans="1:49" s="30" customFormat="1" ht="14.25" customHeight="1" x14ac:dyDescent="0.25">
      <c r="A341" s="1518" t="str">
        <f>IF(DD_apply="Yes",IF(COUNTIF('02 - DD'!D341:G341,"Y")&gt;0,"Y",IF(COUNTIF('02 - DD'!D341:G341,"N"),"N","")),"")</f>
        <v>N</v>
      </c>
      <c r="B341" s="191"/>
      <c r="C341" s="945"/>
      <c r="D341" s="411"/>
      <c r="E341" s="411"/>
      <c r="F341" s="559" t="str">
        <f>IF('C-Design&amp;Const'!$M341="","",'C-Design&amp;Const'!$M341)</f>
        <v>N</v>
      </c>
      <c r="G341" s="514"/>
      <c r="H341" s="341" t="str">
        <f>CONCATENATE(IF(F341="N","PLACEHOLDER ROW - ",""),'C-Design&amp;Const'!Z341,IF(F341="N","",J341))</f>
        <v>PLACEHOLDER ROW - CUSTOM - Building Automation Systems</v>
      </c>
      <c r="I341" s="197"/>
      <c r="J341" s="578" t="str">
        <f>IF('C-Design&amp;Const'!AG341="","",'C-Design&amp;Const'!AG341)</f>
        <v>(Substantially Complete)</v>
      </c>
      <c r="K341" s="285" t="str">
        <f>IF(CD50_apply="Yes",IF((COUNTIF(D341:G341,"Y")=COUNTIF('02 - DD'!D341:G341,"Y")),"match","no DD match"),"-")</f>
        <v>match</v>
      </c>
      <c r="L341" s="1410" t="str">
        <f>CONCATENATE(IF(ISNUMBER(SEARCH("Placeholder",H341))=TRUE,"&lt;---PM/Planner may hide PLACEHOLDER ROW",""))</f>
        <v>&lt;---PM/Planner may hide PLACEHOLDER ROW</v>
      </c>
      <c r="M341" s="1382"/>
      <c r="N341" s="1382"/>
      <c r="O341" s="1382"/>
      <c r="P341" s="1382"/>
      <c r="Q341" s="1274"/>
      <c r="R341" s="1513"/>
      <c r="S341" s="1509"/>
      <c r="T341" s="1382"/>
      <c r="U341" s="1382"/>
      <c r="V341" s="1382"/>
      <c r="W341" s="1382"/>
      <c r="X341" s="1382"/>
      <c r="Y341" s="1382"/>
      <c r="Z341" s="1382"/>
      <c r="AA341" s="1382"/>
      <c r="AB341" s="1382"/>
      <c r="AC341" s="1382"/>
      <c r="AD341" s="1382"/>
      <c r="AE341" s="1382"/>
      <c r="AF341" s="1382"/>
      <c r="AG341" s="1382"/>
      <c r="AH341" s="1382"/>
      <c r="AI341" s="1382"/>
      <c r="AJ341" s="1382"/>
      <c r="AK341" s="181"/>
      <c r="AL341" s="181"/>
      <c r="AM341" s="181"/>
      <c r="AN341" s="181"/>
      <c r="AO341" s="181"/>
      <c r="AP341" s="181"/>
      <c r="AQ341" s="181"/>
      <c r="AR341" s="181"/>
      <c r="AS341" s="181"/>
      <c r="AT341" s="181"/>
      <c r="AU341" s="181"/>
      <c r="AV341" s="181"/>
    </row>
    <row r="342" spans="1:49" s="30" customFormat="1" x14ac:dyDescent="0.25">
      <c r="A342" s="1518" t="str">
        <f>IF(DD_apply="Yes",IF(COUNTIF('02 - DD'!D342:G342,"Y")&gt;0,"Y",IF(COUNTIF('02 - DD'!D342:G342,"N"),"N","")),"")</f>
        <v>N</v>
      </c>
      <c r="B342" s="191"/>
      <c r="C342" s="945"/>
      <c r="D342" s="411"/>
      <c r="E342" s="411"/>
      <c r="F342" s="559" t="str">
        <f>IF('C-Design&amp;Const'!$M342="","",'C-Design&amp;Const'!$M342)</f>
        <v>N</v>
      </c>
      <c r="G342" s="514"/>
      <c r="H342" s="341" t="str">
        <f>CONCATENATE(IF(F342="N","PLACEHOLDER ROW - ",""),'C-Design&amp;Const'!Z342,IF(F342="N","",J342))</f>
        <v>PLACEHOLDER ROW - CUSTOM - Building Automation Systems</v>
      </c>
      <c r="I342" s="197"/>
      <c r="J342" s="578" t="str">
        <f>IF('C-Design&amp;Const'!AG342="","",'C-Design&amp;Const'!AG342)</f>
        <v>(Substantially Complete)</v>
      </c>
      <c r="K342" s="285" t="str">
        <f>IF(CD50_apply="Yes",IF((COUNTIF(D342:G342,"Y")=COUNTIF('02 - DD'!D342:G342,"Y")),"match","no DD match"),"-")</f>
        <v>match</v>
      </c>
      <c r="L342" s="1410" t="str">
        <f>CONCATENATE(IF(ISNUMBER(SEARCH("Placeholder",H342))=TRUE,"&lt;---PM/Planner may hide PLACEHOLDER ROW",""))</f>
        <v>&lt;---PM/Planner may hide PLACEHOLDER ROW</v>
      </c>
      <c r="M342" s="1382"/>
      <c r="N342" s="1382"/>
      <c r="O342" s="1382"/>
      <c r="P342" s="1382"/>
      <c r="Q342" s="1274"/>
      <c r="R342" s="1513"/>
      <c r="S342" s="1509"/>
      <c r="T342" s="1382"/>
      <c r="U342" s="1382"/>
      <c r="V342" s="1382"/>
      <c r="W342" s="1382"/>
      <c r="X342" s="1382"/>
      <c r="Y342" s="1382"/>
      <c r="Z342" s="1382"/>
      <c r="AA342" s="1382"/>
      <c r="AB342" s="1382"/>
      <c r="AC342" s="1382"/>
      <c r="AD342" s="1382"/>
      <c r="AE342" s="1382"/>
      <c r="AF342" s="1382"/>
      <c r="AG342" s="1382"/>
      <c r="AH342" s="1382"/>
      <c r="AI342" s="1382"/>
      <c r="AJ342" s="1382"/>
      <c r="AK342" s="181"/>
      <c r="AL342" s="181"/>
      <c r="AM342" s="181"/>
      <c r="AN342" s="181"/>
      <c r="AO342" s="181"/>
      <c r="AP342" s="181"/>
      <c r="AQ342" s="181"/>
      <c r="AR342" s="181"/>
      <c r="AS342" s="181"/>
      <c r="AT342" s="181"/>
      <c r="AU342" s="181"/>
      <c r="AV342" s="181"/>
    </row>
    <row r="343" spans="1:49" s="551" customFormat="1" x14ac:dyDescent="0.25">
      <c r="A343" s="1518" t="str">
        <f>IF(DD_apply="Yes",IF(COUNTIF('02 - DD'!D343:G343,"Y")&gt;0,"Y",IF(COUNTIF('02 - DD'!D343:G343,"N"),"N","")),"")</f>
        <v>Y</v>
      </c>
      <c r="B343" s="549"/>
      <c r="C343" s="945"/>
      <c r="D343" s="411"/>
      <c r="E343" s="411"/>
      <c r="F343" s="559" t="str">
        <f>IF('C-Design&amp;Const'!$M343="","",'C-Design&amp;Const'!$M343)</f>
        <v>Y</v>
      </c>
      <c r="G343" s="510"/>
      <c r="H343" s="341" t="str">
        <f>CONCATENATE(IF(F343="N","PLACEHOLDER ROW - ",""),'C-Design&amp;Const'!Z343,IF(F343="N","",J343))</f>
        <v>Building Automation Symbols, Abbreviations, and General Notes (Complete)</v>
      </c>
      <c r="I343" s="197"/>
      <c r="J343" s="578" t="str">
        <f>IF('C-Design&amp;Const'!AG343="","",'C-Design&amp;Const'!AG343)</f>
        <v>(Complete)</v>
      </c>
      <c r="K343" s="285" t="str">
        <f>IF(CD50_apply="Yes",IF((COUNTIF(D343:G343,"Y")=COUNTIF('02 - DD'!D343:G343,"Y")),"match","no DD match"),"-")</f>
        <v>match</v>
      </c>
      <c r="L343" s="1410" t="str">
        <f t="shared" ref="L343:L344" si="17">CONCATENATE(IF(ISNUMBER(SEARCH("Placeholder",H343))=TRUE,"&lt;---PM/Planner may hide PLACEHOLDER ROW",""))</f>
        <v/>
      </c>
      <c r="M343" s="1382"/>
      <c r="N343" s="1382"/>
      <c r="O343" s="1382"/>
      <c r="P343" s="1382"/>
      <c r="Q343" s="1490"/>
      <c r="R343" s="1274"/>
      <c r="S343" s="1509"/>
      <c r="T343" s="1382"/>
      <c r="U343" s="1382"/>
      <c r="V343" s="1382"/>
      <c r="W343" s="1382"/>
      <c r="X343" s="1382"/>
      <c r="Y343" s="1382"/>
      <c r="Z343" s="1382"/>
      <c r="AA343" s="1382"/>
      <c r="AB343" s="1382"/>
      <c r="AC343" s="1382"/>
      <c r="AD343" s="1382"/>
      <c r="AE343" s="1382"/>
      <c r="AF343" s="1382"/>
      <c r="AG343" s="1382"/>
      <c r="AH343" s="1382"/>
      <c r="AI343" s="1382"/>
      <c r="AJ343" s="1382"/>
    </row>
    <row r="344" spans="1:49" s="551" customFormat="1" x14ac:dyDescent="0.25">
      <c r="A344" s="1518" t="str">
        <f>IF(DD_apply="Yes",IF(COUNTIF('02 - DD'!D344:G344,"Y")&gt;0,"Y",IF(COUNTIF('02 - DD'!D344:G344,"N"),"N","")),"")</f>
        <v>Y</v>
      </c>
      <c r="B344" s="549"/>
      <c r="C344" s="945"/>
      <c r="D344" s="411"/>
      <c r="E344" s="411"/>
      <c r="F344" s="559" t="str">
        <f>IF('C-Design&amp;Const'!$M344="","",'C-Design&amp;Const'!$M344)</f>
        <v>Y</v>
      </c>
      <c r="G344" s="510"/>
      <c r="H344" s="341" t="str">
        <f>CONCATENATE(IF(F344="N","PLACEHOLDER ROW - ",""),'C-Design&amp;Const'!Z344,IF(F344="N","",J344))</f>
        <v>Building Automation Systems Demolition(s) (Substantially Complete)</v>
      </c>
      <c r="I344" s="197"/>
      <c r="J344" s="578" t="str">
        <f>IF('C-Design&amp;Const'!AG344="","",'C-Design&amp;Const'!AG344)</f>
        <v>(Substantially Complete)</v>
      </c>
      <c r="K344" s="285" t="str">
        <f>IF(CD50_apply="Yes",IF((COUNTIF(D344:G344,"Y")=COUNTIF('02 - DD'!D344:G344,"Y")),"match","no DD match"),"-")</f>
        <v>match</v>
      </c>
      <c r="L344" s="1410" t="str">
        <f t="shared" si="17"/>
        <v/>
      </c>
      <c r="M344" s="1382"/>
      <c r="N344" s="1382"/>
      <c r="O344" s="1382"/>
      <c r="P344" s="1382"/>
      <c r="Q344" s="1490"/>
      <c r="R344" s="1274"/>
      <c r="S344" s="1509"/>
      <c r="T344" s="1382"/>
      <c r="U344" s="1382"/>
      <c r="V344" s="1382"/>
      <c r="W344" s="1382"/>
      <c r="X344" s="1382"/>
      <c r="Y344" s="1382"/>
      <c r="Z344" s="1382"/>
      <c r="AA344" s="1382"/>
      <c r="AB344" s="1382"/>
      <c r="AC344" s="1382"/>
      <c r="AD344" s="1382"/>
      <c r="AE344" s="1382"/>
      <c r="AF344" s="1382"/>
      <c r="AG344" s="1382"/>
      <c r="AH344" s="1382"/>
      <c r="AI344" s="1382"/>
      <c r="AJ344" s="1382"/>
    </row>
    <row r="345" spans="1:49" s="30" customFormat="1" ht="30" x14ac:dyDescent="0.25">
      <c r="A345" s="1518" t="str">
        <f>IF(DD_apply="Yes",IF(COUNTIF('02 - DD'!D345:G345,"Y")&gt;0,"Y",IF(COUNTIF('02 - DD'!D345:G345,"N"),"N","")),"")</f>
        <v>Y</v>
      </c>
      <c r="B345" s="191"/>
      <c r="C345" s="945"/>
      <c r="D345" s="411"/>
      <c r="E345" s="411"/>
      <c r="F345" s="559" t="str">
        <f>IF('C-Design&amp;Const'!$M345="","",'C-Design&amp;Const'!$M345)</f>
        <v>Y</v>
      </c>
      <c r="G345" s="510"/>
      <c r="H345" s="341" t="str">
        <f>CONCATENATE(IF(F345="N","PLACEHOLDER ROW - ",""),'C-Design&amp;Const'!Z345,IF(F345="N","",J345))</f>
        <v>Building Automation Floor Plans and Approximate Control Panel Locations &amp; Other Instruments or Device Locations (Substantially Complete)</v>
      </c>
      <c r="I345" s="197"/>
      <c r="J345" s="578" t="str">
        <f>IF('C-Design&amp;Const'!AG345="","",'C-Design&amp;Const'!AG345)</f>
        <v>(Substantially Complete)</v>
      </c>
      <c r="K345" s="285" t="str">
        <f>IF(CD50_apply="Yes",IF((COUNTIF(D345:G345,"Y")=COUNTIF('02 - DD'!D345:G345,"Y")),"match","no DD match"),"-")</f>
        <v>match</v>
      </c>
      <c r="L345" s="1410" t="str">
        <f>CONCATENATE(IF(ISNUMBER(SEARCH("Placeholder",H345))=TRUE,"&lt;---PM/Planner may hide PLACEHOLDER ROW",""))</f>
        <v/>
      </c>
      <c r="M345" s="1382"/>
      <c r="N345" s="1382"/>
      <c r="O345" s="1382"/>
      <c r="P345" s="1382"/>
      <c r="Q345" s="1490"/>
      <c r="R345" s="1274"/>
      <c r="S345" s="1509"/>
      <c r="T345" s="1382"/>
      <c r="U345" s="1382"/>
      <c r="V345" s="1382"/>
      <c r="W345" s="1382"/>
      <c r="X345" s="1382"/>
      <c r="Y345" s="1382"/>
      <c r="Z345" s="1382"/>
      <c r="AA345" s="1382"/>
      <c r="AB345" s="1382"/>
      <c r="AC345" s="1382"/>
      <c r="AD345" s="1382"/>
      <c r="AE345" s="1382"/>
      <c r="AF345" s="1382"/>
      <c r="AG345" s="1382"/>
      <c r="AH345" s="1382"/>
      <c r="AI345" s="1382"/>
      <c r="AJ345" s="1382"/>
      <c r="AK345" s="181"/>
      <c r="AL345" s="181"/>
      <c r="AM345" s="181"/>
      <c r="AN345" s="181"/>
      <c r="AO345" s="181"/>
      <c r="AP345" s="181"/>
      <c r="AQ345" s="181"/>
      <c r="AR345" s="181"/>
      <c r="AS345" s="181"/>
      <c r="AT345" s="181"/>
      <c r="AU345" s="181"/>
      <c r="AV345" s="181"/>
    </row>
    <row r="346" spans="1:49" s="30" customFormat="1" ht="30" x14ac:dyDescent="0.25">
      <c r="A346" s="1518" t="str">
        <f>IF(DD_apply="Yes",IF(COUNTIF('02 - DD'!D346:G346,"Y")&gt;0,"Y",IF(COUNTIF('02 - DD'!D346:G346,"N"),"N","")),"")</f>
        <v>Y</v>
      </c>
      <c r="B346" s="191"/>
      <c r="C346" s="945"/>
      <c r="D346" s="411"/>
      <c r="E346" s="411"/>
      <c r="F346" s="559" t="str">
        <f>IF('C-Design&amp;Const'!$M346="","",'C-Design&amp;Const'!$M346)</f>
        <v>Y</v>
      </c>
      <c r="G346" s="510"/>
      <c r="H346" s="341" t="str">
        <f>CONCATENATE(IF(F346="N","PLACEHOLDER ROW - ",""),'C-Design&amp;Const'!Z346,IF(F346="N","",J346))</f>
        <v>Building Automation Systems Diagrams, Points List (Diagrammatical or Spreadsheet), Device Schedule, and Sequences of Operation (Approx. 50% Complete)</v>
      </c>
      <c r="I346" s="197"/>
      <c r="J346" s="578" t="str">
        <f>IF('C-Design&amp;Const'!AG346="","",'C-Design&amp;Const'!AG346)</f>
        <v>(Approx. 50% Complete)</v>
      </c>
      <c r="K346" s="285" t="str">
        <f>IF(CD50_apply="Yes",IF((COUNTIF(D346:G346,"Y")=COUNTIF('02 - DD'!D346:G346,"Y")),"match","no DD match"),"-")</f>
        <v>match</v>
      </c>
      <c r="L346" s="1410" t="str">
        <f>CONCATENATE(IF(ISNUMBER(SEARCH("Placeholder",H346))=TRUE,"&lt;---PM/Planner may hide PLACEHOLDER ROW",""))</f>
        <v/>
      </c>
      <c r="M346" s="1382"/>
      <c r="N346" s="1382"/>
      <c r="O346" s="1382"/>
      <c r="P346" s="1382"/>
      <c r="Q346" s="1274"/>
      <c r="R346" s="1513"/>
      <c r="S346" s="1509"/>
      <c r="T346" s="1382"/>
      <c r="U346" s="1382"/>
      <c r="V346" s="1382"/>
      <c r="W346" s="1382"/>
      <c r="X346" s="1382"/>
      <c r="Y346" s="1382"/>
      <c r="Z346" s="1382"/>
      <c r="AA346" s="1382"/>
      <c r="AB346" s="1382"/>
      <c r="AC346" s="1382"/>
      <c r="AD346" s="1382"/>
      <c r="AE346" s="1382"/>
      <c r="AF346" s="1382"/>
      <c r="AG346" s="1382"/>
      <c r="AH346" s="1382"/>
      <c r="AI346" s="1382"/>
      <c r="AJ346" s="1382"/>
      <c r="AK346" s="181"/>
      <c r="AL346" s="181"/>
      <c r="AM346" s="181"/>
      <c r="AN346" s="181"/>
      <c r="AO346" s="181"/>
      <c r="AP346" s="181"/>
      <c r="AQ346" s="181"/>
      <c r="AR346" s="181"/>
      <c r="AS346" s="181"/>
      <c r="AT346" s="181"/>
      <c r="AU346" s="181"/>
      <c r="AV346" s="181"/>
    </row>
    <row r="347" spans="1:49" s="30" customFormat="1" ht="15.75" customHeight="1" x14ac:dyDescent="0.25">
      <c r="A347" s="1518" t="str">
        <f>IF(DD_apply="Yes",IF(COUNTIF('02 - DD'!D347:G347,"Y")&gt;0,"Y",IF(COUNTIF('02 - DD'!D347:G347,"N"),"N","")),"")</f>
        <v>Y</v>
      </c>
      <c r="B347" s="191"/>
      <c r="C347" s="945"/>
      <c r="D347" s="463"/>
      <c r="E347" s="463"/>
      <c r="F347" s="359" t="str">
        <f>IF('C-Design&amp;Const'!$M347="","",'C-Design&amp;Const'!$M347)</f>
        <v>Y</v>
      </c>
      <c r="G347" s="291"/>
      <c r="H347" s="341" t="str">
        <f>CONCATENATE(IF(F347="N","PLACEHOLDER ROW - ",""),'C-Design&amp;Const'!Z347,IF(F347="N","",J347))</f>
        <v>Building Network Connections and Integration (Approx. 50% Complete)</v>
      </c>
      <c r="I347" s="184"/>
      <c r="J347" s="578" t="str">
        <f>IF('C-Design&amp;Const'!AG347="","",'C-Design&amp;Const'!AG347)</f>
        <v>(Approx. 50% Complete)</v>
      </c>
      <c r="K347" s="285" t="str">
        <f>IF(CD50_apply="Yes",IF((COUNTIF(D347:G347,"Y")=COUNTIF('02 - DD'!D347:G347,"Y")),"match","no DD match"),"-")</f>
        <v>match</v>
      </c>
      <c r="L347" s="1410" t="str">
        <f>CONCATENATE(IF(ISNUMBER(SEARCH("Placeholder",H347))=TRUE,"&lt;---PM/Planner may hide PLACEHOLDER ROW",""))</f>
        <v/>
      </c>
      <c r="M347" s="1382"/>
      <c r="N347" s="1382"/>
      <c r="O347" s="1382"/>
      <c r="P347" s="1382"/>
      <c r="Q347" s="1382"/>
      <c r="R347" s="1382"/>
      <c r="S347" s="1509"/>
      <c r="T347" s="1382"/>
      <c r="U347" s="1382"/>
      <c r="V347" s="1382"/>
      <c r="W347" s="1382"/>
      <c r="X347" s="1382"/>
      <c r="Y347" s="1382"/>
      <c r="Z347" s="1382"/>
      <c r="AA347" s="1382"/>
      <c r="AB347" s="1382"/>
      <c r="AC347" s="1382"/>
      <c r="AD347" s="1382"/>
      <c r="AE347" s="1382"/>
      <c r="AF347" s="1382"/>
      <c r="AG347" s="1382"/>
      <c r="AH347" s="1382"/>
      <c r="AI347" s="1382"/>
      <c r="AJ347" s="1382"/>
      <c r="AK347" s="181"/>
      <c r="AL347" s="181"/>
      <c r="AM347" s="181"/>
      <c r="AN347" s="181"/>
      <c r="AO347" s="181"/>
      <c r="AP347" s="181"/>
      <c r="AQ347" s="181"/>
      <c r="AR347" s="181"/>
      <c r="AS347" s="181"/>
      <c r="AT347" s="181"/>
      <c r="AU347" s="181"/>
      <c r="AV347" s="181"/>
      <c r="AW347" s="181"/>
    </row>
    <row r="348" spans="1:49" s="30" customFormat="1" ht="28.5" customHeight="1" x14ac:dyDescent="0.25">
      <c r="A348" s="1518" t="str">
        <f>IF(DD_apply="Yes",IF(COUNTIF('02 - DD'!D349:G349,"Y")&gt;0,"Y",IF(COUNTIF('02 - DD'!D349:G349,"N"),"N","")),"")</f>
        <v>N</v>
      </c>
      <c r="B348" s="191"/>
      <c r="C348" s="945"/>
      <c r="D348" s="463"/>
      <c r="E348" s="463"/>
      <c r="F348" s="359" t="str">
        <f>IF('C-Design&amp;Const'!$M348="","",'C-Design&amp;Const'!$M348)</f>
        <v>Y</v>
      </c>
      <c r="G348" s="291"/>
      <c r="H348" s="341" t="str">
        <f>CONCATENATE(IF(F348="N","PLACEHOLDER ROW - ",""),'C-Design&amp;Const'!Z348,IF(F348="N","",J348))</f>
        <v>Temperature Controls Building Automation Systems - Sequence of Operation (Approx. 50% Complete)</v>
      </c>
      <c r="I348" s="184"/>
      <c r="J348" s="578" t="str">
        <f>IF('C-Design&amp;Const'!AG348="","",'C-Design&amp;Const'!AG348)</f>
        <v>(Approx. 50% Complete)</v>
      </c>
      <c r="K348" s="285" t="str">
        <f>IF(CD50_apply="Yes",IF((COUNTIF(D348:G348,"Y")=COUNTIF('02 - DD'!D349:G349,"Y")),"match","no DD match"),"-")</f>
        <v>no DD match</v>
      </c>
      <c r="L348" s="1410" t="str">
        <f>CONCATENATE(IF(ISNUMBER(SEARCH("Placeholder",H348))=TRUE,"&lt;---PM/Planner may hide PLACEHOLDER ROW",""))</f>
        <v/>
      </c>
      <c r="M348" s="1382"/>
      <c r="N348" s="1382"/>
      <c r="O348" s="1382"/>
      <c r="P348" s="1382"/>
      <c r="Q348" s="1382"/>
      <c r="R348" s="1382"/>
      <c r="S348" s="1509"/>
      <c r="T348" s="1382"/>
      <c r="U348" s="1382"/>
      <c r="V348" s="1382"/>
      <c r="W348" s="1382"/>
      <c r="X348" s="1382"/>
      <c r="Y348" s="1382"/>
      <c r="Z348" s="1382"/>
      <c r="AA348" s="1382"/>
      <c r="AB348" s="1382"/>
      <c r="AC348" s="1382"/>
      <c r="AD348" s="1382"/>
      <c r="AE348" s="1382"/>
      <c r="AF348" s="1382"/>
      <c r="AG348" s="1382"/>
      <c r="AH348" s="1382"/>
      <c r="AI348" s="1382"/>
      <c r="AJ348" s="1382"/>
      <c r="AK348" s="181"/>
      <c r="AL348" s="181"/>
      <c r="AM348" s="181"/>
      <c r="AN348" s="181"/>
      <c r="AO348" s="181"/>
      <c r="AP348" s="181"/>
      <c r="AQ348" s="181"/>
      <c r="AR348" s="181"/>
      <c r="AS348" s="181"/>
      <c r="AT348" s="181"/>
      <c r="AU348" s="181"/>
      <c r="AV348" s="181"/>
      <c r="AW348" s="181"/>
    </row>
    <row r="349" spans="1:49" s="30" customFormat="1" x14ac:dyDescent="0.25">
      <c r="A349" s="1518" t="str">
        <f>IF(DD_apply="Yes",IF(COUNTIF('02 - DD'!D350:G350,"Y")&gt;0,"Y",IF(COUNTIF('02 - DD'!D350:G350,"N"),"N","")),"")</f>
        <v>Y</v>
      </c>
      <c r="B349" s="191"/>
      <c r="C349" s="945"/>
      <c r="D349" s="411"/>
      <c r="E349" s="411"/>
      <c r="F349" s="559" t="str">
        <f>IF('C-Design&amp;Const'!$M349="","",'C-Design&amp;Const'!$M349)</f>
        <v>Y</v>
      </c>
      <c r="G349" s="510"/>
      <c r="H349" s="341" t="str">
        <f>CONCATENATE(IF(F349="N","PLACEHOLDER ROW - ",""),'C-Design&amp;Const'!Z349,IF(F349="N","",J349))</f>
        <v>Building Automation Systems Details (Approx. 50% Complete)</v>
      </c>
      <c r="I349" s="197"/>
      <c r="J349" s="578" t="str">
        <f>IF('C-Design&amp;Const'!AG349="","",'C-Design&amp;Const'!AG349)</f>
        <v>(Approx. 50% Complete)</v>
      </c>
      <c r="K349" s="285" t="str">
        <f>IF(CD50_apply="Yes",IF((COUNTIF(D349:G349,"Y")=COUNTIF('02 - DD'!D350:G350,"Y")),"match","no DD match"),"-")</f>
        <v>match</v>
      </c>
      <c r="L349" s="1410" t="str">
        <f>CONCATENATE(IF(ISNUMBER(SEARCH("Placeholder",H349))=TRUE,"&lt;---PM/Planner may hide PLACEHOLDER ROW",""))</f>
        <v/>
      </c>
      <c r="M349" s="1382"/>
      <c r="N349" s="1382"/>
      <c r="O349" s="1382"/>
      <c r="P349" s="1382"/>
      <c r="Q349" s="1490"/>
      <c r="R349" s="1274"/>
      <c r="S349" s="1509"/>
      <c r="T349" s="1382"/>
      <c r="U349" s="1382"/>
      <c r="V349" s="1382"/>
      <c r="W349" s="1382"/>
      <c r="X349" s="1382"/>
      <c r="Y349" s="1382"/>
      <c r="Z349" s="1382"/>
      <c r="AA349" s="1382"/>
      <c r="AB349" s="1382"/>
      <c r="AC349" s="1382"/>
      <c r="AD349" s="1382"/>
      <c r="AE349" s="1382"/>
      <c r="AF349" s="1382"/>
      <c r="AG349" s="1382"/>
      <c r="AH349" s="1382"/>
      <c r="AI349" s="1382"/>
      <c r="AJ349" s="1382"/>
      <c r="AK349" s="181"/>
      <c r="AL349" s="181"/>
      <c r="AM349" s="181"/>
      <c r="AN349" s="181"/>
      <c r="AO349" s="181"/>
      <c r="AP349" s="181"/>
      <c r="AQ349" s="181"/>
      <c r="AR349" s="181"/>
      <c r="AS349" s="181"/>
      <c r="AT349" s="181"/>
      <c r="AU349" s="181"/>
      <c r="AV349" s="181"/>
    </row>
    <row r="350" spans="1:49" s="30" customFormat="1" x14ac:dyDescent="0.25">
      <c r="A350" s="1407" t="str">
        <f>IF(DD_apply="Yes",IF(COUNTIF('02 - DD'!D351:G351,"Y")&gt;0,"Y",IF(COUNTIF('02 - DD'!D351:G351,"N"),"N","")),"")</f>
        <v>N</v>
      </c>
      <c r="B350" s="191"/>
      <c r="C350" s="945"/>
      <c r="D350" s="411"/>
      <c r="E350" s="559" t="str">
        <f>IF('C-Design&amp;Const'!$M350="","",'C-Design&amp;Const'!$M350)</f>
        <v>Y</v>
      </c>
      <c r="F350" s="510"/>
      <c r="G350" s="510"/>
      <c r="H350" s="347" t="str">
        <f>CONCATENATE(IF(F350="N","PLACEHOLDER ROW - ",""),'C-Design&amp;Const'!Z350,IF(F350="N","",J350))</f>
        <v>Access Controls Drawings (Including Bid Alts.)</v>
      </c>
      <c r="I350" s="198"/>
      <c r="J350" s="578" t="str">
        <f>IF('C-Design&amp;Const'!AG350="","",'C-Design&amp;Const'!AG350)</f>
        <v xml:space="preserve"> (Including Bid Alts.)</v>
      </c>
      <c r="K350" s="285" t="str">
        <f>IF(CD50_apply="Yes",IF((COUNTIF(D350:G350,"Y")=COUNTIF('02 - DD'!D351:G351,"Y")),"match","no DD match"),"-")</f>
        <v>no DD match</v>
      </c>
      <c r="L350" s="1410" t="str">
        <f t="shared" ref="L350:L357" si="18">CONCATENATE(IF(ISNUMBER(SEARCH("Placeholder",H350))=TRUE,"&lt;---PM/Planner may hide PLACEHOLDER ROW",""))</f>
        <v/>
      </c>
      <c r="M350" s="1382"/>
      <c r="N350" s="1382"/>
      <c r="O350" s="1382"/>
      <c r="P350" s="1382"/>
      <c r="Q350" s="1490"/>
      <c r="R350" s="1274"/>
      <c r="S350" s="1509"/>
      <c r="T350" s="1382"/>
      <c r="U350" s="1382"/>
      <c r="V350" s="1382"/>
      <c r="W350" s="1382"/>
      <c r="X350" s="1382"/>
      <c r="Y350" s="1382"/>
      <c r="Z350" s="1382"/>
      <c r="AA350" s="1382"/>
      <c r="AB350" s="1382"/>
      <c r="AC350" s="1382"/>
      <c r="AD350" s="1382"/>
      <c r="AE350" s="1382"/>
      <c r="AF350" s="1382"/>
      <c r="AG350" s="1382"/>
      <c r="AH350" s="1382"/>
      <c r="AI350" s="1382"/>
      <c r="AJ350" s="1382"/>
      <c r="AK350" s="181"/>
      <c r="AL350" s="181"/>
      <c r="AM350" s="181"/>
      <c r="AN350" s="181"/>
      <c r="AO350" s="181"/>
      <c r="AP350" s="181"/>
      <c r="AQ350" s="181"/>
      <c r="AR350" s="181"/>
      <c r="AS350" s="181"/>
      <c r="AT350" s="181"/>
      <c r="AU350" s="181"/>
      <c r="AV350" s="181"/>
    </row>
    <row r="351" spans="1:49" s="30" customFormat="1" ht="14.25" customHeight="1" x14ac:dyDescent="0.25">
      <c r="A351" s="1518" t="str">
        <f>IF(DD_apply="Yes",IF(COUNTIF('02 - DD'!D352:G352,"Y")&gt;0,"Y",IF(COUNTIF('02 - DD'!D352:G352,"N"),"N","")),"")</f>
        <v>N</v>
      </c>
      <c r="B351" s="191"/>
      <c r="C351" s="945"/>
      <c r="D351" s="411"/>
      <c r="E351" s="411"/>
      <c r="F351" s="559" t="str">
        <f>IF('C-Design&amp;Const'!$M351="","",'C-Design&amp;Const'!$M351)</f>
        <v>N</v>
      </c>
      <c r="G351" s="514"/>
      <c r="H351" s="341" t="str">
        <f>CONCATENATE(IF(F351="N","PLACEHOLDER ROW - ",""),'C-Design&amp;Const'!Z351,IF(F351="N","",J351))</f>
        <v xml:space="preserve">PLACEHOLDER ROW - CUSTOM Access Controls </v>
      </c>
      <c r="I351" s="197"/>
      <c r="J351" s="578" t="str">
        <f>IF('C-Design&amp;Const'!AG351="","",'C-Design&amp;Const'!AG351)</f>
        <v>(Substantially Complete)</v>
      </c>
      <c r="K351" s="285" t="str">
        <f>IF(CD50_apply="Yes",IF((COUNTIF(D351:G351,"Y")=COUNTIF('02 - DD'!D352:G352,"Y")),"match","no DD match"),"-")</f>
        <v>match</v>
      </c>
      <c r="L351" s="1410" t="str">
        <f t="shared" si="18"/>
        <v>&lt;---PM/Planner may hide PLACEHOLDER ROW</v>
      </c>
      <c r="M351" s="1382"/>
      <c r="N351" s="1382"/>
      <c r="O351" s="1382"/>
      <c r="P351" s="1382"/>
      <c r="Q351" s="1274"/>
      <c r="R351" s="1513"/>
      <c r="S351" s="1509"/>
      <c r="T351" s="1382"/>
      <c r="U351" s="1382"/>
      <c r="V351" s="1382"/>
      <c r="W351" s="1382"/>
      <c r="X351" s="1382"/>
      <c r="Y351" s="1382"/>
      <c r="Z351" s="1382"/>
      <c r="AA351" s="1382"/>
      <c r="AB351" s="1382"/>
      <c r="AC351" s="1382"/>
      <c r="AD351" s="1382"/>
      <c r="AE351" s="1382"/>
      <c r="AF351" s="1382"/>
      <c r="AG351" s="1382"/>
      <c r="AH351" s="1382"/>
      <c r="AI351" s="1382"/>
      <c r="AJ351" s="1382"/>
      <c r="AK351" s="181"/>
      <c r="AL351" s="181"/>
      <c r="AM351" s="181"/>
      <c r="AN351" s="181"/>
      <c r="AO351" s="181"/>
      <c r="AP351" s="181"/>
      <c r="AQ351" s="181"/>
      <c r="AR351" s="181"/>
      <c r="AS351" s="181"/>
      <c r="AT351" s="181"/>
      <c r="AU351" s="181"/>
      <c r="AV351" s="181"/>
    </row>
    <row r="352" spans="1:49" s="30" customFormat="1" x14ac:dyDescent="0.25">
      <c r="A352" s="1518" t="str">
        <f>IF(DD_apply="Yes",IF(COUNTIF('02 - DD'!D355:G355,"Y")&gt;0,"Y",IF(COUNTIF('02 - DD'!D355:G355,"N"),"N","")),"")</f>
        <v>Y</v>
      </c>
      <c r="B352" s="191"/>
      <c r="C352" s="945"/>
      <c r="D352" s="411"/>
      <c r="E352" s="411"/>
      <c r="F352" s="559" t="str">
        <f>IF('C-Design&amp;Const'!$M352="","",'C-Design&amp;Const'!$M352)</f>
        <v>N</v>
      </c>
      <c r="G352" s="514"/>
      <c r="H352" s="341" t="str">
        <f>CONCATENATE(IF(F352="N","PLACEHOLDER ROW - ",""),'C-Design&amp;Const'!Z352,IF(F352="N","",J352))</f>
        <v xml:space="preserve">PLACEHOLDER ROW - CUSTOM Access Controls </v>
      </c>
      <c r="I352" s="197"/>
      <c r="J352" s="578" t="str">
        <f>IF('C-Design&amp;Const'!AG352="","",'C-Design&amp;Const'!AG352)</f>
        <v>(Substantially Complete)</v>
      </c>
      <c r="K352" s="285" t="str">
        <f>IF(CD50_apply="Yes",IF((COUNTIF(D352:G352,"Y")=COUNTIF('02 - DD'!D355:G355,"Y")),"match","no DD match"),"-")</f>
        <v>no DD match</v>
      </c>
      <c r="L352" s="1410" t="str">
        <f t="shared" si="18"/>
        <v>&lt;---PM/Planner may hide PLACEHOLDER ROW</v>
      </c>
      <c r="M352" s="1382"/>
      <c r="N352" s="1382"/>
      <c r="O352" s="1382"/>
      <c r="P352" s="1382"/>
      <c r="Q352" s="1274"/>
      <c r="R352" s="1513"/>
      <c r="S352" s="1509"/>
      <c r="T352" s="1382"/>
      <c r="U352" s="1382"/>
      <c r="V352" s="1382"/>
      <c r="W352" s="1382"/>
      <c r="X352" s="1382"/>
      <c r="Y352" s="1382"/>
      <c r="Z352" s="1382"/>
      <c r="AA352" s="1382"/>
      <c r="AB352" s="1382"/>
      <c r="AC352" s="1382"/>
      <c r="AD352" s="1382"/>
      <c r="AE352" s="1382"/>
      <c r="AF352" s="1382"/>
      <c r="AG352" s="1382"/>
      <c r="AH352" s="1382"/>
      <c r="AI352" s="1382"/>
      <c r="AJ352" s="1382"/>
      <c r="AK352" s="181"/>
      <c r="AL352" s="181"/>
      <c r="AM352" s="181"/>
      <c r="AN352" s="181"/>
      <c r="AO352" s="181"/>
      <c r="AP352" s="181"/>
      <c r="AQ352" s="181"/>
      <c r="AR352" s="181"/>
      <c r="AS352" s="181"/>
      <c r="AT352" s="181"/>
      <c r="AU352" s="181"/>
      <c r="AV352" s="181"/>
    </row>
    <row r="353" spans="1:49" s="551" customFormat="1" x14ac:dyDescent="0.25">
      <c r="A353" s="1518" t="str">
        <f>IF(DD_apply="Yes",IF(COUNTIF('02 - DD'!D353:G353,"Y")&gt;0,"Y",IF(COUNTIF('02 - DD'!D353:G353,"N"),"N","")),"")</f>
        <v>Y</v>
      </c>
      <c r="B353" s="549"/>
      <c r="C353" s="945"/>
      <c r="D353" s="411"/>
      <c r="E353" s="411"/>
      <c r="F353" s="559" t="str">
        <f>IF('C-Design&amp;Const'!$M353="","",'C-Design&amp;Const'!$M353)</f>
        <v>Y</v>
      </c>
      <c r="G353" s="510"/>
      <c r="H353" s="341" t="str">
        <f>CONCATENATE(IF(F353="N","PLACEHOLDER ROW - ",""),'C-Design&amp;Const'!Z353,IF(F353="N","",J353))</f>
        <v>Access Control Symbols, Abbreviations, and General Notes (Complete)</v>
      </c>
      <c r="I353" s="197"/>
      <c r="J353" s="578" t="str">
        <f>IF('C-Design&amp;Const'!AG353="","",'C-Design&amp;Const'!AG353)</f>
        <v>(Complete)</v>
      </c>
      <c r="K353" s="285" t="str">
        <f>IF(CD50_apply="Yes",IF((COUNTIF(D353:G353,"Y")=COUNTIF('02 - DD'!D353:G353,"Y")),"match","no DD match"),"-")</f>
        <v>match</v>
      </c>
      <c r="L353" s="1410" t="str">
        <f>CONCATENATE(IF(ISNUMBER(SEARCH("Placeholder",H353))=TRUE,"&lt;---PM/Planner may hide PLACEHOLDER ROW",""))</f>
        <v/>
      </c>
      <c r="M353" s="1382"/>
      <c r="N353" s="1382"/>
      <c r="O353" s="1382"/>
      <c r="P353" s="1382"/>
      <c r="Q353" s="1490"/>
      <c r="R353" s="1274"/>
      <c r="S353" s="1509"/>
      <c r="T353" s="1382"/>
      <c r="U353" s="1382"/>
      <c r="V353" s="1382"/>
      <c r="W353" s="1382"/>
      <c r="X353" s="1382"/>
      <c r="Y353" s="1382"/>
      <c r="Z353" s="1382"/>
      <c r="AA353" s="1382"/>
      <c r="AB353" s="1382"/>
      <c r="AC353" s="1382"/>
      <c r="AD353" s="1382"/>
      <c r="AE353" s="1382"/>
      <c r="AF353" s="1382"/>
      <c r="AG353" s="1382"/>
      <c r="AH353" s="1382"/>
      <c r="AI353" s="1382"/>
      <c r="AJ353" s="1382"/>
    </row>
    <row r="354" spans="1:49" s="551" customFormat="1" x14ac:dyDescent="0.25">
      <c r="A354" s="1518" t="str">
        <f>IF(DD_apply="Yes",IF(COUNTIF('02 - DD'!D354:G354,"Y")&gt;0,"Y",IF(COUNTIF('02 - DD'!D354:G354,"N"),"N","")),"")</f>
        <v>Y</v>
      </c>
      <c r="B354" s="549"/>
      <c r="C354" s="945"/>
      <c r="D354" s="411"/>
      <c r="E354" s="411"/>
      <c r="F354" s="559" t="str">
        <f>IF('C-Design&amp;Const'!$M354="","",'C-Design&amp;Const'!$M354)</f>
        <v>Y</v>
      </c>
      <c r="G354" s="510"/>
      <c r="H354" s="341" t="str">
        <f>CONCATENATE(IF(F354="N","PLACEHOLDER ROW - ",""),'C-Design&amp;Const'!Z354,IF(F354="N","",J354))</f>
        <v>Access Control Demolition(s) (Substantially Complete)</v>
      </c>
      <c r="I354" s="197"/>
      <c r="J354" s="578" t="str">
        <f>IF('C-Design&amp;Const'!AG354="","",'C-Design&amp;Const'!AG354)</f>
        <v>(Substantially Complete)</v>
      </c>
      <c r="K354" s="285" t="str">
        <f>IF(CD50_apply="Yes",IF((COUNTIF(D354:G354,"Y")=COUNTIF('02 - DD'!D354:G354,"Y")),"match","no DD match"),"-")</f>
        <v>match</v>
      </c>
      <c r="L354" s="1410" t="str">
        <f>CONCATENATE(IF(ISNUMBER(SEARCH("Placeholder",H354))=TRUE,"&lt;---PM/Planner may hide PLACEHOLDER ROW",""))</f>
        <v/>
      </c>
      <c r="M354" s="1382"/>
      <c r="N354" s="1382"/>
      <c r="O354" s="1382"/>
      <c r="P354" s="1382"/>
      <c r="Q354" s="1490"/>
      <c r="R354" s="1274"/>
      <c r="S354" s="1509"/>
      <c r="T354" s="1382"/>
      <c r="U354" s="1382"/>
      <c r="V354" s="1382"/>
      <c r="W354" s="1382"/>
      <c r="X354" s="1382"/>
      <c r="Y354" s="1382"/>
      <c r="Z354" s="1382"/>
      <c r="AA354" s="1382"/>
      <c r="AB354" s="1382"/>
      <c r="AC354" s="1382"/>
      <c r="AD354" s="1382"/>
      <c r="AE354" s="1382"/>
      <c r="AF354" s="1382"/>
      <c r="AG354" s="1382"/>
      <c r="AH354" s="1382"/>
      <c r="AI354" s="1382"/>
      <c r="AJ354" s="1382"/>
    </row>
    <row r="355" spans="1:49" s="30" customFormat="1" x14ac:dyDescent="0.25">
      <c r="A355" s="1518" t="str">
        <f>IF(DD_apply="Yes",IF(COUNTIF('02 - DD'!D356:G356,"Y")&gt;0,"Y",IF(COUNTIF('02 - DD'!D356:G356,"N"),"N","")),"")</f>
        <v>Y</v>
      </c>
      <c r="B355" s="191"/>
      <c r="C355" s="945"/>
      <c r="D355" s="411"/>
      <c r="E355" s="411"/>
      <c r="F355" s="559" t="str">
        <f>IF('C-Design&amp;Const'!$M355="","",'C-Design&amp;Const'!$M355)</f>
        <v>Y</v>
      </c>
      <c r="G355" s="510"/>
      <c r="H355" s="341" t="str">
        <f>CONCATENATE(IF(F355="N","PLACEHOLDER ROW - ",""),'C-Design&amp;Const'!Z355,IF(F355="N","",J355))</f>
        <v>Access Control Floor Plans (Substantially Complete)</v>
      </c>
      <c r="I355" s="197"/>
      <c r="J355" s="578" t="str">
        <f>IF('C-Design&amp;Const'!AG355="","",'C-Design&amp;Const'!AG355)</f>
        <v>(Substantially Complete)</v>
      </c>
      <c r="K355" s="285" t="str">
        <f>IF(CD50_apply="Yes",IF((COUNTIF(D355:G355,"Y")=COUNTIF('02 - DD'!D356:G356,"Y")),"match","no DD match"),"-")</f>
        <v>match</v>
      </c>
      <c r="L355" s="1410" t="str">
        <f t="shared" si="18"/>
        <v/>
      </c>
      <c r="M355" s="1382"/>
      <c r="N355" s="1382"/>
      <c r="O355" s="1382"/>
      <c r="P355" s="1382"/>
      <c r="Q355" s="1490"/>
      <c r="R355" s="1274"/>
      <c r="S355" s="1509"/>
      <c r="T355" s="1382"/>
      <c r="U355" s="1382"/>
      <c r="V355" s="1382"/>
      <c r="W355" s="1382"/>
      <c r="X355" s="1382"/>
      <c r="Y355" s="1382"/>
      <c r="Z355" s="1382"/>
      <c r="AA355" s="1382"/>
      <c r="AB355" s="1382"/>
      <c r="AC355" s="1382"/>
      <c r="AD355" s="1382"/>
      <c r="AE355" s="1382"/>
      <c r="AF355" s="1382"/>
      <c r="AG355" s="1382"/>
      <c r="AH355" s="1382"/>
      <c r="AI355" s="1382"/>
      <c r="AJ355" s="1382"/>
      <c r="AK355" s="181"/>
      <c r="AL355" s="181"/>
      <c r="AM355" s="181"/>
      <c r="AN355" s="181"/>
      <c r="AO355" s="181"/>
      <c r="AP355" s="181"/>
      <c r="AQ355" s="181"/>
      <c r="AR355" s="181"/>
      <c r="AS355" s="181"/>
      <c r="AT355" s="181"/>
      <c r="AU355" s="181"/>
      <c r="AV355" s="181"/>
    </row>
    <row r="356" spans="1:49" s="30" customFormat="1" x14ac:dyDescent="0.25">
      <c r="A356" s="1518" t="str">
        <f>IF(DD_apply="Yes",IF(COUNTIF('02 - DD'!D348:G348,"Y")&gt;0,"Y",IF(COUNTIF('02 - DD'!D348:G348,"N"),"N","")),"")</f>
        <v>N</v>
      </c>
      <c r="B356" s="191"/>
      <c r="C356" s="945"/>
      <c r="D356" s="411"/>
      <c r="E356" s="411"/>
      <c r="F356" s="559" t="str">
        <f>IF('C-Design&amp;Const'!$M356="","",'C-Design&amp;Const'!$M356)</f>
        <v>Y</v>
      </c>
      <c r="G356" s="510"/>
      <c r="H356" s="341" t="str">
        <f>CONCATENATE(IF(F356="N","PLACEHOLDER ROW - ",""),'C-Design&amp;Const'!Z356,IF(F356="N","",J356))</f>
        <v>Access Control Logic Diagrams, Points Lists and Device Schedule (Approx. 50% Complete)</v>
      </c>
      <c r="I356" s="197"/>
      <c r="J356" s="578" t="str">
        <f>IF('C-Design&amp;Const'!AG356="","",'C-Design&amp;Const'!AG356)</f>
        <v>(Approx. 50% Complete)</v>
      </c>
      <c r="K356" s="285" t="str">
        <f>IF(CD50_apply="Yes",IF((COUNTIF(D356:G356,"Y")=COUNTIF('02 - DD'!D348:G348,"Y")),"match","no DD match"),"-")</f>
        <v>no DD match</v>
      </c>
      <c r="L356" s="1410" t="str">
        <f t="shared" si="18"/>
        <v/>
      </c>
      <c r="M356" s="1382"/>
      <c r="N356" s="1382"/>
      <c r="O356" s="1382"/>
      <c r="P356" s="1382"/>
      <c r="Q356" s="1490"/>
      <c r="R356" s="1274"/>
      <c r="S356" s="1509"/>
      <c r="T356" s="1382"/>
      <c r="U356" s="1382"/>
      <c r="V356" s="1382"/>
      <c r="W356" s="1382"/>
      <c r="X356" s="1382"/>
      <c r="Y356" s="1382"/>
      <c r="Z356" s="1382"/>
      <c r="AA356" s="1382"/>
      <c r="AB356" s="1382"/>
      <c r="AC356" s="1382"/>
      <c r="AD356" s="1382"/>
      <c r="AE356" s="1382"/>
      <c r="AF356" s="1382"/>
      <c r="AG356" s="1382"/>
      <c r="AH356" s="1382"/>
      <c r="AI356" s="1382"/>
      <c r="AJ356" s="1382"/>
      <c r="AK356" s="181"/>
      <c r="AL356" s="181"/>
      <c r="AM356" s="181"/>
      <c r="AN356" s="181"/>
      <c r="AO356" s="181"/>
      <c r="AP356" s="181"/>
      <c r="AQ356" s="181"/>
      <c r="AR356" s="181"/>
      <c r="AS356" s="181"/>
      <c r="AT356" s="181"/>
      <c r="AU356" s="181"/>
      <c r="AV356" s="181"/>
    </row>
    <row r="357" spans="1:49" s="30" customFormat="1" x14ac:dyDescent="0.25">
      <c r="A357" s="1518" t="str">
        <f>IF(DD_apply="Yes",IF(COUNTIF('02 - DD'!D357:G357,"Y")&gt;0,"Y",IF(COUNTIF('02 - DD'!D357:G357,"N"),"N","")),"")</f>
        <v>N</v>
      </c>
      <c r="B357" s="191"/>
      <c r="C357" s="945"/>
      <c r="D357" s="411"/>
      <c r="E357" s="411"/>
      <c r="F357" s="559" t="str">
        <f>IF('C-Design&amp;Const'!$M357="","",'C-Design&amp;Const'!$M357)</f>
        <v>Y</v>
      </c>
      <c r="G357" s="510"/>
      <c r="H357" s="341" t="str">
        <f>CONCATENATE(IF(F357="N","PLACEHOLDER ROW - ",""),'C-Design&amp;Const'!Z357,IF(F357="N","",J357))</f>
        <v>Access Control Details (Approx. 50% Complete)</v>
      </c>
      <c r="I357" s="197"/>
      <c r="J357" s="578" t="str">
        <f>IF('C-Design&amp;Const'!AG357="","",'C-Design&amp;Const'!AG357)</f>
        <v>(Approx. 50% Complete)</v>
      </c>
      <c r="K357" s="285" t="str">
        <f>IF(CD50_apply="Yes",IF((COUNTIF(D357:G357,"Y")=COUNTIF('02 - DD'!D357:G357,"Y")),"match","no DD match"),"-")</f>
        <v>no DD match</v>
      </c>
      <c r="L357" s="1410" t="str">
        <f t="shared" si="18"/>
        <v/>
      </c>
      <c r="M357" s="1382"/>
      <c r="N357" s="1382"/>
      <c r="O357" s="1382"/>
      <c r="P357" s="1382"/>
      <c r="Q357" s="1490"/>
      <c r="R357" s="1274"/>
      <c r="S357" s="1509"/>
      <c r="T357" s="1382"/>
      <c r="U357" s="1382"/>
      <c r="V357" s="1382"/>
      <c r="W357" s="1382"/>
      <c r="X357" s="1382"/>
      <c r="Y357" s="1382"/>
      <c r="Z357" s="1382"/>
      <c r="AA357" s="1382"/>
      <c r="AB357" s="1382"/>
      <c r="AC357" s="1382"/>
      <c r="AD357" s="1382"/>
      <c r="AE357" s="1382"/>
      <c r="AF357" s="1382"/>
      <c r="AG357" s="1382"/>
      <c r="AH357" s="1382"/>
      <c r="AI357" s="1382"/>
      <c r="AJ357" s="1382"/>
      <c r="AK357" s="181"/>
      <c r="AL357" s="181"/>
      <c r="AM357" s="181"/>
      <c r="AN357" s="181"/>
      <c r="AO357" s="181"/>
      <c r="AP357" s="181"/>
      <c r="AQ357" s="181"/>
      <c r="AR357" s="181"/>
      <c r="AS357" s="181"/>
      <c r="AT357" s="181"/>
      <c r="AU357" s="181"/>
      <c r="AV357" s="181"/>
    </row>
    <row r="358" spans="1:49" s="30" customFormat="1" x14ac:dyDescent="0.25">
      <c r="A358" s="1407" t="str">
        <f>IF(DD_apply="Yes",IF(COUNTIF('02 - DD'!D358:G358,"Y")&gt;0,"Y",IF(COUNTIF('02 - DD'!D358:G358,"N"),"N","")),"")</f>
        <v>Y</v>
      </c>
      <c r="B358" s="191"/>
      <c r="C358" s="945"/>
      <c r="D358" s="411"/>
      <c r="E358" s="559" t="str">
        <f>IF('C-Design&amp;Const'!$M358="","",'C-Design&amp;Const'!$M358)</f>
        <v>Y</v>
      </c>
      <c r="F358" s="411"/>
      <c r="G358" s="510"/>
      <c r="H358" s="347" t="str">
        <f>CONCATENATE(IF(F358="N","PLACEHOLDER ROW - ",""),'C-Design&amp;Const'!Z358,IF(F358="N","",J358))</f>
        <v>Telecom Drawings (Including Bid Alts.)</v>
      </c>
      <c r="I358" s="201"/>
      <c r="J358" s="578" t="str">
        <f>IF('C-Design&amp;Const'!AG358="","",'C-Design&amp;Const'!AG358)</f>
        <v xml:space="preserve"> (Including Bid Alts.)</v>
      </c>
      <c r="K358" s="285" t="str">
        <f>IF(CD50_apply="Yes",IF((COUNTIF(D358:G358,"Y")=COUNTIF('02 - DD'!D358:G358,"Y")),"match","no DD match"),"-")</f>
        <v>match</v>
      </c>
      <c r="L358" s="1410" t="str">
        <f t="shared" ref="L358:L411" si="19">CONCATENATE(IF(ISNUMBER(SEARCH("Placeholder",H358))=TRUE,"&lt;---PM/Planner may hide PLACEHOLDER ROW",""))</f>
        <v/>
      </c>
      <c r="M358" s="1382"/>
      <c r="N358" s="1382"/>
      <c r="O358" s="1382"/>
      <c r="P358" s="1382"/>
      <c r="Q358" s="1407"/>
      <c r="R358" s="1513"/>
      <c r="S358" s="1509"/>
      <c r="T358" s="1382"/>
      <c r="U358" s="1382"/>
      <c r="V358" s="1382"/>
      <c r="W358" s="1382"/>
      <c r="X358" s="1382"/>
      <c r="Y358" s="1382"/>
      <c r="Z358" s="1382"/>
      <c r="AA358" s="1382"/>
      <c r="AB358" s="1382"/>
      <c r="AC358" s="1382"/>
      <c r="AD358" s="1382"/>
      <c r="AE358" s="1382"/>
      <c r="AF358" s="1382"/>
      <c r="AG358" s="1382"/>
      <c r="AH358" s="1382"/>
      <c r="AI358" s="1382"/>
      <c r="AJ358" s="1382"/>
      <c r="AK358" s="181"/>
      <c r="AL358" s="181"/>
      <c r="AM358" s="181"/>
      <c r="AN358" s="181"/>
      <c r="AO358" s="181"/>
      <c r="AP358" s="181"/>
      <c r="AQ358" s="181"/>
      <c r="AR358" s="181"/>
      <c r="AS358" s="181"/>
      <c r="AT358" s="181"/>
      <c r="AU358" s="181"/>
      <c r="AV358" s="181"/>
    </row>
    <row r="359" spans="1:49" s="30" customFormat="1" ht="14.25" customHeight="1" x14ac:dyDescent="0.25">
      <c r="A359" s="1518" t="str">
        <f>IF(DD_apply="Yes",IF(COUNTIF('02 - DD'!D359:G359,"Y")&gt;0,"Y",IF(COUNTIF('02 - DD'!D359:G359,"N"),"N","")),"")</f>
        <v>N</v>
      </c>
      <c r="B359" s="191"/>
      <c r="C359" s="945"/>
      <c r="D359" s="411"/>
      <c r="E359" s="411"/>
      <c r="F359" s="559" t="str">
        <f>IF('C-Design&amp;Const'!$M359="","",'C-Design&amp;Const'!$M359)</f>
        <v>N</v>
      </c>
      <c r="G359" s="514"/>
      <c r="H359" s="341" t="str">
        <f>CONCATENATE(IF(F359="N","PLACEHOLDER ROW - ",""),'C-Design&amp;Const'!Z359,IF(F359="N","",J359))</f>
        <v xml:space="preserve">PLACEHOLDER ROW - CUSTOM - Telecom  </v>
      </c>
      <c r="I359" s="197"/>
      <c r="J359" s="578" t="str">
        <f>IF('C-Design&amp;Const'!AG359="","",'C-Design&amp;Const'!AG359)</f>
        <v>(Substantially Complete)</v>
      </c>
      <c r="K359" s="285" t="str">
        <f>IF(CD50_apply="Yes",IF((COUNTIF(D359:G359,"Y")=COUNTIF('02 - DD'!D359:G359,"Y")),"match","no DD match"),"-")</f>
        <v>match</v>
      </c>
      <c r="L359" s="1410" t="str">
        <f t="shared" si="19"/>
        <v>&lt;---PM/Planner may hide PLACEHOLDER ROW</v>
      </c>
      <c r="M359" s="1382"/>
      <c r="N359" s="1382"/>
      <c r="O359" s="1382"/>
      <c r="P359" s="1382"/>
      <c r="Q359" s="1274"/>
      <c r="R359" s="1513"/>
      <c r="S359" s="1509"/>
      <c r="T359" s="1382"/>
      <c r="U359" s="1382"/>
      <c r="V359" s="1382"/>
      <c r="W359" s="1382"/>
      <c r="X359" s="1382"/>
      <c r="Y359" s="1382"/>
      <c r="Z359" s="1382"/>
      <c r="AA359" s="1382"/>
      <c r="AB359" s="1382"/>
      <c r="AC359" s="1382"/>
      <c r="AD359" s="1382"/>
      <c r="AE359" s="1382"/>
      <c r="AF359" s="1382"/>
      <c r="AG359" s="1382"/>
      <c r="AH359" s="1382"/>
      <c r="AI359" s="1382"/>
      <c r="AJ359" s="1382"/>
      <c r="AK359" s="181"/>
      <c r="AL359" s="181"/>
      <c r="AM359" s="181"/>
      <c r="AN359" s="181"/>
      <c r="AO359" s="181"/>
      <c r="AP359" s="181"/>
      <c r="AQ359" s="181"/>
      <c r="AR359" s="181"/>
      <c r="AS359" s="181"/>
      <c r="AT359" s="181"/>
      <c r="AU359" s="181"/>
      <c r="AV359" s="181"/>
    </row>
    <row r="360" spans="1:49" s="30" customFormat="1" x14ac:dyDescent="0.25">
      <c r="A360" s="1518" t="str">
        <f>IF(DD_apply="Yes",IF(COUNTIF('02 - DD'!D360:G360,"Y")&gt;0,"Y",IF(COUNTIF('02 - DD'!D360:G360,"N"),"N","")),"")</f>
        <v>N</v>
      </c>
      <c r="B360" s="191"/>
      <c r="C360" s="945"/>
      <c r="D360" s="411"/>
      <c r="E360" s="411"/>
      <c r="F360" s="559" t="str">
        <f>IF('C-Design&amp;Const'!$M360="","",'C-Design&amp;Const'!$M360)</f>
        <v>N</v>
      </c>
      <c r="G360" s="514"/>
      <c r="H360" s="341" t="str">
        <f>CONCATENATE(IF(F360="N","PLACEHOLDER ROW - ",""),'C-Design&amp;Const'!Z360,IF(F360="N","",J360))</f>
        <v xml:space="preserve">PLACEHOLDER ROW - CUSTOM - Telecom  </v>
      </c>
      <c r="I360" s="197"/>
      <c r="J360" s="578" t="str">
        <f>IF('C-Design&amp;Const'!AG360="","",'C-Design&amp;Const'!AG360)</f>
        <v>(Substantially Complete)</v>
      </c>
      <c r="K360" s="285" t="str">
        <f>IF(CD50_apply="Yes",IF((COUNTIF(D360:G360,"Y")=COUNTIF('02 - DD'!D360:G360,"Y")),"match","no DD match"),"-")</f>
        <v>match</v>
      </c>
      <c r="L360" s="1410" t="str">
        <f t="shared" si="19"/>
        <v>&lt;---PM/Planner may hide PLACEHOLDER ROW</v>
      </c>
      <c r="M360" s="1382"/>
      <c r="N360" s="1382"/>
      <c r="O360" s="1382"/>
      <c r="P360" s="1382"/>
      <c r="Q360" s="1274"/>
      <c r="R360" s="1513"/>
      <c r="S360" s="1509"/>
      <c r="T360" s="1382"/>
      <c r="U360" s="1382"/>
      <c r="V360" s="1382"/>
      <c r="W360" s="1382"/>
      <c r="X360" s="1382"/>
      <c r="Y360" s="1382"/>
      <c r="Z360" s="1382"/>
      <c r="AA360" s="1382"/>
      <c r="AB360" s="1382"/>
      <c r="AC360" s="1382"/>
      <c r="AD360" s="1382"/>
      <c r="AE360" s="1382"/>
      <c r="AF360" s="1382"/>
      <c r="AG360" s="1382"/>
      <c r="AH360" s="1382"/>
      <c r="AI360" s="1382"/>
      <c r="AJ360" s="1382"/>
      <c r="AK360" s="181"/>
      <c r="AL360" s="181"/>
      <c r="AM360" s="181"/>
      <c r="AN360" s="181"/>
      <c r="AO360" s="181"/>
      <c r="AP360" s="181"/>
      <c r="AQ360" s="181"/>
      <c r="AR360" s="181"/>
      <c r="AS360" s="181"/>
      <c r="AT360" s="181"/>
      <c r="AU360" s="181"/>
      <c r="AV360" s="181"/>
    </row>
    <row r="361" spans="1:49" s="551" customFormat="1" x14ac:dyDescent="0.25">
      <c r="A361" s="1518" t="str">
        <f>IF(DD_apply="Yes",IF(COUNTIF('02 - DD'!D361:G361,"Y")&gt;0,"Y",IF(COUNTIF('02 - DD'!D361:G361,"N"),"N","")),"")</f>
        <v>Y</v>
      </c>
      <c r="B361" s="549"/>
      <c r="C361" s="945"/>
      <c r="D361" s="411"/>
      <c r="E361" s="411"/>
      <c r="F361" s="559" t="str">
        <f>IF('C-Design&amp;Const'!$M361="","",'C-Design&amp;Const'!$M361)</f>
        <v>Y</v>
      </c>
      <c r="G361" s="510"/>
      <c r="H361" s="341" t="str">
        <f>CONCATENATE(IF(F361="N","PLACEHOLDER ROW - ",""),'C-Design&amp;Const'!Z361,IF(F361="N","",J361))</f>
        <v>Telecom Symbols, Abbreviations, and General Notes (Complete)</v>
      </c>
      <c r="I361" s="197"/>
      <c r="J361" s="578" t="str">
        <f>IF('C-Design&amp;Const'!AG361="","",'C-Design&amp;Const'!AG361)</f>
        <v>(Complete)</v>
      </c>
      <c r="K361" s="285" t="str">
        <f>IF(CD50_apply="Yes",IF((COUNTIF(D361:G361,"Y")=COUNTIF('02 - DD'!D361:G361,"Y")),"match","no DD match"),"-")</f>
        <v>match</v>
      </c>
      <c r="L361" s="1410" t="str">
        <f t="shared" si="19"/>
        <v/>
      </c>
      <c r="M361" s="1382"/>
      <c r="N361" s="1382"/>
      <c r="O361" s="1382"/>
      <c r="P361" s="1382"/>
      <c r="Q361" s="1490"/>
      <c r="R361" s="1274"/>
      <c r="S361" s="1509"/>
      <c r="T361" s="1382"/>
      <c r="U361" s="1382"/>
      <c r="V361" s="1382"/>
      <c r="W361" s="1382"/>
      <c r="X361" s="1382"/>
      <c r="Y361" s="1382"/>
      <c r="Z361" s="1382"/>
      <c r="AA361" s="1382"/>
      <c r="AB361" s="1382"/>
      <c r="AC361" s="1382"/>
      <c r="AD361" s="1382"/>
      <c r="AE361" s="1382"/>
      <c r="AF361" s="1382"/>
      <c r="AG361" s="1382"/>
      <c r="AH361" s="1382"/>
      <c r="AI361" s="1382"/>
      <c r="AJ361" s="1382"/>
    </row>
    <row r="362" spans="1:49" s="551" customFormat="1" x14ac:dyDescent="0.25">
      <c r="A362" s="1518" t="str">
        <f>IF(DD_apply="Yes",IF(COUNTIF('02 - DD'!D362:G362,"Y")&gt;0,"Y",IF(COUNTIF('02 - DD'!D362:G362,"N"),"N","")),"")</f>
        <v>Y</v>
      </c>
      <c r="B362" s="549"/>
      <c r="C362" s="945"/>
      <c r="D362" s="411"/>
      <c r="E362" s="411"/>
      <c r="F362" s="559" t="str">
        <f>IF('C-Design&amp;Const'!$M362="","",'C-Design&amp;Const'!$M362)</f>
        <v>Y</v>
      </c>
      <c r="G362" s="510"/>
      <c r="H362" s="341" t="str">
        <f>CONCATENATE(IF(F362="N","PLACEHOLDER ROW - ",""),'C-Design&amp;Const'!Z362,IF(F362="N","",J362))</f>
        <v>Telecom Demolition(s) (Substantially Complete)</v>
      </c>
      <c r="I362" s="197"/>
      <c r="J362" s="578" t="str">
        <f>IF('C-Design&amp;Const'!AG362="","",'C-Design&amp;Const'!AG362)</f>
        <v>(Substantially Complete)</v>
      </c>
      <c r="K362" s="285" t="str">
        <f>IF(CD50_apply="Yes",IF((COUNTIF(D362:G362,"Y")=COUNTIF('02 - DD'!D362:G362,"Y")),"match","no DD match"),"-")</f>
        <v>match</v>
      </c>
      <c r="L362" s="1410" t="str">
        <f t="shared" si="19"/>
        <v/>
      </c>
      <c r="M362" s="1382"/>
      <c r="N362" s="1382"/>
      <c r="O362" s="1382"/>
      <c r="P362" s="1382"/>
      <c r="Q362" s="1490"/>
      <c r="R362" s="1274"/>
      <c r="S362" s="1509"/>
      <c r="T362" s="1382"/>
      <c r="U362" s="1382"/>
      <c r="V362" s="1382"/>
      <c r="W362" s="1382"/>
      <c r="X362" s="1382"/>
      <c r="Y362" s="1382"/>
      <c r="Z362" s="1382"/>
      <c r="AA362" s="1382"/>
      <c r="AB362" s="1382"/>
      <c r="AC362" s="1382"/>
      <c r="AD362" s="1382"/>
      <c r="AE362" s="1382"/>
      <c r="AF362" s="1382"/>
      <c r="AG362" s="1382"/>
      <c r="AH362" s="1382"/>
      <c r="AI362" s="1382"/>
      <c r="AJ362" s="1382"/>
    </row>
    <row r="363" spans="1:49" s="30" customFormat="1" x14ac:dyDescent="0.25">
      <c r="A363" s="1518" t="str">
        <f>IF(DD_apply="Yes",IF(COUNTIF('02 - DD'!D363:G363,"Y")&gt;0,"Y",IF(COUNTIF('02 - DD'!D363:G363,"N"),"N","")),"")</f>
        <v>Y</v>
      </c>
      <c r="B363" s="191"/>
      <c r="C363" s="945"/>
      <c r="D363" s="411"/>
      <c r="E363" s="411"/>
      <c r="F363" s="559" t="str">
        <f>IF('C-Design&amp;Const'!$M363="","",'C-Design&amp;Const'!$M363)</f>
        <v>Y</v>
      </c>
      <c r="G363" s="510"/>
      <c r="H363" s="341" t="str">
        <f>CONCATENATE(IF(F363="N","PLACEHOLDER ROW - ",""),'C-Design&amp;Const'!Z363,IF(F363="N","",J363))</f>
        <v>Telecom/Data Floor Plans w/ Devices   (Substantially Complete)</v>
      </c>
      <c r="I363" s="197"/>
      <c r="J363" s="578" t="str">
        <f>IF('C-Design&amp;Const'!AG363="","",'C-Design&amp;Const'!AG363)</f>
        <v>(Substantially Complete)</v>
      </c>
      <c r="K363" s="285" t="str">
        <f>IF(CD50_apply="Yes",IF((COUNTIF(D363:G363,"Y")=COUNTIF('02 - DD'!D363:G363,"Y")),"match","no DD match"),"-")</f>
        <v>match</v>
      </c>
      <c r="L363" s="1410" t="str">
        <f t="shared" si="19"/>
        <v/>
      </c>
      <c r="M363" s="1382"/>
      <c r="N363" s="1382"/>
      <c r="O363" s="1382"/>
      <c r="P363" s="1382"/>
      <c r="Q363" s="1491"/>
      <c r="R363" s="1274"/>
      <c r="S363" s="1509"/>
      <c r="T363" s="1382"/>
      <c r="U363" s="1382"/>
      <c r="V363" s="1382"/>
      <c r="W363" s="1382"/>
      <c r="X363" s="1382"/>
      <c r="Y363" s="1382"/>
      <c r="Z363" s="1382"/>
      <c r="AA363" s="1382"/>
      <c r="AB363" s="1382"/>
      <c r="AC363" s="1382"/>
      <c r="AD363" s="1382"/>
      <c r="AE363" s="1382"/>
      <c r="AF363" s="1382"/>
      <c r="AG363" s="1382"/>
      <c r="AH363" s="1382"/>
      <c r="AI363" s="1382"/>
      <c r="AJ363" s="1382"/>
      <c r="AK363" s="181"/>
      <c r="AL363" s="181"/>
      <c r="AM363" s="181"/>
      <c r="AN363" s="181"/>
      <c r="AO363" s="181"/>
      <c r="AP363" s="181"/>
      <c r="AQ363" s="181"/>
      <c r="AR363" s="181"/>
      <c r="AS363" s="181"/>
      <c r="AT363" s="181"/>
      <c r="AU363" s="181"/>
      <c r="AV363" s="181"/>
    </row>
    <row r="364" spans="1:49" s="30" customFormat="1" x14ac:dyDescent="0.25">
      <c r="A364" s="1518" t="str">
        <f>IF(DD_apply="Yes",IF(COUNTIF('02 - DD'!D364:G364,"Y")&gt;0,"Y",IF(COUNTIF('02 - DD'!D364:G364,"N"),"N","")),"")</f>
        <v>N</v>
      </c>
      <c r="B364" s="191"/>
      <c r="C364" s="945"/>
      <c r="D364" s="411"/>
      <c r="E364" s="411"/>
      <c r="F364" s="559" t="str">
        <f>IF('C-Design&amp;Const'!$M364="","",'C-Design&amp;Const'!$M364)</f>
        <v>Y</v>
      </c>
      <c r="G364" s="510"/>
      <c r="H364" s="341" t="str">
        <f>CONCATENATE(IF(F364="N","PLACEHOLDER ROW - ",""),'C-Design&amp;Const'!Z364,IF(F364="N","",J364))</f>
        <v>Telecom/Data Raceway Distribution   (Approx. 50% Complete)</v>
      </c>
      <c r="I364" s="197"/>
      <c r="J364" s="578" t="str">
        <f>IF('C-Design&amp;Const'!AG364="","",'C-Design&amp;Const'!AG364)</f>
        <v>(Approx. 50% Complete)</v>
      </c>
      <c r="K364" s="285" t="str">
        <f>IF(CD50_apply="Yes",IF((COUNTIF(D364:G364,"Y")=COUNTIF('02 - DD'!D364:G364,"Y")),"match","no DD match"),"-")</f>
        <v>no DD match</v>
      </c>
      <c r="L364" s="1410" t="str">
        <f t="shared" si="19"/>
        <v/>
      </c>
      <c r="M364" s="1382"/>
      <c r="N364" s="1382"/>
      <c r="O364" s="1382"/>
      <c r="P364" s="1382"/>
      <c r="Q364" s="1491"/>
      <c r="R364" s="1274"/>
      <c r="S364" s="1509"/>
      <c r="T364" s="1382"/>
      <c r="U364" s="1382"/>
      <c r="V364" s="1382"/>
      <c r="W364" s="1382"/>
      <c r="X364" s="1382"/>
      <c r="Y364" s="1382"/>
      <c r="Z364" s="1382"/>
      <c r="AA364" s="1382"/>
      <c r="AB364" s="1382"/>
      <c r="AC364" s="1382"/>
      <c r="AD364" s="1382"/>
      <c r="AE364" s="1382"/>
      <c r="AF364" s="1382"/>
      <c r="AG364" s="1382"/>
      <c r="AH364" s="1382"/>
      <c r="AI364" s="1382"/>
      <c r="AJ364" s="1382"/>
      <c r="AK364" s="181"/>
      <c r="AL364" s="181"/>
      <c r="AM364" s="181"/>
      <c r="AN364" s="181"/>
      <c r="AO364" s="181"/>
      <c r="AP364" s="181"/>
      <c r="AQ364" s="181"/>
      <c r="AR364" s="181"/>
      <c r="AS364" s="181"/>
      <c r="AT364" s="181"/>
      <c r="AU364" s="181"/>
      <c r="AV364" s="181"/>
    </row>
    <row r="365" spans="1:49" s="30" customFormat="1" x14ac:dyDescent="0.25">
      <c r="A365" s="1518" t="str">
        <f>IF(DD_apply="Yes",IF(COUNTIF('02 - DD'!D365:G365,"Y")&gt;0,"Y",IF(COUNTIF('02 - DD'!D365:G365,"N"),"N","")),"")</f>
        <v>Y</v>
      </c>
      <c r="B365" s="191"/>
      <c r="C365" s="945"/>
      <c r="D365" s="411"/>
      <c r="E365" s="411"/>
      <c r="F365" s="559" t="str">
        <f>IF('C-Design&amp;Const'!$M365="","",'C-Design&amp;Const'!$M365)</f>
        <v>Y</v>
      </c>
      <c r="G365" s="510"/>
      <c r="H365" s="341" t="str">
        <f>CONCATENATE(IF(F365="N","PLACEHOLDER ROW - ",""),'C-Design&amp;Const'!Z365,IF(F365="N","",J365))</f>
        <v>Telecom/Data Riser Diagram   (Approx. 50% Complete)</v>
      </c>
      <c r="I365" s="197"/>
      <c r="J365" s="578" t="str">
        <f>IF('C-Design&amp;Const'!AG365="","",'C-Design&amp;Const'!AG365)</f>
        <v>(Approx. 50% Complete)</v>
      </c>
      <c r="K365" s="285" t="str">
        <f>IF(CD50_apply="Yes",IF((COUNTIF(D365:G365,"Y")=COUNTIF('02 - DD'!D365:G365,"Y")),"match","no DD match"),"-")</f>
        <v>match</v>
      </c>
      <c r="L365" s="1410" t="str">
        <f t="shared" si="19"/>
        <v/>
      </c>
      <c r="M365" s="1382"/>
      <c r="N365" s="1382"/>
      <c r="O365" s="1382"/>
      <c r="P365" s="1382"/>
      <c r="Q365" s="1407"/>
      <c r="R365" s="1513"/>
      <c r="S365" s="1509"/>
      <c r="T365" s="1382"/>
      <c r="U365" s="1382"/>
      <c r="V365" s="1382"/>
      <c r="W365" s="1382"/>
      <c r="X365" s="1382"/>
      <c r="Y365" s="1382"/>
      <c r="Z365" s="1382"/>
      <c r="AA365" s="1382"/>
      <c r="AB365" s="1382"/>
      <c r="AC365" s="1382"/>
      <c r="AD365" s="1382"/>
      <c r="AE365" s="1382"/>
      <c r="AF365" s="1382"/>
      <c r="AG365" s="1382"/>
      <c r="AH365" s="1382"/>
      <c r="AI365" s="1382"/>
      <c r="AJ365" s="1382"/>
      <c r="AK365" s="181"/>
      <c r="AL365" s="181"/>
      <c r="AM365" s="181"/>
      <c r="AN365" s="181"/>
      <c r="AO365" s="181"/>
      <c r="AP365" s="181"/>
      <c r="AQ365" s="181"/>
      <c r="AR365" s="181"/>
      <c r="AS365" s="181"/>
      <c r="AT365" s="181"/>
      <c r="AU365" s="181"/>
      <c r="AV365" s="181"/>
    </row>
    <row r="366" spans="1:49" s="30" customFormat="1" x14ac:dyDescent="0.25">
      <c r="A366" s="1518" t="str">
        <f>IF(DD_apply="Yes",IF(COUNTIF('02 - DD'!D366:G366,"Y")&gt;0,"Y",IF(COUNTIF('02 - DD'!D366:G366,"N"),"N","")),"")</f>
        <v>N</v>
      </c>
      <c r="B366" s="191"/>
      <c r="C366" s="945"/>
      <c r="D366" s="411"/>
      <c r="E366" s="411"/>
      <c r="F366" s="559" t="str">
        <f>IF('C-Design&amp;Const'!$M366="","",'C-Design&amp;Const'!$M366)</f>
        <v>Y</v>
      </c>
      <c r="G366" s="510"/>
      <c r="H366" s="341" t="str">
        <f>CONCATENATE(IF(F366="N","PLACEHOLDER ROW - ",""),'C-Design&amp;Const'!Z366,IF(F366="N","",J366))</f>
        <v>Telecom/Data Details and Sections (Approx. 50% Complete)</v>
      </c>
      <c r="I366" s="197"/>
      <c r="J366" s="578" t="str">
        <f>IF('C-Design&amp;Const'!AG366="","",'C-Design&amp;Const'!AG366)</f>
        <v>(Approx. 50% Complete)</v>
      </c>
      <c r="K366" s="285" t="str">
        <f>IF(CD50_apply="Yes",IF((COUNTIF(D366:G366,"Y")=COUNTIF('02 - DD'!D366:G366,"Y")),"match","no DD match"),"-")</f>
        <v>no DD match</v>
      </c>
      <c r="L366" s="1410" t="str">
        <f t="shared" si="19"/>
        <v/>
      </c>
      <c r="M366" s="1382"/>
      <c r="N366" s="1382"/>
      <c r="O366" s="1382"/>
      <c r="P366" s="1382"/>
      <c r="Q366" s="1491"/>
      <c r="R366" s="1274"/>
      <c r="S366" s="1509"/>
      <c r="T366" s="1382"/>
      <c r="U366" s="1382"/>
      <c r="V366" s="1382"/>
      <c r="W366" s="1382"/>
      <c r="X366" s="1382"/>
      <c r="Y366" s="1382"/>
      <c r="Z366" s="1382"/>
      <c r="AA366" s="1382"/>
      <c r="AB366" s="1382"/>
      <c r="AC366" s="1382"/>
      <c r="AD366" s="1382"/>
      <c r="AE366" s="1382"/>
      <c r="AF366" s="1382"/>
      <c r="AG366" s="1382"/>
      <c r="AH366" s="1382"/>
      <c r="AI366" s="1382"/>
      <c r="AJ366" s="1382"/>
      <c r="AK366" s="181"/>
      <c r="AL366" s="181"/>
      <c r="AM366" s="181"/>
      <c r="AN366" s="181"/>
      <c r="AO366" s="181"/>
      <c r="AP366" s="181"/>
      <c r="AQ366" s="181"/>
      <c r="AR366" s="181"/>
      <c r="AS366" s="181"/>
      <c r="AT366" s="181"/>
      <c r="AU366" s="181"/>
      <c r="AV366" s="181"/>
    </row>
    <row r="367" spans="1:49" s="30" customFormat="1" ht="14.25" customHeight="1" x14ac:dyDescent="0.25">
      <c r="A367" s="1407" t="str">
        <f>IF(DD_apply="Yes",IF(COUNTIF('02 - DD'!D367:G367,"Y")&gt;0,"Y",IF(COUNTIF('02 - DD'!D367:G367,"N"),"N","")),"")</f>
        <v>Y</v>
      </c>
      <c r="B367" s="191"/>
      <c r="C367" s="945"/>
      <c r="D367" s="463"/>
      <c r="E367" s="359" t="str">
        <f>IF('C-Design&amp;Const'!$M367="","",'C-Design&amp;Const'!$M367)</f>
        <v>Y</v>
      </c>
      <c r="F367" s="235"/>
      <c r="G367" s="291"/>
      <c r="H367" s="242" t="str">
        <f>CONCATENATE(IF(F367="N","PLACEHOLDER ROW - ",""),'C-Design&amp;Const'!Z367,IF(F367="N","",J367))</f>
        <v>Audio Visual Drawings (Including Bid Alts.)</v>
      </c>
      <c r="I367" s="184"/>
      <c r="J367" s="578" t="str">
        <f>IF('C-Design&amp;Const'!AG367="","",'C-Design&amp;Const'!AG367)</f>
        <v xml:space="preserve"> (Including Bid Alts.)</v>
      </c>
      <c r="K367" s="285" t="str">
        <f>IF(CD50_apply="Yes",IF((COUNTIF(D367:G367,"Y")=COUNTIF('02 - DD'!D367:G367,"Y")),"match","no DD match"),"-")</f>
        <v>match</v>
      </c>
      <c r="L367" s="1410" t="str">
        <f t="shared" si="19"/>
        <v/>
      </c>
      <c r="M367" s="1382"/>
      <c r="N367" s="1382"/>
      <c r="O367" s="1382"/>
      <c r="P367" s="1382"/>
      <c r="Q367" s="1382"/>
      <c r="R367" s="1382"/>
      <c r="S367" s="1509"/>
      <c r="T367" s="1382"/>
      <c r="U367" s="1382"/>
      <c r="V367" s="1382"/>
      <c r="W367" s="1382"/>
      <c r="X367" s="1382"/>
      <c r="Y367" s="1382"/>
      <c r="Z367" s="1382"/>
      <c r="AA367" s="1382"/>
      <c r="AB367" s="1382"/>
      <c r="AC367" s="1382"/>
      <c r="AD367" s="1382"/>
      <c r="AE367" s="1382"/>
      <c r="AF367" s="1382"/>
      <c r="AG367" s="1382"/>
      <c r="AH367" s="1382"/>
      <c r="AI367" s="1382"/>
      <c r="AJ367" s="1382"/>
      <c r="AK367" s="181"/>
      <c r="AL367" s="181"/>
      <c r="AM367" s="181"/>
      <c r="AN367" s="181"/>
      <c r="AO367" s="181"/>
      <c r="AP367" s="181"/>
      <c r="AQ367" s="181"/>
      <c r="AR367" s="181"/>
      <c r="AS367" s="181"/>
      <c r="AT367" s="181"/>
      <c r="AU367" s="181"/>
      <c r="AV367" s="181"/>
      <c r="AW367" s="181"/>
    </row>
    <row r="368" spans="1:49" s="551" customFormat="1" x14ac:dyDescent="0.25">
      <c r="A368" s="1518" t="str">
        <f>IF(DD_apply="Yes",IF(COUNTIF('02 - DD'!D368:G368,"Y")&gt;0,"Y",IF(COUNTIF('02 - DD'!D368:G368,"N"),"N","")),"")</f>
        <v>Y</v>
      </c>
      <c r="B368" s="549"/>
      <c r="C368" s="945"/>
      <c r="D368" s="411"/>
      <c r="E368" s="411"/>
      <c r="F368" s="559" t="str">
        <f>IF('C-Design&amp;Const'!$M368="","",'C-Design&amp;Const'!$M368)</f>
        <v>Y</v>
      </c>
      <c r="G368" s="510"/>
      <c r="H368" s="341" t="str">
        <f>CONCATENATE(IF(F368="N","PLACEHOLDER ROW - ",""),'C-Design&amp;Const'!Z368,IF(F368="N","",J368))</f>
        <v>Audio Visual Symbols, Abbreviations, and General Notes (Complete)</v>
      </c>
      <c r="I368" s="197"/>
      <c r="J368" s="578" t="str">
        <f>IF('C-Design&amp;Const'!AG368="","",'C-Design&amp;Const'!AG368)</f>
        <v>(Complete)</v>
      </c>
      <c r="K368" s="285" t="str">
        <f>IF(CD50_apply="Yes",IF((COUNTIF(D368:G368,"Y")=COUNTIF('02 - DD'!D368:G368,"Y")),"match","no DD match"),"-")</f>
        <v>match</v>
      </c>
      <c r="L368" s="1410" t="str">
        <f t="shared" ref="L368:L369" si="20">CONCATENATE(IF(ISNUMBER(SEARCH("Placeholder",H368))=TRUE,"&lt;---PM/Planner may hide PLACEHOLDER ROW",""))</f>
        <v/>
      </c>
      <c r="M368" s="1382"/>
      <c r="N368" s="1382"/>
      <c r="O368" s="1382"/>
      <c r="P368" s="1382"/>
      <c r="Q368" s="1490"/>
      <c r="R368" s="1274"/>
      <c r="S368" s="1509"/>
      <c r="T368" s="1382"/>
      <c r="U368" s="1382"/>
      <c r="V368" s="1382"/>
      <c r="W368" s="1382"/>
      <c r="X368" s="1382"/>
      <c r="Y368" s="1382"/>
      <c r="Z368" s="1382"/>
      <c r="AA368" s="1382"/>
      <c r="AB368" s="1382"/>
      <c r="AC368" s="1382"/>
      <c r="AD368" s="1382"/>
      <c r="AE368" s="1382"/>
      <c r="AF368" s="1382"/>
      <c r="AG368" s="1382"/>
      <c r="AH368" s="1382"/>
      <c r="AI368" s="1382"/>
      <c r="AJ368" s="1382"/>
    </row>
    <row r="369" spans="1:48" s="551" customFormat="1" x14ac:dyDescent="0.25">
      <c r="A369" s="1518" t="str">
        <f>IF(DD_apply="Yes",IF(COUNTIF('02 - DD'!D369:G369,"Y")&gt;0,"Y",IF(COUNTIF('02 - DD'!D369:G369,"N"),"N","")),"")</f>
        <v>Y</v>
      </c>
      <c r="B369" s="549"/>
      <c r="C369" s="945"/>
      <c r="D369" s="411"/>
      <c r="E369" s="411"/>
      <c r="F369" s="559" t="str">
        <f>IF('C-Design&amp;Const'!$M369="","",'C-Design&amp;Const'!$M369)</f>
        <v>Y</v>
      </c>
      <c r="G369" s="510"/>
      <c r="H369" s="341" t="str">
        <f>CONCATENATE(IF(F369="N","PLACEHOLDER ROW - ",""),'C-Design&amp;Const'!Z369,IF(F369="N","",J369))</f>
        <v>A/V Demolition(s) (Substantially Complete)</v>
      </c>
      <c r="I369" s="197"/>
      <c r="J369" s="578" t="str">
        <f>IF('C-Design&amp;Const'!AG369="","",'C-Design&amp;Const'!AG369)</f>
        <v>(Substantially Complete)</v>
      </c>
      <c r="K369" s="285" t="str">
        <f>IF(CD50_apply="Yes",IF((COUNTIF(D369:G369,"Y")=COUNTIF('02 - DD'!D369:G369,"Y")),"match","no DD match"),"-")</f>
        <v>match</v>
      </c>
      <c r="L369" s="1410" t="str">
        <f t="shared" si="20"/>
        <v/>
      </c>
      <c r="M369" s="1382"/>
      <c r="N369" s="1382"/>
      <c r="O369" s="1382"/>
      <c r="P369" s="1382"/>
      <c r="Q369" s="1490"/>
      <c r="R369" s="1274"/>
      <c r="S369" s="1509"/>
      <c r="T369" s="1382"/>
      <c r="U369" s="1382"/>
      <c r="V369" s="1382"/>
      <c r="W369" s="1382"/>
      <c r="X369" s="1382"/>
      <c r="Y369" s="1382"/>
      <c r="Z369" s="1382"/>
      <c r="AA369" s="1382"/>
      <c r="AB369" s="1382"/>
      <c r="AC369" s="1382"/>
      <c r="AD369" s="1382"/>
      <c r="AE369" s="1382"/>
      <c r="AF369" s="1382"/>
      <c r="AG369" s="1382"/>
      <c r="AH369" s="1382"/>
      <c r="AI369" s="1382"/>
      <c r="AJ369" s="1382"/>
    </row>
    <row r="370" spans="1:48" s="30" customFormat="1" ht="42.75" x14ac:dyDescent="0.25">
      <c r="A370" s="1518" t="str">
        <f>IF(DD_apply="Yes",IF(COUNTIF('02 - DD'!D370:G370,"Y")&gt;0,"Y",IF(COUNTIF('02 - DD'!D370:G370,"N"),"N","")),"")</f>
        <v>Y</v>
      </c>
      <c r="B370" s="191"/>
      <c r="C370" s="945"/>
      <c r="D370" s="411"/>
      <c r="E370" s="411"/>
      <c r="F370" s="559" t="str">
        <f>IF('C-Design&amp;Const'!$M370="","",'C-Design&amp;Const'!$M370)</f>
        <v>Y</v>
      </c>
      <c r="G370" s="510"/>
      <c r="H370" s="414" t="str">
        <f>CONCATENATE(IF(F370="N","PLACEHOLDER ROW - ",""),'C-Design&amp;Const'!Z370,IF(F370="N","",J370))</f>
        <v>AV System Floor Plans.  Equipment identified, Equipment Clearance &amp; Throw Distances Dimensioned, Power, Conduit &amp; Backbox Layouts Shown.  Cables shown separated by type/signal level; all Cables Leaving Room Clearly Shown. (Approx. 50% Complete)</v>
      </c>
      <c r="I370" s="197"/>
      <c r="J370" s="578" t="str">
        <f>IF('C-Design&amp;Const'!AG370="","",'C-Design&amp;Const'!AG370)</f>
        <v>(Approx. 50% Complete)</v>
      </c>
      <c r="K370" s="285" t="str">
        <f>IF(CD50_apply="Yes",IF((COUNTIF(D370:G370,"Y")=COUNTIF('02 - DD'!D370:G370,"Y")),"match","no DD match"),"-")</f>
        <v>match</v>
      </c>
      <c r="L370" s="1410" t="str">
        <f t="shared" si="19"/>
        <v/>
      </c>
      <c r="M370" s="1382"/>
      <c r="N370" s="1382"/>
      <c r="O370" s="1382"/>
      <c r="P370" s="1382"/>
      <c r="Q370" s="1491"/>
      <c r="R370" s="1274"/>
      <c r="S370" s="1509"/>
      <c r="T370" s="1382"/>
      <c r="U370" s="1382"/>
      <c r="V370" s="1382"/>
      <c r="W370" s="1382"/>
      <c r="X370" s="1382"/>
      <c r="Y370" s="1382"/>
      <c r="Z370" s="1382"/>
      <c r="AA370" s="1382"/>
      <c r="AB370" s="1382"/>
      <c r="AC370" s="1382"/>
      <c r="AD370" s="1382"/>
      <c r="AE370" s="1382"/>
      <c r="AF370" s="1382"/>
      <c r="AG370" s="1382"/>
      <c r="AH370" s="1382"/>
      <c r="AI370" s="1382"/>
      <c r="AJ370" s="1382"/>
      <c r="AK370" s="181"/>
      <c r="AL370" s="181"/>
      <c r="AM370" s="181"/>
      <c r="AN370" s="181"/>
      <c r="AO370" s="181"/>
      <c r="AP370" s="181"/>
      <c r="AQ370" s="181"/>
      <c r="AR370" s="181"/>
      <c r="AS370" s="181"/>
      <c r="AT370" s="181"/>
      <c r="AU370" s="181"/>
      <c r="AV370" s="181"/>
    </row>
    <row r="371" spans="1:48" s="30" customFormat="1" ht="59.25" customHeight="1" x14ac:dyDescent="0.25">
      <c r="A371" s="1518" t="str">
        <f>IF(DD_apply="Yes",IF(COUNTIF('02 - DD'!D371:G371,"Y")&gt;0,"Y",IF(COUNTIF('02 - DD'!D371:G371,"N"),"N","")),"")</f>
        <v>Y</v>
      </c>
      <c r="B371" s="191"/>
      <c r="C371" s="945"/>
      <c r="D371" s="411"/>
      <c r="E371" s="411"/>
      <c r="F371" s="559" t="str">
        <f>IF('C-Design&amp;Const'!$M371="","",'C-Design&amp;Const'!$M371)</f>
        <v>Y</v>
      </c>
      <c r="G371" s="510"/>
      <c r="H371" s="414" t="str">
        <f>CONCATENATE(IF(F371="N","PLACEHOLDER ROW - ",""),'C-Design&amp;Const'!Z371,IF(F371="N","",J371))</f>
        <v>AV System Details:  Equipment Installation Details, AV Rack Elevations for each Rack, Major Equipment Components Located in the Rack, Custom Plate Details, and Plates Associated with Equipment Plans and System Line Diagrams.  Equipment Mounting Details which Support More than 40 Pounds shall be stamped by a Licensed Structural Engineer. (Approx. 50% Complete)</v>
      </c>
      <c r="I371" s="197"/>
      <c r="J371" s="578" t="str">
        <f>IF('C-Design&amp;Const'!AG371="","",'C-Design&amp;Const'!AG371)</f>
        <v>(Approx. 50% Complete)</v>
      </c>
      <c r="K371" s="285" t="str">
        <f>IF(CD50_apply="Yes",IF((COUNTIF(D371:G371,"Y")=COUNTIF('02 - DD'!D371:G371,"Y")),"match","no DD match"),"-")</f>
        <v>match</v>
      </c>
      <c r="L371" s="1410" t="str">
        <f t="shared" si="19"/>
        <v/>
      </c>
      <c r="M371" s="1382"/>
      <c r="N371" s="1382"/>
      <c r="O371" s="1382"/>
      <c r="P371" s="1382"/>
      <c r="Q371" s="1407"/>
      <c r="R371" s="1274"/>
      <c r="S371" s="1509"/>
      <c r="T371" s="1382"/>
      <c r="U371" s="1382"/>
      <c r="V371" s="1382"/>
      <c r="W371" s="1382"/>
      <c r="X371" s="1382"/>
      <c r="Y371" s="1382"/>
      <c r="Z371" s="1382"/>
      <c r="AA371" s="1382"/>
      <c r="AB371" s="1382"/>
      <c r="AC371" s="1382"/>
      <c r="AD371" s="1382"/>
      <c r="AE371" s="1382"/>
      <c r="AF371" s="1382"/>
      <c r="AG371" s="1382"/>
      <c r="AH371" s="1382"/>
      <c r="AI371" s="1382"/>
      <c r="AJ371" s="1382"/>
      <c r="AK371" s="181"/>
      <c r="AL371" s="181"/>
      <c r="AM371" s="181"/>
      <c r="AN371" s="181"/>
      <c r="AO371" s="181"/>
      <c r="AP371" s="181"/>
      <c r="AQ371" s="181"/>
      <c r="AR371" s="181"/>
      <c r="AS371" s="181"/>
      <c r="AT371" s="181"/>
      <c r="AU371" s="181"/>
      <c r="AV371" s="181"/>
    </row>
    <row r="372" spans="1:48" s="30" customFormat="1" x14ac:dyDescent="0.25">
      <c r="A372" s="1518" t="str">
        <f>IF(DD_apply="Yes",IF(COUNTIF('02 - DD'!D372:G372,"Y")&gt;0,"Y",IF(COUNTIF('02 - DD'!D372:G372,"N"),"N","")),"")</f>
        <v>N</v>
      </c>
      <c r="B372" s="191"/>
      <c r="C372" s="945"/>
      <c r="D372" s="411"/>
      <c r="E372" s="411"/>
      <c r="F372" s="559" t="str">
        <f>IF('C-Design&amp;Const'!$M372="","",'C-Design&amp;Const'!$M372)</f>
        <v>Y</v>
      </c>
      <c r="G372" s="510"/>
      <c r="H372" s="516" t="str">
        <f>CONCATENATE(IF(G372="N","PLACEHOLDER ROW - ",""),'C-Design&amp;Const'!Z372,IF(G372="N","",J372))</f>
        <v>AV System Line Diagrams, showing: (Approx. 50% Complete)</v>
      </c>
      <c r="I372" s="197"/>
      <c r="J372" s="578" t="str">
        <f>IF('C-Design&amp;Const'!AG372="","",'C-Design&amp;Const'!AG372)</f>
        <v>(Approx. 50% Complete)</v>
      </c>
      <c r="K372" s="285" t="str">
        <f>IF(CD50_apply="Yes",IF((COUNTIF(D372:G372,"Y")=COUNTIF('02 - DD'!D372:G372,"Y")),"match","no DD match"),"-")</f>
        <v>no DD match</v>
      </c>
      <c r="L372" s="1410" t="str">
        <f t="shared" si="19"/>
        <v/>
      </c>
      <c r="M372" s="1382"/>
      <c r="N372" s="1382"/>
      <c r="O372" s="1382"/>
      <c r="P372" s="1382"/>
      <c r="Q372" s="1491"/>
      <c r="R372" s="1274"/>
      <c r="S372" s="1509"/>
      <c r="T372" s="1382"/>
      <c r="U372" s="1382"/>
      <c r="V372" s="1382"/>
      <c r="W372" s="1382"/>
      <c r="X372" s="1382"/>
      <c r="Y372" s="1382"/>
      <c r="Z372" s="1382"/>
      <c r="AA372" s="1382"/>
      <c r="AB372" s="1382"/>
      <c r="AC372" s="1382"/>
      <c r="AD372" s="1382"/>
      <c r="AE372" s="1382"/>
      <c r="AF372" s="1382"/>
      <c r="AG372" s="1382"/>
      <c r="AH372" s="1382"/>
      <c r="AI372" s="1382"/>
      <c r="AJ372" s="1382"/>
      <c r="AK372" s="181"/>
      <c r="AL372" s="181"/>
      <c r="AM372" s="181"/>
      <c r="AN372" s="181"/>
      <c r="AO372" s="181"/>
      <c r="AP372" s="181"/>
      <c r="AQ372" s="181"/>
      <c r="AR372" s="181"/>
      <c r="AS372" s="181"/>
      <c r="AT372" s="181"/>
      <c r="AU372" s="181"/>
      <c r="AV372" s="181"/>
    </row>
    <row r="373" spans="1:48" s="30" customFormat="1" x14ac:dyDescent="0.25">
      <c r="A373" s="1518" t="str">
        <f>IF(DD_apply="Yes",IF(COUNTIF('02 - DD'!D373:G373,"Y")&gt;0,"Y",IF(COUNTIF('02 - DD'!D373:G373,"N"),"N","")),"")</f>
        <v>N</v>
      </c>
      <c r="B373" s="191"/>
      <c r="C373" s="945"/>
      <c r="D373" s="411"/>
      <c r="E373" s="411"/>
      <c r="F373" s="463"/>
      <c r="G373" s="559" t="str">
        <f>IF('C-Design&amp;Const'!$M373="","",'C-Design&amp;Const'!$M373)</f>
        <v>Y</v>
      </c>
      <c r="H373" s="517" t="str">
        <f>CONCATENATE(IF(G373="N","PLACEHOLDER ROW - ",""),'C-Design&amp;Const'!Z373,IF(G373="N","",J373))</f>
        <v>Signal flow from input to output, left to right (Approx. 50% Complete)</v>
      </c>
      <c r="I373" s="197"/>
      <c r="J373" s="578" t="str">
        <f>IF('C-Design&amp;Const'!AG373="","",'C-Design&amp;Const'!AG373)</f>
        <v>(Approx. 50% Complete)</v>
      </c>
      <c r="K373" s="285" t="str">
        <f>IF(CD50_apply="Yes",IF((COUNTIF(D373:G373,"Y")=COUNTIF('02 - DD'!D373:G373,"Y")),"match","no DD match"),"-")</f>
        <v>no DD match</v>
      </c>
      <c r="L373" s="1410" t="str">
        <f t="shared" si="19"/>
        <v/>
      </c>
      <c r="M373" s="1382"/>
      <c r="N373" s="1382"/>
      <c r="O373" s="1382"/>
      <c r="P373" s="1382"/>
      <c r="Q373" s="1491"/>
      <c r="R373" s="1274"/>
      <c r="S373" s="1509"/>
      <c r="T373" s="1382"/>
      <c r="U373" s="1382"/>
      <c r="V373" s="1382"/>
      <c r="W373" s="1382"/>
      <c r="X373" s="1382"/>
      <c r="Y373" s="1382"/>
      <c r="Z373" s="1382"/>
      <c r="AA373" s="1382"/>
      <c r="AB373" s="1382"/>
      <c r="AC373" s="1382"/>
      <c r="AD373" s="1382"/>
      <c r="AE373" s="1382"/>
      <c r="AF373" s="1382"/>
      <c r="AG373" s="1382"/>
      <c r="AH373" s="1382"/>
      <c r="AI373" s="1382"/>
      <c r="AJ373" s="1382"/>
      <c r="AK373" s="181"/>
      <c r="AL373" s="181"/>
      <c r="AM373" s="181"/>
      <c r="AN373" s="181"/>
      <c r="AO373" s="181"/>
      <c r="AP373" s="181"/>
      <c r="AQ373" s="181"/>
      <c r="AR373" s="181"/>
      <c r="AS373" s="181"/>
      <c r="AT373" s="181"/>
      <c r="AU373" s="181"/>
      <c r="AV373" s="181"/>
    </row>
    <row r="374" spans="1:48" s="30" customFormat="1" ht="30" x14ac:dyDescent="0.25">
      <c r="A374" s="1518" t="str">
        <f>IF(DD_apply="Yes",IF(COUNTIF('02 - DD'!D374:G374,"Y")&gt;0,"Y",IF(COUNTIF('02 - DD'!D374:G374,"N"),"N","")),"")</f>
        <v>N</v>
      </c>
      <c r="B374" s="191"/>
      <c r="C374" s="945"/>
      <c r="D374" s="411"/>
      <c r="E374" s="411"/>
      <c r="F374" s="463"/>
      <c r="G374" s="559" t="str">
        <f>IF('C-Design&amp;Const'!$M374="","",'C-Design&amp;Const'!$M374)</f>
        <v>Y</v>
      </c>
      <c r="H374" s="517" t="str">
        <f>CONCATENATE(IF(G374="N","PLACEHOLDER ROW - ",""),'C-Design&amp;Const'!Z374,IF(G374="N","",J374))</f>
        <v>Major pieces of equipment identified by manufacturer, model number &amp; description (Approx. 50% Complete)</v>
      </c>
      <c r="I374" s="197"/>
      <c r="J374" s="578" t="str">
        <f>IF('C-Design&amp;Const'!AG374="","",'C-Design&amp;Const'!AG374)</f>
        <v>(Approx. 50% Complete)</v>
      </c>
      <c r="K374" s="285" t="str">
        <f>IF(CD50_apply="Yes",IF((COUNTIF(D374:G374,"Y")=COUNTIF('02 - DD'!D374:G374,"Y")),"match","no DD match"),"-")</f>
        <v>no DD match</v>
      </c>
      <c r="L374" s="1410" t="str">
        <f t="shared" si="19"/>
        <v/>
      </c>
      <c r="M374" s="1382"/>
      <c r="N374" s="1382"/>
      <c r="O374" s="1382"/>
      <c r="P374" s="1382"/>
      <c r="Q374" s="1407"/>
      <c r="R374" s="1448"/>
      <c r="S374" s="1509"/>
      <c r="T374" s="1382"/>
      <c r="U374" s="1382"/>
      <c r="V374" s="1382"/>
      <c r="W374" s="1382"/>
      <c r="X374" s="1382"/>
      <c r="Y374" s="1382"/>
      <c r="Z374" s="1382"/>
      <c r="AA374" s="1382"/>
      <c r="AB374" s="1382"/>
      <c r="AC374" s="1382"/>
      <c r="AD374" s="1382"/>
      <c r="AE374" s="1382"/>
      <c r="AF374" s="1382"/>
      <c r="AG374" s="1382"/>
      <c r="AH374" s="1382"/>
      <c r="AI374" s="1382"/>
      <c r="AJ374" s="1382"/>
      <c r="AK374" s="181"/>
      <c r="AL374" s="181"/>
      <c r="AM374" s="181"/>
      <c r="AN374" s="181"/>
      <c r="AO374" s="181"/>
      <c r="AP374" s="181"/>
      <c r="AQ374" s="181"/>
      <c r="AR374" s="181"/>
      <c r="AS374" s="181"/>
      <c r="AT374" s="181"/>
      <c r="AU374" s="181"/>
      <c r="AV374" s="181"/>
    </row>
    <row r="375" spans="1:48" s="30" customFormat="1" x14ac:dyDescent="0.25">
      <c r="A375" s="1518" t="str">
        <f>IF(DD_apply="Yes",IF(COUNTIF('02 - DD'!D375:G375,"Y")&gt;0,"Y",IF(COUNTIF('02 - DD'!D375:G375,"N"),"N","")),"")</f>
        <v>N</v>
      </c>
      <c r="B375" s="191"/>
      <c r="C375" s="945"/>
      <c r="D375" s="411"/>
      <c r="E375" s="411"/>
      <c r="F375" s="463"/>
      <c r="G375" s="559" t="str">
        <f>IF('C-Design&amp;Const'!$M375="","",'C-Design&amp;Const'!$M375)</f>
        <v>Y</v>
      </c>
      <c r="H375" s="517" t="str">
        <f>CONCATENATE(IF(G375="N","PLACEHOLDER ROW - ",""),'C-Design&amp;Const'!Z375,IF(G375="N","",J375))</f>
        <v>Equipment associated with plans and details (Approx. 50% Complete)</v>
      </c>
      <c r="I375" s="197"/>
      <c r="J375" s="578" t="str">
        <f>IF('C-Design&amp;Const'!AG375="","",'C-Design&amp;Const'!AG375)</f>
        <v>(Approx. 50% Complete)</v>
      </c>
      <c r="K375" s="285" t="str">
        <f>IF(CD50_apply="Yes",IF((COUNTIF(D375:G375,"Y")=COUNTIF('02 - DD'!D375:G375,"Y")),"match","no DD match"),"-")</f>
        <v>no DD match</v>
      </c>
      <c r="L375" s="1410" t="str">
        <f t="shared" si="19"/>
        <v/>
      </c>
      <c r="M375" s="1382"/>
      <c r="N375" s="1382"/>
      <c r="O375" s="1382"/>
      <c r="P375" s="1382"/>
      <c r="Q375" s="1491"/>
      <c r="R375" s="1274"/>
      <c r="S375" s="1509"/>
      <c r="T375" s="1382"/>
      <c r="U375" s="1382"/>
      <c r="V375" s="1382"/>
      <c r="W375" s="1382"/>
      <c r="X375" s="1382"/>
      <c r="Y375" s="1382"/>
      <c r="Z375" s="1382"/>
      <c r="AA375" s="1382"/>
      <c r="AB375" s="1382"/>
      <c r="AC375" s="1382"/>
      <c r="AD375" s="1382"/>
      <c r="AE375" s="1382"/>
      <c r="AF375" s="1382"/>
      <c r="AG375" s="1382"/>
      <c r="AH375" s="1382"/>
      <c r="AI375" s="1382"/>
      <c r="AJ375" s="1382"/>
      <c r="AK375" s="181"/>
      <c r="AL375" s="181"/>
      <c r="AM375" s="181"/>
      <c r="AN375" s="181"/>
      <c r="AO375" s="181"/>
      <c r="AP375" s="181"/>
      <c r="AQ375" s="181"/>
      <c r="AR375" s="181"/>
      <c r="AS375" s="181"/>
      <c r="AT375" s="181"/>
      <c r="AU375" s="181"/>
      <c r="AV375" s="181"/>
    </row>
    <row r="376" spans="1:48" s="30" customFormat="1" x14ac:dyDescent="0.25">
      <c r="A376" s="1518" t="str">
        <f>IF(DD_apply="Yes",IF(COUNTIF('02 - DD'!D376:G376,"Y")&gt;0,"Y",IF(COUNTIF('02 - DD'!D376:G376,"N"),"N","")),"")</f>
        <v>N</v>
      </c>
      <c r="B376" s="191"/>
      <c r="C376" s="945"/>
      <c r="D376" s="411"/>
      <c r="E376" s="411"/>
      <c r="F376" s="463"/>
      <c r="G376" s="559" t="str">
        <f>IF('C-Design&amp;Const'!$M376="","",'C-Design&amp;Const'!$M376)</f>
        <v>Y</v>
      </c>
      <c r="H376" s="517" t="str">
        <f>CONCATENATE(IF(G376="N","PLACEHOLDER ROW - ",""),'C-Design&amp;Const'!Z376,IF(G376="N","",J376))</f>
        <v>All field and rack cabling and signal type (Approx. 50% Complete)</v>
      </c>
      <c r="I376" s="197"/>
      <c r="J376" s="578" t="str">
        <f>IF('C-Design&amp;Const'!AG376="","",'C-Design&amp;Const'!AG376)</f>
        <v>(Approx. 50% Complete)</v>
      </c>
      <c r="K376" s="285" t="str">
        <f>IF(CD50_apply="Yes",IF((COUNTIF(D376:G376,"Y")=COUNTIF('02 - DD'!D376:G376,"Y")),"match","no DD match"),"-")</f>
        <v>no DD match</v>
      </c>
      <c r="L376" s="1410" t="str">
        <f t="shared" si="19"/>
        <v/>
      </c>
      <c r="M376" s="1382"/>
      <c r="N376" s="1382"/>
      <c r="O376" s="1382"/>
      <c r="P376" s="1382"/>
      <c r="Q376" s="1491"/>
      <c r="R376" s="1448"/>
      <c r="S376" s="1509"/>
      <c r="T376" s="1382"/>
      <c r="U376" s="1382"/>
      <c r="V376" s="1382"/>
      <c r="W376" s="1382"/>
      <c r="X376" s="1382"/>
      <c r="Y376" s="1382"/>
      <c r="Z376" s="1382"/>
      <c r="AA376" s="1382"/>
      <c r="AB376" s="1382"/>
      <c r="AC376" s="1382"/>
      <c r="AD376" s="1382"/>
      <c r="AE376" s="1382"/>
      <c r="AF376" s="1382"/>
      <c r="AG376" s="1382"/>
      <c r="AH376" s="1382"/>
      <c r="AI376" s="1382"/>
      <c r="AJ376" s="1382"/>
      <c r="AK376" s="181"/>
      <c r="AL376" s="181"/>
      <c r="AM376" s="181"/>
      <c r="AN376" s="181"/>
      <c r="AO376" s="181"/>
      <c r="AP376" s="181"/>
      <c r="AQ376" s="181"/>
      <c r="AR376" s="181"/>
      <c r="AS376" s="181"/>
      <c r="AT376" s="181"/>
      <c r="AU376" s="181"/>
      <c r="AV376" s="181"/>
    </row>
    <row r="377" spans="1:48" s="30" customFormat="1" x14ac:dyDescent="0.25">
      <c r="A377" s="1518" t="str">
        <f>IF(DD_apply="Yes",IF(COUNTIF('02 - DD'!D377:G377,"Y")&gt;0,"Y",IF(COUNTIF('02 - DD'!D377:G377,"N"),"N","")),"")</f>
        <v>N</v>
      </c>
      <c r="B377" s="191"/>
      <c r="C377" s="945"/>
      <c r="D377" s="411"/>
      <c r="E377" s="411"/>
      <c r="F377" s="463"/>
      <c r="G377" s="559" t="str">
        <f>IF('C-Design&amp;Const'!$M377="","",'C-Design&amp;Const'!$M377)</f>
        <v>Y</v>
      </c>
      <c r="H377" s="517" t="str">
        <f>CONCATENATE(IF(G377="N","PLACEHOLDER ROW - ",""),'C-Design&amp;Const'!Z377,IF(G377="N","",J377))</f>
        <v>Video signal resolutions (Approx. 50% Complete)</v>
      </c>
      <c r="I377" s="197"/>
      <c r="J377" s="578" t="str">
        <f>IF('C-Design&amp;Const'!AG377="","",'C-Design&amp;Const'!AG377)</f>
        <v>(Approx. 50% Complete)</v>
      </c>
      <c r="K377" s="285" t="str">
        <f>IF(CD50_apply="Yes",IF((COUNTIF(D377:G377,"Y")=COUNTIF('02 - DD'!D377:G377,"Y")),"match","no DD match"),"-")</f>
        <v>no DD match</v>
      </c>
      <c r="L377" s="1410" t="str">
        <f t="shared" si="19"/>
        <v/>
      </c>
      <c r="M377" s="1382"/>
      <c r="N377" s="1382"/>
      <c r="O377" s="1382"/>
      <c r="P377" s="1382"/>
      <c r="Q377" s="1407"/>
      <c r="R377" s="1488"/>
      <c r="S377" s="1509"/>
      <c r="T377" s="1382"/>
      <c r="U377" s="1382"/>
      <c r="V377" s="1382"/>
      <c r="W377" s="1382"/>
      <c r="X377" s="1382"/>
      <c r="Y377" s="1382"/>
      <c r="Z377" s="1382"/>
      <c r="AA377" s="1382"/>
      <c r="AB377" s="1382"/>
      <c r="AC377" s="1382"/>
      <c r="AD377" s="1382"/>
      <c r="AE377" s="1382"/>
      <c r="AF377" s="1382"/>
      <c r="AG377" s="1382"/>
      <c r="AH377" s="1382"/>
      <c r="AI377" s="1382"/>
      <c r="AJ377" s="1382"/>
      <c r="AK377" s="181"/>
      <c r="AL377" s="181"/>
      <c r="AM377" s="181"/>
      <c r="AN377" s="181"/>
      <c r="AO377" s="181"/>
      <c r="AP377" s="181"/>
      <c r="AQ377" s="181"/>
      <c r="AR377" s="181"/>
      <c r="AS377" s="181"/>
      <c r="AT377" s="181"/>
      <c r="AU377" s="181"/>
      <c r="AV377" s="181"/>
    </row>
    <row r="378" spans="1:48" s="30" customFormat="1" x14ac:dyDescent="0.25">
      <c r="A378" s="1518" t="str">
        <f>IF(DD_apply="Yes",IF(COUNTIF('02 - DD'!D378:G378,"Y")&gt;0,"Y",IF(COUNTIF('02 - DD'!D378:G378,"N"),"N","")),"")</f>
        <v>N</v>
      </c>
      <c r="B378" s="191"/>
      <c r="C378" s="945"/>
      <c r="D378" s="411"/>
      <c r="E378" s="411"/>
      <c r="F378" s="463"/>
      <c r="G378" s="559" t="str">
        <f>IF('C-Design&amp;Const'!$M378="","",'C-Design&amp;Const'!$M378)</f>
        <v>Y</v>
      </c>
      <c r="H378" s="517" t="str">
        <f>CONCATENATE(IF(G378="N","PLACEHOLDER ROW - ",""),'C-Design&amp;Const'!Z378,IF(G378="N","",J378))</f>
        <v>Manufacturer &amp; model number of all premade cables  (Approx. 50% Complete)</v>
      </c>
      <c r="I378" s="197"/>
      <c r="J378" s="578" t="str">
        <f>IF('C-Design&amp;Const'!AG378="","",'C-Design&amp;Const'!AG378)</f>
        <v>(Approx. 50% Complete)</v>
      </c>
      <c r="K378" s="285" t="str">
        <f>IF(CD50_apply="Yes",IF((COUNTIF(D378:G378,"Y")=COUNTIF('02 - DD'!D378:G378,"Y")),"match","no DD match"),"-")</f>
        <v>no DD match</v>
      </c>
      <c r="L378" s="1410" t="str">
        <f t="shared" si="19"/>
        <v/>
      </c>
      <c r="M378" s="1382"/>
      <c r="N378" s="1382"/>
      <c r="O378" s="1382"/>
      <c r="P378" s="1382"/>
      <c r="Q378" s="1491"/>
      <c r="R378" s="1274"/>
      <c r="S378" s="1509"/>
      <c r="T378" s="1382"/>
      <c r="U378" s="1382"/>
      <c r="V378" s="1382"/>
      <c r="W378" s="1382"/>
      <c r="X378" s="1382"/>
      <c r="Y378" s="1382"/>
      <c r="Z378" s="1382"/>
      <c r="AA378" s="1382"/>
      <c r="AB378" s="1382"/>
      <c r="AC378" s="1382"/>
      <c r="AD378" s="1382"/>
      <c r="AE378" s="1382"/>
      <c r="AF378" s="1382"/>
      <c r="AG378" s="1382"/>
      <c r="AH378" s="1382"/>
      <c r="AI378" s="1382"/>
      <c r="AJ378" s="1382"/>
      <c r="AK378" s="181"/>
      <c r="AL378" s="181"/>
      <c r="AM378" s="181"/>
      <c r="AN378" s="181"/>
      <c r="AO378" s="181"/>
      <c r="AP378" s="181"/>
      <c r="AQ378" s="181"/>
      <c r="AR378" s="181"/>
      <c r="AS378" s="181"/>
      <c r="AT378" s="181"/>
      <c r="AU378" s="181"/>
      <c r="AV378" s="181"/>
    </row>
    <row r="379" spans="1:48" s="30" customFormat="1" x14ac:dyDescent="0.25">
      <c r="A379" s="1518" t="str">
        <f>IF(DD_apply="Yes",IF(COUNTIF('02 - DD'!D379:G379,"Y")&gt;0,"Y",IF(COUNTIF('02 - DD'!D379:G379,"N"),"N","")),"")</f>
        <v>N</v>
      </c>
      <c r="B379" s="191"/>
      <c r="C379" s="945"/>
      <c r="D379" s="411"/>
      <c r="E379" s="411"/>
      <c r="F379" s="463"/>
      <c r="G379" s="559" t="str">
        <f>IF('C-Design&amp;Const'!$M379="","",'C-Design&amp;Const'!$M379)</f>
        <v>Y</v>
      </c>
      <c r="H379" s="517" t="str">
        <f>CONCATENATE(IF(G379="N","PLACEHOLDER ROW - ",""),'C-Design&amp;Const'!Z379,IF(G379="N","",J379))</f>
        <v>Typical pin out details (Approx. 50% Complete)</v>
      </c>
      <c r="I379" s="197"/>
      <c r="J379" s="578" t="str">
        <f>IF('C-Design&amp;Const'!AG379="","",'C-Design&amp;Const'!AG379)</f>
        <v>(Approx. 50% Complete)</v>
      </c>
      <c r="K379" s="285" t="str">
        <f>IF(CD50_apply="Yes",IF((COUNTIF(D379:G379,"Y")=COUNTIF('02 - DD'!D379:G379,"Y")),"match","no DD match"),"-")</f>
        <v>no DD match</v>
      </c>
      <c r="L379" s="1410" t="str">
        <f t="shared" si="19"/>
        <v/>
      </c>
      <c r="M379" s="1382"/>
      <c r="N379" s="1382"/>
      <c r="O379" s="1382"/>
      <c r="P379" s="1382"/>
      <c r="Q379" s="1491"/>
      <c r="R379" s="1274"/>
      <c r="S379" s="1509"/>
      <c r="T379" s="1382"/>
      <c r="U379" s="1382"/>
      <c r="V379" s="1382"/>
      <c r="W379" s="1382"/>
      <c r="X379" s="1382"/>
      <c r="Y379" s="1382"/>
      <c r="Z379" s="1382"/>
      <c r="AA379" s="1382"/>
      <c r="AB379" s="1382"/>
      <c r="AC379" s="1382"/>
      <c r="AD379" s="1382"/>
      <c r="AE379" s="1382"/>
      <c r="AF379" s="1382"/>
      <c r="AG379" s="1382"/>
      <c r="AH379" s="1382"/>
      <c r="AI379" s="1382"/>
      <c r="AJ379" s="1382"/>
      <c r="AK379" s="181"/>
      <c r="AL379" s="181"/>
      <c r="AM379" s="181"/>
      <c r="AN379" s="181"/>
      <c r="AO379" s="181"/>
      <c r="AP379" s="181"/>
      <c r="AQ379" s="181"/>
      <c r="AR379" s="181"/>
      <c r="AS379" s="181"/>
      <c r="AT379" s="181"/>
      <c r="AU379" s="181"/>
      <c r="AV379" s="181"/>
    </row>
    <row r="380" spans="1:48" s="30" customFormat="1" x14ac:dyDescent="0.25">
      <c r="A380" s="1518" t="str">
        <f>IF(DD_apply="Yes",IF(COUNTIF('02 - DD'!D380:G380,"Y")&gt;0,"Y",IF(COUNTIF('02 - DD'!D380:G380,"N"),"N","")),"")</f>
        <v>N</v>
      </c>
      <c r="B380" s="191"/>
      <c r="C380" s="945"/>
      <c r="D380" s="411"/>
      <c r="E380" s="411"/>
      <c r="F380" s="559" t="str">
        <f>IF('C-Design&amp;Const'!$M380="","",'C-Design&amp;Const'!$M380)</f>
        <v>Y</v>
      </c>
      <c r="G380" s="460"/>
      <c r="H380" s="1000" t="str">
        <f>CONCATENATE(IF(G380="N","PLACEHOLDER ROW - ",""),'C-Design&amp;Const'!Z380,IF(G380="N","",J380))</f>
        <v>Video Security System – Approved Camera Locations (Approx. 50% Complete)</v>
      </c>
      <c r="I380" s="197"/>
      <c r="J380" s="578" t="str">
        <f>IF('C-Design&amp;Const'!AG380="","",'C-Design&amp;Const'!AG380)</f>
        <v>(Approx. 50% Complete)</v>
      </c>
      <c r="K380" s="285" t="str">
        <f>IF(CD50_apply="Yes",IF((COUNTIF(D380:G380,"Y")=COUNTIF('02 - DD'!D380:G380,"Y")),"match","no DD match"),"-")</f>
        <v>no DD match</v>
      </c>
      <c r="L380" s="1410" t="str">
        <f t="shared" si="19"/>
        <v/>
      </c>
      <c r="M380" s="1382"/>
      <c r="N380" s="1382"/>
      <c r="O380" s="1382"/>
      <c r="P380" s="1382"/>
      <c r="Q380" s="1407"/>
      <c r="R380" s="1274"/>
      <c r="S380" s="1509"/>
      <c r="T380" s="1382"/>
      <c r="U380" s="1382"/>
      <c r="V380" s="1382"/>
      <c r="W380" s="1382"/>
      <c r="X380" s="1382"/>
      <c r="Y380" s="1382"/>
      <c r="Z380" s="1382"/>
      <c r="AA380" s="1382"/>
      <c r="AB380" s="1382"/>
      <c r="AC380" s="1382"/>
      <c r="AD380" s="1382"/>
      <c r="AE380" s="1382"/>
      <c r="AF380" s="1382"/>
      <c r="AG380" s="1382"/>
      <c r="AH380" s="1382"/>
      <c r="AI380" s="1382"/>
      <c r="AJ380" s="1382"/>
      <c r="AK380" s="181"/>
      <c r="AL380" s="181"/>
      <c r="AM380" s="181"/>
      <c r="AN380" s="181"/>
      <c r="AO380" s="181"/>
      <c r="AP380" s="181"/>
      <c r="AQ380" s="181"/>
      <c r="AR380" s="181"/>
      <c r="AS380" s="181"/>
      <c r="AT380" s="181"/>
      <c r="AU380" s="181"/>
      <c r="AV380" s="181"/>
    </row>
    <row r="381" spans="1:48" s="181" customFormat="1" ht="15.75" x14ac:dyDescent="0.25">
      <c r="A381" s="1501" t="str">
        <f>IF(DD_apply="Yes",IF(COUNTIF('02 - DD'!D381:G381,"Y")&gt;0,"Y",IF(COUNTIF('02 - DD'!D381:G381,"N"),"N","")),"")</f>
        <v/>
      </c>
      <c r="B381" s="177"/>
      <c r="C381" s="945"/>
      <c r="D381" s="411"/>
      <c r="E381" s="411"/>
      <c r="F381" s="411"/>
      <c r="G381" s="511"/>
      <c r="H381" s="411"/>
      <c r="I381" s="186"/>
      <c r="J381" s="578" t="str">
        <f>IF('C-Design&amp;Const'!AG381="","",'C-Design&amp;Const'!AG381)</f>
        <v/>
      </c>
      <c r="K381" s="285" t="str">
        <f>IF(CD50_apply="Yes",IF((COUNTIF(D381:G381,"Y")=COUNTIF('02 - DD'!D381:G381,"Y")),"match","no DD match"),"-")</f>
        <v>match</v>
      </c>
      <c r="L381" s="1410" t="str">
        <f t="shared" si="19"/>
        <v/>
      </c>
      <c r="M381" s="1382"/>
      <c r="N381" s="1382"/>
      <c r="O381" s="1382"/>
      <c r="P381" s="1382"/>
      <c r="Q381" s="1490"/>
      <c r="R381" s="1274"/>
      <c r="S381" s="1274"/>
      <c r="T381" s="1382"/>
      <c r="U381" s="1382"/>
      <c r="V381" s="1382"/>
      <c r="W381" s="1382"/>
      <c r="X381" s="1382"/>
      <c r="Y381" s="1382"/>
      <c r="Z381" s="1382"/>
      <c r="AA381" s="1382"/>
      <c r="AB381" s="1382"/>
      <c r="AC381" s="1382"/>
      <c r="AD381" s="1382"/>
      <c r="AE381" s="1382"/>
      <c r="AF381" s="1382"/>
      <c r="AG381" s="1382"/>
      <c r="AH381" s="1382"/>
      <c r="AI381" s="1382"/>
      <c r="AJ381" s="1382"/>
    </row>
    <row r="382" spans="1:48" s="181" customFormat="1" ht="18.75" x14ac:dyDescent="0.25">
      <c r="A382" s="1407" t="str">
        <f>IF(DD_apply="Yes",IF(COUNTIF('02 - DD'!D382:G382,"Y")&gt;0,"Y",IF(COUNTIF('02 - DD'!D382:G382,"N"),"N","")),"")</f>
        <v>N</v>
      </c>
      <c r="B382" s="177"/>
      <c r="C382" s="945"/>
      <c r="D382" s="359" t="str">
        <f>IF('C-Design&amp;Const'!$M382="","",'C-Design&amp;Const'!$M382)</f>
        <v>N</v>
      </c>
      <c r="E382" s="234"/>
      <c r="F382" s="235"/>
      <c r="G382" s="291" t="str">
        <f>IF('C-Design&amp;Const'!Y382="","",'C-Design&amp;Const'!Y382)</f>
        <v>07b.</v>
      </c>
      <c r="H382" s="290" t="str">
        <f>CONCATENATE('C-Design&amp;Const'!Z382,IF(D382="N"," Not Used In This Design Phase",J382))</f>
        <v>Building Information Model (BIM) Not Used In This Design Phase</v>
      </c>
      <c r="I382" s="184"/>
      <c r="J382" s="578" t="str">
        <f>IF('C-Design&amp;Const'!AG382="","",'C-Design&amp;Const'!AG382)</f>
        <v xml:space="preserve"> (LOD of 300)</v>
      </c>
      <c r="K382" s="285" t="str">
        <f>IF(CD50_apply="Yes",IF((COUNTIF(D382:G382,"Y")=COUNTIF('02 - DD'!D382:G382,"Y")),"match","no DD match"),"-")</f>
        <v>match</v>
      </c>
      <c r="L382" s="1410" t="str">
        <f t="shared" si="19"/>
        <v/>
      </c>
      <c r="M382" s="1382"/>
      <c r="N382" s="1382"/>
      <c r="O382" s="1382"/>
      <c r="P382" s="1382"/>
      <c r="Q382" s="1447"/>
      <c r="R382" s="1448"/>
      <c r="S382" s="1274"/>
      <c r="T382" s="1382"/>
      <c r="U382" s="1382"/>
      <c r="V382" s="1382"/>
      <c r="W382" s="1382"/>
      <c r="X382" s="1382"/>
      <c r="Y382" s="1382"/>
      <c r="Z382" s="1382"/>
      <c r="AA382" s="1382"/>
      <c r="AB382" s="1382"/>
      <c r="AC382" s="1382"/>
      <c r="AD382" s="1382"/>
      <c r="AE382" s="1382"/>
      <c r="AF382" s="1382"/>
      <c r="AG382" s="1382"/>
      <c r="AH382" s="1382"/>
      <c r="AI382" s="1382"/>
      <c r="AJ382" s="1382"/>
    </row>
    <row r="383" spans="1:48" s="30" customFormat="1" hidden="1" x14ac:dyDescent="0.25">
      <c r="A383" s="1407" t="str">
        <f>IF(DD_apply="Yes",IF(COUNTIF('02 - DD'!D383:G383,"Y")&gt;0,"Y",IF(COUNTIF('02 - DD'!D383:G383,"N"),"N","")),"")</f>
        <v/>
      </c>
      <c r="B383" s="191"/>
      <c r="C383" s="945"/>
      <c r="D383" s="411"/>
      <c r="E383" s="411"/>
      <c r="F383" s="499"/>
      <c r="G383" s="511"/>
      <c r="H383" s="1022"/>
      <c r="I383" s="197"/>
      <c r="J383" s="578" t="str">
        <f>IF('C-Design&amp;Const'!AG383="","",'C-Design&amp;Const'!AG383)</f>
        <v/>
      </c>
      <c r="K383" s="285" t="str">
        <f>IF(CD50_apply="Yes",IF((COUNTIF(D383:G383,"Y")=COUNTIF('02 - DD'!D383:G383,"Y")),"match","no DD match"),"-")</f>
        <v>match</v>
      </c>
      <c r="L383" s="1410" t="str">
        <f t="shared" si="19"/>
        <v/>
      </c>
      <c r="M383" s="1382"/>
      <c r="N383" s="1382"/>
      <c r="O383" s="1382"/>
      <c r="P383" s="1382"/>
      <c r="Q383" s="1490"/>
      <c r="R383" s="1274"/>
      <c r="S383" s="1274"/>
      <c r="T383" s="1382"/>
      <c r="U383" s="1382"/>
      <c r="V383" s="1382"/>
      <c r="W383" s="1382"/>
      <c r="X383" s="1382"/>
      <c r="Y383" s="1382"/>
      <c r="Z383" s="1382"/>
      <c r="AA383" s="1382"/>
      <c r="AB383" s="1382"/>
      <c r="AC383" s="1382"/>
      <c r="AD383" s="1382"/>
      <c r="AE383" s="1382"/>
      <c r="AF383" s="1382"/>
      <c r="AG383" s="1382"/>
      <c r="AH383" s="1382"/>
      <c r="AI383" s="1382"/>
      <c r="AJ383" s="1382"/>
      <c r="AK383" s="181"/>
      <c r="AL383" s="181"/>
      <c r="AM383" s="181"/>
      <c r="AN383" s="181"/>
      <c r="AO383" s="181"/>
      <c r="AP383" s="181"/>
      <c r="AQ383" s="181"/>
      <c r="AR383" s="181"/>
      <c r="AS383" s="181"/>
      <c r="AT383" s="181"/>
      <c r="AU383" s="181"/>
      <c r="AV383" s="181"/>
    </row>
    <row r="384" spans="1:48" s="30" customFormat="1" ht="15.75" x14ac:dyDescent="0.25">
      <c r="A384" s="1501" t="str">
        <f>IF(DD_apply="Yes",IF(COUNTIF('02 - DD'!D384:G384,"Y")&gt;0,"Y",IF(COUNTIF('02 - DD'!D384:G384,"N"),"N","")),"")</f>
        <v/>
      </c>
      <c r="B384" s="191"/>
      <c r="C384" s="945"/>
      <c r="D384" s="411"/>
      <c r="E384" s="411"/>
      <c r="F384" s="499"/>
      <c r="G384" s="511"/>
      <c r="H384" s="1022"/>
      <c r="I384" s="197"/>
      <c r="J384" s="578" t="str">
        <f>IF('C-Design&amp;Const'!AG384="","",'C-Design&amp;Const'!AG384)</f>
        <v/>
      </c>
      <c r="K384" s="285" t="str">
        <f>IF(CD50_apply="Yes",IF((COUNTIF(D384:G384,"Y")=COUNTIF('02 - DD'!D384:G384,"Y")),"match","no DD match"),"-")</f>
        <v>match</v>
      </c>
      <c r="L384" s="1410" t="str">
        <f t="shared" si="19"/>
        <v/>
      </c>
      <c r="M384" s="1382"/>
      <c r="N384" s="1382"/>
      <c r="O384" s="1382"/>
      <c r="P384" s="1382"/>
      <c r="Q384" s="1490"/>
      <c r="R384" s="1274"/>
      <c r="S384" s="1274"/>
      <c r="T384" s="1382"/>
      <c r="U384" s="1382"/>
      <c r="V384" s="1382"/>
      <c r="W384" s="1382"/>
      <c r="X384" s="1382"/>
      <c r="Y384" s="1382"/>
      <c r="Z384" s="1382"/>
      <c r="AA384" s="1382"/>
      <c r="AB384" s="1382"/>
      <c r="AC384" s="1382"/>
      <c r="AD384" s="1382"/>
      <c r="AE384" s="1382"/>
      <c r="AF384" s="1382"/>
      <c r="AG384" s="1382"/>
      <c r="AH384" s="1382"/>
      <c r="AI384" s="1382"/>
      <c r="AJ384" s="1382"/>
      <c r="AK384" s="181"/>
      <c r="AL384" s="181"/>
      <c r="AM384" s="181"/>
      <c r="AN384" s="181"/>
      <c r="AO384" s="181"/>
      <c r="AP384" s="181"/>
      <c r="AQ384" s="181"/>
      <c r="AR384" s="181"/>
      <c r="AS384" s="181"/>
      <c r="AT384" s="181"/>
      <c r="AU384" s="181"/>
      <c r="AV384" s="181"/>
    </row>
    <row r="385" spans="1:49" s="181" customFormat="1" ht="18.75" x14ac:dyDescent="0.25">
      <c r="A385" s="1407" t="str">
        <f>IF(DD_apply="Yes",IF(COUNTIF('02 - DD'!D385:G385,"Y")&gt;0,"Y",IF(COUNTIF('02 - DD'!D385:G385,"N"),"N","")),"")</f>
        <v>N</v>
      </c>
      <c r="B385" s="177"/>
      <c r="C385" s="945"/>
      <c r="D385" s="359" t="str">
        <f>IF('C-Design&amp;Const'!$M385="","",'C-Design&amp;Const'!$M385)</f>
        <v>N</v>
      </c>
      <c r="E385" s="234"/>
      <c r="F385" s="235"/>
      <c r="G385" s="291" t="str">
        <f>IF('C-Design&amp;Const'!Y385="","",'C-Design&amp;Const'!Y385)</f>
        <v>08a.</v>
      </c>
      <c r="H385" s="290" t="str">
        <f>CONCATENATE('C-Design&amp;Const'!Z385,IF(D385="N"," Not Used In This Design Phase",J385))</f>
        <v>Design Presentation Not Used In This Design Phase</v>
      </c>
      <c r="I385" s="184"/>
      <c r="J385" s="578" t="str">
        <f>IF('C-Design&amp;Const'!AG385="","",'C-Design&amp;Const'!AG385)</f>
        <v/>
      </c>
      <c r="K385" s="285" t="str">
        <f>IF(CD50_apply="Yes",IF((COUNTIF(D385:G385,"Y")=COUNTIF('02 - DD'!D385:G385,"Y")),"match","no DD match"),"-")</f>
        <v>match</v>
      </c>
      <c r="L385" s="1410" t="str">
        <f t="shared" si="19"/>
        <v/>
      </c>
      <c r="M385" s="1382"/>
      <c r="N385" s="1382"/>
      <c r="O385" s="1382"/>
      <c r="P385" s="1382"/>
      <c r="Q385" s="1447"/>
      <c r="R385" s="1448"/>
      <c r="S385" s="1274"/>
      <c r="T385" s="1382"/>
      <c r="U385" s="1382"/>
      <c r="V385" s="1382"/>
      <c r="W385" s="1382"/>
      <c r="X385" s="1382"/>
      <c r="Y385" s="1382"/>
      <c r="Z385" s="1382"/>
      <c r="AA385" s="1382"/>
      <c r="AB385" s="1382"/>
      <c r="AC385" s="1382"/>
      <c r="AD385" s="1382"/>
      <c r="AE385" s="1382"/>
      <c r="AF385" s="1382"/>
      <c r="AG385" s="1382"/>
      <c r="AH385" s="1382"/>
      <c r="AI385" s="1382"/>
      <c r="AJ385" s="1382"/>
    </row>
    <row r="386" spans="1:49" s="181" customFormat="1" hidden="1" x14ac:dyDescent="0.25">
      <c r="A386" s="1407" t="str">
        <f>IF(DD_apply="Yes",IF(COUNTIF('02 - DD'!D386:G386,"Y")&gt;0,"Y",IF(COUNTIF('02 - DD'!D386:G386,"N"),"N","")),"")</f>
        <v>N</v>
      </c>
      <c r="B386" s="177"/>
      <c r="C386" s="945"/>
      <c r="D386" s="411"/>
      <c r="E386" s="559" t="str">
        <f>IF('C-Design&amp;Const'!$M386="","",'C-Design&amp;Const'!$M386)</f>
        <v>N</v>
      </c>
      <c r="F386" s="458"/>
      <c r="G386" s="506"/>
      <c r="H386" s="454" t="str">
        <f>CONCATENATE(IF(F386="N","PLACEHOLDER ROW - ",""),'C-Design&amp;Const'!Z386,IF(F386="N","",J386))</f>
        <v xml:space="preserve">Overall Campus Map next to zoomed in aerial image map </v>
      </c>
      <c r="I386" s="193"/>
      <c r="J386" s="578" t="str">
        <f>IF('C-Design&amp;Const'!AG386="","",'C-Design&amp;Const'!AG386)</f>
        <v/>
      </c>
      <c r="K386" s="285" t="str">
        <f>IF(CD50_apply="Yes",IF((COUNTIF(D386:G386,"Y")=COUNTIF('02 - DD'!D386:G386,"Y")),"match","no DD match"),"-")</f>
        <v>match</v>
      </c>
      <c r="L386" s="1410" t="str">
        <f t="shared" si="19"/>
        <v/>
      </c>
      <c r="M386" s="1382"/>
      <c r="N386" s="1382"/>
      <c r="O386" s="1382"/>
      <c r="P386" s="1382"/>
      <c r="Q386" s="1490"/>
      <c r="R386" s="1274"/>
      <c r="S386" s="1274"/>
      <c r="T386" s="1382"/>
      <c r="U386" s="1382"/>
      <c r="V386" s="1382"/>
      <c r="W386" s="1382"/>
      <c r="X386" s="1382"/>
      <c r="Y386" s="1382"/>
      <c r="Z386" s="1382"/>
      <c r="AA386" s="1382"/>
      <c r="AB386" s="1382"/>
      <c r="AC386" s="1382"/>
      <c r="AD386" s="1382"/>
      <c r="AE386" s="1382"/>
      <c r="AF386" s="1382"/>
      <c r="AG386" s="1382"/>
      <c r="AH386" s="1382"/>
      <c r="AI386" s="1382"/>
      <c r="AJ386" s="1382"/>
      <c r="AW386" s="30"/>
    </row>
    <row r="387" spans="1:49" s="181" customFormat="1" hidden="1" x14ac:dyDescent="0.25">
      <c r="A387" s="1407" t="str">
        <f>IF(DD_apply="Yes",IF(COUNTIF('02 - DD'!D387:G387,"Y")&gt;0,"Y",IF(COUNTIF('02 - DD'!D387:G387,"N"),"N","")),"")</f>
        <v>N</v>
      </c>
      <c r="B387" s="177"/>
      <c r="C387" s="945"/>
      <c r="D387" s="411"/>
      <c r="E387" s="559" t="str">
        <f>IF('C-Design&amp;Const'!$M387="","",'C-Design&amp;Const'!$M387)</f>
        <v>N</v>
      </c>
      <c r="F387" s="458"/>
      <c r="G387" s="506"/>
      <c r="H387" s="454" t="str">
        <f>CONCATENATE(IF(F387="N","PLACEHOLDER ROW - ",""),'C-Design&amp;Const'!Z387,IF(F387="N","",J387))</f>
        <v>Building Footprint on Master Plan</v>
      </c>
      <c r="I387" s="193"/>
      <c r="J387" s="578" t="str">
        <f>IF('C-Design&amp;Const'!AG387="","",'C-Design&amp;Const'!AG387)</f>
        <v/>
      </c>
      <c r="K387" s="285" t="str">
        <f>IF(CD50_apply="Yes",IF((COUNTIF(D387:G387,"Y")=COUNTIF('02 - DD'!D387:G387,"Y")),"match","no DD match"),"-")</f>
        <v>match</v>
      </c>
      <c r="L387" s="1410" t="str">
        <f t="shared" si="19"/>
        <v/>
      </c>
      <c r="M387" s="1382"/>
      <c r="N387" s="1382"/>
      <c r="O387" s="1382"/>
      <c r="P387" s="1382"/>
      <c r="Q387" s="1490"/>
      <c r="R387" s="1274"/>
      <c r="S387" s="1274"/>
      <c r="T387" s="1382"/>
      <c r="U387" s="1382"/>
      <c r="V387" s="1382"/>
      <c r="W387" s="1382"/>
      <c r="X387" s="1382"/>
      <c r="Y387" s="1382"/>
      <c r="Z387" s="1382"/>
      <c r="AA387" s="1382"/>
      <c r="AB387" s="1382"/>
      <c r="AC387" s="1382"/>
      <c r="AD387" s="1382"/>
      <c r="AE387" s="1382"/>
      <c r="AF387" s="1382"/>
      <c r="AG387" s="1382"/>
      <c r="AH387" s="1382"/>
      <c r="AI387" s="1382"/>
      <c r="AJ387" s="1382"/>
      <c r="AW387" s="30"/>
    </row>
    <row r="388" spans="1:49" s="181" customFormat="1" hidden="1" x14ac:dyDescent="0.25">
      <c r="A388" s="1407" t="str">
        <f>IF(DD_apply="Yes",IF(COUNTIF('02 - DD'!D388:G388,"Y")&gt;0,"Y",IF(COUNTIF('02 - DD'!D388:G388,"N"),"N","")),"")</f>
        <v>N</v>
      </c>
      <c r="B388" s="177"/>
      <c r="C388" s="945"/>
      <c r="D388" s="411"/>
      <c r="E388" s="559" t="str">
        <f>IF('C-Design&amp;Const'!$M388="","",'C-Design&amp;Const'!$M388)</f>
        <v>N</v>
      </c>
      <c r="F388" s="458"/>
      <c r="G388" s="506"/>
      <c r="H388" s="454" t="str">
        <f>CONCATENATE(IF(F388="N","PLACEHOLDER ROW - ",""),'C-Design&amp;Const'!Z388,IF(F388="N","",J388))</f>
        <v>**Bullet Points of Major Project Goals &amp; Objectives, New GSF, Renovated GSF, Demolished GSF</v>
      </c>
      <c r="I388" s="193"/>
      <c r="J388" s="578" t="str">
        <f>IF('C-Design&amp;Const'!AG388="","",'C-Design&amp;Const'!AG388)</f>
        <v/>
      </c>
      <c r="K388" s="285" t="str">
        <f>IF(CD50_apply="Yes",IF((COUNTIF(D388:G388,"Y")=COUNTIF('02 - DD'!D388:G388,"Y")),"match","no DD match"),"-")</f>
        <v>match</v>
      </c>
      <c r="L388" s="1410" t="str">
        <f t="shared" si="19"/>
        <v/>
      </c>
      <c r="M388" s="1382"/>
      <c r="N388" s="1382"/>
      <c r="O388" s="1382"/>
      <c r="P388" s="1382"/>
      <c r="Q388" s="1490"/>
      <c r="R388" s="1274"/>
      <c r="S388" s="1274"/>
      <c r="T388" s="1382"/>
      <c r="U388" s="1382"/>
      <c r="V388" s="1382"/>
      <c r="W388" s="1382"/>
      <c r="X388" s="1382"/>
      <c r="Y388" s="1382"/>
      <c r="Z388" s="1382"/>
      <c r="AA388" s="1382"/>
      <c r="AB388" s="1382"/>
      <c r="AC388" s="1382"/>
      <c r="AD388" s="1382"/>
      <c r="AE388" s="1382"/>
      <c r="AF388" s="1382"/>
      <c r="AG388" s="1382"/>
      <c r="AH388" s="1382"/>
      <c r="AI388" s="1382"/>
      <c r="AJ388" s="1382"/>
      <c r="AW388" s="30"/>
    </row>
    <row r="389" spans="1:49" s="181" customFormat="1" hidden="1" x14ac:dyDescent="0.25">
      <c r="A389" s="1407" t="str">
        <f>IF(DD_apply="Yes",IF(COUNTIF('02 - DD'!D389:G389,"Y")&gt;0,"Y",IF(COUNTIF('02 - DD'!D389:G389,"N"),"N","")),"")</f>
        <v>N</v>
      </c>
      <c r="B389" s="177"/>
      <c r="C389" s="945"/>
      <c r="D389" s="411"/>
      <c r="E389" s="559" t="str">
        <f>IF('C-Design&amp;Const'!$M389="","",'C-Design&amp;Const'!$M389)</f>
        <v>N</v>
      </c>
      <c r="F389" s="458"/>
      <c r="G389" s="506"/>
      <c r="H389" s="454" t="str">
        <f>CONCATENATE(IF(F389="N","PLACEHOLDER ROW - ",""),'C-Design&amp;Const'!Z389,IF(F389="N","",J389))</f>
        <v>**Overall Construction Budget, Construction Begin &amp; End</v>
      </c>
      <c r="I389" s="193"/>
      <c r="J389" s="578" t="str">
        <f>IF('C-Design&amp;Const'!AG389="","",'C-Design&amp;Const'!AG389)</f>
        <v/>
      </c>
      <c r="K389" s="285" t="str">
        <f>IF(CD50_apply="Yes",IF((COUNTIF(D389:G389,"Y")=COUNTIF('02 - DD'!D389:G389,"Y")),"match","no DD match"),"-")</f>
        <v>match</v>
      </c>
      <c r="L389" s="1410" t="str">
        <f t="shared" si="19"/>
        <v/>
      </c>
      <c r="M389" s="1382"/>
      <c r="N389" s="1382"/>
      <c r="O389" s="1382"/>
      <c r="P389" s="1382"/>
      <c r="Q389" s="1490"/>
      <c r="R389" s="1274"/>
      <c r="S389" s="1274"/>
      <c r="T389" s="1382"/>
      <c r="U389" s="1382"/>
      <c r="V389" s="1382"/>
      <c r="W389" s="1382"/>
      <c r="X389" s="1382"/>
      <c r="Y389" s="1382"/>
      <c r="Z389" s="1382"/>
      <c r="AA389" s="1382"/>
      <c r="AB389" s="1382"/>
      <c r="AC389" s="1382"/>
      <c r="AD389" s="1382"/>
      <c r="AE389" s="1382"/>
      <c r="AF389" s="1382"/>
      <c r="AG389" s="1382"/>
      <c r="AH389" s="1382"/>
      <c r="AI389" s="1382"/>
      <c r="AJ389" s="1382"/>
      <c r="AW389" s="30"/>
    </row>
    <row r="390" spans="1:49" s="181" customFormat="1" hidden="1" x14ac:dyDescent="0.25">
      <c r="A390" s="1407" t="str">
        <f>IF(DD_apply="Yes",IF(COUNTIF('02 - DD'!D390:G390,"Y")&gt;0,"Y",IF(COUNTIF('02 - DD'!D390:G390,"N"),"N","")),"")</f>
        <v>N</v>
      </c>
      <c r="B390" s="177"/>
      <c r="C390" s="945"/>
      <c r="D390" s="411"/>
      <c r="E390" s="559" t="str">
        <f>IF('C-Design&amp;Const'!$M390="","",'C-Design&amp;Const'!$M390)</f>
        <v>N</v>
      </c>
      <c r="F390" s="458"/>
      <c r="G390" s="506"/>
      <c r="H390" s="454" t="str">
        <f>CONCATENATE(IF(F390="N","PLACEHOLDER ROW - ",""),'C-Design&amp;Const'!Z390,IF(F390="N","",J390))</f>
        <v>**LEED Goal (and LEED Project Checklist - for client presentations only)</v>
      </c>
      <c r="I390" s="193"/>
      <c r="J390" s="578" t="str">
        <f>IF('C-Design&amp;Const'!AG390="","",'C-Design&amp;Const'!AG390)</f>
        <v/>
      </c>
      <c r="K390" s="285" t="str">
        <f>IF(CD50_apply="Yes",IF((COUNTIF(D390:G390,"Y")=COUNTIF('02 - DD'!D390:G390,"Y")),"match","no DD match"),"-")</f>
        <v>match</v>
      </c>
      <c r="L390" s="1410" t="str">
        <f t="shared" si="19"/>
        <v/>
      </c>
      <c r="M390" s="1382"/>
      <c r="N390" s="1382"/>
      <c r="O390" s="1382"/>
      <c r="P390" s="1382"/>
      <c r="Q390" s="1490"/>
      <c r="R390" s="1274"/>
      <c r="S390" s="1274"/>
      <c r="T390" s="1382"/>
      <c r="U390" s="1382"/>
      <c r="V390" s="1382"/>
      <c r="W390" s="1382"/>
      <c r="X390" s="1382"/>
      <c r="Y390" s="1382"/>
      <c r="Z390" s="1382"/>
      <c r="AA390" s="1382"/>
      <c r="AB390" s="1382"/>
      <c r="AC390" s="1382"/>
      <c r="AD390" s="1382"/>
      <c r="AE390" s="1382"/>
      <c r="AF390" s="1382"/>
      <c r="AG390" s="1382"/>
      <c r="AH390" s="1382"/>
      <c r="AI390" s="1382"/>
      <c r="AJ390" s="1382"/>
      <c r="AW390" s="30"/>
    </row>
    <row r="391" spans="1:49" s="181" customFormat="1" hidden="1" x14ac:dyDescent="0.25">
      <c r="A391" s="1407" t="str">
        <f>IF(DD_apply="Yes",IF(COUNTIF('02 - DD'!D391:G391,"Y")&gt;0,"Y",IF(COUNTIF('02 - DD'!D391:G391,"N"),"N","")),"")</f>
        <v>N</v>
      </c>
      <c r="B391" s="177"/>
      <c r="C391" s="945"/>
      <c r="D391" s="411"/>
      <c r="E391" s="559" t="str">
        <f>IF('C-Design&amp;Const'!$M391="","",'C-Design&amp;Const'!$M391)</f>
        <v>N</v>
      </c>
      <c r="F391" s="458"/>
      <c r="G391" s="506"/>
      <c r="H391" s="454" t="str">
        <f>CONCATENATE(IF(F391="N","PLACEHOLDER ROW - ",""),'C-Design&amp;Const'!Z391,IF(F391="N","",J391))</f>
        <v>Proposed combined Site / Landscape Plan</v>
      </c>
      <c r="I391" s="193"/>
      <c r="J391" s="578" t="str">
        <f>IF('C-Design&amp;Const'!AG391="","",'C-Design&amp;Const'!AG391)</f>
        <v/>
      </c>
      <c r="K391" s="285" t="str">
        <f>IF(CD50_apply="Yes",IF((COUNTIF(D391:G391,"Y")=COUNTIF('02 - DD'!D391:G391,"Y")),"match","no DD match"),"-")</f>
        <v>match</v>
      </c>
      <c r="L391" s="1410" t="str">
        <f t="shared" si="19"/>
        <v/>
      </c>
      <c r="M391" s="1382"/>
      <c r="N391" s="1382"/>
      <c r="O391" s="1382"/>
      <c r="P391" s="1382"/>
      <c r="Q391" s="1490"/>
      <c r="R391" s="1274"/>
      <c r="S391" s="1274"/>
      <c r="T391" s="1382"/>
      <c r="U391" s="1382"/>
      <c r="V391" s="1382"/>
      <c r="W391" s="1382"/>
      <c r="X391" s="1382"/>
      <c r="Y391" s="1382"/>
      <c r="Z391" s="1382"/>
      <c r="AA391" s="1382"/>
      <c r="AB391" s="1382"/>
      <c r="AC391" s="1382"/>
      <c r="AD391" s="1382"/>
      <c r="AE391" s="1382"/>
      <c r="AF391" s="1382"/>
      <c r="AG391" s="1382"/>
      <c r="AH391" s="1382"/>
      <c r="AI391" s="1382"/>
      <c r="AJ391" s="1382"/>
      <c r="AW391" s="30"/>
    </row>
    <row r="392" spans="1:49" s="181" customFormat="1" hidden="1" x14ac:dyDescent="0.25">
      <c r="A392" s="1407" t="str">
        <f>IF(DD_apply="Yes",IF(COUNTIF('02 - DD'!D395:G395,"Y")&gt;0,"Y",IF(COUNTIF('02 - DD'!D395:G395,"N"),"N","")),"")</f>
        <v>N</v>
      </c>
      <c r="B392" s="177"/>
      <c r="C392" s="945"/>
      <c r="D392" s="411"/>
      <c r="E392" s="559" t="str">
        <f>IF('C-Design&amp;Const'!$M392="","",'C-Design&amp;Const'!$M392)</f>
        <v>N</v>
      </c>
      <c r="F392" s="458"/>
      <c r="G392" s="506"/>
      <c r="H392" s="454" t="str">
        <f>CONCATENATE(IF(F392="N","PLACEHOLDER ROW - ",""),'C-Design&amp;Const'!Z392,IF(F392="N","",J392))</f>
        <v xml:space="preserve">Massing or Renderings of </v>
      </c>
      <c r="I392" s="193"/>
      <c r="J392" s="578" t="str">
        <f>IF('C-Design&amp;Const'!AG395="","",'C-Design&amp;Const'!AG395)</f>
        <v/>
      </c>
      <c r="K392" s="285" t="str">
        <f>IF(CD50_apply="Yes",IF((COUNTIF(D392:G392,"Y")=COUNTIF('02 - DD'!D395:G395,"Y")),"match","no DD match"),"-")</f>
        <v>match</v>
      </c>
      <c r="L392" s="1410" t="str">
        <f t="shared" si="19"/>
        <v/>
      </c>
      <c r="M392" s="1382"/>
      <c r="N392" s="1382"/>
      <c r="O392" s="1382"/>
      <c r="P392" s="1382"/>
      <c r="Q392" s="1490"/>
      <c r="R392" s="1274"/>
      <c r="S392" s="1274"/>
      <c r="T392" s="1382"/>
      <c r="U392" s="1382"/>
      <c r="V392" s="1382"/>
      <c r="W392" s="1382"/>
      <c r="X392" s="1382"/>
      <c r="Y392" s="1382"/>
      <c r="Z392" s="1382"/>
      <c r="AA392" s="1382"/>
      <c r="AB392" s="1382"/>
      <c r="AC392" s="1382"/>
      <c r="AD392" s="1382"/>
      <c r="AE392" s="1382"/>
      <c r="AF392" s="1382"/>
      <c r="AG392" s="1382"/>
      <c r="AH392" s="1382"/>
      <c r="AI392" s="1382"/>
      <c r="AJ392" s="1382"/>
      <c r="AW392" s="30"/>
    </row>
    <row r="393" spans="1:49" s="181" customFormat="1" hidden="1" x14ac:dyDescent="0.25">
      <c r="A393" s="1407" t="str">
        <f>IF(DD_apply="Yes",IF(COUNTIF('02 - DD'!D392:G392,"Y")&gt;0,"Y",IF(COUNTIF('02 - DD'!D392:G392,"N"),"N","")),"")</f>
        <v>N</v>
      </c>
      <c r="B393" s="177"/>
      <c r="C393" s="945"/>
      <c r="D393" s="411"/>
      <c r="E393" s="559" t="str">
        <f>IF('C-Design&amp;Const'!$M393="","",'C-Design&amp;Const'!$M393)</f>
        <v>N</v>
      </c>
      <c r="F393" s="458"/>
      <c r="G393" s="506"/>
      <c r="H393" s="454" t="str">
        <f>CONCATENATE(IF(F393="N","PLACEHOLDER ROW - ",""),'C-Design&amp;Const'!Z393,IF(F393="N","",J393))</f>
        <v>All Exterior Elevations with materials identified</v>
      </c>
      <c r="I393" s="193"/>
      <c r="J393" s="578" t="str">
        <f>IF('C-Design&amp;Const'!AG392="","",'C-Design&amp;Const'!AG392)</f>
        <v/>
      </c>
      <c r="K393" s="285" t="str">
        <f>IF(CD50_apply="Yes",IF((COUNTIF(D393:G393,"Y")=COUNTIF('02 - DD'!D392:G392,"Y")),"match","no DD match"),"-")</f>
        <v>match</v>
      </c>
      <c r="L393" s="1410" t="str">
        <f t="shared" si="19"/>
        <v/>
      </c>
      <c r="M393" s="1382"/>
      <c r="N393" s="1382"/>
      <c r="O393" s="1382"/>
      <c r="P393" s="1382"/>
      <c r="Q393" s="1490"/>
      <c r="R393" s="1274"/>
      <c r="S393" s="1274"/>
      <c r="T393" s="1382"/>
      <c r="U393" s="1382"/>
      <c r="V393" s="1382"/>
      <c r="W393" s="1382"/>
      <c r="X393" s="1382"/>
      <c r="Y393" s="1382"/>
      <c r="Z393" s="1382"/>
      <c r="AA393" s="1382"/>
      <c r="AB393" s="1382"/>
      <c r="AC393" s="1382"/>
      <c r="AD393" s="1382"/>
      <c r="AE393" s="1382"/>
      <c r="AF393" s="1382"/>
      <c r="AG393" s="1382"/>
      <c r="AH393" s="1382"/>
      <c r="AI393" s="1382"/>
      <c r="AJ393" s="1382"/>
      <c r="AW393" s="30"/>
    </row>
    <row r="394" spans="1:49" s="181" customFormat="1" ht="28.5" hidden="1" x14ac:dyDescent="0.25">
      <c r="A394" s="1407" t="str">
        <f>IF(DD_apply="Yes",IF(COUNTIF('02 - DD'!D393:G393,"Y")&gt;0,"Y",IF(COUNTIF('02 - DD'!D393:G393,"N"),"N","")),"")</f>
        <v>N</v>
      </c>
      <c r="B394" s="177"/>
      <c r="C394" s="945"/>
      <c r="D394" s="411"/>
      <c r="E394" s="559" t="str">
        <f>IF('C-Design&amp;Const'!$M394="","",'C-Design&amp;Const'!$M394)</f>
        <v>N</v>
      </c>
      <c r="F394" s="458"/>
      <c r="G394" s="506"/>
      <c r="H394" s="454" t="str">
        <f>CONCATENATE(IF(F394="N","PLACEHOLDER ROW - ",""),'C-Design&amp;Const'!Z394,IF(F394="N","",J394))</f>
        <v>All major public spaces (entrances, galleries, auditoriums, lecture halls, etc…) with materials identified</v>
      </c>
      <c r="I394" s="193"/>
      <c r="J394" s="578" t="str">
        <f>IF('C-Design&amp;Const'!AG393="","",'C-Design&amp;Const'!AG393)</f>
        <v/>
      </c>
      <c r="K394" s="285" t="str">
        <f>IF(CD50_apply="Yes",IF((COUNTIF(D394:G394,"Y")=COUNTIF('02 - DD'!D393:G393,"Y")),"match","no DD match"),"-")</f>
        <v>match</v>
      </c>
      <c r="L394" s="1410" t="str">
        <f t="shared" si="19"/>
        <v/>
      </c>
      <c r="M394" s="1382"/>
      <c r="N394" s="1382"/>
      <c r="O394" s="1382"/>
      <c r="P394" s="1382"/>
      <c r="Q394" s="1490"/>
      <c r="R394" s="1274"/>
      <c r="S394" s="1274"/>
      <c r="T394" s="1382"/>
      <c r="U394" s="1382"/>
      <c r="V394" s="1382"/>
      <c r="W394" s="1382"/>
      <c r="X394" s="1382"/>
      <c r="Y394" s="1382"/>
      <c r="Z394" s="1382"/>
      <c r="AA394" s="1382"/>
      <c r="AB394" s="1382"/>
      <c r="AC394" s="1382"/>
      <c r="AD394" s="1382"/>
      <c r="AE394" s="1382"/>
      <c r="AF394" s="1382"/>
      <c r="AG394" s="1382"/>
      <c r="AH394" s="1382"/>
      <c r="AI394" s="1382"/>
      <c r="AJ394" s="1382"/>
      <c r="AW394" s="30"/>
    </row>
    <row r="395" spans="1:49" s="181" customFormat="1" hidden="1" x14ac:dyDescent="0.25">
      <c r="A395" s="1407" t="str">
        <f>IF(DD_apply="Yes",IF(COUNTIF('02 - DD'!D394:G394,"Y")&gt;0,"Y",IF(COUNTIF('02 - DD'!D394:G394,"N"),"N","")),"")</f>
        <v>N</v>
      </c>
      <c r="B395" s="177"/>
      <c r="C395" s="945"/>
      <c r="D395" s="411"/>
      <c r="E395" s="559" t="str">
        <f>IF('C-Design&amp;Const'!$M395="","",'C-Design&amp;Const'!$M395)</f>
        <v>N</v>
      </c>
      <c r="F395" s="458"/>
      <c r="G395" s="506"/>
      <c r="H395" s="454" t="str">
        <f>CONCATENATE(IF(F395="N","PLACEHOLDER ROW - ",""),'C-Design&amp;Const'!Z395,IF(F395="N","",J395))</f>
        <v>Stacked Floor Plans with space types show by color (include key)</v>
      </c>
      <c r="I395" s="193"/>
      <c r="J395" s="578" t="str">
        <f>IF('C-Design&amp;Const'!AG394="","",'C-Design&amp;Const'!AG394)</f>
        <v/>
      </c>
      <c r="K395" s="285" t="str">
        <f>IF(CD50_apply="Yes",IF((COUNTIF(D395:G395,"Y")=COUNTIF('02 - DD'!D394:G394,"Y")),"match","no DD match"),"-")</f>
        <v>match</v>
      </c>
      <c r="L395" s="1410" t="str">
        <f t="shared" si="19"/>
        <v/>
      </c>
      <c r="M395" s="1382"/>
      <c r="N395" s="1382"/>
      <c r="O395" s="1382"/>
      <c r="P395" s="1382"/>
      <c r="Q395" s="1490"/>
      <c r="R395" s="1274"/>
      <c r="S395" s="1274"/>
      <c r="T395" s="1382"/>
      <c r="U395" s="1382"/>
      <c r="V395" s="1382"/>
      <c r="W395" s="1382"/>
      <c r="X395" s="1382"/>
      <c r="Y395" s="1382"/>
      <c r="Z395" s="1382"/>
      <c r="AA395" s="1382"/>
      <c r="AB395" s="1382"/>
      <c r="AC395" s="1382"/>
      <c r="AD395" s="1382"/>
      <c r="AE395" s="1382"/>
      <c r="AF395" s="1382"/>
      <c r="AG395" s="1382"/>
      <c r="AH395" s="1382"/>
      <c r="AI395" s="1382"/>
      <c r="AJ395" s="1382"/>
      <c r="AW395" s="30"/>
    </row>
    <row r="396" spans="1:49" s="181" customFormat="1" hidden="1" x14ac:dyDescent="0.25">
      <c r="A396" s="1407" t="str">
        <f>IF(DD_apply="Yes",IF(COUNTIF('02 - DD'!D396:G396,"Y")&gt;0,"Y",IF(COUNTIF('02 - DD'!D396:G396,"N"),"N","")),"")</f>
        <v>N</v>
      </c>
      <c r="B396" s="177"/>
      <c r="C396" s="945"/>
      <c r="D396" s="411"/>
      <c r="E396" s="559" t="str">
        <f>IF('C-Design&amp;Const'!$M396="","",'C-Design&amp;Const'!$M396)</f>
        <v>N</v>
      </c>
      <c r="F396" s="458"/>
      <c r="G396" s="506"/>
      <c r="H396" s="454" t="str">
        <f>CONCATENATE(IF(F396="N","PLACEHOLDER ROW - ",""),'C-Design&amp;Const'!Z396,IF(F396="N","",J396))</f>
        <v>Simple full building sections showing relative spaces and framing from floor to floor.</v>
      </c>
      <c r="I396" s="193"/>
      <c r="J396" s="578" t="str">
        <f>IF('C-Design&amp;Const'!AG396="","",'C-Design&amp;Const'!AG396)</f>
        <v/>
      </c>
      <c r="K396" s="285" t="str">
        <f>IF(CD50_apply="Yes",IF((COUNTIF(D396:G396,"Y")=COUNTIF('02 - DD'!D396:G396,"Y")),"match","no DD match"),"-")</f>
        <v>match</v>
      </c>
      <c r="L396" s="1410" t="str">
        <f t="shared" si="19"/>
        <v/>
      </c>
      <c r="M396" s="1382"/>
      <c r="N396" s="1382"/>
      <c r="O396" s="1382"/>
      <c r="P396" s="1382"/>
      <c r="Q396" s="1490"/>
      <c r="R396" s="1274"/>
      <c r="S396" s="1274"/>
      <c r="T396" s="1382"/>
      <c r="U396" s="1382"/>
      <c r="V396" s="1382"/>
      <c r="W396" s="1382"/>
      <c r="X396" s="1382"/>
      <c r="Y396" s="1382"/>
      <c r="Z396" s="1382"/>
      <c r="AA396" s="1382"/>
      <c r="AB396" s="1382"/>
      <c r="AC396" s="1382"/>
      <c r="AD396" s="1382"/>
      <c r="AE396" s="1382"/>
      <c r="AF396" s="1382"/>
      <c r="AG396" s="1382"/>
      <c r="AH396" s="1382"/>
      <c r="AI396" s="1382"/>
      <c r="AJ396" s="1382"/>
      <c r="AW396" s="30"/>
    </row>
    <row r="397" spans="1:49" s="181" customFormat="1" hidden="1" x14ac:dyDescent="0.25">
      <c r="A397" s="1407" t="str">
        <f>IF(DD_apply="Yes",IF(COUNTIF('02 - DD'!D397:G397,"Y")&gt;0,"Y",IF(COUNTIF('02 - DD'!D397:G397,"N"),"N","")),"")</f>
        <v>N</v>
      </c>
      <c r="B397" s="177"/>
      <c r="C397" s="945"/>
      <c r="D397" s="411"/>
      <c r="E397" s="559" t="str">
        <f>IF('C-Design&amp;Const'!$M397="","",'C-Design&amp;Const'!$M397)</f>
        <v>N</v>
      </c>
      <c r="F397" s="458"/>
      <c r="G397" s="506"/>
      <c r="H397" s="454" t="str">
        <f>CONCATENATE(IF(F397="N","PLACEHOLDER ROW - ",""),'C-Design&amp;Const'!Z397,IF(F397="N","",J397))</f>
        <v>General Air Handling Unit Fan Maps (verify with PM if necessary)</v>
      </c>
      <c r="I397" s="193"/>
      <c r="J397" s="578" t="str">
        <f>IF('C-Design&amp;Const'!AG397="","",'C-Design&amp;Const'!AG397)</f>
        <v/>
      </c>
      <c r="K397" s="285" t="str">
        <f>IF(CD50_apply="Yes",IF((COUNTIF(D397:G397,"Y")=COUNTIF('02 - DD'!D397:G397,"Y")),"match","no DD match"),"-")</f>
        <v>match</v>
      </c>
      <c r="L397" s="1410" t="str">
        <f t="shared" si="19"/>
        <v/>
      </c>
      <c r="M397" s="1382"/>
      <c r="N397" s="1382"/>
      <c r="O397" s="1382"/>
      <c r="P397" s="1382"/>
      <c r="Q397" s="1490"/>
      <c r="R397" s="1274"/>
      <c r="S397" s="1274"/>
      <c r="T397" s="1382"/>
      <c r="U397" s="1382"/>
      <c r="V397" s="1382"/>
      <c r="W397" s="1382"/>
      <c r="X397" s="1382"/>
      <c r="Y397" s="1382"/>
      <c r="Z397" s="1382"/>
      <c r="AA397" s="1382"/>
      <c r="AB397" s="1382"/>
      <c r="AC397" s="1382"/>
      <c r="AD397" s="1382"/>
      <c r="AE397" s="1382"/>
      <c r="AF397" s="1382"/>
      <c r="AG397" s="1382"/>
      <c r="AH397" s="1382"/>
      <c r="AI397" s="1382"/>
      <c r="AJ397" s="1382"/>
      <c r="AW397" s="30"/>
    </row>
    <row r="398" spans="1:49" s="181" customFormat="1" hidden="1" x14ac:dyDescent="0.25">
      <c r="A398" s="1407" t="str">
        <f>IF(DD_apply="Yes",IF(COUNTIF('02 - DD'!D398:G398,"Y")&gt;0,"Y",IF(COUNTIF('02 - DD'!D398:G398,"N"),"N","")),"")</f>
        <v>N</v>
      </c>
      <c r="B398" s="177"/>
      <c r="C398" s="945"/>
      <c r="D398" s="411"/>
      <c r="E398" s="559" t="str">
        <f>IF('C-Design&amp;Const'!$M398="","",'C-Design&amp;Const'!$M398)</f>
        <v>N</v>
      </c>
      <c r="F398" s="458"/>
      <c r="G398" s="506"/>
      <c r="H398" s="454" t="str">
        <f>CONCATENATE(IF(F398="N","PLACEHOLDER ROW - ",""),'C-Design&amp;Const'!Z398,IF(F398="N","",J398))</f>
        <v>Design Concept(s) Considered and Design Concept(s) Selected w/ Construction Budget</v>
      </c>
      <c r="I398" s="193"/>
      <c r="J398" s="578" t="str">
        <f>IF('C-Design&amp;Const'!AG398="","",'C-Design&amp;Const'!AG398)</f>
        <v/>
      </c>
      <c r="K398" s="285" t="str">
        <f>IF(CD50_apply="Yes",IF((COUNTIF(D398:G398,"Y")=COUNTIF('02 - DD'!D398:G398,"Y")),"match","no DD match"),"-")</f>
        <v>match</v>
      </c>
      <c r="L398" s="1410" t="str">
        <f t="shared" si="19"/>
        <v/>
      </c>
      <c r="M398" s="1382"/>
      <c r="N398" s="1382"/>
      <c r="O398" s="1382"/>
      <c r="P398" s="1382"/>
      <c r="Q398" s="1490"/>
      <c r="R398" s="1274"/>
      <c r="S398" s="1274"/>
      <c r="T398" s="1382"/>
      <c r="U398" s="1382"/>
      <c r="V398" s="1382"/>
      <c r="W398" s="1382"/>
      <c r="X398" s="1382"/>
      <c r="Y398" s="1382"/>
      <c r="Z398" s="1382"/>
      <c r="AA398" s="1382"/>
      <c r="AB398" s="1382"/>
      <c r="AC398" s="1382"/>
      <c r="AD398" s="1382"/>
      <c r="AE398" s="1382"/>
      <c r="AF398" s="1382"/>
      <c r="AG398" s="1382"/>
      <c r="AH398" s="1382"/>
      <c r="AI398" s="1382"/>
      <c r="AJ398" s="1382"/>
      <c r="AW398" s="30"/>
    </row>
    <row r="399" spans="1:49" s="181" customFormat="1" hidden="1" x14ac:dyDescent="0.25">
      <c r="A399" s="1407" t="str">
        <f>IF(DD_apply="Yes",IF(COUNTIF('02 - DD'!D399:G399,"Y")&gt;0,"Y",IF(COUNTIF('02 - DD'!D399:G399,"N"),"N","")),"")</f>
        <v>N</v>
      </c>
      <c r="B399" s="177"/>
      <c r="C399" s="945"/>
      <c r="D399" s="411"/>
      <c r="E399" s="559" t="str">
        <f>IF('C-Design&amp;Const'!$M399="","",'C-Design&amp;Const'!$M399)</f>
        <v>N</v>
      </c>
      <c r="F399" s="458"/>
      <c r="G399" s="506"/>
      <c r="H399" s="454" t="str">
        <f>CONCATENATE(IF(F399="N","PLACEHOLDER ROW - ",""),'C-Design&amp;Const'!Z399,IF(F399="N","",J399))</f>
        <v>CUSTOM ROW - OPTIONAL CLIENT ITEM</v>
      </c>
      <c r="I399" s="193"/>
      <c r="J399" s="578" t="str">
        <f>IF('C-Design&amp;Const'!AG399="","",'C-Design&amp;Const'!AG399)</f>
        <v/>
      </c>
      <c r="K399" s="285" t="str">
        <f>IF(CD50_apply="Yes",IF((COUNTIF(D399:G399,"Y")=COUNTIF('02 - DD'!D399:G399,"Y")),"match","no DD match"),"-")</f>
        <v>match</v>
      </c>
      <c r="L399" s="1410" t="str">
        <f t="shared" si="19"/>
        <v/>
      </c>
      <c r="M399" s="1382"/>
      <c r="N399" s="1382"/>
      <c r="O399" s="1382"/>
      <c r="P399" s="1382"/>
      <c r="Q399" s="1490"/>
      <c r="R399" s="1274"/>
      <c r="S399" s="1274"/>
      <c r="T399" s="1382"/>
      <c r="U399" s="1382"/>
      <c r="V399" s="1382"/>
      <c r="W399" s="1382"/>
      <c r="X399" s="1382"/>
      <c r="Y399" s="1382"/>
      <c r="Z399" s="1382"/>
      <c r="AA399" s="1382"/>
      <c r="AB399" s="1382"/>
      <c r="AC399" s="1382"/>
      <c r="AD399" s="1382"/>
      <c r="AE399" s="1382"/>
      <c r="AF399" s="1382"/>
      <c r="AG399" s="1382"/>
      <c r="AH399" s="1382"/>
      <c r="AI399" s="1382"/>
      <c r="AJ399" s="1382"/>
      <c r="AW399" s="30"/>
    </row>
    <row r="400" spans="1:49" s="181" customFormat="1" hidden="1" x14ac:dyDescent="0.25">
      <c r="A400" s="1407" t="str">
        <f>IF(DD_apply="Yes",IF(COUNTIF('02 - DD'!D400:G400,"Y")&gt;0,"Y",IF(COUNTIF('02 - DD'!D400:G400,"N"),"N","")),"")</f>
        <v>N</v>
      </c>
      <c r="B400" s="177"/>
      <c r="C400" s="945"/>
      <c r="D400" s="411"/>
      <c r="E400" s="559" t="str">
        <f>IF('C-Design&amp;Const'!$M400="","",'C-Design&amp;Const'!$M400)</f>
        <v>N</v>
      </c>
      <c r="F400" s="458"/>
      <c r="G400" s="506"/>
      <c r="H400" s="454" t="str">
        <f>CONCATENATE(IF(F400="N","PLACEHOLDER ROW - ",""),'C-Design&amp;Const'!Z400,IF(F400="N","",J400))</f>
        <v>CUSTOM ROW - OPTIONAL CLIENT ITEM</v>
      </c>
      <c r="I400" s="193"/>
      <c r="J400" s="578" t="str">
        <f>IF('C-Design&amp;Const'!AG400="","",'C-Design&amp;Const'!AG400)</f>
        <v/>
      </c>
      <c r="K400" s="285" t="str">
        <f>IF(CD50_apply="Yes",IF((COUNTIF(D400:G400,"Y")=COUNTIF('02 - DD'!D400:G400,"Y")),"match","no DD match"),"-")</f>
        <v>match</v>
      </c>
      <c r="L400" s="1410" t="str">
        <f t="shared" si="19"/>
        <v/>
      </c>
      <c r="M400" s="1382"/>
      <c r="N400" s="1382"/>
      <c r="O400" s="1382"/>
      <c r="P400" s="1382"/>
      <c r="Q400" s="1490"/>
      <c r="R400" s="1274"/>
      <c r="S400" s="1274"/>
      <c r="T400" s="1382"/>
      <c r="U400" s="1382"/>
      <c r="V400" s="1382"/>
      <c r="W400" s="1382"/>
      <c r="X400" s="1382"/>
      <c r="Y400" s="1382"/>
      <c r="Z400" s="1382"/>
      <c r="AA400" s="1382"/>
      <c r="AB400" s="1382"/>
      <c r="AC400" s="1382"/>
      <c r="AD400" s="1382"/>
      <c r="AE400" s="1382"/>
      <c r="AF400" s="1382"/>
      <c r="AG400" s="1382"/>
      <c r="AH400" s="1382"/>
      <c r="AI400" s="1382"/>
      <c r="AJ400" s="1382"/>
      <c r="AW400" s="30"/>
    </row>
    <row r="401" spans="1:49" s="181" customFormat="1" hidden="1" x14ac:dyDescent="0.25">
      <c r="A401" s="1407" t="str">
        <f>IF(DD_apply="Yes",IF(COUNTIF('02 - DD'!D401:G401,"Y")&gt;0,"Y",IF(COUNTIF('02 - DD'!D401:G401,"N"),"N","")),"")</f>
        <v>N</v>
      </c>
      <c r="B401" s="177"/>
      <c r="C401" s="945"/>
      <c r="D401" s="411"/>
      <c r="E401" s="559" t="str">
        <f>IF('C-Design&amp;Const'!$M401="","",'C-Design&amp;Const'!$M401)</f>
        <v>N</v>
      </c>
      <c r="F401" s="458"/>
      <c r="G401" s="506"/>
      <c r="H401" s="454" t="str">
        <f>CONCATENATE(IF(F401="N","PLACEHOLDER ROW - ",""),'C-Design&amp;Const'!Z401,IF(F401="N","",J401))</f>
        <v>CUSTOM ROW - OPTIONAL CLIENT ITEM</v>
      </c>
      <c r="I401" s="193"/>
      <c r="J401" s="578" t="str">
        <f>IF('C-Design&amp;Const'!AG401="","",'C-Design&amp;Const'!AG401)</f>
        <v/>
      </c>
      <c r="K401" s="285" t="str">
        <f>IF(CD50_apply="Yes",IF((COUNTIF(D401:G401,"Y")=COUNTIF('02 - DD'!D401:G401,"Y")),"match","no DD match"),"-")</f>
        <v>match</v>
      </c>
      <c r="L401" s="1410" t="str">
        <f t="shared" si="19"/>
        <v/>
      </c>
      <c r="M401" s="1382"/>
      <c r="N401" s="1382"/>
      <c r="O401" s="1382"/>
      <c r="P401" s="1382"/>
      <c r="Q401" s="1490"/>
      <c r="R401" s="1274"/>
      <c r="S401" s="1274"/>
      <c r="T401" s="1382"/>
      <c r="U401" s="1382"/>
      <c r="V401" s="1382"/>
      <c r="W401" s="1382"/>
      <c r="X401" s="1382"/>
      <c r="Y401" s="1382"/>
      <c r="Z401" s="1382"/>
      <c r="AA401" s="1382"/>
      <c r="AB401" s="1382"/>
      <c r="AC401" s="1382"/>
      <c r="AD401" s="1382"/>
      <c r="AE401" s="1382"/>
      <c r="AF401" s="1382"/>
      <c r="AG401" s="1382"/>
      <c r="AH401" s="1382"/>
      <c r="AI401" s="1382"/>
      <c r="AJ401" s="1382"/>
      <c r="AW401" s="30"/>
    </row>
    <row r="402" spans="1:49" s="181" customFormat="1" hidden="1" x14ac:dyDescent="0.25">
      <c r="A402" s="1407" t="str">
        <f>IF(DD_apply="Yes",IF(COUNTIF('02 - DD'!D402:G402,"Y")&gt;0,"Y",IF(COUNTIF('02 - DD'!D402:G402,"N"),"N","")),"")</f>
        <v/>
      </c>
      <c r="B402" s="177"/>
      <c r="C402" s="945"/>
      <c r="D402" s="411"/>
      <c r="E402" s="559" t="str">
        <f>IF('C-Design&amp;Const'!$M402="","",'C-Design&amp;Const'!$M402)</f>
        <v/>
      </c>
      <c r="F402" s="458"/>
      <c r="G402" s="506"/>
      <c r="H402" s="454" t="str">
        <f>CONCATENATE(IF(F402="N","PLACEHOLDER ROW - ",""),'C-Design&amp;Const'!Z402,IF(F402="N","",J402))</f>
        <v>**  - For ARC, combine these items on to 1 or 2 total slides.</v>
      </c>
      <c r="I402" s="193"/>
      <c r="J402" s="578" t="str">
        <f>IF('C-Design&amp;Const'!AG402="","",'C-Design&amp;Const'!AG402)</f>
        <v/>
      </c>
      <c r="K402" s="285" t="str">
        <f>IF(CD50_apply="Yes",IF((COUNTIF(D402:G402,"Y")=COUNTIF('02 - DD'!D402:G402,"Y")),"match","no DD match"),"-")</f>
        <v>match</v>
      </c>
      <c r="L402" s="1410" t="str">
        <f t="shared" si="19"/>
        <v/>
      </c>
      <c r="M402" s="1382"/>
      <c r="N402" s="1382"/>
      <c r="O402" s="1382"/>
      <c r="P402" s="1382"/>
      <c r="Q402" s="1490"/>
      <c r="R402" s="1274"/>
      <c r="S402" s="1274"/>
      <c r="T402" s="1382"/>
      <c r="U402" s="1382"/>
      <c r="V402" s="1382"/>
      <c r="W402" s="1382"/>
      <c r="X402" s="1382"/>
      <c r="Y402" s="1382"/>
      <c r="Z402" s="1382"/>
      <c r="AA402" s="1382"/>
      <c r="AB402" s="1382"/>
      <c r="AC402" s="1382"/>
      <c r="AD402" s="1382"/>
      <c r="AE402" s="1382"/>
      <c r="AF402" s="1382"/>
      <c r="AG402" s="1382"/>
      <c r="AH402" s="1382"/>
      <c r="AI402" s="1382"/>
      <c r="AJ402" s="1382"/>
      <c r="AW402" s="30"/>
    </row>
    <row r="403" spans="1:49" s="181" customFormat="1" hidden="1" x14ac:dyDescent="0.25">
      <c r="A403" s="1407" t="str">
        <f>IF(DD_apply="Yes",IF(COUNTIF('02 - DD'!D403:G403,"Y")&gt;0,"Y",IF(COUNTIF('02 - DD'!D403:G403,"N"),"N","")),"")</f>
        <v>N</v>
      </c>
      <c r="B403" s="177"/>
      <c r="C403" s="945"/>
      <c r="D403" s="411"/>
      <c r="E403" s="559" t="str">
        <f>IF('C-Design&amp;Const'!$M403="","",'C-Design&amp;Const'!$M403)</f>
        <v>N</v>
      </c>
      <c r="F403" s="458"/>
      <c r="G403" s="506"/>
      <c r="H403" s="454" t="str">
        <f>CONCATENATE(IF(F403="N","PLACEHOLDER ROW - ",""),'C-Design&amp;Const'!Z403,IF(F403="N","",J403))</f>
        <v>Design Presentation - Chancellor's Design Advisory Committee (CDAC)</v>
      </c>
      <c r="I403" s="193"/>
      <c r="J403" s="578" t="str">
        <f>IF('C-Design&amp;Const'!AG403="","",'C-Design&amp;Const'!AG403)</f>
        <v/>
      </c>
      <c r="K403" s="285" t="str">
        <f>IF(CD50_apply="Yes",IF((COUNTIF(D403:G403,"Y")=COUNTIF('02 - DD'!D403:G403,"Y")),"match","no DD match"),"-")</f>
        <v>match</v>
      </c>
      <c r="L403" s="1410" t="str">
        <f t="shared" si="19"/>
        <v/>
      </c>
      <c r="M403" s="1382"/>
      <c r="N403" s="1382"/>
      <c r="O403" s="1382"/>
      <c r="P403" s="1382"/>
      <c r="Q403" s="1490"/>
      <c r="R403" s="1274"/>
      <c r="S403" s="1274"/>
      <c r="T403" s="1382"/>
      <c r="U403" s="1382"/>
      <c r="V403" s="1382"/>
      <c r="W403" s="1382"/>
      <c r="X403" s="1382"/>
      <c r="Y403" s="1382"/>
      <c r="Z403" s="1382"/>
      <c r="AA403" s="1382"/>
      <c r="AB403" s="1382"/>
      <c r="AC403" s="1382"/>
      <c r="AD403" s="1382"/>
      <c r="AE403" s="1382"/>
      <c r="AF403" s="1382"/>
      <c r="AG403" s="1382"/>
      <c r="AH403" s="1382"/>
      <c r="AI403" s="1382"/>
      <c r="AJ403" s="1382"/>
      <c r="AW403" s="30"/>
    </row>
    <row r="404" spans="1:49" s="181" customFormat="1" hidden="1" x14ac:dyDescent="0.25">
      <c r="A404" s="1407" t="str">
        <f>IF(DD_apply="Yes",IF(COUNTIF('02 - DD'!D404:G404,"Y")&gt;0,"Y",IF(COUNTIF('02 - DD'!D404:G404,"N"),"N","")),"")</f>
        <v>N</v>
      </c>
      <c r="B404" s="177"/>
      <c r="C404" s="945"/>
      <c r="D404" s="411"/>
      <c r="E404" s="559" t="str">
        <f>IF('C-Design&amp;Const'!$M404="","",'C-Design&amp;Const'!$M404)</f>
        <v>N</v>
      </c>
      <c r="F404" s="458"/>
      <c r="G404" s="506"/>
      <c r="H404" s="454" t="str">
        <f>CONCATENATE(IF(F404="N","PLACEHOLDER ROW - ",""),'C-Design&amp;Const'!Z404,IF(F404="N","",J404))</f>
        <v xml:space="preserve">Overall Campus Map next to zoomed in aerial image map </v>
      </c>
      <c r="I404" s="193"/>
      <c r="J404" s="578" t="str">
        <f>IF('C-Design&amp;Const'!AG404="","",'C-Design&amp;Const'!AG404)</f>
        <v/>
      </c>
      <c r="K404" s="285" t="str">
        <f>IF(CD50_apply="Yes",IF((COUNTIF(D404:G404,"Y")=COUNTIF('02 - DD'!D404:G404,"Y")),"match","no DD match"),"-")</f>
        <v>match</v>
      </c>
      <c r="L404" s="1410" t="str">
        <f t="shared" si="19"/>
        <v/>
      </c>
      <c r="M404" s="1382"/>
      <c r="N404" s="1382"/>
      <c r="O404" s="1382"/>
      <c r="P404" s="1382"/>
      <c r="Q404" s="1490"/>
      <c r="R404" s="1274"/>
      <c r="S404" s="1274"/>
      <c r="T404" s="1382"/>
      <c r="U404" s="1382"/>
      <c r="V404" s="1382"/>
      <c r="W404" s="1382"/>
      <c r="X404" s="1382"/>
      <c r="Y404" s="1382"/>
      <c r="Z404" s="1382"/>
      <c r="AA404" s="1382"/>
      <c r="AB404" s="1382"/>
      <c r="AC404" s="1382"/>
      <c r="AD404" s="1382"/>
      <c r="AE404" s="1382"/>
      <c r="AF404" s="1382"/>
      <c r="AG404" s="1382"/>
      <c r="AH404" s="1382"/>
      <c r="AI404" s="1382"/>
      <c r="AJ404" s="1382"/>
      <c r="AW404" s="30"/>
    </row>
    <row r="405" spans="1:49" s="181" customFormat="1" hidden="1" x14ac:dyDescent="0.25">
      <c r="A405" s="1407" t="str">
        <f>IF(DD_apply="Yes",IF(COUNTIF('02 - DD'!D405:G405,"Y")&gt;0,"Y",IF(COUNTIF('02 - DD'!D405:G405,"N"),"N","")),"")</f>
        <v>N</v>
      </c>
      <c r="B405" s="177"/>
      <c r="C405" s="945"/>
      <c r="D405" s="411"/>
      <c r="E405" s="559" t="str">
        <f>IF('C-Design&amp;Const'!$M405="","",'C-Design&amp;Const'!$M405)</f>
        <v>N</v>
      </c>
      <c r="F405" s="458"/>
      <c r="G405" s="506"/>
      <c r="H405" s="454" t="str">
        <f>CONCATENATE(IF(F405="N","PLACEHOLDER ROW - ",""),'C-Design&amp;Const'!Z405,IF(F405="N","",J405))</f>
        <v>Building Footprint on Master Plan</v>
      </c>
      <c r="I405" s="193"/>
      <c r="J405" s="578" t="str">
        <f>IF('C-Design&amp;Const'!AG405="","",'C-Design&amp;Const'!AG405)</f>
        <v/>
      </c>
      <c r="K405" s="285" t="str">
        <f>IF(CD50_apply="Yes",IF((COUNTIF(D405:G405,"Y")=COUNTIF('02 - DD'!D405:G405,"Y")),"match","no DD match"),"-")</f>
        <v>match</v>
      </c>
      <c r="L405" s="1410" t="str">
        <f t="shared" si="19"/>
        <v/>
      </c>
      <c r="M405" s="1382"/>
      <c r="N405" s="1382"/>
      <c r="O405" s="1382"/>
      <c r="P405" s="1382"/>
      <c r="Q405" s="1490"/>
      <c r="R405" s="1274"/>
      <c r="S405" s="1274"/>
      <c r="T405" s="1382"/>
      <c r="U405" s="1382"/>
      <c r="V405" s="1382"/>
      <c r="W405" s="1382"/>
      <c r="X405" s="1382"/>
      <c r="Y405" s="1382"/>
      <c r="Z405" s="1382"/>
      <c r="AA405" s="1382"/>
      <c r="AB405" s="1382"/>
      <c r="AC405" s="1382"/>
      <c r="AD405" s="1382"/>
      <c r="AE405" s="1382"/>
      <c r="AF405" s="1382"/>
      <c r="AG405" s="1382"/>
      <c r="AH405" s="1382"/>
      <c r="AI405" s="1382"/>
      <c r="AJ405" s="1382"/>
      <c r="AW405" s="30"/>
    </row>
    <row r="406" spans="1:49" s="181" customFormat="1" hidden="1" x14ac:dyDescent="0.25">
      <c r="A406" s="1407" t="str">
        <f>IF(DD_apply="Yes",IF(COUNTIF('02 - DD'!D406:G406,"Y")&gt;0,"Y",IF(COUNTIF('02 - DD'!D406:G406,"N"),"N","")),"")</f>
        <v>N</v>
      </c>
      <c r="B406" s="177"/>
      <c r="C406" s="945"/>
      <c r="D406" s="411"/>
      <c r="E406" s="559" t="str">
        <f>IF('C-Design&amp;Const'!$M406="","",'C-Design&amp;Const'!$M406)</f>
        <v>N</v>
      </c>
      <c r="F406" s="458"/>
      <c r="G406" s="506"/>
      <c r="H406" s="454" t="str">
        <f>CONCATENATE(IF(F406="N","PLACEHOLDER ROW - ",""),'C-Design&amp;Const'!Z406,IF(F406="N","",J406))</f>
        <v>**Bullet Points of Major Project Goals &amp; Objectives, New GSF, Renovated GSF, Demolished GSF</v>
      </c>
      <c r="I406" s="193"/>
      <c r="J406" s="578" t="str">
        <f>IF('C-Design&amp;Const'!AG406="","",'C-Design&amp;Const'!AG406)</f>
        <v/>
      </c>
      <c r="K406" s="285" t="str">
        <f>IF(CD50_apply="Yes",IF((COUNTIF(D406:G406,"Y")=COUNTIF('02 - DD'!D406:G406,"Y")),"match","no DD match"),"-")</f>
        <v>match</v>
      </c>
      <c r="L406" s="1410" t="str">
        <f t="shared" si="19"/>
        <v/>
      </c>
      <c r="M406" s="1382"/>
      <c r="N406" s="1382"/>
      <c r="O406" s="1382"/>
      <c r="P406" s="1382"/>
      <c r="Q406" s="1490"/>
      <c r="R406" s="1274"/>
      <c r="S406" s="1274"/>
      <c r="T406" s="1382"/>
      <c r="U406" s="1382"/>
      <c r="V406" s="1382"/>
      <c r="W406" s="1382"/>
      <c r="X406" s="1382"/>
      <c r="Y406" s="1382"/>
      <c r="Z406" s="1382"/>
      <c r="AA406" s="1382"/>
      <c r="AB406" s="1382"/>
      <c r="AC406" s="1382"/>
      <c r="AD406" s="1382"/>
      <c r="AE406" s="1382"/>
      <c r="AF406" s="1382"/>
      <c r="AG406" s="1382"/>
      <c r="AH406" s="1382"/>
      <c r="AI406" s="1382"/>
      <c r="AJ406" s="1382"/>
      <c r="AW406" s="30"/>
    </row>
    <row r="407" spans="1:49" s="181" customFormat="1" hidden="1" x14ac:dyDescent="0.25">
      <c r="A407" s="1407" t="str">
        <f>IF(DD_apply="Yes",IF(COUNTIF('02 - DD'!D407:G407,"Y")&gt;0,"Y",IF(COUNTIF('02 - DD'!D407:G407,"N"),"N","")),"")</f>
        <v>N</v>
      </c>
      <c r="B407" s="177"/>
      <c r="C407" s="945"/>
      <c r="D407" s="411"/>
      <c r="E407" s="559" t="str">
        <f>IF('C-Design&amp;Const'!$M407="","",'C-Design&amp;Const'!$M407)</f>
        <v>N</v>
      </c>
      <c r="F407" s="458"/>
      <c r="G407" s="506"/>
      <c r="H407" s="454" t="str">
        <f>CONCATENATE(IF(F407="N","PLACEHOLDER ROW - ",""),'C-Design&amp;Const'!Z407,IF(F407="N","",J407))</f>
        <v>**Overall Construction Budget, Construction Begin &amp; End</v>
      </c>
      <c r="I407" s="193"/>
      <c r="J407" s="578" t="str">
        <f>IF('C-Design&amp;Const'!AG407="","",'C-Design&amp;Const'!AG407)</f>
        <v/>
      </c>
      <c r="K407" s="285" t="str">
        <f>IF(CD50_apply="Yes",IF((COUNTIF(D407:G407,"Y")=COUNTIF('02 - DD'!D407:G407,"Y")),"match","no DD match"),"-")</f>
        <v>match</v>
      </c>
      <c r="L407" s="1410" t="str">
        <f t="shared" si="19"/>
        <v/>
      </c>
      <c r="M407" s="1382"/>
      <c r="N407" s="1382"/>
      <c r="O407" s="1382"/>
      <c r="P407" s="1382"/>
      <c r="Q407" s="1490"/>
      <c r="R407" s="1274"/>
      <c r="S407" s="1274"/>
      <c r="T407" s="1382"/>
      <c r="U407" s="1382"/>
      <c r="V407" s="1382"/>
      <c r="W407" s="1382"/>
      <c r="X407" s="1382"/>
      <c r="Y407" s="1382"/>
      <c r="Z407" s="1382"/>
      <c r="AA407" s="1382"/>
      <c r="AB407" s="1382"/>
      <c r="AC407" s="1382"/>
      <c r="AD407" s="1382"/>
      <c r="AE407" s="1382"/>
      <c r="AF407" s="1382"/>
      <c r="AG407" s="1382"/>
      <c r="AH407" s="1382"/>
      <c r="AI407" s="1382"/>
      <c r="AJ407" s="1382"/>
      <c r="AW407" s="30"/>
    </row>
    <row r="408" spans="1:49" s="181" customFormat="1" hidden="1" x14ac:dyDescent="0.25">
      <c r="A408" s="1407" t="str">
        <f>IF(DD_apply="Yes",IF(COUNTIF('02 - DD'!D408:G408,"Y")&gt;0,"Y",IF(COUNTIF('02 - DD'!D408:G408,"N"),"N","")),"")</f>
        <v>N</v>
      </c>
      <c r="B408" s="177"/>
      <c r="C408" s="945"/>
      <c r="D408" s="411"/>
      <c r="E408" s="559" t="str">
        <f>IF('C-Design&amp;Const'!$M408="","",'C-Design&amp;Const'!$M408)</f>
        <v>N</v>
      </c>
      <c r="F408" s="458"/>
      <c r="G408" s="506"/>
      <c r="H408" s="454" t="str">
        <f>CONCATENATE(IF(F408="N","PLACEHOLDER ROW - ",""),'C-Design&amp;Const'!Z408,IF(F408="N","",J408))</f>
        <v>**LEED Goal and highlights of LEED measures</v>
      </c>
      <c r="I408" s="193"/>
      <c r="J408" s="578" t="str">
        <f>IF('C-Design&amp;Const'!AG408="","",'C-Design&amp;Const'!AG408)</f>
        <v/>
      </c>
      <c r="K408" s="285" t="str">
        <f>IF(CD50_apply="Yes",IF((COUNTIF(D408:G408,"Y")=COUNTIF('02 - DD'!D408:G408,"Y")),"match","no DD match"),"-")</f>
        <v>match</v>
      </c>
      <c r="L408" s="1410" t="str">
        <f t="shared" si="19"/>
        <v/>
      </c>
      <c r="M408" s="1382"/>
      <c r="N408" s="1382"/>
      <c r="O408" s="1382"/>
      <c r="P408" s="1382"/>
      <c r="Q408" s="1490"/>
      <c r="R408" s="1274"/>
      <c r="S408" s="1274"/>
      <c r="T408" s="1382"/>
      <c r="U408" s="1382"/>
      <c r="V408" s="1382"/>
      <c r="W408" s="1382"/>
      <c r="X408" s="1382"/>
      <c r="Y408" s="1382"/>
      <c r="Z408" s="1382"/>
      <c r="AA408" s="1382"/>
      <c r="AB408" s="1382"/>
      <c r="AC408" s="1382"/>
      <c r="AD408" s="1382"/>
      <c r="AE408" s="1382"/>
      <c r="AF408" s="1382"/>
      <c r="AG408" s="1382"/>
      <c r="AH408" s="1382"/>
      <c r="AI408" s="1382"/>
      <c r="AJ408" s="1382"/>
      <c r="AW408" s="30"/>
    </row>
    <row r="409" spans="1:49" s="181" customFormat="1" hidden="1" x14ac:dyDescent="0.25">
      <c r="A409" s="1407" t="str">
        <f>IF(DD_apply="Yes",IF(COUNTIF('02 - DD'!D409:G409,"Y")&gt;0,"Y",IF(COUNTIF('02 - DD'!D409:G409,"N"),"N","")),"")</f>
        <v>N</v>
      </c>
      <c r="B409" s="177"/>
      <c r="C409" s="945"/>
      <c r="D409" s="411"/>
      <c r="E409" s="559" t="str">
        <f>IF('C-Design&amp;Const'!$M409="","",'C-Design&amp;Const'!$M409)</f>
        <v>N</v>
      </c>
      <c r="F409" s="458"/>
      <c r="G409" s="506"/>
      <c r="H409" s="454" t="str">
        <f>CONCATENATE(IF(F409="N","PLACEHOLDER ROW - ",""),'C-Design&amp;Const'!Z409,IF(F409="N","",J409))</f>
        <v>Proposed combined Site / Landscape Plan</v>
      </c>
      <c r="I409" s="193"/>
      <c r="J409" s="578" t="str">
        <f>IF('C-Design&amp;Const'!AG409="","",'C-Design&amp;Const'!AG409)</f>
        <v/>
      </c>
      <c r="K409" s="285" t="str">
        <f>IF(CD50_apply="Yes",IF((COUNTIF(D409:G409,"Y")=COUNTIF('02 - DD'!D409:G409,"Y")),"match","no DD match"),"-")</f>
        <v>match</v>
      </c>
      <c r="L409" s="1410" t="str">
        <f t="shared" si="19"/>
        <v/>
      </c>
      <c r="M409" s="1382"/>
      <c r="N409" s="1382"/>
      <c r="O409" s="1382"/>
      <c r="P409" s="1382"/>
      <c r="Q409" s="1490"/>
      <c r="R409" s="1274"/>
      <c r="S409" s="1274"/>
      <c r="T409" s="1382"/>
      <c r="U409" s="1382"/>
      <c r="V409" s="1382"/>
      <c r="W409" s="1382"/>
      <c r="X409" s="1382"/>
      <c r="Y409" s="1382"/>
      <c r="Z409" s="1382"/>
      <c r="AA409" s="1382"/>
      <c r="AB409" s="1382"/>
      <c r="AC409" s="1382"/>
      <c r="AD409" s="1382"/>
      <c r="AE409" s="1382"/>
      <c r="AF409" s="1382"/>
      <c r="AG409" s="1382"/>
      <c r="AH409" s="1382"/>
      <c r="AI409" s="1382"/>
      <c r="AJ409" s="1382"/>
      <c r="AW409" s="30"/>
    </row>
    <row r="410" spans="1:49" s="181" customFormat="1" hidden="1" x14ac:dyDescent="0.25">
      <c r="A410" s="1407" t="str">
        <f>IF(DD_apply="Yes",IF(COUNTIF('02 - DD'!D410:G410,"Y")&gt;0,"Y",IF(COUNTIF('02 - DD'!D410:G410,"N"),"N","")),"")</f>
        <v>N</v>
      </c>
      <c r="B410" s="177"/>
      <c r="C410" s="945"/>
      <c r="D410" s="411"/>
      <c r="E410" s="559" t="str">
        <f>IF('C-Design&amp;Const'!$M410="","",'C-Design&amp;Const'!$M410)</f>
        <v>N</v>
      </c>
      <c r="F410" s="458"/>
      <c r="G410" s="506"/>
      <c r="H410" s="454" t="str">
        <f>CONCATENATE(IF(F410="N","PLACEHOLDER ROW - ",""),'C-Design&amp;Const'!Z410,IF(F410="N","",J410))</f>
        <v xml:space="preserve">Massing or Renderings of </v>
      </c>
      <c r="I410" s="193"/>
      <c r="J410" s="578" t="str">
        <f>IF('C-Design&amp;Const'!AG413="","",'C-Design&amp;Const'!AG413)</f>
        <v/>
      </c>
      <c r="K410" s="285" t="str">
        <f>IF(CD50_apply="Yes",IF((COUNTIF(D410:G410,"Y")=COUNTIF('02 - DD'!D410:G410,"Y")),"match","no DD match"),"-")</f>
        <v>match</v>
      </c>
      <c r="L410" s="1410" t="str">
        <f t="shared" si="19"/>
        <v/>
      </c>
      <c r="M410" s="1382"/>
      <c r="N410" s="1382"/>
      <c r="O410" s="1382"/>
      <c r="P410" s="1382"/>
      <c r="Q410" s="1490"/>
      <c r="R410" s="1274"/>
      <c r="S410" s="1274"/>
      <c r="T410" s="1382"/>
      <c r="U410" s="1382"/>
      <c r="V410" s="1382"/>
      <c r="W410" s="1382"/>
      <c r="X410" s="1382"/>
      <c r="Y410" s="1382"/>
      <c r="Z410" s="1382"/>
      <c r="AA410" s="1382"/>
      <c r="AB410" s="1382"/>
      <c r="AC410" s="1382"/>
      <c r="AD410" s="1382"/>
      <c r="AE410" s="1382"/>
      <c r="AF410" s="1382"/>
      <c r="AG410" s="1382"/>
      <c r="AH410" s="1382"/>
      <c r="AI410" s="1382"/>
      <c r="AJ410" s="1382"/>
      <c r="AW410" s="30"/>
    </row>
    <row r="411" spans="1:49" s="181" customFormat="1" hidden="1" x14ac:dyDescent="0.25">
      <c r="A411" s="1407" t="str">
        <f>IF(DD_apply="Yes",IF(COUNTIF('02 - DD'!D411:G411,"Y")&gt;0,"Y",IF(COUNTIF('02 - DD'!D411:G411,"N"),"N","")),"")</f>
        <v>N</v>
      </c>
      <c r="B411" s="177"/>
      <c r="C411" s="945"/>
      <c r="D411" s="411"/>
      <c r="E411" s="559" t="str">
        <f>IF('C-Design&amp;Const'!$M411="","",'C-Design&amp;Const'!$M411)</f>
        <v>N</v>
      </c>
      <c r="F411" s="458"/>
      <c r="G411" s="506"/>
      <c r="H411" s="454" t="str">
        <f>CONCATENATE(IF(F411="N","PLACEHOLDER ROW - ",""),'C-Design&amp;Const'!Z411,IF(F411="N","",J411))</f>
        <v>All Exterior Elevations with materials identified</v>
      </c>
      <c r="I411" s="193"/>
      <c r="J411" s="578" t="str">
        <f>IF('C-Design&amp;Const'!AG410="","",'C-Design&amp;Const'!AG410)</f>
        <v/>
      </c>
      <c r="K411" s="285" t="str">
        <f>IF(CD50_apply="Yes",IF((COUNTIF(D411:G411,"Y")=COUNTIF('02 - DD'!D411:G411,"Y")),"match","no DD match"),"-")</f>
        <v>match</v>
      </c>
      <c r="L411" s="1410" t="str">
        <f t="shared" si="19"/>
        <v/>
      </c>
      <c r="M411" s="1382"/>
      <c r="N411" s="1382"/>
      <c r="O411" s="1382"/>
      <c r="P411" s="1382"/>
      <c r="Q411" s="1490"/>
      <c r="R411" s="1274"/>
      <c r="S411" s="1274"/>
      <c r="T411" s="1382"/>
      <c r="U411" s="1382"/>
      <c r="V411" s="1382"/>
      <c r="W411" s="1382"/>
      <c r="X411" s="1382"/>
      <c r="Y411" s="1382"/>
      <c r="Z411" s="1382"/>
      <c r="AA411" s="1382"/>
      <c r="AB411" s="1382"/>
      <c r="AC411" s="1382"/>
      <c r="AD411" s="1382"/>
      <c r="AE411" s="1382"/>
      <c r="AF411" s="1382"/>
      <c r="AG411" s="1382"/>
      <c r="AH411" s="1382"/>
      <c r="AI411" s="1382"/>
      <c r="AJ411" s="1382"/>
      <c r="AW411" s="30"/>
    </row>
    <row r="412" spans="1:49" s="181" customFormat="1" ht="28.5" hidden="1" x14ac:dyDescent="0.25">
      <c r="A412" s="1407" t="str">
        <f>IF(DD_apply="Yes",IF(COUNTIF('02 - DD'!D412:G412,"Y")&gt;0,"Y",IF(COUNTIF('02 - DD'!D412:G412,"N"),"N","")),"")</f>
        <v>N</v>
      </c>
      <c r="B412" s="177"/>
      <c r="C412" s="945"/>
      <c r="D412" s="411"/>
      <c r="E412" s="559" t="str">
        <f>IF('C-Design&amp;Const'!$M412="","",'C-Design&amp;Const'!$M412)</f>
        <v>N</v>
      </c>
      <c r="F412" s="458"/>
      <c r="G412" s="506"/>
      <c r="H412" s="454" t="str">
        <f>CONCATENATE(IF(F412="N","PLACEHOLDER ROW - ",""),'C-Design&amp;Const'!Z412,IF(F412="N","",J412))</f>
        <v>All major public spaces (entrances, galleries, auditoriums, lecture halls, etc…) with materials identified</v>
      </c>
      <c r="I412" s="193"/>
      <c r="J412" s="578" t="str">
        <f>IF('C-Design&amp;Const'!AG411="","",'C-Design&amp;Const'!AG411)</f>
        <v/>
      </c>
      <c r="K412" s="285" t="str">
        <f>IF(CD50_apply="Yes",IF((COUNTIF(D412:G412,"Y")=COUNTIF('02 - DD'!D412:G412,"Y")),"match","no DD match"),"-")</f>
        <v>match</v>
      </c>
      <c r="L412" s="1410" t="str">
        <f t="shared" ref="L412:L455" si="21">CONCATENATE(IF(ISNUMBER(SEARCH("Placeholder",H412))=TRUE,"&lt;---PM/Planner may hide PLACEHOLDER ROW",""))</f>
        <v/>
      </c>
      <c r="M412" s="1382"/>
      <c r="N412" s="1382"/>
      <c r="O412" s="1382"/>
      <c r="P412" s="1382"/>
      <c r="Q412" s="1490"/>
      <c r="R412" s="1274"/>
      <c r="S412" s="1274"/>
      <c r="T412" s="1382"/>
      <c r="U412" s="1382"/>
      <c r="V412" s="1382"/>
      <c r="W412" s="1382"/>
      <c r="X412" s="1382"/>
      <c r="Y412" s="1382"/>
      <c r="Z412" s="1382"/>
      <c r="AA412" s="1382"/>
      <c r="AB412" s="1382"/>
      <c r="AC412" s="1382"/>
      <c r="AD412" s="1382"/>
      <c r="AE412" s="1382"/>
      <c r="AF412" s="1382"/>
      <c r="AG412" s="1382"/>
      <c r="AH412" s="1382"/>
      <c r="AI412" s="1382"/>
      <c r="AJ412" s="1382"/>
      <c r="AW412" s="30"/>
    </row>
    <row r="413" spans="1:49" s="181" customFormat="1" hidden="1" x14ac:dyDescent="0.25">
      <c r="A413" s="1407" t="str">
        <f>IF(DD_apply="Yes",IF(COUNTIF('02 - DD'!D413:G413,"Y")&gt;0,"Y",IF(COUNTIF('02 - DD'!D413:G413,"N"),"N","")),"")</f>
        <v>N</v>
      </c>
      <c r="B413" s="177"/>
      <c r="C413" s="945"/>
      <c r="D413" s="411"/>
      <c r="E413" s="559" t="str">
        <f>IF('C-Design&amp;Const'!$M413="","",'C-Design&amp;Const'!$M413)</f>
        <v>N</v>
      </c>
      <c r="F413" s="458"/>
      <c r="G413" s="506"/>
      <c r="H413" s="454" t="str">
        <f>CONCATENATE(IF(F413="N","PLACEHOLDER ROW - ",""),'C-Design&amp;Const'!Z413,IF(F413="N","",J413))</f>
        <v>Stacked Floor Plans with space types show by color (include key)</v>
      </c>
      <c r="I413" s="193"/>
      <c r="J413" s="578" t="str">
        <f>IF('C-Design&amp;Const'!AG412="","",'C-Design&amp;Const'!AG412)</f>
        <v/>
      </c>
      <c r="K413" s="285" t="str">
        <f>IF(CD50_apply="Yes",IF((COUNTIF(D413:G413,"Y")=COUNTIF('02 - DD'!D413:G413,"Y")),"match","no DD match"),"-")</f>
        <v>match</v>
      </c>
      <c r="L413" s="1410" t="str">
        <f t="shared" si="21"/>
        <v/>
      </c>
      <c r="M413" s="1382"/>
      <c r="N413" s="1382"/>
      <c r="O413" s="1382"/>
      <c r="P413" s="1382"/>
      <c r="Q413" s="1490"/>
      <c r="R413" s="1274"/>
      <c r="S413" s="1274"/>
      <c r="T413" s="1382"/>
      <c r="U413" s="1382"/>
      <c r="V413" s="1382"/>
      <c r="W413" s="1382"/>
      <c r="X413" s="1382"/>
      <c r="Y413" s="1382"/>
      <c r="Z413" s="1382"/>
      <c r="AA413" s="1382"/>
      <c r="AB413" s="1382"/>
      <c r="AC413" s="1382"/>
      <c r="AD413" s="1382"/>
      <c r="AE413" s="1382"/>
      <c r="AF413" s="1382"/>
      <c r="AG413" s="1382"/>
      <c r="AH413" s="1382"/>
      <c r="AI413" s="1382"/>
      <c r="AJ413" s="1382"/>
      <c r="AW413" s="30"/>
    </row>
    <row r="414" spans="1:49" s="181" customFormat="1" hidden="1" x14ac:dyDescent="0.25">
      <c r="A414" s="1407" t="str">
        <f>IF(DD_apply="Yes",IF(COUNTIF('02 - DD'!D414:G414,"Y")&gt;0,"Y",IF(COUNTIF('02 - DD'!D414:G414,"N"),"N","")),"")</f>
        <v>N</v>
      </c>
      <c r="B414" s="177"/>
      <c r="C414" s="945"/>
      <c r="D414" s="411"/>
      <c r="E414" s="559" t="str">
        <f>IF('C-Design&amp;Const'!$M414="","",'C-Design&amp;Const'!$M414)</f>
        <v>N</v>
      </c>
      <c r="F414" s="458"/>
      <c r="G414" s="506"/>
      <c r="H414" s="454" t="str">
        <f>CONCATENATE(IF(F414="N","PLACEHOLDER ROW - ",""),'C-Design&amp;Const'!Z414,IF(F414="N","",J414))</f>
        <v>Simple full building sections showing relative spaces and framing from floor to floor.</v>
      </c>
      <c r="I414" s="193"/>
      <c r="J414" s="578" t="str">
        <f>IF('C-Design&amp;Const'!AG414="","",'C-Design&amp;Const'!AG414)</f>
        <v/>
      </c>
      <c r="K414" s="285" t="str">
        <f>IF(CD50_apply="Yes",IF((COUNTIF(D414:G414,"Y")=COUNTIF('02 - DD'!D414:G414,"Y")),"match","no DD match"),"-")</f>
        <v>match</v>
      </c>
      <c r="L414" s="1410" t="str">
        <f t="shared" si="21"/>
        <v/>
      </c>
      <c r="M414" s="1382"/>
      <c r="N414" s="1382"/>
      <c r="O414" s="1382"/>
      <c r="P414" s="1382"/>
      <c r="Q414" s="1490"/>
      <c r="R414" s="1274"/>
      <c r="S414" s="1274"/>
      <c r="T414" s="1382"/>
      <c r="U414" s="1382"/>
      <c r="V414" s="1382"/>
      <c r="W414" s="1382"/>
      <c r="X414" s="1382"/>
      <c r="Y414" s="1382"/>
      <c r="Z414" s="1382"/>
      <c r="AA414" s="1382"/>
      <c r="AB414" s="1382"/>
      <c r="AC414" s="1382"/>
      <c r="AD414" s="1382"/>
      <c r="AE414" s="1382"/>
      <c r="AF414" s="1382"/>
      <c r="AG414" s="1382"/>
      <c r="AH414" s="1382"/>
      <c r="AI414" s="1382"/>
      <c r="AJ414" s="1382"/>
      <c r="AW414" s="30"/>
    </row>
    <row r="415" spans="1:49" s="181" customFormat="1" hidden="1" x14ac:dyDescent="0.25">
      <c r="A415" s="1407" t="str">
        <f>IF(DD_apply="Yes",IF(COUNTIF('02 - DD'!D415:G415,"Y")&gt;0,"Y",IF(COUNTIF('02 - DD'!D415:G415,"N"),"N","")),"")</f>
        <v>N</v>
      </c>
      <c r="B415" s="177"/>
      <c r="C415" s="945"/>
      <c r="D415" s="411"/>
      <c r="E415" s="559" t="str">
        <f>IF('C-Design&amp;Const'!$M415="","",'C-Design&amp;Const'!$M415)</f>
        <v>N</v>
      </c>
      <c r="F415" s="458"/>
      <c r="G415" s="506"/>
      <c r="H415" s="454" t="str">
        <f>CONCATENATE(IF(F415="N","PLACEHOLDER ROW - ",""),'C-Design&amp;Const'!Z415,IF(F415="N","",J415))</f>
        <v>General Air Handling Unit Fan Maps</v>
      </c>
      <c r="I415" s="193"/>
      <c r="J415" s="578" t="str">
        <f>IF('C-Design&amp;Const'!AG415="","",'C-Design&amp;Const'!AG415)</f>
        <v/>
      </c>
      <c r="K415" s="285" t="str">
        <f>IF(CD50_apply="Yes",IF((COUNTIF(D415:G415,"Y")=COUNTIF('02 - DD'!D415:G415,"Y")),"match","no DD match"),"-")</f>
        <v>match</v>
      </c>
      <c r="L415" s="1410" t="str">
        <f t="shared" si="21"/>
        <v/>
      </c>
      <c r="M415" s="1382"/>
      <c r="N415" s="1382"/>
      <c r="O415" s="1382"/>
      <c r="P415" s="1382"/>
      <c r="Q415" s="1490"/>
      <c r="R415" s="1274"/>
      <c r="S415" s="1274"/>
      <c r="T415" s="1382"/>
      <c r="U415" s="1382"/>
      <c r="V415" s="1382"/>
      <c r="W415" s="1382"/>
      <c r="X415" s="1382"/>
      <c r="Y415" s="1382"/>
      <c r="Z415" s="1382"/>
      <c r="AA415" s="1382"/>
      <c r="AB415" s="1382"/>
      <c r="AC415" s="1382"/>
      <c r="AD415" s="1382"/>
      <c r="AE415" s="1382"/>
      <c r="AF415" s="1382"/>
      <c r="AG415" s="1382"/>
      <c r="AH415" s="1382"/>
      <c r="AI415" s="1382"/>
      <c r="AJ415" s="1382"/>
      <c r="AW415" s="30"/>
    </row>
    <row r="416" spans="1:49" s="181" customFormat="1" hidden="1" x14ac:dyDescent="0.25">
      <c r="A416" s="1407" t="str">
        <f>IF(DD_apply="Yes",IF(COUNTIF('02 - DD'!D416:G416,"Y")&gt;0,"Y",IF(COUNTIF('02 - DD'!D416:G416,"N"),"N","")),"")</f>
        <v>N</v>
      </c>
      <c r="B416" s="177"/>
      <c r="C416" s="945"/>
      <c r="D416" s="411"/>
      <c r="E416" s="559" t="str">
        <f>IF('C-Design&amp;Const'!$M416="","",'C-Design&amp;Const'!$M416)</f>
        <v>N</v>
      </c>
      <c r="F416" s="458"/>
      <c r="G416" s="506"/>
      <c r="H416" s="454" t="str">
        <f>CONCATENATE(IF(F416="N","PLACEHOLDER ROW - ",""),'C-Design&amp;Const'!Z416,IF(F416="N","",J416))</f>
        <v>Incorporated Comments from ARC</v>
      </c>
      <c r="I416" s="193"/>
      <c r="J416" s="578" t="str">
        <f>IF('C-Design&amp;Const'!AG416="","",'C-Design&amp;Const'!AG416)</f>
        <v/>
      </c>
      <c r="K416" s="285" t="str">
        <f>IF(CD50_apply="Yes",IF((COUNTIF(D416:G416,"Y")=COUNTIF('02 - DD'!D416:G416,"Y")),"match","no DD match"),"-")</f>
        <v>match</v>
      </c>
      <c r="L416" s="1410" t="str">
        <f t="shared" si="21"/>
        <v/>
      </c>
      <c r="M416" s="1382"/>
      <c r="N416" s="1382"/>
      <c r="O416" s="1382"/>
      <c r="P416" s="1382"/>
      <c r="Q416" s="1490"/>
      <c r="R416" s="1274"/>
      <c r="S416" s="1274"/>
      <c r="T416" s="1382"/>
      <c r="U416" s="1382"/>
      <c r="V416" s="1382"/>
      <c r="W416" s="1382"/>
      <c r="X416" s="1382"/>
      <c r="Y416" s="1382"/>
      <c r="Z416" s="1382"/>
      <c r="AA416" s="1382"/>
      <c r="AB416" s="1382"/>
      <c r="AC416" s="1382"/>
      <c r="AD416" s="1382"/>
      <c r="AE416" s="1382"/>
      <c r="AF416" s="1382"/>
      <c r="AG416" s="1382"/>
      <c r="AH416" s="1382"/>
      <c r="AI416" s="1382"/>
      <c r="AJ416" s="1382"/>
      <c r="AW416" s="30"/>
    </row>
    <row r="417" spans="1:49" s="181" customFormat="1" hidden="1" x14ac:dyDescent="0.25">
      <c r="A417" s="1407" t="str">
        <f>IF(DD_apply="Yes",IF(COUNTIF('02 - DD'!D417:G417,"Y")&gt;0,"Y",IF(COUNTIF('02 - DD'!D417:G417,"N"),"N","")),"")</f>
        <v>N</v>
      </c>
      <c r="B417" s="177"/>
      <c r="C417" s="945"/>
      <c r="D417" s="411"/>
      <c r="E417" s="559" t="str">
        <f>IF('C-Design&amp;Const'!$M417="","",'C-Design&amp;Const'!$M417)</f>
        <v>N</v>
      </c>
      <c r="F417" s="458"/>
      <c r="G417" s="506"/>
      <c r="H417" s="454" t="str">
        <f>CONCATENATE(IF(F417="N","PLACEHOLDER ROW - ",""),'C-Design&amp;Const'!Z417,IF(F417="N","",J417))</f>
        <v>CUSTOM ROW - OPTIONAL CLIENT ITEM</v>
      </c>
      <c r="I417" s="193"/>
      <c r="J417" s="578" t="str">
        <f>IF('C-Design&amp;Const'!AG417="","",'C-Design&amp;Const'!AG417)</f>
        <v/>
      </c>
      <c r="K417" s="285" t="str">
        <f>IF(CD50_apply="Yes",IF((COUNTIF(D417:G417,"Y")=COUNTIF('02 - DD'!D417:G417,"Y")),"match","no DD match"),"-")</f>
        <v>match</v>
      </c>
      <c r="L417" s="1410" t="str">
        <f t="shared" si="21"/>
        <v/>
      </c>
      <c r="M417" s="1382"/>
      <c r="N417" s="1382"/>
      <c r="O417" s="1382"/>
      <c r="P417" s="1382"/>
      <c r="Q417" s="1490"/>
      <c r="R417" s="1274"/>
      <c r="S417" s="1274"/>
      <c r="T417" s="1382"/>
      <c r="U417" s="1382"/>
      <c r="V417" s="1382"/>
      <c r="W417" s="1382"/>
      <c r="X417" s="1382"/>
      <c r="Y417" s="1382"/>
      <c r="Z417" s="1382"/>
      <c r="AA417" s="1382"/>
      <c r="AB417" s="1382"/>
      <c r="AC417" s="1382"/>
      <c r="AD417" s="1382"/>
      <c r="AE417" s="1382"/>
      <c r="AF417" s="1382"/>
      <c r="AG417" s="1382"/>
      <c r="AH417" s="1382"/>
      <c r="AI417" s="1382"/>
      <c r="AJ417" s="1382"/>
      <c r="AW417" s="30"/>
    </row>
    <row r="418" spans="1:49" s="181" customFormat="1" hidden="1" x14ac:dyDescent="0.25">
      <c r="A418" s="1407" t="str">
        <f>IF(DD_apply="Yes",IF(COUNTIF('02 - DD'!D418:G418,"Y")&gt;0,"Y",IF(COUNTIF('02 - DD'!D418:G418,"N"),"N","")),"")</f>
        <v>N</v>
      </c>
      <c r="B418" s="177"/>
      <c r="C418" s="945"/>
      <c r="D418" s="411"/>
      <c r="E418" s="559" t="str">
        <f>IF('C-Design&amp;Const'!$M418="","",'C-Design&amp;Const'!$M418)</f>
        <v>N</v>
      </c>
      <c r="F418" s="458"/>
      <c r="G418" s="506"/>
      <c r="H418" s="454" t="str">
        <f>CONCATENATE(IF(F418="N","PLACEHOLDER ROW - ",""),'C-Design&amp;Const'!Z418,IF(F418="N","",J418))</f>
        <v>CUSTOM ROW - OPTIONAL CLIENT ITEM</v>
      </c>
      <c r="I418" s="193"/>
      <c r="J418" s="578" t="str">
        <f>IF('C-Design&amp;Const'!AG418="","",'C-Design&amp;Const'!AG418)</f>
        <v/>
      </c>
      <c r="K418" s="285" t="str">
        <f>IF(CD50_apply="Yes",IF((COUNTIF(D418:G418,"Y")=COUNTIF('02 - DD'!D418:G418,"Y")),"match","no DD match"),"-")</f>
        <v>match</v>
      </c>
      <c r="L418" s="1410" t="str">
        <f t="shared" si="21"/>
        <v/>
      </c>
      <c r="M418" s="1382"/>
      <c r="N418" s="1382"/>
      <c r="O418" s="1382"/>
      <c r="P418" s="1382"/>
      <c r="Q418" s="1490"/>
      <c r="R418" s="1274"/>
      <c r="S418" s="1274"/>
      <c r="T418" s="1382"/>
      <c r="U418" s="1382"/>
      <c r="V418" s="1382"/>
      <c r="W418" s="1382"/>
      <c r="X418" s="1382"/>
      <c r="Y418" s="1382"/>
      <c r="Z418" s="1382"/>
      <c r="AA418" s="1382"/>
      <c r="AB418" s="1382"/>
      <c r="AC418" s="1382"/>
      <c r="AD418" s="1382"/>
      <c r="AE418" s="1382"/>
      <c r="AF418" s="1382"/>
      <c r="AG418" s="1382"/>
      <c r="AH418" s="1382"/>
      <c r="AI418" s="1382"/>
      <c r="AJ418" s="1382"/>
      <c r="AW418" s="30"/>
    </row>
    <row r="419" spans="1:49" s="181" customFormat="1" hidden="1" x14ac:dyDescent="0.25">
      <c r="A419" s="1407" t="str">
        <f>IF(DD_apply="Yes",IF(COUNTIF('02 - DD'!D419:G419,"Y")&gt;0,"Y",IF(COUNTIF('02 - DD'!D419:G419,"N"),"N","")),"")</f>
        <v>N</v>
      </c>
      <c r="B419" s="177"/>
      <c r="C419" s="945"/>
      <c r="D419" s="411"/>
      <c r="E419" s="559" t="str">
        <f>IF('C-Design&amp;Const'!$M419="","",'C-Design&amp;Const'!$M419)</f>
        <v>N</v>
      </c>
      <c r="F419" s="458"/>
      <c r="G419" s="506"/>
      <c r="H419" s="454" t="str">
        <f>CONCATENATE(IF(F419="N","PLACEHOLDER ROW - ",""),'C-Design&amp;Const'!Z419,IF(F419="N","",J419))</f>
        <v>CUSTOM ROW - OPTIONAL CLIENT ITEM</v>
      </c>
      <c r="I419" s="193"/>
      <c r="J419" s="578" t="str">
        <f>IF('C-Design&amp;Const'!AG419="","",'C-Design&amp;Const'!AG419)</f>
        <v/>
      </c>
      <c r="K419" s="285" t="str">
        <f>IF(CD50_apply="Yes",IF((COUNTIF(D419:G419,"Y")=COUNTIF('02 - DD'!D419:G419,"Y")),"match","no DD match"),"-")</f>
        <v>match</v>
      </c>
      <c r="L419" s="1410" t="str">
        <f t="shared" si="21"/>
        <v/>
      </c>
      <c r="M419" s="1382"/>
      <c r="N419" s="1382"/>
      <c r="O419" s="1382"/>
      <c r="P419" s="1382"/>
      <c r="Q419" s="1490"/>
      <c r="R419" s="1274"/>
      <c r="S419" s="1274"/>
      <c r="T419" s="1382"/>
      <c r="U419" s="1382"/>
      <c r="V419" s="1382"/>
      <c r="W419" s="1382"/>
      <c r="X419" s="1382"/>
      <c r="Y419" s="1382"/>
      <c r="Z419" s="1382"/>
      <c r="AA419" s="1382"/>
      <c r="AB419" s="1382"/>
      <c r="AC419" s="1382"/>
      <c r="AD419" s="1382"/>
      <c r="AE419" s="1382"/>
      <c r="AF419" s="1382"/>
      <c r="AG419" s="1382"/>
      <c r="AH419" s="1382"/>
      <c r="AI419" s="1382"/>
      <c r="AJ419" s="1382"/>
      <c r="AW419" s="30"/>
    </row>
    <row r="420" spans="1:49" s="181" customFormat="1" hidden="1" x14ac:dyDescent="0.25">
      <c r="A420" s="1407" t="str">
        <f>IF(DD_apply="Yes",IF(COUNTIF('02 - DD'!D420:G420,"Y")&gt;0,"Y",IF(COUNTIF('02 - DD'!D420:G420,"N"),"N","")),"")</f>
        <v>N</v>
      </c>
      <c r="B420" s="177"/>
      <c r="C420" s="945"/>
      <c r="D420" s="411"/>
      <c r="E420" s="559" t="str">
        <f>IF('C-Design&amp;Const'!$M420="","",'C-Design&amp;Const'!$M420)</f>
        <v>N</v>
      </c>
      <c r="F420" s="458"/>
      <c r="G420" s="506"/>
      <c r="H420" s="454" t="str">
        <f>CONCATENATE(IF(F420="N","PLACEHOLDER ROW - ",""),'C-Design&amp;Const'!Z420,IF(F420="N","",J420))</f>
        <v>CUSTOM ROW - OPTIONAL CLIENT ITEM</v>
      </c>
      <c r="I420" s="193"/>
      <c r="J420" s="578" t="str">
        <f>IF('C-Design&amp;Const'!AG420="","",'C-Design&amp;Const'!AG420)</f>
        <v/>
      </c>
      <c r="K420" s="285" t="str">
        <f>IF(CD50_apply="Yes",IF((COUNTIF(D420:G420,"Y")=COUNTIF('02 - DD'!D420:G420,"Y")),"match","no DD match"),"-")</f>
        <v>match</v>
      </c>
      <c r="L420" s="1410" t="str">
        <f t="shared" si="21"/>
        <v/>
      </c>
      <c r="M420" s="1382"/>
      <c r="N420" s="1382"/>
      <c r="O420" s="1382"/>
      <c r="P420" s="1382"/>
      <c r="Q420" s="1490"/>
      <c r="R420" s="1274"/>
      <c r="S420" s="1274"/>
      <c r="T420" s="1382"/>
      <c r="U420" s="1382"/>
      <c r="V420" s="1382"/>
      <c r="W420" s="1382"/>
      <c r="X420" s="1382"/>
      <c r="Y420" s="1382"/>
      <c r="Z420" s="1382"/>
      <c r="AA420" s="1382"/>
      <c r="AB420" s="1382"/>
      <c r="AC420" s="1382"/>
      <c r="AD420" s="1382"/>
      <c r="AE420" s="1382"/>
      <c r="AF420" s="1382"/>
      <c r="AG420" s="1382"/>
      <c r="AH420" s="1382"/>
      <c r="AI420" s="1382"/>
      <c r="AJ420" s="1382"/>
      <c r="AW420" s="30"/>
    </row>
    <row r="421" spans="1:49" s="181" customFormat="1" hidden="1" x14ac:dyDescent="0.25">
      <c r="A421" s="1407" t="str">
        <f>IF(DD_apply="Yes",IF(COUNTIF('02 - DD'!D421:G421,"Y")&gt;0,"Y",IF(COUNTIF('02 - DD'!D421:G421,"N"),"N","")),"")</f>
        <v/>
      </c>
      <c r="B421" s="177"/>
      <c r="C421" s="945"/>
      <c r="D421" s="411"/>
      <c r="E421" s="559" t="str">
        <f>IF('C-Design&amp;Const'!$M421="","",'C-Design&amp;Const'!$M421)</f>
        <v/>
      </c>
      <c r="F421" s="458"/>
      <c r="G421" s="506"/>
      <c r="H421" s="454" t="str">
        <f>CONCATENATE(IF(F421="N","PLACEHOLDER ROW - ",""),'C-Design&amp;Const'!Z421,IF(F421="N","",J421))</f>
        <v>**  - For CDAC, combine these items on to 1 or 2 total slides.</v>
      </c>
      <c r="I421" s="193"/>
      <c r="J421" s="578" t="str">
        <f>IF('C-Design&amp;Const'!AG421="","",'C-Design&amp;Const'!AG421)</f>
        <v/>
      </c>
      <c r="K421" s="285" t="str">
        <f>IF(CD50_apply="Yes",IF((COUNTIF(D421:G421,"Y")=COUNTIF('02 - DD'!D421:G421,"Y")),"match","no DD match"),"-")</f>
        <v>match</v>
      </c>
      <c r="L421" s="1410" t="str">
        <f t="shared" si="21"/>
        <v/>
      </c>
      <c r="M421" s="1382"/>
      <c r="N421" s="1382"/>
      <c r="O421" s="1382"/>
      <c r="P421" s="1382"/>
      <c r="Q421" s="1490"/>
      <c r="R421" s="1274"/>
      <c r="S421" s="1274"/>
      <c r="T421" s="1382"/>
      <c r="U421" s="1382"/>
      <c r="V421" s="1382"/>
      <c r="W421" s="1382"/>
      <c r="X421" s="1382"/>
      <c r="Y421" s="1382"/>
      <c r="Z421" s="1382"/>
      <c r="AA421" s="1382"/>
      <c r="AB421" s="1382"/>
      <c r="AC421" s="1382"/>
      <c r="AD421" s="1382"/>
      <c r="AE421" s="1382"/>
      <c r="AF421" s="1382"/>
      <c r="AG421" s="1382"/>
      <c r="AH421" s="1382"/>
      <c r="AI421" s="1382"/>
      <c r="AJ421" s="1382"/>
      <c r="AW421" s="30"/>
    </row>
    <row r="422" spans="1:49" s="181" customFormat="1" hidden="1" x14ac:dyDescent="0.25">
      <c r="A422" s="1407" t="str">
        <f>IF(DD_apply="Yes",IF(COUNTIF('02 - DD'!D422:G422,"Y")&gt;0,"Y",IF(COUNTIF('02 - DD'!D422:G422,"N"),"N","")),"")</f>
        <v>N</v>
      </c>
      <c r="B422" s="177"/>
      <c r="C422" s="945"/>
      <c r="D422" s="411"/>
      <c r="E422" s="559" t="str">
        <f>IF('C-Design&amp;Const'!$M422="","",'C-Design&amp;Const'!$M422)</f>
        <v>N</v>
      </c>
      <c r="F422" s="458"/>
      <c r="G422" s="506"/>
      <c r="H422" s="454" t="str">
        <f>CONCATENATE(IF(F422="N","PLACEHOLDER ROW - ",""),'C-Design&amp;Const'!Z422,IF(F422="N","",J422))</f>
        <v>Design Presentation - President and Chancellor</v>
      </c>
      <c r="I422" s="193"/>
      <c r="J422" s="578" t="str">
        <f>IF('C-Design&amp;Const'!AG422="","",'C-Design&amp;Const'!AG422)</f>
        <v/>
      </c>
      <c r="K422" s="285" t="str">
        <f>IF(CD50_apply="Yes",IF((COUNTIF(D422:G422,"Y")=COUNTIF('02 - DD'!D422:G422,"Y")),"match","no DD match"),"-")</f>
        <v>match</v>
      </c>
      <c r="L422" s="1410" t="str">
        <f t="shared" si="21"/>
        <v/>
      </c>
      <c r="M422" s="1382"/>
      <c r="N422" s="1382"/>
      <c r="O422" s="1382"/>
      <c r="P422" s="1382"/>
      <c r="Q422" s="1490"/>
      <c r="R422" s="1274"/>
      <c r="S422" s="1274"/>
      <c r="T422" s="1382"/>
      <c r="U422" s="1382"/>
      <c r="V422" s="1382"/>
      <c r="W422" s="1382"/>
      <c r="X422" s="1382"/>
      <c r="Y422" s="1382"/>
      <c r="Z422" s="1382"/>
      <c r="AA422" s="1382"/>
      <c r="AB422" s="1382"/>
      <c r="AC422" s="1382"/>
      <c r="AD422" s="1382"/>
      <c r="AE422" s="1382"/>
      <c r="AF422" s="1382"/>
      <c r="AG422" s="1382"/>
      <c r="AH422" s="1382"/>
      <c r="AI422" s="1382"/>
      <c r="AJ422" s="1382"/>
      <c r="AW422" s="30"/>
    </row>
    <row r="423" spans="1:49" s="181" customFormat="1" hidden="1" x14ac:dyDescent="0.25">
      <c r="A423" s="1407" t="str">
        <f>IF(DD_apply="Yes",IF(COUNTIF('02 - DD'!D423:G423,"Y")&gt;0,"Y",IF(COUNTIF('02 - DD'!D423:G423,"N"),"N","")),"")</f>
        <v/>
      </c>
      <c r="B423" s="177"/>
      <c r="C423" s="945"/>
      <c r="D423" s="411"/>
      <c r="E423" s="559" t="str">
        <f>IF('C-Design&amp;Const'!$M423="","",'C-Design&amp;Const'!$M423)</f>
        <v/>
      </c>
      <c r="F423" s="458"/>
      <c r="G423" s="506"/>
      <c r="H423" s="454" t="str">
        <f>CONCATENATE(IF(F423="N","PLACEHOLDER ROW - ",""),'C-Design&amp;Const'!Z423,IF(F423="N","",J423))</f>
        <v>Brochures for Board of Trustees</v>
      </c>
      <c r="I423" s="193"/>
      <c r="J423" s="578" t="str">
        <f>IF('C-Design&amp;Const'!AG423="","",'C-Design&amp;Const'!AG423)</f>
        <v/>
      </c>
      <c r="K423" s="285" t="str">
        <f>IF(CD50_apply="Yes",IF((COUNTIF(D423:G423,"Y")=COUNTIF('02 - DD'!D423:G423,"Y")),"match","no DD match"),"-")</f>
        <v>match</v>
      </c>
      <c r="L423" s="1410" t="str">
        <f t="shared" si="21"/>
        <v/>
      </c>
      <c r="M423" s="1382"/>
      <c r="N423" s="1382"/>
      <c r="O423" s="1382"/>
      <c r="P423" s="1382"/>
      <c r="Q423" s="1490"/>
      <c r="R423" s="1274"/>
      <c r="S423" s="1274"/>
      <c r="T423" s="1382"/>
      <c r="U423" s="1382"/>
      <c r="V423" s="1382"/>
      <c r="W423" s="1382"/>
      <c r="X423" s="1382"/>
      <c r="Y423" s="1382"/>
      <c r="Z423" s="1382"/>
      <c r="AA423" s="1382"/>
      <c r="AB423" s="1382"/>
      <c r="AC423" s="1382"/>
      <c r="AD423" s="1382"/>
      <c r="AE423" s="1382"/>
      <c r="AF423" s="1382"/>
      <c r="AG423" s="1382"/>
      <c r="AH423" s="1382"/>
      <c r="AI423" s="1382"/>
      <c r="AJ423" s="1382"/>
      <c r="AW423" s="30"/>
    </row>
    <row r="424" spans="1:49" s="181" customFormat="1" hidden="1" x14ac:dyDescent="0.25">
      <c r="A424" s="1407" t="str">
        <f>IF(DD_apply="Yes",IF(COUNTIF('02 - DD'!D424:G424,"Y")&gt;0,"Y",IF(COUNTIF('02 - DD'!D424:G424,"N"),"N","")),"")</f>
        <v/>
      </c>
      <c r="B424" s="177"/>
      <c r="C424" s="945"/>
      <c r="D424" s="411"/>
      <c r="E424" s="559" t="str">
        <f>IF('C-Design&amp;Const'!$M424="","",'C-Design&amp;Const'!$M424)</f>
        <v/>
      </c>
      <c r="F424" s="458"/>
      <c r="G424" s="506"/>
      <c r="H424" s="454" t="str">
        <f>CONCATENATE(IF(F424="N","PLACEHOLDER ROW - ",""),'C-Design&amp;Const'!Z424,IF(F424="N","",J424))</f>
        <v>Design Presentation - Board of Trustees - Audit, Budget, Finance, &amp; Facilities Committee</v>
      </c>
      <c r="I424" s="193"/>
      <c r="J424" s="578" t="str">
        <f>IF('C-Design&amp;Const'!AG424="","",'C-Design&amp;Const'!AG424)</f>
        <v/>
      </c>
      <c r="K424" s="285" t="str">
        <f>IF(CD50_apply="Yes",IF((COUNTIF(D424:G424,"Y")=COUNTIF('02 - DD'!D424:G424,"Y")),"match","no DD match"),"-")</f>
        <v>match</v>
      </c>
      <c r="L424" s="1410" t="str">
        <f t="shared" si="21"/>
        <v/>
      </c>
      <c r="M424" s="1382"/>
      <c r="N424" s="1382"/>
      <c r="O424" s="1382"/>
      <c r="P424" s="1382"/>
      <c r="Q424" s="1490"/>
      <c r="R424" s="1274"/>
      <c r="S424" s="1274"/>
      <c r="T424" s="1382"/>
      <c r="U424" s="1382"/>
      <c r="V424" s="1382"/>
      <c r="W424" s="1382"/>
      <c r="X424" s="1382"/>
      <c r="Y424" s="1382"/>
      <c r="Z424" s="1382"/>
      <c r="AA424" s="1382"/>
      <c r="AB424" s="1382"/>
      <c r="AC424" s="1382"/>
      <c r="AD424" s="1382"/>
      <c r="AE424" s="1382"/>
      <c r="AF424" s="1382"/>
      <c r="AG424" s="1382"/>
      <c r="AH424" s="1382"/>
      <c r="AI424" s="1382"/>
      <c r="AJ424" s="1382"/>
      <c r="AW424" s="30"/>
    </row>
    <row r="425" spans="1:49" s="181" customFormat="1" hidden="1" x14ac:dyDescent="0.25">
      <c r="A425" s="1407" t="str">
        <f>IF(DD_apply="Yes",IF(COUNTIF('02 - DD'!D425:G425,"Y")&gt;0,"Y",IF(COUNTIF('02 - DD'!D425:G425,"N"),"N","")),"")</f>
        <v>N</v>
      </c>
      <c r="B425" s="177"/>
      <c r="C425" s="945"/>
      <c r="D425" s="411"/>
      <c r="E425" s="559" t="str">
        <f>IF('C-Design&amp;Const'!$M425="","",'C-Design&amp;Const'!$M425)</f>
        <v>N</v>
      </c>
      <c r="F425" s="458"/>
      <c r="G425" s="506"/>
      <c r="H425" s="454" t="str">
        <f>CONCATENATE(IF(F425="N","PLACEHOLDER ROW - ",""),'C-Design&amp;Const'!Z425,IF(F425="N","",J425))</f>
        <v xml:space="preserve">Overall Campus Map next to zoomed in aerial image map </v>
      </c>
      <c r="I425" s="193"/>
      <c r="J425" s="578" t="str">
        <f>IF('C-Design&amp;Const'!AG425="","",'C-Design&amp;Const'!AG425)</f>
        <v/>
      </c>
      <c r="K425" s="285" t="str">
        <f>IF(CD50_apply="Yes",IF((COUNTIF(D425:G425,"Y")=COUNTIF('02 - DD'!D425:G425,"Y")),"match","no DD match"),"-")</f>
        <v>match</v>
      </c>
      <c r="L425" s="1410" t="str">
        <f t="shared" si="21"/>
        <v/>
      </c>
      <c r="M425" s="1382"/>
      <c r="N425" s="1382"/>
      <c r="O425" s="1382"/>
      <c r="P425" s="1382"/>
      <c r="Q425" s="1490"/>
      <c r="R425" s="1274"/>
      <c r="S425" s="1274"/>
      <c r="T425" s="1382"/>
      <c r="U425" s="1382"/>
      <c r="V425" s="1382"/>
      <c r="W425" s="1382"/>
      <c r="X425" s="1382"/>
      <c r="Y425" s="1382"/>
      <c r="Z425" s="1382"/>
      <c r="AA425" s="1382"/>
      <c r="AB425" s="1382"/>
      <c r="AC425" s="1382"/>
      <c r="AD425" s="1382"/>
      <c r="AE425" s="1382"/>
      <c r="AF425" s="1382"/>
      <c r="AG425" s="1382"/>
      <c r="AH425" s="1382"/>
      <c r="AI425" s="1382"/>
      <c r="AJ425" s="1382"/>
      <c r="AW425" s="30"/>
    </row>
    <row r="426" spans="1:49" s="181" customFormat="1" hidden="1" x14ac:dyDescent="0.25">
      <c r="A426" s="1407" t="str">
        <f>IF(DD_apply="Yes",IF(COUNTIF('02 - DD'!D426:G426,"Y")&gt;0,"Y",IF(COUNTIF('02 - DD'!D426:G426,"N"),"N","")),"")</f>
        <v>N</v>
      </c>
      <c r="B426" s="177"/>
      <c r="C426" s="945"/>
      <c r="D426" s="411"/>
      <c r="E426" s="559" t="str">
        <f>IF('C-Design&amp;Const'!$M426="","",'C-Design&amp;Const'!$M426)</f>
        <v>N</v>
      </c>
      <c r="F426" s="458"/>
      <c r="G426" s="506"/>
      <c r="H426" s="454" t="str">
        <f>CONCATENATE(IF(F426="N","PLACEHOLDER ROW - ",""),'C-Design&amp;Const'!Z426,IF(F426="N","",J426))</f>
        <v>Building Footprint on Master Plan</v>
      </c>
      <c r="I426" s="193"/>
      <c r="J426" s="578" t="str">
        <f>IF('C-Design&amp;Const'!AG426="","",'C-Design&amp;Const'!AG426)</f>
        <v/>
      </c>
      <c r="K426" s="285" t="str">
        <f>IF(CD50_apply="Yes",IF((COUNTIF(D426:G426,"Y")=COUNTIF('02 - DD'!D426:G426,"Y")),"match","no DD match"),"-")</f>
        <v>match</v>
      </c>
      <c r="L426" s="1410" t="str">
        <f t="shared" si="21"/>
        <v/>
      </c>
      <c r="M426" s="1382"/>
      <c r="N426" s="1382"/>
      <c r="O426" s="1382"/>
      <c r="P426" s="1382"/>
      <c r="Q426" s="1490"/>
      <c r="R426" s="1274"/>
      <c r="S426" s="1274"/>
      <c r="T426" s="1382"/>
      <c r="U426" s="1382"/>
      <c r="V426" s="1382"/>
      <c r="W426" s="1382"/>
      <c r="X426" s="1382"/>
      <c r="Y426" s="1382"/>
      <c r="Z426" s="1382"/>
      <c r="AA426" s="1382"/>
      <c r="AB426" s="1382"/>
      <c r="AC426" s="1382"/>
      <c r="AD426" s="1382"/>
      <c r="AE426" s="1382"/>
      <c r="AF426" s="1382"/>
      <c r="AG426" s="1382"/>
      <c r="AH426" s="1382"/>
      <c r="AI426" s="1382"/>
      <c r="AJ426" s="1382"/>
      <c r="AW426" s="30"/>
    </row>
    <row r="427" spans="1:49" s="181" customFormat="1" hidden="1" x14ac:dyDescent="0.25">
      <c r="A427" s="1407" t="str">
        <f>IF(DD_apply="Yes",IF(COUNTIF('02 - DD'!D427:G427,"Y")&gt;0,"Y",IF(COUNTIF('02 - DD'!D427:G427,"N"),"N","")),"")</f>
        <v>N</v>
      </c>
      <c r="B427" s="177"/>
      <c r="C427" s="945"/>
      <c r="D427" s="411"/>
      <c r="E427" s="559" t="str">
        <f>IF('C-Design&amp;Const'!$M427="","",'C-Design&amp;Const'!$M427)</f>
        <v>N</v>
      </c>
      <c r="F427" s="458"/>
      <c r="G427" s="506"/>
      <c r="H427" s="454" t="str">
        <f>CONCATENATE(IF(F427="N","PLACEHOLDER ROW - ",""),'C-Design&amp;Const'!Z427,IF(F427="N","",J427))</f>
        <v>**Bullet Points of Major Project Goals &amp; Objectives, New GSF, Renovated GSF, Demolished GSF</v>
      </c>
      <c r="I427" s="193"/>
      <c r="J427" s="578" t="str">
        <f>IF('C-Design&amp;Const'!AG427="","",'C-Design&amp;Const'!AG427)</f>
        <v/>
      </c>
      <c r="K427" s="285" t="str">
        <f>IF(CD50_apply="Yes",IF((COUNTIF(D427:G427,"Y")=COUNTIF('02 - DD'!D427:G427,"Y")),"match","no DD match"),"-")</f>
        <v>match</v>
      </c>
      <c r="L427" s="1410" t="str">
        <f t="shared" si="21"/>
        <v/>
      </c>
      <c r="M427" s="1382"/>
      <c r="N427" s="1382"/>
      <c r="O427" s="1382"/>
      <c r="P427" s="1382"/>
      <c r="Q427" s="1490"/>
      <c r="R427" s="1274"/>
      <c r="S427" s="1274"/>
      <c r="T427" s="1382"/>
      <c r="U427" s="1382"/>
      <c r="V427" s="1382"/>
      <c r="W427" s="1382"/>
      <c r="X427" s="1382"/>
      <c r="Y427" s="1382"/>
      <c r="Z427" s="1382"/>
      <c r="AA427" s="1382"/>
      <c r="AB427" s="1382"/>
      <c r="AC427" s="1382"/>
      <c r="AD427" s="1382"/>
      <c r="AE427" s="1382"/>
      <c r="AF427" s="1382"/>
      <c r="AG427" s="1382"/>
      <c r="AH427" s="1382"/>
      <c r="AI427" s="1382"/>
      <c r="AJ427" s="1382"/>
      <c r="AW427" s="30"/>
    </row>
    <row r="428" spans="1:49" s="181" customFormat="1" hidden="1" x14ac:dyDescent="0.25">
      <c r="A428" s="1407" t="str">
        <f>IF(DD_apply="Yes",IF(COUNTIF('02 - DD'!D428:G428,"Y")&gt;0,"Y",IF(COUNTIF('02 - DD'!D428:G428,"N"),"N","")),"")</f>
        <v>N</v>
      </c>
      <c r="B428" s="177"/>
      <c r="C428" s="945"/>
      <c r="D428" s="411"/>
      <c r="E428" s="559" t="str">
        <f>IF('C-Design&amp;Const'!$M428="","",'C-Design&amp;Const'!$M428)</f>
        <v>N</v>
      </c>
      <c r="F428" s="458"/>
      <c r="G428" s="506"/>
      <c r="H428" s="454" t="str">
        <f>CONCATENATE(IF(F428="N","PLACEHOLDER ROW - ",""),'C-Design&amp;Const'!Z428,IF(F428="N","",J428))</f>
        <v>**Overall Construction Budget, Construction Begin &amp; End</v>
      </c>
      <c r="I428" s="193"/>
      <c r="J428" s="578" t="str">
        <f>IF('C-Design&amp;Const'!AG428="","",'C-Design&amp;Const'!AG428)</f>
        <v/>
      </c>
      <c r="K428" s="285" t="str">
        <f>IF(CD50_apply="Yes",IF((COUNTIF(D428:G428,"Y")=COUNTIF('02 - DD'!D428:G428,"Y")),"match","no DD match"),"-")</f>
        <v>match</v>
      </c>
      <c r="L428" s="1410" t="str">
        <f t="shared" si="21"/>
        <v/>
      </c>
      <c r="M428" s="1382"/>
      <c r="N428" s="1382"/>
      <c r="O428" s="1382"/>
      <c r="P428" s="1382"/>
      <c r="Q428" s="1490"/>
      <c r="R428" s="1274"/>
      <c r="S428" s="1274"/>
      <c r="T428" s="1382"/>
      <c r="U428" s="1382"/>
      <c r="V428" s="1382"/>
      <c r="W428" s="1382"/>
      <c r="X428" s="1382"/>
      <c r="Y428" s="1382"/>
      <c r="Z428" s="1382"/>
      <c r="AA428" s="1382"/>
      <c r="AB428" s="1382"/>
      <c r="AC428" s="1382"/>
      <c r="AD428" s="1382"/>
      <c r="AE428" s="1382"/>
      <c r="AF428" s="1382"/>
      <c r="AG428" s="1382"/>
      <c r="AH428" s="1382"/>
      <c r="AI428" s="1382"/>
      <c r="AJ428" s="1382"/>
      <c r="AW428" s="30"/>
    </row>
    <row r="429" spans="1:49" s="181" customFormat="1" hidden="1" x14ac:dyDescent="0.25">
      <c r="A429" s="1407" t="str">
        <f>IF(DD_apply="Yes",IF(COUNTIF('02 - DD'!D429:G429,"Y")&gt;0,"Y",IF(COUNTIF('02 - DD'!D429:G429,"N"),"N","")),"")</f>
        <v>N</v>
      </c>
      <c r="B429" s="177"/>
      <c r="C429" s="945"/>
      <c r="D429" s="411"/>
      <c r="E429" s="559" t="str">
        <f>IF('C-Design&amp;Const'!$M429="","",'C-Design&amp;Const'!$M429)</f>
        <v>N</v>
      </c>
      <c r="F429" s="458"/>
      <c r="G429" s="506"/>
      <c r="H429" s="454" t="str">
        <f>CONCATENATE(IF(F429="N","PLACEHOLDER ROW - ",""),'C-Design&amp;Const'!Z429,IF(F429="N","",J429))</f>
        <v>**LEED Goal and highlights of LEED measures</v>
      </c>
      <c r="I429" s="193"/>
      <c r="J429" s="578" t="str">
        <f>IF('C-Design&amp;Const'!AG429="","",'C-Design&amp;Const'!AG429)</f>
        <v/>
      </c>
      <c r="K429" s="285" t="str">
        <f>IF(CD50_apply="Yes",IF((COUNTIF(D429:G429,"Y")=COUNTIF('02 - DD'!D429:G429,"Y")),"match","no DD match"),"-")</f>
        <v>match</v>
      </c>
      <c r="L429" s="1410" t="str">
        <f t="shared" si="21"/>
        <v/>
      </c>
      <c r="M429" s="1382"/>
      <c r="N429" s="1382"/>
      <c r="O429" s="1382"/>
      <c r="P429" s="1382"/>
      <c r="Q429" s="1490"/>
      <c r="R429" s="1274"/>
      <c r="S429" s="1274"/>
      <c r="T429" s="1382"/>
      <c r="U429" s="1382"/>
      <c r="V429" s="1382"/>
      <c r="W429" s="1382"/>
      <c r="X429" s="1382"/>
      <c r="Y429" s="1382"/>
      <c r="Z429" s="1382"/>
      <c r="AA429" s="1382"/>
      <c r="AB429" s="1382"/>
      <c r="AC429" s="1382"/>
      <c r="AD429" s="1382"/>
      <c r="AE429" s="1382"/>
      <c r="AF429" s="1382"/>
      <c r="AG429" s="1382"/>
      <c r="AH429" s="1382"/>
      <c r="AI429" s="1382"/>
      <c r="AJ429" s="1382"/>
      <c r="AW429" s="30"/>
    </row>
    <row r="430" spans="1:49" s="181" customFormat="1" hidden="1" x14ac:dyDescent="0.25">
      <c r="A430" s="1407" t="str">
        <f>IF(DD_apply="Yes",IF(COUNTIF('02 - DD'!D430:G430,"Y")&gt;0,"Y",IF(COUNTIF('02 - DD'!D430:G430,"N"),"N","")),"")</f>
        <v>N</v>
      </c>
      <c r="B430" s="177"/>
      <c r="C430" s="945"/>
      <c r="D430" s="411"/>
      <c r="E430" s="559" t="str">
        <f>IF('C-Design&amp;Const'!$M430="","",'C-Design&amp;Const'!$M430)</f>
        <v>N</v>
      </c>
      <c r="F430" s="458"/>
      <c r="G430" s="506"/>
      <c r="H430" s="454" t="str">
        <f>CONCATENATE(IF(F430="N","PLACEHOLDER ROW - ",""),'C-Design&amp;Const'!Z430,IF(F430="N","",J430))</f>
        <v>Proposed combined Site / Landscape Plan</v>
      </c>
      <c r="I430" s="193"/>
      <c r="J430" s="578" t="str">
        <f>IF('C-Design&amp;Const'!AG430="","",'C-Design&amp;Const'!AG430)</f>
        <v/>
      </c>
      <c r="K430" s="285" t="str">
        <f>IF(CD50_apply="Yes",IF((COUNTIF(D430:G430,"Y")=COUNTIF('02 - DD'!D430:G430,"Y")),"match","no DD match"),"-")</f>
        <v>match</v>
      </c>
      <c r="L430" s="1410" t="str">
        <f t="shared" si="21"/>
        <v/>
      </c>
      <c r="M430" s="1382"/>
      <c r="N430" s="1382"/>
      <c r="O430" s="1382"/>
      <c r="P430" s="1382"/>
      <c r="Q430" s="1490"/>
      <c r="R430" s="1274"/>
      <c r="S430" s="1274"/>
      <c r="T430" s="1382"/>
      <c r="U430" s="1382"/>
      <c r="V430" s="1382"/>
      <c r="W430" s="1382"/>
      <c r="X430" s="1382"/>
      <c r="Y430" s="1382"/>
      <c r="Z430" s="1382"/>
      <c r="AA430" s="1382"/>
      <c r="AB430" s="1382"/>
      <c r="AC430" s="1382"/>
      <c r="AD430" s="1382"/>
      <c r="AE430" s="1382"/>
      <c r="AF430" s="1382"/>
      <c r="AG430" s="1382"/>
      <c r="AH430" s="1382"/>
      <c r="AI430" s="1382"/>
      <c r="AJ430" s="1382"/>
      <c r="AW430" s="30"/>
    </row>
    <row r="431" spans="1:49" s="181" customFormat="1" hidden="1" x14ac:dyDescent="0.25">
      <c r="A431" s="1407" t="str">
        <f>IF(DD_apply="Yes",IF(COUNTIF('02 - DD'!D434:G434,"Y")&gt;0,"Y",IF(COUNTIF('02 - DD'!D434:G434,"N"),"N","")),"")</f>
        <v>N</v>
      </c>
      <c r="B431" s="177"/>
      <c r="C431" s="945"/>
      <c r="D431" s="411"/>
      <c r="E431" s="559" t="str">
        <f>IF('C-Design&amp;Const'!$M431="","",'C-Design&amp;Const'!$M431)</f>
        <v>N</v>
      </c>
      <c r="F431" s="458"/>
      <c r="G431" s="506"/>
      <c r="H431" s="454" t="str">
        <f>CONCATENATE(IF(F431="N","PLACEHOLDER ROW - ",""),'C-Design&amp;Const'!Z431,IF(F431="N","",J431))</f>
        <v xml:space="preserve">Massing or Renderings of </v>
      </c>
      <c r="I431" s="193"/>
      <c r="J431" s="578" t="str">
        <f>IF('C-Design&amp;Const'!AG434="","",'C-Design&amp;Const'!AG434)</f>
        <v/>
      </c>
      <c r="K431" s="285" t="str">
        <f>IF(CD50_apply="Yes",IF((COUNTIF(D431:G431,"Y")=COUNTIF('02 - DD'!D434:G434,"Y")),"match","no DD match"),"-")</f>
        <v>match</v>
      </c>
      <c r="L431" s="1410" t="str">
        <f t="shared" si="21"/>
        <v/>
      </c>
      <c r="M431" s="1382"/>
      <c r="N431" s="1382"/>
      <c r="O431" s="1382"/>
      <c r="P431" s="1382"/>
      <c r="Q431" s="1490"/>
      <c r="R431" s="1274"/>
      <c r="S431" s="1274"/>
      <c r="T431" s="1382"/>
      <c r="U431" s="1382"/>
      <c r="V431" s="1382"/>
      <c r="W431" s="1382"/>
      <c r="X431" s="1382"/>
      <c r="Y431" s="1382"/>
      <c r="Z431" s="1382"/>
      <c r="AA431" s="1382"/>
      <c r="AB431" s="1382"/>
      <c r="AC431" s="1382"/>
      <c r="AD431" s="1382"/>
      <c r="AE431" s="1382"/>
      <c r="AF431" s="1382"/>
      <c r="AG431" s="1382"/>
      <c r="AH431" s="1382"/>
      <c r="AI431" s="1382"/>
      <c r="AJ431" s="1382"/>
      <c r="AW431" s="30"/>
    </row>
    <row r="432" spans="1:49" s="181" customFormat="1" hidden="1" x14ac:dyDescent="0.25">
      <c r="A432" s="1407" t="str">
        <f>IF(DD_apply="Yes",IF(COUNTIF('02 - DD'!D431:G431,"Y")&gt;0,"Y",IF(COUNTIF('02 - DD'!D431:G431,"N"),"N","")),"")</f>
        <v>N</v>
      </c>
      <c r="B432" s="177"/>
      <c r="C432" s="945"/>
      <c r="D432" s="411"/>
      <c r="E432" s="559" t="str">
        <f>IF('C-Design&amp;Const'!$M432="","",'C-Design&amp;Const'!$M432)</f>
        <v>N</v>
      </c>
      <c r="F432" s="458"/>
      <c r="G432" s="506"/>
      <c r="H432" s="454" t="str">
        <f>CONCATENATE(IF(F432="N","PLACEHOLDER ROW - ",""),'C-Design&amp;Const'!Z432,IF(F432="N","",J432))</f>
        <v>All Exterior Elevations with materials identified</v>
      </c>
      <c r="I432" s="193"/>
      <c r="J432" s="578" t="str">
        <f>IF('C-Design&amp;Const'!AG431="","",'C-Design&amp;Const'!AG431)</f>
        <v/>
      </c>
      <c r="K432" s="285" t="str">
        <f>IF(CD50_apply="Yes",IF((COUNTIF(D432:G432,"Y")=COUNTIF('02 - DD'!D431:G431,"Y")),"match","no DD match"),"-")</f>
        <v>match</v>
      </c>
      <c r="L432" s="1410" t="str">
        <f t="shared" si="21"/>
        <v/>
      </c>
      <c r="M432" s="1382"/>
      <c r="N432" s="1382"/>
      <c r="O432" s="1382"/>
      <c r="P432" s="1382"/>
      <c r="Q432" s="1490"/>
      <c r="R432" s="1274"/>
      <c r="S432" s="1274"/>
      <c r="T432" s="1382"/>
      <c r="U432" s="1382"/>
      <c r="V432" s="1382"/>
      <c r="W432" s="1382"/>
      <c r="X432" s="1382"/>
      <c r="Y432" s="1382"/>
      <c r="Z432" s="1382"/>
      <c r="AA432" s="1382"/>
      <c r="AB432" s="1382"/>
      <c r="AC432" s="1382"/>
      <c r="AD432" s="1382"/>
      <c r="AE432" s="1382"/>
      <c r="AF432" s="1382"/>
      <c r="AG432" s="1382"/>
      <c r="AH432" s="1382"/>
      <c r="AI432" s="1382"/>
      <c r="AJ432" s="1382"/>
      <c r="AW432" s="30"/>
    </row>
    <row r="433" spans="1:49" s="181" customFormat="1" ht="28.5" hidden="1" x14ac:dyDescent="0.25">
      <c r="A433" s="1407" t="str">
        <f>IF(DD_apply="Yes",IF(COUNTIF('02 - DD'!D432:G432,"Y")&gt;0,"Y",IF(COUNTIF('02 - DD'!D432:G432,"N"),"N","")),"")</f>
        <v>N</v>
      </c>
      <c r="B433" s="177"/>
      <c r="C433" s="945"/>
      <c r="D433" s="411"/>
      <c r="E433" s="559" t="str">
        <f>IF('C-Design&amp;Const'!$M433="","",'C-Design&amp;Const'!$M433)</f>
        <v>N</v>
      </c>
      <c r="F433" s="458"/>
      <c r="G433" s="506"/>
      <c r="H433" s="454" t="str">
        <f>CONCATENATE(IF(F433="N","PLACEHOLDER ROW - ",""),'C-Design&amp;Const'!Z433,IF(F433="N","",J433))</f>
        <v>All major public spaces (entrances, galleries, auditoriums, lecture halls, etc…) with materials identified</v>
      </c>
      <c r="I433" s="193"/>
      <c r="J433" s="578" t="str">
        <f>IF('C-Design&amp;Const'!AG432="","",'C-Design&amp;Const'!AG432)</f>
        <v/>
      </c>
      <c r="K433" s="285" t="str">
        <f>IF(CD50_apply="Yes",IF((COUNTIF(D433:G433,"Y")=COUNTIF('02 - DD'!D432:G432,"Y")),"match","no DD match"),"-")</f>
        <v>match</v>
      </c>
      <c r="L433" s="1410" t="str">
        <f t="shared" si="21"/>
        <v/>
      </c>
      <c r="M433" s="1382"/>
      <c r="N433" s="1382"/>
      <c r="O433" s="1382"/>
      <c r="P433" s="1382"/>
      <c r="Q433" s="1490"/>
      <c r="R433" s="1274"/>
      <c r="S433" s="1274"/>
      <c r="T433" s="1382"/>
      <c r="U433" s="1382"/>
      <c r="V433" s="1382"/>
      <c r="W433" s="1382"/>
      <c r="X433" s="1382"/>
      <c r="Y433" s="1382"/>
      <c r="Z433" s="1382"/>
      <c r="AA433" s="1382"/>
      <c r="AB433" s="1382"/>
      <c r="AC433" s="1382"/>
      <c r="AD433" s="1382"/>
      <c r="AE433" s="1382"/>
      <c r="AF433" s="1382"/>
      <c r="AG433" s="1382"/>
      <c r="AH433" s="1382"/>
      <c r="AI433" s="1382"/>
      <c r="AJ433" s="1382"/>
      <c r="AW433" s="30"/>
    </row>
    <row r="434" spans="1:49" s="181" customFormat="1" hidden="1" x14ac:dyDescent="0.25">
      <c r="A434" s="1407" t="str">
        <f>IF(DD_apply="Yes",IF(COUNTIF('02 - DD'!D433:G433,"Y")&gt;0,"Y",IF(COUNTIF('02 - DD'!D433:G433,"N"),"N","")),"")</f>
        <v>N</v>
      </c>
      <c r="B434" s="177"/>
      <c r="C434" s="945"/>
      <c r="D434" s="411"/>
      <c r="E434" s="559" t="str">
        <f>IF('C-Design&amp;Const'!$M434="","",'C-Design&amp;Const'!$M434)</f>
        <v>N</v>
      </c>
      <c r="F434" s="458"/>
      <c r="G434" s="506"/>
      <c r="H434" s="454" t="str">
        <f>CONCATENATE(IF(F434="N","PLACEHOLDER ROW - ",""),'C-Design&amp;Const'!Z434,IF(F434="N","",J434))</f>
        <v>Stacked Floor Plans with space types show by color (include key)</v>
      </c>
      <c r="I434" s="193"/>
      <c r="J434" s="578" t="str">
        <f>IF('C-Design&amp;Const'!AG433="","",'C-Design&amp;Const'!AG433)</f>
        <v/>
      </c>
      <c r="K434" s="285" t="str">
        <f>IF(CD50_apply="Yes",IF((COUNTIF(D434:G434,"Y")=COUNTIF('02 - DD'!D433:G433,"Y")),"match","no DD match"),"-")</f>
        <v>match</v>
      </c>
      <c r="L434" s="1410" t="str">
        <f t="shared" si="21"/>
        <v/>
      </c>
      <c r="M434" s="1382"/>
      <c r="N434" s="1382"/>
      <c r="O434" s="1382"/>
      <c r="P434" s="1382"/>
      <c r="Q434" s="1490"/>
      <c r="R434" s="1274"/>
      <c r="S434" s="1274"/>
      <c r="T434" s="1382"/>
      <c r="U434" s="1382"/>
      <c r="V434" s="1382"/>
      <c r="W434" s="1382"/>
      <c r="X434" s="1382"/>
      <c r="Y434" s="1382"/>
      <c r="Z434" s="1382"/>
      <c r="AA434" s="1382"/>
      <c r="AB434" s="1382"/>
      <c r="AC434" s="1382"/>
      <c r="AD434" s="1382"/>
      <c r="AE434" s="1382"/>
      <c r="AF434" s="1382"/>
      <c r="AG434" s="1382"/>
      <c r="AH434" s="1382"/>
      <c r="AI434" s="1382"/>
      <c r="AJ434" s="1382"/>
      <c r="AW434" s="30"/>
    </row>
    <row r="435" spans="1:49" s="181" customFormat="1" hidden="1" x14ac:dyDescent="0.25">
      <c r="A435" s="1407" t="str">
        <f>IF(DD_apply="Yes",IF(COUNTIF('02 - DD'!D435:G435,"Y")&gt;0,"Y",IF(COUNTIF('02 - DD'!D435:G435,"N"),"N","")),"")</f>
        <v>N</v>
      </c>
      <c r="B435" s="177"/>
      <c r="C435" s="945"/>
      <c r="D435" s="411"/>
      <c r="E435" s="559" t="str">
        <f>IF('C-Design&amp;Const'!$M435="","",'C-Design&amp;Const'!$M435)</f>
        <v>N</v>
      </c>
      <c r="F435" s="458"/>
      <c r="G435" s="506"/>
      <c r="H435" s="454" t="str">
        <f>CONCATENATE(IF(F435="N","PLACEHOLDER ROW - ",""),'C-Design&amp;Const'!Z435,IF(F435="N","",J435))</f>
        <v>Simple full building sections showing relative spaces and framing from floor to floor.</v>
      </c>
      <c r="I435" s="193"/>
      <c r="J435" s="578" t="str">
        <f>IF('C-Design&amp;Const'!AG435="","",'C-Design&amp;Const'!AG435)</f>
        <v/>
      </c>
      <c r="K435" s="285" t="str">
        <f>IF(CD50_apply="Yes",IF((COUNTIF(D435:G435,"Y")=COUNTIF('02 - DD'!D435:G435,"Y")),"match","no DD match"),"-")</f>
        <v>match</v>
      </c>
      <c r="L435" s="1410" t="str">
        <f t="shared" si="21"/>
        <v/>
      </c>
      <c r="M435" s="1382"/>
      <c r="N435" s="1382"/>
      <c r="O435" s="1382"/>
      <c r="P435" s="1382"/>
      <c r="Q435" s="1490"/>
      <c r="R435" s="1274"/>
      <c r="S435" s="1274"/>
      <c r="T435" s="1382"/>
      <c r="U435" s="1382"/>
      <c r="V435" s="1382"/>
      <c r="W435" s="1382"/>
      <c r="X435" s="1382"/>
      <c r="Y435" s="1382"/>
      <c r="Z435" s="1382"/>
      <c r="AA435" s="1382"/>
      <c r="AB435" s="1382"/>
      <c r="AC435" s="1382"/>
      <c r="AD435" s="1382"/>
      <c r="AE435" s="1382"/>
      <c r="AF435" s="1382"/>
      <c r="AG435" s="1382"/>
      <c r="AH435" s="1382"/>
      <c r="AI435" s="1382"/>
      <c r="AJ435" s="1382"/>
      <c r="AW435" s="30"/>
    </row>
    <row r="436" spans="1:49" s="181" customFormat="1" hidden="1" x14ac:dyDescent="0.25">
      <c r="A436" s="1407" t="str">
        <f>IF(DD_apply="Yes",IF(COUNTIF('02 - DD'!D436:G436,"Y")&gt;0,"Y",IF(COUNTIF('02 - DD'!D436:G436,"N"),"N","")),"")</f>
        <v>N</v>
      </c>
      <c r="B436" s="177"/>
      <c r="C436" s="945"/>
      <c r="D436" s="411"/>
      <c r="E436" s="559" t="str">
        <f>IF('C-Design&amp;Const'!$M436="","",'C-Design&amp;Const'!$M436)</f>
        <v>N</v>
      </c>
      <c r="F436" s="458"/>
      <c r="G436" s="506"/>
      <c r="H436" s="454" t="str">
        <f>CONCATENATE(IF(F436="N","PLACEHOLDER ROW - ",""),'C-Design&amp;Const'!Z436,IF(F436="N","",J436))</f>
        <v>General Air Handling Unit Fan Maps</v>
      </c>
      <c r="I436" s="193"/>
      <c r="J436" s="578" t="str">
        <f>IF('C-Design&amp;Const'!AG436="","",'C-Design&amp;Const'!AG436)</f>
        <v/>
      </c>
      <c r="K436" s="285" t="str">
        <f>IF(CD50_apply="Yes",IF((COUNTIF(D436:G436,"Y")=COUNTIF('02 - DD'!D436:G436,"Y")),"match","no DD match"),"-")</f>
        <v>match</v>
      </c>
      <c r="L436" s="1410" t="str">
        <f t="shared" si="21"/>
        <v/>
      </c>
      <c r="M436" s="1382"/>
      <c r="N436" s="1382"/>
      <c r="O436" s="1382"/>
      <c r="P436" s="1382"/>
      <c r="Q436" s="1490"/>
      <c r="R436" s="1274"/>
      <c r="S436" s="1274"/>
      <c r="T436" s="1382"/>
      <c r="U436" s="1382"/>
      <c r="V436" s="1382"/>
      <c r="W436" s="1382"/>
      <c r="X436" s="1382"/>
      <c r="Y436" s="1382"/>
      <c r="Z436" s="1382"/>
      <c r="AA436" s="1382"/>
      <c r="AB436" s="1382"/>
      <c r="AC436" s="1382"/>
      <c r="AD436" s="1382"/>
      <c r="AE436" s="1382"/>
      <c r="AF436" s="1382"/>
      <c r="AG436" s="1382"/>
      <c r="AH436" s="1382"/>
      <c r="AI436" s="1382"/>
      <c r="AJ436" s="1382"/>
      <c r="AW436" s="30"/>
    </row>
    <row r="437" spans="1:49" s="181" customFormat="1" hidden="1" x14ac:dyDescent="0.25">
      <c r="A437" s="1407" t="str">
        <f>IF(DD_apply="Yes",IF(COUNTIF('02 - DD'!D437:G437,"Y")&gt;0,"Y",IF(COUNTIF('02 - DD'!D437:G437,"N"),"N","")),"")</f>
        <v>N</v>
      </c>
      <c r="B437" s="177"/>
      <c r="C437" s="945"/>
      <c r="D437" s="411"/>
      <c r="E437" s="559" t="str">
        <f>IF('C-Design&amp;Const'!$M437="","",'C-Design&amp;Const'!$M437)</f>
        <v>N</v>
      </c>
      <c r="F437" s="458"/>
      <c r="G437" s="506"/>
      <c r="H437" s="454" t="str">
        <f>CONCATENATE(IF(F437="N","PLACEHOLDER ROW - ",""),'C-Design&amp;Const'!Z437,IF(F437="N","",J437))</f>
        <v>Incorporated Comments from CDAC</v>
      </c>
      <c r="I437" s="193"/>
      <c r="J437" s="578" t="str">
        <f>IF('C-Design&amp;Const'!AG437="","",'C-Design&amp;Const'!AG437)</f>
        <v/>
      </c>
      <c r="K437" s="285" t="str">
        <f>IF(CD50_apply="Yes",IF((COUNTIF(D437:G437,"Y")=COUNTIF('02 - DD'!D437:G437,"Y")),"match","no DD match"),"-")</f>
        <v>match</v>
      </c>
      <c r="L437" s="1410" t="str">
        <f t="shared" si="21"/>
        <v/>
      </c>
      <c r="M437" s="1382"/>
      <c r="N437" s="1382"/>
      <c r="O437" s="1382"/>
      <c r="P437" s="1382"/>
      <c r="Q437" s="1490"/>
      <c r="R437" s="1274"/>
      <c r="S437" s="1274"/>
      <c r="T437" s="1382"/>
      <c r="U437" s="1382"/>
      <c r="V437" s="1382"/>
      <c r="W437" s="1382"/>
      <c r="X437" s="1382"/>
      <c r="Y437" s="1382"/>
      <c r="Z437" s="1382"/>
      <c r="AA437" s="1382"/>
      <c r="AB437" s="1382"/>
      <c r="AC437" s="1382"/>
      <c r="AD437" s="1382"/>
      <c r="AE437" s="1382"/>
      <c r="AF437" s="1382"/>
      <c r="AG437" s="1382"/>
      <c r="AH437" s="1382"/>
      <c r="AI437" s="1382"/>
      <c r="AJ437" s="1382"/>
      <c r="AW437" s="30"/>
    </row>
    <row r="438" spans="1:49" s="181" customFormat="1" hidden="1" x14ac:dyDescent="0.25">
      <c r="A438" s="1407" t="str">
        <f>IF(DD_apply="Yes",IF(COUNTIF('02 - DD'!D438:G438,"Y")&gt;0,"Y",IF(COUNTIF('02 - DD'!D438:G438,"N"),"N","")),"")</f>
        <v>N</v>
      </c>
      <c r="B438" s="177"/>
      <c r="C438" s="945"/>
      <c r="D438" s="411"/>
      <c r="E438" s="559" t="str">
        <f>IF('C-Design&amp;Const'!$M438="","",'C-Design&amp;Const'!$M438)</f>
        <v>N</v>
      </c>
      <c r="F438" s="458"/>
      <c r="G438" s="506"/>
      <c r="H438" s="454" t="str">
        <f>CONCATENATE(IF(F438="N","PLACEHOLDER ROW - ",""),'C-Design&amp;Const'!Z438,IF(F438="N","",J438))</f>
        <v>CUSTOM ROW - OPTIONAL CLIENT ITEM</v>
      </c>
      <c r="I438" s="193"/>
      <c r="J438" s="578" t="str">
        <f>IF('C-Design&amp;Const'!AG438="","",'C-Design&amp;Const'!AG438)</f>
        <v/>
      </c>
      <c r="K438" s="285" t="str">
        <f>IF(CD50_apply="Yes",IF((COUNTIF(D438:G438,"Y")=COUNTIF('02 - DD'!D438:G438,"Y")),"match","no DD match"),"-")</f>
        <v>match</v>
      </c>
      <c r="L438" s="1410" t="str">
        <f t="shared" si="21"/>
        <v/>
      </c>
      <c r="M438" s="1382"/>
      <c r="N438" s="1382"/>
      <c r="O438" s="1382"/>
      <c r="P438" s="1382"/>
      <c r="Q438" s="1490"/>
      <c r="R438" s="1274"/>
      <c r="S438" s="1274"/>
      <c r="T438" s="1382"/>
      <c r="U438" s="1382"/>
      <c r="V438" s="1382"/>
      <c r="W438" s="1382"/>
      <c r="X438" s="1382"/>
      <c r="Y438" s="1382"/>
      <c r="Z438" s="1382"/>
      <c r="AA438" s="1382"/>
      <c r="AB438" s="1382"/>
      <c r="AC438" s="1382"/>
      <c r="AD438" s="1382"/>
      <c r="AE438" s="1382"/>
      <c r="AF438" s="1382"/>
      <c r="AG438" s="1382"/>
      <c r="AH438" s="1382"/>
      <c r="AI438" s="1382"/>
      <c r="AJ438" s="1382"/>
      <c r="AW438" s="30"/>
    </row>
    <row r="439" spans="1:49" s="181" customFormat="1" hidden="1" x14ac:dyDescent="0.25">
      <c r="A439" s="1407" t="str">
        <f>IF(DD_apply="Yes",IF(COUNTIF('02 - DD'!D439:G439,"Y")&gt;0,"Y",IF(COUNTIF('02 - DD'!D439:G439,"N"),"N","")),"")</f>
        <v>N</v>
      </c>
      <c r="B439" s="177"/>
      <c r="C439" s="945"/>
      <c r="D439" s="411"/>
      <c r="E439" s="559" t="str">
        <f>IF('C-Design&amp;Const'!$M439="","",'C-Design&amp;Const'!$M439)</f>
        <v>N</v>
      </c>
      <c r="F439" s="458"/>
      <c r="G439" s="506"/>
      <c r="H439" s="454" t="str">
        <f>CONCATENATE(IF(F439="N","PLACEHOLDER ROW - ",""),'C-Design&amp;Const'!Z439,IF(F439="N","",J439))</f>
        <v>CUSTOM ROW - OPTIONAL CLIENT ITEM</v>
      </c>
      <c r="I439" s="193"/>
      <c r="J439" s="578" t="str">
        <f>IF('C-Design&amp;Const'!AG439="","",'C-Design&amp;Const'!AG439)</f>
        <v/>
      </c>
      <c r="K439" s="285" t="str">
        <f>IF(CD50_apply="Yes",IF((COUNTIF(D439:G439,"Y")=COUNTIF('02 - DD'!D439:G439,"Y")),"match","no DD match"),"-")</f>
        <v>match</v>
      </c>
      <c r="L439" s="1410" t="str">
        <f t="shared" si="21"/>
        <v/>
      </c>
      <c r="M439" s="1449"/>
      <c r="N439" s="1382"/>
      <c r="O439" s="1382"/>
      <c r="P439" s="1382"/>
      <c r="Q439" s="1490"/>
      <c r="R439" s="1274"/>
      <c r="S439" s="1274"/>
      <c r="T439" s="1382"/>
      <c r="U439" s="1382"/>
      <c r="V439" s="1382"/>
      <c r="W439" s="1382"/>
      <c r="X439" s="1382"/>
      <c r="Y439" s="1382"/>
      <c r="Z439" s="1382"/>
      <c r="AA439" s="1382"/>
      <c r="AB439" s="1382"/>
      <c r="AC439" s="1382"/>
      <c r="AD439" s="1382"/>
      <c r="AE439" s="1382"/>
      <c r="AF439" s="1382"/>
      <c r="AG439" s="1382"/>
      <c r="AH439" s="1382"/>
      <c r="AI439" s="1382"/>
      <c r="AJ439" s="1382"/>
      <c r="AW439" s="30"/>
    </row>
    <row r="440" spans="1:49" s="181" customFormat="1" hidden="1" x14ac:dyDescent="0.25">
      <c r="A440" s="1407" t="str">
        <f>IF(DD_apply="Yes",IF(COUNTIF('02 - DD'!D440:G440,"Y")&gt;0,"Y",IF(COUNTIF('02 - DD'!D440:G440,"N"),"N","")),"")</f>
        <v>N</v>
      </c>
      <c r="B440" s="177"/>
      <c r="C440" s="945"/>
      <c r="D440" s="411"/>
      <c r="E440" s="559" t="str">
        <f>IF('C-Design&amp;Const'!$M440="","",'C-Design&amp;Const'!$M440)</f>
        <v>N</v>
      </c>
      <c r="F440" s="458"/>
      <c r="G440" s="506"/>
      <c r="H440" s="454" t="str">
        <f>CONCATENATE(IF(F440="N","PLACEHOLDER ROW - ",""),'C-Design&amp;Const'!Z440,IF(F440="N","",J440))</f>
        <v>CUSTOM ROW - OPTIONAL CLIENT ITEM</v>
      </c>
      <c r="I440" s="193"/>
      <c r="J440" s="578" t="str">
        <f>IF('C-Design&amp;Const'!AG440="","",'C-Design&amp;Const'!AG440)</f>
        <v/>
      </c>
      <c r="K440" s="285" t="str">
        <f>IF(CD50_apply="Yes",IF((COUNTIF(D440:G440,"Y")=COUNTIF('02 - DD'!D440:G440,"Y")),"match","no DD match"),"-")</f>
        <v>match</v>
      </c>
      <c r="L440" s="1410" t="str">
        <f t="shared" si="21"/>
        <v/>
      </c>
      <c r="M440" s="1449"/>
      <c r="N440" s="1382"/>
      <c r="O440" s="1382"/>
      <c r="P440" s="1382"/>
      <c r="Q440" s="1490"/>
      <c r="R440" s="1274"/>
      <c r="S440" s="1274"/>
      <c r="T440" s="1382"/>
      <c r="U440" s="1382"/>
      <c r="V440" s="1382"/>
      <c r="W440" s="1382"/>
      <c r="X440" s="1382"/>
      <c r="Y440" s="1382"/>
      <c r="Z440" s="1382"/>
      <c r="AA440" s="1382"/>
      <c r="AB440" s="1382"/>
      <c r="AC440" s="1382"/>
      <c r="AD440" s="1382"/>
      <c r="AE440" s="1382"/>
      <c r="AF440" s="1382"/>
      <c r="AG440" s="1382"/>
      <c r="AH440" s="1382"/>
      <c r="AI440" s="1382"/>
      <c r="AJ440" s="1382"/>
      <c r="AW440" s="30"/>
    </row>
    <row r="441" spans="1:49" s="16" customFormat="1" ht="17.25" hidden="1" customHeight="1" x14ac:dyDescent="0.25">
      <c r="A441" s="1407" t="str">
        <f>IF(DD_apply="Yes",IF(COUNTIF('02 - DD'!D441:G441,"Y")&gt;0,"Y",IF(COUNTIF('02 - DD'!D441:G441,"N"),"N","")),"")</f>
        <v>N</v>
      </c>
      <c r="B441" s="182"/>
      <c r="C441" s="946"/>
      <c r="D441" s="321"/>
      <c r="E441" s="321" t="str">
        <f>IF('C-Design&amp;Const'!$M441="","",'C-Design&amp;Const'!$M441)</f>
        <v>N</v>
      </c>
      <c r="F441" s="518"/>
      <c r="G441" s="320"/>
      <c r="H441" s="1023" t="str">
        <f>CONCATENATE(IF(F441="N","PLACEHOLDER ROW - ",""),'C-Design&amp;Const'!Z441,IF(F441="N","",J441))</f>
        <v>CUSTOM ROW - OPTIONAL CLIENT ITEM</v>
      </c>
      <c r="I441" s="233"/>
      <c r="J441" s="578" t="str">
        <f>IF('C-Design&amp;Const'!AG441="","",'C-Design&amp;Const'!AG441)</f>
        <v/>
      </c>
      <c r="K441" s="285" t="str">
        <f>IF(CD50_apply="Yes",IF((COUNTIF(D441:G441,"Y")=COUNTIF('02 - DD'!D441:G441,"Y")),"match","no DD match"),"-")</f>
        <v>match</v>
      </c>
      <c r="L441" s="1410" t="str">
        <f t="shared" si="21"/>
        <v/>
      </c>
      <c r="M441" s="1382"/>
      <c r="N441" s="1449"/>
      <c r="O441" s="1449"/>
      <c r="P441" s="1449"/>
      <c r="Q441" s="1486"/>
      <c r="R441" s="1364"/>
      <c r="S441" s="1364"/>
      <c r="T441" s="1449"/>
      <c r="U441" s="1449"/>
      <c r="V441" s="1449"/>
      <c r="W441" s="1449"/>
      <c r="X441" s="1449"/>
      <c r="Y441" s="1449"/>
      <c r="Z441" s="1449"/>
      <c r="AA441" s="1449"/>
      <c r="AB441" s="1449"/>
      <c r="AC441" s="1449"/>
      <c r="AD441" s="1449"/>
      <c r="AE441" s="1449"/>
      <c r="AF441" s="1449"/>
      <c r="AG441" s="1449"/>
      <c r="AH441" s="1449"/>
      <c r="AI441" s="1449"/>
      <c r="AJ441" s="1449"/>
      <c r="AK441" s="232"/>
      <c r="AL441" s="232"/>
      <c r="AM441" s="232"/>
      <c r="AN441" s="232"/>
      <c r="AO441" s="232"/>
      <c r="AP441" s="232"/>
      <c r="AQ441" s="232"/>
      <c r="AR441" s="232"/>
      <c r="AS441" s="232"/>
      <c r="AT441" s="232"/>
      <c r="AU441" s="232"/>
      <c r="AV441" s="232"/>
    </row>
    <row r="442" spans="1:49" s="16" customFormat="1" ht="15.75" hidden="1" x14ac:dyDescent="0.25">
      <c r="A442" s="1501" t="str">
        <f>IF(DD_apply="Yes",IF(COUNTIF('02 - DD'!D442:G442,"Y")&gt;0,"Y",IF(COUNTIF('02 - DD'!D442:G442,"N"),"N","")),"")</f>
        <v/>
      </c>
      <c r="B442" s="182"/>
      <c r="C442" s="946"/>
      <c r="D442" s="321"/>
      <c r="E442" s="321"/>
      <c r="F442" s="518"/>
      <c r="G442" s="320"/>
      <c r="H442" s="1023" t="str">
        <f>CONCATENATE(IF(F442="N","PLACEHOLDER ROW - ",""),'C-Design&amp;Const'!Z442,IF(F442="N","",J442))</f>
        <v>**  - For presentations, combine these items on to 1 or 2 total slides.</v>
      </c>
      <c r="I442" s="233"/>
      <c r="J442" s="578" t="str">
        <f>IF('C-Design&amp;Const'!AG442="","",'C-Design&amp;Const'!AG442)</f>
        <v/>
      </c>
      <c r="K442" s="285" t="str">
        <f>IF(CD50_apply="Yes",IF((COUNTIF(D442:G442,"Y")=COUNTIF('02 - DD'!D442:G442,"Y")),"match","no DD match"),"-")</f>
        <v>match</v>
      </c>
      <c r="L442" s="1410" t="str">
        <f t="shared" si="21"/>
        <v/>
      </c>
      <c r="M442" s="1382"/>
      <c r="N442" s="1449"/>
      <c r="O442" s="1449"/>
      <c r="P442" s="1449"/>
      <c r="Q442" s="1486"/>
      <c r="R442" s="1364"/>
      <c r="S442" s="1364"/>
      <c r="T442" s="1449"/>
      <c r="U442" s="1449"/>
      <c r="V442" s="1449"/>
      <c r="W442" s="1449"/>
      <c r="X442" s="1449"/>
      <c r="Y442" s="1449"/>
      <c r="Z442" s="1449"/>
      <c r="AA442" s="1449"/>
      <c r="AB442" s="1449"/>
      <c r="AC442" s="1449"/>
      <c r="AD442" s="1449"/>
      <c r="AE442" s="1449"/>
      <c r="AF442" s="1449"/>
      <c r="AG442" s="1449"/>
      <c r="AH442" s="1449"/>
      <c r="AI442" s="1449"/>
      <c r="AJ442" s="1449"/>
      <c r="AK442" s="250"/>
      <c r="AL442" s="250"/>
      <c r="AM442" s="250"/>
      <c r="AN442" s="250"/>
      <c r="AO442" s="250"/>
      <c r="AP442" s="250"/>
      <c r="AQ442" s="250"/>
      <c r="AR442" s="250"/>
      <c r="AS442" s="250"/>
      <c r="AT442" s="250"/>
      <c r="AU442" s="250"/>
      <c r="AV442" s="250"/>
    </row>
    <row r="443" spans="1:49" s="181" customFormat="1" ht="53.25" customHeight="1" x14ac:dyDescent="0.3">
      <c r="A443" s="1407" t="str">
        <f>IF(DD_apply="Yes",IF(COUNTIF('02 - DD'!D443:G443,"Y")&gt;0,"Y",IF(COUNTIF('02 - DD'!D443:G443,"N"),"N","")),"")</f>
        <v>Y</v>
      </c>
      <c r="B443" s="177"/>
      <c r="C443" s="945"/>
      <c r="D443" s="1636" t="str">
        <f>IF('C-Design&amp;Const'!$M443="","",'C-Design&amp;Const'!$M443)</f>
        <v>N</v>
      </c>
      <c r="E443" s="503"/>
      <c r="F443" s="444"/>
      <c r="G443" s="319" t="str">
        <f>IF('C-Design&amp;Const'!Y443="","",'C-Design&amp;Const'!Y443)</f>
        <v>09.</v>
      </c>
      <c r="H443" s="298" t="str">
        <f>CONCATENATE('C-Design&amp;Const'!Z443,IF(D443="N"," Not Used In This Design Phase",J443))</f>
        <v>Illinois State Historic Preservation Office (ISHPO) Not Used In This Design Phase</v>
      </c>
      <c r="I443" s="184"/>
      <c r="J443" s="578" t="str">
        <f>IF('C-Design&amp;Const'!AG443="","",'C-Design&amp;Const'!AG443)</f>
        <v/>
      </c>
      <c r="K443" s="285" t="str">
        <f>IF(CD50_apply="Yes",IF((COUNTIF(D443:G443,"Y")=COUNTIF('02 - DD'!D443:G443,"Y")),"match","no DD match"),"-")</f>
        <v>no DD match</v>
      </c>
      <c r="L443" s="1410" t="str">
        <f t="shared" si="21"/>
        <v/>
      </c>
      <c r="M443" s="1382"/>
      <c r="N443" s="1382"/>
      <c r="O443" s="1382"/>
      <c r="P443" s="1382"/>
      <c r="Q443" s="1447"/>
      <c r="R443" s="1448"/>
      <c r="S443" s="1274"/>
      <c r="T443" s="1382"/>
      <c r="U443" s="1382"/>
      <c r="V443" s="1382"/>
      <c r="W443" s="1382"/>
      <c r="X443" s="1382"/>
      <c r="Y443" s="1382"/>
      <c r="Z443" s="1382"/>
      <c r="AA443" s="1382"/>
      <c r="AB443" s="1382"/>
      <c r="AC443" s="1382"/>
      <c r="AD443" s="1382"/>
      <c r="AE443" s="1382"/>
      <c r="AF443" s="1382"/>
      <c r="AG443" s="1382"/>
      <c r="AH443" s="1382"/>
      <c r="AI443" s="1382"/>
      <c r="AJ443" s="1382"/>
    </row>
    <row r="444" spans="1:49" hidden="1" x14ac:dyDescent="0.25">
      <c r="A444" s="1519" t="str">
        <f>IF(DD_apply="Yes",IF(COUNTIF('02 - DD'!D444:G444,"Y")&gt;0,"Y",IF(COUNTIF('02 - DD'!D444:G444,"N"),"N","")),"")</f>
        <v>N</v>
      </c>
      <c r="B444" s="18"/>
      <c r="C444" s="947"/>
      <c r="D444" s="524"/>
      <c r="E444" s="559" t="str">
        <f>IF('C-Design&amp;Const'!$M444="","",'C-Design&amp;Const'!$M444)</f>
        <v>N</v>
      </c>
      <c r="F444" s="487"/>
      <c r="G444" s="501"/>
      <c r="H444" s="801" t="str">
        <f>CONCATENATE(IF(F444="N","PLACEHOLDER ROW - ",""),'C-Design&amp;Const'!Z444,IF(F444="N","",J444))</f>
        <v>Meeting notes from walk through with ISHPO</v>
      </c>
      <c r="I444" s="130"/>
      <c r="J444" s="578" t="str">
        <f>IF('C-Design&amp;Const'!AG444="","",'C-Design&amp;Const'!AG444)</f>
        <v/>
      </c>
      <c r="K444" s="285" t="str">
        <f>IF(CD50_apply="Yes",IF((COUNTIF(D444:G444,"Y")=COUNTIF('02 - DD'!D444:G444,"Y")),"match","no DD match"),"-")</f>
        <v>match</v>
      </c>
      <c r="L444" s="1410" t="str">
        <f t="shared" si="21"/>
        <v/>
      </c>
      <c r="M444" s="1333"/>
      <c r="N444" s="1333"/>
      <c r="O444" s="1333"/>
      <c r="P444" s="1333"/>
      <c r="Q444" s="1453"/>
      <c r="R444" s="1284"/>
      <c r="S444" s="1284"/>
      <c r="T444" s="1333"/>
      <c r="U444" s="1333"/>
      <c r="V444" s="1333"/>
      <c r="W444" s="1333"/>
      <c r="X444" s="1333"/>
      <c r="Y444" s="1333"/>
      <c r="Z444" s="1333"/>
      <c r="AA444" s="1333"/>
      <c r="AB444" s="1333"/>
      <c r="AC444" s="1333"/>
      <c r="AD444" s="1333"/>
      <c r="AE444" s="1333"/>
      <c r="AF444" s="1333"/>
      <c r="AG444" s="1333"/>
      <c r="AH444" s="1333"/>
      <c r="AI444" s="1333"/>
      <c r="AJ444" s="1333"/>
    </row>
    <row r="445" spans="1:49" hidden="1" x14ac:dyDescent="0.25">
      <c r="A445" s="1519" t="str">
        <f>IF(DD_apply="Yes",IF(COUNTIF('02 - DD'!D445:G445,"Y")&gt;0,"Y",IF(COUNTIF('02 - DD'!D445:G445,"N"),"N","")),"")</f>
        <v>N</v>
      </c>
      <c r="B445" s="18"/>
      <c r="C445" s="947"/>
      <c r="D445" s="524"/>
      <c r="E445" s="559" t="str">
        <f>IF('C-Design&amp;Const'!$M445="","",'C-Design&amp;Const'!$M445)</f>
        <v>N</v>
      </c>
      <c r="F445" s="487"/>
      <c r="G445" s="501"/>
      <c r="H445" s="801" t="str">
        <f>CONCATENATE(IF(F445="N","PLACEHOLDER ROW - ",""),'C-Design&amp;Const'!Z445,IF(F445="N","",J445))</f>
        <v>Narrative on building and historical significance</v>
      </c>
      <c r="I445" s="130"/>
      <c r="J445" s="578" t="str">
        <f>IF('C-Design&amp;Const'!AG445="","",'C-Design&amp;Const'!AG445)</f>
        <v/>
      </c>
      <c r="K445" s="285" t="str">
        <f>IF(CD50_apply="Yes",IF((COUNTIF(D445:G445,"Y")=COUNTIF('02 - DD'!D445:G445,"Y")),"match","no DD match"),"-")</f>
        <v>match</v>
      </c>
      <c r="L445" s="1410" t="str">
        <f t="shared" si="21"/>
        <v/>
      </c>
      <c r="M445" s="1333"/>
      <c r="N445" s="1333"/>
      <c r="O445" s="1333"/>
      <c r="P445" s="1333"/>
      <c r="Q445" s="1453"/>
      <c r="R445" s="1284"/>
      <c r="S445" s="1284"/>
      <c r="T445" s="1333"/>
      <c r="U445" s="1333"/>
      <c r="V445" s="1333"/>
      <c r="W445" s="1333"/>
      <c r="X445" s="1333"/>
      <c r="Y445" s="1333"/>
      <c r="Z445" s="1333"/>
      <c r="AA445" s="1333"/>
      <c r="AB445" s="1333"/>
      <c r="AC445" s="1333"/>
      <c r="AD445" s="1333"/>
      <c r="AE445" s="1333"/>
      <c r="AF445" s="1333"/>
      <c r="AG445" s="1333"/>
      <c r="AH445" s="1333"/>
      <c r="AI445" s="1333"/>
      <c r="AJ445" s="1333"/>
    </row>
    <row r="446" spans="1:49" hidden="1" x14ac:dyDescent="0.25">
      <c r="A446" s="1519" t="str">
        <f>IF(DD_apply="Yes",IF(COUNTIF('02 - DD'!D446:G446,"Y")&gt;0,"Y",IF(COUNTIF('02 - DD'!D446:G446,"N"),"N","")),"")</f>
        <v>N</v>
      </c>
      <c r="B446" s="18"/>
      <c r="C446" s="947"/>
      <c r="D446" s="524"/>
      <c r="E446" s="559" t="str">
        <f>IF('C-Design&amp;Const'!$M446="","",'C-Design&amp;Const'!$M446)</f>
        <v>N</v>
      </c>
      <c r="F446" s="487"/>
      <c r="G446" s="501"/>
      <c r="H446" s="801" t="str">
        <f>CONCATENATE(IF(F446="N","PLACEHOLDER ROW - ",""),'C-Design&amp;Const'!Z446,IF(F446="N","",J446))</f>
        <v>Exterior Photographic Documentation</v>
      </c>
      <c r="I446" s="130"/>
      <c r="J446" s="578" t="str">
        <f>IF('C-Design&amp;Const'!AG446="","",'C-Design&amp;Const'!AG446)</f>
        <v/>
      </c>
      <c r="K446" s="285" t="str">
        <f>IF(CD50_apply="Yes",IF((COUNTIF(D446:G446,"Y")=COUNTIF('02 - DD'!D446:G446,"Y")),"match","no DD match"),"-")</f>
        <v>match</v>
      </c>
      <c r="L446" s="1410" t="str">
        <f t="shared" si="21"/>
        <v/>
      </c>
      <c r="M446" s="1333"/>
      <c r="N446" s="1333"/>
      <c r="O446" s="1333"/>
      <c r="P446" s="1333"/>
      <c r="Q446" s="1453"/>
      <c r="R446" s="1284"/>
      <c r="S446" s="1284"/>
      <c r="T446" s="1333"/>
      <c r="U446" s="1333"/>
      <c r="V446" s="1333"/>
      <c r="W446" s="1333"/>
      <c r="X446" s="1333"/>
      <c r="Y446" s="1333"/>
      <c r="Z446" s="1333"/>
      <c r="AA446" s="1333"/>
      <c r="AB446" s="1333"/>
      <c r="AC446" s="1333"/>
      <c r="AD446" s="1333"/>
      <c r="AE446" s="1333"/>
      <c r="AF446" s="1333"/>
      <c r="AG446" s="1333"/>
      <c r="AH446" s="1333"/>
      <c r="AI446" s="1333"/>
      <c r="AJ446" s="1333"/>
    </row>
    <row r="447" spans="1:49" hidden="1" x14ac:dyDescent="0.25">
      <c r="A447" s="1519" t="str">
        <f>IF(DD_apply="Yes",IF(COUNTIF('02 - DD'!D447:G447,"Y")&gt;0,"Y",IF(COUNTIF('02 - DD'!D447:G447,"N"),"N","")),"")</f>
        <v>Y</v>
      </c>
      <c r="B447" s="18"/>
      <c r="C447" s="947"/>
      <c r="D447" s="524"/>
      <c r="E447" s="559" t="str">
        <f>IF('C-Design&amp;Const'!$M447="","",'C-Design&amp;Const'!$M447)</f>
        <v>N</v>
      </c>
      <c r="F447" s="487"/>
      <c r="G447" s="501"/>
      <c r="H447" s="801" t="str">
        <f>CONCATENATE(IF(F447="N","PLACEHOLDER ROW - ",""),'C-Design&amp;Const'!Z447,IF(F447="N","",J447))</f>
        <v>Exterior preservation drawings</v>
      </c>
      <c r="I447" s="130"/>
      <c r="J447" s="578" t="str">
        <f>IF('C-Design&amp;Const'!AG447="","",'C-Design&amp;Const'!AG447)</f>
        <v/>
      </c>
      <c r="K447" s="285" t="str">
        <f>IF(CD50_apply="Yes",IF((COUNTIF(D447:G447,"Y")=COUNTIF('02 - DD'!D447:G447,"Y")),"match","no DD match"),"-")</f>
        <v>no DD match</v>
      </c>
      <c r="L447" s="1410" t="str">
        <f t="shared" si="21"/>
        <v/>
      </c>
      <c r="M447" s="1333"/>
      <c r="N447" s="1333"/>
      <c r="O447" s="1333"/>
      <c r="P447" s="1333"/>
      <c r="Q447" s="1453"/>
      <c r="R447" s="1284"/>
      <c r="S447" s="1284"/>
      <c r="T447" s="1333"/>
      <c r="U447" s="1333"/>
      <c r="V447" s="1333"/>
      <c r="W447" s="1333"/>
      <c r="X447" s="1333"/>
      <c r="Y447" s="1333"/>
      <c r="Z447" s="1333"/>
      <c r="AA447" s="1333"/>
      <c r="AB447" s="1333"/>
      <c r="AC447" s="1333"/>
      <c r="AD447" s="1333"/>
      <c r="AE447" s="1333"/>
      <c r="AF447" s="1333"/>
      <c r="AG447" s="1333"/>
      <c r="AH447" s="1333"/>
      <c r="AI447" s="1333"/>
      <c r="AJ447" s="1333"/>
    </row>
    <row r="448" spans="1:49" hidden="1" x14ac:dyDescent="0.25">
      <c r="A448" s="1519" t="str">
        <f>IF(DD_apply="Yes",IF(COUNTIF('02 - DD'!D448:G448,"Y")&gt;0,"Y",IF(COUNTIF('02 - DD'!D448:G448,"N"),"N","")),"")</f>
        <v>N</v>
      </c>
      <c r="B448" s="18"/>
      <c r="C448" s="947"/>
      <c r="D448" s="524"/>
      <c r="E448" s="559" t="str">
        <f>IF('C-Design&amp;Const'!$M448="","",'C-Design&amp;Const'!$M448)</f>
        <v>N</v>
      </c>
      <c r="F448" s="487"/>
      <c r="G448" s="501"/>
      <c r="H448" s="801" t="str">
        <f>CONCATENATE(IF(F448="N","PLACEHOLDER ROW - ",""),'C-Design&amp;Const'!Z448,IF(F448="N","",J448))</f>
        <v>Interior Photographic Documentation</v>
      </c>
      <c r="I448" s="130"/>
      <c r="J448" s="578" t="str">
        <f>IF('C-Design&amp;Const'!AG448="","",'C-Design&amp;Const'!AG448)</f>
        <v/>
      </c>
      <c r="K448" s="285" t="str">
        <f>IF(CD50_apply="Yes",IF((COUNTIF(D448:G448,"Y")=COUNTIF('02 - DD'!D448:G448,"Y")),"match","no DD match"),"-")</f>
        <v>match</v>
      </c>
      <c r="L448" s="1410" t="str">
        <f t="shared" si="21"/>
        <v/>
      </c>
      <c r="M448" s="1333"/>
      <c r="N448" s="1333"/>
      <c r="O448" s="1333"/>
      <c r="P448" s="1333"/>
      <c r="Q448" s="1453"/>
      <c r="R448" s="1284"/>
      <c r="S448" s="1284"/>
      <c r="T448" s="1333"/>
      <c r="U448" s="1333"/>
      <c r="V448" s="1333"/>
      <c r="W448" s="1333"/>
      <c r="X448" s="1333"/>
      <c r="Y448" s="1333"/>
      <c r="Z448" s="1333"/>
      <c r="AA448" s="1333"/>
      <c r="AB448" s="1333"/>
      <c r="AC448" s="1333"/>
      <c r="AD448" s="1333"/>
      <c r="AE448" s="1333"/>
      <c r="AF448" s="1333"/>
      <c r="AG448" s="1333"/>
      <c r="AH448" s="1333"/>
      <c r="AI448" s="1333"/>
      <c r="AJ448" s="1333"/>
    </row>
    <row r="449" spans="1:49" hidden="1" x14ac:dyDescent="0.25">
      <c r="A449" s="1519" t="str">
        <f>IF(DD_apply="Yes",IF(COUNTIF('02 - DD'!D449:G449,"Y")&gt;0,"Y",IF(COUNTIF('02 - DD'!D449:G449,"N"),"N","")),"")</f>
        <v>Y</v>
      </c>
      <c r="B449" s="18"/>
      <c r="C449" s="947"/>
      <c r="D449" s="524"/>
      <c r="E449" s="559" t="str">
        <f>IF('C-Design&amp;Const'!$M449="","",'C-Design&amp;Const'!$M449)</f>
        <v>N</v>
      </c>
      <c r="F449" s="487"/>
      <c r="G449" s="501"/>
      <c r="H449" s="801" t="str">
        <f>CONCATENATE(IF(F449="N","PLACEHOLDER ROW - ",""),'C-Design&amp;Const'!Z449,IF(F449="N","",J449))</f>
        <v>Interior preservation drawings</v>
      </c>
      <c r="I449" s="130"/>
      <c r="J449" s="578" t="str">
        <f>IF('C-Design&amp;Const'!AG449="","",'C-Design&amp;Const'!AG449)</f>
        <v/>
      </c>
      <c r="K449" s="285" t="str">
        <f>IF(CD50_apply="Yes",IF((COUNTIF(D449:G449,"Y")=COUNTIF('02 - DD'!D449:G449,"Y")),"match","no DD match"),"-")</f>
        <v>no DD match</v>
      </c>
      <c r="L449" s="1410" t="str">
        <f t="shared" si="21"/>
        <v/>
      </c>
      <c r="M449" s="1333"/>
      <c r="N449" s="1333"/>
      <c r="O449" s="1333"/>
      <c r="P449" s="1333"/>
      <c r="Q449" s="1453"/>
      <c r="R449" s="1284"/>
      <c r="S449" s="1284"/>
      <c r="T449" s="1333"/>
      <c r="U449" s="1333"/>
      <c r="V449" s="1333"/>
      <c r="W449" s="1333"/>
      <c r="X449" s="1333"/>
      <c r="Y449" s="1333"/>
      <c r="Z449" s="1333"/>
      <c r="AA449" s="1333"/>
      <c r="AB449" s="1333"/>
      <c r="AC449" s="1333"/>
      <c r="AD449" s="1333"/>
      <c r="AE449" s="1333"/>
      <c r="AF449" s="1333"/>
      <c r="AG449" s="1333"/>
      <c r="AH449" s="1333"/>
      <c r="AI449" s="1333"/>
      <c r="AJ449" s="1333"/>
    </row>
    <row r="450" spans="1:49" hidden="1" x14ac:dyDescent="0.25">
      <c r="A450" s="1519" t="str">
        <f>IF(DD_apply="Yes",IF(COUNTIF('02 - DD'!D450:G450,"Y")&gt;0,"Y",IF(COUNTIF('02 - DD'!D450:G450,"N"),"N","")),"")</f>
        <v>N</v>
      </c>
      <c r="B450" s="18"/>
      <c r="C450" s="947"/>
      <c r="D450" s="524"/>
      <c r="E450" s="559" t="str">
        <f>IF('C-Design&amp;Const'!$M450="","",'C-Design&amp;Const'!$M450)</f>
        <v>N</v>
      </c>
      <c r="F450" s="487"/>
      <c r="G450" s="501"/>
      <c r="H450" s="802" t="str">
        <f>CONCATENATE(IF(F450="N","PLACEHOLDER ROW - ",""),'C-Design&amp;Const'!Z450,IF(F450="N","",J450))</f>
        <v>Historic Illinois Building Survey</v>
      </c>
      <c r="I450" s="130"/>
      <c r="J450" s="578" t="str">
        <f>IF('C-Design&amp;Const'!AG450="","",'C-Design&amp;Const'!AG450)</f>
        <v/>
      </c>
      <c r="K450" s="285" t="str">
        <f>IF(CD50_apply="Yes",IF((COUNTIF(D450:G450,"Y")=COUNTIF('02 - DD'!D450:G450,"Y")),"match","no DD match"),"-")</f>
        <v>match</v>
      </c>
      <c r="L450" s="1410" t="str">
        <f t="shared" si="21"/>
        <v/>
      </c>
      <c r="M450" s="1333"/>
      <c r="N450" s="1333"/>
      <c r="O450" s="1333"/>
      <c r="P450" s="1333"/>
      <c r="Q450" s="1453"/>
      <c r="R450" s="1284"/>
      <c r="S450" s="1284"/>
      <c r="T450" s="1333"/>
      <c r="U450" s="1333"/>
      <c r="V450" s="1333"/>
      <c r="W450" s="1333"/>
      <c r="X450" s="1333"/>
      <c r="Y450" s="1333"/>
      <c r="Z450" s="1333"/>
      <c r="AA450" s="1333"/>
      <c r="AB450" s="1333"/>
      <c r="AC450" s="1333"/>
      <c r="AD450" s="1333"/>
      <c r="AE450" s="1333"/>
      <c r="AF450" s="1333"/>
      <c r="AG450" s="1333"/>
      <c r="AH450" s="1333"/>
      <c r="AI450" s="1333"/>
      <c r="AJ450" s="1333"/>
    </row>
    <row r="451" spans="1:49" hidden="1" x14ac:dyDescent="0.25">
      <c r="A451" s="1519" t="str">
        <f>IF(DD_apply="Yes",IF(COUNTIF('02 - DD'!D451:G451,"Y")&gt;0,"Y",IF(COUNTIF('02 - DD'!D451:G451,"N"),"N","")),"")</f>
        <v>N</v>
      </c>
      <c r="B451" s="18"/>
      <c r="C451" s="947"/>
      <c r="D451" s="524"/>
      <c r="E451" s="559" t="str">
        <f>IF('C-Design&amp;Const'!$M451="","",'C-Design&amp;Const'!$M451)</f>
        <v>N</v>
      </c>
      <c r="F451" s="487"/>
      <c r="G451" s="501"/>
      <c r="H451" s="802" t="str">
        <f>CONCATENATE(IF(F451="N","PLACEHOLDER ROW - ",""),'C-Design&amp;Const'!Z451,IF(F451="N","",J451))</f>
        <v>Historic Illinois Engineering Record</v>
      </c>
      <c r="I451" s="130"/>
      <c r="J451" s="578" t="str">
        <f>IF('C-Design&amp;Const'!AG451="","",'C-Design&amp;Const'!AG451)</f>
        <v/>
      </c>
      <c r="K451" s="285" t="str">
        <f>IF(CD50_apply="Yes",IF((COUNTIF(D451:G451,"Y")=COUNTIF('02 - DD'!D451:G451,"Y")),"match","no DD match"),"-")</f>
        <v>match</v>
      </c>
      <c r="L451" s="1410" t="str">
        <f t="shared" si="21"/>
        <v/>
      </c>
      <c r="M451" s="1333"/>
      <c r="N451" s="1333"/>
      <c r="O451" s="1333"/>
      <c r="P451" s="1333"/>
      <c r="Q451" s="1453"/>
      <c r="R451" s="1284"/>
      <c r="S451" s="1284"/>
      <c r="T451" s="1333"/>
      <c r="U451" s="1333"/>
      <c r="V451" s="1333"/>
      <c r="W451" s="1333"/>
      <c r="X451" s="1333"/>
      <c r="Y451" s="1333"/>
      <c r="Z451" s="1333"/>
      <c r="AA451" s="1333"/>
      <c r="AB451" s="1333"/>
      <c r="AC451" s="1333"/>
      <c r="AD451" s="1333"/>
      <c r="AE451" s="1333"/>
      <c r="AF451" s="1333"/>
      <c r="AG451" s="1333"/>
      <c r="AH451" s="1333"/>
      <c r="AI451" s="1333"/>
      <c r="AJ451" s="1333"/>
    </row>
    <row r="452" spans="1:49" s="30" customFormat="1" hidden="1" x14ac:dyDescent="0.25">
      <c r="A452" s="1520" t="str">
        <f>IF(DD_apply="Yes",IF(COUNTIF('02 - DD'!D452:G452,"Y")&gt;0,"Y",IF(COUNTIF('02 - DD'!D452:G452,"N"),"N","")),"")</f>
        <v>N</v>
      </c>
      <c r="B452" s="191"/>
      <c r="C452" s="945"/>
      <c r="D452" s="411"/>
      <c r="E452" s="559" t="str">
        <f>IF('C-Design&amp;Const'!$M452="","",'C-Design&amp;Const'!$M452)</f>
        <v>N</v>
      </c>
      <c r="F452" s="487"/>
      <c r="G452" s="501"/>
      <c r="H452" s="1659" t="str">
        <f>CONCATENATE(IF(F452="N","PLACEHOLDER ROW - ",""),'C-Design&amp;Const'!Z452,IF(F452="N","",J452))</f>
        <v>ISHPO item to be determined per project</v>
      </c>
      <c r="I452" s="197"/>
      <c r="J452" s="578" t="str">
        <f>IF('C-Design&amp;Const'!AG452="","",'C-Design&amp;Const'!AG452)</f>
        <v/>
      </c>
      <c r="K452" s="285" t="str">
        <f>IF(CD50_apply="Yes",IF((COUNTIF(D452:G452,"Y")=COUNTIF('02 - DD'!D452:G452,"Y")),"match","no DD match"),"-")</f>
        <v>match</v>
      </c>
      <c r="L452" s="1410" t="str">
        <f t="shared" si="21"/>
        <v/>
      </c>
      <c r="M452" s="1382"/>
      <c r="N452" s="1382"/>
      <c r="O452" s="1382"/>
      <c r="P452" s="1382"/>
      <c r="Q452" s="1490"/>
      <c r="R452" s="1274"/>
      <c r="S452" s="1274"/>
      <c r="T452" s="1382"/>
      <c r="U452" s="1382"/>
      <c r="V452" s="1382"/>
      <c r="W452" s="1382"/>
      <c r="X452" s="1382"/>
      <c r="Y452" s="1382"/>
      <c r="Z452" s="1382"/>
      <c r="AA452" s="1382"/>
      <c r="AB452" s="1382"/>
      <c r="AC452" s="1382"/>
      <c r="AD452" s="1382"/>
      <c r="AE452" s="1382"/>
      <c r="AF452" s="1382"/>
      <c r="AG452" s="1382"/>
      <c r="AH452" s="1382"/>
      <c r="AI452" s="1382"/>
      <c r="AJ452" s="1382"/>
      <c r="AK452" s="181"/>
      <c r="AL452" s="181"/>
      <c r="AM452" s="181"/>
      <c r="AN452" s="181"/>
      <c r="AO452" s="181"/>
      <c r="AP452" s="181"/>
      <c r="AQ452" s="181"/>
      <c r="AR452" s="181"/>
      <c r="AS452" s="181"/>
      <c r="AT452" s="181"/>
      <c r="AU452" s="181"/>
      <c r="AV452" s="181"/>
    </row>
    <row r="453" spans="1:49" hidden="1" x14ac:dyDescent="0.25">
      <c r="A453" s="1520" t="str">
        <f>IF(DD_apply="Yes",IF(COUNTIF('02 - DD'!D453:G453,"Y")&gt;0,"Y",IF(COUNTIF('02 - DD'!D453:G453,"N"),"N","")),"")</f>
        <v>N</v>
      </c>
      <c r="B453" s="191"/>
      <c r="C453" s="945"/>
      <c r="D453" s="524"/>
      <c r="E453" s="559" t="str">
        <f>IF('C-Design&amp;Const'!$M453="","",'C-Design&amp;Const'!$M453)</f>
        <v>N</v>
      </c>
      <c r="F453" s="487"/>
      <c r="G453" s="501"/>
      <c r="H453" s="802" t="str">
        <f>CONCATENATE(IF(F453="N","PLACEHOLDER ROW - ",""),'C-Design&amp;Const'!Z453,IF(F453="N","",J453))</f>
        <v>ISHPO item to be determined per project</v>
      </c>
      <c r="I453" s="130"/>
      <c r="J453" s="578" t="str">
        <f>IF('C-Design&amp;Const'!AG453="","",'C-Design&amp;Const'!AG453)</f>
        <v/>
      </c>
      <c r="K453" s="285" t="str">
        <f>IF(CD50_apply="Yes",IF((COUNTIF(D453:G453,"Y")=COUNTIF('02 - DD'!D453:G453,"Y")),"match","no DD match"),"-")</f>
        <v>match</v>
      </c>
      <c r="L453" s="1410" t="str">
        <f t="shared" si="21"/>
        <v/>
      </c>
      <c r="M453" s="1333"/>
      <c r="N453" s="1333"/>
      <c r="O453" s="1333"/>
      <c r="P453" s="1333"/>
      <c r="Q453" s="1453"/>
      <c r="R453" s="1284"/>
      <c r="S453" s="1284"/>
      <c r="T453" s="1333"/>
      <c r="U453" s="1333"/>
      <c r="V453" s="1333"/>
      <c r="W453" s="1333"/>
      <c r="X453" s="1333"/>
      <c r="Y453" s="1333"/>
      <c r="Z453" s="1333"/>
      <c r="AA453" s="1333"/>
      <c r="AB453" s="1333"/>
      <c r="AC453" s="1333"/>
      <c r="AD453" s="1333"/>
      <c r="AE453" s="1333"/>
      <c r="AF453" s="1333"/>
      <c r="AG453" s="1333"/>
      <c r="AH453" s="1333"/>
      <c r="AI453" s="1333"/>
      <c r="AJ453" s="1333"/>
    </row>
    <row r="454" spans="1:49" hidden="1" x14ac:dyDescent="0.25">
      <c r="A454" s="1520" t="str">
        <f>IF(DD_apply="Yes",IF(COUNTIF('02 - DD'!D454:G454,"Y")&gt;0,"Y",IF(COUNTIF('02 - DD'!D454:G454,"N"),"N","")),"")</f>
        <v>N</v>
      </c>
      <c r="B454" s="191"/>
      <c r="C454" s="945"/>
      <c r="D454" s="524"/>
      <c r="E454" s="559" t="str">
        <f>IF('C-Design&amp;Const'!$M454="","",'C-Design&amp;Const'!$M454)</f>
        <v>N</v>
      </c>
      <c r="F454" s="487"/>
      <c r="G454" s="501"/>
      <c r="H454" s="802" t="str">
        <f>CONCATENATE(IF(F454="N","PLACEHOLDER ROW - ",""),'C-Design&amp;Const'!Z454,IF(F454="N","",J454))</f>
        <v>ISHPO item to be determined per project</v>
      </c>
      <c r="I454" s="130"/>
      <c r="J454" s="578" t="str">
        <f>IF('C-Design&amp;Const'!AG454="","",'C-Design&amp;Const'!AG454)</f>
        <v/>
      </c>
      <c r="K454" s="285" t="str">
        <f>IF(CD50_apply="Yes",IF((COUNTIF(D454:G454,"Y")=COUNTIF('02 - DD'!D454:G454,"Y")),"match","no DD match"),"-")</f>
        <v>match</v>
      </c>
      <c r="L454" s="1410" t="str">
        <f t="shared" si="21"/>
        <v/>
      </c>
      <c r="M454" s="1333"/>
      <c r="N454" s="1333"/>
      <c r="O454" s="1333"/>
      <c r="P454" s="1333"/>
      <c r="Q454" s="1453"/>
      <c r="R454" s="1284"/>
      <c r="S454" s="1284"/>
      <c r="T454" s="1333"/>
      <c r="U454" s="1333"/>
      <c r="V454" s="1333"/>
      <c r="W454" s="1333"/>
      <c r="X454" s="1333"/>
      <c r="Y454" s="1333"/>
      <c r="Z454" s="1333"/>
      <c r="AA454" s="1333"/>
      <c r="AB454" s="1333"/>
      <c r="AC454" s="1333"/>
      <c r="AD454" s="1333"/>
      <c r="AE454" s="1333"/>
      <c r="AF454" s="1333"/>
      <c r="AG454" s="1333"/>
      <c r="AH454" s="1333"/>
      <c r="AI454" s="1333"/>
      <c r="AJ454" s="1333"/>
    </row>
    <row r="455" spans="1:49" x14ac:dyDescent="0.25">
      <c r="A455" s="1407" t="str">
        <f>IF(DD_apply="Yes",IF(COUNTIF('02 - DD'!D460:G460,"Y")&gt;0,"Y",IF(COUNTIF('02 - DD'!D460:G460,"N"),"N","")),"")</f>
        <v/>
      </c>
      <c r="B455" s="191"/>
      <c r="C455" s="945"/>
      <c r="D455" s="524"/>
      <c r="E455" s="524"/>
      <c r="F455" s="524"/>
      <c r="G455" s="803"/>
      <c r="H455" s="804"/>
      <c r="I455" s="130"/>
      <c r="J455" s="578" t="str">
        <f>IF('C-Design&amp;Const'!AG455="","",'C-Design&amp;Const'!AG455)</f>
        <v/>
      </c>
      <c r="K455" s="62"/>
      <c r="L455" s="1410" t="str">
        <f t="shared" si="21"/>
        <v/>
      </c>
      <c r="M455" s="1333"/>
      <c r="N455" s="1333"/>
      <c r="O455" s="1333"/>
      <c r="P455" s="1333"/>
      <c r="Q455" s="1453"/>
      <c r="R455" s="1284"/>
      <c r="S455" s="1284"/>
      <c r="T455" s="1333"/>
      <c r="U455" s="1333"/>
      <c r="V455" s="1333"/>
      <c r="W455" s="1333"/>
      <c r="X455" s="1333"/>
      <c r="Y455" s="1333"/>
      <c r="Z455" s="1333"/>
      <c r="AA455" s="1333"/>
      <c r="AB455" s="1333"/>
      <c r="AC455" s="1333"/>
      <c r="AD455" s="1333"/>
      <c r="AE455" s="1333"/>
      <c r="AF455" s="1333"/>
      <c r="AG455" s="1333"/>
      <c r="AH455" s="1333"/>
      <c r="AI455" s="1333"/>
      <c r="AJ455" s="1333"/>
    </row>
    <row r="456" spans="1:49" s="30" customFormat="1" ht="18.75" x14ac:dyDescent="0.25">
      <c r="A456" s="1407"/>
      <c r="B456" s="1273"/>
      <c r="C456" s="1514"/>
      <c r="D456" s="1364"/>
      <c r="E456" s="1364"/>
      <c r="F456" s="1364"/>
      <c r="G456" s="1499"/>
      <c r="H456" s="1333"/>
      <c r="I456" s="1469"/>
      <c r="J456" s="1382"/>
      <c r="K456" s="1351"/>
      <c r="L456" s="1384"/>
      <c r="M456" s="1382"/>
      <c r="N456" s="1382"/>
      <c r="O456" s="1382"/>
      <c r="P456" s="1382"/>
      <c r="Q456" s="1382"/>
      <c r="R456" s="1382"/>
      <c r="S456" s="1382"/>
      <c r="T456" s="1382"/>
      <c r="U456" s="1382"/>
      <c r="V456" s="1382"/>
      <c r="W456" s="1382"/>
      <c r="X456" s="1382"/>
      <c r="Y456" s="1382"/>
      <c r="Z456" s="1382"/>
      <c r="AA456" s="1382"/>
      <c r="AB456" s="1382"/>
      <c r="AC456" s="1382"/>
      <c r="AD456" s="1382"/>
      <c r="AE456" s="1382"/>
      <c r="AF456" s="1382"/>
      <c r="AG456" s="1382"/>
      <c r="AH456" s="1382"/>
      <c r="AI456" s="1382"/>
      <c r="AJ456" s="1382"/>
      <c r="AK456" s="181"/>
      <c r="AL456" s="181"/>
      <c r="AM456" s="181"/>
      <c r="AN456" s="181"/>
      <c r="AO456" s="181"/>
      <c r="AP456" s="181"/>
      <c r="AQ456" s="181"/>
      <c r="AR456" s="181"/>
      <c r="AS456" s="181"/>
      <c r="AT456" s="181"/>
      <c r="AU456" s="181"/>
      <c r="AV456" s="181"/>
      <c r="AW456" s="181"/>
    </row>
    <row r="457" spans="1:49" s="30" customFormat="1" ht="15" customHeight="1" x14ac:dyDescent="0.25">
      <c r="A457" s="1407"/>
      <c r="B457" s="1273"/>
      <c r="C457" s="1493"/>
      <c r="D457" s="1364"/>
      <c r="E457" s="1364"/>
      <c r="F457" s="1364"/>
      <c r="G457" s="1499"/>
      <c r="H457" s="1333"/>
      <c r="I457" s="1469"/>
      <c r="J457" s="1274"/>
      <c r="K457" s="1351"/>
      <c r="L457" s="1471"/>
      <c r="M457" s="1274"/>
      <c r="N457" s="1382"/>
      <c r="O457" s="1382"/>
      <c r="P457" s="1382"/>
      <c r="Q457" s="1382"/>
      <c r="R457" s="1382"/>
      <c r="S457" s="1382"/>
      <c r="T457" s="1382"/>
      <c r="U457" s="1382"/>
      <c r="V457" s="1382"/>
      <c r="W457" s="1382"/>
      <c r="X457" s="1382"/>
      <c r="Y457" s="1382"/>
      <c r="Z457" s="1382"/>
      <c r="AA457" s="1382"/>
      <c r="AB457" s="1382"/>
      <c r="AC457" s="1382"/>
      <c r="AD457" s="1382"/>
      <c r="AE457" s="1382"/>
      <c r="AF457" s="1382"/>
      <c r="AG457" s="1382"/>
      <c r="AH457" s="1382"/>
      <c r="AI457" s="1382"/>
      <c r="AJ457" s="1382"/>
      <c r="AK457" s="181"/>
      <c r="AL457" s="181"/>
      <c r="AM457" s="181"/>
      <c r="AN457" s="181"/>
      <c r="AO457" s="181"/>
      <c r="AP457" s="181"/>
      <c r="AQ457" s="181"/>
      <c r="AR457" s="181"/>
      <c r="AS457" s="181"/>
      <c r="AT457" s="181"/>
      <c r="AU457" s="181"/>
      <c r="AV457" s="181"/>
      <c r="AW457" s="181"/>
    </row>
    <row r="458" spans="1:49" s="30" customFormat="1" ht="15" customHeight="1" x14ac:dyDescent="0.25">
      <c r="A458" s="1407"/>
      <c r="B458" s="1273"/>
      <c r="C458" s="1493"/>
      <c r="D458" s="1364"/>
      <c r="E458" s="1364"/>
      <c r="F458" s="1364"/>
      <c r="G458" s="1499"/>
      <c r="H458" s="1333"/>
      <c r="I458" s="1469"/>
      <c r="J458" s="1274"/>
      <c r="K458" s="1351"/>
      <c r="L458" s="1472"/>
      <c r="M458" s="1274"/>
      <c r="N458" s="1382"/>
      <c r="O458" s="1382"/>
      <c r="P458" s="1382"/>
      <c r="Q458" s="1382"/>
      <c r="R458" s="1382"/>
      <c r="S458" s="1382"/>
      <c r="T458" s="1382"/>
      <c r="U458" s="1382"/>
      <c r="V458" s="1382"/>
      <c r="W458" s="1382"/>
      <c r="X458" s="1382"/>
      <c r="Y458" s="1382"/>
      <c r="Z458" s="1382"/>
      <c r="AA458" s="1382"/>
      <c r="AB458" s="1382"/>
      <c r="AC458" s="1382"/>
      <c r="AD458" s="1382"/>
      <c r="AE458" s="1382"/>
      <c r="AF458" s="1382"/>
      <c r="AG458" s="1382"/>
      <c r="AH458" s="1382"/>
      <c r="AI458" s="1382"/>
      <c r="AJ458" s="1382"/>
      <c r="AK458" s="181"/>
      <c r="AL458" s="181"/>
      <c r="AM458" s="181"/>
      <c r="AN458" s="181"/>
      <c r="AO458" s="181"/>
      <c r="AP458" s="181"/>
      <c r="AQ458" s="181"/>
      <c r="AR458" s="181"/>
      <c r="AS458" s="181"/>
      <c r="AT458" s="181"/>
      <c r="AU458" s="181"/>
      <c r="AV458" s="181"/>
      <c r="AW458" s="181"/>
    </row>
    <row r="459" spans="1:49" x14ac:dyDescent="0.25">
      <c r="A459" s="1515"/>
      <c r="B459" s="1405"/>
      <c r="C459" s="1497"/>
      <c r="D459" s="1474"/>
      <c r="E459" s="1474"/>
      <c r="F459" s="1474"/>
      <c r="G459" s="1498"/>
      <c r="H459" s="1369"/>
      <c r="I459" s="1406"/>
      <c r="J459" s="1333"/>
      <c r="K459" s="1333"/>
      <c r="L459" s="1333"/>
      <c r="M459" s="1274"/>
      <c r="N459" s="1333"/>
      <c r="O459" s="1333"/>
      <c r="P459" s="1333"/>
      <c r="Q459" s="1453"/>
      <c r="R459" s="1284"/>
      <c r="S459" s="1284"/>
      <c r="T459" s="1333"/>
      <c r="U459" s="1333"/>
      <c r="V459" s="1333"/>
      <c r="W459" s="1333"/>
      <c r="X459" s="1333"/>
      <c r="Y459" s="1333"/>
      <c r="Z459" s="1333"/>
      <c r="AA459" s="1333"/>
      <c r="AB459" s="1333"/>
      <c r="AC459" s="1333"/>
      <c r="AD459" s="1333"/>
      <c r="AE459" s="1333"/>
      <c r="AF459" s="1333"/>
      <c r="AG459" s="1333"/>
      <c r="AH459" s="1333"/>
      <c r="AI459" s="1333"/>
      <c r="AJ459" s="1333"/>
    </row>
    <row r="460" spans="1:49" x14ac:dyDescent="0.25">
      <c r="A460" s="1508"/>
      <c r="B460" s="1285"/>
      <c r="C460" s="1284"/>
      <c r="D460" s="1364"/>
      <c r="E460" s="1364"/>
      <c r="F460" s="1364"/>
      <c r="G460" s="1499"/>
      <c r="H460" s="1333"/>
      <c r="I460" s="1467"/>
      <c r="J460" s="1374"/>
      <c r="K460" s="1374"/>
      <c r="L460" s="1374"/>
      <c r="M460" s="1374"/>
      <c r="N460" s="1333"/>
      <c r="O460" s="1333"/>
      <c r="P460" s="1333"/>
      <c r="Q460" s="1453"/>
      <c r="R460" s="1284"/>
      <c r="S460" s="1284"/>
      <c r="T460" s="1333"/>
      <c r="U460" s="1333"/>
      <c r="V460" s="1333"/>
      <c r="W460" s="1333"/>
      <c r="X460" s="1333"/>
      <c r="Y460" s="1333"/>
      <c r="Z460" s="1333"/>
      <c r="AA460" s="1333"/>
      <c r="AB460" s="1333"/>
      <c r="AC460" s="1333"/>
      <c r="AD460" s="1333"/>
      <c r="AE460" s="1333"/>
      <c r="AF460" s="1333"/>
      <c r="AG460" s="1333"/>
      <c r="AH460" s="1333"/>
      <c r="AI460" s="1333"/>
      <c r="AJ460" s="1333"/>
    </row>
    <row r="461" spans="1:49" x14ac:dyDescent="0.25">
      <c r="A461" s="1508"/>
      <c r="B461" s="1285"/>
      <c r="C461" s="1284"/>
      <c r="D461" s="1364"/>
      <c r="E461" s="1364"/>
      <c r="F461" s="1364"/>
      <c r="G461" s="1499"/>
      <c r="H461" s="1333"/>
      <c r="I461" s="1467"/>
      <c r="J461" s="1333"/>
      <c r="K461" s="1351"/>
      <c r="L461" s="1351"/>
      <c r="M461" s="1333"/>
      <c r="N461" s="1333"/>
      <c r="O461" s="1333"/>
      <c r="P461" s="1333"/>
      <c r="Q461" s="1453"/>
      <c r="R461" s="1284"/>
      <c r="S461" s="1284"/>
      <c r="T461" s="1333"/>
      <c r="U461" s="1333"/>
      <c r="V461" s="1333"/>
      <c r="W461" s="1333"/>
      <c r="X461" s="1333"/>
      <c r="Y461" s="1333"/>
      <c r="Z461" s="1333"/>
      <c r="AA461" s="1333"/>
      <c r="AB461" s="1333"/>
      <c r="AC461" s="1333"/>
      <c r="AD461" s="1333"/>
      <c r="AE461" s="1333"/>
      <c r="AF461" s="1333"/>
      <c r="AG461" s="1333"/>
      <c r="AH461" s="1333"/>
      <c r="AI461" s="1333"/>
      <c r="AJ461" s="1333"/>
    </row>
    <row r="462" spans="1:49" x14ac:dyDescent="0.25">
      <c r="A462" s="1508"/>
      <c r="B462" s="1285"/>
      <c r="C462" s="1287" t="str">
        <f ca="1">CONCATENATE("UIUC Template Change Log hidden below for TAB [",MID(CELL("filename",C15),FIND("]",CELL("filename",C15))+1,255),"] :")</f>
        <v>UIUC Template Change Log hidden below for TAB [03 - 50% CD] :</v>
      </c>
      <c r="D462" s="1364"/>
      <c r="E462" s="1364"/>
      <c r="F462" s="1364"/>
      <c r="G462" s="1499"/>
      <c r="H462" s="1333"/>
      <c r="I462" s="1467"/>
      <c r="J462" s="1333"/>
      <c r="K462" s="1351"/>
      <c r="L462" s="1351"/>
      <c r="M462" s="1333"/>
      <c r="N462" s="1333"/>
      <c r="O462" s="1333"/>
      <c r="P462" s="1333"/>
      <c r="Q462" s="1453"/>
      <c r="R462" s="1284"/>
      <c r="S462" s="1284"/>
      <c r="T462" s="1333"/>
      <c r="U462" s="1333"/>
      <c r="V462" s="1333"/>
      <c r="W462" s="1333"/>
      <c r="X462" s="1333"/>
      <c r="Y462" s="1333"/>
      <c r="Z462" s="1333"/>
      <c r="AA462" s="1333"/>
      <c r="AB462" s="1333"/>
      <c r="AC462" s="1333"/>
      <c r="AD462" s="1333"/>
      <c r="AE462" s="1333"/>
      <c r="AF462" s="1333"/>
      <c r="AG462" s="1333"/>
      <c r="AH462" s="1333"/>
      <c r="AI462" s="1333"/>
      <c r="AJ462" s="1333"/>
    </row>
    <row r="463" spans="1:49" x14ac:dyDescent="0.25">
      <c r="A463" s="1407"/>
      <c r="B463" s="1284"/>
      <c r="C463" s="1291"/>
      <c r="D463" s="1284"/>
      <c r="E463" s="1303"/>
      <c r="F463" s="1364"/>
      <c r="G463" s="1499"/>
      <c r="H463" s="1333"/>
      <c r="I463" s="1333"/>
      <c r="J463" s="1333"/>
      <c r="K463" s="1333"/>
      <c r="L463" s="1333"/>
      <c r="M463" s="1333"/>
      <c r="N463" s="1333"/>
      <c r="O463" s="1333"/>
      <c r="P463" s="1333"/>
      <c r="Q463" s="1453"/>
      <c r="R463" s="1284"/>
      <c r="S463" s="1284"/>
      <c r="T463" s="1333"/>
      <c r="U463" s="1333"/>
      <c r="V463" s="1333"/>
      <c r="W463" s="1333"/>
      <c r="X463" s="1333"/>
      <c r="Y463" s="1333"/>
      <c r="Z463" s="1333"/>
      <c r="AA463" s="1333"/>
      <c r="AB463" s="1333"/>
      <c r="AC463" s="1333"/>
      <c r="AD463" s="1333"/>
      <c r="AE463" s="1333"/>
      <c r="AF463" s="1333"/>
      <c r="AG463" s="1333"/>
      <c r="AH463" s="1333"/>
      <c r="AI463" s="1333"/>
      <c r="AJ463" s="1333"/>
    </row>
    <row r="464" spans="1:49" hidden="1" x14ac:dyDescent="0.25">
      <c r="A464" s="1407"/>
      <c r="B464" s="1284"/>
      <c r="C464" s="2062">
        <v>42486</v>
      </c>
      <c r="D464" s="2062"/>
      <c r="E464" s="2062"/>
      <c r="F464" s="1297"/>
      <c r="G464" s="1297" t="s">
        <v>639</v>
      </c>
      <c r="H464" s="1333"/>
      <c r="I464" s="1333"/>
      <c r="J464" s="1333"/>
      <c r="K464" s="1333"/>
      <c r="L464" s="1333"/>
      <c r="M464" s="1333"/>
      <c r="N464" s="1333"/>
      <c r="O464" s="1333"/>
      <c r="P464" s="1333"/>
      <c r="Q464" s="1284"/>
      <c r="R464" s="1488"/>
      <c r="S464" s="1284"/>
      <c r="T464" s="1333"/>
      <c r="U464" s="1333"/>
      <c r="V464" s="1333"/>
      <c r="W464" s="1333"/>
      <c r="X464" s="1333"/>
      <c r="Y464" s="1333"/>
      <c r="Z464" s="1333"/>
      <c r="AA464" s="1333"/>
      <c r="AB464" s="1333"/>
      <c r="AC464" s="1333"/>
      <c r="AD464" s="1333"/>
      <c r="AE464" s="1333"/>
      <c r="AF464" s="1333"/>
      <c r="AG464" s="1333"/>
      <c r="AH464" s="1333"/>
      <c r="AI464" s="1333"/>
      <c r="AJ464" s="1333"/>
    </row>
    <row r="465" spans="1:36" hidden="1" x14ac:dyDescent="0.25">
      <c r="A465" s="1407"/>
      <c r="B465" s="1284"/>
      <c r="C465" s="2062"/>
      <c r="D465" s="2062"/>
      <c r="E465" s="2062"/>
      <c r="F465" s="1297"/>
      <c r="G465" s="1297" t="s">
        <v>675</v>
      </c>
      <c r="H465" s="1333"/>
      <c r="I465" s="1333"/>
      <c r="J465" s="1333"/>
      <c r="K465" s="1333"/>
      <c r="L465" s="1333"/>
      <c r="M465" s="1333"/>
      <c r="N465" s="1333"/>
      <c r="O465" s="1333"/>
      <c r="P465" s="1333"/>
      <c r="Q465" s="1453"/>
      <c r="R465" s="1284"/>
      <c r="S465" s="1284"/>
      <c r="T465" s="1333"/>
      <c r="U465" s="1333"/>
      <c r="V465" s="1333"/>
      <c r="W465" s="1333"/>
      <c r="X465" s="1333"/>
      <c r="Y465" s="1333"/>
      <c r="Z465" s="1333"/>
      <c r="AA465" s="1333"/>
      <c r="AB465" s="1333"/>
      <c r="AC465" s="1333"/>
      <c r="AD465" s="1333"/>
      <c r="AE465" s="1333"/>
      <c r="AF465" s="1333"/>
      <c r="AG465" s="1333"/>
      <c r="AH465" s="1333"/>
      <c r="AI465" s="1333"/>
      <c r="AJ465" s="1333"/>
    </row>
    <row r="466" spans="1:36" hidden="1" x14ac:dyDescent="0.25">
      <c r="A466" s="1407"/>
      <c r="B466" s="1284"/>
      <c r="C466" s="1291"/>
      <c r="D466" s="1284"/>
      <c r="E466" s="1303"/>
      <c r="F466" s="1364"/>
      <c r="G466" s="1499"/>
      <c r="H466" s="1333"/>
      <c r="I466" s="1333"/>
      <c r="J466" s="1333"/>
      <c r="K466" s="1333"/>
      <c r="L466" s="1333"/>
      <c r="M466" s="1333"/>
      <c r="N466" s="1333"/>
      <c r="O466" s="1333"/>
      <c r="P466" s="1333"/>
      <c r="Q466" s="1453"/>
      <c r="R466" s="1284"/>
      <c r="S466" s="1284"/>
      <c r="T466" s="1333"/>
      <c r="U466" s="1333"/>
      <c r="V466" s="1333"/>
      <c r="W466" s="1333"/>
      <c r="X466" s="1333"/>
      <c r="Y466" s="1333"/>
      <c r="Z466" s="1333"/>
      <c r="AA466" s="1333"/>
      <c r="AB466" s="1333"/>
      <c r="AC466" s="1333"/>
      <c r="AD466" s="1333"/>
      <c r="AE466" s="1333"/>
      <c r="AF466" s="1333"/>
      <c r="AG466" s="1333"/>
      <c r="AH466" s="1333"/>
      <c r="AI466" s="1333"/>
      <c r="AJ466" s="1333"/>
    </row>
    <row r="467" spans="1:36" hidden="1" x14ac:dyDescent="0.25">
      <c r="A467" s="1407"/>
      <c r="B467" s="1284"/>
      <c r="C467" s="2062">
        <v>42490</v>
      </c>
      <c r="D467" s="2062"/>
      <c r="E467" s="2062"/>
      <c r="F467" s="1297"/>
      <c r="G467" s="1297" t="s">
        <v>684</v>
      </c>
      <c r="H467" s="1333"/>
      <c r="I467" s="1333"/>
      <c r="J467" s="1333"/>
      <c r="K467" s="1333"/>
      <c r="L467" s="1333"/>
      <c r="M467" s="1333"/>
      <c r="N467" s="1333"/>
      <c r="O467" s="1333"/>
      <c r="P467" s="1333"/>
      <c r="Q467" s="1284"/>
      <c r="R467" s="1489"/>
      <c r="S467" s="1284"/>
      <c r="T467" s="1333"/>
      <c r="U467" s="1333"/>
      <c r="V467" s="1333"/>
      <c r="W467" s="1333"/>
      <c r="X467" s="1333"/>
      <c r="Y467" s="1333"/>
      <c r="Z467" s="1333"/>
      <c r="AA467" s="1333"/>
      <c r="AB467" s="1333"/>
      <c r="AC467" s="1333"/>
      <c r="AD467" s="1333"/>
      <c r="AE467" s="1333"/>
      <c r="AF467" s="1333"/>
      <c r="AG467" s="1333"/>
      <c r="AH467" s="1333"/>
      <c r="AI467" s="1333"/>
      <c r="AJ467" s="1333"/>
    </row>
    <row r="468" spans="1:36" hidden="1" x14ac:dyDescent="0.25">
      <c r="A468" s="1331"/>
      <c r="B468" s="1284"/>
      <c r="C468" s="1291"/>
      <c r="D468" s="1284"/>
      <c r="E468" s="1303"/>
      <c r="F468" s="1364"/>
      <c r="G468" s="1291" t="s">
        <v>688</v>
      </c>
      <c r="H468" s="1333"/>
      <c r="I468" s="1333"/>
      <c r="J468" s="1333"/>
      <c r="K468" s="1333"/>
      <c r="L468" s="1333"/>
      <c r="M468" s="1333"/>
      <c r="N468" s="1333"/>
      <c r="O468" s="1333"/>
      <c r="P468" s="1333"/>
      <c r="Q468" s="1453"/>
      <c r="R468" s="1284"/>
      <c r="S468" s="1284"/>
      <c r="T468" s="1333"/>
      <c r="U468" s="1333"/>
      <c r="V468" s="1333"/>
      <c r="W468" s="1333"/>
      <c r="X468" s="1333"/>
      <c r="Y468" s="1333"/>
      <c r="Z468" s="1333"/>
      <c r="AA468" s="1333"/>
      <c r="AB468" s="1333"/>
      <c r="AC468" s="1333"/>
      <c r="AD468" s="1333"/>
      <c r="AE468" s="1333"/>
      <c r="AF468" s="1333"/>
      <c r="AG468" s="1333"/>
      <c r="AH468" s="1333"/>
      <c r="AI468" s="1333"/>
      <c r="AJ468" s="1333"/>
    </row>
    <row r="469" spans="1:36" hidden="1" x14ac:dyDescent="0.25">
      <c r="A469" s="1331"/>
      <c r="B469" s="1284"/>
      <c r="C469" s="1291"/>
      <c r="D469" s="1284"/>
      <c r="E469" s="1303"/>
      <c r="F469" s="1364"/>
      <c r="G469" s="1291" t="s">
        <v>689</v>
      </c>
      <c r="H469" s="1333"/>
      <c r="I469" s="1333"/>
      <c r="J469" s="1333"/>
      <c r="K469" s="1333"/>
      <c r="L469" s="1333"/>
      <c r="M469" s="1333"/>
      <c r="N469" s="1333"/>
      <c r="O469" s="1333"/>
      <c r="P469" s="1333"/>
      <c r="Q469" s="1453"/>
      <c r="R469" s="1284"/>
      <c r="S469" s="1284"/>
      <c r="T469" s="1333"/>
      <c r="U469" s="1333"/>
      <c r="V469" s="1333"/>
      <c r="W469" s="1333"/>
      <c r="X469" s="1333"/>
      <c r="Y469" s="1333"/>
      <c r="Z469" s="1333"/>
      <c r="AA469" s="1333"/>
      <c r="AB469" s="1333"/>
      <c r="AC469" s="1333"/>
      <c r="AD469" s="1333"/>
      <c r="AE469" s="1333"/>
      <c r="AF469" s="1333"/>
      <c r="AG469" s="1333"/>
      <c r="AH469" s="1333"/>
      <c r="AI469" s="1333"/>
      <c r="AJ469" s="1333"/>
    </row>
    <row r="470" spans="1:36" hidden="1" x14ac:dyDescent="0.25">
      <c r="A470" s="1331"/>
      <c r="B470" s="1284"/>
      <c r="C470" s="1291"/>
      <c r="D470" s="1284"/>
      <c r="E470" s="1303"/>
      <c r="F470" s="1364"/>
      <c r="G470" s="1291"/>
      <c r="H470" s="1284"/>
      <c r="I470" s="1333"/>
      <c r="J470" s="1333"/>
      <c r="K470" s="1333"/>
      <c r="L470" s="1333"/>
      <c r="M470" s="1333"/>
      <c r="N470" s="1333"/>
      <c r="O470" s="1333"/>
      <c r="P470" s="1333"/>
      <c r="Q470" s="1453"/>
      <c r="R470" s="1284"/>
      <c r="S470" s="1284"/>
      <c r="T470" s="1333"/>
      <c r="U470" s="1333"/>
      <c r="V470" s="1333"/>
      <c r="W470" s="1333"/>
      <c r="X470" s="1333"/>
      <c r="Y470" s="1333"/>
      <c r="Z470" s="1333"/>
      <c r="AA470" s="1333"/>
      <c r="AB470" s="1333"/>
      <c r="AC470" s="1333"/>
      <c r="AD470" s="1333"/>
      <c r="AE470" s="1333"/>
      <c r="AF470" s="1333"/>
      <c r="AG470" s="1333"/>
      <c r="AH470" s="1333"/>
      <c r="AI470" s="1333"/>
      <c r="AJ470" s="1333"/>
    </row>
    <row r="471" spans="1:36" hidden="1" x14ac:dyDescent="0.25">
      <c r="A471" s="1331"/>
      <c r="B471" s="1284"/>
      <c r="C471" s="2062">
        <v>42492</v>
      </c>
      <c r="D471" s="2062"/>
      <c r="E471" s="2062"/>
      <c r="F471" s="1297"/>
      <c r="G471" s="1297" t="s">
        <v>695</v>
      </c>
      <c r="H471" s="1284"/>
      <c r="I471" s="1333"/>
      <c r="J471" s="1333"/>
      <c r="K471" s="1333"/>
      <c r="L471" s="1333"/>
      <c r="M471" s="1333"/>
      <c r="N471" s="1333"/>
      <c r="O471" s="1333"/>
      <c r="P471" s="1333"/>
      <c r="Q471" s="1453"/>
      <c r="R471" s="1284"/>
      <c r="S471" s="1284"/>
      <c r="T471" s="1333"/>
      <c r="U471" s="1333"/>
      <c r="V471" s="1333"/>
      <c r="W471" s="1333"/>
      <c r="X471" s="1333"/>
      <c r="Y471" s="1333"/>
      <c r="Z471" s="1333"/>
      <c r="AA471" s="1333"/>
      <c r="AB471" s="1333"/>
      <c r="AC471" s="1333"/>
      <c r="AD471" s="1333"/>
      <c r="AE471" s="1333"/>
      <c r="AF471" s="1333"/>
      <c r="AG471" s="1333"/>
      <c r="AH471" s="1333"/>
      <c r="AI471" s="1333"/>
      <c r="AJ471" s="1333"/>
    </row>
    <row r="472" spans="1:36" hidden="1" x14ac:dyDescent="0.25">
      <c r="A472" s="1331"/>
      <c r="B472" s="1284"/>
      <c r="C472" s="1291"/>
      <c r="D472" s="1284"/>
      <c r="E472" s="1291"/>
      <c r="F472" s="1284"/>
      <c r="G472" s="1291"/>
      <c r="H472" s="1284"/>
      <c r="I472" s="1333"/>
      <c r="J472" s="1333"/>
      <c r="K472" s="1333"/>
      <c r="L472" s="1333"/>
      <c r="M472" s="1333"/>
      <c r="N472" s="1333"/>
      <c r="O472" s="1333"/>
      <c r="P472" s="1333"/>
      <c r="Q472" s="1453"/>
      <c r="R472" s="1284"/>
      <c r="S472" s="1284"/>
      <c r="T472" s="1333"/>
      <c r="U472" s="1333"/>
      <c r="V472" s="1333"/>
      <c r="W472" s="1333"/>
      <c r="X472" s="1333"/>
      <c r="Y472" s="1333"/>
      <c r="Z472" s="1333"/>
      <c r="AA472" s="1333"/>
      <c r="AB472" s="1333"/>
      <c r="AC472" s="1333"/>
      <c r="AD472" s="1333"/>
      <c r="AE472" s="1333"/>
      <c r="AF472" s="1333"/>
      <c r="AG472" s="1333"/>
      <c r="AH472" s="1333"/>
      <c r="AI472" s="1333"/>
      <c r="AJ472" s="1333"/>
    </row>
    <row r="473" spans="1:36" hidden="1" x14ac:dyDescent="0.25">
      <c r="A473" s="1331"/>
      <c r="B473" s="1284"/>
      <c r="C473" s="2062">
        <v>42496</v>
      </c>
      <c r="D473" s="2062"/>
      <c r="E473" s="2062"/>
      <c r="F473" s="1297"/>
      <c r="G473" s="1297" t="s">
        <v>720</v>
      </c>
      <c r="H473" s="1284"/>
      <c r="I473" s="1333"/>
      <c r="J473" s="1333"/>
      <c r="K473" s="1333"/>
      <c r="L473" s="1333"/>
      <c r="M473" s="1333"/>
      <c r="N473" s="1333"/>
      <c r="O473" s="1333"/>
      <c r="P473" s="1333"/>
      <c r="Q473" s="1284"/>
      <c r="R473" s="1489"/>
      <c r="S473" s="1284"/>
      <c r="T473" s="1333"/>
      <c r="U473" s="1333"/>
      <c r="V473" s="1333"/>
      <c r="W473" s="1333"/>
      <c r="X473" s="1333"/>
      <c r="Y473" s="1333"/>
      <c r="Z473" s="1333"/>
      <c r="AA473" s="1333"/>
      <c r="AB473" s="1333"/>
      <c r="AC473" s="1333"/>
      <c r="AD473" s="1333"/>
      <c r="AE473" s="1333"/>
      <c r="AF473" s="1333"/>
      <c r="AG473" s="1333"/>
      <c r="AH473" s="1333"/>
      <c r="AI473" s="1333"/>
      <c r="AJ473" s="1333"/>
    </row>
    <row r="474" spans="1:36" hidden="1" x14ac:dyDescent="0.25">
      <c r="A474" s="1331"/>
      <c r="B474" s="1284"/>
      <c r="C474" s="1291"/>
      <c r="D474" s="1284"/>
      <c r="E474" s="1500"/>
      <c r="F474" s="1284"/>
      <c r="G474" s="1291"/>
      <c r="H474" s="1284"/>
      <c r="I474" s="1333"/>
      <c r="J474" s="1333"/>
      <c r="K474" s="1333"/>
      <c r="L474" s="1333"/>
      <c r="M474" s="1333"/>
      <c r="N474" s="1333"/>
      <c r="O474" s="1333"/>
      <c r="P474" s="1333"/>
      <c r="Q474" s="1453"/>
      <c r="R474" s="1284"/>
      <c r="S474" s="1284"/>
      <c r="T474" s="1333"/>
      <c r="U474" s="1333"/>
      <c r="V474" s="1333"/>
      <c r="W474" s="1333"/>
      <c r="X474" s="1333"/>
      <c r="Y474" s="1333"/>
      <c r="Z474" s="1333"/>
      <c r="AA474" s="1333"/>
      <c r="AB474" s="1333"/>
      <c r="AC474" s="1333"/>
      <c r="AD474" s="1333"/>
      <c r="AE474" s="1333"/>
      <c r="AF474" s="1333"/>
      <c r="AG474" s="1333"/>
      <c r="AH474" s="1333"/>
      <c r="AI474" s="1333"/>
      <c r="AJ474" s="1333"/>
    </row>
    <row r="475" spans="1:36" hidden="1" x14ac:dyDescent="0.25">
      <c r="A475" s="1331"/>
      <c r="B475" s="1284"/>
      <c r="C475" s="2062">
        <v>42635</v>
      </c>
      <c r="D475" s="2062"/>
      <c r="E475" s="2062"/>
      <c r="F475" s="1297"/>
      <c r="G475" s="1297" t="s">
        <v>838</v>
      </c>
      <c r="H475" s="1284"/>
      <c r="I475" s="1333"/>
      <c r="J475" s="1333"/>
      <c r="K475" s="1333"/>
      <c r="L475" s="1333"/>
      <c r="M475" s="1333"/>
      <c r="N475" s="1333"/>
      <c r="O475" s="1333"/>
      <c r="P475" s="1333"/>
      <c r="Q475" s="1453"/>
      <c r="R475" s="1284"/>
      <c r="S475" s="1284"/>
      <c r="T475" s="1333"/>
      <c r="U475" s="1333"/>
      <c r="V475" s="1333"/>
      <c r="W475" s="1333"/>
      <c r="X475" s="1333"/>
      <c r="Y475" s="1333"/>
      <c r="Z475" s="1333"/>
      <c r="AA475" s="1333"/>
      <c r="AB475" s="1333"/>
      <c r="AC475" s="1333"/>
      <c r="AD475" s="1333"/>
      <c r="AE475" s="1333"/>
      <c r="AF475" s="1333"/>
      <c r="AG475" s="1333"/>
      <c r="AH475" s="1333"/>
      <c r="AI475" s="1333"/>
      <c r="AJ475" s="1333"/>
    </row>
    <row r="476" spans="1:36" hidden="1" x14ac:dyDescent="0.25">
      <c r="A476" s="1331"/>
      <c r="B476" s="1284"/>
      <c r="C476" s="2062"/>
      <c r="D476" s="2062"/>
      <c r="E476" s="2062"/>
      <c r="F476" s="1297"/>
      <c r="G476" s="1297" t="s">
        <v>837</v>
      </c>
      <c r="H476" s="1284"/>
      <c r="I476" s="1333"/>
      <c r="J476" s="1333"/>
      <c r="K476" s="1333"/>
      <c r="L476" s="1333"/>
      <c r="M476" s="1333"/>
      <c r="N476" s="1333"/>
      <c r="O476" s="1333"/>
      <c r="P476" s="1333"/>
      <c r="Q476" s="1453"/>
      <c r="R476" s="1284"/>
      <c r="S476" s="1284"/>
      <c r="T476" s="1333"/>
      <c r="U476" s="1333"/>
      <c r="V476" s="1333"/>
      <c r="W476" s="1333"/>
      <c r="X476" s="1333"/>
      <c r="Y476" s="1333"/>
      <c r="Z476" s="1333"/>
      <c r="AA476" s="1333"/>
      <c r="AB476" s="1333"/>
      <c r="AC476" s="1333"/>
      <c r="AD476" s="1333"/>
      <c r="AE476" s="1333"/>
      <c r="AF476" s="1333"/>
      <c r="AG476" s="1333"/>
      <c r="AH476" s="1333"/>
      <c r="AI476" s="1333"/>
      <c r="AJ476" s="1333"/>
    </row>
    <row r="477" spans="1:36" hidden="1" x14ac:dyDescent="0.25">
      <c r="A477" s="1331"/>
      <c r="B477" s="1284"/>
      <c r="C477" s="1291"/>
      <c r="D477" s="1284"/>
      <c r="E477" s="1291"/>
      <c r="F477" s="1284"/>
      <c r="G477" s="1291"/>
      <c r="H477" s="1284"/>
      <c r="I477" s="1333"/>
      <c r="J477" s="1333"/>
      <c r="K477" s="1333"/>
      <c r="L477" s="1333"/>
      <c r="M477" s="1333"/>
      <c r="N477" s="1333"/>
      <c r="O477" s="1333"/>
      <c r="P477" s="1333"/>
      <c r="Q477" s="1453"/>
      <c r="R477" s="1284"/>
      <c r="S477" s="1284"/>
      <c r="T477" s="1333"/>
      <c r="U477" s="1333"/>
      <c r="V477" s="1333"/>
      <c r="W477" s="1333"/>
      <c r="X477" s="1333"/>
      <c r="Y477" s="1333"/>
      <c r="Z477" s="1333"/>
      <c r="AA477" s="1333"/>
      <c r="AB477" s="1333"/>
      <c r="AC477" s="1333"/>
      <c r="AD477" s="1333"/>
      <c r="AE477" s="1333"/>
      <c r="AF477" s="1333"/>
      <c r="AG477" s="1333"/>
      <c r="AH477" s="1333"/>
      <c r="AI477" s="1333"/>
      <c r="AJ477" s="1333"/>
    </row>
    <row r="478" spans="1:36" hidden="1" x14ac:dyDescent="0.25">
      <c r="A478" s="1331"/>
      <c r="B478" s="1284"/>
      <c r="C478" s="2062">
        <v>42653</v>
      </c>
      <c r="D478" s="2062"/>
      <c r="E478" s="2062"/>
      <c r="F478" s="1297"/>
      <c r="G478" s="1297" t="s">
        <v>867</v>
      </c>
      <c r="H478" s="1333"/>
      <c r="I478" s="1333"/>
      <c r="J478" s="1333"/>
      <c r="K478" s="1333"/>
      <c r="L478" s="1333"/>
      <c r="M478" s="1333"/>
      <c r="N478" s="1333"/>
      <c r="O478" s="1333"/>
      <c r="P478" s="1333"/>
      <c r="Q478" s="1453"/>
      <c r="R478" s="1284"/>
      <c r="S478" s="1284"/>
      <c r="T478" s="1333"/>
      <c r="U478" s="1333"/>
      <c r="V478" s="1333"/>
      <c r="W478" s="1333"/>
      <c r="X478" s="1333"/>
      <c r="Y478" s="1333"/>
      <c r="Z478" s="1333"/>
      <c r="AA478" s="1333"/>
      <c r="AB478" s="1333"/>
      <c r="AC478" s="1333"/>
      <c r="AD478" s="1333"/>
      <c r="AE478" s="1333"/>
      <c r="AF478" s="1333"/>
      <c r="AG478" s="1333"/>
      <c r="AH478" s="1333"/>
      <c r="AI478" s="1333"/>
      <c r="AJ478" s="1333"/>
    </row>
    <row r="479" spans="1:36" hidden="1" x14ac:dyDescent="0.25">
      <c r="A479" s="1331"/>
      <c r="B479" s="1284"/>
      <c r="C479" s="1291"/>
      <c r="D479" s="1284"/>
      <c r="E479" s="1303"/>
      <c r="F479" s="1364"/>
      <c r="G479" s="1365"/>
      <c r="H479" s="1333"/>
      <c r="I479" s="1333"/>
      <c r="J479" s="1333"/>
      <c r="K479" s="1333"/>
      <c r="L479" s="1333"/>
      <c r="M479" s="1333"/>
      <c r="N479" s="1333"/>
      <c r="O479" s="1333"/>
      <c r="P479" s="1333"/>
      <c r="Q479" s="1453"/>
      <c r="R479" s="1284"/>
      <c r="S479" s="1284"/>
      <c r="T479" s="1333"/>
      <c r="U479" s="1333"/>
      <c r="V479" s="1333"/>
      <c r="W479" s="1333"/>
      <c r="X479" s="1333"/>
      <c r="Y479" s="1333"/>
      <c r="Z479" s="1333"/>
      <c r="AA479" s="1333"/>
      <c r="AB479" s="1333"/>
      <c r="AC479" s="1333"/>
      <c r="AD479" s="1333"/>
      <c r="AE479" s="1333"/>
      <c r="AF479" s="1333"/>
      <c r="AG479" s="1333"/>
      <c r="AH479" s="1333"/>
      <c r="AI479" s="1333"/>
      <c r="AJ479" s="1333"/>
    </row>
    <row r="480" spans="1:36" hidden="1" x14ac:dyDescent="0.25">
      <c r="A480" s="1331"/>
      <c r="B480" s="1284"/>
      <c r="C480" s="2062">
        <v>42696</v>
      </c>
      <c r="D480" s="2062"/>
      <c r="E480" s="2062"/>
      <c r="F480" s="1297"/>
      <c r="G480" s="1418" t="s">
        <v>890</v>
      </c>
      <c r="H480" s="1333"/>
      <c r="I480" s="1333"/>
      <c r="J480" s="1333"/>
      <c r="K480" s="1333"/>
      <c r="L480" s="1333"/>
      <c r="M480" s="1333"/>
      <c r="N480" s="1333"/>
      <c r="O480" s="1333"/>
      <c r="P480" s="1333"/>
      <c r="Q480" s="1284"/>
      <c r="R480" s="1489"/>
      <c r="S480" s="1284"/>
      <c r="T480" s="1333"/>
      <c r="U480" s="1333"/>
      <c r="V480" s="1333"/>
      <c r="W480" s="1333"/>
      <c r="X480" s="1333"/>
      <c r="Y480" s="1333"/>
      <c r="Z480" s="1333"/>
      <c r="AA480" s="1333"/>
      <c r="AB480" s="1333"/>
      <c r="AC480" s="1333"/>
      <c r="AD480" s="1333"/>
      <c r="AE480" s="1333"/>
      <c r="AF480" s="1333"/>
      <c r="AG480" s="1333"/>
      <c r="AH480" s="1333"/>
      <c r="AI480" s="1333"/>
      <c r="AJ480" s="1333"/>
    </row>
    <row r="481" spans="1:48" hidden="1" x14ac:dyDescent="0.25">
      <c r="A481" s="1331"/>
      <c r="B481" s="1284"/>
      <c r="C481" s="1291"/>
      <c r="D481" s="1284"/>
      <c r="E481" s="1303"/>
      <c r="F481" s="1364"/>
      <c r="G481" s="1365"/>
      <c r="H481" s="1333"/>
      <c r="I481" s="1333"/>
      <c r="J481" s="1333"/>
      <c r="K481" s="1333"/>
      <c r="L481" s="1333"/>
      <c r="M481" s="1333"/>
      <c r="N481" s="1333"/>
      <c r="O481" s="1333"/>
      <c r="P481" s="1333"/>
      <c r="Q481" s="1453"/>
      <c r="R481" s="1284"/>
      <c r="S481" s="1284"/>
      <c r="T481" s="1333"/>
      <c r="U481" s="1333"/>
      <c r="V481" s="1333"/>
      <c r="W481" s="1333"/>
      <c r="X481" s="1333"/>
      <c r="Y481" s="1333"/>
      <c r="Z481" s="1333"/>
      <c r="AA481" s="1333"/>
      <c r="AB481" s="1333"/>
      <c r="AC481" s="1333"/>
      <c r="AD481" s="1333"/>
      <c r="AE481" s="1333"/>
      <c r="AF481" s="1333"/>
      <c r="AG481" s="1333"/>
      <c r="AH481" s="1333"/>
      <c r="AI481" s="1333"/>
      <c r="AJ481" s="1333"/>
    </row>
    <row r="482" spans="1:48" hidden="1" x14ac:dyDescent="0.25">
      <c r="A482" s="1331"/>
      <c r="B482" s="1284"/>
      <c r="C482" s="2062">
        <v>42702</v>
      </c>
      <c r="D482" s="2062"/>
      <c r="E482" s="2062"/>
      <c r="F482" s="1297"/>
      <c r="G482" s="1418" t="s">
        <v>896</v>
      </c>
      <c r="H482" s="1333"/>
      <c r="I482" s="1333"/>
      <c r="J482" s="1333"/>
      <c r="K482" s="1333"/>
      <c r="L482" s="1333"/>
      <c r="M482" s="1333"/>
      <c r="N482" s="1333"/>
      <c r="O482" s="1333"/>
      <c r="P482" s="1333"/>
      <c r="Q482" s="1453"/>
      <c r="R482" s="1284"/>
      <c r="S482" s="1284"/>
      <c r="T482" s="1333"/>
      <c r="U482" s="1333"/>
      <c r="V482" s="1333"/>
      <c r="W482" s="1333"/>
      <c r="X482" s="1333"/>
      <c r="Y482" s="1333"/>
      <c r="Z482" s="1333"/>
      <c r="AA482" s="1333"/>
      <c r="AB482" s="1333"/>
      <c r="AC482" s="1333"/>
      <c r="AD482" s="1333"/>
      <c r="AE482" s="1333"/>
      <c r="AF482" s="1333"/>
      <c r="AG482" s="1333"/>
      <c r="AH482" s="1333"/>
      <c r="AI482" s="1333"/>
      <c r="AJ482" s="1333"/>
    </row>
    <row r="483" spans="1:48" hidden="1" x14ac:dyDescent="0.25">
      <c r="A483" s="1331"/>
      <c r="B483" s="1284"/>
      <c r="C483" s="2062"/>
      <c r="D483" s="2062"/>
      <c r="E483" s="2062"/>
      <c r="F483" s="1297"/>
      <c r="G483" s="1418" t="s">
        <v>899</v>
      </c>
      <c r="H483" s="1333"/>
      <c r="I483" s="1333"/>
      <c r="J483" s="1333"/>
      <c r="K483" s="1333"/>
      <c r="L483" s="1333"/>
      <c r="M483" s="1333"/>
      <c r="N483" s="1333"/>
      <c r="O483" s="1333"/>
      <c r="P483" s="1333"/>
      <c r="Q483" s="1453"/>
      <c r="R483" s="1284"/>
      <c r="S483" s="1284"/>
      <c r="T483" s="1333"/>
      <c r="U483" s="1333"/>
      <c r="V483" s="1333"/>
      <c r="W483" s="1333"/>
      <c r="X483" s="1333"/>
      <c r="Y483" s="1333"/>
      <c r="Z483" s="1333"/>
      <c r="AA483" s="1333"/>
      <c r="AB483" s="1333"/>
      <c r="AC483" s="1333"/>
      <c r="AD483" s="1333"/>
      <c r="AE483" s="1333"/>
      <c r="AF483" s="1333"/>
      <c r="AG483" s="1333"/>
      <c r="AH483" s="1333"/>
      <c r="AI483" s="1333"/>
      <c r="AJ483" s="1333"/>
    </row>
    <row r="484" spans="1:48" hidden="1" x14ac:dyDescent="0.25">
      <c r="A484" s="1331"/>
      <c r="B484" s="1284"/>
      <c r="C484" s="1284"/>
      <c r="D484" s="1364"/>
      <c r="E484" s="1364"/>
      <c r="F484" s="1364"/>
      <c r="G484" s="1365"/>
      <c r="H484" s="1333"/>
      <c r="I484" s="1333"/>
      <c r="J484" s="1333"/>
      <c r="K484" s="1333"/>
      <c r="L484" s="1333"/>
      <c r="M484" s="1333"/>
      <c r="N484" s="1333"/>
      <c r="O484" s="1333"/>
      <c r="P484" s="1333"/>
      <c r="Q484" s="1453"/>
      <c r="R484" s="1284"/>
      <c r="S484" s="1284"/>
      <c r="T484" s="1333"/>
      <c r="U484" s="1333"/>
      <c r="V484" s="1333"/>
      <c r="W484" s="1333"/>
      <c r="X484" s="1333"/>
      <c r="Y484" s="1333"/>
      <c r="Z484" s="1333"/>
      <c r="AA484" s="1333"/>
      <c r="AB484" s="1333"/>
      <c r="AC484" s="1333"/>
      <c r="AD484" s="1333"/>
      <c r="AE484" s="1333"/>
      <c r="AF484" s="1333"/>
      <c r="AG484" s="1333"/>
      <c r="AH484" s="1333"/>
      <c r="AI484" s="1333"/>
      <c r="AJ484" s="1333"/>
    </row>
    <row r="485" spans="1:48" hidden="1" x14ac:dyDescent="0.25">
      <c r="A485" s="1331"/>
      <c r="B485" s="1284"/>
      <c r="C485" s="2062">
        <v>42947</v>
      </c>
      <c r="D485" s="2062"/>
      <c r="E485" s="2062"/>
      <c r="F485" s="1297"/>
      <c r="G485" s="1297" t="s">
        <v>962</v>
      </c>
      <c r="H485" s="1333"/>
      <c r="I485" s="1333"/>
      <c r="J485" s="1333"/>
      <c r="K485" s="1333"/>
      <c r="L485" s="1333"/>
      <c r="M485" s="1333"/>
      <c r="N485" s="1333"/>
      <c r="O485" s="1333"/>
      <c r="P485" s="1333"/>
      <c r="Q485" s="1453"/>
      <c r="R485" s="1284"/>
      <c r="S485" s="1284"/>
      <c r="T485" s="1333"/>
      <c r="U485" s="1333"/>
      <c r="V485" s="1333"/>
      <c r="W485" s="1333"/>
      <c r="X485" s="1333"/>
      <c r="Y485" s="1333"/>
      <c r="Z485" s="1333"/>
      <c r="AA485" s="1333"/>
      <c r="AB485" s="1333"/>
      <c r="AC485" s="1333"/>
      <c r="AD485" s="1333"/>
      <c r="AE485" s="1333"/>
      <c r="AF485" s="1333"/>
      <c r="AG485" s="1333"/>
      <c r="AH485" s="1333"/>
      <c r="AI485" s="1333"/>
      <c r="AJ485" s="1333"/>
    </row>
    <row r="486" spans="1:48" hidden="1" x14ac:dyDescent="0.25">
      <c r="A486" s="1331"/>
      <c r="B486" s="1284"/>
      <c r="C486" s="2062"/>
      <c r="D486" s="2062"/>
      <c r="E486" s="2062"/>
      <c r="F486" s="1297"/>
      <c r="G486" s="1297" t="s">
        <v>1018</v>
      </c>
      <c r="H486" s="1333"/>
      <c r="I486" s="1333"/>
      <c r="J486" s="1333"/>
      <c r="K486" s="1333"/>
      <c r="L486" s="1333"/>
      <c r="M486" s="1333"/>
      <c r="N486" s="1333"/>
      <c r="O486" s="1333"/>
      <c r="P486" s="1333"/>
      <c r="Q486" s="1453"/>
      <c r="R486" s="1284"/>
      <c r="S486" s="1284"/>
      <c r="T486" s="1333"/>
      <c r="U486" s="1333"/>
      <c r="V486" s="1333"/>
      <c r="W486" s="1333"/>
      <c r="X486" s="1333"/>
      <c r="Y486" s="1333"/>
      <c r="Z486" s="1333"/>
      <c r="AA486" s="1333"/>
      <c r="AB486" s="1333"/>
      <c r="AC486" s="1333"/>
      <c r="AD486" s="1333"/>
      <c r="AE486" s="1333"/>
      <c r="AF486" s="1333"/>
      <c r="AG486" s="1333"/>
      <c r="AH486" s="1333"/>
      <c r="AI486" s="1333"/>
      <c r="AJ486" s="1333"/>
    </row>
    <row r="487" spans="1:48" hidden="1" x14ac:dyDescent="0.25">
      <c r="A487" s="1331"/>
      <c r="B487" s="1284"/>
      <c r="C487" s="2062"/>
      <c r="D487" s="2062"/>
      <c r="E487" s="2062"/>
      <c r="F487" s="1297"/>
      <c r="G487" s="1418" t="s">
        <v>1015</v>
      </c>
      <c r="H487" s="1333"/>
      <c r="I487" s="1333"/>
      <c r="J487" s="1333"/>
      <c r="K487" s="1333"/>
      <c r="L487" s="1333"/>
      <c r="M487" s="1333"/>
      <c r="N487" s="1333"/>
      <c r="O487" s="1333"/>
      <c r="P487" s="1333"/>
      <c r="Q487" s="1284"/>
      <c r="R487" s="1489"/>
      <c r="S487" s="1284"/>
      <c r="T487" s="1333"/>
      <c r="U487" s="1333"/>
      <c r="V487" s="1333"/>
      <c r="W487" s="1333"/>
      <c r="X487" s="1333"/>
      <c r="Y487" s="1333"/>
      <c r="Z487" s="1333"/>
      <c r="AA487" s="1333"/>
      <c r="AB487" s="1333"/>
      <c r="AC487" s="1333"/>
      <c r="AD487" s="1333"/>
      <c r="AE487" s="1333"/>
      <c r="AF487" s="1333"/>
      <c r="AG487" s="1333"/>
      <c r="AH487" s="1333"/>
      <c r="AI487" s="1333"/>
      <c r="AJ487" s="1333"/>
    </row>
    <row r="488" spans="1:48" hidden="1" x14ac:dyDescent="0.25">
      <c r="A488" s="1331"/>
      <c r="B488" s="1284"/>
      <c r="C488" s="2062"/>
      <c r="D488" s="2062"/>
      <c r="E488" s="2062"/>
      <c r="F488" s="1297"/>
      <c r="G488" s="1418" t="s">
        <v>1012</v>
      </c>
      <c r="H488" s="1333"/>
      <c r="I488" s="1333"/>
      <c r="J488" s="1333"/>
      <c r="K488" s="1333"/>
      <c r="L488" s="1333"/>
      <c r="M488" s="1333"/>
      <c r="N488" s="1333"/>
      <c r="O488" s="1333"/>
      <c r="P488" s="1333"/>
      <c r="Q488" s="1453"/>
      <c r="R488" s="1284"/>
      <c r="S488" s="1284"/>
      <c r="T488" s="1333"/>
      <c r="U488" s="1333"/>
      <c r="V488" s="1333"/>
      <c r="W488" s="1333"/>
      <c r="X488" s="1333"/>
      <c r="Y488" s="1333"/>
      <c r="Z488" s="1333"/>
      <c r="AA488" s="1333"/>
      <c r="AB488" s="1333"/>
      <c r="AC488" s="1333"/>
      <c r="AD488" s="1333"/>
      <c r="AE488" s="1333"/>
      <c r="AF488" s="1333"/>
      <c r="AG488" s="1333"/>
      <c r="AH488" s="1333"/>
      <c r="AI488" s="1333"/>
      <c r="AJ488" s="1333"/>
    </row>
    <row r="489" spans="1:48" hidden="1" x14ac:dyDescent="0.25">
      <c r="A489" s="1331"/>
      <c r="B489" s="1284"/>
      <c r="C489" s="2062"/>
      <c r="D489" s="2062"/>
      <c r="E489" s="2062"/>
      <c r="F489" s="1297"/>
      <c r="G489" s="1660" t="s">
        <v>1013</v>
      </c>
      <c r="H489" s="1333"/>
      <c r="I489" s="1333"/>
      <c r="J489" s="1333"/>
      <c r="K489" s="1333"/>
      <c r="L489" s="1333"/>
      <c r="M489" s="1333"/>
      <c r="N489" s="1333"/>
      <c r="O489" s="1333"/>
      <c r="P489" s="1333"/>
      <c r="Q489" s="1453"/>
      <c r="R489" s="1284"/>
      <c r="S489" s="1284"/>
      <c r="T489" s="1333"/>
      <c r="U489" s="1333"/>
      <c r="V489" s="1333"/>
      <c r="W489" s="1333"/>
      <c r="X489" s="1333"/>
      <c r="Y489" s="1333"/>
      <c r="Z489" s="1333"/>
      <c r="AA489" s="1333"/>
      <c r="AB489" s="1333"/>
      <c r="AC489" s="1333"/>
      <c r="AD489" s="1333"/>
      <c r="AE489" s="1333"/>
      <c r="AF489" s="1333"/>
      <c r="AG489" s="1333"/>
      <c r="AH489" s="1333"/>
      <c r="AI489" s="1333"/>
      <c r="AJ489" s="1333"/>
    </row>
    <row r="490" spans="1:48" hidden="1" x14ac:dyDescent="0.25">
      <c r="A490" s="1331"/>
      <c r="B490" s="1284"/>
      <c r="C490" s="2062"/>
      <c r="D490" s="2062"/>
      <c r="E490" s="2062"/>
      <c r="F490" s="1297"/>
      <c r="G490" s="1660" t="s">
        <v>1014</v>
      </c>
      <c r="H490" s="1333"/>
      <c r="I490" s="1333"/>
      <c r="J490" s="1333"/>
      <c r="K490" s="1333"/>
      <c r="L490" s="1333"/>
      <c r="M490" s="1333"/>
      <c r="N490" s="1333"/>
      <c r="O490" s="1333"/>
      <c r="P490" s="1333"/>
      <c r="Q490" s="1453"/>
      <c r="R490" s="1284"/>
      <c r="S490" s="1284"/>
      <c r="T490" s="1333"/>
      <c r="U490" s="1333"/>
      <c r="V490" s="1333"/>
      <c r="W490" s="1333"/>
      <c r="X490" s="1333"/>
      <c r="Y490" s="1333"/>
      <c r="Z490" s="1333"/>
      <c r="AA490" s="1333"/>
      <c r="AB490" s="1333"/>
      <c r="AC490" s="1333"/>
      <c r="AD490" s="1333"/>
      <c r="AE490" s="1333"/>
      <c r="AF490" s="1333"/>
      <c r="AG490" s="1333"/>
      <c r="AH490" s="1333"/>
      <c r="AI490" s="1333"/>
      <c r="AJ490" s="1333"/>
    </row>
    <row r="491" spans="1:48" hidden="1" x14ac:dyDescent="0.25">
      <c r="A491" s="1331"/>
      <c r="B491" s="1284"/>
      <c r="C491" s="2062"/>
      <c r="D491" s="2062"/>
      <c r="E491" s="2062"/>
      <c r="F491" s="1297"/>
      <c r="G491" s="1418"/>
      <c r="H491" s="1333"/>
      <c r="I491" s="1333"/>
      <c r="J491" s="1333"/>
      <c r="K491" s="1333"/>
      <c r="L491" s="1333"/>
      <c r="M491" s="1333"/>
      <c r="N491" s="1333"/>
      <c r="O491" s="1333"/>
      <c r="P491" s="1333"/>
      <c r="Q491" s="1453"/>
      <c r="R491" s="1284"/>
      <c r="S491" s="1284"/>
      <c r="T491" s="1333"/>
      <c r="U491" s="1333"/>
      <c r="V491" s="1333"/>
      <c r="W491" s="1333"/>
      <c r="X491" s="1333"/>
      <c r="Y491" s="1333"/>
      <c r="Z491" s="1333"/>
      <c r="AA491" s="1333"/>
      <c r="AB491" s="1333"/>
      <c r="AC491" s="1333"/>
      <c r="AD491" s="1333"/>
      <c r="AE491" s="1333"/>
      <c r="AF491" s="1333"/>
      <c r="AG491" s="1333"/>
      <c r="AH491" s="1333"/>
      <c r="AI491" s="1333"/>
      <c r="AJ491" s="1333"/>
    </row>
    <row r="492" spans="1:48" hidden="1" x14ac:dyDescent="0.25">
      <c r="A492" s="1331"/>
      <c r="B492" s="1284"/>
      <c r="C492" s="2062">
        <v>42993</v>
      </c>
      <c r="D492" s="2062"/>
      <c r="E492" s="2062"/>
      <c r="F492" s="1297"/>
      <c r="G492" s="1297" t="s">
        <v>1084</v>
      </c>
      <c r="H492" s="1333"/>
      <c r="I492" s="1333"/>
      <c r="J492" s="1333"/>
      <c r="K492" s="1333"/>
      <c r="L492" s="1333"/>
      <c r="M492" s="1333"/>
      <c r="N492" s="1333"/>
      <c r="O492" s="1333"/>
      <c r="P492" s="1333"/>
      <c r="Q492" s="1453"/>
      <c r="R492" s="1284"/>
      <c r="S492" s="1284"/>
      <c r="T492" s="1333"/>
      <c r="U492" s="1333"/>
      <c r="V492" s="1333"/>
      <c r="W492" s="1333"/>
      <c r="X492" s="1333"/>
      <c r="Y492" s="1333"/>
      <c r="Z492" s="1333"/>
      <c r="AA492" s="1333"/>
      <c r="AB492" s="1333"/>
      <c r="AC492" s="1333"/>
      <c r="AD492" s="1333"/>
      <c r="AE492" s="1333"/>
      <c r="AF492" s="1333"/>
      <c r="AG492" s="1333"/>
      <c r="AH492" s="1333"/>
      <c r="AI492" s="1333"/>
      <c r="AJ492" s="1333"/>
    </row>
    <row r="493" spans="1:48" s="542" customFormat="1" hidden="1" x14ac:dyDescent="0.25">
      <c r="A493" s="1331"/>
      <c r="B493" s="1284"/>
      <c r="C493" s="2062"/>
      <c r="D493" s="2062"/>
      <c r="E493" s="2062"/>
      <c r="F493" s="1297"/>
      <c r="G493" s="1297"/>
      <c r="H493" s="1333"/>
      <c r="I493" s="1333"/>
      <c r="J493" s="1333"/>
      <c r="K493" s="1333"/>
      <c r="L493" s="1333"/>
      <c r="M493" s="1333"/>
      <c r="N493" s="1333"/>
      <c r="O493" s="1333"/>
      <c r="P493" s="1333"/>
      <c r="Q493" s="1453"/>
      <c r="R493" s="1284"/>
      <c r="S493" s="1284"/>
      <c r="T493" s="1333"/>
      <c r="U493" s="1333"/>
      <c r="V493" s="1333"/>
      <c r="W493" s="1333"/>
      <c r="X493" s="1333"/>
      <c r="Y493" s="1333"/>
      <c r="Z493" s="1333"/>
      <c r="AA493" s="1333"/>
      <c r="AB493" s="1333"/>
      <c r="AC493" s="1333"/>
      <c r="AD493" s="1333"/>
      <c r="AE493" s="1333"/>
      <c r="AF493" s="1333"/>
      <c r="AG493" s="1333"/>
      <c r="AH493" s="1333"/>
      <c r="AI493" s="1333"/>
      <c r="AJ493" s="1333"/>
      <c r="AK493" s="17"/>
      <c r="AL493" s="17"/>
      <c r="AM493" s="17"/>
      <c r="AN493" s="17"/>
      <c r="AO493" s="17"/>
      <c r="AP493" s="17"/>
      <c r="AQ493" s="17"/>
      <c r="AR493" s="17"/>
      <c r="AS493" s="17"/>
      <c r="AT493" s="17"/>
      <c r="AU493" s="17"/>
      <c r="AV493" s="17"/>
    </row>
    <row r="494" spans="1:48" s="542" customFormat="1" hidden="1" x14ac:dyDescent="0.25">
      <c r="A494" s="1331"/>
      <c r="B494" s="1284"/>
      <c r="C494" s="2062">
        <v>43084</v>
      </c>
      <c r="D494" s="2062"/>
      <c r="E494" s="2062"/>
      <c r="F494" s="1297"/>
      <c r="G494" s="1297" t="s">
        <v>1127</v>
      </c>
      <c r="H494" s="1333"/>
      <c r="I494" s="1333"/>
      <c r="J494" s="1333"/>
      <c r="K494" s="1333"/>
      <c r="L494" s="1333"/>
      <c r="M494" s="1333"/>
      <c r="N494" s="1333"/>
      <c r="O494" s="1333"/>
      <c r="P494" s="1333"/>
      <c r="Q494" s="1453"/>
      <c r="R494" s="1284"/>
      <c r="S494" s="1284"/>
      <c r="T494" s="1333"/>
      <c r="U494" s="1333"/>
      <c r="V494" s="1333"/>
      <c r="W494" s="1333"/>
      <c r="X494" s="1333"/>
      <c r="Y494" s="1333"/>
      <c r="Z494" s="1333"/>
      <c r="AA494" s="1333"/>
      <c r="AB494" s="1333"/>
      <c r="AC494" s="1333"/>
      <c r="AD494" s="1333"/>
      <c r="AE494" s="1333"/>
      <c r="AF494" s="1333"/>
      <c r="AG494" s="1333"/>
      <c r="AH494" s="1333"/>
      <c r="AI494" s="1333"/>
      <c r="AJ494" s="1333"/>
      <c r="AK494" s="17"/>
      <c r="AL494" s="17"/>
      <c r="AM494" s="17"/>
      <c r="AN494" s="17"/>
      <c r="AO494" s="17"/>
      <c r="AP494" s="17"/>
      <c r="AQ494" s="17"/>
      <c r="AR494" s="17"/>
      <c r="AS494" s="17"/>
      <c r="AT494" s="17"/>
      <c r="AU494" s="17"/>
      <c r="AV494" s="17"/>
    </row>
    <row r="495" spans="1:48" s="542" customFormat="1" hidden="1" x14ac:dyDescent="0.25">
      <c r="A495" s="1331"/>
      <c r="B495" s="1284"/>
      <c r="C495" s="2062"/>
      <c r="D495" s="2062"/>
      <c r="E495" s="2062"/>
      <c r="F495" s="1297"/>
      <c r="G495" s="1297"/>
      <c r="H495" s="1333"/>
      <c r="I495" s="1333"/>
      <c r="J495" s="1333"/>
      <c r="K495" s="1333"/>
      <c r="L495" s="1333"/>
      <c r="M495" s="1333"/>
      <c r="N495" s="1333"/>
      <c r="O495" s="1333"/>
      <c r="P495" s="1333"/>
      <c r="Q495" s="1453"/>
      <c r="R495" s="1284"/>
      <c r="S495" s="1284"/>
      <c r="T495" s="1333"/>
      <c r="U495" s="1333"/>
      <c r="V495" s="1333"/>
      <c r="W495" s="1333"/>
      <c r="X495" s="1333"/>
      <c r="Y495" s="1333"/>
      <c r="Z495" s="1333"/>
      <c r="AA495" s="1333"/>
      <c r="AB495" s="1333"/>
      <c r="AC495" s="1333"/>
      <c r="AD495" s="1333"/>
      <c r="AE495" s="1333"/>
      <c r="AF495" s="1333"/>
      <c r="AG495" s="1333"/>
      <c r="AH495" s="1333"/>
      <c r="AI495" s="1333"/>
      <c r="AJ495" s="1333"/>
      <c r="AK495" s="17"/>
      <c r="AL495" s="17"/>
      <c r="AM495" s="17"/>
      <c r="AN495" s="17"/>
      <c r="AO495" s="17"/>
      <c r="AP495" s="17"/>
      <c r="AQ495" s="17"/>
      <c r="AR495" s="17"/>
      <c r="AS495" s="17"/>
      <c r="AT495" s="17"/>
      <c r="AU495" s="17"/>
      <c r="AV495" s="17"/>
    </row>
    <row r="496" spans="1:48" s="542" customFormat="1" x14ac:dyDescent="0.25">
      <c r="A496" s="1331"/>
      <c r="B496" s="1284"/>
      <c r="C496" s="2062"/>
      <c r="D496" s="2062"/>
      <c r="E496" s="2062"/>
      <c r="F496" s="1297"/>
      <c r="G496" s="1297"/>
      <c r="H496" s="1333"/>
      <c r="I496" s="1333"/>
      <c r="J496" s="1333"/>
      <c r="K496" s="1333"/>
      <c r="L496" s="1333"/>
      <c r="M496" s="1333"/>
      <c r="N496" s="1333"/>
      <c r="O496" s="1333"/>
      <c r="P496" s="1333"/>
      <c r="Q496" s="1453"/>
      <c r="R496" s="1284"/>
      <c r="S496" s="1284"/>
      <c r="T496" s="1333"/>
      <c r="U496" s="1333"/>
      <c r="V496" s="1333"/>
      <c r="W496" s="1333"/>
      <c r="X496" s="1333"/>
      <c r="Y496" s="1333"/>
      <c r="Z496" s="1333"/>
      <c r="AA496" s="1333"/>
      <c r="AB496" s="1333"/>
      <c r="AC496" s="1333"/>
      <c r="AD496" s="1333"/>
      <c r="AE496" s="1333"/>
      <c r="AF496" s="1333"/>
      <c r="AG496" s="1333"/>
      <c r="AH496" s="1333"/>
      <c r="AI496" s="1333"/>
      <c r="AJ496" s="1333"/>
      <c r="AK496" s="17"/>
      <c r="AL496" s="17"/>
      <c r="AM496" s="17"/>
      <c r="AN496" s="17"/>
      <c r="AO496" s="17"/>
      <c r="AP496" s="17"/>
      <c r="AQ496" s="17"/>
      <c r="AR496" s="17"/>
      <c r="AS496" s="17"/>
      <c r="AT496" s="17"/>
      <c r="AU496" s="17"/>
      <c r="AV496" s="17"/>
    </row>
    <row r="497" spans="1:48" s="542" customFormat="1" x14ac:dyDescent="0.25">
      <c r="A497" s="1331"/>
      <c r="B497" s="1284"/>
      <c r="C497" s="2062"/>
      <c r="D497" s="2062"/>
      <c r="E497" s="2062"/>
      <c r="F497" s="1297"/>
      <c r="G497" s="1297"/>
      <c r="H497" s="1333"/>
      <c r="I497" s="1333"/>
      <c r="J497" s="1333"/>
      <c r="K497" s="1333"/>
      <c r="L497" s="1333"/>
      <c r="M497" s="1333"/>
      <c r="N497" s="1333"/>
      <c r="O497" s="1333"/>
      <c r="P497" s="1333"/>
      <c r="Q497" s="1453"/>
      <c r="R497" s="1284"/>
      <c r="S497" s="1284"/>
      <c r="T497" s="1333"/>
      <c r="U497" s="1333"/>
      <c r="V497" s="1333"/>
      <c r="W497" s="1333"/>
      <c r="X497" s="1333"/>
      <c r="Y497" s="1333"/>
      <c r="Z497" s="1333"/>
      <c r="AA497" s="1333"/>
      <c r="AB497" s="1333"/>
      <c r="AC497" s="1333"/>
      <c r="AD497" s="1333"/>
      <c r="AE497" s="1333"/>
      <c r="AF497" s="1333"/>
      <c r="AG497" s="1333"/>
      <c r="AH497" s="1333"/>
      <c r="AI497" s="1333"/>
      <c r="AJ497" s="1333"/>
      <c r="AK497" s="17"/>
      <c r="AL497" s="17"/>
      <c r="AM497" s="17"/>
      <c r="AN497" s="17"/>
      <c r="AO497" s="17"/>
      <c r="AP497" s="17"/>
      <c r="AQ497" s="17"/>
      <c r="AR497" s="17"/>
      <c r="AS497" s="17"/>
      <c r="AT497" s="17"/>
      <c r="AU497" s="17"/>
      <c r="AV497" s="17"/>
    </row>
    <row r="498" spans="1:48" s="542" customFormat="1" x14ac:dyDescent="0.25">
      <c r="A498" s="1331"/>
      <c r="B498" s="1284"/>
      <c r="C498" s="2062"/>
      <c r="D498" s="2062"/>
      <c r="E498" s="2062"/>
      <c r="F498" s="1297"/>
      <c r="G498" s="1297"/>
      <c r="H498" s="1333"/>
      <c r="I498" s="1333"/>
      <c r="J498" s="1333"/>
      <c r="K498" s="1333"/>
      <c r="L498" s="1333"/>
      <c r="M498" s="1333"/>
      <c r="N498" s="1333"/>
      <c r="O498" s="1333"/>
      <c r="P498" s="1333"/>
      <c r="Q498" s="1453"/>
      <c r="R498" s="1284"/>
      <c r="S498" s="1284"/>
      <c r="T498" s="1333"/>
      <c r="U498" s="1333"/>
      <c r="V498" s="1333"/>
      <c r="W498" s="1333"/>
      <c r="X498" s="1333"/>
      <c r="Y498" s="1333"/>
      <c r="Z498" s="1333"/>
      <c r="AA498" s="1333"/>
      <c r="AB498" s="1333"/>
      <c r="AC498" s="1333"/>
      <c r="AD498" s="1333"/>
      <c r="AE498" s="1333"/>
      <c r="AF498" s="1333"/>
      <c r="AG498" s="1333"/>
      <c r="AH498" s="1333"/>
      <c r="AI498" s="1333"/>
      <c r="AJ498" s="1333"/>
      <c r="AK498" s="17"/>
      <c r="AL498" s="17"/>
      <c r="AM498" s="17"/>
      <c r="AN498" s="17"/>
      <c r="AO498" s="17"/>
      <c r="AP498" s="17"/>
      <c r="AQ498" s="17"/>
      <c r="AR498" s="17"/>
      <c r="AS498" s="17"/>
      <c r="AT498" s="17"/>
      <c r="AU498" s="17"/>
      <c r="AV498" s="17"/>
    </row>
    <row r="499" spans="1:48" s="542" customFormat="1" x14ac:dyDescent="0.25">
      <c r="A499" s="1331"/>
      <c r="B499" s="1284"/>
      <c r="C499" s="2062"/>
      <c r="D499" s="2062"/>
      <c r="E499" s="2062"/>
      <c r="F499" s="1297"/>
      <c r="G499" s="1297"/>
      <c r="H499" s="1333"/>
      <c r="I499" s="1333"/>
      <c r="J499" s="1333"/>
      <c r="K499" s="1333"/>
      <c r="L499" s="1333"/>
      <c r="M499" s="1333"/>
      <c r="N499" s="1333"/>
      <c r="O499" s="1333"/>
      <c r="P499" s="1333"/>
      <c r="Q499" s="1453"/>
      <c r="R499" s="1284"/>
      <c r="S499" s="1284"/>
      <c r="T499" s="1333"/>
      <c r="U499" s="1333"/>
      <c r="V499" s="1333"/>
      <c r="W499" s="1333"/>
      <c r="X499" s="1333"/>
      <c r="Y499" s="1333"/>
      <c r="Z499" s="1333"/>
      <c r="AA499" s="1333"/>
      <c r="AB499" s="1333"/>
      <c r="AC499" s="1333"/>
      <c r="AD499" s="1333"/>
      <c r="AE499" s="1333"/>
      <c r="AF499" s="1333"/>
      <c r="AG499" s="1333"/>
      <c r="AH499" s="1333"/>
      <c r="AI499" s="1333"/>
      <c r="AJ499" s="1333"/>
      <c r="AK499" s="17"/>
      <c r="AL499" s="17"/>
      <c r="AM499" s="17"/>
      <c r="AN499" s="17"/>
      <c r="AO499" s="17"/>
      <c r="AP499" s="17"/>
      <c r="AQ499" s="17"/>
      <c r="AR499" s="17"/>
      <c r="AS499" s="17"/>
      <c r="AT499" s="17"/>
      <c r="AU499" s="17"/>
      <c r="AV499" s="17"/>
    </row>
    <row r="500" spans="1:48" s="542" customFormat="1" x14ac:dyDescent="0.25">
      <c r="A500" s="1331"/>
      <c r="B500" s="1284"/>
      <c r="C500" s="2062"/>
      <c r="D500" s="2062"/>
      <c r="E500" s="2062"/>
      <c r="F500" s="1297"/>
      <c r="G500" s="1297"/>
      <c r="H500" s="1333"/>
      <c r="I500" s="1333"/>
      <c r="J500" s="1333"/>
      <c r="K500" s="1333"/>
      <c r="L500" s="1333"/>
      <c r="M500" s="1333"/>
      <c r="N500" s="1333"/>
      <c r="O500" s="1333"/>
      <c r="P500" s="1333"/>
      <c r="Q500" s="1453"/>
      <c r="R500" s="1284"/>
      <c r="S500" s="1284"/>
      <c r="T500" s="1333"/>
      <c r="U500" s="1333"/>
      <c r="V500" s="1333"/>
      <c r="W500" s="1333"/>
      <c r="X500" s="1333"/>
      <c r="Y500" s="1333"/>
      <c r="Z500" s="1333"/>
      <c r="AA500" s="1333"/>
      <c r="AB500" s="1333"/>
      <c r="AC500" s="1333"/>
      <c r="AD500" s="1333"/>
      <c r="AE500" s="1333"/>
      <c r="AF500" s="1333"/>
      <c r="AG500" s="1333"/>
      <c r="AH500" s="1333"/>
      <c r="AI500" s="1333"/>
      <c r="AJ500" s="1333"/>
      <c r="AK500" s="17"/>
      <c r="AL500" s="17"/>
      <c r="AM500" s="17"/>
      <c r="AN500" s="17"/>
      <c r="AO500" s="17"/>
      <c r="AP500" s="17"/>
      <c r="AQ500" s="17"/>
      <c r="AR500" s="17"/>
      <c r="AS500" s="17"/>
      <c r="AT500" s="17"/>
      <c r="AU500" s="17"/>
      <c r="AV500" s="17"/>
    </row>
    <row r="501" spans="1:48" s="542" customFormat="1" x14ac:dyDescent="0.25">
      <c r="A501" s="1331"/>
      <c r="B501" s="1284"/>
      <c r="C501" s="2062"/>
      <c r="D501" s="2062"/>
      <c r="E501" s="2062"/>
      <c r="F501" s="1297"/>
      <c r="G501" s="1297"/>
      <c r="H501" s="1333"/>
      <c r="I501" s="1333"/>
      <c r="J501" s="1333"/>
      <c r="K501" s="1333"/>
      <c r="L501" s="1333"/>
      <c r="M501" s="1333"/>
      <c r="N501" s="1333"/>
      <c r="O501" s="1333"/>
      <c r="P501" s="1333"/>
      <c r="Q501" s="1453"/>
      <c r="R501" s="1284"/>
      <c r="S501" s="1284"/>
      <c r="T501" s="1333"/>
      <c r="U501" s="1333"/>
      <c r="V501" s="1333"/>
      <c r="W501" s="1333"/>
      <c r="X501" s="1333"/>
      <c r="Y501" s="1333"/>
      <c r="Z501" s="1333"/>
      <c r="AA501" s="1333"/>
      <c r="AB501" s="1333"/>
      <c r="AC501" s="1333"/>
      <c r="AD501" s="1333"/>
      <c r="AE501" s="1333"/>
      <c r="AF501" s="1333"/>
      <c r="AG501" s="1333"/>
      <c r="AH501" s="1333"/>
      <c r="AI501" s="1333"/>
      <c r="AJ501" s="1333"/>
      <c r="AK501" s="17"/>
      <c r="AL501" s="17"/>
      <c r="AM501" s="17"/>
      <c r="AN501" s="17"/>
      <c r="AO501" s="17"/>
      <c r="AP501" s="17"/>
      <c r="AQ501" s="17"/>
      <c r="AR501" s="17"/>
      <c r="AS501" s="17"/>
      <c r="AT501" s="17"/>
      <c r="AU501" s="17"/>
      <c r="AV501" s="17"/>
    </row>
    <row r="502" spans="1:48" s="542" customFormat="1" x14ac:dyDescent="0.25">
      <c r="A502" s="1331"/>
      <c r="B502" s="1284"/>
      <c r="C502" s="2062"/>
      <c r="D502" s="2062"/>
      <c r="E502" s="2062"/>
      <c r="F502" s="1297"/>
      <c r="G502" s="1297"/>
      <c r="H502" s="1333"/>
      <c r="I502" s="1333"/>
      <c r="J502" s="1333"/>
      <c r="K502" s="1333"/>
      <c r="L502" s="1333"/>
      <c r="M502" s="1333"/>
      <c r="N502" s="1333"/>
      <c r="O502" s="1333"/>
      <c r="P502" s="1333"/>
      <c r="Q502" s="1453"/>
      <c r="R502" s="1284"/>
      <c r="S502" s="1284"/>
      <c r="T502" s="1333"/>
      <c r="U502" s="1333"/>
      <c r="V502" s="1333"/>
      <c r="W502" s="1333"/>
      <c r="X502" s="1333"/>
      <c r="Y502" s="1333"/>
      <c r="Z502" s="1333"/>
      <c r="AA502" s="1333"/>
      <c r="AB502" s="1333"/>
      <c r="AC502" s="1333"/>
      <c r="AD502" s="1333"/>
      <c r="AE502" s="1333"/>
      <c r="AF502" s="1333"/>
      <c r="AG502" s="1333"/>
      <c r="AH502" s="1333"/>
      <c r="AI502" s="1333"/>
      <c r="AJ502" s="1333"/>
      <c r="AK502" s="17"/>
      <c r="AL502" s="17"/>
      <c r="AM502" s="17"/>
      <c r="AN502" s="17"/>
      <c r="AO502" s="17"/>
      <c r="AP502" s="17"/>
      <c r="AQ502" s="17"/>
      <c r="AR502" s="17"/>
      <c r="AS502" s="17"/>
      <c r="AT502" s="17"/>
      <c r="AU502" s="17"/>
      <c r="AV502" s="17"/>
    </row>
    <row r="503" spans="1:48" s="542" customFormat="1" x14ac:dyDescent="0.25">
      <c r="A503" s="1331"/>
      <c r="B503" s="1284"/>
      <c r="C503" s="2062"/>
      <c r="D503" s="2062"/>
      <c r="E503" s="2062"/>
      <c r="F503" s="1297"/>
      <c r="G503" s="1297"/>
      <c r="H503" s="1333"/>
      <c r="I503" s="1333"/>
      <c r="J503" s="1333"/>
      <c r="K503" s="1333"/>
      <c r="L503" s="1333"/>
      <c r="M503" s="1333"/>
      <c r="N503" s="1333"/>
      <c r="O503" s="1333"/>
      <c r="P503" s="1333"/>
      <c r="Q503" s="1453"/>
      <c r="R503" s="1284"/>
      <c r="S503" s="1284"/>
      <c r="T503" s="1333"/>
      <c r="U503" s="1333"/>
      <c r="V503" s="1333"/>
      <c r="W503" s="1333"/>
      <c r="X503" s="1333"/>
      <c r="Y503" s="1333"/>
      <c r="Z503" s="1333"/>
      <c r="AA503" s="1333"/>
      <c r="AB503" s="1333"/>
      <c r="AC503" s="1333"/>
      <c r="AD503" s="1333"/>
      <c r="AE503" s="1333"/>
      <c r="AF503" s="1333"/>
      <c r="AG503" s="1333"/>
      <c r="AH503" s="1333"/>
      <c r="AI503" s="1333"/>
      <c r="AJ503" s="1333"/>
      <c r="AK503" s="17"/>
      <c r="AL503" s="17"/>
      <c r="AM503" s="17"/>
      <c r="AN503" s="17"/>
      <c r="AO503" s="17"/>
      <c r="AP503" s="17"/>
      <c r="AQ503" s="17"/>
      <c r="AR503" s="17"/>
      <c r="AS503" s="17"/>
      <c r="AT503" s="17"/>
      <c r="AU503" s="17"/>
      <c r="AV503" s="17"/>
    </row>
    <row r="504" spans="1:48" s="542" customFormat="1" x14ac:dyDescent="0.25">
      <c r="A504" s="1331"/>
      <c r="B504" s="1284"/>
      <c r="C504" s="2062"/>
      <c r="D504" s="2062"/>
      <c r="E504" s="2062"/>
      <c r="F504" s="1297"/>
      <c r="G504" s="1297"/>
      <c r="H504" s="1333"/>
      <c r="I504" s="1333"/>
      <c r="J504" s="1333"/>
      <c r="K504" s="1333"/>
      <c r="L504" s="1333"/>
      <c r="M504" s="1333"/>
      <c r="N504" s="1333"/>
      <c r="O504" s="1333"/>
      <c r="P504" s="1333"/>
      <c r="Q504" s="1453"/>
      <c r="R504" s="1284"/>
      <c r="S504" s="1284"/>
      <c r="T504" s="1333"/>
      <c r="U504" s="1333"/>
      <c r="V504" s="1333"/>
      <c r="W504" s="1333"/>
      <c r="X504" s="1333"/>
      <c r="Y504" s="1333"/>
      <c r="Z504" s="1333"/>
      <c r="AA504" s="1333"/>
      <c r="AB504" s="1333"/>
      <c r="AC504" s="1333"/>
      <c r="AD504" s="1333"/>
      <c r="AE504" s="1333"/>
      <c r="AF504" s="1333"/>
      <c r="AG504" s="1333"/>
      <c r="AH504" s="1333"/>
      <c r="AI504" s="1333"/>
      <c r="AJ504" s="1333"/>
      <c r="AK504" s="17"/>
      <c r="AL504" s="17"/>
      <c r="AM504" s="17"/>
      <c r="AN504" s="17"/>
      <c r="AO504" s="17"/>
      <c r="AP504" s="17"/>
      <c r="AQ504" s="17"/>
      <c r="AR504" s="17"/>
      <c r="AS504" s="17"/>
      <c r="AT504" s="17"/>
      <c r="AU504" s="17"/>
      <c r="AV504" s="17"/>
    </row>
    <row r="505" spans="1:48" s="542" customFormat="1" x14ac:dyDescent="0.25">
      <c r="A505" s="1331"/>
      <c r="B505" s="1284"/>
      <c r="C505" s="2062"/>
      <c r="D505" s="2062"/>
      <c r="E505" s="2062"/>
      <c r="F505" s="1297"/>
      <c r="G505" s="1297"/>
      <c r="H505" s="1333"/>
      <c r="I505" s="1333"/>
      <c r="J505" s="1333"/>
      <c r="K505" s="1333"/>
      <c r="L505" s="1333"/>
      <c r="M505" s="1333"/>
      <c r="N505" s="1333"/>
      <c r="O505" s="1333"/>
      <c r="P505" s="1333"/>
      <c r="Q505" s="1453"/>
      <c r="R505" s="1284"/>
      <c r="S505" s="1284"/>
      <c r="T505" s="1333"/>
      <c r="U505" s="1333"/>
      <c r="V505" s="1333"/>
      <c r="W505" s="1333"/>
      <c r="X505" s="1333"/>
      <c r="Y505" s="1333"/>
      <c r="Z505" s="1333"/>
      <c r="AA505" s="1333"/>
      <c r="AB505" s="1333"/>
      <c r="AC505" s="1333"/>
      <c r="AD505" s="1333"/>
      <c r="AE505" s="1333"/>
      <c r="AF505" s="1333"/>
      <c r="AG505" s="1333"/>
      <c r="AH505" s="1333"/>
      <c r="AI505" s="1333"/>
      <c r="AJ505" s="1333"/>
      <c r="AK505" s="17"/>
      <c r="AL505" s="17"/>
      <c r="AM505" s="17"/>
      <c r="AN505" s="17"/>
      <c r="AO505" s="17"/>
      <c r="AP505" s="17"/>
      <c r="AQ505" s="17"/>
      <c r="AR505" s="17"/>
      <c r="AS505" s="17"/>
      <c r="AT505" s="17"/>
      <c r="AU505" s="17"/>
      <c r="AV505" s="17"/>
    </row>
    <row r="506" spans="1:48" s="542" customFormat="1" x14ac:dyDescent="0.25">
      <c r="A506" s="1331"/>
      <c r="B506" s="1284"/>
      <c r="C506" s="2062"/>
      <c r="D506" s="2062"/>
      <c r="E506" s="2062"/>
      <c r="F506" s="1297"/>
      <c r="G506" s="1297"/>
      <c r="H506" s="1333"/>
      <c r="I506" s="1333"/>
      <c r="J506" s="1333"/>
      <c r="K506" s="1333"/>
      <c r="L506" s="1333"/>
      <c r="M506" s="1333"/>
      <c r="N506" s="1333"/>
      <c r="O506" s="1333"/>
      <c r="P506" s="1333"/>
      <c r="Q506" s="1453"/>
      <c r="R506" s="1284"/>
      <c r="S506" s="1284"/>
      <c r="T506" s="1333"/>
      <c r="U506" s="1333"/>
      <c r="V506" s="1333"/>
      <c r="W506" s="1333"/>
      <c r="X506" s="1333"/>
      <c r="Y506" s="1333"/>
      <c r="Z506" s="1333"/>
      <c r="AA506" s="1333"/>
      <c r="AB506" s="1333"/>
      <c r="AC506" s="1333"/>
      <c r="AD506" s="1333"/>
      <c r="AE506" s="1333"/>
      <c r="AF506" s="1333"/>
      <c r="AG506" s="1333"/>
      <c r="AH506" s="1333"/>
      <c r="AI506" s="1333"/>
      <c r="AJ506" s="1333"/>
      <c r="AK506" s="17"/>
      <c r="AL506" s="17"/>
      <c r="AM506" s="17"/>
      <c r="AN506" s="17"/>
      <c r="AO506" s="17"/>
      <c r="AP506" s="17"/>
      <c r="AQ506" s="17"/>
      <c r="AR506" s="17"/>
      <c r="AS506" s="17"/>
      <c r="AT506" s="17"/>
      <c r="AU506" s="17"/>
      <c r="AV506" s="17"/>
    </row>
    <row r="507" spans="1:48" s="542" customFormat="1" x14ac:dyDescent="0.25">
      <c r="A507" s="1331"/>
      <c r="B507" s="1284"/>
      <c r="C507" s="2062"/>
      <c r="D507" s="2062"/>
      <c r="E507" s="2062"/>
      <c r="F507" s="1297"/>
      <c r="G507" s="1297"/>
      <c r="H507" s="1333"/>
      <c r="I507" s="1333"/>
      <c r="J507" s="1333"/>
      <c r="K507" s="1333"/>
      <c r="L507" s="1333"/>
      <c r="M507" s="1333"/>
      <c r="N507" s="1333"/>
      <c r="O507" s="1333"/>
      <c r="P507" s="1333"/>
      <c r="Q507" s="1453"/>
      <c r="R507" s="1284"/>
      <c r="S507" s="1284"/>
      <c r="T507" s="1333"/>
      <c r="U507" s="1333"/>
      <c r="V507" s="1333"/>
      <c r="W507" s="1333"/>
      <c r="X507" s="1333"/>
      <c r="Y507" s="1333"/>
      <c r="Z507" s="1333"/>
      <c r="AA507" s="1333"/>
      <c r="AB507" s="1333"/>
      <c r="AC507" s="1333"/>
      <c r="AD507" s="1333"/>
      <c r="AE507" s="1333"/>
      <c r="AF507" s="1333"/>
      <c r="AG507" s="1333"/>
      <c r="AH507" s="1333"/>
      <c r="AI507" s="1333"/>
      <c r="AJ507" s="1333"/>
      <c r="AK507" s="17"/>
      <c r="AL507" s="17"/>
      <c r="AM507" s="17"/>
      <c r="AN507" s="17"/>
      <c r="AO507" s="17"/>
      <c r="AP507" s="17"/>
      <c r="AQ507" s="17"/>
      <c r="AR507" s="17"/>
      <c r="AS507" s="17"/>
      <c r="AT507" s="17"/>
      <c r="AU507" s="17"/>
      <c r="AV507" s="17"/>
    </row>
    <row r="508" spans="1:48" s="542" customFormat="1" x14ac:dyDescent="0.25">
      <c r="A508" s="1331"/>
      <c r="B508" s="1284"/>
      <c r="C508" s="2062"/>
      <c r="D508" s="2062"/>
      <c r="E508" s="2062"/>
      <c r="F508" s="1297"/>
      <c r="G508" s="1297"/>
      <c r="H508" s="1333"/>
      <c r="I508" s="1333"/>
      <c r="J508" s="1333"/>
      <c r="K508" s="1333"/>
      <c r="L508" s="1333"/>
      <c r="M508" s="1333"/>
      <c r="N508" s="1333"/>
      <c r="O508" s="1333"/>
      <c r="P508" s="1333"/>
      <c r="Q508" s="1453"/>
      <c r="R508" s="1284"/>
      <c r="S508" s="1284"/>
      <c r="T508" s="1333"/>
      <c r="U508" s="1333"/>
      <c r="V508" s="1333"/>
      <c r="W508" s="1333"/>
      <c r="X508" s="1333"/>
      <c r="Y508" s="1333"/>
      <c r="Z508" s="1333"/>
      <c r="AA508" s="1333"/>
      <c r="AB508" s="1333"/>
      <c r="AC508" s="1333"/>
      <c r="AD508" s="1333"/>
      <c r="AE508" s="1333"/>
      <c r="AF508" s="1333"/>
      <c r="AG508" s="1333"/>
      <c r="AH508" s="1333"/>
      <c r="AI508" s="1333"/>
      <c r="AJ508" s="1333"/>
      <c r="AK508" s="17"/>
      <c r="AL508" s="17"/>
      <c r="AM508" s="17"/>
      <c r="AN508" s="17"/>
      <c r="AO508" s="17"/>
      <c r="AP508" s="17"/>
      <c r="AQ508" s="17"/>
      <c r="AR508" s="17"/>
      <c r="AS508" s="17"/>
      <c r="AT508" s="17"/>
      <c r="AU508" s="17"/>
      <c r="AV508" s="17"/>
    </row>
    <row r="509" spans="1:48" x14ac:dyDescent="0.25">
      <c r="A509" s="1331"/>
      <c r="B509" s="1284"/>
      <c r="C509" s="1284"/>
      <c r="D509" s="1364"/>
      <c r="E509" s="1364"/>
      <c r="F509" s="1364"/>
      <c r="G509" s="1365"/>
      <c r="H509" s="1333"/>
      <c r="I509" s="1333"/>
      <c r="J509" s="1333"/>
      <c r="K509" s="1333"/>
      <c r="L509" s="1333"/>
      <c r="M509" s="1333"/>
      <c r="N509" s="1333"/>
      <c r="O509" s="1333"/>
      <c r="P509" s="1333"/>
      <c r="Q509" s="1453"/>
      <c r="R509" s="1284"/>
      <c r="S509" s="1284"/>
      <c r="T509" s="1333"/>
      <c r="U509" s="1333"/>
      <c r="V509" s="1333"/>
      <c r="W509" s="1333"/>
      <c r="X509" s="1333"/>
      <c r="Y509" s="1333"/>
      <c r="Z509" s="1333"/>
      <c r="AA509" s="1333"/>
      <c r="AB509" s="1333"/>
      <c r="AC509" s="1333"/>
      <c r="AD509" s="1333"/>
      <c r="AE509" s="1333"/>
      <c r="AF509" s="1333"/>
      <c r="AG509" s="1333"/>
      <c r="AH509" s="1333"/>
      <c r="AI509" s="1333"/>
      <c r="AJ509" s="1333"/>
    </row>
    <row r="510" spans="1:48" x14ac:dyDescent="0.25">
      <c r="A510" s="1331"/>
      <c r="B510" s="1284"/>
      <c r="C510" s="1284"/>
      <c r="D510" s="1364"/>
      <c r="E510" s="1364"/>
      <c r="F510" s="1364"/>
      <c r="G510" s="1365"/>
      <c r="H510" s="1333"/>
      <c r="I510" s="1333"/>
      <c r="J510" s="1333"/>
      <c r="K510" s="1333"/>
      <c r="L510" s="1333"/>
      <c r="M510" s="1333"/>
      <c r="N510" s="1333"/>
      <c r="O510" s="1333"/>
      <c r="P510" s="1333"/>
      <c r="Q510" s="1284"/>
      <c r="R510" s="1489"/>
      <c r="S510" s="1284"/>
      <c r="T510" s="1333"/>
      <c r="U510" s="1333"/>
      <c r="V510" s="1333"/>
      <c r="W510" s="1333"/>
      <c r="X510" s="1333"/>
      <c r="Y510" s="1333"/>
      <c r="Z510" s="1333"/>
      <c r="AA510" s="1333"/>
      <c r="AB510" s="1333"/>
      <c r="AC510" s="1333"/>
      <c r="AD510" s="1333"/>
      <c r="AE510" s="1333"/>
      <c r="AF510" s="1333"/>
      <c r="AG510" s="1333"/>
      <c r="AH510" s="1333"/>
      <c r="AI510" s="1333"/>
      <c r="AJ510" s="1333"/>
    </row>
    <row r="511" spans="1:48" x14ac:dyDescent="0.25">
      <c r="A511" s="1331"/>
      <c r="B511" s="1284"/>
      <c r="C511" s="1284"/>
      <c r="D511" s="1364"/>
      <c r="E511" s="1364"/>
      <c r="F511" s="1364"/>
      <c r="G511" s="1365"/>
      <c r="H511" s="1333"/>
      <c r="I511" s="1333"/>
      <c r="J511" s="1333"/>
      <c r="K511" s="1333"/>
      <c r="L511" s="1333"/>
      <c r="M511" s="1333"/>
      <c r="N511" s="1333"/>
      <c r="O511" s="1333"/>
      <c r="P511" s="1333"/>
      <c r="Q511" s="1453"/>
      <c r="R511" s="1284"/>
      <c r="S511" s="1284"/>
      <c r="T511" s="1333"/>
      <c r="U511" s="1333"/>
      <c r="V511" s="1333"/>
      <c r="W511" s="1333"/>
      <c r="X511" s="1333"/>
      <c r="Y511" s="1333"/>
      <c r="Z511" s="1333"/>
      <c r="AA511" s="1333"/>
      <c r="AB511" s="1333"/>
      <c r="AC511" s="1333"/>
      <c r="AD511" s="1333"/>
      <c r="AE511" s="1333"/>
      <c r="AF511" s="1333"/>
      <c r="AG511" s="1333"/>
      <c r="AH511" s="1333"/>
      <c r="AI511" s="1333"/>
      <c r="AJ511" s="1333"/>
    </row>
    <row r="512" spans="1:48" x14ac:dyDescent="0.25">
      <c r="A512" s="1331"/>
      <c r="B512" s="1284"/>
      <c r="C512" s="1284"/>
      <c r="D512" s="1364"/>
      <c r="E512" s="1364"/>
      <c r="F512" s="1364"/>
      <c r="G512" s="1365"/>
      <c r="H512" s="1333"/>
      <c r="I512" s="1333"/>
      <c r="J512" s="1333"/>
      <c r="K512" s="1333"/>
      <c r="L512" s="1333"/>
      <c r="M512" s="1333"/>
      <c r="N512" s="1333"/>
      <c r="O512" s="1333"/>
      <c r="P512" s="1333"/>
      <c r="Q512" s="1453"/>
      <c r="R512" s="1284"/>
      <c r="S512" s="1284"/>
      <c r="T512" s="1333"/>
      <c r="U512" s="1333"/>
      <c r="V512" s="1333"/>
      <c r="W512" s="1333"/>
      <c r="X512" s="1333"/>
      <c r="Y512" s="1333"/>
      <c r="Z512" s="1333"/>
      <c r="AA512" s="1333"/>
      <c r="AB512" s="1333"/>
      <c r="AC512" s="1333"/>
      <c r="AD512" s="1333"/>
      <c r="AE512" s="1333"/>
      <c r="AF512" s="1333"/>
      <c r="AG512" s="1333"/>
      <c r="AH512" s="1333"/>
      <c r="AI512" s="1333"/>
      <c r="AJ512" s="1333"/>
    </row>
    <row r="513" spans="1:36" x14ac:dyDescent="0.25">
      <c r="A513" s="1331"/>
      <c r="B513" s="1284"/>
      <c r="C513" s="1284"/>
      <c r="D513" s="1364"/>
      <c r="E513" s="1364"/>
      <c r="F513" s="1364"/>
      <c r="G513" s="1365"/>
      <c r="H513" s="1333"/>
      <c r="I513" s="1333"/>
      <c r="J513" s="1333"/>
      <c r="K513" s="1333"/>
      <c r="L513" s="1333"/>
      <c r="M513" s="1333"/>
      <c r="N513" s="1333"/>
      <c r="O513" s="1333"/>
      <c r="P513" s="1333"/>
      <c r="Q513" s="1453"/>
      <c r="R513" s="1284"/>
      <c r="S513" s="1284"/>
      <c r="T513" s="1333"/>
      <c r="U513" s="1333"/>
      <c r="V513" s="1333"/>
      <c r="W513" s="1333"/>
      <c r="X513" s="1333"/>
      <c r="Y513" s="1333"/>
      <c r="Z513" s="1333"/>
      <c r="AA513" s="1333"/>
      <c r="AB513" s="1333"/>
      <c r="AC513" s="1333"/>
      <c r="AD513" s="1333"/>
      <c r="AE513" s="1333"/>
      <c r="AF513" s="1333"/>
      <c r="AG513" s="1333"/>
      <c r="AH513" s="1333"/>
      <c r="AI513" s="1333"/>
      <c r="AJ513" s="1333"/>
    </row>
    <row r="514" spans="1:36" x14ac:dyDescent="0.25">
      <c r="A514" s="1331"/>
      <c r="B514" s="1284"/>
      <c r="C514" s="1284"/>
      <c r="D514" s="1364"/>
      <c r="E514" s="1364"/>
      <c r="F514" s="1364"/>
      <c r="G514" s="1365"/>
      <c r="H514" s="1333"/>
      <c r="I514" s="1333"/>
      <c r="J514" s="1333"/>
      <c r="K514" s="1333"/>
      <c r="L514" s="1333"/>
      <c r="M514" s="1333"/>
      <c r="N514" s="1333"/>
      <c r="O514" s="1333"/>
      <c r="P514" s="1333"/>
      <c r="Q514" s="1453"/>
      <c r="R514" s="1284"/>
      <c r="S514" s="1284"/>
      <c r="T514" s="1333"/>
      <c r="U514" s="1333"/>
      <c r="V514" s="1333"/>
      <c r="W514" s="1333"/>
      <c r="X514" s="1333"/>
      <c r="Y514" s="1333"/>
      <c r="Z514" s="1333"/>
      <c r="AA514" s="1333"/>
      <c r="AB514" s="1333"/>
      <c r="AC514" s="1333"/>
      <c r="AD514" s="1333"/>
      <c r="AE514" s="1333"/>
      <c r="AF514" s="1333"/>
      <c r="AG514" s="1333"/>
      <c r="AH514" s="1333"/>
      <c r="AI514" s="1333"/>
      <c r="AJ514" s="1333"/>
    </row>
    <row r="515" spans="1:36" x14ac:dyDescent="0.25">
      <c r="A515" s="1331"/>
      <c r="B515" s="1284"/>
      <c r="C515" s="1284"/>
      <c r="D515" s="1364"/>
      <c r="E515" s="1364"/>
      <c r="F515" s="1364"/>
      <c r="G515" s="1365"/>
      <c r="H515" s="1333"/>
      <c r="I515" s="1333"/>
      <c r="J515" s="1333"/>
      <c r="K515" s="1333"/>
      <c r="L515" s="1333"/>
      <c r="M515" s="1333"/>
      <c r="N515" s="1333"/>
      <c r="O515" s="1333"/>
      <c r="P515" s="1333"/>
      <c r="Q515" s="1453"/>
      <c r="R515" s="1284"/>
      <c r="S515" s="1284"/>
      <c r="T515" s="1333"/>
      <c r="U515" s="1333"/>
      <c r="V515" s="1333"/>
      <c r="W515" s="1333"/>
      <c r="X515" s="1333"/>
      <c r="Y515" s="1333"/>
      <c r="Z515" s="1333"/>
      <c r="AA515" s="1333"/>
      <c r="AB515" s="1333"/>
      <c r="AC515" s="1333"/>
      <c r="AD515" s="1333"/>
      <c r="AE515" s="1333"/>
      <c r="AF515" s="1333"/>
      <c r="AG515" s="1333"/>
      <c r="AH515" s="1333"/>
      <c r="AI515" s="1333"/>
      <c r="AJ515" s="1333"/>
    </row>
    <row r="516" spans="1:36" x14ac:dyDescent="0.25">
      <c r="A516" s="1331"/>
      <c r="B516" s="1284"/>
      <c r="C516" s="1284"/>
      <c r="D516" s="1364"/>
      <c r="E516" s="1364"/>
      <c r="F516" s="1364"/>
      <c r="G516" s="1365"/>
      <c r="H516" s="1333"/>
      <c r="I516" s="1333"/>
      <c r="J516" s="1333"/>
      <c r="K516" s="1333"/>
      <c r="L516" s="1333"/>
      <c r="M516" s="1333"/>
      <c r="N516" s="1333"/>
      <c r="O516" s="1333"/>
      <c r="P516" s="1333"/>
      <c r="Q516" s="1453"/>
      <c r="R516" s="1284"/>
      <c r="S516" s="1284"/>
      <c r="T516" s="1333"/>
      <c r="U516" s="1333"/>
      <c r="V516" s="1333"/>
      <c r="W516" s="1333"/>
      <c r="X516" s="1333"/>
      <c r="Y516" s="1333"/>
      <c r="Z516" s="1333"/>
      <c r="AA516" s="1333"/>
      <c r="AB516" s="1333"/>
      <c r="AC516" s="1333"/>
      <c r="AD516" s="1333"/>
      <c r="AE516" s="1333"/>
      <c r="AF516" s="1333"/>
      <c r="AG516" s="1333"/>
      <c r="AH516" s="1333"/>
      <c r="AI516" s="1333"/>
      <c r="AJ516" s="1333"/>
    </row>
    <row r="517" spans="1:36" x14ac:dyDescent="0.25">
      <c r="A517" s="1331"/>
      <c r="B517" s="1284"/>
      <c r="C517" s="1284"/>
      <c r="D517" s="1364"/>
      <c r="E517" s="1364"/>
      <c r="F517" s="1364"/>
      <c r="G517" s="1365"/>
      <c r="H517" s="1333"/>
      <c r="I517" s="1333"/>
      <c r="J517" s="1333"/>
      <c r="K517" s="1333"/>
      <c r="L517" s="1333"/>
      <c r="M517" s="1333"/>
      <c r="N517" s="1333"/>
      <c r="O517" s="1333"/>
      <c r="P517" s="1333"/>
      <c r="Q517" s="1453"/>
      <c r="R517" s="1284"/>
      <c r="S517" s="1284"/>
      <c r="T517" s="1333"/>
      <c r="U517" s="1333"/>
      <c r="V517" s="1333"/>
      <c r="W517" s="1333"/>
      <c r="X517" s="1333"/>
      <c r="Y517" s="1333"/>
      <c r="Z517" s="1333"/>
      <c r="AA517" s="1333"/>
      <c r="AB517" s="1333"/>
      <c r="AC517" s="1333"/>
      <c r="AD517" s="1333"/>
      <c r="AE517" s="1333"/>
      <c r="AF517" s="1333"/>
      <c r="AG517" s="1333"/>
      <c r="AH517" s="1333"/>
      <c r="AI517" s="1333"/>
      <c r="AJ517" s="1333"/>
    </row>
    <row r="518" spans="1:36" x14ac:dyDescent="0.25">
      <c r="A518" s="1331"/>
      <c r="B518" s="1284"/>
      <c r="C518" s="1284"/>
      <c r="D518" s="1364"/>
      <c r="E518" s="1364"/>
      <c r="F518" s="1364"/>
      <c r="G518" s="1365"/>
      <c r="H518" s="1333"/>
      <c r="I518" s="1333"/>
      <c r="J518" s="1333"/>
      <c r="K518" s="1333"/>
      <c r="L518" s="1333"/>
      <c r="M518" s="1333"/>
      <c r="N518" s="1333"/>
      <c r="O518" s="1333"/>
      <c r="P518" s="1333"/>
      <c r="Q518" s="1454"/>
      <c r="R518" s="1284"/>
      <c r="S518" s="1284"/>
      <c r="T518" s="1333"/>
      <c r="U518" s="1333"/>
      <c r="V518" s="1333"/>
      <c r="W518" s="1333"/>
      <c r="X518" s="1333"/>
      <c r="Y518" s="1333"/>
      <c r="Z518" s="1333"/>
      <c r="AA518" s="1333"/>
      <c r="AB518" s="1333"/>
      <c r="AC518" s="1333"/>
      <c r="AD518" s="1333"/>
      <c r="AE518" s="1333"/>
      <c r="AF518" s="1333"/>
      <c r="AG518" s="1333"/>
      <c r="AH518" s="1333"/>
      <c r="AI518" s="1333"/>
      <c r="AJ518" s="1333"/>
    </row>
    <row r="519" spans="1:36" x14ac:dyDescent="0.25">
      <c r="A519" s="1331"/>
      <c r="B519" s="1284"/>
      <c r="C519" s="1284"/>
      <c r="D519" s="1364"/>
      <c r="E519" s="1364"/>
      <c r="F519" s="1364"/>
      <c r="G519" s="1365"/>
      <c r="H519" s="1333"/>
      <c r="I519" s="1333"/>
      <c r="J519" s="1333"/>
      <c r="K519" s="1333"/>
      <c r="L519" s="1333"/>
      <c r="M519" s="1333"/>
      <c r="N519" s="1333"/>
      <c r="O519" s="1333"/>
      <c r="P519" s="1333"/>
      <c r="Q519" s="1454"/>
      <c r="R519" s="1284"/>
      <c r="S519" s="1284"/>
      <c r="T519" s="1333"/>
      <c r="U519" s="1333"/>
      <c r="V519" s="1333"/>
      <c r="W519" s="1333"/>
      <c r="X519" s="1333"/>
      <c r="Y519" s="1333"/>
      <c r="Z519" s="1333"/>
      <c r="AA519" s="1333"/>
      <c r="AB519" s="1333"/>
      <c r="AC519" s="1333"/>
      <c r="AD519" s="1333"/>
      <c r="AE519" s="1333"/>
      <c r="AF519" s="1333"/>
      <c r="AG519" s="1333"/>
      <c r="AH519" s="1333"/>
      <c r="AI519" s="1333"/>
      <c r="AJ519" s="1333"/>
    </row>
    <row r="520" spans="1:36" x14ac:dyDescent="0.25">
      <c r="A520" s="1331"/>
      <c r="B520" s="1284"/>
      <c r="C520" s="1284"/>
      <c r="D520" s="1364"/>
      <c r="E520" s="1364"/>
      <c r="F520" s="1364"/>
      <c r="G520" s="1365"/>
      <c r="H520" s="1333"/>
      <c r="I520" s="1333"/>
      <c r="J520" s="1333"/>
      <c r="K520" s="1333"/>
      <c r="L520" s="1333"/>
      <c r="M520" s="1333"/>
      <c r="N520" s="1333"/>
      <c r="O520" s="1333"/>
      <c r="P520" s="1333"/>
      <c r="Q520" s="1454"/>
      <c r="R520" s="1284"/>
      <c r="S520" s="1284"/>
      <c r="T520" s="1333"/>
      <c r="U520" s="1333"/>
      <c r="V520" s="1333"/>
      <c r="W520" s="1333"/>
      <c r="X520" s="1333"/>
      <c r="Y520" s="1333"/>
      <c r="Z520" s="1333"/>
      <c r="AA520" s="1333"/>
      <c r="AB520" s="1333"/>
      <c r="AC520" s="1333"/>
      <c r="AD520" s="1333"/>
      <c r="AE520" s="1333"/>
      <c r="AF520" s="1333"/>
      <c r="AG520" s="1333"/>
      <c r="AH520" s="1333"/>
      <c r="AI520" s="1333"/>
      <c r="AJ520" s="1333"/>
    </row>
    <row r="521" spans="1:36" x14ac:dyDescent="0.25">
      <c r="A521" s="1331"/>
      <c r="B521" s="1284"/>
      <c r="C521" s="1284"/>
      <c r="D521" s="1364"/>
      <c r="E521" s="1364"/>
      <c r="F521" s="1364"/>
      <c r="G521" s="1365"/>
      <c r="H521" s="1333"/>
      <c r="I521" s="1333"/>
      <c r="J521" s="1333"/>
      <c r="K521" s="1333"/>
      <c r="L521" s="1333"/>
      <c r="M521" s="1333"/>
      <c r="N521" s="1333"/>
      <c r="O521" s="1333"/>
      <c r="P521" s="1333"/>
      <c r="Q521" s="1454"/>
      <c r="R521" s="1284"/>
      <c r="S521" s="1284"/>
      <c r="T521" s="1333"/>
      <c r="U521" s="1333"/>
      <c r="V521" s="1333"/>
      <c r="W521" s="1333"/>
      <c r="X521" s="1333"/>
      <c r="Y521" s="1333"/>
      <c r="Z521" s="1333"/>
      <c r="AA521" s="1333"/>
      <c r="AB521" s="1333"/>
      <c r="AC521" s="1333"/>
      <c r="AD521" s="1333"/>
      <c r="AE521" s="1333"/>
      <c r="AF521" s="1333"/>
      <c r="AG521" s="1333"/>
      <c r="AH521" s="1333"/>
      <c r="AI521" s="1333"/>
      <c r="AJ521" s="1333"/>
    </row>
    <row r="522" spans="1:36" x14ac:dyDescent="0.25">
      <c r="A522" s="1331"/>
      <c r="B522" s="1284"/>
      <c r="C522" s="1284"/>
      <c r="D522" s="1364"/>
      <c r="E522" s="1364"/>
      <c r="F522" s="1364"/>
      <c r="G522" s="1365"/>
      <c r="H522" s="1333"/>
      <c r="I522" s="1333"/>
      <c r="J522" s="1333"/>
      <c r="K522" s="1333"/>
      <c r="L522" s="1333"/>
      <c r="M522" s="1333"/>
      <c r="N522" s="1333"/>
      <c r="O522" s="1333"/>
      <c r="P522" s="1333"/>
      <c r="Q522" s="1454"/>
      <c r="R522" s="1284"/>
      <c r="S522" s="1284"/>
      <c r="T522" s="1333"/>
      <c r="U522" s="1333"/>
      <c r="V522" s="1333"/>
      <c r="W522" s="1333"/>
      <c r="X522" s="1333"/>
      <c r="Y522" s="1333"/>
      <c r="Z522" s="1333"/>
      <c r="AA522" s="1333"/>
      <c r="AB522" s="1333"/>
      <c r="AC522" s="1333"/>
      <c r="AD522" s="1333"/>
      <c r="AE522" s="1333"/>
      <c r="AF522" s="1333"/>
      <c r="AG522" s="1333"/>
      <c r="AH522" s="1333"/>
      <c r="AI522" s="1333"/>
      <c r="AJ522" s="1333"/>
    </row>
    <row r="523" spans="1:36" x14ac:dyDescent="0.25">
      <c r="A523" s="1331"/>
      <c r="B523" s="1284"/>
      <c r="C523" s="1284"/>
      <c r="D523" s="1364"/>
      <c r="E523" s="1364"/>
      <c r="F523" s="1364"/>
      <c r="G523" s="1365"/>
      <c r="H523" s="1333"/>
      <c r="I523" s="1333"/>
      <c r="J523" s="1333"/>
      <c r="K523" s="1333"/>
      <c r="L523" s="1333"/>
      <c r="M523" s="1333"/>
      <c r="N523" s="1333"/>
      <c r="O523" s="1333"/>
      <c r="P523" s="1333"/>
      <c r="Q523" s="1454"/>
      <c r="R523" s="1284"/>
      <c r="S523" s="1284"/>
      <c r="T523" s="1333"/>
      <c r="U523" s="1333"/>
      <c r="V523" s="1333"/>
      <c r="W523" s="1333"/>
      <c r="X523" s="1333"/>
      <c r="Y523" s="1333"/>
      <c r="Z523" s="1333"/>
      <c r="AA523" s="1333"/>
      <c r="AB523" s="1333"/>
      <c r="AC523" s="1333"/>
      <c r="AD523" s="1333"/>
      <c r="AE523" s="1333"/>
      <c r="AF523" s="1333"/>
      <c r="AG523" s="1333"/>
      <c r="AH523" s="1333"/>
      <c r="AI523" s="1333"/>
      <c r="AJ523" s="1333"/>
    </row>
    <row r="524" spans="1:36" x14ac:dyDescent="0.25">
      <c r="A524" s="1331"/>
      <c r="B524" s="1284"/>
      <c r="C524" s="1284"/>
      <c r="D524" s="1364"/>
      <c r="E524" s="1364"/>
      <c r="F524" s="1364"/>
      <c r="G524" s="1365"/>
      <c r="H524" s="1333"/>
      <c r="I524" s="1333"/>
      <c r="J524" s="1333"/>
      <c r="K524" s="1333"/>
      <c r="L524" s="1333"/>
      <c r="M524" s="1333"/>
      <c r="N524" s="1333"/>
      <c r="O524" s="1333"/>
      <c r="P524" s="1333"/>
      <c r="Q524" s="1454"/>
      <c r="R524" s="1284"/>
      <c r="S524" s="1284"/>
      <c r="T524" s="1333"/>
      <c r="U524" s="1333"/>
      <c r="V524" s="1333"/>
      <c r="W524" s="1333"/>
      <c r="X524" s="1333"/>
      <c r="Y524" s="1333"/>
      <c r="Z524" s="1333"/>
      <c r="AA524" s="1333"/>
      <c r="AB524" s="1333"/>
      <c r="AC524" s="1333"/>
      <c r="AD524" s="1333"/>
      <c r="AE524" s="1333"/>
      <c r="AF524" s="1333"/>
      <c r="AG524" s="1333"/>
      <c r="AH524" s="1333"/>
      <c r="AI524" s="1333"/>
      <c r="AJ524" s="1333"/>
    </row>
    <row r="525" spans="1:36" x14ac:dyDescent="0.25">
      <c r="A525" s="1331"/>
      <c r="B525" s="1284"/>
      <c r="C525" s="1284"/>
      <c r="D525" s="1364"/>
      <c r="E525" s="1364"/>
      <c r="F525" s="1364"/>
      <c r="G525" s="1365"/>
      <c r="H525" s="1333"/>
      <c r="I525" s="1333"/>
      <c r="J525" s="1333"/>
      <c r="K525" s="1333"/>
      <c r="L525" s="1333"/>
      <c r="M525" s="1333"/>
      <c r="N525" s="1333"/>
      <c r="O525" s="1333"/>
      <c r="P525" s="1333"/>
      <c r="Q525" s="1453"/>
      <c r="R525" s="1284"/>
      <c r="S525" s="1284"/>
      <c r="T525" s="1333"/>
      <c r="U525" s="1333"/>
      <c r="V525" s="1333"/>
      <c r="W525" s="1333"/>
      <c r="X525" s="1333"/>
      <c r="Y525" s="1333"/>
      <c r="Z525" s="1333"/>
      <c r="AA525" s="1333"/>
      <c r="AB525" s="1333"/>
      <c r="AC525" s="1333"/>
      <c r="AD525" s="1333"/>
      <c r="AE525" s="1333"/>
      <c r="AF525" s="1333"/>
      <c r="AG525" s="1333"/>
      <c r="AH525" s="1333"/>
      <c r="AI525" s="1333"/>
      <c r="AJ525" s="1333"/>
    </row>
    <row r="526" spans="1:36" x14ac:dyDescent="0.25">
      <c r="A526" s="1331"/>
      <c r="B526" s="1284"/>
      <c r="C526" s="1284"/>
      <c r="D526" s="1364"/>
      <c r="E526" s="1364"/>
      <c r="F526" s="1364"/>
      <c r="G526" s="1365"/>
      <c r="H526" s="1333"/>
      <c r="I526" s="1333"/>
      <c r="J526" s="1333"/>
      <c r="K526" s="1333"/>
      <c r="L526" s="1333"/>
      <c r="M526" s="1333"/>
      <c r="N526" s="1333"/>
      <c r="O526" s="1333"/>
      <c r="P526" s="1333"/>
      <c r="Q526" s="1284"/>
      <c r="R526" s="1489"/>
      <c r="S526" s="1284"/>
      <c r="T526" s="1333"/>
      <c r="U526" s="1333"/>
      <c r="V526" s="1333"/>
      <c r="W526" s="1333"/>
      <c r="X526" s="1333"/>
      <c r="Y526" s="1333"/>
      <c r="Z526" s="1333"/>
      <c r="AA526" s="1333"/>
      <c r="AB526" s="1333"/>
      <c r="AC526" s="1333"/>
      <c r="AD526" s="1333"/>
      <c r="AE526" s="1333"/>
      <c r="AF526" s="1333"/>
      <c r="AG526" s="1333"/>
      <c r="AH526" s="1333"/>
      <c r="AI526" s="1333"/>
      <c r="AJ526" s="1333"/>
    </row>
    <row r="527" spans="1:36" x14ac:dyDescent="0.25">
      <c r="A527" s="1331"/>
      <c r="B527" s="1284"/>
      <c r="C527" s="1284"/>
      <c r="D527" s="1364"/>
      <c r="E527" s="1364"/>
      <c r="F527" s="1364"/>
      <c r="G527" s="1365"/>
      <c r="H527" s="1333"/>
      <c r="I527" s="1333"/>
      <c r="J527" s="1333"/>
      <c r="K527" s="1333"/>
      <c r="L527" s="1333"/>
      <c r="M527" s="1333"/>
      <c r="N527" s="1333"/>
      <c r="O527" s="1333"/>
      <c r="P527" s="1333"/>
      <c r="Q527" s="1453"/>
      <c r="R527" s="1284"/>
      <c r="S527" s="1284"/>
      <c r="T527" s="1333"/>
      <c r="U527" s="1333"/>
      <c r="V527" s="1333"/>
      <c r="W527" s="1333"/>
      <c r="X527" s="1333"/>
      <c r="Y527" s="1333"/>
      <c r="Z527" s="1333"/>
      <c r="AA527" s="1333"/>
      <c r="AB527" s="1333"/>
      <c r="AC527" s="1333"/>
      <c r="AD527" s="1333"/>
      <c r="AE527" s="1333"/>
      <c r="AF527" s="1333"/>
      <c r="AG527" s="1333"/>
      <c r="AH527" s="1333"/>
      <c r="AI527" s="1333"/>
      <c r="AJ527" s="1333"/>
    </row>
    <row r="528" spans="1:36" x14ac:dyDescent="0.25">
      <c r="A528" s="1331"/>
      <c r="B528" s="1284"/>
      <c r="C528" s="1284"/>
      <c r="D528" s="1364"/>
      <c r="E528" s="1364"/>
      <c r="F528" s="1364"/>
      <c r="G528" s="1365"/>
      <c r="H528" s="1333"/>
      <c r="I528" s="1333"/>
      <c r="J528" s="1333"/>
      <c r="K528" s="1333"/>
      <c r="L528" s="1333"/>
      <c r="M528" s="1333"/>
      <c r="N528" s="1333"/>
      <c r="O528" s="1333"/>
      <c r="P528" s="1333"/>
      <c r="Q528" s="1453"/>
      <c r="R528" s="1284"/>
      <c r="S528" s="1284"/>
      <c r="T528" s="1333"/>
      <c r="U528" s="1333"/>
      <c r="V528" s="1333"/>
      <c r="W528" s="1333"/>
      <c r="X528" s="1333"/>
      <c r="Y528" s="1333"/>
      <c r="Z528" s="1333"/>
      <c r="AA528" s="1333"/>
      <c r="AB528" s="1333"/>
      <c r="AC528" s="1333"/>
      <c r="AD528" s="1333"/>
      <c r="AE528" s="1333"/>
      <c r="AF528" s="1333"/>
      <c r="AG528" s="1333"/>
      <c r="AH528" s="1333"/>
      <c r="AI528" s="1333"/>
      <c r="AJ528" s="1333"/>
    </row>
    <row r="529" spans="1:36" x14ac:dyDescent="0.25">
      <c r="A529" s="1331"/>
      <c r="B529" s="1284"/>
      <c r="C529" s="1284"/>
      <c r="D529" s="1364"/>
      <c r="E529" s="1364"/>
      <c r="F529" s="1364"/>
      <c r="G529" s="1365"/>
      <c r="H529" s="1333"/>
      <c r="I529" s="1333"/>
      <c r="J529" s="1333"/>
      <c r="K529" s="1333"/>
      <c r="L529" s="1333"/>
      <c r="M529" s="1333"/>
      <c r="N529" s="1333"/>
      <c r="O529" s="1333"/>
      <c r="P529" s="1333"/>
      <c r="Q529" s="1453"/>
      <c r="R529" s="1284"/>
      <c r="S529" s="1284"/>
      <c r="T529" s="1333"/>
      <c r="U529" s="1333"/>
      <c r="V529" s="1333"/>
      <c r="W529" s="1333"/>
      <c r="X529" s="1333"/>
      <c r="Y529" s="1333"/>
      <c r="Z529" s="1333"/>
      <c r="AA529" s="1333"/>
      <c r="AB529" s="1333"/>
      <c r="AC529" s="1333"/>
      <c r="AD529" s="1333"/>
      <c r="AE529" s="1333"/>
      <c r="AF529" s="1333"/>
      <c r="AG529" s="1333"/>
      <c r="AH529" s="1333"/>
      <c r="AI529" s="1333"/>
      <c r="AJ529" s="1333"/>
    </row>
    <row r="530" spans="1:36" x14ac:dyDescent="0.25">
      <c r="A530" s="1331"/>
      <c r="B530" s="1284"/>
      <c r="C530" s="1284"/>
      <c r="D530" s="1364"/>
      <c r="E530" s="1364"/>
      <c r="F530" s="1364"/>
      <c r="G530" s="1365"/>
      <c r="H530" s="1333"/>
      <c r="I530" s="1333"/>
      <c r="J530" s="1333"/>
      <c r="K530" s="1333"/>
      <c r="L530" s="1333"/>
      <c r="M530" s="1333"/>
      <c r="N530" s="1333"/>
      <c r="O530" s="1333"/>
      <c r="P530" s="1333"/>
      <c r="Q530" s="1284"/>
      <c r="R530" s="1489"/>
      <c r="S530" s="1284"/>
      <c r="T530" s="1333"/>
      <c r="U530" s="1333"/>
      <c r="V530" s="1333"/>
      <c r="W530" s="1333"/>
      <c r="X530" s="1333"/>
      <c r="Y530" s="1333"/>
      <c r="Z530" s="1333"/>
      <c r="AA530" s="1333"/>
      <c r="AB530" s="1333"/>
      <c r="AC530" s="1333"/>
      <c r="AD530" s="1333"/>
      <c r="AE530" s="1333"/>
      <c r="AF530" s="1333"/>
      <c r="AG530" s="1333"/>
      <c r="AH530" s="1333"/>
      <c r="AI530" s="1333"/>
      <c r="AJ530" s="1333"/>
    </row>
    <row r="531" spans="1:36" x14ac:dyDescent="0.25">
      <c r="A531" s="1331"/>
      <c r="B531" s="1284"/>
      <c r="C531" s="1284"/>
      <c r="D531" s="1364"/>
      <c r="E531" s="1364"/>
      <c r="F531" s="1364"/>
      <c r="G531" s="1365"/>
      <c r="H531" s="1333"/>
      <c r="I531" s="1333"/>
      <c r="J531" s="1333"/>
      <c r="K531" s="1333"/>
      <c r="L531" s="1333"/>
      <c r="M531" s="1333"/>
      <c r="N531" s="1333"/>
      <c r="O531" s="1333"/>
      <c r="P531" s="1333"/>
      <c r="Q531" s="1453"/>
      <c r="R531" s="1284"/>
      <c r="S531" s="1284"/>
      <c r="T531" s="1333"/>
      <c r="U531" s="1333"/>
      <c r="V531" s="1333"/>
      <c r="W531" s="1333"/>
      <c r="X531" s="1333"/>
      <c r="Y531" s="1333"/>
      <c r="Z531" s="1333"/>
      <c r="AA531" s="1333"/>
      <c r="AB531" s="1333"/>
      <c r="AC531" s="1333"/>
      <c r="AD531" s="1333"/>
      <c r="AE531" s="1333"/>
      <c r="AF531" s="1333"/>
      <c r="AG531" s="1333"/>
      <c r="AH531" s="1333"/>
      <c r="AI531" s="1333"/>
      <c r="AJ531" s="1333"/>
    </row>
    <row r="532" spans="1:36" x14ac:dyDescent="0.25">
      <c r="A532" s="1331"/>
      <c r="B532" s="1284"/>
      <c r="C532" s="1284"/>
      <c r="D532" s="1364"/>
      <c r="E532" s="1364"/>
      <c r="F532" s="1364"/>
      <c r="G532" s="1365"/>
      <c r="H532" s="1333"/>
      <c r="I532" s="1333"/>
      <c r="J532" s="1333"/>
      <c r="K532" s="1333"/>
      <c r="L532" s="1333"/>
      <c r="M532" s="1333"/>
      <c r="N532" s="1333"/>
      <c r="O532" s="1333"/>
      <c r="P532" s="1333"/>
      <c r="Q532" s="1453"/>
      <c r="R532" s="1284"/>
      <c r="S532" s="1284"/>
      <c r="T532" s="1333"/>
      <c r="U532" s="1333"/>
      <c r="V532" s="1333"/>
      <c r="W532" s="1333"/>
      <c r="X532" s="1333"/>
      <c r="Y532" s="1333"/>
      <c r="Z532" s="1333"/>
      <c r="AA532" s="1333"/>
      <c r="AB532" s="1333"/>
      <c r="AC532" s="1333"/>
      <c r="AD532" s="1333"/>
      <c r="AE532" s="1333"/>
      <c r="AF532" s="1333"/>
      <c r="AG532" s="1333"/>
      <c r="AH532" s="1333"/>
      <c r="AI532" s="1333"/>
      <c r="AJ532" s="1333"/>
    </row>
    <row r="533" spans="1:36" x14ac:dyDescent="0.25">
      <c r="A533" s="1331"/>
      <c r="B533" s="1284"/>
      <c r="C533" s="1284"/>
      <c r="D533" s="1364"/>
      <c r="E533" s="1364"/>
      <c r="F533" s="1364"/>
      <c r="G533" s="1365"/>
      <c r="H533" s="1333"/>
      <c r="I533" s="1333"/>
      <c r="J533" s="1333"/>
      <c r="K533" s="1333"/>
      <c r="L533" s="1333"/>
      <c r="M533" s="1333"/>
      <c r="N533" s="1333"/>
      <c r="O533" s="1333"/>
      <c r="P533" s="1333"/>
      <c r="Q533" s="1333"/>
      <c r="R533" s="1333"/>
      <c r="S533" s="1284"/>
      <c r="T533" s="1333"/>
      <c r="U533" s="1333"/>
      <c r="V533" s="1333"/>
      <c r="W533" s="1333"/>
      <c r="X533" s="1333"/>
      <c r="Y533" s="1333"/>
      <c r="Z533" s="1333"/>
      <c r="AA533" s="1333"/>
      <c r="AB533" s="1333"/>
      <c r="AC533" s="1333"/>
      <c r="AD533" s="1333"/>
      <c r="AE533" s="1333"/>
      <c r="AF533" s="1333"/>
      <c r="AG533" s="1333"/>
      <c r="AH533" s="1333"/>
      <c r="AI533" s="1333"/>
      <c r="AJ533" s="1333"/>
    </row>
    <row r="534" spans="1:36" x14ac:dyDescent="0.25">
      <c r="A534" s="1331"/>
      <c r="B534" s="1284"/>
      <c r="C534" s="1284"/>
      <c r="D534" s="1364"/>
      <c r="E534" s="1364"/>
      <c r="F534" s="1364"/>
      <c r="G534" s="1365"/>
      <c r="H534" s="1333"/>
      <c r="I534" s="1333"/>
      <c r="J534" s="1333"/>
      <c r="K534" s="1333"/>
      <c r="L534" s="1333"/>
      <c r="M534" s="1333"/>
      <c r="N534" s="1333"/>
      <c r="O534" s="1333"/>
      <c r="P534" s="1333"/>
      <c r="Q534" s="1333"/>
      <c r="R534" s="1333"/>
      <c r="S534" s="1284"/>
      <c r="T534" s="1333"/>
      <c r="U534" s="1333"/>
      <c r="V534" s="1333"/>
      <c r="W534" s="1333"/>
      <c r="X534" s="1333"/>
      <c r="Y534" s="1333"/>
      <c r="Z534" s="1333"/>
      <c r="AA534" s="1333"/>
      <c r="AB534" s="1333"/>
      <c r="AC534" s="1333"/>
      <c r="AD534" s="1333"/>
      <c r="AE534" s="1333"/>
      <c r="AF534" s="1333"/>
      <c r="AG534" s="1333"/>
      <c r="AH534" s="1333"/>
      <c r="AI534" s="1333"/>
      <c r="AJ534" s="1333"/>
    </row>
    <row r="535" spans="1:36" x14ac:dyDescent="0.25">
      <c r="A535" s="1331"/>
      <c r="B535" s="1284"/>
      <c r="C535" s="1284"/>
      <c r="D535" s="1364"/>
      <c r="E535" s="1364"/>
      <c r="F535" s="1364"/>
      <c r="G535" s="1365"/>
      <c r="H535" s="1333"/>
      <c r="I535" s="1333"/>
      <c r="J535" s="1333"/>
      <c r="K535" s="1333"/>
      <c r="L535" s="1333"/>
      <c r="M535" s="1333"/>
      <c r="N535" s="1333"/>
      <c r="O535" s="1333"/>
      <c r="P535" s="1333"/>
      <c r="Q535" s="1333"/>
      <c r="R535" s="1333"/>
      <c r="S535" s="1284"/>
      <c r="T535" s="1333"/>
      <c r="U535" s="1333"/>
      <c r="V535" s="1333"/>
      <c r="W535" s="1333"/>
      <c r="X535" s="1333"/>
      <c r="Y535" s="1333"/>
      <c r="Z535" s="1333"/>
      <c r="AA535" s="1333"/>
      <c r="AB535" s="1333"/>
      <c r="AC535" s="1333"/>
      <c r="AD535" s="1333"/>
      <c r="AE535" s="1333"/>
      <c r="AF535" s="1333"/>
      <c r="AG535" s="1333"/>
      <c r="AH535" s="1333"/>
      <c r="AI535" s="1333"/>
      <c r="AJ535" s="1333"/>
    </row>
    <row r="536" spans="1:36" x14ac:dyDescent="0.25">
      <c r="A536" s="1331"/>
      <c r="B536" s="1284"/>
      <c r="C536" s="1284"/>
      <c r="D536" s="1364"/>
      <c r="E536" s="1364"/>
      <c r="F536" s="1364"/>
      <c r="G536" s="1365"/>
      <c r="H536" s="1333"/>
      <c r="I536" s="1333"/>
      <c r="J536" s="1333"/>
      <c r="K536" s="1333"/>
      <c r="L536" s="1333"/>
      <c r="M536" s="1333"/>
      <c r="N536" s="1333"/>
      <c r="O536" s="1333"/>
      <c r="P536" s="1333"/>
      <c r="Q536" s="1333"/>
      <c r="R536" s="1333"/>
      <c r="S536" s="1284"/>
      <c r="T536" s="1333"/>
      <c r="U536" s="1333"/>
      <c r="V536" s="1333"/>
      <c r="W536" s="1333"/>
      <c r="X536" s="1333"/>
      <c r="Y536" s="1333"/>
      <c r="Z536" s="1333"/>
      <c r="AA536" s="1333"/>
      <c r="AB536" s="1333"/>
      <c r="AC536" s="1333"/>
      <c r="AD536" s="1333"/>
      <c r="AE536" s="1333"/>
      <c r="AF536" s="1333"/>
      <c r="AG536" s="1333"/>
      <c r="AH536" s="1333"/>
      <c r="AI536" s="1333"/>
      <c r="AJ536" s="1333"/>
    </row>
    <row r="537" spans="1:36" x14ac:dyDescent="0.25">
      <c r="A537" s="1331"/>
      <c r="B537" s="1284"/>
      <c r="C537" s="1284"/>
      <c r="D537" s="1364"/>
      <c r="E537" s="1364"/>
      <c r="F537" s="1364"/>
      <c r="G537" s="1365"/>
      <c r="H537" s="1333"/>
      <c r="I537" s="1333"/>
      <c r="J537" s="1333"/>
      <c r="K537" s="1333"/>
      <c r="L537" s="1333"/>
      <c r="M537" s="1333"/>
      <c r="N537" s="1333"/>
      <c r="O537" s="1333"/>
      <c r="P537" s="1333"/>
      <c r="Q537" s="1333"/>
      <c r="R537" s="1333"/>
      <c r="S537" s="1284"/>
      <c r="T537" s="1333"/>
      <c r="U537" s="1333"/>
      <c r="V537" s="1333"/>
      <c r="W537" s="1333"/>
      <c r="X537" s="1333"/>
      <c r="Y537" s="1333"/>
      <c r="Z537" s="1333"/>
      <c r="AA537" s="1333"/>
      <c r="AB537" s="1333"/>
      <c r="AC537" s="1333"/>
      <c r="AD537" s="1333"/>
      <c r="AE537" s="1333"/>
      <c r="AF537" s="1333"/>
      <c r="AG537" s="1333"/>
      <c r="AH537" s="1333"/>
      <c r="AI537" s="1333"/>
      <c r="AJ537" s="1333"/>
    </row>
    <row r="538" spans="1:36" x14ac:dyDescent="0.25">
      <c r="A538" s="1331"/>
      <c r="B538" s="1284"/>
      <c r="C538" s="1284"/>
      <c r="D538" s="1364"/>
      <c r="E538" s="1364"/>
      <c r="F538" s="1364"/>
      <c r="G538" s="1365"/>
      <c r="H538" s="1333"/>
      <c r="I538" s="1333"/>
      <c r="J538" s="1333"/>
      <c r="K538" s="1333"/>
      <c r="L538" s="1333"/>
      <c r="M538" s="1333"/>
      <c r="N538" s="1333"/>
      <c r="O538" s="1333"/>
      <c r="P538" s="1333"/>
      <c r="Q538" s="1333"/>
      <c r="R538" s="1333"/>
      <c r="S538" s="1284"/>
      <c r="T538" s="1333"/>
      <c r="U538" s="1333"/>
      <c r="V538" s="1333"/>
      <c r="W538" s="1333"/>
      <c r="X538" s="1333"/>
      <c r="Y538" s="1333"/>
      <c r="Z538" s="1333"/>
      <c r="AA538" s="1333"/>
      <c r="AB538" s="1333"/>
      <c r="AC538" s="1333"/>
      <c r="AD538" s="1333"/>
      <c r="AE538" s="1333"/>
      <c r="AF538" s="1333"/>
      <c r="AG538" s="1333"/>
      <c r="AH538" s="1333"/>
      <c r="AI538" s="1333"/>
      <c r="AJ538" s="1333"/>
    </row>
    <row r="539" spans="1:36" x14ac:dyDescent="0.25">
      <c r="A539" s="1331"/>
      <c r="B539" s="1284"/>
      <c r="C539" s="1284"/>
      <c r="D539" s="1364"/>
      <c r="E539" s="1364"/>
      <c r="F539" s="1364"/>
      <c r="G539" s="1365"/>
      <c r="H539" s="1333"/>
      <c r="I539" s="1333"/>
      <c r="J539" s="1333"/>
      <c r="K539" s="1333"/>
      <c r="L539" s="1333"/>
      <c r="M539" s="1333"/>
      <c r="N539" s="1333"/>
      <c r="O539" s="1333"/>
      <c r="P539" s="1333"/>
      <c r="Q539" s="1333"/>
      <c r="R539" s="1333"/>
      <c r="S539" s="1284"/>
      <c r="T539" s="1333"/>
      <c r="U539" s="1333"/>
      <c r="V539" s="1333"/>
      <c r="W539" s="1333"/>
      <c r="X539" s="1333"/>
      <c r="Y539" s="1333"/>
      <c r="Z539" s="1333"/>
      <c r="AA539" s="1333"/>
      <c r="AB539" s="1333"/>
      <c r="AC539" s="1333"/>
      <c r="AD539" s="1333"/>
      <c r="AE539" s="1333"/>
      <c r="AF539" s="1333"/>
      <c r="AG539" s="1333"/>
      <c r="AH539" s="1333"/>
      <c r="AI539" s="1333"/>
      <c r="AJ539" s="1333"/>
    </row>
    <row r="540" spans="1:36" x14ac:dyDescent="0.25">
      <c r="A540" s="1331"/>
      <c r="B540" s="1284"/>
      <c r="C540" s="1284"/>
      <c r="D540" s="1364"/>
      <c r="E540" s="1364"/>
      <c r="F540" s="1364"/>
      <c r="G540" s="1365"/>
      <c r="H540" s="1333"/>
      <c r="I540" s="1333"/>
      <c r="J540" s="1333"/>
      <c r="K540" s="1333"/>
      <c r="L540" s="1333"/>
      <c r="M540" s="1333"/>
      <c r="N540" s="1333"/>
      <c r="O540" s="1333"/>
      <c r="P540" s="1333"/>
      <c r="Q540" s="1333"/>
      <c r="R540" s="1333"/>
      <c r="S540" s="1284"/>
      <c r="T540" s="1333"/>
      <c r="U540" s="1333"/>
      <c r="V540" s="1333"/>
      <c r="W540" s="1333"/>
      <c r="X540" s="1333"/>
      <c r="Y540" s="1333"/>
      <c r="Z540" s="1333"/>
      <c r="AA540" s="1333"/>
      <c r="AB540" s="1333"/>
      <c r="AC540" s="1333"/>
      <c r="AD540" s="1333"/>
      <c r="AE540" s="1333"/>
      <c r="AF540" s="1333"/>
      <c r="AG540" s="1333"/>
      <c r="AH540" s="1333"/>
      <c r="AI540" s="1333"/>
      <c r="AJ540" s="1333"/>
    </row>
    <row r="541" spans="1:36" x14ac:dyDescent="0.25">
      <c r="A541" s="1331"/>
      <c r="B541" s="1284"/>
      <c r="C541" s="1284"/>
      <c r="D541" s="1364"/>
      <c r="E541" s="1364"/>
      <c r="F541" s="1364"/>
      <c r="G541" s="1365"/>
      <c r="H541" s="1333"/>
      <c r="I541" s="1333"/>
      <c r="J541" s="1333"/>
      <c r="K541" s="1333"/>
      <c r="L541" s="1333"/>
      <c r="M541" s="1333"/>
      <c r="N541" s="1333"/>
      <c r="O541" s="1333"/>
      <c r="P541" s="1333"/>
      <c r="Q541" s="1333"/>
      <c r="R541" s="1333"/>
      <c r="S541" s="1284"/>
      <c r="T541" s="1333"/>
      <c r="U541" s="1333"/>
      <c r="V541" s="1333"/>
      <c r="W541" s="1333"/>
      <c r="X541" s="1333"/>
      <c r="Y541" s="1333"/>
      <c r="Z541" s="1333"/>
      <c r="AA541" s="1333"/>
      <c r="AB541" s="1333"/>
      <c r="AC541" s="1333"/>
      <c r="AD541" s="1333"/>
      <c r="AE541" s="1333"/>
      <c r="AF541" s="1333"/>
      <c r="AG541" s="1333"/>
      <c r="AH541" s="1333"/>
      <c r="AI541" s="1333"/>
      <c r="AJ541" s="1333"/>
    </row>
    <row r="542" spans="1:36" x14ac:dyDescent="0.25">
      <c r="A542" s="1331"/>
      <c r="B542" s="1284"/>
      <c r="C542" s="1284"/>
      <c r="D542" s="1364"/>
      <c r="E542" s="1364"/>
      <c r="F542" s="1364"/>
      <c r="G542" s="1365"/>
      <c r="H542" s="1333"/>
      <c r="I542" s="1333"/>
      <c r="J542" s="1333"/>
      <c r="K542" s="1333"/>
      <c r="L542" s="1333"/>
      <c r="M542" s="1333"/>
      <c r="N542" s="1333"/>
      <c r="O542" s="1333"/>
      <c r="P542" s="1333"/>
      <c r="Q542" s="1333"/>
      <c r="R542" s="1333"/>
      <c r="S542" s="1284"/>
      <c r="T542" s="1333"/>
      <c r="U542" s="1333"/>
      <c r="V542" s="1333"/>
      <c r="W542" s="1333"/>
      <c r="X542" s="1333"/>
      <c r="Y542" s="1333"/>
      <c r="Z542" s="1333"/>
      <c r="AA542" s="1333"/>
      <c r="AB542" s="1333"/>
      <c r="AC542" s="1333"/>
      <c r="AD542" s="1333"/>
      <c r="AE542" s="1333"/>
      <c r="AF542" s="1333"/>
      <c r="AG542" s="1333"/>
      <c r="AH542" s="1333"/>
      <c r="AI542" s="1333"/>
      <c r="AJ542" s="1333"/>
    </row>
    <row r="543" spans="1:36" x14ac:dyDescent="0.25">
      <c r="A543" s="1331"/>
      <c r="B543" s="1284"/>
      <c r="C543" s="1284"/>
      <c r="D543" s="1364"/>
      <c r="E543" s="1364"/>
      <c r="F543" s="1364"/>
      <c r="G543" s="1365"/>
      <c r="H543" s="1333"/>
      <c r="I543" s="1333"/>
      <c r="J543" s="1333"/>
      <c r="K543" s="1333"/>
      <c r="L543" s="1333"/>
      <c r="M543" s="1333"/>
      <c r="N543" s="1333"/>
      <c r="O543" s="1333"/>
      <c r="P543" s="1333"/>
      <c r="Q543" s="1333"/>
      <c r="R543" s="1333"/>
      <c r="S543" s="1284"/>
      <c r="T543" s="1333"/>
      <c r="U543" s="1333"/>
      <c r="V543" s="1333"/>
      <c r="W543" s="1333"/>
      <c r="X543" s="1333"/>
      <c r="Y543" s="1333"/>
      <c r="Z543" s="1333"/>
      <c r="AA543" s="1333"/>
      <c r="AB543" s="1333"/>
      <c r="AC543" s="1333"/>
      <c r="AD543" s="1333"/>
      <c r="AE543" s="1333"/>
      <c r="AF543" s="1333"/>
      <c r="AG543" s="1333"/>
      <c r="AH543" s="1333"/>
      <c r="AI543" s="1333"/>
      <c r="AJ543" s="1333"/>
    </row>
    <row r="544" spans="1:36" x14ac:dyDescent="0.25">
      <c r="A544" s="1331"/>
      <c r="B544" s="1284"/>
      <c r="C544" s="1284"/>
      <c r="D544" s="1364"/>
      <c r="E544" s="1364"/>
      <c r="F544" s="1364"/>
      <c r="G544" s="1365"/>
      <c r="H544" s="1333"/>
      <c r="I544" s="1333"/>
      <c r="J544" s="1333"/>
      <c r="K544" s="1333"/>
      <c r="L544" s="1333"/>
      <c r="M544" s="1333"/>
      <c r="N544" s="1333"/>
      <c r="O544" s="1333"/>
      <c r="P544" s="1333"/>
      <c r="Q544" s="1333"/>
      <c r="R544" s="1333"/>
      <c r="S544" s="1284"/>
      <c r="T544" s="1333"/>
      <c r="U544" s="1333"/>
      <c r="V544" s="1333"/>
      <c r="W544" s="1333"/>
      <c r="X544" s="1333"/>
      <c r="Y544" s="1333"/>
      <c r="Z544" s="1333"/>
      <c r="AA544" s="1333"/>
      <c r="AB544" s="1333"/>
      <c r="AC544" s="1333"/>
      <c r="AD544" s="1333"/>
      <c r="AE544" s="1333"/>
      <c r="AF544" s="1333"/>
      <c r="AG544" s="1333"/>
      <c r="AH544" s="1333"/>
      <c r="AI544" s="1333"/>
      <c r="AJ544" s="1333"/>
    </row>
    <row r="545" spans="1:36" x14ac:dyDescent="0.25">
      <c r="A545" s="1331"/>
      <c r="B545" s="1284"/>
      <c r="C545" s="1284"/>
      <c r="D545" s="1364"/>
      <c r="E545" s="1364"/>
      <c r="F545" s="1364"/>
      <c r="G545" s="1365"/>
      <c r="H545" s="1333"/>
      <c r="I545" s="1333"/>
      <c r="J545" s="1333"/>
      <c r="K545" s="1333"/>
      <c r="L545" s="1333"/>
      <c r="M545" s="1333"/>
      <c r="N545" s="1333"/>
      <c r="O545" s="1333"/>
      <c r="P545" s="1333"/>
      <c r="Q545" s="1333"/>
      <c r="R545" s="1333"/>
      <c r="S545" s="1284"/>
      <c r="T545" s="1333"/>
      <c r="U545" s="1333"/>
      <c r="V545" s="1333"/>
      <c r="W545" s="1333"/>
      <c r="X545" s="1333"/>
      <c r="Y545" s="1333"/>
      <c r="Z545" s="1333"/>
      <c r="AA545" s="1333"/>
      <c r="AB545" s="1333"/>
      <c r="AC545" s="1333"/>
      <c r="AD545" s="1333"/>
      <c r="AE545" s="1333"/>
      <c r="AF545" s="1333"/>
      <c r="AG545" s="1333"/>
      <c r="AH545" s="1333"/>
      <c r="AI545" s="1333"/>
      <c r="AJ545" s="1333"/>
    </row>
    <row r="546" spans="1:36" x14ac:dyDescent="0.25">
      <c r="A546" s="1331"/>
      <c r="B546" s="1284"/>
      <c r="C546" s="1284"/>
      <c r="D546" s="1364"/>
      <c r="E546" s="1364"/>
      <c r="F546" s="1364"/>
      <c r="G546" s="1365"/>
      <c r="H546" s="1333"/>
      <c r="I546" s="1333"/>
      <c r="J546" s="1333"/>
      <c r="K546" s="1333"/>
      <c r="L546" s="1333"/>
      <c r="M546" s="1333"/>
      <c r="N546" s="1333"/>
      <c r="O546" s="1333"/>
      <c r="P546" s="1333"/>
      <c r="Q546" s="1333"/>
      <c r="R546" s="1333"/>
      <c r="S546" s="1284"/>
      <c r="T546" s="1333"/>
      <c r="U546" s="1333"/>
      <c r="V546" s="1333"/>
      <c r="W546" s="1333"/>
      <c r="X546" s="1333"/>
      <c r="Y546" s="1333"/>
      <c r="Z546" s="1333"/>
      <c r="AA546" s="1333"/>
      <c r="AB546" s="1333"/>
      <c r="AC546" s="1333"/>
      <c r="AD546" s="1333"/>
      <c r="AE546" s="1333"/>
      <c r="AF546" s="1333"/>
      <c r="AG546" s="1333"/>
      <c r="AH546" s="1333"/>
      <c r="AI546" s="1333"/>
      <c r="AJ546" s="1333"/>
    </row>
    <row r="547" spans="1:36" x14ac:dyDescent="0.25">
      <c r="A547" s="1331"/>
      <c r="B547" s="1284"/>
      <c r="C547" s="1284"/>
      <c r="D547" s="1364"/>
      <c r="E547" s="1364"/>
      <c r="F547" s="1364"/>
      <c r="G547" s="1365"/>
      <c r="H547" s="1333"/>
      <c r="I547" s="1333"/>
      <c r="J547" s="1333"/>
      <c r="K547" s="1333"/>
      <c r="L547" s="1333"/>
      <c r="M547" s="1333"/>
      <c r="N547" s="1333"/>
      <c r="O547" s="1333"/>
      <c r="P547" s="1333"/>
      <c r="Q547" s="1333"/>
      <c r="R547" s="1333"/>
      <c r="S547" s="1284"/>
      <c r="T547" s="1333"/>
      <c r="U547" s="1333"/>
      <c r="V547" s="1333"/>
      <c r="W547" s="1333"/>
      <c r="X547" s="1333"/>
      <c r="Y547" s="1333"/>
      <c r="Z547" s="1333"/>
      <c r="AA547" s="1333"/>
      <c r="AB547" s="1333"/>
      <c r="AC547" s="1333"/>
      <c r="AD547" s="1333"/>
      <c r="AE547" s="1333"/>
      <c r="AF547" s="1333"/>
      <c r="AG547" s="1333"/>
      <c r="AH547" s="1333"/>
      <c r="AI547" s="1333"/>
      <c r="AJ547" s="1333"/>
    </row>
    <row r="548" spans="1:36" x14ac:dyDescent="0.25">
      <c r="A548" s="1331"/>
      <c r="B548" s="1284"/>
      <c r="C548" s="1284"/>
      <c r="D548" s="1364"/>
      <c r="E548" s="1364"/>
      <c r="F548" s="1364"/>
      <c r="G548" s="1365"/>
      <c r="H548" s="1333"/>
      <c r="I548" s="1333"/>
      <c r="J548" s="1333"/>
      <c r="K548" s="1333"/>
      <c r="L548" s="1333"/>
      <c r="M548" s="1333"/>
      <c r="N548" s="1333"/>
      <c r="O548" s="1333"/>
      <c r="P548" s="1333"/>
      <c r="Q548" s="1333"/>
      <c r="R548" s="1333"/>
      <c r="S548" s="1284"/>
      <c r="T548" s="1333"/>
      <c r="U548" s="1333"/>
      <c r="V548" s="1333"/>
      <c r="W548" s="1333"/>
      <c r="X548" s="1333"/>
      <c r="Y548" s="1333"/>
      <c r="Z548" s="1333"/>
      <c r="AA548" s="1333"/>
      <c r="AB548" s="1333"/>
      <c r="AC548" s="1333"/>
      <c r="AD548" s="1333"/>
      <c r="AE548" s="1333"/>
      <c r="AF548" s="1333"/>
      <c r="AG548" s="1333"/>
      <c r="AH548" s="1333"/>
      <c r="AI548" s="1333"/>
      <c r="AJ548" s="1333"/>
    </row>
    <row r="549" spans="1:36" x14ac:dyDescent="0.25">
      <c r="A549" s="1331"/>
      <c r="B549" s="1284"/>
      <c r="C549" s="1284"/>
      <c r="D549" s="1364"/>
      <c r="E549" s="1364"/>
      <c r="F549" s="1364"/>
      <c r="G549" s="1365"/>
      <c r="H549" s="1333"/>
      <c r="I549" s="1333"/>
      <c r="J549" s="1333"/>
      <c r="K549" s="1333"/>
      <c r="L549" s="1333"/>
      <c r="M549" s="1333"/>
      <c r="N549" s="1333"/>
      <c r="O549" s="1333"/>
      <c r="P549" s="1333"/>
      <c r="Q549" s="1333"/>
      <c r="R549" s="1333"/>
      <c r="S549" s="1284"/>
      <c r="T549" s="1333"/>
      <c r="U549" s="1333"/>
      <c r="V549" s="1333"/>
      <c r="W549" s="1333"/>
      <c r="X549" s="1333"/>
      <c r="Y549" s="1333"/>
      <c r="Z549" s="1333"/>
      <c r="AA549" s="1333"/>
      <c r="AB549" s="1333"/>
      <c r="AC549" s="1333"/>
      <c r="AD549" s="1333"/>
      <c r="AE549" s="1333"/>
      <c r="AF549" s="1333"/>
      <c r="AG549" s="1333"/>
      <c r="AH549" s="1333"/>
      <c r="AI549" s="1333"/>
      <c r="AJ549" s="1333"/>
    </row>
    <row r="550" spans="1:36" x14ac:dyDescent="0.25">
      <c r="A550" s="1331"/>
      <c r="B550" s="1284"/>
      <c r="C550" s="1284"/>
      <c r="D550" s="1364"/>
      <c r="E550" s="1364"/>
      <c r="F550" s="1364"/>
      <c r="G550" s="1365"/>
      <c r="H550" s="1333"/>
      <c r="I550" s="1333"/>
      <c r="J550" s="1333"/>
      <c r="K550" s="1333"/>
      <c r="L550" s="1333"/>
      <c r="M550" s="1333"/>
      <c r="N550" s="1333"/>
      <c r="O550" s="1333"/>
      <c r="P550" s="1333"/>
      <c r="Q550" s="1333"/>
      <c r="R550" s="1333"/>
      <c r="S550" s="1284"/>
      <c r="T550" s="1333"/>
      <c r="U550" s="1333"/>
      <c r="V550" s="1333"/>
      <c r="W550" s="1333"/>
      <c r="X550" s="1333"/>
      <c r="Y550" s="1333"/>
      <c r="Z550" s="1333"/>
      <c r="AA550" s="1333"/>
      <c r="AB550" s="1333"/>
      <c r="AC550" s="1333"/>
      <c r="AD550" s="1333"/>
      <c r="AE550" s="1333"/>
      <c r="AF550" s="1333"/>
      <c r="AG550" s="1333"/>
      <c r="AH550" s="1333"/>
      <c r="AI550" s="1333"/>
      <c r="AJ550" s="1333"/>
    </row>
    <row r="551" spans="1:36" x14ac:dyDescent="0.25">
      <c r="A551" s="1331"/>
      <c r="B551" s="1284"/>
      <c r="C551" s="1284"/>
      <c r="D551" s="1364"/>
      <c r="E551" s="1364"/>
      <c r="F551" s="1364"/>
      <c r="G551" s="1365"/>
      <c r="H551" s="1333"/>
      <c r="I551" s="1333"/>
      <c r="J551" s="1333"/>
      <c r="K551" s="1333"/>
      <c r="L551" s="1333"/>
      <c r="M551" s="1333"/>
      <c r="N551" s="1333"/>
      <c r="O551" s="1333"/>
      <c r="P551" s="1333"/>
      <c r="Q551" s="1333"/>
      <c r="R551" s="1333"/>
      <c r="S551" s="1284"/>
      <c r="T551" s="1333"/>
      <c r="U551" s="1333"/>
      <c r="V551" s="1333"/>
      <c r="W551" s="1333"/>
      <c r="X551" s="1333"/>
      <c r="Y551" s="1333"/>
      <c r="Z551" s="1333"/>
      <c r="AA551" s="1333"/>
      <c r="AB551" s="1333"/>
      <c r="AC551" s="1333"/>
      <c r="AD551" s="1333"/>
      <c r="AE551" s="1333"/>
      <c r="AF551" s="1333"/>
      <c r="AG551" s="1333"/>
      <c r="AH551" s="1333"/>
      <c r="AI551" s="1333"/>
      <c r="AJ551" s="1333"/>
    </row>
    <row r="552" spans="1:36" x14ac:dyDescent="0.25">
      <c r="A552" s="1331"/>
      <c r="B552" s="1284"/>
      <c r="C552" s="1284"/>
      <c r="D552" s="1364"/>
      <c r="E552" s="1364"/>
      <c r="F552" s="1364"/>
      <c r="G552" s="1365"/>
      <c r="H552" s="1333"/>
      <c r="I552" s="1333"/>
      <c r="J552" s="1333"/>
      <c r="K552" s="1333"/>
      <c r="L552" s="1333"/>
      <c r="M552" s="1333"/>
      <c r="N552" s="1333"/>
      <c r="O552" s="1333"/>
      <c r="P552" s="1333"/>
      <c r="Q552" s="1333"/>
      <c r="R552" s="1333"/>
      <c r="S552" s="1284"/>
      <c r="T552" s="1333"/>
      <c r="U552" s="1333"/>
      <c r="V552" s="1333"/>
      <c r="W552" s="1333"/>
      <c r="X552" s="1333"/>
      <c r="Y552" s="1333"/>
      <c r="Z552" s="1333"/>
      <c r="AA552" s="1333"/>
      <c r="AB552" s="1333"/>
      <c r="AC552" s="1333"/>
      <c r="AD552" s="1333"/>
      <c r="AE552" s="1333"/>
      <c r="AF552" s="1333"/>
      <c r="AG552" s="1333"/>
      <c r="AH552" s="1333"/>
      <c r="AI552" s="1333"/>
      <c r="AJ552" s="1333"/>
    </row>
    <row r="553" spans="1:36" x14ac:dyDescent="0.25">
      <c r="A553" s="1331"/>
      <c r="B553" s="1284"/>
      <c r="C553" s="1284"/>
      <c r="D553" s="1364"/>
      <c r="E553" s="1364"/>
      <c r="F553" s="1364"/>
      <c r="G553" s="1365"/>
      <c r="H553" s="1333"/>
      <c r="I553" s="1333"/>
      <c r="J553" s="1333"/>
      <c r="K553" s="1333"/>
      <c r="L553" s="1333"/>
      <c r="M553" s="1333"/>
      <c r="N553" s="1333"/>
      <c r="O553" s="1333"/>
      <c r="P553" s="1333"/>
      <c r="Q553" s="1333"/>
      <c r="R553" s="1333"/>
      <c r="S553" s="1284"/>
      <c r="T553" s="1333"/>
      <c r="U553" s="1333"/>
      <c r="V553" s="1333"/>
      <c r="W553" s="1333"/>
      <c r="X553" s="1333"/>
      <c r="Y553" s="1333"/>
      <c r="Z553" s="1333"/>
      <c r="AA553" s="1333"/>
      <c r="AB553" s="1333"/>
      <c r="AC553" s="1333"/>
      <c r="AD553" s="1333"/>
      <c r="AE553" s="1333"/>
      <c r="AF553" s="1333"/>
      <c r="AG553" s="1333"/>
      <c r="AH553" s="1333"/>
      <c r="AI553" s="1333"/>
      <c r="AJ553" s="1333"/>
    </row>
    <row r="554" spans="1:36" x14ac:dyDescent="0.25">
      <c r="A554" s="1331"/>
      <c r="B554" s="1284"/>
      <c r="C554" s="1284"/>
      <c r="D554" s="1364"/>
      <c r="E554" s="1364"/>
      <c r="F554" s="1364"/>
      <c r="G554" s="1365"/>
      <c r="H554" s="1333"/>
      <c r="I554" s="1333"/>
      <c r="J554" s="1333"/>
      <c r="K554" s="1333"/>
      <c r="L554" s="1333"/>
      <c r="M554" s="1333"/>
      <c r="N554" s="1333"/>
      <c r="O554" s="1333"/>
      <c r="P554" s="1333"/>
      <c r="Q554" s="1333"/>
      <c r="R554" s="1333"/>
      <c r="S554" s="1284"/>
      <c r="T554" s="1333"/>
      <c r="U554" s="1333"/>
      <c r="V554" s="1333"/>
      <c r="W554" s="1333"/>
      <c r="X554" s="1333"/>
      <c r="Y554" s="1333"/>
      <c r="Z554" s="1333"/>
      <c r="AA554" s="1333"/>
      <c r="AB554" s="1333"/>
      <c r="AC554" s="1333"/>
      <c r="AD554" s="1333"/>
      <c r="AE554" s="1333"/>
      <c r="AF554" s="1333"/>
      <c r="AG554" s="1333"/>
      <c r="AH554" s="1333"/>
      <c r="AI554" s="1333"/>
      <c r="AJ554" s="1333"/>
    </row>
    <row r="555" spans="1:36" x14ac:dyDescent="0.25">
      <c r="A555" s="1331"/>
      <c r="B555" s="1284"/>
      <c r="C555" s="1284"/>
      <c r="D555" s="1364"/>
      <c r="E555" s="1364"/>
      <c r="F555" s="1364"/>
      <c r="G555" s="1365"/>
      <c r="H555" s="1333"/>
      <c r="I555" s="1333"/>
      <c r="J555" s="1333"/>
      <c r="K555" s="1333"/>
      <c r="L555" s="1333"/>
      <c r="M555" s="1333"/>
      <c r="N555" s="1333"/>
      <c r="O555" s="1333"/>
      <c r="P555" s="1333"/>
      <c r="Q555" s="1333"/>
      <c r="R555" s="1333"/>
      <c r="S555" s="1284"/>
      <c r="T555" s="1333"/>
      <c r="U555" s="1333"/>
      <c r="V555" s="1333"/>
      <c r="W555" s="1333"/>
      <c r="X555" s="1333"/>
      <c r="Y555" s="1333"/>
      <c r="Z555" s="1333"/>
      <c r="AA555" s="1333"/>
      <c r="AB555" s="1333"/>
      <c r="AC555" s="1333"/>
      <c r="AD555" s="1333"/>
      <c r="AE555" s="1333"/>
      <c r="AF555" s="1333"/>
      <c r="AG555" s="1333"/>
      <c r="AH555" s="1333"/>
      <c r="AI555" s="1333"/>
      <c r="AJ555" s="1333"/>
    </row>
    <row r="556" spans="1:36" x14ac:dyDescent="0.25">
      <c r="A556" s="1331"/>
      <c r="B556" s="1284"/>
      <c r="C556" s="1284"/>
      <c r="D556" s="1364"/>
      <c r="E556" s="1364"/>
      <c r="F556" s="1364"/>
      <c r="G556" s="1365"/>
      <c r="H556" s="1333"/>
      <c r="I556" s="1333"/>
      <c r="J556" s="1333"/>
      <c r="K556" s="1333"/>
      <c r="L556" s="1333"/>
      <c r="M556" s="1333"/>
      <c r="N556" s="1333"/>
      <c r="O556" s="1333"/>
      <c r="P556" s="1333"/>
      <c r="Q556" s="1333"/>
      <c r="R556" s="1333"/>
      <c r="S556" s="1284"/>
      <c r="T556" s="1333"/>
      <c r="U556" s="1333"/>
      <c r="V556" s="1333"/>
      <c r="W556" s="1333"/>
      <c r="X556" s="1333"/>
      <c r="Y556" s="1333"/>
      <c r="Z556" s="1333"/>
      <c r="AA556" s="1333"/>
      <c r="AB556" s="1333"/>
      <c r="AC556" s="1333"/>
      <c r="AD556" s="1333"/>
      <c r="AE556" s="1333"/>
      <c r="AF556" s="1333"/>
      <c r="AG556" s="1333"/>
      <c r="AH556" s="1333"/>
      <c r="AI556" s="1333"/>
      <c r="AJ556" s="1333"/>
    </row>
    <row r="557" spans="1:36" x14ac:dyDescent="0.25">
      <c r="A557" s="1331"/>
      <c r="B557" s="1284"/>
      <c r="C557" s="1284"/>
      <c r="D557" s="1364"/>
      <c r="E557" s="1364"/>
      <c r="F557" s="1364"/>
      <c r="G557" s="1365"/>
      <c r="H557" s="1333"/>
      <c r="I557" s="1333"/>
      <c r="J557" s="1333"/>
      <c r="K557" s="1333"/>
      <c r="L557" s="1333"/>
      <c r="M557" s="1333"/>
      <c r="N557" s="1333"/>
      <c r="O557" s="1333"/>
      <c r="P557" s="1333"/>
      <c r="Q557" s="1333"/>
      <c r="R557" s="1333"/>
      <c r="S557" s="1284"/>
      <c r="T557" s="1333"/>
      <c r="U557" s="1333"/>
      <c r="V557" s="1333"/>
      <c r="W557" s="1333"/>
      <c r="X557" s="1333"/>
      <c r="Y557" s="1333"/>
      <c r="Z557" s="1333"/>
      <c r="AA557" s="1333"/>
      <c r="AB557" s="1333"/>
      <c r="AC557" s="1333"/>
      <c r="AD557" s="1333"/>
      <c r="AE557" s="1333"/>
      <c r="AF557" s="1333"/>
      <c r="AG557" s="1333"/>
      <c r="AH557" s="1333"/>
      <c r="AI557" s="1333"/>
      <c r="AJ557" s="1333"/>
    </row>
    <row r="558" spans="1:36" x14ac:dyDescent="0.25">
      <c r="A558" s="1331"/>
      <c r="B558" s="1284"/>
      <c r="C558" s="1284"/>
      <c r="D558" s="1364"/>
      <c r="E558" s="1364"/>
      <c r="F558" s="1364"/>
      <c r="G558" s="1365"/>
      <c r="H558" s="1333"/>
      <c r="I558" s="1333"/>
      <c r="J558" s="1333"/>
      <c r="K558" s="1333"/>
      <c r="L558" s="1333"/>
      <c r="M558" s="1333"/>
      <c r="N558" s="1333"/>
      <c r="O558" s="1333"/>
      <c r="P558" s="1333"/>
      <c r="Q558" s="1333"/>
      <c r="R558" s="1333"/>
      <c r="S558" s="1284"/>
      <c r="T558" s="1333"/>
      <c r="U558" s="1333"/>
      <c r="V558" s="1333"/>
      <c r="W558" s="1333"/>
      <c r="X558" s="1333"/>
      <c r="Y558" s="1333"/>
      <c r="Z558" s="1333"/>
      <c r="AA558" s="1333"/>
      <c r="AB558" s="1333"/>
      <c r="AC558" s="1333"/>
      <c r="AD558" s="1333"/>
      <c r="AE558" s="1333"/>
      <c r="AF558" s="1333"/>
      <c r="AG558" s="1333"/>
      <c r="AH558" s="1333"/>
      <c r="AI558" s="1333"/>
      <c r="AJ558" s="1333"/>
    </row>
    <row r="559" spans="1:36" x14ac:dyDescent="0.25">
      <c r="A559" s="1331"/>
      <c r="B559" s="1284"/>
      <c r="C559" s="1284"/>
      <c r="D559" s="1364"/>
      <c r="E559" s="1364"/>
      <c r="F559" s="1364"/>
      <c r="G559" s="1365"/>
      <c r="H559" s="1333"/>
      <c r="I559" s="1333"/>
      <c r="J559" s="1333"/>
      <c r="K559" s="1333"/>
      <c r="L559" s="1333"/>
      <c r="M559" s="1333"/>
      <c r="N559" s="1333"/>
      <c r="O559" s="1333"/>
      <c r="P559" s="1333"/>
      <c r="Q559" s="1333"/>
      <c r="R559" s="1333"/>
      <c r="S559" s="1284"/>
      <c r="T559" s="1333"/>
      <c r="U559" s="1333"/>
      <c r="V559" s="1333"/>
      <c r="W559" s="1333"/>
      <c r="X559" s="1333"/>
      <c r="Y559" s="1333"/>
      <c r="Z559" s="1333"/>
      <c r="AA559" s="1333"/>
      <c r="AB559" s="1333"/>
      <c r="AC559" s="1333"/>
      <c r="AD559" s="1333"/>
      <c r="AE559" s="1333"/>
      <c r="AF559" s="1333"/>
      <c r="AG559" s="1333"/>
      <c r="AH559" s="1333"/>
      <c r="AI559" s="1333"/>
      <c r="AJ559" s="1333"/>
    </row>
    <row r="560" spans="1:36" x14ac:dyDescent="0.25">
      <c r="A560" s="1331"/>
      <c r="B560" s="1284"/>
      <c r="C560" s="1284"/>
      <c r="D560" s="1364"/>
      <c r="E560" s="1364"/>
      <c r="F560" s="1364"/>
      <c r="G560" s="1365"/>
      <c r="H560" s="1333"/>
      <c r="I560" s="1333"/>
      <c r="J560" s="1333"/>
      <c r="K560" s="1333"/>
      <c r="L560" s="1333"/>
      <c r="M560" s="1333"/>
      <c r="N560" s="1333"/>
      <c r="O560" s="1333"/>
      <c r="P560" s="1333"/>
      <c r="Q560" s="1333"/>
      <c r="R560" s="1333"/>
      <c r="S560" s="1284"/>
      <c r="T560" s="1333"/>
      <c r="U560" s="1333"/>
      <c r="V560" s="1333"/>
      <c r="W560" s="1333"/>
      <c r="X560" s="1333"/>
      <c r="Y560" s="1333"/>
      <c r="Z560" s="1333"/>
      <c r="AA560" s="1333"/>
      <c r="AB560" s="1333"/>
      <c r="AC560" s="1333"/>
      <c r="AD560" s="1333"/>
      <c r="AE560" s="1333"/>
      <c r="AF560" s="1333"/>
      <c r="AG560" s="1333"/>
      <c r="AH560" s="1333"/>
      <c r="AI560" s="1333"/>
      <c r="AJ560" s="1333"/>
    </row>
    <row r="561" spans="1:36" x14ac:dyDescent="0.25">
      <c r="A561" s="1331"/>
      <c r="B561" s="1284"/>
      <c r="C561" s="1284"/>
      <c r="D561" s="1364"/>
      <c r="E561" s="1364"/>
      <c r="F561" s="1364"/>
      <c r="G561" s="1365"/>
      <c r="H561" s="1333"/>
      <c r="I561" s="1333"/>
      <c r="J561" s="1333"/>
      <c r="K561" s="1333"/>
      <c r="L561" s="1333"/>
      <c r="M561" s="1333"/>
      <c r="N561" s="1333"/>
      <c r="O561" s="1333"/>
      <c r="P561" s="1333"/>
      <c r="Q561" s="1333"/>
      <c r="R561" s="1333"/>
      <c r="S561" s="1284"/>
      <c r="T561" s="1333"/>
      <c r="U561" s="1333"/>
      <c r="V561" s="1333"/>
      <c r="W561" s="1333"/>
      <c r="X561" s="1333"/>
      <c r="Y561" s="1333"/>
      <c r="Z561" s="1333"/>
      <c r="AA561" s="1333"/>
      <c r="AB561" s="1333"/>
      <c r="AC561" s="1333"/>
      <c r="AD561" s="1333"/>
      <c r="AE561" s="1333"/>
      <c r="AF561" s="1333"/>
      <c r="AG561" s="1333"/>
      <c r="AH561" s="1333"/>
      <c r="AI561" s="1333"/>
      <c r="AJ561" s="1333"/>
    </row>
    <row r="562" spans="1:36" x14ac:dyDescent="0.25">
      <c r="A562" s="1331"/>
      <c r="B562" s="1284"/>
      <c r="C562" s="1284"/>
      <c r="D562" s="1364"/>
      <c r="E562" s="1364"/>
      <c r="F562" s="1364"/>
      <c r="G562" s="1365"/>
      <c r="H562" s="1333"/>
      <c r="I562" s="1333"/>
      <c r="J562" s="1333"/>
      <c r="K562" s="1333"/>
      <c r="L562" s="1333"/>
      <c r="M562" s="1333"/>
      <c r="N562" s="1333"/>
      <c r="O562" s="1333"/>
      <c r="P562" s="1333"/>
      <c r="Q562" s="1333"/>
      <c r="R562" s="1333"/>
      <c r="S562" s="1284"/>
      <c r="T562" s="1333"/>
      <c r="U562" s="1333"/>
      <c r="V562" s="1333"/>
      <c r="W562" s="1333"/>
      <c r="X562" s="1333"/>
      <c r="Y562" s="1333"/>
      <c r="Z562" s="1333"/>
      <c r="AA562" s="1333"/>
      <c r="AB562" s="1333"/>
      <c r="AC562" s="1333"/>
      <c r="AD562" s="1333"/>
      <c r="AE562" s="1333"/>
      <c r="AF562" s="1333"/>
      <c r="AG562" s="1333"/>
      <c r="AH562" s="1333"/>
      <c r="AI562" s="1333"/>
      <c r="AJ562" s="1333"/>
    </row>
    <row r="563" spans="1:36" x14ac:dyDescent="0.25">
      <c r="A563" s="1331"/>
      <c r="B563" s="1284"/>
      <c r="C563" s="1284"/>
      <c r="D563" s="1364"/>
      <c r="E563" s="1364"/>
      <c r="F563" s="1364"/>
      <c r="G563" s="1365"/>
      <c r="H563" s="1333"/>
      <c r="I563" s="1333"/>
      <c r="J563" s="1333"/>
      <c r="K563" s="1333"/>
      <c r="L563" s="1333"/>
      <c r="M563" s="1333"/>
      <c r="N563" s="1333"/>
      <c r="O563" s="1333"/>
      <c r="P563" s="1333"/>
      <c r="Q563" s="1333"/>
      <c r="R563" s="1333"/>
      <c r="S563" s="1284"/>
      <c r="T563" s="1333"/>
      <c r="U563" s="1333"/>
      <c r="V563" s="1333"/>
      <c r="W563" s="1333"/>
      <c r="X563" s="1333"/>
      <c r="Y563" s="1333"/>
      <c r="Z563" s="1333"/>
      <c r="AA563" s="1333"/>
      <c r="AB563" s="1333"/>
      <c r="AC563" s="1333"/>
      <c r="AD563" s="1333"/>
      <c r="AE563" s="1333"/>
      <c r="AF563" s="1333"/>
      <c r="AG563" s="1333"/>
      <c r="AH563" s="1333"/>
      <c r="AI563" s="1333"/>
      <c r="AJ563" s="1333"/>
    </row>
    <row r="564" spans="1:36" x14ac:dyDescent="0.25">
      <c r="A564" s="1331"/>
      <c r="B564" s="1284"/>
      <c r="C564" s="1284"/>
      <c r="D564" s="1364"/>
      <c r="E564" s="1364"/>
      <c r="F564" s="1364"/>
      <c r="G564" s="1365"/>
      <c r="H564" s="1333"/>
      <c r="I564" s="1333"/>
      <c r="J564" s="1333"/>
      <c r="K564" s="1333"/>
      <c r="L564" s="1333"/>
      <c r="M564" s="1333"/>
      <c r="N564" s="1333"/>
      <c r="O564" s="1333"/>
      <c r="P564" s="1333"/>
      <c r="Q564" s="1333"/>
      <c r="R564" s="1333"/>
      <c r="S564" s="1284"/>
      <c r="T564" s="1333"/>
      <c r="U564" s="1333"/>
      <c r="V564" s="1333"/>
      <c r="W564" s="1333"/>
      <c r="X564" s="1333"/>
      <c r="Y564" s="1333"/>
      <c r="Z564" s="1333"/>
      <c r="AA564" s="1333"/>
      <c r="AB564" s="1333"/>
      <c r="AC564" s="1333"/>
      <c r="AD564" s="1333"/>
      <c r="AE564" s="1333"/>
      <c r="AF564" s="1333"/>
      <c r="AG564" s="1333"/>
      <c r="AH564" s="1333"/>
      <c r="AI564" s="1333"/>
      <c r="AJ564" s="1333"/>
    </row>
    <row r="565" spans="1:36" x14ac:dyDescent="0.25">
      <c r="A565" s="1331"/>
      <c r="B565" s="1284"/>
      <c r="C565" s="1284"/>
      <c r="D565" s="1364"/>
      <c r="E565" s="1364"/>
      <c r="F565" s="1364"/>
      <c r="G565" s="1365"/>
      <c r="H565" s="1333"/>
      <c r="I565" s="1333"/>
      <c r="J565" s="1333"/>
      <c r="K565" s="1333"/>
      <c r="L565" s="1333"/>
      <c r="M565" s="1333"/>
      <c r="N565" s="1333"/>
      <c r="O565" s="1333"/>
      <c r="P565" s="1333"/>
      <c r="Q565" s="1333"/>
      <c r="R565" s="1333"/>
      <c r="S565" s="1284"/>
      <c r="T565" s="1333"/>
      <c r="U565" s="1333"/>
      <c r="V565" s="1333"/>
      <c r="W565" s="1333"/>
      <c r="X565" s="1333"/>
      <c r="Y565" s="1333"/>
      <c r="Z565" s="1333"/>
      <c r="AA565" s="1333"/>
      <c r="AB565" s="1333"/>
      <c r="AC565" s="1333"/>
      <c r="AD565" s="1333"/>
      <c r="AE565" s="1333"/>
      <c r="AF565" s="1333"/>
      <c r="AG565" s="1333"/>
      <c r="AH565" s="1333"/>
      <c r="AI565" s="1333"/>
      <c r="AJ565" s="1333"/>
    </row>
    <row r="566" spans="1:36" x14ac:dyDescent="0.25">
      <c r="A566" s="1331"/>
      <c r="B566" s="1284"/>
      <c r="C566" s="1284"/>
      <c r="D566" s="1364"/>
      <c r="E566" s="1364"/>
      <c r="F566" s="1364"/>
      <c r="G566" s="1365"/>
      <c r="H566" s="1333"/>
      <c r="I566" s="1333"/>
      <c r="J566" s="1333"/>
      <c r="K566" s="1333"/>
      <c r="L566" s="1333"/>
      <c r="M566" s="1333"/>
      <c r="N566" s="1333"/>
      <c r="O566" s="1333"/>
      <c r="P566" s="1333"/>
      <c r="Q566" s="1333"/>
      <c r="R566" s="1333"/>
      <c r="S566" s="1284"/>
      <c r="T566" s="1333"/>
      <c r="U566" s="1333"/>
      <c r="V566" s="1333"/>
      <c r="W566" s="1333"/>
      <c r="X566" s="1333"/>
      <c r="Y566" s="1333"/>
      <c r="Z566" s="1333"/>
      <c r="AA566" s="1333"/>
      <c r="AB566" s="1333"/>
      <c r="AC566" s="1333"/>
      <c r="AD566" s="1333"/>
      <c r="AE566" s="1333"/>
      <c r="AF566" s="1333"/>
      <c r="AG566" s="1333"/>
      <c r="AH566" s="1333"/>
      <c r="AI566" s="1333"/>
      <c r="AJ566" s="1333"/>
    </row>
    <row r="567" spans="1:36" x14ac:dyDescent="0.25">
      <c r="A567" s="1331"/>
      <c r="B567" s="1284"/>
      <c r="C567" s="1284"/>
      <c r="D567" s="1364"/>
      <c r="E567" s="1364"/>
      <c r="F567" s="1364"/>
      <c r="G567" s="1365"/>
      <c r="H567" s="1333"/>
      <c r="I567" s="1333"/>
      <c r="J567" s="1333"/>
      <c r="K567" s="1333"/>
      <c r="L567" s="1333"/>
      <c r="M567" s="1333"/>
      <c r="N567" s="1333"/>
      <c r="O567" s="1333"/>
      <c r="P567" s="1333"/>
      <c r="Q567" s="1333"/>
      <c r="R567" s="1333"/>
      <c r="S567" s="1284"/>
      <c r="T567" s="1333"/>
      <c r="U567" s="1333"/>
      <c r="V567" s="1333"/>
      <c r="W567" s="1333"/>
      <c r="X567" s="1333"/>
      <c r="Y567" s="1333"/>
      <c r="Z567" s="1333"/>
      <c r="AA567" s="1333"/>
      <c r="AB567" s="1333"/>
      <c r="AC567" s="1333"/>
      <c r="AD567" s="1333"/>
      <c r="AE567" s="1333"/>
      <c r="AF567" s="1333"/>
      <c r="AG567" s="1333"/>
      <c r="AH567" s="1333"/>
      <c r="AI567" s="1333"/>
      <c r="AJ567" s="1333"/>
    </row>
    <row r="568" spans="1:36" x14ac:dyDescent="0.25">
      <c r="A568" s="1331"/>
      <c r="B568" s="1284"/>
      <c r="C568" s="1284"/>
      <c r="D568" s="1364"/>
      <c r="E568" s="1364"/>
      <c r="F568" s="1364"/>
      <c r="G568" s="1365"/>
      <c r="H568" s="1333"/>
      <c r="I568" s="1333"/>
      <c r="J568" s="1333"/>
      <c r="K568" s="1333"/>
      <c r="L568" s="1333"/>
      <c r="M568" s="1333"/>
      <c r="N568" s="1333"/>
      <c r="O568" s="1333"/>
      <c r="P568" s="1333"/>
      <c r="Q568" s="1333"/>
      <c r="R568" s="1333"/>
      <c r="S568" s="1284"/>
      <c r="T568" s="1333"/>
      <c r="U568" s="1333"/>
      <c r="V568" s="1333"/>
      <c r="W568" s="1333"/>
      <c r="X568" s="1333"/>
      <c r="Y568" s="1333"/>
      <c r="Z568" s="1333"/>
      <c r="AA568" s="1333"/>
      <c r="AB568" s="1333"/>
      <c r="AC568" s="1333"/>
      <c r="AD568" s="1333"/>
      <c r="AE568" s="1333"/>
      <c r="AF568" s="1333"/>
      <c r="AG568" s="1333"/>
      <c r="AH568" s="1333"/>
      <c r="AI568" s="1333"/>
      <c r="AJ568" s="1333"/>
    </row>
    <row r="569" spans="1:36" x14ac:dyDescent="0.25">
      <c r="A569" s="1331"/>
      <c r="B569" s="1284"/>
      <c r="C569" s="1284"/>
      <c r="D569" s="1364"/>
      <c r="E569" s="1364"/>
      <c r="F569" s="1364"/>
      <c r="G569" s="1365"/>
      <c r="H569" s="1333"/>
      <c r="I569" s="1333"/>
      <c r="J569" s="1333"/>
      <c r="K569" s="1333"/>
      <c r="L569" s="1333"/>
      <c r="M569" s="1333"/>
      <c r="N569" s="1333"/>
      <c r="O569" s="1333"/>
      <c r="P569" s="1333"/>
      <c r="Q569" s="1333"/>
      <c r="R569" s="1333"/>
      <c r="S569" s="1284"/>
      <c r="T569" s="1333"/>
      <c r="U569" s="1333"/>
      <c r="V569" s="1333"/>
      <c r="W569" s="1333"/>
      <c r="X569" s="1333"/>
      <c r="Y569" s="1333"/>
      <c r="Z569" s="1333"/>
      <c r="AA569" s="1333"/>
      <c r="AB569" s="1333"/>
      <c r="AC569" s="1333"/>
      <c r="AD569" s="1333"/>
      <c r="AE569" s="1333"/>
      <c r="AF569" s="1333"/>
      <c r="AG569" s="1333"/>
      <c r="AH569" s="1333"/>
      <c r="AI569" s="1333"/>
      <c r="AJ569" s="1333"/>
    </row>
    <row r="570" spans="1:36" x14ac:dyDescent="0.25">
      <c r="A570" s="1331"/>
      <c r="B570" s="1284"/>
      <c r="C570" s="1284"/>
      <c r="D570" s="1364"/>
      <c r="E570" s="1364"/>
      <c r="F570" s="1364"/>
      <c r="G570" s="1365"/>
      <c r="H570" s="1333"/>
      <c r="I570" s="1333"/>
      <c r="J570" s="1333"/>
      <c r="K570" s="1333"/>
      <c r="L570" s="1333"/>
      <c r="M570" s="1333"/>
      <c r="N570" s="1333"/>
      <c r="O570" s="1333"/>
      <c r="P570" s="1333"/>
      <c r="Q570" s="1333"/>
      <c r="R570" s="1333"/>
      <c r="S570" s="1284"/>
      <c r="T570" s="1333"/>
      <c r="U570" s="1333"/>
      <c r="V570" s="1333"/>
      <c r="W570" s="1333"/>
      <c r="X570" s="1333"/>
      <c r="Y570" s="1333"/>
      <c r="Z570" s="1333"/>
      <c r="AA570" s="1333"/>
      <c r="AB570" s="1333"/>
      <c r="AC570" s="1333"/>
      <c r="AD570" s="1333"/>
      <c r="AE570" s="1333"/>
      <c r="AF570" s="1333"/>
      <c r="AG570" s="1333"/>
      <c r="AH570" s="1333"/>
      <c r="AI570" s="1333"/>
      <c r="AJ570" s="1333"/>
    </row>
    <row r="571" spans="1:36" x14ac:dyDescent="0.25">
      <c r="A571" s="1331"/>
      <c r="B571" s="1284"/>
      <c r="C571" s="1284"/>
      <c r="D571" s="1364"/>
      <c r="E571" s="1364"/>
      <c r="F571" s="1364"/>
      <c r="G571" s="1365"/>
      <c r="H571" s="1333"/>
      <c r="I571" s="1333"/>
      <c r="J571" s="1333"/>
      <c r="K571" s="1333"/>
      <c r="L571" s="1333"/>
      <c r="M571" s="1333"/>
      <c r="N571" s="1333"/>
      <c r="O571" s="1333"/>
      <c r="P571" s="1333"/>
      <c r="Q571" s="1333"/>
      <c r="R571" s="1333"/>
      <c r="S571" s="1284"/>
      <c r="T571" s="1333"/>
      <c r="U571" s="1333"/>
      <c r="V571" s="1333"/>
      <c r="W571" s="1333"/>
      <c r="X571" s="1333"/>
      <c r="Y571" s="1333"/>
      <c r="Z571" s="1333"/>
      <c r="AA571" s="1333"/>
      <c r="AB571" s="1333"/>
      <c r="AC571" s="1333"/>
      <c r="AD571" s="1333"/>
      <c r="AE571" s="1333"/>
      <c r="AF571" s="1333"/>
      <c r="AG571" s="1333"/>
      <c r="AH571" s="1333"/>
      <c r="AI571" s="1333"/>
      <c r="AJ571" s="1333"/>
    </row>
    <row r="572" spans="1:36" x14ac:dyDescent="0.25">
      <c r="A572" s="1331"/>
      <c r="B572" s="1284"/>
      <c r="C572" s="1284"/>
      <c r="D572" s="1364"/>
      <c r="E572" s="1364"/>
      <c r="F572" s="1364"/>
      <c r="G572" s="1365"/>
      <c r="H572" s="1333"/>
      <c r="I572" s="1333"/>
      <c r="J572" s="1333"/>
      <c r="K572" s="1333"/>
      <c r="L572" s="1333"/>
      <c r="M572" s="1333"/>
      <c r="N572" s="1333"/>
      <c r="O572" s="1333"/>
      <c r="P572" s="1333"/>
      <c r="Q572" s="1333"/>
      <c r="R572" s="1333"/>
      <c r="S572" s="1284"/>
      <c r="T572" s="1333"/>
      <c r="U572" s="1333"/>
      <c r="V572" s="1333"/>
      <c r="W572" s="1333"/>
      <c r="X572" s="1333"/>
      <c r="Y572" s="1333"/>
      <c r="Z572" s="1333"/>
      <c r="AA572" s="1333"/>
      <c r="AB572" s="1333"/>
      <c r="AC572" s="1333"/>
      <c r="AD572" s="1333"/>
      <c r="AE572" s="1333"/>
      <c r="AF572" s="1333"/>
      <c r="AG572" s="1333"/>
      <c r="AH572" s="1333"/>
      <c r="AI572" s="1333"/>
      <c r="AJ572" s="1333"/>
    </row>
    <row r="573" spans="1:36" x14ac:dyDescent="0.25">
      <c r="A573" s="1331"/>
      <c r="B573" s="1284"/>
      <c r="C573" s="1284"/>
      <c r="D573" s="1364"/>
      <c r="E573" s="1364"/>
      <c r="F573" s="1364"/>
      <c r="G573" s="1365"/>
      <c r="H573" s="1333"/>
      <c r="I573" s="1333"/>
      <c r="J573" s="1333"/>
      <c r="K573" s="1333"/>
      <c r="L573" s="1333"/>
      <c r="M573" s="1333"/>
      <c r="N573" s="1333"/>
      <c r="O573" s="1333"/>
      <c r="P573" s="1333"/>
      <c r="Q573" s="1333"/>
      <c r="R573" s="1333"/>
      <c r="S573" s="1284"/>
      <c r="T573" s="1333"/>
      <c r="U573" s="1333"/>
      <c r="V573" s="1333"/>
      <c r="W573" s="1333"/>
      <c r="X573" s="1333"/>
      <c r="Y573" s="1333"/>
      <c r="Z573" s="1333"/>
      <c r="AA573" s="1333"/>
      <c r="AB573" s="1333"/>
      <c r="AC573" s="1333"/>
      <c r="AD573" s="1333"/>
      <c r="AE573" s="1333"/>
      <c r="AF573" s="1333"/>
      <c r="AG573" s="1333"/>
      <c r="AH573" s="1333"/>
      <c r="AI573" s="1333"/>
      <c r="AJ573" s="1333"/>
    </row>
    <row r="574" spans="1:36" x14ac:dyDescent="0.25">
      <c r="A574" s="1331"/>
      <c r="B574" s="1284"/>
      <c r="C574" s="1284"/>
      <c r="D574" s="1364"/>
      <c r="E574" s="1364"/>
      <c r="F574" s="1364"/>
      <c r="G574" s="1365"/>
      <c r="H574" s="1333"/>
      <c r="I574" s="1333"/>
      <c r="J574" s="1333"/>
      <c r="K574" s="1333"/>
      <c r="L574" s="1333"/>
      <c r="M574" s="1333"/>
      <c r="N574" s="1333"/>
      <c r="O574" s="1333"/>
      <c r="P574" s="1333"/>
      <c r="Q574" s="1333"/>
      <c r="R574" s="1333"/>
      <c r="S574" s="1284"/>
      <c r="T574" s="1333"/>
      <c r="U574" s="1333"/>
      <c r="V574" s="1333"/>
      <c r="W574" s="1333"/>
      <c r="X574" s="1333"/>
      <c r="Y574" s="1333"/>
      <c r="Z574" s="1333"/>
      <c r="AA574" s="1333"/>
      <c r="AB574" s="1333"/>
      <c r="AC574" s="1333"/>
      <c r="AD574" s="1333"/>
      <c r="AE574" s="1333"/>
      <c r="AF574" s="1333"/>
      <c r="AG574" s="1333"/>
      <c r="AH574" s="1333"/>
      <c r="AI574" s="1333"/>
      <c r="AJ574" s="1333"/>
    </row>
    <row r="575" spans="1:36" x14ac:dyDescent="0.25">
      <c r="A575" s="1331"/>
      <c r="B575" s="1284"/>
      <c r="C575" s="1284"/>
      <c r="D575" s="1364"/>
      <c r="E575" s="1364"/>
      <c r="F575" s="1364"/>
      <c r="G575" s="1365"/>
      <c r="H575" s="1333"/>
      <c r="I575" s="1333"/>
      <c r="J575" s="1333"/>
      <c r="K575" s="1333"/>
      <c r="L575" s="1333"/>
      <c r="M575" s="1333"/>
      <c r="N575" s="1333"/>
      <c r="O575" s="1333"/>
      <c r="P575" s="1333"/>
      <c r="Q575" s="1333"/>
      <c r="R575" s="1333"/>
      <c r="S575" s="1284"/>
      <c r="T575" s="1333"/>
      <c r="U575" s="1333"/>
      <c r="V575" s="1333"/>
      <c r="W575" s="1333"/>
      <c r="X575" s="1333"/>
      <c r="Y575" s="1333"/>
      <c r="Z575" s="1333"/>
      <c r="AA575" s="1333"/>
      <c r="AB575" s="1333"/>
      <c r="AC575" s="1333"/>
      <c r="AD575" s="1333"/>
      <c r="AE575" s="1333"/>
      <c r="AF575" s="1333"/>
      <c r="AG575" s="1333"/>
      <c r="AH575" s="1333"/>
      <c r="AI575" s="1333"/>
      <c r="AJ575" s="1333"/>
    </row>
    <row r="576" spans="1:36" x14ac:dyDescent="0.25">
      <c r="A576" s="1331"/>
      <c r="B576" s="1284"/>
      <c r="C576" s="1284"/>
      <c r="D576" s="1364"/>
      <c r="E576" s="1364"/>
      <c r="F576" s="1364"/>
      <c r="G576" s="1365"/>
      <c r="H576" s="1333"/>
      <c r="I576" s="1333"/>
      <c r="J576" s="1333"/>
      <c r="K576" s="1333"/>
      <c r="L576" s="1333"/>
      <c r="M576" s="1333"/>
      <c r="N576" s="1333"/>
      <c r="O576" s="1333"/>
      <c r="P576" s="1333"/>
      <c r="Q576" s="1333"/>
      <c r="R576" s="1333"/>
      <c r="S576" s="1284"/>
      <c r="T576" s="1333"/>
      <c r="U576" s="1333"/>
      <c r="V576" s="1333"/>
      <c r="W576" s="1333"/>
      <c r="X576" s="1333"/>
      <c r="Y576" s="1333"/>
      <c r="Z576" s="1333"/>
      <c r="AA576" s="1333"/>
      <c r="AB576" s="1333"/>
      <c r="AC576" s="1333"/>
      <c r="AD576" s="1333"/>
      <c r="AE576" s="1333"/>
      <c r="AF576" s="1333"/>
      <c r="AG576" s="1333"/>
      <c r="AH576" s="1333"/>
      <c r="AI576" s="1333"/>
      <c r="AJ576" s="1333"/>
    </row>
    <row r="577" spans="1:36" x14ac:dyDescent="0.25">
      <c r="A577" s="1331"/>
      <c r="B577" s="1284"/>
      <c r="C577" s="1284"/>
      <c r="D577" s="1364"/>
      <c r="E577" s="1364"/>
      <c r="F577" s="1364"/>
      <c r="G577" s="1365"/>
      <c r="H577" s="1333"/>
      <c r="I577" s="1333"/>
      <c r="J577" s="1333"/>
      <c r="K577" s="1333"/>
      <c r="L577" s="1333"/>
      <c r="M577" s="1333"/>
      <c r="N577" s="1333"/>
      <c r="O577" s="1333"/>
      <c r="P577" s="1333"/>
      <c r="Q577" s="1333"/>
      <c r="R577" s="1333"/>
      <c r="S577" s="1284"/>
      <c r="T577" s="1333"/>
      <c r="U577" s="1333"/>
      <c r="V577" s="1333"/>
      <c r="W577" s="1333"/>
      <c r="X577" s="1333"/>
      <c r="Y577" s="1333"/>
      <c r="Z577" s="1333"/>
      <c r="AA577" s="1333"/>
      <c r="AB577" s="1333"/>
      <c r="AC577" s="1333"/>
      <c r="AD577" s="1333"/>
      <c r="AE577" s="1333"/>
      <c r="AF577" s="1333"/>
      <c r="AG577" s="1333"/>
      <c r="AH577" s="1333"/>
      <c r="AI577" s="1333"/>
      <c r="AJ577" s="1333"/>
    </row>
    <row r="578" spans="1:36" x14ac:dyDescent="0.25">
      <c r="A578" s="1331"/>
      <c r="B578" s="1284"/>
      <c r="C578" s="1284"/>
      <c r="D578" s="1364"/>
      <c r="E578" s="1364"/>
      <c r="F578" s="1364"/>
      <c r="G578" s="1365"/>
      <c r="H578" s="1333"/>
      <c r="I578" s="1333"/>
      <c r="J578" s="1333"/>
      <c r="K578" s="1333"/>
      <c r="L578" s="1333"/>
      <c r="M578" s="1333"/>
      <c r="N578" s="1333"/>
      <c r="O578" s="1333"/>
      <c r="P578" s="1333"/>
      <c r="Q578" s="1333"/>
      <c r="R578" s="1333"/>
      <c r="S578" s="1284"/>
      <c r="T578" s="1333"/>
      <c r="U578" s="1333"/>
      <c r="V578" s="1333"/>
      <c r="W578" s="1333"/>
      <c r="X578" s="1333"/>
      <c r="Y578" s="1333"/>
      <c r="Z578" s="1333"/>
      <c r="AA578" s="1333"/>
      <c r="AB578" s="1333"/>
      <c r="AC578" s="1333"/>
      <c r="AD578" s="1333"/>
      <c r="AE578" s="1333"/>
      <c r="AF578" s="1333"/>
      <c r="AG578" s="1333"/>
      <c r="AH578" s="1333"/>
      <c r="AI578" s="1333"/>
      <c r="AJ578" s="1333"/>
    </row>
    <row r="579" spans="1:36" x14ac:dyDescent="0.25">
      <c r="A579" s="1331"/>
      <c r="B579" s="1284"/>
      <c r="C579" s="1284"/>
      <c r="D579" s="1364"/>
      <c r="E579" s="1364"/>
      <c r="F579" s="1364"/>
      <c r="G579" s="1365"/>
      <c r="H579" s="1333"/>
      <c r="I579" s="1333"/>
      <c r="J579" s="1333"/>
      <c r="K579" s="1333"/>
      <c r="L579" s="1333"/>
      <c r="M579" s="1333"/>
      <c r="N579" s="1333"/>
      <c r="O579" s="1333"/>
      <c r="P579" s="1333"/>
      <c r="Q579" s="1333"/>
      <c r="R579" s="1333"/>
      <c r="S579" s="1284"/>
      <c r="T579" s="1333"/>
      <c r="U579" s="1333"/>
      <c r="V579" s="1333"/>
      <c r="W579" s="1333"/>
      <c r="X579" s="1333"/>
      <c r="Y579" s="1333"/>
      <c r="Z579" s="1333"/>
      <c r="AA579" s="1333"/>
      <c r="AB579" s="1333"/>
      <c r="AC579" s="1333"/>
      <c r="AD579" s="1333"/>
      <c r="AE579" s="1333"/>
      <c r="AF579" s="1333"/>
      <c r="AG579" s="1333"/>
      <c r="AH579" s="1333"/>
      <c r="AI579" s="1333"/>
      <c r="AJ579" s="1333"/>
    </row>
    <row r="580" spans="1:36" x14ac:dyDescent="0.25">
      <c r="A580" s="1331"/>
      <c r="B580" s="1284"/>
      <c r="C580" s="1284"/>
      <c r="D580" s="1364"/>
      <c r="E580" s="1364"/>
      <c r="F580" s="1364"/>
      <c r="G580" s="1365"/>
      <c r="H580" s="1333"/>
      <c r="I580" s="1333"/>
      <c r="J580" s="1333"/>
      <c r="K580" s="1333"/>
      <c r="L580" s="1333"/>
      <c r="M580" s="1333"/>
      <c r="N580" s="1333"/>
      <c r="O580" s="1333"/>
      <c r="P580" s="1333"/>
      <c r="Q580" s="1333"/>
      <c r="R580" s="1333"/>
      <c r="S580" s="1284"/>
      <c r="T580" s="1333"/>
      <c r="U580" s="1333"/>
      <c r="V580" s="1333"/>
      <c r="W580" s="1333"/>
      <c r="X580" s="1333"/>
      <c r="Y580" s="1333"/>
      <c r="Z580" s="1333"/>
      <c r="AA580" s="1333"/>
      <c r="AB580" s="1333"/>
      <c r="AC580" s="1333"/>
      <c r="AD580" s="1333"/>
      <c r="AE580" s="1333"/>
      <c r="AF580" s="1333"/>
      <c r="AG580" s="1333"/>
      <c r="AH580" s="1333"/>
      <c r="AI580" s="1333"/>
      <c r="AJ580" s="1333"/>
    </row>
    <row r="581" spans="1:36" x14ac:dyDescent="0.25">
      <c r="A581" s="1331"/>
      <c r="B581" s="1284"/>
      <c r="C581" s="1284"/>
      <c r="D581" s="1364"/>
      <c r="E581" s="1364"/>
      <c r="F581" s="1364"/>
      <c r="G581" s="1365"/>
      <c r="H581" s="1333"/>
      <c r="I581" s="1333"/>
      <c r="J581" s="1333"/>
      <c r="K581" s="1333"/>
      <c r="L581" s="1333"/>
      <c r="M581" s="1333"/>
      <c r="N581" s="1333"/>
      <c r="O581" s="1333"/>
      <c r="P581" s="1333"/>
      <c r="Q581" s="1333"/>
      <c r="R581" s="1333"/>
      <c r="S581" s="1284"/>
      <c r="T581" s="1333"/>
      <c r="U581" s="1333"/>
      <c r="V581" s="1333"/>
      <c r="W581" s="1333"/>
      <c r="X581" s="1333"/>
      <c r="Y581" s="1333"/>
      <c r="Z581" s="1333"/>
      <c r="AA581" s="1333"/>
      <c r="AB581" s="1333"/>
      <c r="AC581" s="1333"/>
      <c r="AD581" s="1333"/>
      <c r="AE581" s="1333"/>
      <c r="AF581" s="1333"/>
      <c r="AG581" s="1333"/>
      <c r="AH581" s="1333"/>
      <c r="AI581" s="1333"/>
      <c r="AJ581" s="1333"/>
    </row>
    <row r="582" spans="1:36" x14ac:dyDescent="0.25">
      <c r="A582" s="1331"/>
      <c r="B582" s="1284"/>
      <c r="C582" s="1284"/>
      <c r="D582" s="1364"/>
      <c r="E582" s="1364"/>
      <c r="F582" s="1364"/>
      <c r="G582" s="1365"/>
      <c r="H582" s="1333"/>
      <c r="I582" s="1333"/>
      <c r="J582" s="1333"/>
      <c r="K582" s="1333"/>
      <c r="L582" s="1333"/>
      <c r="M582" s="1333"/>
      <c r="N582" s="1333"/>
      <c r="O582" s="1333"/>
      <c r="P582" s="1333"/>
      <c r="Q582" s="1333"/>
      <c r="R582" s="1333"/>
      <c r="S582" s="1284"/>
      <c r="T582" s="1333"/>
      <c r="U582" s="1333"/>
      <c r="V582" s="1333"/>
      <c r="W582" s="1333"/>
      <c r="X582" s="1333"/>
      <c r="Y582" s="1333"/>
      <c r="Z582" s="1333"/>
      <c r="AA582" s="1333"/>
      <c r="AB582" s="1333"/>
      <c r="AC582" s="1333"/>
      <c r="AD582" s="1333"/>
      <c r="AE582" s="1333"/>
      <c r="AF582" s="1333"/>
      <c r="AG582" s="1333"/>
      <c r="AH582" s="1333"/>
      <c r="AI582" s="1333"/>
      <c r="AJ582" s="1333"/>
    </row>
    <row r="583" spans="1:36" x14ac:dyDescent="0.25">
      <c r="A583" s="1331"/>
      <c r="B583" s="1284"/>
      <c r="C583" s="1284"/>
      <c r="D583" s="1364"/>
      <c r="E583" s="1364"/>
      <c r="F583" s="1364"/>
      <c r="G583" s="1365"/>
      <c r="H583" s="1333"/>
      <c r="I583" s="1333"/>
      <c r="J583" s="1333"/>
      <c r="K583" s="1333"/>
      <c r="L583" s="1333"/>
      <c r="M583" s="1333"/>
      <c r="N583" s="1333"/>
      <c r="O583" s="1333"/>
      <c r="P583" s="1333"/>
      <c r="Q583" s="1333"/>
      <c r="R583" s="1333"/>
      <c r="S583" s="1284"/>
      <c r="T583" s="1333"/>
      <c r="U583" s="1333"/>
      <c r="V583" s="1333"/>
      <c r="W583" s="1333"/>
      <c r="X583" s="1333"/>
      <c r="Y583" s="1333"/>
      <c r="Z583" s="1333"/>
      <c r="AA583" s="1333"/>
      <c r="AB583" s="1333"/>
      <c r="AC583" s="1333"/>
      <c r="AD583" s="1333"/>
      <c r="AE583" s="1333"/>
      <c r="AF583" s="1333"/>
      <c r="AG583" s="1333"/>
      <c r="AH583" s="1333"/>
      <c r="AI583" s="1333"/>
      <c r="AJ583" s="1333"/>
    </row>
    <row r="584" spans="1:36" x14ac:dyDescent="0.25">
      <c r="A584" s="1331"/>
      <c r="B584" s="1284"/>
      <c r="C584" s="1284"/>
      <c r="D584" s="1364"/>
      <c r="E584" s="1364"/>
      <c r="F584" s="1364"/>
      <c r="G584" s="1365"/>
      <c r="H584" s="1333"/>
      <c r="I584" s="1333"/>
      <c r="J584" s="1333"/>
      <c r="K584" s="1333"/>
      <c r="L584" s="1333"/>
      <c r="M584" s="1333"/>
      <c r="N584" s="1333"/>
      <c r="O584" s="1333"/>
      <c r="P584" s="1333"/>
      <c r="Q584" s="1333"/>
      <c r="R584" s="1333"/>
      <c r="S584" s="1284"/>
      <c r="T584" s="1333"/>
      <c r="U584" s="1333"/>
      <c r="V584" s="1333"/>
      <c r="W584" s="1333"/>
      <c r="X584" s="1333"/>
      <c r="Y584" s="1333"/>
      <c r="Z584" s="1333"/>
      <c r="AA584" s="1333"/>
      <c r="AB584" s="1333"/>
      <c r="AC584" s="1333"/>
      <c r="AD584" s="1333"/>
      <c r="AE584" s="1333"/>
      <c r="AF584" s="1333"/>
      <c r="AG584" s="1333"/>
      <c r="AH584" s="1333"/>
      <c r="AI584" s="1333"/>
      <c r="AJ584" s="1333"/>
    </row>
    <row r="585" spans="1:36" x14ac:dyDescent="0.25">
      <c r="A585" s="1331"/>
      <c r="B585" s="1284"/>
      <c r="C585" s="1284"/>
      <c r="D585" s="1364"/>
      <c r="E585" s="1364"/>
      <c r="F585" s="1364"/>
      <c r="G585" s="1365"/>
      <c r="H585" s="1333"/>
      <c r="I585" s="1333"/>
      <c r="J585" s="1333"/>
      <c r="K585" s="1333"/>
      <c r="L585" s="1333"/>
      <c r="M585" s="1333"/>
      <c r="N585" s="1333"/>
      <c r="O585" s="1333"/>
      <c r="P585" s="1333"/>
      <c r="Q585" s="1333"/>
      <c r="R585" s="1333"/>
      <c r="S585" s="1284"/>
      <c r="T585" s="1333"/>
      <c r="U585" s="1333"/>
      <c r="V585" s="1333"/>
      <c r="W585" s="1333"/>
      <c r="X585" s="1333"/>
      <c r="Y585" s="1333"/>
      <c r="Z585" s="1333"/>
      <c r="AA585" s="1333"/>
      <c r="AB585" s="1333"/>
      <c r="AC585" s="1333"/>
      <c r="AD585" s="1333"/>
      <c r="AE585" s="1333"/>
      <c r="AF585" s="1333"/>
      <c r="AG585" s="1333"/>
      <c r="AH585" s="1333"/>
      <c r="AI585" s="1333"/>
      <c r="AJ585" s="1333"/>
    </row>
    <row r="586" spans="1:36" x14ac:dyDescent="0.25">
      <c r="A586" s="1331"/>
      <c r="B586" s="1284"/>
      <c r="C586" s="1284"/>
      <c r="D586" s="1364"/>
      <c r="E586" s="1364"/>
      <c r="F586" s="1364"/>
      <c r="G586" s="1365"/>
      <c r="H586" s="1333"/>
      <c r="I586" s="1333"/>
      <c r="J586" s="1333"/>
      <c r="K586" s="1333"/>
      <c r="L586" s="1333"/>
      <c r="M586" s="1333"/>
      <c r="N586" s="1333"/>
      <c r="O586" s="1333"/>
      <c r="P586" s="1333"/>
      <c r="Q586" s="1333"/>
      <c r="R586" s="1333"/>
      <c r="S586" s="1284"/>
      <c r="T586" s="1333"/>
      <c r="U586" s="1333"/>
      <c r="V586" s="1333"/>
      <c r="W586" s="1333"/>
      <c r="X586" s="1333"/>
      <c r="Y586" s="1333"/>
      <c r="Z586" s="1333"/>
      <c r="AA586" s="1333"/>
      <c r="AB586" s="1333"/>
      <c r="AC586" s="1333"/>
      <c r="AD586" s="1333"/>
      <c r="AE586" s="1333"/>
      <c r="AF586" s="1333"/>
      <c r="AG586" s="1333"/>
      <c r="AH586" s="1333"/>
      <c r="AI586" s="1333"/>
      <c r="AJ586" s="1333"/>
    </row>
    <row r="587" spans="1:36" x14ac:dyDescent="0.25">
      <c r="A587" s="1331"/>
      <c r="B587" s="1284"/>
      <c r="C587" s="1284"/>
      <c r="D587" s="1364"/>
      <c r="E587" s="1364"/>
      <c r="F587" s="1364"/>
      <c r="G587" s="1365"/>
      <c r="H587" s="1333"/>
      <c r="I587" s="1333"/>
      <c r="J587" s="1333"/>
      <c r="K587" s="1333"/>
      <c r="L587" s="1333"/>
      <c r="M587" s="1333"/>
      <c r="N587" s="1333"/>
      <c r="O587" s="1333"/>
      <c r="P587" s="1333"/>
      <c r="Q587" s="1333"/>
      <c r="R587" s="1333"/>
      <c r="S587" s="1284"/>
      <c r="T587" s="1333"/>
      <c r="U587" s="1333"/>
      <c r="V587" s="1333"/>
      <c r="W587" s="1333"/>
      <c r="X587" s="1333"/>
      <c r="Y587" s="1333"/>
      <c r="Z587" s="1333"/>
      <c r="AA587" s="1333"/>
      <c r="AB587" s="1333"/>
      <c r="AC587" s="1333"/>
      <c r="AD587" s="1333"/>
      <c r="AE587" s="1333"/>
      <c r="AF587" s="1333"/>
      <c r="AG587" s="1333"/>
      <c r="AH587" s="1333"/>
      <c r="AI587" s="1333"/>
      <c r="AJ587" s="1333"/>
    </row>
    <row r="588" spans="1:36" x14ac:dyDescent="0.25">
      <c r="A588" s="1331"/>
      <c r="B588" s="1284"/>
      <c r="C588" s="1284"/>
      <c r="D588" s="1364"/>
      <c r="E588" s="1364"/>
      <c r="F588" s="1364"/>
      <c r="G588" s="1365"/>
      <c r="H588" s="1333"/>
      <c r="I588" s="1333"/>
      <c r="J588" s="1333"/>
      <c r="K588" s="1333"/>
      <c r="L588" s="1333"/>
      <c r="M588" s="1333"/>
      <c r="N588" s="1333"/>
      <c r="O588" s="1333"/>
      <c r="P588" s="1333"/>
      <c r="Q588" s="1333"/>
      <c r="R588" s="1333"/>
      <c r="S588" s="1333"/>
      <c r="T588" s="1333"/>
      <c r="U588" s="1333"/>
      <c r="V588" s="1333"/>
      <c r="W588" s="1333"/>
      <c r="X588" s="1333"/>
      <c r="Y588" s="1333"/>
      <c r="Z588" s="1333"/>
      <c r="AA588" s="1333"/>
      <c r="AB588" s="1333"/>
      <c r="AC588" s="1333"/>
      <c r="AD588" s="1333"/>
      <c r="AE588" s="1333"/>
      <c r="AF588" s="1333"/>
      <c r="AG588" s="1333"/>
      <c r="AH588" s="1333"/>
      <c r="AI588" s="1333"/>
      <c r="AJ588" s="1333"/>
    </row>
    <row r="589" spans="1:36" x14ac:dyDescent="0.25">
      <c r="A589" s="1331"/>
      <c r="B589" s="1284"/>
      <c r="C589" s="1284"/>
      <c r="D589" s="1364"/>
      <c r="E589" s="1364"/>
      <c r="F589" s="1364"/>
      <c r="G589" s="1365"/>
      <c r="H589" s="1333"/>
      <c r="I589" s="1333"/>
      <c r="J589" s="1333"/>
      <c r="K589" s="1333"/>
      <c r="L589" s="1333"/>
      <c r="M589" s="1333"/>
      <c r="N589" s="1333"/>
      <c r="O589" s="1333"/>
      <c r="P589" s="1333"/>
      <c r="Q589" s="1333"/>
      <c r="R589" s="1333"/>
      <c r="S589" s="1333"/>
      <c r="T589" s="1333"/>
      <c r="U589" s="1333"/>
      <c r="V589" s="1333"/>
      <c r="W589" s="1333"/>
      <c r="X589" s="1333"/>
      <c r="Y589" s="1333"/>
      <c r="Z589" s="1333"/>
      <c r="AA589" s="1333"/>
      <c r="AB589" s="1333"/>
      <c r="AC589" s="1333"/>
      <c r="AD589" s="1333"/>
      <c r="AE589" s="1333"/>
      <c r="AF589" s="1333"/>
      <c r="AG589" s="1333"/>
      <c r="AH589" s="1333"/>
      <c r="AI589" s="1333"/>
      <c r="AJ589" s="1333"/>
    </row>
    <row r="590" spans="1:36" x14ac:dyDescent="0.25">
      <c r="A590" s="1331"/>
      <c r="B590" s="1284"/>
      <c r="C590" s="1284"/>
      <c r="D590" s="1364"/>
      <c r="E590" s="1364"/>
      <c r="F590" s="1364"/>
      <c r="G590" s="1365"/>
      <c r="H590" s="1333"/>
      <c r="I590" s="1333"/>
      <c r="J590" s="1333"/>
      <c r="K590" s="1333"/>
      <c r="L590" s="1333"/>
      <c r="M590" s="1333"/>
      <c r="N590" s="1333"/>
      <c r="O590" s="1333"/>
      <c r="P590" s="1333"/>
      <c r="Q590" s="1333"/>
      <c r="R590" s="1333"/>
      <c r="S590" s="1333"/>
      <c r="T590" s="1333"/>
      <c r="U590" s="1333"/>
      <c r="V590" s="1333"/>
      <c r="W590" s="1333"/>
      <c r="X590" s="1333"/>
      <c r="Y590" s="1333"/>
      <c r="Z590" s="1333"/>
      <c r="AA590" s="1333"/>
      <c r="AB590" s="1333"/>
      <c r="AC590" s="1333"/>
      <c r="AD590" s="1333"/>
      <c r="AE590" s="1333"/>
      <c r="AF590" s="1333"/>
      <c r="AG590" s="1333"/>
      <c r="AH590" s="1333"/>
      <c r="AI590" s="1333"/>
      <c r="AJ590" s="1333"/>
    </row>
    <row r="591" spans="1:36" x14ac:dyDescent="0.25">
      <c r="A591" s="1331"/>
      <c r="B591" s="1284"/>
      <c r="C591" s="1284"/>
      <c r="D591" s="1364"/>
      <c r="E591" s="1364"/>
      <c r="F591" s="1364"/>
      <c r="G591" s="1365"/>
      <c r="H591" s="1333"/>
      <c r="I591" s="1333"/>
      <c r="J591" s="1333"/>
      <c r="K591" s="1333"/>
      <c r="L591" s="1333"/>
      <c r="M591" s="1333"/>
      <c r="N591" s="1333"/>
      <c r="O591" s="1333"/>
      <c r="P591" s="1333"/>
      <c r="Q591" s="1333"/>
      <c r="R591" s="1333"/>
      <c r="S591" s="1333"/>
      <c r="T591" s="1333"/>
      <c r="U591" s="1333"/>
      <c r="V591" s="1333"/>
      <c r="W591" s="1333"/>
      <c r="X591" s="1333"/>
      <c r="Y591" s="1333"/>
      <c r="Z591" s="1333"/>
      <c r="AA591" s="1333"/>
      <c r="AB591" s="1333"/>
      <c r="AC591" s="1333"/>
      <c r="AD591" s="1333"/>
      <c r="AE591" s="1333"/>
      <c r="AF591" s="1333"/>
      <c r="AG591" s="1333"/>
      <c r="AH591" s="1333"/>
      <c r="AI591" s="1333"/>
      <c r="AJ591" s="1333"/>
    </row>
    <row r="592" spans="1:36" x14ac:dyDescent="0.25">
      <c r="A592" s="1331"/>
      <c r="B592" s="1284"/>
      <c r="C592" s="1284"/>
      <c r="D592" s="1364"/>
      <c r="E592" s="1364"/>
      <c r="F592" s="1364"/>
      <c r="G592" s="1365"/>
      <c r="H592" s="1333"/>
      <c r="I592" s="1333"/>
      <c r="J592" s="1333"/>
      <c r="K592" s="1333"/>
      <c r="L592" s="1333"/>
      <c r="M592" s="1333"/>
      <c r="N592" s="1333"/>
      <c r="O592" s="1333"/>
      <c r="P592" s="1333"/>
      <c r="Q592" s="1333"/>
      <c r="R592" s="1333"/>
      <c r="S592" s="1333"/>
      <c r="T592" s="1333"/>
      <c r="U592" s="1333"/>
      <c r="V592" s="1333"/>
      <c r="W592" s="1333"/>
      <c r="X592" s="1333"/>
      <c r="Y592" s="1333"/>
      <c r="Z592" s="1333"/>
      <c r="AA592" s="1333"/>
      <c r="AB592" s="1333"/>
      <c r="AC592" s="1333"/>
      <c r="AD592" s="1333"/>
      <c r="AE592" s="1333"/>
      <c r="AF592" s="1333"/>
      <c r="AG592" s="1333"/>
      <c r="AH592" s="1333"/>
      <c r="AI592" s="1333"/>
      <c r="AJ592" s="1333"/>
    </row>
    <row r="593" spans="1:36" x14ac:dyDescent="0.25">
      <c r="A593" s="1331"/>
      <c r="B593" s="1284"/>
      <c r="C593" s="1284"/>
      <c r="D593" s="1364"/>
      <c r="E593" s="1364"/>
      <c r="F593" s="1364"/>
      <c r="G593" s="1365"/>
      <c r="H593" s="1333"/>
      <c r="I593" s="1333"/>
      <c r="J593" s="1333"/>
      <c r="K593" s="1333"/>
      <c r="L593" s="1333"/>
      <c r="M593" s="1333"/>
      <c r="N593" s="1333"/>
      <c r="O593" s="1333"/>
      <c r="P593" s="1333"/>
      <c r="Q593" s="1333"/>
      <c r="R593" s="1333"/>
      <c r="S593" s="1333"/>
      <c r="T593" s="1333"/>
      <c r="U593" s="1333"/>
      <c r="V593" s="1333"/>
      <c r="W593" s="1333"/>
      <c r="X593" s="1333"/>
      <c r="Y593" s="1333"/>
      <c r="Z593" s="1333"/>
      <c r="AA593" s="1333"/>
      <c r="AB593" s="1333"/>
      <c r="AC593" s="1333"/>
      <c r="AD593" s="1333"/>
      <c r="AE593" s="1333"/>
      <c r="AF593" s="1333"/>
      <c r="AG593" s="1333"/>
      <c r="AH593" s="1333"/>
      <c r="AI593" s="1333"/>
      <c r="AJ593" s="1333"/>
    </row>
    <row r="594" spans="1:36" x14ac:dyDescent="0.25">
      <c r="A594" s="1331"/>
      <c r="B594" s="1284"/>
      <c r="C594" s="1284"/>
      <c r="D594" s="1364"/>
      <c r="E594" s="1364"/>
      <c r="F594" s="1364"/>
      <c r="G594" s="1365"/>
      <c r="H594" s="1333"/>
      <c r="I594" s="1333"/>
      <c r="J594" s="1333"/>
      <c r="K594" s="1333"/>
      <c r="L594" s="1333"/>
      <c r="M594" s="1333"/>
      <c r="N594" s="1333"/>
      <c r="O594" s="1333"/>
      <c r="P594" s="1333"/>
      <c r="Q594" s="1333"/>
      <c r="R594" s="1333"/>
      <c r="S594" s="1333"/>
      <c r="T594" s="1333"/>
      <c r="U594" s="1333"/>
      <c r="V594" s="1333"/>
      <c r="W594" s="1333"/>
      <c r="X594" s="1333"/>
      <c r="Y594" s="1333"/>
      <c r="Z594" s="1333"/>
      <c r="AA594" s="1333"/>
      <c r="AB594" s="1333"/>
      <c r="AC594" s="1333"/>
      <c r="AD594" s="1333"/>
      <c r="AE594" s="1333"/>
      <c r="AF594" s="1333"/>
      <c r="AG594" s="1333"/>
      <c r="AH594" s="1333"/>
      <c r="AI594" s="1333"/>
      <c r="AJ594" s="1333"/>
    </row>
    <row r="595" spans="1:36" x14ac:dyDescent="0.25">
      <c r="A595" s="1331"/>
      <c r="B595" s="1284"/>
      <c r="C595" s="1284"/>
      <c r="D595" s="1364"/>
      <c r="E595" s="1364"/>
      <c r="F595" s="1364"/>
      <c r="G595" s="1365"/>
      <c r="H595" s="1333"/>
      <c r="I595" s="1333"/>
      <c r="J595" s="1333"/>
      <c r="K595" s="1333"/>
      <c r="L595" s="1333"/>
      <c r="M595" s="1333"/>
      <c r="N595" s="1333"/>
      <c r="O595" s="1333"/>
      <c r="P595" s="1333"/>
      <c r="Q595" s="1333"/>
      <c r="R595" s="1333"/>
      <c r="S595" s="1333"/>
      <c r="T595" s="1333"/>
      <c r="U595" s="1333"/>
      <c r="V595" s="1333"/>
      <c r="W595" s="1333"/>
      <c r="X595" s="1333"/>
      <c r="Y595" s="1333"/>
      <c r="Z595" s="1333"/>
      <c r="AA595" s="1333"/>
      <c r="AB595" s="1333"/>
      <c r="AC595" s="1333"/>
      <c r="AD595" s="1333"/>
      <c r="AE595" s="1333"/>
      <c r="AF595" s="1333"/>
      <c r="AG595" s="1333"/>
      <c r="AH595" s="1333"/>
      <c r="AI595" s="1333"/>
      <c r="AJ595" s="1333"/>
    </row>
    <row r="596" spans="1:36" x14ac:dyDescent="0.25">
      <c r="A596" s="1331"/>
      <c r="B596" s="1284"/>
      <c r="C596" s="1284"/>
      <c r="D596" s="1364"/>
      <c r="E596" s="1364"/>
      <c r="F596" s="1364"/>
      <c r="G596" s="1365"/>
      <c r="H596" s="1333"/>
      <c r="I596" s="1333"/>
      <c r="J596" s="1333"/>
      <c r="K596" s="1333"/>
      <c r="L596" s="1333"/>
      <c r="M596" s="1333"/>
      <c r="N596" s="1333"/>
      <c r="O596" s="1333"/>
      <c r="P596" s="1333"/>
      <c r="Q596" s="1333"/>
      <c r="R596" s="1333"/>
      <c r="S596" s="1333"/>
      <c r="T596" s="1333"/>
      <c r="U596" s="1333"/>
      <c r="V596" s="1333"/>
      <c r="W596" s="1333"/>
      <c r="X596" s="1333"/>
      <c r="Y596" s="1333"/>
      <c r="Z596" s="1333"/>
      <c r="AA596" s="1333"/>
      <c r="AB596" s="1333"/>
      <c r="AC596" s="1333"/>
      <c r="AD596" s="1333"/>
      <c r="AE596" s="1333"/>
      <c r="AF596" s="1333"/>
      <c r="AG596" s="1333"/>
      <c r="AH596" s="1333"/>
      <c r="AI596" s="1333"/>
      <c r="AJ596" s="1333"/>
    </row>
    <row r="597" spans="1:36" x14ac:dyDescent="0.25">
      <c r="A597" s="1331"/>
      <c r="B597" s="1284"/>
      <c r="C597" s="1284"/>
      <c r="D597" s="1364"/>
      <c r="E597" s="1364"/>
      <c r="F597" s="1364"/>
      <c r="G597" s="1365"/>
      <c r="H597" s="1333"/>
      <c r="I597" s="1333"/>
      <c r="J597" s="1333"/>
      <c r="K597" s="1333"/>
      <c r="L597" s="1333"/>
      <c r="M597" s="1333"/>
      <c r="N597" s="1333"/>
      <c r="O597" s="1333"/>
      <c r="P597" s="1333"/>
      <c r="Q597" s="1333"/>
      <c r="R597" s="1333"/>
      <c r="S597" s="1333"/>
      <c r="T597" s="1333"/>
      <c r="U597" s="1333"/>
      <c r="V597" s="1333"/>
      <c r="W597" s="1333"/>
      <c r="X597" s="1333"/>
      <c r="Y597" s="1333"/>
      <c r="Z597" s="1333"/>
      <c r="AA597" s="1333"/>
      <c r="AB597" s="1333"/>
      <c r="AC597" s="1333"/>
      <c r="AD597" s="1333"/>
      <c r="AE597" s="1333"/>
      <c r="AF597" s="1333"/>
      <c r="AG597" s="1333"/>
      <c r="AH597" s="1333"/>
      <c r="AI597" s="1333"/>
      <c r="AJ597" s="1333"/>
    </row>
    <row r="598" spans="1:36" x14ac:dyDescent="0.25">
      <c r="A598" s="1331"/>
      <c r="B598" s="1284"/>
      <c r="C598" s="1284"/>
      <c r="D598" s="1364"/>
      <c r="E598" s="1364"/>
      <c r="F598" s="1364"/>
      <c r="G598" s="1365"/>
      <c r="H598" s="1333"/>
      <c r="I598" s="1333"/>
      <c r="J598" s="1333"/>
      <c r="K598" s="1333"/>
      <c r="L598" s="1333"/>
      <c r="M598" s="1333"/>
      <c r="N598" s="1333"/>
      <c r="O598" s="1333"/>
      <c r="P598" s="1333"/>
      <c r="Q598" s="1333"/>
      <c r="R598" s="1333"/>
      <c r="S598" s="1333"/>
      <c r="T598" s="1333"/>
      <c r="U598" s="1333"/>
      <c r="V598" s="1333"/>
      <c r="W598" s="1333"/>
      <c r="X598" s="1333"/>
      <c r="Y598" s="1333"/>
      <c r="Z598" s="1333"/>
      <c r="AA598" s="1333"/>
      <c r="AB598" s="1333"/>
      <c r="AC598" s="1333"/>
      <c r="AD598" s="1333"/>
      <c r="AE598" s="1333"/>
      <c r="AF598" s="1333"/>
      <c r="AG598" s="1333"/>
      <c r="AH598" s="1333"/>
      <c r="AI598" s="1333"/>
      <c r="AJ598" s="1333"/>
    </row>
    <row r="599" spans="1:36" x14ac:dyDescent="0.25">
      <c r="A599" s="1331"/>
      <c r="B599" s="1284"/>
      <c r="C599" s="1284"/>
      <c r="D599" s="1364"/>
      <c r="E599" s="1364"/>
      <c r="F599" s="1364"/>
      <c r="G599" s="1365"/>
      <c r="H599" s="1333"/>
      <c r="I599" s="1333"/>
      <c r="J599" s="1333"/>
      <c r="K599" s="1333"/>
      <c r="L599" s="1333"/>
      <c r="M599" s="1333"/>
      <c r="N599" s="1333"/>
      <c r="O599" s="1333"/>
      <c r="P599" s="1333"/>
      <c r="Q599" s="1333"/>
      <c r="R599" s="1333"/>
      <c r="S599" s="1333"/>
      <c r="T599" s="1333"/>
      <c r="U599" s="1333"/>
      <c r="V599" s="1333"/>
      <c r="W599" s="1333"/>
      <c r="X599" s="1333"/>
      <c r="Y599" s="1333"/>
      <c r="Z599" s="1333"/>
      <c r="AA599" s="1333"/>
      <c r="AB599" s="1333"/>
      <c r="AC599" s="1333"/>
      <c r="AD599" s="1333"/>
      <c r="AE599" s="1333"/>
      <c r="AF599" s="1333"/>
      <c r="AG599" s="1333"/>
      <c r="AH599" s="1333"/>
      <c r="AI599" s="1333"/>
      <c r="AJ599" s="1333"/>
    </row>
    <row r="600" spans="1:36" x14ac:dyDescent="0.25">
      <c r="A600" s="1331"/>
      <c r="B600" s="1284"/>
      <c r="C600" s="1284"/>
      <c r="D600" s="1364"/>
      <c r="E600" s="1364"/>
      <c r="F600" s="1364"/>
      <c r="G600" s="1365"/>
      <c r="H600" s="1333"/>
      <c r="I600" s="1333"/>
      <c r="J600" s="1333"/>
      <c r="K600" s="1333"/>
      <c r="L600" s="1333"/>
      <c r="M600" s="1333"/>
      <c r="N600" s="1333"/>
      <c r="O600" s="1333"/>
      <c r="P600" s="1333"/>
      <c r="Q600" s="1333"/>
      <c r="R600" s="1333"/>
      <c r="S600" s="1333"/>
      <c r="T600" s="1333"/>
      <c r="U600" s="1333"/>
      <c r="V600" s="1333"/>
      <c r="W600" s="1333"/>
      <c r="X600" s="1333"/>
      <c r="Y600" s="1333"/>
      <c r="Z600" s="1333"/>
      <c r="AA600" s="1333"/>
      <c r="AB600" s="1333"/>
      <c r="AC600" s="1333"/>
      <c r="AD600" s="1333"/>
      <c r="AE600" s="1333"/>
      <c r="AF600" s="1333"/>
      <c r="AG600" s="1333"/>
      <c r="AH600" s="1333"/>
      <c r="AI600" s="1333"/>
      <c r="AJ600" s="1333"/>
    </row>
    <row r="601" spans="1:36" x14ac:dyDescent="0.25">
      <c r="A601" s="1331"/>
      <c r="B601" s="1284"/>
      <c r="C601" s="1284"/>
      <c r="D601" s="1364"/>
      <c r="E601" s="1364"/>
      <c r="F601" s="1364"/>
      <c r="G601" s="1365"/>
      <c r="H601" s="1333"/>
      <c r="I601" s="1333"/>
      <c r="J601" s="1333"/>
      <c r="K601" s="1333"/>
      <c r="L601" s="1333"/>
      <c r="M601" s="1333"/>
      <c r="N601" s="1333"/>
      <c r="O601" s="1333"/>
      <c r="P601" s="1333"/>
      <c r="Q601" s="1333"/>
      <c r="R601" s="1333"/>
      <c r="S601" s="1333"/>
      <c r="T601" s="1333"/>
      <c r="U601" s="1333"/>
      <c r="V601" s="1333"/>
      <c r="W601" s="1333"/>
      <c r="X601" s="1333"/>
      <c r="Y601" s="1333"/>
      <c r="Z601" s="1333"/>
      <c r="AA601" s="1333"/>
      <c r="AB601" s="1333"/>
      <c r="AC601" s="1333"/>
      <c r="AD601" s="1333"/>
      <c r="AE601" s="1333"/>
      <c r="AF601" s="1333"/>
      <c r="AG601" s="1333"/>
      <c r="AH601" s="1333"/>
      <c r="AI601" s="1333"/>
      <c r="AJ601" s="1333"/>
    </row>
    <row r="602" spans="1:36" x14ac:dyDescent="0.25">
      <c r="A602" s="1331"/>
      <c r="B602" s="1284"/>
      <c r="C602" s="1284"/>
      <c r="D602" s="1364"/>
      <c r="E602" s="1364"/>
      <c r="F602" s="1364"/>
      <c r="G602" s="1365"/>
      <c r="H602" s="1333"/>
      <c r="I602" s="1333"/>
      <c r="J602" s="1333"/>
      <c r="K602" s="1333"/>
      <c r="L602" s="1333"/>
      <c r="M602" s="1333"/>
      <c r="N602" s="1333"/>
      <c r="O602" s="1333"/>
      <c r="P602" s="1333"/>
      <c r="Q602" s="1333"/>
      <c r="R602" s="1333"/>
      <c r="S602" s="1333"/>
      <c r="T602" s="1333"/>
      <c r="U602" s="1333"/>
      <c r="V602" s="1333"/>
      <c r="W602" s="1333"/>
      <c r="X602" s="1333"/>
      <c r="Y602" s="1333"/>
      <c r="Z602" s="1333"/>
      <c r="AA602" s="1333"/>
      <c r="AB602" s="1333"/>
      <c r="AC602" s="1333"/>
      <c r="AD602" s="1333"/>
      <c r="AE602" s="1333"/>
      <c r="AF602" s="1333"/>
      <c r="AG602" s="1333"/>
      <c r="AH602" s="1333"/>
      <c r="AI602" s="1333"/>
      <c r="AJ602" s="1333"/>
    </row>
    <row r="603" spans="1:36" x14ac:dyDescent="0.25">
      <c r="A603" s="1331"/>
      <c r="B603" s="1284"/>
      <c r="C603" s="1284"/>
      <c r="D603" s="1364"/>
      <c r="E603" s="1364"/>
      <c r="F603" s="1364"/>
      <c r="G603" s="1365"/>
      <c r="H603" s="1333"/>
      <c r="I603" s="1333"/>
      <c r="J603" s="1333"/>
      <c r="K603" s="1333"/>
      <c r="L603" s="1333"/>
      <c r="M603" s="1333"/>
      <c r="N603" s="1333"/>
      <c r="O603" s="1333"/>
      <c r="P603" s="1333"/>
      <c r="Q603" s="1333"/>
      <c r="R603" s="1333"/>
      <c r="S603" s="1333"/>
      <c r="T603" s="1333"/>
      <c r="U603" s="1333"/>
      <c r="V603" s="1333"/>
      <c r="W603" s="1333"/>
      <c r="X603" s="1333"/>
      <c r="Y603" s="1333"/>
      <c r="Z603" s="1333"/>
      <c r="AA603" s="1333"/>
      <c r="AB603" s="1333"/>
      <c r="AC603" s="1333"/>
      <c r="AD603" s="1333"/>
      <c r="AE603" s="1333"/>
      <c r="AF603" s="1333"/>
      <c r="AG603" s="1333"/>
      <c r="AH603" s="1333"/>
      <c r="AI603" s="1333"/>
      <c r="AJ603" s="1333"/>
    </row>
    <row r="604" spans="1:36" x14ac:dyDescent="0.25">
      <c r="A604" s="1331"/>
      <c r="B604" s="1284"/>
      <c r="C604" s="1284"/>
      <c r="D604" s="1364"/>
      <c r="E604" s="1364"/>
      <c r="F604" s="1364"/>
      <c r="G604" s="1365"/>
      <c r="H604" s="1333"/>
      <c r="I604" s="1333"/>
      <c r="J604" s="1333"/>
      <c r="K604" s="1333"/>
      <c r="L604" s="1333"/>
      <c r="M604" s="1333"/>
      <c r="N604" s="1333"/>
      <c r="O604" s="1333"/>
      <c r="P604" s="1333"/>
      <c r="Q604" s="1333"/>
      <c r="R604" s="1333"/>
      <c r="S604" s="1333"/>
      <c r="T604" s="1333"/>
      <c r="U604" s="1333"/>
      <c r="V604" s="1333"/>
      <c r="W604" s="1333"/>
      <c r="X604" s="1333"/>
      <c r="Y604" s="1333"/>
      <c r="Z604" s="1333"/>
      <c r="AA604" s="1333"/>
      <c r="AB604" s="1333"/>
      <c r="AC604" s="1333"/>
      <c r="AD604" s="1333"/>
      <c r="AE604" s="1333"/>
      <c r="AF604" s="1333"/>
      <c r="AG604" s="1333"/>
      <c r="AH604" s="1333"/>
      <c r="AI604" s="1333"/>
      <c r="AJ604" s="1333"/>
    </row>
    <row r="605" spans="1:36" x14ac:dyDescent="0.25">
      <c r="A605" s="1331"/>
      <c r="B605" s="1284"/>
      <c r="C605" s="1284"/>
      <c r="D605" s="1364"/>
      <c r="E605" s="1364"/>
      <c r="F605" s="1364"/>
      <c r="G605" s="1365"/>
      <c r="H605" s="1333"/>
      <c r="I605" s="1333"/>
      <c r="J605" s="1333"/>
      <c r="K605" s="1333"/>
      <c r="L605" s="1333"/>
      <c r="M605" s="1333"/>
      <c r="N605" s="1333"/>
      <c r="O605" s="1333"/>
      <c r="P605" s="1333"/>
      <c r="Q605" s="1333"/>
      <c r="R605" s="1333"/>
      <c r="S605" s="1333"/>
      <c r="T605" s="1333"/>
      <c r="U605" s="1333"/>
      <c r="V605" s="1333"/>
      <c r="W605" s="1333"/>
      <c r="X605" s="1333"/>
      <c r="Y605" s="1333"/>
      <c r="Z605" s="1333"/>
      <c r="AA605" s="1333"/>
      <c r="AB605" s="1333"/>
      <c r="AC605" s="1333"/>
      <c r="AD605" s="1333"/>
      <c r="AE605" s="1333"/>
      <c r="AF605" s="1333"/>
      <c r="AG605" s="1333"/>
      <c r="AH605" s="1333"/>
      <c r="AI605" s="1333"/>
      <c r="AJ605" s="1333"/>
    </row>
    <row r="606" spans="1:36" x14ac:dyDescent="0.25">
      <c r="A606" s="1331"/>
      <c r="B606" s="1284"/>
      <c r="C606" s="1284"/>
      <c r="D606" s="1364"/>
      <c r="E606" s="1364"/>
      <c r="F606" s="1364"/>
      <c r="G606" s="1365"/>
      <c r="H606" s="1333"/>
      <c r="I606" s="1333"/>
      <c r="J606" s="1333"/>
      <c r="K606" s="1333"/>
      <c r="L606" s="1333"/>
      <c r="M606" s="1333"/>
      <c r="N606" s="1333"/>
      <c r="O606" s="1333"/>
      <c r="P606" s="1333"/>
      <c r="Q606" s="1333"/>
      <c r="R606" s="1333"/>
      <c r="S606" s="1333"/>
      <c r="T606" s="1333"/>
      <c r="U606" s="1333"/>
      <c r="V606" s="1333"/>
      <c r="W606" s="1333"/>
      <c r="X606" s="1333"/>
      <c r="Y606" s="1333"/>
      <c r="Z606" s="1333"/>
      <c r="AA606" s="1333"/>
      <c r="AB606" s="1333"/>
      <c r="AC606" s="1333"/>
      <c r="AD606" s="1333"/>
      <c r="AE606" s="1333"/>
      <c r="AF606" s="1333"/>
      <c r="AG606" s="1333"/>
      <c r="AH606" s="1333"/>
      <c r="AI606" s="1333"/>
      <c r="AJ606" s="1333"/>
    </row>
    <row r="607" spans="1:36" x14ac:dyDescent="0.25">
      <c r="A607" s="1331"/>
      <c r="B607" s="1284"/>
      <c r="C607" s="1284"/>
      <c r="D607" s="1364"/>
      <c r="E607" s="1364"/>
      <c r="F607" s="1364"/>
      <c r="G607" s="1365"/>
      <c r="H607" s="1333"/>
      <c r="I607" s="1333"/>
      <c r="J607" s="1333"/>
      <c r="K607" s="1333"/>
      <c r="L607" s="1333"/>
      <c r="M607" s="1333"/>
      <c r="N607" s="1333"/>
      <c r="O607" s="1333"/>
      <c r="P607" s="1333"/>
      <c r="Q607" s="1333"/>
      <c r="R607" s="1333"/>
      <c r="S607" s="1333"/>
      <c r="T607" s="1333"/>
      <c r="U607" s="1333"/>
      <c r="V607" s="1333"/>
      <c r="W607" s="1333"/>
      <c r="X607" s="1333"/>
      <c r="Y607" s="1333"/>
      <c r="Z607" s="1333"/>
      <c r="AA607" s="1333"/>
      <c r="AB607" s="1333"/>
      <c r="AC607" s="1333"/>
      <c r="AD607" s="1333"/>
      <c r="AE607" s="1333"/>
      <c r="AF607" s="1333"/>
      <c r="AG607" s="1333"/>
      <c r="AH607" s="1333"/>
      <c r="AI607" s="1333"/>
      <c r="AJ607" s="1333"/>
    </row>
    <row r="608" spans="1:36" x14ac:dyDescent="0.25">
      <c r="A608" s="1331"/>
      <c r="B608" s="1284"/>
      <c r="C608" s="1284"/>
      <c r="D608" s="1364"/>
      <c r="E608" s="1364"/>
      <c r="F608" s="1364"/>
      <c r="G608" s="1365"/>
      <c r="H608" s="1333"/>
      <c r="I608" s="1333"/>
      <c r="J608" s="1333"/>
      <c r="K608" s="1333"/>
      <c r="L608" s="1333"/>
      <c r="M608" s="1333"/>
      <c r="N608" s="1333"/>
      <c r="O608" s="1333"/>
      <c r="P608" s="1333"/>
      <c r="Q608" s="1333"/>
      <c r="R608" s="1333"/>
      <c r="S608" s="1333"/>
      <c r="T608" s="1333"/>
      <c r="U608" s="1333"/>
      <c r="V608" s="1333"/>
      <c r="W608" s="1333"/>
      <c r="X608" s="1333"/>
      <c r="Y608" s="1333"/>
      <c r="Z608" s="1333"/>
      <c r="AA608" s="1333"/>
      <c r="AB608" s="1333"/>
      <c r="AC608" s="1333"/>
      <c r="AD608" s="1333"/>
      <c r="AE608" s="1333"/>
      <c r="AF608" s="1333"/>
      <c r="AG608" s="1333"/>
      <c r="AH608" s="1333"/>
      <c r="AI608" s="1333"/>
      <c r="AJ608" s="1333"/>
    </row>
    <row r="609" spans="1:36" x14ac:dyDescent="0.25">
      <c r="A609" s="1331"/>
      <c r="B609" s="1284"/>
      <c r="C609" s="1284"/>
      <c r="D609" s="1364"/>
      <c r="E609" s="1364"/>
      <c r="F609" s="1364"/>
      <c r="G609" s="1365"/>
      <c r="H609" s="1333"/>
      <c r="I609" s="1333"/>
      <c r="J609" s="1333"/>
      <c r="K609" s="1333"/>
      <c r="L609" s="1333"/>
      <c r="M609" s="1333"/>
      <c r="N609" s="1333"/>
      <c r="O609" s="1333"/>
      <c r="P609" s="1333"/>
      <c r="Q609" s="1333"/>
      <c r="R609" s="1333"/>
      <c r="S609" s="1333"/>
      <c r="T609" s="1333"/>
      <c r="U609" s="1333"/>
      <c r="V609" s="1333"/>
      <c r="W609" s="1333"/>
      <c r="X609" s="1333"/>
      <c r="Y609" s="1333"/>
      <c r="Z609" s="1333"/>
      <c r="AA609" s="1333"/>
      <c r="AB609" s="1333"/>
      <c r="AC609" s="1333"/>
      <c r="AD609" s="1333"/>
      <c r="AE609" s="1333"/>
      <c r="AF609" s="1333"/>
      <c r="AG609" s="1333"/>
      <c r="AH609" s="1333"/>
      <c r="AI609" s="1333"/>
      <c r="AJ609" s="1333"/>
    </row>
    <row r="610" spans="1:36" x14ac:dyDescent="0.25">
      <c r="A610" s="1331"/>
      <c r="B610" s="1284"/>
      <c r="C610" s="1284"/>
      <c r="D610" s="1364"/>
      <c r="E610" s="1364"/>
      <c r="F610" s="1364"/>
      <c r="G610" s="1365"/>
      <c r="H610" s="1333"/>
      <c r="I610" s="1333"/>
      <c r="J610" s="1333"/>
      <c r="K610" s="1333"/>
      <c r="L610" s="1333"/>
      <c r="M610" s="1333"/>
      <c r="N610" s="1333"/>
      <c r="O610" s="1333"/>
      <c r="P610" s="1333"/>
      <c r="Q610" s="1333"/>
      <c r="R610" s="1333"/>
      <c r="S610" s="1333"/>
      <c r="T610" s="1333"/>
      <c r="U610" s="1333"/>
      <c r="V610" s="1333"/>
      <c r="W610" s="1333"/>
      <c r="X610" s="1333"/>
      <c r="Y610" s="1333"/>
      <c r="Z610" s="1333"/>
      <c r="AA610" s="1333"/>
      <c r="AB610" s="1333"/>
      <c r="AC610" s="1333"/>
      <c r="AD610" s="1333"/>
      <c r="AE610" s="1333"/>
      <c r="AF610" s="1333"/>
      <c r="AG610" s="1333"/>
      <c r="AH610" s="1333"/>
      <c r="AI610" s="1333"/>
      <c r="AJ610" s="1333"/>
    </row>
    <row r="611" spans="1:36" x14ac:dyDescent="0.25">
      <c r="A611" s="1331"/>
      <c r="B611" s="1284"/>
      <c r="C611" s="1284"/>
      <c r="D611" s="1364"/>
      <c r="E611" s="1364"/>
      <c r="F611" s="1364"/>
      <c r="G611" s="1365"/>
      <c r="H611" s="1333"/>
      <c r="I611" s="1333"/>
      <c r="J611" s="1333"/>
      <c r="K611" s="1333"/>
      <c r="L611" s="1333"/>
      <c r="M611" s="1333"/>
      <c r="N611" s="1333"/>
      <c r="O611" s="1333"/>
      <c r="P611" s="1333"/>
      <c r="Q611" s="1333"/>
      <c r="R611" s="1333"/>
      <c r="S611" s="1333"/>
      <c r="T611" s="1333"/>
      <c r="U611" s="1333"/>
      <c r="V611" s="1333"/>
      <c r="W611" s="1333"/>
      <c r="X611" s="1333"/>
      <c r="Y611" s="1333"/>
      <c r="Z611" s="1333"/>
      <c r="AA611" s="1333"/>
      <c r="AB611" s="1333"/>
      <c r="AC611" s="1333"/>
      <c r="AD611" s="1333"/>
      <c r="AE611" s="1333"/>
      <c r="AF611" s="1333"/>
      <c r="AG611" s="1333"/>
      <c r="AH611" s="1333"/>
      <c r="AI611" s="1333"/>
      <c r="AJ611" s="1333"/>
    </row>
    <row r="612" spans="1:36" x14ac:dyDescent="0.25">
      <c r="A612" s="1331"/>
      <c r="B612" s="1284"/>
      <c r="C612" s="1284"/>
      <c r="D612" s="1364"/>
      <c r="E612" s="1364"/>
      <c r="F612" s="1364"/>
      <c r="G612" s="1365"/>
      <c r="H612" s="1333"/>
      <c r="I612" s="1333"/>
      <c r="J612" s="1333"/>
      <c r="K612" s="1333"/>
      <c r="L612" s="1333"/>
      <c r="M612" s="1333"/>
      <c r="N612" s="1333"/>
      <c r="O612" s="1333"/>
      <c r="P612" s="1333"/>
      <c r="Q612" s="1333"/>
      <c r="R612" s="1333"/>
      <c r="S612" s="1333"/>
      <c r="T612" s="1333"/>
      <c r="U612" s="1333"/>
      <c r="V612" s="1333"/>
      <c r="W612" s="1333"/>
      <c r="X612" s="1333"/>
      <c r="Y612" s="1333"/>
      <c r="Z612" s="1333"/>
      <c r="AA612" s="1333"/>
      <c r="AB612" s="1333"/>
      <c r="AC612" s="1333"/>
      <c r="AD612" s="1333"/>
      <c r="AE612" s="1333"/>
      <c r="AF612" s="1333"/>
      <c r="AG612" s="1333"/>
      <c r="AH612" s="1333"/>
      <c r="AI612" s="1333"/>
      <c r="AJ612" s="1333"/>
    </row>
    <row r="613" spans="1:36" x14ac:dyDescent="0.25">
      <c r="A613" s="1331"/>
      <c r="B613" s="1284"/>
      <c r="C613" s="1284"/>
      <c r="D613" s="1364"/>
      <c r="E613" s="1364"/>
      <c r="F613" s="1364"/>
      <c r="G613" s="1365"/>
      <c r="H613" s="1333"/>
      <c r="I613" s="1333"/>
      <c r="J613" s="1333"/>
      <c r="K613" s="1333"/>
      <c r="L613" s="1333"/>
      <c r="M613" s="1333"/>
      <c r="N613" s="1333"/>
      <c r="O613" s="1333"/>
      <c r="P613" s="1333"/>
      <c r="Q613" s="1333"/>
      <c r="R613" s="1333"/>
      <c r="S613" s="1333"/>
      <c r="T613" s="1333"/>
      <c r="U613" s="1333"/>
      <c r="V613" s="1333"/>
      <c r="W613" s="1333"/>
      <c r="X613" s="1333"/>
      <c r="Y613" s="1333"/>
      <c r="Z613" s="1333"/>
      <c r="AA613" s="1333"/>
      <c r="AB613" s="1333"/>
      <c r="AC613" s="1333"/>
      <c r="AD613" s="1333"/>
      <c r="AE613" s="1333"/>
      <c r="AF613" s="1333"/>
      <c r="AG613" s="1333"/>
      <c r="AH613" s="1333"/>
      <c r="AI613" s="1333"/>
      <c r="AJ613" s="1333"/>
    </row>
    <row r="614" spans="1:36" x14ac:dyDescent="0.25">
      <c r="A614" s="1331"/>
      <c r="B614" s="1284"/>
      <c r="C614" s="1284"/>
      <c r="D614" s="1364"/>
      <c r="E614" s="1364"/>
      <c r="F614" s="1364"/>
      <c r="G614" s="1365"/>
      <c r="H614" s="1333"/>
      <c r="I614" s="1333"/>
      <c r="J614" s="1333"/>
      <c r="K614" s="1333"/>
      <c r="L614" s="1333"/>
      <c r="M614" s="1333"/>
      <c r="N614" s="1333"/>
      <c r="O614" s="1333"/>
      <c r="P614" s="1333"/>
      <c r="Q614" s="1333"/>
      <c r="R614" s="1333"/>
      <c r="S614" s="1333"/>
      <c r="T614" s="1333"/>
      <c r="U614" s="1333"/>
      <c r="V614" s="1333"/>
      <c r="W614" s="1333"/>
      <c r="X614" s="1333"/>
      <c r="Y614" s="1333"/>
      <c r="Z614" s="1333"/>
      <c r="AA614" s="1333"/>
      <c r="AB614" s="1333"/>
      <c r="AC614" s="1333"/>
      <c r="AD614" s="1333"/>
      <c r="AE614" s="1333"/>
      <c r="AF614" s="1333"/>
      <c r="AG614" s="1333"/>
      <c r="AH614" s="1333"/>
      <c r="AI614" s="1333"/>
      <c r="AJ614" s="1333"/>
    </row>
    <row r="615" spans="1:36" x14ac:dyDescent="0.25">
      <c r="A615" s="1331"/>
      <c r="B615" s="1284"/>
      <c r="C615" s="1284"/>
      <c r="D615" s="1364"/>
      <c r="E615" s="1364"/>
      <c r="F615" s="1364"/>
      <c r="G615" s="1365"/>
      <c r="H615" s="1333"/>
      <c r="I615" s="1333"/>
      <c r="J615" s="1333"/>
      <c r="K615" s="1333"/>
      <c r="L615" s="1333"/>
      <c r="M615" s="1333"/>
      <c r="N615" s="1333"/>
      <c r="O615" s="1333"/>
      <c r="P615" s="1333"/>
      <c r="Q615" s="1333"/>
      <c r="R615" s="1333"/>
      <c r="S615" s="1333"/>
      <c r="T615" s="1333"/>
      <c r="U615" s="1333"/>
      <c r="V615" s="1333"/>
      <c r="W615" s="1333"/>
      <c r="X615" s="1333"/>
      <c r="Y615" s="1333"/>
      <c r="Z615" s="1333"/>
      <c r="AA615" s="1333"/>
      <c r="AB615" s="1333"/>
      <c r="AC615" s="1333"/>
      <c r="AD615" s="1333"/>
      <c r="AE615" s="1333"/>
      <c r="AF615" s="1333"/>
      <c r="AG615" s="1333"/>
      <c r="AH615" s="1333"/>
      <c r="AI615" s="1333"/>
      <c r="AJ615" s="1333"/>
    </row>
    <row r="616" spans="1:36" x14ac:dyDescent="0.25">
      <c r="A616" s="1331"/>
      <c r="B616" s="1284"/>
      <c r="C616" s="1284"/>
      <c r="D616" s="1364"/>
      <c r="E616" s="1364"/>
      <c r="F616" s="1364"/>
      <c r="G616" s="1365"/>
      <c r="H616" s="1333"/>
      <c r="I616" s="1333"/>
      <c r="J616" s="1333"/>
      <c r="K616" s="1333"/>
      <c r="L616" s="1333"/>
      <c r="M616" s="1333"/>
      <c r="N616" s="1333"/>
      <c r="O616" s="1333"/>
      <c r="P616" s="1333"/>
      <c r="Q616" s="1333"/>
      <c r="R616" s="1333"/>
      <c r="S616" s="1333"/>
      <c r="T616" s="1333"/>
      <c r="U616" s="1333"/>
      <c r="V616" s="1333"/>
      <c r="W616" s="1333"/>
      <c r="X616" s="1333"/>
      <c r="Y616" s="1333"/>
      <c r="Z616" s="1333"/>
      <c r="AA616" s="1333"/>
      <c r="AB616" s="1333"/>
      <c r="AC616" s="1333"/>
      <c r="AD616" s="1333"/>
      <c r="AE616" s="1333"/>
      <c r="AF616" s="1333"/>
      <c r="AG616" s="1333"/>
      <c r="AH616" s="1333"/>
      <c r="AI616" s="1333"/>
      <c r="AJ616" s="1333"/>
    </row>
    <row r="617" spans="1:36" x14ac:dyDescent="0.25">
      <c r="A617" s="1331"/>
      <c r="B617" s="1284"/>
      <c r="C617" s="1284"/>
      <c r="D617" s="1364"/>
      <c r="E617" s="1364"/>
      <c r="F617" s="1364"/>
      <c r="G617" s="1365"/>
      <c r="H617" s="1333"/>
      <c r="I617" s="1333"/>
      <c r="J617" s="1333"/>
      <c r="K617" s="1333"/>
      <c r="L617" s="1333"/>
      <c r="M617" s="1333"/>
      <c r="N617" s="1333"/>
      <c r="O617" s="1333"/>
      <c r="P617" s="1333"/>
      <c r="Q617" s="1333"/>
      <c r="R617" s="1333"/>
      <c r="S617" s="1333"/>
      <c r="T617" s="1333"/>
      <c r="U617" s="1333"/>
      <c r="V617" s="1333"/>
      <c r="W617" s="1333"/>
      <c r="X617" s="1333"/>
      <c r="Y617" s="1333"/>
      <c r="Z617" s="1333"/>
      <c r="AA617" s="1333"/>
      <c r="AB617" s="1333"/>
      <c r="AC617" s="1333"/>
      <c r="AD617" s="1333"/>
      <c r="AE617" s="1333"/>
      <c r="AF617" s="1333"/>
      <c r="AG617" s="1333"/>
      <c r="AH617" s="1333"/>
      <c r="AI617" s="1333"/>
      <c r="AJ617" s="1333"/>
    </row>
    <row r="618" spans="1:36" x14ac:dyDescent="0.25">
      <c r="A618" s="1331"/>
      <c r="B618" s="1284"/>
      <c r="C618" s="1284"/>
      <c r="D618" s="1364"/>
      <c r="E618" s="1364"/>
      <c r="F618" s="1364"/>
      <c r="G618" s="1365"/>
      <c r="H618" s="1333"/>
      <c r="I618" s="1333"/>
      <c r="J618" s="1333"/>
      <c r="K618" s="1333"/>
      <c r="L618" s="1333"/>
      <c r="M618" s="1333"/>
      <c r="N618" s="1333"/>
      <c r="O618" s="1333"/>
      <c r="P618" s="1333"/>
      <c r="Q618" s="1333"/>
      <c r="R618" s="1333"/>
      <c r="S618" s="1333"/>
      <c r="T618" s="1333"/>
      <c r="U618" s="1333"/>
      <c r="V618" s="1333"/>
      <c r="W618" s="1333"/>
      <c r="X618" s="1333"/>
      <c r="Y618" s="1333"/>
      <c r="Z618" s="1333"/>
      <c r="AA618" s="1333"/>
      <c r="AB618" s="1333"/>
      <c r="AC618" s="1333"/>
      <c r="AD618" s="1333"/>
      <c r="AE618" s="1333"/>
      <c r="AF618" s="1333"/>
      <c r="AG618" s="1333"/>
      <c r="AH618" s="1333"/>
      <c r="AI618" s="1333"/>
      <c r="AJ618" s="1333"/>
    </row>
    <row r="619" spans="1:36" x14ac:dyDescent="0.25">
      <c r="A619" s="1331"/>
      <c r="B619" s="1284"/>
      <c r="C619" s="1284"/>
      <c r="D619" s="1364"/>
      <c r="E619" s="1364"/>
      <c r="F619" s="1364"/>
      <c r="G619" s="1365"/>
      <c r="H619" s="1333"/>
      <c r="I619" s="1333"/>
      <c r="J619" s="1333"/>
      <c r="K619" s="1333"/>
      <c r="L619" s="1333"/>
      <c r="M619" s="1333"/>
      <c r="N619" s="1333"/>
      <c r="O619" s="1333"/>
      <c r="P619" s="1333"/>
      <c r="Q619" s="1333"/>
      <c r="R619" s="1333"/>
      <c r="S619" s="1333"/>
      <c r="T619" s="1333"/>
      <c r="U619" s="1333"/>
      <c r="V619" s="1333"/>
      <c r="W619" s="1333"/>
      <c r="X619" s="1333"/>
      <c r="Y619" s="1333"/>
      <c r="Z619" s="1333"/>
      <c r="AA619" s="1333"/>
      <c r="AB619" s="1333"/>
      <c r="AC619" s="1333"/>
      <c r="AD619" s="1333"/>
      <c r="AE619" s="1333"/>
      <c r="AF619" s="1333"/>
      <c r="AG619" s="1333"/>
      <c r="AH619" s="1333"/>
      <c r="AI619" s="1333"/>
      <c r="AJ619" s="1333"/>
    </row>
    <row r="620" spans="1:36" x14ac:dyDescent="0.25">
      <c r="A620" s="1331"/>
      <c r="B620" s="1284"/>
      <c r="C620" s="1284"/>
      <c r="D620" s="1364"/>
      <c r="E620" s="1364"/>
      <c r="F620" s="1364"/>
      <c r="G620" s="1365"/>
      <c r="H620" s="1333"/>
      <c r="I620" s="1333"/>
      <c r="J620" s="1333"/>
      <c r="K620" s="1333"/>
      <c r="L620" s="1333"/>
      <c r="M620" s="1333"/>
      <c r="N620" s="1333"/>
      <c r="O620" s="1333"/>
      <c r="P620" s="1333"/>
      <c r="Q620" s="1333"/>
      <c r="R620" s="1333"/>
      <c r="S620" s="1333"/>
      <c r="T620" s="1333"/>
      <c r="U620" s="1333"/>
      <c r="V620" s="1333"/>
      <c r="W620" s="1333"/>
      <c r="X620" s="1333"/>
      <c r="Y620" s="1333"/>
      <c r="Z620" s="1333"/>
      <c r="AA620" s="1333"/>
      <c r="AB620" s="1333"/>
      <c r="AC620" s="1333"/>
      <c r="AD620" s="1333"/>
      <c r="AE620" s="1333"/>
      <c r="AF620" s="1333"/>
      <c r="AG620" s="1333"/>
      <c r="AH620" s="1333"/>
      <c r="AI620" s="1333"/>
      <c r="AJ620" s="1333"/>
    </row>
    <row r="621" spans="1:36" x14ac:dyDescent="0.25">
      <c r="A621" s="1331"/>
      <c r="B621" s="1284"/>
      <c r="C621" s="1284"/>
      <c r="D621" s="1364"/>
      <c r="E621" s="1364"/>
      <c r="F621" s="1364"/>
      <c r="G621" s="1365"/>
      <c r="H621" s="1333"/>
      <c r="I621" s="1333"/>
      <c r="J621" s="1333"/>
      <c r="K621" s="1333"/>
      <c r="L621" s="1333"/>
      <c r="M621" s="1333"/>
      <c r="N621" s="1333"/>
      <c r="O621" s="1333"/>
      <c r="P621" s="1333"/>
      <c r="Q621" s="1333"/>
      <c r="R621" s="1333"/>
      <c r="S621" s="1333"/>
      <c r="T621" s="1333"/>
      <c r="U621" s="1333"/>
      <c r="V621" s="1333"/>
      <c r="W621" s="1333"/>
      <c r="X621" s="1333"/>
      <c r="Y621" s="1333"/>
      <c r="Z621" s="1333"/>
      <c r="AA621" s="1333"/>
      <c r="AB621" s="1333"/>
      <c r="AC621" s="1333"/>
      <c r="AD621" s="1333"/>
      <c r="AE621" s="1333"/>
      <c r="AF621" s="1333"/>
      <c r="AG621" s="1333"/>
      <c r="AH621" s="1333"/>
      <c r="AI621" s="1333"/>
      <c r="AJ621" s="1333"/>
    </row>
    <row r="622" spans="1:36" x14ac:dyDescent="0.25">
      <c r="A622" s="1331"/>
      <c r="B622" s="1284"/>
      <c r="C622" s="1284"/>
      <c r="D622" s="1364"/>
      <c r="E622" s="1364"/>
      <c r="F622" s="1364"/>
      <c r="G622" s="1365"/>
      <c r="H622" s="1333"/>
      <c r="I622" s="1333"/>
      <c r="J622" s="1333"/>
      <c r="K622" s="1333"/>
      <c r="L622" s="1333"/>
      <c r="M622" s="1333"/>
      <c r="N622" s="1333"/>
      <c r="O622" s="1333"/>
      <c r="P622" s="1333"/>
      <c r="Q622" s="1333"/>
      <c r="R622" s="1333"/>
      <c r="S622" s="1333"/>
      <c r="T622" s="1333"/>
      <c r="U622" s="1333"/>
      <c r="V622" s="1333"/>
      <c r="W622" s="1333"/>
      <c r="X622" s="1333"/>
      <c r="Y622" s="1333"/>
      <c r="Z622" s="1333"/>
      <c r="AA622" s="1333"/>
      <c r="AB622" s="1333"/>
      <c r="AC622" s="1333"/>
      <c r="AD622" s="1333"/>
      <c r="AE622" s="1333"/>
      <c r="AF622" s="1333"/>
      <c r="AG622" s="1333"/>
      <c r="AH622" s="1333"/>
      <c r="AI622" s="1333"/>
      <c r="AJ622" s="1333"/>
    </row>
    <row r="623" spans="1:36" x14ac:dyDescent="0.25">
      <c r="A623" s="1331"/>
      <c r="B623" s="1284"/>
      <c r="C623" s="1284"/>
      <c r="D623" s="1364"/>
      <c r="E623" s="1364"/>
      <c r="F623" s="1364"/>
      <c r="G623" s="1365"/>
      <c r="H623" s="1333"/>
      <c r="I623" s="1333"/>
      <c r="J623" s="1333"/>
      <c r="K623" s="1333"/>
      <c r="L623" s="1333"/>
      <c r="M623" s="1333"/>
      <c r="N623" s="1333"/>
      <c r="O623" s="1333"/>
      <c r="P623" s="1333"/>
      <c r="Q623" s="1333"/>
      <c r="R623" s="1333"/>
      <c r="S623" s="1333"/>
      <c r="T623" s="1333"/>
      <c r="U623" s="1333"/>
      <c r="V623" s="1333"/>
      <c r="W623" s="1333"/>
      <c r="X623" s="1333"/>
      <c r="Y623" s="1333"/>
      <c r="Z623" s="1333"/>
      <c r="AA623" s="1333"/>
      <c r="AB623" s="1333"/>
      <c r="AC623" s="1333"/>
      <c r="AD623" s="1333"/>
      <c r="AE623" s="1333"/>
      <c r="AF623" s="1333"/>
      <c r="AG623" s="1333"/>
      <c r="AH623" s="1333"/>
      <c r="AI623" s="1333"/>
      <c r="AJ623" s="1333"/>
    </row>
    <row r="624" spans="1:36" x14ac:dyDescent="0.25">
      <c r="A624" s="1331"/>
      <c r="B624" s="1284"/>
      <c r="C624" s="1284"/>
      <c r="D624" s="1364"/>
      <c r="E624" s="1364"/>
      <c r="F624" s="1364"/>
      <c r="G624" s="1365"/>
      <c r="H624" s="1333"/>
      <c r="I624" s="1333"/>
      <c r="J624" s="1333"/>
      <c r="K624" s="1333"/>
      <c r="L624" s="1333"/>
      <c r="M624" s="1333"/>
      <c r="N624" s="1333"/>
      <c r="O624" s="1333"/>
      <c r="P624" s="1333"/>
      <c r="Q624" s="1333"/>
      <c r="R624" s="1333"/>
      <c r="S624" s="1333"/>
      <c r="T624" s="1333"/>
      <c r="U624" s="1333"/>
      <c r="V624" s="1333"/>
      <c r="W624" s="1333"/>
      <c r="X624" s="1333"/>
      <c r="Y624" s="1333"/>
      <c r="Z624" s="1333"/>
      <c r="AA624" s="1333"/>
      <c r="AB624" s="1333"/>
      <c r="AC624" s="1333"/>
      <c r="AD624" s="1333"/>
      <c r="AE624" s="1333"/>
      <c r="AF624" s="1333"/>
      <c r="AG624" s="1333"/>
      <c r="AH624" s="1333"/>
      <c r="AI624" s="1333"/>
      <c r="AJ624" s="1333"/>
    </row>
    <row r="625" spans="1:36" x14ac:dyDescent="0.25">
      <c r="A625" s="1331"/>
      <c r="B625" s="1284"/>
      <c r="C625" s="1284"/>
      <c r="D625" s="1364"/>
      <c r="E625" s="1364"/>
      <c r="F625" s="1364"/>
      <c r="G625" s="1365"/>
      <c r="H625" s="1333"/>
      <c r="I625" s="1333"/>
      <c r="J625" s="1333"/>
      <c r="K625" s="1333"/>
      <c r="L625" s="1333"/>
      <c r="M625" s="1333"/>
      <c r="N625" s="1333"/>
      <c r="O625" s="1333"/>
      <c r="P625" s="1333"/>
      <c r="Q625" s="1333"/>
      <c r="R625" s="1333"/>
      <c r="S625" s="1333"/>
      <c r="T625" s="1333"/>
      <c r="U625" s="1333"/>
      <c r="V625" s="1333"/>
      <c r="W625" s="1333"/>
      <c r="X625" s="1333"/>
      <c r="Y625" s="1333"/>
      <c r="Z625" s="1333"/>
      <c r="AA625" s="1333"/>
      <c r="AB625" s="1333"/>
      <c r="AC625" s="1333"/>
      <c r="AD625" s="1333"/>
      <c r="AE625" s="1333"/>
      <c r="AF625" s="1333"/>
      <c r="AG625" s="1333"/>
      <c r="AH625" s="1333"/>
      <c r="AI625" s="1333"/>
      <c r="AJ625" s="1333"/>
    </row>
    <row r="626" spans="1:36" x14ac:dyDescent="0.25">
      <c r="A626" s="1331"/>
      <c r="B626" s="1284"/>
      <c r="C626" s="1284"/>
      <c r="D626" s="1364"/>
      <c r="E626" s="1364"/>
      <c r="F626" s="1364"/>
      <c r="G626" s="1365"/>
      <c r="H626" s="1333"/>
      <c r="I626" s="1333"/>
      <c r="J626" s="1333"/>
      <c r="K626" s="1333"/>
      <c r="L626" s="1333"/>
      <c r="M626" s="1333"/>
      <c r="N626" s="1333"/>
      <c r="O626" s="1333"/>
      <c r="P626" s="1333"/>
      <c r="Q626" s="1333"/>
      <c r="R626" s="1333"/>
      <c r="S626" s="1333"/>
      <c r="T626" s="1333"/>
      <c r="U626" s="1333"/>
      <c r="V626" s="1333"/>
      <c r="W626" s="1333"/>
      <c r="X626" s="1333"/>
      <c r="Y626" s="1333"/>
      <c r="Z626" s="1333"/>
      <c r="AA626" s="1333"/>
      <c r="AB626" s="1333"/>
      <c r="AC626" s="1333"/>
      <c r="AD626" s="1333"/>
      <c r="AE626" s="1333"/>
      <c r="AF626" s="1333"/>
      <c r="AG626" s="1333"/>
      <c r="AH626" s="1333"/>
      <c r="AI626" s="1333"/>
      <c r="AJ626" s="1333"/>
    </row>
    <row r="627" spans="1:36" x14ac:dyDescent="0.25">
      <c r="A627" s="1331"/>
      <c r="B627" s="1284"/>
      <c r="C627" s="1284"/>
      <c r="D627" s="1364"/>
      <c r="E627" s="1364"/>
      <c r="F627" s="1364"/>
      <c r="G627" s="1365"/>
      <c r="H627" s="1333"/>
      <c r="I627" s="1333"/>
      <c r="J627" s="1333"/>
      <c r="K627" s="1333"/>
      <c r="L627" s="1333"/>
      <c r="M627" s="1333"/>
      <c r="N627" s="1333"/>
      <c r="O627" s="1333"/>
      <c r="P627" s="1333"/>
      <c r="Q627" s="1333"/>
      <c r="R627" s="1333"/>
      <c r="S627" s="1333"/>
      <c r="T627" s="1333"/>
      <c r="U627" s="1333"/>
      <c r="V627" s="1333"/>
      <c r="W627" s="1333"/>
      <c r="X627" s="1333"/>
      <c r="Y627" s="1333"/>
      <c r="Z627" s="1333"/>
      <c r="AA627" s="1333"/>
      <c r="AB627" s="1333"/>
      <c r="AC627" s="1333"/>
      <c r="AD627" s="1333"/>
      <c r="AE627" s="1333"/>
      <c r="AF627" s="1333"/>
      <c r="AG627" s="1333"/>
      <c r="AH627" s="1333"/>
      <c r="AI627" s="1333"/>
      <c r="AJ627" s="1333"/>
    </row>
    <row r="628" spans="1:36" x14ac:dyDescent="0.25">
      <c r="A628" s="1331"/>
      <c r="B628" s="1284"/>
      <c r="C628" s="1284"/>
      <c r="D628" s="1364"/>
      <c r="E628" s="1364"/>
      <c r="F628" s="1364"/>
      <c r="G628" s="1365"/>
      <c r="H628" s="1333"/>
      <c r="I628" s="1333"/>
      <c r="J628" s="1333"/>
      <c r="K628" s="1333"/>
      <c r="L628" s="1333"/>
      <c r="M628" s="1333"/>
      <c r="N628" s="1333"/>
      <c r="O628" s="1333"/>
      <c r="P628" s="1333"/>
      <c r="Q628" s="1333"/>
      <c r="R628" s="1333"/>
      <c r="S628" s="1333"/>
      <c r="T628" s="1333"/>
      <c r="U628" s="1333"/>
      <c r="V628" s="1333"/>
      <c r="W628" s="1333"/>
      <c r="X628" s="1333"/>
      <c r="Y628" s="1333"/>
      <c r="Z628" s="1333"/>
      <c r="AA628" s="1333"/>
      <c r="AB628" s="1333"/>
      <c r="AC628" s="1333"/>
      <c r="AD628" s="1333"/>
      <c r="AE628" s="1333"/>
      <c r="AF628" s="1333"/>
      <c r="AG628" s="1333"/>
      <c r="AH628" s="1333"/>
      <c r="AI628" s="1333"/>
      <c r="AJ628" s="1333"/>
    </row>
    <row r="629" spans="1:36" x14ac:dyDescent="0.25">
      <c r="A629" s="1331"/>
      <c r="B629" s="1284"/>
      <c r="C629" s="1284"/>
      <c r="D629" s="1364"/>
      <c r="E629" s="1364"/>
      <c r="F629" s="1364"/>
      <c r="G629" s="1365"/>
      <c r="H629" s="1333"/>
      <c r="I629" s="1333"/>
      <c r="J629" s="1333"/>
      <c r="K629" s="1333"/>
      <c r="L629" s="1333"/>
      <c r="M629" s="1333"/>
      <c r="N629" s="1333"/>
      <c r="O629" s="1333"/>
      <c r="P629" s="1333"/>
      <c r="Q629" s="1333"/>
      <c r="R629" s="1333"/>
      <c r="S629" s="1333"/>
      <c r="T629" s="1333"/>
      <c r="U629" s="1333"/>
      <c r="V629" s="1333"/>
      <c r="W629" s="1333"/>
      <c r="X629" s="1333"/>
      <c r="Y629" s="1333"/>
      <c r="Z629" s="1333"/>
      <c r="AA629" s="1333"/>
      <c r="AB629" s="1333"/>
      <c r="AC629" s="1333"/>
      <c r="AD629" s="1333"/>
      <c r="AE629" s="1333"/>
      <c r="AF629" s="1333"/>
      <c r="AG629" s="1333"/>
      <c r="AH629" s="1333"/>
      <c r="AI629" s="1333"/>
      <c r="AJ629" s="1333"/>
    </row>
    <row r="630" spans="1:36" x14ac:dyDescent="0.25">
      <c r="A630" s="1331"/>
      <c r="B630" s="1284"/>
      <c r="C630" s="1284"/>
      <c r="D630" s="1364"/>
      <c r="E630" s="1364"/>
      <c r="F630" s="1364"/>
      <c r="G630" s="1365"/>
      <c r="H630" s="1333"/>
      <c r="I630" s="1333"/>
      <c r="J630" s="1333"/>
      <c r="K630" s="1333"/>
      <c r="L630" s="1333"/>
      <c r="M630" s="1333"/>
      <c r="N630" s="1333"/>
      <c r="O630" s="1333"/>
      <c r="P630" s="1333"/>
      <c r="Q630" s="1333"/>
      <c r="R630" s="1333"/>
      <c r="S630" s="1333"/>
      <c r="T630" s="1333"/>
      <c r="U630" s="1333"/>
      <c r="V630" s="1333"/>
      <c r="W630" s="1333"/>
      <c r="X630" s="1333"/>
      <c r="Y630" s="1333"/>
      <c r="Z630" s="1333"/>
      <c r="AA630" s="1333"/>
      <c r="AB630" s="1333"/>
      <c r="AC630" s="1333"/>
      <c r="AD630" s="1333"/>
      <c r="AE630" s="1333"/>
      <c r="AF630" s="1333"/>
      <c r="AG630" s="1333"/>
      <c r="AH630" s="1333"/>
      <c r="AI630" s="1333"/>
      <c r="AJ630" s="1333"/>
    </row>
    <row r="631" spans="1:36" x14ac:dyDescent="0.25">
      <c r="A631" s="1331"/>
      <c r="B631" s="1284"/>
      <c r="C631" s="1284"/>
      <c r="D631" s="1364"/>
      <c r="E631" s="1364"/>
      <c r="F631" s="1364"/>
      <c r="G631" s="1365"/>
      <c r="H631" s="1333"/>
      <c r="I631" s="1333"/>
      <c r="J631" s="1333"/>
      <c r="K631" s="1333"/>
      <c r="L631" s="1333"/>
      <c r="M631" s="1333"/>
      <c r="N631" s="1333"/>
      <c r="O631" s="1333"/>
      <c r="P631" s="1333"/>
      <c r="Q631" s="1333"/>
      <c r="R631" s="1333"/>
      <c r="S631" s="1333"/>
      <c r="T631" s="1333"/>
      <c r="U631" s="1333"/>
      <c r="V631" s="1333"/>
      <c r="W631" s="1333"/>
      <c r="X631" s="1333"/>
      <c r="Y631" s="1333"/>
      <c r="Z631" s="1333"/>
      <c r="AA631" s="1333"/>
      <c r="AB631" s="1333"/>
      <c r="AC631" s="1333"/>
      <c r="AD631" s="1333"/>
      <c r="AE631" s="1333"/>
      <c r="AF631" s="1333"/>
      <c r="AG631" s="1333"/>
      <c r="AH631" s="1333"/>
      <c r="AI631" s="1333"/>
      <c r="AJ631" s="1333"/>
    </row>
    <row r="632" spans="1:36" x14ac:dyDescent="0.25">
      <c r="A632" s="1331"/>
      <c r="B632" s="1284"/>
      <c r="C632" s="1284"/>
      <c r="D632" s="1364"/>
      <c r="E632" s="1364"/>
      <c r="F632" s="1364"/>
      <c r="G632" s="1365"/>
      <c r="H632" s="1333"/>
      <c r="I632" s="1333"/>
      <c r="J632" s="1333"/>
      <c r="K632" s="1333"/>
      <c r="L632" s="1333"/>
      <c r="M632" s="1333"/>
      <c r="N632" s="1333"/>
      <c r="O632" s="1333"/>
      <c r="P632" s="1333"/>
      <c r="Q632" s="1333"/>
      <c r="R632" s="1333"/>
      <c r="S632" s="1333"/>
      <c r="T632" s="1333"/>
      <c r="U632" s="1333"/>
      <c r="V632" s="1333"/>
      <c r="W632" s="1333"/>
      <c r="X632" s="1333"/>
      <c r="Y632" s="1333"/>
      <c r="Z632" s="1333"/>
      <c r="AA632" s="1333"/>
      <c r="AB632" s="1333"/>
      <c r="AC632" s="1333"/>
      <c r="AD632" s="1333"/>
      <c r="AE632" s="1333"/>
      <c r="AF632" s="1333"/>
      <c r="AG632" s="1333"/>
      <c r="AH632" s="1333"/>
      <c r="AI632" s="1333"/>
      <c r="AJ632" s="1333"/>
    </row>
    <row r="633" spans="1:36" x14ac:dyDescent="0.25">
      <c r="A633" s="1331"/>
      <c r="B633" s="1284"/>
      <c r="C633" s="1284"/>
      <c r="D633" s="1364"/>
      <c r="E633" s="1364"/>
      <c r="F633" s="1364"/>
      <c r="G633" s="1365"/>
      <c r="H633" s="1333"/>
      <c r="I633" s="1333"/>
      <c r="J633" s="1333"/>
      <c r="K633" s="1333"/>
      <c r="L633" s="1333"/>
      <c r="M633" s="1333"/>
      <c r="N633" s="1333"/>
      <c r="O633" s="1333"/>
      <c r="P633" s="1333"/>
      <c r="Q633" s="1333"/>
      <c r="R633" s="1333"/>
      <c r="S633" s="1333"/>
      <c r="T633" s="1333"/>
      <c r="U633" s="1333"/>
      <c r="V633" s="1333"/>
      <c r="W633" s="1333"/>
      <c r="X633" s="1333"/>
      <c r="Y633" s="1333"/>
      <c r="Z633" s="1333"/>
      <c r="AA633" s="1333"/>
      <c r="AB633" s="1333"/>
      <c r="AC633" s="1333"/>
      <c r="AD633" s="1333"/>
      <c r="AE633" s="1333"/>
      <c r="AF633" s="1333"/>
      <c r="AG633" s="1333"/>
      <c r="AH633" s="1333"/>
      <c r="AI633" s="1333"/>
      <c r="AJ633" s="1333"/>
    </row>
    <row r="634" spans="1:36" x14ac:dyDescent="0.25">
      <c r="A634" s="1331"/>
      <c r="B634" s="1284"/>
      <c r="C634" s="1284"/>
      <c r="D634" s="1364"/>
      <c r="E634" s="1364"/>
      <c r="F634" s="1364"/>
      <c r="G634" s="1365"/>
      <c r="H634" s="1333"/>
      <c r="I634" s="1333"/>
      <c r="J634" s="1333"/>
      <c r="K634" s="1333"/>
      <c r="L634" s="1333"/>
      <c r="M634" s="1333"/>
      <c r="N634" s="1333"/>
      <c r="O634" s="1333"/>
      <c r="P634" s="1333"/>
      <c r="Q634" s="1333"/>
      <c r="R634" s="1333"/>
      <c r="S634" s="1333"/>
      <c r="T634" s="1333"/>
      <c r="U634" s="1333"/>
      <c r="V634" s="1333"/>
      <c r="W634" s="1333"/>
      <c r="X634" s="1333"/>
      <c r="Y634" s="1333"/>
      <c r="Z634" s="1333"/>
      <c r="AA634" s="1333"/>
      <c r="AB634" s="1333"/>
      <c r="AC634" s="1333"/>
      <c r="AD634" s="1333"/>
      <c r="AE634" s="1333"/>
      <c r="AF634" s="1333"/>
      <c r="AG634" s="1333"/>
      <c r="AH634" s="1333"/>
      <c r="AI634" s="1333"/>
      <c r="AJ634" s="1333"/>
    </row>
    <row r="635" spans="1:36" x14ac:dyDescent="0.25">
      <c r="A635" s="1331"/>
      <c r="B635" s="1284"/>
      <c r="C635" s="1284"/>
      <c r="D635" s="1364"/>
      <c r="E635" s="1364"/>
      <c r="F635" s="1364"/>
      <c r="G635" s="1365"/>
      <c r="H635" s="1333"/>
      <c r="I635" s="1333"/>
      <c r="J635" s="1333"/>
      <c r="K635" s="1333"/>
      <c r="L635" s="1333"/>
      <c r="M635" s="1333"/>
      <c r="N635" s="1333"/>
      <c r="O635" s="1333"/>
      <c r="P635" s="1333"/>
      <c r="Q635" s="1333"/>
      <c r="R635" s="1333"/>
      <c r="S635" s="1333"/>
      <c r="T635" s="1333"/>
      <c r="U635" s="1333"/>
      <c r="V635" s="1333"/>
      <c r="W635" s="1333"/>
      <c r="X635" s="1333"/>
      <c r="Y635" s="1333"/>
      <c r="Z635" s="1333"/>
      <c r="AA635" s="1333"/>
      <c r="AB635" s="1333"/>
      <c r="AC635" s="1333"/>
      <c r="AD635" s="1333"/>
      <c r="AE635" s="1333"/>
      <c r="AF635" s="1333"/>
      <c r="AG635" s="1333"/>
      <c r="AH635" s="1333"/>
      <c r="AI635" s="1333"/>
      <c r="AJ635" s="1333"/>
    </row>
    <row r="636" spans="1:36" x14ac:dyDescent="0.25">
      <c r="A636" s="1331"/>
      <c r="B636" s="1284"/>
      <c r="C636" s="1284"/>
      <c r="D636" s="1364"/>
      <c r="E636" s="1364"/>
      <c r="F636" s="1364"/>
      <c r="G636" s="1365"/>
      <c r="H636" s="1333"/>
      <c r="I636" s="1333"/>
      <c r="J636" s="1333"/>
      <c r="K636" s="1333"/>
      <c r="L636" s="1333"/>
      <c r="M636" s="1333"/>
      <c r="N636" s="1333"/>
      <c r="O636" s="1333"/>
      <c r="P636" s="1333"/>
      <c r="Q636" s="1333"/>
      <c r="R636" s="1333"/>
      <c r="S636" s="1333"/>
      <c r="T636" s="1333"/>
      <c r="U636" s="1333"/>
      <c r="V636" s="1333"/>
      <c r="W636" s="1333"/>
      <c r="X636" s="1333"/>
      <c r="Y636" s="1333"/>
      <c r="Z636" s="1333"/>
      <c r="AA636" s="1333"/>
      <c r="AB636" s="1333"/>
      <c r="AC636" s="1333"/>
      <c r="AD636" s="1333"/>
      <c r="AE636" s="1333"/>
      <c r="AF636" s="1333"/>
      <c r="AG636" s="1333"/>
      <c r="AH636" s="1333"/>
      <c r="AI636" s="1333"/>
      <c r="AJ636" s="1333"/>
    </row>
    <row r="637" spans="1:36" x14ac:dyDescent="0.25">
      <c r="A637" s="1331"/>
      <c r="B637" s="1284"/>
      <c r="C637" s="1284"/>
      <c r="D637" s="1364"/>
      <c r="E637" s="1364"/>
      <c r="F637" s="1364"/>
      <c r="G637" s="1365"/>
      <c r="H637" s="1333"/>
      <c r="I637" s="1333"/>
      <c r="J637" s="1333"/>
      <c r="K637" s="1333"/>
      <c r="L637" s="1333"/>
      <c r="M637" s="1333"/>
      <c r="N637" s="1333"/>
      <c r="O637" s="1333"/>
      <c r="P637" s="1333"/>
      <c r="Q637" s="1333"/>
      <c r="R637" s="1333"/>
      <c r="S637" s="1333"/>
      <c r="T637" s="1333"/>
      <c r="U637" s="1333"/>
      <c r="V637" s="1333"/>
      <c r="W637" s="1333"/>
      <c r="X637" s="1333"/>
      <c r="Y637" s="1333"/>
      <c r="Z637" s="1333"/>
      <c r="AA637" s="1333"/>
      <c r="AB637" s="1333"/>
      <c r="AC637" s="1333"/>
      <c r="AD637" s="1333"/>
      <c r="AE637" s="1333"/>
      <c r="AF637" s="1333"/>
      <c r="AG637" s="1333"/>
      <c r="AH637" s="1333"/>
      <c r="AI637" s="1333"/>
      <c r="AJ637" s="1333"/>
    </row>
    <row r="638" spans="1:36" x14ac:dyDescent="0.25">
      <c r="A638" s="1331"/>
      <c r="B638" s="1284"/>
      <c r="C638" s="1284"/>
      <c r="D638" s="1364"/>
      <c r="E638" s="1364"/>
      <c r="F638" s="1364"/>
      <c r="G638" s="1365"/>
      <c r="H638" s="1333"/>
      <c r="I638" s="1333"/>
      <c r="J638" s="1333"/>
      <c r="K638" s="1333"/>
      <c r="L638" s="1333"/>
      <c r="M638" s="1333"/>
      <c r="N638" s="1333"/>
      <c r="O638" s="1333"/>
      <c r="P638" s="1333"/>
      <c r="Q638" s="1333"/>
      <c r="R638" s="1333"/>
      <c r="S638" s="1333"/>
      <c r="T638" s="1333"/>
      <c r="U638" s="1333"/>
      <c r="V638" s="1333"/>
      <c r="W638" s="1333"/>
      <c r="X638" s="1333"/>
      <c r="Y638" s="1333"/>
      <c r="Z638" s="1333"/>
      <c r="AA638" s="1333"/>
      <c r="AB638" s="1333"/>
      <c r="AC638" s="1333"/>
      <c r="AD638" s="1333"/>
      <c r="AE638" s="1333"/>
      <c r="AF638" s="1333"/>
      <c r="AG638" s="1333"/>
      <c r="AH638" s="1333"/>
      <c r="AI638" s="1333"/>
      <c r="AJ638" s="1333"/>
    </row>
    <row r="639" spans="1:36" x14ac:dyDescent="0.25">
      <c r="A639" s="1331"/>
      <c r="B639" s="1284"/>
      <c r="C639" s="1284"/>
      <c r="D639" s="1364"/>
      <c r="E639" s="1364"/>
      <c r="F639" s="1364"/>
      <c r="G639" s="1365"/>
      <c r="H639" s="1333"/>
      <c r="I639" s="1333"/>
      <c r="J639" s="1333"/>
      <c r="K639" s="1333"/>
      <c r="L639" s="1333"/>
      <c r="M639" s="1333"/>
      <c r="N639" s="1333"/>
      <c r="O639" s="1333"/>
      <c r="P639" s="1333"/>
      <c r="Q639" s="1333"/>
      <c r="R639" s="1333"/>
      <c r="S639" s="1333"/>
      <c r="T639" s="1333"/>
      <c r="U639" s="1333"/>
      <c r="V639" s="1333"/>
      <c r="W639" s="1333"/>
      <c r="X639" s="1333"/>
      <c r="Y639" s="1333"/>
      <c r="Z639" s="1333"/>
      <c r="AA639" s="1333"/>
      <c r="AB639" s="1333"/>
      <c r="AC639" s="1333"/>
      <c r="AD639" s="1333"/>
      <c r="AE639" s="1333"/>
      <c r="AF639" s="1333"/>
      <c r="AG639" s="1333"/>
      <c r="AH639" s="1333"/>
      <c r="AI639" s="1333"/>
      <c r="AJ639" s="1333"/>
    </row>
    <row r="640" spans="1:36" x14ac:dyDescent="0.25">
      <c r="A640" s="1331"/>
      <c r="B640" s="1284"/>
      <c r="C640" s="1284"/>
      <c r="D640" s="1364"/>
      <c r="E640" s="1364"/>
      <c r="F640" s="1364"/>
      <c r="G640" s="1365"/>
      <c r="H640" s="1333"/>
      <c r="I640" s="1333"/>
      <c r="J640" s="1333"/>
      <c r="K640" s="1333"/>
      <c r="L640" s="1333"/>
      <c r="M640" s="1333"/>
      <c r="N640" s="1333"/>
      <c r="O640" s="1333"/>
      <c r="P640" s="1333"/>
      <c r="Q640" s="1333"/>
      <c r="R640" s="1333"/>
      <c r="S640" s="1333"/>
      <c r="T640" s="1333"/>
      <c r="U640" s="1333"/>
      <c r="V640" s="1333"/>
      <c r="W640" s="1333"/>
      <c r="X640" s="1333"/>
      <c r="Y640" s="1333"/>
      <c r="Z640" s="1333"/>
      <c r="AA640" s="1333"/>
      <c r="AB640" s="1333"/>
      <c r="AC640" s="1333"/>
      <c r="AD640" s="1333"/>
      <c r="AE640" s="1333"/>
      <c r="AF640" s="1333"/>
      <c r="AG640" s="1333"/>
      <c r="AH640" s="1333"/>
      <c r="AI640" s="1333"/>
      <c r="AJ640" s="1333"/>
    </row>
    <row r="641" spans="1:36" x14ac:dyDescent="0.25">
      <c r="A641" s="1331"/>
      <c r="B641" s="1284"/>
      <c r="C641" s="1284"/>
      <c r="D641" s="1364"/>
      <c r="E641" s="1364"/>
      <c r="F641" s="1364"/>
      <c r="G641" s="1365"/>
      <c r="H641" s="1333"/>
      <c r="I641" s="1333"/>
      <c r="J641" s="1333"/>
      <c r="K641" s="1333"/>
      <c r="L641" s="1333"/>
      <c r="M641" s="1333"/>
      <c r="N641" s="1333"/>
      <c r="O641" s="1333"/>
      <c r="P641" s="1333"/>
      <c r="Q641" s="1333"/>
      <c r="R641" s="1333"/>
      <c r="S641" s="1333"/>
      <c r="T641" s="1333"/>
      <c r="U641" s="1333"/>
      <c r="V641" s="1333"/>
      <c r="W641" s="1333"/>
      <c r="X641" s="1333"/>
      <c r="Y641" s="1333"/>
      <c r="Z641" s="1333"/>
      <c r="AA641" s="1333"/>
      <c r="AB641" s="1333"/>
      <c r="AC641" s="1333"/>
      <c r="AD641" s="1333"/>
      <c r="AE641" s="1333"/>
      <c r="AF641" s="1333"/>
      <c r="AG641" s="1333"/>
      <c r="AH641" s="1333"/>
      <c r="AI641" s="1333"/>
      <c r="AJ641" s="1333"/>
    </row>
    <row r="642" spans="1:36" x14ac:dyDescent="0.25">
      <c r="A642" s="1331"/>
      <c r="B642" s="1284"/>
      <c r="C642" s="1284"/>
      <c r="D642" s="1364"/>
      <c r="E642" s="1364"/>
      <c r="F642" s="1364"/>
      <c r="G642" s="1365"/>
      <c r="H642" s="1333"/>
      <c r="I642" s="1333"/>
      <c r="J642" s="1333"/>
      <c r="K642" s="1333"/>
      <c r="L642" s="1333"/>
      <c r="M642" s="1333"/>
      <c r="N642" s="1333"/>
      <c r="O642" s="1333"/>
      <c r="P642" s="1333"/>
      <c r="Q642" s="1333"/>
      <c r="R642" s="1333"/>
      <c r="S642" s="1333"/>
      <c r="T642" s="1333"/>
      <c r="U642" s="1333"/>
      <c r="V642" s="1333"/>
      <c r="W642" s="1333"/>
      <c r="X642" s="1333"/>
      <c r="Y642" s="1333"/>
      <c r="Z642" s="1333"/>
      <c r="AA642" s="1333"/>
      <c r="AB642" s="1333"/>
      <c r="AC642" s="1333"/>
      <c r="AD642" s="1333"/>
      <c r="AE642" s="1333"/>
      <c r="AF642" s="1333"/>
      <c r="AG642" s="1333"/>
      <c r="AH642" s="1333"/>
      <c r="AI642" s="1333"/>
      <c r="AJ642" s="1333"/>
    </row>
    <row r="643" spans="1:36" x14ac:dyDescent="0.25">
      <c r="A643" s="1331"/>
      <c r="B643" s="1284"/>
      <c r="C643" s="1284"/>
      <c r="D643" s="1364"/>
      <c r="E643" s="1364"/>
      <c r="F643" s="1364"/>
      <c r="G643" s="1365"/>
      <c r="H643" s="1333"/>
      <c r="I643" s="1333"/>
      <c r="J643" s="1333"/>
      <c r="K643" s="1333"/>
      <c r="L643" s="1333"/>
      <c r="M643" s="1333"/>
      <c r="N643" s="1333"/>
      <c r="O643" s="1333"/>
      <c r="P643" s="1333"/>
      <c r="Q643" s="1333"/>
      <c r="R643" s="1333"/>
      <c r="S643" s="1333"/>
      <c r="T643" s="1333"/>
      <c r="U643" s="1333"/>
      <c r="V643" s="1333"/>
      <c r="W643" s="1333"/>
      <c r="X643" s="1333"/>
      <c r="Y643" s="1333"/>
      <c r="Z643" s="1333"/>
      <c r="AA643" s="1333"/>
      <c r="AB643" s="1333"/>
      <c r="AC643" s="1333"/>
      <c r="AD643" s="1333"/>
      <c r="AE643" s="1333"/>
      <c r="AF643" s="1333"/>
      <c r="AG643" s="1333"/>
      <c r="AH643" s="1333"/>
      <c r="AI643" s="1333"/>
      <c r="AJ643" s="1333"/>
    </row>
    <row r="644" spans="1:36" x14ac:dyDescent="0.25">
      <c r="A644" s="1331"/>
      <c r="B644" s="1284"/>
      <c r="C644" s="1284"/>
      <c r="D644" s="1364"/>
      <c r="E644" s="1364"/>
      <c r="F644" s="1364"/>
      <c r="G644" s="1365"/>
      <c r="H644" s="1333"/>
      <c r="I644" s="1333"/>
      <c r="J644" s="1333"/>
      <c r="K644" s="1333"/>
      <c r="L644" s="1333"/>
      <c r="M644" s="1333"/>
      <c r="N644" s="1333"/>
      <c r="O644" s="1333"/>
      <c r="P644" s="1333"/>
      <c r="Q644" s="1333"/>
      <c r="R644" s="1333"/>
      <c r="S644" s="1333"/>
      <c r="T644" s="1333"/>
      <c r="U644" s="1333"/>
      <c r="V644" s="1333"/>
      <c r="W644" s="1333"/>
      <c r="X644" s="1333"/>
      <c r="Y644" s="1333"/>
      <c r="Z644" s="1333"/>
      <c r="AA644" s="1333"/>
      <c r="AB644" s="1333"/>
      <c r="AC644" s="1333"/>
      <c r="AD644" s="1333"/>
      <c r="AE644" s="1333"/>
      <c r="AF644" s="1333"/>
      <c r="AG644" s="1333"/>
      <c r="AH644" s="1333"/>
      <c r="AI644" s="1333"/>
      <c r="AJ644" s="1333"/>
    </row>
    <row r="645" spans="1:36" x14ac:dyDescent="0.25">
      <c r="A645" s="1331"/>
      <c r="B645" s="1284"/>
      <c r="C645" s="1284"/>
      <c r="D645" s="1364"/>
      <c r="E645" s="1364"/>
      <c r="F645" s="1364"/>
      <c r="G645" s="1365"/>
      <c r="H645" s="1333"/>
      <c r="I645" s="1333"/>
      <c r="J645" s="1333"/>
      <c r="K645" s="1333"/>
      <c r="L645" s="1333"/>
      <c r="M645" s="1333"/>
      <c r="N645" s="1333"/>
      <c r="O645" s="1333"/>
      <c r="P645" s="1333"/>
      <c r="Q645" s="1333"/>
      <c r="R645" s="1333"/>
      <c r="S645" s="1333"/>
      <c r="T645" s="1333"/>
      <c r="U645" s="1333"/>
      <c r="V645" s="1333"/>
      <c r="W645" s="1333"/>
      <c r="X645" s="1333"/>
      <c r="Y645" s="1333"/>
      <c r="Z645" s="1333"/>
      <c r="AA645" s="1333"/>
      <c r="AB645" s="1333"/>
      <c r="AC645" s="1333"/>
      <c r="AD645" s="1333"/>
      <c r="AE645" s="1333"/>
      <c r="AF645" s="1333"/>
      <c r="AG645" s="1333"/>
      <c r="AH645" s="1333"/>
      <c r="AI645" s="1333"/>
      <c r="AJ645" s="1333"/>
    </row>
    <row r="646" spans="1:36" x14ac:dyDescent="0.25">
      <c r="A646" s="1331"/>
      <c r="B646" s="1284"/>
      <c r="C646" s="1284"/>
      <c r="D646" s="1364"/>
      <c r="E646" s="1364"/>
      <c r="F646" s="1364"/>
      <c r="G646" s="1365"/>
      <c r="H646" s="1333"/>
      <c r="I646" s="1333"/>
      <c r="J646" s="1333"/>
      <c r="K646" s="1333"/>
      <c r="L646" s="1333"/>
      <c r="M646" s="1333"/>
      <c r="N646" s="1333"/>
      <c r="O646" s="1333"/>
      <c r="P646" s="1333"/>
      <c r="Q646" s="1333"/>
      <c r="R646" s="1333"/>
      <c r="S646" s="1333"/>
      <c r="T646" s="1333"/>
      <c r="U646" s="1333"/>
      <c r="V646" s="1333"/>
      <c r="W646" s="1333"/>
      <c r="X646" s="1333"/>
      <c r="Y646" s="1333"/>
      <c r="Z646" s="1333"/>
      <c r="AA646" s="1333"/>
      <c r="AB646" s="1333"/>
      <c r="AC646" s="1333"/>
      <c r="AD646" s="1333"/>
      <c r="AE646" s="1333"/>
      <c r="AF646" s="1333"/>
      <c r="AG646" s="1333"/>
      <c r="AH646" s="1333"/>
      <c r="AI646" s="1333"/>
      <c r="AJ646" s="1333"/>
    </row>
    <row r="647" spans="1:36" x14ac:dyDescent="0.25">
      <c r="A647" s="1331"/>
      <c r="B647" s="1284"/>
      <c r="C647" s="1284"/>
      <c r="D647" s="1364"/>
      <c r="E647" s="1364"/>
      <c r="F647" s="1364"/>
      <c r="G647" s="1365"/>
      <c r="H647" s="1333"/>
      <c r="I647" s="1333"/>
      <c r="J647" s="1333"/>
      <c r="K647" s="1333"/>
      <c r="L647" s="1333"/>
      <c r="M647" s="1333"/>
      <c r="N647" s="1333"/>
      <c r="O647" s="1333"/>
      <c r="P647" s="1333"/>
      <c r="Q647" s="1333"/>
      <c r="R647" s="1333"/>
      <c r="S647" s="1333"/>
      <c r="T647" s="1333"/>
      <c r="U647" s="1333"/>
      <c r="V647" s="1333"/>
      <c r="W647" s="1333"/>
      <c r="X647" s="1333"/>
      <c r="Y647" s="1333"/>
      <c r="Z647" s="1333"/>
      <c r="AA647" s="1333"/>
      <c r="AB647" s="1333"/>
      <c r="AC647" s="1333"/>
      <c r="AD647" s="1333"/>
      <c r="AE647" s="1333"/>
      <c r="AF647" s="1333"/>
      <c r="AG647" s="1333"/>
      <c r="AH647" s="1333"/>
      <c r="AI647" s="1333"/>
      <c r="AJ647" s="1333"/>
    </row>
    <row r="648" spans="1:36" x14ac:dyDescent="0.25">
      <c r="A648" s="1331"/>
      <c r="B648" s="1284"/>
      <c r="C648" s="1284"/>
      <c r="D648" s="1364"/>
      <c r="E648" s="1364"/>
      <c r="F648" s="1364"/>
      <c r="G648" s="1365"/>
      <c r="H648" s="1333"/>
      <c r="I648" s="1333"/>
      <c r="J648" s="1333"/>
      <c r="K648" s="1333"/>
      <c r="L648" s="1333"/>
      <c r="M648" s="1333"/>
      <c r="N648" s="1333"/>
      <c r="O648" s="1333"/>
      <c r="P648" s="1333"/>
      <c r="Q648" s="1333"/>
      <c r="R648" s="1333"/>
      <c r="S648" s="1333"/>
      <c r="T648" s="1333"/>
      <c r="U648" s="1333"/>
      <c r="V648" s="1333"/>
      <c r="W648" s="1333"/>
      <c r="X648" s="1333"/>
      <c r="Y648" s="1333"/>
      <c r="Z648" s="1333"/>
      <c r="AA648" s="1333"/>
      <c r="AB648" s="1333"/>
      <c r="AC648" s="1333"/>
      <c r="AD648" s="1333"/>
      <c r="AE648" s="1333"/>
      <c r="AF648" s="1333"/>
      <c r="AG648" s="1333"/>
      <c r="AH648" s="1333"/>
      <c r="AI648" s="1333"/>
      <c r="AJ648" s="1333"/>
    </row>
    <row r="649" spans="1:36" x14ac:dyDescent="0.25">
      <c r="A649" s="1331"/>
      <c r="B649" s="1284"/>
      <c r="C649" s="1284"/>
      <c r="D649" s="1364"/>
      <c r="E649" s="1364"/>
      <c r="F649" s="1364"/>
      <c r="G649" s="1365"/>
      <c r="H649" s="1333"/>
      <c r="I649" s="1333"/>
      <c r="J649" s="1333"/>
      <c r="K649" s="1333"/>
      <c r="L649" s="1333"/>
      <c r="M649" s="1333"/>
      <c r="N649" s="1333"/>
      <c r="O649" s="1333"/>
      <c r="P649" s="1333"/>
      <c r="Q649" s="1333"/>
      <c r="R649" s="1333"/>
      <c r="S649" s="1333"/>
      <c r="T649" s="1333"/>
      <c r="U649" s="1333"/>
      <c r="V649" s="1333"/>
      <c r="W649" s="1333"/>
      <c r="X649" s="1333"/>
      <c r="Y649" s="1333"/>
      <c r="Z649" s="1333"/>
      <c r="AA649" s="1333"/>
      <c r="AB649" s="1333"/>
      <c r="AC649" s="1333"/>
      <c r="AD649" s="1333"/>
      <c r="AE649" s="1333"/>
      <c r="AF649" s="1333"/>
      <c r="AG649" s="1333"/>
      <c r="AH649" s="1333"/>
      <c r="AI649" s="1333"/>
      <c r="AJ649" s="1333"/>
    </row>
    <row r="650" spans="1:36" x14ac:dyDescent="0.25">
      <c r="A650" s="1331"/>
      <c r="B650" s="1284"/>
      <c r="C650" s="1284"/>
      <c r="D650" s="1364"/>
      <c r="E650" s="1364"/>
      <c r="F650" s="1364"/>
      <c r="G650" s="1365"/>
      <c r="H650" s="1333"/>
      <c r="I650" s="1333"/>
      <c r="J650" s="1333"/>
      <c r="K650" s="1333"/>
      <c r="L650" s="1333"/>
      <c r="M650" s="1333"/>
      <c r="N650" s="1333"/>
      <c r="O650" s="1333"/>
      <c r="P650" s="1333"/>
      <c r="Q650" s="1333"/>
      <c r="R650" s="1333"/>
      <c r="S650" s="1333"/>
      <c r="T650" s="1333"/>
      <c r="U650" s="1333"/>
      <c r="V650" s="1333"/>
      <c r="W650" s="1333"/>
      <c r="X650" s="1333"/>
      <c r="Y650" s="1333"/>
      <c r="Z650" s="1333"/>
      <c r="AA650" s="1333"/>
      <c r="AB650" s="1333"/>
      <c r="AC650" s="1333"/>
      <c r="AD650" s="1333"/>
      <c r="AE650" s="1333"/>
      <c r="AF650" s="1333"/>
      <c r="AG650" s="1333"/>
      <c r="AH650" s="1333"/>
      <c r="AI650" s="1333"/>
      <c r="AJ650" s="1333"/>
    </row>
    <row r="651" spans="1:36" x14ac:dyDescent="0.25">
      <c r="A651" s="1331"/>
      <c r="B651" s="1284"/>
      <c r="C651" s="1284"/>
      <c r="D651" s="1364"/>
      <c r="E651" s="1364"/>
      <c r="F651" s="1364"/>
      <c r="G651" s="1365"/>
      <c r="H651" s="1333"/>
      <c r="I651" s="1333"/>
      <c r="J651" s="1333"/>
      <c r="K651" s="1333"/>
      <c r="L651" s="1333"/>
      <c r="M651" s="1333"/>
      <c r="N651" s="1333"/>
      <c r="O651" s="1333"/>
      <c r="P651" s="1333"/>
      <c r="Q651" s="1333"/>
      <c r="R651" s="1333"/>
      <c r="S651" s="1333"/>
      <c r="T651" s="1333"/>
      <c r="U651" s="1333"/>
      <c r="V651" s="1333"/>
      <c r="W651" s="1333"/>
      <c r="X651" s="1333"/>
      <c r="Y651" s="1333"/>
      <c r="Z651" s="1333"/>
      <c r="AA651" s="1333"/>
      <c r="AB651" s="1333"/>
      <c r="AC651" s="1333"/>
      <c r="AD651" s="1333"/>
      <c r="AE651" s="1333"/>
      <c r="AF651" s="1333"/>
      <c r="AG651" s="1333"/>
      <c r="AH651" s="1333"/>
      <c r="AI651" s="1333"/>
      <c r="AJ651" s="1333"/>
    </row>
    <row r="652" spans="1:36" x14ac:dyDescent="0.25">
      <c r="A652" s="1331"/>
      <c r="B652" s="1284"/>
      <c r="C652" s="1284"/>
      <c r="D652" s="1364"/>
      <c r="E652" s="1364"/>
      <c r="F652" s="1364"/>
      <c r="G652" s="1365"/>
      <c r="H652" s="1333"/>
      <c r="I652" s="1333"/>
      <c r="J652" s="1333"/>
      <c r="K652" s="1333"/>
      <c r="L652" s="1333"/>
      <c r="M652" s="1333"/>
      <c r="N652" s="1333"/>
      <c r="O652" s="1333"/>
      <c r="P652" s="1333"/>
      <c r="Q652" s="1333"/>
      <c r="R652" s="1333"/>
      <c r="S652" s="1333"/>
      <c r="T652" s="1333"/>
      <c r="U652" s="1333"/>
      <c r="V652" s="1333"/>
      <c r="W652" s="1333"/>
      <c r="X652" s="1333"/>
      <c r="Y652" s="1333"/>
      <c r="Z652" s="1333"/>
      <c r="AA652" s="1333"/>
      <c r="AB652" s="1333"/>
      <c r="AC652" s="1333"/>
      <c r="AD652" s="1333"/>
      <c r="AE652" s="1333"/>
      <c r="AF652" s="1333"/>
      <c r="AG652" s="1333"/>
      <c r="AH652" s="1333"/>
      <c r="AI652" s="1333"/>
      <c r="AJ652" s="1333"/>
    </row>
    <row r="653" spans="1:36" x14ac:dyDescent="0.25">
      <c r="A653" s="1331"/>
      <c r="B653" s="1284"/>
      <c r="C653" s="1284"/>
      <c r="D653" s="1364"/>
      <c r="E653" s="1364"/>
      <c r="F653" s="1364"/>
      <c r="G653" s="1365"/>
      <c r="H653" s="1333"/>
      <c r="I653" s="1333"/>
      <c r="J653" s="1333"/>
      <c r="K653" s="1333"/>
      <c r="L653" s="1333"/>
      <c r="M653" s="1333"/>
      <c r="N653" s="1333"/>
      <c r="O653" s="1333"/>
      <c r="P653" s="1333"/>
      <c r="Q653" s="1333"/>
      <c r="R653" s="1333"/>
      <c r="S653" s="1333"/>
      <c r="T653" s="1333"/>
      <c r="U653" s="1333"/>
      <c r="V653" s="1333"/>
      <c r="W653" s="1333"/>
      <c r="X653" s="1333"/>
      <c r="Y653" s="1333"/>
      <c r="Z653" s="1333"/>
      <c r="AA653" s="1333"/>
      <c r="AB653" s="1333"/>
      <c r="AC653" s="1333"/>
      <c r="AD653" s="1333"/>
      <c r="AE653" s="1333"/>
      <c r="AF653" s="1333"/>
      <c r="AG653" s="1333"/>
      <c r="AH653" s="1333"/>
      <c r="AI653" s="1333"/>
      <c r="AJ653" s="1333"/>
    </row>
    <row r="654" spans="1:36" x14ac:dyDescent="0.25">
      <c r="A654" s="1331"/>
      <c r="B654" s="1284"/>
      <c r="C654" s="1284"/>
      <c r="D654" s="1364"/>
      <c r="E654" s="1364"/>
      <c r="F654" s="1364"/>
      <c r="G654" s="1365"/>
      <c r="H654" s="1333"/>
      <c r="I654" s="1333"/>
      <c r="J654" s="1333"/>
      <c r="K654" s="1333"/>
      <c r="L654" s="1333"/>
      <c r="M654" s="1333"/>
      <c r="N654" s="1333"/>
      <c r="O654" s="1333"/>
      <c r="P654" s="1333"/>
      <c r="Q654" s="1333"/>
      <c r="R654" s="1333"/>
      <c r="S654" s="1333"/>
      <c r="T654" s="1333"/>
      <c r="U654" s="1333"/>
      <c r="V654" s="1333"/>
      <c r="W654" s="1333"/>
      <c r="X654" s="1333"/>
      <c r="Y654" s="1333"/>
      <c r="Z654" s="1333"/>
      <c r="AA654" s="1333"/>
      <c r="AB654" s="1333"/>
      <c r="AC654" s="1333"/>
      <c r="AD654" s="1333"/>
      <c r="AE654" s="1333"/>
      <c r="AF654" s="1333"/>
      <c r="AG654" s="1333"/>
      <c r="AH654" s="1333"/>
      <c r="AI654" s="1333"/>
      <c r="AJ654" s="1333"/>
    </row>
    <row r="655" spans="1:36" x14ac:dyDescent="0.25">
      <c r="A655" s="1331"/>
      <c r="B655" s="1284"/>
      <c r="C655" s="1284"/>
      <c r="D655" s="1364"/>
      <c r="E655" s="1364"/>
      <c r="F655" s="1364"/>
      <c r="G655" s="1365"/>
      <c r="H655" s="1333"/>
      <c r="I655" s="1333"/>
      <c r="J655" s="1333"/>
      <c r="K655" s="1333"/>
      <c r="L655" s="1333"/>
      <c r="M655" s="1333"/>
      <c r="N655" s="1333"/>
      <c r="O655" s="1333"/>
      <c r="P655" s="1333"/>
      <c r="Q655" s="1333"/>
      <c r="R655" s="1333"/>
      <c r="S655" s="1333"/>
      <c r="T655" s="1333"/>
      <c r="U655" s="1333"/>
      <c r="V655" s="1333"/>
      <c r="W655" s="1333"/>
      <c r="X655" s="1333"/>
      <c r="Y655" s="1333"/>
      <c r="Z655" s="1333"/>
      <c r="AA655" s="1333"/>
      <c r="AB655" s="1333"/>
      <c r="AC655" s="1333"/>
      <c r="AD655" s="1333"/>
      <c r="AE655" s="1333"/>
      <c r="AF655" s="1333"/>
      <c r="AG655" s="1333"/>
      <c r="AH655" s="1333"/>
      <c r="AI655" s="1333"/>
      <c r="AJ655" s="1333"/>
    </row>
    <row r="656" spans="1:36" x14ac:dyDescent="0.25">
      <c r="A656" s="1331"/>
      <c r="B656" s="1284"/>
      <c r="C656" s="1284"/>
      <c r="D656" s="1364"/>
      <c r="E656" s="1364"/>
      <c r="F656" s="1364"/>
      <c r="G656" s="1365"/>
      <c r="H656" s="1333"/>
      <c r="I656" s="1333"/>
      <c r="J656" s="1333"/>
      <c r="K656" s="1333"/>
      <c r="L656" s="1333"/>
      <c r="M656" s="1333"/>
      <c r="N656" s="1333"/>
      <c r="O656" s="1333"/>
      <c r="P656" s="1333"/>
      <c r="Q656" s="1333"/>
      <c r="R656" s="1333"/>
      <c r="S656" s="1333"/>
      <c r="T656" s="1333"/>
      <c r="U656" s="1333"/>
      <c r="V656" s="1333"/>
      <c r="W656" s="1333"/>
      <c r="X656" s="1333"/>
      <c r="Y656" s="1333"/>
      <c r="Z656" s="1333"/>
      <c r="AA656" s="1333"/>
      <c r="AB656" s="1333"/>
      <c r="AC656" s="1333"/>
      <c r="AD656" s="1333"/>
      <c r="AE656" s="1333"/>
      <c r="AF656" s="1333"/>
      <c r="AG656" s="1333"/>
      <c r="AH656" s="1333"/>
      <c r="AI656" s="1333"/>
      <c r="AJ656" s="1333"/>
    </row>
    <row r="657" spans="1:36" x14ac:dyDescent="0.25">
      <c r="A657" s="1331"/>
      <c r="B657" s="1284"/>
      <c r="C657" s="1284"/>
      <c r="D657" s="1364"/>
      <c r="E657" s="1364"/>
      <c r="F657" s="1364"/>
      <c r="G657" s="1365"/>
      <c r="H657" s="1333"/>
      <c r="I657" s="1333"/>
      <c r="J657" s="1333"/>
      <c r="K657" s="1333"/>
      <c r="L657" s="1333"/>
      <c r="M657" s="1333"/>
      <c r="N657" s="1333"/>
      <c r="O657" s="1333"/>
      <c r="P657" s="1333"/>
      <c r="Q657" s="1333"/>
      <c r="R657" s="1333"/>
      <c r="S657" s="1333"/>
      <c r="T657" s="1333"/>
      <c r="U657" s="1333"/>
      <c r="V657" s="1333"/>
      <c r="W657" s="1333"/>
      <c r="X657" s="1333"/>
      <c r="Y657" s="1333"/>
      <c r="Z657" s="1333"/>
      <c r="AA657" s="1333"/>
      <c r="AB657" s="1333"/>
      <c r="AC657" s="1333"/>
      <c r="AD657" s="1333"/>
      <c r="AE657" s="1333"/>
      <c r="AF657" s="1333"/>
      <c r="AG657" s="1333"/>
      <c r="AH657" s="1333"/>
      <c r="AI657" s="1333"/>
      <c r="AJ657" s="1333"/>
    </row>
    <row r="658" spans="1:36" x14ac:dyDescent="0.25">
      <c r="A658" s="1331"/>
      <c r="B658" s="1284"/>
      <c r="C658" s="1284"/>
      <c r="D658" s="1364"/>
      <c r="E658" s="1364"/>
      <c r="F658" s="1364"/>
      <c r="G658" s="1365"/>
      <c r="H658" s="1333"/>
      <c r="I658" s="1333"/>
      <c r="J658" s="1333"/>
      <c r="K658" s="1333"/>
      <c r="L658" s="1333"/>
      <c r="M658" s="1333"/>
      <c r="N658" s="1333"/>
      <c r="O658" s="1333"/>
      <c r="P658" s="1333"/>
      <c r="Q658" s="1333"/>
      <c r="R658" s="1333"/>
      <c r="S658" s="1333"/>
      <c r="T658" s="1333"/>
      <c r="U658" s="1333"/>
      <c r="V658" s="1333"/>
      <c r="W658" s="1333"/>
      <c r="X658" s="1333"/>
      <c r="Y658" s="1333"/>
      <c r="Z658" s="1333"/>
      <c r="AA658" s="1333"/>
      <c r="AB658" s="1333"/>
      <c r="AC658" s="1333"/>
      <c r="AD658" s="1333"/>
      <c r="AE658" s="1333"/>
      <c r="AF658" s="1333"/>
      <c r="AG658" s="1333"/>
      <c r="AH658" s="1333"/>
      <c r="AI658" s="1333"/>
      <c r="AJ658" s="1333"/>
    </row>
    <row r="659" spans="1:36" x14ac:dyDescent="0.25">
      <c r="A659" s="1331"/>
      <c r="B659" s="1284"/>
      <c r="C659" s="1284"/>
      <c r="D659" s="1364"/>
      <c r="E659" s="1364"/>
      <c r="F659" s="1364"/>
      <c r="G659" s="1365"/>
      <c r="H659" s="1333"/>
      <c r="I659" s="1333"/>
      <c r="J659" s="1333"/>
      <c r="K659" s="1333"/>
      <c r="L659" s="1333"/>
      <c r="M659" s="1333"/>
      <c r="N659" s="1333"/>
      <c r="O659" s="1333"/>
      <c r="P659" s="1333"/>
      <c r="Q659" s="1333"/>
      <c r="R659" s="1333"/>
      <c r="S659" s="1333"/>
      <c r="T659" s="1333"/>
      <c r="U659" s="1333"/>
      <c r="V659" s="1333"/>
      <c r="W659" s="1333"/>
      <c r="X659" s="1333"/>
      <c r="Y659" s="1333"/>
      <c r="Z659" s="1333"/>
      <c r="AA659" s="1333"/>
      <c r="AB659" s="1333"/>
      <c r="AC659" s="1333"/>
      <c r="AD659" s="1333"/>
      <c r="AE659" s="1333"/>
      <c r="AF659" s="1333"/>
      <c r="AG659" s="1333"/>
      <c r="AH659" s="1333"/>
      <c r="AI659" s="1333"/>
      <c r="AJ659" s="1333"/>
    </row>
    <row r="660" spans="1:36" x14ac:dyDescent="0.25">
      <c r="A660" s="1331"/>
      <c r="B660" s="1284"/>
      <c r="C660" s="1284"/>
      <c r="D660" s="1364"/>
      <c r="E660" s="1364"/>
      <c r="F660" s="1364"/>
      <c r="G660" s="1365"/>
      <c r="H660" s="1333"/>
      <c r="I660" s="1333"/>
      <c r="J660" s="1333"/>
      <c r="K660" s="1333"/>
      <c r="L660" s="1333"/>
      <c r="M660" s="1333"/>
      <c r="N660" s="1333"/>
      <c r="O660" s="1333"/>
      <c r="P660" s="1333"/>
      <c r="Q660" s="1333"/>
      <c r="R660" s="1333"/>
      <c r="S660" s="1333"/>
      <c r="T660" s="1333"/>
      <c r="U660" s="1333"/>
      <c r="V660" s="1333"/>
      <c r="W660" s="1333"/>
      <c r="X660" s="1333"/>
      <c r="Y660" s="1333"/>
      <c r="Z660" s="1333"/>
      <c r="AA660" s="1333"/>
      <c r="AB660" s="1333"/>
      <c r="AC660" s="1333"/>
      <c r="AD660" s="1333"/>
      <c r="AE660" s="1333"/>
      <c r="AF660" s="1333"/>
      <c r="AG660" s="1333"/>
      <c r="AH660" s="1333"/>
      <c r="AI660" s="1333"/>
      <c r="AJ660" s="1333"/>
    </row>
    <row r="661" spans="1:36" x14ac:dyDescent="0.25">
      <c r="A661" s="1331"/>
      <c r="B661" s="1284"/>
      <c r="C661" s="1284"/>
      <c r="D661" s="1364"/>
      <c r="E661" s="1364"/>
      <c r="F661" s="1364"/>
      <c r="G661" s="1365"/>
      <c r="H661" s="1333"/>
      <c r="I661" s="1333"/>
      <c r="J661" s="1333"/>
      <c r="K661" s="1333"/>
      <c r="L661" s="1333"/>
      <c r="M661" s="1333"/>
      <c r="N661" s="1333"/>
      <c r="O661" s="1333"/>
      <c r="P661" s="1333"/>
      <c r="Q661" s="1333"/>
      <c r="R661" s="1333"/>
      <c r="S661" s="1333"/>
      <c r="T661" s="1333"/>
      <c r="U661" s="1333"/>
      <c r="V661" s="1333"/>
      <c r="W661" s="1333"/>
      <c r="X661" s="1333"/>
      <c r="Y661" s="1333"/>
      <c r="Z661" s="1333"/>
      <c r="AA661" s="1333"/>
      <c r="AB661" s="1333"/>
      <c r="AC661" s="1333"/>
      <c r="AD661" s="1333"/>
      <c r="AE661" s="1333"/>
      <c r="AF661" s="1333"/>
      <c r="AG661" s="1333"/>
      <c r="AH661" s="1333"/>
      <c r="AI661" s="1333"/>
      <c r="AJ661" s="1333"/>
    </row>
    <row r="662" spans="1:36" x14ac:dyDescent="0.25">
      <c r="A662" s="1331"/>
      <c r="B662" s="1284"/>
      <c r="C662" s="1284"/>
      <c r="D662" s="1364"/>
      <c r="E662" s="1364"/>
      <c r="F662" s="1364"/>
      <c r="G662" s="1365"/>
      <c r="H662" s="1333"/>
      <c r="I662" s="1333"/>
      <c r="J662" s="1333"/>
      <c r="K662" s="1333"/>
      <c r="L662" s="1333"/>
      <c r="M662" s="1333"/>
      <c r="N662" s="1333"/>
      <c r="O662" s="1333"/>
      <c r="P662" s="1333"/>
      <c r="Q662" s="1333"/>
      <c r="R662" s="1333"/>
      <c r="S662" s="1333"/>
      <c r="T662" s="1333"/>
      <c r="U662" s="1333"/>
      <c r="V662" s="1333"/>
      <c r="W662" s="1333"/>
      <c r="X662" s="1333"/>
      <c r="Y662" s="1333"/>
      <c r="Z662" s="1333"/>
      <c r="AA662" s="1333"/>
      <c r="AB662" s="1333"/>
      <c r="AC662" s="1333"/>
      <c r="AD662" s="1333"/>
      <c r="AE662" s="1333"/>
      <c r="AF662" s="1333"/>
      <c r="AG662" s="1333"/>
      <c r="AH662" s="1333"/>
      <c r="AI662" s="1333"/>
      <c r="AJ662" s="1333"/>
    </row>
    <row r="663" spans="1:36" x14ac:dyDescent="0.25">
      <c r="A663" s="1331"/>
      <c r="B663" s="1284"/>
      <c r="C663" s="1284"/>
      <c r="D663" s="1364"/>
      <c r="E663" s="1364"/>
      <c r="F663" s="1364"/>
      <c r="G663" s="1365"/>
      <c r="H663" s="1333"/>
      <c r="I663" s="1333"/>
      <c r="J663" s="1333"/>
      <c r="K663" s="1333"/>
      <c r="L663" s="1333"/>
      <c r="M663" s="1333"/>
      <c r="N663" s="1333"/>
      <c r="O663" s="1333"/>
      <c r="P663" s="1333"/>
      <c r="Q663" s="1333"/>
      <c r="R663" s="1333"/>
      <c r="S663" s="1333"/>
      <c r="T663" s="1333"/>
      <c r="U663" s="1333"/>
      <c r="V663" s="1333"/>
      <c r="W663" s="1333"/>
      <c r="X663" s="1333"/>
      <c r="Y663" s="1333"/>
      <c r="Z663" s="1333"/>
      <c r="AA663" s="1333"/>
      <c r="AB663" s="1333"/>
      <c r="AC663" s="1333"/>
      <c r="AD663" s="1333"/>
      <c r="AE663" s="1333"/>
      <c r="AF663" s="1333"/>
      <c r="AG663" s="1333"/>
      <c r="AH663" s="1333"/>
      <c r="AI663" s="1333"/>
      <c r="AJ663" s="1333"/>
    </row>
    <row r="664" spans="1:36" x14ac:dyDescent="0.25">
      <c r="A664" s="1331"/>
      <c r="B664" s="1284"/>
      <c r="C664" s="1284"/>
      <c r="D664" s="1364"/>
      <c r="E664" s="1364"/>
      <c r="F664" s="1364"/>
      <c r="G664" s="1365"/>
      <c r="H664" s="1333"/>
      <c r="I664" s="1333"/>
      <c r="J664" s="1333"/>
      <c r="K664" s="1333"/>
      <c r="L664" s="1333"/>
      <c r="M664" s="1333"/>
      <c r="N664" s="1333"/>
      <c r="O664" s="1333"/>
      <c r="P664" s="1333"/>
      <c r="Q664" s="1333"/>
      <c r="R664" s="1333"/>
      <c r="S664" s="1333"/>
      <c r="T664" s="1333"/>
      <c r="U664" s="1333"/>
      <c r="V664" s="1333"/>
      <c r="W664" s="1333"/>
      <c r="X664" s="1333"/>
      <c r="Y664" s="1333"/>
      <c r="Z664" s="1333"/>
      <c r="AA664" s="1333"/>
      <c r="AB664" s="1333"/>
      <c r="AC664" s="1333"/>
      <c r="AD664" s="1333"/>
      <c r="AE664" s="1333"/>
      <c r="AF664" s="1333"/>
      <c r="AG664" s="1333"/>
      <c r="AH664" s="1333"/>
      <c r="AI664" s="1333"/>
      <c r="AJ664" s="1333"/>
    </row>
    <row r="665" spans="1:36" x14ac:dyDescent="0.25">
      <c r="A665" s="1331"/>
      <c r="B665" s="1284"/>
      <c r="C665" s="1284"/>
      <c r="D665" s="1364"/>
      <c r="E665" s="1364"/>
      <c r="F665" s="1364"/>
      <c r="G665" s="1365"/>
      <c r="H665" s="1333"/>
      <c r="I665" s="1333"/>
      <c r="J665" s="1333"/>
      <c r="K665" s="1333"/>
      <c r="L665" s="1333"/>
      <c r="M665" s="1333"/>
      <c r="N665" s="1333"/>
      <c r="O665" s="1333"/>
      <c r="P665" s="1333"/>
      <c r="Q665" s="1333"/>
      <c r="R665" s="1333"/>
      <c r="S665" s="1333"/>
      <c r="T665" s="1333"/>
      <c r="U665" s="1333"/>
      <c r="V665" s="1333"/>
      <c r="W665" s="1333"/>
      <c r="X665" s="1333"/>
      <c r="Y665" s="1333"/>
      <c r="Z665" s="1333"/>
      <c r="AA665" s="1333"/>
      <c r="AB665" s="1333"/>
      <c r="AC665" s="1333"/>
      <c r="AD665" s="1333"/>
      <c r="AE665" s="1333"/>
      <c r="AF665" s="1333"/>
      <c r="AG665" s="1333"/>
      <c r="AH665" s="1333"/>
      <c r="AI665" s="1333"/>
      <c r="AJ665" s="1333"/>
    </row>
    <row r="666" spans="1:36" x14ac:dyDescent="0.25">
      <c r="A666" s="1331"/>
      <c r="B666" s="1284"/>
      <c r="C666" s="1284"/>
      <c r="D666" s="1364"/>
      <c r="E666" s="1364"/>
      <c r="F666" s="1364"/>
      <c r="G666" s="1365"/>
      <c r="H666" s="1333"/>
      <c r="I666" s="1333"/>
      <c r="J666" s="1333"/>
      <c r="K666" s="1333"/>
      <c r="L666" s="1333"/>
      <c r="M666" s="1333"/>
      <c r="N666" s="1333"/>
      <c r="O666" s="1333"/>
      <c r="P666" s="1333"/>
      <c r="Q666" s="1333"/>
      <c r="R666" s="1333"/>
      <c r="S666" s="1333"/>
      <c r="T666" s="1333"/>
      <c r="U666" s="1333"/>
      <c r="V666" s="1333"/>
      <c r="W666" s="1333"/>
      <c r="X666" s="1333"/>
      <c r="Y666" s="1333"/>
      <c r="Z666" s="1333"/>
      <c r="AA666" s="1333"/>
      <c r="AB666" s="1333"/>
      <c r="AC666" s="1333"/>
      <c r="AD666" s="1333"/>
      <c r="AE666" s="1333"/>
      <c r="AF666" s="1333"/>
      <c r="AG666" s="1333"/>
      <c r="AH666" s="1333"/>
      <c r="AI666" s="1333"/>
      <c r="AJ666" s="1333"/>
    </row>
    <row r="667" spans="1:36" x14ac:dyDescent="0.25">
      <c r="A667" s="1331"/>
      <c r="B667" s="1284"/>
      <c r="C667" s="1284"/>
      <c r="D667" s="1364"/>
      <c r="E667" s="1364"/>
      <c r="F667" s="1364"/>
      <c r="G667" s="1365"/>
      <c r="H667" s="1333"/>
      <c r="I667" s="1333"/>
      <c r="J667" s="1333"/>
      <c r="K667" s="1333"/>
      <c r="L667" s="1333"/>
      <c r="M667" s="1333"/>
      <c r="N667" s="1333"/>
      <c r="O667" s="1333"/>
      <c r="P667" s="1333"/>
      <c r="Q667" s="1333"/>
      <c r="R667" s="1333"/>
      <c r="S667" s="1333"/>
      <c r="T667" s="1333"/>
      <c r="U667" s="1333"/>
      <c r="V667" s="1333"/>
      <c r="W667" s="1333"/>
      <c r="X667" s="1333"/>
      <c r="Y667" s="1333"/>
      <c r="Z667" s="1333"/>
      <c r="AA667" s="1333"/>
      <c r="AB667" s="1333"/>
      <c r="AC667" s="1333"/>
      <c r="AD667" s="1333"/>
      <c r="AE667" s="1333"/>
      <c r="AF667" s="1333"/>
      <c r="AG667" s="1333"/>
      <c r="AH667" s="1333"/>
      <c r="AI667" s="1333"/>
      <c r="AJ667" s="1333"/>
    </row>
    <row r="668" spans="1:36" x14ac:dyDescent="0.25">
      <c r="A668" s="1331"/>
      <c r="B668" s="1284"/>
      <c r="C668" s="1284"/>
      <c r="D668" s="1364"/>
      <c r="E668" s="1364"/>
      <c r="F668" s="1364"/>
      <c r="G668" s="1365"/>
      <c r="H668" s="1333"/>
      <c r="I668" s="1333"/>
      <c r="J668" s="1333"/>
      <c r="K668" s="1333"/>
      <c r="L668" s="1333"/>
      <c r="M668" s="1333"/>
      <c r="N668" s="1333"/>
      <c r="O668" s="1333"/>
      <c r="P668" s="1333"/>
      <c r="Q668" s="1333"/>
      <c r="R668" s="1333"/>
      <c r="S668" s="1333"/>
      <c r="T668" s="1333"/>
      <c r="U668" s="1333"/>
      <c r="V668" s="1333"/>
      <c r="W668" s="1333"/>
      <c r="X668" s="1333"/>
      <c r="Y668" s="1333"/>
      <c r="Z668" s="1333"/>
      <c r="AA668" s="1333"/>
      <c r="AB668" s="1333"/>
      <c r="AC668" s="1333"/>
      <c r="AD668" s="1333"/>
      <c r="AE668" s="1333"/>
      <c r="AF668" s="1333"/>
      <c r="AG668" s="1333"/>
      <c r="AH668" s="1333"/>
      <c r="AI668" s="1333"/>
      <c r="AJ668" s="1333"/>
    </row>
    <row r="669" spans="1:36" x14ac:dyDescent="0.25">
      <c r="A669" s="1331"/>
      <c r="B669" s="1284"/>
      <c r="C669" s="1284"/>
      <c r="D669" s="1364"/>
      <c r="E669" s="1364"/>
      <c r="F669" s="1364"/>
      <c r="G669" s="1365"/>
      <c r="H669" s="1333"/>
      <c r="I669" s="1333"/>
      <c r="J669" s="1333"/>
      <c r="K669" s="1333"/>
      <c r="L669" s="1333"/>
      <c r="M669" s="1333"/>
      <c r="N669" s="1333"/>
      <c r="O669" s="1333"/>
      <c r="P669" s="1333"/>
      <c r="Q669" s="1333"/>
      <c r="R669" s="1333"/>
      <c r="S669" s="1333"/>
      <c r="T669" s="1333"/>
      <c r="U669" s="1333"/>
      <c r="V669" s="1333"/>
      <c r="W669" s="1333"/>
      <c r="X669" s="1333"/>
      <c r="Y669" s="1333"/>
      <c r="Z669" s="1333"/>
      <c r="AA669" s="1333"/>
      <c r="AB669" s="1333"/>
      <c r="AC669" s="1333"/>
      <c r="AD669" s="1333"/>
      <c r="AE669" s="1333"/>
      <c r="AF669" s="1333"/>
      <c r="AG669" s="1333"/>
      <c r="AH669" s="1333"/>
      <c r="AI669" s="1333"/>
      <c r="AJ669" s="1333"/>
    </row>
    <row r="670" spans="1:36" x14ac:dyDescent="0.25">
      <c r="A670" s="1331"/>
      <c r="B670" s="1284"/>
      <c r="C670" s="1284"/>
      <c r="D670" s="1364"/>
      <c r="E670" s="1364"/>
      <c r="F670" s="1364"/>
      <c r="G670" s="1365"/>
      <c r="H670" s="1333"/>
      <c r="I670" s="1333"/>
      <c r="J670" s="1333"/>
      <c r="K670" s="1333"/>
      <c r="L670" s="1333"/>
      <c r="M670" s="1333"/>
      <c r="N670" s="1333"/>
      <c r="O670" s="1333"/>
      <c r="P670" s="1333"/>
      <c r="Q670" s="1333"/>
      <c r="R670" s="1333"/>
      <c r="S670" s="1333"/>
      <c r="T670" s="1333"/>
      <c r="U670" s="1333"/>
      <c r="V670" s="1333"/>
      <c r="W670" s="1333"/>
      <c r="X670" s="1333"/>
      <c r="Y670" s="1333"/>
      <c r="Z670" s="1333"/>
      <c r="AA670" s="1333"/>
      <c r="AB670" s="1333"/>
      <c r="AC670" s="1333"/>
      <c r="AD670" s="1333"/>
      <c r="AE670" s="1333"/>
      <c r="AF670" s="1333"/>
      <c r="AG670" s="1333"/>
      <c r="AH670" s="1333"/>
      <c r="AI670" s="1333"/>
      <c r="AJ670" s="1333"/>
    </row>
    <row r="671" spans="1:36" x14ac:dyDescent="0.25">
      <c r="A671" s="1331"/>
      <c r="B671" s="1284"/>
      <c r="C671" s="1284"/>
      <c r="D671" s="1364"/>
      <c r="E671" s="1364"/>
      <c r="F671" s="1364"/>
      <c r="G671" s="1365"/>
      <c r="H671" s="1333"/>
      <c r="I671" s="1333"/>
      <c r="J671" s="1333"/>
      <c r="K671" s="1333"/>
      <c r="L671" s="1333"/>
      <c r="M671" s="1333"/>
      <c r="N671" s="1333"/>
      <c r="O671" s="1333"/>
      <c r="P671" s="1333"/>
      <c r="Q671" s="1333"/>
      <c r="R671" s="1333"/>
      <c r="S671" s="1333"/>
      <c r="T671" s="1333"/>
      <c r="U671" s="1333"/>
      <c r="V671" s="1333"/>
      <c r="W671" s="1333"/>
      <c r="X671" s="1333"/>
      <c r="Y671" s="1333"/>
      <c r="Z671" s="1333"/>
      <c r="AA671" s="1333"/>
      <c r="AB671" s="1333"/>
      <c r="AC671" s="1333"/>
      <c r="AD671" s="1333"/>
      <c r="AE671" s="1333"/>
      <c r="AF671" s="1333"/>
      <c r="AG671" s="1333"/>
      <c r="AH671" s="1333"/>
      <c r="AI671" s="1333"/>
      <c r="AJ671" s="1333"/>
    </row>
    <row r="672" spans="1:36" x14ac:dyDescent="0.25">
      <c r="A672" s="1331"/>
      <c r="B672" s="1284"/>
      <c r="C672" s="1284"/>
      <c r="D672" s="1364"/>
      <c r="E672" s="1364"/>
      <c r="F672" s="1364"/>
      <c r="G672" s="1365"/>
      <c r="H672" s="1333"/>
      <c r="I672" s="1333"/>
      <c r="J672" s="1333"/>
      <c r="K672" s="1333"/>
      <c r="L672" s="1333"/>
      <c r="M672" s="1333"/>
      <c r="N672" s="1333"/>
      <c r="O672" s="1333"/>
      <c r="P672" s="1333"/>
      <c r="Q672" s="1333"/>
      <c r="R672" s="1333"/>
      <c r="S672" s="1333"/>
      <c r="T672" s="1333"/>
      <c r="U672" s="1333"/>
      <c r="V672" s="1333"/>
      <c r="W672" s="1333"/>
      <c r="X672" s="1333"/>
      <c r="Y672" s="1333"/>
      <c r="Z672" s="1333"/>
      <c r="AA672" s="1333"/>
      <c r="AB672" s="1333"/>
      <c r="AC672" s="1333"/>
      <c r="AD672" s="1333"/>
      <c r="AE672" s="1333"/>
      <c r="AF672" s="1333"/>
      <c r="AG672" s="1333"/>
      <c r="AH672" s="1333"/>
      <c r="AI672" s="1333"/>
      <c r="AJ672" s="1333"/>
    </row>
    <row r="673" spans="1:36" x14ac:dyDescent="0.25">
      <c r="A673" s="1331"/>
      <c r="B673" s="1284"/>
      <c r="C673" s="1284"/>
      <c r="D673" s="1364"/>
      <c r="E673" s="1364"/>
      <c r="F673" s="1364"/>
      <c r="G673" s="1365"/>
      <c r="H673" s="1333"/>
      <c r="I673" s="1333"/>
      <c r="J673" s="1333"/>
      <c r="K673" s="1333"/>
      <c r="L673" s="1333"/>
      <c r="M673" s="1333"/>
      <c r="N673" s="1333"/>
      <c r="O673" s="1333"/>
      <c r="P673" s="1333"/>
      <c r="Q673" s="1333"/>
      <c r="R673" s="1333"/>
      <c r="S673" s="1333"/>
      <c r="T673" s="1333"/>
      <c r="U673" s="1333"/>
      <c r="V673" s="1333"/>
      <c r="W673" s="1333"/>
      <c r="X673" s="1333"/>
      <c r="Y673" s="1333"/>
      <c r="Z673" s="1333"/>
      <c r="AA673" s="1333"/>
      <c r="AB673" s="1333"/>
      <c r="AC673" s="1333"/>
      <c r="AD673" s="1333"/>
      <c r="AE673" s="1333"/>
      <c r="AF673" s="1333"/>
      <c r="AG673" s="1333"/>
      <c r="AH673" s="1333"/>
      <c r="AI673" s="1333"/>
      <c r="AJ673" s="1333"/>
    </row>
    <row r="674" spans="1:36" x14ac:dyDescent="0.25">
      <c r="A674" s="1331"/>
      <c r="B674" s="1284"/>
      <c r="C674" s="1284"/>
      <c r="D674" s="1364"/>
      <c r="E674" s="1364"/>
      <c r="F674" s="1364"/>
      <c r="G674" s="1365"/>
      <c r="H674" s="1333"/>
      <c r="I674" s="1333"/>
      <c r="J674" s="1333"/>
      <c r="K674" s="1333"/>
      <c r="L674" s="1333"/>
      <c r="M674" s="1333"/>
      <c r="N674" s="1333"/>
      <c r="O674" s="1333"/>
      <c r="P674" s="1333"/>
      <c r="Q674" s="1333"/>
      <c r="R674" s="1333"/>
      <c r="S674" s="1333"/>
      <c r="T674" s="1333"/>
      <c r="U674" s="1333"/>
      <c r="V674" s="1333"/>
      <c r="W674" s="1333"/>
      <c r="X674" s="1333"/>
      <c r="Y674" s="1333"/>
      <c r="Z674" s="1333"/>
      <c r="AA674" s="1333"/>
      <c r="AB674" s="1333"/>
      <c r="AC674" s="1333"/>
      <c r="AD674" s="1333"/>
      <c r="AE674" s="1333"/>
      <c r="AF674" s="1333"/>
      <c r="AG674" s="1333"/>
      <c r="AH674" s="1333"/>
      <c r="AI674" s="1333"/>
      <c r="AJ674" s="1333"/>
    </row>
    <row r="675" spans="1:36" x14ac:dyDescent="0.25">
      <c r="A675" s="1331"/>
      <c r="B675" s="1284"/>
      <c r="C675" s="1284"/>
      <c r="D675" s="1364"/>
      <c r="E675" s="1364"/>
      <c r="F675" s="1364"/>
      <c r="G675" s="1365"/>
      <c r="H675" s="1333"/>
      <c r="I675" s="1333"/>
      <c r="J675" s="1333"/>
      <c r="K675" s="1333"/>
      <c r="L675" s="1333"/>
      <c r="M675" s="1333"/>
      <c r="N675" s="1333"/>
      <c r="O675" s="1333"/>
      <c r="P675" s="1333"/>
      <c r="Q675" s="1333"/>
      <c r="R675" s="1333"/>
      <c r="S675" s="1333"/>
      <c r="T675" s="1333"/>
      <c r="U675" s="1333"/>
      <c r="V675" s="1333"/>
      <c r="W675" s="1333"/>
      <c r="X675" s="1333"/>
      <c r="Y675" s="1333"/>
      <c r="Z675" s="1333"/>
      <c r="AA675" s="1333"/>
      <c r="AB675" s="1333"/>
      <c r="AC675" s="1333"/>
      <c r="AD675" s="1333"/>
      <c r="AE675" s="1333"/>
      <c r="AF675" s="1333"/>
      <c r="AG675" s="1333"/>
      <c r="AH675" s="1333"/>
      <c r="AI675" s="1333"/>
      <c r="AJ675" s="1333"/>
    </row>
    <row r="676" spans="1:36" x14ac:dyDescent="0.25">
      <c r="A676" s="1331"/>
      <c r="B676" s="1284"/>
      <c r="C676" s="1284"/>
      <c r="D676" s="1364"/>
      <c r="E676" s="1364"/>
      <c r="F676" s="1364"/>
      <c r="G676" s="1365"/>
      <c r="H676" s="1333"/>
      <c r="I676" s="1333"/>
      <c r="J676" s="1333"/>
      <c r="K676" s="1333"/>
      <c r="L676" s="1333"/>
      <c r="M676" s="1333"/>
      <c r="N676" s="1333"/>
      <c r="O676" s="1333"/>
      <c r="P676" s="1333"/>
      <c r="Q676" s="1333"/>
      <c r="R676" s="1333"/>
      <c r="S676" s="1333"/>
      <c r="T676" s="1333"/>
      <c r="U676" s="1333"/>
      <c r="V676" s="1333"/>
      <c r="W676" s="1333"/>
      <c r="X676" s="1333"/>
      <c r="Y676" s="1333"/>
      <c r="Z676" s="1333"/>
      <c r="AA676" s="1333"/>
      <c r="AB676" s="1333"/>
      <c r="AC676" s="1333"/>
      <c r="AD676" s="1333"/>
      <c r="AE676" s="1333"/>
      <c r="AF676" s="1333"/>
      <c r="AG676" s="1333"/>
      <c r="AH676" s="1333"/>
      <c r="AI676" s="1333"/>
      <c r="AJ676" s="1333"/>
    </row>
    <row r="677" spans="1:36" x14ac:dyDescent="0.25">
      <c r="A677" s="1331"/>
      <c r="B677" s="1284"/>
      <c r="C677" s="1284"/>
      <c r="D677" s="1364"/>
      <c r="E677" s="1364"/>
      <c r="F677" s="1364"/>
      <c r="G677" s="1365"/>
      <c r="H677" s="1333"/>
      <c r="I677" s="1333"/>
      <c r="J677" s="1333"/>
      <c r="K677" s="1333"/>
      <c r="L677" s="1333"/>
      <c r="M677" s="1333"/>
      <c r="N677" s="1333"/>
      <c r="O677" s="1333"/>
      <c r="P677" s="1333"/>
      <c r="Q677" s="1333"/>
      <c r="R677" s="1333"/>
      <c r="S677" s="1333"/>
      <c r="T677" s="1333"/>
      <c r="U677" s="1333"/>
      <c r="V677" s="1333"/>
      <c r="W677" s="1333"/>
      <c r="X677" s="1333"/>
      <c r="Y677" s="1333"/>
      <c r="Z677" s="1333"/>
      <c r="AA677" s="1333"/>
      <c r="AB677" s="1333"/>
      <c r="AC677" s="1333"/>
      <c r="AD677" s="1333"/>
      <c r="AE677" s="1333"/>
      <c r="AF677" s="1333"/>
      <c r="AG677" s="1333"/>
      <c r="AH677" s="1333"/>
      <c r="AI677" s="1333"/>
      <c r="AJ677" s="1333"/>
    </row>
    <row r="678" spans="1:36" x14ac:dyDescent="0.25">
      <c r="A678" s="1331"/>
      <c r="B678" s="1284"/>
      <c r="C678" s="1284"/>
      <c r="D678" s="1364"/>
      <c r="E678" s="1364"/>
      <c r="F678" s="1364"/>
      <c r="G678" s="1365"/>
      <c r="H678" s="1333"/>
      <c r="I678" s="1333"/>
      <c r="J678" s="1333"/>
      <c r="K678" s="1333"/>
      <c r="L678" s="1333"/>
      <c r="M678" s="1333"/>
      <c r="N678" s="1333"/>
      <c r="O678" s="1333"/>
      <c r="P678" s="1333"/>
      <c r="Q678" s="1333"/>
      <c r="R678" s="1333"/>
      <c r="S678" s="1333"/>
      <c r="T678" s="1333"/>
      <c r="U678" s="1333"/>
      <c r="V678" s="1333"/>
      <c r="W678" s="1333"/>
      <c r="X678" s="1333"/>
      <c r="Y678" s="1333"/>
      <c r="Z678" s="1333"/>
      <c r="AA678" s="1333"/>
      <c r="AB678" s="1333"/>
      <c r="AC678" s="1333"/>
      <c r="AD678" s="1333"/>
      <c r="AE678" s="1333"/>
      <c r="AF678" s="1333"/>
      <c r="AG678" s="1333"/>
      <c r="AH678" s="1333"/>
      <c r="AI678" s="1333"/>
      <c r="AJ678" s="1333"/>
    </row>
    <row r="679" spans="1:36" x14ac:dyDescent="0.25">
      <c r="A679" s="1331"/>
      <c r="B679" s="1284"/>
      <c r="C679" s="1284"/>
      <c r="D679" s="1364"/>
      <c r="E679" s="1364"/>
      <c r="F679" s="1364"/>
      <c r="G679" s="1365"/>
      <c r="H679" s="1333"/>
      <c r="I679" s="1333"/>
      <c r="J679" s="1333"/>
      <c r="K679" s="1333"/>
      <c r="L679" s="1333"/>
      <c r="M679" s="1333"/>
      <c r="N679" s="1333"/>
      <c r="O679" s="1333"/>
      <c r="P679" s="1333"/>
      <c r="Q679" s="1333"/>
      <c r="R679" s="1333"/>
      <c r="S679" s="1333"/>
      <c r="T679" s="1333"/>
      <c r="U679" s="1333"/>
      <c r="V679" s="1333"/>
      <c r="W679" s="1333"/>
      <c r="X679" s="1333"/>
      <c r="Y679" s="1333"/>
      <c r="Z679" s="1333"/>
      <c r="AA679" s="1333"/>
      <c r="AB679" s="1333"/>
      <c r="AC679" s="1333"/>
      <c r="AD679" s="1333"/>
      <c r="AE679" s="1333"/>
      <c r="AF679" s="1333"/>
      <c r="AG679" s="1333"/>
      <c r="AH679" s="1333"/>
      <c r="AI679" s="1333"/>
      <c r="AJ679" s="1333"/>
    </row>
    <row r="680" spans="1:36" x14ac:dyDescent="0.25">
      <c r="A680" s="1331"/>
      <c r="B680" s="1284"/>
      <c r="C680" s="1284"/>
      <c r="D680" s="1364"/>
      <c r="E680" s="1364"/>
      <c r="F680" s="1364"/>
      <c r="G680" s="1365"/>
      <c r="H680" s="1333"/>
      <c r="I680" s="1333"/>
      <c r="J680" s="1333"/>
      <c r="K680" s="1333"/>
      <c r="L680" s="1333"/>
      <c r="M680" s="1333"/>
      <c r="N680" s="1333"/>
      <c r="O680" s="1333"/>
      <c r="P680" s="1333"/>
      <c r="Q680" s="1333"/>
      <c r="R680" s="1333"/>
      <c r="S680" s="1333"/>
      <c r="T680" s="1333"/>
      <c r="U680" s="1333"/>
      <c r="V680" s="1333"/>
      <c r="W680" s="1333"/>
      <c r="X680" s="1333"/>
      <c r="Y680" s="1333"/>
      <c r="Z680" s="1333"/>
      <c r="AA680" s="1333"/>
      <c r="AB680" s="1333"/>
      <c r="AC680" s="1333"/>
      <c r="AD680" s="1333"/>
      <c r="AE680" s="1333"/>
      <c r="AF680" s="1333"/>
      <c r="AG680" s="1333"/>
      <c r="AH680" s="1333"/>
      <c r="AI680" s="1333"/>
      <c r="AJ680" s="1333"/>
    </row>
    <row r="681" spans="1:36" x14ac:dyDescent="0.25">
      <c r="A681" s="1331"/>
      <c r="B681" s="1284"/>
      <c r="C681" s="1284"/>
      <c r="D681" s="1364"/>
      <c r="E681" s="1364"/>
      <c r="F681" s="1364"/>
      <c r="G681" s="1365"/>
      <c r="H681" s="1333"/>
      <c r="I681" s="1333"/>
      <c r="J681" s="1333"/>
      <c r="K681" s="1333"/>
      <c r="L681" s="1333"/>
      <c r="M681" s="1333"/>
      <c r="N681" s="1333"/>
      <c r="O681" s="1333"/>
      <c r="P681" s="1333"/>
      <c r="Q681" s="1333"/>
      <c r="R681" s="1333"/>
      <c r="S681" s="1333"/>
      <c r="T681" s="1333"/>
      <c r="U681" s="1333"/>
      <c r="V681" s="1333"/>
      <c r="W681" s="1333"/>
      <c r="X681" s="1333"/>
      <c r="Y681" s="1333"/>
      <c r="Z681" s="1333"/>
      <c r="AA681" s="1333"/>
      <c r="AB681" s="1333"/>
      <c r="AC681" s="1333"/>
      <c r="AD681" s="1333"/>
      <c r="AE681" s="1333"/>
      <c r="AF681" s="1333"/>
      <c r="AG681" s="1333"/>
      <c r="AH681" s="1333"/>
      <c r="AI681" s="1333"/>
      <c r="AJ681" s="1333"/>
    </row>
    <row r="682" spans="1:36" x14ac:dyDescent="0.25">
      <c r="A682" s="1331"/>
      <c r="B682" s="1284"/>
      <c r="C682" s="1284"/>
      <c r="D682" s="1364"/>
      <c r="E682" s="1364"/>
      <c r="F682" s="1364"/>
      <c r="G682" s="1365"/>
      <c r="H682" s="1333"/>
      <c r="I682" s="1333"/>
      <c r="J682" s="1333"/>
      <c r="K682" s="1333"/>
      <c r="L682" s="1333"/>
      <c r="M682" s="1333"/>
      <c r="N682" s="1333"/>
      <c r="O682" s="1333"/>
      <c r="P682" s="1333"/>
      <c r="Q682" s="1333"/>
      <c r="R682" s="1333"/>
      <c r="S682" s="1333"/>
      <c r="T682" s="1333"/>
      <c r="U682" s="1333"/>
      <c r="V682" s="1333"/>
      <c r="W682" s="1333"/>
      <c r="X682" s="1333"/>
      <c r="Y682" s="1333"/>
      <c r="Z682" s="1333"/>
      <c r="AA682" s="1333"/>
      <c r="AB682" s="1333"/>
      <c r="AC682" s="1333"/>
      <c r="AD682" s="1333"/>
      <c r="AE682" s="1333"/>
      <c r="AF682" s="1333"/>
      <c r="AG682" s="1333"/>
      <c r="AH682" s="1333"/>
      <c r="AI682" s="1333"/>
      <c r="AJ682" s="1333"/>
    </row>
    <row r="683" spans="1:36" x14ac:dyDescent="0.25">
      <c r="A683" s="1331"/>
      <c r="B683" s="1284"/>
      <c r="C683" s="1284"/>
      <c r="D683" s="1364"/>
      <c r="E683" s="1364"/>
      <c r="F683" s="1364"/>
      <c r="G683" s="1365"/>
      <c r="H683" s="1333"/>
      <c r="I683" s="1333"/>
      <c r="J683" s="1333"/>
      <c r="K683" s="1333"/>
      <c r="L683" s="1333"/>
      <c r="M683" s="1333"/>
      <c r="N683" s="1333"/>
      <c r="O683" s="1333"/>
      <c r="P683" s="1333"/>
      <c r="Q683" s="1333"/>
      <c r="R683" s="1333"/>
      <c r="S683" s="1333"/>
      <c r="T683" s="1333"/>
      <c r="U683" s="1333"/>
      <c r="V683" s="1333"/>
      <c r="W683" s="1333"/>
      <c r="X683" s="1333"/>
      <c r="Y683" s="1333"/>
      <c r="Z683" s="1333"/>
      <c r="AA683" s="1333"/>
      <c r="AB683" s="1333"/>
      <c r="AC683" s="1333"/>
      <c r="AD683" s="1333"/>
      <c r="AE683" s="1333"/>
      <c r="AF683" s="1333"/>
      <c r="AG683" s="1333"/>
      <c r="AH683" s="1333"/>
      <c r="AI683" s="1333"/>
      <c r="AJ683" s="1333"/>
    </row>
    <row r="684" spans="1:36" x14ac:dyDescent="0.25">
      <c r="A684" s="1331"/>
      <c r="B684" s="1284"/>
      <c r="C684" s="1284"/>
      <c r="D684" s="1364"/>
      <c r="E684" s="1364"/>
      <c r="F684" s="1364"/>
      <c r="G684" s="1365"/>
      <c r="H684" s="1333"/>
      <c r="I684" s="1333"/>
      <c r="J684" s="1333"/>
      <c r="K684" s="1333"/>
      <c r="L684" s="1333"/>
      <c r="M684" s="1333"/>
      <c r="N684" s="1333"/>
      <c r="O684" s="1333"/>
      <c r="P684" s="1333"/>
      <c r="Q684" s="1333"/>
      <c r="R684" s="1333"/>
      <c r="S684" s="1333"/>
      <c r="T684" s="1333"/>
      <c r="U684" s="1333"/>
      <c r="V684" s="1333"/>
      <c r="W684" s="1333"/>
      <c r="X684" s="1333"/>
      <c r="Y684" s="1333"/>
      <c r="Z684" s="1333"/>
      <c r="AA684" s="1333"/>
      <c r="AB684" s="1333"/>
      <c r="AC684" s="1333"/>
      <c r="AD684" s="1333"/>
      <c r="AE684" s="1333"/>
      <c r="AF684" s="1333"/>
      <c r="AG684" s="1333"/>
      <c r="AH684" s="1333"/>
      <c r="AI684" s="1333"/>
      <c r="AJ684" s="1333"/>
    </row>
    <row r="685" spans="1:36" x14ac:dyDescent="0.25">
      <c r="A685" s="1331"/>
      <c r="B685" s="1284"/>
      <c r="C685" s="1284"/>
      <c r="D685" s="1364"/>
      <c r="E685" s="1364"/>
      <c r="F685" s="1364"/>
      <c r="G685" s="1365"/>
      <c r="H685" s="1333"/>
      <c r="I685" s="1333"/>
      <c r="J685" s="1333"/>
      <c r="K685" s="1333"/>
      <c r="L685" s="1333"/>
      <c r="M685" s="1333"/>
      <c r="N685" s="1333"/>
      <c r="O685" s="1333"/>
      <c r="P685" s="1333"/>
      <c r="Q685" s="1333"/>
      <c r="R685" s="1333"/>
      <c r="S685" s="1333"/>
      <c r="T685" s="1333"/>
      <c r="U685" s="1333"/>
      <c r="V685" s="1333"/>
      <c r="W685" s="1333"/>
      <c r="X685" s="1333"/>
      <c r="Y685" s="1333"/>
      <c r="Z685" s="1333"/>
      <c r="AA685" s="1333"/>
      <c r="AB685" s="1333"/>
      <c r="AC685" s="1333"/>
      <c r="AD685" s="1333"/>
      <c r="AE685" s="1333"/>
      <c r="AF685" s="1333"/>
      <c r="AG685" s="1333"/>
      <c r="AH685" s="1333"/>
      <c r="AI685" s="1333"/>
      <c r="AJ685" s="1333"/>
    </row>
    <row r="686" spans="1:36" x14ac:dyDescent="0.25">
      <c r="A686" s="1331"/>
      <c r="B686" s="1284"/>
      <c r="C686" s="1284"/>
      <c r="D686" s="1364"/>
      <c r="E686" s="1364"/>
      <c r="F686" s="1364"/>
      <c r="G686" s="1365"/>
      <c r="H686" s="1333"/>
      <c r="I686" s="1333"/>
      <c r="J686" s="1333"/>
      <c r="K686" s="1333"/>
      <c r="L686" s="1333"/>
      <c r="M686" s="1333"/>
      <c r="N686" s="1333"/>
      <c r="O686" s="1333"/>
      <c r="P686" s="1333"/>
      <c r="Q686" s="1333"/>
      <c r="R686" s="1333"/>
      <c r="S686" s="1333"/>
      <c r="T686" s="1333"/>
      <c r="U686" s="1333"/>
      <c r="V686" s="1333"/>
      <c r="W686" s="1333"/>
      <c r="X686" s="1333"/>
      <c r="Y686" s="1333"/>
      <c r="Z686" s="1333"/>
      <c r="AA686" s="1333"/>
      <c r="AB686" s="1333"/>
      <c r="AC686" s="1333"/>
      <c r="AD686" s="1333"/>
      <c r="AE686" s="1333"/>
      <c r="AF686" s="1333"/>
      <c r="AG686" s="1333"/>
      <c r="AH686" s="1333"/>
      <c r="AI686" s="1333"/>
      <c r="AJ686" s="1333"/>
    </row>
    <row r="687" spans="1:36" x14ac:dyDescent="0.25">
      <c r="A687" s="1331"/>
      <c r="B687" s="1284"/>
      <c r="C687" s="1284"/>
      <c r="D687" s="1364"/>
      <c r="E687" s="1364"/>
      <c r="F687" s="1364"/>
      <c r="G687" s="1365"/>
      <c r="H687" s="1333"/>
      <c r="I687" s="1333"/>
      <c r="J687" s="1333"/>
      <c r="K687" s="1333"/>
      <c r="L687" s="1333"/>
      <c r="M687" s="1333"/>
      <c r="N687" s="1333"/>
      <c r="O687" s="1333"/>
      <c r="P687" s="1333"/>
      <c r="Q687" s="1333"/>
      <c r="R687" s="1333"/>
      <c r="S687" s="1333"/>
      <c r="T687" s="1333"/>
      <c r="U687" s="1333"/>
      <c r="V687" s="1333"/>
      <c r="W687" s="1333"/>
      <c r="X687" s="1333"/>
      <c r="Y687" s="1333"/>
      <c r="Z687" s="1333"/>
      <c r="AA687" s="1333"/>
      <c r="AB687" s="1333"/>
      <c r="AC687" s="1333"/>
      <c r="AD687" s="1333"/>
      <c r="AE687" s="1333"/>
      <c r="AF687" s="1333"/>
      <c r="AG687" s="1333"/>
      <c r="AH687" s="1333"/>
      <c r="AI687" s="1333"/>
      <c r="AJ687" s="1333"/>
    </row>
    <row r="688" spans="1:36" x14ac:dyDescent="0.25">
      <c r="A688" s="1331"/>
      <c r="B688" s="1284"/>
      <c r="C688" s="1284"/>
      <c r="D688" s="1364"/>
      <c r="E688" s="1364"/>
      <c r="F688" s="1364"/>
      <c r="G688" s="1365"/>
      <c r="H688" s="1333"/>
      <c r="I688" s="1333"/>
      <c r="J688" s="1333"/>
      <c r="K688" s="1333"/>
      <c r="L688" s="1333"/>
      <c r="M688" s="1333"/>
      <c r="N688" s="1333"/>
      <c r="O688" s="1333"/>
      <c r="P688" s="1333"/>
      <c r="Q688" s="1333"/>
      <c r="R688" s="1333"/>
      <c r="S688" s="1333"/>
      <c r="T688" s="1333"/>
      <c r="U688" s="1333"/>
      <c r="V688" s="1333"/>
      <c r="W688" s="1333"/>
      <c r="X688" s="1333"/>
      <c r="Y688" s="1333"/>
      <c r="Z688" s="1333"/>
      <c r="AA688" s="1333"/>
      <c r="AB688" s="1333"/>
      <c r="AC688" s="1333"/>
      <c r="AD688" s="1333"/>
      <c r="AE688" s="1333"/>
      <c r="AF688" s="1333"/>
      <c r="AG688" s="1333"/>
      <c r="AH688" s="1333"/>
      <c r="AI688" s="1333"/>
      <c r="AJ688" s="1333"/>
    </row>
    <row r="689" spans="1:36" x14ac:dyDescent="0.25">
      <c r="A689" s="1331"/>
      <c r="B689" s="1284"/>
      <c r="C689" s="1284"/>
      <c r="D689" s="1364"/>
      <c r="E689" s="1364"/>
      <c r="F689" s="1364"/>
      <c r="G689" s="1365"/>
      <c r="H689" s="1333"/>
      <c r="I689" s="1333"/>
      <c r="J689" s="1333"/>
      <c r="K689" s="1333"/>
      <c r="L689" s="1333"/>
      <c r="M689" s="1333"/>
      <c r="N689" s="1333"/>
      <c r="O689" s="1333"/>
      <c r="P689" s="1333"/>
      <c r="Q689" s="1333"/>
      <c r="R689" s="1333"/>
      <c r="S689" s="1333"/>
      <c r="T689" s="1333"/>
      <c r="U689" s="1333"/>
      <c r="V689" s="1333"/>
      <c r="W689" s="1333"/>
      <c r="X689" s="1333"/>
      <c r="Y689" s="1333"/>
      <c r="Z689" s="1333"/>
      <c r="AA689" s="1333"/>
      <c r="AB689" s="1333"/>
      <c r="AC689" s="1333"/>
      <c r="AD689" s="1333"/>
      <c r="AE689" s="1333"/>
      <c r="AF689" s="1333"/>
      <c r="AG689" s="1333"/>
      <c r="AH689" s="1333"/>
      <c r="AI689" s="1333"/>
      <c r="AJ689" s="1333"/>
    </row>
    <row r="690" spans="1:36" x14ac:dyDescent="0.25">
      <c r="A690" s="1331"/>
      <c r="B690" s="1284"/>
      <c r="C690" s="1284"/>
      <c r="D690" s="1364"/>
      <c r="E690" s="1364"/>
      <c r="F690" s="1364"/>
      <c r="G690" s="1365"/>
      <c r="H690" s="1333"/>
      <c r="I690" s="1333"/>
      <c r="J690" s="1333"/>
      <c r="K690" s="1333"/>
      <c r="L690" s="1333"/>
      <c r="M690" s="1333"/>
      <c r="N690" s="1333"/>
      <c r="O690" s="1333"/>
      <c r="P690" s="1333"/>
      <c r="Q690" s="1333"/>
      <c r="R690" s="1333"/>
      <c r="S690" s="1333"/>
      <c r="T690" s="1333"/>
      <c r="U690" s="1333"/>
      <c r="V690" s="1333"/>
      <c r="W690" s="1333"/>
      <c r="X690" s="1333"/>
      <c r="Y690" s="1333"/>
      <c r="Z690" s="1333"/>
      <c r="AA690" s="1333"/>
      <c r="AB690" s="1333"/>
      <c r="AC690" s="1333"/>
      <c r="AD690" s="1333"/>
      <c r="AE690" s="1333"/>
      <c r="AF690" s="1333"/>
      <c r="AG690" s="1333"/>
      <c r="AH690" s="1333"/>
      <c r="AI690" s="1333"/>
      <c r="AJ690" s="1333"/>
    </row>
    <row r="691" spans="1:36" x14ac:dyDescent="0.25">
      <c r="A691" s="1331"/>
      <c r="B691" s="1284"/>
      <c r="C691" s="1284"/>
      <c r="D691" s="1364"/>
      <c r="E691" s="1364"/>
      <c r="F691" s="1364"/>
      <c r="G691" s="1365"/>
      <c r="H691" s="1333"/>
      <c r="I691" s="1333"/>
      <c r="J691" s="1333"/>
      <c r="K691" s="1333"/>
      <c r="L691" s="1333"/>
      <c r="M691" s="1333"/>
      <c r="N691" s="1333"/>
      <c r="O691" s="1333"/>
      <c r="P691" s="1333"/>
      <c r="Q691" s="1333"/>
      <c r="R691" s="1333"/>
      <c r="S691" s="1333"/>
      <c r="T691" s="1333"/>
      <c r="U691" s="1333"/>
      <c r="V691" s="1333"/>
      <c r="W691" s="1333"/>
      <c r="X691" s="1333"/>
      <c r="Y691" s="1333"/>
      <c r="Z691" s="1333"/>
      <c r="AA691" s="1333"/>
      <c r="AB691" s="1333"/>
      <c r="AC691" s="1333"/>
      <c r="AD691" s="1333"/>
      <c r="AE691" s="1333"/>
      <c r="AF691" s="1333"/>
      <c r="AG691" s="1333"/>
      <c r="AH691" s="1333"/>
      <c r="AI691" s="1333"/>
      <c r="AJ691" s="1333"/>
    </row>
    <row r="692" spans="1:36" x14ac:dyDescent="0.25">
      <c r="A692" s="1331"/>
      <c r="B692" s="1284"/>
      <c r="C692" s="1284"/>
      <c r="D692" s="1364"/>
      <c r="E692" s="1364"/>
      <c r="F692" s="1364"/>
      <c r="G692" s="1365"/>
      <c r="H692" s="1333"/>
      <c r="I692" s="1333"/>
      <c r="J692" s="1333"/>
      <c r="K692" s="1333"/>
      <c r="L692" s="1333"/>
      <c r="M692" s="1333"/>
      <c r="N692" s="1333"/>
      <c r="O692" s="1333"/>
      <c r="P692" s="1333"/>
      <c r="Q692" s="1333"/>
      <c r="R692" s="1333"/>
      <c r="S692" s="1333"/>
      <c r="T692" s="1333"/>
      <c r="U692" s="1333"/>
      <c r="V692" s="1333"/>
      <c r="W692" s="1333"/>
      <c r="X692" s="1333"/>
      <c r="Y692" s="1333"/>
      <c r="Z692" s="1333"/>
      <c r="AA692" s="1333"/>
      <c r="AB692" s="1333"/>
      <c r="AC692" s="1333"/>
      <c r="AD692" s="1333"/>
      <c r="AE692" s="1333"/>
      <c r="AF692" s="1333"/>
      <c r="AG692" s="1333"/>
      <c r="AH692" s="1333"/>
      <c r="AI692" s="1333"/>
      <c r="AJ692" s="1333"/>
    </row>
    <row r="693" spans="1:36" x14ac:dyDescent="0.25">
      <c r="A693" s="1331"/>
      <c r="B693" s="1284"/>
      <c r="C693" s="1284"/>
      <c r="D693" s="1364"/>
      <c r="E693" s="1364"/>
      <c r="F693" s="1364"/>
      <c r="G693" s="1365"/>
      <c r="H693" s="1333"/>
      <c r="I693" s="1333"/>
      <c r="J693" s="1333"/>
      <c r="K693" s="1333"/>
      <c r="L693" s="1333"/>
      <c r="M693" s="1333"/>
      <c r="N693" s="1333"/>
      <c r="O693" s="1333"/>
      <c r="P693" s="1333"/>
      <c r="Q693" s="1333"/>
      <c r="R693" s="1333"/>
      <c r="S693" s="1333"/>
      <c r="T693" s="1333"/>
      <c r="U693" s="1333"/>
      <c r="V693" s="1333"/>
      <c r="W693" s="1333"/>
      <c r="X693" s="1333"/>
      <c r="Y693" s="1333"/>
      <c r="Z693" s="1333"/>
      <c r="AA693" s="1333"/>
      <c r="AB693" s="1333"/>
      <c r="AC693" s="1333"/>
      <c r="AD693" s="1333"/>
      <c r="AE693" s="1333"/>
      <c r="AF693" s="1333"/>
      <c r="AG693" s="1333"/>
      <c r="AH693" s="1333"/>
      <c r="AI693" s="1333"/>
      <c r="AJ693" s="1333"/>
    </row>
    <row r="694" spans="1:36" x14ac:dyDescent="0.25">
      <c r="A694" s="1331"/>
      <c r="B694" s="1284"/>
      <c r="C694" s="1284"/>
      <c r="D694" s="1364"/>
      <c r="E694" s="1364"/>
      <c r="F694" s="1364"/>
      <c r="G694" s="1365"/>
      <c r="H694" s="1333"/>
      <c r="I694" s="1333"/>
      <c r="J694" s="1333"/>
      <c r="K694" s="1333"/>
      <c r="L694" s="1333"/>
      <c r="M694" s="1333"/>
      <c r="N694" s="1333"/>
      <c r="O694" s="1333"/>
      <c r="P694" s="1333"/>
      <c r="Q694" s="1333"/>
      <c r="R694" s="1333"/>
      <c r="S694" s="1333"/>
      <c r="T694" s="1333"/>
      <c r="U694" s="1333"/>
      <c r="V694" s="1333"/>
      <c r="W694" s="1333"/>
      <c r="X694" s="1333"/>
      <c r="Y694" s="1333"/>
      <c r="Z694" s="1333"/>
      <c r="AA694" s="1333"/>
      <c r="AB694" s="1333"/>
      <c r="AC694" s="1333"/>
      <c r="AD694" s="1333"/>
      <c r="AE694" s="1333"/>
      <c r="AF694" s="1333"/>
      <c r="AG694" s="1333"/>
      <c r="AH694" s="1333"/>
      <c r="AI694" s="1333"/>
      <c r="AJ694" s="1333"/>
    </row>
    <row r="695" spans="1:36" x14ac:dyDescent="0.25">
      <c r="A695" s="1331"/>
      <c r="B695" s="1284"/>
      <c r="C695" s="1284"/>
      <c r="D695" s="1364"/>
      <c r="E695" s="1364"/>
      <c r="F695" s="1364"/>
      <c r="G695" s="1365"/>
      <c r="H695" s="1333"/>
      <c r="I695" s="1333"/>
      <c r="J695" s="1333"/>
      <c r="K695" s="1333"/>
      <c r="L695" s="1333"/>
      <c r="M695" s="1333"/>
      <c r="N695" s="1333"/>
      <c r="O695" s="1333"/>
      <c r="P695" s="1333"/>
      <c r="Q695" s="1333"/>
      <c r="R695" s="1333"/>
      <c r="S695" s="1333"/>
      <c r="T695" s="1333"/>
      <c r="U695" s="1333"/>
      <c r="V695" s="1333"/>
      <c r="W695" s="1333"/>
      <c r="X695" s="1333"/>
      <c r="Y695" s="1333"/>
      <c r="Z695" s="1333"/>
      <c r="AA695" s="1333"/>
      <c r="AB695" s="1333"/>
      <c r="AC695" s="1333"/>
      <c r="AD695" s="1333"/>
      <c r="AE695" s="1333"/>
      <c r="AF695" s="1333"/>
      <c r="AG695" s="1333"/>
      <c r="AH695" s="1333"/>
      <c r="AI695" s="1333"/>
      <c r="AJ695" s="1333"/>
    </row>
    <row r="696" spans="1:36" x14ac:dyDescent="0.25">
      <c r="A696" s="1331"/>
      <c r="B696" s="1284"/>
      <c r="C696" s="1284"/>
      <c r="D696" s="1364"/>
      <c r="E696" s="1364"/>
      <c r="F696" s="1364"/>
      <c r="G696" s="1365"/>
      <c r="H696" s="1333"/>
      <c r="I696" s="1333"/>
      <c r="J696" s="1333"/>
      <c r="K696" s="1333"/>
      <c r="L696" s="1333"/>
      <c r="M696" s="1333"/>
      <c r="N696" s="1333"/>
      <c r="O696" s="1333"/>
      <c r="P696" s="1333"/>
      <c r="Q696" s="1333"/>
      <c r="R696" s="1333"/>
      <c r="S696" s="1333"/>
      <c r="T696" s="1333"/>
      <c r="U696" s="1333"/>
      <c r="V696" s="1333"/>
      <c r="W696" s="1333"/>
      <c r="X696" s="1333"/>
      <c r="Y696" s="1333"/>
      <c r="Z696" s="1333"/>
      <c r="AA696" s="1333"/>
      <c r="AB696" s="1333"/>
      <c r="AC696" s="1333"/>
      <c r="AD696" s="1333"/>
      <c r="AE696" s="1333"/>
      <c r="AF696" s="1333"/>
      <c r="AG696" s="1333"/>
      <c r="AH696" s="1333"/>
      <c r="AI696" s="1333"/>
      <c r="AJ696" s="1333"/>
    </row>
    <row r="697" spans="1:36" x14ac:dyDescent="0.25">
      <c r="A697" s="1331"/>
      <c r="B697" s="1284"/>
      <c r="C697" s="1284"/>
      <c r="D697" s="1364"/>
      <c r="E697" s="1364"/>
      <c r="F697" s="1364"/>
      <c r="G697" s="1365"/>
      <c r="H697" s="1333"/>
      <c r="I697" s="1333"/>
      <c r="J697" s="1333"/>
      <c r="K697" s="1333"/>
      <c r="L697" s="1333"/>
      <c r="M697" s="1333"/>
      <c r="N697" s="1333"/>
      <c r="O697" s="1333"/>
      <c r="P697" s="1333"/>
      <c r="Q697" s="1333"/>
      <c r="R697" s="1333"/>
      <c r="S697" s="1333"/>
      <c r="T697" s="1333"/>
      <c r="U697" s="1333"/>
      <c r="V697" s="1333"/>
      <c r="W697" s="1333"/>
      <c r="X697" s="1333"/>
      <c r="Y697" s="1333"/>
      <c r="Z697" s="1333"/>
      <c r="AA697" s="1333"/>
      <c r="AB697" s="1333"/>
      <c r="AC697" s="1333"/>
      <c r="AD697" s="1333"/>
      <c r="AE697" s="1333"/>
      <c r="AF697" s="1333"/>
      <c r="AG697" s="1333"/>
      <c r="AH697" s="1333"/>
      <c r="AI697" s="1333"/>
      <c r="AJ697" s="1333"/>
    </row>
    <row r="698" spans="1:36" x14ac:dyDescent="0.25">
      <c r="A698" s="1331"/>
      <c r="B698" s="1284"/>
      <c r="C698" s="1284"/>
      <c r="D698" s="1364"/>
      <c r="E698" s="1364"/>
      <c r="F698" s="1364"/>
      <c r="G698" s="1365"/>
      <c r="H698" s="1333"/>
      <c r="I698" s="1333"/>
      <c r="J698" s="1333"/>
      <c r="K698" s="1333"/>
      <c r="L698" s="1333"/>
      <c r="M698" s="1333"/>
      <c r="N698" s="1333"/>
      <c r="O698" s="1333"/>
      <c r="P698" s="1333"/>
      <c r="Q698" s="1333"/>
      <c r="R698" s="1333"/>
      <c r="S698" s="1333"/>
      <c r="T698" s="1333"/>
      <c r="U698" s="1333"/>
      <c r="V698" s="1333"/>
      <c r="W698" s="1333"/>
      <c r="X698" s="1333"/>
      <c r="Y698" s="1333"/>
      <c r="Z698" s="1333"/>
      <c r="AA698" s="1333"/>
      <c r="AB698" s="1333"/>
      <c r="AC698" s="1333"/>
      <c r="AD698" s="1333"/>
      <c r="AE698" s="1333"/>
      <c r="AF698" s="1333"/>
      <c r="AG698" s="1333"/>
      <c r="AH698" s="1333"/>
      <c r="AI698" s="1333"/>
      <c r="AJ698" s="1333"/>
    </row>
    <row r="699" spans="1:36" x14ac:dyDescent="0.25">
      <c r="A699" s="1331"/>
      <c r="B699" s="1284"/>
      <c r="C699" s="1284"/>
      <c r="D699" s="1364"/>
      <c r="E699" s="1364"/>
      <c r="F699" s="1364"/>
      <c r="G699" s="1365"/>
      <c r="H699" s="1333"/>
      <c r="I699" s="1333"/>
      <c r="J699" s="1333"/>
      <c r="K699" s="1333"/>
      <c r="L699" s="1333"/>
      <c r="M699" s="1333"/>
      <c r="N699" s="1333"/>
      <c r="O699" s="1333"/>
      <c r="P699" s="1333"/>
      <c r="Q699" s="1333"/>
      <c r="R699" s="1333"/>
      <c r="S699" s="1333"/>
      <c r="T699" s="1333"/>
      <c r="U699" s="1333"/>
      <c r="V699" s="1333"/>
      <c r="W699" s="1333"/>
      <c r="X699" s="1333"/>
      <c r="Y699" s="1333"/>
      <c r="Z699" s="1333"/>
      <c r="AA699" s="1333"/>
      <c r="AB699" s="1333"/>
      <c r="AC699" s="1333"/>
      <c r="AD699" s="1333"/>
      <c r="AE699" s="1333"/>
      <c r="AF699" s="1333"/>
      <c r="AG699" s="1333"/>
      <c r="AH699" s="1333"/>
      <c r="AI699" s="1333"/>
      <c r="AJ699" s="1333"/>
    </row>
    <row r="700" spans="1:36" x14ac:dyDescent="0.25">
      <c r="A700" s="1331"/>
      <c r="B700" s="1284"/>
      <c r="C700" s="1284"/>
      <c r="D700" s="1364"/>
      <c r="E700" s="1364"/>
      <c r="F700" s="1364"/>
      <c r="G700" s="1365"/>
      <c r="H700" s="1333"/>
      <c r="I700" s="1333"/>
      <c r="J700" s="1333"/>
      <c r="K700" s="1333"/>
      <c r="L700" s="1333"/>
      <c r="M700" s="1333"/>
      <c r="N700" s="1333"/>
      <c r="O700" s="1333"/>
      <c r="P700" s="1333"/>
      <c r="Q700" s="1333"/>
      <c r="R700" s="1333"/>
      <c r="S700" s="1333"/>
      <c r="T700" s="1333"/>
      <c r="U700" s="1333"/>
      <c r="V700" s="1333"/>
      <c r="W700" s="1333"/>
      <c r="X700" s="1333"/>
      <c r="Y700" s="1333"/>
      <c r="Z700" s="1333"/>
      <c r="AA700" s="1333"/>
      <c r="AB700" s="1333"/>
      <c r="AC700" s="1333"/>
      <c r="AD700" s="1333"/>
      <c r="AE700" s="1333"/>
      <c r="AF700" s="1333"/>
      <c r="AG700" s="1333"/>
      <c r="AH700" s="1333"/>
      <c r="AI700" s="1333"/>
      <c r="AJ700" s="1333"/>
    </row>
    <row r="701" spans="1:36" x14ac:dyDescent="0.25">
      <c r="A701" s="1331"/>
      <c r="B701" s="1284"/>
      <c r="C701" s="1284"/>
      <c r="D701" s="1364"/>
      <c r="E701" s="1364"/>
      <c r="F701" s="1364"/>
      <c r="G701" s="1365"/>
      <c r="H701" s="1333"/>
      <c r="I701" s="1333"/>
      <c r="J701" s="1333"/>
      <c r="K701" s="1333"/>
      <c r="L701" s="1333"/>
      <c r="M701" s="1333"/>
      <c r="N701" s="1333"/>
      <c r="O701" s="1333"/>
      <c r="P701" s="1333"/>
      <c r="Q701" s="1333"/>
      <c r="R701" s="1333"/>
      <c r="S701" s="1333"/>
      <c r="T701" s="1333"/>
      <c r="U701" s="1333"/>
      <c r="V701" s="1333"/>
      <c r="W701" s="1333"/>
      <c r="X701" s="1333"/>
      <c r="Y701" s="1333"/>
      <c r="Z701" s="1333"/>
      <c r="AA701" s="1333"/>
      <c r="AB701" s="1333"/>
      <c r="AC701" s="1333"/>
      <c r="AD701" s="1333"/>
      <c r="AE701" s="1333"/>
      <c r="AF701" s="1333"/>
      <c r="AG701" s="1333"/>
      <c r="AH701" s="1333"/>
      <c r="AI701" s="1333"/>
      <c r="AJ701" s="1333"/>
    </row>
    <row r="702" spans="1:36" x14ac:dyDescent="0.25">
      <c r="A702" s="1331"/>
      <c r="B702" s="1284"/>
      <c r="C702" s="1284"/>
      <c r="D702" s="1364"/>
      <c r="E702" s="1364"/>
      <c r="F702" s="1364"/>
      <c r="G702" s="1365"/>
      <c r="H702" s="1333"/>
      <c r="I702" s="1333"/>
      <c r="J702" s="1333"/>
      <c r="K702" s="1333"/>
      <c r="L702" s="1333"/>
      <c r="M702" s="1333"/>
      <c r="N702" s="1333"/>
      <c r="O702" s="1333"/>
      <c r="P702" s="1333"/>
      <c r="Q702" s="1333"/>
      <c r="R702" s="1333"/>
      <c r="S702" s="1333"/>
      <c r="T702" s="1333"/>
      <c r="U702" s="1333"/>
      <c r="V702" s="1333"/>
      <c r="W702" s="1333"/>
      <c r="X702" s="1333"/>
      <c r="Y702" s="1333"/>
      <c r="Z702" s="1333"/>
      <c r="AA702" s="1333"/>
      <c r="AB702" s="1333"/>
      <c r="AC702" s="1333"/>
      <c r="AD702" s="1333"/>
      <c r="AE702" s="1333"/>
      <c r="AF702" s="1333"/>
      <c r="AG702" s="1333"/>
      <c r="AH702" s="1333"/>
      <c r="AI702" s="1333"/>
      <c r="AJ702" s="1333"/>
    </row>
    <row r="703" spans="1:36" x14ac:dyDescent="0.25">
      <c r="A703" s="1331"/>
      <c r="B703" s="1284"/>
      <c r="C703" s="1284"/>
      <c r="D703" s="1364"/>
      <c r="E703" s="1364"/>
      <c r="F703" s="1364"/>
      <c r="G703" s="1365"/>
      <c r="H703" s="1333"/>
      <c r="I703" s="1333"/>
      <c r="J703" s="1333"/>
      <c r="K703" s="1333"/>
      <c r="L703" s="1333"/>
      <c r="M703" s="1333"/>
      <c r="N703" s="1333"/>
      <c r="O703" s="1333"/>
      <c r="P703" s="1333"/>
      <c r="Q703" s="1333"/>
      <c r="R703" s="1333"/>
      <c r="S703" s="1333"/>
      <c r="T703" s="1333"/>
      <c r="U703" s="1333"/>
      <c r="V703" s="1333"/>
      <c r="W703" s="1333"/>
      <c r="X703" s="1333"/>
      <c r="Y703" s="1333"/>
      <c r="Z703" s="1333"/>
      <c r="AA703" s="1333"/>
      <c r="AB703" s="1333"/>
      <c r="AC703" s="1333"/>
      <c r="AD703" s="1333"/>
      <c r="AE703" s="1333"/>
      <c r="AF703" s="1333"/>
      <c r="AG703" s="1333"/>
      <c r="AH703" s="1333"/>
      <c r="AI703" s="1333"/>
      <c r="AJ703" s="1333"/>
    </row>
    <row r="704" spans="1:36" x14ac:dyDescent="0.25">
      <c r="A704" s="1331"/>
      <c r="B704" s="1284"/>
      <c r="C704" s="1284"/>
      <c r="D704" s="1364"/>
      <c r="E704" s="1364"/>
      <c r="F704" s="1364"/>
      <c r="G704" s="1365"/>
      <c r="H704" s="1333"/>
      <c r="I704" s="1333"/>
      <c r="J704" s="1333"/>
      <c r="K704" s="1333"/>
      <c r="L704" s="1333"/>
      <c r="M704" s="1333"/>
      <c r="N704" s="1333"/>
      <c r="O704" s="1333"/>
      <c r="P704" s="1333"/>
      <c r="Q704" s="1333"/>
      <c r="R704" s="1333"/>
      <c r="S704" s="1333"/>
      <c r="T704" s="1333"/>
      <c r="U704" s="1333"/>
      <c r="V704" s="1333"/>
      <c r="W704" s="1333"/>
      <c r="X704" s="1333"/>
      <c r="Y704" s="1333"/>
      <c r="Z704" s="1333"/>
      <c r="AA704" s="1333"/>
      <c r="AB704" s="1333"/>
      <c r="AC704" s="1333"/>
      <c r="AD704" s="1333"/>
      <c r="AE704" s="1333"/>
      <c r="AF704" s="1333"/>
      <c r="AG704" s="1333"/>
      <c r="AH704" s="1333"/>
      <c r="AI704" s="1333"/>
      <c r="AJ704" s="1333"/>
    </row>
    <row r="705" spans="1:36" x14ac:dyDescent="0.25">
      <c r="A705" s="1331"/>
      <c r="B705" s="1284"/>
      <c r="C705" s="1284"/>
      <c r="D705" s="1364"/>
      <c r="E705" s="1364"/>
      <c r="F705" s="1364"/>
      <c r="G705" s="1365"/>
      <c r="H705" s="1333"/>
      <c r="I705" s="1333"/>
      <c r="J705" s="1333"/>
      <c r="K705" s="1333"/>
      <c r="L705" s="1333"/>
      <c r="M705" s="1333"/>
      <c r="N705" s="1333"/>
      <c r="O705" s="1333"/>
      <c r="P705" s="1333"/>
      <c r="Q705" s="1333"/>
      <c r="R705" s="1333"/>
      <c r="S705" s="1333"/>
      <c r="T705" s="1333"/>
      <c r="U705" s="1333"/>
      <c r="V705" s="1333"/>
      <c r="W705" s="1333"/>
      <c r="X705" s="1333"/>
      <c r="Y705" s="1333"/>
      <c r="Z705" s="1333"/>
      <c r="AA705" s="1333"/>
      <c r="AB705" s="1333"/>
      <c r="AC705" s="1333"/>
      <c r="AD705" s="1333"/>
      <c r="AE705" s="1333"/>
      <c r="AF705" s="1333"/>
      <c r="AG705" s="1333"/>
      <c r="AH705" s="1333"/>
      <c r="AI705" s="1333"/>
      <c r="AJ705" s="1333"/>
    </row>
    <row r="706" spans="1:36" x14ac:dyDescent="0.25">
      <c r="A706" s="1331"/>
      <c r="B706" s="1284"/>
      <c r="C706" s="1284"/>
      <c r="D706" s="1364"/>
      <c r="E706" s="1364"/>
      <c r="F706" s="1364"/>
      <c r="G706" s="1365"/>
      <c r="H706" s="1333"/>
      <c r="I706" s="1333"/>
      <c r="J706" s="1333"/>
      <c r="K706" s="1333"/>
      <c r="L706" s="1333"/>
      <c r="M706" s="1333"/>
      <c r="N706" s="1333"/>
      <c r="O706" s="1333"/>
      <c r="P706" s="1333"/>
      <c r="Q706" s="1333"/>
      <c r="R706" s="1333"/>
      <c r="S706" s="1333"/>
      <c r="T706" s="1333"/>
      <c r="U706" s="1333"/>
      <c r="V706" s="1333"/>
      <c r="W706" s="1333"/>
      <c r="X706" s="1333"/>
      <c r="Y706" s="1333"/>
      <c r="Z706" s="1333"/>
      <c r="AA706" s="1333"/>
      <c r="AB706" s="1333"/>
      <c r="AC706" s="1333"/>
      <c r="AD706" s="1333"/>
      <c r="AE706" s="1333"/>
      <c r="AF706" s="1333"/>
      <c r="AG706" s="1333"/>
      <c r="AH706" s="1333"/>
      <c r="AI706" s="1333"/>
      <c r="AJ706" s="1333"/>
    </row>
    <row r="707" spans="1:36" x14ac:dyDescent="0.25">
      <c r="A707" s="1331"/>
      <c r="B707" s="1284"/>
      <c r="C707" s="1284"/>
      <c r="D707" s="1364"/>
      <c r="E707" s="1364"/>
      <c r="F707" s="1364"/>
      <c r="G707" s="1365"/>
      <c r="H707" s="1333"/>
      <c r="I707" s="1333"/>
      <c r="J707" s="1333"/>
      <c r="K707" s="1333"/>
      <c r="L707" s="1333"/>
      <c r="M707" s="1333"/>
      <c r="N707" s="1333"/>
      <c r="O707" s="1333"/>
      <c r="P707" s="1333"/>
      <c r="Q707" s="1333"/>
      <c r="R707" s="1333"/>
      <c r="S707" s="1333"/>
      <c r="T707" s="1333"/>
      <c r="U707" s="1333"/>
      <c r="V707" s="1333"/>
      <c r="W707" s="1333"/>
      <c r="X707" s="1333"/>
      <c r="Y707" s="1333"/>
      <c r="Z707" s="1333"/>
      <c r="AA707" s="1333"/>
      <c r="AB707" s="1333"/>
      <c r="AC707" s="1333"/>
      <c r="AD707" s="1333"/>
      <c r="AE707" s="1333"/>
      <c r="AF707" s="1333"/>
      <c r="AG707" s="1333"/>
      <c r="AH707" s="1333"/>
      <c r="AI707" s="1333"/>
      <c r="AJ707" s="1333"/>
    </row>
    <row r="708" spans="1:36" x14ac:dyDescent="0.25">
      <c r="A708" s="1331"/>
      <c r="B708" s="1284"/>
      <c r="C708" s="1284"/>
      <c r="D708" s="1364"/>
      <c r="E708" s="1364"/>
      <c r="F708" s="1364"/>
      <c r="G708" s="1365"/>
      <c r="H708" s="1333"/>
      <c r="I708" s="1333"/>
      <c r="J708" s="1333"/>
      <c r="K708" s="1333"/>
      <c r="L708" s="1333"/>
      <c r="M708" s="1333"/>
      <c r="N708" s="1333"/>
      <c r="O708" s="1333"/>
      <c r="P708" s="1333"/>
      <c r="Q708" s="1333"/>
      <c r="R708" s="1333"/>
      <c r="S708" s="1333"/>
      <c r="T708" s="1333"/>
      <c r="U708" s="1333"/>
      <c r="V708" s="1333"/>
      <c r="W708" s="1333"/>
      <c r="X708" s="1333"/>
      <c r="Y708" s="1333"/>
      <c r="Z708" s="1333"/>
      <c r="AA708" s="1333"/>
      <c r="AB708" s="1333"/>
      <c r="AC708" s="1333"/>
      <c r="AD708" s="1333"/>
      <c r="AE708" s="1333"/>
      <c r="AF708" s="1333"/>
      <c r="AG708" s="1333"/>
      <c r="AH708" s="1333"/>
      <c r="AI708" s="1333"/>
      <c r="AJ708" s="1333"/>
    </row>
    <row r="709" spans="1:36" x14ac:dyDescent="0.25">
      <c r="A709" s="1331"/>
      <c r="B709" s="1284"/>
      <c r="C709" s="1284"/>
      <c r="D709" s="1364"/>
      <c r="E709" s="1364"/>
      <c r="F709" s="1364"/>
      <c r="G709" s="1365"/>
      <c r="H709" s="1333"/>
      <c r="I709" s="1333"/>
      <c r="J709" s="1333"/>
      <c r="K709" s="1333"/>
      <c r="L709" s="1333"/>
      <c r="M709" s="1333"/>
      <c r="N709" s="1333"/>
      <c r="O709" s="1333"/>
      <c r="P709" s="1333"/>
      <c r="Q709" s="1333"/>
      <c r="R709" s="1333"/>
      <c r="S709" s="1333"/>
      <c r="T709" s="1333"/>
      <c r="U709" s="1333"/>
      <c r="V709" s="1333"/>
      <c r="W709" s="1333"/>
      <c r="X709" s="1333"/>
      <c r="Y709" s="1333"/>
      <c r="Z709" s="1333"/>
      <c r="AA709" s="1333"/>
      <c r="AB709" s="1333"/>
      <c r="AC709" s="1333"/>
      <c r="AD709" s="1333"/>
      <c r="AE709" s="1333"/>
      <c r="AF709" s="1333"/>
      <c r="AG709" s="1333"/>
      <c r="AH709" s="1333"/>
      <c r="AI709" s="1333"/>
      <c r="AJ709" s="1333"/>
    </row>
    <row r="710" spans="1:36" x14ac:dyDescent="0.25">
      <c r="A710" s="1331"/>
      <c r="B710" s="1284"/>
      <c r="C710" s="1284"/>
      <c r="D710" s="1364"/>
      <c r="E710" s="1364"/>
      <c r="F710" s="1364"/>
      <c r="G710" s="1365"/>
      <c r="H710" s="1333"/>
      <c r="I710" s="1333"/>
      <c r="J710" s="1333"/>
      <c r="K710" s="1333"/>
      <c r="L710" s="1333"/>
      <c r="M710" s="1333"/>
      <c r="N710" s="1333"/>
      <c r="O710" s="1333"/>
      <c r="P710" s="1333"/>
      <c r="Q710" s="1333"/>
      <c r="R710" s="1333"/>
      <c r="S710" s="1333"/>
      <c r="T710" s="1333"/>
      <c r="U710" s="1333"/>
      <c r="V710" s="1333"/>
      <c r="W710" s="1333"/>
      <c r="X710" s="1333"/>
      <c r="Y710" s="1333"/>
      <c r="Z710" s="1333"/>
      <c r="AA710" s="1333"/>
      <c r="AB710" s="1333"/>
      <c r="AC710" s="1333"/>
      <c r="AD710" s="1333"/>
      <c r="AE710" s="1333"/>
      <c r="AF710" s="1333"/>
      <c r="AG710" s="1333"/>
      <c r="AH710" s="1333"/>
      <c r="AI710" s="1333"/>
      <c r="AJ710" s="1333"/>
    </row>
    <row r="711" spans="1:36" x14ac:dyDescent="0.25">
      <c r="A711" s="1331"/>
      <c r="B711" s="1284"/>
      <c r="C711" s="1284"/>
      <c r="D711" s="1364"/>
      <c r="E711" s="1364"/>
      <c r="F711" s="1364"/>
      <c r="G711" s="1365"/>
      <c r="H711" s="1333"/>
      <c r="I711" s="1333"/>
      <c r="J711" s="1333"/>
      <c r="K711" s="1333"/>
      <c r="L711" s="1333"/>
      <c r="M711" s="1333"/>
      <c r="N711" s="1333"/>
      <c r="O711" s="1333"/>
      <c r="P711" s="1333"/>
      <c r="Q711" s="1333"/>
      <c r="R711" s="1333"/>
      <c r="S711" s="1333"/>
      <c r="T711" s="1333"/>
      <c r="U711" s="1333"/>
      <c r="V711" s="1333"/>
      <c r="W711" s="1333"/>
      <c r="X711" s="1333"/>
      <c r="Y711" s="1333"/>
      <c r="Z711" s="1333"/>
      <c r="AA711" s="1333"/>
      <c r="AB711" s="1333"/>
      <c r="AC711" s="1333"/>
      <c r="AD711" s="1333"/>
      <c r="AE711" s="1333"/>
      <c r="AF711" s="1333"/>
      <c r="AG711" s="1333"/>
      <c r="AH711" s="1333"/>
      <c r="AI711" s="1333"/>
      <c r="AJ711" s="1333"/>
    </row>
    <row r="712" spans="1:36" x14ac:dyDescent="0.25">
      <c r="A712" s="1331"/>
      <c r="B712" s="1284"/>
      <c r="C712" s="1284"/>
      <c r="D712" s="1364"/>
      <c r="E712" s="1364"/>
      <c r="F712" s="1364"/>
      <c r="G712" s="1365"/>
      <c r="H712" s="1333"/>
      <c r="I712" s="1333"/>
      <c r="J712" s="1333"/>
      <c r="K712" s="1333"/>
      <c r="L712" s="1333"/>
      <c r="M712" s="1333"/>
      <c r="N712" s="1333"/>
      <c r="O712" s="1333"/>
      <c r="P712" s="1333"/>
      <c r="Q712" s="1333"/>
      <c r="R712" s="1333"/>
      <c r="S712" s="1333"/>
      <c r="T712" s="1333"/>
      <c r="U712" s="1333"/>
      <c r="V712" s="1333"/>
      <c r="W712" s="1333"/>
      <c r="X712" s="1333"/>
      <c r="Y712" s="1333"/>
      <c r="Z712" s="1333"/>
      <c r="AA712" s="1333"/>
      <c r="AB712" s="1333"/>
      <c r="AC712" s="1333"/>
      <c r="AD712" s="1333"/>
      <c r="AE712" s="1333"/>
      <c r="AF712" s="1333"/>
      <c r="AG712" s="1333"/>
      <c r="AH712" s="1333"/>
      <c r="AI712" s="1333"/>
      <c r="AJ712" s="1333"/>
    </row>
    <row r="713" spans="1:36" x14ac:dyDescent="0.25">
      <c r="A713" s="1331"/>
      <c r="B713" s="1284"/>
      <c r="C713" s="1284"/>
      <c r="D713" s="1364"/>
      <c r="E713" s="1364"/>
      <c r="F713" s="1364"/>
      <c r="G713" s="1365"/>
      <c r="H713" s="1333"/>
      <c r="I713" s="1333"/>
      <c r="J713" s="1333"/>
      <c r="K713" s="1333"/>
      <c r="L713" s="1333"/>
      <c r="M713" s="1333"/>
      <c r="N713" s="1333"/>
      <c r="O713" s="1333"/>
      <c r="P713" s="1333"/>
      <c r="Q713" s="1333"/>
      <c r="R713" s="1333"/>
      <c r="S713" s="1333"/>
      <c r="T713" s="1333"/>
      <c r="U713" s="1333"/>
      <c r="V713" s="1333"/>
      <c r="W713" s="1333"/>
      <c r="X713" s="1333"/>
      <c r="Y713" s="1333"/>
      <c r="Z713" s="1333"/>
      <c r="AA713" s="1333"/>
      <c r="AB713" s="1333"/>
      <c r="AC713" s="1333"/>
      <c r="AD713" s="1333"/>
      <c r="AE713" s="1333"/>
      <c r="AF713" s="1333"/>
      <c r="AG713" s="1333"/>
      <c r="AH713" s="1333"/>
      <c r="AI713" s="1333"/>
      <c r="AJ713" s="1333"/>
    </row>
    <row r="714" spans="1:36" x14ac:dyDescent="0.25">
      <c r="A714" s="1331"/>
      <c r="B714" s="1284"/>
      <c r="C714" s="1284"/>
      <c r="D714" s="1364"/>
      <c r="E714" s="1364"/>
      <c r="F714" s="1364"/>
      <c r="G714" s="1365"/>
      <c r="H714" s="1333"/>
      <c r="I714" s="1333"/>
      <c r="J714" s="1333"/>
      <c r="K714" s="1333"/>
      <c r="L714" s="1333"/>
      <c r="M714" s="1333"/>
      <c r="N714" s="1333"/>
      <c r="O714" s="1333"/>
      <c r="P714" s="1333"/>
      <c r="Q714" s="1333"/>
      <c r="R714" s="1333"/>
      <c r="S714" s="1333"/>
      <c r="T714" s="1333"/>
      <c r="U714" s="1333"/>
      <c r="V714" s="1333"/>
      <c r="W714" s="1333"/>
      <c r="X714" s="1333"/>
      <c r="Y714" s="1333"/>
      <c r="Z714" s="1333"/>
      <c r="AA714" s="1333"/>
      <c r="AB714" s="1333"/>
      <c r="AC714" s="1333"/>
      <c r="AD714" s="1333"/>
      <c r="AE714" s="1333"/>
      <c r="AF714" s="1333"/>
      <c r="AG714" s="1333"/>
      <c r="AH714" s="1333"/>
      <c r="AI714" s="1333"/>
      <c r="AJ714" s="1333"/>
    </row>
    <row r="715" spans="1:36" x14ac:dyDescent="0.25">
      <c r="A715" s="1331"/>
      <c r="B715" s="1284"/>
      <c r="C715" s="1284"/>
      <c r="D715" s="1364"/>
      <c r="E715" s="1364"/>
      <c r="F715" s="1364"/>
      <c r="G715" s="1365"/>
      <c r="H715" s="1333"/>
      <c r="I715" s="1333"/>
      <c r="J715" s="1333"/>
      <c r="K715" s="1333"/>
      <c r="L715" s="1333"/>
      <c r="M715" s="1333"/>
      <c r="N715" s="1333"/>
      <c r="O715" s="1333"/>
      <c r="P715" s="1333"/>
      <c r="Q715" s="1333"/>
      <c r="R715" s="1333"/>
      <c r="S715" s="1333"/>
      <c r="T715" s="1333"/>
      <c r="U715" s="1333"/>
      <c r="V715" s="1333"/>
      <c r="W715" s="1333"/>
      <c r="X715" s="1333"/>
      <c r="Y715" s="1333"/>
      <c r="Z715" s="1333"/>
      <c r="AA715" s="1333"/>
      <c r="AB715" s="1333"/>
      <c r="AC715" s="1333"/>
      <c r="AD715" s="1333"/>
      <c r="AE715" s="1333"/>
      <c r="AF715" s="1333"/>
      <c r="AG715" s="1333"/>
      <c r="AH715" s="1333"/>
      <c r="AI715" s="1333"/>
      <c r="AJ715" s="1333"/>
    </row>
    <row r="716" spans="1:36" x14ac:dyDescent="0.25">
      <c r="A716" s="1331"/>
      <c r="B716" s="1284"/>
      <c r="C716" s="1284"/>
      <c r="D716" s="1364"/>
      <c r="E716" s="1364"/>
      <c r="F716" s="1364"/>
      <c r="G716" s="1365"/>
      <c r="H716" s="1333"/>
      <c r="I716" s="1333"/>
      <c r="J716" s="1333"/>
      <c r="K716" s="1333"/>
      <c r="L716" s="1333"/>
      <c r="M716" s="1333"/>
      <c r="N716" s="1333"/>
      <c r="O716" s="1333"/>
      <c r="P716" s="1333"/>
      <c r="Q716" s="1333"/>
      <c r="R716" s="1333"/>
      <c r="S716" s="1333"/>
      <c r="T716" s="1333"/>
      <c r="U716" s="1333"/>
      <c r="V716" s="1333"/>
      <c r="W716" s="1333"/>
      <c r="X716" s="1333"/>
      <c r="Y716" s="1333"/>
      <c r="Z716" s="1333"/>
      <c r="AA716" s="1333"/>
      <c r="AB716" s="1333"/>
      <c r="AC716" s="1333"/>
      <c r="AD716" s="1333"/>
      <c r="AE716" s="1333"/>
      <c r="AF716" s="1333"/>
      <c r="AG716" s="1333"/>
      <c r="AH716" s="1333"/>
      <c r="AI716" s="1333"/>
      <c r="AJ716" s="1333"/>
    </row>
    <row r="717" spans="1:36" x14ac:dyDescent="0.25">
      <c r="A717" s="1331"/>
      <c r="B717" s="1284"/>
      <c r="C717" s="1284"/>
      <c r="D717" s="1364"/>
      <c r="E717" s="1364"/>
      <c r="F717" s="1364"/>
      <c r="G717" s="1365"/>
      <c r="H717" s="1333"/>
      <c r="I717" s="1333"/>
      <c r="J717" s="1333"/>
      <c r="K717" s="1333"/>
      <c r="L717" s="1333"/>
      <c r="M717" s="1333"/>
      <c r="N717" s="1333"/>
      <c r="O717" s="1333"/>
      <c r="P717" s="1333"/>
      <c r="Q717" s="1333"/>
      <c r="R717" s="1333"/>
      <c r="S717" s="1333"/>
      <c r="T717" s="1333"/>
      <c r="U717" s="1333"/>
      <c r="V717" s="1333"/>
      <c r="W717" s="1333"/>
      <c r="X717" s="1333"/>
      <c r="Y717" s="1333"/>
      <c r="Z717" s="1333"/>
      <c r="AA717" s="1333"/>
      <c r="AB717" s="1333"/>
      <c r="AC717" s="1333"/>
      <c r="AD717" s="1333"/>
      <c r="AE717" s="1333"/>
      <c r="AF717" s="1333"/>
      <c r="AG717" s="1333"/>
      <c r="AH717" s="1333"/>
      <c r="AI717" s="1333"/>
      <c r="AJ717" s="1333"/>
    </row>
    <row r="718" spans="1:36" x14ac:dyDescent="0.25">
      <c r="A718" s="1331"/>
      <c r="B718" s="1284"/>
      <c r="C718" s="1284"/>
      <c r="D718" s="1364"/>
      <c r="E718" s="1364"/>
      <c r="F718" s="1364"/>
      <c r="G718" s="1365"/>
      <c r="H718" s="1333"/>
      <c r="I718" s="1333"/>
      <c r="J718" s="1333"/>
      <c r="K718" s="1333"/>
      <c r="L718" s="1333"/>
      <c r="M718" s="1333"/>
      <c r="N718" s="1333"/>
      <c r="O718" s="1333"/>
      <c r="P718" s="1333"/>
      <c r="Q718" s="1333"/>
      <c r="R718" s="1333"/>
      <c r="S718" s="1333"/>
      <c r="T718" s="1333"/>
      <c r="U718" s="1333"/>
      <c r="V718" s="1333"/>
      <c r="W718" s="1333"/>
      <c r="X718" s="1333"/>
      <c r="Y718" s="1333"/>
      <c r="Z718" s="1333"/>
      <c r="AA718" s="1333"/>
      <c r="AB718" s="1333"/>
      <c r="AC718" s="1333"/>
      <c r="AD718" s="1333"/>
      <c r="AE718" s="1333"/>
      <c r="AF718" s="1333"/>
      <c r="AG718" s="1333"/>
      <c r="AH718" s="1333"/>
      <c r="AI718" s="1333"/>
      <c r="AJ718" s="1333"/>
    </row>
    <row r="719" spans="1:36" x14ac:dyDescent="0.25">
      <c r="A719" s="1331"/>
      <c r="B719" s="1284"/>
      <c r="C719" s="1284"/>
      <c r="D719" s="1364"/>
      <c r="E719" s="1364"/>
      <c r="F719" s="1364"/>
      <c r="G719" s="1365"/>
      <c r="H719" s="1333"/>
      <c r="I719" s="1333"/>
      <c r="J719" s="1333"/>
      <c r="K719" s="1333"/>
      <c r="L719" s="1333"/>
      <c r="M719" s="1333"/>
      <c r="N719" s="1333"/>
      <c r="O719" s="1333"/>
      <c r="P719" s="1333"/>
      <c r="Q719" s="1333"/>
      <c r="R719" s="1333"/>
      <c r="S719" s="1333"/>
      <c r="T719" s="1333"/>
      <c r="U719" s="1333"/>
      <c r="V719" s="1333"/>
      <c r="W719" s="1333"/>
      <c r="X719" s="1333"/>
      <c r="Y719" s="1333"/>
      <c r="Z719" s="1333"/>
      <c r="AA719" s="1333"/>
      <c r="AB719" s="1333"/>
      <c r="AC719" s="1333"/>
      <c r="AD719" s="1333"/>
      <c r="AE719" s="1333"/>
      <c r="AF719" s="1333"/>
      <c r="AG719" s="1333"/>
      <c r="AH719" s="1333"/>
      <c r="AI719" s="1333"/>
      <c r="AJ719" s="1333"/>
    </row>
    <row r="720" spans="1:36" x14ac:dyDescent="0.25">
      <c r="A720" s="1331"/>
      <c r="B720" s="1284"/>
      <c r="C720" s="1284"/>
      <c r="D720" s="1364"/>
      <c r="E720" s="1364"/>
      <c r="F720" s="1364"/>
      <c r="G720" s="1365"/>
      <c r="H720" s="1333"/>
      <c r="I720" s="1333"/>
      <c r="J720" s="1333"/>
      <c r="K720" s="1333"/>
      <c r="L720" s="1333"/>
      <c r="M720" s="1333"/>
      <c r="N720" s="1333"/>
      <c r="O720" s="1333"/>
      <c r="P720" s="1333"/>
      <c r="Q720" s="1333"/>
      <c r="R720" s="1333"/>
      <c r="S720" s="1333"/>
      <c r="T720" s="1333"/>
      <c r="U720" s="1333"/>
      <c r="V720" s="1333"/>
      <c r="W720" s="1333"/>
      <c r="X720" s="1333"/>
      <c r="Y720" s="1333"/>
      <c r="Z720" s="1333"/>
      <c r="AA720" s="1333"/>
      <c r="AB720" s="1333"/>
      <c r="AC720" s="1333"/>
      <c r="AD720" s="1333"/>
      <c r="AE720" s="1333"/>
      <c r="AF720" s="1333"/>
      <c r="AG720" s="1333"/>
      <c r="AH720" s="1333"/>
      <c r="AI720" s="1333"/>
      <c r="AJ720" s="1333"/>
    </row>
    <row r="721" spans="1:36" x14ac:dyDescent="0.25">
      <c r="A721" s="1331"/>
      <c r="B721" s="1284"/>
      <c r="C721" s="1284"/>
      <c r="D721" s="1364"/>
      <c r="E721" s="1364"/>
      <c r="F721" s="1364"/>
      <c r="G721" s="1365"/>
      <c r="H721" s="1333"/>
      <c r="I721" s="1333"/>
      <c r="J721" s="1333"/>
      <c r="K721" s="1333"/>
      <c r="L721" s="1333"/>
      <c r="M721" s="1333"/>
      <c r="N721" s="1333"/>
      <c r="O721" s="1333"/>
      <c r="P721" s="1333"/>
      <c r="Q721" s="1333"/>
      <c r="R721" s="1333"/>
      <c r="S721" s="1333"/>
      <c r="T721" s="1333"/>
      <c r="U721" s="1333"/>
      <c r="V721" s="1333"/>
      <c r="W721" s="1333"/>
      <c r="X721" s="1333"/>
      <c r="Y721" s="1333"/>
      <c r="Z721" s="1333"/>
      <c r="AA721" s="1333"/>
      <c r="AB721" s="1333"/>
      <c r="AC721" s="1333"/>
      <c r="AD721" s="1333"/>
      <c r="AE721" s="1333"/>
      <c r="AF721" s="1333"/>
      <c r="AG721" s="1333"/>
      <c r="AH721" s="1333"/>
      <c r="AI721" s="1333"/>
      <c r="AJ721" s="1333"/>
    </row>
    <row r="722" spans="1:36" x14ac:dyDescent="0.25">
      <c r="A722" s="1331"/>
      <c r="B722" s="1284"/>
      <c r="C722" s="1284"/>
      <c r="D722" s="1364"/>
      <c r="E722" s="1364"/>
      <c r="F722" s="1364"/>
      <c r="G722" s="1365"/>
      <c r="H722" s="1333"/>
      <c r="I722" s="1333"/>
      <c r="J722" s="1333"/>
      <c r="K722" s="1333"/>
      <c r="L722" s="1333"/>
      <c r="M722" s="1333"/>
      <c r="N722" s="1333"/>
      <c r="O722" s="1333"/>
      <c r="P722" s="1333"/>
      <c r="Q722" s="1333"/>
      <c r="R722" s="1333"/>
      <c r="S722" s="1333"/>
      <c r="T722" s="1333"/>
      <c r="U722" s="1333"/>
      <c r="V722" s="1333"/>
      <c r="W722" s="1333"/>
      <c r="X722" s="1333"/>
      <c r="Y722" s="1333"/>
      <c r="Z722" s="1333"/>
      <c r="AA722" s="1333"/>
      <c r="AB722" s="1333"/>
      <c r="AC722" s="1333"/>
      <c r="AD722" s="1333"/>
      <c r="AE722" s="1333"/>
      <c r="AF722" s="1333"/>
      <c r="AG722" s="1333"/>
      <c r="AH722" s="1333"/>
      <c r="AI722" s="1333"/>
      <c r="AJ722" s="1333"/>
    </row>
    <row r="723" spans="1:36" x14ac:dyDescent="0.25">
      <c r="A723" s="1331"/>
      <c r="B723" s="1284"/>
      <c r="C723" s="1284"/>
      <c r="D723" s="1364"/>
      <c r="E723" s="1364"/>
      <c r="F723" s="1364"/>
      <c r="G723" s="1365"/>
      <c r="H723" s="1333"/>
      <c r="I723" s="1333"/>
      <c r="J723" s="1333"/>
      <c r="K723" s="1333"/>
      <c r="L723" s="1333"/>
      <c r="M723" s="1333"/>
      <c r="N723" s="1333"/>
      <c r="O723" s="1333"/>
      <c r="P723" s="1333"/>
      <c r="Q723" s="1333"/>
      <c r="R723" s="1333"/>
      <c r="S723" s="1333"/>
      <c r="T723" s="1333"/>
      <c r="U723" s="1333"/>
      <c r="V723" s="1333"/>
      <c r="W723" s="1333"/>
      <c r="X723" s="1333"/>
      <c r="Y723" s="1333"/>
      <c r="Z723" s="1333"/>
      <c r="AA723" s="1333"/>
      <c r="AB723" s="1333"/>
      <c r="AC723" s="1333"/>
      <c r="AD723" s="1333"/>
      <c r="AE723" s="1333"/>
      <c r="AF723" s="1333"/>
      <c r="AG723" s="1333"/>
      <c r="AH723" s="1333"/>
      <c r="AI723" s="1333"/>
      <c r="AJ723" s="1333"/>
    </row>
    <row r="724" spans="1:36" x14ac:dyDescent="0.25">
      <c r="A724" s="1331"/>
      <c r="B724" s="1284"/>
      <c r="C724" s="1284"/>
      <c r="D724" s="1364"/>
      <c r="E724" s="1364"/>
      <c r="F724" s="1364"/>
      <c r="G724" s="1365"/>
      <c r="H724" s="1333"/>
      <c r="I724" s="1333"/>
      <c r="J724" s="1333"/>
      <c r="K724" s="1333"/>
      <c r="L724" s="1333"/>
      <c r="M724" s="1333"/>
      <c r="N724" s="1333"/>
      <c r="O724" s="1333"/>
      <c r="P724" s="1333"/>
      <c r="Q724" s="1333"/>
      <c r="R724" s="1333"/>
      <c r="S724" s="1333"/>
      <c r="T724" s="1333"/>
      <c r="U724" s="1333"/>
      <c r="V724" s="1333"/>
      <c r="W724" s="1333"/>
      <c r="X724" s="1333"/>
      <c r="Y724" s="1333"/>
      <c r="Z724" s="1333"/>
      <c r="AA724" s="1333"/>
      <c r="AB724" s="1333"/>
      <c r="AC724" s="1333"/>
      <c r="AD724" s="1333"/>
      <c r="AE724" s="1333"/>
      <c r="AF724" s="1333"/>
      <c r="AG724" s="1333"/>
      <c r="AH724" s="1333"/>
      <c r="AI724" s="1333"/>
      <c r="AJ724" s="1333"/>
    </row>
    <row r="725" spans="1:36" x14ac:dyDescent="0.25">
      <c r="A725" s="1331"/>
      <c r="B725" s="1284"/>
      <c r="C725" s="1284"/>
      <c r="D725" s="1364"/>
      <c r="E725" s="1364"/>
      <c r="F725" s="1364"/>
      <c r="G725" s="1365"/>
      <c r="H725" s="1333"/>
      <c r="I725" s="1333"/>
      <c r="J725" s="1333"/>
      <c r="K725" s="1333"/>
      <c r="L725" s="1333"/>
      <c r="M725" s="1333"/>
      <c r="N725" s="1333"/>
      <c r="O725" s="1333"/>
      <c r="P725" s="1333"/>
      <c r="Q725" s="1333"/>
      <c r="R725" s="1333"/>
      <c r="S725" s="1333"/>
      <c r="T725" s="1333"/>
      <c r="U725" s="1333"/>
      <c r="V725" s="1333"/>
      <c r="W725" s="1333"/>
      <c r="X725" s="1333"/>
      <c r="Y725" s="1333"/>
      <c r="Z725" s="1333"/>
      <c r="AA725" s="1333"/>
      <c r="AB725" s="1333"/>
      <c r="AC725" s="1333"/>
      <c r="AD725" s="1333"/>
      <c r="AE725" s="1333"/>
      <c r="AF725" s="1333"/>
      <c r="AG725" s="1333"/>
      <c r="AH725" s="1333"/>
      <c r="AI725" s="1333"/>
      <c r="AJ725" s="1333"/>
    </row>
    <row r="726" spans="1:36" x14ac:dyDescent="0.25">
      <c r="A726" s="1331"/>
      <c r="B726" s="1284"/>
      <c r="C726" s="1284"/>
      <c r="D726" s="1364"/>
      <c r="E726" s="1364"/>
      <c r="F726" s="1364"/>
      <c r="G726" s="1365"/>
      <c r="H726" s="1333"/>
      <c r="I726" s="1333"/>
      <c r="J726" s="1333"/>
      <c r="K726" s="1333"/>
      <c r="L726" s="1333"/>
      <c r="M726" s="1333"/>
      <c r="N726" s="1333"/>
      <c r="O726" s="1333"/>
      <c r="P726" s="1333"/>
      <c r="Q726" s="1333"/>
      <c r="R726" s="1333"/>
      <c r="S726" s="1333"/>
      <c r="T726" s="1333"/>
      <c r="U726" s="1333"/>
      <c r="V726" s="1333"/>
      <c r="W726" s="1333"/>
      <c r="X726" s="1333"/>
      <c r="Y726" s="1333"/>
      <c r="Z726" s="1333"/>
      <c r="AA726" s="1333"/>
      <c r="AB726" s="1333"/>
      <c r="AC726" s="1333"/>
      <c r="AD726" s="1333"/>
      <c r="AE726" s="1333"/>
      <c r="AF726" s="1333"/>
      <c r="AG726" s="1333"/>
      <c r="AH726" s="1333"/>
      <c r="AI726" s="1333"/>
      <c r="AJ726" s="1333"/>
    </row>
    <row r="727" spans="1:36" x14ac:dyDescent="0.25">
      <c r="A727" s="1331"/>
      <c r="B727" s="1284"/>
      <c r="C727" s="1284"/>
      <c r="D727" s="1364"/>
      <c r="E727" s="1364"/>
      <c r="F727" s="1364"/>
      <c r="G727" s="1365"/>
      <c r="H727" s="1333"/>
      <c r="I727" s="1333"/>
      <c r="J727" s="1333"/>
      <c r="K727" s="1333"/>
      <c r="L727" s="1333"/>
      <c r="M727" s="1333"/>
      <c r="N727" s="1333"/>
      <c r="O727" s="1333"/>
      <c r="P727" s="1333"/>
      <c r="Q727" s="1333"/>
      <c r="R727" s="1333"/>
      <c r="S727" s="1333"/>
      <c r="T727" s="1333"/>
      <c r="U727" s="1333"/>
      <c r="V727" s="1333"/>
      <c r="W727" s="1333"/>
      <c r="X727" s="1333"/>
      <c r="Y727" s="1333"/>
      <c r="Z727" s="1333"/>
      <c r="AA727" s="1333"/>
      <c r="AB727" s="1333"/>
      <c r="AC727" s="1333"/>
      <c r="AD727" s="1333"/>
      <c r="AE727" s="1333"/>
      <c r="AF727" s="1333"/>
      <c r="AG727" s="1333"/>
      <c r="AH727" s="1333"/>
      <c r="AI727" s="1333"/>
      <c r="AJ727" s="1333"/>
    </row>
    <row r="728" spans="1:36" x14ac:dyDescent="0.25">
      <c r="A728" s="1331"/>
      <c r="B728" s="1284"/>
      <c r="C728" s="1284"/>
      <c r="D728" s="1364"/>
      <c r="E728" s="1364"/>
      <c r="F728" s="1364"/>
      <c r="G728" s="1365"/>
      <c r="H728" s="1333"/>
      <c r="I728" s="1333"/>
      <c r="J728" s="1333"/>
      <c r="K728" s="1333"/>
      <c r="L728" s="1333"/>
      <c r="M728" s="1333"/>
      <c r="N728" s="1333"/>
      <c r="O728" s="1333"/>
      <c r="P728" s="1333"/>
      <c r="Q728" s="1333"/>
      <c r="R728" s="1333"/>
      <c r="S728" s="1333"/>
      <c r="T728" s="1333"/>
      <c r="U728" s="1333"/>
      <c r="V728" s="1333"/>
      <c r="W728" s="1333"/>
      <c r="X728" s="1333"/>
      <c r="Y728" s="1333"/>
      <c r="Z728" s="1333"/>
      <c r="AA728" s="1333"/>
      <c r="AB728" s="1333"/>
      <c r="AC728" s="1333"/>
      <c r="AD728" s="1333"/>
      <c r="AE728" s="1333"/>
      <c r="AF728" s="1333"/>
      <c r="AG728" s="1333"/>
      <c r="AH728" s="1333"/>
      <c r="AI728" s="1333"/>
      <c r="AJ728" s="1333"/>
    </row>
    <row r="729" spans="1:36" x14ac:dyDescent="0.25">
      <c r="A729" s="1331"/>
      <c r="B729" s="1284"/>
      <c r="C729" s="1284"/>
      <c r="D729" s="1364"/>
      <c r="E729" s="1364"/>
      <c r="F729" s="1364"/>
      <c r="G729" s="1365"/>
      <c r="H729" s="1333"/>
      <c r="I729" s="1333"/>
      <c r="J729" s="1333"/>
      <c r="K729" s="1333"/>
      <c r="L729" s="1333"/>
      <c r="M729" s="1333"/>
      <c r="N729" s="1333"/>
      <c r="O729" s="1333"/>
      <c r="P729" s="1333"/>
      <c r="Q729" s="1333"/>
      <c r="R729" s="1333"/>
      <c r="S729" s="1333"/>
      <c r="T729" s="1333"/>
      <c r="U729" s="1333"/>
      <c r="V729" s="1333"/>
      <c r="W729" s="1333"/>
      <c r="X729" s="1333"/>
      <c r="Y729" s="1333"/>
      <c r="Z729" s="1333"/>
      <c r="AA729" s="1333"/>
      <c r="AB729" s="1333"/>
      <c r="AC729" s="1333"/>
      <c r="AD729" s="1333"/>
      <c r="AE729" s="1333"/>
      <c r="AF729" s="1333"/>
      <c r="AG729" s="1333"/>
      <c r="AH729" s="1333"/>
      <c r="AI729" s="1333"/>
      <c r="AJ729" s="1333"/>
    </row>
    <row r="730" spans="1:36" x14ac:dyDescent="0.25">
      <c r="A730" s="1331"/>
      <c r="B730" s="1284"/>
      <c r="C730" s="1284"/>
      <c r="D730" s="1364"/>
      <c r="E730" s="1364"/>
      <c r="F730" s="1364"/>
      <c r="G730" s="1365"/>
      <c r="H730" s="1333"/>
      <c r="I730" s="1333"/>
      <c r="J730" s="1333"/>
      <c r="K730" s="1333"/>
      <c r="L730" s="1333"/>
      <c r="M730" s="1333"/>
      <c r="N730" s="1333"/>
      <c r="O730" s="1333"/>
      <c r="P730" s="1333"/>
      <c r="Q730" s="1333"/>
      <c r="R730" s="1333"/>
      <c r="S730" s="1333"/>
      <c r="T730" s="1333"/>
      <c r="U730" s="1333"/>
      <c r="V730" s="1333"/>
      <c r="W730" s="1333"/>
      <c r="X730" s="1333"/>
      <c r="Y730" s="1333"/>
      <c r="Z730" s="1333"/>
      <c r="AA730" s="1333"/>
      <c r="AB730" s="1333"/>
      <c r="AC730" s="1333"/>
      <c r="AD730" s="1333"/>
      <c r="AE730" s="1333"/>
      <c r="AF730" s="1333"/>
      <c r="AG730" s="1333"/>
      <c r="AH730" s="1333"/>
      <c r="AI730" s="1333"/>
      <c r="AJ730" s="1333"/>
    </row>
    <row r="731" spans="1:36" x14ac:dyDescent="0.25">
      <c r="A731" s="1331"/>
      <c r="B731" s="1284"/>
      <c r="C731" s="1284"/>
      <c r="D731" s="1364"/>
      <c r="E731" s="1364"/>
      <c r="F731" s="1364"/>
      <c r="G731" s="1365"/>
      <c r="H731" s="1333"/>
      <c r="I731" s="1333"/>
      <c r="J731" s="1333"/>
      <c r="K731" s="1333"/>
      <c r="L731" s="1333"/>
      <c r="M731" s="1333"/>
      <c r="N731" s="1333"/>
      <c r="O731" s="1333"/>
      <c r="P731" s="1333"/>
      <c r="Q731" s="1333"/>
      <c r="R731" s="1333"/>
      <c r="S731" s="1333"/>
      <c r="T731" s="1333"/>
      <c r="U731" s="1333"/>
      <c r="V731" s="1333"/>
      <c r="W731" s="1333"/>
      <c r="X731" s="1333"/>
      <c r="Y731" s="1333"/>
      <c r="Z731" s="1333"/>
      <c r="AA731" s="1333"/>
      <c r="AB731" s="1333"/>
      <c r="AC731" s="1333"/>
      <c r="AD731" s="1333"/>
      <c r="AE731" s="1333"/>
      <c r="AF731" s="1333"/>
      <c r="AG731" s="1333"/>
      <c r="AH731" s="1333"/>
      <c r="AI731" s="1333"/>
      <c r="AJ731" s="1333"/>
    </row>
    <row r="732" spans="1:36" x14ac:dyDescent="0.25">
      <c r="A732" s="1331"/>
      <c r="B732" s="1284"/>
      <c r="C732" s="1284"/>
      <c r="D732" s="1364"/>
      <c r="E732" s="1364"/>
      <c r="F732" s="1364"/>
      <c r="G732" s="1365"/>
      <c r="H732" s="1333"/>
      <c r="I732" s="1333"/>
      <c r="J732" s="1333"/>
      <c r="K732" s="1333"/>
      <c r="L732" s="1333"/>
      <c r="M732" s="1333"/>
      <c r="N732" s="1333"/>
      <c r="O732" s="1333"/>
      <c r="P732" s="1333"/>
      <c r="Q732" s="1333"/>
      <c r="R732" s="1333"/>
      <c r="S732" s="1333"/>
      <c r="T732" s="1333"/>
      <c r="U732" s="1333"/>
      <c r="V732" s="1333"/>
      <c r="W732" s="1333"/>
      <c r="X732" s="1333"/>
      <c r="Y732" s="1333"/>
      <c r="Z732" s="1333"/>
      <c r="AA732" s="1333"/>
      <c r="AB732" s="1333"/>
      <c r="AC732" s="1333"/>
      <c r="AD732" s="1333"/>
      <c r="AE732" s="1333"/>
      <c r="AF732" s="1333"/>
      <c r="AG732" s="1333"/>
      <c r="AH732" s="1333"/>
      <c r="AI732" s="1333"/>
      <c r="AJ732" s="1333"/>
    </row>
    <row r="733" spans="1:36" x14ac:dyDescent="0.25">
      <c r="A733" s="1331"/>
      <c r="B733" s="1284"/>
      <c r="C733" s="1284"/>
      <c r="D733" s="1364"/>
      <c r="E733" s="1364"/>
      <c r="F733" s="1364"/>
      <c r="G733" s="1365"/>
      <c r="H733" s="1333"/>
      <c r="I733" s="1333"/>
      <c r="J733" s="1333"/>
      <c r="K733" s="1333"/>
      <c r="L733" s="1333"/>
      <c r="M733" s="1333"/>
      <c r="N733" s="1333"/>
      <c r="O733" s="1333"/>
      <c r="P733" s="1333"/>
      <c r="Q733" s="1333"/>
      <c r="R733" s="1333"/>
      <c r="S733" s="1333"/>
      <c r="T733" s="1333"/>
      <c r="U733" s="1333"/>
      <c r="V733" s="1333"/>
      <c r="W733" s="1333"/>
      <c r="X733" s="1333"/>
      <c r="Y733" s="1333"/>
      <c r="Z733" s="1333"/>
      <c r="AA733" s="1333"/>
      <c r="AB733" s="1333"/>
      <c r="AC733" s="1333"/>
      <c r="AD733" s="1333"/>
      <c r="AE733" s="1333"/>
      <c r="AF733" s="1333"/>
      <c r="AG733" s="1333"/>
      <c r="AH733" s="1333"/>
      <c r="AI733" s="1333"/>
      <c r="AJ733" s="1333"/>
    </row>
    <row r="734" spans="1:36" x14ac:dyDescent="0.25">
      <c r="A734" s="1331"/>
      <c r="B734" s="1284"/>
      <c r="C734" s="1284"/>
      <c r="D734" s="1364"/>
      <c r="E734" s="1364"/>
      <c r="F734" s="1364"/>
      <c r="G734" s="1365"/>
      <c r="H734" s="1333"/>
      <c r="I734" s="1333"/>
      <c r="J734" s="1333"/>
      <c r="K734" s="1333"/>
      <c r="L734" s="1333"/>
      <c r="M734" s="1333"/>
      <c r="N734" s="1333"/>
      <c r="O734" s="1333"/>
      <c r="P734" s="1333"/>
      <c r="Q734" s="1333"/>
      <c r="R734" s="1333"/>
      <c r="S734" s="1333"/>
      <c r="T734" s="1333"/>
      <c r="U734" s="1333"/>
      <c r="V734" s="1333"/>
      <c r="W734" s="1333"/>
      <c r="X734" s="1333"/>
      <c r="Y734" s="1333"/>
      <c r="Z734" s="1333"/>
      <c r="AA734" s="1333"/>
      <c r="AB734" s="1333"/>
      <c r="AC734" s="1333"/>
      <c r="AD734" s="1333"/>
      <c r="AE734" s="1333"/>
      <c r="AF734" s="1333"/>
      <c r="AG734" s="1333"/>
      <c r="AH734" s="1333"/>
      <c r="AI734" s="1333"/>
      <c r="AJ734" s="1333"/>
    </row>
    <row r="735" spans="1:36" x14ac:dyDescent="0.25">
      <c r="A735" s="1331"/>
      <c r="B735" s="1284"/>
      <c r="C735" s="1284"/>
      <c r="D735" s="1364"/>
      <c r="E735" s="1364"/>
      <c r="F735" s="1364"/>
      <c r="G735" s="1365"/>
      <c r="H735" s="1333"/>
      <c r="I735" s="1333"/>
      <c r="J735" s="1333"/>
      <c r="K735" s="1333"/>
      <c r="L735" s="1333"/>
      <c r="M735" s="1333"/>
      <c r="N735" s="1333"/>
      <c r="O735" s="1333"/>
      <c r="P735" s="1333"/>
      <c r="Q735" s="1333"/>
      <c r="R735" s="1333"/>
      <c r="S735" s="1333"/>
      <c r="T735" s="1333"/>
      <c r="U735" s="1333"/>
      <c r="V735" s="1333"/>
      <c r="W735" s="1333"/>
      <c r="X735" s="1333"/>
      <c r="Y735" s="1333"/>
      <c r="Z735" s="1333"/>
      <c r="AA735" s="1333"/>
      <c r="AB735" s="1333"/>
      <c r="AC735" s="1333"/>
      <c r="AD735" s="1333"/>
      <c r="AE735" s="1333"/>
      <c r="AF735" s="1333"/>
      <c r="AG735" s="1333"/>
      <c r="AH735" s="1333"/>
      <c r="AI735" s="1333"/>
      <c r="AJ735" s="1333"/>
    </row>
    <row r="736" spans="1:36" x14ac:dyDescent="0.25">
      <c r="A736" s="1331"/>
      <c r="B736" s="1284"/>
      <c r="C736" s="1284"/>
      <c r="D736" s="1364"/>
      <c r="E736" s="1364"/>
      <c r="F736" s="1364"/>
      <c r="G736" s="1365"/>
      <c r="H736" s="1333"/>
      <c r="I736" s="1333"/>
      <c r="J736" s="1333"/>
      <c r="K736" s="1333"/>
      <c r="L736" s="1333"/>
      <c r="M736" s="1333"/>
      <c r="N736" s="1333"/>
      <c r="O736" s="1333"/>
      <c r="P736" s="1333"/>
      <c r="Q736" s="1333"/>
      <c r="R736" s="1333"/>
      <c r="S736" s="1333"/>
      <c r="T736" s="1333"/>
      <c r="U736" s="1333"/>
      <c r="V736" s="1333"/>
      <c r="W736" s="1333"/>
      <c r="X736" s="1333"/>
      <c r="Y736" s="1333"/>
      <c r="Z736" s="1333"/>
      <c r="AA736" s="1333"/>
      <c r="AB736" s="1333"/>
      <c r="AC736" s="1333"/>
      <c r="AD736" s="1333"/>
      <c r="AE736" s="1333"/>
      <c r="AF736" s="1333"/>
      <c r="AG736" s="1333"/>
      <c r="AH736" s="1333"/>
      <c r="AI736" s="1333"/>
      <c r="AJ736" s="1333"/>
    </row>
    <row r="737" spans="1:36" x14ac:dyDescent="0.25">
      <c r="A737" s="1331"/>
      <c r="B737" s="1284"/>
      <c r="C737" s="1284"/>
      <c r="D737" s="1364"/>
      <c r="E737" s="1364"/>
      <c r="F737" s="1364"/>
      <c r="G737" s="1365"/>
      <c r="H737" s="1333"/>
      <c r="I737" s="1333"/>
      <c r="J737" s="1333"/>
      <c r="K737" s="1333"/>
      <c r="L737" s="1333"/>
      <c r="M737" s="1333"/>
      <c r="N737" s="1333"/>
      <c r="O737" s="1333"/>
      <c r="P737" s="1333"/>
      <c r="Q737" s="1333"/>
      <c r="R737" s="1333"/>
      <c r="S737" s="1333"/>
      <c r="T737" s="1333"/>
      <c r="U737" s="1333"/>
      <c r="V737" s="1333"/>
      <c r="W737" s="1333"/>
      <c r="X737" s="1333"/>
      <c r="Y737" s="1333"/>
      <c r="Z737" s="1333"/>
      <c r="AA737" s="1333"/>
      <c r="AB737" s="1333"/>
      <c r="AC737" s="1333"/>
      <c r="AD737" s="1333"/>
      <c r="AE737" s="1333"/>
      <c r="AF737" s="1333"/>
      <c r="AG737" s="1333"/>
      <c r="AH737" s="1333"/>
      <c r="AI737" s="1333"/>
      <c r="AJ737" s="1333"/>
    </row>
    <row r="738" spans="1:36" x14ac:dyDescent="0.25">
      <c r="A738" s="1331"/>
      <c r="B738" s="1284"/>
      <c r="C738" s="1284"/>
      <c r="D738" s="1364"/>
      <c r="E738" s="1364"/>
      <c r="F738" s="1364"/>
      <c r="G738" s="1365"/>
      <c r="H738" s="1333"/>
      <c r="I738" s="1333"/>
      <c r="J738" s="1333"/>
      <c r="K738" s="1333"/>
      <c r="L738" s="1333"/>
      <c r="M738" s="1333"/>
      <c r="N738" s="1333"/>
      <c r="O738" s="1333"/>
      <c r="P738" s="1333"/>
      <c r="Q738" s="1333"/>
      <c r="R738" s="1333"/>
      <c r="S738" s="1333"/>
      <c r="T738" s="1333"/>
      <c r="U738" s="1333"/>
      <c r="V738" s="1333"/>
      <c r="W738" s="1333"/>
      <c r="X738" s="1333"/>
      <c r="Y738" s="1333"/>
      <c r="Z738" s="1333"/>
      <c r="AA738" s="1333"/>
      <c r="AB738" s="1333"/>
      <c r="AC738" s="1333"/>
      <c r="AD738" s="1333"/>
      <c r="AE738" s="1333"/>
      <c r="AF738" s="1333"/>
      <c r="AG738" s="1333"/>
      <c r="AH738" s="1333"/>
      <c r="AI738" s="1333"/>
      <c r="AJ738" s="1333"/>
    </row>
    <row r="739" spans="1:36" x14ac:dyDescent="0.25">
      <c r="A739" s="1331"/>
      <c r="B739" s="1284"/>
      <c r="C739" s="1284"/>
      <c r="D739" s="1364"/>
      <c r="E739" s="1364"/>
      <c r="F739" s="1364"/>
      <c r="G739" s="1365"/>
      <c r="H739" s="1333"/>
      <c r="I739" s="1333"/>
      <c r="J739" s="1333"/>
      <c r="K739" s="1333"/>
      <c r="L739" s="1333"/>
      <c r="M739" s="1333"/>
      <c r="N739" s="1333"/>
      <c r="O739" s="1333"/>
      <c r="P739" s="1333"/>
      <c r="Q739" s="1333"/>
      <c r="R739" s="1333"/>
      <c r="S739" s="1333"/>
      <c r="T739" s="1333"/>
      <c r="U739" s="1333"/>
      <c r="V739" s="1333"/>
      <c r="W739" s="1333"/>
      <c r="X739" s="1333"/>
      <c r="Y739" s="1333"/>
      <c r="Z739" s="1333"/>
      <c r="AA739" s="1333"/>
      <c r="AB739" s="1333"/>
      <c r="AC739" s="1333"/>
      <c r="AD739" s="1333"/>
      <c r="AE739" s="1333"/>
      <c r="AF739" s="1333"/>
      <c r="AG739" s="1333"/>
      <c r="AH739" s="1333"/>
      <c r="AI739" s="1333"/>
      <c r="AJ739" s="1333"/>
    </row>
    <row r="740" spans="1:36" x14ac:dyDescent="0.25">
      <c r="A740" s="1331"/>
      <c r="B740" s="1284"/>
      <c r="C740" s="1284"/>
      <c r="D740" s="1364"/>
      <c r="E740" s="1364"/>
      <c r="F740" s="1364"/>
      <c r="G740" s="1365"/>
      <c r="H740" s="1333"/>
      <c r="I740" s="1333"/>
      <c r="J740" s="1333"/>
      <c r="K740" s="1333"/>
      <c r="L740" s="1333"/>
      <c r="M740" s="1333"/>
      <c r="N740" s="1333"/>
      <c r="O740" s="1333"/>
      <c r="P740" s="1333"/>
      <c r="Q740" s="1333"/>
      <c r="R740" s="1333"/>
      <c r="S740" s="1333"/>
      <c r="T740" s="1333"/>
      <c r="U740" s="1333"/>
      <c r="V740" s="1333"/>
      <c r="W740" s="1333"/>
      <c r="X740" s="1333"/>
      <c r="Y740" s="1333"/>
      <c r="Z740" s="1333"/>
      <c r="AA740" s="1333"/>
      <c r="AB740" s="1333"/>
      <c r="AC740" s="1333"/>
      <c r="AD740" s="1333"/>
      <c r="AE740" s="1333"/>
      <c r="AF740" s="1333"/>
      <c r="AG740" s="1333"/>
      <c r="AH740" s="1333"/>
      <c r="AI740" s="1333"/>
      <c r="AJ740" s="1333"/>
    </row>
    <row r="741" spans="1:36" x14ac:dyDescent="0.25">
      <c r="A741" s="1331"/>
      <c r="B741" s="1284"/>
      <c r="C741" s="1284"/>
      <c r="D741" s="1364"/>
      <c r="E741" s="1364"/>
      <c r="F741" s="1364"/>
      <c r="G741" s="1365"/>
      <c r="H741" s="1333"/>
      <c r="I741" s="1333"/>
      <c r="J741" s="1333"/>
      <c r="K741" s="1333"/>
      <c r="L741" s="1333"/>
      <c r="M741" s="1333"/>
      <c r="N741" s="1333"/>
      <c r="O741" s="1333"/>
      <c r="P741" s="1333"/>
      <c r="Q741" s="1333"/>
      <c r="R741" s="1333"/>
      <c r="S741" s="1333"/>
      <c r="T741" s="1333"/>
      <c r="U741" s="1333"/>
      <c r="V741" s="1333"/>
      <c r="W741" s="1333"/>
      <c r="X741" s="1333"/>
      <c r="Y741" s="1333"/>
      <c r="Z741" s="1333"/>
      <c r="AA741" s="1333"/>
      <c r="AB741" s="1333"/>
      <c r="AC741" s="1333"/>
      <c r="AD741" s="1333"/>
      <c r="AE741" s="1333"/>
      <c r="AF741" s="1333"/>
      <c r="AG741" s="1333"/>
      <c r="AH741" s="1333"/>
      <c r="AI741" s="1333"/>
      <c r="AJ741" s="1333"/>
    </row>
    <row r="742" spans="1:36" x14ac:dyDescent="0.25">
      <c r="A742" s="1331"/>
      <c r="B742" s="1284"/>
      <c r="C742" s="1284"/>
      <c r="D742" s="1364"/>
      <c r="E742" s="1364"/>
      <c r="F742" s="1364"/>
      <c r="G742" s="1365"/>
      <c r="H742" s="1333"/>
      <c r="I742" s="1333"/>
      <c r="J742" s="1333"/>
      <c r="K742" s="1333"/>
      <c r="L742" s="1333"/>
      <c r="M742" s="1333"/>
      <c r="N742" s="1333"/>
      <c r="O742" s="1333"/>
      <c r="P742" s="1333"/>
      <c r="Q742" s="1333"/>
      <c r="R742" s="1333"/>
      <c r="S742" s="1333"/>
      <c r="T742" s="1333"/>
      <c r="U742" s="1333"/>
      <c r="V742" s="1333"/>
      <c r="W742" s="1333"/>
      <c r="X742" s="1333"/>
      <c r="Y742" s="1333"/>
      <c r="Z742" s="1333"/>
      <c r="AA742" s="1333"/>
      <c r="AB742" s="1333"/>
      <c r="AC742" s="1333"/>
      <c r="AD742" s="1333"/>
      <c r="AE742" s="1333"/>
      <c r="AF742" s="1333"/>
      <c r="AG742" s="1333"/>
      <c r="AH742" s="1333"/>
      <c r="AI742" s="1333"/>
      <c r="AJ742" s="1333"/>
    </row>
    <row r="743" spans="1:36" x14ac:dyDescent="0.25">
      <c r="A743" s="1331"/>
      <c r="B743" s="1284"/>
      <c r="C743" s="1284"/>
      <c r="D743" s="1364"/>
      <c r="E743" s="1364"/>
      <c r="F743" s="1364"/>
      <c r="G743" s="1365"/>
      <c r="H743" s="1333"/>
      <c r="I743" s="1333"/>
      <c r="J743" s="1333"/>
      <c r="K743" s="1333"/>
      <c r="L743" s="1333"/>
      <c r="M743" s="1333"/>
      <c r="N743" s="1333"/>
      <c r="O743" s="1333"/>
      <c r="P743" s="1333"/>
      <c r="Q743" s="1333"/>
      <c r="R743" s="1333"/>
      <c r="S743" s="1333"/>
      <c r="T743" s="1333"/>
      <c r="U743" s="1333"/>
      <c r="V743" s="1333"/>
      <c r="W743" s="1333"/>
      <c r="X743" s="1333"/>
      <c r="Y743" s="1333"/>
      <c r="Z743" s="1333"/>
      <c r="AA743" s="1333"/>
      <c r="AB743" s="1333"/>
      <c r="AC743" s="1333"/>
      <c r="AD743" s="1333"/>
      <c r="AE743" s="1333"/>
      <c r="AF743" s="1333"/>
      <c r="AG743" s="1333"/>
      <c r="AH743" s="1333"/>
      <c r="AI743" s="1333"/>
      <c r="AJ743" s="1333"/>
    </row>
    <row r="744" spans="1:36" x14ac:dyDescent="0.25">
      <c r="A744" s="1331"/>
      <c r="B744" s="1284"/>
      <c r="C744" s="1284"/>
      <c r="D744" s="1364"/>
      <c r="E744" s="1364"/>
      <c r="F744" s="1364"/>
      <c r="G744" s="1365"/>
      <c r="H744" s="1333"/>
      <c r="I744" s="1333"/>
      <c r="J744" s="1333"/>
      <c r="K744" s="1333"/>
      <c r="L744" s="1333"/>
      <c r="M744" s="1333"/>
      <c r="N744" s="1333"/>
      <c r="O744" s="1333"/>
      <c r="P744" s="1333"/>
      <c r="Q744" s="1333"/>
      <c r="R744" s="1333"/>
      <c r="S744" s="1333"/>
      <c r="T744" s="1333"/>
      <c r="U744" s="1333"/>
      <c r="V744" s="1333"/>
      <c r="W744" s="1333"/>
      <c r="X744" s="1333"/>
      <c r="Y744" s="1333"/>
      <c r="Z744" s="1333"/>
      <c r="AA744" s="1333"/>
      <c r="AB744" s="1333"/>
      <c r="AC744" s="1333"/>
      <c r="AD744" s="1333"/>
      <c r="AE744" s="1333"/>
      <c r="AF744" s="1333"/>
      <c r="AG744" s="1333"/>
      <c r="AH744" s="1333"/>
      <c r="AI744" s="1333"/>
      <c r="AJ744" s="1333"/>
    </row>
    <row r="745" spans="1:36" x14ac:dyDescent="0.25">
      <c r="A745" s="1331"/>
      <c r="B745" s="1284"/>
      <c r="C745" s="1284"/>
      <c r="D745" s="1364"/>
      <c r="E745" s="1364"/>
      <c r="F745" s="1364"/>
      <c r="G745" s="1365"/>
      <c r="H745" s="1333"/>
      <c r="I745" s="1333"/>
      <c r="J745" s="1333"/>
      <c r="K745" s="1333"/>
      <c r="L745" s="1333"/>
      <c r="M745" s="1333"/>
      <c r="N745" s="1333"/>
      <c r="O745" s="1333"/>
      <c r="P745" s="1333"/>
      <c r="Q745" s="1333"/>
      <c r="R745" s="1333"/>
      <c r="S745" s="1333"/>
      <c r="T745" s="1333"/>
      <c r="U745" s="1333"/>
      <c r="V745" s="1333"/>
      <c r="W745" s="1333"/>
      <c r="X745" s="1333"/>
      <c r="Y745" s="1333"/>
      <c r="Z745" s="1333"/>
      <c r="AA745" s="1333"/>
      <c r="AB745" s="1333"/>
      <c r="AC745" s="1333"/>
      <c r="AD745" s="1333"/>
      <c r="AE745" s="1333"/>
      <c r="AF745" s="1333"/>
      <c r="AG745" s="1333"/>
      <c r="AH745" s="1333"/>
      <c r="AI745" s="1333"/>
      <c r="AJ745" s="1333"/>
    </row>
    <row r="746" spans="1:36" x14ac:dyDescent="0.25">
      <c r="A746" s="1331"/>
      <c r="B746" s="1284"/>
      <c r="C746" s="1284"/>
      <c r="D746" s="1364"/>
      <c r="E746" s="1364"/>
      <c r="F746" s="1364"/>
      <c r="G746" s="1365"/>
      <c r="H746" s="1333"/>
      <c r="I746" s="1333"/>
      <c r="J746" s="1333"/>
      <c r="K746" s="1333"/>
      <c r="L746" s="1333"/>
      <c r="M746" s="1333"/>
      <c r="N746" s="1333"/>
      <c r="O746" s="1333"/>
      <c r="P746" s="1333"/>
      <c r="Q746" s="1333"/>
      <c r="R746" s="1333"/>
      <c r="S746" s="1333"/>
      <c r="T746" s="1333"/>
      <c r="U746" s="1333"/>
      <c r="V746" s="1333"/>
      <c r="W746" s="1333"/>
      <c r="X746" s="1333"/>
      <c r="Y746" s="1333"/>
      <c r="Z746" s="1333"/>
      <c r="AA746" s="1333"/>
      <c r="AB746" s="1333"/>
      <c r="AC746" s="1333"/>
      <c r="AD746" s="1333"/>
      <c r="AE746" s="1333"/>
      <c r="AF746" s="1333"/>
      <c r="AG746" s="1333"/>
      <c r="AH746" s="1333"/>
      <c r="AI746" s="1333"/>
      <c r="AJ746" s="1333"/>
    </row>
    <row r="747" spans="1:36" x14ac:dyDescent="0.25">
      <c r="A747" s="1331"/>
      <c r="B747" s="1284"/>
      <c r="C747" s="1284"/>
      <c r="D747" s="1364"/>
      <c r="E747" s="1364"/>
      <c r="F747" s="1364"/>
      <c r="G747" s="1365"/>
      <c r="H747" s="1333"/>
      <c r="I747" s="1333"/>
      <c r="J747" s="1333"/>
      <c r="K747" s="1333"/>
      <c r="L747" s="1333"/>
      <c r="M747" s="1333"/>
      <c r="N747" s="1333"/>
      <c r="O747" s="1333"/>
      <c r="P747" s="1333"/>
      <c r="Q747" s="1333"/>
      <c r="R747" s="1333"/>
      <c r="S747" s="1333"/>
      <c r="T747" s="1333"/>
      <c r="U747" s="1333"/>
      <c r="V747" s="1333"/>
      <c r="W747" s="1333"/>
      <c r="X747" s="1333"/>
      <c r="Y747" s="1333"/>
      <c r="Z747" s="1333"/>
      <c r="AA747" s="1333"/>
      <c r="AB747" s="1333"/>
      <c r="AC747" s="1333"/>
      <c r="AD747" s="1333"/>
      <c r="AE747" s="1333"/>
      <c r="AF747" s="1333"/>
      <c r="AG747" s="1333"/>
      <c r="AH747" s="1333"/>
      <c r="AI747" s="1333"/>
      <c r="AJ747" s="1333"/>
    </row>
    <row r="748" spans="1:36" x14ac:dyDescent="0.25">
      <c r="A748" s="1331"/>
      <c r="B748" s="1284"/>
      <c r="C748" s="1284"/>
      <c r="D748" s="1364"/>
      <c r="E748" s="1364"/>
      <c r="F748" s="1364"/>
      <c r="G748" s="1365"/>
      <c r="H748" s="1333"/>
      <c r="I748" s="1333"/>
      <c r="J748" s="1333"/>
      <c r="K748" s="1333"/>
      <c r="L748" s="1333"/>
      <c r="M748" s="1333"/>
      <c r="N748" s="1333"/>
      <c r="O748" s="1333"/>
      <c r="P748" s="1333"/>
      <c r="Q748" s="1333"/>
      <c r="R748" s="1333"/>
      <c r="S748" s="1333"/>
      <c r="T748" s="1333"/>
      <c r="U748" s="1333"/>
      <c r="V748" s="1333"/>
      <c r="W748" s="1333"/>
      <c r="X748" s="1333"/>
      <c r="Y748" s="1333"/>
      <c r="Z748" s="1333"/>
      <c r="AA748" s="1333"/>
      <c r="AB748" s="1333"/>
      <c r="AC748" s="1333"/>
      <c r="AD748" s="1333"/>
      <c r="AE748" s="1333"/>
      <c r="AF748" s="1333"/>
      <c r="AG748" s="1333"/>
      <c r="AH748" s="1333"/>
      <c r="AI748" s="1333"/>
      <c r="AJ748" s="1333"/>
    </row>
    <row r="749" spans="1:36" x14ac:dyDescent="0.25">
      <c r="A749" s="1331"/>
      <c r="B749" s="1284"/>
      <c r="C749" s="1284"/>
      <c r="D749" s="1364"/>
      <c r="E749" s="1364"/>
      <c r="F749" s="1364"/>
      <c r="G749" s="1365"/>
      <c r="H749" s="1333"/>
      <c r="I749" s="1333"/>
      <c r="J749" s="1333"/>
      <c r="K749" s="1333"/>
      <c r="L749" s="1333"/>
      <c r="M749" s="1333"/>
      <c r="N749" s="1333"/>
      <c r="O749" s="1333"/>
      <c r="P749" s="1333"/>
      <c r="Q749" s="1333"/>
      <c r="R749" s="1333"/>
      <c r="S749" s="1333"/>
      <c r="T749" s="1333"/>
      <c r="U749" s="1333"/>
      <c r="V749" s="1333"/>
      <c r="W749" s="1333"/>
      <c r="X749" s="1333"/>
      <c r="Y749" s="1333"/>
      <c r="Z749" s="1333"/>
      <c r="AA749" s="1333"/>
      <c r="AB749" s="1333"/>
      <c r="AC749" s="1333"/>
      <c r="AD749" s="1333"/>
      <c r="AE749" s="1333"/>
      <c r="AF749" s="1333"/>
      <c r="AG749" s="1333"/>
      <c r="AH749" s="1333"/>
      <c r="AI749" s="1333"/>
      <c r="AJ749" s="1333"/>
    </row>
    <row r="750" spans="1:36" x14ac:dyDescent="0.25">
      <c r="A750" s="1331"/>
      <c r="B750" s="1284"/>
      <c r="C750" s="1284"/>
      <c r="D750" s="1364"/>
      <c r="E750" s="1364"/>
      <c r="F750" s="1364"/>
      <c r="G750" s="1365"/>
      <c r="H750" s="1333"/>
      <c r="I750" s="1333"/>
      <c r="J750" s="1333"/>
      <c r="K750" s="1333"/>
      <c r="L750" s="1333"/>
      <c r="M750" s="1333"/>
      <c r="N750" s="1333"/>
      <c r="O750" s="1333"/>
      <c r="P750" s="1333"/>
      <c r="Q750" s="1333"/>
      <c r="R750" s="1333"/>
      <c r="S750" s="1333"/>
      <c r="T750" s="1333"/>
      <c r="U750" s="1333"/>
      <c r="V750" s="1333"/>
      <c r="W750" s="1333"/>
      <c r="X750" s="1333"/>
      <c r="Y750" s="1333"/>
      <c r="Z750" s="1333"/>
      <c r="AA750" s="1333"/>
      <c r="AB750" s="1333"/>
      <c r="AC750" s="1333"/>
      <c r="AD750" s="1333"/>
      <c r="AE750" s="1333"/>
      <c r="AF750" s="1333"/>
      <c r="AG750" s="1333"/>
      <c r="AH750" s="1333"/>
      <c r="AI750" s="1333"/>
      <c r="AJ750" s="1333"/>
    </row>
    <row r="751" spans="1:36" x14ac:dyDescent="0.25">
      <c r="A751" s="1331"/>
      <c r="B751" s="1284"/>
      <c r="C751" s="1284"/>
      <c r="D751" s="1364"/>
      <c r="E751" s="1364"/>
      <c r="F751" s="1364"/>
      <c r="G751" s="1365"/>
      <c r="H751" s="1333"/>
      <c r="I751" s="1333"/>
      <c r="J751" s="1333"/>
      <c r="K751" s="1333"/>
      <c r="L751" s="1333"/>
      <c r="M751" s="1333"/>
      <c r="N751" s="1333"/>
      <c r="O751" s="1333"/>
      <c r="P751" s="1333"/>
      <c r="Q751" s="1333"/>
      <c r="R751" s="1333"/>
      <c r="S751" s="1333"/>
      <c r="T751" s="1333"/>
      <c r="U751" s="1333"/>
      <c r="V751" s="1333"/>
      <c r="W751" s="1333"/>
      <c r="X751" s="1333"/>
      <c r="Y751" s="1333"/>
      <c r="Z751" s="1333"/>
      <c r="AA751" s="1333"/>
      <c r="AB751" s="1333"/>
      <c r="AC751" s="1333"/>
      <c r="AD751" s="1333"/>
      <c r="AE751" s="1333"/>
      <c r="AF751" s="1333"/>
      <c r="AG751" s="1333"/>
      <c r="AH751" s="1333"/>
      <c r="AI751" s="1333"/>
      <c r="AJ751" s="1333"/>
    </row>
    <row r="752" spans="1:36" x14ac:dyDescent="0.25">
      <c r="A752" s="1331"/>
      <c r="B752" s="1284"/>
      <c r="C752" s="1284"/>
      <c r="D752" s="1364"/>
      <c r="E752" s="1364"/>
      <c r="F752" s="1364"/>
      <c r="G752" s="1365"/>
      <c r="H752" s="1333"/>
      <c r="I752" s="1333"/>
      <c r="J752" s="1333"/>
      <c r="K752" s="1333"/>
      <c r="L752" s="1333"/>
      <c r="M752" s="1333"/>
      <c r="N752" s="1333"/>
      <c r="O752" s="1333"/>
      <c r="P752" s="1333"/>
      <c r="Q752" s="1333"/>
      <c r="R752" s="1333"/>
      <c r="S752" s="1333"/>
      <c r="T752" s="1333"/>
      <c r="U752" s="1333"/>
      <c r="V752" s="1333"/>
      <c r="W752" s="1333"/>
      <c r="X752" s="1333"/>
      <c r="Y752" s="1333"/>
      <c r="Z752" s="1333"/>
      <c r="AA752" s="1333"/>
      <c r="AB752" s="1333"/>
      <c r="AC752" s="1333"/>
      <c r="AD752" s="1333"/>
      <c r="AE752" s="1333"/>
      <c r="AF752" s="1333"/>
      <c r="AG752" s="1333"/>
      <c r="AH752" s="1333"/>
      <c r="AI752" s="1333"/>
      <c r="AJ752" s="1333"/>
    </row>
    <row r="753" spans="1:36" x14ac:dyDescent="0.25">
      <c r="A753" s="1331"/>
      <c r="B753" s="1284"/>
      <c r="C753" s="1284"/>
      <c r="D753" s="1364"/>
      <c r="E753" s="1364"/>
      <c r="F753" s="1364"/>
      <c r="G753" s="1365"/>
      <c r="H753" s="1333"/>
      <c r="I753" s="1333"/>
      <c r="J753" s="1333"/>
      <c r="K753" s="1333"/>
      <c r="L753" s="1333"/>
      <c r="M753" s="1333"/>
      <c r="N753" s="1333"/>
      <c r="O753" s="1333"/>
      <c r="P753" s="1333"/>
      <c r="Q753" s="1333"/>
      <c r="R753" s="1333"/>
      <c r="S753" s="1333"/>
      <c r="T753" s="1333"/>
      <c r="U753" s="1333"/>
      <c r="V753" s="1333"/>
      <c r="W753" s="1333"/>
      <c r="X753" s="1333"/>
      <c r="Y753" s="1333"/>
      <c r="Z753" s="1333"/>
      <c r="AA753" s="1333"/>
      <c r="AB753" s="1333"/>
      <c r="AC753" s="1333"/>
      <c r="AD753" s="1333"/>
      <c r="AE753" s="1333"/>
      <c r="AF753" s="1333"/>
      <c r="AG753" s="1333"/>
      <c r="AH753" s="1333"/>
      <c r="AI753" s="1333"/>
      <c r="AJ753" s="1333"/>
    </row>
    <row r="754" spans="1:36" x14ac:dyDescent="0.25">
      <c r="A754" s="1331"/>
      <c r="B754" s="1284"/>
      <c r="C754" s="1284"/>
      <c r="D754" s="1364"/>
      <c r="E754" s="1364"/>
      <c r="F754" s="1364"/>
      <c r="G754" s="1365"/>
      <c r="H754" s="1333"/>
      <c r="I754" s="1333"/>
      <c r="J754" s="1333"/>
      <c r="K754" s="1333"/>
      <c r="L754" s="1333"/>
      <c r="M754" s="1333"/>
      <c r="N754" s="1333"/>
      <c r="O754" s="1333"/>
      <c r="P754" s="1333"/>
      <c r="Q754" s="1333"/>
      <c r="R754" s="1333"/>
      <c r="S754" s="1333"/>
      <c r="T754" s="1333"/>
      <c r="U754" s="1333"/>
      <c r="V754" s="1333"/>
      <c r="W754" s="1333"/>
      <c r="X754" s="1333"/>
      <c r="Y754" s="1333"/>
      <c r="Z754" s="1333"/>
      <c r="AA754" s="1333"/>
      <c r="AB754" s="1333"/>
      <c r="AC754" s="1333"/>
      <c r="AD754" s="1333"/>
      <c r="AE754" s="1333"/>
      <c r="AF754" s="1333"/>
      <c r="AG754" s="1333"/>
      <c r="AH754" s="1333"/>
      <c r="AI754" s="1333"/>
      <c r="AJ754" s="1333"/>
    </row>
    <row r="755" spans="1:36" x14ac:dyDescent="0.25">
      <c r="A755" s="1331"/>
      <c r="B755" s="1284"/>
      <c r="C755" s="1284"/>
      <c r="D755" s="1364"/>
      <c r="E755" s="1364"/>
      <c r="F755" s="1364"/>
      <c r="G755" s="1365"/>
      <c r="H755" s="1333"/>
      <c r="I755" s="1333"/>
      <c r="J755" s="1333"/>
      <c r="K755" s="1333"/>
      <c r="L755" s="1333"/>
      <c r="M755" s="1333"/>
      <c r="N755" s="1333"/>
      <c r="O755" s="1333"/>
      <c r="P755" s="1333"/>
      <c r="Q755" s="1333"/>
      <c r="R755" s="1333"/>
      <c r="S755" s="1333"/>
      <c r="T755" s="1333"/>
      <c r="U755" s="1333"/>
      <c r="V755" s="1333"/>
      <c r="W755" s="1333"/>
      <c r="X755" s="1333"/>
      <c r="Y755" s="1333"/>
      <c r="Z755" s="1333"/>
      <c r="AA755" s="1333"/>
      <c r="AB755" s="1333"/>
      <c r="AC755" s="1333"/>
      <c r="AD755" s="1333"/>
      <c r="AE755" s="1333"/>
      <c r="AF755" s="1333"/>
      <c r="AG755" s="1333"/>
      <c r="AH755" s="1333"/>
      <c r="AI755" s="1333"/>
      <c r="AJ755" s="1333"/>
    </row>
    <row r="756" spans="1:36" x14ac:dyDescent="0.25">
      <c r="A756" s="1331"/>
      <c r="B756" s="1284"/>
      <c r="C756" s="1284"/>
      <c r="D756" s="1364"/>
      <c r="E756" s="1364"/>
      <c r="F756" s="1364"/>
      <c r="G756" s="1365"/>
      <c r="H756" s="1333"/>
      <c r="I756" s="1333"/>
      <c r="J756" s="1333"/>
      <c r="K756" s="1333"/>
      <c r="L756" s="1333"/>
      <c r="M756" s="1333"/>
      <c r="N756" s="1333"/>
      <c r="O756" s="1333"/>
      <c r="P756" s="1333"/>
      <c r="Q756" s="1333"/>
      <c r="R756" s="1333"/>
      <c r="S756" s="1333"/>
      <c r="T756" s="1333"/>
      <c r="U756" s="1333"/>
      <c r="V756" s="1333"/>
      <c r="W756" s="1333"/>
      <c r="X756" s="1333"/>
      <c r="Y756" s="1333"/>
      <c r="Z756" s="1333"/>
      <c r="AA756" s="1333"/>
      <c r="AB756" s="1333"/>
      <c r="AC756" s="1333"/>
      <c r="AD756" s="1333"/>
      <c r="AE756" s="1333"/>
      <c r="AF756" s="1333"/>
      <c r="AG756" s="1333"/>
      <c r="AH756" s="1333"/>
      <c r="AI756" s="1333"/>
      <c r="AJ756" s="1333"/>
    </row>
    <row r="757" spans="1:36" x14ac:dyDescent="0.25">
      <c r="A757" s="1331"/>
      <c r="B757" s="1284"/>
      <c r="C757" s="1284"/>
      <c r="D757" s="1364"/>
      <c r="E757" s="1364"/>
      <c r="F757" s="1364"/>
      <c r="G757" s="1365"/>
      <c r="H757" s="1333"/>
      <c r="I757" s="1333"/>
      <c r="J757" s="1333"/>
      <c r="K757" s="1333"/>
      <c r="L757" s="1333"/>
      <c r="M757" s="1333"/>
      <c r="N757" s="1333"/>
      <c r="O757" s="1333"/>
      <c r="P757" s="1333"/>
      <c r="Q757" s="1333"/>
      <c r="R757" s="1333"/>
      <c r="S757" s="1333"/>
      <c r="T757" s="1333"/>
      <c r="U757" s="1333"/>
      <c r="V757" s="1333"/>
      <c r="W757" s="1333"/>
      <c r="X757" s="1333"/>
      <c r="Y757" s="1333"/>
      <c r="Z757" s="1333"/>
      <c r="AA757" s="1333"/>
      <c r="AB757" s="1333"/>
      <c r="AC757" s="1333"/>
      <c r="AD757" s="1333"/>
      <c r="AE757" s="1333"/>
      <c r="AF757" s="1333"/>
      <c r="AG757" s="1333"/>
      <c r="AH757" s="1333"/>
      <c r="AI757" s="1333"/>
      <c r="AJ757" s="1333"/>
    </row>
    <row r="758" spans="1:36" x14ac:dyDescent="0.25">
      <c r="A758" s="1331"/>
      <c r="B758" s="1284"/>
      <c r="C758" s="1284"/>
      <c r="D758" s="1364"/>
      <c r="E758" s="1364"/>
      <c r="F758" s="1364"/>
      <c r="G758" s="1365"/>
      <c r="H758" s="1333"/>
      <c r="I758" s="1333"/>
      <c r="J758" s="1333"/>
      <c r="K758" s="1333"/>
      <c r="L758" s="1333"/>
      <c r="M758" s="1333"/>
      <c r="N758" s="1333"/>
      <c r="O758" s="1333"/>
      <c r="P758" s="1333"/>
      <c r="Q758" s="1333"/>
      <c r="R758" s="1333"/>
      <c r="S758" s="1333"/>
      <c r="T758" s="1333"/>
      <c r="U758" s="1333"/>
      <c r="V758" s="1333"/>
      <c r="W758" s="1333"/>
      <c r="X758" s="1333"/>
      <c r="Y758" s="1333"/>
      <c r="Z758" s="1333"/>
      <c r="AA758" s="1333"/>
      <c r="AB758" s="1333"/>
      <c r="AC758" s="1333"/>
      <c r="AD758" s="1333"/>
      <c r="AE758" s="1333"/>
      <c r="AF758" s="1333"/>
      <c r="AG758" s="1333"/>
      <c r="AH758" s="1333"/>
      <c r="AI758" s="1333"/>
      <c r="AJ758" s="1333"/>
    </row>
    <row r="759" spans="1:36" x14ac:dyDescent="0.25">
      <c r="A759" s="1331"/>
      <c r="B759" s="1284"/>
      <c r="C759" s="1284"/>
      <c r="D759" s="1364"/>
      <c r="E759" s="1364"/>
      <c r="F759" s="1364"/>
      <c r="G759" s="1365"/>
      <c r="H759" s="1333"/>
      <c r="I759" s="1333"/>
      <c r="J759" s="1333"/>
      <c r="K759" s="1333"/>
      <c r="L759" s="1333"/>
      <c r="M759" s="1333"/>
      <c r="N759" s="1333"/>
      <c r="O759" s="1333"/>
      <c r="P759" s="1333"/>
      <c r="Q759" s="1333"/>
      <c r="R759" s="1333"/>
      <c r="S759" s="1333"/>
      <c r="T759" s="1333"/>
      <c r="U759" s="1333"/>
      <c r="V759" s="1333"/>
      <c r="W759" s="1333"/>
      <c r="X759" s="1333"/>
      <c r="Y759" s="1333"/>
      <c r="Z759" s="1333"/>
      <c r="AA759" s="1333"/>
      <c r="AB759" s="1333"/>
      <c r="AC759" s="1333"/>
      <c r="AD759" s="1333"/>
      <c r="AE759" s="1333"/>
      <c r="AF759" s="1333"/>
      <c r="AG759" s="1333"/>
      <c r="AH759" s="1333"/>
      <c r="AI759" s="1333"/>
      <c r="AJ759" s="1333"/>
    </row>
    <row r="760" spans="1:36" x14ac:dyDescent="0.25">
      <c r="A760" s="1331"/>
      <c r="B760" s="1284"/>
      <c r="C760" s="1284"/>
      <c r="D760" s="1364"/>
      <c r="E760" s="1364"/>
      <c r="F760" s="1364"/>
      <c r="G760" s="1365"/>
      <c r="H760" s="1333"/>
      <c r="I760" s="1333"/>
      <c r="J760" s="1333"/>
      <c r="K760" s="1333"/>
      <c r="L760" s="1333"/>
      <c r="M760" s="1333"/>
      <c r="N760" s="1333"/>
      <c r="O760" s="1333"/>
      <c r="P760" s="1333"/>
      <c r="Q760" s="1333"/>
      <c r="R760" s="1333"/>
      <c r="S760" s="1333"/>
      <c r="T760" s="1333"/>
      <c r="U760" s="1333"/>
      <c r="V760" s="1333"/>
      <c r="W760" s="1333"/>
      <c r="X760" s="1333"/>
      <c r="Y760" s="1333"/>
      <c r="Z760" s="1333"/>
      <c r="AA760" s="1333"/>
      <c r="AB760" s="1333"/>
      <c r="AC760" s="1333"/>
      <c r="AD760" s="1333"/>
      <c r="AE760" s="1333"/>
      <c r="AF760" s="1333"/>
      <c r="AG760" s="1333"/>
      <c r="AH760" s="1333"/>
      <c r="AI760" s="1333"/>
      <c r="AJ760" s="1333"/>
    </row>
    <row r="761" spans="1:36" x14ac:dyDescent="0.25">
      <c r="A761" s="1331"/>
      <c r="B761" s="1284"/>
      <c r="C761" s="1284"/>
      <c r="D761" s="1364"/>
      <c r="E761" s="1364"/>
      <c r="F761" s="1364"/>
      <c r="G761" s="1365"/>
      <c r="H761" s="1333"/>
      <c r="I761" s="1333"/>
      <c r="J761" s="1333"/>
      <c r="K761" s="1333"/>
      <c r="L761" s="1333"/>
      <c r="M761" s="1333"/>
      <c r="N761" s="1333"/>
      <c r="O761" s="1333"/>
      <c r="P761" s="1333"/>
      <c r="Q761" s="1333"/>
      <c r="R761" s="1333"/>
      <c r="S761" s="1333"/>
      <c r="T761" s="1333"/>
      <c r="U761" s="1333"/>
      <c r="V761" s="1333"/>
      <c r="W761" s="1333"/>
      <c r="X761" s="1333"/>
      <c r="Y761" s="1333"/>
      <c r="Z761" s="1333"/>
      <c r="AA761" s="1333"/>
      <c r="AB761" s="1333"/>
      <c r="AC761" s="1333"/>
      <c r="AD761" s="1333"/>
      <c r="AE761" s="1333"/>
      <c r="AF761" s="1333"/>
      <c r="AG761" s="1333"/>
      <c r="AH761" s="1333"/>
      <c r="AI761" s="1333"/>
      <c r="AJ761" s="1333"/>
    </row>
    <row r="762" spans="1:36" x14ac:dyDescent="0.25">
      <c r="A762" s="1331"/>
      <c r="B762" s="1284"/>
      <c r="C762" s="1284"/>
      <c r="D762" s="1364"/>
      <c r="E762" s="1364"/>
      <c r="F762" s="1364"/>
      <c r="G762" s="1365"/>
      <c r="H762" s="1333"/>
      <c r="I762" s="1333"/>
      <c r="J762" s="1333"/>
      <c r="K762" s="1333"/>
      <c r="L762" s="1333"/>
      <c r="M762" s="1333"/>
      <c r="N762" s="1333"/>
      <c r="O762" s="1333"/>
      <c r="P762" s="1333"/>
      <c r="Q762" s="1333"/>
      <c r="R762" s="1333"/>
      <c r="S762" s="1333"/>
      <c r="T762" s="1333"/>
      <c r="U762" s="1333"/>
      <c r="V762" s="1333"/>
      <c r="W762" s="1333"/>
      <c r="X762" s="1333"/>
      <c r="Y762" s="1333"/>
      <c r="Z762" s="1333"/>
      <c r="AA762" s="1333"/>
      <c r="AB762" s="1333"/>
      <c r="AC762" s="1333"/>
      <c r="AD762" s="1333"/>
      <c r="AE762" s="1333"/>
      <c r="AF762" s="1333"/>
      <c r="AG762" s="1333"/>
      <c r="AH762" s="1333"/>
      <c r="AI762" s="1333"/>
      <c r="AJ762" s="1333"/>
    </row>
    <row r="763" spans="1:36" x14ac:dyDescent="0.25">
      <c r="A763" s="1331"/>
      <c r="B763" s="1284"/>
      <c r="C763" s="1284"/>
      <c r="D763" s="1364"/>
      <c r="E763" s="1364"/>
      <c r="F763" s="1364"/>
      <c r="G763" s="1365"/>
      <c r="H763" s="1333"/>
      <c r="I763" s="1333"/>
      <c r="J763" s="1333"/>
      <c r="K763" s="1333"/>
      <c r="L763" s="1333"/>
      <c r="M763" s="1333"/>
      <c r="N763" s="1333"/>
      <c r="O763" s="1333"/>
      <c r="P763" s="1333"/>
      <c r="Q763" s="1333"/>
      <c r="R763" s="1333"/>
      <c r="S763" s="1333"/>
      <c r="T763" s="1333"/>
      <c r="U763" s="1333"/>
      <c r="V763" s="1333"/>
      <c r="W763" s="1333"/>
      <c r="X763" s="1333"/>
      <c r="Y763" s="1333"/>
      <c r="Z763" s="1333"/>
      <c r="AA763" s="1333"/>
      <c r="AB763" s="1333"/>
      <c r="AC763" s="1333"/>
      <c r="AD763" s="1333"/>
      <c r="AE763" s="1333"/>
      <c r="AF763" s="1333"/>
      <c r="AG763" s="1333"/>
      <c r="AH763" s="1333"/>
      <c r="AI763" s="1333"/>
      <c r="AJ763" s="1333"/>
    </row>
    <row r="764" spans="1:36" x14ac:dyDescent="0.25">
      <c r="A764" s="1331"/>
      <c r="B764" s="1284"/>
      <c r="C764" s="1284"/>
      <c r="D764" s="1364"/>
      <c r="E764" s="1364"/>
      <c r="F764" s="1364"/>
      <c r="G764" s="1365"/>
      <c r="H764" s="1333"/>
      <c r="I764" s="1333"/>
      <c r="J764" s="1333"/>
      <c r="K764" s="1333"/>
      <c r="L764" s="1333"/>
      <c r="M764" s="1333"/>
      <c r="N764" s="1333"/>
      <c r="O764" s="1333"/>
      <c r="P764" s="1333"/>
      <c r="Q764" s="1333"/>
      <c r="R764" s="1333"/>
      <c r="S764" s="1333"/>
      <c r="T764" s="1333"/>
      <c r="U764" s="1333"/>
      <c r="V764" s="1333"/>
      <c r="W764" s="1333"/>
      <c r="X764" s="1333"/>
      <c r="Y764" s="1333"/>
      <c r="Z764" s="1333"/>
      <c r="AA764" s="1333"/>
      <c r="AB764" s="1333"/>
      <c r="AC764" s="1333"/>
      <c r="AD764" s="1333"/>
      <c r="AE764" s="1333"/>
      <c r="AF764" s="1333"/>
      <c r="AG764" s="1333"/>
      <c r="AH764" s="1333"/>
      <c r="AI764" s="1333"/>
      <c r="AJ764" s="1333"/>
    </row>
    <row r="765" spans="1:36" x14ac:dyDescent="0.25">
      <c r="A765" s="1331"/>
      <c r="B765" s="1284"/>
      <c r="C765" s="1284"/>
      <c r="D765" s="1364"/>
      <c r="E765" s="1364"/>
      <c r="F765" s="1364"/>
      <c r="G765" s="1365"/>
      <c r="H765" s="1333"/>
      <c r="I765" s="1333"/>
      <c r="J765" s="1333"/>
      <c r="K765" s="1333"/>
      <c r="L765" s="1333"/>
      <c r="M765" s="1333"/>
      <c r="N765" s="1333"/>
      <c r="O765" s="1333"/>
      <c r="P765" s="1333"/>
      <c r="Q765" s="1333"/>
      <c r="R765" s="1333"/>
      <c r="S765" s="1333"/>
      <c r="T765" s="1333"/>
      <c r="U765" s="1333"/>
      <c r="V765" s="1333"/>
      <c r="W765" s="1333"/>
      <c r="X765" s="1333"/>
      <c r="Y765" s="1333"/>
      <c r="Z765" s="1333"/>
      <c r="AA765" s="1333"/>
      <c r="AB765" s="1333"/>
      <c r="AC765" s="1333"/>
      <c r="AD765" s="1333"/>
      <c r="AE765" s="1333"/>
      <c r="AF765" s="1333"/>
      <c r="AG765" s="1333"/>
      <c r="AH765" s="1333"/>
      <c r="AI765" s="1333"/>
      <c r="AJ765" s="1333"/>
    </row>
    <row r="766" spans="1:36" x14ac:dyDescent="0.25">
      <c r="A766" s="1331"/>
      <c r="B766" s="1284"/>
      <c r="C766" s="1284"/>
      <c r="D766" s="1364"/>
      <c r="E766" s="1364"/>
      <c r="F766" s="1364"/>
      <c r="G766" s="1365"/>
      <c r="H766" s="1333"/>
      <c r="I766" s="1333"/>
      <c r="J766" s="1333"/>
      <c r="K766" s="1333"/>
      <c r="L766" s="1333"/>
      <c r="M766" s="1333"/>
      <c r="N766" s="1333"/>
      <c r="O766" s="1333"/>
      <c r="P766" s="1333"/>
      <c r="Q766" s="1333"/>
      <c r="R766" s="1333"/>
      <c r="S766" s="1333"/>
      <c r="T766" s="1333"/>
      <c r="U766" s="1333"/>
      <c r="V766" s="1333"/>
      <c r="W766" s="1333"/>
      <c r="X766" s="1333"/>
      <c r="Y766" s="1333"/>
      <c r="Z766" s="1333"/>
      <c r="AA766" s="1333"/>
      <c r="AB766" s="1333"/>
      <c r="AC766" s="1333"/>
      <c r="AD766" s="1333"/>
      <c r="AE766" s="1333"/>
      <c r="AF766" s="1333"/>
      <c r="AG766" s="1333"/>
      <c r="AH766" s="1333"/>
      <c r="AI766" s="1333"/>
      <c r="AJ766" s="1333"/>
    </row>
    <row r="767" spans="1:36" x14ac:dyDescent="0.25">
      <c r="A767" s="1331"/>
      <c r="B767" s="1284"/>
      <c r="C767" s="1284"/>
      <c r="D767" s="1364"/>
      <c r="E767" s="1364"/>
      <c r="F767" s="1364"/>
      <c r="G767" s="1365"/>
      <c r="H767" s="1333"/>
      <c r="I767" s="1333"/>
      <c r="J767" s="1333"/>
      <c r="K767" s="1333"/>
      <c r="L767" s="1333"/>
      <c r="M767" s="1333"/>
      <c r="N767" s="1333"/>
      <c r="O767" s="1333"/>
      <c r="P767" s="1333"/>
      <c r="Q767" s="1333"/>
      <c r="R767" s="1333"/>
      <c r="S767" s="1333"/>
      <c r="T767" s="1333"/>
      <c r="U767" s="1333"/>
      <c r="V767" s="1333"/>
      <c r="W767" s="1333"/>
      <c r="X767" s="1333"/>
      <c r="Y767" s="1333"/>
      <c r="Z767" s="1333"/>
      <c r="AA767" s="1333"/>
      <c r="AB767" s="1333"/>
      <c r="AC767" s="1333"/>
      <c r="AD767" s="1333"/>
      <c r="AE767" s="1333"/>
      <c r="AF767" s="1333"/>
      <c r="AG767" s="1333"/>
      <c r="AH767" s="1333"/>
      <c r="AI767" s="1333"/>
      <c r="AJ767" s="1333"/>
    </row>
    <row r="768" spans="1:36" x14ac:dyDescent="0.25">
      <c r="A768" s="1331"/>
      <c r="B768" s="1284"/>
      <c r="C768" s="1284"/>
      <c r="D768" s="1364"/>
      <c r="E768" s="1364"/>
      <c r="F768" s="1364"/>
      <c r="G768" s="1365"/>
      <c r="H768" s="1333"/>
      <c r="I768" s="1333"/>
      <c r="J768" s="1333"/>
      <c r="K768" s="1333"/>
      <c r="L768" s="1333"/>
      <c r="M768" s="1333"/>
      <c r="N768" s="1333"/>
      <c r="O768" s="1333"/>
      <c r="P768" s="1333"/>
      <c r="Q768" s="1333"/>
      <c r="R768" s="1333"/>
      <c r="S768" s="1333"/>
      <c r="T768" s="1333"/>
      <c r="U768" s="1333"/>
      <c r="V768" s="1333"/>
      <c r="W768" s="1333"/>
      <c r="X768" s="1333"/>
      <c r="Y768" s="1333"/>
      <c r="Z768" s="1333"/>
      <c r="AA768" s="1333"/>
      <c r="AB768" s="1333"/>
      <c r="AC768" s="1333"/>
      <c r="AD768" s="1333"/>
      <c r="AE768" s="1333"/>
      <c r="AF768" s="1333"/>
      <c r="AG768" s="1333"/>
      <c r="AH768" s="1333"/>
      <c r="AI768" s="1333"/>
      <c r="AJ768" s="1333"/>
    </row>
    <row r="769" spans="1:36" x14ac:dyDescent="0.25">
      <c r="A769" s="1331"/>
      <c r="B769" s="1284"/>
      <c r="C769" s="1284"/>
      <c r="D769" s="1364"/>
      <c r="E769" s="1364"/>
      <c r="F769" s="1364"/>
      <c r="G769" s="1365"/>
      <c r="H769" s="1333"/>
      <c r="I769" s="1333"/>
      <c r="J769" s="1333"/>
      <c r="K769" s="1333"/>
      <c r="L769" s="1333"/>
      <c r="M769" s="1333"/>
      <c r="N769" s="1333"/>
      <c r="O769" s="1333"/>
      <c r="P769" s="1333"/>
      <c r="Q769" s="1333"/>
      <c r="R769" s="1333"/>
      <c r="S769" s="1333"/>
      <c r="T769" s="1333"/>
      <c r="U769" s="1333"/>
      <c r="V769" s="1333"/>
      <c r="W769" s="1333"/>
      <c r="X769" s="1333"/>
      <c r="Y769" s="1333"/>
      <c r="Z769" s="1333"/>
      <c r="AA769" s="1333"/>
      <c r="AB769" s="1333"/>
      <c r="AC769" s="1333"/>
      <c r="AD769" s="1333"/>
      <c r="AE769" s="1333"/>
      <c r="AF769" s="1333"/>
      <c r="AG769" s="1333"/>
      <c r="AH769" s="1333"/>
      <c r="AI769" s="1333"/>
      <c r="AJ769" s="1333"/>
    </row>
    <row r="770" spans="1:36" x14ac:dyDescent="0.25">
      <c r="A770" s="1331"/>
      <c r="B770" s="1284"/>
      <c r="C770" s="1284"/>
      <c r="D770" s="1364"/>
      <c r="E770" s="1364"/>
      <c r="F770" s="1364"/>
      <c r="G770" s="1365"/>
      <c r="H770" s="1333"/>
      <c r="I770" s="1333"/>
      <c r="J770" s="1333"/>
      <c r="K770" s="1333"/>
      <c r="L770" s="1333"/>
      <c r="M770" s="1333"/>
      <c r="N770" s="1333"/>
      <c r="O770" s="1333"/>
      <c r="P770" s="1333"/>
      <c r="Q770" s="1333"/>
      <c r="R770" s="1333"/>
      <c r="S770" s="1333"/>
      <c r="T770" s="1333"/>
      <c r="U770" s="1333"/>
      <c r="V770" s="1333"/>
      <c r="W770" s="1333"/>
      <c r="X770" s="1333"/>
      <c r="Y770" s="1333"/>
      <c r="Z770" s="1333"/>
      <c r="AA770" s="1333"/>
      <c r="AB770" s="1333"/>
      <c r="AC770" s="1333"/>
      <c r="AD770" s="1333"/>
      <c r="AE770" s="1333"/>
      <c r="AF770" s="1333"/>
      <c r="AG770" s="1333"/>
      <c r="AH770" s="1333"/>
      <c r="AI770" s="1333"/>
      <c r="AJ770" s="1333"/>
    </row>
    <row r="771" spans="1:36" x14ac:dyDescent="0.25">
      <c r="A771" s="1331"/>
      <c r="B771" s="1284"/>
      <c r="C771" s="1284"/>
      <c r="D771" s="1364"/>
      <c r="E771" s="1364"/>
      <c r="F771" s="1364"/>
      <c r="G771" s="1365"/>
      <c r="H771" s="1333"/>
      <c r="I771" s="1333"/>
      <c r="J771" s="1333"/>
      <c r="K771" s="1333"/>
      <c r="L771" s="1333"/>
      <c r="M771" s="1333"/>
      <c r="N771" s="1333"/>
      <c r="O771" s="1333"/>
      <c r="P771" s="1333"/>
      <c r="Q771" s="1333"/>
      <c r="R771" s="1333"/>
      <c r="S771" s="1333"/>
      <c r="T771" s="1333"/>
      <c r="U771" s="1333"/>
      <c r="V771" s="1333"/>
      <c r="W771" s="1333"/>
      <c r="X771" s="1333"/>
      <c r="Y771" s="1333"/>
      <c r="Z771" s="1333"/>
      <c r="AA771" s="1333"/>
      <c r="AB771" s="1333"/>
      <c r="AC771" s="1333"/>
      <c r="AD771" s="1333"/>
      <c r="AE771" s="1333"/>
      <c r="AF771" s="1333"/>
      <c r="AG771" s="1333"/>
      <c r="AH771" s="1333"/>
      <c r="AI771" s="1333"/>
      <c r="AJ771" s="1333"/>
    </row>
    <row r="772" spans="1:36" x14ac:dyDescent="0.25">
      <c r="A772" s="1331"/>
      <c r="B772" s="1284"/>
      <c r="C772" s="1284"/>
      <c r="D772" s="1364"/>
      <c r="E772" s="1364"/>
      <c r="F772" s="1364"/>
      <c r="G772" s="1365"/>
      <c r="H772" s="1333"/>
      <c r="I772" s="1333"/>
      <c r="J772" s="1333"/>
      <c r="K772" s="1333"/>
      <c r="L772" s="1333"/>
      <c r="M772" s="1333"/>
      <c r="N772" s="1333"/>
      <c r="O772" s="1333"/>
      <c r="P772" s="1333"/>
      <c r="Q772" s="1333"/>
      <c r="R772" s="1333"/>
      <c r="S772" s="1333"/>
      <c r="T772" s="1333"/>
      <c r="U772" s="1333"/>
      <c r="V772" s="1333"/>
      <c r="W772" s="1333"/>
      <c r="X772" s="1333"/>
      <c r="Y772" s="1333"/>
      <c r="Z772" s="1333"/>
      <c r="AA772" s="1333"/>
      <c r="AB772" s="1333"/>
      <c r="AC772" s="1333"/>
      <c r="AD772" s="1333"/>
      <c r="AE772" s="1333"/>
      <c r="AF772" s="1333"/>
      <c r="AG772" s="1333"/>
      <c r="AH772" s="1333"/>
      <c r="AI772" s="1333"/>
      <c r="AJ772" s="1333"/>
    </row>
    <row r="773" spans="1:36" x14ac:dyDescent="0.25">
      <c r="A773" s="1331"/>
      <c r="B773" s="1284"/>
      <c r="C773" s="1284"/>
      <c r="D773" s="1364"/>
      <c r="E773" s="1364"/>
      <c r="F773" s="1364"/>
      <c r="G773" s="1365"/>
      <c r="H773" s="1333"/>
      <c r="I773" s="1333"/>
      <c r="J773" s="1333"/>
      <c r="K773" s="1333"/>
      <c r="L773" s="1333"/>
      <c r="M773" s="1333"/>
      <c r="N773" s="1333"/>
      <c r="O773" s="1333"/>
      <c r="P773" s="1333"/>
      <c r="Q773" s="1333"/>
      <c r="R773" s="1333"/>
      <c r="S773" s="1333"/>
      <c r="T773" s="1333"/>
      <c r="U773" s="1333"/>
      <c r="V773" s="1333"/>
      <c r="W773" s="1333"/>
      <c r="X773" s="1333"/>
      <c r="Y773" s="1333"/>
      <c r="Z773" s="1333"/>
      <c r="AA773" s="1333"/>
      <c r="AB773" s="1333"/>
      <c r="AC773" s="1333"/>
      <c r="AD773" s="1333"/>
      <c r="AE773" s="1333"/>
      <c r="AF773" s="1333"/>
      <c r="AG773" s="1333"/>
      <c r="AH773" s="1333"/>
      <c r="AI773" s="1333"/>
      <c r="AJ773" s="1333"/>
    </row>
    <row r="774" spans="1:36" x14ac:dyDescent="0.25">
      <c r="A774" s="1331"/>
      <c r="B774" s="1284"/>
      <c r="C774" s="1284"/>
      <c r="D774" s="1364"/>
      <c r="E774" s="1364"/>
      <c r="F774" s="1364"/>
      <c r="G774" s="1365"/>
      <c r="H774" s="1333"/>
      <c r="I774" s="1333"/>
      <c r="J774" s="1333"/>
      <c r="K774" s="1333"/>
      <c r="L774" s="1333"/>
      <c r="M774" s="1333"/>
      <c r="N774" s="1333"/>
      <c r="O774" s="1333"/>
      <c r="P774" s="1333"/>
      <c r="Q774" s="1333"/>
      <c r="R774" s="1333"/>
      <c r="S774" s="1333"/>
      <c r="T774" s="1333"/>
      <c r="U774" s="1333"/>
      <c r="V774" s="1333"/>
      <c r="W774" s="1333"/>
      <c r="X774" s="1333"/>
      <c r="Y774" s="1333"/>
      <c r="Z774" s="1333"/>
      <c r="AA774" s="1333"/>
      <c r="AB774" s="1333"/>
      <c r="AC774" s="1333"/>
      <c r="AD774" s="1333"/>
      <c r="AE774" s="1333"/>
      <c r="AF774" s="1333"/>
      <c r="AG774" s="1333"/>
      <c r="AH774" s="1333"/>
      <c r="AI774" s="1333"/>
      <c r="AJ774" s="1333"/>
    </row>
    <row r="775" spans="1:36" x14ac:dyDescent="0.25">
      <c r="A775" s="1331"/>
      <c r="B775" s="1284"/>
      <c r="C775" s="1284"/>
      <c r="D775" s="1364"/>
      <c r="E775" s="1364"/>
      <c r="F775" s="1364"/>
      <c r="G775" s="1365"/>
      <c r="H775" s="1333"/>
      <c r="I775" s="1333"/>
      <c r="J775" s="1333"/>
      <c r="K775" s="1333"/>
      <c r="L775" s="1333"/>
      <c r="M775" s="1333"/>
      <c r="N775" s="1333"/>
      <c r="O775" s="1333"/>
      <c r="P775" s="1333"/>
      <c r="Q775" s="1333"/>
      <c r="R775" s="1333"/>
      <c r="S775" s="1333"/>
      <c r="T775" s="1333"/>
      <c r="U775" s="1333"/>
      <c r="V775" s="1333"/>
      <c r="W775" s="1333"/>
      <c r="X775" s="1333"/>
      <c r="Y775" s="1333"/>
      <c r="Z775" s="1333"/>
      <c r="AA775" s="1333"/>
      <c r="AB775" s="1333"/>
      <c r="AC775" s="1333"/>
      <c r="AD775" s="1333"/>
      <c r="AE775" s="1333"/>
      <c r="AF775" s="1333"/>
      <c r="AG775" s="1333"/>
      <c r="AH775" s="1333"/>
      <c r="AI775" s="1333"/>
      <c r="AJ775" s="1333"/>
    </row>
    <row r="776" spans="1:36" x14ac:dyDescent="0.25">
      <c r="A776" s="1331"/>
      <c r="B776" s="1284"/>
      <c r="C776" s="1284"/>
      <c r="D776" s="1364"/>
      <c r="E776" s="1364"/>
      <c r="F776" s="1364"/>
      <c r="G776" s="1365"/>
      <c r="H776" s="1333"/>
      <c r="I776" s="1333"/>
      <c r="J776" s="1333"/>
      <c r="K776" s="1333"/>
      <c r="L776" s="1333"/>
      <c r="M776" s="1333"/>
      <c r="N776" s="1333"/>
      <c r="O776" s="1333"/>
      <c r="P776" s="1333"/>
      <c r="Q776" s="1333"/>
      <c r="R776" s="1333"/>
      <c r="S776" s="1333"/>
      <c r="T776" s="1333"/>
      <c r="U776" s="1333"/>
      <c r="V776" s="1333"/>
      <c r="W776" s="1333"/>
      <c r="X776" s="1333"/>
      <c r="Y776" s="1333"/>
      <c r="Z776" s="1333"/>
      <c r="AA776" s="1333"/>
      <c r="AB776" s="1333"/>
      <c r="AC776" s="1333"/>
      <c r="AD776" s="1333"/>
      <c r="AE776" s="1333"/>
      <c r="AF776" s="1333"/>
      <c r="AG776" s="1333"/>
      <c r="AH776" s="1333"/>
      <c r="AI776" s="1333"/>
      <c r="AJ776" s="1333"/>
    </row>
    <row r="777" spans="1:36" x14ac:dyDescent="0.25">
      <c r="A777" s="1331"/>
      <c r="B777" s="1284"/>
      <c r="C777" s="1284"/>
      <c r="D777" s="1364"/>
      <c r="E777" s="1364"/>
      <c r="F777" s="1364"/>
      <c r="G777" s="1365"/>
      <c r="H777" s="1333"/>
      <c r="I777" s="1333"/>
      <c r="J777" s="1333"/>
      <c r="K777" s="1333"/>
      <c r="L777" s="1333"/>
      <c r="M777" s="1333"/>
      <c r="N777" s="1333"/>
      <c r="O777" s="1333"/>
      <c r="P777" s="1333"/>
      <c r="Q777" s="1333"/>
      <c r="R777" s="1333"/>
      <c r="S777" s="1333"/>
      <c r="T777" s="1333"/>
      <c r="U777" s="1333"/>
      <c r="V777" s="1333"/>
      <c r="W777" s="1333"/>
      <c r="X777" s="1333"/>
      <c r="Y777" s="1333"/>
      <c r="Z777" s="1333"/>
      <c r="AA777" s="1333"/>
      <c r="AB777" s="1333"/>
      <c r="AC777" s="1333"/>
      <c r="AD777" s="1333"/>
      <c r="AE777" s="1333"/>
      <c r="AF777" s="1333"/>
      <c r="AG777" s="1333"/>
      <c r="AH777" s="1333"/>
      <c r="AI777" s="1333"/>
      <c r="AJ777" s="1333"/>
    </row>
    <row r="778" spans="1:36" x14ac:dyDescent="0.25">
      <c r="A778" s="1331"/>
      <c r="B778" s="1284"/>
      <c r="C778" s="1284"/>
      <c r="D778" s="1364"/>
      <c r="E778" s="1364"/>
      <c r="F778" s="1364"/>
      <c r="G778" s="1365"/>
      <c r="H778" s="1333"/>
      <c r="I778" s="1333"/>
      <c r="J778" s="1333"/>
      <c r="K778" s="1333"/>
      <c r="L778" s="1333"/>
      <c r="M778" s="1333"/>
      <c r="N778" s="1333"/>
      <c r="O778" s="1333"/>
      <c r="P778" s="1333"/>
      <c r="Q778" s="1333"/>
      <c r="R778" s="1333"/>
      <c r="S778" s="1333"/>
      <c r="T778" s="1333"/>
      <c r="U778" s="1333"/>
      <c r="V778" s="1333"/>
      <c r="W778" s="1333"/>
      <c r="X778" s="1333"/>
      <c r="Y778" s="1333"/>
      <c r="Z778" s="1333"/>
      <c r="AA778" s="1333"/>
      <c r="AB778" s="1333"/>
      <c r="AC778" s="1333"/>
      <c r="AD778" s="1333"/>
      <c r="AE778" s="1333"/>
      <c r="AF778" s="1333"/>
      <c r="AG778" s="1333"/>
      <c r="AH778" s="1333"/>
      <c r="AI778" s="1333"/>
      <c r="AJ778" s="1333"/>
    </row>
    <row r="779" spans="1:36" x14ac:dyDescent="0.25">
      <c r="A779" s="1331"/>
      <c r="B779" s="1284"/>
      <c r="C779" s="1284"/>
      <c r="D779" s="1364"/>
      <c r="E779" s="1364"/>
      <c r="F779" s="1364"/>
      <c r="G779" s="1365"/>
      <c r="H779" s="1333"/>
      <c r="I779" s="1333"/>
      <c r="J779" s="1333"/>
      <c r="K779" s="1333"/>
      <c r="L779" s="1333"/>
      <c r="M779" s="1333"/>
      <c r="N779" s="1333"/>
      <c r="O779" s="1333"/>
      <c r="P779" s="1333"/>
      <c r="Q779" s="1333"/>
      <c r="R779" s="1333"/>
      <c r="S779" s="1333"/>
      <c r="T779" s="1333"/>
      <c r="U779" s="1333"/>
      <c r="V779" s="1333"/>
      <c r="W779" s="1333"/>
      <c r="X779" s="1333"/>
      <c r="Y779" s="1333"/>
      <c r="Z779" s="1333"/>
      <c r="AA779" s="1333"/>
      <c r="AB779" s="1333"/>
      <c r="AC779" s="1333"/>
      <c r="AD779" s="1333"/>
      <c r="AE779" s="1333"/>
      <c r="AF779" s="1333"/>
      <c r="AG779" s="1333"/>
      <c r="AH779" s="1333"/>
      <c r="AI779" s="1333"/>
      <c r="AJ779" s="1333"/>
    </row>
    <row r="780" spans="1:36" x14ac:dyDescent="0.25">
      <c r="A780" s="1331"/>
      <c r="B780" s="1284"/>
      <c r="C780" s="1284"/>
      <c r="D780" s="1364"/>
      <c r="E780" s="1364"/>
      <c r="F780" s="1364"/>
      <c r="G780" s="1365"/>
      <c r="H780" s="1333"/>
      <c r="I780" s="1333"/>
      <c r="J780" s="1333"/>
      <c r="K780" s="1333"/>
      <c r="L780" s="1333"/>
      <c r="M780" s="1333"/>
      <c r="N780" s="1333"/>
      <c r="O780" s="1333"/>
      <c r="P780" s="1333"/>
      <c r="Q780" s="1333"/>
      <c r="R780" s="1333"/>
      <c r="S780" s="1333"/>
      <c r="T780" s="1333"/>
      <c r="U780" s="1333"/>
      <c r="V780" s="1333"/>
      <c r="W780" s="1333"/>
      <c r="X780" s="1333"/>
      <c r="Y780" s="1333"/>
      <c r="Z780" s="1333"/>
      <c r="AA780" s="1333"/>
      <c r="AB780" s="1333"/>
      <c r="AC780" s="1333"/>
      <c r="AD780" s="1333"/>
      <c r="AE780" s="1333"/>
      <c r="AF780" s="1333"/>
      <c r="AG780" s="1333"/>
      <c r="AH780" s="1333"/>
      <c r="AI780" s="1333"/>
      <c r="AJ780" s="1333"/>
    </row>
    <row r="781" spans="1:36" x14ac:dyDescent="0.25">
      <c r="A781" s="1331"/>
      <c r="B781" s="1284"/>
      <c r="C781" s="1284"/>
      <c r="D781" s="1364"/>
      <c r="E781" s="1364"/>
      <c r="F781" s="1364"/>
      <c r="G781" s="1365"/>
      <c r="H781" s="1333"/>
      <c r="I781" s="1333"/>
      <c r="J781" s="1333"/>
      <c r="K781" s="1333"/>
      <c r="L781" s="1333"/>
      <c r="M781" s="1333"/>
      <c r="N781" s="1333"/>
      <c r="O781" s="1333"/>
      <c r="P781" s="1333"/>
      <c r="Q781" s="1333"/>
      <c r="R781" s="1333"/>
      <c r="S781" s="1333"/>
      <c r="T781" s="1333"/>
      <c r="U781" s="1333"/>
      <c r="V781" s="1333"/>
      <c r="W781" s="1333"/>
      <c r="X781" s="1333"/>
      <c r="Y781" s="1333"/>
      <c r="Z781" s="1333"/>
      <c r="AA781" s="1333"/>
      <c r="AB781" s="1333"/>
      <c r="AC781" s="1333"/>
      <c r="AD781" s="1333"/>
      <c r="AE781" s="1333"/>
      <c r="AF781" s="1333"/>
      <c r="AG781" s="1333"/>
      <c r="AH781" s="1333"/>
      <c r="AI781" s="1333"/>
      <c r="AJ781" s="1333"/>
    </row>
    <row r="782" spans="1:36" x14ac:dyDescent="0.25">
      <c r="A782" s="1331"/>
      <c r="B782" s="1284"/>
      <c r="C782" s="1284"/>
      <c r="D782" s="1364"/>
      <c r="E782" s="1364"/>
      <c r="F782" s="1364"/>
      <c r="G782" s="1365"/>
      <c r="H782" s="1333"/>
      <c r="I782" s="1333"/>
      <c r="J782" s="1333"/>
      <c r="K782" s="1333"/>
      <c r="L782" s="1333"/>
      <c r="M782" s="1333"/>
      <c r="N782" s="1333"/>
      <c r="O782" s="1333"/>
      <c r="P782" s="1333"/>
      <c r="Q782" s="1333"/>
      <c r="R782" s="1333"/>
      <c r="S782" s="1333"/>
      <c r="T782" s="1333"/>
      <c r="U782" s="1333"/>
      <c r="V782" s="1333"/>
      <c r="W782" s="1333"/>
      <c r="X782" s="1333"/>
      <c r="Y782" s="1333"/>
      <c r="Z782" s="1333"/>
      <c r="AA782" s="1333"/>
      <c r="AB782" s="1333"/>
      <c r="AC782" s="1333"/>
      <c r="AD782" s="1333"/>
      <c r="AE782" s="1333"/>
      <c r="AF782" s="1333"/>
      <c r="AG782" s="1333"/>
      <c r="AH782" s="1333"/>
      <c r="AI782" s="1333"/>
      <c r="AJ782" s="1333"/>
    </row>
    <row r="783" spans="1:36" x14ac:dyDescent="0.25">
      <c r="A783" s="1331"/>
      <c r="B783" s="1284"/>
      <c r="C783" s="1284"/>
      <c r="D783" s="1364"/>
      <c r="E783" s="1364"/>
      <c r="F783" s="1364"/>
      <c r="G783" s="1365"/>
      <c r="H783" s="1333"/>
      <c r="I783" s="1333"/>
      <c r="J783" s="1333"/>
      <c r="K783" s="1333"/>
      <c r="L783" s="1333"/>
      <c r="M783" s="1333"/>
      <c r="N783" s="1333"/>
      <c r="O783" s="1333"/>
      <c r="P783" s="1333"/>
      <c r="Q783" s="1333"/>
      <c r="R783" s="1333"/>
      <c r="S783" s="1333"/>
      <c r="T783" s="1333"/>
      <c r="U783" s="1333"/>
      <c r="V783" s="1333"/>
      <c r="W783" s="1333"/>
      <c r="X783" s="1333"/>
      <c r="Y783" s="1333"/>
      <c r="Z783" s="1333"/>
      <c r="AA783" s="1333"/>
      <c r="AB783" s="1333"/>
      <c r="AC783" s="1333"/>
      <c r="AD783" s="1333"/>
      <c r="AE783" s="1333"/>
      <c r="AF783" s="1333"/>
      <c r="AG783" s="1333"/>
      <c r="AH783" s="1333"/>
      <c r="AI783" s="1333"/>
      <c r="AJ783" s="1333"/>
    </row>
    <row r="784" spans="1:36" x14ac:dyDescent="0.25">
      <c r="A784" s="1331"/>
      <c r="B784" s="1284"/>
      <c r="C784" s="1284"/>
      <c r="D784" s="1364"/>
      <c r="E784" s="1364"/>
      <c r="F784" s="1364"/>
      <c r="G784" s="1365"/>
      <c r="H784" s="1333"/>
      <c r="I784" s="1333"/>
      <c r="J784" s="1333"/>
      <c r="K784" s="1333"/>
      <c r="L784" s="1333"/>
      <c r="M784" s="1333"/>
      <c r="N784" s="1333"/>
      <c r="O784" s="1333"/>
      <c r="P784" s="1333"/>
      <c r="Q784" s="1333"/>
      <c r="R784" s="1333"/>
      <c r="S784" s="1333"/>
      <c r="T784" s="1333"/>
      <c r="U784" s="1333"/>
      <c r="V784" s="1333"/>
      <c r="W784" s="1333"/>
      <c r="X784" s="1333"/>
      <c r="Y784" s="1333"/>
      <c r="Z784" s="1333"/>
      <c r="AA784" s="1333"/>
      <c r="AB784" s="1333"/>
      <c r="AC784" s="1333"/>
      <c r="AD784" s="1333"/>
      <c r="AE784" s="1333"/>
      <c r="AF784" s="1333"/>
      <c r="AG784" s="1333"/>
      <c r="AH784" s="1333"/>
      <c r="AI784" s="1333"/>
      <c r="AJ784" s="1333"/>
    </row>
    <row r="785" spans="1:36" x14ac:dyDescent="0.25">
      <c r="A785" s="1331"/>
      <c r="B785" s="1284"/>
      <c r="C785" s="1284"/>
      <c r="D785" s="1364"/>
      <c r="E785" s="1364"/>
      <c r="F785" s="1364"/>
      <c r="G785" s="1365"/>
      <c r="H785" s="1333"/>
      <c r="I785" s="1333"/>
      <c r="J785" s="1333"/>
      <c r="K785" s="1333"/>
      <c r="L785" s="1333"/>
      <c r="M785" s="1333"/>
      <c r="N785" s="1333"/>
      <c r="O785" s="1333"/>
      <c r="P785" s="1333"/>
      <c r="Q785" s="1333"/>
      <c r="R785" s="1333"/>
      <c r="S785" s="1333"/>
      <c r="T785" s="1333"/>
      <c r="U785" s="1333"/>
      <c r="V785" s="1333"/>
      <c r="W785" s="1333"/>
      <c r="X785" s="1333"/>
      <c r="Y785" s="1333"/>
      <c r="Z785" s="1333"/>
      <c r="AA785" s="1333"/>
      <c r="AB785" s="1333"/>
      <c r="AC785" s="1333"/>
      <c r="AD785" s="1333"/>
      <c r="AE785" s="1333"/>
      <c r="AF785" s="1333"/>
      <c r="AG785" s="1333"/>
      <c r="AH785" s="1333"/>
      <c r="AI785" s="1333"/>
      <c r="AJ785" s="1333"/>
    </row>
    <row r="786" spans="1:36" x14ac:dyDescent="0.25">
      <c r="A786" s="1331"/>
      <c r="B786" s="1284"/>
      <c r="C786" s="1284"/>
      <c r="D786" s="1364"/>
      <c r="E786" s="1364"/>
      <c r="F786" s="1364"/>
      <c r="G786" s="1365"/>
      <c r="H786" s="1333"/>
      <c r="I786" s="1333"/>
      <c r="J786" s="1333"/>
      <c r="K786" s="1333"/>
      <c r="L786" s="1333"/>
      <c r="M786" s="1333"/>
      <c r="N786" s="1333"/>
      <c r="O786" s="1333"/>
      <c r="P786" s="1333"/>
      <c r="Q786" s="1333"/>
      <c r="R786" s="1333"/>
      <c r="S786" s="1333"/>
      <c r="T786" s="1333"/>
      <c r="U786" s="1333"/>
      <c r="V786" s="1333"/>
      <c r="W786" s="1333"/>
      <c r="X786" s="1333"/>
      <c r="Y786" s="1333"/>
      <c r="Z786" s="1333"/>
      <c r="AA786" s="1333"/>
      <c r="AB786" s="1333"/>
      <c r="AC786" s="1333"/>
      <c r="AD786" s="1333"/>
      <c r="AE786" s="1333"/>
      <c r="AF786" s="1333"/>
      <c r="AG786" s="1333"/>
      <c r="AH786" s="1333"/>
      <c r="AI786" s="1333"/>
      <c r="AJ786" s="1333"/>
    </row>
    <row r="787" spans="1:36" x14ac:dyDescent="0.25">
      <c r="A787" s="1331"/>
      <c r="B787" s="1284"/>
      <c r="C787" s="1284"/>
      <c r="D787" s="1364"/>
      <c r="E787" s="1364"/>
      <c r="F787" s="1364"/>
      <c r="G787" s="1365"/>
      <c r="H787" s="1333"/>
      <c r="I787" s="1333"/>
      <c r="J787" s="1333"/>
      <c r="K787" s="1333"/>
      <c r="L787" s="1333"/>
      <c r="M787" s="1333"/>
      <c r="N787" s="1333"/>
      <c r="O787" s="1333"/>
      <c r="P787" s="1333"/>
      <c r="Q787" s="1333"/>
      <c r="R787" s="1333"/>
      <c r="S787" s="1333"/>
      <c r="T787" s="1333"/>
      <c r="U787" s="1333"/>
      <c r="V787" s="1333"/>
      <c r="W787" s="1333"/>
      <c r="X787" s="1333"/>
      <c r="Y787" s="1333"/>
      <c r="Z787" s="1333"/>
      <c r="AA787" s="1333"/>
      <c r="AB787" s="1333"/>
      <c r="AC787" s="1333"/>
      <c r="AD787" s="1333"/>
      <c r="AE787" s="1333"/>
      <c r="AF787" s="1333"/>
      <c r="AG787" s="1333"/>
      <c r="AH787" s="1333"/>
      <c r="AI787" s="1333"/>
      <c r="AJ787" s="1333"/>
    </row>
  </sheetData>
  <sheetProtection formatColumns="0" formatRows="0" selectLockedCells="1"/>
  <mergeCells count="48">
    <mergeCell ref="C478:E478"/>
    <mergeCell ref="K15:K23"/>
    <mergeCell ref="C473:E473"/>
    <mergeCell ref="C471:E471"/>
    <mergeCell ref="C475:E475"/>
    <mergeCell ref="C476:E476"/>
    <mergeCell ref="C467:E467"/>
    <mergeCell ref="C464:E464"/>
    <mergeCell ref="C465:E465"/>
    <mergeCell ref="F3:H3"/>
    <mergeCell ref="C485:E485"/>
    <mergeCell ref="A15:A23"/>
    <mergeCell ref="C15:H15"/>
    <mergeCell ref="C16:H16"/>
    <mergeCell ref="D23:F23"/>
    <mergeCell ref="G23:H23"/>
    <mergeCell ref="C19:H19"/>
    <mergeCell ref="C18:H18"/>
    <mergeCell ref="C21:D21"/>
    <mergeCell ref="F21:G21"/>
    <mergeCell ref="C22:D22"/>
    <mergeCell ref="F22:G22"/>
    <mergeCell ref="C482:E482"/>
    <mergeCell ref="C483:E483"/>
    <mergeCell ref="C480:E480"/>
    <mergeCell ref="C491:E491"/>
    <mergeCell ref="C492:E492"/>
    <mergeCell ref="C486:E486"/>
    <mergeCell ref="C487:E487"/>
    <mergeCell ref="C488:E488"/>
    <mergeCell ref="C489:E489"/>
    <mergeCell ref="C490:E490"/>
    <mergeCell ref="C493:E493"/>
    <mergeCell ref="C494:E494"/>
    <mergeCell ref="C495:E495"/>
    <mergeCell ref="C496:E496"/>
    <mergeCell ref="C497:E497"/>
    <mergeCell ref="C498:E498"/>
    <mergeCell ref="C499:E499"/>
    <mergeCell ref="C500:E500"/>
    <mergeCell ref="C501:E501"/>
    <mergeCell ref="C502:E502"/>
    <mergeCell ref="C508:E508"/>
    <mergeCell ref="C503:E503"/>
    <mergeCell ref="C504:E504"/>
    <mergeCell ref="C505:E505"/>
    <mergeCell ref="C506:E506"/>
    <mergeCell ref="C507:E507"/>
  </mergeCells>
  <conditionalFormatting sqref="D4">
    <cfRule type="cellIs" dxfId="1074" priority="1166" operator="equal">
      <formula>"?"</formula>
    </cfRule>
    <cfRule type="cellIs" dxfId="1073" priority="1167" operator="equal">
      <formula>"Y"</formula>
    </cfRule>
  </conditionalFormatting>
  <conditionalFormatting sqref="E5">
    <cfRule type="cellIs" dxfId="1072" priority="1162" operator="equal">
      <formula>"?"</formula>
    </cfRule>
    <cfRule type="cellIs" dxfId="1071" priority="1163" operator="equal">
      <formula>"Y"</formula>
    </cfRule>
  </conditionalFormatting>
  <conditionalFormatting sqref="F6">
    <cfRule type="cellIs" dxfId="1070" priority="1158" operator="equal">
      <formula>"?"</formula>
    </cfRule>
    <cfRule type="cellIs" dxfId="1069" priority="1159" operator="equal">
      <formula>"Y"</formula>
    </cfRule>
  </conditionalFormatting>
  <conditionalFormatting sqref="F218:H230">
    <cfRule type="expression" dxfId="1068" priority="977">
      <formula>$E$218="N"</formula>
    </cfRule>
  </conditionalFormatting>
  <conditionalFormatting sqref="F231:H251">
    <cfRule type="expression" dxfId="1067" priority="978">
      <formula>$E$231="N"</formula>
    </cfRule>
  </conditionalFormatting>
  <conditionalFormatting sqref="F270:H278">
    <cfRule type="expression" dxfId="1066" priority="1015">
      <formula>$E$270="N"</formula>
    </cfRule>
  </conditionalFormatting>
  <conditionalFormatting sqref="F289:H298">
    <cfRule type="expression" dxfId="1065" priority="1031">
      <formula>$E$289="N"</formula>
    </cfRule>
  </conditionalFormatting>
  <conditionalFormatting sqref="F316:H331">
    <cfRule type="expression" dxfId="1064" priority="1077">
      <formula>$E$316="N"</formula>
    </cfRule>
  </conditionalFormatting>
  <conditionalFormatting sqref="F340:H349">
    <cfRule type="expression" dxfId="1063" priority="1137">
      <formula>$E$340="N"</formula>
    </cfRule>
  </conditionalFormatting>
  <conditionalFormatting sqref="F279:H288">
    <cfRule type="expression" dxfId="1062" priority="1016">
      <formula>$E$279="N"</formula>
    </cfRule>
  </conditionalFormatting>
  <conditionalFormatting sqref="F358:H366">
    <cfRule type="expression" dxfId="1061" priority="1120">
      <formula>$E$358="N"</formula>
    </cfRule>
  </conditionalFormatting>
  <conditionalFormatting sqref="F299:H308">
    <cfRule type="expression" dxfId="1060" priority="1060">
      <formula>$E$299="N"</formula>
    </cfRule>
  </conditionalFormatting>
  <conditionalFormatting sqref="E168:I168">
    <cfRule type="expression" dxfId="1059" priority="851">
      <formula>$D$168="N"</formula>
    </cfRule>
  </conditionalFormatting>
  <conditionalFormatting sqref="E25:H456">
    <cfRule type="expression" dxfId="1058" priority="225">
      <formula>$D25="N"</formula>
    </cfRule>
  </conditionalFormatting>
  <conditionalFormatting sqref="F332:H339">
    <cfRule type="expression" dxfId="1057" priority="1115">
      <formula>$E$332="N"</formula>
    </cfRule>
  </conditionalFormatting>
  <conditionalFormatting sqref="F255:H269">
    <cfRule type="expression" dxfId="1056" priority="1007">
      <formula>$E$255="N"</formula>
    </cfRule>
  </conditionalFormatting>
  <conditionalFormatting sqref="E126:H126">
    <cfRule type="expression" dxfId="1055" priority="849">
      <formula>$D$126="N"</formula>
    </cfRule>
  </conditionalFormatting>
  <conditionalFormatting sqref="C16:I16">
    <cfRule type="cellIs" dxfId="1054" priority="390" operator="equal">
      <formula>"NO DESIGN - 50% CD DOES NOT APPLY"</formula>
    </cfRule>
    <cfRule type="cellIs" dxfId="1053" priority="391" operator="equal">
      <formula>"50% CD DOES NOT APPLY"</formula>
    </cfRule>
  </conditionalFormatting>
  <conditionalFormatting sqref="F350:H357">
    <cfRule type="expression" dxfId="1052" priority="1138">
      <formula>$E$350="N"</formula>
    </cfRule>
  </conditionalFormatting>
  <conditionalFormatting sqref="E39:H39">
    <cfRule type="expression" dxfId="1051" priority="795">
      <formula>$D$39="N"</formula>
    </cfRule>
  </conditionalFormatting>
  <conditionalFormatting sqref="E206:H381">
    <cfRule type="expression" dxfId="1050" priority="964">
      <formula>$D$206="N"</formula>
    </cfRule>
  </conditionalFormatting>
  <conditionalFormatting sqref="E206:H206">
    <cfRule type="expression" dxfId="1049" priority="963">
      <formula>$D$206="N"</formula>
    </cfRule>
  </conditionalFormatting>
  <conditionalFormatting sqref="E180:H180">
    <cfRule type="expression" dxfId="1048" priority="959">
      <formula>$D$180="N"</formula>
    </cfRule>
  </conditionalFormatting>
  <conditionalFormatting sqref="E37:H37">
    <cfRule type="expression" dxfId="1047" priority="782">
      <formula>$D$37="N"</formula>
    </cfRule>
  </conditionalFormatting>
  <conditionalFormatting sqref="E32:H32">
    <cfRule type="expression" dxfId="1046" priority="631">
      <formula>$D$32="N"</formula>
    </cfRule>
  </conditionalFormatting>
  <conditionalFormatting sqref="E27:H27">
    <cfRule type="expression" dxfId="1045" priority="630">
      <formula>$D$27="N"</formula>
    </cfRule>
  </conditionalFormatting>
  <conditionalFormatting sqref="G25:H25">
    <cfRule type="expression" dxfId="1044" priority="629">
      <formula>$D$25="N"</formula>
    </cfRule>
  </conditionalFormatting>
  <conditionalFormatting sqref="G479 G462:G463 G466">
    <cfRule type="expression" dxfId="1043" priority="906">
      <formula>$C$16="DESIGN DEVELOPMENT DOES NOT APPLY"</formula>
    </cfRule>
    <cfRule type="expression" dxfId="1042" priority="907">
      <formula>$C$16="NO DESIGN - DESIGN DEVELOPMENT DOES NOT APPLY"</formula>
    </cfRule>
  </conditionalFormatting>
  <conditionalFormatting sqref="G25:H456">
    <cfRule type="expression" dxfId="1041" priority="392">
      <formula>$E25="N"</formula>
    </cfRule>
  </conditionalFormatting>
  <conditionalFormatting sqref="F25:H455">
    <cfRule type="expression" dxfId="1040" priority="435">
      <formula>$F25="N"</formula>
    </cfRule>
  </conditionalFormatting>
  <conditionalFormatting sqref="E385:H385">
    <cfRule type="expression" dxfId="1039" priority="1140">
      <formula>$D$385="N"</formula>
    </cfRule>
  </conditionalFormatting>
  <conditionalFormatting sqref="E385:H442">
    <cfRule type="expression" dxfId="1038" priority="1141">
      <formula>$D$385="N"</formula>
    </cfRule>
  </conditionalFormatting>
  <conditionalFormatting sqref="E443:H443">
    <cfRule type="expression" dxfId="1037" priority="1151">
      <formula>$D$443="N"</formula>
    </cfRule>
  </conditionalFormatting>
  <conditionalFormatting sqref="E382:H382">
    <cfRule type="expression" dxfId="1036" priority="1139">
      <formula>$D$382="N"</formula>
    </cfRule>
  </conditionalFormatting>
  <conditionalFormatting sqref="E174:H179">
    <cfRule type="expression" dxfId="1035" priority="891">
      <formula>$D$174="N"</formula>
    </cfRule>
  </conditionalFormatting>
  <conditionalFormatting sqref="E174:H174">
    <cfRule type="expression" dxfId="1034" priority="853">
      <formula>$D$174="N"</formula>
    </cfRule>
  </conditionalFormatting>
  <conditionalFormatting sqref="E180:H205">
    <cfRule type="expression" dxfId="1033" priority="960">
      <formula>$D$180="N"</formula>
    </cfRule>
  </conditionalFormatting>
  <conditionalFormatting sqref="Q139 K340 K109 K237:K255 K227 K224 K345:K350 K111:K114 K116:K117 K119:K120 K122:K133 K367 K355:K357 K370:K454 K145:K168 K229:K231 K182:K210">
    <cfRule type="cellIs" dxfId="1032" priority="577" operator="equal">
      <formula>"no DD match"</formula>
    </cfRule>
  </conditionalFormatting>
  <conditionalFormatting sqref="K25:K27 K223 K260:K270 K282 K292 K302 K319 K337:K339 K363:K366 K273 K173:K181 K218 K135:K144 K316 K61:K65 K275:K279 K284:K289 K294:K299 K304:K308 K321:K332 K358 K67:K82 K84:K90 K92:K95 K97:K100 K102:K108 K36:K59 K31:K32">
    <cfRule type="cellIs" dxfId="1031" priority="442" operator="equal">
      <formula>"no DD match"</formula>
    </cfRule>
  </conditionalFormatting>
  <conditionalFormatting sqref="A25:A59 A61:A65 A237:A257 A260:A273 A275:A282 A284:A292 A294:A302 A304:A312 A314:A319 A321:A334 A337:A342 A67:A82 A84:A90 A92:A95 A97:A100 A102:A109 A111:A114 A116:A117 A119:A120 A345:A360 A363:A367 A370:A455 A222:A227 A235 A229:A233 A122:A220">
    <cfRule type="expression" dxfId="1030" priority="441">
      <formula>$K25="no DD match"</formula>
    </cfRule>
  </conditionalFormatting>
  <conditionalFormatting sqref="E126:H167">
    <cfRule type="expression" dxfId="1029" priority="850">
      <formula>$D$126="n"</formula>
    </cfRule>
  </conditionalFormatting>
  <conditionalFormatting sqref="F367:H380">
    <cfRule type="expression" dxfId="1028" priority="1133">
      <formula>$E$367="n"</formula>
    </cfRule>
  </conditionalFormatting>
  <conditionalFormatting sqref="G372:H379">
    <cfRule type="expression" dxfId="1027" priority="1136">
      <formula>$F$372="N"</formula>
    </cfRule>
  </conditionalFormatting>
  <conditionalFormatting sqref="L456:L492 L509">
    <cfRule type="containsText" dxfId="1026" priority="413" operator="containsText" text="PlaceholdeR">
      <formula>NOT(ISERROR(SEARCH("PlaceholdeR",L456)))</formula>
    </cfRule>
  </conditionalFormatting>
  <conditionalFormatting sqref="E39:H125">
    <cfRule type="expression" dxfId="1025" priority="796">
      <formula>$D$39="N"</formula>
    </cfRule>
  </conditionalFormatting>
  <conditionalFormatting sqref="F56:H125">
    <cfRule type="expression" dxfId="1024" priority="797">
      <formula>$E$56="N"</formula>
    </cfRule>
  </conditionalFormatting>
  <conditionalFormatting sqref="E443:H455">
    <cfRule type="expression" dxfId="1023" priority="1267">
      <formula>$D$443="N"</formula>
    </cfRule>
  </conditionalFormatting>
  <conditionalFormatting sqref="F84:H87">
    <cfRule type="expression" dxfId="1022" priority="847">
      <formula>$F$82="N"</formula>
    </cfRule>
  </conditionalFormatting>
  <conditionalFormatting sqref="F90:H92">
    <cfRule type="expression" dxfId="1021" priority="848">
      <formula>$F$89="N"</formula>
    </cfRule>
  </conditionalFormatting>
  <conditionalFormatting sqref="K222">
    <cfRule type="cellIs" dxfId="1020" priority="363" operator="equal">
      <formula>"no DD match"</formula>
    </cfRule>
  </conditionalFormatting>
  <conditionalFormatting sqref="K225:K226">
    <cfRule type="cellIs" dxfId="1019" priority="358" operator="equal">
      <formula>"no DD match"</formula>
    </cfRule>
  </conditionalFormatting>
  <conditionalFormatting sqref="K219">
    <cfRule type="cellIs" dxfId="1018" priority="353" operator="equal">
      <formula>"no DD match"</formula>
    </cfRule>
  </conditionalFormatting>
  <conditionalFormatting sqref="K220">
    <cfRule type="cellIs" dxfId="1017" priority="348" operator="equal">
      <formula>"no DD match"</formula>
    </cfRule>
  </conditionalFormatting>
  <conditionalFormatting sqref="K233">
    <cfRule type="cellIs" dxfId="1016" priority="343" operator="equal">
      <formula>"no DD match"</formula>
    </cfRule>
  </conditionalFormatting>
  <conditionalFormatting sqref="A233">
    <cfRule type="expression" dxfId="1015" priority="342">
      <formula>$K233="no DD match"</formula>
    </cfRule>
  </conditionalFormatting>
  <conditionalFormatting sqref="K232">
    <cfRule type="cellIs" dxfId="1014" priority="338" operator="equal">
      <formula>"no DD match"</formula>
    </cfRule>
  </conditionalFormatting>
  <conditionalFormatting sqref="A232">
    <cfRule type="expression" dxfId="1013" priority="337">
      <formula>$K232="no DD match"</formula>
    </cfRule>
  </conditionalFormatting>
  <conditionalFormatting sqref="K257">
    <cfRule type="cellIs" dxfId="1012" priority="333" operator="equal">
      <formula>"no DD match"</formula>
    </cfRule>
  </conditionalFormatting>
  <conditionalFormatting sqref="A257">
    <cfRule type="expression" dxfId="1011" priority="332">
      <formula>$K257="no DD match"</formula>
    </cfRule>
  </conditionalFormatting>
  <conditionalFormatting sqref="K256">
    <cfRule type="cellIs" dxfId="1010" priority="328" operator="equal">
      <formula>"no DD match"</formula>
    </cfRule>
  </conditionalFormatting>
  <conditionalFormatting sqref="A256">
    <cfRule type="expression" dxfId="1009" priority="327">
      <formula>$K256="no DD match"</formula>
    </cfRule>
  </conditionalFormatting>
  <conditionalFormatting sqref="K281">
    <cfRule type="cellIs" dxfId="1008" priority="323" operator="equal">
      <formula>"no DD match"</formula>
    </cfRule>
  </conditionalFormatting>
  <conditionalFormatting sqref="A281">
    <cfRule type="expression" dxfId="1007" priority="322">
      <formula>$K281="no DD match"</formula>
    </cfRule>
  </conditionalFormatting>
  <conditionalFormatting sqref="K280">
    <cfRule type="cellIs" dxfId="1006" priority="318" operator="equal">
      <formula>"no DD match"</formula>
    </cfRule>
  </conditionalFormatting>
  <conditionalFormatting sqref="A280">
    <cfRule type="expression" dxfId="1005" priority="317">
      <formula>$K280="no DD match"</formula>
    </cfRule>
  </conditionalFormatting>
  <conditionalFormatting sqref="K291">
    <cfRule type="cellIs" dxfId="1004" priority="313" operator="equal">
      <formula>"no DD match"</formula>
    </cfRule>
  </conditionalFormatting>
  <conditionalFormatting sqref="A291">
    <cfRule type="expression" dxfId="1003" priority="312">
      <formula>$K291="no DD match"</formula>
    </cfRule>
  </conditionalFormatting>
  <conditionalFormatting sqref="K290">
    <cfRule type="cellIs" dxfId="1002" priority="308" operator="equal">
      <formula>"no DD match"</formula>
    </cfRule>
  </conditionalFormatting>
  <conditionalFormatting sqref="A290">
    <cfRule type="expression" dxfId="1001" priority="307">
      <formula>$K290="no DD match"</formula>
    </cfRule>
  </conditionalFormatting>
  <conditionalFormatting sqref="K301">
    <cfRule type="cellIs" dxfId="1000" priority="303" operator="equal">
      <formula>"no DD match"</formula>
    </cfRule>
  </conditionalFormatting>
  <conditionalFormatting sqref="A301">
    <cfRule type="expression" dxfId="999" priority="302">
      <formula>$K301="no DD match"</formula>
    </cfRule>
  </conditionalFormatting>
  <conditionalFormatting sqref="K300">
    <cfRule type="cellIs" dxfId="998" priority="298" operator="equal">
      <formula>"no DD match"</formula>
    </cfRule>
  </conditionalFormatting>
  <conditionalFormatting sqref="A300">
    <cfRule type="expression" dxfId="997" priority="297">
      <formula>$K300="no DD match"</formula>
    </cfRule>
  </conditionalFormatting>
  <conditionalFormatting sqref="K318">
    <cfRule type="cellIs" dxfId="996" priority="293" operator="equal">
      <formula>"no DD match"</formula>
    </cfRule>
  </conditionalFormatting>
  <conditionalFormatting sqref="A318">
    <cfRule type="expression" dxfId="995" priority="292">
      <formula>$K318="no DD match"</formula>
    </cfRule>
  </conditionalFormatting>
  <conditionalFormatting sqref="K317">
    <cfRule type="cellIs" dxfId="994" priority="288" operator="equal">
      <formula>"no DD match"</formula>
    </cfRule>
  </conditionalFormatting>
  <conditionalFormatting sqref="A317">
    <cfRule type="expression" dxfId="993" priority="287">
      <formula>$K317="no DD match"</formula>
    </cfRule>
  </conditionalFormatting>
  <conditionalFormatting sqref="K334">
    <cfRule type="cellIs" dxfId="992" priority="283" operator="equal">
      <formula>"no DD match"</formula>
    </cfRule>
  </conditionalFormatting>
  <conditionalFormatting sqref="A334">
    <cfRule type="expression" dxfId="991" priority="282">
      <formula>$K334="no DD match"</formula>
    </cfRule>
  </conditionalFormatting>
  <conditionalFormatting sqref="K333">
    <cfRule type="cellIs" dxfId="990" priority="278" operator="equal">
      <formula>"no DD match"</formula>
    </cfRule>
  </conditionalFormatting>
  <conditionalFormatting sqref="A333">
    <cfRule type="expression" dxfId="989" priority="277">
      <formula>$K333="no DD match"</formula>
    </cfRule>
  </conditionalFormatting>
  <conditionalFormatting sqref="K360">
    <cfRule type="cellIs" dxfId="988" priority="273" operator="equal">
      <formula>"no DD match"</formula>
    </cfRule>
  </conditionalFormatting>
  <conditionalFormatting sqref="A360">
    <cfRule type="expression" dxfId="987" priority="272">
      <formula>$K360="no DD match"</formula>
    </cfRule>
  </conditionalFormatting>
  <conditionalFormatting sqref="K359">
    <cfRule type="cellIs" dxfId="986" priority="268" operator="equal">
      <formula>"no DD match"</formula>
    </cfRule>
  </conditionalFormatting>
  <conditionalFormatting sqref="A359">
    <cfRule type="expression" dxfId="985" priority="267">
      <formula>$K359="no DD match"</formula>
    </cfRule>
  </conditionalFormatting>
  <conditionalFormatting sqref="K342">
    <cfRule type="cellIs" dxfId="984" priority="263" operator="equal">
      <formula>"no DD match"</formula>
    </cfRule>
  </conditionalFormatting>
  <conditionalFormatting sqref="K341">
    <cfRule type="cellIs" dxfId="983" priority="258" operator="equal">
      <formula>"no DD match"</formula>
    </cfRule>
  </conditionalFormatting>
  <conditionalFormatting sqref="K352">
    <cfRule type="cellIs" dxfId="982" priority="253" operator="equal">
      <formula>"no DD match"</formula>
    </cfRule>
  </conditionalFormatting>
  <conditionalFormatting sqref="K351">
    <cfRule type="cellIs" dxfId="981" priority="248" operator="equal">
      <formula>"no DD match"</formula>
    </cfRule>
  </conditionalFormatting>
  <conditionalFormatting sqref="K272">
    <cfRule type="cellIs" dxfId="980" priority="243" operator="equal">
      <formula>"no DD match"</formula>
    </cfRule>
  </conditionalFormatting>
  <conditionalFormatting sqref="A272">
    <cfRule type="expression" dxfId="979" priority="242">
      <formula>$K272="no DD match"</formula>
    </cfRule>
  </conditionalFormatting>
  <conditionalFormatting sqref="K271">
    <cfRule type="cellIs" dxfId="978" priority="238" operator="equal">
      <formula>"no DD match"</formula>
    </cfRule>
  </conditionalFormatting>
  <conditionalFormatting sqref="A271">
    <cfRule type="expression" dxfId="977" priority="237">
      <formula>$K271="no DD match"</formula>
    </cfRule>
  </conditionalFormatting>
  <conditionalFormatting sqref="K235">
    <cfRule type="cellIs" dxfId="976" priority="231" operator="equal">
      <formula>"no DD match"</formula>
    </cfRule>
  </conditionalFormatting>
  <conditionalFormatting sqref="A235">
    <cfRule type="expression" dxfId="975" priority="230">
      <formula>$K235="no DD match"</formula>
    </cfRule>
  </conditionalFormatting>
  <conditionalFormatting sqref="E168:H172">
    <cfRule type="expression" dxfId="974" priority="852">
      <formula>$D$168="N"</formula>
    </cfRule>
  </conditionalFormatting>
  <conditionalFormatting sqref="C15:H16 C18:H18">
    <cfRule type="containsText" dxfId="973" priority="194" operator="containsText" text="##">
      <formula>NOT(ISERROR(SEARCH("##",C15)))</formula>
    </cfRule>
    <cfRule type="containsText" dxfId="972" priority="232" operator="containsText" text="Choose">
      <formula>NOT(ISERROR(SEARCH("Choose",C15)))</formula>
    </cfRule>
    <cfRule type="containsText" dxfId="971" priority="233" operator="containsText" text="Insert">
      <formula>NOT(ISERROR(SEARCH("Insert",C15)))</formula>
    </cfRule>
  </conditionalFormatting>
  <conditionalFormatting sqref="F211:H217">
    <cfRule type="expression" dxfId="970" priority="970">
      <formula>$E$211="N"</formula>
    </cfRule>
  </conditionalFormatting>
  <conditionalFormatting sqref="F309:H315">
    <cfRule type="expression" dxfId="969" priority="1068">
      <formula>$E$309="N"</formula>
    </cfRule>
  </conditionalFormatting>
  <conditionalFormatting sqref="L15:L21">
    <cfRule type="containsText" dxfId="968" priority="110" operator="containsText" text="Enter/Update">
      <formula>NOT(ISERROR(SEARCH("Enter/Update",L15)))</formula>
    </cfRule>
    <cfRule type="containsText" dxfId="967" priority="111" operator="containsText" text="&lt;----Fill in information">
      <formula>NOT(ISERROR(SEARCH("&lt;----Fill in information",L15)))</formula>
    </cfRule>
  </conditionalFormatting>
  <conditionalFormatting sqref="A236">
    <cfRule type="expression" dxfId="966" priority="106">
      <formula>$K236="no DD match"</formula>
    </cfRule>
  </conditionalFormatting>
  <conditionalFormatting sqref="A259">
    <cfRule type="expression" dxfId="965" priority="92">
      <formula>$K259="no DD match"</formula>
    </cfRule>
  </conditionalFormatting>
  <conditionalFormatting sqref="A274">
    <cfRule type="expression" dxfId="964" priority="91">
      <formula>$K274="no DD match"</formula>
    </cfRule>
  </conditionalFormatting>
  <conditionalFormatting sqref="A283">
    <cfRule type="expression" dxfId="963" priority="90">
      <formula>$K283="no DD match"</formula>
    </cfRule>
  </conditionalFormatting>
  <conditionalFormatting sqref="A293">
    <cfRule type="expression" dxfId="962" priority="89">
      <formula>$K293="no DD match"</formula>
    </cfRule>
  </conditionalFormatting>
  <conditionalFormatting sqref="A303">
    <cfRule type="expression" dxfId="961" priority="88">
      <formula>$K303="no DD match"</formula>
    </cfRule>
  </conditionalFormatting>
  <conditionalFormatting sqref="A313">
    <cfRule type="expression" dxfId="960" priority="87">
      <formula>$K313="no DD match"</formula>
    </cfRule>
  </conditionalFormatting>
  <conditionalFormatting sqref="A320">
    <cfRule type="expression" dxfId="959" priority="86">
      <formula>$K320="no DD match"</formula>
    </cfRule>
  </conditionalFormatting>
  <conditionalFormatting sqref="A335:A336">
    <cfRule type="expression" dxfId="958" priority="85">
      <formula>$K335="no DD match"</formula>
    </cfRule>
  </conditionalFormatting>
  <conditionalFormatting sqref="A66">
    <cfRule type="expression" dxfId="957" priority="80">
      <formula>$K66="no DD match"</formula>
    </cfRule>
  </conditionalFormatting>
  <conditionalFormatting sqref="A83">
    <cfRule type="expression" dxfId="956" priority="66">
      <formula>$K83="no DD match"</formula>
    </cfRule>
  </conditionalFormatting>
  <conditionalFormatting sqref="A91">
    <cfRule type="expression" dxfId="955" priority="65">
      <formula>$K91="no DD match"</formula>
    </cfRule>
  </conditionalFormatting>
  <conditionalFormatting sqref="A96">
    <cfRule type="expression" dxfId="954" priority="64">
      <formula>$K96="no DD match"</formula>
    </cfRule>
  </conditionalFormatting>
  <conditionalFormatting sqref="A101">
    <cfRule type="expression" dxfId="953" priority="63">
      <formula>$K101="no DD match"</formula>
    </cfRule>
  </conditionalFormatting>
  <conditionalFormatting sqref="A110">
    <cfRule type="expression" dxfId="952" priority="62">
      <formula>$K110="no DD match"</formula>
    </cfRule>
  </conditionalFormatting>
  <conditionalFormatting sqref="A115">
    <cfRule type="expression" dxfId="951" priority="61">
      <formula>$K115="no DD match"</formula>
    </cfRule>
  </conditionalFormatting>
  <conditionalFormatting sqref="A118">
    <cfRule type="expression" dxfId="950" priority="60">
      <formula>$K118="no DD match"</formula>
    </cfRule>
  </conditionalFormatting>
  <conditionalFormatting sqref="A121">
    <cfRule type="expression" dxfId="949" priority="59">
      <formula>$K121="no DD match"</formula>
    </cfRule>
  </conditionalFormatting>
  <conditionalFormatting sqref="A343:A344">
    <cfRule type="expression" dxfId="948" priority="58">
      <formula>$K343="no DD match"</formula>
    </cfRule>
  </conditionalFormatting>
  <conditionalFormatting sqref="A361:A362">
    <cfRule type="expression" dxfId="947" priority="56">
      <formula>$K361="no DD match"</formula>
    </cfRule>
  </conditionalFormatting>
  <conditionalFormatting sqref="A368:A369">
    <cfRule type="expression" dxfId="946" priority="55">
      <formula>$K368="no DD match"</formula>
    </cfRule>
  </conditionalFormatting>
  <conditionalFormatting sqref="A221">
    <cfRule type="expression" dxfId="945" priority="52">
      <formula>$K221="no DD match"</formula>
    </cfRule>
  </conditionalFormatting>
  <conditionalFormatting sqref="A234">
    <cfRule type="expression" dxfId="944" priority="37">
      <formula>$K234="no DD match"</formula>
    </cfRule>
  </conditionalFormatting>
  <conditionalFormatting sqref="A258">
    <cfRule type="expression" dxfId="943" priority="36">
      <formula>$K258="no DD match"</formula>
    </cfRule>
  </conditionalFormatting>
  <conditionalFormatting sqref="C25:C27 C36:C456 C31:C32">
    <cfRule type="expression" dxfId="942" priority="434">
      <formula>$G25="Y"</formula>
    </cfRule>
  </conditionalFormatting>
  <conditionalFormatting sqref="L493:L508">
    <cfRule type="containsText" dxfId="941" priority="35" operator="containsText" text="PlaceholdeR">
      <formula>NOT(ISERROR(SEARCH("PlaceholdeR",L493)))</formula>
    </cfRule>
  </conditionalFormatting>
  <conditionalFormatting sqref="K33:K35">
    <cfRule type="cellIs" dxfId="940" priority="32" operator="equal">
      <formula>"no DD match"</formula>
    </cfRule>
  </conditionalFormatting>
  <conditionalFormatting sqref="K28:K30">
    <cfRule type="cellIs" dxfId="939" priority="16" operator="equal">
      <formula>"no DD match"</formula>
    </cfRule>
  </conditionalFormatting>
  <conditionalFormatting sqref="C18:H456">
    <cfRule type="expression" dxfId="938" priority="131">
      <formula>$C$16="50% CD DOES NOT APPLY"</formula>
    </cfRule>
    <cfRule type="expression" dxfId="937" priority="168">
      <formula>$C$16="NO DESIGN - 50% CD DOES NOT APPLY"</formula>
    </cfRule>
  </conditionalFormatting>
  <conditionalFormatting sqref="H25:H456">
    <cfRule type="containsText" dxfId="936" priority="192" operator="containsText" text="placeholder">
      <formula>NOT(ISERROR(SEARCH("placeholder",H25)))</formula>
    </cfRule>
    <cfRule type="expression" dxfId="935" priority="436">
      <formula>$G25="N"</formula>
    </cfRule>
  </conditionalFormatting>
  <conditionalFormatting sqref="D25:G456">
    <cfRule type="cellIs" dxfId="934" priority="193" operator="equal">
      <formula>"Y"</formula>
    </cfRule>
    <cfRule type="cellIs" dxfId="933" priority="199" operator="equal">
      <formula>"?"</formula>
    </cfRule>
  </conditionalFormatting>
  <conditionalFormatting sqref="C25:C456">
    <cfRule type="expression" dxfId="932" priority="429">
      <formula>$D25="Y"</formula>
    </cfRule>
    <cfRule type="expression" dxfId="931" priority="430">
      <formula>$E25="Y"</formula>
    </cfRule>
    <cfRule type="expression" dxfId="930" priority="432">
      <formula>$F25="Y"</formula>
    </cfRule>
  </conditionalFormatting>
  <conditionalFormatting sqref="D28:H30">
    <cfRule type="expression" dxfId="929" priority="2">
      <formula>$D$27="N"</formula>
    </cfRule>
  </conditionalFormatting>
  <conditionalFormatting sqref="D33:H35">
    <cfRule type="expression" dxfId="928" priority="1">
      <formula>$D$32="N"</formula>
    </cfRule>
  </conditionalFormatting>
  <dataValidations count="3">
    <dataValidation type="list" allowBlank="1" showInputMessage="1" showErrorMessage="1" sqref="C23">
      <formula1>$C$8:$C$11</formula1>
    </dataValidation>
    <dataValidation type="list" allowBlank="1" showInputMessage="1" showErrorMessage="1" sqref="D4 E5 F6">
      <formula1>$D$8:$D$11</formula1>
    </dataValidation>
    <dataValidation allowBlank="1" showInputMessage="1" showErrorMessage="1" promptTitle="NO INPUTS IN THESE CELLS" prompt="Changes are only made in TAB C." sqref="C21:D21 F21:H21 D25:H455"/>
  </dataValidations>
  <printOptions horizontalCentered="1"/>
  <pageMargins left="0.45" right="0.45" top="0.5" bottom="0.65" header="0.3" footer="0.3"/>
  <pageSetup scale="86" fitToHeight="8" orientation="portrait" r:id="rId1"/>
  <headerFooter>
    <oddFooter>&amp;L&amp;"Ebrima,Bold"&amp;10TAB &amp;A&amp;C&amp;"Ebrima,Regular"&amp;8&amp;P of &amp;N&amp;R&amp;G</oddFooter>
  </headerFooter>
  <rowBreaks count="3" manualBreakCount="3">
    <brk id="167" min="2" max="7" man="1"/>
    <brk id="217" min="2" max="7" man="1"/>
    <brk id="269" min="2" max="7" man="1"/>
  </rowBreaks>
  <drawing r:id="rId2"/>
  <legacyDrawing r:id="rId3"/>
  <legacyDrawingHF r:id="rId4"/>
  <extLst>
    <ext xmlns:x14="http://schemas.microsoft.com/office/spreadsheetml/2009/9/main" uri="{78C0D931-6437-407d-A8EE-F0AAD7539E65}">
      <x14:conditionalFormattings>
        <x14:conditionalFormatting xmlns:xm="http://schemas.microsoft.com/office/excel/2006/main">
          <x14:cfRule type="expression" priority="1185" id="{340360A7-1EDF-430F-BC0B-F18E77CED842}">
            <xm:f>'00 - Concept.'!$D449="N"</xm:f>
            <x14:dxf>
              <font>
                <strike/>
              </font>
            </x14:dxf>
          </x14:cfRule>
          <xm:sqref>I456</xm:sqref>
        </x14:conditionalFormatting>
        <x14:conditionalFormatting xmlns:xm="http://schemas.microsoft.com/office/excel/2006/main">
          <x14:cfRule type="expression" priority="575" id="{8D2DC99E-050A-4D49-BBB0-9EB9F346B52C}">
            <xm:f>'00 - Concept.'!$F451="N"</xm:f>
            <x14:dxf>
              <font>
                <strike/>
              </font>
            </x14:dxf>
          </x14:cfRule>
          <xm:sqref>I458</xm:sqref>
        </x14:conditionalFormatting>
        <x14:conditionalFormatting xmlns:xm="http://schemas.microsoft.com/office/excel/2006/main">
          <x14:cfRule type="expression" priority="574" id="{AAFF694B-D263-447F-90C5-01DB3FC7279A}">
            <xm:f>'00 - Concept.'!$E450="N"</xm:f>
            <x14:dxf>
              <font>
                <strike/>
              </font>
            </x14:dxf>
          </x14:cfRule>
          <xm:sqref>I457</xm:sqref>
        </x14:conditionalFormatting>
        <x14:conditionalFormatting xmlns:xm="http://schemas.microsoft.com/office/excel/2006/main">
          <x14:cfRule type="expression" priority="573" id="{3C17BDCA-08D4-499A-BC20-4B29044144C6}">
            <xm:f>'00 - Concept.'!$D449="N"</xm:f>
            <x14:dxf>
              <font>
                <color rgb="FFC00000"/>
              </font>
            </x14:dxf>
          </x14:cfRule>
          <xm:sqref>L456</xm:sqref>
        </x14:conditionalFormatting>
        <x14:conditionalFormatting xmlns:xm="http://schemas.microsoft.com/office/excel/2006/main">
          <x14:cfRule type="expression" priority="8217" id="{AAFF694B-D263-447F-90C5-01DB3FC7279A}">
            <xm:f>'00 - Concept.'!$E375="N"</xm:f>
            <x14:dxf>
              <font>
                <strike/>
              </font>
            </x14:dxf>
          </x14:cfRule>
          <xm:sqref>I367</xm:sqref>
        </x14:conditionalFormatting>
        <x14:conditionalFormatting xmlns:xm="http://schemas.microsoft.com/office/excel/2006/main">
          <x14:cfRule type="expression" priority="15063" id="{AAFF694B-D263-447F-90C5-01DB3FC7279A}">
            <xm:f>'00 - Concept.'!#REF!="N"</xm:f>
            <x14:dxf>
              <font>
                <strike/>
              </font>
            </x14:dxf>
          </x14:cfRule>
          <xm:sqref>I178</xm:sqref>
        </x14:conditionalFormatting>
        <x14:conditionalFormatting xmlns:xm="http://schemas.microsoft.com/office/excel/2006/main">
          <x14:cfRule type="expression" priority="15192" id="{8D2DC99E-050A-4D49-BBB0-9EB9F346B52C}">
            <xm:f>'00 - Concept.'!#REF!="N"</xm:f>
            <x14:dxf>
              <font>
                <strike/>
              </font>
            </x14:dxf>
          </x14:cfRule>
          <xm:sqref>I208:I210</xm:sqref>
        </x14:conditionalFormatting>
        <x14:conditionalFormatting xmlns:xm="http://schemas.microsoft.com/office/excel/2006/main">
          <x14:cfRule type="expression" priority="17906" id="{AAFF694B-D263-447F-90C5-01DB3FC7279A}">
            <xm:f>'00 - Concept.'!$E11="N"</xm:f>
            <x14:dxf>
              <font>
                <strike/>
              </font>
            </x14:dxf>
          </x14:cfRule>
          <xm:sqref>I40:I44 I33:I35 I28:I30</xm:sqref>
        </x14:conditionalFormatting>
        <x14:conditionalFormatting xmlns:xm="http://schemas.microsoft.com/office/excel/2006/main">
          <x14:cfRule type="expression" priority="17909" id="{8D2DC99E-050A-4D49-BBB0-9EB9F346B52C}">
            <xm:f>'00 - Concept.'!$F257="N"</xm:f>
            <x14:dxf>
              <font>
                <strike/>
              </font>
            </x14:dxf>
          </x14:cfRule>
          <xm:sqref>I229</xm:sqref>
        </x14:conditionalFormatting>
        <x14:conditionalFormatting xmlns:xm="http://schemas.microsoft.com/office/excel/2006/main">
          <x14:cfRule type="expression" priority="17978" id="{8D2DC99E-050A-4D49-BBB0-9EB9F346B52C}">
            <xm:f>'00 - Concept.'!$F379="N"</xm:f>
            <x14:dxf>
              <font>
                <strike/>
              </font>
            </x14:dxf>
          </x14:cfRule>
          <xm:sqref>I348</xm:sqref>
        </x14:conditionalFormatting>
        <x14:conditionalFormatting xmlns:xm="http://schemas.microsoft.com/office/excel/2006/main">
          <x14:cfRule type="expression" priority="39867" id="{8D2DC99E-050A-4D49-BBB0-9EB9F346B52C}">
            <xm:f>'00 - Concept.'!$F182="N"</xm:f>
            <x14:dxf>
              <font>
                <strike/>
              </font>
            </x14:dxf>
          </x14:cfRule>
          <xm:sqref>I197</xm:sqref>
        </x14:conditionalFormatting>
        <x14:conditionalFormatting xmlns:xm="http://schemas.microsoft.com/office/excel/2006/main">
          <x14:cfRule type="expression" priority="44082" id="{8D2DC99E-050A-4D49-BBB0-9EB9F346B52C}">
            <xm:f>'00 - Concept.'!$F352="N"</xm:f>
            <x14:dxf>
              <font>
                <strike/>
              </font>
            </x14:dxf>
          </x14:cfRule>
          <xm:sqref>I347</xm:sqref>
        </x14:conditionalFormatting>
        <x14:conditionalFormatting xmlns:xm="http://schemas.microsoft.com/office/excel/2006/main">
          <x14:cfRule type="expression" priority="44681" id="{8D2DC99E-050A-4D49-BBB0-9EB9F346B52C}">
            <xm:f>'00 - Concept.'!$F268="N"</xm:f>
            <x14:dxf>
              <font>
                <strike/>
              </font>
            </x14:dxf>
          </x14:cfRule>
          <xm:sqref>I243:I245</xm:sqref>
        </x14:conditionalFormatting>
        <x14:conditionalFormatting xmlns:xm="http://schemas.microsoft.com/office/excel/2006/main">
          <x14:cfRule type="expression" priority="44771" id="{340360A7-1EDF-430F-BC0B-F18E77CED842}">
            <xm:f>'00 - Concept.'!$D4="N"</xm:f>
            <x14:dxf>
              <font>
                <strike/>
              </font>
            </x14:dxf>
          </x14:cfRule>
          <xm:sqref>G4</xm:sqref>
        </x14:conditionalFormatting>
        <x14:conditionalFormatting xmlns:xm="http://schemas.microsoft.com/office/excel/2006/main">
          <x14:cfRule type="expression" priority="44843" id="{8D2DC99E-050A-4D49-BBB0-9EB9F346B52C}">
            <xm:f>'00 - Concept.'!$F364="N"</xm:f>
            <x14:dxf>
              <font>
                <strike/>
              </font>
            </x14:dxf>
          </x14:cfRule>
          <xm:sqref>I331</xm:sqref>
        </x14:conditionalFormatting>
        <x14:conditionalFormatting xmlns:xm="http://schemas.microsoft.com/office/excel/2006/main">
          <x14:cfRule type="expression" priority="55310" id="{AAFF694B-D263-447F-90C5-01DB3FC7279A}">
            <xm:f>'00 - Concept.'!$E31="N"</xm:f>
            <x14:dxf>
              <font>
                <strike/>
              </font>
            </x14:dxf>
          </x14:cfRule>
          <xm:sqref>I45:I46</xm:sqref>
        </x14:conditionalFormatting>
        <x14:conditionalFormatting xmlns:xm="http://schemas.microsoft.com/office/excel/2006/main">
          <x14:cfRule type="expression" priority="55335" id="{AAFF694B-D263-447F-90C5-01DB3FC7279A}">
            <xm:f>'00 - Concept.'!$E36="N"</xm:f>
            <x14:dxf>
              <font>
                <strike/>
              </font>
            </x14:dxf>
          </x14:cfRule>
          <xm:sqref>I47:I49</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298</vt:i4>
      </vt:variant>
    </vt:vector>
  </HeadingPairs>
  <TitlesOfParts>
    <vt:vector size="313" baseType="lpstr">
      <vt:lpstr>START - Guidance</vt:lpstr>
      <vt:lpstr>A-Info, Phases, Recip.</vt:lpstr>
      <vt:lpstr>B-Studies or Concept only</vt:lpstr>
      <vt:lpstr>C-Design&amp;Const</vt:lpstr>
      <vt:lpstr>PSC Transmittal Guidance</vt:lpstr>
      <vt:lpstr>00 - Concept.</vt:lpstr>
      <vt:lpstr>01 - SD</vt:lpstr>
      <vt:lpstr>02 - DD</vt:lpstr>
      <vt:lpstr>03 - 50% CD</vt:lpstr>
      <vt:lpstr>04 - 95% CD</vt:lpstr>
      <vt:lpstr>05-BID</vt:lpstr>
      <vt:lpstr>06-CONST</vt:lpstr>
      <vt:lpstr>07-CLOSEOUT</vt:lpstr>
      <vt:lpstr>08-POST CONST</vt:lpstr>
      <vt:lpstr>Sheet1</vt:lpstr>
      <vt:lpstr>_00_apply</vt:lpstr>
      <vt:lpstr>_01_apply</vt:lpstr>
      <vt:lpstr>_02_apply</vt:lpstr>
      <vt:lpstr>_03_apply</vt:lpstr>
      <vt:lpstr>_04_apply</vt:lpstr>
      <vt:lpstr>_05_apply</vt:lpstr>
      <vt:lpstr>_06_apply</vt:lpstr>
      <vt:lpstr>_07_apply</vt:lpstr>
      <vt:lpstr>_08_apply</vt:lpstr>
      <vt:lpstr>_50CD_placeholder</vt:lpstr>
      <vt:lpstr>_95CD_placeholder</vt:lpstr>
      <vt:lpstr>'03 - 50% CD'!Applies_BIM_50CD</vt:lpstr>
      <vt:lpstr>'04 - 95% CD'!Applies_BIM_95CD</vt:lpstr>
      <vt:lpstr>'05-BID'!Applies_BIM_Bid</vt:lpstr>
      <vt:lpstr>'07-CLOSEOUT'!Applies_BIM_CLOSEOUT</vt:lpstr>
      <vt:lpstr>'00 - Concept.'!Applies_BIM_Concept</vt:lpstr>
      <vt:lpstr>'06-CONST'!Applies_BIM_CONST</vt:lpstr>
      <vt:lpstr>'02 - DD'!Applies_BIM_DD</vt:lpstr>
      <vt:lpstr>'B-Studies or Concept only'!Applies_BIM_Feas_Concept_Onlyl</vt:lpstr>
      <vt:lpstr>'08-POST CONST'!Applies_BIM_POST_CONST</vt:lpstr>
      <vt:lpstr>'01 - SD'!Applies_BIM_SD</vt:lpstr>
      <vt:lpstr>'03 - 50% CD'!Applies_BOD_PS_50CD</vt:lpstr>
      <vt:lpstr>'04 - 95% CD'!Applies_BOD_PS_95CD</vt:lpstr>
      <vt:lpstr>'05-BID'!Applies_BOD_PS_Bid</vt:lpstr>
      <vt:lpstr>'07-CLOSEOUT'!Applies_BOD_PS_CLOSEOUT</vt:lpstr>
      <vt:lpstr>'00 - Concept.'!Applies_BOD_PS_Concept</vt:lpstr>
      <vt:lpstr>'06-CONST'!Applies_BOD_PS_Const</vt:lpstr>
      <vt:lpstr>'02 - DD'!Applies_BOD_PS_DD</vt:lpstr>
      <vt:lpstr>'B-Studies or Concept only'!Applies_BOD_PS_Feas_Concept_Only</vt:lpstr>
      <vt:lpstr>'08-POST CONST'!Applies_BOD_PS_POST_CONST</vt:lpstr>
      <vt:lpstr>'01 - SD'!Applies_BOD_PS_SD</vt:lpstr>
      <vt:lpstr>'01 - SD'!Applies_BOT_Presentation_SD</vt:lpstr>
      <vt:lpstr>'03 - 50% CD'!Applies_Cost_Est_50CD</vt:lpstr>
      <vt:lpstr>'04 - 95% CD'!Applies_Cost_est_95CD</vt:lpstr>
      <vt:lpstr>'05-BID'!Applies_Cost_est_BID</vt:lpstr>
      <vt:lpstr>'07-CLOSEOUT'!Applies_Cost_est_CLOSEOUT</vt:lpstr>
      <vt:lpstr>'00 - Concept.'!Applies_Cost_Est_Concept</vt:lpstr>
      <vt:lpstr>'06-CONST'!Applies_Cost_est_CONST</vt:lpstr>
      <vt:lpstr>'02 - DD'!Applies_Cost_Est_DD</vt:lpstr>
      <vt:lpstr>'B-Studies or Concept only'!Applies_Cost_Est_Feas_Concept_Only</vt:lpstr>
      <vt:lpstr>'08-POST CONST'!Applies_Cost_est_POST_CONST</vt:lpstr>
      <vt:lpstr>'01 - SD'!Applies_Cost_Est_SD</vt:lpstr>
      <vt:lpstr>'03 - 50% CD'!Applies_Drawings_50CD</vt:lpstr>
      <vt:lpstr>Applies_Drawings_95CD</vt:lpstr>
      <vt:lpstr>'05-BID'!Applies_Drawings_Bid</vt:lpstr>
      <vt:lpstr>'07-CLOSEOUT'!Applies_Drawings_CLOSEOUT</vt:lpstr>
      <vt:lpstr>'00 - Concept.'!Applies_Drawings_Concept</vt:lpstr>
      <vt:lpstr>'06-CONST'!Applies_Drawings_CONST</vt:lpstr>
      <vt:lpstr>'02 - DD'!Applies_Drawings_DD</vt:lpstr>
      <vt:lpstr>'B-Studies or Concept only'!Applies_Drawings_Feas_Concept_Only</vt:lpstr>
      <vt:lpstr>'08-POST CONST'!Applies_Drawings_POST_CONST</vt:lpstr>
      <vt:lpstr>'01 - SD'!Applies_Drawings_SD</vt:lpstr>
      <vt:lpstr>'03 - 50% CD'!Applies_FFE_Binder_50CD</vt:lpstr>
      <vt:lpstr>'04 - 95% CD'!Applies_FFE_Binder_95CD</vt:lpstr>
      <vt:lpstr>'05-BID'!Applies_FFE_Binder_BID</vt:lpstr>
      <vt:lpstr>Applies_FFE_Binder_CLOSEOUT</vt:lpstr>
      <vt:lpstr>'00 - Concept.'!Applies_FFE_Binder_Concept</vt:lpstr>
      <vt:lpstr>'06-CONST'!Applies_FFE_Binder_Const</vt:lpstr>
      <vt:lpstr>'02 - DD'!Applies_FFE_Binder_DD</vt:lpstr>
      <vt:lpstr>'B-Studies or Concept only'!Applies_FFE_Binder_Feas_Concept_Only</vt:lpstr>
      <vt:lpstr>'08-POST CONST'!Applies_FFE_Binder_POST_CONST</vt:lpstr>
      <vt:lpstr>'01 - SD'!Applies_FFE_Binder_SD</vt:lpstr>
      <vt:lpstr>'03 - 50% CD'!Applies_FinishesBinder_50CD</vt:lpstr>
      <vt:lpstr>'04 - 95% CD'!Applies_FinishesBinder_95CD</vt:lpstr>
      <vt:lpstr>'05-BID'!Applies_FinishesBinder_BID</vt:lpstr>
      <vt:lpstr>'07-CLOSEOUT'!Applies_FinishesBinder_CLOSEOUT</vt:lpstr>
      <vt:lpstr>'00 - Concept.'!Applies_FinishesBinder_Concept</vt:lpstr>
      <vt:lpstr>'06-CONST'!Applies_FinishesBinder_Const</vt:lpstr>
      <vt:lpstr>'02 - DD'!Applies_FinishesBinder_DD</vt:lpstr>
      <vt:lpstr>'B-Studies or Concept only'!Applies_FinishesBinder_Feas_Concept_Only</vt:lpstr>
      <vt:lpstr>'08-POST CONST'!Applies_FinishesBinder_POST_CONST</vt:lpstr>
      <vt:lpstr>'01 - SD'!Applies_FinishesBinder_SD</vt:lpstr>
      <vt:lpstr>'03 - 50% CD'!Applies_Info_Calcs_50CD</vt:lpstr>
      <vt:lpstr>'04 - 95% CD'!Applies_Info_Calcs_95CD</vt:lpstr>
      <vt:lpstr>'05-BID'!Applies_Info_Calcs_BID</vt:lpstr>
      <vt:lpstr>'07-CLOSEOUT'!Applies_Info_Calcs_CLOSEOUT</vt:lpstr>
      <vt:lpstr>'00 - Concept.'!Applies_Info_Calcs_Concept</vt:lpstr>
      <vt:lpstr>'06-CONST'!Applies_Info_Calcs_Const</vt:lpstr>
      <vt:lpstr>'02 - DD'!Applies_Info_Calcs_DD</vt:lpstr>
      <vt:lpstr>'B-Studies or Concept only'!Applies_Info_Calcs_Feas_Concept_Only</vt:lpstr>
      <vt:lpstr>'08-POST CONST'!Applies_Info_Calcs_POST_CONST</vt:lpstr>
      <vt:lpstr>'01 - SD'!Applies_Info_Calcs_SD</vt:lpstr>
      <vt:lpstr>'03 - 50% CD'!Applies_ISHPO_50CD</vt:lpstr>
      <vt:lpstr>'04 - 95% CD'!Applies_ISHPO_95CD</vt:lpstr>
      <vt:lpstr>'05-BID'!Applies_ISHPO_Bid</vt:lpstr>
      <vt:lpstr>'07-CLOSEOUT'!Applies_ISHPO_CLOSEOUT</vt:lpstr>
      <vt:lpstr>'00 - Concept.'!Applies_ISHPO_Concept</vt:lpstr>
      <vt:lpstr>'06-CONST'!Applies_ISHPO_CONST</vt:lpstr>
      <vt:lpstr>'02 - DD'!Applies_ISHPO_DD</vt:lpstr>
      <vt:lpstr>'B-Studies or Concept only'!Applies_ISHPO_Feas_Concept_Only</vt:lpstr>
      <vt:lpstr>'08-POST CONST'!Applies_ISHPO_POST_CONST</vt:lpstr>
      <vt:lpstr>'01 - SD'!Applies_ISHPO_SD</vt:lpstr>
      <vt:lpstr>'00 - Concept.'!Applies_Lev_1</vt:lpstr>
      <vt:lpstr>'01 - SD'!Applies_Lev_1</vt:lpstr>
      <vt:lpstr>'02 - DD'!Applies_Lev_1</vt:lpstr>
      <vt:lpstr>'03 - 50% CD'!Applies_Lev_1</vt:lpstr>
      <vt:lpstr>'04 - 95% CD'!Applies_Lev_1</vt:lpstr>
      <vt:lpstr>'05-BID'!Applies_Lev_1</vt:lpstr>
      <vt:lpstr>'06-CONST'!Applies_Lev_1</vt:lpstr>
      <vt:lpstr>'07-CLOSEOUT'!Applies_Lev_1</vt:lpstr>
      <vt:lpstr>'08-POST CONST'!Applies_Lev_1</vt:lpstr>
      <vt:lpstr>'B-Studies or Concept only'!Applies_Lev_1</vt:lpstr>
      <vt:lpstr>'00 - Concept.'!Applies_Lev2</vt:lpstr>
      <vt:lpstr>'01 - SD'!Applies_Lev2</vt:lpstr>
      <vt:lpstr>'02 - DD'!Applies_Lev2</vt:lpstr>
      <vt:lpstr>'03 - 50% CD'!Applies_Lev2</vt:lpstr>
      <vt:lpstr>'04 - 95% CD'!Applies_Lev2</vt:lpstr>
      <vt:lpstr>'05-BID'!Applies_Lev2</vt:lpstr>
      <vt:lpstr>'06-CONST'!Applies_Lev2</vt:lpstr>
      <vt:lpstr>'07-CLOSEOUT'!Applies_Lev2</vt:lpstr>
      <vt:lpstr>'08-POST CONST'!Applies_Lev2</vt:lpstr>
      <vt:lpstr>'B-Studies or Concept only'!Applies_Lev2</vt:lpstr>
      <vt:lpstr>'00 - Concept.'!Applies_Lev3</vt:lpstr>
      <vt:lpstr>'01 - SD'!Applies_Lev3</vt:lpstr>
      <vt:lpstr>'02 - DD'!Applies_Lev3</vt:lpstr>
      <vt:lpstr>'03 - 50% CD'!Applies_Lev3</vt:lpstr>
      <vt:lpstr>'04 - 95% CD'!Applies_Lev3</vt:lpstr>
      <vt:lpstr>'05-BID'!Applies_Lev3</vt:lpstr>
      <vt:lpstr>'06-CONST'!Applies_Lev3</vt:lpstr>
      <vt:lpstr>'07-CLOSEOUT'!Applies_Lev3</vt:lpstr>
      <vt:lpstr>'08-POST CONST'!Applies_Lev3</vt:lpstr>
      <vt:lpstr>'B-Studies or Concept only'!Applies_Lev3</vt:lpstr>
      <vt:lpstr>'03 - 50% CD'!Applies_MLD_50CD</vt:lpstr>
      <vt:lpstr>'04 - 95% CD'!Applies_MLD_95CD</vt:lpstr>
      <vt:lpstr>'05-BID'!Applies_MLD_Bid</vt:lpstr>
      <vt:lpstr>'07-CLOSEOUT'!Applies_MLD_CLOSEOUT</vt:lpstr>
      <vt:lpstr>'00 - Concept.'!Applies_MLD_Concept</vt:lpstr>
      <vt:lpstr>'06-CONST'!Applies_MLD_CONST</vt:lpstr>
      <vt:lpstr>'02 - DD'!Applies_MLD_DD</vt:lpstr>
      <vt:lpstr>'B-Studies or Concept only'!Applies_MLD_Feas_Concept_Only</vt:lpstr>
      <vt:lpstr>'08-POST CONST'!Applies_MLD_POST_CONST</vt:lpstr>
      <vt:lpstr>'01 - SD'!Applies_MLD_SD</vt:lpstr>
      <vt:lpstr>'03 - 50% CD'!Applies_Presentation_50CD</vt:lpstr>
      <vt:lpstr>'04 - 95% CD'!Applies_Presentation_95CD</vt:lpstr>
      <vt:lpstr>'05-BID'!Applies_Presentation_BID</vt:lpstr>
      <vt:lpstr>'07-CLOSEOUT'!Applies_Presentation_CLOSEOUT</vt:lpstr>
      <vt:lpstr>'00 - Concept.'!Applies_Presentation_Concept</vt:lpstr>
      <vt:lpstr>'06-CONST'!Applies_Presentation_CONST</vt:lpstr>
      <vt:lpstr>'02 - DD'!Applies_Presentation_DD</vt:lpstr>
      <vt:lpstr>'B-Studies or Concept only'!Applies_Presentation_Feas_Concept_Only</vt:lpstr>
      <vt:lpstr>'08-POST CONST'!Applies_Presentation_POST_CONST</vt:lpstr>
      <vt:lpstr>'01 - SD'!Applies_Presentation_SD</vt:lpstr>
      <vt:lpstr>'03 - 50% CD'!Applies_ProjectManual_50CD</vt:lpstr>
      <vt:lpstr>'04 - 95% CD'!Applies_ProjectManual_95CD</vt:lpstr>
      <vt:lpstr>'05-BID'!Applies_ProjectManual_BID</vt:lpstr>
      <vt:lpstr>'07-CLOSEOUT'!Applies_ProjectManual_CLOSEOUT</vt:lpstr>
      <vt:lpstr>'00 - Concept.'!Applies_ProjectManual_Concept</vt:lpstr>
      <vt:lpstr>'06-CONST'!Applies_ProjectManual_CONST</vt:lpstr>
      <vt:lpstr>'02 - DD'!Applies_ProjectManual_DD</vt:lpstr>
      <vt:lpstr>'B-Studies or Concept only'!Applies_ProjectManual_Feas_Conept_Only</vt:lpstr>
      <vt:lpstr>'08-POST CONST'!Applies_ProjectManual_POST_CONST</vt:lpstr>
      <vt:lpstr>'01 - SD'!Applies_ProjectManual_SD</vt:lpstr>
      <vt:lpstr>'03 - 50% CD'!Applies_Responses_50CD</vt:lpstr>
      <vt:lpstr>'04 - 95% CD'!Applies_Responses_95CD</vt:lpstr>
      <vt:lpstr>'05-BID'!Applies_Responses_BID</vt:lpstr>
      <vt:lpstr>'07-CLOSEOUT'!Applies_Responses_CLOSEOUT</vt:lpstr>
      <vt:lpstr>'00 - Concept.'!Applies_Responses_Concept</vt:lpstr>
      <vt:lpstr>'06-CONST'!Applies_Responses_CONST</vt:lpstr>
      <vt:lpstr>'02 - DD'!Applies_Responses_DD</vt:lpstr>
      <vt:lpstr>'B-Studies or Concept only'!Applies_Responses_Feas_Concept_Only</vt:lpstr>
      <vt:lpstr>'08-POST CONST'!Applies_Responses_POST_CONST</vt:lpstr>
      <vt:lpstr>'01 - SD'!Applies_Responses_SD</vt:lpstr>
      <vt:lpstr>'B-Studies or Concept only'!Applies_Rpt_Type1_Feas_Concept_Only</vt:lpstr>
      <vt:lpstr>'B-Studies or Concept only'!Applies_Rpt_Type2_Feas_Concept_Only</vt:lpstr>
      <vt:lpstr>'B-Studies or Concept only'!Applies_Rpt_Type3_Feas_Concept_Only</vt:lpstr>
      <vt:lpstr>'B-Studies or Concept only'!Applies_Rpt_Type4_Feas_Concept_Only</vt:lpstr>
      <vt:lpstr>'03 - 50% CD'!Applies_Schedule_50CD</vt:lpstr>
      <vt:lpstr>'04 - 95% CD'!Applies_Schedule_95CD</vt:lpstr>
      <vt:lpstr>'05-BID'!Applies_Schedule_BID</vt:lpstr>
      <vt:lpstr>'07-CLOSEOUT'!Applies_Schedule_CLOSEOUT</vt:lpstr>
      <vt:lpstr>'00 - Concept.'!Applies_Schedule_Concept</vt:lpstr>
      <vt:lpstr>'06-CONST'!Applies_Schedule_CONST</vt:lpstr>
      <vt:lpstr>'02 - DD'!Applies_Schedule_DD</vt:lpstr>
      <vt:lpstr>'B-Studies or Concept only'!Applies_Schedule_Feas_Concept_Only</vt:lpstr>
      <vt:lpstr>'08-POST CONST'!Applies_Schedule_POST_CONST</vt:lpstr>
      <vt:lpstr>'01 - SD'!Applies_Schedule_SD</vt:lpstr>
      <vt:lpstr>bid_apply</vt:lpstr>
      <vt:lpstr>Bid_Award_Item_10</vt:lpstr>
      <vt:lpstr>Bid_Award_Item_11</vt:lpstr>
      <vt:lpstr>Bid_Award_Item_12</vt:lpstr>
      <vt:lpstr>Bid_Award_Item_13</vt:lpstr>
      <vt:lpstr>Bid_placeholder</vt:lpstr>
      <vt:lpstr>Bldg_No_or_Utility</vt:lpstr>
      <vt:lpstr>BOT_project</vt:lpstr>
      <vt:lpstr>CD50_apply</vt:lpstr>
      <vt:lpstr>CD95_apply</vt:lpstr>
      <vt:lpstr>CDB_Project</vt:lpstr>
      <vt:lpstr>'C-Design&amp;Const'!Choice_50CD</vt:lpstr>
      <vt:lpstr>'C-Design&amp;Const'!Choice_95CD</vt:lpstr>
      <vt:lpstr>'C-Design&amp;Const'!Choice_Bid</vt:lpstr>
      <vt:lpstr>'C-Design&amp;Const'!Choice_Closeout</vt:lpstr>
      <vt:lpstr>'C-Design&amp;Const'!Choice_Concept</vt:lpstr>
      <vt:lpstr>'C-Design&amp;Const'!Choice_Const</vt:lpstr>
      <vt:lpstr>Choice_DD</vt:lpstr>
      <vt:lpstr>'C-Design&amp;Const'!Choice_Post_Const</vt:lpstr>
      <vt:lpstr>'C-Design&amp;Const'!Choice_SD</vt:lpstr>
      <vt:lpstr>'A-Info, Phases, Recip.'!CITES_CCME_applies</vt:lpstr>
      <vt:lpstr>'A-Info, Phases, Recip.'!CITES_Plant_Design_Applies</vt:lpstr>
      <vt:lpstr>Close_Out_apply</vt:lpstr>
      <vt:lpstr>Close_Out_Item_30</vt:lpstr>
      <vt:lpstr>Close_Out_Item_31</vt:lpstr>
      <vt:lpstr>'PSC Transmittal Guidance'!Close_Out_Item_32</vt:lpstr>
      <vt:lpstr>Close_Out_Item_33</vt:lpstr>
      <vt:lpstr>Close_Out_placeholder</vt:lpstr>
      <vt:lpstr>'A-Info, Phases, Recip.'!Code_Compl_applies</vt:lpstr>
      <vt:lpstr>Const_apply</vt:lpstr>
      <vt:lpstr>Const_Delivery_Method</vt:lpstr>
      <vt:lpstr>Const_Item_20</vt:lpstr>
      <vt:lpstr>Const_Item_21</vt:lpstr>
      <vt:lpstr>Const_Item_22</vt:lpstr>
      <vt:lpstr>Const_Item_23</vt:lpstr>
      <vt:lpstr>Const_Item_24</vt:lpstr>
      <vt:lpstr>Const_Item_25</vt:lpstr>
      <vt:lpstr>Const_Item_26</vt:lpstr>
      <vt:lpstr>Const_Item_27</vt:lpstr>
      <vt:lpstr>Const_Item_28</vt:lpstr>
      <vt:lpstr>Const_placeholder</vt:lpstr>
      <vt:lpstr>Const_Type</vt:lpstr>
      <vt:lpstr>Construction</vt:lpstr>
      <vt:lpstr>Date_edited_TAB_C</vt:lpstr>
      <vt:lpstr>DD_apply</vt:lpstr>
      <vt:lpstr>DD_placeholder</vt:lpstr>
      <vt:lpstr>Design</vt:lpstr>
      <vt:lpstr>Edit_by_Entity_TAB_C</vt:lpstr>
      <vt:lpstr>Editor_Name_TAB_C</vt:lpstr>
      <vt:lpstr>'A-Info, Phases, Recip.'!Feas_Concpt_Percent</vt:lpstr>
      <vt:lpstr>Feasibility_Concept</vt:lpstr>
      <vt:lpstr>Form_Update</vt:lpstr>
      <vt:lpstr>ISHPO_Project</vt:lpstr>
      <vt:lpstr>Item_00</vt:lpstr>
      <vt:lpstr>Item_01</vt:lpstr>
      <vt:lpstr>Item_02</vt:lpstr>
      <vt:lpstr>Item_03</vt:lpstr>
      <vt:lpstr>Item_04a</vt:lpstr>
      <vt:lpstr>Item_04b</vt:lpstr>
      <vt:lpstr>Item_05a</vt:lpstr>
      <vt:lpstr>Item_05b</vt:lpstr>
      <vt:lpstr>Item_06</vt:lpstr>
      <vt:lpstr>Item_07a</vt:lpstr>
      <vt:lpstr>Item_07b</vt:lpstr>
      <vt:lpstr>Item_08</vt:lpstr>
      <vt:lpstr>Item_09</vt:lpstr>
      <vt:lpstr>'C-Design&amp;Const'!Item_apply_50CD</vt:lpstr>
      <vt:lpstr>Item_apply_95CD</vt:lpstr>
      <vt:lpstr>'C-Design&amp;Const'!Item_Apply_Bid</vt:lpstr>
      <vt:lpstr>'C-Design&amp;Const'!Item_apply_closeout</vt:lpstr>
      <vt:lpstr>'C-Design&amp;Const'!Item_apply_concept</vt:lpstr>
      <vt:lpstr>'C-Design&amp;Const'!Item_apply_Const</vt:lpstr>
      <vt:lpstr>Item_apply_DD</vt:lpstr>
      <vt:lpstr>'C-Design&amp;Const'!Item_apply_SD</vt:lpstr>
      <vt:lpstr>LEED_Goal</vt:lpstr>
      <vt:lpstr>'A-Info, Phases, Recip.'!Parking_Applies</vt:lpstr>
      <vt:lpstr>'PSC Transmittal Guidance'!Phase_dropdown</vt:lpstr>
      <vt:lpstr>Planner_Name</vt:lpstr>
      <vt:lpstr>PM_Name</vt:lpstr>
      <vt:lpstr>'A-Info, Phases, Recip.'!PM_Planner_Applies</vt:lpstr>
      <vt:lpstr>Post_Const_Apply</vt:lpstr>
      <vt:lpstr>Post_Const_Item_40</vt:lpstr>
      <vt:lpstr>Post_Const_Item_41</vt:lpstr>
      <vt:lpstr>Post_Const_Item_42</vt:lpstr>
      <vt:lpstr>Post_Const_Item_43</vt:lpstr>
      <vt:lpstr>Post_Const_placeholder</vt:lpstr>
      <vt:lpstr>'00 - Concept.'!Print_Area</vt:lpstr>
      <vt:lpstr>'01 - SD'!Print_Area</vt:lpstr>
      <vt:lpstr>'02 - DD'!Print_Area</vt:lpstr>
      <vt:lpstr>'03 - 50% CD'!Print_Area</vt:lpstr>
      <vt:lpstr>'04 - 95% CD'!Print_Area</vt:lpstr>
      <vt:lpstr>'05-BID'!Print_Area</vt:lpstr>
      <vt:lpstr>'06-CONST'!Print_Area</vt:lpstr>
      <vt:lpstr>'07-CLOSEOUT'!Print_Area</vt:lpstr>
      <vt:lpstr>'08-POST CONST'!Print_Area</vt:lpstr>
      <vt:lpstr>'A-Info, Phases, Recip.'!Print_Area</vt:lpstr>
      <vt:lpstr>'B-Studies or Concept only'!Print_Area</vt:lpstr>
      <vt:lpstr>'C-Design&amp;Const'!Print_Area</vt:lpstr>
      <vt:lpstr>'PSC Transmittal Guidance'!Print_Area</vt:lpstr>
      <vt:lpstr>'START - Guidance'!Print_Area</vt:lpstr>
      <vt:lpstr>'00 - Concept.'!Print_Titles</vt:lpstr>
      <vt:lpstr>'01 - SD'!Print_Titles</vt:lpstr>
      <vt:lpstr>'02 - DD'!Print_Titles</vt:lpstr>
      <vt:lpstr>'03 - 50% CD'!Print_Titles</vt:lpstr>
      <vt:lpstr>'04 - 95% CD'!Print_Titles</vt:lpstr>
      <vt:lpstr>'05-BID'!Print_Titles</vt:lpstr>
      <vt:lpstr>'06-CONST'!Print_Titles</vt:lpstr>
      <vt:lpstr>'07-CLOSEOUT'!Print_Titles</vt:lpstr>
      <vt:lpstr>'08-POST CONST'!Print_Titles</vt:lpstr>
      <vt:lpstr>'B-Studies or Concept only'!Print_Titles</vt:lpstr>
      <vt:lpstr>'C-Design&amp;Const'!Print_Titles</vt:lpstr>
      <vt:lpstr>'START - Guidance'!Print_Titles</vt:lpstr>
      <vt:lpstr>'A-Info, Phases, Recip.'!Proj_College_Applies</vt:lpstr>
      <vt:lpstr>'A-Info, Phases, Recip.'!Proj_Department_Applies</vt:lpstr>
      <vt:lpstr>'A-Info, Phases, Recip.'!Proj_email_only_recipients</vt:lpstr>
      <vt:lpstr>'A-Info, Phases, Recip.'!Proj_Other_Recipient_Applies</vt:lpstr>
      <vt:lpstr>Project_Name</vt:lpstr>
      <vt:lpstr>Project_No</vt:lpstr>
      <vt:lpstr>'A-Info, Phases, Recip.'!Public_Safety_Applies</vt:lpstr>
      <vt:lpstr>'A-Info, Phases, Recip.'!Quality_assurance_applies</vt:lpstr>
      <vt:lpstr>SD_apply</vt:lpstr>
      <vt:lpstr>SD_placeholder</vt:lpstr>
    </vt:vector>
  </TitlesOfParts>
  <Company>Facilities and Services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Beth Leitz</dc:creator>
  <cp:lastModifiedBy>Breitwieser, Steven</cp:lastModifiedBy>
  <cp:lastPrinted>2020-08-10T22:35:00Z</cp:lastPrinted>
  <dcterms:created xsi:type="dcterms:W3CDTF">2014-01-27T21:00:07Z</dcterms:created>
  <dcterms:modified xsi:type="dcterms:W3CDTF">2023-04-21T21:39:22Z</dcterms:modified>
</cp:coreProperties>
</file>